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xml" PartName="/xl/activeX/activeX1.xml"/>
  <Override ContentType="application/vnd.ms-office.activeX+xml" PartName="/xl/activeX/activeX2.xml"/>
  <Override ContentType="application/vnd.ms-office.activeX+xml" PartName="/xl/activeX/activeX3.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ml.chartshapes+xml" PartName="/xl/drawings/drawing11.xml"/>
  <Override ContentType="application/vnd.openxmlformats-officedocument.drawingml.chartshapes+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ml.chartshapes+xml" PartName="/xl/drawings/drawing6.xml"/>
  <Override ContentType="application/vnd.openxmlformats-officedocument.drawing+xml" PartName="/xl/drawings/drawing7.xml"/>
  <Override ContentType="application/vnd.openxmlformats-officedocument.drawingml.chartshapes+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455" yWindow="720" windowWidth="21180" windowHeight="11145" tabRatio="795"/>
  </bookViews>
  <sheets>
    <sheet name="ImportantDisclosures" sheetId="67" r:id="rId1"/>
    <sheet name="Team Contacts" sheetId="16" r:id="rId2"/>
    <sheet name="Summary" sheetId="9" r:id="rId3"/>
    <sheet name="Sales" sheetId="1" r:id="rId4"/>
    <sheet name="P&amp;L" sheetId="13" r:id="rId5"/>
    <sheet name="BS CF Shares" sheetId="3" r:id="rId6"/>
    <sheet name="Valuation" sheetId="27" r:id="rId7"/>
    <sheet name="DCF" sheetId="26" r:id="rId8"/>
    <sheet name="NPV" sheetId="28" r:id="rId9"/>
    <sheet name="Guidance" sheetId="15" r:id="rId10"/>
    <sheet name="Bullbear" sheetId="60" r:id="rId11"/>
    <sheet name="MS vs Consensus" sheetId="17" r:id="rId12"/>
    <sheet name="FX" sheetId="65" r:id="rId13"/>
    <sheet name="AMG334 erenumab" sheetId="38" r:id="rId14"/>
    <sheet name="IndexInformation" sheetId="68" r:id="rId15"/>
    <sheet name="ModPubIndex" sheetId="69" r:id="rId16"/>
    <sheet name="MW-Cache" sheetId="25" state="veryHidden" r:id="rId17"/>
  </sheets>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s>
  <definedNames>
    <definedName name="___YY1">"Label 14"</definedName>
    <definedName name="__123Graph_A" hidden="1">'[1]10jaarDSM'!$D$310:$D$326</definedName>
    <definedName name="__123Graph_B" hidden="1">'[1]10jaarDSM'!$E$310:$E$326</definedName>
    <definedName name="__123Graph_C" hidden="1">'[1]10jaarDSM'!$F$310:$F$326</definedName>
    <definedName name="__123Graph_D" hidden="1">'[1]10jaarDSM'!$G$310:$G$326</definedName>
    <definedName name="__123Graph_E" hidden="1">'[1]10jaarDSM'!$H$310:$H$326</definedName>
    <definedName name="__123Graph_F" hidden="1">'[1]10jaarDSM'!$I$310:$I$326</definedName>
    <definedName name="__123Graph_X" hidden="1">'[1]10jaarDSM'!$A$310:$A$327</definedName>
    <definedName name="__FDS_HYPERLINK_TOGGLE_STATE__" hidden="1">"ON"</definedName>
    <definedName name="__FDS_UNIQUE_RANGE_ID_GENERATOR_COUNTER" hidden="1">2</definedName>
    <definedName name="__FDS_USED_FOR_REUSING_RANGE_IDS_RECYCLE" localSheetId="12" hidden="1">{1,1,1,1,1,1,1,1,1,1,1,1,1,1,1,1,1,1,1,1,1,1,1,1,1,1,1,1,1,1,1,1,1,1,1,1,1,1,1,1,1,1,1,1,1,1,1,1,1,1,1,1,1,1}</definedName>
    <definedName name="__FDS_USED_FOR_REUSING_RANGE_IDS_RECYCLE" hidden="1">{1,1,1,1,1,1,1,1,1,1,1,1,1,1,1,1,1,1,1,1,1,1,1,1,1,1,1,1,1,1,1,1,1,1,1,1,1,1,1,1,1,1,1,1,1,1,1,1,1,1,1,1,1,1}</definedName>
    <definedName name="__YY1">"Label 14"</definedName>
    <definedName name="_1__FDSAUDIT2" localSheetId="12" hidden="1">{"fdsup://Directions/FactSet Auditing Viewer?action=AUDIT_VALUE&amp;DB=129&amp;ID1=538675&amp;VALUEID=P05202&amp;SDATE=2008&amp;PERIODTYPE=ANN_STD&amp;window=popup_no_bar&amp;width=385&amp;height=120&amp;START_MAXIMIZED=FALSE&amp;creator=factset&amp;display_string=Audit"}</definedName>
    <definedName name="_1__FDSAUDIT2" hidden="1">{"fdsup://Directions/FactSet Auditing Viewer?action=AUDIT_VALUE&amp;DB=129&amp;ID1=538675&amp;VALUEID=P05202&amp;SDATE=2008&amp;PERIODTYPE=ANN_STD&amp;window=popup_no_bar&amp;width=385&amp;height=120&amp;START_MAXIMIZED=FALSE&amp;creator=factset&amp;display_string=Audit"}</definedName>
    <definedName name="_1__FDSAUDITLINK__" localSheetId="12" hidden="1">{"fdsup://Directions/FactSet Auditing Viewer?action=AUDIT_VALUE&amp;DB=129&amp;ID1=538675&amp;VALUEID=P05202&amp;SDATE=2008&amp;PERIODTYPE=ANN_STD&amp;window=popup_no_bar&amp;width=385&amp;height=120&amp;START_MAXIMIZED=FALSE&amp;creator=factset&amp;display_string=Audit"}</definedName>
    <definedName name="_1__FDSAUDITLINK__" hidden="1">{"fdsup://Directions/FactSet Auditing Viewer?action=AUDIT_VALUE&amp;DB=129&amp;ID1=538675&amp;VALUEID=P05202&amp;SDATE=2008&amp;PERIODTYPE=ANN_STD&amp;window=popup_no_bar&amp;width=385&amp;height=120&amp;START_MAXIMIZED=FALSE&amp;creator=factset&amp;display_string=Audit"}</definedName>
    <definedName name="_10__123Graph_Bｸﾞﾗﾌ_1" hidden="1">[2]ｾｸﾞﾒﾝﾄ!$E$165:$I$165</definedName>
    <definedName name="_10__123Graph_Dｸﾞﾗﾌ_1" hidden="1">[2]ｾｸﾞﾒﾝﾄ!$E$167:$I$167</definedName>
    <definedName name="_11__123Graph_Aｸﾞﾗﾌ_1" hidden="1">[2]ｾｸﾞﾒﾝﾄ!$E$164:$I$164</definedName>
    <definedName name="_11__123Graph_Dｸﾞﾗﾌ_1" hidden="1">[2]ｾｸﾞﾒﾝﾄ!$E$167:$I$167</definedName>
    <definedName name="_12__123Graph_Aｸﾞﾗﾌ_2" hidden="1">[2]単独!$AR$14:$AR$18</definedName>
    <definedName name="_13__123Graph_Bｸﾞﾗﾌ_1" hidden="1">[2]ｾｸﾞﾒﾝﾄ!$E$165:$I$165</definedName>
    <definedName name="_14__123Graph_Dｸﾞﾗﾌ_1" hidden="1">[2]ｾｸﾞﾒﾝﾄ!$E$167:$I$167</definedName>
    <definedName name="_7__123Graph_Aｸﾞﾗﾌ_1" hidden="1">[2]ｾｸﾞﾒﾝﾄ!$E$164:$I$164</definedName>
    <definedName name="_8__123Graph_Aｸﾞﾗﾌ_1" hidden="1">[2]ｾｸﾞﾒﾝﾄ!$E$164:$I$164</definedName>
    <definedName name="_8__123Graph_Aｸﾞﾗﾌ_2" hidden="1">[2]単独!$AR$14:$AR$18</definedName>
    <definedName name="_9__123Graph_Aｸﾞﾗﾌ_2" hidden="1">[2]単独!$AR$14:$AR$18</definedName>
    <definedName name="_9__123Graph_Bｸﾞﾗﾌ_1" hidden="1">[2]ｾｸﾞﾒﾝﾄ!$E$165:$I$165</definedName>
    <definedName name="_AMO_ContentDefinition_666494621" hidden="1">"'Partitions:5'"</definedName>
    <definedName name="_AMO_ContentDefinition_666494621.0" hidden="1">"'&lt;ContentDefinition name=""SASMain:test_m"" rsid=""666494621"" type=""PivotTable"" format=""REPORTXML"" imgfmt=""ACTIVEX"" created=""09/26/2007 12:10:19"" modifed=""09/26/2007 12:10:19"" user=""jryy"" apply=""False"" thread=""BACKGROUND"" css=""C:\Prog'"</definedName>
    <definedName name="_AMO_ContentDefinition_666494621.1" hidden="1">"'ram Files\SAS\Shared Files\BIClientStyles\AMODefault.css"" range=""SASMain_test_m"" auto=""False"" rdc=""False"" mig=""False"" xTime=""00:00:00.0300396"" rTime=""00:00:00.8611352"" bgnew=""False"" nFmt=""False"" grphSet=""False"" imgY=""0"" imgX=""0""'"</definedName>
    <definedName name="_AMO_ContentDefinition_666494621.2" hidden="1">"'&gt;_x000D_
  &lt;files /&gt;_x000D_
  &lt;param n=""DisplayName"" v=""SASMain:test_m"" /&gt;_x000D_
  &lt;param n=""AMO_Version"" v=""2.1"" /&gt;_x000D_
  &lt;param n=""UniqueName"" v=""SASMain:test_m"" /&gt;_x000D_
  &lt;param n=""DataSourceType"" v=""OlapSource"" /&gt;_x000D_
  &lt;param n=""CubeName"" v=""test_m"" /&gt;'"</definedName>
    <definedName name="_AMO_ContentDefinition_666494621.3" hidden="1">"'_x000D_
  &lt;param n=""Catalog"" v=""FOUNDATION"" /&gt;_x000D_
  &lt;param n=""ConnectionString"" v=""Provider=SAS.OLAPProvider.9.1;Mode=ReadWrite|Share Deny None;SAS Cell Cache Size=10000;SAS Machine DNS Name=hluw0718s.hlu.corp.lundbeck.com;SAS Port=5451;SAS Protocol=2;'"</definedName>
    <definedName name="_AMO_ContentDefinition_666494621.4" hidden="1">"'SAS Server Type=2"" /&gt;_x000D_
  &lt;param n=""HostName"" v=""hluw0718s.hlu.corp.lundbeck.com"" /&gt;_x000D_
  &lt;param n=""Port"" v=""5451"" /&gt;_x000D_
  &lt;param n=""ServerName"" v=""SASMain"" /&gt;_x000D_
  &lt;param n=""ClassName"" v=""SAS.OfficeAddin.PivotTable"" /&gt;_x000D_
&lt;/ContentDefinition&gt;'"</definedName>
    <definedName name="_AMO_ContentLocation_666494621_PivotTable_666494621" hidden="1">"'&lt;ContentLocation path=""666494621"" rsid=""666494621"" tag=""PivotTable"" fid=""0"" /&gt;'"</definedName>
    <definedName name="_AMO_XmlVersion" hidden="1">"'1'"</definedName>
    <definedName name="_bdm.03EFDAEA58B643D48CCE50A675193E38.edm" localSheetId="12" hidden="1">'[3]Cash Flow'!$A:$IV</definedName>
    <definedName name="_bdm.03EFDAEA58B643D48CCE50A675193E38.edm" hidden="1">'[3]Cash Flow'!$A:$IV</definedName>
    <definedName name="_bdm.0A664C5117B64D899E22678A876177C4.edm" localSheetId="12" hidden="1">[4]Changes!$A:$IV</definedName>
    <definedName name="_bdm.0A664C5117B64D899E22678A876177C4.edm" hidden="1">[4]Changes!$A:$IV</definedName>
    <definedName name="_bdm.18596D12A915441B910A40698EA5C973.edm" localSheetId="12" hidden="1">'[5]Quarterly Sales'!$A:$IV</definedName>
    <definedName name="_bdm.18596D12A915441B910A40698EA5C973.edm" hidden="1">'[5]Quarterly Sales'!$A:$IV</definedName>
    <definedName name="_bdm.1F5402F921F949E0935D2CFB0CF7EDB8.edm" localSheetId="12" hidden="1">'[6]Annual P&amp;L'!$A:$IV</definedName>
    <definedName name="_bdm.1F5402F921F949E0935D2CFB0CF7EDB8.edm" hidden="1">'[6]Annual P&amp;L'!$A:$IV</definedName>
    <definedName name="_bdm.1F8ECBA3CA93412BA385725580F982F2.edm" localSheetId="12" hidden="1">[6]Pensions!$A:$IV</definedName>
    <definedName name="_bdm.1F8ECBA3CA93412BA385725580F982F2.edm" hidden="1">[6]Pensions!$A:$IV</definedName>
    <definedName name="_bdm.231C36061CA0460B8B631EFA1F4F33B7.edm" localSheetId="12" hidden="1">'[7]DCF 2020'!$A:$IV</definedName>
    <definedName name="_bdm.231C36061CA0460B8B631EFA1F4F33B7.edm" hidden="1">'[7]DCF 2020'!$A:$IV</definedName>
    <definedName name="_bdm.24F344AF797E44C8AAF56632E6CEB62B.edm" localSheetId="12" hidden="1">[5]Pipeline!$A:$IV</definedName>
    <definedName name="_bdm.24F344AF797E44C8AAF56632E6CEB62B.edm" hidden="1">[5]Pipeline!$A:$IV</definedName>
    <definedName name="_bdm.25E2FD3C36424D8E96522AC32CEB0700.edm" localSheetId="12" hidden="1">'[3]P&amp;L quarterly'!$A:$IV</definedName>
    <definedName name="_bdm.25E2FD3C36424D8E96522AC32CEB0700.edm" hidden="1">'[3]P&amp;L quarterly'!$A:$IV</definedName>
    <definedName name="_bdm.296C5787B2D84031847AD6DE4AECB622.edm" localSheetId="12" hidden="1">[6]BalanceSheet!$A:$IV</definedName>
    <definedName name="_bdm.296C5787B2D84031847AD6DE4AECB622.edm" hidden="1">[6]BalanceSheet!$A:$IV</definedName>
    <definedName name="_bdm.2B54A6105BD34012A73DF718CFAC9AB6.edm" localSheetId="12" hidden="1">[8]Changes!$A:$IV</definedName>
    <definedName name="_bdm.2B54A6105BD34012A73DF718CFAC9AB6.edm" hidden="1">[8]Changes!$A:$IV</definedName>
    <definedName name="_bdm.38B5751D5C324741AFD87D034F9EFA61.edm" localSheetId="12" hidden="1">[3]Lacosamide!$A:$IV</definedName>
    <definedName name="_bdm.38B5751D5C324741AFD87D034F9EFA61.edm" hidden="1">[3]Lacosamide!$A:$IV</definedName>
    <definedName name="_bdm.3A5A78B7988B47358CE1B8931222405B.edm" localSheetId="12" hidden="1">'[9]Annual P&amp;L'!$A:$IV</definedName>
    <definedName name="_bdm.3A5A78B7988B47358CE1B8931222405B.edm" hidden="1">'[9]Annual P&amp;L'!$A:$IV</definedName>
    <definedName name="_bdm.3E34832D8C5440BD9A468C37276F1612.edm" localSheetId="12" hidden="1">[9]Summary!$A:$IV</definedName>
    <definedName name="_bdm.3E34832D8C5440BD9A468C37276F1612.edm" hidden="1">[9]Summary!$A:$IV</definedName>
    <definedName name="_bdm.409580079ECE4B2B90B989EA5F0CCE17.edm" localSheetId="12" hidden="1">'[10]MedTech comps'!$A:$IV</definedName>
    <definedName name="_bdm.409580079ECE4B2B90B989EA5F0CCE17.edm" hidden="1">'[10]MedTech comps'!$A:$IV</definedName>
    <definedName name="_bdm.4279751721D84898B16F5DD47E9557C5.edm" hidden="1">'[5]Div Summary'!$A:$IV</definedName>
    <definedName name="_bdm.437E7D9C11B9438D9B017C9E0F0E414D.edm" localSheetId="12" hidden="1">[6]CashFlow!$A:$IV</definedName>
    <definedName name="_bdm.437E7D9C11B9438D9B017C9E0F0E414D.edm" hidden="1">[6]CashFlow!$A:$IV</definedName>
    <definedName name="_bdm.485E9803CEBF42A9AEFD49BF151E4AFA.edm" localSheetId="12" hidden="1">'[9]Qtrly Sales'!$A:$IV</definedName>
    <definedName name="_bdm.485E9803CEBF42A9AEFD49BF151E4AFA.edm" hidden="1">'[9]Qtrly Sales'!$A:$IV</definedName>
    <definedName name="_bdm.4FD45429C7F34D02859A99E695B12CD8.edm" localSheetId="12" hidden="1">'[9]Future Products'!$A:$IV</definedName>
    <definedName name="_bdm.4FD45429C7F34D02859A99E695B12CD8.edm" hidden="1">'[9]Future Products'!$A:$IV</definedName>
    <definedName name="_bdm.5BF437AC6D5F40858D056E29AC537B5D.edm" hidden="1">'[5]Annual Sales'!$A:$IV</definedName>
    <definedName name="_bdm.5D410E76348A4E16BAD9674E745617BA.edm" localSheetId="12" hidden="1">'[3]DCF valuation'!$A:$IV</definedName>
    <definedName name="_bdm.5D410E76348A4E16BAD9674E745617BA.edm" hidden="1">'[3]DCF valuation'!$A:$IV</definedName>
    <definedName name="_bdm.5EC7813377F54A72A0AF80DC5C56FF66.edm" localSheetId="12" hidden="1">'[6]Page 3'!$A:$IV</definedName>
    <definedName name="_bdm.5EC7813377F54A72A0AF80DC5C56FF66.edm" hidden="1">'[6]Page 3'!$A:$IV</definedName>
    <definedName name="_bdm.5EFB7ECBDD2C42B28C21FBB5E173D375.edm" localSheetId="12" hidden="1">'[5]Cash Flow'!$A:$IV</definedName>
    <definedName name="_bdm.5EFB7ECBDD2C42B28C21FBB5E173D375.edm" hidden="1">'[5]Cash Flow'!$A:$IV</definedName>
    <definedName name="_bdm.5F9E26D28BDB494398769E5813614B66.edm" localSheetId="12" hidden="1">'[11]Cash flow'!$A:$IV</definedName>
    <definedName name="_bdm.5F9E26D28BDB494398769E5813614B66.edm" hidden="1">'[11]Cash flow'!$A:$IV</definedName>
    <definedName name="_bdm.60241DEAEC5A40A193D060754FA5C534.edm" localSheetId="12" hidden="1">'[6] Qrtly P&amp;L'!$A:$IV</definedName>
    <definedName name="_bdm.60241DEAEC5A40A193D060754FA5C534.edm" hidden="1">'[6] Qrtly P&amp;L'!$A:$IV</definedName>
    <definedName name="_bdm.61AAA4F8A54E4A4E97B5D190F6D28474.edm" localSheetId="12" hidden="1">[6]Pipeline!$A:$IV</definedName>
    <definedName name="_bdm.61AAA4F8A54E4A4E97B5D190F6D28474.edm" hidden="1">[6]Pipeline!$A:$IV</definedName>
    <definedName name="_bdm.61E6EFBE44734C068FC1F7D0C9D28D58.edm" localSheetId="12" hidden="1">'[4]Cash Flow'!$A:$IV</definedName>
    <definedName name="_bdm.61E6EFBE44734C068FC1F7D0C9D28D58.edm" hidden="1">'[4]Cash Flow'!$A:$IV</definedName>
    <definedName name="_bdm.63C19023A2F44A52B65C015FBE5F0B1E.edm" localSheetId="12" hidden="1">[3]Fesoterodine!$A:$IV</definedName>
    <definedName name="_bdm.63C19023A2F44A52B65C015FBE5F0B1E.edm" hidden="1">[3]Fesoterodine!$A:$IV</definedName>
    <definedName name="_bdm.6492105A96114C30A657A2DC0DA5878E.edm" localSheetId="12" hidden="1">'[6]Qrtly Sales'!$A:$IV</definedName>
    <definedName name="_bdm.6492105A96114C30A657A2DC0DA5878E.edm" hidden="1">'[6]Qrtly Sales'!$A:$IV</definedName>
    <definedName name="_bdm.687A2FBDC3C24DF484095F92DC00DB4E.edm" localSheetId="12" hidden="1">[4]Summary!$A:$IV</definedName>
    <definedName name="_bdm.687A2FBDC3C24DF484095F92DC00DB4E.edm" hidden="1">[4]Summary!$A:$IV</definedName>
    <definedName name="_bdm.6D67C5BE641D49149FA7C31B2403FDED.edm" localSheetId="12" hidden="1">'[5]MW Valuation'!$A:$IV</definedName>
    <definedName name="_bdm.6D67C5BE641D49149FA7C31B2403FDED.edm" hidden="1">'[5]MW Valuation'!$A:$IV</definedName>
    <definedName name="_bdm.6DDACA3C96804B81AD7D15261D6DE67A.edm" localSheetId="12" hidden="1">'[6]Yrly Sales'!$A:$IV</definedName>
    <definedName name="_bdm.6DDACA3C96804B81AD7D15261D6DE67A.edm" hidden="1">'[6]Yrly Sales'!$A:$IV</definedName>
    <definedName name="_bdm.72363C0451B94327B49404CAA345075F.edm" localSheetId="12" hidden="1">'[4]Balance Sheet'!$A:$IV</definedName>
    <definedName name="_bdm.72363C0451B94327B49404CAA345075F.edm" hidden="1">'[4]Balance Sheet'!$A:$IV</definedName>
    <definedName name="_bdm.74667168D09F45C98A5D57945AD7C0A1.edm" localSheetId="12" hidden="1">[11]QPreview!$A:$IV</definedName>
    <definedName name="_bdm.74667168D09F45C98A5D57945AD7C0A1.edm" hidden="1">[11]QPreview!$A:$IV</definedName>
    <definedName name="_bdm.759BCFE8BAAA4ED4BD2770987C6A8AE1.edm" localSheetId="12" hidden="1">'[9]Yrly Sales'!$A:$IV</definedName>
    <definedName name="_bdm.759BCFE8BAAA4ED4BD2770987C6A8AE1.edm" hidden="1">'[9]Yrly Sales'!$A:$IV</definedName>
    <definedName name="_bdm.7BFAEE24A4B640B5BFCC9696BE1663A6.edm" localSheetId="12" hidden="1">'[11]FutureProducts New'!$A:$IV</definedName>
    <definedName name="_bdm.7BFAEE24A4B640B5BFCC9696BE1663A6.edm" hidden="1">'[11]FutureProducts New'!$A:$IV</definedName>
    <definedName name="_bdm.7D8B26A35D084CF8BE6E60241D975B66.edm" localSheetId="12" hidden="1">'[6]DCF new'!$A:$IV</definedName>
    <definedName name="_bdm.7D8B26A35D084CF8BE6E60241D975B66.edm" hidden="1">'[6]DCF new'!$A:$IV</definedName>
    <definedName name="_bdm.86C41559EF2347F08E2A06B8A8B458F5.edm" localSheetId="12" hidden="1">[6]Scenarios!$A:$IV</definedName>
    <definedName name="_bdm.86C41559EF2347F08E2A06B8A8B458F5.edm" hidden="1">[6]Scenarios!$A:$IV</definedName>
    <definedName name="_bdm.8720C2702B5641E9A40FC05865D02690.edm" localSheetId="12" hidden="1">[9]BalanceSheet!$A:$IV</definedName>
    <definedName name="_bdm.8720C2702B5641E9A40FC05865D02690.edm" hidden="1">[9]BalanceSheet!$A:$IV</definedName>
    <definedName name="_bdm.87B699DCDAB2433D80DC5B83945A7B85.edm" localSheetId="12" hidden="1">'[5]Page 3'!$A:$IV</definedName>
    <definedName name="_bdm.87B699DCDAB2433D80DC5B83945A7B85.edm" hidden="1">'[5]Page 3'!$A:$IV</definedName>
    <definedName name="_bdm.8FC3C93051DF485AB458B8D4548FDB26.edm" localSheetId="12" hidden="1">'[10]Investment Summary'!$A:$IV</definedName>
    <definedName name="_bdm.8FC3C93051DF485AB458B8D4548FDB26.edm" hidden="1">'[10]Investment Summary'!$A:$IV</definedName>
    <definedName name="_bdm.902FBB4F46E34071A1E40F21CDBEDFFF.edm" localSheetId="12" hidden="1">'[9]Gross Margin'!$A:$IV</definedName>
    <definedName name="_bdm.902FBB4F46E34071A1E40F21CDBEDFFF.edm" hidden="1">'[9]Gross Margin'!$A:$IV</definedName>
    <definedName name="_bdm.9119B4EFB18F42F382F276F62A546B47.edm" localSheetId="12" hidden="1">'[12]Ann Sales ($)'!$A:$IV</definedName>
    <definedName name="_bdm.9119B4EFB18F42F382F276F62A546B47.edm" hidden="1">'[12]Ann Sales ($)'!$A:$IV</definedName>
    <definedName name="_bdm.92570807EA424CABA23CAA642481C45A.edm" localSheetId="12" hidden="1">[13]Sheet1!$A:$IV</definedName>
    <definedName name="_bdm.92570807EA424CABA23CAA642481C45A.edm" hidden="1">[13]Sheet1!$A:$IV</definedName>
    <definedName name="_bdm.93B39D05CA3647FDBA96AC3F0812F1D7.edm" localSheetId="12" hidden="1">[3]Bull_Bear!$A:$IV</definedName>
    <definedName name="_bdm.93B39D05CA3647FDBA96AC3F0812F1D7.edm" hidden="1">[3]Bull_Bear!$A:$IV</definedName>
    <definedName name="_bdm.93B4B24738654DF3844564DFCA30F207.edm" localSheetId="12" hidden="1">'[4]Qrtly Sales'!$A:$IV</definedName>
    <definedName name="_bdm.93B4B24738654DF3844564DFCA30F207.edm" hidden="1">'[4]Qrtly Sales'!$A:$IV</definedName>
    <definedName name="_bdm.94F49AA5759A41789A62E1E396B3E710.edm" localSheetId="12" hidden="1">'[10]Waterfall Charts'!$A:$IV</definedName>
    <definedName name="_bdm.94F49AA5759A41789A62E1E396B3E710.edm" hidden="1">'[10]Waterfall Charts'!$A:$IV</definedName>
    <definedName name="_bdm.993CDBCA795E40248F0BFBD19E3DF99F.edm" localSheetId="12" hidden="1">'[4]Annual P&amp;L'!$A:$IV</definedName>
    <definedName name="_bdm.993CDBCA795E40248F0BFBD19E3DF99F.edm" hidden="1">'[4]Annual P&amp;L'!$A:$IV</definedName>
    <definedName name="_bdm.A74F515DCEDB4481871F69E9F81C43E8.edm" localSheetId="12" hidden="1">'[10]Urology &amp; Gynaecology'!$A:$IV</definedName>
    <definedName name="_bdm.A74F515DCEDB4481871F69E9F81C43E8.edm" hidden="1">'[10]Urology &amp; Gynaecology'!$A:$IV</definedName>
    <definedName name="_bdm.AA30B2C7EDBF471F8000DFF980138399.edm" localSheetId="12" hidden="1">'[5]Quarterly P&amp;L'!$A:$IV</definedName>
    <definedName name="_bdm.AA30B2C7EDBF471F8000DFF980138399.edm" hidden="1">'[5]Quarterly P&amp;L'!$A:$IV</definedName>
    <definedName name="_bdm.AD35F74832AC488CADFBAEB0A62E237E.edm" localSheetId="12" hidden="1">[10]Laparoscopy!$A:$IV</definedName>
    <definedName name="_bdm.AD35F74832AC488CADFBAEB0A62E237E.edm" hidden="1">[10]Laparoscopy!$A:$IV</definedName>
    <definedName name="_bdm.AE0ED5BCE95B4BD085DA6811FABC32E5.edm" localSheetId="12" hidden="1">'[10]Residual Income Table'!$A:$IV</definedName>
    <definedName name="_bdm.AE0ED5BCE95B4BD085DA6811FABC32E5.edm" hidden="1">'[10]Residual Income Table'!$A:$IV</definedName>
    <definedName name="_bdm.AE46903719D546AE816A8EFDC32A1139.edm" localSheetId="12" hidden="1">'[10]General Surgery'!$A:$IV</definedName>
    <definedName name="_bdm.AE46903719D546AE816A8EFDC32A1139.edm" hidden="1">'[10]General Surgery'!$A:$IV</definedName>
    <definedName name="_bdm.AF15562AE3B842D4A40E20830940A436.edm" hidden="1">'[5]Annual P&amp;L'!$A:$IV</definedName>
    <definedName name="_bdm.B101C9CAE78B4A728A0613D3601D0E1D.edm" localSheetId="12" hidden="1">[11]Contents!$A:$IV</definedName>
    <definedName name="_bdm.B101C9CAE78B4A728A0613D3601D0E1D.edm" hidden="1">[11]Contents!$A:$IV</definedName>
    <definedName name="_bdm.B4BB79E9305C4CA18747F68CADE8BC60.edm" localSheetId="12" hidden="1">'[5]Cons (2)'!$A:$IV</definedName>
    <definedName name="_bdm.B4BB79E9305C4CA18747F68CADE8BC60.edm" hidden="1">'[5]Cons (2)'!$A:$IV</definedName>
    <definedName name="_bdm.B7E5A486C2BF424BA190BF0D8627ABF1.edm" localSheetId="12" hidden="1">[9]Avastin!$A:$IV</definedName>
    <definedName name="_bdm.B7E5A486C2BF424BA190BF0D8627ABF1.edm" hidden="1">[9]Avastin!$A:$IV</definedName>
    <definedName name="_bdm.B8CF11D706084EA6962E08F4116D4512.edm" localSheetId="12" hidden="1">[5]Cons!$A:$IV</definedName>
    <definedName name="_bdm.B8CF11D706084EA6962E08F4116D4512.edm" hidden="1">[5]Cons!$A:$IV</definedName>
    <definedName name="_bdm.C1708DBBF51D455681005AA056045A88.edm" localSheetId="12" hidden="1">'[9]Cash Flow'!$A:$IV</definedName>
    <definedName name="_bdm.C1708DBBF51D455681005AA056045A88.edm" hidden="1">'[9]Cash Flow'!$A:$IV</definedName>
    <definedName name="_bdm.CC7CD956162D4FF98BC0B1A3EFB89097.edm" localSheetId="12" hidden="1">'[4] Qrtly P&amp;L'!$A:$IV</definedName>
    <definedName name="_bdm.CC7CD956162D4FF98BC0B1A3EFB89097.edm" hidden="1">'[4] Qrtly P&amp;L'!$A:$IV</definedName>
    <definedName name="_bdm.CE1546A346F44626885CFD95877C1E02.edm" localSheetId="12" hidden="1">'[9]Semi-annual P&amp;L'!$A:$IV</definedName>
    <definedName name="_bdm.CE1546A346F44626885CFD95877C1E02.edm" hidden="1">'[9]Semi-annual P&amp;L'!$A:$IV</definedName>
    <definedName name="_bdm.CFF0BC76FBEC4A0AACB5A1F4C9427022.edm" localSheetId="12" hidden="1">'[3]P&amp;L Ann'!$A:$IV</definedName>
    <definedName name="_bdm.CFF0BC76FBEC4A0AACB5A1F4C9427022.edm" hidden="1">'[3]P&amp;L Ann'!$A:$IV</definedName>
    <definedName name="_bdm.D2A4C2943FEC4BA68EB77E9B359739DC.edm" localSheetId="12" hidden="1">'[11]Balance Sheet'!$A:$IV</definedName>
    <definedName name="_bdm.D2A4C2943FEC4BA68EB77E9B359739DC.edm" hidden="1">'[11]Balance Sheet'!$A:$IV</definedName>
    <definedName name="_bdm.DB795664D85149F6AA4ADCBFBC7762F6.edm" localSheetId="12" hidden="1">[3]Model_Template!$A:$IV</definedName>
    <definedName name="_bdm.DB795664D85149F6AA4ADCBFBC7762F6.edm" hidden="1">[3]Model_Template!$A:$IV</definedName>
    <definedName name="_bdm.E0330C76CAB64E57888C32D81BE024F7.edm" localSheetId="12" hidden="1">'[9]Primary Care'!$A:$IV</definedName>
    <definedName name="_bdm.E0330C76CAB64E57888C32D81BE024F7.edm" hidden="1">'[9]Primary Care'!$A:$IV</definedName>
    <definedName name="_bdm.E420B8762F7E41FEB949ACA18F02E39D.edm" hidden="1">[5]Tables!$A:$IV</definedName>
    <definedName name="_bdm.E6F983C26C7443B399712AB0320D8F1D.edm" localSheetId="12" hidden="1">'[11]Yrly Sales'!$A:$IV</definedName>
    <definedName name="_bdm.E6F983C26C7443B399712AB0320D8F1D.edm" hidden="1">'[11]Yrly Sales'!$A:$IV</definedName>
    <definedName name="_bdm.E9EC1E1E1151462AB4D6FA0C27B0B334.edm" localSheetId="12" hidden="1">[9]Bonds!$A:$IV</definedName>
    <definedName name="_bdm.E9EC1E1E1151462AB4D6FA0C27B0B334.edm" hidden="1">[9]Bonds!$A:$IV</definedName>
    <definedName name="_bdm.EE2B9AB525E84CE0A96B362CF80C7FBB.edm" localSheetId="12" hidden="1">'[3]Balance Sheet'!$A:$IV</definedName>
    <definedName name="_bdm.EE2B9AB525E84CE0A96B362CF80C7FBB.edm" hidden="1">'[3]Balance Sheet'!$A:$IV</definedName>
    <definedName name="_bdm.F1A3525ABFE44E4D8D004D100ABA0286.edm" localSheetId="12" hidden="1">[5]DCF!$A:$IV</definedName>
    <definedName name="_bdm.F1A3525ABFE44E4D8D004D100ABA0286.edm" hidden="1">[5]DCF!$A:$IV</definedName>
    <definedName name="_bdm.F34E5C743B0348AA8A6D86AEBDD4D1DD.edm" localSheetId="12" hidden="1">'[7]MW Valuation'!$A:$IV</definedName>
    <definedName name="_bdm.F34E5C743B0348AA8A6D86AEBDD4D1DD.edm" hidden="1">'[7]MW Valuation'!$A:$IV</definedName>
    <definedName name="_bdm.F92B5C07DBA24EFBB7D89EF35CE463DC.edm" localSheetId="12" hidden="1">'[5]Balance Sheet'!$A:$IV</definedName>
    <definedName name="_bdm.F92B5C07DBA24EFBB7D89EF35CE463DC.edm" hidden="1">'[5]Balance Sheet'!$A:$IV</definedName>
    <definedName name="_bdm.FA7164BD3151404C8293D0D404B518E1.edm" localSheetId="12" hidden="1">'[6]Changes to model'!$A:$IV</definedName>
    <definedName name="_bdm.FA7164BD3151404C8293D0D404B518E1.edm" hidden="1">'[6]Changes to model'!$A:$IV</definedName>
    <definedName name="_bdm.FAEB38C9FE0049718E2C140744FF4363.edm" localSheetId="12" hidden="1">'[11]Yrly P&amp;L'!$A:$IV</definedName>
    <definedName name="_bdm.FAEB38C9FE0049718E2C140744FF4363.edm" hidden="1">'[11]Yrly P&amp;L'!$A:$IV</definedName>
    <definedName name="_bdm.xxx.edm" localSheetId="12" hidden="1">[14]Pensions!$A:$IV</definedName>
    <definedName name="_bdm.xxx.edm" hidden="1">[14]Pensions!$A:$IV</definedName>
    <definedName name="_bdmXXX" localSheetId="12" hidden="1">'[14]Annual P&amp;L'!$A:$IV</definedName>
    <definedName name="_bdmXXX" hidden="1">'[14]Annual P&amp;L'!$A:$IV</definedName>
    <definedName name="_caf04">[15]NOVARTIS!$P$4</definedName>
    <definedName name="_caf05">[15]NOVARTIS!$Q$4</definedName>
    <definedName name="_EPS97">'[16]P&amp;L'!$AA$53</definedName>
    <definedName name="_EPS98">'[16]P&amp;L'!$AF$53</definedName>
    <definedName name="_EXE1">'[17]Liens data'!$G$1</definedName>
    <definedName name="_EXE10">[18]LDATA!$Y$1</definedName>
    <definedName name="_EXE2">'[17]Liens data'!$I$1</definedName>
    <definedName name="_EXE3">'[17]Liens data'!$K$1</definedName>
    <definedName name="_EXE4">'[17]Liens data'!$M$1</definedName>
    <definedName name="_EXE5">'[17]Liens data'!$O$1</definedName>
    <definedName name="_EXE6">'[17]Liens data'!$Q$1</definedName>
    <definedName name="_EXE7">'[17]Liens data'!$S$1</definedName>
    <definedName name="_EXE8">[18]LDATA!$U$1</definedName>
    <definedName name="_EXE9">[18]LDATA!$W$1</definedName>
    <definedName name="_FDS_USED_FOR_REUSING_RANGE2" localSheetId="12" hidden="1">{1,1,1,1,1,1,1,1,1,1,1,1,1,1,1,1,1,1,1,1,1,1,1,1,1,1,1,1,1,1,1,1,1,1,1,1,1,1,1,1,1,1,1,1,1,1,1,1,1,1,1,1,1,1}</definedName>
    <definedName name="_FDS_USED_FOR_REUSING_RANGE2" hidden="1">{1,1,1,1,1,1,1,1,1,1,1,1,1,1,1,1,1,1,1,1,1,1,1,1,1,1,1,1,1,1,1,1,1,1,1,1,1,1,1,1,1,1,1,1,1,1,1,1,1,1,1,1,1,1}</definedName>
    <definedName name="_Key1" hidden="1">[2]単独!$U$1</definedName>
    <definedName name="_Order1" hidden="1">255</definedName>
    <definedName name="_Regression_Int" hidden="1">1</definedName>
    <definedName name="_REV01">'[16]P&amp;L'!$AU$32</definedName>
    <definedName name="_rev1" localSheetId="12">[19]Sheet1!$A$8:$G$103</definedName>
    <definedName name="_rev1">[19]Sheet1!$A$8:$G$103</definedName>
    <definedName name="_rev2" localSheetId="12">[19]Sheet1!$A$105:$G$155</definedName>
    <definedName name="_rev2">[19]Sheet1!$A$105:$G$155</definedName>
    <definedName name="_rev3" localSheetId="12">[19]Sheet1!$A$157:$G$197</definedName>
    <definedName name="_rev3">[19]Sheet1!$A$157:$G$197</definedName>
    <definedName name="_REV98">'[16]P&amp;L'!$AF$32</definedName>
    <definedName name="_REV99">'[16]P&amp;L'!$AK$32</definedName>
    <definedName name="_Sort" hidden="1">[2]単独!$A$512:$AC$552</definedName>
    <definedName name="_YY1">"Label 14"</definedName>
    <definedName name="aa" localSheetId="12">[20]!aa</definedName>
    <definedName name="aa">[0]!aa</definedName>
    <definedName name="aAnnualisation">'[21]Liste societes'!$Q$1</definedName>
    <definedName name="abc"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outCompGraph" localSheetId="12">[20]!AboutCompGraph</definedName>
    <definedName name="AboutCompGraph">[0]!AboutCompGraph</definedName>
    <definedName name="AccessDatabase" hidden="1">"C:\FAME\famework\elyval.mdb"</definedName>
    <definedName name="actfi">[22]EVA!$B$48</definedName>
    <definedName name="Actual" localSheetId="12" hidden="1">{#N/A,#N/A,TRUE,"Historicals";#N/A,#N/A,TRUE,"Charts";#N/A,#N/A,TRUE,"Forecasts"}</definedName>
    <definedName name="Actual" hidden="1">{#N/A,#N/A,TRUE,"Historicals";#N/A,#N/A,TRUE,"Charts";#N/A,#N/A,TRUE,"Forecasts"}</definedName>
    <definedName name="AdditionalInstructions">IndexInformation!$B$42</definedName>
    <definedName name="Address" localSheetId="0">ImportantDisclosures!$A$2:$A$2</definedName>
    <definedName name="aDevConv">'[21]Liste societes'!$P$1</definedName>
    <definedName name="aDevise">'[21]Liste societes'!$R$1</definedName>
    <definedName name="AF">'[23]PE Exane'!$B$16</definedName>
    <definedName name="aimmo">[22]EVA!$B$47</definedName>
    <definedName name="aimp">'[24]Modeles (S)'!$R$1:$Y$65536</definedName>
    <definedName name="aLng">'[21]Liste societes'!$U$1</definedName>
    <definedName name="ALXN">'[25]P&amp;L'!$A$1:$AF$64</definedName>
    <definedName name="ANA" localSheetId="15">ModPubIndex!$A$7</definedName>
    <definedName name="Analyste">'[17]Liens data'!$B$2</definedName>
    <definedName name="Annotate_Area">[26]Sheet1!$AL$3</definedName>
    <definedName name="AnnotateClearSet">[26]Sheet1!$AF$7</definedName>
    <definedName name="AnnotateNoteClear">[26]Sheet1!$G$3</definedName>
    <definedName name="AnnotateNoteReturn">[26]Sheet1!$F$3</definedName>
    <definedName name="AnnotateNoteSet">[26]Sheet1!$AE$7</definedName>
    <definedName name="AnnotateStart">[26]Sheet1!$AH$3</definedName>
    <definedName name="anscount" hidden="1">1</definedName>
    <definedName name="asd" localSheetId="12"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TypeFct">'[21]Liste societes'!$T$1</definedName>
    <definedName name="aUnit">'[21]Liste societes'!$S$1</definedName>
    <definedName name="Authors" localSheetId="0">ImportantDisclosures!$A$7</definedName>
    <definedName name="Authors" localSheetId="14">IndexInformation!$B$18</definedName>
    <definedName name="Av" localSheetId="12" hidden="1">{"Qtr Op Mgd Q2",#N/A,FALSE,"Qtr-Op (Mng)";"Qtr Op Rpt Q2",#N/A,FALSE,"Qtr-Op (Rpt)";"Operating Vs Reported",#N/A,FALSE,"Rpt-Op Inc"}</definedName>
    <definedName name="Av" hidden="1">{"Qtr Op Mgd Q2",#N/A,FALSE,"Qtr-Op (Mng)";"Qtr Op Rpt Q2",#N/A,FALSE,"Qtr-Op (Rpt)";"Operating Vs Reported",#N/A,FALSE,"Rpt-Op Inc"}</definedName>
    <definedName name="ava" localSheetId="12" hidden="1">{#N/A,#N/A,FALSE,"COVER";#N/A,#N/A,FALSE,"VALUATION";#N/A,#N/A,FALSE,"FORECAST";#N/A,#N/A,FALSE,"FY ANALYSIS ";#N/A,#N/A,FALSE," HY ANALYSIS"}</definedName>
    <definedName name="ava" hidden="1">{#N/A,#N/A,FALSE,"COVER";#N/A,#N/A,FALSE,"VALUATION";#N/A,#N/A,FALSE,"FORECAST";#N/A,#N/A,FALSE,"FY ANALYSIS ";#N/A,#N/A,FALSE," HY ANALYSIS"}</definedName>
    <definedName name="avap" localSheetId="12" hidden="1">{"Cover",#N/A,FALSE,"Cover";"Summary",#N/A,FALSE,"Summarpage"}</definedName>
    <definedName name="avap" hidden="1">{"Cover",#N/A,FALSE,"Cover";"Summary",#N/A,FALSE,"Summarpage"}</definedName>
    <definedName name="AvaproN" localSheetId="12" hidden="1">{"Qtr Op Mgd Q3",#N/A,FALSE,"Qtr-Op (Mng)";"Qtr Op Rpt Q3",#N/A,FALSE,"Qtr-Op (Rpt)";"Operating Vs Reported",#N/A,FALSE,"Rpt-Op Inc"}</definedName>
    <definedName name="AvaproN" hidden="1">{"Qtr Op Mgd Q3",#N/A,FALSE,"Qtr-Op (Mng)";"Qtr Op Rpt Q3",#N/A,FALSE,"Qtr-Op (Rpt)";"Operating Vs Reported",#N/A,FALSE,"Rpt-Op Inc"}</definedName>
    <definedName name="AvgPrice">[26]Sheet1!$Z$4</definedName>
    <definedName name="AxesFormat" localSheetId="12">[20]!AxesFormat</definedName>
    <definedName name="AxesFormat">[0]!AxesFormat</definedName>
    <definedName name="BackFromCompanySelector" localSheetId="12">[20]!BackFromCompanySelector</definedName>
    <definedName name="BackFromCompanySelector">[0]!BackFromCompanySelector</definedName>
    <definedName name="BackFromItemSelect" localSheetId="12">[20]!BackFromItemSelect</definedName>
    <definedName name="BackFromItemSelect">[0]!BackFromItemSelect</definedName>
    <definedName name="bDown" localSheetId="12">[20]!bDown</definedName>
    <definedName name="bDown">[0]!bDown</definedName>
    <definedName name="BeginDate">[26]Sheet1!$S$4</definedName>
    <definedName name="BeginDateSet">[26]Sheet1!$AJ$6</definedName>
    <definedName name="BeginReturn">[26]Sheet1!$Q$4:$S$4</definedName>
    <definedName name="bfr">[22]EVA!$B$53</definedName>
    <definedName name="bilan">[15]Tableau!$A$35:$I$43</definedName>
    <definedName name="BlackWhiteNote">[26]Sheet1!$I$9</definedName>
    <definedName name="BlackWhiteSet">[26]Sheet1!$AF$1</definedName>
    <definedName name="bLeft" localSheetId="12">[20]!bLeft</definedName>
    <definedName name="bLeft">[0]!bLeft</definedName>
    <definedName name="bpa00">[15]NOVARTIS!$L$67</definedName>
    <definedName name="bRight" localSheetId="12">[20]!bRight</definedName>
    <definedName name="bRight">[0]!bRight</definedName>
    <definedName name="BRO" localSheetId="15">ModPubIndex!$A$1</definedName>
    <definedName name="bUp" localSheetId="12">[20]!bUp</definedName>
    <definedName name="bUp">[0]!bUp</definedName>
    <definedName name="CA">'[24]Ventilation (S)'!$A$203:$IV$203</definedName>
    <definedName name="CAAnim00H1">[15]trimestres!$K$41</definedName>
    <definedName name="CAAnim99H1">[15]trimestres!$I$41</definedName>
    <definedName name="CACiba00H1">[15]trimestres!$K$40</definedName>
    <definedName name="CACiba99H1">[15]trimestres!$I$40</definedName>
    <definedName name="CAConsh00H1">[15]trimestres!$K$42</definedName>
    <definedName name="CAConsh99H1">[15]trimestres!$I$42</definedName>
    <definedName name="CaContinuing00H1">[15]trimestres!$K$48</definedName>
    <definedName name="CAContinuing99H1">[15]trimestres!$I$48</definedName>
    <definedName name="caff04">[15]NOVARTIS!$P$4</definedName>
    <definedName name="caff05">[15]NOVARTIS!$Q$4</definedName>
    <definedName name="CAGen00H1">[15]trimestres!$K$39</definedName>
    <definedName name="CAGen99H1">[15]trimestres!$I$39</definedName>
    <definedName name="CAPharma00H1">[15]trimestres!$K$38</definedName>
    <definedName name="CAPharma99H1">[15]trimestres!$I$38</definedName>
    <definedName name="capi">[27]INPUTS!$E$6</definedName>
    <definedName name="Cellsdown">[26]Sheet1!$X$5</definedName>
    <definedName name="cf">[15]CFD2!$C$8</definedName>
    <definedName name="CF_OP_GR">"'=BackSheet!$D$239:$AG$239"</definedName>
    <definedName name="CF_PR_DV">"'=BackSheet!$D$241:$AG$241"</definedName>
    <definedName name="CFEVA1">[27]EVA1!$K$3:$K$36</definedName>
    <definedName name="Cfin">[21]Tableau!$A$1:$A$65536</definedName>
    <definedName name="ChangeSize" localSheetId="12">[20]!ChangeSize</definedName>
    <definedName name="ChangeSize">[0]!ChangeSize</definedName>
    <definedName name="Chart6b" localSheetId="12">[19]Sheet1!$K$71:$S$98</definedName>
    <definedName name="Chart6b">[19]Sheet1!$K$71:$S$98</definedName>
    <definedName name="ChartOptions" localSheetId="12">[20]!ChartOptions</definedName>
    <definedName name="ChartOptions">[0]!ChartOptions</definedName>
    <definedName name="ChartType">[26]Sheet1!$F$5</definedName>
    <definedName name="ChartTypeChange" localSheetId="12">[20]!ChartTypeChange</definedName>
    <definedName name="ChartTypeChange">[0]!ChartTypeChange</definedName>
    <definedName name="Choices_Wrapper" localSheetId="12">FX!Choices_Wrapper</definedName>
    <definedName name="Choices_Wrapper">FX!Choices_Wrapper</definedName>
    <definedName name="CieIsABigCap">'[21]Liste societes'!$N$6</definedName>
    <definedName name="CieIsAMidCap">'[21]Liste societes'!$N$7</definedName>
    <definedName name="CieIsAnything">'[21]Liste societes'!$N$5</definedName>
    <definedName name="ClearCompList" localSheetId="12">[20]!ClearCompList</definedName>
    <definedName name="ClearCompList">[0]!ClearCompList</definedName>
    <definedName name="ClipBoardRange">[26]Sheet1!$C$19:$O$33</definedName>
    <definedName name="CODE1535">'[28]Accounts (FY)'!$A$154</definedName>
    <definedName name="CodeIndice">'[17]Liens data'!$D$1</definedName>
    <definedName name="CodeIndiceMarche">'[17]Liens data'!$D$2</definedName>
    <definedName name="CodeProduit">[18]LDATA!$B$1</definedName>
    <definedName name="ColorNoteReturn">[26]Sheet1!$H$9</definedName>
    <definedName name="ColorNoteSet">[26]Sheet1!$AE$1</definedName>
    <definedName name="Company1">[26]Sheet1!$X$22:$X$275</definedName>
    <definedName name="Company2">[26]Sheet1!$Y$22:$Y$275</definedName>
    <definedName name="Company3">[26]Sheet1!$Z$22:$Z$275</definedName>
    <definedName name="Company4">[26]Sheet1!$AA$22:$AA$276</definedName>
    <definedName name="CompanyChangeSize" localSheetId="12">[20]!CompanyChangeSize</definedName>
    <definedName name="CompanyChangeSize">[0]!CompanyChangeSize</definedName>
    <definedName name="CompanyLookup" localSheetId="12">[20]!CompanyLookup</definedName>
    <definedName name="CompanyLookup">[0]!CompanyLookup</definedName>
    <definedName name="CompanyName1">[26]Sheet1!$AF$3</definedName>
    <definedName name="CompanyName2">[26]Sheet1!$AF$4</definedName>
    <definedName name="CompanyName3">[26]Sheet1!$AF$5</definedName>
    <definedName name="CompanyName4">[26]Sheet1!$AF$6</definedName>
    <definedName name="CompgraphHelp" localSheetId="12">[20]!CompgraphHelp</definedName>
    <definedName name="CompgraphHelp">[0]!CompgraphHelp</definedName>
    <definedName name="complookup" localSheetId="12">[20]!complookup</definedName>
    <definedName name="complookup">[0]!complookup</definedName>
    <definedName name="CompositeBuilder" localSheetId="12">[20]!CompositeBuilder</definedName>
    <definedName name="CompositeBuilder">[0]!CompositeBuilder</definedName>
    <definedName name="constant">'[11]GVAT RI valuation'!$C$154</definedName>
    <definedName name="converting" localSheetId="12">{"Client Name or Project Name"}</definedName>
    <definedName name="converting">{"Client Name or Project Name"}</definedName>
    <definedName name="CopyrightStamp">ImportantDisclosures!$A$27</definedName>
    <definedName name="CoSelectorOutputs" localSheetId="12">[20]!CoSelectorOutputs</definedName>
    <definedName name="CoSelectorOutputs">[0]!CoSelectorOutputs</definedName>
    <definedName name="COU" localSheetId="15">ModPubIndex!$A$5</definedName>
    <definedName name="cours">[22]EVA!$E$5</definedName>
    <definedName name="cp">[15]CFD2!$C$10</definedName>
    <definedName name="CQEnd" localSheetId="14">IndexInformation!$B$31</definedName>
    <definedName name="Currency" localSheetId="14">IndexInformation!$B$24</definedName>
    <definedName name="CurrencyCell">[26]Sheet1!$X$4</definedName>
    <definedName name="CurrencySymbol">[26]Sheet1!$Y$4</definedName>
    <definedName name="Current_Price">'[11]GVAT RI valuation'!$C$103</definedName>
    <definedName name="Currentp">[29]Valuation!$M$8</definedName>
    <definedName name="CurrentStockPrice" localSheetId="14">IndexInformation!$B$23</definedName>
    <definedName name="CurrQtrEPS" localSheetId="14">IndexInformation!$B$29</definedName>
    <definedName name="CurrYearEPS" localSheetId="14">IndexInformation!$B$11</definedName>
    <definedName name="CurrYearTotalRevenue" localSheetId="14">IndexInformation!$B$10</definedName>
    <definedName name="CurrYearTotalRevenueActual" localSheetId="14">IndexInformation!$B$32</definedName>
    <definedName name="CursorSet">[26]Sheet1!$A$15</definedName>
    <definedName name="CUSIP" localSheetId="14">IndexInformation!$B$20</definedName>
    <definedName name="CustomChart" localSheetId="12">[20]!CustomChart</definedName>
    <definedName name="CustomChart">[0]!CustomChart</definedName>
    <definedName name="CYEnd" localSheetId="14">IndexInformation!$B$30</definedName>
    <definedName name="DataAdjust">[26]Sheet1!$W$21</definedName>
    <definedName name="DataOptions">[26]Sheet1!$V$1</definedName>
    <definedName name="DataRange">[26]Sheet1!$W$21:$Z$275</definedName>
    <definedName name="Date" localSheetId="0">ImportantDisclosures!$A$8</definedName>
    <definedName name="datecell">Valuation!$D$35</definedName>
    <definedName name="DateChange">[26]Sheet1!$Q$3</definedName>
    <definedName name="DateColumn">[26]Sheet1!$W$22:$W$275</definedName>
    <definedName name="DATEEVA1">[27]EVA1!$A$3:$A$36</definedName>
    <definedName name="DateReturn">[26]Sheet1!$S$3</definedName>
    <definedName name="DateSet">[26]Sheet1!$AJ$1</definedName>
    <definedName name="dbfr00">[30]page4!$H$20</definedName>
    <definedName name="dbfr01">[30]page4!$I$20</definedName>
    <definedName name="dbfr02">[30]page4!$J$20</definedName>
    <definedName name="dbfr03">[30]page4!$K$20</definedName>
    <definedName name="dbfr04">[30]page4!$L$20</definedName>
    <definedName name="dbfr95">[30]page4!$C$20</definedName>
    <definedName name="dbfr96">[30]page4!$D$20</definedName>
    <definedName name="dbfr97">[30]page4!$E$20</definedName>
    <definedName name="dbfr98">[30]page4!$F$20</definedName>
    <definedName name="dbfr99">[30]page4!$G$20</definedName>
    <definedName name="DCFRevenuesOther">0</definedName>
    <definedName name="dDownEnd">[26]Sheet1!$N$9</definedName>
    <definedName name="ddownNames">[26]Sheet1!$L$3:$O$10</definedName>
    <definedName name="DDownStart">[26]Sheet1!$K$3</definedName>
    <definedName name="Deleted" localSheetId="14">IndexInformation!$B$27</definedName>
    <definedName name="Description" localSheetId="14">IndexInformation!$B$7</definedName>
    <definedName name="detfi00">[15]Bilan!$H$68</definedName>
    <definedName name="detfi01">[15]Tableau!$G$38</definedName>
    <definedName name="detnet">[22]EVA!$B$57</definedName>
    <definedName name="DEVELOPMENT">5</definedName>
    <definedName name="dfn">[15]CFD2!$C$11</definedName>
    <definedName name="Discipline" localSheetId="14">IndexInformation!$B$3</definedName>
    <definedName name="DISCIPLINE" localSheetId="15">ModPubIndex!$A$12</definedName>
    <definedName name="DisclosuresText">ImportantDisclosures!$A$22</definedName>
    <definedName name="DismissItemDlog" localSheetId="12">[20]!DismissItemDlog</definedName>
    <definedName name="DismissItemDlog">[0]!DismissItemDlog</definedName>
    <definedName name="Distribution" localSheetId="14">IndexInformation!$B$26</definedName>
    <definedName name="DistTable" localSheetId="0">ImportantDisclosures!#REF!</definedName>
    <definedName name="DistTablePreamble" localSheetId="0">ImportantDisclosures!#REF!</definedName>
    <definedName name="DNA">'[31]P&amp;L-adj '!$A$1:$BD$94</definedName>
    <definedName name="DOCDAT" localSheetId="15">ModPubIndex!$A$2</definedName>
    <definedName name="DOCTIME" localSheetId="15">ModPubIndex!$A$3</definedName>
    <definedName name="DocType" localSheetId="14">IndexInformation!$B$5</definedName>
    <definedName name="dpaction">[15]Tableau!$A$58:$I$65</definedName>
    <definedName name="EAnnualise">'[17]Liens data'!$B$4</definedName>
    <definedName name="EBIT00">[15]NOVARTIS!$L$27</definedName>
    <definedName name="EBIT01">[15]NOVARTIS!$M$27</definedName>
    <definedName name="EBIT02">[15]NOVARTIS!$N$27</definedName>
    <definedName name="EBIT03">[15]NOVARTIS!$O$27</definedName>
    <definedName name="ecoff">'[23]PE Exane'!$J$30</definedName>
    <definedName name="ECoursCote">'[17]Liens data'!$E$9</definedName>
    <definedName name="ECoursLogique">'[17]Liens data'!$E$8</definedName>
    <definedName name="ECoursMax">'[17]Liens data'!$E$7</definedName>
    <definedName name="ECoursMin">'[17]Liens data'!$E$6</definedName>
    <definedName name="ECoursMoyen">'[17]Liens data'!$E$5</definedName>
    <definedName name="EDernierCours">'[17]Liens data'!$E$4</definedName>
    <definedName name="EDeviseCompte">'[17]Liens data'!$D$6</definedName>
    <definedName name="EDeviseCours">'[17]Liens data'!$D$5</definedName>
    <definedName name="EDevisePublication">'[21]Liste societes'!$H$4</definedName>
    <definedName name="EDeviseRestitution">[18]LDATA!$D$4</definedName>
    <definedName name="editgraph" localSheetId="12">[20]!editgraph</definedName>
    <definedName name="editgraph">[0]!editgraph</definedName>
    <definedName name="EditReturn">[26]Sheet1!$B$3</definedName>
    <definedName name="EFonctionSociete">'[21]Liste societes'!$L$9</definedName>
    <definedName name="EMAIL_ALERT" localSheetId="15">ModPubIndex!$A$10</definedName>
    <definedName name="EmailAlert" localSheetId="14">IndexInformation!$B$28</definedName>
    <definedName name="EMaxFuture">'[21]Liste societes'!$L$13</definedName>
    <definedName name="EMaxHisto">'[21]Liste societes'!$L$11</definedName>
    <definedName name="EMedianneFuture">'[21]Liste societes'!$L$15</definedName>
    <definedName name="EMedianneHisto">'[21]Liste societes'!$L$14</definedName>
    <definedName name="EMilliards">'[17]Liens data'!$G$8</definedName>
    <definedName name="EMilliers">'[17]Liens data'!$G$6</definedName>
    <definedName name="EMillions">'[17]Liens data'!$G$7</definedName>
    <definedName name="EMinFuture">'[21]Liste societes'!$L$12</definedName>
    <definedName name="EMinHisto">'[21]Liste societes'!$L$10</definedName>
    <definedName name="EMoyenneFuture">'[21]Liste societes'!$L$6</definedName>
    <definedName name="EMoyenneHisto">'[21]Liste societes'!$L$5</definedName>
    <definedName name="enable" localSheetId="12">[20]!enable</definedName>
    <definedName name="enable">[0]!enable</definedName>
    <definedName name="endcell">[26]Sheet1!$Z$275</definedName>
    <definedName name="EndDate">[26]Sheet1!$S$6</definedName>
    <definedName name="EndDateCell">[26]Sheet1!$F$9</definedName>
    <definedName name="EndDateSet">[26]Sheet1!$AJ$8</definedName>
    <definedName name="EndReturn">[26]Sheet1!$Q$6:$S$6</definedName>
    <definedName name="ENormal">'[17]Liens data'!$C$5</definedName>
    <definedName name="EPasAnnualise">[18]LDATA!$B$5</definedName>
    <definedName name="EPourcentage">'[17]Liens data'!$C$4</definedName>
    <definedName name="ETMVAFuture">'[17]Liens data'!$F$6</definedName>
    <definedName name="ETMVAFuture2ans">'[21]Liste societes'!$L$16</definedName>
    <definedName name="ETMVAFutureNuke">'[21]Liste societes'!$L$8</definedName>
    <definedName name="ETMVAHisto">'[17]Liens data'!$F$5</definedName>
    <definedName name="ETMVAHistoNuke">'[21]Liste societes'!$L$7</definedName>
    <definedName name="ETypeCyclique">'[21]Liste societes'!$O$8</definedName>
    <definedName name="ETypeDefensive">'[21]Liste societes'!$O$7</definedName>
    <definedName name="ETypeFinanciere">'[21]Liste societes'!$O$9</definedName>
    <definedName name="ETypeGrowth">'[21]Liste societes'!$O$6</definedName>
    <definedName name="EUnite">'[17]Liens data'!$G$4</definedName>
    <definedName name="EUniteParDefaut">'[17]Liens data'!$G$5</definedName>
    <definedName name="eva">[32]GENSET!$C$8</definedName>
    <definedName name="EVAEVA1">[27]EVA1!$F$3:$F$36</definedName>
    <definedName name="EValeurFonction">'[21]Liste societes'!$L$1</definedName>
    <definedName name="EVariationAnnuelle">'[21]Liste societes'!$L$2</definedName>
    <definedName name="ExcelPath" localSheetId="12">FX!ExcelPath</definedName>
    <definedName name="ExcelPath">FX!ExcelPath</definedName>
    <definedName name="EXE1TMV">'[17]Liens data'!$G$2</definedName>
    <definedName name="EXE2TMV">'[17]Liens data'!$I$2</definedName>
    <definedName name="EXE3TMV">'[17]Liens data'!$K$2</definedName>
    <definedName name="execpt">[15]Tableau!$A$14:$IV$14</definedName>
    <definedName name="Exercice">[21]Tableau!$A$2:$IV$2</definedName>
    <definedName name="Exhibit_4">"QSALES1"</definedName>
    <definedName name="ExitCompanySelector" localSheetId="12">[20]!ExitCompanySelector</definedName>
    <definedName name="ExitCompanySelector">[0]!ExitCompanySelector</definedName>
    <definedName name="ExitFormat" localSheetId="12">[20]!ExitFormat</definedName>
    <definedName name="ExitFormat">[0]!ExitFormat</definedName>
    <definedName name="ExitItemBuilder" localSheetId="12">[20]!ExitItemBuilder</definedName>
    <definedName name="ExitItemBuilder">[0]!ExitItemBuilder</definedName>
    <definedName name="exitMainMenu" localSheetId="12">[20]!exitMainMenu</definedName>
    <definedName name="exitMainMenu">[0]!exitMainMenu</definedName>
    <definedName name="exitmsg" localSheetId="12">[20]!exitmsg</definedName>
    <definedName name="exitmsg">[0]!exitmsg</definedName>
    <definedName name="ExitReturn">[26]Sheet1!$D$3</definedName>
    <definedName name="exploit">[15]Tableau!$A$4:$H$21</definedName>
    <definedName name="ExportSpot">[26]Sheet1!$AD$3</definedName>
    <definedName name="ｆ" hidden="1">"iQShowAnnual"</definedName>
    <definedName name="Fade_start_year">'[11]GVAT RI valuation'!$C$155</definedName>
    <definedName name="FCFEVA1">[27]EVA1!$N$3:$N$36</definedName>
    <definedName name="FineUS" localSheetId="12">{"Client Name or Project Name"}</definedName>
    <definedName name="FineUS">{"Client Name or Project Name"}</definedName>
    <definedName name="FinSettle" localSheetId="12">FX!FinSettle</definedName>
    <definedName name="FinSettle">FX!FinSettle</definedName>
    <definedName name="FirstDate">[26]Sheet1!$Z$8</definedName>
    <definedName name="FIVEYEAR">'[33]Five Year Sales &amp; Earnings'!$A$1:$T$72</definedName>
    <definedName name="FiveYearGrowthRate" localSheetId="14">IndexInformation!$B$16</definedName>
    <definedName name="FollowingYearEPS" localSheetId="14">IndexInformation!$B$15</definedName>
    <definedName name="FollowingYearTotalRevenue" localSheetId="14">IndexInformation!$B$14</definedName>
    <definedName name="FollowingYearTotalRevenueActual" localSheetId="14">IndexInformation!$B$34</definedName>
    <definedName name="Footnote1">[26]Sheet1!$B$54</definedName>
    <definedName name="Footnote2">[26]Sheet1!$B$53</definedName>
    <definedName name="Footnote3">[26]Sheet1!$AD$8</definedName>
    <definedName name="forecast" localSheetId="12"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st" localSheetId="12">{"Client Name or Project Name"}</definedName>
    <definedName name="forest">{"Client Name or Project Name"}</definedName>
    <definedName name="forest2" localSheetId="12">{"Client Name or Project Name"}</definedName>
    <definedName name="forest2">{"Client Name or Project Name"}</definedName>
    <definedName name="FormatMod.FormatMaster" localSheetId="12">[20]!FormatMod.FormatMaster</definedName>
    <definedName name="FormatMod.FormatMaster">[0]!FormatMod.FormatMaster</definedName>
    <definedName name="FreezeCell">[26]Sheet1!$S$14</definedName>
    <definedName name="FreqCell">[26]Sheet1!$F$11</definedName>
    <definedName name="FreqName">[26]Sheet1!$V$10</definedName>
    <definedName name="FreqReturn">[26]Sheet1!$Q$8:$S$8</definedName>
    <definedName name="FreqSet">[26]Sheet1!$AJ$10</definedName>
    <definedName name="Frequency">[26]Sheet1!$S$8</definedName>
    <definedName name="FX_date">FX!$C$2</definedName>
    <definedName name="FxAnnualise">'[17]Liens data'!$B$4</definedName>
    <definedName name="g" localSheetId="12">{"Client Name or Project Name"}</definedName>
    <definedName name="g">{"Client Name or Project Name"}</definedName>
    <definedName name="gdwl00">[15]NOVARTIS!$L$62</definedName>
    <definedName name="gdwl01">[15]NOVARTIS!$M$62</definedName>
    <definedName name="gdwl02">[15]NOVARTIS!$N$62</definedName>
    <definedName name="gdwl03">[15]NOVARTIS!$O$62</definedName>
    <definedName name="gg" localSheetId="12">{"Client Name or Project Name"}</definedName>
    <definedName name="gg">{"Client Name or Project Name"}</definedName>
    <definedName name="ggg" localSheetId="12">{"Client Name or Project Name"}</definedName>
    <definedName name="ggg">{"Client Name or Project Name"}</definedName>
    <definedName name="gggg" localSheetId="12">{"Client Name or Project Name"}</definedName>
    <definedName name="gggg">{"Client Name or Project Name"}</definedName>
    <definedName name="ggggg" localSheetId="12">{"Client Name or Project Name"}</definedName>
    <definedName name="ggggg">{"Client Name or Project Name"}</definedName>
    <definedName name="ggggggg" localSheetId="12">{"Client Name or Project Name"}</definedName>
    <definedName name="ggggggg">{"Client Name or Project Name"}</definedName>
    <definedName name="GraphbuildingMod.ChangeTicker" localSheetId="12">[20]!GraphbuildingMod.ChangeTicker</definedName>
    <definedName name="GraphbuildingMod.ChangeTicker">[0]!GraphbuildingMod.ChangeTicker</definedName>
    <definedName name="GraphbuildingMod.editgraph" localSheetId="12">[20]!GraphbuildingMod.editgraph</definedName>
    <definedName name="GraphbuildingMod.editgraph">[0]!GraphbuildingMod.editgraph</definedName>
    <definedName name="GraphbuildingMod.ExportData" localSheetId="12">[20]!GraphbuildingMod.ExportData</definedName>
    <definedName name="GraphbuildingMod.ExportData">[0]!GraphbuildingMod.ExportData</definedName>
    <definedName name="GraphbuildingMod.LayoutSet" localSheetId="12">[20]!GraphbuildingMod.LayoutSet</definedName>
    <definedName name="GraphbuildingMod.LayoutSet">[0]!GraphbuildingMod.LayoutSet</definedName>
    <definedName name="GraphbuildingMod.PasteGraph" localSheetId="12">[20]!GraphbuildingMod.PasteGraph</definedName>
    <definedName name="GraphbuildingMod.PasteGraph">[0]!GraphbuildingMod.PasteGraph</definedName>
    <definedName name="GraphbuildingMod.PrintPreview" localSheetId="12">[20]!GraphbuildingMod.PrintPreview</definedName>
    <definedName name="GraphbuildingMod.PrintPreview">[0]!GraphbuildingMod.PrintPreview</definedName>
    <definedName name="GraphbuildingMod.ShowData" localSheetId="12">[20]!GraphbuildingMod.ShowData</definedName>
    <definedName name="GraphbuildingMod.ShowData">[0]!GraphbuildingMod.ShowData</definedName>
    <definedName name="GraphbuildingMod.ShowGraph" localSheetId="12">[20]!GraphbuildingMod.ShowGraph</definedName>
    <definedName name="GraphbuildingMod.ShowGraph">[0]!GraphbuildingMod.ShowGraph</definedName>
    <definedName name="GraphCompBuild" localSheetId="12">[20]!GraphCompBuild</definedName>
    <definedName name="GraphCompBuild">[0]!GraphCompBuild</definedName>
    <definedName name="Graphexitmsg" localSheetId="12">[20]!Graphexitmsg</definedName>
    <definedName name="Graphexitmsg">[0]!Graphexitmsg</definedName>
    <definedName name="GraphIntroMod.exitmsg" localSheetId="12">[20]!GraphIntroMod.exitmsg</definedName>
    <definedName name="GraphIntroMod.exitmsg">[0]!GraphIntroMod.exitmsg</definedName>
    <definedName name="GraphIntroMod.Graphexitmsg" localSheetId="12">[20]!GraphIntroMod.Graphexitmsg</definedName>
    <definedName name="GraphIntroMod.Graphexitmsg">[0]!GraphIntroMod.Graphexitmsg</definedName>
    <definedName name="Graphprint">[26]Sheet1!$B$14:$T$58</definedName>
    <definedName name="GraphStart">[26]Sheet1!$B$1</definedName>
    <definedName name="growth">[29]DCF!$M$49</definedName>
    <definedName name="gyy">[26]Sheet1!$A$2:$Q$66</definedName>
    <definedName name="HeaderFormat" localSheetId="12">[20]!HeaderFormat</definedName>
    <definedName name="HeaderFormat">[0]!HeaderFormat</definedName>
    <definedName name="HeaderSpot">[26]Sheet1!$AD$2</definedName>
    <definedName name="HelpTest" localSheetId="12">[20]!HelpTest</definedName>
    <definedName name="HelpTest">[0]!HelpTest</definedName>
    <definedName name="HighPrice">[26]Sheet1!$Z$2</definedName>
    <definedName name="HistoCell">[26]Sheet1!$X$9</definedName>
    <definedName name="HistoDecimalSet">[26]Sheet1!$A$5</definedName>
    <definedName name="HL" localSheetId="15">ModPubIndex!$A$8</definedName>
    <definedName name="Home">[26]Sheet1!$W$21</definedName>
    <definedName name="Horizon_Year">'[11]GVAT RI valuation'!$C$10</definedName>
    <definedName name="Horizon_Year_2">'[11]GVAT RI valuation'!$C$11</definedName>
    <definedName name="HTML_CodePage" hidden="1">1252</definedName>
    <definedName name="HTML_Description" hidden="1">"(U.S. Dollars per Gallon)"</definedName>
    <definedName name="HTML_Email" hidden="1">"joel.lou@eia.doe.gov"</definedName>
    <definedName name="HTML_Header" hidden="1">"Weekly Retail Diesel (Road) Prices (Including Taxes)"</definedName>
    <definedName name="HTML_LastUpdate" hidden="1">"4/10/2006"</definedName>
    <definedName name="HTML_LineAfter" hidden="1">FALSE</definedName>
    <definedName name="HTML_LineBefore" hidden="1">FALSE</definedName>
    <definedName name="HTML_Name" hidden="1">"Joel Lou"</definedName>
    <definedName name="HTML_OBDlg2" hidden="1">TRUE</definedName>
    <definedName name="HTML_OBDlg4" hidden="1">TRUE</definedName>
    <definedName name="HTML_OS" hidden="1">0</definedName>
    <definedName name="HTML_PathFile" hidden="1">"v:\PRJ\IEA\Intlwbpg\Pricexls\diesel1.html"</definedName>
    <definedName name="HTML_Title" hidden="1">"Diesel1"</definedName>
    <definedName name="hygiene" localSheetId="12">{"Client Name or Project Name"}</definedName>
    <definedName name="hygiene">{"Client Name or Project Name"}</definedName>
    <definedName name="i" localSheetId="12" hidden="1">{"Qtr Op Mgd Q3",#N/A,FALSE,"Qtr-Op (Mng)";"Qtr Op Rpt Q3",#N/A,FALSE,"Qtr-Op (Rpt)";"Operating Vs Reported",#N/A,FALSE,"Rpt-Op Inc"}</definedName>
    <definedName name="i" hidden="1">{"Qtr Op Mgd Q3",#N/A,FALSE,"Qtr-Op (Mng)";"Qtr Op Rpt Q3",#N/A,FALSE,"Qtr-Op (Rpt)";"Operating Vs Reported",#N/A,FALSE,"Rpt-Op Inc"}</definedName>
    <definedName name="Img_ML_1t5s6u1f" hidden="1">"IMG_12"</definedName>
    <definedName name="Img_ML_2b4d2b3c" hidden="1">"IMG_4"</definedName>
    <definedName name="Img_ML_3c9i9i4d" hidden="1">"IMG_4"</definedName>
    <definedName name="Img_ML_5e9i9i2b" hidden="1">"IMG_3"</definedName>
    <definedName name="Img_ML_6f9i2b5e" hidden="1">"IMG_3"</definedName>
    <definedName name="Img_ML_7m5m4k3b" hidden="1">"IMG_12"</definedName>
    <definedName name="Img_ML_8h7g3c9i" hidden="1">"IMG_4"</definedName>
    <definedName name="Img_ML_8h7g4d4d" hidden="1">"IMG_4"</definedName>
    <definedName name="impdif">[22]EVA!$B$51</definedName>
    <definedName name="Implied_Intrinsic_Value">'[11]GVAT RI valuation'!$C$102</definedName>
    <definedName name="INCOME1" localSheetId="12">[19]Sheet1!$A$1:$S$39</definedName>
    <definedName name="INCOME1">[19]Sheet1!$A$1:$S$39</definedName>
    <definedName name="INCOME2" localSheetId="12">[19]Sheet1!$U$1:$AK$39</definedName>
    <definedName name="INCOME2">[19]Sheet1!$U$1:$AK$39</definedName>
    <definedName name="INCOME3" localSheetId="12">[19]Sheet1!$AM$1:$AP$39</definedName>
    <definedName name="INCOME3">[19]Sheet1!$AM$1:$AP$39</definedName>
    <definedName name="IncrementCustomNote">[26]Sheet1!$M$6</definedName>
    <definedName name="IncrementCustomSet">[26]Sheet1!$AH$7</definedName>
    <definedName name="IncrementNote">[26]Sheet1!$M$3</definedName>
    <definedName name="IncrementSet">[26]Sheet1!$AH$1</definedName>
    <definedName name="incstmt" localSheetId="12">[19]Sheet1!$A$1:$AP$32</definedName>
    <definedName name="incstmt">[19]Sheet1!$A$1:$AP$32</definedName>
    <definedName name="IND" localSheetId="15">ModPubIndex!$A$9</definedName>
    <definedName name="Indus_1_Partie_GB">[17]Grille!$A$1:$Y$68</definedName>
    <definedName name="Indus_2_Partie_GB">[17]Grille!$A$69:$Y$99</definedName>
    <definedName name="Industry" localSheetId="0">ImportantDisclosures!$A$12</definedName>
    <definedName name="IndustryId">IndexInformation!$B$40</definedName>
    <definedName name="IndustryRating" localSheetId="0">ImportantDisclosures!$A$13</definedName>
    <definedName name="InfoNext" localSheetId="12">FX!InfoNext</definedName>
    <definedName name="InfoNext">FX!InfoNext</definedName>
    <definedName name="InfoPrev" localSheetId="12">FX!InfoPrev</definedName>
    <definedName name="InfoPrev">FX!InfoPrev</definedName>
    <definedName name="INSTR_ebitda00">'[34]p&amp;leuro'!$J$39</definedName>
    <definedName name="INSTR_ebitda97">'[34]p&amp;leuro'!$J$15</definedName>
    <definedName name="INSTR_ebitda98">'[34]p&amp;leuro'!$J$23</definedName>
    <definedName name="INSTR_ebitda99">'[34]p&amp;leuro'!$J$31</definedName>
    <definedName name="invindus00">[30]page4!$H$18</definedName>
    <definedName name="invindus01">[30]page4!$I$18</definedName>
    <definedName name="invindus02">[30]page4!$J$18</definedName>
    <definedName name="invindus03">[30]page4!$K$18</definedName>
    <definedName name="invindus04">[30]page4!$L$18</definedName>
    <definedName name="invindus95">[30]page4!$C$18</definedName>
    <definedName name="invindus96">[30]page4!$D$18</definedName>
    <definedName name="invindus97">[30]page4!$E$18</definedName>
    <definedName name="invindus98">[30]page4!$F$18</definedName>
    <definedName name="invindus99">[30]page4!$G$18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39353.5777893519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"iQShowAnnual"</definedName>
    <definedName name="IS">[35]EVA!$E$8</definedName>
    <definedName name="IsInZoneEuro">'[21]Liste societes'!$N$9</definedName>
    <definedName name="IsTypeValueGrowthLike">'[21]Liste societes'!$N$8</definedName>
    <definedName name="Kate" localSheetId="12" hidden="1">{"Cover",#N/A,FALSE,"Cover";"Summary",#N/A,FALSE,"Summarpage"}</definedName>
    <definedName name="Kate" hidden="1">{"Cover",#N/A,FALSE,"Cover";"Summary",#N/A,FALSE,"Summarpage"}</definedName>
    <definedName name="Ke">'[11]GVAT RI valuation'!$C$6</definedName>
    <definedName name="KeepVersions" localSheetId="14">IndexInformation!$B$8</definedName>
    <definedName name="KindOfCie">'[21]Liste societes'!$V$1</definedName>
    <definedName name="LanguageCode">IndexInformation!$B$38</definedName>
    <definedName name="LastCell" localSheetId="0">ImportantDisclosures!$A$22</definedName>
    <definedName name="LastDate">[26]Sheet1!$Z$9</definedName>
    <definedName name="LastLineEchantillon">'[21]Liste societes'!$E$3</definedName>
    <definedName name="LastLineSociete">'[21]Liste societes'!$E$2</definedName>
    <definedName name="LastListUpdate">0</definedName>
    <definedName name="LaunchFormulaLookup" localSheetId="12">[20]!LaunchFormulaLookup</definedName>
    <definedName name="LaunchFormulaLookup">[0]!LaunchFormulaLookup</definedName>
    <definedName name="LibelleFonctions">[21]Tableau!$A$1:$IV$1</definedName>
    <definedName name="LibelleSecteur">[36]PPT!$B$2</definedName>
    <definedName name="LibelleSociete">[36]PPT!$B$1</definedName>
    <definedName name="limcount" hidden="1">1</definedName>
    <definedName name="Linking_16">DCF!$B$1:$P$32</definedName>
    <definedName name="Linking_18">DCF!$B$1:$P$32</definedName>
    <definedName name="Linking_21">Sales!$A$398:$Q$500</definedName>
    <definedName name="Linking_22">'P&amp;L'!$A$266:$Q$312</definedName>
    <definedName name="Linking_23">'MS vs Consensus'!$M$1:$AH$34</definedName>
    <definedName name="Linking_25">DCF!$B$1:$R$43</definedName>
    <definedName name="Linking_28">'MS vs Consensus'!$A$2:$A$32</definedName>
    <definedName name="Linking_29">Guidance!$B$52:$E$53</definedName>
    <definedName name="Linking_3">'MS vs Consensus'!$A$2:$B$32</definedName>
    <definedName name="Linking_30">'MS vs Consensus'!$A$2:$A$32</definedName>
    <definedName name="Linking_31">'MS vs Consensus'!$A$2:$B$34</definedName>
    <definedName name="Linking_32">'MS vs Consensus'!$M$1:$AI$34</definedName>
    <definedName name="Linking_33">Guidance!$B$44:$F$46</definedName>
    <definedName name="Linking_36">Summary!$B$2:$P$44</definedName>
    <definedName name="Linking_37">Summary!$B$46:$P$69</definedName>
    <definedName name="Linking_38">Summary!$B$143:$P$175</definedName>
    <definedName name="Linking_39">Summary!$B$176:$J$206</definedName>
    <definedName name="Linking_40">Summary!$B$208:$J$244</definedName>
    <definedName name="Linking_43">Guidance!$B$21:$E$24</definedName>
    <definedName name="Linking_44">'MS vs Consensus'!$A$2:$B$32</definedName>
    <definedName name="Linking_45">Guidance!$B$21:$E$25</definedName>
    <definedName name="Linking_46">Guidance!$B$21:$E$34</definedName>
    <definedName name="Linking_47">'MS vs Consensus'!$A$2:$B$32</definedName>
    <definedName name="Linking_48">'MS vs Consensus'!$A$2:$B$32</definedName>
    <definedName name="Linking_5">Guidance!$B$52:$F$53</definedName>
    <definedName name="Linking_50">DCF!$B$1:$W$44</definedName>
    <definedName name="Linking_51">'MS vs Consensus'!$M$1:$AJ$39</definedName>
    <definedName name="Linking_53">Guidance!$B$21:$D$34</definedName>
    <definedName name="Linking_56">'MS vs Consensus'!$M$48:$V$56</definedName>
    <definedName name="Linking_57">'MS vs Consensus'!$M$59:$V$66</definedName>
    <definedName name="Linking_58">Valuation!$M$50:$P$61</definedName>
    <definedName name="Linking_6">Summary!$B$2:$P$43</definedName>
    <definedName name="Linking_60">Summary!$B$176:$K$206</definedName>
    <definedName name="Linking_61">Summary!$B$208:$K$244</definedName>
    <definedName name="Linking_62">Sales!$A$1:$R$522</definedName>
    <definedName name="Linking_63">'P&amp;L'!$A$1:$Q$423</definedName>
    <definedName name="Linking_68">Guidance!$B$4:$E$16</definedName>
    <definedName name="Linking_69">Guidance!$B$4:$D$15</definedName>
    <definedName name="Linking_7">Summary!$B$143:$P$174</definedName>
    <definedName name="Linking_8">Summary!$B$176:$M$206</definedName>
    <definedName name="Linking_9">Summary!$B$208:$M$244</definedName>
    <definedName name="Linking_Range_2" localSheetId="12">'[6]Page 3'!$B$81:$F$90</definedName>
    <definedName name="Linking_Range_3">DCF!$B$1:$Q$32</definedName>
    <definedName name="Linking_Range_47">[8]DCF!$A$1:$N$35</definedName>
    <definedName name="Linking_Range_48">[8]Valuation!$A$1:$F$17</definedName>
    <definedName name="Linking_Range_51">[8]Pipeline!$A$2:$O$18</definedName>
    <definedName name="Linking_Range_53">[8]Tables!$B$149:$P$198</definedName>
    <definedName name="Linking_Range_54">'[8]ROG Snapshot'!$M$4:$R$13</definedName>
    <definedName name="Linking_Range_55">'[8]ROG Snapshot'!$M$5:$R$13</definedName>
    <definedName name="Linking_Range_56">'[8]ROG Snapshot'!$U$6:$Z$20</definedName>
    <definedName name="Linking_Range_60">'[4]Pipeline_Patents Chart'!$G$16:$M$57</definedName>
    <definedName name="Linking_Range_61">[4]Tables!$B$5:$R$42</definedName>
    <definedName name="Linking_Text_1">[6]Tables!$B$54</definedName>
    <definedName name="Linking_Text_2">[6]Tables!$L$136</definedName>
    <definedName name="listRegion">[37]DB_Tables!$AG$24:$AG$34</definedName>
    <definedName name="ll"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ll"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LockVar">'[21]Liste societes'!$W$1</definedName>
    <definedName name="LowPrice">[26]Sheet1!$Z$3</definedName>
    <definedName name="MacroVersion" localSheetId="14">IndexInformation!$B$1</definedName>
    <definedName name="Markets" localSheetId="12">[19]Sheet1!$A$8:$M$26</definedName>
    <definedName name="Markets">[19]Sheet1!$A$8:$M$26</definedName>
    <definedName name="MaxCell">[26]Sheet1!$X$7</definedName>
    <definedName name="MaxRange">[26]Sheet1!$AI$2:$AI$5</definedName>
    <definedName name="Millions_Except_EPS">[38]QTRINC!$A$4:$AA$122</definedName>
    <definedName name="MinCell">[26]Sheet1!$X$6</definedName>
    <definedName name="MinRange">[26]Sheet1!$AH$2:$AH$5</definedName>
    <definedName name="ModelPrice" localSheetId="0">ImportantDisclosures!$A$14</definedName>
    <definedName name="MonitorCol">1</definedName>
    <definedName name="MonitorRow">1</definedName>
    <definedName name="Multiplier" localSheetId="14">IndexInformation!$B$35</definedName>
    <definedName name="multSecurities_L">[39]MultipleSecurities!$A$2:$A$17</definedName>
    <definedName name="N">[27]INPUTS!$B$4</definedName>
    <definedName name="newstone" localSheetId="12">{"Client Name or Project Name"}</definedName>
    <definedName name="newstone">{"Client Name or Project Name"}</definedName>
    <definedName name="newstone2" localSheetId="12">{"Client Name or Project Name"}</definedName>
    <definedName name="newstone2">{"Client Name or Project Name"}</definedName>
    <definedName name="NextButton">"Button 18"</definedName>
    <definedName name="NextYearEPS" localSheetId="14">IndexInformation!$B$13</definedName>
    <definedName name="NextYearTotalRevenue" localSheetId="14">IndexInformation!$B$12</definedName>
    <definedName name="NextYearTotalRevenueActual" localSheetId="14">IndexInformation!$B$33</definedName>
    <definedName name="NomFonctionRequeteur">[21]Tableau!$A$10000:$IV$10000</definedName>
    <definedName name="nomval">[15]Tableau!$A$68</definedName>
    <definedName name="NoteDeRisque">'[17]Liens data'!$A$1</definedName>
    <definedName name="NOVZ_NtDbt98">'[40]Balance Sheet'!$D$42</definedName>
    <definedName name="NudgeSet">[26]Sheet1!$AI$1</definedName>
    <definedName name="OAT">[15]CFD2!$C$2</definedName>
    <definedName name="ObjectType">IndexInformation!$B$37</definedName>
    <definedName name="oldb" localSheetId="12">[41]Tableau!$A$35:$I$43</definedName>
    <definedName name="oldb">[41]Tableau!$A$35:$I$43</definedName>
    <definedName name="OnShow" localSheetId="12">[20]!OnShow</definedName>
    <definedName name="OnShow">[0]!OnShow</definedName>
    <definedName name="Opinion">'[17]Liens data'!$A$2</definedName>
    <definedName name="outputs">[27]OUTPUTS!$E$26</definedName>
    <definedName name="outuk">'[42]Output UK NOV'!$E$26</definedName>
    <definedName name="over_15_years">0.1</definedName>
    <definedName name="p">'[43]DCF inputs'!$A$1:$K$54</definedName>
    <definedName name="PANA" localSheetId="15">ModPubIndex!$A$11</definedName>
    <definedName name="PasteCell">[26]Sheet1!$Z$275</definedName>
    <definedName name="PasteGraph" localSheetId="12">[20]!PasteGraph</definedName>
    <definedName name="PasteGraph">[0]!PasteGraph</definedName>
    <definedName name="PathName" localSheetId="14">IndexInformation!$B$25</definedName>
    <definedName name="PeerNames">[26]Sheet1!$AD$4</definedName>
    <definedName name="PeerTickers">[26]Sheet1!$AD$5</definedName>
    <definedName name="Penetration" localSheetId="12">[19]Sheet1!$A$31:$M$104</definedName>
    <definedName name="Penetration">[19]Sheet1!$A$31:$M$104</definedName>
    <definedName name="Pibor">[15]CFD2!$C$3</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pe" localSheetId="12" hidden="1">{#N/A,#N/A,TRUE,"Historicals";#N/A,#N/A,TRUE,"Charts";#N/A,#N/A,TRUE,"Forecasts"}</definedName>
    <definedName name="Pipe" hidden="1">{#N/A,#N/A,TRUE,"Historicals";#N/A,#N/A,TRUE,"Charts";#N/A,#N/A,TRUE,"Forecasts"}</definedName>
    <definedName name="PL" localSheetId="12" hidden="1">{"cover a","1q",FALSE,"Cover";"Op Earn Mgd Q1",#N/A,FALSE,"Op-Earn (Mng)";"Op Earn Rpt Q1",#N/A,FALSE,"Op-Earn (Rpt)";"Loans",#N/A,FALSE,"Loans";"Credit Costs",#N/A,FALSE,"CCosts";"Net Interest Margin",#N/A,FALSE,"Margin";"Nonint Income",#N/A,FALSE,"NonII";"Nonint Exp",#N/A,FALSE,"NonIE";"Valuation",#N/A,FALSE,"Valuation"}</definedName>
    <definedName name="PL" hidden="1">{"cover a","1q",FALSE,"Cover";"Op Earn Mgd Q1",#N/A,FALSE,"Op-Earn (Mng)";"Op Earn Rpt Q1",#N/A,FALSE,"Op-Earn (Rpt)";"Loans",#N/A,FALSE,"Loans";"Credit Costs",#N/A,FALSE,"CCosts";"Net Interest Margin",#N/A,FALSE,"Margin";"Nonint Income",#N/A,FALSE,"NonII";"Nonint Exp",#N/A,FALSE,"NonIE";"Valuation",#N/A,FALSE,"Valuation"}</definedName>
    <definedName name="pomom" localSheetId="12">[20]!pomom</definedName>
    <definedName name="pomom">[0]!pomom</definedName>
    <definedName name="POSI">11</definedName>
    <definedName name="ppm">[44]CFD2!$C$6</definedName>
    <definedName name="ppp">[44]CFD2!$C$5</definedName>
    <definedName name="PreviousButton">"Button 19"</definedName>
    <definedName name="price">[45]Other!$D$3</definedName>
    <definedName name="Price_Implied_Cost_of_Equity">'[11]GVAT RI valuation'!$C$109</definedName>
    <definedName name="PriceMaxCell">[26]Sheet1!$Y$7</definedName>
    <definedName name="Print_Annual">'[16]P&amp;L'!$A$7:$BE$87</definedName>
    <definedName name="_xlnm.Print_Area">"Formula removed, name can be deleted."</definedName>
    <definedName name="Print_Macro_Nos" localSheetId="12">[20]!Print_Macro_Nos</definedName>
    <definedName name="Print_Macro_Nos">[0]!Print_Macro_Nos</definedName>
    <definedName name="Print_Presentation" localSheetId="12">[46]!Print_Presentation</definedName>
    <definedName name="Print_Presentation">[46]!Print_Presentation</definedName>
    <definedName name="Print_Qtrly">'[16]P&amp;L'!$A$7:$AF$66</definedName>
    <definedName name="Print_Revenues">'[16]P&amp;L'!$A$90:$BE$154</definedName>
    <definedName name="_xlnm.Print_Titles">"Formula removed, name can be deleted."</definedName>
    <definedName name="Printgraph">[26]Sheet1!$A$14:$S$57</definedName>
    <definedName name="PrintPreview" localSheetId="12">[20]!PrintPreview</definedName>
    <definedName name="PrintPreview">[0]!PrintPreview</definedName>
    <definedName name="PrintTitle1">[26]Sheet1!$V$15</definedName>
    <definedName name="prm">[15]CFD2!$C$5</definedName>
    <definedName name="PRODUCT" localSheetId="15">ModPubIndex!$A$6</definedName>
    <definedName name="ProfilWithoutName">[36]PPT!$B$4:$O$37</definedName>
    <definedName name="Progress">[26]Sheet1!$H$13</definedName>
    <definedName name="ProjectName" localSheetId="12">{"Client Name or Project Name"}</definedName>
    <definedName name="ProjectName">{"Client Name or Project Name"}</definedName>
    <definedName name="ProjectName2" localSheetId="12">{"Client Name or Project Name"}</definedName>
    <definedName name="ProjectName2">{"Client Name or Project Name"}</definedName>
    <definedName name="prs">[15]CFD2!$C$6</definedName>
    <definedName name="PSYM" localSheetId="15">ModPubIndex!$A$4</definedName>
    <definedName name="PublishDate" localSheetId="14">IndexInformation!$B$2</definedName>
    <definedName name="q" localSheetId="12" hidden="1">{"Qtr Op Mgd Q2",#N/A,FALSE,"Qtr-Op (Mng)";"Qtr Op Rpt Q2",#N/A,FALSE,"Qtr-Op (Rpt)";"Operating Vs Reported",#N/A,FALSE,"Rpt-Op Inc"}</definedName>
    <definedName name="q" hidden="1">{"Qtr Op Mgd Q2",#N/A,FALSE,"Qtr-Op (Mng)";"Qtr Op Rpt Q2",#N/A,FALSE,"Qtr-Op (Rpt)";"Operating Vs Reported",#N/A,FALSE,"Rpt-Op Inc"}</definedName>
    <definedName name="q397E">'[16]P&amp;L'!$Y$53</definedName>
    <definedName name="q497E">'[16]P&amp;L'!$Z$53</definedName>
    <definedName name="QINC1">'[33]Qtr Income'!$A$1:$X$214</definedName>
    <definedName name="QMARGIN">'[33] Qtr Margin'!$A$1:$O$110</definedName>
    <definedName name="QPL_CoFocus_EPS">[47]QPL!$A$77:$IV$77</definedName>
    <definedName name="QPL_EPS_Old">[48]QPL!$A$99:$IV$99</definedName>
    <definedName name="QPL_MIN_INT">[48]QPL!$A$65:$IV$65</definedName>
    <definedName name="QSALES1">'[33]Qtr Sales'!$A$1:$AO$179</definedName>
    <definedName name="QSALES2">'[33]Qtr Sales'!$AU$1:$CA$179</definedName>
    <definedName name="QSALES3">'[49]Qrt Sales'!$BZ$3:$DV$113</definedName>
    <definedName name="QSALES4">'[49]Qrt Sales'!$DX$3:$EL$113</definedName>
    <definedName name="QSALESCHG">'[38]QTR-SALES'!$A$68:$O$126</definedName>
    <definedName name="QtrDate">[26]Sheet1!$Z$6</definedName>
    <definedName name="QtrShares">[26]Sheet1!$Z$7</definedName>
    <definedName name="qzevfzev">'[50]Modeles (S)'!$I$1:$P$65536</definedName>
    <definedName name="range1">'[51]Early pipeline'!$B$22:$D$25</definedName>
    <definedName name="Rating" localSheetId="14">IndexInformation!$B$9</definedName>
    <definedName name="RatingsDefined" localSheetId="0">ImportantDisclosures!$A$21</definedName>
    <definedName name="RatingsDefs" localSheetId="0">ImportantDisclosures!#REF!</definedName>
    <definedName name="ratios">[15]Tableau!$A$46:$I$55</definedName>
    <definedName name="rDataColumns" localSheetId="12">[26]Sheet1!$W$1:$AK$65536</definedName>
    <definedName name="rDataColumns">[26]Sheet1!$W$1:$AK$65536</definedName>
    <definedName name="RefreshNote">[26]Sheet1!$H$3</definedName>
    <definedName name="RefreshSet">[26]Sheet1!$AG$7</definedName>
    <definedName name="RegACDisclosure" localSheetId="0">ImportantDisclosures!#REF!</definedName>
    <definedName name="rep" localSheetId="12" hidden="1">{#N/A,#N/A,FALSE,"COVER";#N/A,#N/A,FALSE,"VALUATION";#N/A,#N/A,FALSE,"FORECAST";#N/A,#N/A,FALSE,"FY ANALYSIS ";#N/A,#N/A,FALSE," HY ANALYSIS"}</definedName>
    <definedName name="rep" hidden="1">{#N/A,#N/A,FALSE,"COVER";#N/A,#N/A,FALSE,"VALUATION";#N/A,#N/A,FALSE,"FORECAST";#N/A,#N/A,FALSE,"FY ANALYSIS ";#N/A,#N/A,FALSE," HY ANALYSIS"}</definedName>
    <definedName name="RepairedName0038" hidden="1">"iQShowAnnual"</definedName>
    <definedName name="RepairedName0209" hidden="1">"iQShowAnnual"</definedName>
    <definedName name="RepairedName1455" hidden="1">"iQShowAnnual"</definedName>
    <definedName name="RepairedName2882" hidden="1">"iQShowAnnual"</definedName>
    <definedName name="ResearchTopic" localSheetId="14">IndexInformation!$B$4</definedName>
    <definedName name="ResetItemView" localSheetId="12">[20]!ResetItemView</definedName>
    <definedName name="ResetItemView">[0]!ResetItemView</definedName>
    <definedName name="resfi04">[15]NOVARTIS!$P$34</definedName>
    <definedName name="resfi05">[15]NOVARTIS!$Q$34</definedName>
    <definedName name="reV" localSheetId="12" hidden="1">{"ENBREL",#N/A,FALSE,"Sheet1";"RenaGel",#N/A,FALSE,"Sheet1";"HIV PI",#N/A,FALSE,"Sheet1";"MS",#N/A,FALSE,"Sheet1"}</definedName>
    <definedName name="reV" hidden="1">{"ENBREL",#N/A,FALSE,"Sheet1";"RenaGel",#N/A,FALSE,"Sheet1";"HIV PI",#N/A,FALSE,"Sheet1";"MS",#N/A,FALSE,"Sheet1"}</definedName>
    <definedName name="REV00">'[16]P&amp;L'!$AP$32</definedName>
    <definedName name="RevlimidRevised" localSheetId="12" hidden="1">{"ENBREL",#N/A,FALSE,"Sheet1";"RenaGel",#N/A,FALSE,"Sheet1";"HIV PI",#N/A,FALSE,"Sheet1";"MS",#N/A,FALSE,"Sheet1"}</definedName>
    <definedName name="RevlimidRevised" hidden="1">{"ENBREL",#N/A,FALSE,"Sheet1";"RenaGel",#N/A,FALSE,"Sheet1";"HIV PI",#N/A,FALSE,"Sheet1";"MS",#N/A,FALSE,"Sheet1"}</definedName>
    <definedName name="revthymitaq" localSheetId="12">[19]Sheet1!$A$38:$H$46</definedName>
    <definedName name="revthymitaq">[19]Sheet1!$A$38:$H$46</definedName>
    <definedName name="revtotal" localSheetId="12">[19]Sheet1!$A$47:$H$70</definedName>
    <definedName name="revtotal">[19]Sheet1!$A$47:$H$70</definedName>
    <definedName name="revviracept" localSheetId="12">[19]Sheet1!$A$7:$H$37</definedName>
    <definedName name="revviracept">[19]Sheet1!$A$7:$H$37</definedName>
    <definedName name="rGraphInfo">[26]Sheet1!$AD$1</definedName>
    <definedName name="rHistoTitle">[26]Sheet1!$A$4</definedName>
    <definedName name="RIC" localSheetId="14">IndexInformation!$B$21</definedName>
    <definedName name="rIndexTitle">[26]Sheet1!$A$1</definedName>
    <definedName name="risque">[27]INPUTS!$E$4</definedName>
    <definedName name="rnpg00">[15]NOVARTIS!$L$58</definedName>
    <definedName name="rnpg01">[15]NOVARTIS!$M$58</definedName>
    <definedName name="rnpg02">[15]NOVARTIS!$N$58</definedName>
    <definedName name="rnpg03">[15]NOVARTIS!$O$58</definedName>
    <definedName name="rnpg04">[15]NOVARTIS!$P$58</definedName>
    <definedName name="ROICEVA1">[27]EVA1!$B$3:$B$36</definedName>
    <definedName name="ROYAL1">'[38]FEES-R&amp;D'!$A$1:$L$59</definedName>
    <definedName name="ROYAL2">'[38]FEES-R&amp;D'!$A$62:$K$124</definedName>
    <definedName name="rPriceTitle">[26]Sheet1!$A$2</definedName>
    <definedName name="rPVolTitle">[26]Sheet1!$A$3</definedName>
    <definedName name="s" localSheetId="12"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SA_EI">'[24]Ventilation (S)'!$A$219:$IV$219</definedName>
    <definedName name="Sales" localSheetId="12">[19]Sheet1!$A$106:$M$179</definedName>
    <definedName name="Sales">[19]Sheet1!$A$106:$M$179</definedName>
    <definedName name="SAPFuncF4Help" localSheetId="12" hidden="1">Main.SAPF4Help()</definedName>
    <definedName name="SAPFuncF4Help" hidden="1">Main.SAPF4Help()</definedName>
    <definedName name="SAPRangePOPER_Tabelle14_Tabelle14D1">'[52]Cash Statem. M61'!$D$24:$G$24</definedName>
    <definedName name="SAPRangeRITEM_Tabelle14_Tabelle14D1">'[52]Cash Statem. M61'!$B$30:$B$69</definedName>
    <definedName name="SAPTrigger_Tabelle14_Tabelle14D1">[52]sapactivexlhiddensheet!$B$39</definedName>
    <definedName name="SaveReturn">[26]Sheet1!$C$3</definedName>
    <definedName name="SECSettlement" localSheetId="0">ImportantDisclosures!#REF!</definedName>
    <definedName name="SEDOL" localSheetId="14">IndexInformation!$B$22</definedName>
    <definedName name="SelectedVsLibelle">[53]Params!$G$22</definedName>
    <definedName name="sencount" hidden="1">1</definedName>
    <definedName name="SeriesFormat" localSheetId="12">[20]!SeriesFormat</definedName>
    <definedName name="SeriesFormat">[0]!SeriesFormat</definedName>
    <definedName name="Shares">'[11]GVAT RI valuation'!$C$5</definedName>
    <definedName name="ShowData" localSheetId="12">[20]!ShowData</definedName>
    <definedName name="ShowData">[0]!ShowData</definedName>
    <definedName name="ShowDottedLine" localSheetId="12">[20]!ShowDottedLine</definedName>
    <definedName name="ShowDottedLine">[0]!ShowDottedLine</definedName>
    <definedName name="ShowGraph" localSheetId="12">[20]!ShowGraph</definedName>
    <definedName name="ShowGraph">[0]!ShowGraph</definedName>
    <definedName name="sme">[22]EVA!$B$49</definedName>
    <definedName name="société">'[54]P&amp;L annuel'!$B$1</definedName>
    <definedName name="SourceDefined" localSheetId="0">ImportantDisclosures!$A$19</definedName>
    <definedName name="SousSecteur">'[17]Liens data'!$C$1</definedName>
    <definedName name="spread">[27]INPUTS!$E$3</definedName>
    <definedName name="startcell">[26]Sheet1!$Z$21</definedName>
    <definedName name="StartDateCell">[26]Sheet1!$F$7</definedName>
    <definedName name="StatusSection">[26]Sheet1!$C$2:$H$15</definedName>
    <definedName name="StepCustom">[26]Sheet1!$N$7</definedName>
    <definedName name="StockRating" localSheetId="0">ImportantDisclosures!$A$11</definedName>
    <definedName name="SubjectCode" localSheetId="14">IndexInformation!$B$6</definedName>
    <definedName name="SubmitterUserId">IndexInformation!$B$39</definedName>
    <definedName name="SUPPRESSED" localSheetId="15">ModPubIndex!$A$13</definedName>
    <definedName name="Synergies">'[55]Projections et DCF'!$S$28</definedName>
    <definedName name="tabfi">[15]Tableau!$A$24:$I$29</definedName>
    <definedName name="Table_4" localSheetId="12">[19]Sheet1!$A$1:$K$66</definedName>
    <definedName name="Table_4">[19]Sheet1!$A$1:$K$66</definedName>
    <definedName name="Table_4b" localSheetId="12">[19]Sheet1!$M$1:$W$53</definedName>
    <definedName name="Table_4b">[19]Sheet1!$M$1:$W$53</definedName>
    <definedName name="Table_5" localSheetId="12">[19]Sheet1!$A$1:$J$90</definedName>
    <definedName name="Table_5">[19]Sheet1!$A$1:$J$90</definedName>
    <definedName name="Table_6" localSheetId="12">[19]Sheet1!$A$1:$I$98</definedName>
    <definedName name="Table_6">[19]Sheet1!$A$1:$I$98</definedName>
    <definedName name="Table_7" localSheetId="12">[19]Sheet1!$A$1:$L$88</definedName>
    <definedName name="Table_7">[19]Sheet1!$A$1:$L$88</definedName>
    <definedName name="Table10" localSheetId="12">[19]Sheet1!$A$1:$H$60</definedName>
    <definedName name="Table10">[19]Sheet1!$A$1:$H$60</definedName>
    <definedName name="Table5_Naprosyn" localSheetId="12">[19]Sheet1!$A$1:$J$62</definedName>
    <definedName name="Table5_Naprosyn">[19]Sheet1!$A$1:$J$62</definedName>
    <definedName name="Table6_Tagamet" localSheetId="12">[19]Sheet1!$A$1:$I$62</definedName>
    <definedName name="Table6_Tagamet">[19]Sheet1!$A$1:$I$62</definedName>
    <definedName name="Table6b" localSheetId="12">[19]Sheet1!$K$1:$S$62</definedName>
    <definedName name="Table6b">[19]Sheet1!$K$1:$S$62</definedName>
    <definedName name="Table8" localSheetId="12">[19]Sheet1!$A$1:$J$65</definedName>
    <definedName name="Table8">[19]Sheet1!$A$1:$J$65</definedName>
    <definedName name="Table9" localSheetId="12">[19]Sheet1!$A$1:$L$57</definedName>
    <definedName name="Table9">[19]Sheet1!$A$1:$L$57</definedName>
    <definedName name="TargetPrice" localSheetId="0">ImportantDisclosures!$A$15</definedName>
    <definedName name="TemplateRegion">IndexInformation!$B$36</definedName>
    <definedName name="Terminal_ROE">'[11]GVAT RI valuation'!$C$7</definedName>
    <definedName name="TextFormat" localSheetId="12">[20]!TextFormat</definedName>
    <definedName name="TextFormat">[0]!TextFormat</definedName>
    <definedName name="THALREVISED" localSheetId="12" hidden="1">{"ENBREL",#N/A,FALSE,"Sheet1";"RenaGel",#N/A,FALSE,"Sheet1";"HIV PI",#N/A,FALSE,"Sheet1";"MS",#N/A,FALSE,"Sheet1"}</definedName>
    <definedName name="THALREVISED" hidden="1">{"ENBREL",#N/A,FALSE,"Sheet1";"RenaGel",#N/A,FALSE,"Sheet1";"HIV PI",#N/A,FALSE,"Sheet1";"MS",#N/A,FALSE,"Sheet1"}</definedName>
    <definedName name="Ticker" localSheetId="0">ImportantDisclosures!$A$10</definedName>
    <definedName name="TickerCell">[26]Sheet1!$X$3</definedName>
    <definedName name="TickerRegion">IndexInformation!$B$41</definedName>
    <definedName name="Tickers" localSheetId="14">IndexInformation!$B$19</definedName>
    <definedName name="TickerToNameOnEnter" localSheetId="12">[20]!TickerToNameOnEnter</definedName>
    <definedName name="TickerToNameOnEnter">[0]!TickerToNameOnEnter</definedName>
    <definedName name="Title1">[26]Sheet1!$B$16</definedName>
    <definedName name="Title2">[26]Sheet1!$V$11</definedName>
    <definedName name="Title2Spot">[26]Sheet1!$B$17</definedName>
    <definedName name="Totals" localSheetId="12">[19]Sheet1!$A$181:$M$235</definedName>
    <definedName name="Totals">[19]Sheet1!$A$181:$M$235</definedName>
    <definedName name="TotalVol">[26]Sheet1!$Z$5</definedName>
    <definedName name="tresonet00">[30]page4!$H$22</definedName>
    <definedName name="tresonet01">[30]page4!$I$22</definedName>
    <definedName name="tresonet02">[30]page4!$J$22</definedName>
    <definedName name="tresonet03">[30]page4!$K$22</definedName>
    <definedName name="tresonet04">[30]page4!$L$22</definedName>
    <definedName name="tresonet95">[30]page4!$C$22</definedName>
    <definedName name="tresonet96">[30]page4!$D$22</definedName>
    <definedName name="tresonet97">[30]page4!$E$22</definedName>
    <definedName name="tresonet98">[30]page4!$F$22</definedName>
    <definedName name="tresonet99">[30]page4!$G$22</definedName>
    <definedName name="TRNR_694a47e0b1084ed291daa9d26a4ff8f5_0_0" hidden="1">Valuation!$E$65</definedName>
    <definedName name="TRNR_bad6e22d4ea44291a8261c9965b95b87_0_0" hidden="1">Valuation!$E$66</definedName>
    <definedName name="txdist00">[30]page4!$H$21</definedName>
    <definedName name="txdist01">[30]page4!$I$21</definedName>
    <definedName name="txdist02">[30]page4!$J$21</definedName>
    <definedName name="txdist03">[30]page4!$K$21</definedName>
    <definedName name="txdist04">[30]page4!$L$21</definedName>
    <definedName name="txdist95">[30]page4!$C$21</definedName>
    <definedName name="txdist96">[30]page4!$D$21</definedName>
    <definedName name="txdist97">[30]page4!$E$21</definedName>
    <definedName name="txdist98">[30]page4!$F$21</definedName>
    <definedName name="txdist99">[30]page4!$G$21</definedName>
    <definedName name="UpdateReason" localSheetId="14">IndexInformation!$B$17</definedName>
    <definedName name="USRegDisclosures" localSheetId="0">ImportantDisclosures!#REF!</definedName>
    <definedName name="valmultGB">[17]Grille!$BE$1:$BE$10</definedName>
    <definedName name="valo2">'[50]Modeles (S)'!$A$6</definedName>
    <definedName name="valo3">'[50]Modeles (S)'!$A$14</definedName>
    <definedName name="Valuation">'[50]Model Account (S)'!$G$1:$G$65536</definedName>
    <definedName name="VersionFR">'[17]Liens data'!$E$1</definedName>
    <definedName name="VersionGB">'[17]Liens data'!$E$2</definedName>
    <definedName name="VersionLanguage">'[17]Liens data'!$E$1</definedName>
    <definedName name="VolumeCell">[26]Sheet1!$X$8</definedName>
    <definedName name="VolumeComplement">[26]Sheet1!$Y$8</definedName>
    <definedName name="wacc" localSheetId="12">'[56]Lien IBES manuel'!$C$21</definedName>
    <definedName name="WACC">[29]DCF!$J$51</definedName>
    <definedName name="WACCEVA1">[27]EVA1!$C$3:$C$36</definedName>
    <definedName name="wrn.2._.pagers." localSheetId="12" hidden="1">{"Cover",#N/A,FALSE,"Cover";"Summary",#N/A,FALSE,"Summarpage"}</definedName>
    <definedName name="wrn.2._.pagers." hidden="1">{"Cover",#N/A,FALSE,"Cover";"Summary",#N/A,FALSE,"Summarpage"}</definedName>
    <definedName name="wrn.allpages." localSheetId="12" hidden="1">{#N/A,#N/A,TRUE,"Historicals";#N/A,#N/A,TRUE,"Charts";#N/A,#N/A,TRUE,"Forecasts"}</definedName>
    <definedName name="wrn.allpages." hidden="1">{#N/A,#N/A,TRUE,"Historicals";#N/A,#N/A,TRUE,"Charts";#N/A,#N/A,TRUE,"Forecasts"}</definedName>
    <definedName name="wrn.Annual._.Operating._.Earnings." localSheetId="12"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12"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pl." localSheetId="12" hidden="1">{#N/A,#N/A,FALSE,"Sheet1"}</definedName>
    <definedName name="wrn.annualpl." hidden="1">{#N/A,#N/A,FALSE,"Sheet1"}</definedName>
    <definedName name="wrn.Back._.Page." localSheetId="12" hidden="1">{"Back Page",#N/A,FALSE,"Front and Back"}</definedName>
    <definedName name="wrn.Back._.Page." hidden="1">{"Back Page",#N/A,FALSE,"Front and Back"}</definedName>
    <definedName name="wrn.BGEN." localSheetId="12" hidden="1">{"Revenue",#N/A,FALSE,"Revenue";"QEarn1",#N/A,FALSE,"Qearn";"QEarn2",#N/A,FALSE,"Qearn";"QMargin",#N/A,FALSE,"Margin";"Cashflow",#N/A,FALSE,"Cashflow";"Product Pipeline",#N/A,FALSE,"Product Pipeline";"Comment Model",#N/A,FALSE,"Comment P&amp;L"}</definedName>
    <definedName name="wrn.BGEN." hidden="1">{"Revenue",#N/A,FALSE,"Revenue";"QEarn1",#N/A,FALSE,"Qearn";"QEarn2",#N/A,FALSE,"Qearn";"QMargin",#N/A,FALSE,"Margin";"Cashflow",#N/A,FALSE,"Cashflow";"Product Pipeline",#N/A,FALSE,"Product Pipeline";"Comment Model",#N/A,FALSE,"Comment P&amp;L"}</definedName>
    <definedName name="wrn.Client._.cfbs." localSheetId="12" hidden="1">{"client cfbs",#N/A,FALSE,"Client"}</definedName>
    <definedName name="wrn.Client._.cfbs." hidden="1">{"client cfbs",#N/A,FALSE,"Client"}</definedName>
    <definedName name="wrn.Client._.is." localSheetId="12" hidden="1">{"Client is",#N/A,FALSE,"Client"}</definedName>
    <definedName name="wrn.Client._.is." hidden="1">{"Client is",#N/A,FALSE,"Client"}</definedName>
    <definedName name="wrn.Client._.stats." localSheetId="12" hidden="1">{"Client stats",#N/A,FALSE,"Client"}</definedName>
    <definedName name="wrn.Client._.stats." hidden="1">{"Client stats",#N/A,FALSE,"Client"}</definedName>
    <definedName name="wrn.Complete."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RR." localSheetId="12" hidden="1">{"INCSTMT1",#N/A,FALSE,"COR";"INCSTMT2",#N/A,FALSE,"COR"}</definedName>
    <definedName name="wrn.CORR." hidden="1">{"INCSTMT1",#N/A,FALSE,"COR";"INCSTMT2",#N/A,FALSE,"COR"}</definedName>
    <definedName name="wrn.Detailed._.P._.and._.L." localSheetId="12" hidden="1">{"P and L Detail Page 1",#N/A,FALSE,"Data";"P and L Detail Page 2",#N/A,FALSE,"Data"}</definedName>
    <definedName name="wrn.Detailed._.P._.and._.L." hidden="1">{"P and L Detail Page 1",#N/A,FALSE,"Data";"P and L Detail Page 2",#N/A,FALSE,"Data"}</definedName>
    <definedName name="wrn.Earnings._.Model." localSheetId="1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ancial._.Output." localSheetId="12"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ve._.Year._.Record." localSheetId="12" hidden="1">{"Five Year Record",#N/A,FALSE,"Front and Back"}</definedName>
    <definedName name="wrn.Five._.Year._.Record." hidden="1">{"Five Year Record",#N/A,FALSE,"Front and Back"}</definedName>
    <definedName name="wrn.Forecast._.Q1." localSheetId="12"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2"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ront._.Page." localSheetId="12" hidden="1">{"Front Page",#N/A,FALSE,"Front and Back"}</definedName>
    <definedName name="wrn.Front._.Page." hidden="1">{"Front Page",#N/A,FALSE,"Front and Back"}</definedName>
    <definedName name="wrn.Full._.Report." localSheetId="12" hidden="1">{#N/A,#N/A,FALSE,"COVER";#N/A,#N/A,FALSE,"VALUATION";#N/A,#N/A,FALSE,"FORECAST";#N/A,#N/A,FALSE,"FY ANALYSIS ";#N/A,#N/A,FALSE," HY ANALYSIS"}</definedName>
    <definedName name="wrn.Full._.Report." hidden="1">{#N/A,#N/A,FALSE,"COVER";#N/A,#N/A,FALSE,"VALUATION";#N/A,#N/A,FALSE,"FORECAST";#N/A,#N/A,FALSE,"FY ANALYSIS ";#N/A,#N/A,FALSE," HY ANALYSIS"}</definedName>
    <definedName name="wrn.GELX." localSheetId="12" hidden="1">{"RenaGel Revenue",#N/A,FALSE,"RenaGel";"QEarn1",#N/A,FALSE,"Qearn";"QEarn2",#N/A,FALSE,"Qearn";"Cashflow",#N/A,FALSE,"Cashflow";"Product Pipeline",#N/A,FALSE,"Product Pipeline";"First Call Tables",#N/A,FALSE,"First Call Table";"Comment P&amp;L",#N/A,FALSE,"Comment P&amp;L"}</definedName>
    <definedName name="wrn.GELX." hidden="1">{"RenaGel Revenue",#N/A,FALSE,"RenaGel";"QEarn1",#N/A,FALSE,"Qearn";"QEarn2",#N/A,FALSE,"Qearn";"Cashflow",#N/A,FALSE,"Cashflow";"Product Pipeline",#N/A,FALSE,"Product Pipeline";"First Call Tables",#N/A,FALSE,"First Call Table";"Comment P&amp;L",#N/A,FALSE,"Comment P&amp;L"}</definedName>
    <definedName name="wrn.Genzyme._.Full._.Report." localSheetId="12" hidden="1">{"revenue",#N/A,FALSE,"Revenue";"qearn1",#N/A,FALSE,"Qearn";"qearn2",#N/A,FALSE,"Qearn";"qmargin",#N/A,FALSE,"Qmargin";"cashflow",#N/A,FALSE,"Cashflow"}</definedName>
    <definedName name="wrn.Genzyme._.Full._.Report." hidden="1">{"revenue",#N/A,FALSE,"Revenue";"qearn1",#N/A,FALSE,"Qearn";"qearn2",#N/A,FALSE,"Qearn";"qmargin",#N/A,FALSE,"Qmargin";"cashflow",#N/A,FALSE,"Cashflow"}</definedName>
    <definedName name="wrn.Geographic._.Trends." localSheetId="12" hidden="1">{"Geographic P1",#N/A,FALSE,"Division &amp; Geog"}</definedName>
    <definedName name="wrn.Geographic._.Trends." hidden="1">{"Geographic P1",#N/A,FALSE,"Division &amp; Geog"}</definedName>
    <definedName name="wrn.IDPH." localSheetId="12" hidden="1">{"Rituxan Revenues",#N/A,FALSE,"B cell Revenues";"QEarn1",#N/A,FALSE,"Qearn";"QEarn2",#N/A,FALSE,"Qearn";"QMargin",#N/A,FALSE,"qmargin";"Cashflow",#N/A,FALSE,"cashflow";"Product Pipeline",#N/A,FALSE,"Product Pipeline"}</definedName>
    <definedName name="wrn.IDPH." hidden="1">{"Rituxan Revenues",#N/A,FALSE,"B cell Revenues";"QEarn1",#N/A,FALSE,"Qearn";"QEarn2",#N/A,FALSE,"Qearn";"QMargin",#N/A,FALSE,"qmargin";"Cashflow",#N/A,FALSE,"cashflow";"Product Pipeline",#N/A,FALSE,"Product Pipeline"}</definedName>
    <definedName name="wrn.Income._.Stmt." localSheetId="12" hidden="1">{"Income Stmt",#N/A,FALSE,"Model"}</definedName>
    <definedName name="wrn.Income._.Stmt." hidden="1">{"Income Stmt",#N/A,FALSE,"Model"}</definedName>
    <definedName name="wrn.Industry.xls." localSheetId="12"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localSheetId="12" hidden="1">{"Internal is",#N/A,FALSE,"Model"}</definedName>
    <definedName name="wrn.Internal._.is." hidden="1">{"Internal is",#N/A,FALSE,"Model"}</definedName>
    <definedName name="wrn.Leases.xls." localSheetId="12" hidden="1">{#N/A,#N/A,FALSE,"Initial Year";#N/A,#N/A,FALSE,"Historical";#N/A,#N/A,FALSE,"balsheet";#N/A,#N/A,FALSE,"incstate";#N/A,#N/A,FALSE,"Fleet"}</definedName>
    <definedName name="wrn.Leases.xls." hidden="1">{#N/A,#N/A,FALSE,"Initial Year";#N/A,#N/A,FALSE,"Historical";#N/A,#N/A,FALSE,"balsheet";#N/A,#N/A,FALSE,"incstate";#N/A,#N/A,FALSE,"Fleet"}</definedName>
    <definedName name="wrn.MEDI." localSheetId="12" hidden="1">{"Revenues",#N/A,FALSE,"Revenues";"QEarn1",#N/A,FALSE,"Qearn";"QEarn2",#N/A,FALSE,"Qearn";"QMargin",#N/A,FALSE,"Qmargin";"Cashflow",#N/A,FALSE,"Cashflow";"Product Pipeline",#N/A,FALSE,"Product Pipeline";"First Call Tables",#N/A,FALSE,"First Call Tables";"Comment P&amp;L",#N/A,FALSE,"Comment P&amp;L"}</definedName>
    <definedName name="wrn.MEDI." hidden="1">{"Revenues",#N/A,FALSE,"Revenues";"QEarn1",#N/A,FALSE,"Qearn";"QEarn2",#N/A,FALSE,"Qearn";"QMargin",#N/A,FALSE,"Qmargin";"Cashflow",#N/A,FALSE,"Cashflow";"Product Pipeline",#N/A,FALSE,"Product Pipeline";"First Call Tables",#N/A,FALSE,"First Call Tables";"Comment P&amp;L",#N/A,FALSE,"Comment P&amp;L"}</definedName>
    <definedName name="wrn.MOBIL." localSheetId="12" hidden="1">{"quarter",#N/A,FALSE,"MOB"}</definedName>
    <definedName name="wrn.MOBIL." hidden="1">{"quarter",#N/A,FALSE,"MOB"}</definedName>
    <definedName name="wrn.MODELS." localSheetId="12"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NOVARTIS._.MODELS." localSheetId="12" hidden="1">{"QTRINC",#N/A,FALSE,"US FORMAT - P&amp;L";"MARGIN",#N/A,FALSE,"US FORMAT-MARGIN";"SALES1",#N/A,FALSE,"US FORMAT - SALES";"SALES2",#N/A,FALSE,"US FORMAT - SALES";"SALES3",#N/A,FALSE,"US FORMAT - SALES";"SALES4",#N/A,FALSE,"US FORMAT - SALES";"SALES5",#N/A,FALSE,"US FORMAT - SALES"}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ortrait._.IS." localSheetId="12" hidden="1">{"Portrait letter is",#N/A,FALSE,"Model"}</definedName>
    <definedName name="wrn.Portrait._.IS." hidden="1">{"Portrait letter is",#N/A,FALSE,"Model"}</definedName>
    <definedName name="wrn.Portrait._.letter._.is." localSheetId="12" hidden="1">{"Portrait letter is",#N/A,FALSE,"Model"}</definedName>
    <definedName name="wrn.Portrait._.letter._.is." hidden="1">{"Portrait letter is",#N/A,FALSE,"Model"}</definedName>
    <definedName name="wrn.printall." localSheetId="12" hidden="1">{"printall",#N/A,FALSE,"BAIRNUMB"}</definedName>
    <definedName name="wrn.printall." hidden="1">{"printall",#N/A,FALSE,"BAIRNUMB"}</definedName>
    <definedName name="wrn.Pulp." localSheetId="12" hidden="1">{"Pulp Production",#N/A,FALSE,"Pulp";"Pulp Earnings",#N/A,FALSE,"Pulp"}</definedName>
    <definedName name="wrn.Pulp." hidden="1">{"Pulp Production",#N/A,FALSE,"Pulp";"Pulp Earnings",#N/A,FALSE,"Pulp"}</definedName>
    <definedName name="wrn.qrt95." localSheetId="12" hidden="1">{"qrt95",#N/A,FALSE,"BAIRNUMB"}</definedName>
    <definedName name="wrn.qrt95." hidden="1">{"qrt95",#N/A,FALSE,"BAIRNUMB"}</definedName>
    <definedName name="wrn.Qtr._.Op._.Q1." localSheetId="12"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12"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12"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12"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12"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12"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ly." localSheetId="12" hidden="1">{"quarterly",#N/A,FALSE,"BAIRNUMB"}</definedName>
    <definedName name="wrn.quarterly." hidden="1">{"quarterly",#N/A,FALSE,"BAIRNUMB"}</definedName>
    <definedName name="wrn.Report." localSheetId="12" hidden="1">{#N/A,#N/A,FALSE,"COVER";#N/A,#N/A,FALSE,"FORECAST";#N/A,#N/A,FALSE,"VALUATION";#N/A,#N/A,FALSE,"FY ANALYSIS ";#N/A,#N/A,FALSE," HY ANALYSIS"}</definedName>
    <definedName name="wrn.Report." hidden="1">{#N/A,#N/A,FALSE,"COVER";#N/A,#N/A,FALSE,"FORECAST";#N/A,#N/A,FALSE,"VALUATION";#N/A,#N/A,FALSE,"FY ANALYSIS ";#N/A,#N/A,FALSE," HY ANALYSIS"}</definedName>
    <definedName name="wrn.Scripts." localSheetId="12" hidden="1">{"ENBREL",#N/A,FALSE,"Sheet1";"RenaGel",#N/A,FALSE,"Sheet1";"HIV PI",#N/A,FALSE,"Sheet1";"MS",#N/A,FALSE,"Sheet1"}</definedName>
    <definedName name="wrn.Scripts." hidden="1">{"ENBREL",#N/A,FALSE,"Sheet1";"RenaGel",#N/A,FALSE,"Sheet1";"HIV PI",#N/A,FALSE,"Sheet1";"MS",#N/A,FALSE,"Sheet1"}</definedName>
    <definedName name="wrn.SGPMODELS." localSheetId="12"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Variance._.3." localSheetId="12" hidden="1">{"Variance Q3",#N/A,FALSE,"Var"}</definedName>
    <definedName name="wrn.Variance._.3." hidden="1">{"Variance Q3",#N/A,FALSE,"Var"}</definedName>
    <definedName name="wrn.Variance._.Q1." localSheetId="12" hidden="1">{"Variance Q1",#N/A,FALSE,"Var"}</definedName>
    <definedName name="wrn.Variance._.Q1." hidden="1">{"Variance Q1",#N/A,FALSE,"Var"}</definedName>
    <definedName name="wrn.Variance._.Q2." localSheetId="12" hidden="1">{"Variance Q2",#N/A,FALSE,"Var"}</definedName>
    <definedName name="wrn.Variance._.Q2." hidden="1">{"Variance Q2",#N/A,FALSE,"Var"}</definedName>
    <definedName name="wrn.Variance._.Q3." localSheetId="12" hidden="1">{"Variance Q3",#N/A,FALSE,"Var"}</definedName>
    <definedName name="wrn.Variance._.Q3." hidden="1">{"Variance Q3",#N/A,FALSE,"Var"}</definedName>
    <definedName name="wrn.Variance._.Q4" localSheetId="12" hidden="1">{"Variance Q4",#N/A,FALSE,"Var"}</definedName>
    <definedName name="wrn.Variance._.Q4" hidden="1">{"Variance Q4",#N/A,FALSE,"Var"}</definedName>
    <definedName name="wrn.Variance._.Q4." localSheetId="12" hidden="1">{"Variance Q4",#N/A,FALSE,"Var"}</definedName>
    <definedName name="wrn.Variance._.Q4." hidden="1">{"Variance Q4",#N/A,FALSE,"Var"}</definedName>
    <definedName name="wrn.VRTX." localSheetId="12" hidden="1">{"Revenues",#N/A,FALSE,"Revenue";"qearn1",#N/A,FALSE,"Qearn";"qearn2",#N/A,FALSE,"Qearn";#N/A,#N/A,FALSE,"Qmargin";"cashflow",#N/A,FALSE,"Cashflow";"Product Pipeline",#N/A,FALSE,"Product Pipeline"}</definedName>
    <definedName name="wrn.VRTX." hidden="1">{"Revenues",#N/A,FALSE,"Revenue";"qearn1",#N/A,FALSE,"Qearn";"qearn2",#N/A,FALSE,"Qearn";#N/A,#N/A,FALSE,"Qmargin";"cashflow",#N/A,FALSE,"Cashflow";"Product Pipeline",#N/A,FALSE,"Product Pipeline"}</definedName>
    <definedName name="wvu.cash." localSheetId="12"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localSheetId="12"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localSheetId="12"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ZoneGrisGB">[17]Grille!$I$4:$I$97</definedName>
  </definedNames>
  <calcPr calcId="145621" iterate="1" iterateDelta="1.0000000000000002E-3"/>
</workbook>
</file>

<file path=xl/calcChain.xml><?xml version="1.0" encoding="utf-8"?>
<calcChain xmlns="http://schemas.openxmlformats.org/spreadsheetml/2006/main">
  <c r="AO54" i="13" l="1"/>
  <c r="AP54" i="13"/>
  <c r="AN54" i="13"/>
  <c r="AM5" i="1"/>
  <c r="E684" i="28" l="1"/>
  <c r="F684" i="28"/>
  <c r="G684" i="28"/>
  <c r="H684" i="28"/>
  <c r="I684" i="28"/>
  <c r="J684" i="28"/>
  <c r="K684" i="28"/>
  <c r="L684" i="28"/>
  <c r="M684" i="28"/>
  <c r="N684" i="28" s="1"/>
  <c r="O684" i="28" s="1"/>
  <c r="P684" i="28" s="1"/>
  <c r="Q684" i="28" s="1"/>
  <c r="D684" i="28"/>
  <c r="D11" i="15" l="1"/>
  <c r="AP409" i="13"/>
  <c r="AP408" i="13"/>
  <c r="AP332" i="13"/>
  <c r="AP274" i="13"/>
  <c r="AP206" i="13"/>
  <c r="AM206" i="13"/>
  <c r="J94" i="13" l="1"/>
  <c r="AM304" i="13" l="1"/>
  <c r="AM303" i="13"/>
  <c r="AM124" i="13"/>
  <c r="AM114" i="13"/>
  <c r="AM103" i="13"/>
  <c r="AM101" i="13"/>
  <c r="AM100" i="13"/>
  <c r="AM94" i="13"/>
  <c r="AM66" i="13"/>
  <c r="AM21" i="13"/>
  <c r="AM25" i="13" s="1"/>
  <c r="AM419" i="13"/>
  <c r="AM416" i="13"/>
  <c r="AO403" i="13"/>
  <c r="AN403" i="13"/>
  <c r="AK405" i="13"/>
  <c r="AJ405" i="13"/>
  <c r="AI405" i="13"/>
  <c r="AK403" i="13"/>
  <c r="AJ403" i="13"/>
  <c r="AI403" i="13"/>
  <c r="H405" i="13"/>
  <c r="G405" i="13"/>
  <c r="H403" i="13"/>
  <c r="G403" i="13"/>
  <c r="I405" i="13"/>
  <c r="I403" i="13"/>
  <c r="AM404" i="13"/>
  <c r="AM352" i="13"/>
  <c r="AM364" i="13"/>
  <c r="AM363" i="13"/>
  <c r="AM342" i="13"/>
  <c r="AK343" i="13"/>
  <c r="AJ343" i="13"/>
  <c r="AI343" i="13"/>
  <c r="AO342" i="13"/>
  <c r="AN342" i="13"/>
  <c r="AK339" i="13"/>
  <c r="AJ339" i="13"/>
  <c r="AI339" i="13"/>
  <c r="AM341" i="13" s="1"/>
  <c r="H343" i="13"/>
  <c r="G343" i="13"/>
  <c r="H339" i="13"/>
  <c r="G339" i="13"/>
  <c r="I343" i="13"/>
  <c r="I339" i="13"/>
  <c r="H283" i="13"/>
  <c r="G283" i="13"/>
  <c r="AM282" i="13"/>
  <c r="AP282" i="13" s="1"/>
  <c r="AK279" i="13"/>
  <c r="AJ279" i="13"/>
  <c r="AI279" i="13"/>
  <c r="H279" i="13"/>
  <c r="I279" i="13"/>
  <c r="AM255" i="13"/>
  <c r="AM214" i="13"/>
  <c r="AP214" i="13" s="1"/>
  <c r="H215" i="13"/>
  <c r="G215" i="13"/>
  <c r="H211" i="13"/>
  <c r="AK211" i="13"/>
  <c r="AJ211" i="13"/>
  <c r="AI211" i="13"/>
  <c r="I222" i="1"/>
  <c r="I227" i="1"/>
  <c r="AK227" i="1"/>
  <c r="AJ227" i="1"/>
  <c r="AI227" i="1"/>
  <c r="AK285" i="1"/>
  <c r="AJ285" i="1"/>
  <c r="I391" i="1"/>
  <c r="AK391" i="1"/>
  <c r="AJ391" i="1"/>
  <c r="AI391" i="1"/>
  <c r="AM497" i="1"/>
  <c r="AL494" i="1"/>
  <c r="I497" i="1"/>
  <c r="I491" i="1"/>
  <c r="AK497" i="1"/>
  <c r="AI491" i="1"/>
  <c r="AI497" i="1" s="1"/>
  <c r="AJ497" i="1"/>
  <c r="AI451" i="1"/>
  <c r="AM451" i="1"/>
  <c r="AM449" i="1"/>
  <c r="AM445" i="1"/>
  <c r="AM442" i="1"/>
  <c r="AM292" i="13"/>
  <c r="AM274" i="13"/>
  <c r="AM236" i="13"/>
  <c r="AM235" i="13"/>
  <c r="AM224" i="13"/>
  <c r="AM400" i="13"/>
  <c r="AM201" i="13"/>
  <c r="AM522" i="1"/>
  <c r="AM495" i="1"/>
  <c r="AM344" i="1"/>
  <c r="AM336" i="1"/>
  <c r="AM268" i="1"/>
  <c r="AM285" i="1" s="1"/>
  <c r="AM274" i="1"/>
  <c r="AM272" i="1"/>
  <c r="AM261" i="1"/>
  <c r="AM205" i="1"/>
  <c r="AM211" i="1"/>
  <c r="AM209" i="1"/>
  <c r="AM158" i="1"/>
  <c r="AM126" i="1"/>
  <c r="AM110" i="1"/>
  <c r="AM102" i="1"/>
  <c r="AM94" i="1"/>
  <c r="AM86" i="1"/>
  <c r="AM78" i="1"/>
  <c r="AM66" i="1"/>
  <c r="AM58" i="1"/>
  <c r="AM516" i="1"/>
  <c r="AM513" i="1"/>
  <c r="AM511" i="1"/>
  <c r="AM508" i="1"/>
  <c r="AM439" i="1"/>
  <c r="AM436" i="1"/>
  <c r="AM433" i="1"/>
  <c r="AM430" i="1"/>
  <c r="AM51" i="1"/>
  <c r="AM47" i="1"/>
  <c r="AM44" i="1"/>
  <c r="AM40" i="1"/>
  <c r="AM452" i="1" l="1"/>
  <c r="AM302" i="13"/>
  <c r="AM424" i="1"/>
  <c r="AM234" i="13"/>
  <c r="G66" i="13"/>
  <c r="H21" i="13"/>
  <c r="H66" i="13"/>
  <c r="I341" i="13"/>
  <c r="H341" i="13"/>
  <c r="H25" i="13"/>
  <c r="I281" i="13"/>
  <c r="AJ21" i="13"/>
  <c r="AK21" i="13"/>
  <c r="AK25" i="13" s="1"/>
  <c r="AJ25" i="13"/>
  <c r="AI21" i="13"/>
  <c r="J403" i="13"/>
  <c r="AP342" i="13"/>
  <c r="AM213" i="13"/>
  <c r="AI25" i="13" l="1"/>
  <c r="AM23" i="13"/>
  <c r="K403" i="13"/>
  <c r="J405" i="13"/>
  <c r="J404" i="13" s="1"/>
  <c r="AP403" i="13"/>
  <c r="AP405" i="13" s="1"/>
  <c r="AP404" i="13" s="1"/>
  <c r="B17" i="17"/>
  <c r="B16" i="17"/>
  <c r="B15" i="17"/>
  <c r="B14" i="17"/>
  <c r="L403" i="13" l="1"/>
  <c r="K405" i="13"/>
  <c r="K404" i="13" s="1"/>
  <c r="M403" i="13" l="1"/>
  <c r="L405" i="13"/>
  <c r="L404" i="13" s="1"/>
  <c r="AK289" i="13"/>
  <c r="AK288" i="13"/>
  <c r="AK272" i="13"/>
  <c r="AJ289" i="13"/>
  <c r="AJ288" i="13"/>
  <c r="AJ272" i="13"/>
  <c r="AI289" i="13"/>
  <c r="AI288" i="13"/>
  <c r="AI272" i="13"/>
  <c r="I289" i="13"/>
  <c r="I288" i="13"/>
  <c r="I272" i="13"/>
  <c r="AK221" i="13"/>
  <c r="AK220" i="13"/>
  <c r="AK203" i="13"/>
  <c r="AJ221" i="13"/>
  <c r="AJ220" i="13"/>
  <c r="AJ203" i="13"/>
  <c r="AI230" i="13"/>
  <c r="AI220" i="13"/>
  <c r="AI221" i="13"/>
  <c r="AI203" i="13"/>
  <c r="I216" i="13"/>
  <c r="I211" i="13" s="1"/>
  <c r="I21" i="13" s="1"/>
  <c r="I221" i="13"/>
  <c r="I220" i="13"/>
  <c r="I203" i="13"/>
  <c r="I25" i="13" l="1"/>
  <c r="I23" i="13"/>
  <c r="AI215" i="13"/>
  <c r="N403" i="13"/>
  <c r="M405" i="13"/>
  <c r="M404" i="13" s="1"/>
  <c r="I219" i="13"/>
  <c r="I230" i="13"/>
  <c r="I215" i="13" s="1"/>
  <c r="AJ230" i="13"/>
  <c r="AJ215" i="13" s="1"/>
  <c r="AK230" i="13"/>
  <c r="AK215" i="13" s="1"/>
  <c r="I298" i="13"/>
  <c r="I283" i="13" s="1"/>
  <c r="AI298" i="13"/>
  <c r="AI283" i="13" s="1"/>
  <c r="AJ298" i="13"/>
  <c r="AJ283" i="13" s="1"/>
  <c r="AK298" i="13"/>
  <c r="AK283" i="13" s="1"/>
  <c r="AK462" i="1"/>
  <c r="AJ462" i="1"/>
  <c r="I462" i="1"/>
  <c r="AK66" i="13" l="1"/>
  <c r="AJ66" i="13"/>
  <c r="I66" i="13"/>
  <c r="AI66" i="13"/>
  <c r="O403" i="13"/>
  <c r="N405" i="13"/>
  <c r="N404" i="13" s="1"/>
  <c r="P403" i="13" l="1"/>
  <c r="O405" i="13"/>
  <c r="O404" i="13" s="1"/>
  <c r="Q403" i="13" l="1"/>
  <c r="P405" i="13"/>
  <c r="P404" i="13" s="1"/>
  <c r="Q405" i="13" l="1"/>
  <c r="Q404" i="13" s="1"/>
  <c r="AO125" i="1" l="1"/>
  <c r="J125" i="1"/>
  <c r="Q136" i="13" l="1"/>
  <c r="P136" i="13"/>
  <c r="O136" i="13"/>
  <c r="N136" i="13"/>
  <c r="M136" i="13"/>
  <c r="L136" i="13"/>
  <c r="K136" i="13"/>
  <c r="I521" i="1"/>
  <c r="F136" i="13" l="1"/>
  <c r="E2" i="15" l="1"/>
  <c r="AI24" i="1" l="1"/>
  <c r="AJ24" i="1"/>
  <c r="AK24" i="1"/>
  <c r="AL24" i="1"/>
  <c r="AI25" i="1"/>
  <c r="AJ25" i="1"/>
  <c r="AK25" i="1"/>
  <c r="AL25" i="1"/>
  <c r="AI26" i="1"/>
  <c r="AJ26" i="1"/>
  <c r="AK26" i="1"/>
  <c r="AL26" i="1"/>
  <c r="AI27" i="1"/>
  <c r="AJ27" i="1"/>
  <c r="AK27" i="1"/>
  <c r="AL27" i="1"/>
  <c r="AI28" i="1"/>
  <c r="AJ28" i="1"/>
  <c r="AK28" i="1"/>
  <c r="AL28" i="1"/>
  <c r="AI29" i="1"/>
  <c r="AJ29" i="1"/>
  <c r="AK29" i="1"/>
  <c r="AL29" i="1"/>
  <c r="AL23" i="1"/>
  <c r="AK23" i="1"/>
  <c r="AJ23" i="1"/>
  <c r="AI23" i="1"/>
  <c r="J24" i="1"/>
  <c r="K24" i="1" s="1"/>
  <c r="L24" i="1" s="1"/>
  <c r="M24" i="1" s="1"/>
  <c r="J25" i="1"/>
  <c r="K25" i="1" s="1"/>
  <c r="L25" i="1" s="1"/>
  <c r="M25" i="1" s="1"/>
  <c r="N25" i="1" s="1"/>
  <c r="O25" i="1" s="1"/>
  <c r="P25" i="1" s="1"/>
  <c r="Q25" i="1" s="1"/>
  <c r="J26" i="1"/>
  <c r="K26" i="1" s="1"/>
  <c r="L26" i="1" s="1"/>
  <c r="M26" i="1" s="1"/>
  <c r="J27" i="1"/>
  <c r="K27" i="1" s="1"/>
  <c r="L27" i="1" s="1"/>
  <c r="M27" i="1" s="1"/>
  <c r="J28" i="1"/>
  <c r="K28" i="1" s="1"/>
  <c r="L28" i="1" s="1"/>
  <c r="M28" i="1" s="1"/>
  <c r="J29" i="1"/>
  <c r="K29" i="1" s="1"/>
  <c r="L29" i="1" s="1"/>
  <c r="M29" i="1" s="1"/>
  <c r="J23" i="1"/>
  <c r="K23" i="1" s="1"/>
  <c r="L23" i="1" s="1"/>
  <c r="M23" i="1" s="1"/>
  <c r="I30" i="1"/>
  <c r="AI30" i="1" s="1"/>
  <c r="F11" i="1"/>
  <c r="G11" i="1"/>
  <c r="H102" i="65"/>
  <c r="I11" i="1" s="1"/>
  <c r="G102" i="65"/>
  <c r="H11" i="1" s="1"/>
  <c r="F102" i="65"/>
  <c r="E102" i="65"/>
  <c r="D102" i="65"/>
  <c r="E11" i="1" s="1"/>
  <c r="C102" i="65"/>
  <c r="D11" i="1" s="1"/>
  <c r="B102" i="65"/>
  <c r="C11" i="1" s="1"/>
  <c r="C89" i="65"/>
  <c r="D89" i="65"/>
  <c r="E89" i="65"/>
  <c r="F89" i="65"/>
  <c r="G89" i="65"/>
  <c r="H89" i="65"/>
  <c r="I89" i="65"/>
  <c r="J89" i="65"/>
  <c r="K89" i="65"/>
  <c r="L89" i="65"/>
  <c r="M89" i="65"/>
  <c r="N89" i="65"/>
  <c r="W11" i="1" s="1"/>
  <c r="O89" i="65"/>
  <c r="X11" i="1" s="1"/>
  <c r="P89" i="65"/>
  <c r="Y11" i="1" s="1"/>
  <c r="Q89" i="65"/>
  <c r="Z11" i="1" s="1"/>
  <c r="R89" i="65"/>
  <c r="AA11" i="1" s="1"/>
  <c r="S89" i="65"/>
  <c r="AB11" i="1" s="1"/>
  <c r="T89" i="65"/>
  <c r="AC11" i="1" s="1"/>
  <c r="U89" i="65"/>
  <c r="AD11" i="1" s="1"/>
  <c r="V89" i="65"/>
  <c r="AE11" i="1" s="1"/>
  <c r="W89" i="65"/>
  <c r="AF11" i="1" s="1"/>
  <c r="X89" i="65"/>
  <c r="AG11" i="1" s="1"/>
  <c r="Y89" i="65"/>
  <c r="AH11" i="1" s="1"/>
  <c r="Z89" i="65"/>
  <c r="AI11" i="1" s="1"/>
  <c r="AA89" i="65"/>
  <c r="AJ11" i="1" s="1"/>
  <c r="AB89" i="65"/>
  <c r="AK11" i="1" s="1"/>
  <c r="AC89" i="65"/>
  <c r="AL11" i="1" s="1"/>
  <c r="AD89" i="65"/>
  <c r="AM11" i="1" s="1"/>
  <c r="AE89" i="65"/>
  <c r="AN11" i="1" s="1"/>
  <c r="B89" i="65"/>
  <c r="B76" i="65"/>
  <c r="I19" i="1" l="1"/>
  <c r="E19" i="1"/>
  <c r="H19" i="1"/>
  <c r="F19" i="1"/>
  <c r="AA19" i="1"/>
  <c r="AE19" i="1"/>
  <c r="AI19" i="1"/>
  <c r="AM19" i="1"/>
  <c r="D19" i="1"/>
  <c r="AD19" i="1"/>
  <c r="AH19" i="1"/>
  <c r="AL19" i="1"/>
  <c r="AB19" i="1"/>
  <c r="AF19" i="1"/>
  <c r="AJ19" i="1"/>
  <c r="AN19" i="1"/>
  <c r="AC19" i="1"/>
  <c r="AG19" i="1"/>
  <c r="AK19" i="1"/>
  <c r="G19" i="1"/>
  <c r="J30" i="1"/>
  <c r="K30" i="1" s="1"/>
  <c r="L30" i="1" s="1"/>
  <c r="M30" i="1" s="1"/>
  <c r="N30" i="1" s="1"/>
  <c r="O30" i="1" s="1"/>
  <c r="P30" i="1" s="1"/>
  <c r="Q30" i="1" s="1"/>
  <c r="AL30" i="1"/>
  <c r="AK30" i="1"/>
  <c r="N26" i="1"/>
  <c r="O26" i="1" s="1"/>
  <c r="P26" i="1" s="1"/>
  <c r="Q26" i="1" s="1"/>
  <c r="AP26" i="1"/>
  <c r="AN26" i="1"/>
  <c r="AO26" i="1"/>
  <c r="AM26" i="1"/>
  <c r="AP24" i="1"/>
  <c r="AN24" i="1"/>
  <c r="AO24" i="1"/>
  <c r="N24" i="1"/>
  <c r="O24" i="1" s="1"/>
  <c r="P24" i="1" s="1"/>
  <c r="Q24" i="1" s="1"/>
  <c r="AM24" i="1"/>
  <c r="N29" i="1"/>
  <c r="O29" i="1" s="1"/>
  <c r="P29" i="1" s="1"/>
  <c r="Q29" i="1" s="1"/>
  <c r="AP29" i="1"/>
  <c r="AM29" i="1"/>
  <c r="AO29" i="1"/>
  <c r="AN29" i="1"/>
  <c r="AP28" i="1"/>
  <c r="N28" i="1"/>
  <c r="O28" i="1" s="1"/>
  <c r="P28" i="1" s="1"/>
  <c r="Q28" i="1" s="1"/>
  <c r="AN28" i="1"/>
  <c r="AO28" i="1"/>
  <c r="AM28" i="1"/>
  <c r="N23" i="1"/>
  <c r="O23" i="1" s="1"/>
  <c r="P23" i="1" s="1"/>
  <c r="Q23" i="1" s="1"/>
  <c r="AP23" i="1"/>
  <c r="AO23" i="1"/>
  <c r="AN23" i="1"/>
  <c r="AM23" i="1"/>
  <c r="N27" i="1"/>
  <c r="O27" i="1" s="1"/>
  <c r="P27" i="1" s="1"/>
  <c r="Q27" i="1" s="1"/>
  <c r="AP27" i="1"/>
  <c r="AN27" i="1"/>
  <c r="AO27" i="1"/>
  <c r="AM27" i="1"/>
  <c r="AM25" i="1"/>
  <c r="AN25" i="1"/>
  <c r="AJ30" i="1"/>
  <c r="AO25" i="1"/>
  <c r="AP25" i="1"/>
  <c r="A82" i="60"/>
  <c r="A307" i="28"/>
  <c r="L313" i="28"/>
  <c r="M313" i="28" s="1"/>
  <c r="N313" i="28" s="1"/>
  <c r="O313" i="28" s="1"/>
  <c r="P313" i="28" s="1"/>
  <c r="Q313" i="28" s="1"/>
  <c r="K313" i="28"/>
  <c r="J313" i="28"/>
  <c r="I313" i="28"/>
  <c r="H313" i="28"/>
  <c r="G313" i="28"/>
  <c r="F313" i="28"/>
  <c r="E313" i="28"/>
  <c r="B84" i="60"/>
  <c r="B82" i="60"/>
  <c r="AO30" i="1" l="1"/>
  <c r="AN30" i="1"/>
  <c r="AP30" i="1"/>
  <c r="AM30" i="1"/>
  <c r="L185" i="1" l="1"/>
  <c r="L182" i="1" s="1"/>
  <c r="M187" i="1"/>
  <c r="M188" i="1" s="1"/>
  <c r="K182" i="1"/>
  <c r="L183" i="1" l="1"/>
  <c r="L184" i="1" s="1"/>
  <c r="T311" i="28" a="1"/>
  <c r="T311" i="28" s="1"/>
  <c r="T312" i="28" s="1"/>
  <c r="F308" i="28"/>
  <c r="H83" i="60"/>
  <c r="H82" i="60" s="1"/>
  <c r="M185" i="1"/>
  <c r="N185" i="1" s="1"/>
  <c r="O185" i="1" s="1"/>
  <c r="P185" i="1" s="1"/>
  <c r="G308" i="28"/>
  <c r="I83" i="60"/>
  <c r="I82" i="60" s="1"/>
  <c r="N187" i="1"/>
  <c r="O187" i="1" s="1"/>
  <c r="P187" i="1" s="1"/>
  <c r="Q187" i="1" s="1"/>
  <c r="K34" i="17"/>
  <c r="K35" i="17"/>
  <c r="G309" i="28" l="1"/>
  <c r="M182" i="1"/>
  <c r="M183" i="1" s="1"/>
  <c r="M184" i="1" s="1"/>
  <c r="Q185" i="1"/>
  <c r="J83" i="60" l="1"/>
  <c r="H308" i="28"/>
  <c r="H309" i="28" s="1"/>
  <c r="C98" i="65"/>
  <c r="D7" i="1" s="1"/>
  <c r="D98" i="65"/>
  <c r="E7" i="1" s="1"/>
  <c r="E98" i="65"/>
  <c r="F7" i="1" s="1"/>
  <c r="F98" i="65"/>
  <c r="G7" i="1" s="1"/>
  <c r="G98" i="65"/>
  <c r="H7" i="1" s="1"/>
  <c r="H98" i="65"/>
  <c r="I7" i="1" s="1"/>
  <c r="B98" i="65"/>
  <c r="C7" i="1" s="1"/>
  <c r="C85" i="65"/>
  <c r="D85" i="65"/>
  <c r="E85" i="65"/>
  <c r="F85" i="65"/>
  <c r="G85" i="65"/>
  <c r="H85" i="65"/>
  <c r="I85" i="65"/>
  <c r="J85" i="65"/>
  <c r="K85" i="65"/>
  <c r="L85" i="65"/>
  <c r="M85" i="65"/>
  <c r="N85" i="65"/>
  <c r="W7" i="1" s="1"/>
  <c r="O85" i="65"/>
  <c r="X7" i="1" s="1"/>
  <c r="P85" i="65"/>
  <c r="Y7" i="1" s="1"/>
  <c r="Q85" i="65"/>
  <c r="Z7" i="1" s="1"/>
  <c r="R85" i="65"/>
  <c r="AA7" i="1" s="1"/>
  <c r="S85" i="65"/>
  <c r="AB7" i="1" s="1"/>
  <c r="AB15" i="1" s="1"/>
  <c r="T85" i="65"/>
  <c r="AC7" i="1" s="1"/>
  <c r="AC15" i="1" s="1"/>
  <c r="U85" i="65"/>
  <c r="AD7" i="1" s="1"/>
  <c r="AD15" i="1" s="1"/>
  <c r="V85" i="65"/>
  <c r="AE7" i="1" s="1"/>
  <c r="W85" i="65"/>
  <c r="AF7" i="1" s="1"/>
  <c r="AF15" i="1" s="1"/>
  <c r="X85" i="65"/>
  <c r="AG7" i="1" s="1"/>
  <c r="AG15" i="1" s="1"/>
  <c r="Y85" i="65"/>
  <c r="AH7" i="1" s="1"/>
  <c r="AH15" i="1" s="1"/>
  <c r="Z85" i="65"/>
  <c r="AI7" i="1" s="1"/>
  <c r="AA85" i="65"/>
  <c r="AJ7" i="1" s="1"/>
  <c r="AJ15" i="1" s="1"/>
  <c r="AB85" i="65"/>
  <c r="AK7" i="1" s="1"/>
  <c r="AK15" i="1" s="1"/>
  <c r="AC85" i="65"/>
  <c r="AL7" i="1" s="1"/>
  <c r="AL15" i="1" s="1"/>
  <c r="B85" i="65"/>
  <c r="B72" i="65"/>
  <c r="AD85" i="65" s="1"/>
  <c r="AM7" i="1" s="1"/>
  <c r="B73" i="65"/>
  <c r="AE15" i="1" l="1"/>
  <c r="AA15" i="1"/>
  <c r="AI15" i="1"/>
  <c r="H15" i="1"/>
  <c r="D15" i="1"/>
  <c r="AM15" i="1"/>
  <c r="G15" i="1"/>
  <c r="I15" i="1"/>
  <c r="E15" i="1"/>
  <c r="F15" i="1"/>
  <c r="J82" i="60"/>
  <c r="H107" i="65"/>
  <c r="G107" i="65"/>
  <c r="F107" i="65"/>
  <c r="E107" i="65"/>
  <c r="D107" i="65"/>
  <c r="C107" i="65"/>
  <c r="B107" i="65"/>
  <c r="H106" i="65"/>
  <c r="G106" i="65"/>
  <c r="F106" i="65"/>
  <c r="E106" i="65"/>
  <c r="D106" i="65"/>
  <c r="C106" i="65"/>
  <c r="B106" i="65"/>
  <c r="H105" i="65"/>
  <c r="G105" i="65"/>
  <c r="F105" i="65"/>
  <c r="E105" i="65"/>
  <c r="D105" i="65"/>
  <c r="C105" i="65"/>
  <c r="B105" i="65"/>
  <c r="H104" i="65"/>
  <c r="G104" i="65"/>
  <c r="F104" i="65"/>
  <c r="E104" i="65"/>
  <c r="D104" i="65"/>
  <c r="C104" i="65"/>
  <c r="B104" i="65"/>
  <c r="H103" i="65"/>
  <c r="G103" i="65"/>
  <c r="F103" i="65"/>
  <c r="E103" i="65"/>
  <c r="D103" i="65"/>
  <c r="C103" i="65"/>
  <c r="B103" i="65"/>
  <c r="H101" i="65"/>
  <c r="I9" i="1" s="1"/>
  <c r="G101" i="65"/>
  <c r="H9" i="1" s="1"/>
  <c r="F101" i="65"/>
  <c r="G9" i="1" s="1"/>
  <c r="E101" i="65"/>
  <c r="F9" i="1" s="1"/>
  <c r="D101" i="65"/>
  <c r="E9" i="1" s="1"/>
  <c r="C101" i="65"/>
  <c r="D9" i="1" s="1"/>
  <c r="B101" i="65"/>
  <c r="C9" i="1" s="1"/>
  <c r="H100" i="65"/>
  <c r="I8" i="1" s="1"/>
  <c r="G100" i="65"/>
  <c r="H8" i="1" s="1"/>
  <c r="F100" i="65"/>
  <c r="G8" i="1" s="1"/>
  <c r="E100" i="65"/>
  <c r="F8" i="1" s="1"/>
  <c r="D100" i="65"/>
  <c r="E8" i="1" s="1"/>
  <c r="C100" i="65"/>
  <c r="D8" i="1" s="1"/>
  <c r="B100" i="65"/>
  <c r="C8" i="1" s="1"/>
  <c r="H99" i="65"/>
  <c r="I10" i="1" s="1"/>
  <c r="G99" i="65"/>
  <c r="H10" i="1" s="1"/>
  <c r="F99" i="65"/>
  <c r="G10" i="1" s="1"/>
  <c r="E99" i="65"/>
  <c r="F10" i="1" s="1"/>
  <c r="D99" i="65"/>
  <c r="E10" i="1" s="1"/>
  <c r="C99" i="65"/>
  <c r="D10" i="1" s="1"/>
  <c r="B99" i="65"/>
  <c r="C10" i="1" s="1"/>
  <c r="H97" i="65"/>
  <c r="I6" i="1" s="1"/>
  <c r="G97" i="65"/>
  <c r="H6" i="1" s="1"/>
  <c r="F97" i="65"/>
  <c r="G6" i="1" s="1"/>
  <c r="E97" i="65"/>
  <c r="F6" i="1" s="1"/>
  <c r="D97" i="65"/>
  <c r="E6" i="1" s="1"/>
  <c r="C97" i="65"/>
  <c r="D6" i="1" s="1"/>
  <c r="B97" i="65"/>
  <c r="C6" i="1" s="1"/>
  <c r="AC94" i="65"/>
  <c r="AB94" i="65"/>
  <c r="AA94" i="65"/>
  <c r="Z94" i="65"/>
  <c r="Y94" i="65"/>
  <c r="X94" i="65"/>
  <c r="W94" i="65"/>
  <c r="V94" i="65"/>
  <c r="U94" i="65"/>
  <c r="T94" i="65"/>
  <c r="S94" i="65"/>
  <c r="R94" i="65"/>
  <c r="Q94" i="65"/>
  <c r="P94" i="65"/>
  <c r="O94" i="65"/>
  <c r="N94" i="65"/>
  <c r="M94" i="65"/>
  <c r="L94" i="65"/>
  <c r="K94" i="65"/>
  <c r="J94" i="65"/>
  <c r="I94" i="65"/>
  <c r="H94" i="65"/>
  <c r="G94" i="65"/>
  <c r="F94" i="65"/>
  <c r="E94" i="65"/>
  <c r="D94" i="65"/>
  <c r="C94" i="65"/>
  <c r="B94" i="65"/>
  <c r="AC93" i="65"/>
  <c r="AB93" i="65"/>
  <c r="AA93" i="65"/>
  <c r="Z93" i="65"/>
  <c r="Y93" i="65"/>
  <c r="X93" i="65"/>
  <c r="W93" i="65"/>
  <c r="V93" i="65"/>
  <c r="U93" i="65"/>
  <c r="T93" i="65"/>
  <c r="S93" i="65"/>
  <c r="R93" i="65"/>
  <c r="Q93" i="65"/>
  <c r="P93" i="65"/>
  <c r="O93" i="65"/>
  <c r="N93" i="65"/>
  <c r="M93" i="65"/>
  <c r="L93" i="65"/>
  <c r="K93" i="65"/>
  <c r="J93" i="65"/>
  <c r="I93" i="65"/>
  <c r="H93" i="65"/>
  <c r="G93" i="65"/>
  <c r="F93" i="65"/>
  <c r="E93" i="65"/>
  <c r="D93" i="65"/>
  <c r="C93" i="65"/>
  <c r="B93" i="65"/>
  <c r="AC92" i="65"/>
  <c r="AB92" i="65"/>
  <c r="AA92" i="65"/>
  <c r="Z92" i="65"/>
  <c r="Y92" i="65"/>
  <c r="X92" i="65"/>
  <c r="W92" i="65"/>
  <c r="V92" i="65"/>
  <c r="U92" i="65"/>
  <c r="T92" i="65"/>
  <c r="S92" i="65"/>
  <c r="R92" i="65"/>
  <c r="Q92" i="65"/>
  <c r="P92" i="65"/>
  <c r="O92" i="65"/>
  <c r="N92" i="65"/>
  <c r="M92" i="65"/>
  <c r="L92" i="65"/>
  <c r="K92" i="65"/>
  <c r="J92" i="65"/>
  <c r="I92" i="65"/>
  <c r="H92" i="65"/>
  <c r="G92" i="65"/>
  <c r="F92" i="65"/>
  <c r="E92" i="65"/>
  <c r="D92" i="65"/>
  <c r="C92" i="65"/>
  <c r="B92" i="65"/>
  <c r="AC91" i="65"/>
  <c r="AB91" i="65"/>
  <c r="AA91" i="65"/>
  <c r="Z91" i="65"/>
  <c r="Y91" i="65"/>
  <c r="X91" i="65"/>
  <c r="W91" i="65"/>
  <c r="V91" i="65"/>
  <c r="U91" i="65"/>
  <c r="T91" i="65"/>
  <c r="S91" i="65"/>
  <c r="R91" i="65"/>
  <c r="Q91" i="65"/>
  <c r="P91" i="65"/>
  <c r="O91" i="65"/>
  <c r="N91" i="65"/>
  <c r="M91" i="65"/>
  <c r="L91" i="65"/>
  <c r="K91" i="65"/>
  <c r="J91" i="65"/>
  <c r="I91" i="65"/>
  <c r="H91" i="65"/>
  <c r="G91" i="65"/>
  <c r="F91" i="65"/>
  <c r="E91" i="65"/>
  <c r="D91" i="65"/>
  <c r="C91" i="65"/>
  <c r="B91" i="65"/>
  <c r="AC90" i="65"/>
  <c r="AB90" i="65"/>
  <c r="AA90" i="65"/>
  <c r="Z90" i="65"/>
  <c r="Y90" i="65"/>
  <c r="X90" i="65"/>
  <c r="W90" i="65"/>
  <c r="V90" i="65"/>
  <c r="U90" i="65"/>
  <c r="T90" i="65"/>
  <c r="S90" i="65"/>
  <c r="R90" i="65"/>
  <c r="Q90" i="65"/>
  <c r="P90" i="65"/>
  <c r="O90" i="65"/>
  <c r="N90" i="65"/>
  <c r="M90" i="65"/>
  <c r="L90" i="65"/>
  <c r="K90" i="65"/>
  <c r="J90" i="65"/>
  <c r="I90" i="65"/>
  <c r="H90" i="65"/>
  <c r="G90" i="65"/>
  <c r="F90" i="65"/>
  <c r="E90" i="65"/>
  <c r="D90" i="65"/>
  <c r="C90" i="65"/>
  <c r="B90" i="65"/>
  <c r="AC88" i="65"/>
  <c r="AL9" i="1" s="1"/>
  <c r="AB88" i="65"/>
  <c r="AK9" i="1" s="1"/>
  <c r="AA88" i="65"/>
  <c r="AJ9" i="1" s="1"/>
  <c r="Z88" i="65"/>
  <c r="AI9" i="1" s="1"/>
  <c r="Y88" i="65"/>
  <c r="AH9" i="1" s="1"/>
  <c r="X88" i="65"/>
  <c r="AG9" i="1" s="1"/>
  <c r="W88" i="65"/>
  <c r="AF9" i="1" s="1"/>
  <c r="V88" i="65"/>
  <c r="AE9" i="1" s="1"/>
  <c r="U88" i="65"/>
  <c r="AD9" i="1" s="1"/>
  <c r="T88" i="65"/>
  <c r="AC9" i="1" s="1"/>
  <c r="S88" i="65"/>
  <c r="AB9" i="1" s="1"/>
  <c r="R88" i="65"/>
  <c r="AA9" i="1" s="1"/>
  <c r="Q88" i="65"/>
  <c r="Z9" i="1" s="1"/>
  <c r="P88" i="65"/>
  <c r="Y9" i="1" s="1"/>
  <c r="O88" i="65"/>
  <c r="X9" i="1" s="1"/>
  <c r="N88" i="65"/>
  <c r="W9" i="1" s="1"/>
  <c r="M88" i="65"/>
  <c r="L88" i="65"/>
  <c r="K88" i="65"/>
  <c r="J88" i="65"/>
  <c r="I88" i="65"/>
  <c r="H88" i="65"/>
  <c r="G88" i="65"/>
  <c r="F88" i="65"/>
  <c r="E88" i="65"/>
  <c r="D88" i="65"/>
  <c r="C88" i="65"/>
  <c r="B88" i="65"/>
  <c r="AC87" i="65"/>
  <c r="AL8" i="1" s="1"/>
  <c r="AB87" i="65"/>
  <c r="AK8" i="1" s="1"/>
  <c r="AA87" i="65"/>
  <c r="AJ8" i="1" s="1"/>
  <c r="Z87" i="65"/>
  <c r="AI8" i="1" s="1"/>
  <c r="Y87" i="65"/>
  <c r="AH8" i="1" s="1"/>
  <c r="X87" i="65"/>
  <c r="AG8" i="1" s="1"/>
  <c r="W87" i="65"/>
  <c r="AF8" i="1" s="1"/>
  <c r="V87" i="65"/>
  <c r="AE8" i="1" s="1"/>
  <c r="U87" i="65"/>
  <c r="AD8" i="1" s="1"/>
  <c r="T87" i="65"/>
  <c r="AC8" i="1" s="1"/>
  <c r="S87" i="65"/>
  <c r="AB8" i="1" s="1"/>
  <c r="R87" i="65"/>
  <c r="AA8" i="1" s="1"/>
  <c r="Q87" i="65"/>
  <c r="Z8" i="1" s="1"/>
  <c r="P87" i="65"/>
  <c r="Y8" i="1" s="1"/>
  <c r="O87" i="65"/>
  <c r="X8" i="1" s="1"/>
  <c r="N87" i="65"/>
  <c r="W8" i="1" s="1"/>
  <c r="M87" i="65"/>
  <c r="L87" i="65"/>
  <c r="K87" i="65"/>
  <c r="J87" i="65"/>
  <c r="I87" i="65"/>
  <c r="H87" i="65"/>
  <c r="G87" i="65"/>
  <c r="F87" i="65"/>
  <c r="E87" i="65"/>
  <c r="D87" i="65"/>
  <c r="C87" i="65"/>
  <c r="B87" i="65"/>
  <c r="AD86" i="65"/>
  <c r="AM10" i="1" s="1"/>
  <c r="AC86" i="65"/>
  <c r="AL10" i="1" s="1"/>
  <c r="AB86" i="65"/>
  <c r="AK10" i="1" s="1"/>
  <c r="AA86" i="65"/>
  <c r="AJ10" i="1" s="1"/>
  <c r="Z86" i="65"/>
  <c r="AI10" i="1" s="1"/>
  <c r="Y86" i="65"/>
  <c r="AH10" i="1" s="1"/>
  <c r="X86" i="65"/>
  <c r="AG10" i="1" s="1"/>
  <c r="W86" i="65"/>
  <c r="AF10" i="1" s="1"/>
  <c r="V86" i="65"/>
  <c r="AE10" i="1" s="1"/>
  <c r="U86" i="65"/>
  <c r="AD10" i="1" s="1"/>
  <c r="T86" i="65"/>
  <c r="AC10" i="1" s="1"/>
  <c r="S86" i="65"/>
  <c r="AB10" i="1" s="1"/>
  <c r="R86" i="65"/>
  <c r="AA10" i="1" s="1"/>
  <c r="Q86" i="65"/>
  <c r="Z10" i="1" s="1"/>
  <c r="P86" i="65"/>
  <c r="Y10" i="1" s="1"/>
  <c r="O86" i="65"/>
  <c r="X10" i="1" s="1"/>
  <c r="N86" i="65"/>
  <c r="W10" i="1" s="1"/>
  <c r="M86" i="65"/>
  <c r="L86" i="65"/>
  <c r="K86" i="65"/>
  <c r="J86" i="65"/>
  <c r="I86" i="65"/>
  <c r="H86" i="65"/>
  <c r="G86" i="65"/>
  <c r="F86" i="65"/>
  <c r="E86" i="65"/>
  <c r="D86" i="65"/>
  <c r="C86" i="65"/>
  <c r="B86" i="65"/>
  <c r="AC84" i="65"/>
  <c r="AL6" i="1" s="1"/>
  <c r="AB84" i="65"/>
  <c r="AK6" i="1" s="1"/>
  <c r="AA84" i="65"/>
  <c r="AJ6" i="1" s="1"/>
  <c r="Z84" i="65"/>
  <c r="AI6" i="1" s="1"/>
  <c r="Y84" i="65"/>
  <c r="AH6" i="1" s="1"/>
  <c r="X84" i="65"/>
  <c r="AG6" i="1" s="1"/>
  <c r="W84" i="65"/>
  <c r="AF6" i="1" s="1"/>
  <c r="V84" i="65"/>
  <c r="AE6" i="1" s="1"/>
  <c r="U84" i="65"/>
  <c r="AD6" i="1" s="1"/>
  <c r="T84" i="65"/>
  <c r="AC6" i="1" s="1"/>
  <c r="S84" i="65"/>
  <c r="AB6" i="1" s="1"/>
  <c r="R84" i="65"/>
  <c r="AA6" i="1" s="1"/>
  <c r="Q84" i="65"/>
  <c r="Z6" i="1" s="1"/>
  <c r="P84" i="65"/>
  <c r="Y6" i="1" s="1"/>
  <c r="O84" i="65"/>
  <c r="X6" i="1" s="1"/>
  <c r="N84" i="65"/>
  <c r="W6" i="1" s="1"/>
  <c r="M84" i="65"/>
  <c r="L84" i="65"/>
  <c r="K84" i="65"/>
  <c r="J84" i="65"/>
  <c r="I84" i="65"/>
  <c r="H84" i="65"/>
  <c r="G84" i="65"/>
  <c r="F84" i="65"/>
  <c r="E84" i="65"/>
  <c r="D84" i="65"/>
  <c r="C84" i="65"/>
  <c r="B84" i="65"/>
  <c r="AF28" i="65"/>
  <c r="AG28" i="65" s="1"/>
  <c r="AH28" i="65" s="1"/>
  <c r="AI28" i="65" s="1"/>
  <c r="AJ28" i="65" s="1"/>
  <c r="AK28" i="65" s="1"/>
  <c r="AF29" i="65"/>
  <c r="AF30" i="65"/>
  <c r="AF31" i="65"/>
  <c r="AG31" i="65" s="1"/>
  <c r="AH31" i="65" s="1"/>
  <c r="AI31" i="65" s="1"/>
  <c r="AJ31" i="65" s="1"/>
  <c r="AK31" i="65" s="1"/>
  <c r="AF32" i="65"/>
  <c r="AG32" i="65" s="1"/>
  <c r="AH32" i="65" s="1"/>
  <c r="AI32" i="65" s="1"/>
  <c r="AJ32" i="65" s="1"/>
  <c r="AK32" i="65" s="1"/>
  <c r="AF34" i="65"/>
  <c r="AG34" i="65" s="1"/>
  <c r="AH34" i="65" s="1"/>
  <c r="AI34" i="65" s="1"/>
  <c r="AJ34" i="65" s="1"/>
  <c r="AK34" i="65" s="1"/>
  <c r="AF35" i="65"/>
  <c r="AG35" i="65" s="1"/>
  <c r="AH35" i="65" s="1"/>
  <c r="AI35" i="65" s="1"/>
  <c r="AJ35" i="65" s="1"/>
  <c r="AK35" i="65" s="1"/>
  <c r="AF36" i="65"/>
  <c r="AG36" i="65" s="1"/>
  <c r="AH36" i="65" s="1"/>
  <c r="AI36" i="65" s="1"/>
  <c r="AJ36" i="65" s="1"/>
  <c r="AK36" i="65" s="1"/>
  <c r="AF37" i="65"/>
  <c r="AF38" i="65"/>
  <c r="AG38" i="65" s="1"/>
  <c r="AH38" i="65" s="1"/>
  <c r="AI38" i="65" s="1"/>
  <c r="AJ38" i="65" s="1"/>
  <c r="AK38" i="65" s="1"/>
  <c r="AF39" i="65"/>
  <c r="AG39" i="65" s="1"/>
  <c r="AH39" i="65" s="1"/>
  <c r="AI39" i="65" s="1"/>
  <c r="AJ39" i="65" s="1"/>
  <c r="AK39" i="65" s="1"/>
  <c r="AK86" i="65" s="1"/>
  <c r="AF41" i="65"/>
  <c r="AG41" i="65" s="1"/>
  <c r="AH41" i="65" s="1"/>
  <c r="AI41" i="65" s="1"/>
  <c r="AJ41" i="65" s="1"/>
  <c r="AK41" i="65" s="1"/>
  <c r="AF42" i="65"/>
  <c r="AG42" i="65" s="1"/>
  <c r="AH42" i="65" s="1"/>
  <c r="AI42" i="65" s="1"/>
  <c r="AJ42" i="65" s="1"/>
  <c r="AK42" i="65" s="1"/>
  <c r="AF44" i="65"/>
  <c r="AG44" i="65" s="1"/>
  <c r="AH44" i="65" s="1"/>
  <c r="AI44" i="65" s="1"/>
  <c r="AJ44" i="65" s="1"/>
  <c r="AK44" i="65" s="1"/>
  <c r="AF45" i="65"/>
  <c r="AG45" i="65" s="1"/>
  <c r="AH45" i="65" s="1"/>
  <c r="AI45" i="65" s="1"/>
  <c r="AJ45" i="65" s="1"/>
  <c r="AK45" i="65" s="1"/>
  <c r="AF46" i="65"/>
  <c r="AG46" i="65" s="1"/>
  <c r="AH46" i="65" s="1"/>
  <c r="AI46" i="65" s="1"/>
  <c r="AJ46" i="65" s="1"/>
  <c r="AK46" i="65" s="1"/>
  <c r="H16" i="1" l="1"/>
  <c r="E17" i="1"/>
  <c r="D18" i="1"/>
  <c r="D16" i="1"/>
  <c r="I17" i="1"/>
  <c r="H18" i="1"/>
  <c r="E16" i="1"/>
  <c r="I16" i="1"/>
  <c r="F16" i="1"/>
  <c r="G17" i="1"/>
  <c r="F17" i="1"/>
  <c r="G18" i="1"/>
  <c r="E18" i="1"/>
  <c r="I18" i="1"/>
  <c r="F18" i="1"/>
  <c r="G16" i="1"/>
  <c r="D17" i="1"/>
  <c r="H17" i="1"/>
  <c r="AA18" i="1"/>
  <c r="AE18" i="1"/>
  <c r="AI18" i="1"/>
  <c r="AM18" i="1"/>
  <c r="AD16" i="1"/>
  <c r="AH16" i="1"/>
  <c r="AL16" i="1"/>
  <c r="AD17" i="1"/>
  <c r="AH17" i="1"/>
  <c r="AL17" i="1"/>
  <c r="AG30" i="65"/>
  <c r="AF89" i="65"/>
  <c r="AB18" i="1"/>
  <c r="AF18" i="1"/>
  <c r="AJ18" i="1"/>
  <c r="AA16" i="1"/>
  <c r="AE16" i="1"/>
  <c r="AI16" i="1"/>
  <c r="AA17" i="1"/>
  <c r="AE17" i="1"/>
  <c r="AI17" i="1"/>
  <c r="AC18" i="1"/>
  <c r="AG18" i="1"/>
  <c r="AK18" i="1"/>
  <c r="AB16" i="1"/>
  <c r="AF16" i="1"/>
  <c r="AJ16" i="1"/>
  <c r="AB17" i="1"/>
  <c r="AF17" i="1"/>
  <c r="AJ17" i="1"/>
  <c r="AD18" i="1"/>
  <c r="AH18" i="1"/>
  <c r="AL18" i="1"/>
  <c r="AC16" i="1"/>
  <c r="AG16" i="1"/>
  <c r="AK16" i="1"/>
  <c r="AC17" i="1"/>
  <c r="AG17" i="1"/>
  <c r="AK17" i="1"/>
  <c r="F14" i="1"/>
  <c r="AF14" i="1"/>
  <c r="G14" i="1"/>
  <c r="AB14" i="1"/>
  <c r="AA14" i="1"/>
  <c r="AE14" i="1"/>
  <c r="AI14" i="1"/>
  <c r="AC14" i="1"/>
  <c r="AG14" i="1"/>
  <c r="AK14" i="1"/>
  <c r="D14" i="1"/>
  <c r="H14" i="1"/>
  <c r="AJ14" i="1"/>
  <c r="AD14" i="1"/>
  <c r="AH14" i="1"/>
  <c r="AL14" i="1"/>
  <c r="E14" i="1"/>
  <c r="I14" i="1"/>
  <c r="AG29" i="65"/>
  <c r="AG86" i="65"/>
  <c r="AP10" i="1" s="1"/>
  <c r="AP18" i="1" s="1"/>
  <c r="AH86" i="65"/>
  <c r="AF43" i="65"/>
  <c r="AE85" i="65"/>
  <c r="AF27" i="65"/>
  <c r="AF40" i="65"/>
  <c r="AG37" i="65"/>
  <c r="AF33" i="65"/>
  <c r="AE86" i="65"/>
  <c r="AN10" i="1" s="1"/>
  <c r="AN18" i="1" s="1"/>
  <c r="AI86" i="65"/>
  <c r="AF86" i="65"/>
  <c r="AO10" i="1" s="1"/>
  <c r="AO18" i="1" s="1"/>
  <c r="AJ86" i="65"/>
  <c r="B81" i="65"/>
  <c r="AD94" i="65" s="1"/>
  <c r="B80" i="65"/>
  <c r="AD93" i="65" s="1"/>
  <c r="B79" i="65"/>
  <c r="AD92" i="65" s="1"/>
  <c r="B78" i="65"/>
  <c r="AD91" i="65" s="1"/>
  <c r="B77" i="65"/>
  <c r="AD90" i="65" s="1"/>
  <c r="B75" i="65"/>
  <c r="AD88" i="65" s="1"/>
  <c r="AM9" i="1" s="1"/>
  <c r="AM17" i="1" s="1"/>
  <c r="B74" i="65"/>
  <c r="AD87" i="65" s="1"/>
  <c r="AM8" i="1" s="1"/>
  <c r="AM16" i="1" s="1"/>
  <c r="B71" i="65"/>
  <c r="AD84" i="65" s="1"/>
  <c r="AM6" i="1" s="1"/>
  <c r="I96" i="65"/>
  <c r="H96" i="65"/>
  <c r="G96" i="65"/>
  <c r="F96" i="65"/>
  <c r="E96" i="65"/>
  <c r="D96" i="65"/>
  <c r="C96" i="65"/>
  <c r="B96" i="65"/>
  <c r="AK83" i="65"/>
  <c r="AJ83" i="65"/>
  <c r="AI83" i="65"/>
  <c r="AH83" i="65"/>
  <c r="AG83" i="65"/>
  <c r="AF83" i="65"/>
  <c r="AE83" i="65"/>
  <c r="AD83" i="65"/>
  <c r="AC83" i="65"/>
  <c r="AB83" i="65"/>
  <c r="AA83" i="65"/>
  <c r="Z83" i="65"/>
  <c r="Y83" i="65"/>
  <c r="X83" i="65"/>
  <c r="W83" i="65"/>
  <c r="V83" i="65"/>
  <c r="U83" i="65"/>
  <c r="T83" i="65"/>
  <c r="S83" i="65"/>
  <c r="R83" i="65"/>
  <c r="Q83" i="65"/>
  <c r="P83" i="65"/>
  <c r="O83" i="65"/>
  <c r="N83" i="65"/>
  <c r="M83" i="65"/>
  <c r="L83" i="65"/>
  <c r="K83" i="65"/>
  <c r="J83" i="65"/>
  <c r="I83" i="65"/>
  <c r="H83" i="65"/>
  <c r="G83" i="65"/>
  <c r="F83" i="65"/>
  <c r="E83" i="65"/>
  <c r="D83" i="65"/>
  <c r="C83" i="65"/>
  <c r="B83" i="65"/>
  <c r="J68" i="65"/>
  <c r="K68" i="65" s="1"/>
  <c r="L68" i="65" s="1"/>
  <c r="M68" i="65" s="1"/>
  <c r="N68" i="65" s="1"/>
  <c r="O68" i="65" s="1"/>
  <c r="P68" i="65" s="1"/>
  <c r="Q68" i="65" s="1"/>
  <c r="R68" i="65" s="1"/>
  <c r="J67" i="65"/>
  <c r="K67" i="65" s="1"/>
  <c r="L67" i="65" s="1"/>
  <c r="M67" i="65" s="1"/>
  <c r="N67" i="65" s="1"/>
  <c r="O67" i="65" s="1"/>
  <c r="P67" i="65" s="1"/>
  <c r="Q67" i="65" s="1"/>
  <c r="R67" i="65" s="1"/>
  <c r="J66" i="65"/>
  <c r="K66" i="65" s="1"/>
  <c r="L66" i="65" s="1"/>
  <c r="M66" i="65" s="1"/>
  <c r="N66" i="65" s="1"/>
  <c r="O66" i="65" s="1"/>
  <c r="P66" i="65" s="1"/>
  <c r="Q66" i="65" s="1"/>
  <c r="R66" i="65" s="1"/>
  <c r="J65" i="65"/>
  <c r="J64" i="65"/>
  <c r="K64" i="65" s="1"/>
  <c r="L64" i="65" s="1"/>
  <c r="M64" i="65" s="1"/>
  <c r="N64" i="65" s="1"/>
  <c r="O64" i="65" s="1"/>
  <c r="P64" i="65" s="1"/>
  <c r="Q64" i="65" s="1"/>
  <c r="R64" i="65" s="1"/>
  <c r="J63" i="65"/>
  <c r="K63" i="65" s="1"/>
  <c r="L63" i="65" s="1"/>
  <c r="M63" i="65" s="1"/>
  <c r="N63" i="65" s="1"/>
  <c r="O63" i="65" s="1"/>
  <c r="P63" i="65" s="1"/>
  <c r="Q63" i="65" s="1"/>
  <c r="R63" i="65" s="1"/>
  <c r="J62" i="65"/>
  <c r="J61" i="65"/>
  <c r="J99" i="65" s="1"/>
  <c r="K10" i="1" s="1"/>
  <c r="J60" i="65"/>
  <c r="K60" i="65" s="1"/>
  <c r="L60" i="65" s="1"/>
  <c r="M60" i="65" s="1"/>
  <c r="N60" i="65" s="1"/>
  <c r="O60" i="65" s="1"/>
  <c r="P60" i="65" s="1"/>
  <c r="Q60" i="65" s="1"/>
  <c r="R60" i="65" s="1"/>
  <c r="J59" i="65"/>
  <c r="J58" i="65"/>
  <c r="K58" i="65" s="1"/>
  <c r="L58" i="65" s="1"/>
  <c r="M58" i="65" s="1"/>
  <c r="N58" i="65" s="1"/>
  <c r="O58" i="65" s="1"/>
  <c r="P58" i="65" s="1"/>
  <c r="Q58" i="65" s="1"/>
  <c r="R58" i="65" s="1"/>
  <c r="J57" i="65"/>
  <c r="J56" i="65"/>
  <c r="J55" i="65"/>
  <c r="J54" i="65"/>
  <c r="K54" i="65" s="1"/>
  <c r="L54" i="65" s="1"/>
  <c r="M54" i="65" s="1"/>
  <c r="N54" i="65" s="1"/>
  <c r="O54" i="65" s="1"/>
  <c r="P54" i="65" s="1"/>
  <c r="Q54" i="65" s="1"/>
  <c r="R54" i="65" s="1"/>
  <c r="J53" i="65"/>
  <c r="J52" i="65"/>
  <c r="J51" i="65"/>
  <c r="J50" i="65"/>
  <c r="K50" i="65" s="1"/>
  <c r="L50" i="65" s="1"/>
  <c r="M50" i="65" s="1"/>
  <c r="N50" i="65" s="1"/>
  <c r="O50" i="65" s="1"/>
  <c r="P50" i="65" s="1"/>
  <c r="Q50" i="65" s="1"/>
  <c r="R50" i="65" s="1"/>
  <c r="J49" i="65"/>
  <c r="J48" i="65"/>
  <c r="K48" i="65" s="1"/>
  <c r="AL32" i="1" l="1"/>
  <c r="AI32" i="1"/>
  <c r="AK32" i="1"/>
  <c r="K52" i="65"/>
  <c r="J102" i="65"/>
  <c r="K11" i="1" s="1"/>
  <c r="AJ32" i="1"/>
  <c r="AO11" i="1"/>
  <c r="AO19" i="1" s="1"/>
  <c r="AH30" i="65"/>
  <c r="AG89" i="65"/>
  <c r="AP11" i="1" s="1"/>
  <c r="AP19" i="1" s="1"/>
  <c r="AM14" i="1"/>
  <c r="AM32" i="1" s="1"/>
  <c r="J100" i="65"/>
  <c r="K8" i="1" s="1"/>
  <c r="J106" i="65"/>
  <c r="AJ87" i="65"/>
  <c r="J103" i="65"/>
  <c r="J104" i="65"/>
  <c r="J97" i="65"/>
  <c r="K6" i="1" s="1"/>
  <c r="AG87" i="65"/>
  <c r="AP8" i="1" s="1"/>
  <c r="AP16" i="1" s="1"/>
  <c r="AI87" i="65"/>
  <c r="AH87" i="65"/>
  <c r="AF92" i="65"/>
  <c r="J105" i="65"/>
  <c r="AE92" i="65"/>
  <c r="J101" i="65"/>
  <c r="K9" i="1" s="1"/>
  <c r="AJ93" i="65"/>
  <c r="AI93" i="65"/>
  <c r="AF93" i="65"/>
  <c r="AF87" i="65"/>
  <c r="AO8" i="1" s="1"/>
  <c r="AO16" i="1" s="1"/>
  <c r="AE93" i="65"/>
  <c r="AE87" i="65"/>
  <c r="AN8" i="1" s="1"/>
  <c r="AN16" i="1" s="1"/>
  <c r="AK87" i="65"/>
  <c r="AE84" i="65"/>
  <c r="AN6" i="1" s="1"/>
  <c r="AJ88" i="65"/>
  <c r="AI88" i="65"/>
  <c r="AH93" i="65"/>
  <c r="AG93" i="65"/>
  <c r="AE90" i="65"/>
  <c r="AF88" i="65"/>
  <c r="AO9" i="1" s="1"/>
  <c r="AO17" i="1" s="1"/>
  <c r="AE88" i="65"/>
  <c r="AN9" i="1" s="1"/>
  <c r="AN17" i="1" s="1"/>
  <c r="AH88" i="65"/>
  <c r="AG88" i="65"/>
  <c r="AP9" i="1" s="1"/>
  <c r="AP17" i="1" s="1"/>
  <c r="AK93" i="65"/>
  <c r="AE91" i="65"/>
  <c r="AK88" i="65"/>
  <c r="AF91" i="65"/>
  <c r="AE94" i="65"/>
  <c r="K65" i="65"/>
  <c r="J98" i="65"/>
  <c r="K7" i="1" s="1"/>
  <c r="I99" i="65"/>
  <c r="J10" i="1" s="1"/>
  <c r="AF84" i="65"/>
  <c r="AG33" i="65"/>
  <c r="AN7" i="1"/>
  <c r="AN15" i="1" s="1"/>
  <c r="AH29" i="65"/>
  <c r="AG91" i="65"/>
  <c r="AH37" i="65"/>
  <c r="AG92" i="65"/>
  <c r="AG43" i="65"/>
  <c r="AF85" i="65"/>
  <c r="AO7" i="1" s="1"/>
  <c r="AO15" i="1" s="1"/>
  <c r="AG40" i="65"/>
  <c r="AF94" i="65"/>
  <c r="AG27" i="65"/>
  <c r="AF90" i="65"/>
  <c r="K53" i="65"/>
  <c r="K101" i="65" s="1"/>
  <c r="L9" i="1" s="1"/>
  <c r="K61" i="65"/>
  <c r="L61" i="65" s="1"/>
  <c r="K55" i="65"/>
  <c r="K97" i="65" s="1"/>
  <c r="L6" i="1" s="1"/>
  <c r="K59" i="65"/>
  <c r="K105" i="65" s="1"/>
  <c r="K62" i="65"/>
  <c r="K107" i="65" s="1"/>
  <c r="J107" i="65"/>
  <c r="K51" i="65"/>
  <c r="K104" i="65" s="1"/>
  <c r="K49" i="65"/>
  <c r="K103" i="65" s="1"/>
  <c r="K57" i="65"/>
  <c r="K100" i="65" s="1"/>
  <c r="L8" i="1" s="1"/>
  <c r="K96" i="65"/>
  <c r="L48" i="65"/>
  <c r="J96" i="65"/>
  <c r="L53" i="65"/>
  <c r="L101" i="65" s="1"/>
  <c r="M9" i="1" s="1"/>
  <c r="M17" i="1" s="1"/>
  <c r="K56" i="65"/>
  <c r="K106" i="65" s="1"/>
  <c r="I32" i="1" l="1"/>
  <c r="L17" i="1"/>
  <c r="L52" i="65"/>
  <c r="K102" i="65"/>
  <c r="L11" i="1" s="1"/>
  <c r="L19" i="1" s="1"/>
  <c r="J18" i="1"/>
  <c r="K18" i="1"/>
  <c r="AI30" i="65"/>
  <c r="AH89" i="65"/>
  <c r="I102" i="65"/>
  <c r="J11" i="1" s="1"/>
  <c r="L16" i="1"/>
  <c r="AN14" i="1"/>
  <c r="AN32" i="1" s="1"/>
  <c r="AN494" i="1" s="1"/>
  <c r="AN495" i="1" s="1"/>
  <c r="L14" i="1"/>
  <c r="I106" i="65"/>
  <c r="I100" i="65"/>
  <c r="J8" i="1" s="1"/>
  <c r="J16" i="1" s="1"/>
  <c r="I105" i="65"/>
  <c r="L57" i="65"/>
  <c r="L100" i="65" s="1"/>
  <c r="M8" i="1" s="1"/>
  <c r="M16" i="1" s="1"/>
  <c r="L55" i="65"/>
  <c r="L97" i="65" s="1"/>
  <c r="M6" i="1" s="1"/>
  <c r="I104" i="65"/>
  <c r="I101" i="65"/>
  <c r="J9" i="1" s="1"/>
  <c r="L65" i="65"/>
  <c r="K98" i="65"/>
  <c r="L7" i="1" s="1"/>
  <c r="L15" i="1" s="1"/>
  <c r="AH27" i="65"/>
  <c r="AG90" i="65"/>
  <c r="I103" i="65" s="1"/>
  <c r="AH43" i="65"/>
  <c r="AG85" i="65"/>
  <c r="AP7" i="1" s="1"/>
  <c r="AP15" i="1" s="1"/>
  <c r="AI29" i="65"/>
  <c r="AH91" i="65"/>
  <c r="AO6" i="1"/>
  <c r="AH40" i="65"/>
  <c r="AG94" i="65"/>
  <c r="I107" i="65" s="1"/>
  <c r="AI37" i="65"/>
  <c r="AH92" i="65"/>
  <c r="AH33" i="65"/>
  <c r="AG84" i="65"/>
  <c r="AP6" i="1" s="1"/>
  <c r="L51" i="65"/>
  <c r="L104" i="65" s="1"/>
  <c r="K99" i="65"/>
  <c r="L10" i="1" s="1"/>
  <c r="L18" i="1" s="1"/>
  <c r="L49" i="65"/>
  <c r="L103" i="65" s="1"/>
  <c r="L62" i="65"/>
  <c r="L107" i="65" s="1"/>
  <c r="M61" i="65"/>
  <c r="L99" i="65"/>
  <c r="M10" i="1" s="1"/>
  <c r="L59" i="65"/>
  <c r="L105" i="65" s="1"/>
  <c r="M55" i="65"/>
  <c r="M97" i="65" s="1"/>
  <c r="N6" i="1" s="1"/>
  <c r="L96" i="65"/>
  <c r="M48" i="65"/>
  <c r="L56" i="65"/>
  <c r="L106" i="65" s="1"/>
  <c r="M53" i="65"/>
  <c r="M101" i="65" s="1"/>
  <c r="N9" i="1" s="1"/>
  <c r="N17" i="1" s="1"/>
  <c r="M18" i="1" l="1"/>
  <c r="M52" i="65"/>
  <c r="L102" i="65"/>
  <c r="M11" i="1" s="1"/>
  <c r="M19" i="1" s="1"/>
  <c r="J17" i="1"/>
  <c r="K17" i="1"/>
  <c r="AJ30" i="65"/>
  <c r="AI89" i="65"/>
  <c r="J19" i="1"/>
  <c r="K19" i="1"/>
  <c r="AP14" i="1"/>
  <c r="AP32" i="1" s="1"/>
  <c r="N14" i="1"/>
  <c r="AO14" i="1"/>
  <c r="AO32" i="1" s="1"/>
  <c r="AO494" i="1" s="1"/>
  <c r="AO495" i="1" s="1"/>
  <c r="M14" i="1"/>
  <c r="K16" i="1"/>
  <c r="M49" i="65"/>
  <c r="M103" i="65" s="1"/>
  <c r="M57" i="65"/>
  <c r="M100" i="65" s="1"/>
  <c r="N8" i="1" s="1"/>
  <c r="N16" i="1" s="1"/>
  <c r="I98" i="65"/>
  <c r="J7" i="1" s="1"/>
  <c r="M62" i="65"/>
  <c r="M107" i="65" s="1"/>
  <c r="M65" i="65"/>
  <c r="L98" i="65"/>
  <c r="M7" i="1" s="1"/>
  <c r="M15" i="1" s="1"/>
  <c r="AJ29" i="65"/>
  <c r="AI91" i="65"/>
  <c r="AJ37" i="65"/>
  <c r="AI92" i="65"/>
  <c r="I97" i="65"/>
  <c r="J6" i="1" s="1"/>
  <c r="AI33" i="65"/>
  <c r="AH84" i="65"/>
  <c r="AI43" i="65"/>
  <c r="AH85" i="65"/>
  <c r="AI40" i="65"/>
  <c r="AH94" i="65"/>
  <c r="AI27" i="65"/>
  <c r="AH90" i="65"/>
  <c r="M59" i="65"/>
  <c r="M105" i="65" s="1"/>
  <c r="M51" i="65"/>
  <c r="M104" i="65" s="1"/>
  <c r="N61" i="65"/>
  <c r="M99" i="65"/>
  <c r="N10" i="1" s="1"/>
  <c r="N18" i="1" s="1"/>
  <c r="M56" i="65"/>
  <c r="M106" i="65" s="1"/>
  <c r="M96" i="65"/>
  <c r="N48" i="65"/>
  <c r="N55" i="65"/>
  <c r="N97" i="65" s="1"/>
  <c r="O6" i="1" s="1"/>
  <c r="N53" i="65"/>
  <c r="N101" i="65" s="1"/>
  <c r="O9" i="1" s="1"/>
  <c r="O17" i="1" s="1"/>
  <c r="N52" i="65" l="1"/>
  <c r="M102" i="65"/>
  <c r="N11" i="1" s="1"/>
  <c r="N19" i="1" s="1"/>
  <c r="AK30" i="65"/>
  <c r="AK89" i="65" s="1"/>
  <c r="AJ89" i="65"/>
  <c r="J32" i="1"/>
  <c r="J494" i="1" s="1"/>
  <c r="O14" i="1"/>
  <c r="J14" i="1"/>
  <c r="K14" i="1"/>
  <c r="J15" i="1"/>
  <c r="K15" i="1"/>
  <c r="N49" i="65"/>
  <c r="N103" i="65" s="1"/>
  <c r="N59" i="65"/>
  <c r="N105" i="65" s="1"/>
  <c r="N51" i="65"/>
  <c r="N104" i="65" s="1"/>
  <c r="N57" i="65"/>
  <c r="N100" i="65" s="1"/>
  <c r="O8" i="1" s="1"/>
  <c r="O16" i="1" s="1"/>
  <c r="N62" i="65"/>
  <c r="N107" i="65" s="1"/>
  <c r="N65" i="65"/>
  <c r="M98" i="65"/>
  <c r="N7" i="1" s="1"/>
  <c r="N15" i="1" s="1"/>
  <c r="AJ40" i="65"/>
  <c r="AI94" i="65"/>
  <c r="AJ27" i="65"/>
  <c r="AI90" i="65"/>
  <c r="AJ43" i="65"/>
  <c r="AI85" i="65"/>
  <c r="AK37" i="65"/>
  <c r="AK92" i="65" s="1"/>
  <c r="AJ92" i="65"/>
  <c r="AJ33" i="65"/>
  <c r="AI84" i="65"/>
  <c r="AK29" i="65"/>
  <c r="AK91" i="65" s="1"/>
  <c r="AJ91" i="65"/>
  <c r="O61" i="65"/>
  <c r="N99" i="65"/>
  <c r="O10" i="1" s="1"/>
  <c r="O18" i="1" s="1"/>
  <c r="O53" i="65"/>
  <c r="O101" i="65" s="1"/>
  <c r="P9" i="1" s="1"/>
  <c r="P17" i="1" s="1"/>
  <c r="O55" i="65"/>
  <c r="O97" i="65" s="1"/>
  <c r="P6" i="1" s="1"/>
  <c r="O48" i="65"/>
  <c r="N96" i="65"/>
  <c r="O59" i="65"/>
  <c r="O105" i="65" s="1"/>
  <c r="O49" i="65"/>
  <c r="O103" i="65" s="1"/>
  <c r="N56" i="65"/>
  <c r="N106" i="65" s="1"/>
  <c r="J495" i="1" l="1"/>
  <c r="AP494" i="1"/>
  <c r="K494" i="1"/>
  <c r="O52" i="65"/>
  <c r="N102" i="65"/>
  <c r="O11" i="1" s="1"/>
  <c r="O19" i="1" s="1"/>
  <c r="P14" i="1"/>
  <c r="O57" i="65"/>
  <c r="O100" i="65" s="1"/>
  <c r="P8" i="1" s="1"/>
  <c r="P16" i="1" s="1"/>
  <c r="O51" i="65"/>
  <c r="O104" i="65" s="1"/>
  <c r="O62" i="65"/>
  <c r="O107" i="65" s="1"/>
  <c r="O65" i="65"/>
  <c r="N98" i="65"/>
  <c r="O7" i="1" s="1"/>
  <c r="O15" i="1" s="1"/>
  <c r="AK33" i="65"/>
  <c r="AK84" i="65" s="1"/>
  <c r="AJ84" i="65"/>
  <c r="AK43" i="65"/>
  <c r="AK85" i="65" s="1"/>
  <c r="AJ85" i="65"/>
  <c r="AK40" i="65"/>
  <c r="AK94" i="65" s="1"/>
  <c r="AJ94" i="65"/>
  <c r="AK27" i="65"/>
  <c r="AK90" i="65" s="1"/>
  <c r="AJ90" i="65"/>
  <c r="P61" i="65"/>
  <c r="O99" i="65"/>
  <c r="P10" i="1" s="1"/>
  <c r="P18" i="1" s="1"/>
  <c r="O56" i="65"/>
  <c r="O106" i="65" s="1"/>
  <c r="P49" i="65"/>
  <c r="P103" i="65" s="1"/>
  <c r="P55" i="65"/>
  <c r="P97" i="65" s="1"/>
  <c r="Q6" i="1" s="1"/>
  <c r="P53" i="65"/>
  <c r="P101" i="65" s="1"/>
  <c r="Q9" i="1" s="1"/>
  <c r="Q17" i="1" s="1"/>
  <c r="P59" i="65"/>
  <c r="P105" i="65" s="1"/>
  <c r="O96" i="65"/>
  <c r="P48" i="65"/>
  <c r="L494" i="1" l="1"/>
  <c r="K495" i="1"/>
  <c r="P52" i="65"/>
  <c r="O102" i="65"/>
  <c r="P11" i="1" s="1"/>
  <c r="P19" i="1" s="1"/>
  <c r="Q14" i="1"/>
  <c r="P57" i="65"/>
  <c r="P100" i="65" s="1"/>
  <c r="Q8" i="1" s="1"/>
  <c r="Q16" i="1" s="1"/>
  <c r="P62" i="65"/>
  <c r="P107" i="65" s="1"/>
  <c r="P51" i="65"/>
  <c r="P104" i="65" s="1"/>
  <c r="P65" i="65"/>
  <c r="O98" i="65"/>
  <c r="P7" i="1" s="1"/>
  <c r="P15" i="1" s="1"/>
  <c r="Q61" i="65"/>
  <c r="P99" i="65"/>
  <c r="Q10" i="1" s="1"/>
  <c r="Q18" i="1" s="1"/>
  <c r="P96" i="65"/>
  <c r="Q48" i="65"/>
  <c r="Q62" i="65"/>
  <c r="Q107" i="65" s="1"/>
  <c r="Q59" i="65"/>
  <c r="Q105" i="65" s="1"/>
  <c r="Q53" i="65"/>
  <c r="Q101" i="65" s="1"/>
  <c r="Q55" i="65"/>
  <c r="Q97" i="65" s="1"/>
  <c r="Q49" i="65"/>
  <c r="Q103" i="65" s="1"/>
  <c r="P56" i="65"/>
  <c r="P106" i="65" s="1"/>
  <c r="L495" i="1" l="1"/>
  <c r="M494" i="1"/>
  <c r="Q52" i="65"/>
  <c r="P102" i="65"/>
  <c r="Q11" i="1" s="1"/>
  <c r="Q19" i="1" s="1"/>
  <c r="Q51" i="65"/>
  <c r="Q104" i="65" s="1"/>
  <c r="Q57" i="65"/>
  <c r="Q100" i="65" s="1"/>
  <c r="Q65" i="65"/>
  <c r="P98" i="65"/>
  <c r="Q7" i="1" s="1"/>
  <c r="Q15" i="1" s="1"/>
  <c r="R61" i="65"/>
  <c r="Q99" i="65"/>
  <c r="Q56" i="65"/>
  <c r="Q106" i="65" s="1"/>
  <c r="R49" i="65"/>
  <c r="R51" i="65"/>
  <c r="R55" i="65"/>
  <c r="R59" i="65"/>
  <c r="R62" i="65"/>
  <c r="Q96" i="65"/>
  <c r="R48" i="65"/>
  <c r="R53" i="65"/>
  <c r="M495" i="1" l="1"/>
  <c r="N494" i="1"/>
  <c r="R52" i="65"/>
  <c r="Q102" i="65"/>
  <c r="R57" i="65"/>
  <c r="R65" i="65"/>
  <c r="Q98" i="65"/>
  <c r="R56" i="65"/>
  <c r="N495" i="1" l="1"/>
  <c r="R494" i="1"/>
  <c r="O494" i="1"/>
  <c r="I154" i="3"/>
  <c r="I145" i="3"/>
  <c r="I92" i="3"/>
  <c r="I87" i="3"/>
  <c r="I77" i="3"/>
  <c r="I76" i="3"/>
  <c r="I54" i="1"/>
  <c r="X21" i="17" s="1"/>
  <c r="AE21" i="17" s="1"/>
  <c r="I62" i="1"/>
  <c r="X23" i="17" s="1"/>
  <c r="AE23" i="17" s="1"/>
  <c r="I74" i="1"/>
  <c r="I82" i="1"/>
  <c r="F25" i="9" s="1"/>
  <c r="I90" i="1"/>
  <c r="D158" i="28" s="1"/>
  <c r="I98" i="1"/>
  <c r="F31" i="9" s="1"/>
  <c r="I106" i="1"/>
  <c r="I114" i="1"/>
  <c r="X30" i="17" s="1"/>
  <c r="AE30" i="17" s="1"/>
  <c r="I122" i="1"/>
  <c r="D233" i="28" s="1"/>
  <c r="I154" i="1"/>
  <c r="I205" i="1"/>
  <c r="I197" i="1"/>
  <c r="F21" i="60" s="1"/>
  <c r="F20" i="60" s="1"/>
  <c r="I257" i="1"/>
  <c r="D443" i="28" s="1"/>
  <c r="I268" i="1"/>
  <c r="I285" i="1" s="1"/>
  <c r="I304" i="1"/>
  <c r="I315" i="1" s="1"/>
  <c r="I328" i="1"/>
  <c r="F40" i="9" s="1"/>
  <c r="I332" i="1"/>
  <c r="I340" i="1"/>
  <c r="D639" i="28" s="1"/>
  <c r="I348" i="1"/>
  <c r="I372" i="1"/>
  <c r="X26" i="17" s="1"/>
  <c r="AE26" i="17" s="1"/>
  <c r="I465" i="1"/>
  <c r="I325" i="13"/>
  <c r="I355" i="13" s="1"/>
  <c r="I55" i="3"/>
  <c r="J57" i="1"/>
  <c r="K57" i="1" s="1"/>
  <c r="L57" i="1" s="1"/>
  <c r="M57" i="1" s="1"/>
  <c r="N57" i="1" s="1"/>
  <c r="O57" i="1" s="1"/>
  <c r="P57" i="1" s="1"/>
  <c r="Q57" i="1" s="1"/>
  <c r="J65" i="1"/>
  <c r="K65" i="1" s="1"/>
  <c r="J77" i="1"/>
  <c r="J85" i="1"/>
  <c r="K85" i="1" s="1"/>
  <c r="L85" i="1" s="1"/>
  <c r="M85" i="1" s="1"/>
  <c r="N85" i="1" s="1"/>
  <c r="O85" i="1" s="1"/>
  <c r="P85" i="1" s="1"/>
  <c r="Q85" i="1" s="1"/>
  <c r="J93" i="1"/>
  <c r="J101" i="1"/>
  <c r="K101" i="1" s="1"/>
  <c r="L101" i="1" s="1"/>
  <c r="M101" i="1" s="1"/>
  <c r="N101" i="1" s="1"/>
  <c r="O101" i="1" s="1"/>
  <c r="P101" i="1" s="1"/>
  <c r="Q101" i="1" s="1"/>
  <c r="J109" i="1"/>
  <c r="K109" i="1" s="1"/>
  <c r="J146" i="1"/>
  <c r="J157" i="1"/>
  <c r="J190" i="1"/>
  <c r="K190" i="1" s="1"/>
  <c r="L190" i="1" s="1"/>
  <c r="M190" i="1" s="1"/>
  <c r="N190" i="1" s="1"/>
  <c r="O190" i="1" s="1"/>
  <c r="J353" i="28" s="1"/>
  <c r="J227" i="1"/>
  <c r="K227" i="1" s="1"/>
  <c r="L227" i="1" s="1"/>
  <c r="M227" i="1" s="1"/>
  <c r="M228" i="1" s="1"/>
  <c r="J260" i="1"/>
  <c r="J388" i="1"/>
  <c r="K388" i="1" s="1"/>
  <c r="L388" i="1" s="1"/>
  <c r="M388" i="1" s="1"/>
  <c r="N388" i="1" s="1"/>
  <c r="O388" i="1" s="1"/>
  <c r="J265" i="1"/>
  <c r="J289" i="1"/>
  <c r="G53" i="60" s="1"/>
  <c r="G54" i="60" s="1"/>
  <c r="J292" i="1"/>
  <c r="K292" i="1" s="1"/>
  <c r="L292" i="1" s="1"/>
  <c r="M292" i="1" s="1"/>
  <c r="N292" i="1" s="1"/>
  <c r="O292" i="1" s="1"/>
  <c r="J295" i="1"/>
  <c r="K295" i="1" s="1"/>
  <c r="L295" i="1" s="1"/>
  <c r="M295" i="1" s="1"/>
  <c r="H549" i="28" s="1"/>
  <c r="J312" i="1"/>
  <c r="J319" i="1"/>
  <c r="J325" i="1"/>
  <c r="K325" i="1" s="1"/>
  <c r="L325" i="1" s="1"/>
  <c r="M325" i="1" s="1"/>
  <c r="N325" i="1" s="1"/>
  <c r="O325" i="1" s="1"/>
  <c r="P325" i="1" s="1"/>
  <c r="Q325" i="1" s="1"/>
  <c r="Q326" i="1" s="1"/>
  <c r="J335" i="1"/>
  <c r="K335" i="1" s="1"/>
  <c r="L335" i="1" s="1"/>
  <c r="M335" i="1" s="1"/>
  <c r="N335" i="1" s="1"/>
  <c r="O335" i="1" s="1"/>
  <c r="P335" i="1" s="1"/>
  <c r="Q335" i="1" s="1"/>
  <c r="J343" i="1"/>
  <c r="K343" i="1" s="1"/>
  <c r="J391" i="1"/>
  <c r="I522" i="1"/>
  <c r="I525" i="1" s="1"/>
  <c r="K140" i="1"/>
  <c r="L140" i="1" s="1"/>
  <c r="M140" i="1" s="1"/>
  <c r="N140" i="1" s="1"/>
  <c r="O140" i="1" s="1"/>
  <c r="J113" i="28" s="1"/>
  <c r="K143" i="1"/>
  <c r="K162" i="1"/>
  <c r="K322" i="1"/>
  <c r="L322" i="1" s="1"/>
  <c r="L165" i="1"/>
  <c r="L162" i="1" s="1"/>
  <c r="I99" i="60" s="1"/>
  <c r="I98" i="60" s="1"/>
  <c r="L224" i="1"/>
  <c r="M224" i="1" s="1"/>
  <c r="M167" i="1"/>
  <c r="N167" i="1" s="1"/>
  <c r="O167" i="1" s="1"/>
  <c r="O168" i="1" s="1"/>
  <c r="H54" i="1"/>
  <c r="E23" i="9" s="1"/>
  <c r="H62" i="1"/>
  <c r="C83" i="28" s="1"/>
  <c r="H74" i="1"/>
  <c r="H82" i="1"/>
  <c r="H90" i="1"/>
  <c r="C158" i="28" s="1"/>
  <c r="H98" i="1"/>
  <c r="W27" i="17" s="1"/>
  <c r="H106" i="1"/>
  <c r="E41" i="60" s="1"/>
  <c r="E42" i="60" s="1"/>
  <c r="H114" i="1"/>
  <c r="H122" i="1"/>
  <c r="H154" i="1"/>
  <c r="H193" i="1" s="1"/>
  <c r="H205" i="1"/>
  <c r="I206" i="1" s="1"/>
  <c r="H197" i="1"/>
  <c r="W22" i="17" s="1"/>
  <c r="H257" i="1"/>
  <c r="C443" i="28" s="1"/>
  <c r="H268" i="1"/>
  <c r="H315" i="1"/>
  <c r="I316" i="1" s="1"/>
  <c r="H328" i="1"/>
  <c r="H332" i="1"/>
  <c r="C624" i="28" s="1"/>
  <c r="H340" i="1"/>
  <c r="C639" i="28" s="1"/>
  <c r="H348" i="1"/>
  <c r="H364" i="1"/>
  <c r="H372" i="1"/>
  <c r="I373" i="1" s="1"/>
  <c r="H465" i="1"/>
  <c r="H497" i="1"/>
  <c r="H325" i="13"/>
  <c r="G54" i="1"/>
  <c r="V21" i="17" s="1"/>
  <c r="G62" i="1"/>
  <c r="G74" i="1"/>
  <c r="B98" i="28" s="1"/>
  <c r="G82" i="1"/>
  <c r="B143" i="28" s="1"/>
  <c r="G90" i="1"/>
  <c r="B158" i="28" s="1"/>
  <c r="G98" i="1"/>
  <c r="D31" i="9" s="1"/>
  <c r="G106" i="1"/>
  <c r="D32" i="9" s="1"/>
  <c r="G114" i="1"/>
  <c r="G122" i="1"/>
  <c r="AD122" i="1" s="1"/>
  <c r="G154" i="1"/>
  <c r="B278" i="28" s="1"/>
  <c r="G364" i="1"/>
  <c r="G197" i="1"/>
  <c r="G257" i="1"/>
  <c r="B443" i="28" s="1"/>
  <c r="G380" i="1"/>
  <c r="G304" i="1"/>
  <c r="G315" i="1" s="1"/>
  <c r="G372" i="1"/>
  <c r="G332" i="1"/>
  <c r="D14" i="9" s="1"/>
  <c r="G340" i="1"/>
  <c r="G348" i="1"/>
  <c r="B654" i="28" s="1"/>
  <c r="G356" i="1"/>
  <c r="G245" i="1"/>
  <c r="G465" i="1"/>
  <c r="G497" i="1"/>
  <c r="G325" i="13"/>
  <c r="I42" i="3"/>
  <c r="I34" i="3"/>
  <c r="I158" i="3"/>
  <c r="I124" i="13"/>
  <c r="I122" i="13"/>
  <c r="I114" i="13"/>
  <c r="I100" i="13"/>
  <c r="I101" i="13" s="1"/>
  <c r="I94" i="13"/>
  <c r="I410" i="13"/>
  <c r="I419" i="13"/>
  <c r="I416" i="13"/>
  <c r="I408" i="13"/>
  <c r="I404" i="13" s="1"/>
  <c r="I395" i="13"/>
  <c r="I364" i="13"/>
  <c r="I363" i="13"/>
  <c r="I357" i="13"/>
  <c r="I356" i="13"/>
  <c r="I352" i="13"/>
  <c r="I351" i="13"/>
  <c r="I347" i="13"/>
  <c r="I342" i="13" s="1"/>
  <c r="I346" i="13"/>
  <c r="I332" i="13"/>
  <c r="I304" i="13"/>
  <c r="I303" i="13"/>
  <c r="I297" i="13"/>
  <c r="I296" i="13"/>
  <c r="I292" i="13"/>
  <c r="I291" i="13"/>
  <c r="I287" i="13"/>
  <c r="I282" i="13" s="1"/>
  <c r="I286" i="13"/>
  <c r="I274" i="13"/>
  <c r="I255" i="13"/>
  <c r="I236" i="13"/>
  <c r="I235" i="13"/>
  <c r="I229" i="13"/>
  <c r="I214" i="13" s="1"/>
  <c r="I228" i="13"/>
  <c r="I224" i="13"/>
  <c r="I223" i="13"/>
  <c r="I206" i="13"/>
  <c r="I201" i="13"/>
  <c r="AL515" i="1"/>
  <c r="AL512" i="1"/>
  <c r="AL510" i="1"/>
  <c r="AL507" i="1"/>
  <c r="AL518" i="1"/>
  <c r="AL438" i="1"/>
  <c r="AL435" i="1"/>
  <c r="AL432" i="1"/>
  <c r="AL429" i="1"/>
  <c r="I519" i="1"/>
  <c r="I516" i="1"/>
  <c r="I513" i="1"/>
  <c r="I511" i="1"/>
  <c r="I508" i="1"/>
  <c r="I489" i="1"/>
  <c r="I492" i="1"/>
  <c r="I439" i="1"/>
  <c r="I436" i="1"/>
  <c r="I433" i="1"/>
  <c r="I430" i="1"/>
  <c r="I392" i="1"/>
  <c r="I344" i="1"/>
  <c r="I336" i="1"/>
  <c r="I320" i="1"/>
  <c r="I274" i="1"/>
  <c r="I272" i="1"/>
  <c r="I261" i="1"/>
  <c r="I211" i="1"/>
  <c r="I209" i="1"/>
  <c r="I158" i="1"/>
  <c r="I110" i="1"/>
  <c r="I102" i="1"/>
  <c r="I94" i="1"/>
  <c r="I86" i="1"/>
  <c r="I78" i="1"/>
  <c r="I66" i="1"/>
  <c r="I60" i="1"/>
  <c r="I58" i="1"/>
  <c r="AL50" i="1"/>
  <c r="AL46" i="1"/>
  <c r="AL43" i="1"/>
  <c r="AL39" i="1"/>
  <c r="I51" i="1"/>
  <c r="I47" i="1"/>
  <c r="I44" i="1"/>
  <c r="I40" i="1"/>
  <c r="L421" i="13"/>
  <c r="M421" i="13" s="1"/>
  <c r="N421" i="13" s="1"/>
  <c r="O421" i="13" s="1"/>
  <c r="P421" i="13" s="1"/>
  <c r="Q421" i="13" s="1"/>
  <c r="Q418" i="13" s="1"/>
  <c r="J422" i="13"/>
  <c r="K422" i="13" s="1"/>
  <c r="L422" i="13" s="1"/>
  <c r="M422" i="13" s="1"/>
  <c r="N422" i="13" s="1"/>
  <c r="O422" i="13" s="1"/>
  <c r="P422" i="13" s="1"/>
  <c r="Q422" i="13" s="1"/>
  <c r="J407" i="13"/>
  <c r="D10" i="15"/>
  <c r="L749" i="28"/>
  <c r="M749" i="28" s="1"/>
  <c r="N749" i="28" s="1"/>
  <c r="O749" i="28" s="1"/>
  <c r="P749" i="28" s="1"/>
  <c r="Q749" i="28" s="1"/>
  <c r="K749" i="28"/>
  <c r="J749" i="28"/>
  <c r="I749" i="28"/>
  <c r="H749" i="28"/>
  <c r="G749" i="28"/>
  <c r="F749" i="28"/>
  <c r="E749" i="28"/>
  <c r="F17" i="26"/>
  <c r="E44" i="28" s="1"/>
  <c r="F458" i="13"/>
  <c r="E458" i="13"/>
  <c r="D458" i="13"/>
  <c r="C458" i="13"/>
  <c r="W4" i="28"/>
  <c r="W5" i="28" s="1"/>
  <c r="W6" i="28" s="1"/>
  <c r="W7" i="28" s="1"/>
  <c r="W8" i="28" s="1"/>
  <c r="W9" i="28" s="1"/>
  <c r="W10" i="28" s="1"/>
  <c r="W11" i="28" s="1"/>
  <c r="W12" i="28" s="1"/>
  <c r="W13" i="28" s="1"/>
  <c r="W14" i="28" s="1"/>
  <c r="W15" i="28" s="1"/>
  <c r="W16" i="28" s="1"/>
  <c r="W17" i="28" s="1"/>
  <c r="W18" i="28" s="1"/>
  <c r="W19" i="28" s="1"/>
  <c r="W20" i="28" s="1"/>
  <c r="W21" i="28" s="1"/>
  <c r="W22" i="28" s="1"/>
  <c r="W23" i="28" s="1"/>
  <c r="W24" i="28" s="1"/>
  <c r="W25" i="28" s="1"/>
  <c r="U24" i="28"/>
  <c r="U25" i="28"/>
  <c r="U26" i="28"/>
  <c r="B413" i="28"/>
  <c r="C338" i="28"/>
  <c r="D338" i="28"/>
  <c r="B338" i="28"/>
  <c r="L343" i="28"/>
  <c r="M343" i="28" s="1"/>
  <c r="N343" i="28" s="1"/>
  <c r="O343" i="28" s="1"/>
  <c r="P343" i="28" s="1"/>
  <c r="Q343" i="28" s="1"/>
  <c r="K343" i="28"/>
  <c r="J343" i="28"/>
  <c r="I343" i="28"/>
  <c r="H343" i="28"/>
  <c r="G343" i="28"/>
  <c r="F343" i="28"/>
  <c r="E343" i="28"/>
  <c r="T341" i="28" a="1"/>
  <c r="T341" i="28" s="1"/>
  <c r="T342" i="28" s="1"/>
  <c r="T416" i="28" a="1"/>
  <c r="T416" i="28" s="1"/>
  <c r="T417" i="28" s="1"/>
  <c r="G16" i="28" a="1"/>
  <c r="G16" i="28" s="1"/>
  <c r="H16" i="28" s="1"/>
  <c r="L734" i="28"/>
  <c r="M734" i="28" s="1"/>
  <c r="N734" i="28" s="1"/>
  <c r="O734" i="28" s="1"/>
  <c r="P734" i="28" s="1"/>
  <c r="Q734" i="28" s="1"/>
  <c r="K734" i="28"/>
  <c r="J734" i="28"/>
  <c r="I734" i="28"/>
  <c r="H734" i="28"/>
  <c r="G734" i="28"/>
  <c r="F734" i="28"/>
  <c r="E734" i="28"/>
  <c r="L719" i="28"/>
  <c r="M719" i="28" s="1"/>
  <c r="N719" i="28" s="1"/>
  <c r="O719" i="28" s="1"/>
  <c r="P719" i="28" s="1"/>
  <c r="Q719" i="28" s="1"/>
  <c r="K719" i="28"/>
  <c r="J719" i="28"/>
  <c r="I719" i="28"/>
  <c r="H719" i="28"/>
  <c r="G719" i="28"/>
  <c r="F719" i="28"/>
  <c r="E719" i="28"/>
  <c r="L58" i="28"/>
  <c r="M58" i="28" s="1"/>
  <c r="N58" i="28" s="1"/>
  <c r="O58" i="28" s="1"/>
  <c r="P58" i="28" s="1"/>
  <c r="Q58" i="28" s="1"/>
  <c r="K58" i="28"/>
  <c r="J58" i="28"/>
  <c r="I58" i="28"/>
  <c r="H58" i="28"/>
  <c r="G58" i="28"/>
  <c r="F58" i="28"/>
  <c r="E58" i="28"/>
  <c r="L704" i="28"/>
  <c r="M704" i="28" s="1"/>
  <c r="N704" i="28" s="1"/>
  <c r="O704" i="28" s="1"/>
  <c r="P704" i="28" s="1"/>
  <c r="Q704" i="28" s="1"/>
  <c r="K704" i="28"/>
  <c r="J704" i="28"/>
  <c r="I704" i="28"/>
  <c r="H704" i="28"/>
  <c r="G704" i="28"/>
  <c r="F704" i="28"/>
  <c r="E704" i="28"/>
  <c r="L689" i="28"/>
  <c r="M689" i="28" s="1"/>
  <c r="N689" i="28" s="1"/>
  <c r="O689" i="28" s="1"/>
  <c r="P689" i="28" s="1"/>
  <c r="Q689" i="28" s="1"/>
  <c r="K689" i="28"/>
  <c r="J689" i="28"/>
  <c r="I689" i="28"/>
  <c r="H689" i="28"/>
  <c r="G689" i="28"/>
  <c r="F689" i="28"/>
  <c r="E689" i="28"/>
  <c r="L674" i="28"/>
  <c r="M674" i="28" s="1"/>
  <c r="N674" i="28" s="1"/>
  <c r="O674" i="28" s="1"/>
  <c r="P674" i="28" s="1"/>
  <c r="Q674" i="28" s="1"/>
  <c r="K674" i="28"/>
  <c r="J674" i="28"/>
  <c r="I674" i="28"/>
  <c r="H674" i="28"/>
  <c r="G674" i="28"/>
  <c r="F674" i="28"/>
  <c r="E674" i="28"/>
  <c r="L659" i="28"/>
  <c r="M659" i="28" s="1"/>
  <c r="N659" i="28" s="1"/>
  <c r="O659" i="28" s="1"/>
  <c r="P659" i="28" s="1"/>
  <c r="Q659" i="28" s="1"/>
  <c r="K659" i="28"/>
  <c r="J659" i="28"/>
  <c r="I659" i="28"/>
  <c r="H659" i="28"/>
  <c r="G659" i="28"/>
  <c r="F659" i="28"/>
  <c r="E659" i="28"/>
  <c r="L644" i="28"/>
  <c r="M644" i="28" s="1"/>
  <c r="N644" i="28" s="1"/>
  <c r="O644" i="28" s="1"/>
  <c r="P644" i="28" s="1"/>
  <c r="Q644" i="28" s="1"/>
  <c r="K644" i="28"/>
  <c r="J644" i="28"/>
  <c r="I644" i="28"/>
  <c r="H644" i="28"/>
  <c r="G644" i="28"/>
  <c r="F644" i="28"/>
  <c r="E644" i="28"/>
  <c r="L629" i="28"/>
  <c r="M629" i="28" s="1"/>
  <c r="N629" i="28" s="1"/>
  <c r="O629" i="28" s="1"/>
  <c r="P629" i="28" s="1"/>
  <c r="Q629" i="28" s="1"/>
  <c r="K629" i="28"/>
  <c r="J629" i="28"/>
  <c r="I629" i="28"/>
  <c r="H629" i="28"/>
  <c r="G629" i="28"/>
  <c r="F629" i="28"/>
  <c r="E629" i="28"/>
  <c r="L614" i="28"/>
  <c r="M614" i="28" s="1"/>
  <c r="N614" i="28" s="1"/>
  <c r="O614" i="28" s="1"/>
  <c r="P614" i="28" s="1"/>
  <c r="Q614" i="28" s="1"/>
  <c r="K614" i="28"/>
  <c r="J614" i="28"/>
  <c r="I614" i="28"/>
  <c r="H614" i="28"/>
  <c r="G614" i="28"/>
  <c r="F614" i="28"/>
  <c r="E614" i="28"/>
  <c r="L599" i="28"/>
  <c r="M599" i="28" s="1"/>
  <c r="N599" i="28" s="1"/>
  <c r="O599" i="28" s="1"/>
  <c r="P599" i="28" s="1"/>
  <c r="Q599" i="28" s="1"/>
  <c r="K599" i="28"/>
  <c r="J599" i="28"/>
  <c r="I599" i="28"/>
  <c r="H599" i="28"/>
  <c r="G599" i="28"/>
  <c r="F599" i="28"/>
  <c r="E599" i="28"/>
  <c r="L584" i="28"/>
  <c r="M584" i="28" s="1"/>
  <c r="N584" i="28" s="1"/>
  <c r="O584" i="28" s="1"/>
  <c r="P584" i="28" s="1"/>
  <c r="Q584" i="28" s="1"/>
  <c r="K584" i="28"/>
  <c r="J584" i="28"/>
  <c r="I584" i="28"/>
  <c r="H584" i="28"/>
  <c r="G584" i="28"/>
  <c r="F584" i="28"/>
  <c r="E584" i="28"/>
  <c r="L569" i="28"/>
  <c r="M569" i="28" s="1"/>
  <c r="N569" i="28" s="1"/>
  <c r="O569" i="28" s="1"/>
  <c r="P569" i="28" s="1"/>
  <c r="Q569" i="28" s="1"/>
  <c r="K569" i="28"/>
  <c r="J569" i="28"/>
  <c r="I569" i="28"/>
  <c r="H569" i="28"/>
  <c r="G569" i="28"/>
  <c r="F569" i="28"/>
  <c r="E569" i="28"/>
  <c r="L554" i="28"/>
  <c r="M554" i="28" s="1"/>
  <c r="N554" i="28" s="1"/>
  <c r="O554" i="28" s="1"/>
  <c r="P554" i="28" s="1"/>
  <c r="Q554" i="28" s="1"/>
  <c r="K554" i="28"/>
  <c r="J554" i="28"/>
  <c r="I554" i="28"/>
  <c r="H554" i="28"/>
  <c r="G554" i="28"/>
  <c r="F554" i="28"/>
  <c r="E554" i="28"/>
  <c r="L539" i="28"/>
  <c r="M539" i="28" s="1"/>
  <c r="N539" i="28" s="1"/>
  <c r="O539" i="28" s="1"/>
  <c r="P539" i="28" s="1"/>
  <c r="Q539" i="28" s="1"/>
  <c r="K539" i="28"/>
  <c r="J539" i="28"/>
  <c r="I539" i="28"/>
  <c r="H539" i="28"/>
  <c r="G539" i="28"/>
  <c r="F539" i="28"/>
  <c r="E539" i="28"/>
  <c r="L524" i="28"/>
  <c r="M524" i="28" s="1"/>
  <c r="N524" i="28" s="1"/>
  <c r="O524" i="28" s="1"/>
  <c r="P524" i="28" s="1"/>
  <c r="Q524" i="28" s="1"/>
  <c r="K524" i="28"/>
  <c r="J524" i="28"/>
  <c r="I524" i="28"/>
  <c r="H524" i="28"/>
  <c r="G524" i="28"/>
  <c r="F524" i="28"/>
  <c r="E524" i="28"/>
  <c r="L509" i="28"/>
  <c r="M509" i="28" s="1"/>
  <c r="N509" i="28" s="1"/>
  <c r="O509" i="28" s="1"/>
  <c r="P509" i="28" s="1"/>
  <c r="Q509" i="28" s="1"/>
  <c r="K509" i="28"/>
  <c r="J509" i="28"/>
  <c r="I509" i="28"/>
  <c r="H509" i="28"/>
  <c r="G509" i="28"/>
  <c r="F509" i="28"/>
  <c r="E509" i="28"/>
  <c r="L493" i="28"/>
  <c r="M493" i="28" s="1"/>
  <c r="N493" i="28" s="1"/>
  <c r="O493" i="28" s="1"/>
  <c r="P493" i="28" s="1"/>
  <c r="Q493" i="28" s="1"/>
  <c r="K493" i="28"/>
  <c r="J493" i="28"/>
  <c r="I493" i="28"/>
  <c r="H493" i="28"/>
  <c r="G493" i="28"/>
  <c r="F493" i="28"/>
  <c r="E493" i="28"/>
  <c r="L478" i="28"/>
  <c r="M478" i="28" s="1"/>
  <c r="N478" i="28" s="1"/>
  <c r="O478" i="28" s="1"/>
  <c r="P478" i="28" s="1"/>
  <c r="Q478" i="28" s="1"/>
  <c r="K478" i="28"/>
  <c r="J478" i="28"/>
  <c r="I478" i="28"/>
  <c r="H478" i="28"/>
  <c r="G478" i="28"/>
  <c r="F478" i="28"/>
  <c r="E478" i="28"/>
  <c r="L463" i="28"/>
  <c r="M463" i="28" s="1"/>
  <c r="N463" i="28" s="1"/>
  <c r="O463" i="28" s="1"/>
  <c r="P463" i="28" s="1"/>
  <c r="Q463" i="28" s="1"/>
  <c r="K463" i="28"/>
  <c r="J463" i="28"/>
  <c r="I463" i="28"/>
  <c r="H463" i="28"/>
  <c r="G463" i="28"/>
  <c r="F463" i="28"/>
  <c r="E463" i="28"/>
  <c r="L448" i="28"/>
  <c r="M448" i="28" s="1"/>
  <c r="N448" i="28" s="1"/>
  <c r="O448" i="28" s="1"/>
  <c r="P448" i="28" s="1"/>
  <c r="Q448" i="28" s="1"/>
  <c r="K448" i="28"/>
  <c r="J448" i="28"/>
  <c r="I448" i="28"/>
  <c r="H448" i="28"/>
  <c r="G448" i="28"/>
  <c r="F448" i="28"/>
  <c r="E448" i="28"/>
  <c r="L433" i="28"/>
  <c r="M433" i="28" s="1"/>
  <c r="N433" i="28" s="1"/>
  <c r="O433" i="28" s="1"/>
  <c r="P433" i="28" s="1"/>
  <c r="Q433" i="28" s="1"/>
  <c r="K433" i="28"/>
  <c r="J433" i="28"/>
  <c r="I433" i="28"/>
  <c r="H433" i="28"/>
  <c r="G433" i="28"/>
  <c r="F433" i="28"/>
  <c r="E433" i="28"/>
  <c r="L418" i="28"/>
  <c r="M418" i="28" s="1"/>
  <c r="N418" i="28" s="1"/>
  <c r="O418" i="28" s="1"/>
  <c r="P418" i="28" s="1"/>
  <c r="Q418" i="28" s="1"/>
  <c r="K418" i="28"/>
  <c r="J418" i="28"/>
  <c r="I418" i="28"/>
  <c r="H418" i="28"/>
  <c r="G418" i="28"/>
  <c r="F418" i="28"/>
  <c r="E418" i="28"/>
  <c r="L403" i="28"/>
  <c r="M403" i="28" s="1"/>
  <c r="N403" i="28" s="1"/>
  <c r="O403" i="28" s="1"/>
  <c r="P403" i="28" s="1"/>
  <c r="Q403" i="28" s="1"/>
  <c r="K403" i="28"/>
  <c r="J403" i="28"/>
  <c r="I403" i="28"/>
  <c r="H403" i="28"/>
  <c r="G403" i="28"/>
  <c r="F403" i="28"/>
  <c r="E403" i="28"/>
  <c r="L388" i="28"/>
  <c r="M388" i="28" s="1"/>
  <c r="N388" i="28" s="1"/>
  <c r="O388" i="28" s="1"/>
  <c r="P388" i="28" s="1"/>
  <c r="Q388" i="28" s="1"/>
  <c r="K388" i="28"/>
  <c r="J388" i="28"/>
  <c r="I388" i="28"/>
  <c r="H388" i="28"/>
  <c r="G388" i="28"/>
  <c r="F388" i="28"/>
  <c r="E388" i="28"/>
  <c r="L373" i="28"/>
  <c r="M373" i="28" s="1"/>
  <c r="N373" i="28" s="1"/>
  <c r="O373" i="28" s="1"/>
  <c r="P373" i="28" s="1"/>
  <c r="Q373" i="28" s="1"/>
  <c r="K373" i="28"/>
  <c r="J373" i="28"/>
  <c r="I373" i="28"/>
  <c r="H373" i="28"/>
  <c r="G373" i="28"/>
  <c r="F373" i="28"/>
  <c r="E373" i="28"/>
  <c r="L358" i="28"/>
  <c r="M358" i="28" s="1"/>
  <c r="N358" i="28" s="1"/>
  <c r="O358" i="28" s="1"/>
  <c r="P358" i="28" s="1"/>
  <c r="Q358" i="28" s="1"/>
  <c r="K358" i="28"/>
  <c r="J358" i="28"/>
  <c r="I358" i="28"/>
  <c r="H358" i="28"/>
  <c r="G358" i="28"/>
  <c r="F358" i="28"/>
  <c r="E358" i="28"/>
  <c r="L328" i="28"/>
  <c r="M328" i="28" s="1"/>
  <c r="N328" i="28" s="1"/>
  <c r="O328" i="28" s="1"/>
  <c r="P328" i="28" s="1"/>
  <c r="Q328" i="28" s="1"/>
  <c r="K328" i="28"/>
  <c r="J328" i="28"/>
  <c r="I328" i="28"/>
  <c r="H328" i="28"/>
  <c r="G328" i="28"/>
  <c r="F328" i="28"/>
  <c r="E328" i="28"/>
  <c r="L298" i="28"/>
  <c r="M298" i="28" s="1"/>
  <c r="N298" i="28" s="1"/>
  <c r="O298" i="28" s="1"/>
  <c r="P298" i="28" s="1"/>
  <c r="Q298" i="28" s="1"/>
  <c r="K298" i="28"/>
  <c r="J298" i="28"/>
  <c r="I298" i="28"/>
  <c r="H298" i="28"/>
  <c r="G298" i="28"/>
  <c r="F298" i="28"/>
  <c r="E298" i="28"/>
  <c r="L283" i="28"/>
  <c r="M283" i="28" s="1"/>
  <c r="N283" i="28" s="1"/>
  <c r="O283" i="28" s="1"/>
  <c r="P283" i="28" s="1"/>
  <c r="Q283" i="28" s="1"/>
  <c r="K283" i="28"/>
  <c r="J283" i="28"/>
  <c r="I283" i="28"/>
  <c r="H283" i="28"/>
  <c r="G283" i="28"/>
  <c r="F283" i="28"/>
  <c r="E283" i="28"/>
  <c r="L268" i="28"/>
  <c r="M268" i="28" s="1"/>
  <c r="N268" i="28" s="1"/>
  <c r="O268" i="28" s="1"/>
  <c r="P268" i="28" s="1"/>
  <c r="Q268" i="28" s="1"/>
  <c r="K268" i="28"/>
  <c r="J268" i="28"/>
  <c r="I268" i="28"/>
  <c r="H268" i="28"/>
  <c r="G268" i="28"/>
  <c r="F268" i="28"/>
  <c r="E268" i="28"/>
  <c r="L133" i="28"/>
  <c r="M133" i="28" s="1"/>
  <c r="N133" i="28" s="1"/>
  <c r="O133" i="28" s="1"/>
  <c r="P133" i="28" s="1"/>
  <c r="Q133" i="28" s="1"/>
  <c r="K133" i="28"/>
  <c r="J133" i="28"/>
  <c r="I133" i="28"/>
  <c r="H133" i="28"/>
  <c r="G133" i="28"/>
  <c r="F133" i="28"/>
  <c r="E133" i="28"/>
  <c r="L118" i="28"/>
  <c r="M118" i="28" s="1"/>
  <c r="N118" i="28" s="1"/>
  <c r="O118" i="28" s="1"/>
  <c r="P118" i="28" s="1"/>
  <c r="Q118" i="28" s="1"/>
  <c r="K118" i="28"/>
  <c r="J118" i="28"/>
  <c r="I118" i="28"/>
  <c r="H118" i="28"/>
  <c r="G118" i="28"/>
  <c r="F118" i="28"/>
  <c r="E118" i="28"/>
  <c r="L103" i="28"/>
  <c r="M103" i="28" s="1"/>
  <c r="N103" i="28" s="1"/>
  <c r="O103" i="28" s="1"/>
  <c r="P103" i="28" s="1"/>
  <c r="Q103" i="28" s="1"/>
  <c r="K103" i="28"/>
  <c r="J103" i="28"/>
  <c r="I103" i="28"/>
  <c r="H103" i="28"/>
  <c r="G103" i="28"/>
  <c r="F103" i="28"/>
  <c r="E103" i="28"/>
  <c r="L88" i="28"/>
  <c r="M88" i="28" s="1"/>
  <c r="N88" i="28" s="1"/>
  <c r="O88" i="28" s="1"/>
  <c r="P88" i="28" s="1"/>
  <c r="Q88" i="28" s="1"/>
  <c r="K88" i="28"/>
  <c r="J88" i="28"/>
  <c r="I88" i="28"/>
  <c r="H88" i="28"/>
  <c r="G88" i="28"/>
  <c r="F88" i="28"/>
  <c r="E88" i="28"/>
  <c r="L73" i="28"/>
  <c r="M73" i="28" s="1"/>
  <c r="N73" i="28" s="1"/>
  <c r="O73" i="28" s="1"/>
  <c r="P73" i="28" s="1"/>
  <c r="Q73" i="28" s="1"/>
  <c r="K73" i="28"/>
  <c r="J73" i="28"/>
  <c r="I73" i="28"/>
  <c r="H73" i="28"/>
  <c r="G73" i="28"/>
  <c r="F73" i="28"/>
  <c r="E73" i="28"/>
  <c r="E41" i="28"/>
  <c r="F41" i="28"/>
  <c r="G41" i="28"/>
  <c r="H41" i="28"/>
  <c r="I41" i="28"/>
  <c r="J41" i="28"/>
  <c r="K41" i="28"/>
  <c r="L41" i="28"/>
  <c r="G14" i="28" a="1"/>
  <c r="G14" i="28" s="1"/>
  <c r="H14" i="28" s="1"/>
  <c r="A7" i="28"/>
  <c r="U7" i="28" s="1"/>
  <c r="A8" i="28"/>
  <c r="U8" i="28" s="1"/>
  <c r="A11" i="28"/>
  <c r="U11" i="28" s="1"/>
  <c r="A15" i="28"/>
  <c r="U15" i="28" s="1"/>
  <c r="A14" i="28"/>
  <c r="U14" i="28" s="1"/>
  <c r="F398" i="28"/>
  <c r="B353" i="28"/>
  <c r="AA79" i="13"/>
  <c r="G8" i="28" a="1"/>
  <c r="G8" i="28" s="1"/>
  <c r="H8" i="28" s="1"/>
  <c r="G7" i="28" a="1"/>
  <c r="G7" i="28" s="1"/>
  <c r="H7" i="28" s="1"/>
  <c r="D128" i="28"/>
  <c r="E128" i="28"/>
  <c r="G6" i="28" a="1"/>
  <c r="G6" i="28" s="1"/>
  <c r="H6" i="28" s="1"/>
  <c r="E113" i="28"/>
  <c r="D113" i="28"/>
  <c r="G34" i="17"/>
  <c r="D43" i="17"/>
  <c r="E43" i="17"/>
  <c r="G43" i="17"/>
  <c r="H43" i="17"/>
  <c r="I43" i="17"/>
  <c r="O1" i="17"/>
  <c r="AP166" i="13"/>
  <c r="AO166" i="13"/>
  <c r="AN166" i="13"/>
  <c r="AM166" i="13"/>
  <c r="AP153" i="13"/>
  <c r="AO153" i="13"/>
  <c r="AN153" i="13"/>
  <c r="AM153" i="13"/>
  <c r="AP129" i="13"/>
  <c r="AO113" i="13"/>
  <c r="AN113" i="13"/>
  <c r="AM113" i="13"/>
  <c r="AO112" i="13"/>
  <c r="AN112" i="13"/>
  <c r="AO111" i="13"/>
  <c r="AN111" i="13"/>
  <c r="AM111" i="13"/>
  <c r="AO103" i="13"/>
  <c r="AP64" i="13"/>
  <c r="AP85" i="13" s="1"/>
  <c r="AO64" i="13"/>
  <c r="AO85" i="13" s="1"/>
  <c r="AN64" i="13"/>
  <c r="AN85" i="13" s="1"/>
  <c r="AM64" i="13"/>
  <c r="AM85" i="13" s="1"/>
  <c r="AO45" i="13"/>
  <c r="AN45" i="13"/>
  <c r="AM45" i="13"/>
  <c r="AP19" i="13"/>
  <c r="AP55" i="13" s="1"/>
  <c r="AO19" i="13"/>
  <c r="AO55" i="13" s="1"/>
  <c r="AN19" i="13"/>
  <c r="AN55" i="13" s="1"/>
  <c r="AM19" i="13"/>
  <c r="AM55" i="13" s="1"/>
  <c r="AM429" i="13"/>
  <c r="AM428" i="13"/>
  <c r="AO421" i="13"/>
  <c r="AO418" i="13" s="1"/>
  <c r="AN421" i="13"/>
  <c r="AM421" i="13"/>
  <c r="AP416" i="13"/>
  <c r="AO409" i="13"/>
  <c r="AN409" i="13"/>
  <c r="AM408" i="13"/>
  <c r="AO394" i="13"/>
  <c r="AO396" i="13" s="1"/>
  <c r="AN394" i="13"/>
  <c r="AN396" i="13" s="1"/>
  <c r="AM396" i="13"/>
  <c r="AP388" i="13"/>
  <c r="AP386" i="13"/>
  <c r="AO386" i="13"/>
  <c r="AN386" i="13"/>
  <c r="AM386" i="13"/>
  <c r="AP364" i="13"/>
  <c r="AP363" i="13"/>
  <c r="AO361" i="13"/>
  <c r="AN361" i="13"/>
  <c r="AO360" i="13"/>
  <c r="AO366" i="13" s="1"/>
  <c r="AN360" i="13"/>
  <c r="AN366" i="13" s="1"/>
  <c r="AP357" i="13"/>
  <c r="AP352" i="13"/>
  <c r="AP347" i="13"/>
  <c r="AO362" i="13"/>
  <c r="AN362" i="13"/>
  <c r="AM362" i="13"/>
  <c r="AP324" i="13"/>
  <c r="AO324" i="13"/>
  <c r="AN324" i="13"/>
  <c r="AM324" i="13"/>
  <c r="AP320" i="13"/>
  <c r="AP304" i="13"/>
  <c r="AP303" i="13"/>
  <c r="AO301" i="13"/>
  <c r="AO307" i="13" s="1"/>
  <c r="AN301" i="13"/>
  <c r="AN307" i="13" s="1"/>
  <c r="AO300" i="13"/>
  <c r="AO306" i="13" s="1"/>
  <c r="AN300" i="13"/>
  <c r="AP297" i="13"/>
  <c r="AP292" i="13"/>
  <c r="AP287" i="13"/>
  <c r="AO302" i="13"/>
  <c r="AN302" i="13"/>
  <c r="AP266" i="13"/>
  <c r="AO266" i="13"/>
  <c r="AN266" i="13"/>
  <c r="AM266" i="13"/>
  <c r="AO255" i="13"/>
  <c r="AN255" i="13"/>
  <c r="AP253" i="13"/>
  <c r="AP236" i="13"/>
  <c r="AP235" i="13"/>
  <c r="AP229" i="13"/>
  <c r="AP224" i="13"/>
  <c r="AP219" i="13"/>
  <c r="AP201" i="13"/>
  <c r="AO234" i="13"/>
  <c r="AN234" i="13"/>
  <c r="AP195" i="13"/>
  <c r="AO195" i="13"/>
  <c r="AN195" i="13"/>
  <c r="AM195" i="13"/>
  <c r="AO391" i="1"/>
  <c r="AO392" i="1" s="1"/>
  <c r="AN391" i="1"/>
  <c r="AN392" i="1" s="1"/>
  <c r="AM392" i="1"/>
  <c r="AO343" i="1"/>
  <c r="AN343" i="1"/>
  <c r="AO335" i="1"/>
  <c r="AN335" i="1"/>
  <c r="AP322" i="1"/>
  <c r="AO325" i="1"/>
  <c r="AN325" i="1"/>
  <c r="AN326" i="1" s="1"/>
  <c r="AM326" i="1"/>
  <c r="AO319" i="1"/>
  <c r="AO320" i="1" s="1"/>
  <c r="AN319" i="1"/>
  <c r="AO312" i="1"/>
  <c r="AO313" i="1" s="1"/>
  <c r="AN312" i="1"/>
  <c r="AN313" i="1" s="1"/>
  <c r="AM313" i="1"/>
  <c r="AO295" i="1"/>
  <c r="AN295" i="1"/>
  <c r="AN296" i="1" s="1"/>
  <c r="AO292" i="1"/>
  <c r="AO293" i="1" s="1"/>
  <c r="AN292" i="1"/>
  <c r="AN293" i="1" s="1"/>
  <c r="AM293" i="1"/>
  <c r="AO289" i="1"/>
  <c r="AO290" i="1" s="1"/>
  <c r="AN289" i="1"/>
  <c r="AN290" i="1" s="1"/>
  <c r="AO276" i="1"/>
  <c r="AO277" i="1" s="1"/>
  <c r="AN276" i="1"/>
  <c r="AN277" i="1" s="1"/>
  <c r="AO388" i="1"/>
  <c r="AO389" i="1" s="1"/>
  <c r="AN388" i="1"/>
  <c r="AN389" i="1" s="1"/>
  <c r="AM389" i="1"/>
  <c r="AO265" i="1"/>
  <c r="AN265" i="1"/>
  <c r="AM266" i="1"/>
  <c r="AO268" i="1"/>
  <c r="AN268" i="1"/>
  <c r="AN269" i="1" s="1"/>
  <c r="AO260" i="1"/>
  <c r="AN260" i="1"/>
  <c r="AO190" i="1"/>
  <c r="AO191" i="1" s="1"/>
  <c r="AN190" i="1"/>
  <c r="AN191" i="1" s="1"/>
  <c r="AM191" i="1"/>
  <c r="AO157" i="1"/>
  <c r="AN157" i="1"/>
  <c r="AP117" i="1"/>
  <c r="AO146" i="1"/>
  <c r="AN146" i="1"/>
  <c r="AP140" i="1"/>
  <c r="AN125" i="1"/>
  <c r="AO109" i="1"/>
  <c r="AN109" i="1"/>
  <c r="AO101" i="1"/>
  <c r="AN101" i="1"/>
  <c r="AO93" i="1"/>
  <c r="AN93" i="1"/>
  <c r="AO85" i="1"/>
  <c r="AN85" i="1"/>
  <c r="AO77" i="1"/>
  <c r="AN77" i="1"/>
  <c r="AO65" i="1"/>
  <c r="AN65" i="1"/>
  <c r="AO57" i="1"/>
  <c r="AN57" i="1"/>
  <c r="AP143" i="1"/>
  <c r="A256" i="60"/>
  <c r="A273" i="60" s="1"/>
  <c r="A249" i="60"/>
  <c r="A266" i="60" s="1"/>
  <c r="A283" i="60" s="1"/>
  <c r="A253" i="60"/>
  <c r="A270" i="60" s="1"/>
  <c r="A287" i="60" s="1"/>
  <c r="A252" i="60"/>
  <c r="A269" i="60" s="1"/>
  <c r="A286" i="60" s="1"/>
  <c r="A251" i="60"/>
  <c r="A268" i="60" s="1"/>
  <c r="A285" i="60" s="1"/>
  <c r="A250" i="60"/>
  <c r="A267" i="60" s="1"/>
  <c r="A284" i="60" s="1"/>
  <c r="A248" i="60"/>
  <c r="A265" i="60" s="1"/>
  <c r="A282" i="60" s="1"/>
  <c r="A247" i="60"/>
  <c r="A264" i="60" s="1"/>
  <c r="A281" i="60" s="1"/>
  <c r="A246" i="60"/>
  <c r="A263" i="60" s="1"/>
  <c r="A280" i="60" s="1"/>
  <c r="A245" i="60"/>
  <c r="A262" i="60" s="1"/>
  <c r="A279" i="60" s="1"/>
  <c r="A244" i="60"/>
  <c r="A261" i="60" s="1"/>
  <c r="A278" i="60" s="1"/>
  <c r="A243" i="60"/>
  <c r="A260" i="60" s="1"/>
  <c r="A277" i="60" s="1"/>
  <c r="A242" i="60"/>
  <c r="A259" i="60" s="1"/>
  <c r="A276" i="60" s="1"/>
  <c r="A241" i="60"/>
  <c r="A258" i="60" s="1"/>
  <c r="A275" i="60" s="1"/>
  <c r="A240" i="60"/>
  <c r="A257" i="60" s="1"/>
  <c r="A274" i="60" s="1"/>
  <c r="A238" i="60"/>
  <c r="A255" i="60" s="1"/>
  <c r="A272" i="60" s="1"/>
  <c r="F184" i="60"/>
  <c r="F183" i="60"/>
  <c r="G91" i="60"/>
  <c r="G90" i="60" s="1"/>
  <c r="E45" i="38"/>
  <c r="F45" i="38" s="1"/>
  <c r="G45" i="38" s="1"/>
  <c r="H45" i="38" s="1"/>
  <c r="I45" i="38" s="1"/>
  <c r="J45" i="38" s="1"/>
  <c r="K45" i="38" s="1"/>
  <c r="L45" i="38" s="1"/>
  <c r="M45" i="38" s="1"/>
  <c r="N45" i="38" s="1"/>
  <c r="O45" i="38" s="1"/>
  <c r="P45" i="38" s="1"/>
  <c r="Q45" i="38" s="1"/>
  <c r="R45" i="38" s="1"/>
  <c r="S45" i="38" s="1"/>
  <c r="T45" i="38" s="1"/>
  <c r="T37" i="38"/>
  <c r="S37" i="38"/>
  <c r="R37" i="38"/>
  <c r="Q37" i="38"/>
  <c r="P37" i="38"/>
  <c r="O37" i="38"/>
  <c r="N37" i="38"/>
  <c r="M37" i="38"/>
  <c r="L37" i="38"/>
  <c r="K37" i="38"/>
  <c r="J37" i="38"/>
  <c r="I37" i="38"/>
  <c r="H37" i="38"/>
  <c r="G37" i="38"/>
  <c r="F37" i="38"/>
  <c r="E37" i="38"/>
  <c r="D37" i="38"/>
  <c r="E35" i="38"/>
  <c r="F35" i="38" s="1"/>
  <c r="G35" i="38" s="1"/>
  <c r="H35" i="38" s="1"/>
  <c r="I35" i="38" s="1"/>
  <c r="J35" i="38" s="1"/>
  <c r="K35" i="38" s="1"/>
  <c r="L35" i="38" s="1"/>
  <c r="M35" i="38" s="1"/>
  <c r="N35" i="38" s="1"/>
  <c r="O35" i="38" s="1"/>
  <c r="P35" i="38" s="1"/>
  <c r="Q35" i="38" s="1"/>
  <c r="R35" i="38" s="1"/>
  <c r="S35" i="38" s="1"/>
  <c r="T35" i="38" s="1"/>
  <c r="D32" i="38"/>
  <c r="D34" i="38" s="1"/>
  <c r="D36" i="38" s="1"/>
  <c r="T28" i="38"/>
  <c r="S28" i="38"/>
  <c r="R28" i="38"/>
  <c r="Q28" i="38"/>
  <c r="P28" i="38"/>
  <c r="O28" i="38"/>
  <c r="N28" i="38"/>
  <c r="M28" i="38"/>
  <c r="T26" i="38"/>
  <c r="S26" i="38"/>
  <c r="R26" i="38"/>
  <c r="Q26" i="38"/>
  <c r="P26" i="38"/>
  <c r="O26" i="38"/>
  <c r="N26" i="38"/>
  <c r="M26" i="38"/>
  <c r="L26" i="38"/>
  <c r="K26" i="38"/>
  <c r="J26" i="38"/>
  <c r="I26" i="38"/>
  <c r="H26" i="38"/>
  <c r="G26" i="38"/>
  <c r="F26" i="38"/>
  <c r="E26" i="38"/>
  <c r="D26" i="38"/>
  <c r="E24" i="38"/>
  <c r="F24" i="38" s="1"/>
  <c r="G24" i="38" s="1"/>
  <c r="H24" i="38" s="1"/>
  <c r="I24" i="38" s="1"/>
  <c r="J24" i="38" s="1"/>
  <c r="K24" i="38" s="1"/>
  <c r="L24" i="38" s="1"/>
  <c r="M24" i="38" s="1"/>
  <c r="N24" i="38" s="1"/>
  <c r="O24" i="38" s="1"/>
  <c r="P24" i="38" s="1"/>
  <c r="Q24" i="38" s="1"/>
  <c r="R24" i="38" s="1"/>
  <c r="S24" i="38" s="1"/>
  <c r="T24" i="38" s="1"/>
  <c r="E22" i="38"/>
  <c r="F22" i="38" s="1"/>
  <c r="G22" i="38" s="1"/>
  <c r="H22" i="38" s="1"/>
  <c r="I22" i="38" s="1"/>
  <c r="J22" i="38" s="1"/>
  <c r="K22" i="38" s="1"/>
  <c r="L22" i="38" s="1"/>
  <c r="M22" i="38" s="1"/>
  <c r="N22" i="38" s="1"/>
  <c r="O22" i="38" s="1"/>
  <c r="P22" i="38" s="1"/>
  <c r="Q22" i="38" s="1"/>
  <c r="R22" i="38" s="1"/>
  <c r="S22" i="38" s="1"/>
  <c r="T22" i="38" s="1"/>
  <c r="E19" i="38"/>
  <c r="D18" i="38"/>
  <c r="D21" i="38" s="1"/>
  <c r="D23" i="38" s="1"/>
  <c r="D25" i="38" s="1"/>
  <c r="D30" i="38" s="1"/>
  <c r="E16" i="38"/>
  <c r="F16" i="38" s="1"/>
  <c r="E15" i="38"/>
  <c r="F15" i="38" s="1"/>
  <c r="G15" i="38" s="1"/>
  <c r="H15" i="38" s="1"/>
  <c r="I15" i="38" s="1"/>
  <c r="J15" i="38" s="1"/>
  <c r="K15" i="38" s="1"/>
  <c r="L15" i="38" s="1"/>
  <c r="M15" i="38" s="1"/>
  <c r="N15" i="38" s="1"/>
  <c r="O15" i="38" s="1"/>
  <c r="P15" i="38" s="1"/>
  <c r="Q15" i="38" s="1"/>
  <c r="R15" i="38" s="1"/>
  <c r="S15" i="38" s="1"/>
  <c r="T15" i="38" s="1"/>
  <c r="E729" i="28"/>
  <c r="D729" i="28"/>
  <c r="C714" i="28"/>
  <c r="B714" i="28"/>
  <c r="T687" i="28" a="1"/>
  <c r="T687" i="28" s="1"/>
  <c r="T688" i="28" s="1"/>
  <c r="C684" i="28"/>
  <c r="T672" i="28" a="1"/>
  <c r="T672" i="28" s="1"/>
  <c r="T673" i="28" s="1"/>
  <c r="C669" i="28"/>
  <c r="T657" i="28" a="1"/>
  <c r="T657" i="28" s="1"/>
  <c r="T658" i="28" s="1"/>
  <c r="T582" i="28" a="1"/>
  <c r="T582" i="28" s="1"/>
  <c r="T583" i="28" s="1"/>
  <c r="C579" i="28"/>
  <c r="B579" i="28"/>
  <c r="T567" i="28" a="1"/>
  <c r="T567" i="28" s="1"/>
  <c r="T568" i="28" s="1"/>
  <c r="C564" i="28"/>
  <c r="B564" i="28"/>
  <c r="T552" i="28" a="1"/>
  <c r="T552" i="28" s="1"/>
  <c r="T553" i="28" s="1"/>
  <c r="C549" i="28"/>
  <c r="B549" i="28"/>
  <c r="T537" i="28" a="1"/>
  <c r="T537" i="28" s="1"/>
  <c r="T538" i="28" s="1"/>
  <c r="C534" i="28"/>
  <c r="T522" i="28" a="1"/>
  <c r="T522" i="28" s="1"/>
  <c r="T523" i="28" s="1"/>
  <c r="C519" i="28"/>
  <c r="B519" i="28"/>
  <c r="T491" i="28" a="1"/>
  <c r="T491" i="28" s="1"/>
  <c r="T492" i="28" s="1"/>
  <c r="C488" i="28"/>
  <c r="B488" i="28"/>
  <c r="T476" i="28" a="1"/>
  <c r="T476" i="28" s="1"/>
  <c r="T477" i="28" s="1"/>
  <c r="C473" i="28"/>
  <c r="B473" i="28"/>
  <c r="T461" i="28" a="1"/>
  <c r="T461" i="28" s="1"/>
  <c r="T462" i="28" s="1"/>
  <c r="C458" i="28"/>
  <c r="B428" i="28"/>
  <c r="T356" i="28" a="1"/>
  <c r="T356" i="28" s="1"/>
  <c r="T357" i="28" s="1"/>
  <c r="C353" i="28"/>
  <c r="T326" i="28" a="1"/>
  <c r="T326" i="28" s="1"/>
  <c r="T327" i="28" s="1"/>
  <c r="T251" i="28" a="1"/>
  <c r="T251" i="28" s="1"/>
  <c r="T252" i="28" s="1"/>
  <c r="C248" i="28"/>
  <c r="B248" i="28"/>
  <c r="T191" i="28" a="1"/>
  <c r="T191" i="28" s="1"/>
  <c r="T192" i="28" s="1"/>
  <c r="C188" i="28"/>
  <c r="B188" i="28"/>
  <c r="T176" i="28" a="1"/>
  <c r="T176" i="28" s="1"/>
  <c r="T177" i="28" s="1"/>
  <c r="T161" i="28" a="1"/>
  <c r="T161" i="28" s="1"/>
  <c r="T162" i="28" s="1"/>
  <c r="C36" i="28"/>
  <c r="B36" i="28"/>
  <c r="A23" i="28"/>
  <c r="U23" i="28" s="1"/>
  <c r="A22" i="28"/>
  <c r="U22" i="28" s="1"/>
  <c r="A21" i="28"/>
  <c r="U21" i="28" s="1"/>
  <c r="A20" i="28"/>
  <c r="U20" i="28" s="1"/>
  <c r="A19" i="28"/>
  <c r="U19" i="28" s="1"/>
  <c r="A18" i="28"/>
  <c r="U18" i="28" s="1"/>
  <c r="A17" i="28"/>
  <c r="U17" i="28" s="1"/>
  <c r="A16" i="28"/>
  <c r="U16" i="28" s="1"/>
  <c r="A13" i="28"/>
  <c r="U13" i="28" s="1"/>
  <c r="A12" i="28"/>
  <c r="U12" i="28" s="1"/>
  <c r="A10" i="28"/>
  <c r="U10" i="28" s="1"/>
  <c r="A9" i="28"/>
  <c r="U9" i="28" s="1"/>
  <c r="A6" i="28"/>
  <c r="U6" i="28" s="1"/>
  <c r="A5" i="28"/>
  <c r="A4" i="28"/>
  <c r="U4" i="28" s="1"/>
  <c r="A3" i="28"/>
  <c r="G23" i="28" a="1"/>
  <c r="G23" i="28" s="1"/>
  <c r="G22" i="28" a="1"/>
  <c r="G22" i="28" s="1"/>
  <c r="H22" i="28" s="1"/>
  <c r="G13" i="28" a="1"/>
  <c r="G13" i="28" s="1"/>
  <c r="H13" i="28" s="1"/>
  <c r="G5" i="28" a="1"/>
  <c r="G5" i="28" s="1"/>
  <c r="H5" i="28" s="1"/>
  <c r="C43" i="26"/>
  <c r="D9" i="26"/>
  <c r="D6" i="26"/>
  <c r="N15" i="26"/>
  <c r="O15" i="26" s="1"/>
  <c r="P15" i="26" s="1"/>
  <c r="Q15" i="26" s="1"/>
  <c r="R15" i="26" s="1"/>
  <c r="S15" i="26" s="1"/>
  <c r="T15" i="26" s="1"/>
  <c r="U15" i="26" s="1"/>
  <c r="V15" i="26" s="1"/>
  <c r="W15" i="26" s="1"/>
  <c r="N13" i="26"/>
  <c r="O13" i="26" s="1"/>
  <c r="P13" i="26" s="1"/>
  <c r="Q13" i="26" s="1"/>
  <c r="R13" i="26" s="1"/>
  <c r="S13" i="26" s="1"/>
  <c r="T13" i="26" s="1"/>
  <c r="U13" i="26" s="1"/>
  <c r="V13" i="26" s="1"/>
  <c r="W13" i="26" s="1"/>
  <c r="N7" i="26"/>
  <c r="O7" i="26" s="1"/>
  <c r="R7" i="26" s="1"/>
  <c r="U7" i="26" s="1"/>
  <c r="M7" i="26"/>
  <c r="P7" i="26" s="1"/>
  <c r="L7" i="26"/>
  <c r="K7" i="26"/>
  <c r="J7" i="26"/>
  <c r="I7" i="26"/>
  <c r="H7" i="26"/>
  <c r="G7" i="26"/>
  <c r="F7" i="26"/>
  <c r="N5" i="26"/>
  <c r="O5" i="26" s="1"/>
  <c r="P5" i="26" s="1"/>
  <c r="Q5" i="26" s="1"/>
  <c r="R5" i="26" s="1"/>
  <c r="S5" i="26" s="1"/>
  <c r="T5" i="26" s="1"/>
  <c r="N3" i="26"/>
  <c r="O3" i="26" s="1"/>
  <c r="P3" i="26" s="1"/>
  <c r="Q3" i="26" s="1"/>
  <c r="R3" i="26" s="1"/>
  <c r="S3" i="26" s="1"/>
  <c r="T3" i="26" s="1"/>
  <c r="U3" i="26" s="1"/>
  <c r="V3" i="26" s="1"/>
  <c r="W3" i="26" s="1"/>
  <c r="E1" i="26"/>
  <c r="F1" i="26" s="1"/>
  <c r="G1" i="26" s="1"/>
  <c r="H1" i="26" s="1"/>
  <c r="I1" i="26" s="1"/>
  <c r="J1" i="26" s="1"/>
  <c r="K1" i="26" s="1"/>
  <c r="L1" i="26" s="1"/>
  <c r="M1" i="26" s="1"/>
  <c r="N1" i="26" s="1"/>
  <c r="O1" i="26" s="1"/>
  <c r="P1" i="26" s="1"/>
  <c r="Q1" i="26" s="1"/>
  <c r="R1" i="26" s="1"/>
  <c r="S1" i="26" s="1"/>
  <c r="T1" i="26" s="1"/>
  <c r="U1" i="26" s="1"/>
  <c r="V1" i="26" s="1"/>
  <c r="W1" i="26" s="1"/>
  <c r="J218" i="60"/>
  <c r="I218" i="60"/>
  <c r="C169" i="60"/>
  <c r="B198" i="60" s="1"/>
  <c r="B112" i="60"/>
  <c r="B110" i="60"/>
  <c r="B132" i="60"/>
  <c r="B130" i="60"/>
  <c r="B128" i="60"/>
  <c r="B126" i="60"/>
  <c r="B124" i="60"/>
  <c r="B122" i="60"/>
  <c r="B120" i="60"/>
  <c r="B118" i="60"/>
  <c r="B116" i="60"/>
  <c r="B114" i="60"/>
  <c r="B108" i="60"/>
  <c r="B106" i="60"/>
  <c r="B104" i="60"/>
  <c r="B102" i="60"/>
  <c r="B100" i="60"/>
  <c r="B98" i="60"/>
  <c r="B96" i="60"/>
  <c r="H95" i="60"/>
  <c r="H94" i="60" s="1"/>
  <c r="B94" i="60"/>
  <c r="B92" i="60"/>
  <c r="B90" i="60"/>
  <c r="B88" i="60"/>
  <c r="B86" i="60"/>
  <c r="F69" i="60"/>
  <c r="E69" i="60"/>
  <c r="D69" i="60"/>
  <c r="B66" i="60"/>
  <c r="E65" i="60"/>
  <c r="E64" i="60" s="1"/>
  <c r="D65" i="60"/>
  <c r="D64" i="60" s="1"/>
  <c r="B64" i="60"/>
  <c r="B62" i="60"/>
  <c r="B60" i="60"/>
  <c r="B58" i="60"/>
  <c r="G57" i="60"/>
  <c r="G56" i="60" s="1"/>
  <c r="B56" i="60"/>
  <c r="B54" i="60"/>
  <c r="E53" i="60"/>
  <c r="E54" i="60" s="1"/>
  <c r="D53" i="60"/>
  <c r="D52" i="60" s="1"/>
  <c r="B52" i="60"/>
  <c r="B50" i="60"/>
  <c r="B48" i="60"/>
  <c r="B46" i="60"/>
  <c r="B44" i="60"/>
  <c r="B42" i="60"/>
  <c r="B40" i="60"/>
  <c r="B38" i="60"/>
  <c r="B36" i="60"/>
  <c r="B34" i="60"/>
  <c r="B32" i="60"/>
  <c r="B30" i="60"/>
  <c r="B28" i="60"/>
  <c r="B26" i="60"/>
  <c r="B24" i="60"/>
  <c r="B22" i="60"/>
  <c r="B20" i="60"/>
  <c r="B18" i="60"/>
  <c r="B16" i="60"/>
  <c r="B14" i="60"/>
  <c r="G13" i="60"/>
  <c r="G12" i="60" s="1"/>
  <c r="F13" i="60"/>
  <c r="F12" i="60" s="1"/>
  <c r="B12" i="60"/>
  <c r="B10" i="60"/>
  <c r="D9" i="60"/>
  <c r="D8" i="60" s="1"/>
  <c r="B8" i="60"/>
  <c r="B6" i="60"/>
  <c r="E5" i="60"/>
  <c r="E6" i="60" s="1"/>
  <c r="D5" i="60"/>
  <c r="D6" i="60" s="1"/>
  <c r="B4" i="60"/>
  <c r="G1" i="60"/>
  <c r="G69" i="60" s="1"/>
  <c r="V64" i="17"/>
  <c r="R64" i="17"/>
  <c r="Q64" i="17"/>
  <c r="P64" i="17"/>
  <c r="O64" i="17"/>
  <c r="V63" i="17"/>
  <c r="R63" i="17"/>
  <c r="Q63" i="17"/>
  <c r="P63" i="17"/>
  <c r="O63" i="17"/>
  <c r="V62" i="17"/>
  <c r="R62" i="17"/>
  <c r="Q62" i="17"/>
  <c r="P62" i="17"/>
  <c r="O62" i="17"/>
  <c r="R61" i="17"/>
  <c r="Q61" i="17"/>
  <c r="P61" i="17"/>
  <c r="O61" i="17"/>
  <c r="R60" i="17"/>
  <c r="Q60" i="17"/>
  <c r="P60" i="17"/>
  <c r="O60" i="17"/>
  <c r="V56" i="17"/>
  <c r="R56" i="17"/>
  <c r="Q56" i="17"/>
  <c r="P56" i="17"/>
  <c r="O56" i="17"/>
  <c r="V54" i="17"/>
  <c r="R54" i="17"/>
  <c r="Q54" i="17"/>
  <c r="P54" i="17"/>
  <c r="O54" i="17"/>
  <c r="R52" i="17"/>
  <c r="Q52" i="17"/>
  <c r="P52" i="17"/>
  <c r="O52" i="17"/>
  <c r="R50" i="17"/>
  <c r="Q50" i="17"/>
  <c r="P50" i="17"/>
  <c r="O50" i="17"/>
  <c r="W43" i="17"/>
  <c r="Y39" i="17"/>
  <c r="Y36" i="17"/>
  <c r="Y35" i="17"/>
  <c r="AF35" i="17" s="1"/>
  <c r="Y34" i="17"/>
  <c r="AF34" i="17" s="1"/>
  <c r="X35" i="17"/>
  <c r="X34" i="17"/>
  <c r="AE34" i="17" s="1"/>
  <c r="V33" i="17"/>
  <c r="W32" i="17"/>
  <c r="V32" i="17"/>
  <c r="W31" i="17"/>
  <c r="V31" i="17"/>
  <c r="Z37" i="17"/>
  <c r="AG37" i="17" s="1"/>
  <c r="W25" i="17"/>
  <c r="V25" i="17"/>
  <c r="I34" i="17"/>
  <c r="H34" i="17"/>
  <c r="F34" i="17"/>
  <c r="E34" i="17"/>
  <c r="D34" i="17"/>
  <c r="I25" i="17"/>
  <c r="H25" i="17"/>
  <c r="G25" i="17"/>
  <c r="E25" i="17"/>
  <c r="D25" i="17"/>
  <c r="I32" i="17"/>
  <c r="H32" i="17"/>
  <c r="G32" i="17"/>
  <c r="E32" i="17"/>
  <c r="D32" i="17"/>
  <c r="I31" i="17"/>
  <c r="H31" i="17"/>
  <c r="G31" i="17"/>
  <c r="E31" i="17"/>
  <c r="D31" i="17"/>
  <c r="I26" i="17"/>
  <c r="H26" i="17"/>
  <c r="I33" i="17"/>
  <c r="H33" i="17"/>
  <c r="T17" i="17"/>
  <c r="S17" i="17"/>
  <c r="R17" i="17"/>
  <c r="Q17" i="17"/>
  <c r="P17" i="17"/>
  <c r="O17" i="17"/>
  <c r="N17" i="17"/>
  <c r="T16" i="17"/>
  <c r="S16" i="17"/>
  <c r="R16" i="17"/>
  <c r="Q16" i="17"/>
  <c r="P16" i="17"/>
  <c r="O16" i="17"/>
  <c r="N16" i="17"/>
  <c r="T15" i="17"/>
  <c r="S15" i="17"/>
  <c r="R15" i="17"/>
  <c r="Q15" i="17"/>
  <c r="P15" i="17"/>
  <c r="O15" i="17"/>
  <c r="N15" i="17"/>
  <c r="T14" i="17"/>
  <c r="S14" i="17"/>
  <c r="R14" i="17"/>
  <c r="Q14" i="17"/>
  <c r="P14" i="17"/>
  <c r="O14" i="17"/>
  <c r="N14" i="17"/>
  <c r="W5" i="17"/>
  <c r="V5" i="17"/>
  <c r="E57" i="15"/>
  <c r="E46" i="15"/>
  <c r="E45" i="15"/>
  <c r="E34" i="15"/>
  <c r="AD533" i="1"/>
  <c r="AD534" i="1" s="1"/>
  <c r="AA534" i="1"/>
  <c r="G534" i="1"/>
  <c r="F534" i="1"/>
  <c r="E534" i="1"/>
  <c r="D534" i="1"/>
  <c r="C534" i="1"/>
  <c r="AC529" i="1"/>
  <c r="AB529" i="1"/>
  <c r="AA529" i="1"/>
  <c r="F529" i="1"/>
  <c r="E529" i="1"/>
  <c r="D529" i="1"/>
  <c r="C529" i="1"/>
  <c r="G528" i="1"/>
  <c r="G529" i="1" s="1"/>
  <c r="F523" i="1"/>
  <c r="AK522" i="1"/>
  <c r="AK502" i="1" s="1"/>
  <c r="I5" i="17" s="1"/>
  <c r="AJ522" i="1"/>
  <c r="AJ502" i="1" s="1"/>
  <c r="AI522" i="1"/>
  <c r="AI502" i="1" s="1"/>
  <c r="AG522" i="1"/>
  <c r="AG502" i="1" s="1"/>
  <c r="AF522" i="1"/>
  <c r="AF502" i="1" s="1"/>
  <c r="AE522" i="1"/>
  <c r="AE502" i="1" s="1"/>
  <c r="AC522" i="1"/>
  <c r="AB522" i="1"/>
  <c r="AB523" i="1" s="1"/>
  <c r="AA522" i="1"/>
  <c r="AA523" i="1" s="1"/>
  <c r="H522" i="1"/>
  <c r="G522" i="1"/>
  <c r="G523" i="1" s="1"/>
  <c r="AK519" i="1"/>
  <c r="AJ519" i="1"/>
  <c r="AI519" i="1"/>
  <c r="AG519" i="1"/>
  <c r="AF519" i="1"/>
  <c r="AE519" i="1"/>
  <c r="AC519" i="1"/>
  <c r="AB519" i="1"/>
  <c r="AA519" i="1"/>
  <c r="H519" i="1"/>
  <c r="G519" i="1"/>
  <c r="F519" i="1"/>
  <c r="AH518" i="1"/>
  <c r="AD518" i="1"/>
  <c r="AD519" i="1" s="1"/>
  <c r="AK516" i="1"/>
  <c r="AJ516" i="1"/>
  <c r="AI516" i="1"/>
  <c r="AG516" i="1"/>
  <c r="AF516" i="1"/>
  <c r="AE516" i="1"/>
  <c r="AC516" i="1"/>
  <c r="AB516" i="1"/>
  <c r="AA516" i="1"/>
  <c r="H516" i="1"/>
  <c r="G516" i="1"/>
  <c r="F516" i="1"/>
  <c r="E516" i="1"/>
  <c r="D516" i="1"/>
  <c r="AH515" i="1"/>
  <c r="AD515" i="1"/>
  <c r="AD516" i="1" s="1"/>
  <c r="AK513" i="1"/>
  <c r="AJ513" i="1"/>
  <c r="AI513" i="1"/>
  <c r="AG513" i="1"/>
  <c r="AF513" i="1"/>
  <c r="AE513" i="1"/>
  <c r="AC513" i="1"/>
  <c r="AB513" i="1"/>
  <c r="AA513" i="1"/>
  <c r="H513" i="1"/>
  <c r="G513" i="1"/>
  <c r="F513" i="1"/>
  <c r="E513" i="1"/>
  <c r="D513" i="1"/>
  <c r="AH512" i="1"/>
  <c r="AH510" i="1"/>
  <c r="AD512" i="1"/>
  <c r="AD513" i="1" s="1"/>
  <c r="AD510" i="1"/>
  <c r="AD511" i="1" s="1"/>
  <c r="AK511" i="1"/>
  <c r="AJ511" i="1"/>
  <c r="AI511" i="1"/>
  <c r="AG511" i="1"/>
  <c r="AF511" i="1"/>
  <c r="AE511" i="1"/>
  <c r="AC511" i="1"/>
  <c r="AB511" i="1"/>
  <c r="AA511" i="1"/>
  <c r="H511" i="1"/>
  <c r="G511" i="1"/>
  <c r="F511" i="1"/>
  <c r="E511" i="1"/>
  <c r="D511" i="1"/>
  <c r="AK508" i="1"/>
  <c r="AJ508" i="1"/>
  <c r="AI508" i="1"/>
  <c r="AG508" i="1"/>
  <c r="AF508" i="1"/>
  <c r="AE508" i="1"/>
  <c r="AC508" i="1"/>
  <c r="AB508" i="1"/>
  <c r="AA508" i="1"/>
  <c r="H508" i="1"/>
  <c r="G508" i="1"/>
  <c r="F508" i="1"/>
  <c r="E508" i="1"/>
  <c r="D508" i="1"/>
  <c r="AH507" i="1"/>
  <c r="AD507" i="1"/>
  <c r="AD508" i="1" s="1"/>
  <c r="H503" i="1"/>
  <c r="H505" i="1" s="1"/>
  <c r="G503" i="1"/>
  <c r="G505" i="1" s="1"/>
  <c r="F503" i="1"/>
  <c r="E503" i="1"/>
  <c r="D503" i="1"/>
  <c r="C503" i="1"/>
  <c r="AG497" i="1"/>
  <c r="AF497" i="1"/>
  <c r="AE497" i="1"/>
  <c r="AC497" i="1"/>
  <c r="AB497" i="1"/>
  <c r="AA497" i="1"/>
  <c r="Z497" i="1"/>
  <c r="Y497" i="1"/>
  <c r="X497" i="1"/>
  <c r="W497" i="1"/>
  <c r="F497" i="1"/>
  <c r="E497" i="1"/>
  <c r="D497" i="1"/>
  <c r="AK492" i="1"/>
  <c r="AJ492" i="1"/>
  <c r="AI492" i="1"/>
  <c r="AG492" i="1"/>
  <c r="AF492" i="1"/>
  <c r="AE492" i="1"/>
  <c r="AC492" i="1"/>
  <c r="AB492" i="1"/>
  <c r="AA492" i="1"/>
  <c r="H492" i="1"/>
  <c r="G492" i="1"/>
  <c r="F492" i="1"/>
  <c r="E492" i="1"/>
  <c r="AH491" i="1"/>
  <c r="AD491" i="1"/>
  <c r="AD492" i="1" s="1"/>
  <c r="C491" i="1"/>
  <c r="D492" i="1" s="1"/>
  <c r="B491" i="1"/>
  <c r="B497" i="1" s="1"/>
  <c r="AK489" i="1"/>
  <c r="AJ489" i="1"/>
  <c r="AI489" i="1"/>
  <c r="AG489" i="1"/>
  <c r="AF489" i="1"/>
  <c r="AE489" i="1"/>
  <c r="AC489" i="1"/>
  <c r="AB489" i="1"/>
  <c r="AA489" i="1"/>
  <c r="H489" i="1"/>
  <c r="G489" i="1"/>
  <c r="F489" i="1"/>
  <c r="E489" i="1"/>
  <c r="D489" i="1"/>
  <c r="AH488" i="1"/>
  <c r="AD488" i="1"/>
  <c r="AC484" i="1"/>
  <c r="AB484" i="1"/>
  <c r="AA484" i="1"/>
  <c r="Z484" i="1"/>
  <c r="Y484" i="1"/>
  <c r="X484" i="1"/>
  <c r="W484" i="1"/>
  <c r="F484" i="1"/>
  <c r="E484" i="1"/>
  <c r="D484" i="1"/>
  <c r="C484" i="1"/>
  <c r="C485" i="1" s="1"/>
  <c r="AC482" i="1"/>
  <c r="AC243" i="1" s="1"/>
  <c r="AB482" i="1"/>
  <c r="AB243" i="1" s="1"/>
  <c r="AA482" i="1"/>
  <c r="AA243" i="1" s="1"/>
  <c r="F482" i="1"/>
  <c r="AD481" i="1"/>
  <c r="AD482" i="1" s="1"/>
  <c r="AD243" i="1" s="1"/>
  <c r="AC479" i="1"/>
  <c r="AC240" i="1" s="1"/>
  <c r="AB479" i="1"/>
  <c r="AB240" i="1" s="1"/>
  <c r="AA479" i="1"/>
  <c r="AA240" i="1" s="1"/>
  <c r="F479" i="1"/>
  <c r="E479" i="1"/>
  <c r="D479" i="1"/>
  <c r="AD478" i="1"/>
  <c r="AD479" i="1" s="1"/>
  <c r="AD240" i="1" s="1"/>
  <c r="AC476" i="1"/>
  <c r="AC237" i="1" s="1"/>
  <c r="AB476" i="1"/>
  <c r="AB237" i="1" s="1"/>
  <c r="AA476" i="1"/>
  <c r="AA237" i="1" s="1"/>
  <c r="F476" i="1"/>
  <c r="E476" i="1"/>
  <c r="D476" i="1"/>
  <c r="AD475" i="1"/>
  <c r="AD476" i="1" s="1"/>
  <c r="AD237" i="1" s="1"/>
  <c r="AC473" i="1"/>
  <c r="AC234" i="1" s="1"/>
  <c r="AB473" i="1"/>
  <c r="AB234" i="1" s="1"/>
  <c r="AA473" i="1"/>
  <c r="AA234" i="1" s="1"/>
  <c r="F473" i="1"/>
  <c r="E473" i="1"/>
  <c r="D473" i="1"/>
  <c r="AD472" i="1"/>
  <c r="AC470" i="1"/>
  <c r="AC231" i="1" s="1"/>
  <c r="AB470" i="1"/>
  <c r="AB231" i="1" s="1"/>
  <c r="AA470" i="1"/>
  <c r="AA231" i="1" s="1"/>
  <c r="F470" i="1"/>
  <c r="E470" i="1"/>
  <c r="D470" i="1"/>
  <c r="AD469" i="1"/>
  <c r="AD470" i="1" s="1"/>
  <c r="AD231" i="1" s="1"/>
  <c r="AK465" i="1"/>
  <c r="AJ465" i="1"/>
  <c r="AI465" i="1"/>
  <c r="AI424" i="1" s="1"/>
  <c r="AG465" i="1"/>
  <c r="AF465" i="1"/>
  <c r="AE465" i="1"/>
  <c r="AC465" i="1"/>
  <c r="AB465" i="1"/>
  <c r="AA465" i="1"/>
  <c r="Z465" i="1"/>
  <c r="Y465" i="1"/>
  <c r="X465" i="1"/>
  <c r="W465" i="1"/>
  <c r="F465" i="1"/>
  <c r="E465" i="1"/>
  <c r="D465" i="1"/>
  <c r="C465" i="1"/>
  <c r="AK463" i="1"/>
  <c r="AJ463" i="1"/>
  <c r="AI463" i="1"/>
  <c r="AG463" i="1"/>
  <c r="AF463" i="1"/>
  <c r="AE463" i="1"/>
  <c r="AC463" i="1"/>
  <c r="AB463" i="1"/>
  <c r="AA463" i="1"/>
  <c r="H463" i="1"/>
  <c r="G463" i="1"/>
  <c r="F463" i="1"/>
  <c r="E463" i="1"/>
  <c r="D463" i="1"/>
  <c r="AH462" i="1"/>
  <c r="AD462" i="1"/>
  <c r="AD463" i="1" s="1"/>
  <c r="AK459" i="1"/>
  <c r="AJ459" i="1"/>
  <c r="AI459" i="1"/>
  <c r="AG459" i="1"/>
  <c r="AF459" i="1"/>
  <c r="AE459" i="1"/>
  <c r="AC459" i="1"/>
  <c r="AB459" i="1"/>
  <c r="AA459" i="1"/>
  <c r="H459" i="1"/>
  <c r="G459" i="1"/>
  <c r="F459" i="1"/>
  <c r="E459" i="1"/>
  <c r="D459" i="1"/>
  <c r="AH458" i="1"/>
  <c r="AD458" i="1"/>
  <c r="AD459" i="1" s="1"/>
  <c r="AK456" i="1"/>
  <c r="AJ456" i="1"/>
  <c r="AI456" i="1"/>
  <c r="AG456" i="1"/>
  <c r="AF456" i="1"/>
  <c r="AE456" i="1"/>
  <c r="AC456" i="1"/>
  <c r="AB456" i="1"/>
  <c r="AA456" i="1"/>
  <c r="H456" i="1"/>
  <c r="G456" i="1"/>
  <c r="F456" i="1"/>
  <c r="E456" i="1"/>
  <c r="D456" i="1"/>
  <c r="AH455" i="1"/>
  <c r="AD455" i="1"/>
  <c r="AK439" i="1"/>
  <c r="AJ439" i="1"/>
  <c r="AI439" i="1"/>
  <c r="AG439" i="1"/>
  <c r="AF439" i="1"/>
  <c r="AE439" i="1"/>
  <c r="AC439" i="1"/>
  <c r="AB439" i="1"/>
  <c r="AA439" i="1"/>
  <c r="H439" i="1"/>
  <c r="G439" i="1"/>
  <c r="F439" i="1"/>
  <c r="E439" i="1"/>
  <c r="D439" i="1"/>
  <c r="AH438" i="1"/>
  <c r="AD438" i="1"/>
  <c r="AD439" i="1" s="1"/>
  <c r="AK436" i="1"/>
  <c r="AJ436" i="1"/>
  <c r="AI436" i="1"/>
  <c r="AG436" i="1"/>
  <c r="AF436" i="1"/>
  <c r="AE436" i="1"/>
  <c r="AC436" i="1"/>
  <c r="AB436" i="1"/>
  <c r="AA436" i="1"/>
  <c r="H436" i="1"/>
  <c r="G436" i="1"/>
  <c r="F436" i="1"/>
  <c r="E436" i="1"/>
  <c r="D436" i="1"/>
  <c r="AH435" i="1"/>
  <c r="AD435" i="1"/>
  <c r="AD436" i="1" s="1"/>
  <c r="AK433" i="1"/>
  <c r="AJ433" i="1"/>
  <c r="AI433" i="1"/>
  <c r="AG433" i="1"/>
  <c r="AF433" i="1"/>
  <c r="AE433" i="1"/>
  <c r="AC433" i="1"/>
  <c r="AB433" i="1"/>
  <c r="AA433" i="1"/>
  <c r="H433" i="1"/>
  <c r="G433" i="1"/>
  <c r="F433" i="1"/>
  <c r="E433" i="1"/>
  <c r="D433" i="1"/>
  <c r="AH432" i="1"/>
  <c r="AD432" i="1"/>
  <c r="AD433" i="1" s="1"/>
  <c r="AK430" i="1"/>
  <c r="AJ430" i="1"/>
  <c r="AI430" i="1"/>
  <c r="AG430" i="1"/>
  <c r="AF430" i="1"/>
  <c r="AE430" i="1"/>
  <c r="AC430" i="1"/>
  <c r="AB430" i="1"/>
  <c r="AA430" i="1"/>
  <c r="H430" i="1"/>
  <c r="G430" i="1"/>
  <c r="F430" i="1"/>
  <c r="E430" i="1"/>
  <c r="D430" i="1"/>
  <c r="AH429" i="1"/>
  <c r="AD429" i="1"/>
  <c r="E422" i="1"/>
  <c r="D422" i="1"/>
  <c r="C422" i="1"/>
  <c r="E417" i="1"/>
  <c r="D417" i="1"/>
  <c r="E415" i="1"/>
  <c r="D415" i="1"/>
  <c r="B414" i="1"/>
  <c r="C415" i="1" s="1"/>
  <c r="E412" i="1"/>
  <c r="D412" i="1"/>
  <c r="C412" i="1"/>
  <c r="E409" i="1"/>
  <c r="D409" i="1"/>
  <c r="C409" i="1"/>
  <c r="E406" i="1"/>
  <c r="D406" i="1"/>
  <c r="C406" i="1"/>
  <c r="E403" i="1"/>
  <c r="D403" i="1"/>
  <c r="C403" i="1"/>
  <c r="E400" i="1"/>
  <c r="D400" i="1"/>
  <c r="C400" i="1"/>
  <c r="AK392" i="1"/>
  <c r="AJ392" i="1"/>
  <c r="AI392" i="1"/>
  <c r="AH391" i="1"/>
  <c r="AC391" i="1"/>
  <c r="AG392" i="1" s="1"/>
  <c r="AB391" i="1"/>
  <c r="AF392" i="1" s="1"/>
  <c r="AA391" i="1"/>
  <c r="AA392" i="1" s="1"/>
  <c r="G391" i="1"/>
  <c r="B684" i="28" s="1"/>
  <c r="AK378" i="1"/>
  <c r="AJ378" i="1"/>
  <c r="AI378" i="1"/>
  <c r="AG378" i="1"/>
  <c r="AF378" i="1"/>
  <c r="AE378" i="1"/>
  <c r="AC378" i="1"/>
  <c r="AB378" i="1"/>
  <c r="AA378" i="1"/>
  <c r="H378" i="1"/>
  <c r="G378" i="1"/>
  <c r="F378" i="1"/>
  <c r="E378" i="1"/>
  <c r="D378" i="1"/>
  <c r="C378" i="1"/>
  <c r="AH377" i="1"/>
  <c r="AH372" i="1" s="1"/>
  <c r="F26" i="17" s="1"/>
  <c r="AD377" i="1"/>
  <c r="AD378" i="1" s="1"/>
  <c r="AI372" i="1"/>
  <c r="G26" i="17" s="1"/>
  <c r="AG372" i="1"/>
  <c r="AK373" i="1" s="1"/>
  <c r="AF372" i="1"/>
  <c r="AJ373" i="1" s="1"/>
  <c r="AE372" i="1"/>
  <c r="AC372" i="1"/>
  <c r="AC328" i="1" s="1"/>
  <c r="AB372" i="1"/>
  <c r="AB328" i="1" s="1"/>
  <c r="AA372" i="1"/>
  <c r="AA328" i="1" s="1"/>
  <c r="Z372" i="1"/>
  <c r="Z328" i="1" s="1"/>
  <c r="Y372" i="1"/>
  <c r="Y328" i="1" s="1"/>
  <c r="X372" i="1"/>
  <c r="X328" i="1" s="1"/>
  <c r="W372" i="1"/>
  <c r="W328" i="1" s="1"/>
  <c r="F372" i="1"/>
  <c r="F328" i="1" s="1"/>
  <c r="E372" i="1"/>
  <c r="E328" i="1" s="1"/>
  <c r="D372" i="1"/>
  <c r="D328" i="1" s="1"/>
  <c r="C372" i="1"/>
  <c r="C328" i="1" s="1"/>
  <c r="B372" i="1"/>
  <c r="G19" i="28" s="1" a="1"/>
  <c r="G19" i="28" s="1"/>
  <c r="H19" i="28" s="1"/>
  <c r="AG370" i="1"/>
  <c r="AC370" i="1"/>
  <c r="AB370" i="1"/>
  <c r="AA370" i="1"/>
  <c r="H370" i="1"/>
  <c r="G370" i="1"/>
  <c r="F370" i="1"/>
  <c r="E370" i="1"/>
  <c r="D370" i="1"/>
  <c r="AD369" i="1"/>
  <c r="AD367" i="1"/>
  <c r="AH368" i="1" s="1"/>
  <c r="AG368" i="1"/>
  <c r="AC368" i="1"/>
  <c r="AB368" i="1"/>
  <c r="AA368" i="1"/>
  <c r="H368" i="1"/>
  <c r="G368" i="1"/>
  <c r="F368" i="1"/>
  <c r="E368" i="1"/>
  <c r="D368" i="1"/>
  <c r="AJ365" i="1"/>
  <c r="AI365" i="1"/>
  <c r="AG364" i="1"/>
  <c r="AC364" i="1"/>
  <c r="AB364" i="1"/>
  <c r="AF365" i="1" s="1"/>
  <c r="AA364" i="1"/>
  <c r="AE365" i="1" s="1"/>
  <c r="Z364" i="1"/>
  <c r="Y364" i="1"/>
  <c r="X364" i="1"/>
  <c r="W364" i="1"/>
  <c r="F364" i="1"/>
  <c r="E364" i="1"/>
  <c r="D364" i="1"/>
  <c r="C364" i="1"/>
  <c r="AC362" i="1"/>
  <c r="AB362" i="1"/>
  <c r="AA362" i="1"/>
  <c r="G362" i="1"/>
  <c r="F362" i="1"/>
  <c r="E362" i="1"/>
  <c r="D362" i="1"/>
  <c r="AD361" i="1"/>
  <c r="AD362" i="1" s="1"/>
  <c r="AD359" i="1"/>
  <c r="AC360" i="1"/>
  <c r="AB360" i="1"/>
  <c r="AA360" i="1"/>
  <c r="G360" i="1"/>
  <c r="F360" i="1"/>
  <c r="E360" i="1"/>
  <c r="D360" i="1"/>
  <c r="AK357" i="1"/>
  <c r="AJ357" i="1"/>
  <c r="AI357" i="1"/>
  <c r="AH356" i="1"/>
  <c r="AC356" i="1"/>
  <c r="AG357" i="1" s="1"/>
  <c r="AB356" i="1"/>
  <c r="AA356" i="1"/>
  <c r="Z356" i="1"/>
  <c r="Y356" i="1"/>
  <c r="X356" i="1"/>
  <c r="W356" i="1"/>
  <c r="F356" i="1"/>
  <c r="E356" i="1"/>
  <c r="D356" i="1"/>
  <c r="C356" i="1"/>
  <c r="C357" i="1" s="1"/>
  <c r="AK354" i="1"/>
  <c r="AJ354" i="1"/>
  <c r="AI354" i="1"/>
  <c r="AG354" i="1"/>
  <c r="AF354" i="1"/>
  <c r="AE354" i="1"/>
  <c r="AC354" i="1"/>
  <c r="AB354" i="1"/>
  <c r="AA354" i="1"/>
  <c r="H354" i="1"/>
  <c r="G354" i="1"/>
  <c r="F354" i="1"/>
  <c r="E354" i="1"/>
  <c r="D354" i="1"/>
  <c r="AH353" i="1"/>
  <c r="AH348" i="1" s="1"/>
  <c r="AD353" i="1"/>
  <c r="F352" i="1"/>
  <c r="E352" i="1"/>
  <c r="D352" i="1"/>
  <c r="AJ348" i="1"/>
  <c r="AI348" i="1"/>
  <c r="AG348" i="1"/>
  <c r="AK349" i="1" s="1"/>
  <c r="AF348" i="1"/>
  <c r="AE348" i="1"/>
  <c r="AC348" i="1"/>
  <c r="AB348" i="1"/>
  <c r="AA348" i="1"/>
  <c r="Z348" i="1"/>
  <c r="Y348" i="1"/>
  <c r="X348" i="1"/>
  <c r="AB349" i="1" s="1"/>
  <c r="W348" i="1"/>
  <c r="C654" i="28"/>
  <c r="F348" i="1"/>
  <c r="E348" i="1"/>
  <c r="D348" i="1"/>
  <c r="C348" i="1"/>
  <c r="C349" i="1" s="1"/>
  <c r="AK346" i="1"/>
  <c r="AJ346" i="1"/>
  <c r="AI346" i="1"/>
  <c r="AG346" i="1"/>
  <c r="AF346" i="1"/>
  <c r="AE346" i="1"/>
  <c r="AC346" i="1"/>
  <c r="AB346" i="1"/>
  <c r="AA346" i="1"/>
  <c r="H346" i="1"/>
  <c r="G346" i="1"/>
  <c r="F346" i="1"/>
  <c r="E346" i="1"/>
  <c r="D346" i="1"/>
  <c r="C346" i="1"/>
  <c r="AH345" i="1"/>
  <c r="AH343" i="1"/>
  <c r="AD345" i="1"/>
  <c r="AD346" i="1" s="1"/>
  <c r="AD343" i="1"/>
  <c r="AD344" i="1" s="1"/>
  <c r="AK344" i="1"/>
  <c r="AG344" i="1"/>
  <c r="AF344" i="1"/>
  <c r="AE344" i="1"/>
  <c r="AC344" i="1"/>
  <c r="AB344" i="1"/>
  <c r="AA344" i="1"/>
  <c r="H344" i="1"/>
  <c r="G344" i="1"/>
  <c r="F344" i="1"/>
  <c r="E344" i="1"/>
  <c r="D344" i="1"/>
  <c r="C344" i="1"/>
  <c r="AK340" i="1"/>
  <c r="AJ340" i="1"/>
  <c r="AI340" i="1"/>
  <c r="AG340" i="1"/>
  <c r="AF340" i="1"/>
  <c r="AE340" i="1"/>
  <c r="AC340" i="1"/>
  <c r="AB340" i="1"/>
  <c r="AA340" i="1"/>
  <c r="Z340" i="1"/>
  <c r="Y340" i="1"/>
  <c r="X340" i="1"/>
  <c r="W340" i="1"/>
  <c r="D15" i="9"/>
  <c r="F340" i="1"/>
  <c r="C15" i="9" s="1"/>
  <c r="E340" i="1"/>
  <c r="D340" i="1"/>
  <c r="C340" i="1"/>
  <c r="B340" i="1"/>
  <c r="T642" i="28" s="1" a="1"/>
  <c r="T642" i="28" s="1"/>
  <c r="T643" i="28" s="1"/>
  <c r="AK338" i="1"/>
  <c r="AJ338" i="1"/>
  <c r="AI338" i="1"/>
  <c r="AG338" i="1"/>
  <c r="AF338" i="1"/>
  <c r="AE338" i="1"/>
  <c r="AC338" i="1"/>
  <c r="AB338" i="1"/>
  <c r="AA338" i="1"/>
  <c r="H338" i="1"/>
  <c r="G338" i="1"/>
  <c r="F338" i="1"/>
  <c r="E338" i="1"/>
  <c r="D338" i="1"/>
  <c r="C338" i="1"/>
  <c r="AH337" i="1"/>
  <c r="AH335" i="1"/>
  <c r="AD337" i="1"/>
  <c r="AD338" i="1" s="1"/>
  <c r="AD335" i="1"/>
  <c r="AK336" i="1"/>
  <c r="AJ336" i="1"/>
  <c r="AI336" i="1"/>
  <c r="AG336" i="1"/>
  <c r="AF336" i="1"/>
  <c r="AE336" i="1"/>
  <c r="AC336" i="1"/>
  <c r="AB336" i="1"/>
  <c r="AA336" i="1"/>
  <c r="H336" i="1"/>
  <c r="G336" i="1"/>
  <c r="F336" i="1"/>
  <c r="E336" i="1"/>
  <c r="D336" i="1"/>
  <c r="C336" i="1"/>
  <c r="F332" i="1"/>
  <c r="E332" i="1"/>
  <c r="D332" i="1"/>
  <c r="C332" i="1"/>
  <c r="B332" i="1"/>
  <c r="AK332" i="1"/>
  <c r="AJ332" i="1"/>
  <c r="AI332" i="1"/>
  <c r="AG332" i="1"/>
  <c r="AF332" i="1"/>
  <c r="AE332" i="1"/>
  <c r="AC332" i="1"/>
  <c r="AB332" i="1"/>
  <c r="AA332" i="1"/>
  <c r="Z332" i="1"/>
  <c r="Y332" i="1"/>
  <c r="X332" i="1"/>
  <c r="W332" i="1"/>
  <c r="AK328" i="1"/>
  <c r="AJ328" i="1"/>
  <c r="AI328" i="1"/>
  <c r="AG328" i="1"/>
  <c r="AF328" i="1"/>
  <c r="AE328" i="1"/>
  <c r="AK326" i="1"/>
  <c r="AJ326" i="1"/>
  <c r="AI326" i="1"/>
  <c r="AH325" i="1"/>
  <c r="AL325" i="1"/>
  <c r="K323" i="1"/>
  <c r="AK320" i="1"/>
  <c r="AJ320" i="1"/>
  <c r="AI320" i="1"/>
  <c r="AG320" i="1"/>
  <c r="H320" i="1"/>
  <c r="AH319" i="1"/>
  <c r="F25" i="17" s="1"/>
  <c r="AD319" i="1"/>
  <c r="AK315" i="1"/>
  <c r="AJ315" i="1"/>
  <c r="B315" i="1"/>
  <c r="AK313" i="1"/>
  <c r="AJ313" i="1"/>
  <c r="AI313" i="1"/>
  <c r="AG313" i="1"/>
  <c r="AF313" i="1"/>
  <c r="AE313" i="1"/>
  <c r="H313" i="1"/>
  <c r="G313" i="1"/>
  <c r="AH312" i="1"/>
  <c r="AD312" i="1"/>
  <c r="Z312" i="1"/>
  <c r="Y312" i="1"/>
  <c r="X312" i="1"/>
  <c r="AB313" i="1" s="1"/>
  <c r="W312" i="1"/>
  <c r="AA313" i="1" s="1"/>
  <c r="AK310" i="1"/>
  <c r="AJ310" i="1"/>
  <c r="AI310" i="1"/>
  <c r="AG310" i="1"/>
  <c r="AF310" i="1"/>
  <c r="AE310" i="1"/>
  <c r="AC310" i="1"/>
  <c r="AB310" i="1"/>
  <c r="AA310" i="1"/>
  <c r="H310" i="1"/>
  <c r="G310" i="1"/>
  <c r="F310" i="1"/>
  <c r="E310" i="1"/>
  <c r="D310" i="1"/>
  <c r="AH309" i="1"/>
  <c r="AD309" i="1"/>
  <c r="AD304" i="1" s="1"/>
  <c r="AI304" i="1"/>
  <c r="AI315" i="1" s="1"/>
  <c r="AG304" i="1"/>
  <c r="AG315" i="1" s="1"/>
  <c r="AF304" i="1"/>
  <c r="AJ305" i="1" s="1"/>
  <c r="AE304" i="1"/>
  <c r="AC304" i="1"/>
  <c r="AC315" i="1" s="1"/>
  <c r="AB304" i="1"/>
  <c r="AA304" i="1"/>
  <c r="AA315" i="1" s="1"/>
  <c r="Z304" i="1"/>
  <c r="Y304" i="1"/>
  <c r="X304" i="1"/>
  <c r="W304" i="1"/>
  <c r="F304" i="1"/>
  <c r="E304" i="1"/>
  <c r="E315" i="1" s="1"/>
  <c r="D304" i="1"/>
  <c r="C304" i="1"/>
  <c r="AK298" i="1"/>
  <c r="AJ298" i="1"/>
  <c r="AI298" i="1"/>
  <c r="AG298" i="1"/>
  <c r="AF298" i="1"/>
  <c r="AE298" i="1"/>
  <c r="AC298" i="1"/>
  <c r="AB298" i="1"/>
  <c r="AA298" i="1"/>
  <c r="Z298" i="1"/>
  <c r="Y298" i="1"/>
  <c r="X298" i="1"/>
  <c r="W298" i="1"/>
  <c r="H298" i="1"/>
  <c r="G298" i="1"/>
  <c r="F298" i="1"/>
  <c r="E298" i="1"/>
  <c r="D298" i="1"/>
  <c r="C298" i="1"/>
  <c r="B298" i="1"/>
  <c r="AH295" i="1"/>
  <c r="F32" i="17" s="1"/>
  <c r="AH292" i="1"/>
  <c r="AH289" i="1"/>
  <c r="F31" i="17" s="1"/>
  <c r="AK296" i="1"/>
  <c r="AJ296" i="1"/>
  <c r="AI296" i="1"/>
  <c r="AG296" i="1"/>
  <c r="AF296" i="1"/>
  <c r="AE296" i="1"/>
  <c r="AC296" i="1"/>
  <c r="AB296" i="1"/>
  <c r="AA296" i="1"/>
  <c r="H296" i="1"/>
  <c r="G296" i="1"/>
  <c r="F296" i="1"/>
  <c r="E296" i="1"/>
  <c r="AD295" i="1"/>
  <c r="AD296" i="1" s="1"/>
  <c r="F18" i="9"/>
  <c r="AK293" i="1"/>
  <c r="AJ293" i="1"/>
  <c r="AI293" i="1"/>
  <c r="AG293" i="1"/>
  <c r="AF293" i="1"/>
  <c r="AE293" i="1"/>
  <c r="AC293" i="1"/>
  <c r="AB293" i="1"/>
  <c r="AA293" i="1"/>
  <c r="H293" i="1"/>
  <c r="G293" i="1"/>
  <c r="F293" i="1"/>
  <c r="E293" i="1"/>
  <c r="D293" i="1"/>
  <c r="C293" i="1"/>
  <c r="AD292" i="1"/>
  <c r="AD293" i="1" s="1"/>
  <c r="AK290" i="1"/>
  <c r="AJ290" i="1"/>
  <c r="AI290" i="1"/>
  <c r="AG290" i="1"/>
  <c r="AF290" i="1"/>
  <c r="AE290" i="1"/>
  <c r="AC290" i="1"/>
  <c r="AB290" i="1"/>
  <c r="AA290" i="1"/>
  <c r="H290" i="1"/>
  <c r="G290" i="1"/>
  <c r="F290" i="1"/>
  <c r="AD289" i="1"/>
  <c r="AH290" i="1" s="1"/>
  <c r="AC283" i="1"/>
  <c r="AB283" i="1"/>
  <c r="AA283" i="1"/>
  <c r="G283" i="1"/>
  <c r="F283" i="1"/>
  <c r="E283" i="1"/>
  <c r="D283" i="1"/>
  <c r="C283" i="1"/>
  <c r="AD282" i="1"/>
  <c r="AD283" i="1" s="1"/>
  <c r="AC277" i="1"/>
  <c r="AB277" i="1"/>
  <c r="G277" i="1"/>
  <c r="F277" i="1"/>
  <c r="E277" i="1"/>
  <c r="D277" i="1"/>
  <c r="AG276" i="1"/>
  <c r="AG277" i="1" s="1"/>
  <c r="AF276" i="1"/>
  <c r="AE276" i="1"/>
  <c r="AA276" i="1"/>
  <c r="AA277" i="1" s="1"/>
  <c r="H276" i="1"/>
  <c r="AI274" i="1"/>
  <c r="AH273" i="1"/>
  <c r="AI272" i="1"/>
  <c r="AH271" i="1"/>
  <c r="AI268" i="1"/>
  <c r="AI285" i="1" s="1"/>
  <c r="AG268" i="1"/>
  <c r="AG269" i="1" s="1"/>
  <c r="AF268" i="1"/>
  <c r="AE268" i="1"/>
  <c r="AE269" i="1" s="1"/>
  <c r="AD268" i="1"/>
  <c r="H269" i="1"/>
  <c r="AK266" i="1"/>
  <c r="AJ266" i="1"/>
  <c r="AI266" i="1"/>
  <c r="AG266" i="1"/>
  <c r="AF266" i="1"/>
  <c r="AE266" i="1"/>
  <c r="AC266" i="1"/>
  <c r="AB266" i="1"/>
  <c r="AA266" i="1"/>
  <c r="H266" i="1"/>
  <c r="G266" i="1"/>
  <c r="F266" i="1"/>
  <c r="E266" i="1"/>
  <c r="D266" i="1"/>
  <c r="AH265" i="1"/>
  <c r="AD265" i="1"/>
  <c r="AD266" i="1" s="1"/>
  <c r="E389" i="1"/>
  <c r="E390" i="1" s="1"/>
  <c r="AK389" i="1"/>
  <c r="AJ389" i="1"/>
  <c r="AI389" i="1"/>
  <c r="AG389" i="1"/>
  <c r="AF389" i="1"/>
  <c r="AE389" i="1"/>
  <c r="AC389" i="1"/>
  <c r="AB389" i="1"/>
  <c r="AA389" i="1"/>
  <c r="H389" i="1"/>
  <c r="G389" i="1"/>
  <c r="F389" i="1"/>
  <c r="D389" i="1"/>
  <c r="AH388" i="1"/>
  <c r="AD388" i="1"/>
  <c r="AD389" i="1" s="1"/>
  <c r="I389" i="1"/>
  <c r="AC386" i="1"/>
  <c r="AB386" i="1"/>
  <c r="AA386" i="1"/>
  <c r="G386" i="1"/>
  <c r="F386" i="1"/>
  <c r="E386" i="1"/>
  <c r="D386" i="1"/>
  <c r="AD385" i="1"/>
  <c r="AD383" i="1"/>
  <c r="AD384" i="1" s="1"/>
  <c r="AC384" i="1"/>
  <c r="AB384" i="1"/>
  <c r="AA384" i="1"/>
  <c r="G384" i="1"/>
  <c r="F384" i="1"/>
  <c r="E384" i="1"/>
  <c r="D384" i="1"/>
  <c r="AK381" i="1"/>
  <c r="AJ381" i="1"/>
  <c r="AI381" i="1"/>
  <c r="AH380" i="1"/>
  <c r="AC380" i="1"/>
  <c r="AB380" i="1"/>
  <c r="AA380" i="1"/>
  <c r="AE381" i="1" s="1"/>
  <c r="Z380" i="1"/>
  <c r="Y380" i="1"/>
  <c r="X380" i="1"/>
  <c r="W380" i="1"/>
  <c r="F380" i="1"/>
  <c r="E380" i="1"/>
  <c r="D380" i="1"/>
  <c r="C380" i="1"/>
  <c r="AK263" i="1"/>
  <c r="AJ263" i="1"/>
  <c r="AI263" i="1"/>
  <c r="AG263" i="1"/>
  <c r="AF263" i="1"/>
  <c r="AE263" i="1"/>
  <c r="AC263" i="1"/>
  <c r="AB263" i="1"/>
  <c r="AA263" i="1"/>
  <c r="H263" i="1"/>
  <c r="G263" i="1"/>
  <c r="F263" i="1"/>
  <c r="E263" i="1"/>
  <c r="D263" i="1"/>
  <c r="C263" i="1"/>
  <c r="AH262" i="1"/>
  <c r="AH260" i="1"/>
  <c r="AD262" i="1"/>
  <c r="AD263" i="1" s="1"/>
  <c r="AD260" i="1"/>
  <c r="AD261" i="1" s="1"/>
  <c r="AK261" i="1"/>
  <c r="AJ261" i="1"/>
  <c r="AI261" i="1"/>
  <c r="AG261" i="1"/>
  <c r="AF261" i="1"/>
  <c r="AE261" i="1"/>
  <c r="AC261" i="1"/>
  <c r="AB261" i="1"/>
  <c r="AA261" i="1"/>
  <c r="H261" i="1"/>
  <c r="G261" i="1"/>
  <c r="F261" i="1"/>
  <c r="E261" i="1"/>
  <c r="D261" i="1"/>
  <c r="C261" i="1"/>
  <c r="AL260" i="1"/>
  <c r="AK257" i="1"/>
  <c r="AK279" i="1" s="1"/>
  <c r="AJ257" i="1"/>
  <c r="AJ279" i="1" s="1"/>
  <c r="AI257" i="1"/>
  <c r="AG257" i="1"/>
  <c r="AF257" i="1"/>
  <c r="AE257" i="1"/>
  <c r="AC257" i="1"/>
  <c r="AB257" i="1"/>
  <c r="AA257" i="1"/>
  <c r="Z257" i="1"/>
  <c r="Z285" i="1" s="1"/>
  <c r="Y257" i="1"/>
  <c r="Y285" i="1" s="1"/>
  <c r="X257" i="1"/>
  <c r="X285" i="1" s="1"/>
  <c r="W257" i="1"/>
  <c r="W285" i="1" s="1"/>
  <c r="F257" i="1"/>
  <c r="F285" i="1" s="1"/>
  <c r="C42" i="9" s="1"/>
  <c r="E257" i="1"/>
  <c r="E285" i="1" s="1"/>
  <c r="D257" i="1"/>
  <c r="C257" i="1"/>
  <c r="B257" i="1"/>
  <c r="T446" i="28" s="1" a="1"/>
  <c r="T446" i="28" s="1"/>
  <c r="T447" i="28" s="1"/>
  <c r="B253" i="1"/>
  <c r="AD247" i="1"/>
  <c r="AC247" i="1"/>
  <c r="AB247" i="1"/>
  <c r="AA247" i="1"/>
  <c r="AC245" i="1"/>
  <c r="AB245" i="1"/>
  <c r="AA245" i="1"/>
  <c r="AD244" i="1"/>
  <c r="AC244" i="1"/>
  <c r="AB244" i="1"/>
  <c r="AA244" i="1"/>
  <c r="AD242" i="1"/>
  <c r="AD241" i="1"/>
  <c r="AD239" i="1"/>
  <c r="AD238" i="1"/>
  <c r="AD236" i="1"/>
  <c r="AD235" i="1"/>
  <c r="AD233" i="1"/>
  <c r="AD232" i="1"/>
  <c r="AD230" i="1"/>
  <c r="AC241" i="1"/>
  <c r="AB241" i="1"/>
  <c r="AA241" i="1"/>
  <c r="AC238" i="1"/>
  <c r="AB238" i="1"/>
  <c r="AA238" i="1"/>
  <c r="AC235" i="1"/>
  <c r="AB235" i="1"/>
  <c r="AA235" i="1"/>
  <c r="AC232" i="1"/>
  <c r="AB232" i="1"/>
  <c r="AA232" i="1"/>
  <c r="AK228" i="1"/>
  <c r="AJ228" i="1"/>
  <c r="AI228" i="1"/>
  <c r="AC228" i="1"/>
  <c r="AB228" i="1"/>
  <c r="AA228" i="1"/>
  <c r="G228" i="1"/>
  <c r="F228" i="1"/>
  <c r="E228" i="1"/>
  <c r="D228" i="1"/>
  <c r="AH227" i="1"/>
  <c r="AD227" i="1"/>
  <c r="AD228" i="1" s="1"/>
  <c r="AK222" i="1"/>
  <c r="AJ222" i="1"/>
  <c r="AI222" i="1"/>
  <c r="AG222" i="1"/>
  <c r="AF222" i="1"/>
  <c r="AE222" i="1"/>
  <c r="AH221" i="1"/>
  <c r="AI219" i="1"/>
  <c r="AI217" i="1"/>
  <c r="AK214" i="1"/>
  <c r="AJ214" i="1"/>
  <c r="AG214" i="1"/>
  <c r="AF214" i="1"/>
  <c r="AI213" i="1"/>
  <c r="AL213" i="1" s="1"/>
  <c r="AE213" i="1"/>
  <c r="AE214" i="1" s="1"/>
  <c r="AI211" i="1"/>
  <c r="AH210" i="1"/>
  <c r="AI209" i="1"/>
  <c r="AH208" i="1"/>
  <c r="AI205" i="1"/>
  <c r="AG205" i="1"/>
  <c r="AF205" i="1"/>
  <c r="AF206" i="1" s="1"/>
  <c r="AE205" i="1"/>
  <c r="C413" i="28"/>
  <c r="AK203" i="1"/>
  <c r="AJ203" i="1"/>
  <c r="AI203" i="1"/>
  <c r="AG203" i="1"/>
  <c r="AF203" i="1"/>
  <c r="AE203" i="1"/>
  <c r="AC203" i="1"/>
  <c r="AB203" i="1"/>
  <c r="AA203" i="1"/>
  <c r="H203" i="1"/>
  <c r="G203" i="1"/>
  <c r="F203" i="1"/>
  <c r="E203" i="1"/>
  <c r="D203" i="1"/>
  <c r="AH202" i="1"/>
  <c r="AH197" i="1" s="1"/>
  <c r="AD202" i="1"/>
  <c r="AD203" i="1" s="1"/>
  <c r="F197" i="1"/>
  <c r="C37" i="9" s="1"/>
  <c r="E197" i="1"/>
  <c r="D197" i="1"/>
  <c r="D253" i="1" s="1"/>
  <c r="C197" i="1"/>
  <c r="C253" i="1" s="1"/>
  <c r="AK197" i="1"/>
  <c r="I22" i="17" s="1"/>
  <c r="AJ197" i="1"/>
  <c r="H22" i="17" s="1"/>
  <c r="AI197" i="1"/>
  <c r="AG197" i="1"/>
  <c r="E22" i="17" s="1"/>
  <c r="AF197" i="1"/>
  <c r="AE197" i="1"/>
  <c r="AC197" i="1"/>
  <c r="AB197" i="1"/>
  <c r="AB253" i="1" s="1"/>
  <c r="AA197" i="1"/>
  <c r="Z197" i="1"/>
  <c r="Z253" i="1" s="1"/>
  <c r="Y197" i="1"/>
  <c r="Y253" i="1" s="1"/>
  <c r="X197" i="1"/>
  <c r="X253" i="1" s="1"/>
  <c r="W197" i="1"/>
  <c r="W253" i="1" s="1"/>
  <c r="AK191" i="1"/>
  <c r="AJ191" i="1"/>
  <c r="AG191" i="1"/>
  <c r="AF191" i="1"/>
  <c r="H191" i="1"/>
  <c r="G191" i="1"/>
  <c r="F191" i="1"/>
  <c r="E191" i="1"/>
  <c r="D191" i="1"/>
  <c r="AE190" i="1"/>
  <c r="AH190" i="1" s="1"/>
  <c r="AD190" i="1"/>
  <c r="Z190" i="1"/>
  <c r="Y190" i="1"/>
  <c r="AC191" i="1" s="1"/>
  <c r="X190" i="1"/>
  <c r="AB191" i="1" s="1"/>
  <c r="W190" i="1"/>
  <c r="AL190" i="1"/>
  <c r="E180" i="1"/>
  <c r="D180" i="1"/>
  <c r="C180" i="1"/>
  <c r="E177" i="1"/>
  <c r="D177" i="1"/>
  <c r="AC171" i="1"/>
  <c r="AB171" i="1"/>
  <c r="AA171" i="1"/>
  <c r="G171" i="1"/>
  <c r="F171" i="1"/>
  <c r="E171" i="1"/>
  <c r="D171" i="1"/>
  <c r="AD170" i="1"/>
  <c r="AD171" i="1" s="1"/>
  <c r="AK160" i="1"/>
  <c r="AJ160" i="1"/>
  <c r="AI160" i="1"/>
  <c r="AG160" i="1"/>
  <c r="AF160" i="1"/>
  <c r="AE160" i="1"/>
  <c r="AC160" i="1"/>
  <c r="AB160" i="1"/>
  <c r="AA160" i="1"/>
  <c r="H160" i="1"/>
  <c r="G160" i="1"/>
  <c r="F160" i="1"/>
  <c r="E160" i="1"/>
  <c r="D160" i="1"/>
  <c r="C160" i="1"/>
  <c r="AH159" i="1"/>
  <c r="AH157" i="1"/>
  <c r="AD159" i="1"/>
  <c r="AD160" i="1" s="1"/>
  <c r="AD157" i="1"/>
  <c r="AD158" i="1" s="1"/>
  <c r="AK158" i="1"/>
  <c r="AJ158" i="1"/>
  <c r="AI158" i="1"/>
  <c r="AG158" i="1"/>
  <c r="AF158" i="1"/>
  <c r="AE158" i="1"/>
  <c r="AC158" i="1"/>
  <c r="AB158" i="1"/>
  <c r="AA158" i="1"/>
  <c r="H158" i="1"/>
  <c r="G158" i="1"/>
  <c r="F158" i="1"/>
  <c r="E158" i="1"/>
  <c r="D158" i="1"/>
  <c r="C158" i="1"/>
  <c r="AL157" i="1"/>
  <c r="F154" i="1"/>
  <c r="E154" i="1"/>
  <c r="D154" i="1"/>
  <c r="C154" i="1"/>
  <c r="B154" i="1"/>
  <c r="AK154" i="1"/>
  <c r="AJ154" i="1"/>
  <c r="AI154" i="1"/>
  <c r="G20" i="17" s="1"/>
  <c r="AG154" i="1"/>
  <c r="E20" i="17" s="1"/>
  <c r="AF154" i="1"/>
  <c r="D20" i="17" s="1"/>
  <c r="AE154" i="1"/>
  <c r="AC154" i="1"/>
  <c r="AB154" i="1"/>
  <c r="AA154" i="1"/>
  <c r="Z154" i="1"/>
  <c r="Y154" i="1"/>
  <c r="X154" i="1"/>
  <c r="W154" i="1"/>
  <c r="AK147" i="1"/>
  <c r="AJ147" i="1"/>
  <c r="H147" i="1"/>
  <c r="G147" i="1"/>
  <c r="F147" i="1"/>
  <c r="E147" i="1"/>
  <c r="D147" i="1"/>
  <c r="C147" i="1"/>
  <c r="AE146" i="1"/>
  <c r="AC146" i="1"/>
  <c r="AB146" i="1"/>
  <c r="AF147" i="1" s="1"/>
  <c r="AA146" i="1"/>
  <c r="Z146" i="1"/>
  <c r="Y146" i="1"/>
  <c r="X146" i="1"/>
  <c r="W146" i="1"/>
  <c r="F33" i="9"/>
  <c r="AL143" i="1"/>
  <c r="J35" i="17" s="1"/>
  <c r="J141" i="1"/>
  <c r="AL140" i="1"/>
  <c r="J34" i="17" s="1"/>
  <c r="AD134" i="1"/>
  <c r="AD135" i="1" s="1"/>
  <c r="AD130" i="1"/>
  <c r="AD131" i="1" s="1"/>
  <c r="AG135" i="1"/>
  <c r="AF135" i="1"/>
  <c r="AE135" i="1"/>
  <c r="AC135" i="1"/>
  <c r="AB135" i="1"/>
  <c r="H135" i="1"/>
  <c r="G135" i="1"/>
  <c r="AH134" i="1"/>
  <c r="AC131" i="1"/>
  <c r="AB131" i="1"/>
  <c r="AA131" i="1"/>
  <c r="G131" i="1"/>
  <c r="F131" i="1"/>
  <c r="E131" i="1"/>
  <c r="D131" i="1"/>
  <c r="C131" i="1"/>
  <c r="AK128" i="1"/>
  <c r="AJ128" i="1"/>
  <c r="AI128" i="1"/>
  <c r="AG128" i="1"/>
  <c r="AF128" i="1"/>
  <c r="AE128" i="1"/>
  <c r="H128" i="1"/>
  <c r="AH127" i="1"/>
  <c r="AH125" i="1"/>
  <c r="AD127" i="1"/>
  <c r="AK126" i="1"/>
  <c r="AJ126" i="1"/>
  <c r="AI126" i="1"/>
  <c r="AG126" i="1"/>
  <c r="AF126" i="1"/>
  <c r="AE126" i="1"/>
  <c r="H126" i="1"/>
  <c r="AD125" i="1"/>
  <c r="AL125" i="1"/>
  <c r="AK122" i="1"/>
  <c r="I29" i="17" s="1"/>
  <c r="AJ122" i="1"/>
  <c r="H29" i="17" s="1"/>
  <c r="AI122" i="1"/>
  <c r="G29" i="17" s="1"/>
  <c r="AG122" i="1"/>
  <c r="AG123" i="1" s="1"/>
  <c r="AF122" i="1"/>
  <c r="D29" i="17" s="1"/>
  <c r="AE122" i="1"/>
  <c r="AE123" i="1" s="1"/>
  <c r="AK120" i="1"/>
  <c r="AJ120" i="1"/>
  <c r="AI120" i="1"/>
  <c r="AG120" i="1"/>
  <c r="AF120" i="1"/>
  <c r="H120" i="1"/>
  <c r="AH119" i="1"/>
  <c r="AH114" i="1" s="1"/>
  <c r="F30" i="17" s="1"/>
  <c r="AA119" i="1"/>
  <c r="F115" i="1"/>
  <c r="E115" i="1"/>
  <c r="AK114" i="1"/>
  <c r="AJ114" i="1"/>
  <c r="H30" i="17" s="1"/>
  <c r="AI114" i="1"/>
  <c r="G30" i="17" s="1"/>
  <c r="AG114" i="1"/>
  <c r="AF114" i="1"/>
  <c r="D30" i="17" s="1"/>
  <c r="AE114" i="1"/>
  <c r="AC114" i="1"/>
  <c r="AC115" i="1" s="1"/>
  <c r="AB114" i="1"/>
  <c r="AB115" i="1" s="1"/>
  <c r="AK112" i="1"/>
  <c r="AJ112" i="1"/>
  <c r="AI112" i="1"/>
  <c r="AG112" i="1"/>
  <c r="AF112" i="1"/>
  <c r="AE112" i="1"/>
  <c r="H112" i="1"/>
  <c r="AH111" i="1"/>
  <c r="AH109" i="1"/>
  <c r="AD111" i="1"/>
  <c r="AK110" i="1"/>
  <c r="AJ110" i="1"/>
  <c r="AI110" i="1"/>
  <c r="AG110" i="1"/>
  <c r="AF110" i="1"/>
  <c r="AE110" i="1"/>
  <c r="H110" i="1"/>
  <c r="AD109" i="1"/>
  <c r="AD106" i="1" s="1"/>
  <c r="AK106" i="1"/>
  <c r="I28" i="17" s="1"/>
  <c r="AJ106" i="1"/>
  <c r="H28" i="17" s="1"/>
  <c r="AI106" i="1"/>
  <c r="G28" i="17" s="1"/>
  <c r="AG106" i="1"/>
  <c r="AF106" i="1"/>
  <c r="D28" i="17" s="1"/>
  <c r="AE106" i="1"/>
  <c r="AC106" i="1"/>
  <c r="AB106" i="1"/>
  <c r="AA106" i="1"/>
  <c r="AK104" i="1"/>
  <c r="AJ104" i="1"/>
  <c r="AI104" i="1"/>
  <c r="AG104" i="1"/>
  <c r="AF104" i="1"/>
  <c r="AE104" i="1"/>
  <c r="H104" i="1"/>
  <c r="AH103" i="1"/>
  <c r="AH101" i="1"/>
  <c r="AD103" i="1"/>
  <c r="AK102" i="1"/>
  <c r="AJ102" i="1"/>
  <c r="AI102" i="1"/>
  <c r="AG102" i="1"/>
  <c r="AF102" i="1"/>
  <c r="AE102" i="1"/>
  <c r="H102" i="1"/>
  <c r="AD101" i="1"/>
  <c r="AD98" i="1" s="1"/>
  <c r="AK98" i="1"/>
  <c r="I27" i="17" s="1"/>
  <c r="AJ98" i="1"/>
  <c r="H27" i="17" s="1"/>
  <c r="AI98" i="1"/>
  <c r="G27" i="17" s="1"/>
  <c r="AG98" i="1"/>
  <c r="E27" i="17" s="1"/>
  <c r="AF98" i="1"/>
  <c r="AF99" i="1" s="1"/>
  <c r="AE98" i="1"/>
  <c r="AK96" i="1"/>
  <c r="AJ96" i="1"/>
  <c r="AI96" i="1"/>
  <c r="AG96" i="1"/>
  <c r="AF96" i="1"/>
  <c r="AE96" i="1"/>
  <c r="AC96" i="1"/>
  <c r="AB96" i="1"/>
  <c r="AA96" i="1"/>
  <c r="H96" i="1"/>
  <c r="G96" i="1"/>
  <c r="F96" i="1"/>
  <c r="E96" i="1"/>
  <c r="D96" i="1"/>
  <c r="AH95" i="1"/>
  <c r="AH93" i="1"/>
  <c r="AD95" i="1"/>
  <c r="AD96" i="1" s="1"/>
  <c r="AD93" i="1"/>
  <c r="AK94" i="1"/>
  <c r="AJ94" i="1"/>
  <c r="AI94" i="1"/>
  <c r="AG94" i="1"/>
  <c r="AF94" i="1"/>
  <c r="AE94" i="1"/>
  <c r="AC94" i="1"/>
  <c r="AB94" i="1"/>
  <c r="AA94" i="1"/>
  <c r="H94" i="1"/>
  <c r="G94" i="1"/>
  <c r="F94" i="1"/>
  <c r="E94" i="1"/>
  <c r="D94" i="1"/>
  <c r="AL93" i="1"/>
  <c r="AK90" i="1"/>
  <c r="AJ90" i="1"/>
  <c r="AI90" i="1"/>
  <c r="AG90" i="1"/>
  <c r="AF90" i="1"/>
  <c r="AE90" i="1"/>
  <c r="AC90" i="1"/>
  <c r="AB90" i="1"/>
  <c r="AA90" i="1"/>
  <c r="Z90" i="1"/>
  <c r="Y90" i="1"/>
  <c r="X90" i="1"/>
  <c r="W90" i="1"/>
  <c r="F90" i="1"/>
  <c r="E90" i="1"/>
  <c r="D90" i="1"/>
  <c r="C90" i="1"/>
  <c r="AK88" i="1"/>
  <c r="AJ88" i="1"/>
  <c r="AI88" i="1"/>
  <c r="AG88" i="1"/>
  <c r="AF88" i="1"/>
  <c r="AE88" i="1"/>
  <c r="AC88" i="1"/>
  <c r="AB88" i="1"/>
  <c r="AA88" i="1"/>
  <c r="H88" i="1"/>
  <c r="G88" i="1"/>
  <c r="F88" i="1"/>
  <c r="E88" i="1"/>
  <c r="D88" i="1"/>
  <c r="C88" i="1"/>
  <c r="AH87" i="1"/>
  <c r="AH85" i="1"/>
  <c r="AD87" i="1"/>
  <c r="AD88" i="1" s="1"/>
  <c r="AD85" i="1"/>
  <c r="AD86" i="1" s="1"/>
  <c r="AK86" i="1"/>
  <c r="AJ86" i="1"/>
  <c r="AI86" i="1"/>
  <c r="AG86" i="1"/>
  <c r="AF86" i="1"/>
  <c r="AE86" i="1"/>
  <c r="AC86" i="1"/>
  <c r="AB86" i="1"/>
  <c r="AA86" i="1"/>
  <c r="H86" i="1"/>
  <c r="G86" i="1"/>
  <c r="F86" i="1"/>
  <c r="E86" i="1"/>
  <c r="D86" i="1"/>
  <c r="C86" i="1"/>
  <c r="AK82" i="1"/>
  <c r="AJ82" i="1"/>
  <c r="AI82" i="1"/>
  <c r="AG82" i="1"/>
  <c r="AF82" i="1"/>
  <c r="AE82" i="1"/>
  <c r="AC82" i="1"/>
  <c r="AB82" i="1"/>
  <c r="AA82" i="1"/>
  <c r="Z82" i="1"/>
  <c r="Y82" i="1"/>
  <c r="X82" i="1"/>
  <c r="W82" i="1"/>
  <c r="F82" i="1"/>
  <c r="C25" i="9" s="1"/>
  <c r="E82" i="1"/>
  <c r="D82" i="1"/>
  <c r="C82" i="1"/>
  <c r="B82" i="1"/>
  <c r="T146" i="28" s="1" a="1"/>
  <c r="T146" i="28" s="1"/>
  <c r="T147" i="28" s="1"/>
  <c r="AK80" i="1"/>
  <c r="AJ80" i="1"/>
  <c r="AI80" i="1"/>
  <c r="AG80" i="1"/>
  <c r="AF80" i="1"/>
  <c r="AE80" i="1"/>
  <c r="AC80" i="1"/>
  <c r="AB80" i="1"/>
  <c r="AA80" i="1"/>
  <c r="H80" i="1"/>
  <c r="G80" i="1"/>
  <c r="F80" i="1"/>
  <c r="E80" i="1"/>
  <c r="AH79" i="1"/>
  <c r="AH77" i="1"/>
  <c r="AD79" i="1"/>
  <c r="AD80" i="1" s="1"/>
  <c r="AD77" i="1"/>
  <c r="AD78" i="1" s="1"/>
  <c r="AK78" i="1"/>
  <c r="AJ78" i="1"/>
  <c r="AI78" i="1"/>
  <c r="AG78" i="1"/>
  <c r="AF78" i="1"/>
  <c r="AE78" i="1"/>
  <c r="AC78" i="1"/>
  <c r="AB78" i="1"/>
  <c r="AA78" i="1"/>
  <c r="H78" i="1"/>
  <c r="G78" i="1"/>
  <c r="F78" i="1"/>
  <c r="E78" i="1"/>
  <c r="AL77" i="1"/>
  <c r="AL78" i="1" s="1"/>
  <c r="C75" i="1"/>
  <c r="F74" i="1"/>
  <c r="C27" i="9" s="1"/>
  <c r="E74" i="1"/>
  <c r="D74" i="1"/>
  <c r="AK74" i="1"/>
  <c r="I24" i="17" s="1"/>
  <c r="AJ74" i="1"/>
  <c r="H24" i="17" s="1"/>
  <c r="AI74" i="1"/>
  <c r="AG74" i="1"/>
  <c r="E24" i="17" s="1"/>
  <c r="AF74" i="1"/>
  <c r="D24" i="17" s="1"/>
  <c r="AE74" i="1"/>
  <c r="AC74" i="1"/>
  <c r="AB74" i="1"/>
  <c r="AA74" i="1"/>
  <c r="Z74" i="1"/>
  <c r="Y74" i="1"/>
  <c r="X74" i="1"/>
  <c r="W74" i="1"/>
  <c r="AK68" i="1"/>
  <c r="AJ68" i="1"/>
  <c r="AI68" i="1"/>
  <c r="AG68" i="1"/>
  <c r="AF68" i="1"/>
  <c r="AE68" i="1"/>
  <c r="AC68" i="1"/>
  <c r="AB68" i="1"/>
  <c r="AA68" i="1"/>
  <c r="H68" i="1"/>
  <c r="G68" i="1"/>
  <c r="F68" i="1"/>
  <c r="E68" i="1"/>
  <c r="D68" i="1"/>
  <c r="AH67" i="1"/>
  <c r="AH65" i="1"/>
  <c r="AD67" i="1"/>
  <c r="AD68" i="1" s="1"/>
  <c r="AD65" i="1"/>
  <c r="AK66" i="1"/>
  <c r="AJ66" i="1"/>
  <c r="AI66" i="1"/>
  <c r="AG66" i="1"/>
  <c r="AF66" i="1"/>
  <c r="AE66" i="1"/>
  <c r="AC66" i="1"/>
  <c r="AB66" i="1"/>
  <c r="AA66" i="1"/>
  <c r="H66" i="1"/>
  <c r="G66" i="1"/>
  <c r="F66" i="1"/>
  <c r="E66" i="1"/>
  <c r="D66" i="1"/>
  <c r="AL65" i="1"/>
  <c r="AK62" i="1"/>
  <c r="I23" i="17" s="1"/>
  <c r="AJ62" i="1"/>
  <c r="AI62" i="1"/>
  <c r="G23" i="17" s="1"/>
  <c r="AG62" i="1"/>
  <c r="AF62" i="1"/>
  <c r="D23" i="17" s="1"/>
  <c r="AE62" i="1"/>
  <c r="AC62" i="1"/>
  <c r="AB62" i="1"/>
  <c r="AA62" i="1"/>
  <c r="Z62" i="1"/>
  <c r="Y62" i="1"/>
  <c r="X62" i="1"/>
  <c r="W62" i="1"/>
  <c r="F62" i="1"/>
  <c r="G63" i="1" s="1"/>
  <c r="E62" i="1"/>
  <c r="D62" i="1"/>
  <c r="C62" i="1"/>
  <c r="C63" i="1" s="1"/>
  <c r="AK60" i="1"/>
  <c r="AJ60" i="1"/>
  <c r="AI60" i="1"/>
  <c r="AG60" i="1"/>
  <c r="AF60" i="1"/>
  <c r="AE60" i="1"/>
  <c r="AC60" i="1"/>
  <c r="AB60" i="1"/>
  <c r="AA60" i="1"/>
  <c r="H60" i="1"/>
  <c r="G60" i="1"/>
  <c r="F60" i="1"/>
  <c r="E60" i="1"/>
  <c r="D60" i="1"/>
  <c r="C60" i="1"/>
  <c r="AH59" i="1"/>
  <c r="AH57" i="1"/>
  <c r="AD59" i="1"/>
  <c r="AD60" i="1" s="1"/>
  <c r="AD57" i="1"/>
  <c r="AK58" i="1"/>
  <c r="AJ58" i="1"/>
  <c r="AI58" i="1"/>
  <c r="AG58" i="1"/>
  <c r="AF58" i="1"/>
  <c r="AE58" i="1"/>
  <c r="AC58" i="1"/>
  <c r="AB58" i="1"/>
  <c r="AA58" i="1"/>
  <c r="H58" i="1"/>
  <c r="G58" i="1"/>
  <c r="F58" i="1"/>
  <c r="E58" i="1"/>
  <c r="D58" i="1"/>
  <c r="C58" i="1"/>
  <c r="AL57" i="1"/>
  <c r="AK54" i="1"/>
  <c r="I21" i="17" s="1"/>
  <c r="AJ54" i="1"/>
  <c r="H21" i="17" s="1"/>
  <c r="AI54" i="1"/>
  <c r="G21" i="17" s="1"/>
  <c r="AG54" i="1"/>
  <c r="E21" i="17" s="1"/>
  <c r="AF54" i="1"/>
  <c r="AE54" i="1"/>
  <c r="AC54" i="1"/>
  <c r="AB54" i="1"/>
  <c r="AA54" i="1"/>
  <c r="Z54" i="1"/>
  <c r="Y54" i="1"/>
  <c r="Y70" i="1" s="1"/>
  <c r="X54" i="1"/>
  <c r="W54" i="1"/>
  <c r="F54" i="1"/>
  <c r="E54" i="1"/>
  <c r="D54" i="1"/>
  <c r="C54" i="1"/>
  <c r="B54" i="1"/>
  <c r="B70" i="1" s="1"/>
  <c r="AK51" i="1"/>
  <c r="AJ51" i="1"/>
  <c r="AI51" i="1"/>
  <c r="AG51" i="1"/>
  <c r="AF51" i="1"/>
  <c r="AE51" i="1"/>
  <c r="AC51" i="1"/>
  <c r="AB51" i="1"/>
  <c r="AA51" i="1"/>
  <c r="H51" i="1"/>
  <c r="G51" i="1"/>
  <c r="F51" i="1"/>
  <c r="E51" i="1"/>
  <c r="D51" i="1"/>
  <c r="AH50" i="1"/>
  <c r="AD50" i="1"/>
  <c r="AK47" i="1"/>
  <c r="AJ47" i="1"/>
  <c r="AI47" i="1"/>
  <c r="AG47" i="1"/>
  <c r="AF47" i="1"/>
  <c r="AE47" i="1"/>
  <c r="AC47" i="1"/>
  <c r="AB47" i="1"/>
  <c r="AA47" i="1"/>
  <c r="H47" i="1"/>
  <c r="G47" i="1"/>
  <c r="F47" i="1"/>
  <c r="E47" i="1"/>
  <c r="D47" i="1"/>
  <c r="AH46" i="1"/>
  <c r="AH43" i="1"/>
  <c r="AD46" i="1"/>
  <c r="AK44" i="1"/>
  <c r="AJ44" i="1"/>
  <c r="AI44" i="1"/>
  <c r="AG44" i="1"/>
  <c r="AF44" i="1"/>
  <c r="AE44" i="1"/>
  <c r="AC44" i="1"/>
  <c r="AB44" i="1"/>
  <c r="AA44" i="1"/>
  <c r="H44" i="1"/>
  <c r="G44" i="1"/>
  <c r="F44" i="1"/>
  <c r="E44" i="1"/>
  <c r="D44" i="1"/>
  <c r="AD43" i="1"/>
  <c r="AK40" i="1"/>
  <c r="AJ40" i="1"/>
  <c r="AI40" i="1"/>
  <c r="AG40" i="1"/>
  <c r="AF40" i="1"/>
  <c r="AE40" i="1"/>
  <c r="AC40" i="1"/>
  <c r="AB40" i="1"/>
  <c r="AA40" i="1"/>
  <c r="H40" i="1"/>
  <c r="G40" i="1"/>
  <c r="F40" i="1"/>
  <c r="E40" i="1"/>
  <c r="D40" i="1"/>
  <c r="AH39" i="1"/>
  <c r="AD39" i="1"/>
  <c r="AF5" i="1"/>
  <c r="AE5" i="1"/>
  <c r="Q125" i="3"/>
  <c r="O93" i="3"/>
  <c r="N93" i="3"/>
  <c r="N125" i="3"/>
  <c r="M125" i="3"/>
  <c r="L125" i="3"/>
  <c r="J125" i="3"/>
  <c r="AJ5" i="1"/>
  <c r="AL5" i="1"/>
  <c r="H125" i="3"/>
  <c r="F457" i="13"/>
  <c r="E457" i="13"/>
  <c r="D457" i="13"/>
  <c r="C457" i="13"/>
  <c r="Q456" i="13"/>
  <c r="P456" i="13"/>
  <c r="O456" i="13"/>
  <c r="N456" i="13"/>
  <c r="M456" i="13"/>
  <c r="L456" i="13"/>
  <c r="K456" i="13"/>
  <c r="J456" i="13"/>
  <c r="AH436" i="13"/>
  <c r="AH432" i="13"/>
  <c r="AH431" i="13"/>
  <c r="AH166" i="13" s="1"/>
  <c r="AH429" i="13"/>
  <c r="AH428" i="13"/>
  <c r="AH419" i="13" s="1"/>
  <c r="G436" i="13"/>
  <c r="AD432" i="13"/>
  <c r="AD431" i="13"/>
  <c r="AD166" i="13" s="1"/>
  <c r="AD429" i="13"/>
  <c r="AD428" i="13"/>
  <c r="AI430" i="13"/>
  <c r="AG430" i="13"/>
  <c r="AF430" i="13"/>
  <c r="AC430" i="13"/>
  <c r="AB430" i="13"/>
  <c r="AA430" i="13"/>
  <c r="H430" i="13"/>
  <c r="G430" i="13"/>
  <c r="AK432" i="13"/>
  <c r="AJ432" i="13"/>
  <c r="AK431" i="13"/>
  <c r="AJ431" i="13"/>
  <c r="AJ166" i="13" s="1"/>
  <c r="AK429" i="13"/>
  <c r="AO429" i="13" s="1"/>
  <c r="AJ429" i="13"/>
  <c r="AK428" i="13"/>
  <c r="AO428" i="13" s="1"/>
  <c r="AO419" i="13" s="1"/>
  <c r="AO48" i="13" s="1"/>
  <c r="AJ428" i="13"/>
  <c r="AN428" i="13" s="1"/>
  <c r="AN419" i="13" s="1"/>
  <c r="AN48" i="13" s="1"/>
  <c r="I48" i="13"/>
  <c r="G424" i="13"/>
  <c r="G422" i="13"/>
  <c r="H422" i="13" s="1"/>
  <c r="AK421" i="13"/>
  <c r="AJ421" i="13"/>
  <c r="AI421" i="13"/>
  <c r="AE421" i="13"/>
  <c r="AH421" i="13" s="1"/>
  <c r="AH418" i="13" s="1"/>
  <c r="AC421" i="13"/>
  <c r="AB421" i="13"/>
  <c r="AA421" i="13"/>
  <c r="AD420" i="13"/>
  <c r="AD418" i="13"/>
  <c r="AD417" i="13"/>
  <c r="AD415" i="13"/>
  <c r="AK419" i="13"/>
  <c r="AJ419" i="13"/>
  <c r="AI419" i="13"/>
  <c r="AG419" i="13"/>
  <c r="AF419" i="13"/>
  <c r="AE419" i="13"/>
  <c r="AC419" i="13"/>
  <c r="AB419" i="13"/>
  <c r="AA419" i="13"/>
  <c r="H419" i="13"/>
  <c r="G419" i="13"/>
  <c r="P418" i="13"/>
  <c r="N418" i="13"/>
  <c r="L418" i="13"/>
  <c r="K418" i="13"/>
  <c r="J418" i="13"/>
  <c r="AK416" i="13"/>
  <c r="AJ416" i="13"/>
  <c r="AI416" i="13"/>
  <c r="AG416" i="13"/>
  <c r="AF416" i="13"/>
  <c r="AE416" i="13"/>
  <c r="AC416" i="13"/>
  <c r="AB416" i="13"/>
  <c r="AA416" i="13"/>
  <c r="H416" i="13"/>
  <c r="G416" i="13"/>
  <c r="AK412" i="13"/>
  <c r="AJ412" i="13"/>
  <c r="AI412" i="13"/>
  <c r="AG412" i="13"/>
  <c r="AF412" i="13"/>
  <c r="AE412" i="13"/>
  <c r="AC412" i="13"/>
  <c r="AB412" i="13"/>
  <c r="AA412" i="13"/>
  <c r="AK410" i="13"/>
  <c r="AJ410" i="13"/>
  <c r="AI410" i="13"/>
  <c r="AG410" i="13"/>
  <c r="AF410" i="13"/>
  <c r="AE410" i="13"/>
  <c r="AC410" i="13"/>
  <c r="AB410" i="13"/>
  <c r="AA410" i="13"/>
  <c r="H412" i="13"/>
  <c r="G412" i="13"/>
  <c r="H410" i="13"/>
  <c r="G410" i="13"/>
  <c r="AH409" i="13"/>
  <c r="AH407" i="13"/>
  <c r="AD409" i="13"/>
  <c r="AD407" i="13"/>
  <c r="AK408" i="13"/>
  <c r="AK404" i="13" s="1"/>
  <c r="AJ408" i="13"/>
  <c r="AJ404" i="13" s="1"/>
  <c r="AI408" i="13"/>
  <c r="AI404" i="13" s="1"/>
  <c r="AG408" i="13"/>
  <c r="AF408" i="13"/>
  <c r="AE408" i="13"/>
  <c r="AC408" i="13"/>
  <c r="AB408" i="13"/>
  <c r="AA408" i="13"/>
  <c r="H408" i="13"/>
  <c r="H404" i="13" s="1"/>
  <c r="G408" i="13"/>
  <c r="G404" i="13" s="1"/>
  <c r="AL407" i="13"/>
  <c r="AK400" i="13"/>
  <c r="AJ400" i="13"/>
  <c r="AI400" i="13"/>
  <c r="AG400" i="13"/>
  <c r="AF400" i="13"/>
  <c r="AE400" i="13"/>
  <c r="AC400" i="13"/>
  <c r="AB400" i="13"/>
  <c r="AA400" i="13"/>
  <c r="AH399" i="13"/>
  <c r="AH397" i="13"/>
  <c r="AH394" i="13"/>
  <c r="AH392" i="13"/>
  <c r="AH389" i="13"/>
  <c r="AH388" i="13"/>
  <c r="AD399" i="13"/>
  <c r="AD397" i="13"/>
  <c r="AK396" i="13"/>
  <c r="AK57" i="13" s="1"/>
  <c r="AJ396" i="13"/>
  <c r="AJ57" i="13" s="1"/>
  <c r="AI396" i="13"/>
  <c r="AI57" i="13" s="1"/>
  <c r="AG396" i="13"/>
  <c r="AG57" i="13" s="1"/>
  <c r="AF396" i="13"/>
  <c r="AF57" i="13" s="1"/>
  <c r="AE396" i="13"/>
  <c r="AE57" i="13" s="1"/>
  <c r="AC395" i="13"/>
  <c r="AB395" i="13"/>
  <c r="AA395" i="13"/>
  <c r="H395" i="13"/>
  <c r="AH395" i="13" s="1"/>
  <c r="G395" i="13"/>
  <c r="AL394" i="13"/>
  <c r="AL396" i="13" s="1"/>
  <c r="AD394" i="13"/>
  <c r="AD396" i="13" s="1"/>
  <c r="J394" i="13"/>
  <c r="AC391" i="13"/>
  <c r="AC393" i="13" s="1"/>
  <c r="AB391" i="13"/>
  <c r="AB401" i="13" s="1"/>
  <c r="AA391" i="13"/>
  <c r="AA393" i="13" s="1"/>
  <c r="G391" i="13"/>
  <c r="AD389" i="13"/>
  <c r="AD388" i="13"/>
  <c r="AK387" i="13"/>
  <c r="AK390" i="13" s="1"/>
  <c r="AK398" i="13" s="1"/>
  <c r="AJ387" i="13"/>
  <c r="AJ390" i="13" s="1"/>
  <c r="AI387" i="13"/>
  <c r="AI390" i="13" s="1"/>
  <c r="AG387" i="13"/>
  <c r="AG390" i="13" s="1"/>
  <c r="AG391" i="13" s="1"/>
  <c r="AF387" i="13"/>
  <c r="AF390" i="13" s="1"/>
  <c r="AF391" i="13" s="1"/>
  <c r="AE387" i="13"/>
  <c r="AE390" i="13" s="1"/>
  <c r="AE391" i="13" s="1"/>
  <c r="AE393" i="13" s="1"/>
  <c r="AE402" i="13" s="1"/>
  <c r="AC387" i="13"/>
  <c r="AB387" i="13"/>
  <c r="AA387" i="13"/>
  <c r="H387" i="13"/>
  <c r="H390" i="13" s="1"/>
  <c r="H391" i="13" s="1"/>
  <c r="H435" i="13" s="1"/>
  <c r="G387" i="13"/>
  <c r="AK380" i="13"/>
  <c r="AO380" i="13" s="1"/>
  <c r="AO167" i="13" s="1"/>
  <c r="AJ380" i="13"/>
  <c r="AH380" i="13"/>
  <c r="AD380" i="13"/>
  <c r="I167" i="13"/>
  <c r="AI378" i="13"/>
  <c r="AG378" i="13"/>
  <c r="AF378" i="13"/>
  <c r="AE378" i="13"/>
  <c r="AC378" i="13"/>
  <c r="AB378" i="13"/>
  <c r="AA378" i="13"/>
  <c r="P378" i="13"/>
  <c r="O378" i="13"/>
  <c r="N378" i="13"/>
  <c r="M378" i="13"/>
  <c r="H378" i="13"/>
  <c r="G378" i="13"/>
  <c r="AH377" i="13"/>
  <c r="AH376" i="13"/>
  <c r="AD377" i="13"/>
  <c r="AD376" i="13"/>
  <c r="AK377" i="13"/>
  <c r="AO377" i="13" s="1"/>
  <c r="AJ377" i="13"/>
  <c r="AN377" i="13" s="1"/>
  <c r="AK376" i="13"/>
  <c r="AJ376" i="13"/>
  <c r="AN376" i="13" s="1"/>
  <c r="AN332" i="13" s="1"/>
  <c r="Z371" i="13"/>
  <c r="Y371" i="13"/>
  <c r="X371" i="13"/>
  <c r="W371" i="13"/>
  <c r="Z370" i="13"/>
  <c r="Y370" i="13"/>
  <c r="X370" i="13"/>
  <c r="W370" i="13"/>
  <c r="AH361" i="13"/>
  <c r="AH360" i="13"/>
  <c r="AH354" i="13"/>
  <c r="AH349" i="13"/>
  <c r="AH344" i="13"/>
  <c r="AD361" i="13"/>
  <c r="AD360" i="13"/>
  <c r="AD354" i="13"/>
  <c r="AD344" i="13"/>
  <c r="AD346" i="13" s="1"/>
  <c r="H365" i="13"/>
  <c r="G365" i="13"/>
  <c r="H364" i="13"/>
  <c r="G364" i="13"/>
  <c r="H363" i="13"/>
  <c r="G363" i="13"/>
  <c r="AK365" i="13"/>
  <c r="AJ365" i="13"/>
  <c r="AI365" i="13"/>
  <c r="AK364" i="13"/>
  <c r="AJ364" i="13"/>
  <c r="AI364" i="13"/>
  <c r="AK363" i="13"/>
  <c r="AJ363" i="13"/>
  <c r="AI363" i="13"/>
  <c r="AG365" i="13"/>
  <c r="AF365" i="13"/>
  <c r="AE365" i="13"/>
  <c r="AG364" i="13"/>
  <c r="AF364" i="13"/>
  <c r="AE364" i="13"/>
  <c r="AG363" i="13"/>
  <c r="AF363" i="13"/>
  <c r="AE363" i="13"/>
  <c r="AC365" i="13"/>
  <c r="AB365" i="13"/>
  <c r="AA365" i="13"/>
  <c r="AC364" i="13"/>
  <c r="AB364" i="13"/>
  <c r="AA364" i="13"/>
  <c r="AC363" i="13"/>
  <c r="AB363" i="13"/>
  <c r="AA363" i="13"/>
  <c r="M362" i="13"/>
  <c r="L362" i="13"/>
  <c r="K362" i="13"/>
  <c r="J362" i="13"/>
  <c r="AK359" i="13"/>
  <c r="AJ359" i="13"/>
  <c r="AI359" i="13"/>
  <c r="AG359" i="13"/>
  <c r="AF359" i="13"/>
  <c r="AE359" i="13"/>
  <c r="AC359" i="13"/>
  <c r="AB359" i="13"/>
  <c r="AA359" i="13"/>
  <c r="H359" i="13"/>
  <c r="G359" i="13"/>
  <c r="J361" i="13"/>
  <c r="J367" i="13" s="1"/>
  <c r="AL360" i="13"/>
  <c r="H357" i="13"/>
  <c r="G357" i="13"/>
  <c r="H356" i="13"/>
  <c r="G356" i="13"/>
  <c r="AK357" i="13"/>
  <c r="AJ357" i="13"/>
  <c r="AI357" i="13"/>
  <c r="AK356" i="13"/>
  <c r="AJ356" i="13"/>
  <c r="AI356" i="13"/>
  <c r="AG357" i="13"/>
  <c r="AF357" i="13"/>
  <c r="AE357" i="13"/>
  <c r="AG356" i="13"/>
  <c r="AF356" i="13"/>
  <c r="AE356" i="13"/>
  <c r="AC357" i="13"/>
  <c r="AB357" i="13"/>
  <c r="AA357" i="13"/>
  <c r="AC356" i="13"/>
  <c r="AB356" i="13"/>
  <c r="AA356" i="13"/>
  <c r="H352" i="13"/>
  <c r="AK352" i="13"/>
  <c r="AJ352" i="13"/>
  <c r="AI352" i="13"/>
  <c r="AK351" i="13"/>
  <c r="AJ351" i="13"/>
  <c r="AI351" i="13"/>
  <c r="AG352" i="13"/>
  <c r="AF352" i="13"/>
  <c r="AE352" i="13"/>
  <c r="AG351" i="13"/>
  <c r="AF351" i="13"/>
  <c r="AE351" i="13"/>
  <c r="AC352" i="13"/>
  <c r="AB352" i="13"/>
  <c r="AA352" i="13"/>
  <c r="AC351" i="13"/>
  <c r="AB351" i="13"/>
  <c r="AA351" i="13"/>
  <c r="G349" i="13"/>
  <c r="H347" i="13"/>
  <c r="H342" i="13" s="1"/>
  <c r="G347" i="13"/>
  <c r="G342" i="13" s="1"/>
  <c r="H346" i="13"/>
  <c r="AK347" i="13"/>
  <c r="AK342" i="13" s="1"/>
  <c r="AJ347" i="13"/>
  <c r="AI347" i="13"/>
  <c r="AI342" i="13" s="1"/>
  <c r="AK346" i="13"/>
  <c r="AJ346" i="13"/>
  <c r="AI346" i="13"/>
  <c r="AG347" i="13"/>
  <c r="AF347" i="13"/>
  <c r="AE347" i="13"/>
  <c r="AG346" i="13"/>
  <c r="AF346" i="13"/>
  <c r="AE346" i="13"/>
  <c r="AC347" i="13"/>
  <c r="AB347" i="13"/>
  <c r="AA347" i="13"/>
  <c r="AC346" i="13"/>
  <c r="AB346" i="13"/>
  <c r="AA346" i="13"/>
  <c r="AH330" i="13"/>
  <c r="AH329" i="13"/>
  <c r="AH327" i="13"/>
  <c r="AD333" i="13"/>
  <c r="AD329" i="13"/>
  <c r="AD327" i="13"/>
  <c r="AK332" i="13"/>
  <c r="AJ332" i="13"/>
  <c r="AI332" i="13"/>
  <c r="P332" i="13"/>
  <c r="O332" i="13"/>
  <c r="N332" i="13"/>
  <c r="M332" i="13"/>
  <c r="AG332" i="13"/>
  <c r="AF332" i="13"/>
  <c r="AE332" i="13"/>
  <c r="AA330" i="13"/>
  <c r="H332" i="13"/>
  <c r="AC330" i="13"/>
  <c r="AC332" i="13" s="1"/>
  <c r="AB330" i="13"/>
  <c r="AB332" i="13" s="1"/>
  <c r="G330" i="13"/>
  <c r="G332" i="13" s="1"/>
  <c r="Z326" i="13"/>
  <c r="Y326" i="13"/>
  <c r="X326" i="13"/>
  <c r="W326" i="13"/>
  <c r="AK320" i="13"/>
  <c r="AJ320" i="13"/>
  <c r="AH320" i="13"/>
  <c r="AD320" i="13"/>
  <c r="AI318" i="13"/>
  <c r="AF318" i="13"/>
  <c r="AE318" i="13"/>
  <c r="AC318" i="13"/>
  <c r="AB318" i="13"/>
  <c r="AA318" i="13"/>
  <c r="G318" i="13"/>
  <c r="AG317" i="13"/>
  <c r="AG160" i="13" s="1"/>
  <c r="AD317" i="13"/>
  <c r="AD316" i="13"/>
  <c r="H317" i="13"/>
  <c r="H160" i="13" s="1"/>
  <c r="AJ317" i="13"/>
  <c r="AN317" i="13" s="1"/>
  <c r="AK316" i="13"/>
  <c r="AO316" i="13" s="1"/>
  <c r="AO274" i="13" s="1"/>
  <c r="AJ316" i="13"/>
  <c r="AN316" i="13" s="1"/>
  <c r="M316" i="13"/>
  <c r="N316" i="13" s="1"/>
  <c r="H316" i="13"/>
  <c r="H157" i="13" s="1"/>
  <c r="Z311" i="13"/>
  <c r="Y311" i="13"/>
  <c r="X311" i="13"/>
  <c r="W311" i="13"/>
  <c r="AL271" i="13"/>
  <c r="AH301" i="13"/>
  <c r="AH300" i="13"/>
  <c r="AH294" i="13"/>
  <c r="AH289" i="13"/>
  <c r="AH284" i="13"/>
  <c r="AH272" i="13"/>
  <c r="AH271" i="13"/>
  <c r="AH269" i="13"/>
  <c r="AD300" i="13"/>
  <c r="AD284" i="13"/>
  <c r="AD286" i="13" s="1"/>
  <c r="AD275" i="13"/>
  <c r="AD271" i="13"/>
  <c r="AD269" i="13"/>
  <c r="H305" i="13"/>
  <c r="G305" i="13"/>
  <c r="H304" i="13"/>
  <c r="H303" i="13"/>
  <c r="AK305" i="13"/>
  <c r="AJ305" i="13"/>
  <c r="AI305" i="13"/>
  <c r="AK304" i="13"/>
  <c r="AJ304" i="13"/>
  <c r="AI304" i="13"/>
  <c r="AK303" i="13"/>
  <c r="AJ303" i="13"/>
  <c r="AI303" i="13"/>
  <c r="AG305" i="13"/>
  <c r="AF305" i="13"/>
  <c r="AE305" i="13"/>
  <c r="AG304" i="13"/>
  <c r="AF304" i="13"/>
  <c r="AE304" i="13"/>
  <c r="AG303" i="13"/>
  <c r="AF303" i="13"/>
  <c r="AE303" i="13"/>
  <c r="M302" i="13"/>
  <c r="L302" i="13"/>
  <c r="K302" i="13"/>
  <c r="J302" i="13"/>
  <c r="AC305" i="13"/>
  <c r="AB305" i="13"/>
  <c r="AA305" i="13"/>
  <c r="AC303" i="13"/>
  <c r="AC301" i="13"/>
  <c r="AC299" i="13" s="1"/>
  <c r="AB301" i="13"/>
  <c r="AB304" i="13" s="1"/>
  <c r="AA301" i="13"/>
  <c r="AA304" i="13" s="1"/>
  <c r="G301" i="13"/>
  <c r="G300" i="13"/>
  <c r="G303" i="13" s="1"/>
  <c r="AB300" i="13"/>
  <c r="AA300" i="13"/>
  <c r="AA303" i="13" s="1"/>
  <c r="AA302" i="13" s="1"/>
  <c r="AK299" i="13"/>
  <c r="AJ299" i="13"/>
  <c r="AI299" i="13"/>
  <c r="AG299" i="13"/>
  <c r="AF299" i="13"/>
  <c r="AE299" i="13"/>
  <c r="H299" i="13"/>
  <c r="E104" i="9" s="1"/>
  <c r="J301" i="13"/>
  <c r="H297" i="13"/>
  <c r="AK297" i="13"/>
  <c r="AJ297" i="13"/>
  <c r="AI297" i="13"/>
  <c r="AK296" i="13"/>
  <c r="AJ296" i="13"/>
  <c r="AI296" i="13"/>
  <c r="AG297" i="13"/>
  <c r="AF297" i="13"/>
  <c r="AE297" i="13"/>
  <c r="AC294" i="13"/>
  <c r="AC296" i="13" s="1"/>
  <c r="AB294" i="13"/>
  <c r="AF296" i="13" s="1"/>
  <c r="AA294" i="13"/>
  <c r="AA36" i="13" s="1"/>
  <c r="G294" i="13"/>
  <c r="H292" i="13"/>
  <c r="AK292" i="13"/>
  <c r="AJ292" i="13"/>
  <c r="AI292" i="13"/>
  <c r="AK291" i="13"/>
  <c r="AJ291" i="13"/>
  <c r="AI291" i="13"/>
  <c r="AG292" i="13"/>
  <c r="AF292" i="13"/>
  <c r="AE292" i="13"/>
  <c r="AC289" i="13"/>
  <c r="AC291" i="13" s="1"/>
  <c r="AB289" i="13"/>
  <c r="AF291" i="13" s="1"/>
  <c r="AA289" i="13"/>
  <c r="G289" i="13"/>
  <c r="D100" i="9" s="1"/>
  <c r="AB287" i="13"/>
  <c r="AA287" i="13"/>
  <c r="H287" i="13"/>
  <c r="H282" i="13" s="1"/>
  <c r="H286" i="13"/>
  <c r="AA286" i="13"/>
  <c r="G286" i="13"/>
  <c r="AK287" i="13"/>
  <c r="AK282" i="13" s="1"/>
  <c r="AJ287" i="13"/>
  <c r="AI287" i="13"/>
  <c r="AI282" i="13" s="1"/>
  <c r="AK286" i="13"/>
  <c r="AJ286" i="13"/>
  <c r="AI286" i="13"/>
  <c r="AG287" i="13"/>
  <c r="AF287" i="13"/>
  <c r="AE287" i="13"/>
  <c r="AG286" i="13"/>
  <c r="AF286" i="13"/>
  <c r="AE286" i="13"/>
  <c r="L274" i="13"/>
  <c r="AK274" i="13"/>
  <c r="AJ274" i="13"/>
  <c r="AI274" i="13"/>
  <c r="AG274" i="13"/>
  <c r="AF274" i="13"/>
  <c r="AE274" i="13"/>
  <c r="Z273" i="13"/>
  <c r="Y273" i="13"/>
  <c r="X273" i="13"/>
  <c r="W273" i="13"/>
  <c r="V273" i="13"/>
  <c r="U273" i="13"/>
  <c r="T273" i="13"/>
  <c r="S273" i="13"/>
  <c r="H274" i="13"/>
  <c r="AC272" i="13"/>
  <c r="AC274" i="13" s="1"/>
  <c r="AB272" i="13"/>
  <c r="AB274" i="13" s="1"/>
  <c r="AA272" i="13"/>
  <c r="AA274" i="13" s="1"/>
  <c r="G272" i="13"/>
  <c r="G274" i="13" s="1"/>
  <c r="Z268" i="13"/>
  <c r="Y268" i="13"/>
  <c r="X268" i="13"/>
  <c r="W268" i="13"/>
  <c r="H255" i="13"/>
  <c r="H167" i="13" s="1"/>
  <c r="G255" i="13"/>
  <c r="G167" i="13" s="1"/>
  <c r="AK255" i="13"/>
  <c r="AJ255" i="13"/>
  <c r="AI255" i="13"/>
  <c r="AI167" i="13" s="1"/>
  <c r="AG255" i="13"/>
  <c r="AG167" i="13" s="1"/>
  <c r="AF255" i="13"/>
  <c r="AF167" i="13" s="1"/>
  <c r="AE255" i="13"/>
  <c r="AE169" i="13" s="1"/>
  <c r="AC255" i="13"/>
  <c r="AC169" i="13" s="1"/>
  <c r="AB255" i="13"/>
  <c r="AB167" i="13" s="1"/>
  <c r="AA255" i="13"/>
  <c r="AA167" i="13" s="1"/>
  <c r="AI254" i="13"/>
  <c r="AG254" i="13"/>
  <c r="AF254" i="13"/>
  <c r="AE254" i="13"/>
  <c r="AC254" i="13"/>
  <c r="AB254" i="13"/>
  <c r="AA254" i="13"/>
  <c r="H254" i="13"/>
  <c r="G254" i="13"/>
  <c r="AH252" i="13"/>
  <c r="AD253" i="13"/>
  <c r="AD252" i="13"/>
  <c r="AK252" i="13"/>
  <c r="AJ252" i="13"/>
  <c r="AN252" i="13" s="1"/>
  <c r="Z243" i="13"/>
  <c r="Y243" i="13"/>
  <c r="X243" i="13"/>
  <c r="W243" i="13"/>
  <c r="AH233" i="13"/>
  <c r="AH232" i="13"/>
  <c r="AH226" i="13"/>
  <c r="AH221" i="13"/>
  <c r="AH216" i="13"/>
  <c r="AD226" i="13"/>
  <c r="AD228" i="13" s="1"/>
  <c r="AD207" i="13"/>
  <c r="H237" i="13"/>
  <c r="G237" i="13"/>
  <c r="H236" i="13"/>
  <c r="H235" i="13"/>
  <c r="AK237" i="13"/>
  <c r="AJ237" i="13"/>
  <c r="AI237" i="13"/>
  <c r="AK236" i="13"/>
  <c r="AJ236" i="13"/>
  <c r="AI236" i="13"/>
  <c r="AK235" i="13"/>
  <c r="AJ235" i="13"/>
  <c r="AI235" i="13"/>
  <c r="AG237" i="13"/>
  <c r="AF237" i="13"/>
  <c r="AE237" i="13"/>
  <c r="AG236" i="13"/>
  <c r="AF236" i="13"/>
  <c r="AE236" i="13"/>
  <c r="AG235" i="13"/>
  <c r="AF235" i="13"/>
  <c r="AE235" i="13"/>
  <c r="M234" i="13"/>
  <c r="L234" i="13"/>
  <c r="K234" i="13"/>
  <c r="J234" i="13"/>
  <c r="I234" i="13"/>
  <c r="G233" i="13"/>
  <c r="G232" i="13"/>
  <c r="G235" i="13" s="1"/>
  <c r="AK231" i="13"/>
  <c r="AJ231" i="13"/>
  <c r="AI231" i="13"/>
  <c r="AG231" i="13"/>
  <c r="AF231" i="13"/>
  <c r="AE231" i="13"/>
  <c r="AC237" i="13"/>
  <c r="AB237" i="13"/>
  <c r="AA237" i="13"/>
  <c r="AC233" i="13"/>
  <c r="AC236" i="13" s="1"/>
  <c r="AB233" i="13"/>
  <c r="AB236" i="13" s="1"/>
  <c r="AA233" i="13"/>
  <c r="AA236" i="13" s="1"/>
  <c r="AC232" i="13"/>
  <c r="AC235" i="13" s="1"/>
  <c r="AB232" i="13"/>
  <c r="AB235" i="13" s="1"/>
  <c r="AA232" i="13"/>
  <c r="AA235" i="13" s="1"/>
  <c r="H231" i="13"/>
  <c r="E84" i="9" s="1"/>
  <c r="AL232" i="13"/>
  <c r="AK229" i="13"/>
  <c r="AJ229" i="13"/>
  <c r="AI229" i="13"/>
  <c r="AK228" i="13"/>
  <c r="AJ228" i="13"/>
  <c r="AI228" i="13"/>
  <c r="AG229" i="13"/>
  <c r="AF229" i="13"/>
  <c r="AE229" i="13"/>
  <c r="AG228" i="13"/>
  <c r="AF228" i="13"/>
  <c r="AE228" i="13"/>
  <c r="AC229" i="13"/>
  <c r="AB229" i="13"/>
  <c r="AA229" i="13"/>
  <c r="AC228" i="13"/>
  <c r="AB228" i="13"/>
  <c r="AA228" i="13"/>
  <c r="H229" i="13"/>
  <c r="G229" i="13"/>
  <c r="H228" i="13"/>
  <c r="G228" i="13"/>
  <c r="H224" i="13"/>
  <c r="AK224" i="13"/>
  <c r="AJ224" i="13"/>
  <c r="AI224" i="13"/>
  <c r="AK223" i="13"/>
  <c r="AJ223" i="13"/>
  <c r="AI223" i="13"/>
  <c r="AG224" i="13"/>
  <c r="AF224" i="13"/>
  <c r="AE224" i="13"/>
  <c r="Z222" i="13"/>
  <c r="Y222" i="13"/>
  <c r="X222" i="13"/>
  <c r="W222" i="13"/>
  <c r="AC221" i="13"/>
  <c r="AG223" i="13" s="1"/>
  <c r="AB221" i="13"/>
  <c r="AB224" i="13" s="1"/>
  <c r="AA221" i="13"/>
  <c r="AA31" i="13" s="1"/>
  <c r="G221" i="13"/>
  <c r="H219" i="13"/>
  <c r="H214" i="13" s="1"/>
  <c r="AK219" i="13"/>
  <c r="AJ219" i="13"/>
  <c r="AI219" i="13"/>
  <c r="AK218" i="13"/>
  <c r="AJ218" i="13"/>
  <c r="AI218" i="13"/>
  <c r="AG219" i="13"/>
  <c r="AF219" i="13"/>
  <c r="AE219" i="13"/>
  <c r="AE218" i="13"/>
  <c r="AA219" i="13"/>
  <c r="AA218" i="13"/>
  <c r="Z217" i="13"/>
  <c r="Y217" i="13"/>
  <c r="X217" i="13"/>
  <c r="W217" i="13"/>
  <c r="G216" i="13"/>
  <c r="Z210" i="13"/>
  <c r="Y210" i="13"/>
  <c r="X210" i="13"/>
  <c r="W210" i="13"/>
  <c r="AC216" i="13"/>
  <c r="AB216" i="13"/>
  <c r="AB219" i="13" s="1"/>
  <c r="AK206" i="13"/>
  <c r="AJ206" i="13"/>
  <c r="AI206" i="13"/>
  <c r="AG206" i="13"/>
  <c r="AF206" i="13"/>
  <c r="AE206" i="13"/>
  <c r="H206" i="13"/>
  <c r="Z204" i="13"/>
  <c r="Y204" i="13"/>
  <c r="X204" i="13"/>
  <c r="W204" i="13"/>
  <c r="G203" i="13"/>
  <c r="AH203" i="13"/>
  <c r="AH200" i="13"/>
  <c r="AH198" i="13"/>
  <c r="AC203" i="13"/>
  <c r="AC206" i="13" s="1"/>
  <c r="AB203" i="13"/>
  <c r="AB206" i="13" s="1"/>
  <c r="AA203" i="13"/>
  <c r="AA206" i="13" s="1"/>
  <c r="AD198" i="13"/>
  <c r="AK201" i="13"/>
  <c r="AJ201" i="13"/>
  <c r="AI201" i="13"/>
  <c r="AG201" i="13"/>
  <c r="AF201" i="13"/>
  <c r="AE201" i="13"/>
  <c r="AC201" i="13"/>
  <c r="AB201" i="13"/>
  <c r="H201" i="13"/>
  <c r="AA200" i="13"/>
  <c r="G200" i="13"/>
  <c r="G10" i="13" s="1"/>
  <c r="D48" i="9" s="1"/>
  <c r="G181" i="13"/>
  <c r="D173" i="9" s="1"/>
  <c r="G180" i="13"/>
  <c r="AA176" i="13"/>
  <c r="G168" i="13"/>
  <c r="G166" i="13"/>
  <c r="AD164" i="13"/>
  <c r="AA168" i="13"/>
  <c r="AI166" i="13"/>
  <c r="AG166" i="13"/>
  <c r="AF166" i="13"/>
  <c r="AE166" i="13"/>
  <c r="Q166" i="13"/>
  <c r="P166" i="13"/>
  <c r="O166" i="13"/>
  <c r="N166" i="13"/>
  <c r="M166" i="13"/>
  <c r="L166" i="13"/>
  <c r="K166" i="13"/>
  <c r="J166" i="13"/>
  <c r="I166" i="13"/>
  <c r="H166" i="13"/>
  <c r="AC166" i="13"/>
  <c r="AB166" i="13"/>
  <c r="AA161" i="13"/>
  <c r="AA160" i="13"/>
  <c r="AI160" i="13"/>
  <c r="AF160" i="13"/>
  <c r="AE160" i="13"/>
  <c r="AE162" i="13" s="1"/>
  <c r="G160" i="13"/>
  <c r="G162" i="13" s="1"/>
  <c r="AC160" i="13"/>
  <c r="AC162" i="13" s="1"/>
  <c r="AB160" i="13"/>
  <c r="AB162" i="13" s="1"/>
  <c r="AI157" i="13"/>
  <c r="AG157" i="13"/>
  <c r="AF157" i="13"/>
  <c r="AE157" i="13"/>
  <c r="AE159" i="13" s="1"/>
  <c r="AC157" i="13"/>
  <c r="AC159" i="13" s="1"/>
  <c r="AB157" i="13"/>
  <c r="AB159" i="13" s="1"/>
  <c r="AA157" i="13"/>
  <c r="AA159" i="13" s="1"/>
  <c r="G157" i="13"/>
  <c r="G159" i="13" s="1"/>
  <c r="AL153" i="13"/>
  <c r="AK153" i="13"/>
  <c r="AJ153" i="13"/>
  <c r="AI153" i="13"/>
  <c r="AH153" i="13"/>
  <c r="AG153" i="13"/>
  <c r="AF153" i="13"/>
  <c r="Q153" i="13"/>
  <c r="P153" i="13"/>
  <c r="O153" i="13"/>
  <c r="N153" i="13"/>
  <c r="M153" i="13"/>
  <c r="L153" i="13"/>
  <c r="K153" i="13"/>
  <c r="J153" i="13"/>
  <c r="I153" i="13"/>
  <c r="H153" i="13"/>
  <c r="G153" i="13"/>
  <c r="AD146" i="13"/>
  <c r="H141" i="13"/>
  <c r="E169" i="9" s="1"/>
  <c r="G141" i="13"/>
  <c r="H140" i="13"/>
  <c r="H457" i="13" s="1"/>
  <c r="G140" i="13"/>
  <c r="D168" i="9" s="1"/>
  <c r="AL129" i="13"/>
  <c r="AH129" i="13"/>
  <c r="AD129" i="13"/>
  <c r="AK124" i="13"/>
  <c r="AJ124" i="13"/>
  <c r="AI124" i="13"/>
  <c r="AG124" i="13"/>
  <c r="AF124" i="13"/>
  <c r="AE124" i="13"/>
  <c r="AC124" i="13"/>
  <c r="AB124" i="13"/>
  <c r="AA124" i="13"/>
  <c r="H124" i="13"/>
  <c r="G124" i="13"/>
  <c r="AL112" i="13"/>
  <c r="AH123" i="13"/>
  <c r="AH119" i="13"/>
  <c r="AH121" i="13" s="1"/>
  <c r="AH112" i="13"/>
  <c r="AH111" i="13"/>
  <c r="AD123" i="13"/>
  <c r="AD119" i="13"/>
  <c r="AD112" i="13"/>
  <c r="AD111" i="13"/>
  <c r="AC122" i="13"/>
  <c r="AB122" i="13"/>
  <c r="AA122" i="13"/>
  <c r="Z122" i="13"/>
  <c r="Y122" i="13"/>
  <c r="X122" i="13"/>
  <c r="W122" i="13"/>
  <c r="AK122" i="13"/>
  <c r="AJ122" i="13"/>
  <c r="AI122" i="13"/>
  <c r="AK121" i="13"/>
  <c r="AJ121" i="13"/>
  <c r="AI121" i="13"/>
  <c r="AG122" i="13"/>
  <c r="AF122" i="13"/>
  <c r="AE122" i="13"/>
  <c r="AG121" i="13"/>
  <c r="AF121" i="13"/>
  <c r="AE121" i="13"/>
  <c r="AC121" i="13"/>
  <c r="AB121" i="13"/>
  <c r="AA121" i="13"/>
  <c r="H122" i="13"/>
  <c r="H453" i="13" s="1"/>
  <c r="G122" i="13"/>
  <c r="G453" i="13" s="1"/>
  <c r="H121" i="13"/>
  <c r="G121" i="13"/>
  <c r="AK114" i="13"/>
  <c r="AJ114" i="13"/>
  <c r="AI114" i="13"/>
  <c r="AG114" i="13"/>
  <c r="AF114" i="13"/>
  <c r="AE114" i="13"/>
  <c r="AC114" i="13"/>
  <c r="AB114" i="13"/>
  <c r="AA114" i="13"/>
  <c r="H114" i="13"/>
  <c r="G114" i="13"/>
  <c r="AK111" i="13"/>
  <c r="AK107" i="13" s="1"/>
  <c r="I42" i="17" s="1"/>
  <c r="AJ111" i="13"/>
  <c r="AJ107" i="13" s="1"/>
  <c r="AL108" i="13"/>
  <c r="AH108" i="13"/>
  <c r="AH103" i="13"/>
  <c r="AD108" i="13"/>
  <c r="AD106" i="13"/>
  <c r="AD103" i="13"/>
  <c r="AI107" i="13"/>
  <c r="AG107" i="13"/>
  <c r="E42" i="17" s="1"/>
  <c r="AF107" i="13"/>
  <c r="D42" i="17" s="1"/>
  <c r="AE107" i="13"/>
  <c r="AC107" i="13"/>
  <c r="AB107" i="13"/>
  <c r="AA107" i="13"/>
  <c r="Z107" i="13"/>
  <c r="Z113" i="13" s="1"/>
  <c r="Y107" i="13"/>
  <c r="Y113" i="13" s="1"/>
  <c r="X107" i="13"/>
  <c r="X113" i="13" s="1"/>
  <c r="W107" i="13"/>
  <c r="W113" i="13" s="1"/>
  <c r="Q107" i="13"/>
  <c r="N160" i="9" s="1"/>
  <c r="P107" i="13"/>
  <c r="M160" i="9" s="1"/>
  <c r="O107" i="13"/>
  <c r="N107" i="13"/>
  <c r="K160" i="9" s="1"/>
  <c r="M107" i="13"/>
  <c r="J160" i="9" s="1"/>
  <c r="L107" i="13"/>
  <c r="I160" i="9" s="1"/>
  <c r="K107" i="13"/>
  <c r="J107" i="13"/>
  <c r="J114" i="13" s="1"/>
  <c r="J50" i="3" s="1"/>
  <c r="G213" i="9" s="1"/>
  <c r="I107" i="13"/>
  <c r="D29" i="15" s="1"/>
  <c r="H107" i="13"/>
  <c r="G107" i="13"/>
  <c r="D160" i="9" s="1"/>
  <c r="H105" i="13"/>
  <c r="AJ103" i="13"/>
  <c r="AN103" i="13" s="1"/>
  <c r="AI103" i="13"/>
  <c r="Z102" i="13"/>
  <c r="AJ101" i="13"/>
  <c r="AC101" i="13"/>
  <c r="AB101" i="13"/>
  <c r="AA101" i="13"/>
  <c r="G101" i="13"/>
  <c r="AI100" i="13"/>
  <c r="AI101" i="13" s="1"/>
  <c r="AG100" i="13"/>
  <c r="AG101" i="13" s="1"/>
  <c r="AF100" i="13"/>
  <c r="AF101" i="13" s="1"/>
  <c r="AE100" i="13"/>
  <c r="AE101" i="13" s="1"/>
  <c r="AD100" i="13"/>
  <c r="Z100" i="13"/>
  <c r="Z98" i="13"/>
  <c r="Z96" i="13"/>
  <c r="Z95" i="13"/>
  <c r="AK100" i="13"/>
  <c r="AK101" i="13" s="1"/>
  <c r="H100" i="13"/>
  <c r="H101" i="13" s="1"/>
  <c r="AD98" i="13"/>
  <c r="AD96" i="13"/>
  <c r="AH96" i="13"/>
  <c r="AL96" i="13"/>
  <c r="AK94" i="13"/>
  <c r="AJ94" i="13"/>
  <c r="AI94" i="13"/>
  <c r="AG94" i="13"/>
  <c r="AF94" i="13"/>
  <c r="AE94" i="13"/>
  <c r="AK93" i="13"/>
  <c r="AJ93" i="13"/>
  <c r="AI93" i="13"/>
  <c r="AG93" i="13"/>
  <c r="AF93" i="13"/>
  <c r="AE93" i="13"/>
  <c r="AC93" i="13"/>
  <c r="AC97" i="13" s="1"/>
  <c r="AB93" i="13"/>
  <c r="AB97" i="13" s="1"/>
  <c r="AB104" i="13" s="1"/>
  <c r="AB105" i="13" s="1"/>
  <c r="AA93" i="13"/>
  <c r="AA97" i="13" s="1"/>
  <c r="Y93" i="13"/>
  <c r="Y97" i="13" s="1"/>
  <c r="Y99" i="13" s="1"/>
  <c r="Y104" i="13" s="1"/>
  <c r="Y105" i="13" s="1"/>
  <c r="X93" i="13"/>
  <c r="X97" i="13" s="1"/>
  <c r="X99" i="13" s="1"/>
  <c r="X103" i="13" s="1"/>
  <c r="Z103" i="13" s="1"/>
  <c r="W93" i="13"/>
  <c r="W97" i="13" s="1"/>
  <c r="W99" i="13" s="1"/>
  <c r="W104" i="13" s="1"/>
  <c r="Q56" i="3"/>
  <c r="P56" i="3"/>
  <c r="O56" i="3"/>
  <c r="N56" i="3"/>
  <c r="M56" i="3"/>
  <c r="L56" i="3"/>
  <c r="K56" i="3"/>
  <c r="H94" i="13"/>
  <c r="G94" i="13"/>
  <c r="AD94" i="13" s="1"/>
  <c r="H93" i="13"/>
  <c r="G93" i="13"/>
  <c r="AL91" i="13"/>
  <c r="AH92" i="13"/>
  <c r="AH91" i="13"/>
  <c r="AD92" i="13"/>
  <c r="AD91" i="13"/>
  <c r="Z92" i="13"/>
  <c r="Z91" i="13"/>
  <c r="AL92" i="13"/>
  <c r="J91" i="13"/>
  <c r="AH89" i="13"/>
  <c r="AD89" i="13"/>
  <c r="Z89" i="13"/>
  <c r="G88" i="13"/>
  <c r="G90" i="13" s="1"/>
  <c r="P87" i="13"/>
  <c r="Q87" i="13" s="1"/>
  <c r="M88" i="13"/>
  <c r="M89" i="13" s="1"/>
  <c r="K88" i="13"/>
  <c r="K89" i="13" s="1"/>
  <c r="K100" i="13" s="1"/>
  <c r="AC79" i="13"/>
  <c r="AB79" i="13"/>
  <c r="Z79" i="13"/>
  <c r="Y79" i="13"/>
  <c r="X79" i="13"/>
  <c r="W79" i="13"/>
  <c r="G79" i="13"/>
  <c r="G76" i="13"/>
  <c r="AD76" i="13" s="1"/>
  <c r="G75" i="13"/>
  <c r="G73" i="13"/>
  <c r="G72" i="13"/>
  <c r="G70" i="13"/>
  <c r="AD70" i="13" s="1"/>
  <c r="G69" i="13"/>
  <c r="G64" i="13"/>
  <c r="Z78" i="13"/>
  <c r="Y78" i="13"/>
  <c r="X78" i="13"/>
  <c r="X80" i="13" s="1"/>
  <c r="W78" i="13"/>
  <c r="W80" i="13" s="1"/>
  <c r="AK75" i="13"/>
  <c r="AK77" i="13" s="1"/>
  <c r="AJ75" i="13"/>
  <c r="AJ77" i="13" s="1"/>
  <c r="AI75" i="13"/>
  <c r="AI77" i="13" s="1"/>
  <c r="AG75" i="13"/>
  <c r="AG77" i="13" s="1"/>
  <c r="AF75" i="13"/>
  <c r="AF77" i="13" s="1"/>
  <c r="AE75" i="13"/>
  <c r="AE77" i="13" s="1"/>
  <c r="AC75" i="13"/>
  <c r="AC77" i="13" s="1"/>
  <c r="AB75" i="13"/>
  <c r="AB77" i="13" s="1"/>
  <c r="AA75" i="13"/>
  <c r="AA77" i="13" s="1"/>
  <c r="Z75" i="13"/>
  <c r="Z77" i="13" s="1"/>
  <c r="Y75" i="13"/>
  <c r="Y77" i="13" s="1"/>
  <c r="X75" i="13"/>
  <c r="X77" i="13" s="1"/>
  <c r="W75" i="13"/>
  <c r="W77" i="13" s="1"/>
  <c r="H75" i="13"/>
  <c r="H77" i="13" s="1"/>
  <c r="H72" i="13"/>
  <c r="H74" i="13" s="1"/>
  <c r="AK72" i="13"/>
  <c r="AK74" i="13" s="1"/>
  <c r="AJ72" i="13"/>
  <c r="AJ74" i="13" s="1"/>
  <c r="AI72" i="13"/>
  <c r="AI74" i="13" s="1"/>
  <c r="AG72" i="13"/>
  <c r="AG74" i="13" s="1"/>
  <c r="AF72" i="13"/>
  <c r="AF74" i="13" s="1"/>
  <c r="AE72" i="13"/>
  <c r="AE74" i="13" s="1"/>
  <c r="AC72" i="13"/>
  <c r="AC74" i="13" s="1"/>
  <c r="AB72" i="13"/>
  <c r="AB74" i="13" s="1"/>
  <c r="AA72" i="13"/>
  <c r="AA74" i="13" s="1"/>
  <c r="Z72" i="13"/>
  <c r="Z74" i="13" s="1"/>
  <c r="Y72" i="13"/>
  <c r="Y74" i="13" s="1"/>
  <c r="X72" i="13"/>
  <c r="X74" i="13" s="1"/>
  <c r="W72" i="13"/>
  <c r="W74" i="13" s="1"/>
  <c r="AK69" i="13"/>
  <c r="AK71" i="13" s="1"/>
  <c r="AJ69" i="13"/>
  <c r="AJ71" i="13" s="1"/>
  <c r="AI69" i="13"/>
  <c r="AI71" i="13" s="1"/>
  <c r="AG69" i="13"/>
  <c r="AG71" i="13" s="1"/>
  <c r="AF69" i="13"/>
  <c r="AF71" i="13" s="1"/>
  <c r="AE69" i="13"/>
  <c r="AE71" i="13" s="1"/>
  <c r="AL64" i="13"/>
  <c r="AL85" i="13" s="1"/>
  <c r="AK64" i="13"/>
  <c r="AK85" i="13" s="1"/>
  <c r="AJ64" i="13"/>
  <c r="AJ85" i="13" s="1"/>
  <c r="AI64" i="13"/>
  <c r="AI85" i="13" s="1"/>
  <c r="AH64" i="13"/>
  <c r="AH85" i="13" s="1"/>
  <c r="AG64" i="13"/>
  <c r="AG85" i="13" s="1"/>
  <c r="AF64" i="13"/>
  <c r="AF85" i="13" s="1"/>
  <c r="AE64" i="13"/>
  <c r="AE85" i="13" s="1"/>
  <c r="AC69" i="13"/>
  <c r="AC71" i="13" s="1"/>
  <c r="AB69" i="13"/>
  <c r="AB71" i="13" s="1"/>
  <c r="AA69" i="13"/>
  <c r="AA71" i="13" s="1"/>
  <c r="Z69" i="13"/>
  <c r="Z71" i="13" s="1"/>
  <c r="Y69" i="13"/>
  <c r="Y71" i="13" s="1"/>
  <c r="X69" i="13"/>
  <c r="X71" i="13" s="1"/>
  <c r="W69" i="13"/>
  <c r="W71" i="13" s="1"/>
  <c r="AC64" i="13"/>
  <c r="AB64" i="13"/>
  <c r="Y64" i="13"/>
  <c r="X64" i="13"/>
  <c r="W64" i="13"/>
  <c r="H69" i="13"/>
  <c r="H71" i="13" s="1"/>
  <c r="Q64" i="13"/>
  <c r="Q85" i="13" s="1"/>
  <c r="P64" i="13"/>
  <c r="P85" i="13" s="1"/>
  <c r="O64" i="13"/>
  <c r="O85" i="13" s="1"/>
  <c r="N64" i="13"/>
  <c r="N85" i="13" s="1"/>
  <c r="M64" i="13"/>
  <c r="M85" i="13" s="1"/>
  <c r="L64" i="13"/>
  <c r="L85" i="13" s="1"/>
  <c r="K64" i="13"/>
  <c r="K85" i="13" s="1"/>
  <c r="J64" i="13"/>
  <c r="J85" i="13" s="1"/>
  <c r="I64" i="13"/>
  <c r="I85" i="13" s="1"/>
  <c r="H64" i="13"/>
  <c r="H85" i="13" s="1"/>
  <c r="AA61" i="13"/>
  <c r="AD61" i="13" s="1"/>
  <c r="AA60" i="13"/>
  <c r="AK60" i="13"/>
  <c r="AK62" i="13" s="1"/>
  <c r="AJ60" i="13"/>
  <c r="AJ62" i="13" s="1"/>
  <c r="AI60" i="13"/>
  <c r="AI62" i="13" s="1"/>
  <c r="AG60" i="13"/>
  <c r="AG62" i="13" s="1"/>
  <c r="AF60" i="13"/>
  <c r="AF62" i="13" s="1"/>
  <c r="AE60" i="13"/>
  <c r="AE62" i="13" s="1"/>
  <c r="AC60" i="13"/>
  <c r="AC62" i="13" s="1"/>
  <c r="AB60" i="13"/>
  <c r="AB62" i="13" s="1"/>
  <c r="Z60" i="13"/>
  <c r="Z62" i="13" s="1"/>
  <c r="Y60" i="13"/>
  <c r="Y62" i="13" s="1"/>
  <c r="X60" i="13"/>
  <c r="X62" i="13" s="1"/>
  <c r="W60" i="13"/>
  <c r="W62" i="13" s="1"/>
  <c r="H60" i="13"/>
  <c r="H62" i="13" s="1"/>
  <c r="G60" i="13"/>
  <c r="G62" i="13" s="1"/>
  <c r="H59" i="13"/>
  <c r="G58" i="13"/>
  <c r="AC57" i="13"/>
  <c r="AB57" i="13"/>
  <c r="AA57" i="13"/>
  <c r="Z57" i="13"/>
  <c r="Y57" i="13"/>
  <c r="X57" i="13"/>
  <c r="W57" i="13"/>
  <c r="H57" i="13"/>
  <c r="AJ49" i="13"/>
  <c r="AJ47" i="13"/>
  <c r="AJ46" i="13"/>
  <c r="AJ44" i="13"/>
  <c r="I45" i="13"/>
  <c r="G49" i="13"/>
  <c r="G46" i="13"/>
  <c r="G42" i="13"/>
  <c r="AK49" i="13"/>
  <c r="AK47" i="13"/>
  <c r="AK46" i="13"/>
  <c r="AK44" i="13"/>
  <c r="H49" i="13"/>
  <c r="H47" i="13"/>
  <c r="H46" i="13"/>
  <c r="H44" i="13"/>
  <c r="AI49" i="13"/>
  <c r="AG49" i="13"/>
  <c r="AF49" i="13"/>
  <c r="AE49" i="13"/>
  <c r="AC49" i="13"/>
  <c r="AB49" i="13"/>
  <c r="AA49" i="13"/>
  <c r="AI47" i="13"/>
  <c r="AG47" i="13"/>
  <c r="AF47" i="13"/>
  <c r="AE47" i="13"/>
  <c r="AI46" i="13"/>
  <c r="AG46" i="13"/>
  <c r="AF46" i="13"/>
  <c r="AE46" i="13"/>
  <c r="AC46" i="13"/>
  <c r="AB46" i="13"/>
  <c r="AA46" i="13"/>
  <c r="AI44" i="13"/>
  <c r="AG44" i="13"/>
  <c r="AF44" i="13"/>
  <c r="AE44" i="13"/>
  <c r="Z49" i="13"/>
  <c r="Y49" i="13"/>
  <c r="X49" i="13"/>
  <c r="W49" i="13"/>
  <c r="Z48" i="13"/>
  <c r="Y48" i="13"/>
  <c r="X48" i="13"/>
  <c r="W48" i="13"/>
  <c r="Z47" i="13"/>
  <c r="Y47" i="13"/>
  <c r="X47" i="13"/>
  <c r="W47" i="13"/>
  <c r="Z46" i="13"/>
  <c r="Y46" i="13"/>
  <c r="X46" i="13"/>
  <c r="W46" i="13"/>
  <c r="Z45" i="13"/>
  <c r="Y45" i="13"/>
  <c r="X45" i="13"/>
  <c r="W45" i="13"/>
  <c r="Z44" i="13"/>
  <c r="Y44" i="13"/>
  <c r="X44" i="13"/>
  <c r="W44" i="13"/>
  <c r="Q45" i="13"/>
  <c r="P45" i="13"/>
  <c r="O45" i="13"/>
  <c r="N45" i="13"/>
  <c r="M45" i="13"/>
  <c r="L45" i="13"/>
  <c r="K45" i="13"/>
  <c r="J45" i="13"/>
  <c r="AC42" i="13"/>
  <c r="AB42" i="13"/>
  <c r="AA42" i="13"/>
  <c r="Z41" i="13"/>
  <c r="Z43" i="13" s="1"/>
  <c r="Y41" i="13"/>
  <c r="Y43" i="13" s="1"/>
  <c r="X41" i="13"/>
  <c r="W41" i="13"/>
  <c r="W43" i="13" s="1"/>
  <c r="H40" i="13"/>
  <c r="AD39" i="13"/>
  <c r="AD34" i="13"/>
  <c r="AD29" i="13"/>
  <c r="AK36" i="13"/>
  <c r="AK40" i="13" s="1"/>
  <c r="AJ36" i="13"/>
  <c r="AJ40" i="13" s="1"/>
  <c r="AI36" i="13"/>
  <c r="AI40" i="13" s="1"/>
  <c r="AG36" i="13"/>
  <c r="AG40" i="13" s="1"/>
  <c r="AF36" i="13"/>
  <c r="AE36" i="13"/>
  <c r="Z36" i="13"/>
  <c r="Z40" i="13" s="1"/>
  <c r="Y36" i="13"/>
  <c r="Y37" i="13" s="1"/>
  <c r="X36" i="13"/>
  <c r="X37" i="13" s="1"/>
  <c r="W36" i="13"/>
  <c r="W40" i="13" s="1"/>
  <c r="H36" i="13"/>
  <c r="E152" i="9" s="1"/>
  <c r="AK31" i="13"/>
  <c r="AK35" i="13" s="1"/>
  <c r="AJ31" i="13"/>
  <c r="AI31" i="13"/>
  <c r="AI35" i="13" s="1"/>
  <c r="AG31" i="13"/>
  <c r="AG35" i="13" s="1"/>
  <c r="AF31" i="13"/>
  <c r="AE31" i="13"/>
  <c r="AE35" i="13" s="1"/>
  <c r="Z31" i="13"/>
  <c r="Z35" i="13" s="1"/>
  <c r="Y31" i="13"/>
  <c r="Y35" i="13" s="1"/>
  <c r="X31" i="13"/>
  <c r="X35" i="13" s="1"/>
  <c r="W31" i="13"/>
  <c r="W35" i="13" s="1"/>
  <c r="H31" i="13"/>
  <c r="E150" i="9" s="1"/>
  <c r="AK26" i="13"/>
  <c r="AJ26" i="13"/>
  <c r="AJ30" i="13" s="1"/>
  <c r="AI26" i="13"/>
  <c r="AI30" i="13" s="1"/>
  <c r="AG26" i="13"/>
  <c r="AF26" i="13"/>
  <c r="AF30" i="13" s="1"/>
  <c r="AE26" i="13"/>
  <c r="AL19" i="13"/>
  <c r="AL55" i="13" s="1"/>
  <c r="AK19" i="13"/>
  <c r="AK55" i="13" s="1"/>
  <c r="AJ19" i="13"/>
  <c r="AJ55" i="13" s="1"/>
  <c r="AI19" i="13"/>
  <c r="AI55" i="13" s="1"/>
  <c r="AH19" i="13"/>
  <c r="AH55" i="13" s="1"/>
  <c r="AG19" i="13"/>
  <c r="AG55" i="13" s="1"/>
  <c r="AF19" i="13"/>
  <c r="AF55" i="13" s="1"/>
  <c r="AE19" i="13"/>
  <c r="AE55" i="13" s="1"/>
  <c r="AA26" i="13"/>
  <c r="AA30" i="13" s="1"/>
  <c r="AB19" i="13"/>
  <c r="Z26" i="13"/>
  <c r="Y26" i="13"/>
  <c r="Y27" i="13" s="1"/>
  <c r="X26" i="13"/>
  <c r="X30" i="13" s="1"/>
  <c r="W26" i="13"/>
  <c r="W30" i="13" s="1"/>
  <c r="Y19" i="13"/>
  <c r="Y55" i="13" s="1"/>
  <c r="X19" i="13"/>
  <c r="X55" i="13" s="1"/>
  <c r="W19" i="13"/>
  <c r="W55" i="13" s="1"/>
  <c r="H26" i="13"/>
  <c r="H30" i="13" s="1"/>
  <c r="Q19" i="13"/>
  <c r="Q55" i="13" s="1"/>
  <c r="P19" i="13"/>
  <c r="P55" i="13" s="1"/>
  <c r="O19" i="13"/>
  <c r="O55" i="13" s="1"/>
  <c r="N19" i="13"/>
  <c r="N55" i="13" s="1"/>
  <c r="M19" i="13"/>
  <c r="M55" i="13" s="1"/>
  <c r="L19" i="13"/>
  <c r="L55" i="13" s="1"/>
  <c r="K19" i="13"/>
  <c r="K55" i="13" s="1"/>
  <c r="J19" i="13"/>
  <c r="J55" i="13" s="1"/>
  <c r="I19" i="13"/>
  <c r="I55" i="13" s="1"/>
  <c r="H19" i="13"/>
  <c r="H55" i="13" s="1"/>
  <c r="G19" i="13"/>
  <c r="AC14" i="13"/>
  <c r="AC19" i="13" s="1"/>
  <c r="AA14" i="13"/>
  <c r="AK13" i="13"/>
  <c r="AK15" i="13" s="1"/>
  <c r="AJ13" i="13"/>
  <c r="AJ15" i="13" s="1"/>
  <c r="AI13" i="13"/>
  <c r="AI15" i="13" s="1"/>
  <c r="AG13" i="13"/>
  <c r="AG15" i="13" s="1"/>
  <c r="AF13" i="13"/>
  <c r="AF15" i="13" s="1"/>
  <c r="AE13" i="13"/>
  <c r="AE15" i="13" s="1"/>
  <c r="H13" i="13"/>
  <c r="H15" i="13" s="1"/>
  <c r="Z13" i="13"/>
  <c r="Z15" i="13" s="1"/>
  <c r="Y13" i="13"/>
  <c r="X13" i="13"/>
  <c r="X17" i="13" s="1"/>
  <c r="X18" i="13" s="1"/>
  <c r="W13" i="13"/>
  <c r="W15" i="13" s="1"/>
  <c r="Y12" i="13"/>
  <c r="X12" i="13"/>
  <c r="W12" i="13"/>
  <c r="AD11" i="13"/>
  <c r="Z11" i="13"/>
  <c r="Z19" i="13" s="1"/>
  <c r="Z55" i="13" s="1"/>
  <c r="AK10" i="13"/>
  <c r="AJ10" i="13"/>
  <c r="AI10" i="13"/>
  <c r="AI12" i="13" s="1"/>
  <c r="AG10" i="13"/>
  <c r="AF10" i="13"/>
  <c r="AF12" i="13" s="1"/>
  <c r="AE10" i="13"/>
  <c r="AE12" i="13" s="1"/>
  <c r="AC10" i="13"/>
  <c r="AC12" i="13" s="1"/>
  <c r="AB10" i="13"/>
  <c r="AB12" i="13" s="1"/>
  <c r="H10" i="13"/>
  <c r="E48" i="9" s="1"/>
  <c r="AA7" i="13"/>
  <c r="AD7" i="13" s="1"/>
  <c r="AK5" i="13"/>
  <c r="AJ5" i="13"/>
  <c r="AI5" i="13"/>
  <c r="AH5" i="13"/>
  <c r="AG5" i="13"/>
  <c r="H5" i="13"/>
  <c r="G5" i="13"/>
  <c r="W3" i="13"/>
  <c r="H158" i="3"/>
  <c r="G158" i="3"/>
  <c r="F158" i="3"/>
  <c r="F160" i="3" s="1"/>
  <c r="E158" i="3"/>
  <c r="E160" i="3" s="1"/>
  <c r="D158" i="3"/>
  <c r="D160" i="3" s="1"/>
  <c r="C158" i="3"/>
  <c r="C155" i="3"/>
  <c r="B155" i="3"/>
  <c r="H154" i="3"/>
  <c r="H149" i="3" s="1"/>
  <c r="G154" i="3"/>
  <c r="G149" i="3" s="1"/>
  <c r="F154" i="3"/>
  <c r="E154" i="3"/>
  <c r="D154" i="3"/>
  <c r="J158" i="3"/>
  <c r="K158" i="3" s="1"/>
  <c r="L158" i="3" s="1"/>
  <c r="M158" i="3" s="1"/>
  <c r="N158" i="3" s="1"/>
  <c r="O158" i="3" s="1"/>
  <c r="P158" i="3" s="1"/>
  <c r="Q158" i="3" s="1"/>
  <c r="J153" i="3"/>
  <c r="K153" i="3" s="1"/>
  <c r="L153" i="3" s="1"/>
  <c r="M153" i="3" s="1"/>
  <c r="N153" i="3" s="1"/>
  <c r="O153" i="3" s="1"/>
  <c r="P153" i="3" s="1"/>
  <c r="Q153" i="3" s="1"/>
  <c r="J152" i="3"/>
  <c r="K152" i="3" s="1"/>
  <c r="L152" i="3" s="1"/>
  <c r="M152" i="3" s="1"/>
  <c r="N152" i="3" s="1"/>
  <c r="O152" i="3" s="1"/>
  <c r="P152" i="3" s="1"/>
  <c r="Q152" i="3" s="1"/>
  <c r="G151" i="3"/>
  <c r="F151" i="3"/>
  <c r="F156" i="3" s="1"/>
  <c r="E151" i="3"/>
  <c r="E156" i="3" s="1"/>
  <c r="F147" i="3"/>
  <c r="K145" i="3"/>
  <c r="H145" i="3"/>
  <c r="G145" i="3"/>
  <c r="F145" i="3"/>
  <c r="F149" i="3" s="1"/>
  <c r="E145" i="3"/>
  <c r="D145" i="3"/>
  <c r="D149" i="3" s="1"/>
  <c r="C145" i="3"/>
  <c r="C147" i="3" s="1"/>
  <c r="B145" i="3"/>
  <c r="B147" i="3" s="1"/>
  <c r="M144" i="3"/>
  <c r="N144" i="3" s="1"/>
  <c r="O144" i="3" s="1"/>
  <c r="P144" i="3" s="1"/>
  <c r="Q144" i="3" s="1"/>
  <c r="I140" i="3"/>
  <c r="J140" i="3" s="1"/>
  <c r="K140" i="3" s="1"/>
  <c r="L140" i="3" s="1"/>
  <c r="M140" i="3" s="1"/>
  <c r="N140" i="3" s="1"/>
  <c r="O140" i="3" s="1"/>
  <c r="P140" i="3" s="1"/>
  <c r="Q140" i="3" s="1"/>
  <c r="H138" i="3"/>
  <c r="D14" i="26" s="1"/>
  <c r="G138" i="3"/>
  <c r="F138" i="3"/>
  <c r="F139" i="3" s="1"/>
  <c r="E138" i="3"/>
  <c r="E139" i="3" s="1"/>
  <c r="D138" i="3"/>
  <c r="D139" i="3" s="1"/>
  <c r="C138" i="3"/>
  <c r="C139" i="3" s="1"/>
  <c r="B138" i="3"/>
  <c r="B139" i="3" s="1"/>
  <c r="H135" i="3"/>
  <c r="D12" i="26" s="1"/>
  <c r="G135" i="3"/>
  <c r="F135" i="3"/>
  <c r="E135" i="3"/>
  <c r="D135" i="3"/>
  <c r="C135" i="3"/>
  <c r="B135" i="3"/>
  <c r="Q132" i="3"/>
  <c r="P132" i="3"/>
  <c r="O132" i="3"/>
  <c r="N132" i="3"/>
  <c r="M132" i="3"/>
  <c r="L132" i="3"/>
  <c r="K132" i="3"/>
  <c r="J132" i="3"/>
  <c r="F132" i="3"/>
  <c r="E132" i="3"/>
  <c r="D132" i="3"/>
  <c r="C132" i="3"/>
  <c r="B132" i="3"/>
  <c r="F131" i="3"/>
  <c r="E131" i="3"/>
  <c r="D131" i="3"/>
  <c r="C131" i="3"/>
  <c r="B131" i="3"/>
  <c r="M130" i="3"/>
  <c r="N130" i="3" s="1"/>
  <c r="O130" i="3" s="1"/>
  <c r="P130" i="3" s="1"/>
  <c r="Q130" i="3" s="1"/>
  <c r="G125" i="3"/>
  <c r="G120" i="3"/>
  <c r="G119" i="3"/>
  <c r="H127" i="3"/>
  <c r="I127" i="3" s="1"/>
  <c r="J127" i="3" s="1"/>
  <c r="K127" i="3" s="1"/>
  <c r="L127" i="3" s="1"/>
  <c r="M127" i="3" s="1"/>
  <c r="N127" i="3" s="1"/>
  <c r="O127" i="3" s="1"/>
  <c r="P127" i="3" s="1"/>
  <c r="Q127" i="3" s="1"/>
  <c r="H126" i="3"/>
  <c r="I126" i="3" s="1"/>
  <c r="J126" i="3" s="1"/>
  <c r="K126" i="3" s="1"/>
  <c r="L126" i="3" s="1"/>
  <c r="M126" i="3" s="1"/>
  <c r="N126" i="3" s="1"/>
  <c r="H121" i="3"/>
  <c r="I121" i="3" s="1"/>
  <c r="H120" i="3"/>
  <c r="H119" i="3"/>
  <c r="M116" i="3"/>
  <c r="N116" i="3" s="1"/>
  <c r="O116" i="3" s="1"/>
  <c r="P116" i="3" s="1"/>
  <c r="Q116" i="3" s="1"/>
  <c r="F113" i="3"/>
  <c r="E113" i="3"/>
  <c r="D113" i="3"/>
  <c r="C113" i="3"/>
  <c r="B113" i="3"/>
  <c r="H110" i="3"/>
  <c r="G110" i="3"/>
  <c r="F110" i="3"/>
  <c r="E110" i="3"/>
  <c r="D110" i="3"/>
  <c r="C110" i="3"/>
  <c r="B110" i="3"/>
  <c r="H109" i="3"/>
  <c r="G109" i="3"/>
  <c r="F109" i="3"/>
  <c r="E109" i="3"/>
  <c r="D109" i="3"/>
  <c r="C109" i="3"/>
  <c r="B109" i="3"/>
  <c r="M108" i="3"/>
  <c r="N108" i="3" s="1"/>
  <c r="O108" i="3" s="1"/>
  <c r="P108" i="3" s="1"/>
  <c r="Q108" i="3" s="1"/>
  <c r="G100" i="3"/>
  <c r="D240" i="9" s="1"/>
  <c r="E100" i="3"/>
  <c r="D100" i="3"/>
  <c r="C100" i="3"/>
  <c r="B100" i="3"/>
  <c r="H99" i="3"/>
  <c r="H100" i="3" s="1"/>
  <c r="E240" i="9" s="1"/>
  <c r="E97" i="3"/>
  <c r="D97" i="3"/>
  <c r="C97" i="3"/>
  <c r="B97" i="3"/>
  <c r="E95" i="3"/>
  <c r="E167" i="3" s="1"/>
  <c r="D95" i="3"/>
  <c r="C95" i="3"/>
  <c r="B95" i="3"/>
  <c r="B96" i="3" s="1"/>
  <c r="F93" i="3"/>
  <c r="F95" i="3" s="1"/>
  <c r="F167" i="3" s="1"/>
  <c r="H92" i="3"/>
  <c r="G92" i="3"/>
  <c r="F92" i="3"/>
  <c r="E92" i="3"/>
  <c r="D92" i="3"/>
  <c r="C92" i="3"/>
  <c r="B92" i="3"/>
  <c r="F90" i="3"/>
  <c r="J84" i="3"/>
  <c r="G234" i="9" s="1"/>
  <c r="F82" i="3"/>
  <c r="C232" i="9" s="1"/>
  <c r="E82" i="3"/>
  <c r="D82" i="3"/>
  <c r="C82" i="3"/>
  <c r="B82" i="3"/>
  <c r="H76" i="3"/>
  <c r="H82" i="3" s="1"/>
  <c r="E232" i="9" s="1"/>
  <c r="G76" i="3"/>
  <c r="G82" i="3" s="1"/>
  <c r="D232" i="9" s="1"/>
  <c r="F73" i="3"/>
  <c r="E73" i="3"/>
  <c r="D73" i="3"/>
  <c r="C73" i="3"/>
  <c r="B73" i="3"/>
  <c r="M73" i="3"/>
  <c r="N73" i="3" s="1"/>
  <c r="O73" i="3" s="1"/>
  <c r="P73" i="3" s="1"/>
  <c r="Q73" i="3" s="1"/>
  <c r="F70" i="3"/>
  <c r="E70" i="3"/>
  <c r="D70" i="3"/>
  <c r="C70" i="3"/>
  <c r="B70" i="3"/>
  <c r="M70" i="3"/>
  <c r="N70" i="3" s="1"/>
  <c r="O70" i="3" s="1"/>
  <c r="D60" i="3"/>
  <c r="D67" i="3" s="1"/>
  <c r="C60" i="3"/>
  <c r="C67" i="3" s="1"/>
  <c r="B60" i="3"/>
  <c r="B67" i="3" s="1"/>
  <c r="H58" i="3"/>
  <c r="E216" i="9" s="1"/>
  <c r="G58" i="3"/>
  <c r="D216" i="9" s="1"/>
  <c r="F58" i="3"/>
  <c r="E58" i="3"/>
  <c r="E60" i="3" s="1"/>
  <c r="E67" i="3" s="1"/>
  <c r="H55" i="3"/>
  <c r="E217" i="9" s="1"/>
  <c r="G55" i="3"/>
  <c r="K57" i="3"/>
  <c r="I58" i="3"/>
  <c r="F216" i="9" s="1"/>
  <c r="J55" i="3"/>
  <c r="K55" i="3" s="1"/>
  <c r="L55" i="3" s="1"/>
  <c r="M55" i="3" s="1"/>
  <c r="N55" i="3" s="1"/>
  <c r="O55" i="3" s="1"/>
  <c r="P55" i="3" s="1"/>
  <c r="Q55" i="3" s="1"/>
  <c r="J54" i="3"/>
  <c r="G54" i="3"/>
  <c r="I51" i="3"/>
  <c r="I52" i="3" s="1"/>
  <c r="H51" i="3"/>
  <c r="H52" i="3" s="1"/>
  <c r="G51" i="3"/>
  <c r="G52" i="3" s="1"/>
  <c r="F51" i="3"/>
  <c r="F52" i="3" s="1"/>
  <c r="E51" i="3"/>
  <c r="E52" i="3" s="1"/>
  <c r="D51" i="3"/>
  <c r="D52" i="3" s="1"/>
  <c r="C51" i="3"/>
  <c r="C52" i="3" s="1"/>
  <c r="B51" i="3"/>
  <c r="B52" i="3" s="1"/>
  <c r="H42" i="3"/>
  <c r="E211" i="9" s="1"/>
  <c r="Q41" i="3"/>
  <c r="N210" i="9" s="1"/>
  <c r="P41" i="3"/>
  <c r="M210" i="9" s="1"/>
  <c r="O41" i="3"/>
  <c r="L210" i="9" s="1"/>
  <c r="N41" i="3"/>
  <c r="K210" i="9" s="1"/>
  <c r="M41" i="3"/>
  <c r="J210" i="9" s="1"/>
  <c r="L41" i="3"/>
  <c r="I210" i="9" s="1"/>
  <c r="K41" i="3"/>
  <c r="H210" i="9" s="1"/>
  <c r="J41" i="3"/>
  <c r="G210" i="9" s="1"/>
  <c r="F210" i="9"/>
  <c r="M39" i="3"/>
  <c r="N39" i="3" s="1"/>
  <c r="O39" i="3" s="1"/>
  <c r="P39" i="3" s="1"/>
  <c r="Q39" i="3" s="1"/>
  <c r="H34" i="3"/>
  <c r="E204" i="9" s="1"/>
  <c r="G34" i="3"/>
  <c r="D204" i="9" s="1"/>
  <c r="F34" i="3"/>
  <c r="C204" i="9" s="1"/>
  <c r="E34" i="3"/>
  <c r="D34" i="3"/>
  <c r="C34" i="3"/>
  <c r="B34" i="3"/>
  <c r="I120" i="3"/>
  <c r="C26" i="26" s="1"/>
  <c r="J32" i="3"/>
  <c r="K32" i="3" s="1"/>
  <c r="L32" i="3" s="1"/>
  <c r="M32" i="3" s="1"/>
  <c r="N32" i="3" s="1"/>
  <c r="O32" i="3" s="1"/>
  <c r="P32" i="3" s="1"/>
  <c r="Q32" i="3" s="1"/>
  <c r="J31" i="3"/>
  <c r="K31" i="3" s="1"/>
  <c r="L31" i="3" s="1"/>
  <c r="M31" i="3" s="1"/>
  <c r="N31" i="3" s="1"/>
  <c r="O31" i="3" s="1"/>
  <c r="P31" i="3" s="1"/>
  <c r="Q31" i="3" s="1"/>
  <c r="H28" i="3"/>
  <c r="E200" i="9" s="1"/>
  <c r="G28" i="3"/>
  <c r="D200" i="9" s="1"/>
  <c r="F28" i="3"/>
  <c r="C200" i="9" s="1"/>
  <c r="E28" i="3"/>
  <c r="D28" i="3"/>
  <c r="C28" i="3"/>
  <c r="B28" i="3"/>
  <c r="F24" i="3"/>
  <c r="E24" i="3"/>
  <c r="D24" i="3"/>
  <c r="C24" i="3"/>
  <c r="B24" i="3"/>
  <c r="H23" i="3"/>
  <c r="H24" i="3" s="1"/>
  <c r="E196" i="9" s="1"/>
  <c r="G23" i="3"/>
  <c r="G24" i="3" s="1"/>
  <c r="D196" i="9" s="1"/>
  <c r="J26" i="3"/>
  <c r="I109" i="3"/>
  <c r="J22" i="3"/>
  <c r="H17" i="3"/>
  <c r="E190" i="9" s="1"/>
  <c r="G17" i="3"/>
  <c r="D190" i="9" s="1"/>
  <c r="F17" i="3"/>
  <c r="C190" i="9" s="1"/>
  <c r="E17" i="3"/>
  <c r="D17" i="3"/>
  <c r="C17" i="3"/>
  <c r="B17" i="3"/>
  <c r="J15" i="3"/>
  <c r="G188" i="9" s="1"/>
  <c r="J14" i="3"/>
  <c r="H9" i="3"/>
  <c r="E184" i="9" s="1"/>
  <c r="G9" i="3"/>
  <c r="D184" i="9" s="1"/>
  <c r="F9" i="3"/>
  <c r="E9" i="3"/>
  <c r="E19" i="3" s="1"/>
  <c r="D9" i="3"/>
  <c r="C9" i="3"/>
  <c r="B9" i="3"/>
  <c r="J8" i="3"/>
  <c r="K8" i="3" s="1"/>
  <c r="M1" i="3"/>
  <c r="N1" i="3" s="1"/>
  <c r="O1" i="3" s="1"/>
  <c r="P1" i="3" s="1"/>
  <c r="Q1" i="3" s="1"/>
  <c r="N241" i="9"/>
  <c r="M241" i="9"/>
  <c r="L241" i="9"/>
  <c r="K241" i="9"/>
  <c r="J241" i="9"/>
  <c r="I241" i="9"/>
  <c r="H241" i="9"/>
  <c r="G241" i="9"/>
  <c r="F241" i="9"/>
  <c r="E241" i="9"/>
  <c r="D241" i="9"/>
  <c r="C241" i="9"/>
  <c r="E239" i="9"/>
  <c r="D239" i="9"/>
  <c r="N238" i="9"/>
  <c r="M238" i="9"/>
  <c r="L238" i="9"/>
  <c r="K238" i="9"/>
  <c r="J238" i="9"/>
  <c r="I238" i="9"/>
  <c r="H238" i="9"/>
  <c r="G238" i="9"/>
  <c r="F238" i="9"/>
  <c r="E238" i="9"/>
  <c r="D238" i="9"/>
  <c r="C238" i="9"/>
  <c r="N237" i="9"/>
  <c r="M237" i="9"/>
  <c r="L237" i="9"/>
  <c r="K237" i="9"/>
  <c r="J237" i="9"/>
  <c r="I237" i="9"/>
  <c r="H237" i="9"/>
  <c r="G237" i="9"/>
  <c r="F237" i="9"/>
  <c r="E237" i="9"/>
  <c r="D237" i="9"/>
  <c r="C237" i="9"/>
  <c r="N236" i="9"/>
  <c r="M236" i="9"/>
  <c r="L236" i="9"/>
  <c r="K236" i="9"/>
  <c r="J236" i="9"/>
  <c r="I236" i="9"/>
  <c r="H236" i="9"/>
  <c r="G236" i="9"/>
  <c r="F236" i="9"/>
  <c r="E236" i="9"/>
  <c r="D236" i="9"/>
  <c r="C236" i="9"/>
  <c r="N235" i="9"/>
  <c r="M235" i="9"/>
  <c r="L235" i="9"/>
  <c r="K235" i="9"/>
  <c r="J235" i="9"/>
  <c r="I235" i="9"/>
  <c r="H235" i="9"/>
  <c r="G235" i="9"/>
  <c r="F235" i="9"/>
  <c r="E235" i="9"/>
  <c r="D235" i="9"/>
  <c r="C235" i="9"/>
  <c r="E234" i="9"/>
  <c r="D234" i="9"/>
  <c r="C234" i="9"/>
  <c r="N231" i="9"/>
  <c r="M231" i="9"/>
  <c r="L231" i="9"/>
  <c r="K231" i="9"/>
  <c r="J231" i="9"/>
  <c r="I231" i="9"/>
  <c r="H231" i="9"/>
  <c r="G231" i="9"/>
  <c r="F231" i="9"/>
  <c r="E231" i="9"/>
  <c r="D231" i="9"/>
  <c r="C231" i="9"/>
  <c r="N230" i="9"/>
  <c r="M230" i="9"/>
  <c r="L230" i="9"/>
  <c r="K230" i="9"/>
  <c r="J230" i="9"/>
  <c r="I230" i="9"/>
  <c r="H230" i="9"/>
  <c r="G230" i="9"/>
  <c r="F230" i="9"/>
  <c r="E230" i="9"/>
  <c r="D230" i="9"/>
  <c r="C230" i="9"/>
  <c r="N229" i="9"/>
  <c r="M229" i="9"/>
  <c r="L229" i="9"/>
  <c r="K229" i="9"/>
  <c r="J229" i="9"/>
  <c r="I229" i="9"/>
  <c r="H229" i="9"/>
  <c r="G229" i="9"/>
  <c r="F229" i="9"/>
  <c r="E229" i="9"/>
  <c r="D229" i="9"/>
  <c r="C229" i="9"/>
  <c r="N228" i="9"/>
  <c r="M228" i="9"/>
  <c r="L228" i="9"/>
  <c r="K228" i="9"/>
  <c r="J228" i="9"/>
  <c r="I228" i="9"/>
  <c r="H228" i="9"/>
  <c r="G228" i="9"/>
  <c r="F228" i="9"/>
  <c r="E228" i="9"/>
  <c r="D228" i="9"/>
  <c r="C228" i="9"/>
  <c r="N227" i="9"/>
  <c r="M227" i="9"/>
  <c r="L227" i="9"/>
  <c r="K227" i="9"/>
  <c r="J227" i="9"/>
  <c r="I227" i="9"/>
  <c r="H227" i="9"/>
  <c r="G227" i="9"/>
  <c r="F227" i="9"/>
  <c r="D227" i="9"/>
  <c r="C227" i="9"/>
  <c r="N226" i="9"/>
  <c r="M226" i="9"/>
  <c r="L226" i="9"/>
  <c r="K226" i="9"/>
  <c r="J226" i="9"/>
  <c r="I226" i="9"/>
  <c r="H226" i="9"/>
  <c r="G226" i="9"/>
  <c r="F226" i="9"/>
  <c r="E226" i="9"/>
  <c r="D226" i="9"/>
  <c r="C226" i="9"/>
  <c r="E225" i="9"/>
  <c r="D225" i="9"/>
  <c r="C225" i="9"/>
  <c r="E224" i="9"/>
  <c r="D224" i="9"/>
  <c r="C224" i="9"/>
  <c r="E221" i="9"/>
  <c r="D221" i="9"/>
  <c r="C221" i="9"/>
  <c r="E220" i="9"/>
  <c r="D220" i="9"/>
  <c r="C220" i="9"/>
  <c r="E218" i="9"/>
  <c r="D218" i="9"/>
  <c r="C218" i="9"/>
  <c r="F217" i="9"/>
  <c r="C217" i="9"/>
  <c r="E215" i="9"/>
  <c r="D215" i="9"/>
  <c r="C215" i="9"/>
  <c r="N214" i="9"/>
  <c r="M214" i="9"/>
  <c r="L214" i="9"/>
  <c r="K214" i="9"/>
  <c r="J214" i="9"/>
  <c r="I214" i="9"/>
  <c r="H214" i="9"/>
  <c r="G214" i="9"/>
  <c r="F214" i="9"/>
  <c r="E214" i="9"/>
  <c r="D214" i="9"/>
  <c r="C214" i="9"/>
  <c r="E213" i="9"/>
  <c r="D213" i="9"/>
  <c r="C213" i="9"/>
  <c r="G212" i="9"/>
  <c r="F212" i="9"/>
  <c r="E212" i="9"/>
  <c r="D212" i="9"/>
  <c r="C212" i="9"/>
  <c r="D211" i="9"/>
  <c r="C211" i="9"/>
  <c r="E210" i="9"/>
  <c r="D210" i="9"/>
  <c r="C210" i="9"/>
  <c r="C209" i="9"/>
  <c r="N208" i="9"/>
  <c r="M208" i="9"/>
  <c r="F205" i="9"/>
  <c r="E205" i="9"/>
  <c r="D205" i="9"/>
  <c r="C205" i="9"/>
  <c r="N201" i="9"/>
  <c r="M201" i="9"/>
  <c r="L201" i="9"/>
  <c r="K201" i="9"/>
  <c r="J201" i="9"/>
  <c r="I201" i="9"/>
  <c r="H201" i="9"/>
  <c r="G201" i="9"/>
  <c r="F201" i="9"/>
  <c r="E201" i="9"/>
  <c r="D201" i="9"/>
  <c r="C201" i="9"/>
  <c r="F199" i="9"/>
  <c r="E199" i="9"/>
  <c r="D199" i="9"/>
  <c r="C199" i="9"/>
  <c r="F198" i="9"/>
  <c r="E198" i="9"/>
  <c r="D198" i="9"/>
  <c r="C198" i="9"/>
  <c r="F197" i="9"/>
  <c r="E197" i="9"/>
  <c r="D197" i="9"/>
  <c r="C197" i="9"/>
  <c r="C195" i="9"/>
  <c r="F194" i="9"/>
  <c r="E194" i="9"/>
  <c r="D194" i="9"/>
  <c r="C194" i="9"/>
  <c r="E193" i="9"/>
  <c r="D193" i="9"/>
  <c r="C193" i="9"/>
  <c r="N191" i="9"/>
  <c r="M191" i="9"/>
  <c r="L191" i="9"/>
  <c r="K191" i="9"/>
  <c r="J191" i="9"/>
  <c r="I191" i="9"/>
  <c r="H191" i="9"/>
  <c r="G191" i="9"/>
  <c r="F191" i="9"/>
  <c r="E191" i="9"/>
  <c r="D191" i="9"/>
  <c r="C191" i="9"/>
  <c r="E189" i="9"/>
  <c r="D189" i="9"/>
  <c r="C189" i="9"/>
  <c r="F188" i="9"/>
  <c r="E188" i="9"/>
  <c r="D188" i="9"/>
  <c r="C188" i="9"/>
  <c r="F187" i="9"/>
  <c r="E187" i="9"/>
  <c r="D187" i="9"/>
  <c r="C187" i="9"/>
  <c r="E186" i="9"/>
  <c r="D186" i="9"/>
  <c r="C186" i="9"/>
  <c r="E185" i="9"/>
  <c r="D185" i="9"/>
  <c r="C185" i="9"/>
  <c r="F183" i="9"/>
  <c r="E183" i="9"/>
  <c r="D183" i="9"/>
  <c r="C183" i="9"/>
  <c r="F182" i="9"/>
  <c r="E182" i="9"/>
  <c r="D182" i="9"/>
  <c r="C182" i="9"/>
  <c r="E181" i="9"/>
  <c r="D181" i="9"/>
  <c r="C181" i="9"/>
  <c r="E180" i="9"/>
  <c r="D180" i="9"/>
  <c r="C180" i="9"/>
  <c r="E179" i="9"/>
  <c r="D179" i="9"/>
  <c r="C179" i="9"/>
  <c r="E178" i="9"/>
  <c r="D178" i="9"/>
  <c r="C178" i="9"/>
  <c r="E177" i="9"/>
  <c r="D177" i="9"/>
  <c r="C177" i="9"/>
  <c r="N176" i="9"/>
  <c r="M176" i="9"/>
  <c r="N173" i="9"/>
  <c r="C173" i="9"/>
  <c r="C171" i="9"/>
  <c r="C170" i="9"/>
  <c r="C169" i="9"/>
  <c r="C168" i="9"/>
  <c r="C167" i="9"/>
  <c r="C166" i="9"/>
  <c r="N165" i="9"/>
  <c r="M165" i="9"/>
  <c r="L165" i="9"/>
  <c r="K165" i="9"/>
  <c r="J165" i="9"/>
  <c r="I165" i="9"/>
  <c r="H165" i="9"/>
  <c r="G165" i="9"/>
  <c r="F165" i="9"/>
  <c r="E165" i="9"/>
  <c r="D165" i="9"/>
  <c r="C165" i="9"/>
  <c r="C164" i="9"/>
  <c r="E162" i="9"/>
  <c r="D162" i="9"/>
  <c r="C162" i="9"/>
  <c r="C161" i="9"/>
  <c r="C160" i="9"/>
  <c r="C159" i="9"/>
  <c r="C157" i="9"/>
  <c r="C155" i="9"/>
  <c r="C154" i="9"/>
  <c r="C152" i="9"/>
  <c r="C150" i="9"/>
  <c r="C148" i="9"/>
  <c r="C146" i="9"/>
  <c r="C145" i="9"/>
  <c r="C144" i="9"/>
  <c r="N143" i="9"/>
  <c r="M143" i="9"/>
  <c r="C141" i="9"/>
  <c r="C139" i="9"/>
  <c r="C138" i="9"/>
  <c r="F137" i="9"/>
  <c r="E137" i="9"/>
  <c r="D137" i="9"/>
  <c r="C137" i="9"/>
  <c r="N136" i="9"/>
  <c r="M136" i="9"/>
  <c r="L136" i="9"/>
  <c r="K136" i="9"/>
  <c r="J136" i="9"/>
  <c r="I136" i="9"/>
  <c r="H136" i="9"/>
  <c r="G136" i="9"/>
  <c r="F136" i="9"/>
  <c r="E136" i="9"/>
  <c r="D136" i="9"/>
  <c r="C136" i="9"/>
  <c r="C135" i="9"/>
  <c r="E134" i="9"/>
  <c r="D134" i="9"/>
  <c r="C134" i="9"/>
  <c r="F133" i="9"/>
  <c r="E133" i="9"/>
  <c r="D133" i="9"/>
  <c r="C133" i="9"/>
  <c r="C132" i="9"/>
  <c r="C128" i="9"/>
  <c r="C125" i="9"/>
  <c r="C124" i="9"/>
  <c r="E122" i="9"/>
  <c r="D122" i="9"/>
  <c r="C122" i="9"/>
  <c r="E120" i="9"/>
  <c r="C120" i="9"/>
  <c r="E118" i="9"/>
  <c r="D118" i="9"/>
  <c r="C118" i="9"/>
  <c r="C116" i="9"/>
  <c r="E115" i="9"/>
  <c r="D115" i="9"/>
  <c r="C115" i="9"/>
  <c r="C114" i="9"/>
  <c r="E113" i="9"/>
  <c r="D113" i="9"/>
  <c r="C113" i="9"/>
  <c r="C112" i="9"/>
  <c r="C108" i="9"/>
  <c r="C105" i="9"/>
  <c r="C104" i="9"/>
  <c r="E102" i="9"/>
  <c r="C102" i="9"/>
  <c r="E100" i="9"/>
  <c r="C100" i="9"/>
  <c r="E98" i="9"/>
  <c r="D98" i="9"/>
  <c r="C98" i="9"/>
  <c r="C96" i="9"/>
  <c r="F95" i="9"/>
  <c r="E95" i="9"/>
  <c r="D95" i="9"/>
  <c r="C95" i="9"/>
  <c r="C94" i="9"/>
  <c r="E93" i="9"/>
  <c r="D93" i="9"/>
  <c r="C93" i="9"/>
  <c r="C92" i="9"/>
  <c r="C88" i="9"/>
  <c r="C85" i="9"/>
  <c r="C84" i="9"/>
  <c r="E82" i="9"/>
  <c r="D82" i="9"/>
  <c r="C82" i="9"/>
  <c r="E80" i="9"/>
  <c r="C80" i="9"/>
  <c r="E78" i="9"/>
  <c r="C78" i="9"/>
  <c r="C76" i="9"/>
  <c r="E75" i="9"/>
  <c r="C75" i="9"/>
  <c r="C74" i="9"/>
  <c r="E73" i="9"/>
  <c r="D73" i="9"/>
  <c r="C73" i="9"/>
  <c r="C72" i="9"/>
  <c r="D71" i="9"/>
  <c r="D91" i="9" s="1"/>
  <c r="D111" i="9" s="1"/>
  <c r="D131" i="9" s="1"/>
  <c r="C71" i="9"/>
  <c r="C91" i="9" s="1"/>
  <c r="C111" i="9" s="1"/>
  <c r="C131" i="9" s="1"/>
  <c r="C68" i="9"/>
  <c r="C64" i="9"/>
  <c r="C62" i="9"/>
  <c r="C59" i="9"/>
  <c r="C56" i="9"/>
  <c r="C53" i="9"/>
  <c r="C50" i="9"/>
  <c r="C48" i="9"/>
  <c r="C47" i="9"/>
  <c r="C7" i="9" s="1"/>
  <c r="D46" i="9"/>
  <c r="C46" i="9"/>
  <c r="E41" i="9"/>
  <c r="D41" i="9"/>
  <c r="C41" i="9"/>
  <c r="F39" i="9"/>
  <c r="E39" i="9"/>
  <c r="D39" i="9"/>
  <c r="C39" i="9"/>
  <c r="E33" i="9"/>
  <c r="D33" i="9"/>
  <c r="C33" i="9"/>
  <c r="C30" i="9"/>
  <c r="C29" i="9"/>
  <c r="C28" i="9"/>
  <c r="C21" i="9"/>
  <c r="C20" i="9"/>
  <c r="C19" i="9"/>
  <c r="C18" i="9"/>
  <c r="C17" i="9"/>
  <c r="E32" i="9"/>
  <c r="E30" i="9"/>
  <c r="D30" i="9"/>
  <c r="N28" i="9"/>
  <c r="M28" i="9"/>
  <c r="L28" i="9"/>
  <c r="K28" i="9"/>
  <c r="J28" i="9"/>
  <c r="I28" i="9"/>
  <c r="H28" i="9"/>
  <c r="G28" i="9"/>
  <c r="F28" i="9"/>
  <c r="E28" i="9"/>
  <c r="D28" i="9"/>
  <c r="F21" i="9"/>
  <c r="E21" i="9"/>
  <c r="E20" i="9"/>
  <c r="D20" i="9"/>
  <c r="F19" i="9"/>
  <c r="E19" i="9"/>
  <c r="D19" i="9"/>
  <c r="E18" i="9"/>
  <c r="D18" i="9"/>
  <c r="F17" i="9"/>
  <c r="E17" i="9"/>
  <c r="D17" i="9"/>
  <c r="E16" i="9"/>
  <c r="E15" i="9"/>
  <c r="N13" i="9"/>
  <c r="N46" i="9" s="1"/>
  <c r="M13" i="9"/>
  <c r="E5" i="9"/>
  <c r="D5" i="9"/>
  <c r="C5" i="9"/>
  <c r="AJ411" i="13"/>
  <c r="E24" i="9"/>
  <c r="AK5" i="1"/>
  <c r="G398" i="28"/>
  <c r="I47" i="13"/>
  <c r="J92" i="13"/>
  <c r="AO92" i="13" s="1"/>
  <c r="G137" i="9"/>
  <c r="AJ422" i="13"/>
  <c r="AN422" i="13" s="1"/>
  <c r="D24" i="9"/>
  <c r="B83" i="28"/>
  <c r="H277" i="1"/>
  <c r="AL319" i="1"/>
  <c r="I30" i="17"/>
  <c r="AK30" i="13"/>
  <c r="I231" i="13"/>
  <c r="F84" i="9" s="1"/>
  <c r="J396" i="13"/>
  <c r="J96" i="13"/>
  <c r="AN96" i="13" s="1"/>
  <c r="J233" i="13"/>
  <c r="AL301" i="13"/>
  <c r="J428" i="13"/>
  <c r="K428" i="13" s="1"/>
  <c r="L428" i="13" s="1"/>
  <c r="I237" i="13"/>
  <c r="L93" i="3"/>
  <c r="AL289" i="1"/>
  <c r="I290" i="1"/>
  <c r="AJ341" i="1"/>
  <c r="I326" i="1"/>
  <c r="H357" i="1"/>
  <c r="C203" i="28"/>
  <c r="AF269" i="1"/>
  <c r="D579" i="28"/>
  <c r="AL343" i="1"/>
  <c r="F20" i="9"/>
  <c r="W28" i="17"/>
  <c r="D45" i="60"/>
  <c r="D46" i="60" s="1"/>
  <c r="D248" i="28"/>
  <c r="E36" i="9"/>
  <c r="C428" i="28"/>
  <c r="E9" i="60"/>
  <c r="E10" i="60" s="1"/>
  <c r="W33" i="17"/>
  <c r="D714" i="28"/>
  <c r="F5" i="60"/>
  <c r="F6" i="60" s="1"/>
  <c r="X25" i="17"/>
  <c r="AE25" i="17" s="1"/>
  <c r="D34" i="15"/>
  <c r="V23" i="17"/>
  <c r="D29" i="60"/>
  <c r="V24" i="17"/>
  <c r="AL109" i="1"/>
  <c r="Z34" i="17"/>
  <c r="AG34" i="17" s="1"/>
  <c r="G113" i="28"/>
  <c r="H57" i="60"/>
  <c r="H56" i="60" s="1"/>
  <c r="D353" i="28"/>
  <c r="D473" i="28"/>
  <c r="AL388" i="1"/>
  <c r="D25" i="9"/>
  <c r="K144" i="1"/>
  <c r="I191" i="1"/>
  <c r="B458" i="28"/>
  <c r="I296" i="1"/>
  <c r="D549" i="28"/>
  <c r="X32" i="17"/>
  <c r="AE32" i="17" s="1"/>
  <c r="AL295" i="1"/>
  <c r="B323" i="28"/>
  <c r="I293" i="1"/>
  <c r="D564" i="28"/>
  <c r="H91" i="60"/>
  <c r="H90" i="60" s="1"/>
  <c r="F729" i="28"/>
  <c r="Z36" i="17"/>
  <c r="AG36" i="17" s="1"/>
  <c r="H63" i="1"/>
  <c r="W23" i="17"/>
  <c r="E29" i="60"/>
  <c r="E30" i="60" s="1"/>
  <c r="V27" i="17"/>
  <c r="AL101" i="1"/>
  <c r="T221" i="28" a="1"/>
  <c r="T221" i="28" s="1"/>
  <c r="T222" i="28" s="1"/>
  <c r="H115" i="1"/>
  <c r="C173" i="28"/>
  <c r="D17" i="60"/>
  <c r="D16" i="60" s="1"/>
  <c r="B383" i="28"/>
  <c r="D488" i="28"/>
  <c r="AL276" i="1"/>
  <c r="D519" i="28"/>
  <c r="F53" i="60"/>
  <c r="F54" i="60" s="1"/>
  <c r="X31" i="17"/>
  <c r="AE31" i="17" s="1"/>
  <c r="B534" i="28"/>
  <c r="H341" i="1"/>
  <c r="B639" i="28"/>
  <c r="G349" i="1"/>
  <c r="B609" i="28"/>
  <c r="O125" i="3"/>
  <c r="AL85" i="1"/>
  <c r="I147" i="1"/>
  <c r="G293" i="28"/>
  <c r="AL146" i="1"/>
  <c r="AH213" i="1"/>
  <c r="AB381" i="1"/>
  <c r="H381" i="1"/>
  <c r="AL265" i="1"/>
  <c r="AK277" i="1"/>
  <c r="AL227" i="1"/>
  <c r="AL228" i="1" s="1"/>
  <c r="I228" i="1"/>
  <c r="I266" i="1"/>
  <c r="AL312" i="1"/>
  <c r="AF315" i="1"/>
  <c r="AL292" i="1"/>
  <c r="I298" i="1"/>
  <c r="I313" i="1"/>
  <c r="AB392" i="1"/>
  <c r="AL391" i="1"/>
  <c r="AL335" i="1"/>
  <c r="H466" i="1"/>
  <c r="H498" i="1"/>
  <c r="Z80" i="13"/>
  <c r="J103" i="13"/>
  <c r="K103" i="13" s="1"/>
  <c r="L103" i="13" s="1"/>
  <c r="M103" i="13" s="1"/>
  <c r="N103" i="13" s="1"/>
  <c r="O103" i="13" s="1"/>
  <c r="P103" i="13" s="1"/>
  <c r="Q103" i="13" s="1"/>
  <c r="AA223" i="13"/>
  <c r="AE223" i="13"/>
  <c r="AA224" i="13"/>
  <c r="G206" i="13"/>
  <c r="J232" i="13"/>
  <c r="AL233" i="13"/>
  <c r="AL300" i="13"/>
  <c r="J300" i="13"/>
  <c r="I299" i="13"/>
  <c r="F104" i="9" s="1"/>
  <c r="I254" i="13"/>
  <c r="H291" i="13"/>
  <c r="J252" i="13"/>
  <c r="J206" i="13" s="1"/>
  <c r="I359" i="13"/>
  <c r="F124" i="9" s="1"/>
  <c r="J360" i="13"/>
  <c r="I378" i="13"/>
  <c r="J376" i="13"/>
  <c r="K376" i="13" s="1"/>
  <c r="AL361" i="13"/>
  <c r="J380" i="13"/>
  <c r="K380" i="13" s="1"/>
  <c r="G401" i="13"/>
  <c r="D135" i="9" s="1"/>
  <c r="I411" i="13"/>
  <c r="AL418" i="13"/>
  <c r="J429" i="13"/>
  <c r="K429" i="13" s="1"/>
  <c r="K394" i="13"/>
  <c r="K396" i="13" s="1"/>
  <c r="I430" i="13"/>
  <c r="J6" i="3"/>
  <c r="G182" i="9" s="1"/>
  <c r="I119" i="3"/>
  <c r="C24" i="26" s="1"/>
  <c r="J27" i="3"/>
  <c r="G199" i="9" s="1"/>
  <c r="J25" i="3"/>
  <c r="J35" i="3"/>
  <c r="J120" i="3" s="1"/>
  <c r="I28" i="3"/>
  <c r="F200" i="9" s="1"/>
  <c r="J92" i="3"/>
  <c r="K92" i="3" s="1"/>
  <c r="J277" i="1"/>
  <c r="I277" i="1"/>
  <c r="AP407" i="13"/>
  <c r="K407" i="13"/>
  <c r="H137" i="9" s="1"/>
  <c r="J409" i="13"/>
  <c r="J408" i="13" s="1"/>
  <c r="AK422" i="13"/>
  <c r="AO422" i="13" s="1"/>
  <c r="AI422" i="13"/>
  <c r="AM422" i="13" s="1"/>
  <c r="I412" i="13"/>
  <c r="AL415" i="13"/>
  <c r="I44" i="13"/>
  <c r="Z32" i="17"/>
  <c r="AG32" i="17" s="1"/>
  <c r="E473" i="28"/>
  <c r="E564" i="28"/>
  <c r="E488" i="28"/>
  <c r="I305" i="13"/>
  <c r="I49" i="13"/>
  <c r="F473" i="28"/>
  <c r="J389" i="1"/>
  <c r="L141" i="1"/>
  <c r="I13" i="60"/>
  <c r="I14" i="60" s="1"/>
  <c r="E579" i="28"/>
  <c r="AA39" i="17"/>
  <c r="AH39" i="17" s="1"/>
  <c r="Y32" i="17"/>
  <c r="AF32" i="17" s="1"/>
  <c r="I93" i="13"/>
  <c r="I97" i="13" s="1"/>
  <c r="I99" i="13" s="1"/>
  <c r="F215" i="9"/>
  <c r="AL89" i="13"/>
  <c r="U5" i="26"/>
  <c r="V5" i="26" s="1"/>
  <c r="W5" i="26" s="1"/>
  <c r="F564" i="28"/>
  <c r="J293" i="1"/>
  <c r="G17" i="9"/>
  <c r="G473" i="28"/>
  <c r="P167" i="1"/>
  <c r="P168" i="1" s="1"/>
  <c r="F213" i="9"/>
  <c r="AE401" i="13"/>
  <c r="J316" i="13"/>
  <c r="K316" i="13" s="1"/>
  <c r="I318" i="13"/>
  <c r="I157" i="13"/>
  <c r="I365" i="13"/>
  <c r="I46" i="13"/>
  <c r="J317" i="13"/>
  <c r="K317" i="13" s="1"/>
  <c r="L317" i="13" s="1"/>
  <c r="M317" i="13" s="1"/>
  <c r="I160" i="13"/>
  <c r="P70" i="3"/>
  <c r="Q70" i="3" s="1"/>
  <c r="F549" i="28"/>
  <c r="AN411" i="13"/>
  <c r="K389" i="1"/>
  <c r="I113" i="28"/>
  <c r="AB34" i="17"/>
  <c r="AI34" i="17" s="1"/>
  <c r="M141" i="1"/>
  <c r="AA32" i="17"/>
  <c r="AH32" i="17" s="1"/>
  <c r="F239" i="9"/>
  <c r="D669" i="28"/>
  <c r="D458" i="28"/>
  <c r="D188" i="28"/>
  <c r="H473" i="28"/>
  <c r="L389" i="1"/>
  <c r="L296" i="1"/>
  <c r="G564" i="28"/>
  <c r="K293" i="1"/>
  <c r="H17" i="9"/>
  <c r="D413" i="28"/>
  <c r="AB32" i="17"/>
  <c r="AI32" i="17" s="1"/>
  <c r="AC34" i="17"/>
  <c r="AJ34" i="17" s="1"/>
  <c r="N141" i="1"/>
  <c r="D323" i="28"/>
  <c r="I149" i="3"/>
  <c r="J149" i="3"/>
  <c r="J154" i="3" s="1"/>
  <c r="K147" i="3"/>
  <c r="L147" i="3" s="1"/>
  <c r="M147" i="3" s="1"/>
  <c r="N147" i="3" s="1"/>
  <c r="L293" i="1"/>
  <c r="H564" i="28"/>
  <c r="I17" i="9"/>
  <c r="M296" i="1"/>
  <c r="I473" i="28"/>
  <c r="M389" i="1"/>
  <c r="I68" i="1"/>
  <c r="AL67" i="1"/>
  <c r="I96" i="1"/>
  <c r="AL95" i="1"/>
  <c r="I128" i="1"/>
  <c r="AL127" i="1"/>
  <c r="AL262" i="1"/>
  <c r="AL257" i="1" s="1"/>
  <c r="I263" i="1"/>
  <c r="AL309" i="1"/>
  <c r="D534" i="28"/>
  <c r="I310" i="1"/>
  <c r="AL353" i="1"/>
  <c r="I354" i="1"/>
  <c r="AL488" i="1"/>
  <c r="I353" i="28"/>
  <c r="AL79" i="1"/>
  <c r="AL80" i="1" s="1"/>
  <c r="I80" i="1"/>
  <c r="AL103" i="1"/>
  <c r="I104" i="1"/>
  <c r="F30" i="9"/>
  <c r="I214" i="1"/>
  <c r="I378" i="1"/>
  <c r="AL377" i="1"/>
  <c r="AL372" i="1" s="1"/>
  <c r="I357" i="1"/>
  <c r="AL356" i="1"/>
  <c r="AL491" i="1"/>
  <c r="AL364" i="1"/>
  <c r="AL59" i="1"/>
  <c r="I112" i="1"/>
  <c r="AL111" i="1"/>
  <c r="I160" i="1"/>
  <c r="AL159" i="1"/>
  <c r="AL221" i="1"/>
  <c r="AL337" i="1"/>
  <c r="I338" i="1"/>
  <c r="I463" i="1"/>
  <c r="AL462" i="1"/>
  <c r="AL458" i="1"/>
  <c r="I459" i="1"/>
  <c r="AL87" i="1"/>
  <c r="I88" i="1"/>
  <c r="I120" i="1"/>
  <c r="AL119" i="1"/>
  <c r="I203" i="1"/>
  <c r="AL202" i="1"/>
  <c r="AL197" i="1" s="1"/>
  <c r="J22" i="17" s="1"/>
  <c r="I381" i="1"/>
  <c r="AL380" i="1"/>
  <c r="I346" i="1"/>
  <c r="AL345" i="1"/>
  <c r="AL455" i="1"/>
  <c r="I456" i="1"/>
  <c r="M191" i="1"/>
  <c r="D98" i="28"/>
  <c r="D83" i="28"/>
  <c r="E188" i="28"/>
  <c r="P140" i="1"/>
  <c r="K113" i="28" s="1"/>
  <c r="D36" i="28"/>
  <c r="F65" i="60"/>
  <c r="F64" i="60" s="1"/>
  <c r="X5" i="17"/>
  <c r="AE5" i="17" s="1"/>
  <c r="I349" i="1"/>
  <c r="D654" i="28"/>
  <c r="X29" i="17"/>
  <c r="AE29" i="17" s="1"/>
  <c r="F234" i="9"/>
  <c r="I100" i="3"/>
  <c r="F240" i="9" s="1"/>
  <c r="D218" i="28"/>
  <c r="F41" i="60"/>
  <c r="F40" i="60" s="1"/>
  <c r="X28" i="17"/>
  <c r="AE28" i="17" s="1"/>
  <c r="X22" i="17"/>
  <c r="AE22" i="17" s="1"/>
  <c r="F33" i="60"/>
  <c r="F32" i="60" s="1"/>
  <c r="X24" i="17"/>
  <c r="AE24" i="17" s="1"/>
  <c r="N389" i="1"/>
  <c r="R388" i="1"/>
  <c r="J473" i="28"/>
  <c r="F29" i="9"/>
  <c r="M293" i="1"/>
  <c r="I564" i="28"/>
  <c r="J17" i="9"/>
  <c r="I503" i="1"/>
  <c r="I505" i="1" s="1"/>
  <c r="F5" i="9"/>
  <c r="F188" i="28"/>
  <c r="G30" i="9"/>
  <c r="R101" i="1"/>
  <c r="I107" i="1"/>
  <c r="F32" i="9"/>
  <c r="F27" i="9"/>
  <c r="I305" i="1"/>
  <c r="F16" i="9"/>
  <c r="D32" i="15"/>
  <c r="I140" i="13"/>
  <c r="F168" i="9" s="1"/>
  <c r="I141" i="13"/>
  <c r="F169" i="9" s="1"/>
  <c r="O326" i="1"/>
  <c r="N293" i="1"/>
  <c r="R292" i="1"/>
  <c r="K17" i="9"/>
  <c r="O389" i="1"/>
  <c r="P388" i="1"/>
  <c r="K473" i="28" s="1"/>
  <c r="D33" i="15"/>
  <c r="H30" i="9"/>
  <c r="J564" i="28"/>
  <c r="G188" i="28"/>
  <c r="P292" i="1"/>
  <c r="K564" i="28" s="1"/>
  <c r="O293" i="1"/>
  <c r="L17" i="9"/>
  <c r="AL330" i="13"/>
  <c r="F115" i="9"/>
  <c r="AL329" i="13"/>
  <c r="AL344" i="13"/>
  <c r="F118" i="9"/>
  <c r="F122" i="9"/>
  <c r="AL354" i="13"/>
  <c r="I30" i="9"/>
  <c r="AL327" i="13"/>
  <c r="F113" i="9"/>
  <c r="F120" i="9"/>
  <c r="AL349" i="13"/>
  <c r="H188" i="28"/>
  <c r="AL284" i="13"/>
  <c r="F98" i="9"/>
  <c r="AL272" i="13"/>
  <c r="J30" i="9"/>
  <c r="F100" i="9"/>
  <c r="AL289" i="13"/>
  <c r="AP269" i="13"/>
  <c r="F93" i="9"/>
  <c r="AL269" i="13"/>
  <c r="F102" i="9"/>
  <c r="AL294" i="13"/>
  <c r="D31" i="15"/>
  <c r="I188" i="28"/>
  <c r="J188" i="28"/>
  <c r="K30" i="9"/>
  <c r="G93" i="9"/>
  <c r="F185" i="9"/>
  <c r="AL200" i="13"/>
  <c r="I10" i="13"/>
  <c r="F145" i="9" s="1"/>
  <c r="I57" i="13"/>
  <c r="I59" i="13"/>
  <c r="F75" i="9"/>
  <c r="AL226" i="13"/>
  <c r="I40" i="13"/>
  <c r="I75" i="13"/>
  <c r="I77" i="13" s="1"/>
  <c r="I36" i="13"/>
  <c r="F82" i="9"/>
  <c r="F186" i="9"/>
  <c r="AL198" i="13"/>
  <c r="F73" i="9"/>
  <c r="I387" i="13"/>
  <c r="I390" i="13" s="1"/>
  <c r="I391" i="13" s="1"/>
  <c r="I435" i="13" s="1"/>
  <c r="AL216" i="13"/>
  <c r="F78" i="9"/>
  <c r="I69" i="13"/>
  <c r="I71" i="13" s="1"/>
  <c r="I26" i="13"/>
  <c r="F53" i="9" s="1"/>
  <c r="I218" i="13"/>
  <c r="AL5" i="13"/>
  <c r="AL221" i="13"/>
  <c r="F80" i="9"/>
  <c r="I72" i="13"/>
  <c r="I74" i="13" s="1"/>
  <c r="I31" i="13"/>
  <c r="AL203" i="13"/>
  <c r="K188" i="28"/>
  <c r="L30" i="9"/>
  <c r="F195" i="9"/>
  <c r="L188" i="28"/>
  <c r="M188" i="28" s="1"/>
  <c r="N188" i="28" s="1"/>
  <c r="M30" i="9"/>
  <c r="I60" i="13"/>
  <c r="I62" i="13" s="1"/>
  <c r="I138" i="3"/>
  <c r="F225" i="9"/>
  <c r="F224" i="9"/>
  <c r="I82" i="3"/>
  <c r="F232" i="9" s="1"/>
  <c r="F178" i="9"/>
  <c r="N30" i="9"/>
  <c r="F179" i="9"/>
  <c r="F134" i="9"/>
  <c r="AL397" i="13"/>
  <c r="I13" i="13"/>
  <c r="E9" i="26"/>
  <c r="J44" i="3"/>
  <c r="K44" i="3" s="1"/>
  <c r="L44" i="3" s="1"/>
  <c r="M44" i="3" s="1"/>
  <c r="N44" i="3" s="1"/>
  <c r="O44" i="3" s="1"/>
  <c r="P44" i="3" s="1"/>
  <c r="Q44" i="3" s="1"/>
  <c r="H212" i="9"/>
  <c r="F177" i="9"/>
  <c r="F211" i="9"/>
  <c r="F218" i="9"/>
  <c r="AL123" i="13"/>
  <c r="E6" i="26"/>
  <c r="AL119" i="13"/>
  <c r="I121" i="13"/>
  <c r="F162" i="9"/>
  <c r="I453" i="13"/>
  <c r="M41" i="28"/>
  <c r="N41" i="28" s="1"/>
  <c r="O41" i="28" s="1"/>
  <c r="P41" i="28" s="1"/>
  <c r="Q41" i="28" s="1"/>
  <c r="F204" i="9"/>
  <c r="F206" i="9" s="1"/>
  <c r="I17" i="3"/>
  <c r="F190" i="9" s="1"/>
  <c r="I110" i="3"/>
  <c r="I111" i="3" s="1"/>
  <c r="F189" i="9"/>
  <c r="F181" i="9"/>
  <c r="F180" i="9"/>
  <c r="I9" i="3"/>
  <c r="F184" i="9" s="1"/>
  <c r="F193" i="9"/>
  <c r="I135" i="3"/>
  <c r="I136" i="3" s="1"/>
  <c r="E11" i="26" s="1"/>
  <c r="I24" i="3"/>
  <c r="F196" i="9" s="1"/>
  <c r="F220" i="9"/>
  <c r="F221" i="9"/>
  <c r="K228" i="1" l="1"/>
  <c r="AA75" i="1"/>
  <c r="AL492" i="1"/>
  <c r="G341" i="1"/>
  <c r="AD310" i="1"/>
  <c r="G279" i="1"/>
  <c r="AC392" i="1"/>
  <c r="AL430" i="1"/>
  <c r="AL519" i="1"/>
  <c r="B504" i="28"/>
  <c r="C504" i="28"/>
  <c r="D504" i="28"/>
  <c r="E685" i="28"/>
  <c r="G399" i="28"/>
  <c r="H393" i="13"/>
  <c r="H402" i="13" s="1"/>
  <c r="AJ214" i="13"/>
  <c r="E279" i="1"/>
  <c r="AI394" i="1"/>
  <c r="AK394" i="1"/>
  <c r="AO266" i="1"/>
  <c r="AO285" i="1"/>
  <c r="H349" i="1"/>
  <c r="K265" i="1"/>
  <c r="D624" i="28"/>
  <c r="D699" i="28" s="1"/>
  <c r="I394" i="1"/>
  <c r="F22" i="9" s="1"/>
  <c r="AL497" i="1"/>
  <c r="AA83" i="1"/>
  <c r="AJ394" i="1"/>
  <c r="AN266" i="1"/>
  <c r="AN285" i="1"/>
  <c r="O495" i="1"/>
  <c r="P494" i="1"/>
  <c r="AH346" i="13"/>
  <c r="AB398" i="13"/>
  <c r="L114" i="13"/>
  <c r="L50" i="3" s="1"/>
  <c r="I213" i="9" s="1"/>
  <c r="M418" i="13"/>
  <c r="O418" i="13"/>
  <c r="AL339" i="13"/>
  <c r="D132" i="9"/>
  <c r="G435" i="13"/>
  <c r="AN408" i="13"/>
  <c r="AN404" i="13" s="1"/>
  <c r="AN405" i="13"/>
  <c r="AL409" i="13"/>
  <c r="AL405" i="13" s="1"/>
  <c r="AL403" i="13"/>
  <c r="D138" i="9"/>
  <c r="G423" i="13"/>
  <c r="D139" i="9" s="1"/>
  <c r="AO408" i="13"/>
  <c r="AO404" i="13" s="1"/>
  <c r="AO405" i="13"/>
  <c r="F138" i="9"/>
  <c r="AL211" i="13"/>
  <c r="P114" i="13"/>
  <c r="P50" i="3" s="1"/>
  <c r="M213" i="9" s="1"/>
  <c r="H218" i="13"/>
  <c r="G211" i="13"/>
  <c r="AI214" i="13"/>
  <c r="AK214" i="13"/>
  <c r="AJ282" i="13"/>
  <c r="G36" i="13"/>
  <c r="G279" i="13"/>
  <c r="H281" i="13" s="1"/>
  <c r="AJ342" i="13"/>
  <c r="AL279" i="13"/>
  <c r="D112" i="9"/>
  <c r="D123" i="9" s="1"/>
  <c r="G340" i="13"/>
  <c r="I326" i="13"/>
  <c r="H340" i="13"/>
  <c r="I331" i="13"/>
  <c r="I340" i="13"/>
  <c r="I328" i="13"/>
  <c r="F114" i="9" s="1"/>
  <c r="F112" i="9"/>
  <c r="F119" i="9" s="1"/>
  <c r="R335" i="1"/>
  <c r="F24" i="9"/>
  <c r="I198" i="1"/>
  <c r="F29" i="60"/>
  <c r="F30" i="60" s="1"/>
  <c r="D143" i="28"/>
  <c r="O141" i="1"/>
  <c r="L13" i="60"/>
  <c r="L14" i="60" s="1"/>
  <c r="AL68" i="1"/>
  <c r="J18" i="9"/>
  <c r="K13" i="60"/>
  <c r="K14" i="60" s="1"/>
  <c r="I18" i="9"/>
  <c r="G549" i="28"/>
  <c r="H550" i="28" s="1"/>
  <c r="J13" i="60"/>
  <c r="J12" i="60" s="1"/>
  <c r="H18" i="9"/>
  <c r="K296" i="1"/>
  <c r="G18" i="9"/>
  <c r="E549" i="28"/>
  <c r="F550" i="28" s="1"/>
  <c r="J266" i="1"/>
  <c r="H113" i="28"/>
  <c r="I114" i="28" s="1"/>
  <c r="AA34" i="17"/>
  <c r="AH34" i="17" s="1"/>
  <c r="J296" i="1"/>
  <c r="G466" i="1"/>
  <c r="AJ206" i="1"/>
  <c r="W21" i="17"/>
  <c r="H305" i="1"/>
  <c r="F488" i="28"/>
  <c r="F489" i="28" s="1"/>
  <c r="B218" i="28"/>
  <c r="B624" i="28"/>
  <c r="K141" i="1"/>
  <c r="H13" i="60"/>
  <c r="H14" i="60" s="1"/>
  <c r="F113" i="28"/>
  <c r="F114" i="28" s="1"/>
  <c r="D16" i="9"/>
  <c r="AF249" i="1"/>
  <c r="I424" i="1"/>
  <c r="K252" i="13"/>
  <c r="K206" i="13" s="1"/>
  <c r="X32" i="13"/>
  <c r="AK33" i="13"/>
  <c r="AL287" i="13"/>
  <c r="C354" i="28"/>
  <c r="AP125" i="1"/>
  <c r="C414" i="28"/>
  <c r="K233" i="13"/>
  <c r="L233" i="13" s="1"/>
  <c r="AO233" i="13"/>
  <c r="AN233" i="13"/>
  <c r="AM47" i="13"/>
  <c r="AN232" i="13"/>
  <c r="AN238" i="13" s="1"/>
  <c r="AO232" i="13"/>
  <c r="AO238" i="13" s="1"/>
  <c r="AJ466" i="1"/>
  <c r="AB485" i="1"/>
  <c r="AB246" i="1" s="1"/>
  <c r="AA198" i="1"/>
  <c r="R85" i="1"/>
  <c r="I83" i="1"/>
  <c r="F37" i="9"/>
  <c r="F45" i="60"/>
  <c r="F44" i="60" s="1"/>
  <c r="D383" i="28"/>
  <c r="F49" i="60"/>
  <c r="F48" i="60" s="1"/>
  <c r="AA253" i="1"/>
  <c r="AE254" i="1" s="1"/>
  <c r="G333" i="1"/>
  <c r="I258" i="1"/>
  <c r="I253" i="1"/>
  <c r="F38" i="9" s="1"/>
  <c r="D173" i="28"/>
  <c r="D174" i="28" s="1"/>
  <c r="D609" i="28"/>
  <c r="E25" i="60"/>
  <c r="E26" i="60" s="1"/>
  <c r="AH492" i="1"/>
  <c r="AH135" i="1"/>
  <c r="H258" i="1"/>
  <c r="I115" i="1"/>
  <c r="AL60" i="1"/>
  <c r="AC373" i="1"/>
  <c r="F253" i="1"/>
  <c r="C38" i="9" s="1"/>
  <c r="K77" i="1"/>
  <c r="L77" i="1" s="1"/>
  <c r="AA155" i="1"/>
  <c r="AC381" i="1"/>
  <c r="F730" i="28"/>
  <c r="B68" i="28"/>
  <c r="C299" i="1"/>
  <c r="G299" i="1"/>
  <c r="AE466" i="1"/>
  <c r="AC357" i="1"/>
  <c r="AL66" i="1"/>
  <c r="F357" i="1"/>
  <c r="AB498" i="1"/>
  <c r="J474" i="28"/>
  <c r="AL310" i="1"/>
  <c r="D25" i="60"/>
  <c r="D24" i="60" s="1"/>
  <c r="D23" i="9"/>
  <c r="AD368" i="1"/>
  <c r="H55" i="1"/>
  <c r="AA305" i="1"/>
  <c r="C68" i="28"/>
  <c r="AL439" i="1"/>
  <c r="H123" i="1"/>
  <c r="C233" i="28"/>
  <c r="D234" i="28" s="1"/>
  <c r="T236" i="28" a="1"/>
  <c r="T236" i="28" s="1"/>
  <c r="T237" i="28" s="1"/>
  <c r="B233" i="28"/>
  <c r="B394" i="1"/>
  <c r="AA341" i="1"/>
  <c r="H355" i="13"/>
  <c r="AO269" i="1"/>
  <c r="C609" i="28"/>
  <c r="E26" i="17"/>
  <c r="W26" i="17"/>
  <c r="E49" i="60"/>
  <c r="E50" i="60" s="1"/>
  <c r="E341" i="1"/>
  <c r="AL344" i="1"/>
  <c r="E14" i="9"/>
  <c r="H333" i="1"/>
  <c r="F14" i="9"/>
  <c r="L326" i="1"/>
  <c r="J326" i="1"/>
  <c r="N326" i="1"/>
  <c r="M326" i="1"/>
  <c r="K326" i="1"/>
  <c r="E519" i="28"/>
  <c r="E520" i="28" s="1"/>
  <c r="G91" i="1"/>
  <c r="E26" i="9"/>
  <c r="H99" i="1"/>
  <c r="T206" i="28" a="1"/>
  <c r="T206" i="28" s="1"/>
  <c r="T207" i="28" s="1"/>
  <c r="AG99" i="1"/>
  <c r="E37" i="60"/>
  <c r="E36" i="60" s="1"/>
  <c r="B203" i="28"/>
  <c r="C204" i="28" s="1"/>
  <c r="D37" i="60"/>
  <c r="D38" i="60" s="1"/>
  <c r="E31" i="9"/>
  <c r="E381" i="1"/>
  <c r="AI269" i="1"/>
  <c r="AA333" i="1"/>
  <c r="AK341" i="1"/>
  <c r="AM147" i="1"/>
  <c r="I91" i="1"/>
  <c r="AB63" i="1"/>
  <c r="AH51" i="1"/>
  <c r="AJ6" i="13"/>
  <c r="AK37" i="1"/>
  <c r="AK6" i="13"/>
  <c r="AL6" i="13"/>
  <c r="N168" i="1"/>
  <c r="M168" i="1"/>
  <c r="AA64" i="13"/>
  <c r="AA85" i="13" s="1"/>
  <c r="D459" i="28"/>
  <c r="AL336" i="1"/>
  <c r="C459" i="28"/>
  <c r="AL122" i="1"/>
  <c r="E66" i="60"/>
  <c r="G33" i="17"/>
  <c r="AK123" i="1"/>
  <c r="F14" i="60"/>
  <c r="G55" i="1"/>
  <c r="AD528" i="1"/>
  <c r="AD529" i="1" s="1"/>
  <c r="AF373" i="1"/>
  <c r="AL47" i="1"/>
  <c r="AP101" i="1"/>
  <c r="AP102" i="1" s="1"/>
  <c r="AP295" i="1"/>
  <c r="AP296" i="1" s="1"/>
  <c r="F466" i="1"/>
  <c r="AH94" i="1"/>
  <c r="AA193" i="1"/>
  <c r="AH90" i="1"/>
  <c r="AI349" i="1"/>
  <c r="D83" i="1"/>
  <c r="AE341" i="1"/>
  <c r="E485" i="1"/>
  <c r="AP335" i="1"/>
  <c r="AP336" i="1" s="1"/>
  <c r="AP65" i="1"/>
  <c r="AP66" i="1" s="1"/>
  <c r="AG299" i="1"/>
  <c r="AF333" i="1"/>
  <c r="AK333" i="1"/>
  <c r="AP260" i="1"/>
  <c r="AP261" i="1" s="1"/>
  <c r="I498" i="1"/>
  <c r="I341" i="1"/>
  <c r="I269" i="1"/>
  <c r="AC63" i="1"/>
  <c r="G357" i="1"/>
  <c r="I466" i="1"/>
  <c r="I123" i="1"/>
  <c r="L163" i="1"/>
  <c r="L164" i="1" s="1"/>
  <c r="G11" i="28" a="1"/>
  <c r="G11" i="28" s="1"/>
  <c r="H11" i="28" s="1"/>
  <c r="T297" i="28" s="1"/>
  <c r="H99" i="60"/>
  <c r="H98" i="60" s="1"/>
  <c r="Y25" i="17"/>
  <c r="AF25" i="17" s="1"/>
  <c r="J320" i="1"/>
  <c r="G5" i="60"/>
  <c r="G6" i="60" s="1"/>
  <c r="I63" i="1"/>
  <c r="AC485" i="1"/>
  <c r="AC246" i="1" s="1"/>
  <c r="AC498" i="1"/>
  <c r="I523" i="1"/>
  <c r="H523" i="1"/>
  <c r="G328" i="1"/>
  <c r="H329" i="1" s="1"/>
  <c r="D49" i="60"/>
  <c r="D48" i="60" s="1"/>
  <c r="V26" i="17"/>
  <c r="H373" i="1"/>
  <c r="G253" i="1"/>
  <c r="D38" i="9" s="1"/>
  <c r="D37" i="9"/>
  <c r="G198" i="1"/>
  <c r="D29" i="9"/>
  <c r="G115" i="1"/>
  <c r="G116" i="1" s="1"/>
  <c r="B173" i="28"/>
  <c r="H365" i="1"/>
  <c r="I365" i="1"/>
  <c r="C323" i="28"/>
  <c r="C368" i="28" s="1"/>
  <c r="E40" i="9"/>
  <c r="I329" i="1"/>
  <c r="E45" i="60"/>
  <c r="E46" i="60" s="1"/>
  <c r="E29" i="9"/>
  <c r="W30" i="17"/>
  <c r="E25" i="9"/>
  <c r="H83" i="1"/>
  <c r="N224" i="1"/>
  <c r="K95" i="60" s="1"/>
  <c r="K94" i="60" s="1"/>
  <c r="J95" i="60"/>
  <c r="J94" i="60" s="1"/>
  <c r="L143" i="1"/>
  <c r="Z35" i="17"/>
  <c r="AG35" i="17" s="1"/>
  <c r="K312" i="1"/>
  <c r="J313" i="1"/>
  <c r="K125" i="1"/>
  <c r="L125" i="1" s="1"/>
  <c r="M125" i="1" s="1"/>
  <c r="N125" i="1" s="1"/>
  <c r="AP126" i="1"/>
  <c r="D68" i="28"/>
  <c r="F23" i="9"/>
  <c r="F26" i="9"/>
  <c r="I333" i="1"/>
  <c r="F15" i="9"/>
  <c r="F41" i="9"/>
  <c r="G20" i="9"/>
  <c r="AL268" i="1"/>
  <c r="J33" i="17" s="1"/>
  <c r="AP343" i="1"/>
  <c r="AP344" i="1" s="1"/>
  <c r="AP85" i="1"/>
  <c r="AP86" i="1" s="1"/>
  <c r="C383" i="28"/>
  <c r="D384" i="28" s="1"/>
  <c r="V30" i="17"/>
  <c r="AJ123" i="1"/>
  <c r="F293" i="28"/>
  <c r="G294" i="28" s="1"/>
  <c r="C143" i="28"/>
  <c r="AB258" i="1"/>
  <c r="AB279" i="1"/>
  <c r="AF381" i="1"/>
  <c r="AJ277" i="1"/>
  <c r="AF277" i="1"/>
  <c r="AB299" i="1"/>
  <c r="C315" i="1"/>
  <c r="C316" i="1" s="1"/>
  <c r="C305" i="1"/>
  <c r="B669" i="28"/>
  <c r="C670" i="28" s="1"/>
  <c r="AL436" i="1"/>
  <c r="AL511" i="1"/>
  <c r="D41" i="60"/>
  <c r="D40" i="60" s="1"/>
  <c r="V28" i="17"/>
  <c r="H316" i="1"/>
  <c r="H107" i="1"/>
  <c r="C218" i="28"/>
  <c r="D219" i="28" s="1"/>
  <c r="C98" i="28"/>
  <c r="D99" i="28" s="1"/>
  <c r="E33" i="60"/>
  <c r="E34" i="60" s="1"/>
  <c r="K391" i="1"/>
  <c r="AP391" i="1"/>
  <c r="AP392" i="1" s="1"/>
  <c r="G21" i="9"/>
  <c r="K289" i="1"/>
  <c r="AP289" i="1"/>
  <c r="AP290" i="1" s="1"/>
  <c r="G19" i="9"/>
  <c r="J290" i="1"/>
  <c r="Y31" i="17"/>
  <c r="AF31" i="17" s="1"/>
  <c r="K146" i="1"/>
  <c r="E248" i="28"/>
  <c r="E249" i="28" s="1"/>
  <c r="G33" i="9"/>
  <c r="J268" i="1"/>
  <c r="K268" i="1" s="1"/>
  <c r="X33" i="17"/>
  <c r="AE33" i="17" s="1"/>
  <c r="F9" i="60"/>
  <c r="F8" i="60" s="1"/>
  <c r="I279" i="1"/>
  <c r="I193" i="1"/>
  <c r="F36" i="9" s="1"/>
  <c r="F17" i="60"/>
  <c r="F18" i="60" s="1"/>
  <c r="F35" i="9"/>
  <c r="X20" i="17"/>
  <c r="AE20" i="17" s="1"/>
  <c r="F37" i="60"/>
  <c r="F38" i="60" s="1"/>
  <c r="X27" i="17"/>
  <c r="AE27" i="17" s="1"/>
  <c r="D278" i="28"/>
  <c r="J298" i="1"/>
  <c r="J299" i="1" s="1"/>
  <c r="G39" i="9"/>
  <c r="Z39" i="17"/>
  <c r="AD465" i="1"/>
  <c r="AD466" i="1" s="1"/>
  <c r="AD456" i="1"/>
  <c r="I99" i="1"/>
  <c r="D203" i="28"/>
  <c r="D204" i="28" s="1"/>
  <c r="E714" i="28"/>
  <c r="E715" i="28" s="1"/>
  <c r="D428" i="28"/>
  <c r="D429" i="28" s="1"/>
  <c r="J392" i="1"/>
  <c r="J147" i="1"/>
  <c r="AB147" i="1"/>
  <c r="AK193" i="1"/>
  <c r="I20" i="17"/>
  <c r="AC285" i="1"/>
  <c r="AC286" i="1" s="1"/>
  <c r="AC258" i="1"/>
  <c r="Y279" i="1"/>
  <c r="AG381" i="1"/>
  <c r="AC279" i="1"/>
  <c r="H279" i="1"/>
  <c r="H280" i="1" s="1"/>
  <c r="AC299" i="1"/>
  <c r="AH304" i="1"/>
  <c r="AH310" i="1"/>
  <c r="AL332" i="1"/>
  <c r="AL357" i="1"/>
  <c r="AG91" i="1"/>
  <c r="C193" i="1"/>
  <c r="AL222" i="1"/>
  <c r="AL266" i="1"/>
  <c r="AL389" i="1"/>
  <c r="AL290" i="1"/>
  <c r="G305" i="1"/>
  <c r="G365" i="1"/>
  <c r="AG349" i="1"/>
  <c r="H331" i="13"/>
  <c r="AI55" i="1"/>
  <c r="AD62" i="1"/>
  <c r="AD63" i="1" s="1"/>
  <c r="AP77" i="1"/>
  <c r="AP78" i="1" s="1"/>
  <c r="X315" i="1"/>
  <c r="AH74" i="1"/>
  <c r="F24" i="17" s="1"/>
  <c r="E580" i="28"/>
  <c r="G328" i="13"/>
  <c r="G383" i="13" s="1"/>
  <c r="E112" i="9"/>
  <c r="E123" i="9" s="1"/>
  <c r="G355" i="13"/>
  <c r="D655" i="28"/>
  <c r="D535" i="28"/>
  <c r="G326" i="13"/>
  <c r="H328" i="13"/>
  <c r="H326" i="13"/>
  <c r="D4" i="60"/>
  <c r="C655" i="28"/>
  <c r="D354" i="28"/>
  <c r="D670" i="28"/>
  <c r="G75" i="1"/>
  <c r="W24" i="17"/>
  <c r="H75" i="1"/>
  <c r="D27" i="9"/>
  <c r="D33" i="60"/>
  <c r="D34" i="60" s="1"/>
  <c r="I75" i="1"/>
  <c r="AJ75" i="1"/>
  <c r="E27" i="9"/>
  <c r="AL51" i="1"/>
  <c r="AL154" i="1"/>
  <c r="AL193" i="1" s="1"/>
  <c r="E17" i="60"/>
  <c r="E18" i="60" s="1"/>
  <c r="V20" i="17"/>
  <c r="C278" i="28"/>
  <c r="D35" i="9"/>
  <c r="I155" i="1"/>
  <c r="H155" i="1"/>
  <c r="W20" i="17"/>
  <c r="X40" i="13"/>
  <c r="C86" i="9"/>
  <c r="C136" i="3"/>
  <c r="AI28" i="13"/>
  <c r="AJ45" i="13"/>
  <c r="H48" i="13"/>
  <c r="AA362" i="13"/>
  <c r="AE425" i="13"/>
  <c r="AL82" i="1"/>
  <c r="K6" i="3"/>
  <c r="H182" i="9" s="1"/>
  <c r="AC398" i="13"/>
  <c r="AO91" i="13"/>
  <c r="AF498" i="1"/>
  <c r="AA178" i="13"/>
  <c r="AB176" i="13" s="1"/>
  <c r="AB178" i="13" s="1"/>
  <c r="AC176" i="13" s="1"/>
  <c r="AC178" i="13" s="1"/>
  <c r="AD176" i="13" s="1"/>
  <c r="AD178" i="13" s="1"/>
  <c r="AH128" i="1"/>
  <c r="AI214" i="1"/>
  <c r="C57" i="9"/>
  <c r="C69" i="9"/>
  <c r="C77" i="9"/>
  <c r="AA249" i="1"/>
  <c r="H299" i="1"/>
  <c r="AF305" i="1"/>
  <c r="AB357" i="1"/>
  <c r="Y424" i="1"/>
  <c r="AC424" i="1"/>
  <c r="AC267" i="13" s="1"/>
  <c r="AC270" i="13" s="1"/>
  <c r="AH497" i="1"/>
  <c r="AK498" i="1"/>
  <c r="AH378" i="13"/>
  <c r="AD191" i="1"/>
  <c r="AL381" i="1"/>
  <c r="J254" i="13"/>
  <c r="J109" i="3"/>
  <c r="AJ28" i="13"/>
  <c r="C497" i="1"/>
  <c r="D498" i="1" s="1"/>
  <c r="AE392" i="1"/>
  <c r="AF357" i="1"/>
  <c r="AG373" i="1"/>
  <c r="AL293" i="1"/>
  <c r="E305" i="1"/>
  <c r="C373" i="1"/>
  <c r="B279" i="1"/>
  <c r="AB373" i="1"/>
  <c r="AN91" i="13"/>
  <c r="AP91" i="13" s="1"/>
  <c r="E59" i="9"/>
  <c r="AJ234" i="13"/>
  <c r="C54" i="9"/>
  <c r="E195" i="9"/>
  <c r="AB394" i="1"/>
  <c r="K415" i="13"/>
  <c r="K410" i="13" s="1"/>
  <c r="H138" i="9" s="1"/>
  <c r="AC435" i="13"/>
  <c r="AC437" i="13" s="1"/>
  <c r="Y32" i="13"/>
  <c r="AC466" i="1"/>
  <c r="AK305" i="1"/>
  <c r="AD276" i="1"/>
  <c r="AD277" i="1" s="1"/>
  <c r="AC401" i="13"/>
  <c r="AC423" i="13" s="1"/>
  <c r="AC433" i="13" s="1"/>
  <c r="AC434" i="13" s="1"/>
  <c r="K91" i="13"/>
  <c r="L91" i="13" s="1"/>
  <c r="M91" i="13" s="1"/>
  <c r="N91" i="13" s="1"/>
  <c r="O91" i="13" s="1"/>
  <c r="P91" i="13" s="1"/>
  <c r="Q91" i="13" s="1"/>
  <c r="AI38" i="13"/>
  <c r="AB47" i="13"/>
  <c r="Z63" i="13"/>
  <c r="Z81" i="13" s="1"/>
  <c r="AB85" i="13"/>
  <c r="J446" i="13"/>
  <c r="AK234" i="13"/>
  <c r="G299" i="13"/>
  <c r="D104" i="9" s="1"/>
  <c r="AE362" i="13"/>
  <c r="AL291" i="13"/>
  <c r="AL112" i="1"/>
  <c r="K15" i="3"/>
  <c r="H188" i="9" s="1"/>
  <c r="H296" i="13"/>
  <c r="Z17" i="13"/>
  <c r="Z18" i="13" s="1"/>
  <c r="D145" i="9"/>
  <c r="AH320" i="1"/>
  <c r="C83" i="1"/>
  <c r="H1" i="60"/>
  <c r="G373" i="1"/>
  <c r="Z37" i="13"/>
  <c r="AL124" i="13"/>
  <c r="AD160" i="13"/>
  <c r="AG155" i="1"/>
  <c r="K149" i="3"/>
  <c r="K154" i="3" s="1"/>
  <c r="AF411" i="13"/>
  <c r="AI198" i="1"/>
  <c r="AA258" i="1"/>
  <c r="AC333" i="1"/>
  <c r="AH110" i="1"/>
  <c r="AC83" i="1"/>
  <c r="AH456" i="1"/>
  <c r="X424" i="1"/>
  <c r="AG424" i="1"/>
  <c r="E6" i="17" s="1"/>
  <c r="AD497" i="1"/>
  <c r="AD498" i="1" s="1"/>
  <c r="AI498" i="1"/>
  <c r="AP57" i="1"/>
  <c r="AP58" i="1" s="1"/>
  <c r="AP109" i="1"/>
  <c r="AP110" i="1" s="1"/>
  <c r="AP146" i="1"/>
  <c r="AP147" i="1" s="1"/>
  <c r="AP157" i="1"/>
  <c r="AP158" i="1" s="1"/>
  <c r="AP325" i="1"/>
  <c r="AP326" i="1" s="1"/>
  <c r="AF341" i="1"/>
  <c r="AL354" i="1"/>
  <c r="D414" i="28"/>
  <c r="AL93" i="13"/>
  <c r="AP103" i="13"/>
  <c r="K92" i="13"/>
  <c r="L92" i="13" s="1"/>
  <c r="M92" i="13" s="1"/>
  <c r="N92" i="13" s="1"/>
  <c r="O92" i="13" s="1"/>
  <c r="P92" i="13" s="1"/>
  <c r="Q92" i="13" s="1"/>
  <c r="G393" i="13"/>
  <c r="G402" i="13" s="1"/>
  <c r="G425" i="13" s="1"/>
  <c r="AG318" i="13"/>
  <c r="G304" i="13"/>
  <c r="G302" i="13" s="1"/>
  <c r="AC305" i="1"/>
  <c r="AP312" i="1"/>
  <c r="AP313" i="1" s="1"/>
  <c r="W17" i="13"/>
  <c r="AK378" i="13"/>
  <c r="AP276" i="1"/>
  <c r="AP277" i="1" s="1"/>
  <c r="AL218" i="13"/>
  <c r="D84" i="28"/>
  <c r="N71" i="9"/>
  <c r="N91" i="9" s="1"/>
  <c r="N111" i="9" s="1"/>
  <c r="N131" i="9" s="1"/>
  <c r="AP360" i="13"/>
  <c r="AA297" i="13"/>
  <c r="AH316" i="13"/>
  <c r="AP300" i="13"/>
  <c r="AP306" i="13" s="1"/>
  <c r="AC224" i="13"/>
  <c r="X15" i="13"/>
  <c r="X20" i="13" s="1"/>
  <c r="N446" i="13"/>
  <c r="AA28" i="13"/>
  <c r="AH354" i="1"/>
  <c r="AL392" i="1"/>
  <c r="AD66" i="1"/>
  <c r="E29" i="17"/>
  <c r="D119" i="9"/>
  <c r="AK70" i="1"/>
  <c r="AK150" i="1" s="1"/>
  <c r="AF83" i="1"/>
  <c r="AK83" i="1"/>
  <c r="F128" i="28"/>
  <c r="F129" i="28" s="1"/>
  <c r="Y150" i="1"/>
  <c r="AJ91" i="1"/>
  <c r="D193" i="1"/>
  <c r="E35" i="9"/>
  <c r="AL516" i="1"/>
  <c r="AE398" i="13"/>
  <c r="C155" i="1"/>
  <c r="AE191" i="1"/>
  <c r="G22" i="17"/>
  <c r="AL110" i="1"/>
  <c r="AA162" i="13"/>
  <c r="AE234" i="13"/>
  <c r="G411" i="13"/>
  <c r="AI411" i="13"/>
  <c r="AL296" i="13"/>
  <c r="AL104" i="1"/>
  <c r="AO411" i="13"/>
  <c r="G197" i="9"/>
  <c r="J378" i="13"/>
  <c r="AP265" i="1"/>
  <c r="AP292" i="1"/>
  <c r="AP293" i="1" s="1"/>
  <c r="AL429" i="13"/>
  <c r="AK317" i="13"/>
  <c r="AK318" i="13" s="1"/>
  <c r="X27" i="13"/>
  <c r="W27" i="13"/>
  <c r="N114" i="13"/>
  <c r="N50" i="3" s="1"/>
  <c r="K213" i="9" s="1"/>
  <c r="AH298" i="1"/>
  <c r="AJ115" i="1"/>
  <c r="D27" i="17"/>
  <c r="X65" i="13"/>
  <c r="X86" i="13" s="1"/>
  <c r="X118" i="13" s="1"/>
  <c r="X125" i="13" s="1"/>
  <c r="X85" i="13"/>
  <c r="G362" i="13"/>
  <c r="AB423" i="13"/>
  <c r="AB433" i="13" s="1"/>
  <c r="AB434" i="13" s="1"/>
  <c r="AO430" i="13"/>
  <c r="AH104" i="1"/>
  <c r="O124" i="3"/>
  <c r="V316" i="28"/>
  <c r="U316" i="28"/>
  <c r="T316" i="28"/>
  <c r="U3" i="28"/>
  <c r="F189" i="28"/>
  <c r="D640" i="28"/>
  <c r="C429" i="28"/>
  <c r="I95" i="60"/>
  <c r="I94" i="60" s="1"/>
  <c r="L225" i="1"/>
  <c r="H398" i="28"/>
  <c r="H399" i="28" s="1"/>
  <c r="AA37" i="17"/>
  <c r="AH37" i="17" s="1"/>
  <c r="M225" i="1"/>
  <c r="AB37" i="17"/>
  <c r="AI37" i="17" s="1"/>
  <c r="AH47" i="1"/>
  <c r="AP93" i="1"/>
  <c r="AP94" i="1" s="1"/>
  <c r="AC55" i="1"/>
  <c r="AC365" i="1"/>
  <c r="AL340" i="1"/>
  <c r="C55" i="1"/>
  <c r="AL58" i="1"/>
  <c r="AH88" i="1"/>
  <c r="P17" i="9"/>
  <c r="D565" i="28"/>
  <c r="D474" i="28"/>
  <c r="D189" i="28"/>
  <c r="D66" i="60"/>
  <c r="B594" i="28"/>
  <c r="D37" i="28"/>
  <c r="E52" i="60"/>
  <c r="C640" i="28"/>
  <c r="B368" i="28"/>
  <c r="E489" i="28"/>
  <c r="E193" i="1"/>
  <c r="F155" i="1"/>
  <c r="AB155" i="1"/>
  <c r="AP319" i="1"/>
  <c r="AP320" i="1" s="1"/>
  <c r="AM320" i="1"/>
  <c r="K25" i="17"/>
  <c r="AM296" i="1"/>
  <c r="K32" i="17"/>
  <c r="AM290" i="1"/>
  <c r="K31" i="17"/>
  <c r="AP388" i="1"/>
  <c r="AP389" i="1" s="1"/>
  <c r="L228" i="1"/>
  <c r="J228" i="1"/>
  <c r="H198" i="1"/>
  <c r="D21" i="60"/>
  <c r="E21" i="60"/>
  <c r="E20" i="60" s="1"/>
  <c r="C198" i="1"/>
  <c r="H253" i="1"/>
  <c r="E37" i="9"/>
  <c r="V22" i="17"/>
  <c r="AB198" i="1"/>
  <c r="AB199" i="1" s="1"/>
  <c r="P190" i="1"/>
  <c r="K353" i="28" s="1"/>
  <c r="K354" i="28" s="1"/>
  <c r="N191" i="1"/>
  <c r="J191" i="1"/>
  <c r="O191" i="1"/>
  <c r="H353" i="28"/>
  <c r="I354" i="28" s="1"/>
  <c r="K191" i="1"/>
  <c r="F353" i="28"/>
  <c r="R190" i="1"/>
  <c r="L191" i="1"/>
  <c r="G353" i="28"/>
  <c r="E353" i="28"/>
  <c r="E354" i="28" s="1"/>
  <c r="AP190" i="1"/>
  <c r="AP191" i="1" s="1"/>
  <c r="G155" i="1"/>
  <c r="AF155" i="1"/>
  <c r="AD154" i="1"/>
  <c r="AD155" i="1" s="1"/>
  <c r="AK155" i="1"/>
  <c r="AG193" i="1"/>
  <c r="F42" i="60"/>
  <c r="AH106" i="1"/>
  <c r="F28" i="17" s="1"/>
  <c r="C159" i="28"/>
  <c r="D159" i="28"/>
  <c r="H91" i="1"/>
  <c r="D26" i="9"/>
  <c r="AL90" i="1"/>
  <c r="I55" i="1"/>
  <c r="G4" i="28" a="1"/>
  <c r="G4" i="28" s="1"/>
  <c r="T71" i="28" s="1"/>
  <c r="R57" i="1"/>
  <c r="F25" i="60"/>
  <c r="F24" i="60" s="1"/>
  <c r="F70" i="1"/>
  <c r="F150" i="1" s="1"/>
  <c r="M124" i="3"/>
  <c r="M122" i="3" s="1"/>
  <c r="Q124" i="3"/>
  <c r="G189" i="28"/>
  <c r="J354" i="28"/>
  <c r="K114" i="28"/>
  <c r="G52" i="60"/>
  <c r="AJ55" i="1"/>
  <c r="AI63" i="1"/>
  <c r="AH158" i="1"/>
  <c r="AL191" i="1"/>
  <c r="AG498" i="1"/>
  <c r="AI523" i="1"/>
  <c r="AH263" i="1"/>
  <c r="Z424" i="1"/>
  <c r="G17" i="26"/>
  <c r="F44" i="28" s="1"/>
  <c r="I199" i="1"/>
  <c r="C67" i="9"/>
  <c r="AD254" i="13"/>
  <c r="AH68" i="1"/>
  <c r="AH261" i="1"/>
  <c r="AH86" i="1"/>
  <c r="K189" i="28"/>
  <c r="F22" i="60"/>
  <c r="I12" i="60"/>
  <c r="AK113" i="13"/>
  <c r="AD203" i="13"/>
  <c r="AD206" i="13" s="1"/>
  <c r="AH229" i="13"/>
  <c r="AH230" i="13" s="1"/>
  <c r="AL231" i="13"/>
  <c r="AG362" i="13"/>
  <c r="D141" i="9"/>
  <c r="AD419" i="13"/>
  <c r="AA55" i="1"/>
  <c r="AC198" i="1"/>
  <c r="AC199" i="1" s="1"/>
  <c r="F279" i="1"/>
  <c r="F280" i="1" s="1"/>
  <c r="Z279" i="1"/>
  <c r="AH293" i="1"/>
  <c r="AH346" i="1"/>
  <c r="D329" i="1"/>
  <c r="F474" i="28"/>
  <c r="AL299" i="13"/>
  <c r="C60" i="9"/>
  <c r="C140" i="9"/>
  <c r="AH268" i="1"/>
  <c r="F33" i="17" s="1"/>
  <c r="F66" i="60"/>
  <c r="C103" i="9"/>
  <c r="B30" i="3"/>
  <c r="B36" i="3" s="1"/>
  <c r="W20" i="13"/>
  <c r="W56" i="13" s="1"/>
  <c r="W116" i="13" s="1"/>
  <c r="AK45" i="13"/>
  <c r="L160" i="9"/>
  <c r="O446" i="13"/>
  <c r="G223" i="13"/>
  <c r="D80" i="9"/>
  <c r="H23" i="17"/>
  <c r="AJ70" i="1"/>
  <c r="AJ150" i="1" s="1"/>
  <c r="AA91" i="1"/>
  <c r="AE120" i="1"/>
  <c r="AA114" i="1"/>
  <c r="AA115" i="1" s="1"/>
  <c r="AC155" i="1"/>
  <c r="D33" i="17"/>
  <c r="AJ269" i="1"/>
  <c r="C14" i="9"/>
  <c r="F333" i="1"/>
  <c r="AD348" i="1"/>
  <c r="AH349" i="1" s="1"/>
  <c r="AD354" i="1"/>
  <c r="AA365" i="1"/>
  <c r="AH370" i="1"/>
  <c r="AD364" i="1"/>
  <c r="AD365" i="1" s="1"/>
  <c r="K12" i="60"/>
  <c r="M318" i="13"/>
  <c r="AB297" i="13"/>
  <c r="AA299" i="13"/>
  <c r="M274" i="13"/>
  <c r="X63" i="13"/>
  <c r="D373" i="1"/>
  <c r="F341" i="1"/>
  <c r="AB333" i="1"/>
  <c r="F381" i="1"/>
  <c r="G258" i="1"/>
  <c r="B285" i="1"/>
  <c r="AD119" i="1"/>
  <c r="AD114" i="1" s="1"/>
  <c r="AD115" i="1" s="1"/>
  <c r="AD116" i="1" s="1"/>
  <c r="AI191" i="1"/>
  <c r="AJ107" i="1"/>
  <c r="F394" i="1"/>
  <c r="AD370" i="1"/>
  <c r="AL428" i="13"/>
  <c r="AJ378" i="13"/>
  <c r="AL96" i="1"/>
  <c r="K254" i="13"/>
  <c r="K409" i="13"/>
  <c r="K408" i="13" s="1"/>
  <c r="E565" i="28"/>
  <c r="AH317" i="13"/>
  <c r="G292" i="13"/>
  <c r="AB218" i="13"/>
  <c r="AD255" i="13"/>
  <c r="AD167" i="13" s="1"/>
  <c r="AD161" i="13"/>
  <c r="AK38" i="13"/>
  <c r="G381" i="1"/>
  <c r="D21" i="17"/>
  <c r="F258" i="1"/>
  <c r="T627" i="28" a="1"/>
  <c r="T627" i="28" s="1"/>
  <c r="T628" i="28" s="1"/>
  <c r="AI193" i="1"/>
  <c r="AB83" i="1"/>
  <c r="AD372" i="1"/>
  <c r="AD373" i="1" s="1"/>
  <c r="F152" i="9"/>
  <c r="Q292" i="1"/>
  <c r="L564" i="28" s="1"/>
  <c r="L565" i="28" s="1"/>
  <c r="AL44" i="13"/>
  <c r="AA401" i="13"/>
  <c r="AA423" i="13" s="1"/>
  <c r="AA433" i="13" s="1"/>
  <c r="AA434" i="13" s="1"/>
  <c r="AA398" i="13"/>
  <c r="H318" i="13"/>
  <c r="H163" i="13" s="1"/>
  <c r="G291" i="13"/>
  <c r="AC231" i="13"/>
  <c r="AC41" i="13" s="1"/>
  <c r="AC43" i="13" s="1"/>
  <c r="O114" i="13"/>
  <c r="O50" i="3" s="1"/>
  <c r="L213" i="9" s="1"/>
  <c r="D198" i="1"/>
  <c r="AK75" i="1"/>
  <c r="AL158" i="1"/>
  <c r="AH328" i="1"/>
  <c r="AC193" i="1"/>
  <c r="AL111" i="13"/>
  <c r="AB26" i="13"/>
  <c r="AB28" i="13" s="1"/>
  <c r="D685" i="28"/>
  <c r="AL377" i="13"/>
  <c r="AL320" i="1"/>
  <c r="C84" i="28"/>
  <c r="AH299" i="13"/>
  <c r="AL352" i="13"/>
  <c r="AL353" i="13" s="1"/>
  <c r="AL376" i="13"/>
  <c r="AD378" i="13"/>
  <c r="AC411" i="13"/>
  <c r="AL419" i="13"/>
  <c r="AL420" i="13" s="1"/>
  <c r="AD430" i="13"/>
  <c r="D63" i="1"/>
  <c r="W70" i="1"/>
  <c r="W150" i="1" s="1"/>
  <c r="AE63" i="1"/>
  <c r="AG75" i="1"/>
  <c r="AG83" i="1"/>
  <c r="AK91" i="1"/>
  <c r="AF107" i="1"/>
  <c r="AI155" i="1"/>
  <c r="AH154" i="1"/>
  <c r="F20" i="17" s="1"/>
  <c r="C258" i="1"/>
  <c r="AJ349" i="1"/>
  <c r="D357" i="1"/>
  <c r="D365" i="1"/>
  <c r="E329" i="1"/>
  <c r="C685" i="28"/>
  <c r="AH459" i="1"/>
  <c r="AH463" i="1"/>
  <c r="AJ503" i="1"/>
  <c r="AJ505" i="1" s="1"/>
  <c r="C81" i="9"/>
  <c r="C30" i="3"/>
  <c r="C36" i="3" s="1"/>
  <c r="D96" i="3"/>
  <c r="G113" i="13"/>
  <c r="AC113" i="13"/>
  <c r="C206" i="9"/>
  <c r="H113" i="13"/>
  <c r="F48" i="9"/>
  <c r="K474" i="28"/>
  <c r="D594" i="28"/>
  <c r="AD387" i="13"/>
  <c r="AD390" i="13" s="1"/>
  <c r="AD398" i="13" s="1"/>
  <c r="AN318" i="13"/>
  <c r="AI249" i="1"/>
  <c r="AB249" i="1"/>
  <c r="AF250" i="1" s="1"/>
  <c r="AE285" i="1"/>
  <c r="AI286" i="1" s="1"/>
  <c r="AJ299" i="1"/>
  <c r="AG333" i="1"/>
  <c r="C333" i="1"/>
  <c r="AE424" i="1"/>
  <c r="AE267" i="13" s="1"/>
  <c r="AJ424" i="1"/>
  <c r="H6" i="17" s="1"/>
  <c r="L252" i="13"/>
  <c r="M252" i="13" s="1"/>
  <c r="AE113" i="13"/>
  <c r="AD124" i="13"/>
  <c r="AE78" i="13"/>
  <c r="AE80" i="13" s="1"/>
  <c r="H45" i="13"/>
  <c r="AL228" i="13"/>
  <c r="AL255" i="13"/>
  <c r="AK302" i="13"/>
  <c r="H302" i="13"/>
  <c r="AD157" i="13"/>
  <c r="AD159" i="13" s="1"/>
  <c r="AH13" i="13"/>
  <c r="AH15" i="13" s="1"/>
  <c r="AD347" i="13"/>
  <c r="AD348" i="13" s="1"/>
  <c r="AK41" i="13"/>
  <c r="AK43" i="13" s="1"/>
  <c r="AD364" i="13"/>
  <c r="AH363" i="13"/>
  <c r="AH366" i="13" s="1"/>
  <c r="AK362" i="13"/>
  <c r="AL378" i="13"/>
  <c r="AD400" i="13"/>
  <c r="AE411" i="13"/>
  <c r="AH416" i="13"/>
  <c r="AL416" i="13"/>
  <c r="AL417" i="13" s="1"/>
  <c r="E70" i="1"/>
  <c r="E150" i="1" s="1"/>
  <c r="X70" i="1"/>
  <c r="X150" i="1" s="1"/>
  <c r="AB55" i="1"/>
  <c r="AK63" i="1"/>
  <c r="F75" i="1"/>
  <c r="AB91" i="1"/>
  <c r="AH122" i="1"/>
  <c r="F29" i="17" s="1"/>
  <c r="AF279" i="1"/>
  <c r="AJ280" i="1" s="1"/>
  <c r="C279" i="1"/>
  <c r="W279" i="1"/>
  <c r="F299" i="1"/>
  <c r="AA299" i="1"/>
  <c r="AK299" i="1"/>
  <c r="AI333" i="1"/>
  <c r="C699" i="28"/>
  <c r="D394" i="1"/>
  <c r="AA329" i="1"/>
  <c r="E466" i="1"/>
  <c r="AG466" i="1"/>
  <c r="F42" i="9"/>
  <c r="H189" i="28"/>
  <c r="P326" i="1"/>
  <c r="L12" i="60"/>
  <c r="AL88" i="1"/>
  <c r="K300" i="13"/>
  <c r="K306" i="13" s="1"/>
  <c r="G474" i="28"/>
  <c r="E8" i="60"/>
  <c r="AN92" i="13"/>
  <c r="C156" i="9"/>
  <c r="G183" i="9"/>
  <c r="E30" i="3"/>
  <c r="AJ78" i="13"/>
  <c r="AJ80" i="13" s="1"/>
  <c r="AE302" i="13"/>
  <c r="AB362" i="13"/>
  <c r="AH396" i="13"/>
  <c r="AD408" i="13"/>
  <c r="AA411" i="13"/>
  <c r="AG411" i="13"/>
  <c r="T612" i="28"/>
  <c r="U466" i="28"/>
  <c r="G193" i="1"/>
  <c r="Q388" i="1"/>
  <c r="L473" i="28" s="1"/>
  <c r="H565" i="28"/>
  <c r="J318" i="13"/>
  <c r="I474" i="28"/>
  <c r="J167" i="13"/>
  <c r="C147" i="9"/>
  <c r="D19" i="3"/>
  <c r="L419" i="13"/>
  <c r="L411" i="13" s="1"/>
  <c r="M428" i="13"/>
  <c r="M415" i="13" s="1"/>
  <c r="L415" i="13"/>
  <c r="AB234" i="13"/>
  <c r="AB48" i="13"/>
  <c r="I38" i="13"/>
  <c r="I35" i="13"/>
  <c r="AL304" i="1"/>
  <c r="AL305" i="1" s="1"/>
  <c r="AL160" i="1"/>
  <c r="AL378" i="1"/>
  <c r="AL522" i="1"/>
  <c r="AL502" i="1" s="1"/>
  <c r="AL325" i="13" s="1"/>
  <c r="AL263" i="1"/>
  <c r="R13" i="60"/>
  <c r="J274" i="13"/>
  <c r="AL316" i="13"/>
  <c r="K419" i="13"/>
  <c r="K411" i="13" s="1"/>
  <c r="AP428" i="13"/>
  <c r="AN274" i="13"/>
  <c r="K96" i="13"/>
  <c r="L96" i="13" s="1"/>
  <c r="M96" i="13" s="1"/>
  <c r="N96" i="13" s="1"/>
  <c r="O96" i="13" s="1"/>
  <c r="P96" i="13" s="1"/>
  <c r="Q96" i="13" s="1"/>
  <c r="H411" i="13"/>
  <c r="AH411" i="13" s="1"/>
  <c r="AB393" i="13"/>
  <c r="AB402" i="13" s="1"/>
  <c r="AB425" i="13" s="1"/>
  <c r="AL364" i="13"/>
  <c r="AL367" i="13" s="1"/>
  <c r="G331" i="13"/>
  <c r="G297" i="13"/>
  <c r="G282" i="13" s="1"/>
  <c r="AD289" i="13"/>
  <c r="AD291" i="13" s="1"/>
  <c r="AA231" i="13"/>
  <c r="M114" i="13"/>
  <c r="M50" i="3" s="1"/>
  <c r="J213" i="9" s="1"/>
  <c r="AI33" i="13"/>
  <c r="Y30" i="13"/>
  <c r="Z32" i="13"/>
  <c r="G12" i="13"/>
  <c r="AD522" i="1"/>
  <c r="AD502" i="1" s="1"/>
  <c r="AD503" i="1" s="1"/>
  <c r="AH439" i="1"/>
  <c r="G392" i="1"/>
  <c r="H392" i="1"/>
  <c r="AA373" i="1"/>
  <c r="AJ316" i="1"/>
  <c r="AF285" i="1"/>
  <c r="AI277" i="1"/>
  <c r="AE155" i="1"/>
  <c r="AC75" i="1"/>
  <c r="AG55" i="1"/>
  <c r="B192" i="60"/>
  <c r="D54" i="60"/>
  <c r="AB365" i="1"/>
  <c r="F373" i="1"/>
  <c r="AE279" i="1"/>
  <c r="AH389" i="1"/>
  <c r="AJ198" i="1"/>
  <c r="C26" i="9"/>
  <c r="AH96" i="1"/>
  <c r="D249" i="28"/>
  <c r="AH80" i="1"/>
  <c r="AF70" i="1"/>
  <c r="AF150" i="1" s="1"/>
  <c r="G83" i="1"/>
  <c r="AA402" i="13"/>
  <c r="AA425" i="13" s="1"/>
  <c r="AD318" i="13"/>
  <c r="AK430" i="13"/>
  <c r="AI123" i="1"/>
  <c r="AK523" i="1"/>
  <c r="M446" i="13"/>
  <c r="G58" i="60"/>
  <c r="AD197" i="1"/>
  <c r="AH198" i="1" s="1"/>
  <c r="AC394" i="1"/>
  <c r="AH378" i="1"/>
  <c r="B19" i="3"/>
  <c r="E36" i="3"/>
  <c r="E37" i="3" s="1"/>
  <c r="AB55" i="13"/>
  <c r="U632" i="28"/>
  <c r="AL459" i="1"/>
  <c r="AL456" i="1"/>
  <c r="AL120" i="1"/>
  <c r="AL463" i="1"/>
  <c r="J114" i="28"/>
  <c r="R12" i="60"/>
  <c r="K430" i="13"/>
  <c r="AL100" i="13"/>
  <c r="AL101" i="13" s="1"/>
  <c r="C535" i="28"/>
  <c r="J419" i="13"/>
  <c r="AP419" i="13" s="1"/>
  <c r="AP48" i="13" s="1"/>
  <c r="AN157" i="13"/>
  <c r="AO96" i="13"/>
  <c r="AO415" i="13"/>
  <c r="AO410" i="13" s="1"/>
  <c r="C65" i="9"/>
  <c r="AB435" i="13"/>
  <c r="AB437" i="13" s="1"/>
  <c r="AD330" i="13"/>
  <c r="AD332" i="13" s="1"/>
  <c r="AB231" i="13"/>
  <c r="G296" i="13"/>
  <c r="AD272" i="13"/>
  <c r="AD274" i="13" s="1"/>
  <c r="G202" i="13"/>
  <c r="G57" i="13" s="1"/>
  <c r="G59" i="13" s="1"/>
  <c r="W32" i="13"/>
  <c r="AA38" i="13"/>
  <c r="X81" i="13"/>
  <c r="X117" i="13" s="1"/>
  <c r="X142" i="13" s="1"/>
  <c r="X147" i="13" s="1"/>
  <c r="D466" i="1"/>
  <c r="AH276" i="1"/>
  <c r="AL277" i="1" s="1"/>
  <c r="AK258" i="1"/>
  <c r="AA279" i="1"/>
  <c r="AK269" i="1"/>
  <c r="E63" i="1"/>
  <c r="AD74" i="1"/>
  <c r="AD75" i="1" s="1"/>
  <c r="AF55" i="1"/>
  <c r="AG70" i="1"/>
  <c r="AG150" i="1" s="1"/>
  <c r="D489" i="28"/>
  <c r="E357" i="1"/>
  <c r="D580" i="28"/>
  <c r="E373" i="1"/>
  <c r="AH511" i="1"/>
  <c r="C394" i="1"/>
  <c r="C395" i="1" s="1"/>
  <c r="F91" i="1"/>
  <c r="AO376" i="13"/>
  <c r="AP376" i="13" s="1"/>
  <c r="AJ318" i="13"/>
  <c r="AH436" i="1"/>
  <c r="D21" i="9"/>
  <c r="C103" i="3"/>
  <c r="D133" i="3"/>
  <c r="V166" i="28"/>
  <c r="AL298" i="1"/>
  <c r="F59" i="9"/>
  <c r="F56" i="9"/>
  <c r="AL286" i="13"/>
  <c r="L407" i="13"/>
  <c r="M407" i="13" s="1"/>
  <c r="M409" i="13" s="1"/>
  <c r="M408" i="13" s="1"/>
  <c r="AE423" i="13"/>
  <c r="AE433" i="13" s="1"/>
  <c r="AE434" i="13" s="1"/>
  <c r="J415" i="13"/>
  <c r="J410" i="13" s="1"/>
  <c r="G138" i="9" s="1"/>
  <c r="J430" i="13"/>
  <c r="AL359" i="13"/>
  <c r="AB292" i="13"/>
  <c r="Q114" i="13"/>
  <c r="Q50" i="3" s="1"/>
  <c r="N213" i="9" s="1"/>
  <c r="AA502" i="1"/>
  <c r="AE503" i="1" s="1"/>
  <c r="AE505" i="1" s="1"/>
  <c r="AD391" i="1"/>
  <c r="AD392" i="1" s="1"/>
  <c r="AE373" i="1"/>
  <c r="D349" i="1"/>
  <c r="AH296" i="1"/>
  <c r="AE277" i="1"/>
  <c r="F83" i="1"/>
  <c r="AK55" i="1"/>
  <c r="H124" i="3"/>
  <c r="H122" i="3" s="1"/>
  <c r="B150" i="1"/>
  <c r="AH519" i="1"/>
  <c r="D26" i="17"/>
  <c r="E33" i="17"/>
  <c r="C625" i="28"/>
  <c r="D715" i="28"/>
  <c r="AJ249" i="1"/>
  <c r="AJ250" i="1" s="1"/>
  <c r="P93" i="3"/>
  <c r="Q93" i="3" s="1"/>
  <c r="AB99" i="13"/>
  <c r="AJ157" i="13"/>
  <c r="AD340" i="1"/>
  <c r="AD341" i="1" s="1"/>
  <c r="D102" i="9"/>
  <c r="C107" i="9"/>
  <c r="E145" i="9"/>
  <c r="C153" i="9"/>
  <c r="AJ33" i="13"/>
  <c r="W85" i="13"/>
  <c r="H97" i="13"/>
  <c r="AI97" i="13"/>
  <c r="AI99" i="13" s="1"/>
  <c r="AL94" i="1"/>
  <c r="AH102" i="1"/>
  <c r="AI115" i="1"/>
  <c r="AE198" i="1"/>
  <c r="AH203" i="1"/>
  <c r="AF258" i="1"/>
  <c r="AF299" i="1"/>
  <c r="AF329" i="1"/>
  <c r="D424" i="1"/>
  <c r="T211" i="28"/>
  <c r="L380" i="13"/>
  <c r="K167" i="13"/>
  <c r="G40" i="13"/>
  <c r="G38" i="13"/>
  <c r="D59" i="9"/>
  <c r="M322" i="1"/>
  <c r="AA36" i="17"/>
  <c r="AH36" i="17" s="1"/>
  <c r="G729" i="28"/>
  <c r="G730" i="28" s="1"/>
  <c r="I91" i="60"/>
  <c r="I90" i="60" s="1"/>
  <c r="L323" i="1"/>
  <c r="P30" i="9"/>
  <c r="AL346" i="1"/>
  <c r="AL98" i="1"/>
  <c r="J27" i="17" s="1"/>
  <c r="Q167" i="1"/>
  <c r="Q168" i="1" s="1"/>
  <c r="I41" i="13"/>
  <c r="I442" i="13" s="1"/>
  <c r="AH191" i="1"/>
  <c r="D18" i="60"/>
  <c r="Q446" i="13"/>
  <c r="G458" i="13"/>
  <c r="C83" i="9"/>
  <c r="AD305" i="1"/>
  <c r="G565" i="28"/>
  <c r="AO420" i="13"/>
  <c r="H133" i="9"/>
  <c r="AL296" i="1"/>
  <c r="F22" i="17"/>
  <c r="N88" i="13"/>
  <c r="J31" i="17"/>
  <c r="G457" i="13"/>
  <c r="E227" i="9"/>
  <c r="AF234" i="13"/>
  <c r="Z70" i="1"/>
  <c r="Z150" i="1" s="1"/>
  <c r="AL326" i="1"/>
  <c r="AH332" i="1"/>
  <c r="AD356" i="1"/>
  <c r="AH357" i="1" s="1"/>
  <c r="AM299" i="13"/>
  <c r="I15" i="13"/>
  <c r="O30" i="9"/>
  <c r="AL203" i="1"/>
  <c r="AL422" i="13"/>
  <c r="E474" i="28"/>
  <c r="J25" i="17"/>
  <c r="AL410" i="13"/>
  <c r="D78" i="9"/>
  <c r="D111" i="3"/>
  <c r="H111" i="3"/>
  <c r="H112" i="3" s="1"/>
  <c r="G155" i="3"/>
  <c r="G160" i="3" s="1"/>
  <c r="W65" i="13"/>
  <c r="W86" i="13" s="1"/>
  <c r="W118" i="13" s="1"/>
  <c r="W125" i="13" s="1"/>
  <c r="AH107" i="13"/>
  <c r="F42" i="17" s="1"/>
  <c r="AE193" i="1"/>
  <c r="K239" i="13"/>
  <c r="E12" i="26"/>
  <c r="F34" i="60"/>
  <c r="AL128" i="1"/>
  <c r="AL114" i="1"/>
  <c r="K318" i="13"/>
  <c r="I104" i="13"/>
  <c r="F159" i="9" s="1"/>
  <c r="J160" i="13"/>
  <c r="K25" i="3"/>
  <c r="J91" i="3"/>
  <c r="I78" i="13"/>
  <c r="I80" i="13" s="1"/>
  <c r="H58" i="60"/>
  <c r="C97" i="9"/>
  <c r="C101" i="9"/>
  <c r="Y65" i="13"/>
  <c r="K446" i="13"/>
  <c r="AC163" i="13"/>
  <c r="AC165" i="13" s="1"/>
  <c r="AH286" i="13"/>
  <c r="AE163" i="13"/>
  <c r="AE165" i="13" s="1"/>
  <c r="AH408" i="13"/>
  <c r="AC78" i="13"/>
  <c r="AC80" i="13" s="1"/>
  <c r="AK411" i="13"/>
  <c r="E75" i="1"/>
  <c r="AD82" i="1"/>
  <c r="AD83" i="1" s="1"/>
  <c r="E91" i="1"/>
  <c r="AE91" i="1"/>
  <c r="AF91" i="1"/>
  <c r="AH112" i="1"/>
  <c r="X193" i="1"/>
  <c r="AB193" i="1"/>
  <c r="W315" i="1"/>
  <c r="AA316" i="1" s="1"/>
  <c r="V151" i="28"/>
  <c r="V722" i="28"/>
  <c r="V136" i="28"/>
  <c r="V121" i="28"/>
  <c r="P141" i="1"/>
  <c r="H474" i="28"/>
  <c r="L15" i="3"/>
  <c r="J51" i="3"/>
  <c r="J52" i="3" s="1"/>
  <c r="AE325" i="13"/>
  <c r="AE328" i="13" s="1"/>
  <c r="AL86" i="1"/>
  <c r="E28" i="60"/>
  <c r="J28" i="3"/>
  <c r="G200" i="9" s="1"/>
  <c r="H30" i="3"/>
  <c r="H36" i="3" s="1"/>
  <c r="E168" i="9"/>
  <c r="C19" i="3"/>
  <c r="E133" i="3"/>
  <c r="AC13" i="13"/>
  <c r="AC15" i="13" s="1"/>
  <c r="W37" i="13"/>
  <c r="AC36" i="13"/>
  <c r="AC38" i="13" s="1"/>
  <c r="Y85" i="13"/>
  <c r="AK97" i="13"/>
  <c r="AK99" i="13" s="1"/>
  <c r="AC167" i="13"/>
  <c r="D174" i="9"/>
  <c r="AH201" i="13"/>
  <c r="AH202" i="13" s="1"/>
  <c r="AC234" i="13"/>
  <c r="AE41" i="13"/>
  <c r="AE43" i="13" s="1"/>
  <c r="AE48" i="13"/>
  <c r="AH257" i="1"/>
  <c r="AL258" i="1" s="1"/>
  <c r="AD313" i="1"/>
  <c r="AF466" i="1"/>
  <c r="F485" i="1"/>
  <c r="AL288" i="13"/>
  <c r="P293" i="1"/>
  <c r="AL373" i="1"/>
  <c r="Q140" i="1"/>
  <c r="L429" i="13"/>
  <c r="M429" i="13" s="1"/>
  <c r="N429" i="13" s="1"/>
  <c r="O429" i="13" s="1"/>
  <c r="J366" i="13"/>
  <c r="J365" i="13" s="1"/>
  <c r="K232" i="13"/>
  <c r="L232" i="13" s="1"/>
  <c r="J32" i="17"/>
  <c r="J239" i="13"/>
  <c r="AL328" i="1"/>
  <c r="G71" i="13"/>
  <c r="G77" i="13"/>
  <c r="AD101" i="13"/>
  <c r="G78" i="13"/>
  <c r="G80" i="13" s="1"/>
  <c r="AL357" i="13"/>
  <c r="AL358" i="13" s="1"/>
  <c r="AC70" i="1"/>
  <c r="AE83" i="1"/>
  <c r="AJ83" i="1"/>
  <c r="D91" i="1"/>
  <c r="AI91" i="1"/>
  <c r="E365" i="1"/>
  <c r="AN231" i="13"/>
  <c r="AO359" i="13"/>
  <c r="AP108" i="13"/>
  <c r="AP111" i="13"/>
  <c r="AO147" i="1"/>
  <c r="AP362" i="13"/>
  <c r="AM430" i="13"/>
  <c r="AL465" i="1"/>
  <c r="AL47" i="13"/>
  <c r="C149" i="9"/>
  <c r="K26" i="3"/>
  <c r="H198" i="9" s="1"/>
  <c r="G198" i="9"/>
  <c r="D103" i="3"/>
  <c r="Z27" i="13"/>
  <c r="Z30" i="13"/>
  <c r="W42" i="17"/>
  <c r="E160" i="9"/>
  <c r="AH124" i="13"/>
  <c r="AJ253" i="13"/>
  <c r="AJ160" i="13" s="1"/>
  <c r="AL236" i="13"/>
  <c r="AD356" i="13"/>
  <c r="AH356" i="13"/>
  <c r="C70" i="1"/>
  <c r="C71" i="1" s="1"/>
  <c r="C24" i="9"/>
  <c r="F63" i="1"/>
  <c r="D22" i="17"/>
  <c r="AF198" i="1"/>
  <c r="AI279" i="1"/>
  <c r="I163" i="13"/>
  <c r="AG97" i="13"/>
  <c r="AG99" i="13" s="1"/>
  <c r="AH94" i="13"/>
  <c r="AK253" i="13"/>
  <c r="AK254" i="13" s="1"/>
  <c r="AK48" i="13"/>
  <c r="H234" i="13"/>
  <c r="AH235" i="13"/>
  <c r="AH238" i="13" s="1"/>
  <c r="AL297" i="13"/>
  <c r="AL298" i="13" s="1"/>
  <c r="AA332" i="13"/>
  <c r="AA13" i="13"/>
  <c r="AA15" i="13" s="1"/>
  <c r="AF41" i="13"/>
  <c r="AF43" i="13" s="1"/>
  <c r="AH47" i="13"/>
  <c r="AB422" i="13"/>
  <c r="AF422" i="13" s="1"/>
  <c r="AC422" i="13"/>
  <c r="AG422" i="13" s="1"/>
  <c r="AA422" i="13"/>
  <c r="AA70" i="1"/>
  <c r="AF75" i="1"/>
  <c r="AB75" i="1"/>
  <c r="AD94" i="1"/>
  <c r="AD90" i="1"/>
  <c r="AD91" i="1" s="1"/>
  <c r="E30" i="17"/>
  <c r="AG115" i="1"/>
  <c r="AK115" i="1"/>
  <c r="G10" i="28" a="1"/>
  <c r="G10" i="28" s="1"/>
  <c r="B193" i="1"/>
  <c r="C35" i="9"/>
  <c r="F193" i="1"/>
  <c r="AA191" i="1"/>
  <c r="W193" i="1"/>
  <c r="AB341" i="1"/>
  <c r="AC502" i="1"/>
  <c r="AC503" i="1" s="1"/>
  <c r="AG523" i="1"/>
  <c r="I19" i="3"/>
  <c r="F192" i="9" s="1"/>
  <c r="AL351" i="13"/>
  <c r="AL10" i="13"/>
  <c r="H35" i="13"/>
  <c r="E56" i="9"/>
  <c r="D152" i="9"/>
  <c r="H38" i="13"/>
  <c r="Y40" i="13"/>
  <c r="Y42" i="17"/>
  <c r="AF42" i="17" s="1"/>
  <c r="G160" i="9"/>
  <c r="AA113" i="13"/>
  <c r="H458" i="13"/>
  <c r="W44" i="17"/>
  <c r="AB169" i="13"/>
  <c r="AB13" i="13"/>
  <c r="AB15" i="13" s="1"/>
  <c r="AD367" i="13"/>
  <c r="AN429" i="13"/>
  <c r="AP429" i="13" s="1"/>
  <c r="AJ430" i="13"/>
  <c r="AK166" i="13"/>
  <c r="AL431" i="13"/>
  <c r="AL166" i="13" s="1"/>
  <c r="AA63" i="1"/>
  <c r="AI258" i="1"/>
  <c r="AE258" i="1"/>
  <c r="AJ258" i="1"/>
  <c r="AD386" i="1"/>
  <c r="AD380" i="1"/>
  <c r="AJ329" i="1"/>
  <c r="AA466" i="1"/>
  <c r="W424" i="1"/>
  <c r="F424" i="1"/>
  <c r="C4" i="9" s="1"/>
  <c r="C10" i="9" s="1"/>
  <c r="G498" i="1"/>
  <c r="AA45" i="13"/>
  <c r="H42" i="17"/>
  <c r="AJ113" i="13"/>
  <c r="D124" i="9"/>
  <c r="AD359" i="13"/>
  <c r="AF48" i="13"/>
  <c r="AI48" i="13"/>
  <c r="G133" i="9"/>
  <c r="AP394" i="13"/>
  <c r="AP396" i="13" s="1"/>
  <c r="AL408" i="13"/>
  <c r="AL404" i="13" s="1"/>
  <c r="AH410" i="13"/>
  <c r="AD412" i="13"/>
  <c r="F55" i="1"/>
  <c r="C23" i="9"/>
  <c r="E23" i="17"/>
  <c r="AG63" i="1"/>
  <c r="AE99" i="1"/>
  <c r="AI99" i="1"/>
  <c r="AH146" i="1"/>
  <c r="AL147" i="1" s="1"/>
  <c r="AE147" i="1"/>
  <c r="AI147" i="1"/>
  <c r="AJ193" i="1"/>
  <c r="H20" i="17"/>
  <c r="AC329" i="1"/>
  <c r="AI267" i="13"/>
  <c r="AI280" i="13" s="1"/>
  <c r="U572" i="28"/>
  <c r="B328" i="1"/>
  <c r="C329" i="1" s="1"/>
  <c r="J124" i="3"/>
  <c r="J122" i="3" s="1"/>
  <c r="W63" i="13"/>
  <c r="W81" i="13" s="1"/>
  <c r="W117" i="13" s="1"/>
  <c r="W142" i="13" s="1"/>
  <c r="AC85" i="13"/>
  <c r="J88" i="13"/>
  <c r="J89" i="13" s="1"/>
  <c r="J100" i="13" s="1"/>
  <c r="AD93" i="13"/>
  <c r="AD97" i="13" s="1"/>
  <c r="AC45" i="13"/>
  <c r="AI78" i="13"/>
  <c r="AI80" i="13" s="1"/>
  <c r="AH357" i="13"/>
  <c r="AH358" i="13" s="1"/>
  <c r="E198" i="1"/>
  <c r="D333" i="1"/>
  <c r="C341" i="1"/>
  <c r="F498" i="1"/>
  <c r="U196" i="28"/>
  <c r="U181" i="28"/>
  <c r="V692" i="28"/>
  <c r="C189" i="28"/>
  <c r="C520" i="28"/>
  <c r="C580" i="28"/>
  <c r="C151" i="9"/>
  <c r="C158" i="9"/>
  <c r="Y63" i="13"/>
  <c r="Y81" i="13" s="1"/>
  <c r="Y117" i="13" s="1"/>
  <c r="Y142" i="13" s="1"/>
  <c r="AG45" i="13"/>
  <c r="AJ362" i="13"/>
  <c r="AC402" i="13"/>
  <c r="AC425" i="13" s="1"/>
  <c r="AH400" i="13"/>
  <c r="AL400" i="13"/>
  <c r="AL432" i="13"/>
  <c r="AD136" i="1"/>
  <c r="E83" i="1"/>
  <c r="AH126" i="1"/>
  <c r="AD132" i="1"/>
  <c r="Z315" i="1"/>
  <c r="AI329" i="1"/>
  <c r="F349" i="1"/>
  <c r="AH433" i="1"/>
  <c r="AH465" i="1"/>
  <c r="T106" i="28"/>
  <c r="V106" i="28"/>
  <c r="C565" i="28"/>
  <c r="C715" i="28"/>
  <c r="AM107" i="13"/>
  <c r="K42" i="17" s="1"/>
  <c r="E129" i="28"/>
  <c r="M165" i="1"/>
  <c r="M162" i="1" s="1"/>
  <c r="AN328" i="1"/>
  <c r="AN329" i="1" s="1"/>
  <c r="I118" i="3"/>
  <c r="C25" i="26" s="1"/>
  <c r="I112" i="3"/>
  <c r="AL356" i="13"/>
  <c r="AL36" i="13"/>
  <c r="J189" i="28"/>
  <c r="I189" i="28"/>
  <c r="M100" i="13"/>
  <c r="J29" i="17"/>
  <c r="K332" i="13"/>
  <c r="K378" i="13"/>
  <c r="J43" i="17"/>
  <c r="AL121" i="13"/>
  <c r="AL223" i="13"/>
  <c r="AL31" i="13"/>
  <c r="AL13" i="13"/>
  <c r="AL26" i="13"/>
  <c r="AL346" i="13"/>
  <c r="AL62" i="1"/>
  <c r="J23" i="17" s="1"/>
  <c r="AL348" i="1"/>
  <c r="AL349" i="1" s="1"/>
  <c r="K274" i="13"/>
  <c r="J14" i="60"/>
  <c r="K160" i="13"/>
  <c r="J157" i="13"/>
  <c r="K27" i="3"/>
  <c r="G205" i="9"/>
  <c r="J306" i="13"/>
  <c r="K360" i="13"/>
  <c r="J231" i="13"/>
  <c r="G84" i="9" s="1"/>
  <c r="C444" i="28"/>
  <c r="D44" i="60"/>
  <c r="F4" i="60"/>
  <c r="F52" i="60"/>
  <c r="F94" i="3"/>
  <c r="F97" i="3" s="1"/>
  <c r="L145" i="3"/>
  <c r="K84" i="3"/>
  <c r="H234" i="9" s="1"/>
  <c r="E53" i="9"/>
  <c r="E148" i="9"/>
  <c r="AL74" i="1"/>
  <c r="AL338" i="1"/>
  <c r="L6" i="3"/>
  <c r="F565" i="28"/>
  <c r="J119" i="3"/>
  <c r="K35" i="3"/>
  <c r="J332" i="13"/>
  <c r="J238" i="13"/>
  <c r="E40" i="60"/>
  <c r="C109" i="9"/>
  <c r="F96" i="3"/>
  <c r="AE40" i="13"/>
  <c r="F150" i="9"/>
  <c r="K565" i="28"/>
  <c r="O17" i="9"/>
  <c r="J26" i="17"/>
  <c r="E189" i="28"/>
  <c r="K93" i="13"/>
  <c r="J299" i="13"/>
  <c r="G104" i="9" s="1"/>
  <c r="J359" i="13"/>
  <c r="AG329" i="1"/>
  <c r="C106" i="9"/>
  <c r="AJ325" i="13"/>
  <c r="H5" i="17"/>
  <c r="Q7" i="26"/>
  <c r="S7" i="26"/>
  <c r="V7" i="26" s="1"/>
  <c r="W7" i="26" s="1"/>
  <c r="C51" i="9"/>
  <c r="D206" i="9"/>
  <c r="E103" i="3"/>
  <c r="H147" i="3"/>
  <c r="AC55" i="13"/>
  <c r="G26" i="13"/>
  <c r="D148" i="9" s="1"/>
  <c r="G97" i="13"/>
  <c r="G104" i="13" s="1"/>
  <c r="AA169" i="13"/>
  <c r="AL201" i="13"/>
  <c r="AL202" i="13" s="1"/>
  <c r="AL57" i="13" s="1"/>
  <c r="AH387" i="13"/>
  <c r="AH390" i="13" s="1"/>
  <c r="AH398" i="13" s="1"/>
  <c r="AB78" i="13"/>
  <c r="AB80" i="13" s="1"/>
  <c r="AE45" i="13"/>
  <c r="AG78" i="13"/>
  <c r="AG80" i="13" s="1"/>
  <c r="AH31" i="13"/>
  <c r="AH35" i="13" s="1"/>
  <c r="AE435" i="13"/>
  <c r="AE437" i="13" s="1"/>
  <c r="E55" i="1"/>
  <c r="AE55" i="1"/>
  <c r="AH62" i="1"/>
  <c r="F23" i="17" s="1"/>
  <c r="E258" i="1"/>
  <c r="AG258" i="1"/>
  <c r="AD257" i="1"/>
  <c r="AD258" i="1" s="1"/>
  <c r="AH305" i="1"/>
  <c r="AE329" i="1"/>
  <c r="AD332" i="1"/>
  <c r="U151" i="28"/>
  <c r="U106" i="28"/>
  <c r="U211" i="28"/>
  <c r="C550" i="28"/>
  <c r="G30" i="3"/>
  <c r="D202" i="9" s="1"/>
  <c r="G124" i="3"/>
  <c r="G122" i="3" s="1"/>
  <c r="C133" i="3"/>
  <c r="C142" i="3" s="1"/>
  <c r="C146" i="3" s="1"/>
  <c r="G55" i="13"/>
  <c r="AC31" i="13"/>
  <c r="AG33" i="13" s="1"/>
  <c r="AH219" i="13"/>
  <c r="AH220" i="13" s="1"/>
  <c r="AD232" i="13"/>
  <c r="AD44" i="13" s="1"/>
  <c r="AH228" i="13"/>
  <c r="G163" i="13"/>
  <c r="G165" i="13" s="1"/>
  <c r="AH274" i="13"/>
  <c r="AH275" i="13" s="1"/>
  <c r="AL274" i="13"/>
  <c r="AL275" i="13" s="1"/>
  <c r="AH287" i="13"/>
  <c r="AH288" i="13" s="1"/>
  <c r="AD287" i="13"/>
  <c r="AD288" i="13" s="1"/>
  <c r="AH297" i="13"/>
  <c r="AH298" i="13" s="1"/>
  <c r="AI41" i="13"/>
  <c r="AI43" i="13" s="1"/>
  <c r="AL303" i="13"/>
  <c r="AL306" i="13" s="1"/>
  <c r="AJ302" i="13"/>
  <c r="AD357" i="13"/>
  <c r="AD358" i="13" s="1"/>
  <c r="AF424" i="1"/>
  <c r="AF267" i="13" s="1"/>
  <c r="AE523" i="1"/>
  <c r="U91" i="28"/>
  <c r="U76" i="28"/>
  <c r="U286" i="28"/>
  <c r="U421" i="28"/>
  <c r="C489" i="28"/>
  <c r="AH420" i="13"/>
  <c r="C79" i="9"/>
  <c r="C99" i="9"/>
  <c r="D195" i="9"/>
  <c r="G19" i="3"/>
  <c r="D192" i="9" s="1"/>
  <c r="C111" i="3"/>
  <c r="G111" i="3"/>
  <c r="G118" i="3" s="1"/>
  <c r="G44" i="13"/>
  <c r="L446" i="13"/>
  <c r="P446" i="13"/>
  <c r="AH224" i="13"/>
  <c r="AH225" i="13" s="1"/>
  <c r="AL224" i="13"/>
  <c r="AL225" i="13" s="1"/>
  <c r="AH231" i="13"/>
  <c r="AH292" i="13"/>
  <c r="AH293" i="13" s="1"/>
  <c r="AL292" i="13"/>
  <c r="AL293" i="13" s="1"/>
  <c r="AH338" i="1"/>
  <c r="E424" i="1"/>
  <c r="AH508" i="1"/>
  <c r="AH513" i="1"/>
  <c r="U226" i="28"/>
  <c r="U166" i="28"/>
  <c r="U241" i="28"/>
  <c r="U496" i="28"/>
  <c r="AO367" i="13"/>
  <c r="AO365" i="13" s="1"/>
  <c r="AM332" i="13"/>
  <c r="AM378" i="13"/>
  <c r="AO239" i="13"/>
  <c r="AN299" i="13"/>
  <c r="AN306" i="13"/>
  <c r="AN305" i="13" s="1"/>
  <c r="AN320" i="1"/>
  <c r="AP113" i="13"/>
  <c r="E114" i="28"/>
  <c r="D114" i="28"/>
  <c r="AO107" i="13"/>
  <c r="AO114" i="13" s="1"/>
  <c r="AN147" i="1"/>
  <c r="AP234" i="13"/>
  <c r="AO299" i="13"/>
  <c r="I302" i="13"/>
  <c r="I249" i="1"/>
  <c r="L92" i="3"/>
  <c r="M92" i="3" s="1"/>
  <c r="N92" i="3" s="1"/>
  <c r="O92" i="3" s="1"/>
  <c r="P92" i="3" s="1"/>
  <c r="Q92" i="3" s="1"/>
  <c r="K91" i="3"/>
  <c r="O147" i="3"/>
  <c r="C167" i="3"/>
  <c r="C93" i="3"/>
  <c r="J56" i="3"/>
  <c r="J58" i="3" s="1"/>
  <c r="J5" i="3" s="1"/>
  <c r="D254" i="1"/>
  <c r="AL122" i="13"/>
  <c r="K22" i="3"/>
  <c r="L22" i="3" s="1"/>
  <c r="G194" i="9"/>
  <c r="F60" i="3"/>
  <c r="C219" i="9" s="1"/>
  <c r="C216" i="9"/>
  <c r="C239" i="9"/>
  <c r="L189" i="28"/>
  <c r="I28" i="13"/>
  <c r="I33" i="13"/>
  <c r="M17" i="9"/>
  <c r="P389" i="1"/>
  <c r="C117" i="9"/>
  <c r="C160" i="3"/>
  <c r="D151" i="3"/>
  <c r="D156" i="3" s="1"/>
  <c r="AD79" i="13"/>
  <c r="AE97" i="13"/>
  <c r="AE104" i="13" s="1"/>
  <c r="AE105" i="13" s="1"/>
  <c r="AJ97" i="13"/>
  <c r="D75" i="9"/>
  <c r="D217" i="9"/>
  <c r="D136" i="3"/>
  <c r="G147" i="3"/>
  <c r="G13" i="13"/>
  <c r="G15" i="13" s="1"/>
  <c r="AH93" i="13"/>
  <c r="Z93" i="13"/>
  <c r="Z97" i="13" s="1"/>
  <c r="Z99" i="13" s="1"/>
  <c r="Z104" i="13" s="1"/>
  <c r="AF97" i="13"/>
  <c r="AL94" i="13"/>
  <c r="AD122" i="13"/>
  <c r="AL219" i="13"/>
  <c r="H223" i="13"/>
  <c r="AA78" i="13"/>
  <c r="AA80" i="13" s="1"/>
  <c r="AH304" i="13"/>
  <c r="AH307" i="13" s="1"/>
  <c r="AK78" i="13"/>
  <c r="AK80" i="13" s="1"/>
  <c r="H78" i="13"/>
  <c r="H80" i="13" s="1"/>
  <c r="AH10" i="13"/>
  <c r="AB163" i="13"/>
  <c r="AB165" i="13" s="1"/>
  <c r="AK167" i="13"/>
  <c r="AH332" i="13"/>
  <c r="AH333" i="13" s="1"/>
  <c r="AH352" i="13"/>
  <c r="AH353" i="13" s="1"/>
  <c r="I93" i="3"/>
  <c r="I95" i="3" s="1"/>
  <c r="AH40" i="1"/>
  <c r="AE75" i="1"/>
  <c r="AI75" i="1"/>
  <c r="AH82" i="1"/>
  <c r="AC91" i="1"/>
  <c r="AH98" i="1"/>
  <c r="AI107" i="1"/>
  <c r="AC147" i="1"/>
  <c r="AI206" i="1"/>
  <c r="AI305" i="1"/>
  <c r="AE349" i="1"/>
  <c r="AF394" i="1"/>
  <c r="Z193" i="1"/>
  <c r="AG365" i="1"/>
  <c r="AH430" i="1"/>
  <c r="AK466" i="1"/>
  <c r="AD484" i="1"/>
  <c r="AD485" i="1" s="1"/>
  <c r="AD246" i="1" s="1"/>
  <c r="AA485" i="1"/>
  <c r="AA246" i="1" s="1"/>
  <c r="AB502" i="1"/>
  <c r="AC523" i="1"/>
  <c r="U5" i="28"/>
  <c r="T117" i="28"/>
  <c r="T431" i="28"/>
  <c r="T86" i="28"/>
  <c r="U346" i="28"/>
  <c r="U301" i="28"/>
  <c r="U722" i="28"/>
  <c r="V632" i="28"/>
  <c r="U647" i="28"/>
  <c r="V572" i="28"/>
  <c r="U527" i="28"/>
  <c r="U557" i="28"/>
  <c r="T436" i="28"/>
  <c r="U481" i="28"/>
  <c r="U331" i="28"/>
  <c r="V226" i="28"/>
  <c r="V256" i="28"/>
  <c r="V406" i="28"/>
  <c r="U136" i="28"/>
  <c r="U121" i="28"/>
  <c r="T722" i="28"/>
  <c r="U692" i="28"/>
  <c r="U662" i="28"/>
  <c r="U617" i="28"/>
  <c r="V647" i="28"/>
  <c r="V527" i="28"/>
  <c r="V466" i="28"/>
  <c r="V391" i="28"/>
  <c r="U436" i="28"/>
  <c r="U256" i="28"/>
  <c r="V451" i="28"/>
  <c r="T226" i="28"/>
  <c r="V346" i="28"/>
  <c r="U406" i="28"/>
  <c r="T121" i="28"/>
  <c r="U737" i="28"/>
  <c r="U677" i="28"/>
  <c r="V617" i="28"/>
  <c r="T587" i="28"/>
  <c r="U587" i="28"/>
  <c r="U542" i="28"/>
  <c r="U451" i="28"/>
  <c r="V496" i="28"/>
  <c r="U361" i="28"/>
  <c r="U391" i="28"/>
  <c r="V361" i="28"/>
  <c r="E32" i="38"/>
  <c r="E34" i="38" s="1"/>
  <c r="E36" i="38" s="1"/>
  <c r="E41" i="38" s="1"/>
  <c r="AN415" i="13"/>
  <c r="D30" i="3"/>
  <c r="D36" i="3" s="1"/>
  <c r="B111" i="3"/>
  <c r="B114" i="3" s="1"/>
  <c r="F111" i="3"/>
  <c r="F114" i="3" s="1"/>
  <c r="B133" i="3"/>
  <c r="B142" i="3" s="1"/>
  <c r="B146" i="3" s="1"/>
  <c r="F133" i="3"/>
  <c r="AA44" i="13"/>
  <c r="AH100" i="13"/>
  <c r="AH101" i="13" s="1"/>
  <c r="AG113" i="13"/>
  <c r="AD121" i="13"/>
  <c r="AD107" i="13"/>
  <c r="AD168" i="13"/>
  <c r="AG41" i="13"/>
  <c r="AG43" i="13" s="1"/>
  <c r="AB291" i="13"/>
  <c r="AB296" i="13"/>
  <c r="AJ41" i="13"/>
  <c r="AJ43" i="13" s="1"/>
  <c r="AD365" i="13"/>
  <c r="AF163" i="13"/>
  <c r="AA435" i="13"/>
  <c r="AA437" i="13" s="1"/>
  <c r="AL421" i="13"/>
  <c r="I88" i="13"/>
  <c r="I90" i="13" s="1"/>
  <c r="N124" i="3"/>
  <c r="N122" i="3" s="1"/>
  <c r="AH54" i="1"/>
  <c r="F21" i="17" s="1"/>
  <c r="AB70" i="1"/>
  <c r="AB150" i="1" s="1"/>
  <c r="AH78" i="1"/>
  <c r="AD245" i="1"/>
  <c r="AH266" i="1"/>
  <c r="AI299" i="1"/>
  <c r="D305" i="1"/>
  <c r="W394" i="1"/>
  <c r="AA357" i="1"/>
  <c r="AB466" i="1"/>
  <c r="C11" i="9"/>
  <c r="E138" i="9"/>
  <c r="C163" i="9"/>
  <c r="E206" i="9"/>
  <c r="AB36" i="13"/>
  <c r="AF38" i="13" s="1"/>
  <c r="AD42" i="13"/>
  <c r="AC44" i="13"/>
  <c r="AA47" i="13"/>
  <c r="AA62" i="13"/>
  <c r="AL107" i="13"/>
  <c r="G224" i="13"/>
  <c r="AD229" i="13"/>
  <c r="AD230" i="13" s="1"/>
  <c r="AL229" i="13"/>
  <c r="AL230" i="13" s="1"/>
  <c r="AC292" i="13"/>
  <c r="AC297" i="13"/>
  <c r="AL332" i="13"/>
  <c r="AL333" i="13" s="1"/>
  <c r="AH347" i="13"/>
  <c r="AH348" i="13" s="1"/>
  <c r="AL347" i="13"/>
  <c r="AD421" i="13"/>
  <c r="AH58" i="1"/>
  <c r="AA147" i="1"/>
  <c r="AC249" i="1"/>
  <c r="AG198" i="1"/>
  <c r="AA199" i="1"/>
  <c r="AG249" i="1"/>
  <c r="D381" i="1"/>
  <c r="E299" i="1"/>
  <c r="AE299" i="1"/>
  <c r="AB305" i="1"/>
  <c r="Y315" i="1"/>
  <c r="AC316" i="1" s="1"/>
  <c r="AH313" i="1"/>
  <c r="AK329" i="1"/>
  <c r="Z394" i="1"/>
  <c r="AE333" i="1"/>
  <c r="AJ333" i="1"/>
  <c r="Y394" i="1"/>
  <c r="AC341" i="1"/>
  <c r="AI341" i="1"/>
  <c r="AH340" i="1"/>
  <c r="AC349" i="1"/>
  <c r="AA424" i="1"/>
  <c r="AA267" i="13" s="1"/>
  <c r="AJ498" i="1"/>
  <c r="AG163" i="13"/>
  <c r="AH44" i="1"/>
  <c r="AD349" i="1"/>
  <c r="AB329" i="1"/>
  <c r="C594" i="28"/>
  <c r="V421" i="28"/>
  <c r="E18" i="38"/>
  <c r="E21" i="38" s="1"/>
  <c r="E23" i="38" s="1"/>
  <c r="E25" i="38" s="1"/>
  <c r="E30" i="38" s="1"/>
  <c r="T346" i="28"/>
  <c r="C37" i="28"/>
  <c r="C249" i="28"/>
  <c r="C474" i="28"/>
  <c r="D41" i="38"/>
  <c r="D43" i="38" s="1"/>
  <c r="D46" i="38" s="1"/>
  <c r="AP302" i="13"/>
  <c r="AM359" i="13"/>
  <c r="AM167" i="13"/>
  <c r="G424" i="1"/>
  <c r="H249" i="1"/>
  <c r="AP45" i="13"/>
  <c r="G285" i="1"/>
  <c r="D42" i="9" s="1"/>
  <c r="I70" i="1"/>
  <c r="I150" i="1" s="1"/>
  <c r="AM298" i="1"/>
  <c r="AM299" i="1" s="1"/>
  <c r="AM328" i="1"/>
  <c r="AM329" i="1" s="1"/>
  <c r="AN298" i="1"/>
  <c r="AN299" i="1" s="1"/>
  <c r="AP255" i="13"/>
  <c r="AO305" i="13"/>
  <c r="AM365" i="13"/>
  <c r="I362" i="13"/>
  <c r="G70" i="1"/>
  <c r="H424" i="1"/>
  <c r="H70" i="1"/>
  <c r="H150" i="1" s="1"/>
  <c r="I30" i="3"/>
  <c r="O188" i="28"/>
  <c r="F132" i="9"/>
  <c r="I401" i="13"/>
  <c r="I423" i="13" s="1"/>
  <c r="F141" i="9"/>
  <c r="E14" i="26"/>
  <c r="AL387" i="13"/>
  <c r="AL390" i="13" s="1"/>
  <c r="I30" i="13"/>
  <c r="I458" i="13"/>
  <c r="I457" i="13"/>
  <c r="C30" i="26"/>
  <c r="AL198" i="1"/>
  <c r="N317" i="13"/>
  <c r="N318" i="13" s="1"/>
  <c r="D444" i="28"/>
  <c r="O126" i="3"/>
  <c r="P126" i="3" s="1"/>
  <c r="Q126" i="3" s="1"/>
  <c r="W105" i="13"/>
  <c r="J565" i="28"/>
  <c r="I565" i="28"/>
  <c r="F148" i="9"/>
  <c r="P429" i="13"/>
  <c r="AL489" i="1"/>
  <c r="N428" i="13"/>
  <c r="K157" i="13"/>
  <c r="D368" i="28"/>
  <c r="I137" i="9"/>
  <c r="L376" i="13"/>
  <c r="Q376" i="13" s="1"/>
  <c r="L318" i="13"/>
  <c r="AH157" i="13"/>
  <c r="E202" i="9"/>
  <c r="X104" i="13"/>
  <c r="X105" i="13" s="1"/>
  <c r="AI5" i="1"/>
  <c r="AI6" i="13" s="1"/>
  <c r="D550" i="28"/>
  <c r="AJ35" i="13"/>
  <c r="AH430" i="13"/>
  <c r="AI302" i="13"/>
  <c r="C127" i="9"/>
  <c r="C129" i="9"/>
  <c r="F30" i="3"/>
  <c r="C196" i="9"/>
  <c r="E111" i="3"/>
  <c r="C27" i="26"/>
  <c r="J121" i="3"/>
  <c r="AD14" i="13"/>
  <c r="AD19" i="13" s="1"/>
  <c r="AA19" i="13"/>
  <c r="AA55" i="13" s="1"/>
  <c r="AJ38" i="13"/>
  <c r="AC104" i="13"/>
  <c r="AC105" i="13" s="1"/>
  <c r="AC99" i="13"/>
  <c r="F160" i="9"/>
  <c r="I113" i="13"/>
  <c r="AD114" i="13"/>
  <c r="AB113" i="13"/>
  <c r="AB31" i="13"/>
  <c r="AF33" i="13" s="1"/>
  <c r="AD221" i="13"/>
  <c r="AB223" i="13"/>
  <c r="AF223" i="13"/>
  <c r="AK157" i="13"/>
  <c r="AO252" i="13"/>
  <c r="AL252" i="13"/>
  <c r="AI163" i="13"/>
  <c r="AE167" i="13"/>
  <c r="AH255" i="13"/>
  <c r="AH167" i="13" s="1"/>
  <c r="AJ167" i="13"/>
  <c r="AB303" i="13"/>
  <c r="AB302" i="13" s="1"/>
  <c r="AB299" i="13"/>
  <c r="AB41" i="13" s="1"/>
  <c r="AB44" i="13"/>
  <c r="K361" i="13"/>
  <c r="AP361" i="13"/>
  <c r="J47" i="13"/>
  <c r="AN380" i="13"/>
  <c r="AL380" i="13"/>
  <c r="AJ398" i="13"/>
  <c r="AJ391" i="13"/>
  <c r="AJ435" i="13" s="1"/>
  <c r="AB411" i="13"/>
  <c r="AF78" i="13"/>
  <c r="AF80" i="13" s="1"/>
  <c r="AH412" i="13"/>
  <c r="AD416" i="13"/>
  <c r="AD410" i="13"/>
  <c r="AG316" i="1"/>
  <c r="F329" i="1"/>
  <c r="C40" i="9"/>
  <c r="N274" i="13"/>
  <c r="O316" i="13"/>
  <c r="AI325" i="13"/>
  <c r="AI340" i="13" s="1"/>
  <c r="G5" i="17"/>
  <c r="AI503" i="1"/>
  <c r="AI505" i="1" s="1"/>
  <c r="AL313" i="1"/>
  <c r="D30" i="60"/>
  <c r="D28" i="60"/>
  <c r="AJ37" i="1"/>
  <c r="C89" i="9"/>
  <c r="C87" i="9"/>
  <c r="C123" i="9"/>
  <c r="C126" i="9"/>
  <c r="C119" i="9"/>
  <c r="C121" i="9"/>
  <c r="G217" i="9"/>
  <c r="K54" i="3"/>
  <c r="K58" i="3"/>
  <c r="H216" i="9" s="1"/>
  <c r="L57" i="3"/>
  <c r="M57" i="3" s="1"/>
  <c r="N57" i="3" s="1"/>
  <c r="C96" i="3"/>
  <c r="B167" i="3"/>
  <c r="E149" i="3"/>
  <c r="Z12" i="13"/>
  <c r="Z20" i="13" s="1"/>
  <c r="Z65" i="13"/>
  <c r="Z86" i="13" s="1"/>
  <c r="Z118" i="13" s="1"/>
  <c r="Z125" i="13" s="1"/>
  <c r="Y15" i="13"/>
  <c r="Y20" i="13" s="1"/>
  <c r="Y56" i="13" s="1"/>
  <c r="Y116" i="13" s="1"/>
  <c r="Y17" i="13"/>
  <c r="AK28" i="13"/>
  <c r="AG30" i="13"/>
  <c r="AE38" i="13"/>
  <c r="AA40" i="13"/>
  <c r="AF40" i="13"/>
  <c r="G85" i="13"/>
  <c r="AD73" i="13"/>
  <c r="G74" i="13"/>
  <c r="D169" i="9"/>
  <c r="AD141" i="13"/>
  <c r="G45" i="13"/>
  <c r="AF302" i="13"/>
  <c r="AH303" i="13"/>
  <c r="AH36" i="13"/>
  <c r="G31" i="13"/>
  <c r="D120" i="9"/>
  <c r="D121" i="9" s="1"/>
  <c r="G352" i="13"/>
  <c r="AD352" i="13" s="1"/>
  <c r="AD349" i="13"/>
  <c r="H351" i="13"/>
  <c r="G351" i="13"/>
  <c r="AF435" i="13"/>
  <c r="AF437" i="13" s="1"/>
  <c r="AF393" i="13"/>
  <c r="AF402" i="13" s="1"/>
  <c r="AF425" i="13" s="1"/>
  <c r="AL214" i="1"/>
  <c r="AL54" i="1"/>
  <c r="AL106" i="1"/>
  <c r="AL37" i="1"/>
  <c r="AP422" i="13"/>
  <c r="L394" i="13"/>
  <c r="AK391" i="13"/>
  <c r="AK435" i="13" s="1"/>
  <c r="AF401" i="13"/>
  <c r="AF423" i="13" s="1"/>
  <c r="Z64" i="13"/>
  <c r="Z85" i="13" s="1"/>
  <c r="F286" i="1"/>
  <c r="AH107" i="1"/>
  <c r="AL102" i="1"/>
  <c r="AL304" i="13"/>
  <c r="AL307" i="13" s="1"/>
  <c r="AC150" i="1"/>
  <c r="AC71" i="1"/>
  <c r="M71" i="9"/>
  <c r="M91" i="9" s="1"/>
  <c r="M111" i="9" s="1"/>
  <c r="M131" i="9" s="1"/>
  <c r="M46" i="9"/>
  <c r="L8" i="3"/>
  <c r="H183" i="9"/>
  <c r="K14" i="3"/>
  <c r="G187" i="9"/>
  <c r="H19" i="3"/>
  <c r="E192" i="9" s="1"/>
  <c r="B103" i="3"/>
  <c r="B105" i="3" s="1"/>
  <c r="C104" i="3" s="1"/>
  <c r="C105" i="3" s="1"/>
  <c r="D104" i="3" s="1"/>
  <c r="E136" i="3"/>
  <c r="AF35" i="13"/>
  <c r="Y80" i="13"/>
  <c r="AA104" i="13"/>
  <c r="AA105" i="13" s="1"/>
  <c r="AA99" i="13"/>
  <c r="H160" i="9"/>
  <c r="K114" i="13"/>
  <c r="K50" i="3" s="1"/>
  <c r="AH122" i="13"/>
  <c r="F43" i="17"/>
  <c r="AH206" i="13"/>
  <c r="AH207" i="13" s="1"/>
  <c r="AL206" i="13"/>
  <c r="AL207" i="13" s="1"/>
  <c r="AC219" i="13"/>
  <c r="AC26" i="13"/>
  <c r="AG218" i="13"/>
  <c r="AC218" i="13"/>
  <c r="AH26" i="13"/>
  <c r="G169" i="13"/>
  <c r="K301" i="13"/>
  <c r="AP301" i="13"/>
  <c r="AP307" i="13" s="1"/>
  <c r="J307" i="13"/>
  <c r="E124" i="9"/>
  <c r="H41" i="13"/>
  <c r="AD363" i="13"/>
  <c r="AC362" i="13"/>
  <c r="AF362" i="13"/>
  <c r="AF45" i="13"/>
  <c r="AI362" i="13"/>
  <c r="AL363" i="13"/>
  <c r="AH364" i="13"/>
  <c r="H362" i="13"/>
  <c r="AH359" i="13"/>
  <c r="AA163" i="13"/>
  <c r="AG435" i="13"/>
  <c r="AG437" i="13" s="1"/>
  <c r="AG393" i="13"/>
  <c r="AG402" i="13" s="1"/>
  <c r="AG425" i="13" s="1"/>
  <c r="AG401" i="13"/>
  <c r="AG423" i="13" s="1"/>
  <c r="H88" i="13"/>
  <c r="H90" i="13" s="1"/>
  <c r="G93" i="3"/>
  <c r="G95" i="3" s="1"/>
  <c r="D5" i="17"/>
  <c r="AF325" i="13"/>
  <c r="H23" i="28"/>
  <c r="T733" i="28" s="1"/>
  <c r="T732" i="28"/>
  <c r="AP316" i="13"/>
  <c r="AD235" i="13"/>
  <c r="D520" i="28"/>
  <c r="AL320" i="13"/>
  <c r="AO378" i="13"/>
  <c r="AO332" i="13"/>
  <c r="AN378" i="13"/>
  <c r="AP377" i="13"/>
  <c r="AG302" i="13"/>
  <c r="AF113" i="13"/>
  <c r="AJ48" i="13"/>
  <c r="AG48" i="13"/>
  <c r="C184" i="9"/>
  <c r="F19" i="3"/>
  <c r="C192" i="9" s="1"/>
  <c r="B93" i="3"/>
  <c r="D93" i="3"/>
  <c r="E96" i="3"/>
  <c r="D167" i="3"/>
  <c r="D112" i="3"/>
  <c r="D114" i="3"/>
  <c r="H118" i="3"/>
  <c r="G136" i="3"/>
  <c r="F136" i="3"/>
  <c r="C151" i="3"/>
  <c r="C156" i="3" s="1"/>
  <c r="B156" i="3"/>
  <c r="B160" i="3"/>
  <c r="AE28" i="13"/>
  <c r="AE30" i="13"/>
  <c r="AA33" i="13"/>
  <c r="AE33" i="13"/>
  <c r="AA35" i="13"/>
  <c r="X50" i="13"/>
  <c r="X43" i="13"/>
  <c r="AI113" i="13"/>
  <c r="G42" i="17"/>
  <c r="G185" i="13"/>
  <c r="H181" i="13"/>
  <c r="AA201" i="13"/>
  <c r="AD201" i="13" s="1"/>
  <c r="AD200" i="13"/>
  <c r="AA10" i="13"/>
  <c r="AA234" i="13"/>
  <c r="AA48" i="13"/>
  <c r="G47" i="13"/>
  <c r="G231" i="13"/>
  <c r="AD233" i="13"/>
  <c r="AG234" i="13"/>
  <c r="AH236" i="13"/>
  <c r="AI45" i="13"/>
  <c r="AL235" i="13"/>
  <c r="AI234" i="13"/>
  <c r="G236" i="13"/>
  <c r="AD60" i="13"/>
  <c r="AD62" i="13" s="1"/>
  <c r="AN254" i="13"/>
  <c r="AN206" i="13"/>
  <c r="AA292" i="13"/>
  <c r="AE291" i="13"/>
  <c r="AA291" i="13"/>
  <c r="AA296" i="13"/>
  <c r="AE296" i="13"/>
  <c r="AD294" i="13"/>
  <c r="AC47" i="13"/>
  <c r="AC304" i="13"/>
  <c r="AC48" i="13" s="1"/>
  <c r="AD301" i="13"/>
  <c r="H401" i="13"/>
  <c r="H423" i="13" s="1"/>
  <c r="E132" i="9"/>
  <c r="AI391" i="13"/>
  <c r="AI435" i="13" s="1"/>
  <c r="AI398" i="13"/>
  <c r="AF254" i="1"/>
  <c r="AB254" i="1"/>
  <c r="AK316" i="1"/>
  <c r="AG325" i="13"/>
  <c r="E5" i="17"/>
  <c r="AK205" i="1"/>
  <c r="D485" i="1"/>
  <c r="E498" i="1"/>
  <c r="AH489" i="1"/>
  <c r="E333" i="1"/>
  <c r="AK365" i="1"/>
  <c r="AG305" i="1"/>
  <c r="AD298" i="1"/>
  <c r="AG285" i="1"/>
  <c r="C285" i="1"/>
  <c r="AH205" i="1"/>
  <c r="AH249" i="1" s="1"/>
  <c r="AB285" i="1"/>
  <c r="AA381" i="1"/>
  <c r="D258" i="1"/>
  <c r="AG147" i="1"/>
  <c r="D155" i="1"/>
  <c r="AL126" i="1"/>
  <c r="AF63" i="1"/>
  <c r="D55" i="1"/>
  <c r="E4" i="60"/>
  <c r="AH60" i="1"/>
  <c r="AH516" i="1"/>
  <c r="AI466" i="1"/>
  <c r="AJ523" i="1"/>
  <c r="AE498" i="1"/>
  <c r="D341" i="1"/>
  <c r="AH315" i="1"/>
  <c r="AH160" i="1"/>
  <c r="AE107" i="1"/>
  <c r="X394" i="1"/>
  <c r="D299" i="1"/>
  <c r="AG279" i="1"/>
  <c r="AA285" i="1"/>
  <c r="AJ99" i="1"/>
  <c r="AD54" i="1"/>
  <c r="AE357" i="1"/>
  <c r="AF193" i="1"/>
  <c r="X279" i="1"/>
  <c r="AK107" i="1"/>
  <c r="E394" i="1"/>
  <c r="F305" i="1"/>
  <c r="D279" i="1"/>
  <c r="E155" i="1"/>
  <c r="AI83" i="1"/>
  <c r="AF123" i="1"/>
  <c r="AF523" i="1"/>
  <c r="G14" i="60"/>
  <c r="AG394" i="1"/>
  <c r="AE70" i="1"/>
  <c r="D70" i="1"/>
  <c r="Y193" i="1"/>
  <c r="L124" i="3"/>
  <c r="L122" i="3" s="1"/>
  <c r="AL103" i="13"/>
  <c r="AC223" i="13"/>
  <c r="AG291" i="13"/>
  <c r="AG296" i="13"/>
  <c r="K93" i="3"/>
  <c r="M93" i="3"/>
  <c r="P125" i="3"/>
  <c r="P124" i="3" s="1"/>
  <c r="AL40" i="1"/>
  <c r="AL44" i="1"/>
  <c r="AD58" i="1"/>
  <c r="D75" i="1"/>
  <c r="E28" i="17"/>
  <c r="AC253" i="1"/>
  <c r="AE206" i="1"/>
  <c r="AG206" i="1"/>
  <c r="D285" i="1"/>
  <c r="E286" i="1" s="1"/>
  <c r="C381" i="1"/>
  <c r="AD290" i="1"/>
  <c r="D315" i="1"/>
  <c r="E316" i="1" s="1"/>
  <c r="C16" i="9"/>
  <c r="AE315" i="1"/>
  <c r="AC313" i="1"/>
  <c r="AD336" i="1"/>
  <c r="AD360" i="1"/>
  <c r="AD430" i="1"/>
  <c r="AL433" i="1"/>
  <c r="AK424" i="1"/>
  <c r="AD473" i="1"/>
  <c r="AD234" i="1" s="1"/>
  <c r="AD489" i="1"/>
  <c r="AK325" i="13"/>
  <c r="AK340" i="13" s="1"/>
  <c r="AL508" i="1"/>
  <c r="AL513" i="1"/>
  <c r="D10" i="60"/>
  <c r="T166" i="28"/>
  <c r="V181" i="28"/>
  <c r="T181" i="28"/>
  <c r="V241" i="28"/>
  <c r="T151" i="28"/>
  <c r="V196" i="28"/>
  <c r="V331" i="28"/>
  <c r="T331" i="28"/>
  <c r="V286" i="28"/>
  <c r="T451" i="28"/>
  <c r="V481" i="28"/>
  <c r="T496" i="28"/>
  <c r="T527" i="28"/>
  <c r="V587" i="28"/>
  <c r="V557" i="28"/>
  <c r="V677" i="28"/>
  <c r="T662" i="28"/>
  <c r="V737" i="28"/>
  <c r="T102" i="28"/>
  <c r="T386" i="28"/>
  <c r="T718" i="28"/>
  <c r="T76" i="28"/>
  <c r="G16" i="38"/>
  <c r="T116" i="28"/>
  <c r="T301" i="28"/>
  <c r="T421" i="28"/>
  <c r="F19" i="38"/>
  <c r="G19" i="38" s="1"/>
  <c r="H19" i="38" s="1"/>
  <c r="I19" i="38" s="1"/>
  <c r="J19" i="38" s="1"/>
  <c r="K19" i="38" s="1"/>
  <c r="L19" i="38" s="1"/>
  <c r="M19" i="38" s="1"/>
  <c r="N19" i="38" s="1"/>
  <c r="O19" i="38" s="1"/>
  <c r="P19" i="38" s="1"/>
  <c r="Q19" i="38" s="1"/>
  <c r="R19" i="38" s="1"/>
  <c r="S19" i="38" s="1"/>
  <c r="T19" i="38" s="1"/>
  <c r="AH522" i="1"/>
  <c r="AI373" i="1"/>
  <c r="AH364" i="1"/>
  <c r="E349" i="1"/>
  <c r="AG341" i="1"/>
  <c r="F365" i="1"/>
  <c r="AF349" i="1"/>
  <c r="AE394" i="1"/>
  <c r="AD315" i="1"/>
  <c r="AE305" i="1"/>
  <c r="I299" i="1"/>
  <c r="AB315" i="1"/>
  <c r="AJ155" i="1"/>
  <c r="AD146" i="1"/>
  <c r="AD147" i="1" s="1"/>
  <c r="AL261" i="1"/>
  <c r="AI70" i="1"/>
  <c r="T613" i="28"/>
  <c r="AK198" i="1"/>
  <c r="AH66" i="1"/>
  <c r="AK503" i="1"/>
  <c r="AK505" i="1" s="1"/>
  <c r="AG107" i="1"/>
  <c r="AK99" i="1"/>
  <c r="AF115" i="1"/>
  <c r="G24" i="17"/>
  <c r="AH336" i="1"/>
  <c r="AH344" i="1"/>
  <c r="AA349" i="1"/>
  <c r="F198" i="1"/>
  <c r="L88" i="13"/>
  <c r="L89" i="13" s="1"/>
  <c r="AB424" i="1"/>
  <c r="F100" i="3"/>
  <c r="H136" i="3"/>
  <c r="D11" i="26" s="1"/>
  <c r="AF218" i="13"/>
  <c r="G219" i="13"/>
  <c r="G214" i="13" s="1"/>
  <c r="G218" i="13"/>
  <c r="AD216" i="13"/>
  <c r="V91" i="28"/>
  <c r="T196" i="28"/>
  <c r="V436" i="28"/>
  <c r="T256" i="28"/>
  <c r="V211" i="28"/>
  <c r="T391" i="28"/>
  <c r="T466" i="28"/>
  <c r="T542" i="28"/>
  <c r="V542" i="28"/>
  <c r="T557" i="28"/>
  <c r="T617" i="28"/>
  <c r="T647" i="28"/>
  <c r="V662" i="28"/>
  <c r="T692" i="28"/>
  <c r="T737" i="28"/>
  <c r="T87" i="28"/>
  <c r="T387" i="28"/>
  <c r="T717" i="28"/>
  <c r="V76" i="28"/>
  <c r="T132" i="28"/>
  <c r="V301" i="28"/>
  <c r="T401" i="28"/>
  <c r="AA394" i="1"/>
  <c r="F315" i="1"/>
  <c r="E253" i="1"/>
  <c r="C254" i="1"/>
  <c r="AJ63" i="1"/>
  <c r="AA498" i="1"/>
  <c r="AE249" i="1"/>
  <c r="J93" i="3"/>
  <c r="J95" i="3" s="1"/>
  <c r="K125" i="3"/>
  <c r="K124" i="3" s="1"/>
  <c r="K122" i="3" s="1"/>
  <c r="T286" i="28"/>
  <c r="T241" i="28"/>
  <c r="T361" i="28"/>
  <c r="T481" i="28"/>
  <c r="T572" i="28"/>
  <c r="T632" i="28"/>
  <c r="T677" i="28"/>
  <c r="T101" i="28"/>
  <c r="T432" i="28"/>
  <c r="T91" i="28"/>
  <c r="T136" i="28"/>
  <c r="T131" i="28"/>
  <c r="T406" i="28"/>
  <c r="T402" i="28"/>
  <c r="AO326" i="1"/>
  <c r="AO328" i="1"/>
  <c r="AP112" i="13"/>
  <c r="AN107" i="13"/>
  <c r="AN114" i="13" s="1"/>
  <c r="AN367" i="13"/>
  <c r="AN365" i="13" s="1"/>
  <c r="AN359" i="13"/>
  <c r="AM48" i="13"/>
  <c r="AM411" i="13"/>
  <c r="AM305" i="13"/>
  <c r="AO296" i="1"/>
  <c r="AO298" i="1"/>
  <c r="AO299" i="1" s="1"/>
  <c r="AM231" i="13"/>
  <c r="AN239" i="13"/>
  <c r="AN237" i="13" s="1"/>
  <c r="AM157" i="13"/>
  <c r="AM254" i="13"/>
  <c r="AM318" i="13"/>
  <c r="AM160" i="13"/>
  <c r="AN418" i="13"/>
  <c r="AP421" i="13"/>
  <c r="H394" i="1"/>
  <c r="G394" i="1"/>
  <c r="H285" i="1"/>
  <c r="N295" i="1"/>
  <c r="N227" i="1"/>
  <c r="AP5" i="1"/>
  <c r="AP6" i="13" s="1"/>
  <c r="AP136" i="13" s="1"/>
  <c r="L343" i="1"/>
  <c r="K319" i="1"/>
  <c r="J328" i="1"/>
  <c r="K157" i="1"/>
  <c r="K93" i="1"/>
  <c r="L109" i="1"/>
  <c r="L65" i="1"/>
  <c r="K260" i="1"/>
  <c r="E550" i="28" l="1"/>
  <c r="I254" i="1"/>
  <c r="AL279" i="1"/>
  <c r="F121" i="9"/>
  <c r="F28" i="60"/>
  <c r="H12" i="60"/>
  <c r="F50" i="60"/>
  <c r="F123" i="9"/>
  <c r="M473" i="28"/>
  <c r="D625" i="28"/>
  <c r="D144" i="28"/>
  <c r="G114" i="28"/>
  <c r="H114" i="28"/>
  <c r="G550" i="28"/>
  <c r="G433" i="13"/>
  <c r="G434" i="13" s="1"/>
  <c r="V12" i="17"/>
  <c r="AP366" i="13"/>
  <c r="AH318" i="13"/>
  <c r="W82" i="13"/>
  <c r="P495" i="1"/>
  <c r="Q494" i="1"/>
  <c r="Q495" i="1" s="1"/>
  <c r="L265" i="1"/>
  <c r="K285" i="1"/>
  <c r="K266" i="1"/>
  <c r="AP266" i="1"/>
  <c r="AL394" i="1"/>
  <c r="J285" i="1"/>
  <c r="AL285" i="1"/>
  <c r="G21" i="13"/>
  <c r="AL21" i="13"/>
  <c r="AL25" i="13" s="1"/>
  <c r="AL283" i="13"/>
  <c r="AL282" i="13"/>
  <c r="AL348" i="13"/>
  <c r="AL343" i="13" s="1"/>
  <c r="AL342" i="13"/>
  <c r="AL220" i="13"/>
  <c r="AL215" i="13" s="1"/>
  <c r="AL214" i="13"/>
  <c r="G124" i="9"/>
  <c r="AL350" i="13"/>
  <c r="AL340" i="13"/>
  <c r="E114" i="9"/>
  <c r="H383" i="13"/>
  <c r="AJ345" i="13"/>
  <c r="AJ340" i="13"/>
  <c r="I336" i="13"/>
  <c r="I383" i="13"/>
  <c r="I384" i="13" s="1"/>
  <c r="AN47" i="13"/>
  <c r="N407" i="13"/>
  <c r="O407" i="13" s="1"/>
  <c r="K97" i="13"/>
  <c r="K104" i="13" s="1"/>
  <c r="H159" i="9" s="1"/>
  <c r="J237" i="13"/>
  <c r="K420" i="13"/>
  <c r="I34" i="1"/>
  <c r="AM44" i="13"/>
  <c r="AO231" i="13"/>
  <c r="AO47" i="13"/>
  <c r="AK104" i="13"/>
  <c r="AK105" i="13" s="1"/>
  <c r="AH291" i="13"/>
  <c r="K417" i="13"/>
  <c r="L409" i="13"/>
  <c r="L408" i="13" s="1"/>
  <c r="J137" i="9"/>
  <c r="AM49" i="13"/>
  <c r="K48" i="13"/>
  <c r="AL317" i="13"/>
  <c r="AL318" i="13" s="1"/>
  <c r="AM46" i="13"/>
  <c r="AH362" i="13"/>
  <c r="AP305" i="13"/>
  <c r="E142" i="3"/>
  <c r="E146" i="3" s="1"/>
  <c r="AO317" i="13"/>
  <c r="AO160" i="13" s="1"/>
  <c r="AK160" i="13"/>
  <c r="AP233" i="13"/>
  <c r="AP239" i="13" s="1"/>
  <c r="AH341" i="1"/>
  <c r="AD249" i="1"/>
  <c r="AL299" i="1"/>
  <c r="F46" i="60"/>
  <c r="D610" i="28"/>
  <c r="C144" i="28"/>
  <c r="E24" i="60"/>
  <c r="E48" i="60"/>
  <c r="Z117" i="13"/>
  <c r="Z142" i="13" s="1"/>
  <c r="Z147" i="13" s="1"/>
  <c r="Z149" i="13" s="1"/>
  <c r="Z82" i="13"/>
  <c r="AN430" i="13"/>
  <c r="AN163" i="13" s="1"/>
  <c r="AD297" i="13"/>
  <c r="AD64" i="13"/>
  <c r="AD85" i="13" s="1"/>
  <c r="AP232" i="13"/>
  <c r="AP238" i="13" s="1"/>
  <c r="AP237" i="13" s="1"/>
  <c r="F36" i="60"/>
  <c r="D26" i="60"/>
  <c r="C610" i="28"/>
  <c r="C69" i="28"/>
  <c r="AM412" i="13"/>
  <c r="AM410" i="13"/>
  <c r="AN417" i="13"/>
  <c r="AN46" i="13" s="1"/>
  <c r="AN410" i="13"/>
  <c r="G437" i="13"/>
  <c r="AH373" i="1"/>
  <c r="C384" i="28"/>
  <c r="AG503" i="1"/>
  <c r="AG505" i="1" s="1"/>
  <c r="AA254" i="1"/>
  <c r="AL498" i="1"/>
  <c r="G280" i="1"/>
  <c r="C234" i="28"/>
  <c r="D69" i="28"/>
  <c r="AB280" i="1"/>
  <c r="AD328" i="1"/>
  <c r="AH329" i="1" s="1"/>
  <c r="D505" i="28"/>
  <c r="G254" i="1"/>
  <c r="J269" i="1"/>
  <c r="AC295" i="13"/>
  <c r="AD424" i="1"/>
  <c r="AD425" i="1" s="1"/>
  <c r="AH466" i="1"/>
  <c r="C99" i="28"/>
  <c r="F16" i="60"/>
  <c r="G16" i="60" s="1"/>
  <c r="H16" i="60" s="1"/>
  <c r="I16" i="60" s="1"/>
  <c r="J16" i="60" s="1"/>
  <c r="R16" i="60" s="1"/>
  <c r="F10" i="60"/>
  <c r="E44" i="60"/>
  <c r="D263" i="28"/>
  <c r="AK194" i="1"/>
  <c r="B699" i="28"/>
  <c r="C700" i="28" s="1"/>
  <c r="B263" i="28"/>
  <c r="R14" i="60"/>
  <c r="D36" i="60"/>
  <c r="K33" i="17"/>
  <c r="I280" i="1"/>
  <c r="D324" i="28"/>
  <c r="C324" i="28"/>
  <c r="AA194" i="1"/>
  <c r="C194" i="1"/>
  <c r="E38" i="60"/>
  <c r="AL99" i="1"/>
  <c r="C174" i="28"/>
  <c r="AH115" i="1"/>
  <c r="H336" i="13"/>
  <c r="D50" i="60"/>
  <c r="AD325" i="13"/>
  <c r="AD355" i="13" s="1"/>
  <c r="Q389" i="1"/>
  <c r="AL333" i="1"/>
  <c r="AL91" i="1"/>
  <c r="T296" i="28"/>
  <c r="D279" i="28"/>
  <c r="G9" i="60"/>
  <c r="E428" i="28"/>
  <c r="E429" i="28" s="1"/>
  <c r="AC37" i="17"/>
  <c r="AJ37" i="17" s="1"/>
  <c r="E32" i="60"/>
  <c r="I194" i="1"/>
  <c r="AC280" i="1"/>
  <c r="Y33" i="17"/>
  <c r="AF33" i="17" s="1"/>
  <c r="G41" i="9"/>
  <c r="C280" i="1"/>
  <c r="AL155" i="1"/>
  <c r="D194" i="1"/>
  <c r="C263" i="28"/>
  <c r="C219" i="28"/>
  <c r="L146" i="1"/>
  <c r="F248" i="28"/>
  <c r="F249" i="28" s="1"/>
  <c r="K147" i="1"/>
  <c r="H33" i="9"/>
  <c r="L391" i="1"/>
  <c r="F685" i="28"/>
  <c r="K392" i="1"/>
  <c r="H21" i="9"/>
  <c r="O125" i="1"/>
  <c r="P125" i="1" s="1"/>
  <c r="Q125" i="1" s="1"/>
  <c r="R125" i="1"/>
  <c r="L312" i="1"/>
  <c r="K313" i="1"/>
  <c r="F579" i="28"/>
  <c r="F580" i="28" s="1"/>
  <c r="H20" i="9"/>
  <c r="AH365" i="1"/>
  <c r="J20" i="17"/>
  <c r="AP328" i="1"/>
  <c r="AP329" i="1" s="1"/>
  <c r="AJ286" i="1"/>
  <c r="D42" i="60"/>
  <c r="L289" i="1"/>
  <c r="H53" i="60"/>
  <c r="K290" i="1"/>
  <c r="H19" i="9"/>
  <c r="Z31" i="17"/>
  <c r="AG31" i="17" s="1"/>
  <c r="F519" i="28"/>
  <c r="F520" i="28" s="1"/>
  <c r="K298" i="1"/>
  <c r="K299" i="1" s="1"/>
  <c r="O224" i="1"/>
  <c r="N225" i="1"/>
  <c r="I398" i="28"/>
  <c r="I399" i="28" s="1"/>
  <c r="M143" i="1"/>
  <c r="G128" i="28"/>
  <c r="G129" i="28" s="1"/>
  <c r="L144" i="1"/>
  <c r="I57" i="60"/>
  <c r="AA35" i="17"/>
  <c r="AH35" i="17" s="1"/>
  <c r="AH297" i="1"/>
  <c r="M564" i="28"/>
  <c r="N564" i="28" s="1"/>
  <c r="AH83" i="1"/>
  <c r="AP298" i="1"/>
  <c r="AP299" i="1" s="1"/>
  <c r="Q293" i="1"/>
  <c r="AH193" i="1"/>
  <c r="AL194" i="1" s="1"/>
  <c r="AK71" i="1"/>
  <c r="AK72" i="1" s="1"/>
  <c r="AH277" i="1"/>
  <c r="G4" i="60"/>
  <c r="E194" i="1"/>
  <c r="K277" i="1"/>
  <c r="G329" i="1"/>
  <c r="D40" i="9"/>
  <c r="AH285" i="1"/>
  <c r="G194" i="1"/>
  <c r="AH498" i="1"/>
  <c r="AH155" i="1"/>
  <c r="AA150" i="1"/>
  <c r="AA151" i="1" s="1"/>
  <c r="AJ267" i="13"/>
  <c r="AJ425" i="1"/>
  <c r="AJ427" i="1" s="1"/>
  <c r="AF280" i="1"/>
  <c r="AD193" i="1"/>
  <c r="AD194" i="1" s="1"/>
  <c r="C595" i="28"/>
  <c r="AH269" i="1"/>
  <c r="AD357" i="1"/>
  <c r="N17" i="9"/>
  <c r="AD394" i="1"/>
  <c r="AD395" i="1" s="1"/>
  <c r="AL269" i="1"/>
  <c r="AC285" i="13"/>
  <c r="AC425" i="1"/>
  <c r="D32" i="60"/>
  <c r="AE115" i="1"/>
  <c r="D6" i="17"/>
  <c r="C498" i="1"/>
  <c r="C424" i="1"/>
  <c r="D425" i="1" s="1"/>
  <c r="F194" i="1"/>
  <c r="H384" i="13"/>
  <c r="E16" i="60"/>
  <c r="D114" i="9"/>
  <c r="G336" i="13"/>
  <c r="AC268" i="13"/>
  <c r="E119" i="9"/>
  <c r="C369" i="28"/>
  <c r="AC290" i="13"/>
  <c r="AC273" i="13"/>
  <c r="E121" i="9"/>
  <c r="D369" i="28"/>
  <c r="C279" i="28"/>
  <c r="AO89" i="13"/>
  <c r="AO93" i="13" s="1"/>
  <c r="AO97" i="13" s="1"/>
  <c r="L430" i="13"/>
  <c r="I106" i="13"/>
  <c r="AD162" i="13"/>
  <c r="AL412" i="13"/>
  <c r="AA41" i="13"/>
  <c r="AA43" i="13" s="1"/>
  <c r="AJ151" i="1"/>
  <c r="AL430" i="13"/>
  <c r="D203" i="9"/>
  <c r="T7" i="26"/>
  <c r="AD333" i="1"/>
  <c r="C36" i="9"/>
  <c r="AF28" i="13"/>
  <c r="AH75" i="1"/>
  <c r="G71" i="1"/>
  <c r="AC325" i="13"/>
  <c r="AC355" i="13" s="1"/>
  <c r="J417" i="13"/>
  <c r="J46" i="13" s="1"/>
  <c r="M93" i="13"/>
  <c r="M97" i="13" s="1"/>
  <c r="M99" i="13" s="1"/>
  <c r="M46" i="3" s="1"/>
  <c r="J215" i="9" s="1"/>
  <c r="Q190" i="1"/>
  <c r="Q191" i="1" s="1"/>
  <c r="AA71" i="1"/>
  <c r="F71" i="1"/>
  <c r="J5" i="17"/>
  <c r="AP96" i="13"/>
  <c r="AG194" i="1"/>
  <c r="AG425" i="1"/>
  <c r="AG427" i="1" s="1"/>
  <c r="J305" i="13"/>
  <c r="AJ328" i="13"/>
  <c r="AK163" i="13"/>
  <c r="AL97" i="13"/>
  <c r="AL99" i="13" s="1"/>
  <c r="Z50" i="13"/>
  <c r="Z51" i="13" s="1"/>
  <c r="AP430" i="13"/>
  <c r="AL329" i="1"/>
  <c r="AI194" i="1"/>
  <c r="AD163" i="13"/>
  <c r="AD165" i="13" s="1"/>
  <c r="AG267" i="13"/>
  <c r="I1" i="60"/>
  <c r="H69" i="60"/>
  <c r="AH234" i="13"/>
  <c r="AB30" i="13"/>
  <c r="AG151" i="1"/>
  <c r="AL424" i="1"/>
  <c r="J6" i="17" s="1"/>
  <c r="AD224" i="13"/>
  <c r="AD225" i="13" s="1"/>
  <c r="AL315" i="1"/>
  <c r="AL316" i="1" s="1"/>
  <c r="K44" i="13"/>
  <c r="P191" i="1"/>
  <c r="AI280" i="1"/>
  <c r="AD523" i="1"/>
  <c r="AD524" i="1" s="1"/>
  <c r="J163" i="13"/>
  <c r="AH120" i="1"/>
  <c r="AP92" i="13"/>
  <c r="K163" i="13"/>
  <c r="AL355" i="13"/>
  <c r="AL411" i="13"/>
  <c r="F18" i="38"/>
  <c r="W18" i="13"/>
  <c r="W50" i="13"/>
  <c r="AL41" i="13"/>
  <c r="AL43" i="13" s="1"/>
  <c r="B37" i="3"/>
  <c r="H354" i="28"/>
  <c r="E22" i="60"/>
  <c r="Q122" i="3"/>
  <c r="AH97" i="13"/>
  <c r="AH99" i="13" s="1"/>
  <c r="L474" i="28"/>
  <c r="H4" i="28"/>
  <c r="T72" i="28" s="1"/>
  <c r="F26" i="60"/>
  <c r="AE345" i="13"/>
  <c r="G354" i="28"/>
  <c r="L268" i="1"/>
  <c r="K269" i="1"/>
  <c r="F428" i="28"/>
  <c r="H9" i="60"/>
  <c r="Z33" i="17"/>
  <c r="AG33" i="17" s="1"/>
  <c r="H41" i="9"/>
  <c r="E38" i="9"/>
  <c r="H254" i="1"/>
  <c r="D22" i="60"/>
  <c r="D20" i="60"/>
  <c r="F354" i="28"/>
  <c r="AB71" i="1"/>
  <c r="H17" i="26"/>
  <c r="I17" i="26" s="1"/>
  <c r="J93" i="13"/>
  <c r="J97" i="13" s="1"/>
  <c r="J104" i="13" s="1"/>
  <c r="AN89" i="13"/>
  <c r="AN100" i="13" s="1"/>
  <c r="H117" i="3"/>
  <c r="H128" i="3" s="1"/>
  <c r="I117" i="3"/>
  <c r="G117" i="3"/>
  <c r="G128" i="3" s="1"/>
  <c r="H25" i="26"/>
  <c r="H27" i="26" s="1"/>
  <c r="C34" i="26" s="1"/>
  <c r="C170" i="60"/>
  <c r="M169" i="60" s="1"/>
  <c r="H24" i="26"/>
  <c r="B173" i="60"/>
  <c r="AH63" i="1"/>
  <c r="AE331" i="13"/>
  <c r="AE350" i="13"/>
  <c r="AL331" i="13"/>
  <c r="K95" i="3"/>
  <c r="K167" i="3" s="1"/>
  <c r="AL328" i="13"/>
  <c r="AH391" i="13"/>
  <c r="AH401" i="13" s="1"/>
  <c r="AH423" i="13" s="1"/>
  <c r="AL345" i="13"/>
  <c r="AE194" i="1"/>
  <c r="AG104" i="13"/>
  <c r="E41" i="17" s="1"/>
  <c r="D142" i="3"/>
  <c r="D146" i="3" s="1"/>
  <c r="L300" i="13"/>
  <c r="L306" i="13" s="1"/>
  <c r="C37" i="3"/>
  <c r="AD169" i="13"/>
  <c r="AD391" i="13"/>
  <c r="AD435" i="13" s="1"/>
  <c r="AD437" i="13" s="1"/>
  <c r="AH123" i="1"/>
  <c r="D140" i="9"/>
  <c r="AG250" i="1"/>
  <c r="G30" i="13"/>
  <c r="AB194" i="1"/>
  <c r="M157" i="13"/>
  <c r="M254" i="13"/>
  <c r="AH279" i="1"/>
  <c r="AL280" i="1" s="1"/>
  <c r="AA280" i="1"/>
  <c r="AJ34" i="1"/>
  <c r="I250" i="1"/>
  <c r="AH72" i="13"/>
  <c r="AH74" i="13" s="1"/>
  <c r="AG71" i="1"/>
  <c r="J44" i="13"/>
  <c r="AH57" i="13"/>
  <c r="D700" i="28"/>
  <c r="AA295" i="13"/>
  <c r="AA290" i="13"/>
  <c r="G150" i="1"/>
  <c r="H151" i="1" s="1"/>
  <c r="M419" i="13"/>
  <c r="M411" i="13" s="1"/>
  <c r="AJ350" i="13"/>
  <c r="F112" i="3"/>
  <c r="AL123" i="1"/>
  <c r="AH55" i="1"/>
  <c r="AE425" i="1"/>
  <c r="AE427" i="1" s="1"/>
  <c r="L160" i="13"/>
  <c r="AJ355" i="13"/>
  <c r="AJ331" i="13"/>
  <c r="AH45" i="13"/>
  <c r="AA425" i="1"/>
  <c r="D395" i="1"/>
  <c r="M430" i="13"/>
  <c r="AH333" i="1"/>
  <c r="AD279" i="1"/>
  <c r="AD280" i="1" s="1"/>
  <c r="D36" i="9"/>
  <c r="H194" i="1"/>
  <c r="AN160" i="13"/>
  <c r="AJ326" i="13"/>
  <c r="G286" i="1"/>
  <c r="M160" i="13"/>
  <c r="D37" i="3"/>
  <c r="AD15" i="13"/>
  <c r="Z34" i="1"/>
  <c r="Z2" i="1" s="1"/>
  <c r="L254" i="13"/>
  <c r="L206" i="13"/>
  <c r="C150" i="1"/>
  <c r="C151" i="1" s="1"/>
  <c r="H93" i="3"/>
  <c r="H95" i="3" s="1"/>
  <c r="I96" i="3" s="1"/>
  <c r="AJ254" i="13"/>
  <c r="AJ163" i="13" s="1"/>
  <c r="Y82" i="13"/>
  <c r="F142" i="3"/>
  <c r="F146" i="3" s="1"/>
  <c r="G99" i="13"/>
  <c r="G112" i="3"/>
  <c r="E203" i="9"/>
  <c r="AI104" i="13"/>
  <c r="AI105" i="13" s="1"/>
  <c r="H151" i="3"/>
  <c r="H155" i="3" s="1"/>
  <c r="I151" i="3" s="1"/>
  <c r="F67" i="3"/>
  <c r="C222" i="9" s="1"/>
  <c r="X144" i="13"/>
  <c r="AO41" i="13"/>
  <c r="AO417" i="13"/>
  <c r="AO44" i="13"/>
  <c r="J420" i="13"/>
  <c r="J49" i="13" s="1"/>
  <c r="J411" i="13"/>
  <c r="J48" i="13"/>
  <c r="L410" i="13"/>
  <c r="I138" i="9" s="1"/>
  <c r="L417" i="13"/>
  <c r="I125" i="3"/>
  <c r="I124" i="3" s="1"/>
  <c r="I122" i="3" s="1"/>
  <c r="C28" i="26" s="1"/>
  <c r="B25" i="28" s="1"/>
  <c r="C25" i="28" s="1"/>
  <c r="X56" i="13"/>
  <c r="X116" i="13" s="1"/>
  <c r="W34" i="1"/>
  <c r="W2" i="1" s="1"/>
  <c r="Y86" i="13"/>
  <c r="Y118" i="13" s="1"/>
  <c r="Y125" i="13" s="1"/>
  <c r="AI425" i="1"/>
  <c r="AI427" i="1" s="1"/>
  <c r="AC33" i="13"/>
  <c r="AC395" i="1"/>
  <c r="AO49" i="13"/>
  <c r="AP411" i="13"/>
  <c r="AJ71" i="1"/>
  <c r="AJ72" i="1" s="1"/>
  <c r="L48" i="13"/>
  <c r="AA503" i="1"/>
  <c r="AA325" i="13"/>
  <c r="AE326" i="13" s="1"/>
  <c r="AD13" i="13"/>
  <c r="AH392" i="1"/>
  <c r="AP107" i="13"/>
  <c r="AP114" i="13" s="1"/>
  <c r="AH113" i="13"/>
  <c r="AH114" i="13" s="1"/>
  <c r="L26" i="3"/>
  <c r="I198" i="9" s="1"/>
  <c r="Z56" i="13"/>
  <c r="Z116" i="13" s="1"/>
  <c r="AF71" i="1"/>
  <c r="X82" i="13"/>
  <c r="AE280" i="1"/>
  <c r="H99" i="13"/>
  <c r="H104" i="13"/>
  <c r="D28" i="15" s="1"/>
  <c r="N252" i="13"/>
  <c r="M206" i="13"/>
  <c r="AD253" i="1"/>
  <c r="AD198" i="1"/>
  <c r="L420" i="13"/>
  <c r="N89" i="13"/>
  <c r="O88" i="13"/>
  <c r="F154" i="9"/>
  <c r="I43" i="13"/>
  <c r="F62" i="9"/>
  <c r="N322" i="1"/>
  <c r="AB36" i="17"/>
  <c r="AI36" i="17" s="1"/>
  <c r="M323" i="1"/>
  <c r="J91" i="60"/>
  <c r="J90" i="60" s="1"/>
  <c r="H729" i="28"/>
  <c r="H730" i="28" s="1"/>
  <c r="M380" i="13"/>
  <c r="L167" i="13"/>
  <c r="E43" i="38"/>
  <c r="E46" i="38" s="1"/>
  <c r="L113" i="28"/>
  <c r="Q141" i="1"/>
  <c r="M233" i="13"/>
  <c r="L239" i="13"/>
  <c r="B34" i="1"/>
  <c r="K231" i="13"/>
  <c r="H84" i="9" s="1"/>
  <c r="K238" i="13"/>
  <c r="K237" i="13" s="1"/>
  <c r="M15" i="3"/>
  <c r="I188" i="9"/>
  <c r="AL115" i="1"/>
  <c r="J30" i="17"/>
  <c r="L58" i="3"/>
  <c r="I216" i="9" s="1"/>
  <c r="AE355" i="13"/>
  <c r="AG38" i="13"/>
  <c r="AC40" i="13"/>
  <c r="L25" i="3"/>
  <c r="L51" i="3" s="1"/>
  <c r="L52" i="3" s="1"/>
  <c r="H197" i="9"/>
  <c r="AD99" i="13"/>
  <c r="AD104" i="13"/>
  <c r="AD105" i="13" s="1"/>
  <c r="AH250" i="1"/>
  <c r="N165" i="1"/>
  <c r="O165" i="1" s="1"/>
  <c r="H10" i="28"/>
  <c r="T282" i="28" s="1"/>
  <c r="T281" i="28"/>
  <c r="AC321" i="13"/>
  <c r="AC322" i="13" s="1"/>
  <c r="AC276" i="13"/>
  <c r="AL75" i="13"/>
  <c r="AL77" i="13" s="1"/>
  <c r="AI290" i="13"/>
  <c r="AI273" i="13"/>
  <c r="AI270" i="13"/>
  <c r="AI321" i="13" s="1"/>
  <c r="AI285" i="13"/>
  <c r="AI295" i="13"/>
  <c r="AE422" i="13"/>
  <c r="AH422" i="13" s="1"/>
  <c r="AH415" i="13" s="1"/>
  <c r="AH417" i="13" s="1"/>
  <c r="AD422" i="13"/>
  <c r="P122" i="3"/>
  <c r="AH70" i="1"/>
  <c r="AH150" i="1" s="1"/>
  <c r="AD292" i="13"/>
  <c r="AD293" i="13" s="1"/>
  <c r="O122" i="3"/>
  <c r="J41" i="13"/>
  <c r="G154" i="9" s="1"/>
  <c r="AD285" i="1"/>
  <c r="AE99" i="13"/>
  <c r="B112" i="3"/>
  <c r="G6" i="17"/>
  <c r="AD113" i="13"/>
  <c r="AC35" i="13"/>
  <c r="AD55" i="13"/>
  <c r="H194" i="9"/>
  <c r="G36" i="3"/>
  <c r="G37" i="3" s="1"/>
  <c r="AD381" i="1"/>
  <c r="AH381" i="1"/>
  <c r="AM269" i="1"/>
  <c r="AP268" i="1"/>
  <c r="AP285" i="1" s="1"/>
  <c r="AL253" i="13"/>
  <c r="AL239" i="13"/>
  <c r="AL49" i="13" s="1"/>
  <c r="AL466" i="1"/>
  <c r="AD219" i="13"/>
  <c r="AD220" i="13" s="1"/>
  <c r="AD69" i="13" s="1"/>
  <c r="AD71" i="13" s="1"/>
  <c r="AH258" i="1"/>
  <c r="D105" i="3"/>
  <c r="E104" i="3" s="1"/>
  <c r="E105" i="3" s="1"/>
  <c r="F104" i="3" s="1"/>
  <c r="C243" i="9" s="1"/>
  <c r="AD303" i="13"/>
  <c r="AD306" i="13" s="1"/>
  <c r="J42" i="17"/>
  <c r="AH91" i="1"/>
  <c r="AL72" i="13"/>
  <c r="AL74" i="13" s="1"/>
  <c r="AH424" i="1"/>
  <c r="AO237" i="13"/>
  <c r="C114" i="3"/>
  <c r="C112" i="3"/>
  <c r="D53" i="9"/>
  <c r="H28" i="13"/>
  <c r="G28" i="13"/>
  <c r="M6" i="3"/>
  <c r="I182" i="9"/>
  <c r="H199" i="9"/>
  <c r="K119" i="3"/>
  <c r="L27" i="3"/>
  <c r="K28" i="3"/>
  <c r="H200" i="9" s="1"/>
  <c r="AL33" i="13"/>
  <c r="AL35" i="13"/>
  <c r="AL167" i="13"/>
  <c r="E425" i="1"/>
  <c r="F425" i="1"/>
  <c r="F128" i="9"/>
  <c r="F129" i="9" s="1"/>
  <c r="AD329" i="1"/>
  <c r="AL40" i="13"/>
  <c r="AL60" i="13"/>
  <c r="AL62" i="13" s="1"/>
  <c r="L238" i="13"/>
  <c r="L231" i="13"/>
  <c r="I84" i="9" s="1"/>
  <c r="M232" i="13"/>
  <c r="AL63" i="1"/>
  <c r="AL30" i="13"/>
  <c r="AL15" i="13"/>
  <c r="H205" i="9"/>
  <c r="L35" i="3"/>
  <c r="K120" i="3"/>
  <c r="J24" i="17"/>
  <c r="AL75" i="1"/>
  <c r="L84" i="3"/>
  <c r="I234" i="9" s="1"/>
  <c r="M145" i="3"/>
  <c r="L149" i="3"/>
  <c r="L154" i="3" s="1"/>
  <c r="L360" i="13"/>
  <c r="K366" i="13"/>
  <c r="AH367" i="13"/>
  <c r="AH365" i="13" s="1"/>
  <c r="AH394" i="1"/>
  <c r="AB45" i="13"/>
  <c r="H267" i="13"/>
  <c r="H280" i="13" s="1"/>
  <c r="E61" i="60"/>
  <c r="H425" i="1"/>
  <c r="H427" i="1" s="1"/>
  <c r="W6" i="17"/>
  <c r="E4" i="9"/>
  <c r="C53" i="28"/>
  <c r="I71" i="1"/>
  <c r="I72" i="1" s="1"/>
  <c r="G267" i="13"/>
  <c r="G280" i="13" s="1"/>
  <c r="B53" i="28"/>
  <c r="D4" i="9"/>
  <c r="D61" i="60"/>
  <c r="G425" i="1"/>
  <c r="G427" i="1" s="1"/>
  <c r="V6" i="17"/>
  <c r="I94" i="3"/>
  <c r="J90" i="3" s="1"/>
  <c r="I167" i="3"/>
  <c r="H293" i="28"/>
  <c r="H294" i="28" s="1"/>
  <c r="J99" i="60"/>
  <c r="J98" i="60" s="1"/>
  <c r="M163" i="1"/>
  <c r="M164" i="1" s="1"/>
  <c r="AB39" i="17"/>
  <c r="AI39" i="17" s="1"/>
  <c r="AB325" i="13"/>
  <c r="AF326" i="13" s="1"/>
  <c r="AF503" i="1"/>
  <c r="AF505" i="1" s="1"/>
  <c r="AB503" i="1"/>
  <c r="AJ395" i="1"/>
  <c r="AF395" i="1"/>
  <c r="AL341" i="1"/>
  <c r="G216" i="9"/>
  <c r="G180" i="9"/>
  <c r="AL69" i="13"/>
  <c r="AL71" i="13" s="1"/>
  <c r="I267" i="13"/>
  <c r="I280" i="13" s="1"/>
  <c r="D53" i="28"/>
  <c r="I425" i="1"/>
  <c r="F61" i="60"/>
  <c r="X6" i="17"/>
  <c r="AE6" i="17" s="1"/>
  <c r="F4" i="9"/>
  <c r="AB40" i="13"/>
  <c r="AB38" i="13"/>
  <c r="AF104" i="13"/>
  <c r="AF99" i="13"/>
  <c r="AJ104" i="13"/>
  <c r="AJ99" i="13"/>
  <c r="K109" i="3"/>
  <c r="K51" i="3"/>
  <c r="K52" i="3" s="1"/>
  <c r="D595" i="28"/>
  <c r="Z148" i="13"/>
  <c r="P147" i="3"/>
  <c r="AH69" i="13"/>
  <c r="AH71" i="13" s="1"/>
  <c r="H71" i="1"/>
  <c r="AP415" i="13"/>
  <c r="AN44" i="13"/>
  <c r="F27" i="17"/>
  <c r="AH99" i="1"/>
  <c r="AL83" i="1"/>
  <c r="L91" i="3"/>
  <c r="Y127" i="13"/>
  <c r="Y137" i="13"/>
  <c r="Y138" i="13" s="1"/>
  <c r="J167" i="3"/>
  <c r="J96" i="3"/>
  <c r="F34" i="9"/>
  <c r="I151" i="1"/>
  <c r="AE395" i="1"/>
  <c r="AI395" i="1"/>
  <c r="AF194" i="1"/>
  <c r="AF34" i="1"/>
  <c r="C286" i="1"/>
  <c r="AL238" i="13"/>
  <c r="AL45" i="13"/>
  <c r="AL234" i="13"/>
  <c r="I41" i="17"/>
  <c r="G40" i="9"/>
  <c r="J329" i="1"/>
  <c r="O227" i="1"/>
  <c r="R227" i="1"/>
  <c r="N228" i="1"/>
  <c r="AD26" i="13"/>
  <c r="AH28" i="13" s="1"/>
  <c r="AD218" i="13"/>
  <c r="AH218" i="13"/>
  <c r="AB425" i="1"/>
  <c r="AB267" i="13"/>
  <c r="AF268" i="13" s="1"/>
  <c r="AI150" i="1"/>
  <c r="AI71" i="1"/>
  <c r="AI72" i="1" s="1"/>
  <c r="AG5" i="1"/>
  <c r="AB395" i="1"/>
  <c r="H437" i="13"/>
  <c r="E141" i="9"/>
  <c r="AD47" i="13"/>
  <c r="I181" i="13"/>
  <c r="E173" i="9"/>
  <c r="E174" i="9" s="1"/>
  <c r="H185" i="13"/>
  <c r="AC28" i="13"/>
  <c r="AC30" i="13"/>
  <c r="H213" i="9"/>
  <c r="G105" i="13"/>
  <c r="D159" i="9"/>
  <c r="AL55" i="1"/>
  <c r="AL70" i="1"/>
  <c r="J21" i="17"/>
  <c r="AH425" i="13"/>
  <c r="D150" i="9"/>
  <c r="H33" i="13"/>
  <c r="G35" i="13"/>
  <c r="D56" i="9"/>
  <c r="G33" i="13"/>
  <c r="L54" i="3"/>
  <c r="H217" i="9"/>
  <c r="G384" i="13"/>
  <c r="D128" i="9"/>
  <c r="L332" i="13"/>
  <c r="L378" i="13"/>
  <c r="L157" i="13"/>
  <c r="AL391" i="13"/>
  <c r="AL398" i="13"/>
  <c r="M65" i="1"/>
  <c r="AO522" i="1"/>
  <c r="AO523" i="1" s="1"/>
  <c r="AO59" i="1"/>
  <c r="AO221" i="1"/>
  <c r="AO222" i="1" s="1"/>
  <c r="AO309" i="1"/>
  <c r="AO103" i="1"/>
  <c r="AO337" i="1"/>
  <c r="AO111" i="1"/>
  <c r="AO488" i="1"/>
  <c r="AO227" i="1"/>
  <c r="AO87" i="1"/>
  <c r="AO202" i="1"/>
  <c r="AO5" i="1"/>
  <c r="AO6" i="13" s="1"/>
  <c r="AO136" i="13" s="1"/>
  <c r="AO365" i="1"/>
  <c r="AO213" i="1"/>
  <c r="AO214" i="1" s="1"/>
  <c r="AO79" i="1"/>
  <c r="AO491" i="1"/>
  <c r="AO492" i="1" s="1"/>
  <c r="AO345" i="1"/>
  <c r="AO159" i="1"/>
  <c r="AO518" i="1"/>
  <c r="AO377" i="1"/>
  <c r="AO119" i="1"/>
  <c r="AO262" i="1"/>
  <c r="AO353" i="1"/>
  <c r="AO127" i="1"/>
  <c r="AO95" i="1"/>
  <c r="AO67" i="1"/>
  <c r="M343" i="1"/>
  <c r="AH294" i="1"/>
  <c r="AH5" i="1"/>
  <c r="G316" i="1"/>
  <c r="F316" i="1"/>
  <c r="C22" i="9"/>
  <c r="AK267" i="13"/>
  <c r="AK280" i="13" s="1"/>
  <c r="AK425" i="1"/>
  <c r="AK427" i="1" s="1"/>
  <c r="I6" i="17"/>
  <c r="AE316" i="1"/>
  <c r="AG395" i="1"/>
  <c r="AK395" i="1"/>
  <c r="F395" i="1"/>
  <c r="E395" i="1"/>
  <c r="AA286" i="1"/>
  <c r="AG286" i="1"/>
  <c r="AG34" i="1"/>
  <c r="AO205" i="1"/>
  <c r="AO206" i="1" s="1"/>
  <c r="AK206" i="1"/>
  <c r="AK249" i="1"/>
  <c r="AK250" i="1" s="1"/>
  <c r="AL205" i="1"/>
  <c r="AH147" i="1"/>
  <c r="AC302" i="13"/>
  <c r="AD304" i="13"/>
  <c r="G41" i="13"/>
  <c r="G442" i="13" s="1"/>
  <c r="D84" i="9"/>
  <c r="AA12" i="13"/>
  <c r="G186" i="13"/>
  <c r="G184" i="13"/>
  <c r="X115" i="13"/>
  <c r="X51" i="13"/>
  <c r="AE336" i="13"/>
  <c r="AE383" i="13"/>
  <c r="AE384" i="13" s="1"/>
  <c r="AF425" i="1"/>
  <c r="AF427" i="1" s="1"/>
  <c r="AH291" i="1"/>
  <c r="G94" i="3"/>
  <c r="G96" i="3"/>
  <c r="G167" i="3"/>
  <c r="H43" i="13"/>
  <c r="E62" i="9"/>
  <c r="E154" i="9"/>
  <c r="H442" i="13"/>
  <c r="L301" i="13"/>
  <c r="K307" i="13"/>
  <c r="K305" i="13" s="1"/>
  <c r="K299" i="13"/>
  <c r="H104" i="9" s="1"/>
  <c r="AH30" i="13"/>
  <c r="AL28" i="13"/>
  <c r="L14" i="3"/>
  <c r="H187" i="9"/>
  <c r="AF433" i="13"/>
  <c r="AF434" i="13" s="1"/>
  <c r="D12" i="17"/>
  <c r="AD351" i="13"/>
  <c r="AD353" i="13"/>
  <c r="AH351" i="13"/>
  <c r="AH40" i="13"/>
  <c r="AL38" i="13"/>
  <c r="AL302" i="13"/>
  <c r="Y18" i="13"/>
  <c r="Y50" i="13"/>
  <c r="O57" i="3"/>
  <c r="N58" i="3"/>
  <c r="K216" i="9" s="1"/>
  <c r="H37" i="3"/>
  <c r="AP367" i="13"/>
  <c r="AP359" i="13"/>
  <c r="AD223" i="13"/>
  <c r="AH223" i="13"/>
  <c r="AD31" i="13"/>
  <c r="I194" i="9"/>
  <c r="M22" i="3"/>
  <c r="L109" i="3"/>
  <c r="X34" i="1"/>
  <c r="W147" i="13"/>
  <c r="W144" i="13"/>
  <c r="AE286" i="1"/>
  <c r="X149" i="13"/>
  <c r="X148" i="13"/>
  <c r="K137" i="9"/>
  <c r="O317" i="13"/>
  <c r="O318" i="13" s="1"/>
  <c r="N160" i="13"/>
  <c r="AL365" i="1"/>
  <c r="P188" i="28"/>
  <c r="F202" i="9"/>
  <c r="F203" i="9" s="1"/>
  <c r="I36" i="3"/>
  <c r="H34" i="1"/>
  <c r="E34" i="9"/>
  <c r="F254" i="1"/>
  <c r="E254" i="1"/>
  <c r="E34" i="1"/>
  <c r="AD299" i="13"/>
  <c r="G234" i="13"/>
  <c r="AD236" i="13"/>
  <c r="AD234" i="13" s="1"/>
  <c r="G48" i="13"/>
  <c r="Q332" i="13"/>
  <c r="Q378" i="13"/>
  <c r="AD366" i="13"/>
  <c r="AD362" i="13"/>
  <c r="AL305" i="13"/>
  <c r="AJ194" i="1"/>
  <c r="AJ401" i="13"/>
  <c r="AJ423" i="13" s="1"/>
  <c r="AJ393" i="13"/>
  <c r="AJ402" i="13" s="1"/>
  <c r="AO157" i="13"/>
  <c r="AO254" i="13"/>
  <c r="AO206" i="13"/>
  <c r="E112" i="3"/>
  <c r="E114" i="3"/>
  <c r="N410" i="13"/>
  <c r="O428" i="13"/>
  <c r="N415" i="13"/>
  <c r="N430" i="13"/>
  <c r="N411" i="13"/>
  <c r="N419" i="13"/>
  <c r="N157" i="13"/>
  <c r="Q429" i="13"/>
  <c r="L157" i="1"/>
  <c r="K328" i="1"/>
  <c r="L319" i="1"/>
  <c r="K320" i="1"/>
  <c r="H39" i="9"/>
  <c r="Z25" i="17"/>
  <c r="AG25" i="17" s="1"/>
  <c r="H5" i="60"/>
  <c r="F714" i="28"/>
  <c r="E42" i="9"/>
  <c r="I286" i="1"/>
  <c r="H286" i="1"/>
  <c r="E22" i="9"/>
  <c r="H395" i="1"/>
  <c r="I395" i="1"/>
  <c r="AM523" i="1"/>
  <c r="AM214" i="1"/>
  <c r="AM492" i="1"/>
  <c r="AM340" i="1"/>
  <c r="AM6" i="13"/>
  <c r="AM206" i="1"/>
  <c r="AP37" i="1"/>
  <c r="AP427" i="1"/>
  <c r="AP505" i="1"/>
  <c r="O295" i="1"/>
  <c r="AC32" i="17"/>
  <c r="AJ32" i="17" s="1"/>
  <c r="R295" i="1"/>
  <c r="N296" i="1"/>
  <c r="I549" i="28"/>
  <c r="K18" i="9"/>
  <c r="O18" i="9" s="1"/>
  <c r="AN420" i="13"/>
  <c r="AP418" i="13"/>
  <c r="AP47" i="13" s="1"/>
  <c r="AM163" i="13"/>
  <c r="AM237" i="13"/>
  <c r="AO329" i="1"/>
  <c r="AA395" i="1"/>
  <c r="L100" i="13"/>
  <c r="L93" i="13"/>
  <c r="L97" i="13" s="1"/>
  <c r="F21" i="38"/>
  <c r="F23" i="38" s="1"/>
  <c r="F25" i="38" s="1"/>
  <c r="F30" i="38" s="1"/>
  <c r="G18" i="38"/>
  <c r="AK331" i="13"/>
  <c r="AK328" i="13"/>
  <c r="AK383" i="13" s="1"/>
  <c r="AK355" i="13"/>
  <c r="AK350" i="13"/>
  <c r="AK345" i="13"/>
  <c r="AK326" i="13"/>
  <c r="AC254" i="1"/>
  <c r="AG254" i="1"/>
  <c r="AC194" i="1"/>
  <c r="Y34" i="1"/>
  <c r="AK280" i="1"/>
  <c r="AG280" i="1"/>
  <c r="AB286" i="1"/>
  <c r="AF286" i="1"/>
  <c r="AD299" i="1"/>
  <c r="AH299" i="1"/>
  <c r="AG355" i="13"/>
  <c r="AG328" i="13"/>
  <c r="AG345" i="13"/>
  <c r="AG331" i="13"/>
  <c r="AG350" i="13"/>
  <c r="AB151" i="1"/>
  <c r="AB34" i="1"/>
  <c r="E135" i="9"/>
  <c r="AH253" i="13"/>
  <c r="AH239" i="13"/>
  <c r="AH48" i="13"/>
  <c r="AD202" i="13"/>
  <c r="AD57" i="13" s="1"/>
  <c r="AD10" i="13"/>
  <c r="AF151" i="1"/>
  <c r="Z105" i="13"/>
  <c r="AP299" i="13"/>
  <c r="AF350" i="13"/>
  <c r="AF331" i="13"/>
  <c r="AF328" i="13"/>
  <c r="AF355" i="13"/>
  <c r="AF345" i="13"/>
  <c r="AF295" i="13"/>
  <c r="AF270" i="13"/>
  <c r="AF290" i="13"/>
  <c r="AF273" i="13"/>
  <c r="AF285" i="13"/>
  <c r="AA165" i="13"/>
  <c r="AK401" i="13"/>
  <c r="AK423" i="13" s="1"/>
  <c r="AK393" i="13"/>
  <c r="AK402" i="13" s="1"/>
  <c r="AH306" i="13"/>
  <c r="AH305" i="13" s="1"/>
  <c r="AH302" i="13"/>
  <c r="AD231" i="13"/>
  <c r="AG28" i="13"/>
  <c r="AB43" i="13"/>
  <c r="L361" i="13"/>
  <c r="K367" i="13"/>
  <c r="K47" i="13"/>
  <c r="K359" i="13"/>
  <c r="AB33" i="13"/>
  <c r="AB35" i="13"/>
  <c r="AL113" i="13"/>
  <c r="AL114" i="13" s="1"/>
  <c r="K121" i="3"/>
  <c r="F36" i="3"/>
  <c r="F37" i="3" s="1"/>
  <c r="C202" i="9"/>
  <c r="C203" i="9" s="1"/>
  <c r="W127" i="13"/>
  <c r="W137" i="13"/>
  <c r="W138" i="13" s="1"/>
  <c r="F135" i="9"/>
  <c r="AN202" i="1"/>
  <c r="AN377" i="1"/>
  <c r="AN262" i="1"/>
  <c r="AN95" i="1"/>
  <c r="AN227" i="1"/>
  <c r="AN67" i="1"/>
  <c r="AN127" i="1"/>
  <c r="AN365" i="1"/>
  <c r="AN213" i="1"/>
  <c r="AN214" i="1" s="1"/>
  <c r="AN79" i="1"/>
  <c r="AN221" i="1"/>
  <c r="AN222" i="1" s="1"/>
  <c r="AN119" i="1"/>
  <c r="AN353" i="1"/>
  <c r="AN159" i="1"/>
  <c r="AN522" i="1"/>
  <c r="AN523" i="1" s="1"/>
  <c r="AN518" i="1"/>
  <c r="AN337" i="1"/>
  <c r="AN111" i="1"/>
  <c r="AN488" i="1"/>
  <c r="AN205" i="1"/>
  <c r="AN206" i="1" s="1"/>
  <c r="AN309" i="1"/>
  <c r="AN87" i="1"/>
  <c r="AN5" i="1"/>
  <c r="AN6" i="13" s="1"/>
  <c r="AN136" i="13" s="1"/>
  <c r="AN345" i="1"/>
  <c r="AN59" i="1"/>
  <c r="AN103" i="1"/>
  <c r="AN491" i="1"/>
  <c r="AN492" i="1" s="1"/>
  <c r="AF316" i="1"/>
  <c r="AB316" i="1"/>
  <c r="AE150" i="1"/>
  <c r="AE71" i="1"/>
  <c r="L260" i="1"/>
  <c r="M109" i="1"/>
  <c r="L93" i="1"/>
  <c r="M77" i="1"/>
  <c r="D22" i="9"/>
  <c r="G395" i="1"/>
  <c r="AE250" i="1"/>
  <c r="AI250" i="1"/>
  <c r="C240" i="9"/>
  <c r="F103" i="3"/>
  <c r="C242" i="9" s="1"/>
  <c r="AK151" i="1"/>
  <c r="AD316" i="1"/>
  <c r="AH502" i="1"/>
  <c r="AH523" i="1"/>
  <c r="AL523" i="1"/>
  <c r="H16" i="38"/>
  <c r="G32" i="38"/>
  <c r="G34" i="38" s="1"/>
  <c r="G36" i="38" s="1"/>
  <c r="G41" i="38" s="1"/>
  <c r="D316" i="1"/>
  <c r="D286" i="1"/>
  <c r="D150" i="1"/>
  <c r="D71" i="1"/>
  <c r="E71" i="1"/>
  <c r="E280" i="1"/>
  <c r="D280" i="1"/>
  <c r="AD70" i="1"/>
  <c r="AD55" i="1"/>
  <c r="AH316" i="1"/>
  <c r="AI401" i="13"/>
  <c r="AI423" i="13" s="1"/>
  <c r="AI437" i="13"/>
  <c r="AI393" i="13"/>
  <c r="AI402" i="13" s="1"/>
  <c r="AI425" i="13" s="1"/>
  <c r="AD296" i="13"/>
  <c r="AD298" i="13"/>
  <c r="AD75" i="13" s="1"/>
  <c r="AD77" i="13" s="1"/>
  <c r="AD36" i="13"/>
  <c r="AH38" i="13" s="1"/>
  <c r="AP252" i="13"/>
  <c r="Y144" i="13"/>
  <c r="Y147" i="13"/>
  <c r="AP378" i="13"/>
  <c r="F32" i="38"/>
  <c r="F34" i="38" s="1"/>
  <c r="F36" i="38" s="1"/>
  <c r="F41" i="38" s="1"/>
  <c r="AG433" i="13"/>
  <c r="AG434" i="13" s="1"/>
  <c r="E12" i="17"/>
  <c r="AL366" i="13"/>
  <c r="AL365" i="13" s="1"/>
  <c r="AL362" i="13"/>
  <c r="AH41" i="13"/>
  <c r="AH60" i="13"/>
  <c r="AH62" i="13" s="1"/>
  <c r="I183" i="9"/>
  <c r="M8" i="3"/>
  <c r="AC34" i="1"/>
  <c r="AC151" i="1"/>
  <c r="AI316" i="1"/>
  <c r="AE273" i="13"/>
  <c r="AE285" i="13"/>
  <c r="AE295" i="13"/>
  <c r="AE290" i="13"/>
  <c r="AE268" i="13"/>
  <c r="AE270" i="13"/>
  <c r="AI268" i="13"/>
  <c r="I133" i="9"/>
  <c r="L396" i="13"/>
  <c r="M394" i="13"/>
  <c r="AD238" i="13"/>
  <c r="M410" i="13"/>
  <c r="M417" i="13"/>
  <c r="AL107" i="1"/>
  <c r="J28" i="17"/>
  <c r="AH296" i="13"/>
  <c r="M58" i="3"/>
  <c r="J216" i="9" s="1"/>
  <c r="AK286" i="1"/>
  <c r="F151" i="1"/>
  <c r="F34" i="1"/>
  <c r="C34" i="9"/>
  <c r="AI331" i="13"/>
  <c r="AI328" i="13"/>
  <c r="AI383" i="13" s="1"/>
  <c r="AI345" i="13"/>
  <c r="AI355" i="13"/>
  <c r="AI326" i="13"/>
  <c r="AI350" i="13"/>
  <c r="P316" i="13"/>
  <c r="O274" i="13"/>
  <c r="AP317" i="13"/>
  <c r="AP160" i="13" s="1"/>
  <c r="AA268" i="13"/>
  <c r="AA285" i="13"/>
  <c r="AA273" i="13"/>
  <c r="AA270" i="13"/>
  <c r="AD411" i="13"/>
  <c r="AN167" i="13"/>
  <c r="AP380" i="13"/>
  <c r="AP167" i="13" s="1"/>
  <c r="AH75" i="13"/>
  <c r="AH77" i="13" s="1"/>
  <c r="AL157" i="13"/>
  <c r="AI37" i="1"/>
  <c r="AL48" i="13"/>
  <c r="AL286" i="1" l="1"/>
  <c r="N473" i="28"/>
  <c r="AL66" i="13"/>
  <c r="AH435" i="13"/>
  <c r="AH437" i="13" s="1"/>
  <c r="AN497" i="1"/>
  <c r="AO497" i="1"/>
  <c r="M265" i="1"/>
  <c r="L285" i="1"/>
  <c r="L266" i="1"/>
  <c r="G488" i="28"/>
  <c r="G489" i="28" s="1"/>
  <c r="AL160" i="13"/>
  <c r="Z144" i="13"/>
  <c r="K412" i="13"/>
  <c r="G25" i="13"/>
  <c r="H23" i="13"/>
  <c r="AL435" i="13"/>
  <c r="AO43" i="13"/>
  <c r="AN41" i="13"/>
  <c r="AM41" i="13"/>
  <c r="AM43" i="13" s="1"/>
  <c r="AL336" i="13"/>
  <c r="AL368" i="13" s="1"/>
  <c r="J10" i="17" s="1"/>
  <c r="J16" i="17" s="1"/>
  <c r="AL383" i="13"/>
  <c r="AL384" i="13" s="1"/>
  <c r="AJ383" i="13"/>
  <c r="AJ384" i="13" s="1"/>
  <c r="I368" i="13"/>
  <c r="I337" i="13"/>
  <c r="F116" i="9"/>
  <c r="F117" i="9" s="1"/>
  <c r="G337" i="13"/>
  <c r="G368" i="13"/>
  <c r="E116" i="9"/>
  <c r="E117" i="9" s="1"/>
  <c r="H368" i="13"/>
  <c r="AJ290" i="13"/>
  <c r="AJ280" i="13"/>
  <c r="K99" i="13"/>
  <c r="K46" i="3" s="1"/>
  <c r="H215" i="9" s="1"/>
  <c r="AO318" i="13"/>
  <c r="AO163" i="13" s="1"/>
  <c r="AN412" i="13"/>
  <c r="AN78" i="13" s="1"/>
  <c r="AN80" i="13" s="1"/>
  <c r="N409" i="13"/>
  <c r="N408" i="13" s="1"/>
  <c r="L44" i="13"/>
  <c r="M300" i="13"/>
  <c r="N300" i="13" s="1"/>
  <c r="AP231" i="13"/>
  <c r="K16" i="60"/>
  <c r="L16" i="60" s="1"/>
  <c r="F429" i="28"/>
  <c r="AL254" i="13"/>
  <c r="AL163" i="13" s="1"/>
  <c r="AH393" i="13"/>
  <c r="Z115" i="13"/>
  <c r="Z130" i="13" s="1"/>
  <c r="Z133" i="13" s="1"/>
  <c r="AH49" i="13"/>
  <c r="M48" i="13"/>
  <c r="AH104" i="13"/>
  <c r="F41" i="17" s="1"/>
  <c r="H4" i="17"/>
  <c r="AJ268" i="13"/>
  <c r="AC328" i="13"/>
  <c r="AC336" i="13" s="1"/>
  <c r="AG326" i="13"/>
  <c r="C264" i="28"/>
  <c r="AH395" i="1"/>
  <c r="C425" i="1"/>
  <c r="AJ270" i="13"/>
  <c r="AJ276" i="13" s="1"/>
  <c r="AD267" i="13"/>
  <c r="AD285" i="13" s="1"/>
  <c r="AH425" i="1"/>
  <c r="AH427" i="1" s="1"/>
  <c r="E128" i="9"/>
  <c r="E129" i="9" s="1"/>
  <c r="C505" i="28"/>
  <c r="AG105" i="13"/>
  <c r="F49" i="1"/>
  <c r="F53" i="1"/>
  <c r="F45" i="1"/>
  <c r="F42" i="1"/>
  <c r="E49" i="1"/>
  <c r="E53" i="1"/>
  <c r="E45" i="1"/>
  <c r="E42" i="1"/>
  <c r="I53" i="1"/>
  <c r="I49" i="1"/>
  <c r="I45" i="1"/>
  <c r="I42" i="1"/>
  <c r="H53" i="1"/>
  <c r="H42" i="1"/>
  <c r="H45" i="1"/>
  <c r="H49" i="1"/>
  <c r="H337" i="13"/>
  <c r="I338" i="13"/>
  <c r="AJ2" i="1"/>
  <c r="AJ38" i="1" s="1"/>
  <c r="AP269" i="1"/>
  <c r="D264" i="28"/>
  <c r="AD326" i="13"/>
  <c r="AL267" i="13"/>
  <c r="AL273" i="13" s="1"/>
  <c r="AD350" i="13"/>
  <c r="AD328" i="13"/>
  <c r="AD336" i="13" s="1"/>
  <c r="AD368" i="13" s="1"/>
  <c r="AD369" i="13" s="1"/>
  <c r="AD370" i="13" s="1"/>
  <c r="AD331" i="13"/>
  <c r="AD345" i="13"/>
  <c r="W38" i="1"/>
  <c r="G8" i="60"/>
  <c r="G10" i="60"/>
  <c r="L95" i="60"/>
  <c r="L94" i="60" s="1"/>
  <c r="P224" i="1"/>
  <c r="O225" i="1"/>
  <c r="J398" i="28"/>
  <c r="J399" i="28" s="1"/>
  <c r="AC350" i="13"/>
  <c r="L277" i="1"/>
  <c r="I58" i="60"/>
  <c r="I56" i="60"/>
  <c r="N143" i="1"/>
  <c r="H128" i="28"/>
  <c r="H129" i="28" s="1"/>
  <c r="M144" i="1"/>
  <c r="J57" i="60"/>
  <c r="AB35" i="17"/>
  <c r="AI35" i="17" s="1"/>
  <c r="AH194" i="1"/>
  <c r="AA34" i="1"/>
  <c r="AA196" i="13" s="1"/>
  <c r="AC326" i="13"/>
  <c r="AC345" i="13"/>
  <c r="H54" i="60"/>
  <c r="H52" i="60"/>
  <c r="M391" i="1"/>
  <c r="G685" i="28"/>
  <c r="L392" i="1"/>
  <c r="I21" i="9"/>
  <c r="M146" i="1"/>
  <c r="I33" i="9"/>
  <c r="L147" i="1"/>
  <c r="G248" i="28"/>
  <c r="G249" i="28" s="1"/>
  <c r="M312" i="1"/>
  <c r="G579" i="28"/>
  <c r="G580" i="28" s="1"/>
  <c r="L313" i="1"/>
  <c r="I20" i="9"/>
  <c r="AH286" i="1"/>
  <c r="M289" i="1"/>
  <c r="G519" i="28"/>
  <c r="G520" i="28" s="1"/>
  <c r="L298" i="1"/>
  <c r="L299" i="1" s="1"/>
  <c r="I53" i="60"/>
  <c r="L290" i="1"/>
  <c r="AA31" i="17"/>
  <c r="AH31" i="17" s="1"/>
  <c r="I19" i="9"/>
  <c r="H338" i="13"/>
  <c r="AJ285" i="13"/>
  <c r="AJ295" i="13"/>
  <c r="AJ273" i="13"/>
  <c r="G338" i="13"/>
  <c r="D116" i="9"/>
  <c r="D117" i="9" s="1"/>
  <c r="AO100" i="13"/>
  <c r="AP100" i="13" s="1"/>
  <c r="M104" i="13"/>
  <c r="J159" i="9" s="1"/>
  <c r="AJ336" i="13"/>
  <c r="AJ368" i="13" s="1"/>
  <c r="M163" i="13"/>
  <c r="AL425" i="1"/>
  <c r="AL427" i="1" s="1"/>
  <c r="I427" i="1" s="1"/>
  <c r="AH44" i="13"/>
  <c r="L353" i="28"/>
  <c r="L354" i="28" s="1"/>
  <c r="AJ196" i="13"/>
  <c r="M420" i="13"/>
  <c r="M412" i="13" s="1"/>
  <c r="AD45" i="13"/>
  <c r="J43" i="13"/>
  <c r="L28" i="3"/>
  <c r="AD302" i="13"/>
  <c r="AD286" i="1"/>
  <c r="C34" i="1"/>
  <c r="C35" i="1" s="1"/>
  <c r="G41" i="17"/>
  <c r="AJ35" i="1"/>
  <c r="K46" i="13"/>
  <c r="AL104" i="13"/>
  <c r="J41" i="17" s="1"/>
  <c r="AG270" i="13"/>
  <c r="AG290" i="13"/>
  <c r="AG285" i="13"/>
  <c r="AG295" i="13"/>
  <c r="AG268" i="13"/>
  <c r="AG273" i="13"/>
  <c r="J1" i="60"/>
  <c r="I69" i="60"/>
  <c r="M26" i="3"/>
  <c r="AL395" i="1"/>
  <c r="AH280" i="1"/>
  <c r="D34" i="9"/>
  <c r="J412" i="13"/>
  <c r="J78" i="13" s="1"/>
  <c r="J80" i="13" s="1"/>
  <c r="W51" i="13"/>
  <c r="W115" i="13"/>
  <c r="AN93" i="13"/>
  <c r="AN97" i="13" s="1"/>
  <c r="AN99" i="13" s="1"/>
  <c r="L163" i="13"/>
  <c r="K96" i="3"/>
  <c r="J99" i="13"/>
  <c r="J46" i="3" s="1"/>
  <c r="G215" i="9" s="1"/>
  <c r="AP89" i="13"/>
  <c r="AP93" i="13" s="1"/>
  <c r="AP97" i="13" s="1"/>
  <c r="AP99" i="13" s="1"/>
  <c r="H8" i="60"/>
  <c r="H10" i="60"/>
  <c r="M268" i="1"/>
  <c r="I9" i="60"/>
  <c r="G428" i="28"/>
  <c r="G429" i="28" s="1"/>
  <c r="L269" i="1"/>
  <c r="I41" i="9"/>
  <c r="AA33" i="17"/>
  <c r="AH33" i="17" s="1"/>
  <c r="G151" i="1"/>
  <c r="G34" i="1"/>
  <c r="I128" i="3"/>
  <c r="AM93" i="13"/>
  <c r="AM97" i="13" s="1"/>
  <c r="AM104" i="13" s="1"/>
  <c r="AM105" i="13" s="1"/>
  <c r="G44" i="28"/>
  <c r="D25" i="28"/>
  <c r="V25" i="28" s="1"/>
  <c r="AH237" i="13"/>
  <c r="AH78" i="13" s="1"/>
  <c r="AH80" i="13" s="1"/>
  <c r="AD401" i="13"/>
  <c r="AD423" i="13" s="1"/>
  <c r="AD433" i="13" s="1"/>
  <c r="AD434" i="13" s="1"/>
  <c r="AD393" i="13"/>
  <c r="AD402" i="13" s="1"/>
  <c r="AD425" i="13" s="1"/>
  <c r="H160" i="3"/>
  <c r="AM78" i="13"/>
  <c r="AM80" i="13" s="1"/>
  <c r="G62" i="9"/>
  <c r="H96" i="3"/>
  <c r="K5" i="3"/>
  <c r="L5" i="3" s="1"/>
  <c r="Z137" i="13"/>
  <c r="Z138" i="13" s="1"/>
  <c r="Z127" i="13"/>
  <c r="X127" i="13"/>
  <c r="X137" i="13"/>
  <c r="X138" i="13" s="1"/>
  <c r="H167" i="3"/>
  <c r="P167" i="3" s="1"/>
  <c r="N162" i="1"/>
  <c r="AC39" i="17" s="1"/>
  <c r="AJ39" i="17" s="1"/>
  <c r="D54" i="28"/>
  <c r="H94" i="3"/>
  <c r="AD72" i="13"/>
  <c r="AD74" i="13" s="1"/>
  <c r="O252" i="13"/>
  <c r="N206" i="13"/>
  <c r="N254" i="13"/>
  <c r="N163" i="13" s="1"/>
  <c r="L412" i="13"/>
  <c r="E159" i="9"/>
  <c r="H106" i="13"/>
  <c r="W41" i="17"/>
  <c r="H44" i="28"/>
  <c r="J17" i="26"/>
  <c r="P88" i="13"/>
  <c r="O89" i="13"/>
  <c r="AH254" i="1"/>
  <c r="AD254" i="1"/>
  <c r="AA345" i="13"/>
  <c r="AA326" i="13"/>
  <c r="AA350" i="13"/>
  <c r="AA331" i="13"/>
  <c r="AA355" i="13"/>
  <c r="AA328" i="13"/>
  <c r="AO412" i="13"/>
  <c r="AO78" i="13" s="1"/>
  <c r="AO80" i="13" s="1"/>
  <c r="AO46" i="13"/>
  <c r="M167" i="13"/>
  <c r="N380" i="13"/>
  <c r="N93" i="13"/>
  <c r="N97" i="13" s="1"/>
  <c r="N100" i="13"/>
  <c r="O322" i="1"/>
  <c r="N323" i="1"/>
  <c r="I729" i="28"/>
  <c r="I730" i="28" s="1"/>
  <c r="AC36" i="17"/>
  <c r="AJ36" i="17" s="1"/>
  <c r="K91" i="60"/>
  <c r="K90" i="60" s="1"/>
  <c r="M25" i="3"/>
  <c r="M51" i="3" s="1"/>
  <c r="M52" i="3" s="1"/>
  <c r="I197" i="9"/>
  <c r="M239" i="13"/>
  <c r="N233" i="13"/>
  <c r="B2" i="1"/>
  <c r="B38" i="1" s="1"/>
  <c r="M113" i="28"/>
  <c r="N113" i="28" s="1"/>
  <c r="O113" i="28" s="1"/>
  <c r="P113" i="28" s="1"/>
  <c r="Q113" i="28" s="1"/>
  <c r="L114" i="28"/>
  <c r="N15" i="3"/>
  <c r="J188" i="9"/>
  <c r="AC277" i="13"/>
  <c r="AC278" i="13"/>
  <c r="AC308" i="13"/>
  <c r="F6" i="17"/>
  <c r="AH267" i="13"/>
  <c r="AI322" i="13"/>
  <c r="AI276" i="13"/>
  <c r="AD307" i="13"/>
  <c r="AD305" i="13" s="1"/>
  <c r="L366" i="13"/>
  <c r="L46" i="13" s="1"/>
  <c r="M360" i="13"/>
  <c r="M84" i="3"/>
  <c r="J234" i="9" s="1"/>
  <c r="N145" i="3"/>
  <c r="M149" i="3"/>
  <c r="M154" i="3" s="1"/>
  <c r="M35" i="3"/>
  <c r="I205" i="9"/>
  <c r="L120" i="3"/>
  <c r="L237" i="13"/>
  <c r="AK34" i="1"/>
  <c r="AD48" i="13"/>
  <c r="M306" i="13"/>
  <c r="N232" i="13"/>
  <c r="M238" i="13"/>
  <c r="M231" i="13"/>
  <c r="J84" i="9" s="1"/>
  <c r="L119" i="3"/>
  <c r="M27" i="3"/>
  <c r="I199" i="9"/>
  <c r="J182" i="9"/>
  <c r="N6" i="3"/>
  <c r="AP417" i="13"/>
  <c r="AP46" i="13" s="1"/>
  <c r="AP44" i="13"/>
  <c r="Q147" i="3"/>
  <c r="H295" i="13"/>
  <c r="H290" i="13"/>
  <c r="H270" i="13"/>
  <c r="E92" i="9"/>
  <c r="H268" i="13"/>
  <c r="H285" i="13"/>
  <c r="H273" i="13"/>
  <c r="D41" i="17"/>
  <c r="AF105" i="13"/>
  <c r="O162" i="1"/>
  <c r="P165" i="1"/>
  <c r="F60" i="60"/>
  <c r="F62" i="60"/>
  <c r="J100" i="3"/>
  <c r="G240" i="9" s="1"/>
  <c r="G239" i="9"/>
  <c r="G285" i="13"/>
  <c r="G273" i="13"/>
  <c r="G290" i="13"/>
  <c r="D92" i="9"/>
  <c r="G268" i="13"/>
  <c r="G270" i="13"/>
  <c r="G295" i="13"/>
  <c r="I295" i="13"/>
  <c r="F92" i="9"/>
  <c r="I270" i="13"/>
  <c r="I321" i="13" s="1"/>
  <c r="I285" i="13"/>
  <c r="I273" i="13"/>
  <c r="I290" i="13"/>
  <c r="I268" i="13"/>
  <c r="AB345" i="13"/>
  <c r="AB350" i="13"/>
  <c r="AB326" i="13"/>
  <c r="AB355" i="13"/>
  <c r="AB328" i="13"/>
  <c r="D62" i="60"/>
  <c r="D60" i="60"/>
  <c r="AH46" i="13"/>
  <c r="F43" i="38"/>
  <c r="F46" i="38" s="1"/>
  <c r="M91" i="3"/>
  <c r="L95" i="3"/>
  <c r="H41" i="17"/>
  <c r="AJ105" i="13"/>
  <c r="AL105" i="13" s="1"/>
  <c r="C54" i="28"/>
  <c r="E62" i="60"/>
  <c r="E60" i="60"/>
  <c r="P274" i="13"/>
  <c r="AD46" i="13"/>
  <c r="N77" i="1"/>
  <c r="AN54" i="1"/>
  <c r="AN60" i="1"/>
  <c r="AN112" i="1"/>
  <c r="AN106" i="1"/>
  <c r="AN107" i="1" s="1"/>
  <c r="AN96" i="1"/>
  <c r="AN90" i="1"/>
  <c r="AN91" i="1" s="1"/>
  <c r="AN43" i="13"/>
  <c r="AM104" i="1"/>
  <c r="AM98" i="1"/>
  <c r="J5" i="1"/>
  <c r="D6" i="15" s="1"/>
  <c r="AM489" i="1"/>
  <c r="K329" i="1"/>
  <c r="H40" i="9"/>
  <c r="Y41" i="17"/>
  <c r="AF41" i="17" s="1"/>
  <c r="G159" i="9"/>
  <c r="J105" i="13"/>
  <c r="J106" i="13" s="1"/>
  <c r="AO228" i="1"/>
  <c r="Q316" i="13"/>
  <c r="M396" i="13"/>
  <c r="N394" i="13"/>
  <c r="J133" i="9"/>
  <c r="AE321" i="13"/>
  <c r="AE322" i="13" s="1"/>
  <c r="AE276" i="13"/>
  <c r="W468" i="1"/>
  <c r="W428" i="1"/>
  <c r="W196" i="1"/>
  <c r="W531" i="1"/>
  <c r="W487" i="1"/>
  <c r="W318" i="1"/>
  <c r="W153" i="1"/>
  <c r="W536" i="1"/>
  <c r="W461" i="1"/>
  <c r="W256" i="1"/>
  <c r="W500" i="1"/>
  <c r="W397" i="1"/>
  <c r="W506" i="1"/>
  <c r="W133" i="1"/>
  <c r="W331" i="1"/>
  <c r="W73" i="1"/>
  <c r="W288" i="1"/>
  <c r="AD40" i="13"/>
  <c r="AD38" i="13"/>
  <c r="AD71" i="1"/>
  <c r="AD150" i="1"/>
  <c r="AH151" i="1" s="1"/>
  <c r="I16" i="38"/>
  <c r="H32" i="38"/>
  <c r="H34" i="38" s="1"/>
  <c r="H36" i="38" s="1"/>
  <c r="H41" i="38" s="1"/>
  <c r="AE151" i="1"/>
  <c r="AE34" i="1"/>
  <c r="AN310" i="1"/>
  <c r="AN304" i="1"/>
  <c r="AN338" i="1"/>
  <c r="AN332" i="1"/>
  <c r="AN354" i="1"/>
  <c r="AN348" i="1"/>
  <c r="AN349" i="1" s="1"/>
  <c r="AN228" i="1"/>
  <c r="AN263" i="1"/>
  <c r="AN257" i="1"/>
  <c r="AN279" i="1" s="1"/>
  <c r="AN280" i="1" s="1"/>
  <c r="F139" i="9"/>
  <c r="F140" i="9" s="1"/>
  <c r="X12" i="17"/>
  <c r="AE12" i="17" s="1"/>
  <c r="I433" i="13"/>
  <c r="I434" i="13" s="1"/>
  <c r="Z536" i="1"/>
  <c r="Z461" i="1"/>
  <c r="Z256" i="1"/>
  <c r="Z500" i="1"/>
  <c r="Z196" i="1"/>
  <c r="Z531" i="1"/>
  <c r="Z133" i="1"/>
  <c r="Z318" i="1"/>
  <c r="Z487" i="1"/>
  <c r="Z397" i="1"/>
  <c r="Z506" i="1"/>
  <c r="Z331" i="1"/>
  <c r="Z73" i="1"/>
  <c r="Z468" i="1"/>
  <c r="Z428" i="1"/>
  <c r="Z288" i="1"/>
  <c r="Z153" i="1"/>
  <c r="L121" i="3"/>
  <c r="K49" i="13"/>
  <c r="K365" i="13"/>
  <c r="AD41" i="13"/>
  <c r="I12" i="17"/>
  <c r="AK433" i="13"/>
  <c r="AK434" i="13" s="1"/>
  <c r="N26" i="3"/>
  <c r="J198" i="9"/>
  <c r="AF336" i="13"/>
  <c r="AF383" i="13"/>
  <c r="AF384" i="13" s="1"/>
  <c r="AK384" i="13"/>
  <c r="AK336" i="13"/>
  <c r="AK368" i="13" s="1"/>
  <c r="L104" i="13"/>
  <c r="L99" i="13"/>
  <c r="L46" i="3" s="1"/>
  <c r="I215" i="9" s="1"/>
  <c r="J549" i="28"/>
  <c r="O296" i="1"/>
  <c r="L18" i="9"/>
  <c r="P18" i="9" s="1"/>
  <c r="P295" i="1"/>
  <c r="AM263" i="1"/>
  <c r="AM257" i="1"/>
  <c r="AM279" i="1" s="1"/>
  <c r="AM280" i="1" s="1"/>
  <c r="AM88" i="1"/>
  <c r="AM82" i="1"/>
  <c r="AM83" i="1" s="1"/>
  <c r="AM120" i="1"/>
  <c r="AM114" i="1"/>
  <c r="AM106" i="1"/>
  <c r="AM112" i="1"/>
  <c r="AM354" i="1"/>
  <c r="AM349" i="1"/>
  <c r="F715" i="28"/>
  <c r="N417" i="13"/>
  <c r="H12" i="17"/>
  <c r="AJ433" i="13"/>
  <c r="AJ434" i="13" s="1"/>
  <c r="AH71" i="1"/>
  <c r="E2" i="1"/>
  <c r="E38" i="1" s="1"/>
  <c r="H196" i="13"/>
  <c r="H212" i="13" s="1"/>
  <c r="W4" i="17"/>
  <c r="H2" i="1"/>
  <c r="H38" i="1" s="1"/>
  <c r="E3" i="9"/>
  <c r="I37" i="3"/>
  <c r="C35" i="26"/>
  <c r="C36" i="26" s="1"/>
  <c r="L137" i="9"/>
  <c r="O409" i="13"/>
  <c r="O408" i="13" s="1"/>
  <c r="P407" i="13"/>
  <c r="X2" i="1"/>
  <c r="AH33" i="13"/>
  <c r="AD35" i="13"/>
  <c r="AD33" i="13"/>
  <c r="Y51" i="13"/>
  <c r="Y115" i="13"/>
  <c r="AE368" i="13"/>
  <c r="AE337" i="13"/>
  <c r="AN49" i="13"/>
  <c r="AO381" i="1"/>
  <c r="AO257" i="1"/>
  <c r="AO279" i="1" s="1"/>
  <c r="AO280" i="1" s="1"/>
  <c r="AO263" i="1"/>
  <c r="AO519" i="1"/>
  <c r="AO502" i="1"/>
  <c r="AO80" i="1"/>
  <c r="AO74" i="1"/>
  <c r="AO75" i="1" s="1"/>
  <c r="AO203" i="1"/>
  <c r="AO197" i="1"/>
  <c r="AO249" i="1" s="1"/>
  <c r="AO250" i="1" s="1"/>
  <c r="AO104" i="1"/>
  <c r="AO98" i="1"/>
  <c r="AO99" i="1" s="1"/>
  <c r="I217" i="9"/>
  <c r="M54" i="3"/>
  <c r="F173" i="9"/>
  <c r="F174" i="9" s="1"/>
  <c r="J181" i="13"/>
  <c r="I185" i="13"/>
  <c r="D4" i="17"/>
  <c r="AF2" i="1"/>
  <c r="AF35" i="1"/>
  <c r="AF37" i="1" s="1"/>
  <c r="AF196" i="13"/>
  <c r="I196" i="13"/>
  <c r="I212" i="13" s="1"/>
  <c r="X4" i="17"/>
  <c r="AE4" i="17" s="1"/>
  <c r="I2" i="1"/>
  <c r="I35" i="1"/>
  <c r="I37" i="1" s="1"/>
  <c r="F3" i="9"/>
  <c r="AA276" i="13"/>
  <c r="AA321" i="13"/>
  <c r="AA322" i="13" s="1"/>
  <c r="AP254" i="13"/>
  <c r="AP157" i="13"/>
  <c r="F5" i="17"/>
  <c r="AH325" i="13"/>
  <c r="AH503" i="1"/>
  <c r="AH505" i="1" s="1"/>
  <c r="AL503" i="1"/>
  <c r="AL505" i="1" s="1"/>
  <c r="AN80" i="1"/>
  <c r="AN74" i="1"/>
  <c r="AN75" i="1" s="1"/>
  <c r="AF321" i="13"/>
  <c r="AF322" i="13" s="1"/>
  <c r="AF276" i="13"/>
  <c r="AM60" i="1"/>
  <c r="AM54" i="1"/>
  <c r="AM62" i="1"/>
  <c r="AM68" i="1"/>
  <c r="O564" i="28"/>
  <c r="J194" i="9"/>
  <c r="N22" i="3"/>
  <c r="M14" i="3"/>
  <c r="I187" i="9"/>
  <c r="M301" i="13"/>
  <c r="L307" i="13"/>
  <c r="L305" i="13" s="1"/>
  <c r="L299" i="13"/>
  <c r="I104" i="9" s="1"/>
  <c r="AO338" i="1"/>
  <c r="AO332" i="1"/>
  <c r="J166" i="3"/>
  <c r="K166" i="3" s="1"/>
  <c r="L166" i="3" s="1"/>
  <c r="M166" i="3" s="1"/>
  <c r="N166" i="3" s="1"/>
  <c r="O166" i="3" s="1"/>
  <c r="J168" i="3"/>
  <c r="K168" i="3" s="1"/>
  <c r="L168" i="3" s="1"/>
  <c r="M168" i="3" s="1"/>
  <c r="N168" i="3" s="1"/>
  <c r="O168" i="3" s="1"/>
  <c r="M260" i="1"/>
  <c r="AP318" i="13"/>
  <c r="AN346" i="1"/>
  <c r="AN340" i="1"/>
  <c r="AN341" i="1" s="1"/>
  <c r="AN519" i="1"/>
  <c r="AN502" i="1"/>
  <c r="AN114" i="1"/>
  <c r="AN115" i="1" s="1"/>
  <c r="AN120" i="1"/>
  <c r="AN378" i="1"/>
  <c r="AN372" i="1"/>
  <c r="AN373" i="1" s="1"/>
  <c r="Z38" i="1"/>
  <c r="M361" i="13"/>
  <c r="L47" i="13"/>
  <c r="L367" i="13"/>
  <c r="L359" i="13"/>
  <c r="Z126" i="13"/>
  <c r="AD12" i="13"/>
  <c r="AH160" i="13"/>
  <c r="AH254" i="13"/>
  <c r="AH163" i="13" s="1"/>
  <c r="AB35" i="1"/>
  <c r="AB196" i="13"/>
  <c r="AB2" i="1"/>
  <c r="Y2" i="1"/>
  <c r="AP420" i="13"/>
  <c r="AP410" i="13"/>
  <c r="I550" i="28"/>
  <c r="AM80" i="1"/>
  <c r="AM74" i="1"/>
  <c r="AM310" i="1"/>
  <c r="AM372" i="1"/>
  <c r="AM378" i="1"/>
  <c r="AM228" i="1"/>
  <c r="AP227" i="1"/>
  <c r="AM502" i="1"/>
  <c r="AM519" i="1"/>
  <c r="J67" i="1"/>
  <c r="J79" i="1"/>
  <c r="J74" i="1" s="1"/>
  <c r="J111" i="1"/>
  <c r="J205" i="1"/>
  <c r="J345" i="1"/>
  <c r="J488" i="1"/>
  <c r="J95" i="1"/>
  <c r="J119" i="1"/>
  <c r="J159" i="1"/>
  <c r="J262" i="1"/>
  <c r="J353" i="1"/>
  <c r="J87" i="1"/>
  <c r="J213" i="1"/>
  <c r="J377" i="1"/>
  <c r="J522" i="1"/>
  <c r="J337" i="1"/>
  <c r="J491" i="1"/>
  <c r="J202" i="1"/>
  <c r="J59" i="1"/>
  <c r="J103" i="1"/>
  <c r="J127" i="1"/>
  <c r="J309" i="1"/>
  <c r="J518" i="1"/>
  <c r="H6" i="60"/>
  <c r="H4" i="60"/>
  <c r="M157" i="1"/>
  <c r="N48" i="13"/>
  <c r="N420" i="13"/>
  <c r="O419" i="13"/>
  <c r="O430" i="13"/>
  <c r="O411" i="13"/>
  <c r="P428" i="13"/>
  <c r="O415" i="13"/>
  <c r="O410" i="13"/>
  <c r="Q188" i="28"/>
  <c r="P317" i="13"/>
  <c r="P318" i="13" s="1"/>
  <c r="O160" i="13"/>
  <c r="P57" i="3"/>
  <c r="O58" i="3"/>
  <c r="L216" i="9" s="1"/>
  <c r="AO99" i="13"/>
  <c r="F105" i="3"/>
  <c r="D62" i="9"/>
  <c r="G43" i="13"/>
  <c r="D154" i="9"/>
  <c r="AL206" i="1"/>
  <c r="AL249" i="1"/>
  <c r="AL250" i="1" s="1"/>
  <c r="AK285" i="13"/>
  <c r="AK273" i="13"/>
  <c r="AK290" i="13"/>
  <c r="AK295" i="13"/>
  <c r="AK270" i="13"/>
  <c r="AK268" i="13"/>
  <c r="N343" i="1"/>
  <c r="AO96" i="1"/>
  <c r="AO90" i="1"/>
  <c r="AO91" i="1" s="1"/>
  <c r="AO120" i="1"/>
  <c r="AO114" i="1"/>
  <c r="AO115" i="1" s="1"/>
  <c r="AO160" i="1"/>
  <c r="AO154" i="1"/>
  <c r="AO489" i="1"/>
  <c r="AO304" i="1"/>
  <c r="AO310" i="1"/>
  <c r="AL401" i="13"/>
  <c r="AL423" i="13" s="1"/>
  <c r="D129" i="9"/>
  <c r="AI34" i="1"/>
  <c r="AI151" i="1"/>
  <c r="AD30" i="13"/>
  <c r="AD28" i="13"/>
  <c r="AL237" i="13"/>
  <c r="AL78" i="13" s="1"/>
  <c r="AL80" i="13" s="1"/>
  <c r="AL46" i="13"/>
  <c r="N109" i="1"/>
  <c r="AN82" i="1"/>
  <c r="AN83" i="1" s="1"/>
  <c r="AN88" i="1"/>
  <c r="AN160" i="1"/>
  <c r="AN154" i="1"/>
  <c r="AN62" i="1"/>
  <c r="AN63" i="1" s="1"/>
  <c r="AN68" i="1"/>
  <c r="AG336" i="13"/>
  <c r="AG383" i="13"/>
  <c r="AG384" i="13" s="1"/>
  <c r="AM341" i="1"/>
  <c r="AM346" i="1"/>
  <c r="W148" i="13"/>
  <c r="W149" i="13"/>
  <c r="I155" i="3"/>
  <c r="AH433" i="13"/>
  <c r="AH434" i="13" s="1"/>
  <c r="F12" i="17"/>
  <c r="H180" i="13"/>
  <c r="AO68" i="1"/>
  <c r="AO62" i="1"/>
  <c r="AO63" i="1" s="1"/>
  <c r="AO354" i="1"/>
  <c r="AO348" i="1"/>
  <c r="AO349" i="1" s="1"/>
  <c r="AO427" i="1"/>
  <c r="AO37" i="1"/>
  <c r="AO505" i="1"/>
  <c r="AO54" i="1"/>
  <c r="AO60" i="1"/>
  <c r="AL71" i="1"/>
  <c r="AL72" i="1" s="1"/>
  <c r="AL150" i="1"/>
  <c r="C3" i="9"/>
  <c r="F35" i="1"/>
  <c r="F2" i="1"/>
  <c r="F38" i="1" s="1"/>
  <c r="J138" i="9"/>
  <c r="AC196" i="13"/>
  <c r="AC35" i="1"/>
  <c r="AC2" i="1"/>
  <c r="AH43" i="13"/>
  <c r="Y148" i="13"/>
  <c r="Y149" i="13"/>
  <c r="AI384" i="13"/>
  <c r="AI336" i="13"/>
  <c r="AI368" i="13" s="1"/>
  <c r="J183" i="9"/>
  <c r="N8" i="3"/>
  <c r="AI433" i="13"/>
  <c r="AI434" i="13" s="1"/>
  <c r="G12" i="17"/>
  <c r="D151" i="1"/>
  <c r="D34" i="1"/>
  <c r="E151" i="1"/>
  <c r="M93" i="1"/>
  <c r="AN104" i="1"/>
  <c r="AN98" i="1"/>
  <c r="AN99" i="1" s="1"/>
  <c r="AN427" i="1"/>
  <c r="AN37" i="1"/>
  <c r="AN505" i="1"/>
  <c r="AN489" i="1"/>
  <c r="AN128" i="1"/>
  <c r="AN122" i="1"/>
  <c r="AN123" i="1" s="1"/>
  <c r="AN381" i="1"/>
  <c r="AN203" i="1"/>
  <c r="AN197" i="1"/>
  <c r="AN249" i="1" s="1"/>
  <c r="AN250" i="1" s="1"/>
  <c r="H124" i="9"/>
  <c r="K41" i="13"/>
  <c r="I200" i="9"/>
  <c r="E139" i="9"/>
  <c r="E140" i="9" s="1"/>
  <c r="W12" i="17"/>
  <c r="H433" i="13"/>
  <c r="H434" i="13" s="1"/>
  <c r="G21" i="38"/>
  <c r="G23" i="38" s="1"/>
  <c r="G25" i="38" s="1"/>
  <c r="G30" i="38" s="1"/>
  <c r="G43" i="38" s="1"/>
  <c r="G46" i="38" s="1"/>
  <c r="H18" i="38"/>
  <c r="AM338" i="1"/>
  <c r="AM332" i="1"/>
  <c r="AM394" i="1" s="1"/>
  <c r="AM197" i="1"/>
  <c r="AM203" i="1"/>
  <c r="AM96" i="1"/>
  <c r="AM90" i="1"/>
  <c r="AM91" i="1" s="1"/>
  <c r="AM154" i="1"/>
  <c r="AM160" i="1"/>
  <c r="AM122" i="1"/>
  <c r="AM128" i="1"/>
  <c r="L328" i="1"/>
  <c r="M319" i="1"/>
  <c r="L320" i="1"/>
  <c r="I5" i="60"/>
  <c r="I39" i="9"/>
  <c r="G714" i="28"/>
  <c r="AA25" i="17"/>
  <c r="AH25" i="17" s="1"/>
  <c r="K138" i="9"/>
  <c r="N412" i="13"/>
  <c r="AH34" i="1"/>
  <c r="AP365" i="13"/>
  <c r="X126" i="13"/>
  <c r="X130" i="13"/>
  <c r="X133" i="13" s="1"/>
  <c r="X120" i="13"/>
  <c r="AG196" i="13"/>
  <c r="AG2" i="1"/>
  <c r="E4" i="17"/>
  <c r="AG35" i="1"/>
  <c r="AG37" i="1" s="1"/>
  <c r="AO122" i="1"/>
  <c r="AO123" i="1" s="1"/>
  <c r="AO128" i="1"/>
  <c r="AO378" i="1"/>
  <c r="AO372" i="1"/>
  <c r="AO373" i="1" s="1"/>
  <c r="AO346" i="1"/>
  <c r="AO340" i="1"/>
  <c r="AO341" i="1" s="1"/>
  <c r="AO88" i="1"/>
  <c r="AO82" i="1"/>
  <c r="AO83" i="1" s="1"/>
  <c r="AO112" i="1"/>
  <c r="AO106" i="1"/>
  <c r="AO107" i="1" s="1"/>
  <c r="N65" i="1"/>
  <c r="H186" i="13"/>
  <c r="H184" i="13"/>
  <c r="AD239" i="13"/>
  <c r="AB285" i="13"/>
  <c r="AB270" i="13"/>
  <c r="AB273" i="13"/>
  <c r="AB268" i="13"/>
  <c r="AB290" i="13"/>
  <c r="AB295" i="13"/>
  <c r="P227" i="1"/>
  <c r="O228" i="1"/>
  <c r="O473" i="28" l="1"/>
  <c r="Y25" i="28"/>
  <c r="AG25" i="28"/>
  <c r="J497" i="1"/>
  <c r="AN394" i="1"/>
  <c r="N265" i="1"/>
  <c r="M285" i="1"/>
  <c r="H488" i="28"/>
  <c r="H489" i="28" s="1"/>
  <c r="M266" i="1"/>
  <c r="AO394" i="1"/>
  <c r="Z120" i="13"/>
  <c r="K78" i="13"/>
  <c r="K80" i="13" s="1"/>
  <c r="AL381" i="13"/>
  <c r="AL382" i="13" s="1"/>
  <c r="AH105" i="13"/>
  <c r="AH106" i="13" s="1"/>
  <c r="AL106" i="13"/>
  <c r="AP412" i="13"/>
  <c r="AP78" i="13" s="1"/>
  <c r="AP80" i="13" s="1"/>
  <c r="AL369" i="13"/>
  <c r="AH268" i="13"/>
  <c r="AL337" i="13"/>
  <c r="I371" i="13"/>
  <c r="AD371" i="13"/>
  <c r="AJ321" i="13"/>
  <c r="AJ322" i="13" s="1"/>
  <c r="AD338" i="13"/>
  <c r="AP41" i="13"/>
  <c r="AP43" i="13" s="1"/>
  <c r="F125" i="9"/>
  <c r="X10" i="17"/>
  <c r="I381" i="13"/>
  <c r="I382" i="13" s="1"/>
  <c r="I369" i="13"/>
  <c r="D39" i="28" s="1"/>
  <c r="D38" i="28" s="1"/>
  <c r="AL290" i="13"/>
  <c r="AL280" i="13"/>
  <c r="AJ204" i="13"/>
  <c r="AJ212" i="13"/>
  <c r="AC383" i="13"/>
  <c r="AC384" i="13" s="1"/>
  <c r="AK196" i="13"/>
  <c r="AK199" i="13" s="1"/>
  <c r="AK260" i="13" s="1"/>
  <c r="AL295" i="13"/>
  <c r="AD381" i="13"/>
  <c r="AD382" i="13" s="1"/>
  <c r="AL270" i="13"/>
  <c r="AL276" i="13" s="1"/>
  <c r="AJ318" i="1"/>
  <c r="AD270" i="13"/>
  <c r="AD276" i="13" s="1"/>
  <c r="AJ73" i="1"/>
  <c r="AD273" i="13"/>
  <c r="AJ506" i="1"/>
  <c r="AJ461" i="1"/>
  <c r="H7" i="17"/>
  <c r="AD268" i="13"/>
  <c r="AJ397" i="1"/>
  <c r="AJ196" i="1"/>
  <c r="AD295" i="13"/>
  <c r="AD290" i="13"/>
  <c r="AJ3" i="1"/>
  <c r="AJ500" i="1"/>
  <c r="AJ153" i="1"/>
  <c r="AJ468" i="1"/>
  <c r="AL285" i="13"/>
  <c r="AJ428" i="1"/>
  <c r="AJ288" i="1"/>
  <c r="AJ331" i="1"/>
  <c r="H381" i="13"/>
  <c r="H382" i="13" s="1"/>
  <c r="H369" i="13"/>
  <c r="C39" i="28" s="1"/>
  <c r="C38" i="28" s="1"/>
  <c r="W10" i="17"/>
  <c r="W16" i="17" s="1"/>
  <c r="E125" i="9"/>
  <c r="E127" i="9" s="1"/>
  <c r="AA35" i="1"/>
  <c r="D53" i="1"/>
  <c r="D45" i="1"/>
  <c r="D42" i="1"/>
  <c r="D49" i="1"/>
  <c r="C2" i="1"/>
  <c r="C196" i="1" s="1"/>
  <c r="C49" i="1"/>
  <c r="C53" i="1"/>
  <c r="C45" i="1"/>
  <c r="C42" i="1"/>
  <c r="V4" i="17"/>
  <c r="G42" i="1"/>
  <c r="G49" i="1"/>
  <c r="G45" i="1"/>
  <c r="G53" i="1"/>
  <c r="H371" i="13"/>
  <c r="AA2" i="1"/>
  <c r="AA38" i="1" s="1"/>
  <c r="H35" i="1"/>
  <c r="H37" i="1" s="1"/>
  <c r="AD383" i="13"/>
  <c r="AD384" i="13" s="1"/>
  <c r="AD337" i="13"/>
  <c r="X38" i="1"/>
  <c r="AC38" i="1"/>
  <c r="AB38" i="1"/>
  <c r="AP101" i="13"/>
  <c r="AO104" i="13"/>
  <c r="AO105" i="13" s="1"/>
  <c r="AJ337" i="13"/>
  <c r="N146" i="1"/>
  <c r="H248" i="28"/>
  <c r="H249" i="28" s="1"/>
  <c r="J33" i="9"/>
  <c r="M147" i="1"/>
  <c r="N391" i="1"/>
  <c r="J21" i="9"/>
  <c r="M392" i="1"/>
  <c r="H685" i="28"/>
  <c r="O143" i="1"/>
  <c r="R143" i="1"/>
  <c r="AC35" i="17"/>
  <c r="AJ35" i="17" s="1"/>
  <c r="N144" i="1"/>
  <c r="I128" i="28"/>
  <c r="I129" i="28" s="1"/>
  <c r="K57" i="60"/>
  <c r="M277" i="1"/>
  <c r="P225" i="1"/>
  <c r="Q224" i="1"/>
  <c r="K398" i="28"/>
  <c r="K399" i="28" s="1"/>
  <c r="I52" i="60"/>
  <c r="I54" i="60"/>
  <c r="N312" i="1"/>
  <c r="H579" i="28"/>
  <c r="H580" i="28" s="1"/>
  <c r="M313" i="1"/>
  <c r="J20" i="9"/>
  <c r="J58" i="60"/>
  <c r="J56" i="60"/>
  <c r="N289" i="1"/>
  <c r="AB31" i="17"/>
  <c r="AI31" i="17" s="1"/>
  <c r="J19" i="9"/>
  <c r="M298" i="1"/>
  <c r="M299" i="1" s="1"/>
  <c r="M290" i="1"/>
  <c r="J53" i="60"/>
  <c r="H519" i="28"/>
  <c r="H520" i="28" s="1"/>
  <c r="G2" i="1"/>
  <c r="G38" i="1" s="1"/>
  <c r="AJ222" i="13"/>
  <c r="G369" i="13"/>
  <c r="V10" i="17"/>
  <c r="V16" i="17" s="1"/>
  <c r="G371" i="13"/>
  <c r="G381" i="13"/>
  <c r="G382" i="13" s="1"/>
  <c r="D125" i="9"/>
  <c r="AN104" i="13"/>
  <c r="AN105" i="13" s="1"/>
  <c r="AN106" i="13" s="1"/>
  <c r="AJ217" i="13"/>
  <c r="AJ3" i="13"/>
  <c r="AJ227" i="13"/>
  <c r="AJ197" i="13"/>
  <c r="AJ199" i="13"/>
  <c r="AL268" i="13"/>
  <c r="G35" i="1"/>
  <c r="G37" i="1" s="1"/>
  <c r="G196" i="13"/>
  <c r="D3" i="9"/>
  <c r="D43" i="9" s="1"/>
  <c r="M353" i="28"/>
  <c r="N353" i="28" s="1"/>
  <c r="O353" i="28" s="1"/>
  <c r="M109" i="3"/>
  <c r="AG321" i="13"/>
  <c r="AG322" i="13" s="1"/>
  <c r="AG276" i="13"/>
  <c r="J69" i="60"/>
  <c r="K1" i="60"/>
  <c r="M28" i="3"/>
  <c r="I4" i="17"/>
  <c r="W126" i="13"/>
  <c r="W130" i="13"/>
  <c r="W133" i="13" s="1"/>
  <c r="W120" i="13"/>
  <c r="H180" i="9"/>
  <c r="AM99" i="13"/>
  <c r="I8" i="60"/>
  <c r="I10" i="60"/>
  <c r="N268" i="1"/>
  <c r="J9" i="60"/>
  <c r="AB33" i="17"/>
  <c r="AI33" i="17" s="1"/>
  <c r="M269" i="1"/>
  <c r="H428" i="28"/>
  <c r="H429" i="28" s="1"/>
  <c r="J41" i="9"/>
  <c r="AM373" i="1"/>
  <c r="K26" i="17"/>
  <c r="K21" i="17"/>
  <c r="AM123" i="1"/>
  <c r="K29" i="17"/>
  <c r="AM249" i="1"/>
  <c r="AM250" i="1" s="1"/>
  <c r="K22" i="17"/>
  <c r="AM107" i="1"/>
  <c r="K28" i="17"/>
  <c r="K41" i="17"/>
  <c r="K5" i="17"/>
  <c r="AM115" i="1"/>
  <c r="K30" i="17"/>
  <c r="K20" i="17"/>
  <c r="AM75" i="1"/>
  <c r="K24" i="17"/>
  <c r="AM63" i="1"/>
  <c r="K23" i="17"/>
  <c r="AM99" i="1"/>
  <c r="K27" i="17"/>
  <c r="AP104" i="13"/>
  <c r="AK35" i="1"/>
  <c r="AO64" i="1"/>
  <c r="AK2" i="1"/>
  <c r="AK38" i="1" s="1"/>
  <c r="I293" i="28"/>
  <c r="I294" i="28" s="1"/>
  <c r="AN100" i="1"/>
  <c r="N163" i="1"/>
  <c r="N164" i="1" s="1"/>
  <c r="AD49" i="13"/>
  <c r="AO84" i="1"/>
  <c r="AO374" i="1"/>
  <c r="AN108" i="1"/>
  <c r="K99" i="60"/>
  <c r="K98" i="60" s="1"/>
  <c r="E7" i="28"/>
  <c r="F7" i="28" s="1"/>
  <c r="T113" i="28" s="1"/>
  <c r="M237" i="13"/>
  <c r="AO350" i="1"/>
  <c r="N99" i="13"/>
  <c r="N46" i="3" s="1"/>
  <c r="K215" i="9" s="1"/>
  <c r="N104" i="13"/>
  <c r="K159" i="9" s="1"/>
  <c r="O159" i="9" s="1"/>
  <c r="P89" i="13"/>
  <c r="Q88" i="13"/>
  <c r="Q89" i="13" s="1"/>
  <c r="N167" i="13"/>
  <c r="O380" i="13"/>
  <c r="AJ277" i="13"/>
  <c r="AJ308" i="13"/>
  <c r="I44" i="28"/>
  <c r="K17" i="26"/>
  <c r="AA336" i="13"/>
  <c r="AA383" i="13"/>
  <c r="AA384" i="13" s="1"/>
  <c r="O100" i="13"/>
  <c r="O93" i="13"/>
  <c r="O97" i="13" s="1"/>
  <c r="O206" i="13"/>
  <c r="O254" i="13"/>
  <c r="O163" i="13" s="1"/>
  <c r="O157" i="13"/>
  <c r="P252" i="13"/>
  <c r="L91" i="60"/>
  <c r="L90" i="60" s="1"/>
  <c r="O323" i="1"/>
  <c r="P322" i="1"/>
  <c r="J729" i="28"/>
  <c r="J730" i="28" s="1"/>
  <c r="O15" i="3"/>
  <c r="K188" i="9"/>
  <c r="B500" i="1"/>
  <c r="B397" i="1"/>
  <c r="B331" i="1"/>
  <c r="B21" i="3"/>
  <c r="B196" i="1"/>
  <c r="B73" i="1"/>
  <c r="B468" i="1"/>
  <c r="B318" i="1"/>
  <c r="B256" i="1"/>
  <c r="B153" i="1"/>
  <c r="B133" i="1"/>
  <c r="B536" i="1"/>
  <c r="B288" i="1"/>
  <c r="B11" i="3"/>
  <c r="B13" i="3"/>
  <c r="B506" i="1"/>
  <c r="B531" i="1"/>
  <c r="B428" i="1"/>
  <c r="B487" i="1"/>
  <c r="O233" i="13"/>
  <c r="N239" i="13"/>
  <c r="J197" i="9"/>
  <c r="N25" i="3"/>
  <c r="N109" i="3" s="1"/>
  <c r="AH290" i="13"/>
  <c r="AH285" i="13"/>
  <c r="AH273" i="13"/>
  <c r="AH270" i="13"/>
  <c r="AH295" i="13"/>
  <c r="AO92" i="1"/>
  <c r="AI308" i="13"/>
  <c r="AI277" i="13"/>
  <c r="AC311" i="13"/>
  <c r="AC309" i="13"/>
  <c r="AC310" i="13" s="1"/>
  <c r="M119" i="3"/>
  <c r="N27" i="3"/>
  <c r="J199" i="9"/>
  <c r="O232" i="13"/>
  <c r="N238" i="13"/>
  <c r="N231" i="13"/>
  <c r="O6" i="3"/>
  <c r="K182" i="9"/>
  <c r="M120" i="3"/>
  <c r="J205" i="9"/>
  <c r="N35" i="3"/>
  <c r="O145" i="3"/>
  <c r="N84" i="3"/>
  <c r="K234" i="9" s="1"/>
  <c r="N149" i="3"/>
  <c r="N154" i="3" s="1"/>
  <c r="O300" i="13"/>
  <c r="N306" i="13"/>
  <c r="N360" i="13"/>
  <c r="M366" i="13"/>
  <c r="M46" i="13" s="1"/>
  <c r="M44" i="13"/>
  <c r="G321" i="13"/>
  <c r="D94" i="9"/>
  <c r="G276" i="13"/>
  <c r="E101" i="9"/>
  <c r="E99" i="9"/>
  <c r="E103" i="9"/>
  <c r="AN92" i="1"/>
  <c r="AB336" i="13"/>
  <c r="AF338" i="13" s="1"/>
  <c r="AB383" i="13"/>
  <c r="AB384" i="13" s="1"/>
  <c r="AC338" i="13"/>
  <c r="AC337" i="13"/>
  <c r="AC368" i="13"/>
  <c r="Q165" i="1"/>
  <c r="Q162" i="1" s="1"/>
  <c r="P162" i="1"/>
  <c r="H276" i="13"/>
  <c r="E94" i="9"/>
  <c r="H321" i="13"/>
  <c r="AN116" i="1"/>
  <c r="AF38" i="1"/>
  <c r="AO100" i="1"/>
  <c r="L167" i="3"/>
  <c r="L96" i="3"/>
  <c r="F94" i="9"/>
  <c r="I276" i="13"/>
  <c r="I308" i="13" s="1"/>
  <c r="D99" i="9"/>
  <c r="D103" i="9"/>
  <c r="D101" i="9"/>
  <c r="O163" i="1"/>
  <c r="O164" i="1" s="1"/>
  <c r="L99" i="60"/>
  <c r="L98" i="60" s="1"/>
  <c r="J293" i="28"/>
  <c r="AO124" i="1"/>
  <c r="AP163" i="13"/>
  <c r="N91" i="3"/>
  <c r="M95" i="3"/>
  <c r="F101" i="9"/>
  <c r="F99" i="9"/>
  <c r="F103" i="9"/>
  <c r="AG204" i="13"/>
  <c r="AG199" i="13"/>
  <c r="AG197" i="13"/>
  <c r="AG217" i="13"/>
  <c r="AG222" i="13"/>
  <c r="AG3" i="13"/>
  <c r="AG227" i="13"/>
  <c r="F4" i="17"/>
  <c r="AH2" i="1"/>
  <c r="AH38" i="1" s="1"/>
  <c r="AH196" i="13"/>
  <c r="D35" i="1"/>
  <c r="D2" i="1"/>
  <c r="D38" i="1" s="1"/>
  <c r="AI337" i="13"/>
  <c r="AI338" i="13"/>
  <c r="AO55" i="1"/>
  <c r="AO56" i="1" s="1"/>
  <c r="AO70" i="1"/>
  <c r="I160" i="3"/>
  <c r="J151" i="3"/>
  <c r="J155" i="3" s="1"/>
  <c r="AO305" i="1"/>
  <c r="AO315" i="1"/>
  <c r="O343" i="1"/>
  <c r="R343" i="1"/>
  <c r="J82" i="1"/>
  <c r="K87" i="1"/>
  <c r="AP87" i="1"/>
  <c r="J88" i="1"/>
  <c r="K488" i="1"/>
  <c r="J489" i="1"/>
  <c r="AP488" i="1"/>
  <c r="K67" i="1"/>
  <c r="J62" i="1"/>
  <c r="J68" i="1"/>
  <c r="AP67" i="1"/>
  <c r="L49" i="13"/>
  <c r="L365" i="13"/>
  <c r="L78" i="13" s="1"/>
  <c r="L80" i="13" s="1"/>
  <c r="AM70" i="1"/>
  <c r="AM55" i="1"/>
  <c r="AH345" i="13"/>
  <c r="AL326" i="13"/>
  <c r="AH326" i="13"/>
  <c r="AH350" i="13"/>
  <c r="AH331" i="13"/>
  <c r="AH328" i="13"/>
  <c r="AH355" i="13"/>
  <c r="Q295" i="1"/>
  <c r="K549" i="28"/>
  <c r="M18" i="9"/>
  <c r="P296" i="1"/>
  <c r="M121" i="3"/>
  <c r="N121" i="3" s="1"/>
  <c r="O121" i="3" s="1"/>
  <c r="P121" i="3" s="1"/>
  <c r="Q121" i="3" s="1"/>
  <c r="AE35" i="1"/>
  <c r="AE37" i="1" s="1"/>
  <c r="AE196" i="13"/>
  <c r="AE2" i="1"/>
  <c r="AE38" i="1" s="1"/>
  <c r="I180" i="9"/>
  <c r="M5" i="3"/>
  <c r="AN498" i="1"/>
  <c r="G4" i="17"/>
  <c r="AI2" i="1"/>
  <c r="AI454" i="1" s="1"/>
  <c r="AI35" i="1"/>
  <c r="AI36" i="1" s="1"/>
  <c r="AI196" i="13"/>
  <c r="AI212" i="13" s="1"/>
  <c r="Q317" i="13"/>
  <c r="Q160" i="13" s="1"/>
  <c r="P160" i="13"/>
  <c r="L138" i="9"/>
  <c r="O412" i="13"/>
  <c r="N157" i="1"/>
  <c r="K127" i="1"/>
  <c r="J128" i="1"/>
  <c r="AP127" i="1"/>
  <c r="J122" i="1"/>
  <c r="J197" i="1"/>
  <c r="K202" i="1"/>
  <c r="AP202" i="1"/>
  <c r="J203" i="1"/>
  <c r="J372" i="1"/>
  <c r="K377" i="1"/>
  <c r="J378" i="1"/>
  <c r="AP377" i="1"/>
  <c r="K159" i="1"/>
  <c r="AP159" i="1"/>
  <c r="J160" i="1"/>
  <c r="J154" i="1"/>
  <c r="K205" i="1"/>
  <c r="AP205" i="1"/>
  <c r="AP206" i="1" s="1"/>
  <c r="J206" i="1"/>
  <c r="AB500" i="1"/>
  <c r="AB133" i="1"/>
  <c r="AB196" i="1"/>
  <c r="AB506" i="1"/>
  <c r="AB487" i="1"/>
  <c r="AB248" i="1" s="1"/>
  <c r="AB256" i="1"/>
  <c r="AB531" i="1"/>
  <c r="AB3" i="1"/>
  <c r="AB5" i="1" s="1"/>
  <c r="AB397" i="1"/>
  <c r="AB73" i="1"/>
  <c r="AB536" i="1"/>
  <c r="AB461" i="1"/>
  <c r="AB468" i="1"/>
  <c r="AB331" i="1"/>
  <c r="AB428" i="1"/>
  <c r="AB288" i="1"/>
  <c r="AB153" i="1"/>
  <c r="AB318" i="1"/>
  <c r="I11" i="3"/>
  <c r="J11" i="3" s="1"/>
  <c r="K11" i="3" s="1"/>
  <c r="L11" i="3" s="1"/>
  <c r="M11" i="3" s="1"/>
  <c r="N11" i="3" s="1"/>
  <c r="O11" i="3" s="1"/>
  <c r="P11" i="3" s="1"/>
  <c r="Q11" i="3" s="1"/>
  <c r="I13" i="3"/>
  <c r="J13" i="3" s="1"/>
  <c r="K13" i="3" s="1"/>
  <c r="L13" i="3" s="1"/>
  <c r="M13" i="3" s="1"/>
  <c r="N13" i="3" s="1"/>
  <c r="O13" i="3" s="1"/>
  <c r="P13" i="3" s="1"/>
  <c r="Q13" i="3" s="1"/>
  <c r="F233" i="60"/>
  <c r="F234" i="60" s="1"/>
  <c r="F227" i="60"/>
  <c r="F228" i="60"/>
  <c r="F265" i="60"/>
  <c r="F284" i="60"/>
  <c r="F258" i="60"/>
  <c r="F277" i="60"/>
  <c r="F244" i="60"/>
  <c r="F255" i="60"/>
  <c r="F273" i="60"/>
  <c r="F240" i="60"/>
  <c r="F256" i="60"/>
  <c r="F287" i="60"/>
  <c r="F274" i="60"/>
  <c r="F238" i="60"/>
  <c r="I461" i="1"/>
  <c r="I73" i="1"/>
  <c r="I288" i="1"/>
  <c r="F231" i="60"/>
  <c r="F226" i="60"/>
  <c r="F269" i="60"/>
  <c r="F243" i="60"/>
  <c r="F262" i="60"/>
  <c r="F281" i="60"/>
  <c r="F248" i="60"/>
  <c r="F259" i="60"/>
  <c r="F278" i="60"/>
  <c r="F245" i="60"/>
  <c r="F268" i="60"/>
  <c r="F264" i="60"/>
  <c r="F250" i="60"/>
  <c r="F241" i="60"/>
  <c r="X7" i="17"/>
  <c r="AE7" i="17" s="1"/>
  <c r="I506" i="1"/>
  <c r="I318" i="1"/>
  <c r="I428" i="1"/>
  <c r="I500" i="1"/>
  <c r="F225" i="60"/>
  <c r="F229" i="60"/>
  <c r="F257" i="60"/>
  <c r="F276" i="60"/>
  <c r="F247" i="60"/>
  <c r="F266" i="60"/>
  <c r="F285" i="60"/>
  <c r="F252" i="60"/>
  <c r="F263" i="60"/>
  <c r="F282" i="60"/>
  <c r="F249" i="60"/>
  <c r="F279" i="60"/>
  <c r="F283" i="60"/>
  <c r="F272" i="60"/>
  <c r="I468" i="1"/>
  <c r="I256" i="1"/>
  <c r="F230" i="60"/>
  <c r="F223" i="60"/>
  <c r="F224" i="60"/>
  <c r="F261" i="60"/>
  <c r="F280" i="60"/>
  <c r="F251" i="60"/>
  <c r="F270" i="60"/>
  <c r="F239" i="60"/>
  <c r="F260" i="60"/>
  <c r="F267" i="60"/>
  <c r="F286" i="60"/>
  <c r="F253" i="60"/>
  <c r="F242" i="60"/>
  <c r="F246" i="60"/>
  <c r="F275" i="60"/>
  <c r="I3" i="1"/>
  <c r="I5" i="1" s="1"/>
  <c r="D23" i="15" s="1"/>
  <c r="I331" i="1"/>
  <c r="I196" i="1"/>
  <c r="I397" i="1"/>
  <c r="I21" i="3"/>
  <c r="J21" i="3" s="1"/>
  <c r="K21" i="3" s="1"/>
  <c r="L21" i="3" s="1"/>
  <c r="M21" i="3" s="1"/>
  <c r="N21" i="3" s="1"/>
  <c r="O21" i="3" s="1"/>
  <c r="P21" i="3" s="1"/>
  <c r="Q21" i="3" s="1"/>
  <c r="I153" i="1"/>
  <c r="N54" i="3"/>
  <c r="J217" i="9"/>
  <c r="X536" i="1"/>
  <c r="X331" i="1"/>
  <c r="X256" i="1"/>
  <c r="X428" i="1"/>
  <c r="X133" i="1"/>
  <c r="X500" i="1"/>
  <c r="X468" i="1"/>
  <c r="X487" i="1"/>
  <c r="X531" i="1"/>
  <c r="X153" i="1"/>
  <c r="X73" i="1"/>
  <c r="X288" i="1"/>
  <c r="X318" i="1"/>
  <c r="X196" i="1"/>
  <c r="X506" i="1"/>
  <c r="X461" i="1"/>
  <c r="X397" i="1"/>
  <c r="K198" i="9"/>
  <c r="O26" i="3"/>
  <c r="AN333" i="1"/>
  <c r="AN334" i="1" s="1"/>
  <c r="I32" i="38"/>
  <c r="I34" i="38" s="1"/>
  <c r="I36" i="38" s="1"/>
  <c r="I41" i="38" s="1"/>
  <c r="J16" i="38"/>
  <c r="AN55" i="1"/>
  <c r="AN56" i="1" s="1"/>
  <c r="AN70" i="1"/>
  <c r="L329" i="1"/>
  <c r="I40" i="9"/>
  <c r="N93" i="1"/>
  <c r="O8" i="3"/>
  <c r="K183" i="9"/>
  <c r="AC204" i="13"/>
  <c r="AC227" i="13"/>
  <c r="AC222" i="13"/>
  <c r="AC199" i="13"/>
  <c r="AC197" i="13"/>
  <c r="AC3" i="13"/>
  <c r="AC217" i="13"/>
  <c r="AL34" i="1"/>
  <c r="AL151" i="1"/>
  <c r="AN64" i="1"/>
  <c r="O417" i="13"/>
  <c r="J98" i="1"/>
  <c r="K103" i="1"/>
  <c r="AP103" i="1"/>
  <c r="J104" i="1"/>
  <c r="J365" i="1"/>
  <c r="AP365" i="1"/>
  <c r="E323" i="28"/>
  <c r="E669" i="28"/>
  <c r="AM503" i="1"/>
  <c r="AM505" i="1" s="1"/>
  <c r="J505" i="1" s="1"/>
  <c r="AM325" i="13"/>
  <c r="AB197" i="13"/>
  <c r="AB217" i="13"/>
  <c r="AB199" i="13"/>
  <c r="AB227" i="13"/>
  <c r="AB3" i="13"/>
  <c r="AB222" i="13"/>
  <c r="AB204" i="13"/>
  <c r="N361" i="13"/>
  <c r="M359" i="13"/>
  <c r="M367" i="13"/>
  <c r="M47" i="13"/>
  <c r="O22" i="3"/>
  <c r="K194" i="9"/>
  <c r="AF277" i="13"/>
  <c r="AF308" i="13"/>
  <c r="AJ278" i="13"/>
  <c r="AA308" i="13"/>
  <c r="AA277" i="13"/>
  <c r="AA278" i="13"/>
  <c r="AF217" i="13"/>
  <c r="AF199" i="13"/>
  <c r="AF222" i="13"/>
  <c r="AF204" i="13"/>
  <c r="AF197" i="13"/>
  <c r="AF3" i="13"/>
  <c r="AF227" i="13"/>
  <c r="K181" i="13"/>
  <c r="J185" i="13"/>
  <c r="G173" i="9"/>
  <c r="G174" i="9" s="1"/>
  <c r="Y130" i="13"/>
  <c r="Y133" i="13" s="1"/>
  <c r="Y120" i="13"/>
  <c r="Y126" i="13"/>
  <c r="M137" i="9"/>
  <c r="P409" i="13"/>
  <c r="P408" i="13" s="1"/>
  <c r="Q407" i="13"/>
  <c r="H21" i="3"/>
  <c r="H468" i="1"/>
  <c r="H196" i="1"/>
  <c r="H500" i="1"/>
  <c r="H506" i="1"/>
  <c r="H13" i="3"/>
  <c r="H256" i="1"/>
  <c r="H73" i="1"/>
  <c r="H461" i="1"/>
  <c r="H11" i="3"/>
  <c r="H331" i="1"/>
  <c r="W7" i="17"/>
  <c r="H318" i="1"/>
  <c r="H428" i="1"/>
  <c r="H288" i="1"/>
  <c r="H153" i="1"/>
  <c r="H397" i="1"/>
  <c r="E536" i="1"/>
  <c r="E468" i="1"/>
  <c r="E331" i="1"/>
  <c r="E506" i="1"/>
  <c r="E21" i="3"/>
  <c r="E428" i="1"/>
  <c r="E196" i="1"/>
  <c r="E73" i="1"/>
  <c r="E531" i="1"/>
  <c r="E133" i="1"/>
  <c r="E11" i="3"/>
  <c r="E500" i="1"/>
  <c r="E13" i="3"/>
  <c r="E318" i="1"/>
  <c r="E487" i="1"/>
  <c r="E461" i="1"/>
  <c r="E288" i="1"/>
  <c r="E153" i="1"/>
  <c r="E397" i="1"/>
  <c r="E256" i="1"/>
  <c r="I159" i="9"/>
  <c r="AF337" i="13"/>
  <c r="AF368" i="13"/>
  <c r="AJ371" i="13" s="1"/>
  <c r="O394" i="13"/>
  <c r="K133" i="9"/>
  <c r="N396" i="13"/>
  <c r="E6" i="15"/>
  <c r="E5" i="15" s="1"/>
  <c r="E15" i="15"/>
  <c r="E13" i="15"/>
  <c r="E14" i="15"/>
  <c r="AJ338" i="13"/>
  <c r="AM198" i="1"/>
  <c r="C43" i="9"/>
  <c r="C9" i="9"/>
  <c r="C6" i="9"/>
  <c r="G104" i="3"/>
  <c r="C244" i="9"/>
  <c r="Q57" i="3"/>
  <c r="Q58" i="3" s="1"/>
  <c r="N216" i="9" s="1"/>
  <c r="P58" i="3"/>
  <c r="M216" i="9" s="1"/>
  <c r="J304" i="1"/>
  <c r="K309" i="1"/>
  <c r="AP309" i="1"/>
  <c r="J310" i="1"/>
  <c r="K522" i="1"/>
  <c r="AP522" i="1"/>
  <c r="AP523" i="1" s="1"/>
  <c r="J523" i="1"/>
  <c r="K262" i="1"/>
  <c r="AP262" i="1"/>
  <c r="J263" i="1"/>
  <c r="J257" i="1"/>
  <c r="J279" i="1" s="1"/>
  <c r="J280" i="1" s="1"/>
  <c r="E458" i="28"/>
  <c r="Y536" i="1"/>
  <c r="Y256" i="1"/>
  <c r="Y461" i="1"/>
  <c r="Y468" i="1"/>
  <c r="Y153" i="1"/>
  <c r="Y133" i="1"/>
  <c r="Y531" i="1"/>
  <c r="Y73" i="1"/>
  <c r="Y487" i="1"/>
  <c r="Y500" i="1"/>
  <c r="Y506" i="1"/>
  <c r="Y288" i="1"/>
  <c r="Y397" i="1"/>
  <c r="Y331" i="1"/>
  <c r="Y428" i="1"/>
  <c r="Y318" i="1"/>
  <c r="Y196" i="1"/>
  <c r="AO258" i="1"/>
  <c r="AO259" i="1" s="1"/>
  <c r="H3" i="13"/>
  <c r="H22" i="13" s="1"/>
  <c r="H222" i="13"/>
  <c r="H204" i="13"/>
  <c r="H217" i="13"/>
  <c r="H199" i="13"/>
  <c r="H227" i="13"/>
  <c r="E72" i="9"/>
  <c r="J550" i="28"/>
  <c r="AM498" i="1"/>
  <c r="M328" i="1"/>
  <c r="N319" i="1"/>
  <c r="J5" i="60"/>
  <c r="AB25" i="17"/>
  <c r="AI25" i="17" s="1"/>
  <c r="H714" i="28"/>
  <c r="J39" i="9"/>
  <c r="M320" i="1"/>
  <c r="AM333" i="1"/>
  <c r="J12" i="17"/>
  <c r="AL433" i="13"/>
  <c r="AL434" i="13" s="1"/>
  <c r="AO498" i="1"/>
  <c r="AO155" i="1"/>
  <c r="AO156" i="1" s="1"/>
  <c r="AO193" i="1"/>
  <c r="AK321" i="13"/>
  <c r="AK322" i="13" s="1"/>
  <c r="AK276" i="13"/>
  <c r="AN503" i="1"/>
  <c r="AN504" i="1" s="1"/>
  <c r="AN325" i="13"/>
  <c r="AN339" i="13" s="1"/>
  <c r="AN341" i="13" s="1"/>
  <c r="N301" i="13"/>
  <c r="M307" i="13"/>
  <c r="M305" i="13" s="1"/>
  <c r="M299" i="13"/>
  <c r="J104" i="9" s="1"/>
  <c r="P564" i="28"/>
  <c r="F43" i="9"/>
  <c r="AF500" i="1"/>
  <c r="AF506" i="1"/>
  <c r="AF153" i="1"/>
  <c r="D7" i="17"/>
  <c r="AF461" i="1"/>
  <c r="AF428" i="1"/>
  <c r="AF331" i="1"/>
  <c r="AF256" i="1"/>
  <c r="AF397" i="1"/>
  <c r="AF318" i="1"/>
  <c r="AF468" i="1"/>
  <c r="AF3" i="1"/>
  <c r="AF73" i="1"/>
  <c r="AF288" i="1"/>
  <c r="AF196" i="1"/>
  <c r="I186" i="13"/>
  <c r="I184" i="13"/>
  <c r="AO253" i="1"/>
  <c r="AO198" i="1"/>
  <c r="AO199" i="1" s="1"/>
  <c r="AO503" i="1"/>
  <c r="AO504" i="1" s="1"/>
  <c r="AO325" i="13"/>
  <c r="AO339" i="13" s="1"/>
  <c r="E43" i="9"/>
  <c r="AM258" i="1"/>
  <c r="AD43" i="13"/>
  <c r="Q274" i="13"/>
  <c r="K105" i="13"/>
  <c r="AJ369" i="13"/>
  <c r="AJ381" i="13"/>
  <c r="AJ382" i="13" s="1"/>
  <c r="H10" i="17"/>
  <c r="H16" i="17" s="1"/>
  <c r="I180" i="13"/>
  <c r="O65" i="1"/>
  <c r="R65" i="1"/>
  <c r="AG3" i="1"/>
  <c r="AG468" i="1"/>
  <c r="AG500" i="1"/>
  <c r="AG461" i="1"/>
  <c r="AG73" i="1"/>
  <c r="AG153" i="1"/>
  <c r="AG506" i="1"/>
  <c r="AG331" i="1"/>
  <c r="AG318" i="1"/>
  <c r="E7" i="17"/>
  <c r="AG256" i="1"/>
  <c r="AG196" i="1"/>
  <c r="AG428" i="1"/>
  <c r="AG397" i="1"/>
  <c r="AG288" i="1"/>
  <c r="AA199" i="13"/>
  <c r="AA217" i="13"/>
  <c r="AA3" i="13"/>
  <c r="AA227" i="13"/>
  <c r="AA197" i="13"/>
  <c r="AA204" i="13"/>
  <c r="AA222" i="13"/>
  <c r="AP49" i="13"/>
  <c r="I4" i="60"/>
  <c r="I6" i="60"/>
  <c r="AM155" i="1"/>
  <c r="AM193" i="1"/>
  <c r="F468" i="1"/>
  <c r="F3" i="1"/>
  <c r="F196" i="1"/>
  <c r="F256" i="1"/>
  <c r="F536" i="1"/>
  <c r="F500" i="1"/>
  <c r="F21" i="3"/>
  <c r="F331" i="1"/>
  <c r="F428" i="1"/>
  <c r="F506" i="1"/>
  <c r="F133" i="1"/>
  <c r="F11" i="3"/>
  <c r="F487" i="1"/>
  <c r="F531" i="1"/>
  <c r="F288" i="1"/>
  <c r="F461" i="1"/>
  <c r="F13" i="3"/>
  <c r="F397" i="1"/>
  <c r="F73" i="1"/>
  <c r="F318" i="1"/>
  <c r="F153" i="1"/>
  <c r="AG337" i="13"/>
  <c r="AG338" i="13"/>
  <c r="AG368" i="13"/>
  <c r="AN84" i="1"/>
  <c r="O109" i="1"/>
  <c r="R109" i="1"/>
  <c r="O420" i="13"/>
  <c r="O48" i="13"/>
  <c r="K491" i="1"/>
  <c r="AP491" i="1"/>
  <c r="J492" i="1"/>
  <c r="AP221" i="1"/>
  <c r="AP222" i="1" s="1"/>
  <c r="J222" i="1"/>
  <c r="E413" i="28"/>
  <c r="K119" i="1"/>
  <c r="J114" i="1"/>
  <c r="J120" i="1"/>
  <c r="AP119" i="1"/>
  <c r="K111" i="1"/>
  <c r="J106" i="1"/>
  <c r="AP111" i="1"/>
  <c r="J112" i="1"/>
  <c r="AP228" i="1"/>
  <c r="N260" i="1"/>
  <c r="P228" i="1"/>
  <c r="Q227" i="1"/>
  <c r="AB276" i="13"/>
  <c r="AF278" i="13" s="1"/>
  <c r="AB321" i="13"/>
  <c r="AB322" i="13" s="1"/>
  <c r="AO108" i="1"/>
  <c r="AO342" i="1"/>
  <c r="AG38" i="1"/>
  <c r="G715" i="28"/>
  <c r="I18" i="38"/>
  <c r="H21" i="38"/>
  <c r="H23" i="38" s="1"/>
  <c r="H25" i="38" s="1"/>
  <c r="H30" i="38" s="1"/>
  <c r="H43" i="38" s="1"/>
  <c r="H46" i="38" s="1"/>
  <c r="K43" i="13"/>
  <c r="H154" i="9"/>
  <c r="H62" i="9"/>
  <c r="AN198" i="1"/>
  <c r="AN199" i="1" s="1"/>
  <c r="AN253" i="1"/>
  <c r="AN124" i="1"/>
  <c r="AC536" i="1"/>
  <c r="AC428" i="1"/>
  <c r="AC461" i="1"/>
  <c r="AC331" i="1"/>
  <c r="AC3" i="1"/>
  <c r="AC5" i="1" s="1"/>
  <c r="AC288" i="1"/>
  <c r="AC196" i="1"/>
  <c r="AC531" i="1"/>
  <c r="AC487" i="1"/>
  <c r="AC248" i="1" s="1"/>
  <c r="AC468" i="1"/>
  <c r="AC506" i="1"/>
  <c r="AC500" i="1"/>
  <c r="AC73" i="1"/>
  <c r="AC133" i="1"/>
  <c r="AC397" i="1"/>
  <c r="AC318" i="1"/>
  <c r="AC256" i="1"/>
  <c r="AC153" i="1"/>
  <c r="I156" i="3"/>
  <c r="J156" i="3" s="1"/>
  <c r="K156" i="3" s="1"/>
  <c r="L156" i="3" s="1"/>
  <c r="M156" i="3" s="1"/>
  <c r="N156" i="3" s="1"/>
  <c r="O156" i="3" s="1"/>
  <c r="P156" i="3" s="1"/>
  <c r="Q156" i="3" s="1"/>
  <c r="AN155" i="1"/>
  <c r="AN156" i="1" s="1"/>
  <c r="AN193" i="1"/>
  <c r="AO116" i="1"/>
  <c r="S188" i="28"/>
  <c r="P410" i="13"/>
  <c r="Q428" i="13"/>
  <c r="P415" i="13"/>
  <c r="P419" i="13"/>
  <c r="P430" i="13"/>
  <c r="P411" i="13"/>
  <c r="J502" i="1"/>
  <c r="K518" i="1"/>
  <c r="AP518" i="1"/>
  <c r="J519" i="1"/>
  <c r="K59" i="1"/>
  <c r="AP59" i="1"/>
  <c r="J60" i="1"/>
  <c r="J54" i="1"/>
  <c r="K337" i="1"/>
  <c r="AP337" i="1"/>
  <c r="J338" i="1"/>
  <c r="J332" i="1"/>
  <c r="K213" i="1"/>
  <c r="AP213" i="1"/>
  <c r="AP214" i="1" s="1"/>
  <c r="J214" i="1"/>
  <c r="K353" i="1"/>
  <c r="J348" i="1"/>
  <c r="AP353" i="1"/>
  <c r="J354" i="1"/>
  <c r="K95" i="1"/>
  <c r="J96" i="1"/>
  <c r="AP95" i="1"/>
  <c r="J90" i="1"/>
  <c r="K345" i="1"/>
  <c r="J340" i="1"/>
  <c r="J346" i="1"/>
  <c r="AP345" i="1"/>
  <c r="K79" i="1"/>
  <c r="AP79" i="1"/>
  <c r="J80" i="1"/>
  <c r="AM305" i="1"/>
  <c r="AM315" i="1"/>
  <c r="Y38" i="1"/>
  <c r="L41" i="13"/>
  <c r="I124" i="9"/>
  <c r="AN374" i="1"/>
  <c r="AN342" i="1"/>
  <c r="AO333" i="1"/>
  <c r="AO334" i="1" s="1"/>
  <c r="N14" i="3"/>
  <c r="J187" i="9"/>
  <c r="AN76" i="1"/>
  <c r="I38" i="1"/>
  <c r="I3" i="13"/>
  <c r="I204" i="13"/>
  <c r="I227" i="13"/>
  <c r="I217" i="13"/>
  <c r="F72" i="9"/>
  <c r="I197" i="13"/>
  <c r="I222" i="13"/>
  <c r="I199" i="13"/>
  <c r="I260" i="13" s="1"/>
  <c r="AO76" i="1"/>
  <c r="AE381" i="13"/>
  <c r="AE382" i="13" s="1"/>
  <c r="AE369" i="13"/>
  <c r="E35" i="1"/>
  <c r="AK337" i="13"/>
  <c r="AK338" i="13"/>
  <c r="J200" i="9"/>
  <c r="AN258" i="1"/>
  <c r="AN259" i="1" s="1"/>
  <c r="AN350" i="1"/>
  <c r="AN315" i="1"/>
  <c r="AN305" i="1"/>
  <c r="AD34" i="1"/>
  <c r="AD151" i="1"/>
  <c r="AE277" i="13"/>
  <c r="AE308" i="13"/>
  <c r="AE278" i="13"/>
  <c r="AI278" i="13"/>
  <c r="O77" i="1"/>
  <c r="R77" i="1"/>
  <c r="AD237" i="13"/>
  <c r="AD78" i="13" s="1"/>
  <c r="AD80" i="13" s="1"/>
  <c r="P473" i="28" l="1"/>
  <c r="J394" i="1"/>
  <c r="AP497" i="1"/>
  <c r="K497" i="1"/>
  <c r="O265" i="1"/>
  <c r="N285" i="1"/>
  <c r="N266" i="1"/>
  <c r="R265" i="1"/>
  <c r="I488" i="28"/>
  <c r="I489" i="28" s="1"/>
  <c r="I22" i="13"/>
  <c r="AJ27" i="13"/>
  <c r="AJ22" i="13"/>
  <c r="I370" i="13"/>
  <c r="AO341" i="13"/>
  <c r="F126" i="9"/>
  <c r="F127" i="9"/>
  <c r="AM331" i="13"/>
  <c r="AM350" i="13"/>
  <c r="AM340" i="13"/>
  <c r="AE10" i="17"/>
  <c r="X16" i="17"/>
  <c r="AJ208" i="13"/>
  <c r="AJ240" i="13" s="1"/>
  <c r="AJ260" i="13"/>
  <c r="AJ261" i="13" s="1"/>
  <c r="G222" i="13"/>
  <c r="G212" i="13"/>
  <c r="AK217" i="13"/>
  <c r="AK212" i="13"/>
  <c r="AK222" i="13"/>
  <c r="AP492" i="1"/>
  <c r="AK3" i="13"/>
  <c r="AK8" i="13" s="1"/>
  <c r="AK197" i="13"/>
  <c r="AK204" i="13"/>
  <c r="AK227" i="13"/>
  <c r="AL321" i="13"/>
  <c r="AL322" i="13" s="1"/>
  <c r="AA428" i="1"/>
  <c r="E126" i="9"/>
  <c r="AA397" i="1"/>
  <c r="C38" i="1"/>
  <c r="AD321" i="13"/>
  <c r="AD322" i="13" s="1"/>
  <c r="AA73" i="1"/>
  <c r="C428" i="1"/>
  <c r="C153" i="1"/>
  <c r="AA133" i="1"/>
  <c r="C397" i="1"/>
  <c r="H370" i="13"/>
  <c r="AA288" i="1"/>
  <c r="AA196" i="1"/>
  <c r="AA500" i="1"/>
  <c r="AA331" i="1"/>
  <c r="AA487" i="1"/>
  <c r="AA248" i="1" s="1"/>
  <c r="C536" i="1"/>
  <c r="C3" i="1"/>
  <c r="J525" i="1"/>
  <c r="AA256" i="1"/>
  <c r="AA468" i="1"/>
  <c r="AA461" i="1"/>
  <c r="AA3" i="1"/>
  <c r="AA5" i="1" s="1"/>
  <c r="C468" i="1"/>
  <c r="C13" i="3"/>
  <c r="C21" i="3"/>
  <c r="AA153" i="1"/>
  <c r="AA318" i="1"/>
  <c r="AA506" i="1"/>
  <c r="AA536" i="1"/>
  <c r="AA531" i="1"/>
  <c r="C11" i="3"/>
  <c r="C256" i="1"/>
  <c r="C506" i="1"/>
  <c r="J521" i="1"/>
  <c r="C73" i="1"/>
  <c r="C500" i="1"/>
  <c r="C487" i="1"/>
  <c r="C531" i="1"/>
  <c r="C133" i="1"/>
  <c r="C288" i="1"/>
  <c r="C461" i="1"/>
  <c r="C318" i="1"/>
  <c r="C331" i="1"/>
  <c r="G536" i="1"/>
  <c r="G461" i="1"/>
  <c r="H3" i="1"/>
  <c r="H5" i="1" s="1"/>
  <c r="AJ37" i="13"/>
  <c r="G288" i="1"/>
  <c r="G11" i="3"/>
  <c r="AJ8" i="13"/>
  <c r="AJ20" i="13" s="1"/>
  <c r="AJ56" i="13" s="1"/>
  <c r="AJ116" i="13" s="1"/>
  <c r="G506" i="1"/>
  <c r="AJ32" i="13"/>
  <c r="G3" i="1"/>
  <c r="G5" i="1" s="1"/>
  <c r="G13" i="3"/>
  <c r="G133" i="1"/>
  <c r="G21" i="3"/>
  <c r="G256" i="1"/>
  <c r="G397" i="1"/>
  <c r="G331" i="1"/>
  <c r="G73" i="1"/>
  <c r="G318" i="1"/>
  <c r="V7" i="17"/>
  <c r="G500" i="1"/>
  <c r="G153" i="1"/>
  <c r="G196" i="1"/>
  <c r="G468" i="1"/>
  <c r="G531" i="1"/>
  <c r="G428" i="1"/>
  <c r="AO106" i="13"/>
  <c r="J54" i="60"/>
  <c r="R54" i="60" s="1"/>
  <c r="J52" i="60"/>
  <c r="R52" i="60" s="1"/>
  <c r="R53" i="60"/>
  <c r="K56" i="60"/>
  <c r="K58" i="60"/>
  <c r="AJ63" i="13"/>
  <c r="AJ17" i="13"/>
  <c r="AJ50" i="13" s="1"/>
  <c r="J128" i="28"/>
  <c r="J129" i="28" s="1"/>
  <c r="P143" i="1"/>
  <c r="L57" i="60"/>
  <c r="O144" i="1"/>
  <c r="O391" i="1"/>
  <c r="N392" i="1"/>
  <c r="I685" i="28"/>
  <c r="R391" i="1"/>
  <c r="K21" i="9"/>
  <c r="O21" i="9" s="1"/>
  <c r="O289" i="1"/>
  <c r="I519" i="28"/>
  <c r="I520" i="28" s="1"/>
  <c r="AC31" i="17"/>
  <c r="AJ31" i="17" s="1"/>
  <c r="N290" i="1"/>
  <c r="K19" i="9"/>
  <c r="O19" i="9" s="1"/>
  <c r="K53" i="60"/>
  <c r="R289" i="1"/>
  <c r="N298" i="1"/>
  <c r="O312" i="1"/>
  <c r="I579" i="28"/>
  <c r="I580" i="28" s="1"/>
  <c r="R312" i="1"/>
  <c r="N313" i="1"/>
  <c r="K20" i="9"/>
  <c r="O20" i="9" s="1"/>
  <c r="L398" i="28"/>
  <c r="Q225" i="1"/>
  <c r="N277" i="1"/>
  <c r="O146" i="1"/>
  <c r="R146" i="1"/>
  <c r="N147" i="1"/>
  <c r="I248" i="28"/>
  <c r="I249" i="28" s="1"/>
  <c r="K33" i="9"/>
  <c r="O33" i="9" s="1"/>
  <c r="E32" i="15"/>
  <c r="E22" i="15"/>
  <c r="E33" i="15"/>
  <c r="E31" i="15"/>
  <c r="AK428" i="1"/>
  <c r="AK196" i="1"/>
  <c r="D126" i="9"/>
  <c r="D127" i="9"/>
  <c r="B39" i="28"/>
  <c r="B38" i="28" s="1"/>
  <c r="G370" i="13"/>
  <c r="G204" i="13"/>
  <c r="G199" i="13"/>
  <c r="G260" i="13" s="1"/>
  <c r="G197" i="13"/>
  <c r="H197" i="13"/>
  <c r="D72" i="9"/>
  <c r="D83" i="9" s="1"/>
  <c r="G217" i="13"/>
  <c r="G3" i="13"/>
  <c r="G227" i="13"/>
  <c r="L1" i="60"/>
  <c r="L69" i="60" s="1"/>
  <c r="K69" i="60"/>
  <c r="AG277" i="13"/>
  <c r="AG308" i="13"/>
  <c r="AG278" i="13"/>
  <c r="J294" i="28"/>
  <c r="R9" i="60"/>
  <c r="J8" i="60"/>
  <c r="R8" i="60" s="1"/>
  <c r="J10" i="60"/>
  <c r="R10" i="60" s="1"/>
  <c r="O268" i="1"/>
  <c r="N269" i="1"/>
  <c r="AC33" i="17"/>
  <c r="AJ33" i="17" s="1"/>
  <c r="I428" i="28"/>
  <c r="I429" i="28" s="1"/>
  <c r="K9" i="60"/>
  <c r="R268" i="1"/>
  <c r="K41" i="9"/>
  <c r="O41" i="9" s="1"/>
  <c r="J249" i="1"/>
  <c r="J250" i="1" s="1"/>
  <c r="K6" i="17"/>
  <c r="AK461" i="1"/>
  <c r="AK73" i="1"/>
  <c r="AK3" i="1"/>
  <c r="AK500" i="1"/>
  <c r="I7" i="17"/>
  <c r="AK153" i="1"/>
  <c r="AK288" i="1"/>
  <c r="AK397" i="1"/>
  <c r="AK468" i="1"/>
  <c r="AK506" i="1"/>
  <c r="AK331" i="1"/>
  <c r="AK318" i="1"/>
  <c r="S113" i="28"/>
  <c r="T115" i="28" s="1"/>
  <c r="N51" i="3"/>
  <c r="N52" i="3" s="1"/>
  <c r="N28" i="3"/>
  <c r="K200" i="9" s="1"/>
  <c r="L17" i="26"/>
  <c r="M17" i="26" s="1"/>
  <c r="N17" i="26" s="1"/>
  <c r="O17" i="26" s="1"/>
  <c r="P17" i="26" s="1"/>
  <c r="Q17" i="26" s="1"/>
  <c r="R17" i="26" s="1"/>
  <c r="S17" i="26" s="1"/>
  <c r="T17" i="26" s="1"/>
  <c r="U17" i="26" s="1"/>
  <c r="V17" i="26" s="1"/>
  <c r="W17" i="26" s="1"/>
  <c r="J44" i="28"/>
  <c r="K44" i="28" s="1"/>
  <c r="L44" i="28" s="1"/>
  <c r="M44" i="28" s="1"/>
  <c r="N44" i="28" s="1"/>
  <c r="O44" i="28" s="1"/>
  <c r="P44" i="28" s="1"/>
  <c r="Q44" i="28" s="1"/>
  <c r="P380" i="13"/>
  <c r="O167" i="13"/>
  <c r="AA337" i="13"/>
  <c r="AA338" i="13"/>
  <c r="AE338" i="13"/>
  <c r="AA368" i="13"/>
  <c r="P254" i="13"/>
  <c r="P163" i="13" s="1"/>
  <c r="Q252" i="13"/>
  <c r="Q157" i="13" s="1"/>
  <c r="P157" i="13"/>
  <c r="P206" i="13"/>
  <c r="O104" i="13"/>
  <c r="L159" i="9" s="1"/>
  <c r="P159" i="9" s="1"/>
  <c r="O99" i="13"/>
  <c r="O46" i="3" s="1"/>
  <c r="L215" i="9" s="1"/>
  <c r="AJ309" i="13"/>
  <c r="H11" i="17"/>
  <c r="H17" i="17" s="1"/>
  <c r="Q93" i="13"/>
  <c r="Q97" i="13" s="1"/>
  <c r="Q99" i="13" s="1"/>
  <c r="Q46" i="3" s="1"/>
  <c r="N215" i="9" s="1"/>
  <c r="Q100" i="13"/>
  <c r="T118" i="28"/>
  <c r="T120" i="28"/>
  <c r="U120" i="28" s="1"/>
  <c r="Q322" i="1"/>
  <c r="K729" i="28"/>
  <c r="P323" i="1"/>
  <c r="P100" i="13"/>
  <c r="P93" i="13"/>
  <c r="P97" i="13" s="1"/>
  <c r="O25" i="3"/>
  <c r="K197" i="9"/>
  <c r="P233" i="13"/>
  <c r="O239" i="13"/>
  <c r="L188" i="9"/>
  <c r="P15" i="3"/>
  <c r="AH276" i="13"/>
  <c r="AH278" i="13" s="1"/>
  <c r="AH321" i="13"/>
  <c r="AH322" i="13" s="1"/>
  <c r="AI309" i="13"/>
  <c r="G11" i="17"/>
  <c r="G17" i="17" s="1"/>
  <c r="O35" i="3"/>
  <c r="N120" i="3"/>
  <c r="K205" i="9"/>
  <c r="P6" i="3"/>
  <c r="L182" i="9"/>
  <c r="E3" i="1"/>
  <c r="P300" i="13"/>
  <c r="O306" i="13"/>
  <c r="P145" i="3"/>
  <c r="O84" i="3"/>
  <c r="L234" i="9" s="1"/>
  <c r="O149" i="3"/>
  <c r="O154" i="3" s="1"/>
  <c r="P232" i="13"/>
  <c r="O238" i="13"/>
  <c r="O231" i="13"/>
  <c r="O27" i="3"/>
  <c r="N119" i="3"/>
  <c r="K199" i="9"/>
  <c r="N237" i="13"/>
  <c r="K84" i="9"/>
  <c r="O84" i="9" s="1"/>
  <c r="O360" i="13"/>
  <c r="N366" i="13"/>
  <c r="N46" i="13" s="1"/>
  <c r="N44" i="13"/>
  <c r="N95" i="3"/>
  <c r="O91" i="3"/>
  <c r="F108" i="9"/>
  <c r="I322" i="13"/>
  <c r="H278" i="13"/>
  <c r="H308" i="13"/>
  <c r="E96" i="9"/>
  <c r="E97" i="9" s="1"/>
  <c r="H277" i="13"/>
  <c r="G308" i="13"/>
  <c r="G278" i="13"/>
  <c r="G277" i="13"/>
  <c r="D96" i="9"/>
  <c r="D97" i="9" s="1"/>
  <c r="Q318" i="13"/>
  <c r="K293" i="28"/>
  <c r="K294" i="28" s="1"/>
  <c r="P163" i="1"/>
  <c r="P164" i="1" s="1"/>
  <c r="F232" i="60"/>
  <c r="F235" i="60" s="1"/>
  <c r="E108" i="9"/>
  <c r="H322" i="13"/>
  <c r="L293" i="28"/>
  <c r="Q163" i="1"/>
  <c r="Q164" i="1" s="1"/>
  <c r="G322" i="13"/>
  <c r="D108" i="9"/>
  <c r="M167" i="3"/>
  <c r="M96" i="3"/>
  <c r="I278" i="13"/>
  <c r="F96" i="9"/>
  <c r="F97" i="9" s="1"/>
  <c r="I277" i="13"/>
  <c r="AC381" i="13"/>
  <c r="AC382" i="13" s="1"/>
  <c r="AC371" i="13"/>
  <c r="AC369" i="13"/>
  <c r="AC370" i="13" s="1"/>
  <c r="AB338" i="13"/>
  <c r="AB337" i="13"/>
  <c r="AB368" i="13"/>
  <c r="AF371" i="13" s="1"/>
  <c r="AN316" i="1"/>
  <c r="P353" i="28"/>
  <c r="AP519" i="1"/>
  <c r="AP502" i="1"/>
  <c r="P412" i="13"/>
  <c r="M138" i="9"/>
  <c r="L119" i="1"/>
  <c r="K114" i="1"/>
  <c r="K120" i="1"/>
  <c r="AM286" i="1"/>
  <c r="Q564" i="28"/>
  <c r="S564" i="28" s="1"/>
  <c r="N299" i="13"/>
  <c r="O301" i="13"/>
  <c r="N307" i="13"/>
  <c r="E83" i="9"/>
  <c r="E81" i="9"/>
  <c r="E79" i="9"/>
  <c r="P77" i="1"/>
  <c r="AE311" i="13"/>
  <c r="AE309" i="13"/>
  <c r="AI311" i="13"/>
  <c r="AD2" i="1"/>
  <c r="AD38" i="1" s="1"/>
  <c r="AD196" i="13"/>
  <c r="AH197" i="13" s="1"/>
  <c r="AD35" i="1"/>
  <c r="AN286" i="1"/>
  <c r="L79" i="1"/>
  <c r="K80" i="1"/>
  <c r="K74" i="1"/>
  <c r="L345" i="1"/>
  <c r="K346" i="1"/>
  <c r="K340" i="1"/>
  <c r="L95" i="1"/>
  <c r="K96" i="1"/>
  <c r="K90" i="1"/>
  <c r="L353" i="1"/>
  <c r="K348" i="1"/>
  <c r="K354" i="1"/>
  <c r="K332" i="1"/>
  <c r="L337" i="1"/>
  <c r="K338" i="1"/>
  <c r="K54" i="1"/>
  <c r="L59" i="1"/>
  <c r="K60" i="1"/>
  <c r="J325" i="13"/>
  <c r="J339" i="13" s="1"/>
  <c r="G65" i="60"/>
  <c r="G5" i="9"/>
  <c r="Y5" i="17"/>
  <c r="AF5" i="17" s="1"/>
  <c r="J503" i="1"/>
  <c r="J504" i="1" s="1"/>
  <c r="D14" i="15" s="1"/>
  <c r="E36" i="28"/>
  <c r="P417" i="13"/>
  <c r="AD277" i="13"/>
  <c r="AD308" i="13"/>
  <c r="AD278" i="13"/>
  <c r="I21" i="38"/>
  <c r="I23" i="38" s="1"/>
  <c r="I25" i="38" s="1"/>
  <c r="I30" i="38" s="1"/>
  <c r="I43" i="38" s="1"/>
  <c r="I46" i="38" s="1"/>
  <c r="J18" i="38"/>
  <c r="AP112" i="1"/>
  <c r="AP106" i="1"/>
  <c r="AP107" i="1" s="1"/>
  <c r="AM194" i="1"/>
  <c r="AP105" i="13"/>
  <c r="AP106" i="13" s="1"/>
  <c r="M329" i="1"/>
  <c r="J40" i="9"/>
  <c r="E459" i="28"/>
  <c r="AP257" i="1"/>
  <c r="AP263" i="1"/>
  <c r="L522" i="1"/>
  <c r="K523" i="1"/>
  <c r="E534" i="28"/>
  <c r="J305" i="1"/>
  <c r="J306" i="1" s="1"/>
  <c r="G16" i="9"/>
  <c r="J315" i="1"/>
  <c r="P394" i="13"/>
  <c r="L133" i="9"/>
  <c r="O396" i="13"/>
  <c r="AF4" i="13"/>
  <c r="AF27" i="13"/>
  <c r="AF8" i="13"/>
  <c r="AF37" i="13"/>
  <c r="AF63" i="13"/>
  <c r="AF81" i="13" s="1"/>
  <c r="AF32" i="13"/>
  <c r="AF17" i="13"/>
  <c r="AF260" i="13"/>
  <c r="AF208" i="13"/>
  <c r="AA309" i="13"/>
  <c r="AA310" i="13" s="1"/>
  <c r="AA311" i="13"/>
  <c r="D11" i="17"/>
  <c r="D17" i="17" s="1"/>
  <c r="AF309" i="13"/>
  <c r="AJ311" i="13"/>
  <c r="J124" i="9"/>
  <c r="M41" i="13"/>
  <c r="AB37" i="13"/>
  <c r="AB8" i="13"/>
  <c r="AB17" i="13"/>
  <c r="AB27" i="13"/>
  <c r="AB4" i="13"/>
  <c r="AB63" i="13"/>
  <c r="AB81" i="13" s="1"/>
  <c r="AB32" i="13"/>
  <c r="F669" i="28"/>
  <c r="AP104" i="1"/>
  <c r="AP98" i="1"/>
  <c r="AP99" i="1" s="1"/>
  <c r="O93" i="1"/>
  <c r="R93" i="1"/>
  <c r="P26" i="3"/>
  <c r="L198" i="9"/>
  <c r="D22" i="15"/>
  <c r="I5" i="13"/>
  <c r="L205" i="1"/>
  <c r="K206" i="1"/>
  <c r="L159" i="1"/>
  <c r="K160" i="1"/>
  <c r="K154" i="1"/>
  <c r="AP378" i="1"/>
  <c r="AP372" i="1"/>
  <c r="AP373" i="1" s="1"/>
  <c r="E233" i="28"/>
  <c r="J123" i="1"/>
  <c r="J124" i="1" s="1"/>
  <c r="Y29" i="17"/>
  <c r="AF29" i="17" s="1"/>
  <c r="AI468" i="1"/>
  <c r="AI428" i="1"/>
  <c r="AI318" i="1"/>
  <c r="G7" i="17"/>
  <c r="AI461" i="1"/>
  <c r="AI500" i="1"/>
  <c r="AI331" i="1"/>
  <c r="AI397" i="1"/>
  <c r="AI3" i="1"/>
  <c r="AI288" i="1"/>
  <c r="AI506" i="1"/>
  <c r="AI196" i="1"/>
  <c r="AI73" i="1"/>
  <c r="AI153" i="1"/>
  <c r="J180" i="9"/>
  <c r="N5" i="3"/>
  <c r="AE227" i="13"/>
  <c r="AE222" i="13"/>
  <c r="AE3" i="13"/>
  <c r="AE197" i="13"/>
  <c r="AE199" i="13"/>
  <c r="AE217" i="13"/>
  <c r="AE204" i="13"/>
  <c r="AM71" i="1"/>
  <c r="AM72" i="1" s="1"/>
  <c r="AM150" i="1"/>
  <c r="L67" i="1"/>
  <c r="K68" i="1"/>
  <c r="K62" i="1"/>
  <c r="J498" i="1"/>
  <c r="E143" i="28"/>
  <c r="J83" i="1"/>
  <c r="J84" i="1" s="1"/>
  <c r="G25" i="9"/>
  <c r="AO316" i="1"/>
  <c r="J157" i="3"/>
  <c r="K151" i="3"/>
  <c r="K155" i="3" s="1"/>
  <c r="J160" i="3"/>
  <c r="AK369" i="13"/>
  <c r="AK371" i="13"/>
  <c r="I10" i="17"/>
  <c r="I16" i="17" s="1"/>
  <c r="AK381" i="13"/>
  <c r="AK382" i="13" s="1"/>
  <c r="O14" i="3"/>
  <c r="K187" i="9"/>
  <c r="AP340" i="1"/>
  <c r="AP341" i="1" s="1"/>
  <c r="AP346" i="1"/>
  <c r="J91" i="1"/>
  <c r="J92" i="1" s="1"/>
  <c r="G26" i="9"/>
  <c r="E158" i="28"/>
  <c r="G14" i="9"/>
  <c r="J333" i="1"/>
  <c r="J334" i="1" s="1"/>
  <c r="E624" i="28"/>
  <c r="J70" i="1"/>
  <c r="G25" i="60"/>
  <c r="J55" i="1"/>
  <c r="J56" i="1" s="1"/>
  <c r="E68" i="28"/>
  <c r="Y21" i="17"/>
  <c r="AF21" i="17" s="1"/>
  <c r="G23" i="9"/>
  <c r="Q411" i="13"/>
  <c r="Q430" i="13"/>
  <c r="Q415" i="13"/>
  <c r="Q419" i="13"/>
  <c r="Q410" i="13"/>
  <c r="G32" i="9"/>
  <c r="G41" i="60"/>
  <c r="E218" i="28"/>
  <c r="J107" i="1"/>
  <c r="J108" i="1" s="1"/>
  <c r="Y28" i="17"/>
  <c r="AF28" i="17" s="1"/>
  <c r="G45" i="60"/>
  <c r="Y30" i="17"/>
  <c r="AF30" i="17" s="1"/>
  <c r="J115" i="1"/>
  <c r="J116" i="1" s="1"/>
  <c r="G29" i="9"/>
  <c r="E173" i="28"/>
  <c r="L491" i="1"/>
  <c r="K492" i="1"/>
  <c r="AG371" i="13"/>
  <c r="AG369" i="13"/>
  <c r="AG381" i="13"/>
  <c r="AG382" i="13" s="1"/>
  <c r="E10" i="17"/>
  <c r="E16" i="17" s="1"/>
  <c r="AA63" i="13"/>
  <c r="AA81" i="13" s="1"/>
  <c r="AA32" i="13"/>
  <c r="AA4" i="13"/>
  <c r="AA8" i="13"/>
  <c r="AA37" i="13"/>
  <c r="AA27" i="13"/>
  <c r="AA17" i="13"/>
  <c r="P65" i="1"/>
  <c r="AK208" i="13"/>
  <c r="AK240" i="13" s="1"/>
  <c r="L105" i="13"/>
  <c r="K106" i="13"/>
  <c r="AO326" i="13"/>
  <c r="AO354" i="13"/>
  <c r="AO349" i="13"/>
  <c r="AO344" i="13"/>
  <c r="AO330" i="13"/>
  <c r="AO333" i="13" s="1"/>
  <c r="AO327" i="13"/>
  <c r="AO329" i="13"/>
  <c r="J180" i="13"/>
  <c r="AO194" i="1"/>
  <c r="J6" i="60"/>
  <c r="J4" i="60"/>
  <c r="R5" i="60"/>
  <c r="H260" i="13"/>
  <c r="E74" i="9"/>
  <c r="H208" i="13"/>
  <c r="H70" i="3"/>
  <c r="H8" i="13"/>
  <c r="E47" i="9"/>
  <c r="H37" i="13"/>
  <c r="H139" i="3"/>
  <c r="E160" i="60"/>
  <c r="E144" i="9"/>
  <c r="H27" i="13"/>
  <c r="D2" i="26"/>
  <c r="H32" i="13"/>
  <c r="H441" i="13"/>
  <c r="H443" i="13" s="1"/>
  <c r="H63" i="13"/>
  <c r="H81" i="13" s="1"/>
  <c r="H73" i="3"/>
  <c r="H17" i="13"/>
  <c r="H50" i="13" s="1"/>
  <c r="F458" i="28"/>
  <c r="L262" i="1"/>
  <c r="K263" i="1"/>
  <c r="K257" i="1"/>
  <c r="K279" i="1" s="1"/>
  <c r="K280" i="1" s="1"/>
  <c r="J186" i="13"/>
  <c r="N367" i="13"/>
  <c r="O361" i="13"/>
  <c r="N359" i="13"/>
  <c r="N47" i="13"/>
  <c r="K98" i="1"/>
  <c r="L103" i="1"/>
  <c r="K104" i="1"/>
  <c r="AL196" i="13"/>
  <c r="AL212" i="13" s="1"/>
  <c r="AL2" i="1"/>
  <c r="J4" i="17"/>
  <c r="AL35" i="1"/>
  <c r="AC208" i="13"/>
  <c r="AC260" i="13"/>
  <c r="AM267" i="13"/>
  <c r="AM280" i="13" s="1"/>
  <c r="AM425" i="1"/>
  <c r="AM427" i="1" s="1"/>
  <c r="J427" i="1" s="1"/>
  <c r="AN395" i="1"/>
  <c r="J155" i="1"/>
  <c r="J156" i="1" s="1"/>
  <c r="G35" i="9"/>
  <c r="G17" i="60"/>
  <c r="G18" i="60" s="1"/>
  <c r="E278" i="28"/>
  <c r="Y20" i="17"/>
  <c r="AF20" i="17" s="1"/>
  <c r="AP203" i="1"/>
  <c r="AP197" i="1"/>
  <c r="AP128" i="1"/>
  <c r="AP122" i="1"/>
  <c r="AP123" i="1" s="1"/>
  <c r="O157" i="1"/>
  <c r="AI204" i="13"/>
  <c r="AI222" i="13"/>
  <c r="AI197" i="13"/>
  <c r="AI217" i="13"/>
  <c r="AI199" i="13"/>
  <c r="AI260" i="13" s="1"/>
  <c r="AI3" i="13"/>
  <c r="AI22" i="13" s="1"/>
  <c r="AI227" i="13"/>
  <c r="K550" i="28"/>
  <c r="AH383" i="13"/>
  <c r="AH384" i="13" s="1"/>
  <c r="AH336" i="13"/>
  <c r="AP68" i="1"/>
  <c r="AP62" i="1"/>
  <c r="AP63" i="1" s="1"/>
  <c r="AP489" i="1"/>
  <c r="AI369" i="13"/>
  <c r="AI370" i="13" s="1"/>
  <c r="AI381" i="13"/>
  <c r="AI382" i="13" s="1"/>
  <c r="G10" i="17"/>
  <c r="G16" i="17" s="1"/>
  <c r="AI371" i="13"/>
  <c r="AH35" i="1"/>
  <c r="AH37" i="1" s="1"/>
  <c r="D10" i="17"/>
  <c r="D16" i="17" s="1"/>
  <c r="AF369" i="13"/>
  <c r="AF381" i="13"/>
  <c r="AF382" i="13" s="1"/>
  <c r="Q409" i="13"/>
  <c r="Q408" i="13" s="1"/>
  <c r="N137" i="9"/>
  <c r="K185" i="13"/>
  <c r="L181" i="13"/>
  <c r="H173" i="9"/>
  <c r="H174" i="9" s="1"/>
  <c r="P22" i="3"/>
  <c r="L194" i="9"/>
  <c r="O51" i="3"/>
  <c r="O52" i="3" s="1"/>
  <c r="O109" i="3"/>
  <c r="AB260" i="13"/>
  <c r="AB208" i="13"/>
  <c r="AM326" i="13"/>
  <c r="AM344" i="13"/>
  <c r="AM354" i="13"/>
  <c r="E670" i="28"/>
  <c r="E324" i="28"/>
  <c r="K365" i="1"/>
  <c r="F323" i="28"/>
  <c r="J99" i="1"/>
  <c r="J100" i="1" s="1"/>
  <c r="G37" i="60"/>
  <c r="E203" i="28"/>
  <c r="Y27" i="17"/>
  <c r="AF27" i="17" s="1"/>
  <c r="G31" i="9"/>
  <c r="L183" i="9"/>
  <c r="P8" i="3"/>
  <c r="K217" i="9"/>
  <c r="O54" i="3"/>
  <c r="F288" i="60"/>
  <c r="L377" i="1"/>
  <c r="K372" i="1"/>
  <c r="K378" i="1"/>
  <c r="L202" i="1"/>
  <c r="K197" i="1"/>
  <c r="K203" i="1"/>
  <c r="L549" i="28"/>
  <c r="N18" i="9"/>
  <c r="Q296" i="1"/>
  <c r="AP88" i="1"/>
  <c r="AP82" i="1"/>
  <c r="AP83" i="1" s="1"/>
  <c r="P343" i="1"/>
  <c r="AO150" i="1"/>
  <c r="AO71" i="1"/>
  <c r="AO72" i="1" s="1"/>
  <c r="D531" i="1"/>
  <c r="D3" i="1"/>
  <c r="D428" i="1"/>
  <c r="D256" i="1"/>
  <c r="D536" i="1"/>
  <c r="D21" i="3"/>
  <c r="D487" i="1"/>
  <c r="D461" i="1"/>
  <c r="D13" i="3"/>
  <c r="D196" i="1"/>
  <c r="D331" i="1"/>
  <c r="D468" i="1"/>
  <c r="D506" i="1"/>
  <c r="D133" i="1"/>
  <c r="D11" i="3"/>
  <c r="D500" i="1"/>
  <c r="D397" i="1"/>
  <c r="D318" i="1"/>
  <c r="D288" i="1"/>
  <c r="D73" i="1"/>
  <c r="D153" i="1"/>
  <c r="AH222" i="13"/>
  <c r="AH199" i="13"/>
  <c r="AH217" i="13"/>
  <c r="AH204" i="13"/>
  <c r="AH3" i="13"/>
  <c r="AH227" i="13"/>
  <c r="F83" i="9"/>
  <c r="F81" i="9"/>
  <c r="F79" i="9"/>
  <c r="AP80" i="1"/>
  <c r="AP74" i="1"/>
  <c r="AP75" i="1" s="1"/>
  <c r="AP90" i="1"/>
  <c r="AP91" i="1" s="1"/>
  <c r="AP96" i="1"/>
  <c r="AP354" i="1"/>
  <c r="AP348" i="1"/>
  <c r="AP349" i="1" s="1"/>
  <c r="Q228" i="1"/>
  <c r="O260" i="1"/>
  <c r="R260" i="1"/>
  <c r="L111" i="1"/>
  <c r="K112" i="1"/>
  <c r="K106" i="1"/>
  <c r="F413" i="28"/>
  <c r="K222" i="1"/>
  <c r="AM395" i="1"/>
  <c r="H715" i="28"/>
  <c r="AP381" i="1"/>
  <c r="E443" i="28"/>
  <c r="E504" i="28" s="1"/>
  <c r="J258" i="1"/>
  <c r="J259" i="1" s="1"/>
  <c r="AP310" i="1"/>
  <c r="AP304" i="1"/>
  <c r="F74" i="9"/>
  <c r="I208" i="13"/>
  <c r="I240" i="13" s="1"/>
  <c r="I73" i="3"/>
  <c r="I70" i="3"/>
  <c r="F160" i="60"/>
  <c r="I63" i="13"/>
  <c r="I81" i="13" s="1"/>
  <c r="F71" i="60"/>
  <c r="I8" i="13"/>
  <c r="F144" i="9"/>
  <c r="I32" i="13"/>
  <c r="I37" i="13"/>
  <c r="F72" i="60"/>
  <c r="I4" i="13"/>
  <c r="I17" i="13"/>
  <c r="I50" i="13" s="1"/>
  <c r="E2" i="26"/>
  <c r="F47" i="9"/>
  <c r="I441" i="13"/>
  <c r="I443" i="13" s="1"/>
  <c r="I27" i="13"/>
  <c r="I139" i="3"/>
  <c r="AO395" i="1"/>
  <c r="L43" i="13"/>
  <c r="I154" i="9"/>
  <c r="I62" i="9"/>
  <c r="AM316" i="1"/>
  <c r="G33" i="60"/>
  <c r="J75" i="1"/>
  <c r="J76" i="1" s="1"/>
  <c r="Y24" i="17"/>
  <c r="AF24" i="17" s="1"/>
  <c r="E98" i="28"/>
  <c r="G27" i="9"/>
  <c r="E639" i="28"/>
  <c r="J341" i="1"/>
  <c r="J342" i="1" s="1"/>
  <c r="G15" i="9"/>
  <c r="E654" i="28"/>
  <c r="J349" i="1"/>
  <c r="J350" i="1" s="1"/>
  <c r="L213" i="1"/>
  <c r="K214" i="1"/>
  <c r="AP338" i="1"/>
  <c r="AP332" i="1"/>
  <c r="AP54" i="1"/>
  <c r="AP60" i="1"/>
  <c r="K502" i="1"/>
  <c r="K525" i="1" s="1"/>
  <c r="L518" i="1"/>
  <c r="K519" i="1"/>
  <c r="P48" i="13"/>
  <c r="P420" i="13"/>
  <c r="T188" i="28"/>
  <c r="S190" i="28"/>
  <c r="T194" i="28"/>
  <c r="U190" i="28"/>
  <c r="T190" i="28"/>
  <c r="AN194" i="1"/>
  <c r="H48" i="38"/>
  <c r="H49" i="38" s="1"/>
  <c r="AB277" i="13"/>
  <c r="AB308" i="13"/>
  <c r="AF311" i="13" s="1"/>
  <c r="AB278" i="13"/>
  <c r="AP114" i="1"/>
  <c r="AP115" i="1" s="1"/>
  <c r="AP120" i="1"/>
  <c r="E414" i="28"/>
  <c r="P109" i="1"/>
  <c r="AA208" i="13"/>
  <c r="AA260" i="13"/>
  <c r="AN354" i="13"/>
  <c r="AN326" i="13"/>
  <c r="AN329" i="13"/>
  <c r="AN327" i="13"/>
  <c r="AN330" i="13"/>
  <c r="AN333" i="13" s="1"/>
  <c r="AN344" i="13"/>
  <c r="AN349" i="13"/>
  <c r="AK277" i="13"/>
  <c r="AK278" i="13"/>
  <c r="AK308" i="13"/>
  <c r="O319" i="1"/>
  <c r="N328" i="1"/>
  <c r="N320" i="1"/>
  <c r="K5" i="60"/>
  <c r="I714" i="28"/>
  <c r="AC25" i="17"/>
  <c r="AJ25" i="17" s="1"/>
  <c r="R319" i="1"/>
  <c r="K39" i="9"/>
  <c r="O39" i="9" s="1"/>
  <c r="AO286" i="1"/>
  <c r="K304" i="1"/>
  <c r="L309" i="1"/>
  <c r="K310" i="1"/>
  <c r="D243" i="9"/>
  <c r="M49" i="13"/>
  <c r="M365" i="13"/>
  <c r="M78" i="13" s="1"/>
  <c r="M80" i="13" s="1"/>
  <c r="AC8" i="13"/>
  <c r="AC37" i="13"/>
  <c r="AC4" i="13"/>
  <c r="AC63" i="13"/>
  <c r="AC81" i="13" s="1"/>
  <c r="AC17" i="13"/>
  <c r="AC32" i="13"/>
  <c r="AC27" i="13"/>
  <c r="AN71" i="1"/>
  <c r="AN72" i="1" s="1"/>
  <c r="AN150" i="1"/>
  <c r="J32" i="38"/>
  <c r="J34" i="38" s="1"/>
  <c r="J36" i="38" s="1"/>
  <c r="J41" i="38" s="1"/>
  <c r="K16" i="38"/>
  <c r="AP154" i="1"/>
  <c r="AP160" i="1"/>
  <c r="G49" i="60"/>
  <c r="J373" i="1"/>
  <c r="J374" i="1" s="1"/>
  <c r="Y26" i="17"/>
  <c r="AF26" i="17" s="1"/>
  <c r="E609" i="28"/>
  <c r="G21" i="60"/>
  <c r="J198" i="1"/>
  <c r="J199" i="1" s="1"/>
  <c r="Y22" i="17"/>
  <c r="AF22" i="17" s="1"/>
  <c r="J253" i="1"/>
  <c r="G37" i="9"/>
  <c r="E383" i="28"/>
  <c r="L127" i="1"/>
  <c r="K128" i="1"/>
  <c r="K122" i="1"/>
  <c r="AI38" i="1"/>
  <c r="AL277" i="13"/>
  <c r="AL308" i="13"/>
  <c r="AJ4" i="13"/>
  <c r="AE3" i="1"/>
  <c r="AE196" i="1"/>
  <c r="AE506" i="1"/>
  <c r="AE468" i="1"/>
  <c r="AE461" i="1"/>
  <c r="AE331" i="1"/>
  <c r="AE500" i="1"/>
  <c r="AE288" i="1"/>
  <c r="AE256" i="1"/>
  <c r="AE428" i="1"/>
  <c r="AE73" i="1"/>
  <c r="AE318" i="1"/>
  <c r="AE397" i="1"/>
  <c r="AE153" i="1"/>
  <c r="Y23" i="17"/>
  <c r="AF23" i="17" s="1"/>
  <c r="J63" i="1"/>
  <c r="J64" i="1" s="1"/>
  <c r="G29" i="60"/>
  <c r="E83" i="28"/>
  <c r="G24" i="9"/>
  <c r="L488" i="1"/>
  <c r="K489" i="1"/>
  <c r="L87" i="1"/>
  <c r="K88" i="1"/>
  <c r="K82" i="1"/>
  <c r="AH500" i="1"/>
  <c r="AH331" i="1"/>
  <c r="AH256" i="1"/>
  <c r="F7" i="17"/>
  <c r="AH468" i="1"/>
  <c r="AH461" i="1"/>
  <c r="AH428" i="1"/>
  <c r="AH196" i="1"/>
  <c r="AH288" i="1"/>
  <c r="AH318" i="1"/>
  <c r="AH397" i="1"/>
  <c r="AH73" i="1"/>
  <c r="AH506" i="1"/>
  <c r="AH153" i="1"/>
  <c r="AG17" i="13"/>
  <c r="AG4" i="13"/>
  <c r="AG32" i="13"/>
  <c r="AG8" i="13"/>
  <c r="AG63" i="13"/>
  <c r="AG81" i="13" s="1"/>
  <c r="AG27" i="13"/>
  <c r="AG37" i="13"/>
  <c r="AG208" i="13"/>
  <c r="AG260" i="13"/>
  <c r="AJ209" i="13" l="1"/>
  <c r="AK37" i="13"/>
  <c r="K394" i="1"/>
  <c r="AP394" i="1"/>
  <c r="Q473" i="28"/>
  <c r="S473" i="28" s="1"/>
  <c r="L497" i="1"/>
  <c r="AN444" i="1"/>
  <c r="AO444" i="1"/>
  <c r="K444" i="1"/>
  <c r="P265" i="1"/>
  <c r="O285" i="1"/>
  <c r="J488" i="28"/>
  <c r="J489" i="28" s="1"/>
  <c r="O266" i="1"/>
  <c r="AO441" i="1"/>
  <c r="K441" i="1"/>
  <c r="AN441" i="1"/>
  <c r="J451" i="1"/>
  <c r="AN448" i="1"/>
  <c r="K448" i="1"/>
  <c r="AO448" i="1"/>
  <c r="AJ81" i="13"/>
  <c r="AJ117" i="13" s="1"/>
  <c r="AJ142" i="13" s="1"/>
  <c r="G139" i="3"/>
  <c r="G22" i="13"/>
  <c r="AK4" i="13"/>
  <c r="AK22" i="13"/>
  <c r="AK17" i="13"/>
  <c r="AK50" i="13" s="1"/>
  <c r="AK63" i="13"/>
  <c r="AK32" i="13"/>
  <c r="AK27" i="13"/>
  <c r="AJ210" i="13"/>
  <c r="AP339" i="13"/>
  <c r="J343" i="13"/>
  <c r="J341" i="13"/>
  <c r="AM290" i="13"/>
  <c r="AM273" i="13"/>
  <c r="AJ262" i="13"/>
  <c r="K521" i="1"/>
  <c r="I6" i="13"/>
  <c r="D160" i="60"/>
  <c r="E151" i="60" s="1"/>
  <c r="AJ65" i="13"/>
  <c r="AJ86" i="13" s="1"/>
  <c r="AJ118" i="13" s="1"/>
  <c r="AJ125" i="13" s="1"/>
  <c r="AJ9" i="13"/>
  <c r="AJ83" i="13"/>
  <c r="D74" i="9"/>
  <c r="AJ18" i="13"/>
  <c r="J685" i="28"/>
  <c r="P391" i="1"/>
  <c r="L21" i="9"/>
  <c r="P21" i="9" s="1"/>
  <c r="O392" i="1"/>
  <c r="L399" i="28"/>
  <c r="M398" i="28"/>
  <c r="N398" i="28" s="1"/>
  <c r="O398" i="28" s="1"/>
  <c r="P398" i="28" s="1"/>
  <c r="K54" i="60"/>
  <c r="K52" i="60"/>
  <c r="P312" i="1"/>
  <c r="J579" i="28"/>
  <c r="J580" i="28" s="1"/>
  <c r="L20" i="9"/>
  <c r="P20" i="9" s="1"/>
  <c r="O313" i="1"/>
  <c r="J519" i="28"/>
  <c r="J520" i="28" s="1"/>
  <c r="L19" i="9"/>
  <c r="P19" i="9" s="1"/>
  <c r="O290" i="1"/>
  <c r="P289" i="1"/>
  <c r="L53" i="60"/>
  <c r="O298" i="1"/>
  <c r="O299" i="1" s="1"/>
  <c r="L58" i="60"/>
  <c r="L56" i="60"/>
  <c r="J248" i="28"/>
  <c r="J249" i="28" s="1"/>
  <c r="P146" i="1"/>
  <c r="L33" i="9"/>
  <c r="P33" i="9" s="1"/>
  <c r="O147" i="1"/>
  <c r="O277" i="1"/>
  <c r="R298" i="1"/>
  <c r="N299" i="1"/>
  <c r="Q143" i="1"/>
  <c r="P144" i="1"/>
  <c r="K128" i="28"/>
  <c r="K129" i="28" s="1"/>
  <c r="G208" i="13"/>
  <c r="G209" i="13" s="1"/>
  <c r="D79" i="9"/>
  <c r="G27" i="13"/>
  <c r="G4" i="13"/>
  <c r="G32" i="13"/>
  <c r="H4" i="13"/>
  <c r="H6" i="13" s="1"/>
  <c r="G63" i="13"/>
  <c r="D144" i="9"/>
  <c r="D153" i="9" s="1"/>
  <c r="G37" i="13"/>
  <c r="G17" i="13"/>
  <c r="G441" i="13"/>
  <c r="G443" i="13" s="1"/>
  <c r="D47" i="9"/>
  <c r="D60" i="9" s="1"/>
  <c r="G73" i="3"/>
  <c r="G8" i="13"/>
  <c r="G65" i="13" s="1"/>
  <c r="G86" i="13" s="1"/>
  <c r="G118" i="13" s="1"/>
  <c r="G125" i="13" s="1"/>
  <c r="G70" i="3"/>
  <c r="D81" i="9"/>
  <c r="E11" i="17"/>
  <c r="E17" i="17" s="1"/>
  <c r="AG311" i="13"/>
  <c r="AG309" i="13"/>
  <c r="AG310" i="13" s="1"/>
  <c r="J428" i="28"/>
  <c r="J429" i="28" s="1"/>
  <c r="L9" i="60"/>
  <c r="L41" i="9"/>
  <c r="P41" i="9" s="1"/>
  <c r="O269" i="1"/>
  <c r="P268" i="1"/>
  <c r="K10" i="60"/>
  <c r="K8" i="60"/>
  <c r="AH3" i="1"/>
  <c r="T119" i="28"/>
  <c r="Q116" i="28" s="1"/>
  <c r="Q115" i="28" s="1"/>
  <c r="Q117" i="28" s="1"/>
  <c r="Q119" i="28" s="1"/>
  <c r="Q120" i="28" s="1"/>
  <c r="AL278" i="13"/>
  <c r="S115" i="28"/>
  <c r="U115" i="28"/>
  <c r="O28" i="3"/>
  <c r="L200" i="9" s="1"/>
  <c r="Q104" i="13"/>
  <c r="N159" i="9" s="1"/>
  <c r="M188" i="9"/>
  <c r="Q15" i="3"/>
  <c r="N188" i="9" s="1"/>
  <c r="P104" i="13"/>
  <c r="M159" i="9" s="1"/>
  <c r="P99" i="13"/>
  <c r="P46" i="3" s="1"/>
  <c r="M215" i="9" s="1"/>
  <c r="L729" i="28"/>
  <c r="Q323" i="1"/>
  <c r="AA371" i="13"/>
  <c r="AA369" i="13"/>
  <c r="AA381" i="13"/>
  <c r="AA382" i="13" s="1"/>
  <c r="AE371" i="13"/>
  <c r="D116" i="28"/>
  <c r="D115" i="28" s="1"/>
  <c r="E116" i="28"/>
  <c r="E115" i="28" s="1"/>
  <c r="Q254" i="13"/>
  <c r="Q163" i="13" s="1"/>
  <c r="Q206" i="13"/>
  <c r="Q380" i="13"/>
  <c r="Q167" i="13" s="1"/>
  <c r="P167" i="13"/>
  <c r="AG370" i="13"/>
  <c r="K730" i="28"/>
  <c r="Q233" i="13"/>
  <c r="Q239" i="13" s="1"/>
  <c r="P239" i="13"/>
  <c r="P25" i="3"/>
  <c r="P109" i="3" s="1"/>
  <c r="L197" i="9"/>
  <c r="AH277" i="13"/>
  <c r="AH308" i="13"/>
  <c r="O119" i="3"/>
  <c r="P27" i="3"/>
  <c r="L199" i="9"/>
  <c r="Q300" i="13"/>
  <c r="Q306" i="13" s="1"/>
  <c r="P306" i="13"/>
  <c r="M182" i="9"/>
  <c r="Q6" i="3"/>
  <c r="N182" i="9" s="1"/>
  <c r="P360" i="13"/>
  <c r="O366" i="13"/>
  <c r="O46" i="13" s="1"/>
  <c r="O44" i="13"/>
  <c r="L84" i="9"/>
  <c r="P84" i="9" s="1"/>
  <c r="O237" i="13"/>
  <c r="Q145" i="3"/>
  <c r="P84" i="3"/>
  <c r="M234" i="9" s="1"/>
  <c r="P149" i="3"/>
  <c r="P154" i="3" s="1"/>
  <c r="Q232" i="13"/>
  <c r="P238" i="13"/>
  <c r="P231" i="13"/>
  <c r="L205" i="9"/>
  <c r="O120" i="3"/>
  <c r="P35" i="3"/>
  <c r="I311" i="13"/>
  <c r="I309" i="13"/>
  <c r="X11" i="17"/>
  <c r="F105" i="9"/>
  <c r="F106" i="9" s="1"/>
  <c r="L294" i="28"/>
  <c r="M293" i="28"/>
  <c r="N293" i="28" s="1"/>
  <c r="O293" i="28" s="1"/>
  <c r="P293" i="28" s="1"/>
  <c r="O95" i="3"/>
  <c r="P91" i="3"/>
  <c r="E109" i="9"/>
  <c r="H311" i="13"/>
  <c r="W11" i="17"/>
  <c r="W17" i="17" s="1"/>
  <c r="E105" i="9"/>
  <c r="E106" i="9" s="1"/>
  <c r="H309" i="13"/>
  <c r="V11" i="17"/>
  <c r="V17" i="17" s="1"/>
  <c r="G311" i="13"/>
  <c r="D105" i="9"/>
  <c r="D106" i="9" s="1"/>
  <c r="G309" i="13"/>
  <c r="AB371" i="13"/>
  <c r="AB369" i="13"/>
  <c r="AB370" i="13" s="1"/>
  <c r="AB381" i="13"/>
  <c r="AB382" i="13" s="1"/>
  <c r="D109" i="9"/>
  <c r="F109" i="9"/>
  <c r="N96" i="3"/>
  <c r="N167" i="3"/>
  <c r="T570" i="28"/>
  <c r="T564" i="28"/>
  <c r="T566" i="28"/>
  <c r="S566" i="28"/>
  <c r="U566" i="28"/>
  <c r="M488" i="1"/>
  <c r="L489" i="1"/>
  <c r="G28" i="60"/>
  <c r="G30" i="60"/>
  <c r="G20" i="60"/>
  <c r="G22" i="60"/>
  <c r="AB524" i="1"/>
  <c r="AB116" i="1"/>
  <c r="AN34" i="1"/>
  <c r="AN151" i="1"/>
  <c r="AC18" i="13"/>
  <c r="AC50" i="13"/>
  <c r="AC174" i="13" s="1"/>
  <c r="AC175" i="13" s="1"/>
  <c r="AC65" i="13"/>
  <c r="AC86" i="13" s="1"/>
  <c r="AC118" i="13" s="1"/>
  <c r="AC125" i="13" s="1"/>
  <c r="AC9" i="13"/>
  <c r="AC20" i="13"/>
  <c r="AC56" i="13" s="1"/>
  <c r="AC116" i="13" s="1"/>
  <c r="K4" i="60"/>
  <c r="K6" i="60"/>
  <c r="O328" i="1"/>
  <c r="L39" i="9"/>
  <c r="P39" i="9" s="1"/>
  <c r="P319" i="1"/>
  <c r="J714" i="28"/>
  <c r="O320" i="1"/>
  <c r="L5" i="60"/>
  <c r="AN356" i="13"/>
  <c r="AN358" i="13"/>
  <c r="T195" i="28"/>
  <c r="U195" i="28" s="1"/>
  <c r="B191" i="28" s="1"/>
  <c r="B190" i="28" s="1"/>
  <c r="C191" i="28"/>
  <c r="C190" i="28" s="1"/>
  <c r="T193" i="28"/>
  <c r="M191" i="28" s="1"/>
  <c r="M190" i="28" s="1"/>
  <c r="L502" i="1"/>
  <c r="L521" i="1" s="1"/>
  <c r="M518" i="1"/>
  <c r="L519" i="1"/>
  <c r="AP333" i="1"/>
  <c r="M213" i="1"/>
  <c r="L214" i="1"/>
  <c r="E640" i="28"/>
  <c r="E99" i="28"/>
  <c r="E3" i="26"/>
  <c r="E10" i="26"/>
  <c r="E13" i="26"/>
  <c r="E15" i="26"/>
  <c r="I65" i="13"/>
  <c r="I86" i="13" s="1"/>
  <c r="I118" i="13" s="1"/>
  <c r="I125" i="13" s="1"/>
  <c r="I9" i="13"/>
  <c r="I20" i="13"/>
  <c r="I56" i="13" s="1"/>
  <c r="I116" i="13" s="1"/>
  <c r="AK65" i="13"/>
  <c r="AK86" i="13" s="1"/>
  <c r="AK118" i="13" s="1"/>
  <c r="AK125" i="13" s="1"/>
  <c r="AK9" i="13"/>
  <c r="AK20" i="13"/>
  <c r="AK56" i="13" s="1"/>
  <c r="AK116" i="13" s="1"/>
  <c r="G413" i="28"/>
  <c r="L222" i="1"/>
  <c r="P260" i="1"/>
  <c r="AJ241" i="13"/>
  <c r="H9" i="17"/>
  <c r="H15" i="17" s="1"/>
  <c r="AJ257" i="13"/>
  <c r="AJ258" i="13" s="1"/>
  <c r="AJ259" i="13" s="1"/>
  <c r="L550" i="28"/>
  <c r="M549" i="28"/>
  <c r="K373" i="1"/>
  <c r="K374" i="1" s="1"/>
  <c r="H49" i="60"/>
  <c r="Z26" i="17"/>
  <c r="AG26" i="17" s="1"/>
  <c r="F609" i="28"/>
  <c r="F271" i="60"/>
  <c r="F254" i="60" s="1"/>
  <c r="AM358" i="13"/>
  <c r="AM356" i="13"/>
  <c r="AB209" i="13"/>
  <c r="AB210" i="13"/>
  <c r="AB240" i="13"/>
  <c r="AI4" i="13"/>
  <c r="AI8" i="13"/>
  <c r="AI17" i="13"/>
  <c r="AI50" i="13" s="1"/>
  <c r="AI63" i="13"/>
  <c r="AI81" i="13" s="1"/>
  <c r="AI27" i="13"/>
  <c r="AI37" i="13"/>
  <c r="AI32" i="13"/>
  <c r="P157" i="1"/>
  <c r="AL3" i="13"/>
  <c r="AL22" i="13" s="1"/>
  <c r="AL222" i="13"/>
  <c r="AL217" i="13"/>
  <c r="AL204" i="13"/>
  <c r="AL197" i="13"/>
  <c r="AL227" i="13"/>
  <c r="AL199" i="13"/>
  <c r="AL260" i="13" s="1"/>
  <c r="H37" i="60"/>
  <c r="Z27" i="17"/>
  <c r="AG27" i="17" s="1"/>
  <c r="K99" i="1"/>
  <c r="K100" i="1" s="1"/>
  <c r="H31" i="9"/>
  <c r="F203" i="28"/>
  <c r="N49" i="13"/>
  <c r="F443" i="28"/>
  <c r="F504" i="28" s="1"/>
  <c r="K258" i="1"/>
  <c r="K259" i="1" s="1"/>
  <c r="D13" i="26"/>
  <c r="D15" i="26"/>
  <c r="D10" i="26"/>
  <c r="H65" i="13"/>
  <c r="H86" i="13" s="1"/>
  <c r="H118" i="13" s="1"/>
  <c r="H125" i="13" s="1"/>
  <c r="H20" i="13"/>
  <c r="H56" i="13" s="1"/>
  <c r="H116" i="13" s="1"/>
  <c r="H262" i="13"/>
  <c r="H261" i="13"/>
  <c r="E88" i="9"/>
  <c r="AO351" i="13"/>
  <c r="AO353" i="13"/>
  <c r="M105" i="13"/>
  <c r="L106" i="13"/>
  <c r="AA20" i="13"/>
  <c r="AA56" i="13" s="1"/>
  <c r="AA116" i="13" s="1"/>
  <c r="AA65" i="13"/>
  <c r="AA86" i="13" s="1"/>
  <c r="AA118" i="13" s="1"/>
  <c r="AA125" i="13" s="1"/>
  <c r="AA9" i="13"/>
  <c r="E174" i="28"/>
  <c r="G46" i="60"/>
  <c r="G44" i="60"/>
  <c r="E219" i="28"/>
  <c r="Q412" i="13"/>
  <c r="N138" i="9"/>
  <c r="J150" i="1"/>
  <c r="J71" i="1"/>
  <c r="J72" i="1" s="1"/>
  <c r="E159" i="28"/>
  <c r="J159" i="3"/>
  <c r="J141" i="13" s="1"/>
  <c r="J140" i="13"/>
  <c r="J117" i="3"/>
  <c r="J94" i="3"/>
  <c r="M67" i="1"/>
  <c r="L68" i="1"/>
  <c r="L62" i="1"/>
  <c r="AE17" i="13"/>
  <c r="AE27" i="13"/>
  <c r="AE37" i="13"/>
  <c r="AE32" i="13"/>
  <c r="AE8" i="13"/>
  <c r="AE4" i="13"/>
  <c r="AE63" i="13"/>
  <c r="AE81" i="13" s="1"/>
  <c r="H17" i="60"/>
  <c r="H18" i="60" s="1"/>
  <c r="K155" i="1"/>
  <c r="K156" i="1" s="1"/>
  <c r="H35" i="9"/>
  <c r="F278" i="28"/>
  <c r="Z20" i="17"/>
  <c r="AG20" i="17" s="1"/>
  <c r="Q26" i="3"/>
  <c r="M198" i="9"/>
  <c r="AB18" i="13"/>
  <c r="AB50" i="13"/>
  <c r="AB174" i="13" s="1"/>
  <c r="AB175" i="13" s="1"/>
  <c r="AF210" i="13"/>
  <c r="AF209" i="13"/>
  <c r="AF240" i="13"/>
  <c r="AJ243" i="13" s="1"/>
  <c r="AF82" i="13"/>
  <c r="AF83" i="13"/>
  <c r="AF117" i="13"/>
  <c r="AF142" i="13" s="1"/>
  <c r="E37" i="28"/>
  <c r="L54" i="1"/>
  <c r="M59" i="1"/>
  <c r="L60" i="1"/>
  <c r="H14" i="9"/>
  <c r="F624" i="28"/>
  <c r="K333" i="1"/>
  <c r="K334" i="1" s="1"/>
  <c r="F158" i="28"/>
  <c r="H26" i="9"/>
  <c r="K91" i="1"/>
  <c r="K92" i="1" s="1"/>
  <c r="M79" i="1"/>
  <c r="L80" i="1"/>
  <c r="L74" i="1"/>
  <c r="AJ370" i="13"/>
  <c r="Q353" i="28"/>
  <c r="AG261" i="13"/>
  <c r="AG262" i="13"/>
  <c r="AG117" i="13"/>
  <c r="AG142" i="13" s="1"/>
  <c r="AG82" i="13"/>
  <c r="AG83" i="13"/>
  <c r="AG50" i="13"/>
  <c r="AG174" i="13" s="1"/>
  <c r="AG18" i="13"/>
  <c r="M87" i="1"/>
  <c r="L88" i="1"/>
  <c r="L82" i="1"/>
  <c r="K498" i="1"/>
  <c r="L122" i="1"/>
  <c r="M127" i="1"/>
  <c r="L128" i="1"/>
  <c r="G38" i="9"/>
  <c r="J254" i="1"/>
  <c r="AC82" i="13"/>
  <c r="AC117" i="13"/>
  <c r="AC142" i="13" s="1"/>
  <c r="AC83" i="13"/>
  <c r="AN328" i="13"/>
  <c r="AA261" i="13"/>
  <c r="AA264" i="13" s="1"/>
  <c r="AA262" i="13"/>
  <c r="H51" i="38"/>
  <c r="J173" i="1" s="1"/>
  <c r="K325" i="13"/>
  <c r="K339" i="13" s="1"/>
  <c r="H65" i="60"/>
  <c r="Z5" i="17"/>
  <c r="AG5" i="17" s="1"/>
  <c r="K503" i="1"/>
  <c r="K504" i="1" s="1"/>
  <c r="F36" i="28"/>
  <c r="H5" i="9"/>
  <c r="AP315" i="1"/>
  <c r="AP305" i="1"/>
  <c r="E505" i="28"/>
  <c r="E444" i="28"/>
  <c r="H32" i="9"/>
  <c r="H41" i="60"/>
  <c r="F218" i="28"/>
  <c r="K107" i="1"/>
  <c r="K108" i="1" s="1"/>
  <c r="Z28" i="17"/>
  <c r="AG28" i="17" s="1"/>
  <c r="H21" i="60"/>
  <c r="K198" i="1"/>
  <c r="K199" i="1" s="1"/>
  <c r="Z22" i="17"/>
  <c r="AG22" i="17" s="1"/>
  <c r="K253" i="1"/>
  <c r="F383" i="28"/>
  <c r="H37" i="9"/>
  <c r="L372" i="1"/>
  <c r="M377" i="1"/>
  <c r="L378" i="1"/>
  <c r="L217" i="9"/>
  <c r="P54" i="3"/>
  <c r="E204" i="28"/>
  <c r="F324" i="28"/>
  <c r="AM348" i="13"/>
  <c r="AM346" i="13"/>
  <c r="AB262" i="13"/>
  <c r="AB261" i="13"/>
  <c r="AB264" i="13" s="1"/>
  <c r="M194" i="9"/>
  <c r="Q22" i="3"/>
  <c r="E279" i="28"/>
  <c r="AM284" i="13"/>
  <c r="AM270" i="13"/>
  <c r="AM321" i="13" s="1"/>
  <c r="AM268" i="13"/>
  <c r="AM294" i="13"/>
  <c r="H82" i="13"/>
  <c r="H117" i="13"/>
  <c r="E157" i="9"/>
  <c r="E158" i="9" s="1"/>
  <c r="E68" i="9"/>
  <c r="H142" i="13"/>
  <c r="AO328" i="13"/>
  <c r="AO358" i="13"/>
  <c r="AO356" i="13"/>
  <c r="AK262" i="13"/>
  <c r="AK261" i="13"/>
  <c r="AA18" i="13"/>
  <c r="AA50" i="13"/>
  <c r="AA174" i="13" s="1"/>
  <c r="AA175" i="13" s="1"/>
  <c r="G40" i="60"/>
  <c r="G42" i="60"/>
  <c r="AC116" i="1"/>
  <c r="AC524" i="1"/>
  <c r="Q48" i="13"/>
  <c r="Q420" i="13"/>
  <c r="E69" i="28"/>
  <c r="J395" i="1"/>
  <c r="AM151" i="1"/>
  <c r="AM34" i="1"/>
  <c r="E234" i="28"/>
  <c r="AB9" i="13"/>
  <c r="AB65" i="13"/>
  <c r="AB86" i="13" s="1"/>
  <c r="AB118" i="13" s="1"/>
  <c r="AB125" i="13" s="1"/>
  <c r="AB20" i="13"/>
  <c r="AB56" i="13" s="1"/>
  <c r="AB116" i="13" s="1"/>
  <c r="E535" i="28"/>
  <c r="E594" i="28"/>
  <c r="E595" i="28" s="1"/>
  <c r="AD311" i="13"/>
  <c r="AD309" i="13"/>
  <c r="K70" i="1"/>
  <c r="H25" i="60"/>
  <c r="Z21" i="17"/>
  <c r="AG21" i="17" s="1"/>
  <c r="H23" i="9"/>
  <c r="K55" i="1"/>
  <c r="K56" i="1" s="1"/>
  <c r="F68" i="28"/>
  <c r="M345" i="1"/>
  <c r="L346" i="1"/>
  <c r="L340" i="1"/>
  <c r="AP503" i="1"/>
  <c r="AP504" i="1" s="1"/>
  <c r="AP325" i="13"/>
  <c r="AP326" i="13" s="1"/>
  <c r="AG65" i="13"/>
  <c r="AG86" i="13" s="1"/>
  <c r="AG118" i="13" s="1"/>
  <c r="AG125" i="13" s="1"/>
  <c r="AG9" i="13"/>
  <c r="AG20" i="13"/>
  <c r="AG56" i="13" s="1"/>
  <c r="AG116" i="13" s="1"/>
  <c r="G48" i="60"/>
  <c r="G50" i="60"/>
  <c r="AA524" i="1"/>
  <c r="AA116" i="1"/>
  <c r="I209" i="13"/>
  <c r="I210" i="13"/>
  <c r="F76" i="9"/>
  <c r="F77" i="9" s="1"/>
  <c r="AH17" i="13"/>
  <c r="AH32" i="13"/>
  <c r="AH63" i="13"/>
  <c r="AH81" i="13" s="1"/>
  <c r="AH8" i="13"/>
  <c r="AH27" i="13"/>
  <c r="AH37" i="13"/>
  <c r="G38" i="60"/>
  <c r="G36" i="60"/>
  <c r="AH338" i="13"/>
  <c r="AH337" i="13"/>
  <c r="AL338" i="13"/>
  <c r="AH368" i="13"/>
  <c r="AC262" i="13"/>
  <c r="AC261" i="13"/>
  <c r="AC264" i="13" s="1"/>
  <c r="M262" i="1"/>
  <c r="L263" i="1"/>
  <c r="L257" i="1"/>
  <c r="L279" i="1" s="1"/>
  <c r="L280" i="1" s="1"/>
  <c r="E57" i="9"/>
  <c r="E60" i="9"/>
  <c r="E54" i="9"/>
  <c r="E7" i="9"/>
  <c r="R4" i="60"/>
  <c r="M491" i="1"/>
  <c r="L492" i="1"/>
  <c r="AE260" i="13"/>
  <c r="AE208" i="13"/>
  <c r="F670" i="28"/>
  <c r="AF20" i="13"/>
  <c r="AF56" i="13" s="1"/>
  <c r="AF116" i="13" s="1"/>
  <c r="AF65" i="13"/>
  <c r="AF86" i="13" s="1"/>
  <c r="AF118" i="13" s="1"/>
  <c r="AF125" i="13" s="1"/>
  <c r="AF9" i="13"/>
  <c r="I48" i="38"/>
  <c r="I49" i="38" s="1"/>
  <c r="M95" i="1"/>
  <c r="L96" i="1"/>
  <c r="L90" i="1"/>
  <c r="O307" i="13"/>
  <c r="P301" i="13"/>
  <c r="O299" i="13"/>
  <c r="F173" i="28"/>
  <c r="K115" i="1"/>
  <c r="K116" i="1" s="1"/>
  <c r="Z30" i="17"/>
  <c r="AG30" i="17" s="1"/>
  <c r="H29" i="9"/>
  <c r="H45" i="60"/>
  <c r="O5" i="3"/>
  <c r="K180" i="9"/>
  <c r="AB83" i="13"/>
  <c r="AB117" i="13"/>
  <c r="AB142" i="13" s="1"/>
  <c r="AB82" i="13"/>
  <c r="AF261" i="13"/>
  <c r="AF262" i="13"/>
  <c r="J316" i="1"/>
  <c r="G22" i="9"/>
  <c r="AP258" i="1"/>
  <c r="K18" i="38"/>
  <c r="J21" i="38"/>
  <c r="J23" i="38" s="1"/>
  <c r="J25" i="38" s="1"/>
  <c r="J30" i="38" s="1"/>
  <c r="J43" i="38" s="1"/>
  <c r="J46" i="38" s="1"/>
  <c r="G66" i="60"/>
  <c r="G64" i="60"/>
  <c r="AD197" i="13"/>
  <c r="AD227" i="13"/>
  <c r="AD3" i="13"/>
  <c r="AH4" i="13" s="1"/>
  <c r="AD199" i="13"/>
  <c r="AD204" i="13"/>
  <c r="AD217" i="13"/>
  <c r="AD222" i="13"/>
  <c r="AE310" i="13"/>
  <c r="AI310" i="13"/>
  <c r="AG240" i="13"/>
  <c r="AG210" i="13"/>
  <c r="AG209" i="13"/>
  <c r="E384" i="28"/>
  <c r="L16" i="38"/>
  <c r="K32" i="38"/>
  <c r="K34" i="38" s="1"/>
  <c r="K36" i="38" s="1"/>
  <c r="K41" i="38" s="1"/>
  <c r="L304" i="1"/>
  <c r="M309" i="1"/>
  <c r="L310" i="1"/>
  <c r="I715" i="28"/>
  <c r="AN353" i="13"/>
  <c r="AN351" i="13"/>
  <c r="AA240" i="13"/>
  <c r="AA210" i="13"/>
  <c r="AA209" i="13"/>
  <c r="AB309" i="13"/>
  <c r="AB310" i="13" s="1"/>
  <c r="AB311" i="13"/>
  <c r="F50" i="9"/>
  <c r="F51" i="9" s="1"/>
  <c r="F146" i="9"/>
  <c r="F147" i="9" s="1"/>
  <c r="I18" i="13"/>
  <c r="I174" i="13"/>
  <c r="I452" i="13" s="1"/>
  <c r="F68" i="9"/>
  <c r="I83" i="13"/>
  <c r="I82" i="13"/>
  <c r="I117" i="13"/>
  <c r="I142" i="13" s="1"/>
  <c r="F157" i="9"/>
  <c r="F158" i="9" s="1"/>
  <c r="G42" i="9"/>
  <c r="J286" i="1"/>
  <c r="AH260" i="13"/>
  <c r="AH208" i="13"/>
  <c r="Q343" i="1"/>
  <c r="L197" i="1"/>
  <c r="L249" i="1" s="1"/>
  <c r="M202" i="1"/>
  <c r="L203" i="1"/>
  <c r="AM328" i="13"/>
  <c r="AM383" i="13" s="1"/>
  <c r="M181" i="13"/>
  <c r="I173" i="9"/>
  <c r="I174" i="9" s="1"/>
  <c r="L185" i="13"/>
  <c r="AI208" i="13"/>
  <c r="AI240" i="13" s="1"/>
  <c r="AL331" i="1"/>
  <c r="AL468" i="1"/>
  <c r="AL461" i="1"/>
  <c r="AL196" i="1"/>
  <c r="AL3" i="1"/>
  <c r="AL500" i="1"/>
  <c r="AL318" i="1"/>
  <c r="J7" i="17"/>
  <c r="AL506" i="1"/>
  <c r="AL397" i="1"/>
  <c r="AL428" i="1"/>
  <c r="AL288" i="1"/>
  <c r="AL73" i="1"/>
  <c r="AL153" i="1"/>
  <c r="N365" i="13"/>
  <c r="K124" i="9"/>
  <c r="O124" i="9" s="1"/>
  <c r="N41" i="13"/>
  <c r="G458" i="28"/>
  <c r="E149" i="9"/>
  <c r="E153" i="9"/>
  <c r="E151" i="9"/>
  <c r="H209" i="13"/>
  <c r="E76" i="9"/>
  <c r="E77" i="9" s="1"/>
  <c r="H240" i="13"/>
  <c r="AK210" i="13"/>
  <c r="AK209" i="13"/>
  <c r="Q417" i="13"/>
  <c r="E699" i="28"/>
  <c r="E700" i="28" s="1"/>
  <c r="E625" i="28"/>
  <c r="P14" i="3"/>
  <c r="L187" i="9"/>
  <c r="AK370" i="13"/>
  <c r="H29" i="60"/>
  <c r="K63" i="1"/>
  <c r="K64" i="1" s="1"/>
  <c r="F83" i="28"/>
  <c r="H24" i="9"/>
  <c r="Z23" i="17"/>
  <c r="AG23" i="17" s="1"/>
  <c r="M159" i="1"/>
  <c r="L160" i="1"/>
  <c r="L154" i="1"/>
  <c r="P93" i="1"/>
  <c r="AF18" i="13"/>
  <c r="AF50" i="13"/>
  <c r="AF174" i="13" s="1"/>
  <c r="J327" i="13"/>
  <c r="J329" i="13"/>
  <c r="J349" i="13"/>
  <c r="J344" i="13"/>
  <c r="J354" i="13"/>
  <c r="J330" i="13"/>
  <c r="J326" i="13"/>
  <c r="G112" i="9"/>
  <c r="F654" i="28"/>
  <c r="K349" i="1"/>
  <c r="K350" i="1" s="1"/>
  <c r="F98" i="28"/>
  <c r="Z24" i="17"/>
  <c r="AG24" i="17" s="1"/>
  <c r="H27" i="9"/>
  <c r="H33" i="60"/>
  <c r="K75" i="1"/>
  <c r="K76" i="1" s="1"/>
  <c r="H25" i="9"/>
  <c r="F143" i="28"/>
  <c r="K83" i="1"/>
  <c r="K84" i="1" s="1"/>
  <c r="E84" i="28"/>
  <c r="J11" i="17"/>
  <c r="J17" i="17" s="1"/>
  <c r="AL309" i="13"/>
  <c r="K123" i="1"/>
  <c r="K124" i="1" s="1"/>
  <c r="Z29" i="17"/>
  <c r="AG29" i="17" s="1"/>
  <c r="F233" i="28"/>
  <c r="E610" i="28"/>
  <c r="AP155" i="1"/>
  <c r="H16" i="9"/>
  <c r="F534" i="28"/>
  <c r="K305" i="1"/>
  <c r="K306" i="1" s="1"/>
  <c r="K315" i="1"/>
  <c r="R328" i="1"/>
  <c r="K40" i="9"/>
  <c r="O40" i="9" s="1"/>
  <c r="N329" i="1"/>
  <c r="D88" i="9"/>
  <c r="G261" i="13"/>
  <c r="G264" i="13" s="1"/>
  <c r="G262" i="13"/>
  <c r="AK309" i="13"/>
  <c r="I11" i="17"/>
  <c r="I17" i="17" s="1"/>
  <c r="AK311" i="13"/>
  <c r="AN348" i="13"/>
  <c r="AN346" i="13"/>
  <c r="Q109" i="1"/>
  <c r="AP70" i="1"/>
  <c r="AP55" i="1"/>
  <c r="K249" i="1"/>
  <c r="K250" i="1" s="1"/>
  <c r="E655" i="28"/>
  <c r="G32" i="60"/>
  <c r="G34" i="60"/>
  <c r="F7" i="9"/>
  <c r="F57" i="9"/>
  <c r="F60" i="9"/>
  <c r="F54" i="9"/>
  <c r="F153" i="9"/>
  <c r="F151" i="9"/>
  <c r="F149" i="9"/>
  <c r="F151" i="60"/>
  <c r="F159" i="60"/>
  <c r="F161" i="60"/>
  <c r="I262" i="13"/>
  <c r="F88" i="9"/>
  <c r="I261" i="13"/>
  <c r="AP279" i="1"/>
  <c r="AP280" i="1" s="1"/>
  <c r="F414" i="28"/>
  <c r="M111" i="1"/>
  <c r="L112" i="1"/>
  <c r="L106" i="1"/>
  <c r="AO151" i="1"/>
  <c r="AO34" i="1"/>
  <c r="AJ137" i="13"/>
  <c r="AJ138" i="13" s="1"/>
  <c r="AJ127" i="13"/>
  <c r="M183" i="9"/>
  <c r="Q8" i="3"/>
  <c r="N183" i="9" s="1"/>
  <c r="G323" i="28"/>
  <c r="L365" i="1"/>
  <c r="AM351" i="13"/>
  <c r="K186" i="13"/>
  <c r="AP498" i="1"/>
  <c r="AJ115" i="13"/>
  <c r="AJ154" i="13"/>
  <c r="AJ155" i="13" s="1"/>
  <c r="AJ171" i="13"/>
  <c r="AJ172" i="13" s="1"/>
  <c r="AJ173" i="13" s="1"/>
  <c r="H13" i="17"/>
  <c r="H14" i="17" s="1"/>
  <c r="AJ51" i="13"/>
  <c r="AP253" i="1"/>
  <c r="AP198" i="1"/>
  <c r="AC240" i="13"/>
  <c r="AC209" i="13"/>
  <c r="AC210" i="13"/>
  <c r="AL38" i="1"/>
  <c r="L98" i="1"/>
  <c r="M103" i="1"/>
  <c r="L104" i="1"/>
  <c r="P361" i="13"/>
  <c r="O359" i="13"/>
  <c r="O367" i="13"/>
  <c r="O47" i="13"/>
  <c r="F459" i="28"/>
  <c r="H18" i="13"/>
  <c r="E50" i="9"/>
  <c r="E51" i="9" s="1"/>
  <c r="E146" i="9"/>
  <c r="E147" i="9" s="1"/>
  <c r="H174" i="13"/>
  <c r="H452" i="13" s="1"/>
  <c r="E159" i="60"/>
  <c r="E161" i="60"/>
  <c r="R6" i="60"/>
  <c r="AO348" i="13"/>
  <c r="AO346" i="13"/>
  <c r="Q65" i="1"/>
  <c r="AA83" i="13"/>
  <c r="AA117" i="13"/>
  <c r="AA142" i="13" s="1"/>
  <c r="AA82" i="13"/>
  <c r="AP249" i="1"/>
  <c r="AP250" i="1" s="1"/>
  <c r="G24" i="60"/>
  <c r="G26" i="60"/>
  <c r="K160" i="3"/>
  <c r="L151" i="3"/>
  <c r="L155" i="3" s="1"/>
  <c r="K157" i="3"/>
  <c r="E144" i="28"/>
  <c r="E263" i="28"/>
  <c r="E264" i="28" s="1"/>
  <c r="M205" i="1"/>
  <c r="L206" i="1"/>
  <c r="G669" i="28"/>
  <c r="M43" i="13"/>
  <c r="J154" i="9"/>
  <c r="J62" i="9"/>
  <c r="AJ310" i="13"/>
  <c r="P396" i="13"/>
  <c r="M133" i="9"/>
  <c r="Q394" i="13"/>
  <c r="M522" i="1"/>
  <c r="L523" i="1"/>
  <c r="M337" i="1"/>
  <c r="L338" i="1"/>
  <c r="L332" i="1"/>
  <c r="L348" i="1"/>
  <c r="M353" i="1"/>
  <c r="L354" i="1"/>
  <c r="H15" i="9"/>
  <c r="F639" i="28"/>
  <c r="K341" i="1"/>
  <c r="K342" i="1" s="1"/>
  <c r="AD536" i="1"/>
  <c r="AD487" i="1"/>
  <c r="AD248" i="1" s="1"/>
  <c r="AD331" i="1"/>
  <c r="AD461" i="1"/>
  <c r="AD133" i="1"/>
  <c r="AD500" i="1"/>
  <c r="AD256" i="1"/>
  <c r="AD468" i="1"/>
  <c r="AD531" i="1"/>
  <c r="AD3" i="1"/>
  <c r="AD4" i="1" s="1"/>
  <c r="AD506" i="1"/>
  <c r="AD288" i="1"/>
  <c r="AD428" i="1"/>
  <c r="AD397" i="1"/>
  <c r="AD196" i="1"/>
  <c r="AD318" i="1"/>
  <c r="AD73" i="1"/>
  <c r="AD153" i="1"/>
  <c r="Q77" i="1"/>
  <c r="K104" i="9"/>
  <c r="O104" i="9" s="1"/>
  <c r="N305" i="13"/>
  <c r="L114" i="1"/>
  <c r="M119" i="1"/>
  <c r="L120" i="1"/>
  <c r="AN343" i="13" l="1"/>
  <c r="AN383" i="13" s="1"/>
  <c r="AN384" i="13" s="1"/>
  <c r="AK18" i="13"/>
  <c r="L394" i="1"/>
  <c r="T475" i="28"/>
  <c r="U475" i="28"/>
  <c r="T479" i="28"/>
  <c r="S475" i="28"/>
  <c r="T473" i="28"/>
  <c r="AP444" i="1"/>
  <c r="M497" i="1"/>
  <c r="AP448" i="1"/>
  <c r="AN451" i="1"/>
  <c r="AN424" i="1" s="1"/>
  <c r="AN2" i="1" s="1"/>
  <c r="K451" i="1"/>
  <c r="K442" i="1"/>
  <c r="L441" i="1"/>
  <c r="K445" i="1"/>
  <c r="L444" i="1"/>
  <c r="K449" i="1"/>
  <c r="L448" i="1"/>
  <c r="J424" i="1"/>
  <c r="AP441" i="1"/>
  <c r="AO451" i="1"/>
  <c r="AO424" i="1" s="1"/>
  <c r="AO2" i="1" s="1"/>
  <c r="K488" i="28"/>
  <c r="K489" i="28" s="1"/>
  <c r="P285" i="1"/>
  <c r="Q265" i="1"/>
  <c r="P266" i="1"/>
  <c r="AJ144" i="13"/>
  <c r="AJ147" i="13"/>
  <c r="AJ148" i="13" s="1"/>
  <c r="AJ143" i="13"/>
  <c r="AK81" i="13"/>
  <c r="AK83" i="13" s="1"/>
  <c r="AJ174" i="13"/>
  <c r="G81" i="13"/>
  <c r="G82" i="13" s="1"/>
  <c r="AJ82" i="13"/>
  <c r="D50" i="9"/>
  <c r="D51" i="9" s="1"/>
  <c r="G50" i="13"/>
  <c r="AP341" i="13"/>
  <c r="AP343" i="13"/>
  <c r="AP340" i="13"/>
  <c r="AO343" i="13"/>
  <c r="AO383" i="13" s="1"/>
  <c r="AO384" i="13" s="1"/>
  <c r="K343" i="13"/>
  <c r="K341" i="13"/>
  <c r="D161" i="60"/>
  <c r="E152" i="60" s="1"/>
  <c r="D159" i="60"/>
  <c r="E150" i="60" s="1"/>
  <c r="L525" i="1"/>
  <c r="H83" i="13"/>
  <c r="D76" i="9"/>
  <c r="D77" i="9" s="1"/>
  <c r="G210" i="13"/>
  <c r="Q144" i="1"/>
  <c r="L128" i="28"/>
  <c r="P277" i="1"/>
  <c r="M19" i="9"/>
  <c r="P290" i="1"/>
  <c r="K519" i="28"/>
  <c r="K520" i="28" s="1"/>
  <c r="Q289" i="1"/>
  <c r="P298" i="1"/>
  <c r="P299" i="1" s="1"/>
  <c r="D146" i="9"/>
  <c r="D147" i="9" s="1"/>
  <c r="M33" i="9"/>
  <c r="Q146" i="1"/>
  <c r="P147" i="1"/>
  <c r="K248" i="28"/>
  <c r="K249" i="28" s="1"/>
  <c r="K685" i="28"/>
  <c r="Q391" i="1"/>
  <c r="M21" i="9"/>
  <c r="P392" i="1"/>
  <c r="H210" i="13"/>
  <c r="G240" i="13"/>
  <c r="G257" i="13" s="1"/>
  <c r="G258" i="13" s="1"/>
  <c r="G259" i="13" s="1"/>
  <c r="G9" i="13"/>
  <c r="L54" i="60"/>
  <c r="L52" i="60"/>
  <c r="K579" i="28"/>
  <c r="K580" i="28" s="1"/>
  <c r="P313" i="1"/>
  <c r="M20" i="9"/>
  <c r="Q312" i="1"/>
  <c r="D57" i="9"/>
  <c r="D151" i="9"/>
  <c r="D54" i="9"/>
  <c r="G20" i="13"/>
  <c r="G56" i="13" s="1"/>
  <c r="G116" i="13" s="1"/>
  <c r="G137" i="13" s="1"/>
  <c r="G138" i="13" s="1"/>
  <c r="G18" i="13"/>
  <c r="H9" i="13"/>
  <c r="AK310" i="13"/>
  <c r="D149" i="9"/>
  <c r="D7" i="9"/>
  <c r="D10" i="9" s="1"/>
  <c r="F107" i="9"/>
  <c r="L8" i="60"/>
  <c r="L10" i="60"/>
  <c r="Q268" i="1"/>
  <c r="M41" i="9"/>
  <c r="P269" i="1"/>
  <c r="K428" i="28"/>
  <c r="K429" i="28" s="1"/>
  <c r="K4" i="17"/>
  <c r="P116" i="28"/>
  <c r="P115" i="28" s="1"/>
  <c r="P117" i="28" s="1"/>
  <c r="P119" i="28" s="1"/>
  <c r="P120" i="28" s="1"/>
  <c r="P51" i="3"/>
  <c r="P52" i="3" s="1"/>
  <c r="P28" i="3"/>
  <c r="AJ52" i="13"/>
  <c r="AJ54" i="13" s="1"/>
  <c r="N78" i="13"/>
  <c r="N80" i="13" s="1"/>
  <c r="O49" i="13"/>
  <c r="AF264" i="13"/>
  <c r="E117" i="28"/>
  <c r="E119" i="28" s="1"/>
  <c r="E120" i="28" s="1"/>
  <c r="M729" i="28"/>
  <c r="L730" i="28"/>
  <c r="AG264" i="13"/>
  <c r="AA370" i="13"/>
  <c r="AE370" i="13"/>
  <c r="Q25" i="3"/>
  <c r="N197" i="9" s="1"/>
  <c r="M197" i="9"/>
  <c r="F11" i="17"/>
  <c r="F17" i="17" s="1"/>
  <c r="AH309" i="13"/>
  <c r="AL310" i="13" s="1"/>
  <c r="AL311" i="13"/>
  <c r="AH311" i="13"/>
  <c r="Q27" i="3"/>
  <c r="P119" i="3"/>
  <c r="M199" i="9"/>
  <c r="Q238" i="13"/>
  <c r="Q231" i="13"/>
  <c r="P366" i="13"/>
  <c r="P46" i="13" s="1"/>
  <c r="Q360" i="13"/>
  <c r="P44" i="13"/>
  <c r="P120" i="3"/>
  <c r="M205" i="9"/>
  <c r="Q35" i="3"/>
  <c r="Q84" i="3"/>
  <c r="N234" i="9" s="1"/>
  <c r="Q149" i="3"/>
  <c r="Q154" i="3" s="1"/>
  <c r="D191" i="28"/>
  <c r="D190" i="28" s="1"/>
  <c r="H191" i="28"/>
  <c r="H190" i="28" s="1"/>
  <c r="M84" i="9"/>
  <c r="P237" i="13"/>
  <c r="D107" i="9"/>
  <c r="G310" i="13"/>
  <c r="B56" i="28"/>
  <c r="B55" i="28" s="1"/>
  <c r="C56" i="28"/>
  <c r="C55" i="28" s="1"/>
  <c r="H310" i="13"/>
  <c r="Q91" i="3"/>
  <c r="Q95" i="3" s="1"/>
  <c r="P95" i="3"/>
  <c r="P96" i="3" s="1"/>
  <c r="E107" i="9"/>
  <c r="O167" i="3"/>
  <c r="R167" i="3" s="1"/>
  <c r="O96" i="3"/>
  <c r="O66" i="17"/>
  <c r="X17" i="17"/>
  <c r="AE11" i="17"/>
  <c r="L191" i="28"/>
  <c r="L190" i="28" s="1"/>
  <c r="K191" i="28"/>
  <c r="K190" i="28" s="1"/>
  <c r="I310" i="13"/>
  <c r="D56" i="28"/>
  <c r="D55" i="28" s="1"/>
  <c r="AF370" i="13"/>
  <c r="G324" i="28"/>
  <c r="G670" i="28"/>
  <c r="G459" i="28"/>
  <c r="L186" i="13"/>
  <c r="I147" i="13"/>
  <c r="F167" i="9"/>
  <c r="I143" i="13"/>
  <c r="I144" i="13"/>
  <c r="L32" i="38"/>
  <c r="L34" i="38" s="1"/>
  <c r="L36" i="38" s="1"/>
  <c r="L41" i="38" s="1"/>
  <c r="M16" i="38"/>
  <c r="AE210" i="13"/>
  <c r="AE240" i="13"/>
  <c r="AE209" i="13"/>
  <c r="E11" i="9"/>
  <c r="E6" i="9"/>
  <c r="E10" i="9"/>
  <c r="E9" i="9"/>
  <c r="N262" i="1"/>
  <c r="M263" i="1"/>
  <c r="M257" i="1"/>
  <c r="M279" i="1" s="1"/>
  <c r="M280" i="1" s="1"/>
  <c r="AH117" i="13"/>
  <c r="AH142" i="13" s="1"/>
  <c r="AH82" i="13"/>
  <c r="AM2" i="1"/>
  <c r="AM35" i="1"/>
  <c r="AM37" i="1" s="1"/>
  <c r="J37" i="1" s="1"/>
  <c r="AM196" i="13"/>
  <c r="AM212" i="13" s="1"/>
  <c r="AJ264" i="13"/>
  <c r="E69" i="9"/>
  <c r="AM291" i="13"/>
  <c r="AM276" i="13"/>
  <c r="AM308" i="13" s="1"/>
  <c r="M217" i="9"/>
  <c r="Q54" i="3"/>
  <c r="N217" i="9" s="1"/>
  <c r="H40" i="60"/>
  <c r="H42" i="60"/>
  <c r="G233" i="28"/>
  <c r="L123" i="1"/>
  <c r="L124" i="1" s="1"/>
  <c r="AA29" i="17"/>
  <c r="AH29" i="17" s="1"/>
  <c r="K395" i="1"/>
  <c r="G34" i="9"/>
  <c r="J151" i="1"/>
  <c r="H137" i="13"/>
  <c r="H138" i="13" s="1"/>
  <c r="H127" i="13"/>
  <c r="AL208" i="13"/>
  <c r="AL240" i="13" s="1"/>
  <c r="AI117" i="13"/>
  <c r="AI142" i="13" s="1"/>
  <c r="AI82" i="13"/>
  <c r="AI83" i="13"/>
  <c r="AP395" i="1"/>
  <c r="M114" i="1"/>
  <c r="N119" i="1"/>
  <c r="M120" i="1"/>
  <c r="AA144" i="13"/>
  <c r="AA145" i="13" s="1"/>
  <c r="AA143" i="13"/>
  <c r="AA147" i="13"/>
  <c r="F234" i="28"/>
  <c r="G120" i="9"/>
  <c r="G121" i="9" s="1"/>
  <c r="AP349" i="13"/>
  <c r="J353" i="13"/>
  <c r="J351" i="13"/>
  <c r="Q93" i="1"/>
  <c r="AA20" i="17"/>
  <c r="AH20" i="17" s="1"/>
  <c r="I17" i="60"/>
  <c r="I18" i="60" s="1"/>
  <c r="L155" i="1"/>
  <c r="L156" i="1" s="1"/>
  <c r="I35" i="9"/>
  <c r="G278" i="28"/>
  <c r="F84" i="28"/>
  <c r="M187" i="9"/>
  <c r="Q14" i="3"/>
  <c r="N187" i="9" s="1"/>
  <c r="N202" i="1"/>
  <c r="M197" i="1"/>
  <c r="M249" i="1" s="1"/>
  <c r="M250" i="1" s="1"/>
  <c r="M203" i="1"/>
  <c r="M304" i="1"/>
  <c r="N309" i="1"/>
  <c r="M310" i="1"/>
  <c r="AF127" i="13"/>
  <c r="AF137" i="13"/>
  <c r="AF138" i="13" s="1"/>
  <c r="N491" i="1"/>
  <c r="M492" i="1"/>
  <c r="AK52" i="13"/>
  <c r="AK54" i="13" s="1"/>
  <c r="AK51" i="13"/>
  <c r="AK154" i="13"/>
  <c r="AK155" i="13" s="1"/>
  <c r="AK171" i="13"/>
  <c r="AK172" i="13" s="1"/>
  <c r="AK173" i="13" s="1"/>
  <c r="I13" i="17"/>
  <c r="I14" i="17" s="1"/>
  <c r="AK115" i="13"/>
  <c r="AM296" i="13"/>
  <c r="AM298" i="13"/>
  <c r="N194" i="9"/>
  <c r="Q51" i="3"/>
  <c r="Q52" i="3" s="1"/>
  <c r="N198" i="9"/>
  <c r="E89" i="9"/>
  <c r="K286" i="1"/>
  <c r="H42" i="9"/>
  <c r="AI18" i="13"/>
  <c r="H48" i="60"/>
  <c r="H50" i="60"/>
  <c r="N549" i="28"/>
  <c r="G414" i="28"/>
  <c r="L250" i="1"/>
  <c r="G191" i="28"/>
  <c r="G190" i="28" s="1"/>
  <c r="AA30" i="17"/>
  <c r="AH30" i="17" s="1"/>
  <c r="G173" i="28"/>
  <c r="I29" i="9"/>
  <c r="I45" i="60"/>
  <c r="L115" i="1"/>
  <c r="L116" i="1" s="1"/>
  <c r="M348" i="1"/>
  <c r="N353" i="1"/>
  <c r="M354" i="1"/>
  <c r="M332" i="1"/>
  <c r="N337" i="1"/>
  <c r="M338" i="1"/>
  <c r="Q396" i="13"/>
  <c r="N133" i="9"/>
  <c r="AF310" i="13"/>
  <c r="H669" i="28"/>
  <c r="L160" i="3"/>
  <c r="L157" i="3"/>
  <c r="M151" i="3"/>
  <c r="M155" i="3" s="1"/>
  <c r="H113" i="3"/>
  <c r="D4" i="26"/>
  <c r="H171" i="13"/>
  <c r="H172" i="13" s="1"/>
  <c r="H173" i="13" s="1"/>
  <c r="W13" i="17"/>
  <c r="W14" i="17" s="1"/>
  <c r="H51" i="13"/>
  <c r="E155" i="9"/>
  <c r="E156" i="9" s="1"/>
  <c r="H154" i="13"/>
  <c r="H155" i="13" s="1"/>
  <c r="H115" i="13"/>
  <c r="E64" i="9"/>
  <c r="E65" i="9" s="1"/>
  <c r="H131" i="3"/>
  <c r="O365" i="13"/>
  <c r="L124" i="9"/>
  <c r="P124" i="9" s="1"/>
  <c r="O41" i="13"/>
  <c r="AA27" i="17"/>
  <c r="AH27" i="17" s="1"/>
  <c r="I31" i="9"/>
  <c r="L99" i="1"/>
  <c r="L100" i="1" s="1"/>
  <c r="G203" i="28"/>
  <c r="I37" i="60"/>
  <c r="AC243" i="13"/>
  <c r="AC241" i="13"/>
  <c r="AC242" i="13" s="1"/>
  <c r="AC257" i="13"/>
  <c r="AC258" i="13" s="1"/>
  <c r="AC259" i="13" s="1"/>
  <c r="AJ126" i="13"/>
  <c r="AJ130" i="13"/>
  <c r="AJ120" i="13"/>
  <c r="AO196" i="13"/>
  <c r="AO211" i="13" s="1"/>
  <c r="AO35" i="1"/>
  <c r="AO36" i="1" s="1"/>
  <c r="N111" i="1"/>
  <c r="M112" i="1"/>
  <c r="M106" i="1"/>
  <c r="F152" i="60"/>
  <c r="AP71" i="1"/>
  <c r="AP72" i="1" s="1"/>
  <c r="AP150" i="1"/>
  <c r="D89" i="9"/>
  <c r="F144" i="28"/>
  <c r="F263" i="28"/>
  <c r="F264" i="28" s="1"/>
  <c r="H32" i="60"/>
  <c r="H34" i="60"/>
  <c r="AP330" i="13"/>
  <c r="J333" i="13"/>
  <c r="AP333" i="13" s="1"/>
  <c r="K329" i="13"/>
  <c r="G115" i="9"/>
  <c r="AP329" i="13"/>
  <c r="AK241" i="13"/>
  <c r="I9" i="17"/>
  <c r="I15" i="17" s="1"/>
  <c r="AK257" i="13"/>
  <c r="AK258" i="13" s="1"/>
  <c r="AK259" i="13" s="1"/>
  <c r="AK243" i="13"/>
  <c r="H458" i="28"/>
  <c r="AI210" i="13"/>
  <c r="AI209" i="13"/>
  <c r="J173" i="9"/>
  <c r="J174" i="9" s="1"/>
  <c r="M185" i="13"/>
  <c r="N181" i="13"/>
  <c r="G383" i="28"/>
  <c r="I21" i="60"/>
  <c r="I37" i="9"/>
  <c r="AA22" i="17"/>
  <c r="AH22" i="17" s="1"/>
  <c r="L198" i="1"/>
  <c r="L199" i="1" s="1"/>
  <c r="L253" i="1"/>
  <c r="AH261" i="13"/>
  <c r="G534" i="28"/>
  <c r="L305" i="1"/>
  <c r="L306" i="1" s="1"/>
  <c r="I16" i="9"/>
  <c r="L315" i="1"/>
  <c r="AD4" i="13"/>
  <c r="AD63" i="13"/>
  <c r="AD81" i="13" s="1"/>
  <c r="AD8" i="13"/>
  <c r="AH9" i="13" s="1"/>
  <c r="AD17" i="13"/>
  <c r="AD37" i="13"/>
  <c r="AD27" i="13"/>
  <c r="AD32" i="13"/>
  <c r="K21" i="38"/>
  <c r="K23" i="38" s="1"/>
  <c r="K25" i="38" s="1"/>
  <c r="K30" i="38" s="1"/>
  <c r="K43" i="38" s="1"/>
  <c r="K46" i="38" s="1"/>
  <c r="L18" i="38"/>
  <c r="AP286" i="1"/>
  <c r="AB147" i="13"/>
  <c r="AB144" i="13"/>
  <c r="AB145" i="13" s="1"/>
  <c r="AB143" i="13"/>
  <c r="H44" i="60"/>
  <c r="H46" i="60"/>
  <c r="F174" i="28"/>
  <c r="G158" i="28"/>
  <c r="L91" i="1"/>
  <c r="L92" i="1" s="1"/>
  <c r="I26" i="9"/>
  <c r="G443" i="28"/>
  <c r="G504" i="28" s="1"/>
  <c r="L258" i="1"/>
  <c r="L259" i="1" s="1"/>
  <c r="X9" i="17"/>
  <c r="F85" i="9"/>
  <c r="F86" i="9" s="1"/>
  <c r="I243" i="13"/>
  <c r="I241" i="13"/>
  <c r="I257" i="13"/>
  <c r="I258" i="13" s="1"/>
  <c r="I259" i="13" s="1"/>
  <c r="Q293" i="28"/>
  <c r="E11" i="28" s="1"/>
  <c r="AG137" i="13"/>
  <c r="AG138" i="13" s="1"/>
  <c r="AG127" i="13"/>
  <c r="F69" i="28"/>
  <c r="AK264" i="13"/>
  <c r="F384" i="28"/>
  <c r="H22" i="60"/>
  <c r="H20" i="60"/>
  <c r="K349" i="13"/>
  <c r="K344" i="13"/>
  <c r="K354" i="13"/>
  <c r="K330" i="13"/>
  <c r="K333" i="13" s="1"/>
  <c r="K326" i="13"/>
  <c r="H112" i="9"/>
  <c r="N87" i="1"/>
  <c r="M82" i="1"/>
  <c r="M88" i="1"/>
  <c r="E13" i="17"/>
  <c r="E14" i="17" s="1"/>
  <c r="AG52" i="13"/>
  <c r="AG54" i="13" s="1"/>
  <c r="AG51" i="13"/>
  <c r="AG154" i="13"/>
  <c r="AG155" i="13" s="1"/>
  <c r="AG115" i="13"/>
  <c r="AG171" i="13"/>
  <c r="AG172" i="13" s="1"/>
  <c r="AG173" i="13" s="1"/>
  <c r="AG143" i="13"/>
  <c r="AG144" i="13"/>
  <c r="AG147" i="13"/>
  <c r="S353" i="28"/>
  <c r="I27" i="9"/>
  <c r="I33" i="60"/>
  <c r="G98" i="28"/>
  <c r="AA24" i="17"/>
  <c r="AH24" i="17" s="1"/>
  <c r="L75" i="1"/>
  <c r="L76" i="1" s="1"/>
  <c r="F625" i="28"/>
  <c r="F699" i="28"/>
  <c r="F700" i="28" s="1"/>
  <c r="N59" i="1"/>
  <c r="M54" i="1"/>
  <c r="M60" i="1"/>
  <c r="AF257" i="13"/>
  <c r="AF258" i="13" s="1"/>
  <c r="AF259" i="13" s="1"/>
  <c r="D9" i="17"/>
  <c r="D15" i="17" s="1"/>
  <c r="AF241" i="13"/>
  <c r="AJ242" i="13" s="1"/>
  <c r="AF243" i="13"/>
  <c r="AE117" i="13"/>
  <c r="AE142" i="13" s="1"/>
  <c r="AE83" i="13"/>
  <c r="AE82" i="13"/>
  <c r="AO140" i="13"/>
  <c r="J458" i="13"/>
  <c r="AN140" i="13"/>
  <c r="J457" i="13"/>
  <c r="G168" i="9"/>
  <c r="J184" i="13"/>
  <c r="N105" i="13"/>
  <c r="M106" i="13"/>
  <c r="H264" i="13"/>
  <c r="AL8" i="13"/>
  <c r="AL4" i="13"/>
  <c r="AL32" i="13"/>
  <c r="AL17" i="13"/>
  <c r="AL50" i="13" s="1"/>
  <c r="AL27" i="13"/>
  <c r="AL37" i="13"/>
  <c r="AL63" i="13"/>
  <c r="AL81" i="13" s="1"/>
  <c r="AI65" i="13"/>
  <c r="AI86" i="13" s="1"/>
  <c r="AI118" i="13" s="1"/>
  <c r="AI125" i="13" s="1"/>
  <c r="AI20" i="13"/>
  <c r="AI56" i="13" s="1"/>
  <c r="AI116" i="13" s="1"/>
  <c r="AI9" i="13"/>
  <c r="Q260" i="1"/>
  <c r="H413" i="28"/>
  <c r="M222" i="1"/>
  <c r="I127" i="13"/>
  <c r="I137" i="13"/>
  <c r="I138" i="13" s="1"/>
  <c r="O191" i="28"/>
  <c r="O190" i="28" s="1"/>
  <c r="N191" i="28"/>
  <c r="N190" i="28" s="1"/>
  <c r="I191" i="28"/>
  <c r="I190" i="28" s="1"/>
  <c r="J715" i="28"/>
  <c r="L40" i="9"/>
  <c r="P40" i="9" s="1"/>
  <c r="O329" i="1"/>
  <c r="AC51" i="13"/>
  <c r="AC52" i="13"/>
  <c r="AC53" i="13" s="1"/>
  <c r="AC171" i="13"/>
  <c r="AC172" i="13" s="1"/>
  <c r="AC173" i="13" s="1"/>
  <c r="AC115" i="13"/>
  <c r="AN35" i="1"/>
  <c r="AN36" i="1" s="1"/>
  <c r="AN196" i="13"/>
  <c r="AN211" i="13" s="1"/>
  <c r="N488" i="1"/>
  <c r="M489" i="1"/>
  <c r="L333" i="1"/>
  <c r="L334" i="1" s="1"/>
  <c r="G624" i="28"/>
  <c r="I14" i="9"/>
  <c r="I32" i="9"/>
  <c r="AA28" i="17"/>
  <c r="AH28" i="17" s="1"/>
  <c r="G218" i="28"/>
  <c r="I41" i="60"/>
  <c r="L107" i="1"/>
  <c r="L108" i="1" s="1"/>
  <c r="AP344" i="13"/>
  <c r="J348" i="13"/>
  <c r="G118" i="9"/>
  <c r="G119" i="9" s="1"/>
  <c r="F75" i="60"/>
  <c r="I154" i="13"/>
  <c r="I155" i="13" s="1"/>
  <c r="I113" i="3"/>
  <c r="I115" i="13"/>
  <c r="E4" i="26"/>
  <c r="F74" i="60"/>
  <c r="I171" i="13"/>
  <c r="I172" i="13" s="1"/>
  <c r="I173" i="13" s="1"/>
  <c r="I131" i="3"/>
  <c r="I52" i="13"/>
  <c r="F155" i="9"/>
  <c r="F156" i="9" s="1"/>
  <c r="X13" i="17"/>
  <c r="F64" i="9"/>
  <c r="F65" i="9" s="1"/>
  <c r="I51" i="13"/>
  <c r="AA243" i="13"/>
  <c r="AA241" i="13"/>
  <c r="AA242" i="13" s="1"/>
  <c r="AA257" i="13"/>
  <c r="AA258" i="13" s="1"/>
  <c r="AA259" i="13" s="1"/>
  <c r="P307" i="13"/>
  <c r="Q301" i="13"/>
  <c r="P299" i="13"/>
  <c r="N95" i="1"/>
  <c r="M96" i="1"/>
  <c r="M90" i="1"/>
  <c r="K150" i="1"/>
  <c r="K71" i="1"/>
  <c r="K72" i="1" s="1"/>
  <c r="AA51" i="13"/>
  <c r="AA52" i="13"/>
  <c r="AA53" i="13" s="1"/>
  <c r="AA171" i="13"/>
  <c r="AA172" i="13" s="1"/>
  <c r="AA173" i="13" s="1"/>
  <c r="AA115" i="13"/>
  <c r="AO336" i="13"/>
  <c r="AO368" i="13" s="1"/>
  <c r="L373" i="1"/>
  <c r="L374" i="1" s="1"/>
  <c r="AA26" i="17"/>
  <c r="AH26" i="17" s="1"/>
  <c r="G609" i="28"/>
  <c r="I49" i="60"/>
  <c r="AC147" i="13"/>
  <c r="AC144" i="13"/>
  <c r="AC145" i="13" s="1"/>
  <c r="AC143" i="13"/>
  <c r="L83" i="1"/>
  <c r="L84" i="1" s="1"/>
  <c r="I25" i="9"/>
  <c r="G143" i="28"/>
  <c r="N79" i="1"/>
  <c r="M80" i="1"/>
  <c r="M74" i="1"/>
  <c r="F159" i="28"/>
  <c r="AE20" i="13"/>
  <c r="AE56" i="13" s="1"/>
  <c r="AE116" i="13" s="1"/>
  <c r="AE65" i="13"/>
  <c r="AE86" i="13" s="1"/>
  <c r="AE118" i="13" s="1"/>
  <c r="AE125" i="13" s="1"/>
  <c r="AE9" i="13"/>
  <c r="AE18" i="13"/>
  <c r="AE50" i="13"/>
  <c r="AE174" i="13" s="1"/>
  <c r="K90" i="3"/>
  <c r="AA137" i="13"/>
  <c r="AA138" i="13" s="1"/>
  <c r="AA127" i="13"/>
  <c r="F505" i="28"/>
  <c r="F444" i="28"/>
  <c r="L325" i="13"/>
  <c r="L339" i="13" s="1"/>
  <c r="L343" i="13" s="1"/>
  <c r="G36" i="28"/>
  <c r="I65" i="60"/>
  <c r="L503" i="1"/>
  <c r="L504" i="1" s="1"/>
  <c r="I5" i="9"/>
  <c r="AA5" i="17"/>
  <c r="AH5" i="17" s="1"/>
  <c r="L6" i="60"/>
  <c r="L4" i="60"/>
  <c r="N522" i="1"/>
  <c r="M523" i="1"/>
  <c r="K140" i="13"/>
  <c r="K159" i="3"/>
  <c r="K141" i="13" s="1"/>
  <c r="H169" i="9" s="1"/>
  <c r="K117" i="3"/>
  <c r="K94" i="3"/>
  <c r="N103" i="1"/>
  <c r="M98" i="1"/>
  <c r="M104" i="1"/>
  <c r="H323" i="28"/>
  <c r="M365" i="1"/>
  <c r="K316" i="1"/>
  <c r="H22" i="9"/>
  <c r="F99" i="28"/>
  <c r="AM384" i="13"/>
  <c r="AM336" i="13"/>
  <c r="AM368" i="13" s="1"/>
  <c r="AH209" i="13"/>
  <c r="AH240" i="13"/>
  <c r="AG241" i="13"/>
  <c r="E9" i="17"/>
  <c r="E15" i="17" s="1"/>
  <c r="AG257" i="13"/>
  <c r="AG258" i="13" s="1"/>
  <c r="AG259" i="13" s="1"/>
  <c r="AG243" i="13"/>
  <c r="AD260" i="13"/>
  <c r="AH262" i="13" s="1"/>
  <c r="AD208" i="13"/>
  <c r="J48" i="38"/>
  <c r="J49" i="38" s="1"/>
  <c r="I51" i="38"/>
  <c r="K173" i="1" s="1"/>
  <c r="K193" i="1" s="1"/>
  <c r="AE262" i="13"/>
  <c r="AE261" i="13"/>
  <c r="AE264" i="13" s="1"/>
  <c r="N345" i="1"/>
  <c r="M346" i="1"/>
  <c r="M340" i="1"/>
  <c r="AD310" i="13"/>
  <c r="AM288" i="13"/>
  <c r="AM286" i="13"/>
  <c r="AP316" i="1"/>
  <c r="F37" i="28"/>
  <c r="H64" i="60"/>
  <c r="H66" i="60"/>
  <c r="AB51" i="13"/>
  <c r="AB52" i="13"/>
  <c r="AB53" i="13" s="1"/>
  <c r="AB115" i="13"/>
  <c r="AB171" i="13"/>
  <c r="AB172" i="13" s="1"/>
  <c r="AB173" i="13" s="1"/>
  <c r="F279" i="28"/>
  <c r="AA23" i="17"/>
  <c r="AH23" i="17" s="1"/>
  <c r="I24" i="9"/>
  <c r="G83" i="28"/>
  <c r="L63" i="1"/>
  <c r="L64" i="1" s="1"/>
  <c r="I29" i="60"/>
  <c r="F289" i="60"/>
  <c r="J191" i="28"/>
  <c r="J190" i="28" s="1"/>
  <c r="Q191" i="28"/>
  <c r="Q190" i="28" s="1"/>
  <c r="F640" i="28"/>
  <c r="L349" i="1"/>
  <c r="L350" i="1" s="1"/>
  <c r="G654" i="28"/>
  <c r="N205" i="1"/>
  <c r="M206" i="1"/>
  <c r="P359" i="13"/>
  <c r="Q361" i="13"/>
  <c r="P367" i="13"/>
  <c r="P47" i="13"/>
  <c r="F89" i="9"/>
  <c r="F150" i="60"/>
  <c r="F6" i="9"/>
  <c r="F11" i="9"/>
  <c r="F10" i="9"/>
  <c r="F9" i="9"/>
  <c r="F535" i="28"/>
  <c r="F594" i="28"/>
  <c r="F595" i="28" s="1"/>
  <c r="F655" i="28"/>
  <c r="G122" i="9"/>
  <c r="G123" i="9" s="1"/>
  <c r="AP354" i="13"/>
  <c r="J356" i="13"/>
  <c r="J358" i="13"/>
  <c r="K327" i="13"/>
  <c r="J328" i="13"/>
  <c r="AP327" i="13"/>
  <c r="G113" i="9"/>
  <c r="AF115" i="13"/>
  <c r="AF171" i="13"/>
  <c r="AF172" i="13" s="1"/>
  <c r="AF173" i="13" s="1"/>
  <c r="AF154" i="13"/>
  <c r="AF155" i="13" s="1"/>
  <c r="AF51" i="13"/>
  <c r="D13" i="17"/>
  <c r="D14" i="17" s="1"/>
  <c r="AF52" i="13"/>
  <c r="AF53" i="13" s="1"/>
  <c r="N159" i="1"/>
  <c r="M160" i="1"/>
  <c r="M154" i="1"/>
  <c r="H30" i="60"/>
  <c r="H28" i="60"/>
  <c r="W9" i="17"/>
  <c r="W15" i="17" s="1"/>
  <c r="H241" i="13"/>
  <c r="E85" i="9"/>
  <c r="E86" i="9" s="1"/>
  <c r="H257" i="13"/>
  <c r="H258" i="13" s="1"/>
  <c r="H259" i="13" s="1"/>
  <c r="N43" i="13"/>
  <c r="K154" i="9"/>
  <c r="O154" i="9" s="1"/>
  <c r="K62" i="9"/>
  <c r="O62" i="9" s="1"/>
  <c r="AI262" i="13"/>
  <c r="AI261" i="13"/>
  <c r="F69" i="9"/>
  <c r="L180" i="9"/>
  <c r="P5" i="3"/>
  <c r="L104" i="9"/>
  <c r="P104" i="9" s="1"/>
  <c r="O305" i="13"/>
  <c r="F10" i="17"/>
  <c r="F16" i="17" s="1"/>
  <c r="AH381" i="13"/>
  <c r="AH382" i="13" s="1"/>
  <c r="AH369" i="13"/>
  <c r="AH371" i="13"/>
  <c r="AL371" i="13"/>
  <c r="AH65" i="13"/>
  <c r="AH86" i="13" s="1"/>
  <c r="AH118" i="13" s="1"/>
  <c r="AH125" i="13" s="1"/>
  <c r="AH20" i="13"/>
  <c r="AH56" i="13" s="1"/>
  <c r="AH116" i="13" s="1"/>
  <c r="AH18" i="13"/>
  <c r="AH50" i="13"/>
  <c r="I15" i="9"/>
  <c r="G639" i="28"/>
  <c r="L341" i="1"/>
  <c r="L342" i="1" s="1"/>
  <c r="H26" i="60"/>
  <c r="H24" i="60"/>
  <c r="AB137" i="13"/>
  <c r="AB138" i="13" s="1"/>
  <c r="AB127" i="13"/>
  <c r="H144" i="13"/>
  <c r="H147" i="13"/>
  <c r="E167" i="9"/>
  <c r="H40" i="3"/>
  <c r="N377" i="1"/>
  <c r="M372" i="1"/>
  <c r="M378" i="1"/>
  <c r="H38" i="9"/>
  <c r="K254" i="1"/>
  <c r="F219" i="28"/>
  <c r="G87" i="60"/>
  <c r="E338" i="28"/>
  <c r="Y38" i="17"/>
  <c r="AP173" i="1"/>
  <c r="AP193" i="1" s="1"/>
  <c r="J193" i="1"/>
  <c r="J34" i="1" s="1"/>
  <c r="AN336" i="13"/>
  <c r="AN368" i="13" s="1"/>
  <c r="N127" i="1"/>
  <c r="M122" i="1"/>
  <c r="M128" i="1"/>
  <c r="L70" i="1"/>
  <c r="I23" i="9"/>
  <c r="AA21" i="17"/>
  <c r="AH21" i="17" s="1"/>
  <c r="G68" i="28"/>
  <c r="L55" i="1"/>
  <c r="L56" i="1" s="1"/>
  <c r="I25" i="60"/>
  <c r="AF143" i="13"/>
  <c r="AF147" i="13"/>
  <c r="AF144" i="13"/>
  <c r="M200" i="9"/>
  <c r="N67" i="1"/>
  <c r="M68" i="1"/>
  <c r="M62" i="1"/>
  <c r="AN141" i="13"/>
  <c r="Y44" i="17"/>
  <c r="AF44" i="17" s="1"/>
  <c r="AO141" i="13"/>
  <c r="G169" i="9"/>
  <c r="F204" i="28"/>
  <c r="H38" i="60"/>
  <c r="H36" i="60"/>
  <c r="Q157" i="1"/>
  <c r="AB257" i="13"/>
  <c r="AB258" i="13" s="1"/>
  <c r="AB259" i="13" s="1"/>
  <c r="AB241" i="13"/>
  <c r="AB242" i="13" s="1"/>
  <c r="AB243" i="13"/>
  <c r="Q398" i="28"/>
  <c r="F610" i="28"/>
  <c r="AK127" i="13"/>
  <c r="AK137" i="13"/>
  <c r="AK138" i="13" s="1"/>
  <c r="N213" i="1"/>
  <c r="M214" i="1"/>
  <c r="N518" i="1"/>
  <c r="M502" i="1"/>
  <c r="M521" i="1" s="1"/>
  <c r="M519" i="1"/>
  <c r="P191" i="28"/>
  <c r="P190" i="28" s="1"/>
  <c r="Q319" i="1"/>
  <c r="P328" i="1"/>
  <c r="K714" i="28"/>
  <c r="P320" i="1"/>
  <c r="M39" i="9"/>
  <c r="AC127" i="13"/>
  <c r="AC137" i="13"/>
  <c r="AC138" i="13" s="1"/>
  <c r="L498" i="1"/>
  <c r="T571" i="28"/>
  <c r="U571" i="28" s="1"/>
  <c r="B567" i="28"/>
  <c r="B566" i="28" s="1"/>
  <c r="T569" i="28"/>
  <c r="O567" i="28" s="1"/>
  <c r="O566" i="28" s="1"/>
  <c r="N497" i="1" l="1"/>
  <c r="M394" i="1"/>
  <c r="G174" i="13"/>
  <c r="G452" i="13" s="1"/>
  <c r="D157" i="9"/>
  <c r="D158" i="9" s="1"/>
  <c r="F476" i="28"/>
  <c r="T480" i="28"/>
  <c r="U480" i="28" s="1"/>
  <c r="T478" i="28"/>
  <c r="AP451" i="1"/>
  <c r="AP424" i="1" s="1"/>
  <c r="AP425" i="1" s="1"/>
  <c r="AP426" i="1" s="1"/>
  <c r="AK174" i="13"/>
  <c r="P49" i="13"/>
  <c r="AJ149" i="13"/>
  <c r="D68" i="9"/>
  <c r="D69" i="9" s="1"/>
  <c r="AO267" i="13"/>
  <c r="AO3" i="13" s="1"/>
  <c r="AO425" i="1"/>
  <c r="AO426" i="1" s="1"/>
  <c r="E53" i="28"/>
  <c r="E54" i="28" s="1"/>
  <c r="G61" i="60"/>
  <c r="Y6" i="17"/>
  <c r="AF6" i="17" s="1"/>
  <c r="J267" i="13"/>
  <c r="J425" i="1"/>
  <c r="J426" i="1" s="1"/>
  <c r="G4" i="9"/>
  <c r="L449" i="1"/>
  <c r="M448" i="1"/>
  <c r="AN425" i="1"/>
  <c r="AN426" i="1" s="1"/>
  <c r="AN267" i="13"/>
  <c r="AN3" i="13" s="1"/>
  <c r="Q266" i="1"/>
  <c r="Q285" i="1"/>
  <c r="L488" i="28"/>
  <c r="M444" i="1"/>
  <c r="L445" i="1"/>
  <c r="M441" i="1"/>
  <c r="L442" i="1"/>
  <c r="L451" i="1"/>
  <c r="K424" i="1"/>
  <c r="K452" i="1"/>
  <c r="G142" i="13"/>
  <c r="G40" i="3" s="1"/>
  <c r="D209" i="9" s="1"/>
  <c r="G117" i="13"/>
  <c r="G83" i="13"/>
  <c r="AK82" i="13"/>
  <c r="AK117" i="13"/>
  <c r="AK142" i="13" s="1"/>
  <c r="J383" i="13"/>
  <c r="L341" i="13"/>
  <c r="AN215" i="13"/>
  <c r="AN213" i="13"/>
  <c r="AO215" i="13"/>
  <c r="AO213" i="13"/>
  <c r="AN428" i="1"/>
  <c r="AN454" i="1"/>
  <c r="AO428" i="1"/>
  <c r="AO454" i="1"/>
  <c r="AM428" i="1"/>
  <c r="AM447" i="1"/>
  <c r="AM454" i="1"/>
  <c r="AM222" i="13"/>
  <c r="AM204" i="13"/>
  <c r="D64" i="9"/>
  <c r="D65" i="9" s="1"/>
  <c r="M525" i="1"/>
  <c r="D24" i="15"/>
  <c r="I54" i="13"/>
  <c r="D25" i="15" s="1"/>
  <c r="E24" i="15" s="1"/>
  <c r="G51" i="13"/>
  <c r="G115" i="13"/>
  <c r="D161" i="9" s="1"/>
  <c r="D163" i="9" s="1"/>
  <c r="D155" i="9"/>
  <c r="D156" i="9" s="1"/>
  <c r="G113" i="3"/>
  <c r="G114" i="3" s="1"/>
  <c r="G154" i="13"/>
  <c r="G155" i="13" s="1"/>
  <c r="G131" i="3"/>
  <c r="G52" i="13"/>
  <c r="V13" i="17"/>
  <c r="V14" i="17" s="1"/>
  <c r="W49" i="17" s="1"/>
  <c r="G171" i="13"/>
  <c r="G172" i="13" s="1"/>
  <c r="G173" i="13" s="1"/>
  <c r="H52" i="13"/>
  <c r="H54" i="13" s="1"/>
  <c r="G241" i="13"/>
  <c r="G242" i="13" s="1"/>
  <c r="H243" i="13"/>
  <c r="D85" i="9"/>
  <c r="D86" i="9" s="1"/>
  <c r="D6" i="9"/>
  <c r="V9" i="17"/>
  <c r="V15" i="17" s="1"/>
  <c r="G243" i="13"/>
  <c r="D9" i="9"/>
  <c r="Q392" i="1"/>
  <c r="N21" i="9"/>
  <c r="Q147" i="1"/>
  <c r="L248" i="28"/>
  <c r="N33" i="9"/>
  <c r="L129" i="28"/>
  <c r="M128" i="28"/>
  <c r="Q277" i="1"/>
  <c r="Q313" i="1"/>
  <c r="L579" i="28"/>
  <c r="N20" i="9"/>
  <c r="N19" i="9"/>
  <c r="L519" i="28"/>
  <c r="Q290" i="1"/>
  <c r="Q298" i="1"/>
  <c r="Q299" i="1" s="1"/>
  <c r="G127" i="13"/>
  <c r="D11" i="9"/>
  <c r="Q269" i="1"/>
  <c r="L428" i="28"/>
  <c r="N41" i="9"/>
  <c r="H114" i="3"/>
  <c r="AM38" i="1"/>
  <c r="K7" i="17"/>
  <c r="O116" i="28"/>
  <c r="O115" i="28" s="1"/>
  <c r="O117" i="28" s="1"/>
  <c r="O119" i="28" s="1"/>
  <c r="O120" i="28" s="1"/>
  <c r="AH310" i="13"/>
  <c r="AG242" i="13"/>
  <c r="AF145" i="13"/>
  <c r="O78" i="13"/>
  <c r="O80" i="13" s="1"/>
  <c r="N729" i="28"/>
  <c r="E191" i="28"/>
  <c r="E190" i="28" s="1"/>
  <c r="Q109" i="3"/>
  <c r="Q28" i="3"/>
  <c r="AI264" i="13"/>
  <c r="K567" i="28"/>
  <c r="K566" i="28" s="1"/>
  <c r="K568" i="28" s="1"/>
  <c r="K570" i="28" s="1"/>
  <c r="K571" i="28" s="1"/>
  <c r="J567" i="28"/>
  <c r="J566" i="28" s="1"/>
  <c r="J568" i="28" s="1"/>
  <c r="J570" i="28" s="1"/>
  <c r="J571" i="28" s="1"/>
  <c r="F567" i="28"/>
  <c r="F566" i="28" s="1"/>
  <c r="F568" i="28" s="1"/>
  <c r="F570" i="28" s="1"/>
  <c r="F571" i="28" s="1"/>
  <c r="F67" i="9"/>
  <c r="N84" i="9"/>
  <c r="Q237" i="13"/>
  <c r="N199" i="9"/>
  <c r="Q119" i="3"/>
  <c r="AP140" i="13"/>
  <c r="Q96" i="3"/>
  <c r="Q120" i="3"/>
  <c r="N205" i="9"/>
  <c r="Q366" i="13"/>
  <c r="Q46" i="13" s="1"/>
  <c r="Q44" i="13"/>
  <c r="E567" i="28"/>
  <c r="E566" i="28" s="1"/>
  <c r="E568" i="28" s="1"/>
  <c r="E570" i="28" s="1"/>
  <c r="E571" i="28" s="1"/>
  <c r="M567" i="28"/>
  <c r="M566" i="28" s="1"/>
  <c r="M568" i="28" s="1"/>
  <c r="M570" i="28" s="1"/>
  <c r="M571" i="28" s="1"/>
  <c r="P567" i="28"/>
  <c r="P566" i="28" s="1"/>
  <c r="P568" i="28" s="1"/>
  <c r="P570" i="28" s="1"/>
  <c r="P571" i="28" s="1"/>
  <c r="AM322" i="13"/>
  <c r="AP141" i="13"/>
  <c r="G567" i="28"/>
  <c r="G566" i="28" s="1"/>
  <c r="AK242" i="13"/>
  <c r="O568" i="28"/>
  <c r="O570" i="28" s="1"/>
  <c r="O571" i="28" s="1"/>
  <c r="J196" i="13"/>
  <c r="J211" i="13" s="1"/>
  <c r="Y4" i="17"/>
  <c r="AF4" i="17" s="1"/>
  <c r="J2" i="1"/>
  <c r="E762" i="28" s="1"/>
  <c r="J35" i="1"/>
  <c r="J36" i="1" s="1"/>
  <c r="D13" i="15" s="1"/>
  <c r="G3" i="9"/>
  <c r="AN226" i="13"/>
  <c r="AN216" i="13"/>
  <c r="AN221" i="13"/>
  <c r="AN197" i="13"/>
  <c r="AN203" i="13"/>
  <c r="AN198" i="13"/>
  <c r="AN200" i="13"/>
  <c r="AL18" i="13"/>
  <c r="AL174" i="13"/>
  <c r="O59" i="1"/>
  <c r="N54" i="1"/>
  <c r="R59" i="1"/>
  <c r="N60" i="1"/>
  <c r="O87" i="1"/>
  <c r="N82" i="1"/>
  <c r="R87" i="1"/>
  <c r="N88" i="1"/>
  <c r="F11" i="28"/>
  <c r="S293" i="28"/>
  <c r="K48" i="38"/>
  <c r="G535" i="28"/>
  <c r="G594" i="28"/>
  <c r="G595" i="28" s="1"/>
  <c r="G384" i="28"/>
  <c r="AO3" i="1"/>
  <c r="AO4" i="1" s="1"/>
  <c r="AO5" i="13" s="1"/>
  <c r="AO331" i="1"/>
  <c r="AO500" i="1"/>
  <c r="AO506" i="1"/>
  <c r="AO318" i="1"/>
  <c r="AO73" i="1"/>
  <c r="AO397" i="1"/>
  <c r="AO288" i="1"/>
  <c r="AO256" i="1"/>
  <c r="AO196" i="1"/>
  <c r="AO153" i="1"/>
  <c r="D8" i="26"/>
  <c r="D16" i="26" s="1"/>
  <c r="D5" i="26"/>
  <c r="I669" i="28"/>
  <c r="O353" i="1"/>
  <c r="N348" i="1"/>
  <c r="N354" i="1"/>
  <c r="R353" i="1"/>
  <c r="O491" i="1"/>
  <c r="N492" i="1"/>
  <c r="R491" i="1"/>
  <c r="I148" i="13"/>
  <c r="I149" i="13"/>
  <c r="I40" i="3"/>
  <c r="L567" i="28"/>
  <c r="L566" i="28" s="1"/>
  <c r="I567" i="28"/>
  <c r="I566" i="28" s="1"/>
  <c r="H567" i="28"/>
  <c r="H566" i="28" s="1"/>
  <c r="Q567" i="28"/>
  <c r="Q566" i="28" s="1"/>
  <c r="L714" i="28"/>
  <c r="Q328" i="1"/>
  <c r="Q320" i="1"/>
  <c r="N39" i="9"/>
  <c r="N502" i="1"/>
  <c r="N521" i="1" s="1"/>
  <c r="O518" i="1"/>
  <c r="N519" i="1"/>
  <c r="R518" i="1"/>
  <c r="L150" i="1"/>
  <c r="L71" i="1"/>
  <c r="L72" i="1" s="1"/>
  <c r="AH171" i="13"/>
  <c r="AH172" i="13" s="1"/>
  <c r="AH173" i="13" s="1"/>
  <c r="F13" i="17"/>
  <c r="F14" i="17" s="1"/>
  <c r="AH51" i="13"/>
  <c r="AH115" i="13"/>
  <c r="AH154" i="13"/>
  <c r="AH155" i="13" s="1"/>
  <c r="AB20" i="17"/>
  <c r="AI20" i="17" s="1"/>
  <c r="H278" i="28"/>
  <c r="J17" i="60"/>
  <c r="M155" i="1"/>
  <c r="M156" i="1" s="1"/>
  <c r="J35" i="9"/>
  <c r="AF130" i="13"/>
  <c r="AJ131" i="13" s="1"/>
  <c r="AF120" i="13"/>
  <c r="AF126" i="13"/>
  <c r="F87" i="9"/>
  <c r="Q367" i="13"/>
  <c r="Q359" i="13"/>
  <c r="Q47" i="13"/>
  <c r="O205" i="1"/>
  <c r="N206" i="1"/>
  <c r="R205" i="1"/>
  <c r="I30" i="60"/>
  <c r="I28" i="60"/>
  <c r="AB120" i="13"/>
  <c r="AB130" i="13"/>
  <c r="AB126" i="13"/>
  <c r="Z38" i="17"/>
  <c r="AG38" i="17" s="1"/>
  <c r="H87" i="60"/>
  <c r="F338" i="28"/>
  <c r="K174" i="1"/>
  <c r="AM337" i="13"/>
  <c r="AM338" i="13"/>
  <c r="AJ145" i="13"/>
  <c r="H324" i="28"/>
  <c r="O103" i="1"/>
  <c r="N98" i="1"/>
  <c r="N104" i="1"/>
  <c r="R103" i="1"/>
  <c r="K458" i="13"/>
  <c r="K457" i="13"/>
  <c r="H168" i="9"/>
  <c r="K184" i="13"/>
  <c r="G37" i="28"/>
  <c r="I50" i="60"/>
  <c r="I48" i="60"/>
  <c r="AO338" i="13"/>
  <c r="AO337" i="13"/>
  <c r="H34" i="9"/>
  <c r="K151" i="1"/>
  <c r="I120" i="13"/>
  <c r="D313" i="28" s="1"/>
  <c r="F161" i="9"/>
  <c r="F163" i="9" s="1"/>
  <c r="I126" i="13"/>
  <c r="F164" i="9" s="1"/>
  <c r="I130" i="13"/>
  <c r="G219" i="28"/>
  <c r="AN3" i="1"/>
  <c r="AN4" i="1" s="1"/>
  <c r="AN5" i="13" s="1"/>
  <c r="AN331" i="1"/>
  <c r="AN500" i="1"/>
  <c r="AN506" i="1"/>
  <c r="AN73" i="1"/>
  <c r="AN397" i="1"/>
  <c r="AN256" i="1"/>
  <c r="AN318" i="1"/>
  <c r="AN288" i="1"/>
  <c r="AN196" i="1"/>
  <c r="AN153" i="1"/>
  <c r="N222" i="1"/>
  <c r="I413" i="28"/>
  <c r="AL117" i="13"/>
  <c r="AL142" i="13" s="1"/>
  <c r="AL83" i="13"/>
  <c r="AL82" i="13"/>
  <c r="AF242" i="13"/>
  <c r="I32" i="60"/>
  <c r="I34" i="60"/>
  <c r="AG148" i="13"/>
  <c r="AG149" i="13"/>
  <c r="AG130" i="13"/>
  <c r="AG126" i="13"/>
  <c r="AG120" i="13"/>
  <c r="K348" i="13"/>
  <c r="H118" i="9"/>
  <c r="H119" i="9" s="1"/>
  <c r="I242" i="13"/>
  <c r="AE9" i="17"/>
  <c r="X15" i="17"/>
  <c r="I42" i="9"/>
  <c r="L286" i="1"/>
  <c r="AD20" i="13"/>
  <c r="AD56" i="13" s="1"/>
  <c r="AD116" i="13" s="1"/>
  <c r="AD65" i="13"/>
  <c r="AD86" i="13" s="1"/>
  <c r="AD118" i="13" s="1"/>
  <c r="AD125" i="13" s="1"/>
  <c r="AD9" i="13"/>
  <c r="L316" i="1"/>
  <c r="I22" i="9"/>
  <c r="O181" i="13"/>
  <c r="K173" i="9"/>
  <c r="N185" i="13"/>
  <c r="G60" i="3"/>
  <c r="L329" i="13"/>
  <c r="H115" i="9"/>
  <c r="O111" i="1"/>
  <c r="R111" i="1"/>
  <c r="N112" i="1"/>
  <c r="N106" i="1"/>
  <c r="AO226" i="13"/>
  <c r="AO221" i="13"/>
  <c r="AO197" i="13"/>
  <c r="AO216" i="13"/>
  <c r="AO203" i="13"/>
  <c r="AO198" i="13"/>
  <c r="AO200" i="13"/>
  <c r="I36" i="60"/>
  <c r="I38" i="60"/>
  <c r="H130" i="13"/>
  <c r="H126" i="13"/>
  <c r="E164" i="9" s="1"/>
  <c r="E161" i="9"/>
  <c r="E163" i="9" s="1"/>
  <c r="H120" i="13"/>
  <c r="C313" i="28" s="1"/>
  <c r="O337" i="1"/>
  <c r="N332" i="1"/>
  <c r="R337" i="1"/>
  <c r="N338" i="1"/>
  <c r="H654" i="28"/>
  <c r="M349" i="1"/>
  <c r="M350" i="1" s="1"/>
  <c r="G13" i="17"/>
  <c r="G14" i="17" s="1"/>
  <c r="AI115" i="13"/>
  <c r="AI51" i="13"/>
  <c r="AI52" i="13"/>
  <c r="AI54" i="13" s="1"/>
  <c r="AI154" i="13"/>
  <c r="AI155" i="13" s="1"/>
  <c r="AI171" i="13"/>
  <c r="AI172" i="13" s="1"/>
  <c r="AI173" i="13" s="1"/>
  <c r="N200" i="9"/>
  <c r="AK120" i="13"/>
  <c r="AK126" i="13"/>
  <c r="AK130" i="13"/>
  <c r="N304" i="1"/>
  <c r="O309" i="1"/>
  <c r="N310" i="1"/>
  <c r="R309" i="1"/>
  <c r="G279" i="28"/>
  <c r="J45" i="60"/>
  <c r="AB30" i="17"/>
  <c r="AI30" i="17" s="1"/>
  <c r="M115" i="1"/>
  <c r="M116" i="1" s="1"/>
  <c r="H173" i="28"/>
  <c r="J29" i="9"/>
  <c r="AL261" i="13"/>
  <c r="AL262" i="13"/>
  <c r="G234" i="28"/>
  <c r="AM278" i="13"/>
  <c r="AM277" i="13"/>
  <c r="E67" i="9"/>
  <c r="AM3" i="13"/>
  <c r="AM22" i="13" s="1"/>
  <c r="AM216" i="13"/>
  <c r="AM226" i="13"/>
  <c r="AM197" i="13"/>
  <c r="AH174" i="13"/>
  <c r="O262" i="1"/>
  <c r="R262" i="1"/>
  <c r="N263" i="1"/>
  <c r="N257" i="1"/>
  <c r="N279" i="1" s="1"/>
  <c r="I145" i="13"/>
  <c r="F170" i="9"/>
  <c r="O213" i="1"/>
  <c r="N214" i="1"/>
  <c r="R213" i="1"/>
  <c r="AF149" i="13"/>
  <c r="AF148" i="13"/>
  <c r="O127" i="1"/>
  <c r="N122" i="1"/>
  <c r="R127" i="1"/>
  <c r="N128" i="1"/>
  <c r="N372" i="1"/>
  <c r="O377" i="1"/>
  <c r="R377" i="1"/>
  <c r="N378" i="1"/>
  <c r="AH127" i="13"/>
  <c r="AH137" i="13"/>
  <c r="AH138" i="13" s="1"/>
  <c r="AH370" i="13"/>
  <c r="AL370" i="13"/>
  <c r="G655" i="28"/>
  <c r="J51" i="38"/>
  <c r="L173" i="1" s="1"/>
  <c r="L193" i="1" s="1"/>
  <c r="J37" i="60"/>
  <c r="AB27" i="17"/>
  <c r="AI27" i="17" s="1"/>
  <c r="J31" i="9"/>
  <c r="H203" i="28"/>
  <c r="M99" i="1"/>
  <c r="M100" i="1" s="1"/>
  <c r="O79" i="1"/>
  <c r="R79" i="1"/>
  <c r="N80" i="1"/>
  <c r="N74" i="1"/>
  <c r="M91" i="1"/>
  <c r="M92" i="1" s="1"/>
  <c r="H158" i="28"/>
  <c r="J26" i="9"/>
  <c r="L395" i="1"/>
  <c r="AD18" i="13"/>
  <c r="AD50" i="13"/>
  <c r="AH52" i="13" s="1"/>
  <c r="AH54" i="13" s="1"/>
  <c r="G9" i="17"/>
  <c r="G15" i="17" s="1"/>
  <c r="AI243" i="13"/>
  <c r="AI257" i="13"/>
  <c r="AI258" i="13" s="1"/>
  <c r="AI259" i="13" s="1"/>
  <c r="AI241" i="13"/>
  <c r="L140" i="13"/>
  <c r="L159" i="3"/>
  <c r="L141" i="13" s="1"/>
  <c r="I169" i="9" s="1"/>
  <c r="L94" i="3"/>
  <c r="L117" i="3"/>
  <c r="I46" i="60"/>
  <c r="I44" i="60"/>
  <c r="N197" i="1"/>
  <c r="N249" i="1" s="1"/>
  <c r="O202" i="1"/>
  <c r="N203" i="1"/>
  <c r="R202" i="1"/>
  <c r="O119" i="1"/>
  <c r="N114" i="1"/>
  <c r="N120" i="1"/>
  <c r="R119" i="1"/>
  <c r="AI144" i="13"/>
  <c r="AI147" i="13"/>
  <c r="AI143" i="13"/>
  <c r="C567" i="28"/>
  <c r="N567" i="28"/>
  <c r="N566" i="28" s="1"/>
  <c r="K715" i="28"/>
  <c r="H83" i="28"/>
  <c r="AB23" i="17"/>
  <c r="AI23" i="17" s="1"/>
  <c r="J24" i="9"/>
  <c r="J29" i="60"/>
  <c r="M63" i="1"/>
  <c r="M64" i="1" s="1"/>
  <c r="G69" i="28"/>
  <c r="AN338" i="13"/>
  <c r="AN337" i="13"/>
  <c r="E368" i="28"/>
  <c r="H60" i="3"/>
  <c r="E209" i="9"/>
  <c r="H97" i="3"/>
  <c r="E170" i="9"/>
  <c r="M180" i="9"/>
  <c r="Q5" i="3"/>
  <c r="N180" i="9" s="1"/>
  <c r="L327" i="13"/>
  <c r="K328" i="13"/>
  <c r="H113" i="9"/>
  <c r="AP356" i="13"/>
  <c r="AP358" i="13"/>
  <c r="AP355" i="13"/>
  <c r="P365" i="13"/>
  <c r="M124" i="9"/>
  <c r="P41" i="13"/>
  <c r="M341" i="1"/>
  <c r="M342" i="1" s="1"/>
  <c r="H639" i="28"/>
  <c r="J15" i="9"/>
  <c r="AD209" i="13"/>
  <c r="AD210" i="13"/>
  <c r="AD240" i="13"/>
  <c r="AH243" i="13" s="1"/>
  <c r="AH210" i="13"/>
  <c r="N365" i="1"/>
  <c r="I323" i="28"/>
  <c r="L90" i="3"/>
  <c r="L354" i="13"/>
  <c r="L344" i="13"/>
  <c r="L349" i="13"/>
  <c r="L330" i="13"/>
  <c r="L333" i="13" s="1"/>
  <c r="I112" i="9"/>
  <c r="L326" i="13"/>
  <c r="H239" i="9"/>
  <c r="K100" i="3"/>
  <c r="H98" i="28"/>
  <c r="J27" i="9"/>
  <c r="J33" i="60"/>
  <c r="AB24" i="17"/>
  <c r="AI24" i="17" s="1"/>
  <c r="M75" i="1"/>
  <c r="M76" i="1" s="1"/>
  <c r="G263" i="28"/>
  <c r="G264" i="28" s="1"/>
  <c r="G144" i="28"/>
  <c r="G610" i="28"/>
  <c r="O95" i="1"/>
  <c r="N96" i="1"/>
  <c r="R95" i="1"/>
  <c r="N90" i="1"/>
  <c r="I114" i="3"/>
  <c r="G625" i="28"/>
  <c r="G699" i="28"/>
  <c r="G700" i="28" s="1"/>
  <c r="O488" i="1"/>
  <c r="R488" i="1"/>
  <c r="N489" i="1"/>
  <c r="AN38" i="1"/>
  <c r="AG145" i="13"/>
  <c r="K351" i="13"/>
  <c r="K353" i="13"/>
  <c r="H120" i="9"/>
  <c r="H121" i="9" s="1"/>
  <c r="G159" i="28"/>
  <c r="AD82" i="13"/>
  <c r="AD117" i="13"/>
  <c r="AD142" i="13" s="1"/>
  <c r="AH143" i="13" s="1"/>
  <c r="AD83" i="13"/>
  <c r="M186" i="13"/>
  <c r="I458" i="28"/>
  <c r="AP151" i="1"/>
  <c r="AP34" i="1"/>
  <c r="AO38" i="1"/>
  <c r="H670" i="28"/>
  <c r="H624" i="28"/>
  <c r="M333" i="1"/>
  <c r="M334" i="1" s="1"/>
  <c r="J14" i="9"/>
  <c r="G174" i="28"/>
  <c r="O549" i="28"/>
  <c r="E87" i="9"/>
  <c r="H534" i="28"/>
  <c r="M305" i="1"/>
  <c r="M306" i="1" s="1"/>
  <c r="J16" i="9"/>
  <c r="M315" i="1"/>
  <c r="AP351" i="13"/>
  <c r="AP350" i="13"/>
  <c r="AP353" i="13"/>
  <c r="AA149" i="13"/>
  <c r="AA150" i="13" s="1"/>
  <c r="AA148" i="13"/>
  <c r="AI174" i="13"/>
  <c r="AL210" i="13"/>
  <c r="AL209" i="13"/>
  <c r="AH147" i="13"/>
  <c r="AH144" i="13"/>
  <c r="M325" i="13"/>
  <c r="M339" i="13" s="1"/>
  <c r="M503" i="1"/>
  <c r="M504" i="1" s="1"/>
  <c r="H36" i="28"/>
  <c r="J65" i="60"/>
  <c r="J5" i="9"/>
  <c r="AB5" i="17"/>
  <c r="AI5" i="17" s="1"/>
  <c r="O67" i="1"/>
  <c r="R67" i="1"/>
  <c r="N68" i="1"/>
  <c r="N62" i="1"/>
  <c r="I26" i="60"/>
  <c r="I24" i="60"/>
  <c r="AP194" i="1"/>
  <c r="H148" i="13"/>
  <c r="H149" i="13"/>
  <c r="J336" i="13"/>
  <c r="G114" i="9"/>
  <c r="O345" i="1"/>
  <c r="R345" i="1"/>
  <c r="N346" i="1"/>
  <c r="N340" i="1"/>
  <c r="I64" i="60"/>
  <c r="I66" i="60"/>
  <c r="Q307" i="13"/>
  <c r="Q299" i="13"/>
  <c r="AE13" i="17"/>
  <c r="X14" i="17"/>
  <c r="E5" i="26"/>
  <c r="E8" i="26"/>
  <c r="E16" i="26" s="1"/>
  <c r="AP348" i="13"/>
  <c r="AP346" i="13"/>
  <c r="AP345" i="13"/>
  <c r="I40" i="60"/>
  <c r="I42" i="60"/>
  <c r="AC120" i="13"/>
  <c r="AC126" i="13"/>
  <c r="AC130" i="13"/>
  <c r="H414" i="28"/>
  <c r="K180" i="13"/>
  <c r="G99" i="28"/>
  <c r="K358" i="13"/>
  <c r="K356" i="13"/>
  <c r="H122" i="9"/>
  <c r="H123" i="9" s="1"/>
  <c r="G505" i="28"/>
  <c r="G444" i="28"/>
  <c r="AB148" i="13"/>
  <c r="AB149" i="13"/>
  <c r="AB150" i="13" s="1"/>
  <c r="H459" i="28"/>
  <c r="M40" i="9"/>
  <c r="P329" i="1"/>
  <c r="E14" i="28"/>
  <c r="H233" i="28"/>
  <c r="M123" i="1"/>
  <c r="M124" i="1" s="1"/>
  <c r="AB29" i="17"/>
  <c r="AI29" i="17" s="1"/>
  <c r="J194" i="1"/>
  <c r="G36" i="9"/>
  <c r="G184" i="60"/>
  <c r="G86" i="60"/>
  <c r="M373" i="1"/>
  <c r="M374" i="1" s="1"/>
  <c r="AB26" i="17"/>
  <c r="AI26" i="17" s="1"/>
  <c r="H609" i="28"/>
  <c r="J49" i="60"/>
  <c r="G640" i="28"/>
  <c r="O159" i="1"/>
  <c r="N160" i="1"/>
  <c r="R159" i="1"/>
  <c r="N154" i="1"/>
  <c r="AP328" i="13"/>
  <c r="G84" i="28"/>
  <c r="AD261" i="13"/>
  <c r="AD264" i="13" s="1"/>
  <c r="AD262" i="13"/>
  <c r="F9" i="17"/>
  <c r="F15" i="17" s="1"/>
  <c r="AH241" i="13"/>
  <c r="AH257" i="13"/>
  <c r="AH258" i="13" s="1"/>
  <c r="AH259" i="13" s="1"/>
  <c r="O522" i="1"/>
  <c r="N523" i="1"/>
  <c r="R522" i="1"/>
  <c r="AE115" i="13"/>
  <c r="AE51" i="13"/>
  <c r="AE52" i="13"/>
  <c r="AE53" i="13" s="1"/>
  <c r="AE171" i="13"/>
  <c r="AE172" i="13" s="1"/>
  <c r="AE173" i="13" s="1"/>
  <c r="AE127" i="13"/>
  <c r="AE137" i="13"/>
  <c r="AE138" i="13" s="1"/>
  <c r="AC149" i="13"/>
  <c r="AC150" i="13" s="1"/>
  <c r="AC148" i="13"/>
  <c r="AA126" i="13"/>
  <c r="AA120" i="13"/>
  <c r="AA130" i="13"/>
  <c r="P305" i="13"/>
  <c r="M104" i="9"/>
  <c r="M498" i="1"/>
  <c r="AI127" i="13"/>
  <c r="AI137" i="13"/>
  <c r="AI138" i="13" s="1"/>
  <c r="AL9" i="13"/>
  <c r="AL20" i="13"/>
  <c r="AL56" i="13" s="1"/>
  <c r="AL116" i="13" s="1"/>
  <c r="AL65" i="13"/>
  <c r="AL86" i="13" s="1"/>
  <c r="AL118" i="13" s="1"/>
  <c r="AL125" i="13" s="1"/>
  <c r="O105" i="13"/>
  <c r="N106" i="13"/>
  <c r="AE147" i="13"/>
  <c r="AE143" i="13"/>
  <c r="AE144" i="13"/>
  <c r="AE145" i="13" s="1"/>
  <c r="M70" i="1"/>
  <c r="H68" i="28"/>
  <c r="J23" i="9"/>
  <c r="J25" i="60"/>
  <c r="M55" i="1"/>
  <c r="M56" i="1" s="1"/>
  <c r="AB21" i="17"/>
  <c r="AI21" i="17" s="1"/>
  <c r="T359" i="28"/>
  <c r="U355" i="28"/>
  <c r="T355" i="28"/>
  <c r="S355" i="28"/>
  <c r="T353" i="28"/>
  <c r="J25" i="9"/>
  <c r="H143" i="28"/>
  <c r="M83" i="1"/>
  <c r="M84" i="1" s="1"/>
  <c r="L21" i="38"/>
  <c r="L23" i="38" s="1"/>
  <c r="L25" i="38" s="1"/>
  <c r="L30" i="38" s="1"/>
  <c r="L43" i="38" s="1"/>
  <c r="L46" i="38" s="1"/>
  <c r="M18" i="38"/>
  <c r="L254" i="1"/>
  <c r="I38" i="9"/>
  <c r="I22" i="60"/>
  <c r="I20" i="60"/>
  <c r="AP331" i="13"/>
  <c r="AB28" i="17"/>
  <c r="AI28" i="17" s="1"/>
  <c r="H218" i="28"/>
  <c r="M107" i="1"/>
  <c r="M108" i="1" s="1"/>
  <c r="J41" i="60"/>
  <c r="J32" i="9"/>
  <c r="AJ133" i="13"/>
  <c r="G204" i="28"/>
  <c r="L154" i="9"/>
  <c r="P154" i="9" s="1"/>
  <c r="L62" i="9"/>
  <c r="P62" i="9" s="1"/>
  <c r="O43" i="13"/>
  <c r="M160" i="3"/>
  <c r="M157" i="3"/>
  <c r="N151" i="3"/>
  <c r="N155" i="3" s="1"/>
  <c r="J21" i="60"/>
  <c r="AB22" i="17"/>
  <c r="AI22" i="17" s="1"/>
  <c r="M253" i="1"/>
  <c r="H383" i="28"/>
  <c r="J37" i="9"/>
  <c r="M198" i="1"/>
  <c r="M199" i="1" s="1"/>
  <c r="AM331" i="1"/>
  <c r="AM3" i="1"/>
  <c r="AM5" i="13" s="1"/>
  <c r="AM506" i="1"/>
  <c r="AM500" i="1"/>
  <c r="AM196" i="1"/>
  <c r="AM73" i="1"/>
  <c r="AM288" i="1"/>
  <c r="AM397" i="1"/>
  <c r="AM318" i="1"/>
  <c r="AM153" i="1"/>
  <c r="M258" i="1"/>
  <c r="M259" i="1" s="1"/>
  <c r="H443" i="28"/>
  <c r="H504" i="28" s="1"/>
  <c r="AE257" i="13"/>
  <c r="AE258" i="13" s="1"/>
  <c r="AE259" i="13" s="1"/>
  <c r="AE241" i="13"/>
  <c r="AE242" i="13" s="1"/>
  <c r="AE243" i="13"/>
  <c r="M32" i="38"/>
  <c r="M34" i="38" s="1"/>
  <c r="M36" i="38" s="1"/>
  <c r="M41" i="38" s="1"/>
  <c r="N16" i="38"/>
  <c r="O497" i="1" l="1"/>
  <c r="G144" i="13"/>
  <c r="H145" i="13" s="1"/>
  <c r="E476" i="28"/>
  <c r="N394" i="1"/>
  <c r="R394" i="1" s="1"/>
  <c r="D67" i="9"/>
  <c r="O476" i="28"/>
  <c r="O475" i="28" s="1"/>
  <c r="K476" i="28"/>
  <c r="K475" i="28" s="1"/>
  <c r="M476" i="28"/>
  <c r="M475" i="28" s="1"/>
  <c r="Q476" i="28"/>
  <c r="Q475" i="28" s="1"/>
  <c r="P476" i="28"/>
  <c r="P475" i="28" s="1"/>
  <c r="N476" i="28"/>
  <c r="N475" i="28" s="1"/>
  <c r="L476" i="28"/>
  <c r="L475" i="28" s="1"/>
  <c r="J476" i="28"/>
  <c r="J475" i="28" s="1"/>
  <c r="F475" i="28"/>
  <c r="G476" i="28"/>
  <c r="E761" i="28"/>
  <c r="E369" i="28"/>
  <c r="AP267" i="13"/>
  <c r="AP270" i="13" s="1"/>
  <c r="J454" i="1"/>
  <c r="AJ150" i="13"/>
  <c r="AP383" i="13"/>
  <c r="AP384" i="13" s="1"/>
  <c r="J368" i="13"/>
  <c r="G97" i="3"/>
  <c r="G143" i="13"/>
  <c r="H143" i="13"/>
  <c r="G147" i="13"/>
  <c r="G149" i="13" s="1"/>
  <c r="G150" i="13" s="1"/>
  <c r="D167" i="9"/>
  <c r="L424" i="1"/>
  <c r="L452" i="1"/>
  <c r="N441" i="1"/>
  <c r="M442" i="1"/>
  <c r="M445" i="1"/>
  <c r="N444" i="1"/>
  <c r="AN279" i="13"/>
  <c r="AN284" i="13"/>
  <c r="AN272" i="13"/>
  <c r="AN275" i="13" s="1"/>
  <c r="AN268" i="13"/>
  <c r="AN294" i="13"/>
  <c r="AN40" i="13" s="1"/>
  <c r="AN271" i="13"/>
  <c r="AN10" i="13" s="1"/>
  <c r="AN270" i="13"/>
  <c r="AN289" i="13"/>
  <c r="AN31" i="13" s="1"/>
  <c r="M451" i="1"/>
  <c r="N448" i="1"/>
  <c r="M449" i="1"/>
  <c r="G60" i="60"/>
  <c r="G62" i="60"/>
  <c r="AO279" i="13"/>
  <c r="AO284" i="13"/>
  <c r="AO26" i="13" s="1"/>
  <c r="AO272" i="13"/>
  <c r="AO275" i="13" s="1"/>
  <c r="AO289" i="13"/>
  <c r="AO31" i="13" s="1"/>
  <c r="AO270" i="13"/>
  <c r="AO268" i="13"/>
  <c r="AO294" i="13"/>
  <c r="AO271" i="13"/>
  <c r="AO10" i="13" s="1"/>
  <c r="F53" i="28"/>
  <c r="F54" i="28" s="1"/>
  <c r="H61" i="60"/>
  <c r="Z6" i="17"/>
  <c r="AG6" i="17" s="1"/>
  <c r="K267" i="13"/>
  <c r="K425" i="1"/>
  <c r="K426" i="1" s="1"/>
  <c r="D15" i="15" s="1"/>
  <c r="H4" i="9"/>
  <c r="L489" i="28"/>
  <c r="M488" i="28"/>
  <c r="N488" i="28" s="1"/>
  <c r="O488" i="28" s="1"/>
  <c r="P488" i="28" s="1"/>
  <c r="Q488" i="28" s="1"/>
  <c r="S488" i="28" s="1"/>
  <c r="J279" i="13"/>
  <c r="J289" i="13"/>
  <c r="J294" i="13"/>
  <c r="J268" i="13"/>
  <c r="J271" i="13"/>
  <c r="J270" i="13"/>
  <c r="J284" i="13"/>
  <c r="J272" i="13"/>
  <c r="G92" i="9"/>
  <c r="AK143" i="13"/>
  <c r="AK147" i="13"/>
  <c r="AK144" i="13"/>
  <c r="AK145" i="13" s="1"/>
  <c r="M343" i="13"/>
  <c r="M341" i="13"/>
  <c r="K383" i="13"/>
  <c r="J215" i="13"/>
  <c r="AP211" i="13"/>
  <c r="G126" i="13"/>
  <c r="D164" i="9" s="1"/>
  <c r="G120" i="13"/>
  <c r="B313" i="28" s="1"/>
  <c r="G130" i="13"/>
  <c r="H131" i="13" s="1"/>
  <c r="N525" i="1"/>
  <c r="E58" i="15"/>
  <c r="G54" i="13"/>
  <c r="H242" i="13"/>
  <c r="D87" i="9"/>
  <c r="M519" i="28"/>
  <c r="L520" i="28"/>
  <c r="N128" i="28"/>
  <c r="O128" i="28" s="1"/>
  <c r="P128" i="28" s="1"/>
  <c r="Q128" i="28" s="1"/>
  <c r="L249" i="28"/>
  <c r="M248" i="28"/>
  <c r="N248" i="28" s="1"/>
  <c r="O248" i="28" s="1"/>
  <c r="P248" i="28" s="1"/>
  <c r="Q248" i="28" s="1"/>
  <c r="L685" i="28"/>
  <c r="L580" i="28"/>
  <c r="M579" i="28"/>
  <c r="N579" i="28" s="1"/>
  <c r="O579" i="28" s="1"/>
  <c r="P579" i="28" s="1"/>
  <c r="Q579" i="28" s="1"/>
  <c r="T293" i="28"/>
  <c r="T298" i="28" s="1"/>
  <c r="L429" i="28"/>
  <c r="M428" i="28"/>
  <c r="N428" i="28" s="1"/>
  <c r="O428" i="28" s="1"/>
  <c r="P428" i="28" s="1"/>
  <c r="Q428" i="28" s="1"/>
  <c r="N116" i="28"/>
  <c r="M116" i="28" s="1"/>
  <c r="J196" i="1"/>
  <c r="K10" i="17"/>
  <c r="K16" i="17" s="1"/>
  <c r="K11" i="17"/>
  <c r="K17" i="17" s="1"/>
  <c r="F191" i="28"/>
  <c r="F190" i="28" s="1"/>
  <c r="O729" i="28"/>
  <c r="AD174" i="13"/>
  <c r="AD175" i="13" s="1"/>
  <c r="G568" i="28"/>
  <c r="G570" i="28" s="1"/>
  <c r="G571" i="28" s="1"/>
  <c r="R249" i="1"/>
  <c r="N250" i="1"/>
  <c r="H18" i="17"/>
  <c r="AL243" i="13"/>
  <c r="AL241" i="13"/>
  <c r="AL242" i="13" s="1"/>
  <c r="AL257" i="13"/>
  <c r="AL258" i="13" s="1"/>
  <c r="AL259" i="13" s="1"/>
  <c r="J9" i="17"/>
  <c r="J15" i="17" s="1"/>
  <c r="N280" i="1"/>
  <c r="R279" i="1"/>
  <c r="H640" i="28"/>
  <c r="AI149" i="13"/>
  <c r="AI148" i="13"/>
  <c r="H159" i="28"/>
  <c r="H204" i="28"/>
  <c r="J36" i="60"/>
  <c r="J38" i="60"/>
  <c r="R37" i="60"/>
  <c r="I233" i="28"/>
  <c r="AC29" i="17"/>
  <c r="AJ29" i="17" s="1"/>
  <c r="R122" i="1"/>
  <c r="N123" i="1"/>
  <c r="N124" i="1" s="1"/>
  <c r="I534" i="28"/>
  <c r="K16" i="9"/>
  <c r="O16" i="9" s="1"/>
  <c r="R304" i="1"/>
  <c r="N305" i="1"/>
  <c r="N306" i="1" s="1"/>
  <c r="N315" i="1"/>
  <c r="K194" i="1"/>
  <c r="H36" i="9"/>
  <c r="I97" i="3"/>
  <c r="F209" i="9"/>
  <c r="I60" i="3"/>
  <c r="R348" i="1"/>
  <c r="I654" i="28"/>
  <c r="N349" i="1"/>
  <c r="N350" i="1" s="1"/>
  <c r="AN225" i="13"/>
  <c r="AN223" i="13"/>
  <c r="J216" i="13"/>
  <c r="J226" i="13"/>
  <c r="J221" i="13"/>
  <c r="J3" i="13"/>
  <c r="J203" i="13"/>
  <c r="J197" i="13"/>
  <c r="G72" i="9"/>
  <c r="J198" i="13"/>
  <c r="J200" i="13"/>
  <c r="J22" i="60"/>
  <c r="J20" i="60"/>
  <c r="R21" i="60"/>
  <c r="N157" i="3"/>
  <c r="O151" i="3"/>
  <c r="O155" i="3" s="1"/>
  <c r="N160" i="3"/>
  <c r="T360" i="28"/>
  <c r="U360" i="28" s="1"/>
  <c r="T358" i="28"/>
  <c r="E356" i="28" s="1"/>
  <c r="E355" i="28" s="1"/>
  <c r="B356" i="28"/>
  <c r="B355" i="28" s="1"/>
  <c r="J26" i="60"/>
  <c r="J24" i="60"/>
  <c r="R25" i="60"/>
  <c r="P105" i="13"/>
  <c r="O106" i="13"/>
  <c r="P78" i="13"/>
  <c r="P80" i="13" s="1"/>
  <c r="J50" i="60"/>
  <c r="R49" i="60"/>
  <c r="J48" i="60"/>
  <c r="AC131" i="13"/>
  <c r="AC133" i="13"/>
  <c r="Q305" i="13"/>
  <c r="N104" i="9"/>
  <c r="H37" i="28"/>
  <c r="AH148" i="13"/>
  <c r="AH149" i="13"/>
  <c r="M316" i="1"/>
  <c r="J22" i="9"/>
  <c r="AP35" i="1"/>
  <c r="AP36" i="1" s="1"/>
  <c r="AP196" i="13"/>
  <c r="AP2" i="1"/>
  <c r="AP454" i="1" s="1"/>
  <c r="I120" i="9"/>
  <c r="I121" i="9" s="1"/>
  <c r="L351" i="13"/>
  <c r="L353" i="13"/>
  <c r="P43" i="13"/>
  <c r="M62" i="9"/>
  <c r="M154" i="9"/>
  <c r="K336" i="13"/>
  <c r="K368" i="13" s="1"/>
  <c r="H114" i="9"/>
  <c r="H84" i="28"/>
  <c r="AI145" i="13"/>
  <c r="O114" i="1"/>
  <c r="P119" i="1"/>
  <c r="O120" i="1"/>
  <c r="M90" i="3"/>
  <c r="AI242" i="13"/>
  <c r="AH264" i="13"/>
  <c r="AC26" i="17"/>
  <c r="AJ26" i="17" s="1"/>
  <c r="R372" i="1"/>
  <c r="I609" i="28"/>
  <c r="N373" i="1"/>
  <c r="N374" i="1" s="1"/>
  <c r="K49" i="60"/>
  <c r="O128" i="1"/>
  <c r="P127" i="1"/>
  <c r="O122" i="1"/>
  <c r="AF150" i="13"/>
  <c r="O214" i="1"/>
  <c r="P213" i="1"/>
  <c r="AM57" i="13"/>
  <c r="AM59" i="13"/>
  <c r="AM10" i="13"/>
  <c r="AM31" i="13"/>
  <c r="AM223" i="13"/>
  <c r="AM72" i="13"/>
  <c r="AM74" i="13" s="1"/>
  <c r="J46" i="60"/>
  <c r="R45" i="60"/>
  <c r="J44" i="60"/>
  <c r="AK133" i="13"/>
  <c r="AK131" i="13"/>
  <c r="H655" i="28"/>
  <c r="P337" i="1"/>
  <c r="O338" i="1"/>
  <c r="O332" i="1"/>
  <c r="H189" i="13"/>
  <c r="H190" i="13"/>
  <c r="H133" i="13"/>
  <c r="E166" i="9"/>
  <c r="H187" i="13"/>
  <c r="AO199" i="13"/>
  <c r="AO387" i="13"/>
  <c r="AO390" i="13" s="1"/>
  <c r="AO391" i="13" s="1"/>
  <c r="I115" i="9"/>
  <c r="M329" i="13"/>
  <c r="N186" i="13"/>
  <c r="AD137" i="13"/>
  <c r="AD138" i="13" s="1"/>
  <c r="AD127" i="13"/>
  <c r="AG133" i="13"/>
  <c r="AG131" i="13"/>
  <c r="I203" i="28"/>
  <c r="K31" i="9"/>
  <c r="O31" i="9" s="1"/>
  <c r="K37" i="60"/>
  <c r="R98" i="1"/>
  <c r="AC27" i="17"/>
  <c r="AJ27" i="17" s="1"/>
  <c r="N99" i="1"/>
  <c r="N100" i="1" s="1"/>
  <c r="Q49" i="13"/>
  <c r="AH126" i="13"/>
  <c r="AH120" i="13"/>
  <c r="AH130" i="13"/>
  <c r="M714" i="28"/>
  <c r="L715" i="28"/>
  <c r="L568" i="28"/>
  <c r="L570" i="28" s="1"/>
  <c r="L571" i="28" s="1"/>
  <c r="I150" i="13"/>
  <c r="O348" i="1"/>
  <c r="O354" i="1"/>
  <c r="P353" i="1"/>
  <c r="I670" i="28"/>
  <c r="T295" i="28"/>
  <c r="U295" i="28"/>
  <c r="S295" i="28"/>
  <c r="T299" i="28"/>
  <c r="R82" i="1"/>
  <c r="I143" i="28"/>
  <c r="K25" i="9"/>
  <c r="O25" i="9" s="1"/>
  <c r="N83" i="1"/>
  <c r="N84" i="1" s="1"/>
  <c r="N70" i="1"/>
  <c r="K23" i="9"/>
  <c r="O23" i="9" s="1"/>
  <c r="N55" i="1"/>
  <c r="N56" i="1" s="1"/>
  <c r="K25" i="60"/>
  <c r="I68" i="28"/>
  <c r="AC21" i="17"/>
  <c r="AJ21" i="17" s="1"/>
  <c r="R54" i="1"/>
  <c r="AN199" i="13"/>
  <c r="AN387" i="13"/>
  <c r="AN390" i="13" s="1"/>
  <c r="AN391" i="13" s="1"/>
  <c r="AN4" i="13"/>
  <c r="AN8" i="13"/>
  <c r="G43" i="9"/>
  <c r="H444" i="28"/>
  <c r="H505" i="28"/>
  <c r="H219" i="28"/>
  <c r="M150" i="1"/>
  <c r="M71" i="1"/>
  <c r="M72" i="1" s="1"/>
  <c r="AA133" i="13"/>
  <c r="AA131" i="13"/>
  <c r="O523" i="1"/>
  <c r="P522" i="1"/>
  <c r="J337" i="13"/>
  <c r="G116" i="9"/>
  <c r="G117" i="9" s="1"/>
  <c r="J338" i="13"/>
  <c r="H535" i="28"/>
  <c r="H594" i="28"/>
  <c r="H595" i="28" s="1"/>
  <c r="J323" i="28"/>
  <c r="O365" i="1"/>
  <c r="N115" i="1"/>
  <c r="N116" i="1" s="1"/>
  <c r="I173" i="28"/>
  <c r="K45" i="60"/>
  <c r="R114" i="1"/>
  <c r="AC30" i="17"/>
  <c r="AJ30" i="17" s="1"/>
  <c r="K29" i="9"/>
  <c r="O29" i="9" s="1"/>
  <c r="O372" i="1"/>
  <c r="P377" i="1"/>
  <c r="O378" i="1"/>
  <c r="N258" i="1"/>
  <c r="N259" i="1" s="1"/>
  <c r="I443" i="28"/>
  <c r="I504" i="28" s="1"/>
  <c r="R257" i="1"/>
  <c r="AM4" i="13"/>
  <c r="AM8" i="13"/>
  <c r="AO202" i="13"/>
  <c r="D219" i="9"/>
  <c r="G67" i="3"/>
  <c r="N40" i="9"/>
  <c r="Q329" i="1"/>
  <c r="AN202" i="13"/>
  <c r="AN59" i="13"/>
  <c r="G256" i="60"/>
  <c r="G274" i="60"/>
  <c r="G287" i="60"/>
  <c r="G257" i="60"/>
  <c r="G276" i="60"/>
  <c r="G243" i="60"/>
  <c r="G258" i="60"/>
  <c r="G239" i="60"/>
  <c r="G255" i="60"/>
  <c r="G253" i="60"/>
  <c r="G286" i="60"/>
  <c r="J10" i="3"/>
  <c r="G260" i="60"/>
  <c r="G261" i="60"/>
  <c r="G280" i="60"/>
  <c r="G247" i="60"/>
  <c r="G262" i="60"/>
  <c r="G277" i="60"/>
  <c r="G244" i="60"/>
  <c r="G278" i="60"/>
  <c r="G249" i="60"/>
  <c r="Y7" i="17"/>
  <c r="AF7" i="17" s="1"/>
  <c r="J12" i="3"/>
  <c r="G264" i="60"/>
  <c r="G279" i="60"/>
  <c r="G246" i="60"/>
  <c r="G265" i="60"/>
  <c r="G284" i="60"/>
  <c r="G251" i="60"/>
  <c r="G266" i="60"/>
  <c r="G281" i="60"/>
  <c r="G248" i="60"/>
  <c r="G282" i="60"/>
  <c r="G241" i="60"/>
  <c r="G240" i="60"/>
  <c r="G268" i="60"/>
  <c r="G283" i="60"/>
  <c r="G250" i="60"/>
  <c r="G269" i="60"/>
  <c r="G238" i="60"/>
  <c r="G263" i="60"/>
  <c r="G270" i="60"/>
  <c r="G285" i="60"/>
  <c r="G252" i="60"/>
  <c r="G245" i="60"/>
  <c r="G273" i="60"/>
  <c r="G267" i="60"/>
  <c r="J3" i="1"/>
  <c r="J4" i="1" s="1"/>
  <c r="J20" i="3"/>
  <c r="G275" i="60"/>
  <c r="G272" i="60"/>
  <c r="J331" i="1"/>
  <c r="G230" i="60"/>
  <c r="G225" i="60"/>
  <c r="G226" i="60"/>
  <c r="G227" i="60"/>
  <c r="J506" i="1"/>
  <c r="G223" i="60"/>
  <c r="G231" i="60"/>
  <c r="G228" i="60"/>
  <c r="G224" i="60"/>
  <c r="J500" i="1"/>
  <c r="G233" i="60"/>
  <c r="G234" i="60" s="1"/>
  <c r="G229" i="60"/>
  <c r="J256" i="1"/>
  <c r="J397" i="1"/>
  <c r="J318" i="1"/>
  <c r="J288" i="1"/>
  <c r="J73" i="1"/>
  <c r="J428" i="1"/>
  <c r="J153" i="1"/>
  <c r="J42" i="9"/>
  <c r="M286" i="1"/>
  <c r="H384" i="28"/>
  <c r="M140" i="13"/>
  <c r="M159" i="3"/>
  <c r="M141" i="13" s="1"/>
  <c r="J169" i="9" s="1"/>
  <c r="M117" i="3"/>
  <c r="M94" i="3"/>
  <c r="J42" i="60"/>
  <c r="J40" i="60"/>
  <c r="R41" i="60"/>
  <c r="N18" i="38"/>
  <c r="M21" i="38"/>
  <c r="M23" i="38" s="1"/>
  <c r="M25" i="38" s="1"/>
  <c r="M30" i="38" s="1"/>
  <c r="M43" i="38" s="1"/>
  <c r="M46" i="38" s="1"/>
  <c r="AP336" i="13"/>
  <c r="AP368" i="13" s="1"/>
  <c r="P159" i="1"/>
  <c r="O160" i="1"/>
  <c r="O154" i="1"/>
  <c r="H610" i="28"/>
  <c r="G183" i="60"/>
  <c r="G242" i="60"/>
  <c r="P345" i="1"/>
  <c r="O346" i="1"/>
  <c r="O340" i="1"/>
  <c r="J384" i="13"/>
  <c r="G128" i="9"/>
  <c r="O68" i="1"/>
  <c r="P67" i="1"/>
  <c r="O62" i="1"/>
  <c r="P549" i="28"/>
  <c r="I459" i="28"/>
  <c r="N498" i="1"/>
  <c r="R497" i="1"/>
  <c r="P95" i="1"/>
  <c r="O96" i="1"/>
  <c r="O90" i="1"/>
  <c r="H99" i="28"/>
  <c r="L348" i="13"/>
  <c r="I118" i="9"/>
  <c r="I119" i="9" s="1"/>
  <c r="I239" i="9"/>
  <c r="L100" i="3"/>
  <c r="AD241" i="13"/>
  <c r="AD242" i="13" s="1"/>
  <c r="AD243" i="13"/>
  <c r="AD257" i="13"/>
  <c r="AD258" i="13" s="1"/>
  <c r="AD259" i="13" s="1"/>
  <c r="L328" i="13"/>
  <c r="M327" i="13"/>
  <c r="I113" i="9"/>
  <c r="AN369" i="13"/>
  <c r="AN370" i="13" s="1"/>
  <c r="AN371" i="13"/>
  <c r="AN381" i="13"/>
  <c r="AN382" i="13" s="1"/>
  <c r="J30" i="60"/>
  <c r="R29" i="60"/>
  <c r="J28" i="60"/>
  <c r="N568" i="28"/>
  <c r="N570" i="28" s="1"/>
  <c r="N571" i="28" s="1"/>
  <c r="O197" i="1"/>
  <c r="O203" i="1"/>
  <c r="P202" i="1"/>
  <c r="AD115" i="13"/>
  <c r="AD171" i="13"/>
  <c r="AD172" i="13" s="1"/>
  <c r="AD173" i="13" s="1"/>
  <c r="AD51" i="13"/>
  <c r="AD52" i="13"/>
  <c r="AD53" i="13" s="1"/>
  <c r="O80" i="1"/>
  <c r="P79" i="1"/>
  <c r="O74" i="1"/>
  <c r="AM199" i="13"/>
  <c r="AM260" i="13" s="1"/>
  <c r="AM387" i="13"/>
  <c r="AM390" i="13" s="1"/>
  <c r="AM230" i="13"/>
  <c r="AM75" i="13" s="1"/>
  <c r="AM77" i="13" s="1"/>
  <c r="AM40" i="13"/>
  <c r="AM228" i="13"/>
  <c r="AM36" i="13"/>
  <c r="H174" i="28"/>
  <c r="C719" i="28"/>
  <c r="C118" i="28"/>
  <c r="C734" i="28"/>
  <c r="C509" i="28"/>
  <c r="C133" i="28"/>
  <c r="C373" i="28"/>
  <c r="C644" i="28"/>
  <c r="C418" i="28"/>
  <c r="C58" i="28"/>
  <c r="C57" i="28" s="1"/>
  <c r="C59" i="28" s="1"/>
  <c r="C60" i="28" s="1"/>
  <c r="C61" i="28" s="1"/>
  <c r="C674" i="28"/>
  <c r="C448" i="28"/>
  <c r="C343" i="28"/>
  <c r="C689" i="28"/>
  <c r="C463" i="28"/>
  <c r="C73" i="28"/>
  <c r="C283" i="28"/>
  <c r="C584" i="28"/>
  <c r="C358" i="28"/>
  <c r="C539" i="28"/>
  <c r="C554" i="28"/>
  <c r="C298" i="28"/>
  <c r="C103" i="28"/>
  <c r="C569" i="28"/>
  <c r="C328" i="28"/>
  <c r="C493" i="28"/>
  <c r="C704" i="28"/>
  <c r="C478" i="28"/>
  <c r="C88" i="28"/>
  <c r="C41" i="28"/>
  <c r="C40" i="28" s="1"/>
  <c r="C42" i="28" s="1"/>
  <c r="C43" i="28" s="1"/>
  <c r="C599" i="28"/>
  <c r="C253" i="28"/>
  <c r="C163" i="28"/>
  <c r="D163" i="28" s="1"/>
  <c r="E163" i="28" s="1"/>
  <c r="F163" i="28" s="1"/>
  <c r="G163" i="28" s="1"/>
  <c r="H163" i="28" s="1"/>
  <c r="I163" i="28" s="1"/>
  <c r="J163" i="28" s="1"/>
  <c r="K163" i="28" s="1"/>
  <c r="L163" i="28" s="1"/>
  <c r="M163" i="28" s="1"/>
  <c r="N163" i="28" s="1"/>
  <c r="O163" i="28" s="1"/>
  <c r="P163" i="28" s="1"/>
  <c r="Q163" i="28" s="1"/>
  <c r="C193" i="28"/>
  <c r="C629" i="28"/>
  <c r="C524" i="28"/>
  <c r="C223" i="28"/>
  <c r="D223" i="28" s="1"/>
  <c r="E223" i="28" s="1"/>
  <c r="F223" i="28" s="1"/>
  <c r="G223" i="28" s="1"/>
  <c r="H223" i="28" s="1"/>
  <c r="I223" i="28" s="1"/>
  <c r="J223" i="28" s="1"/>
  <c r="K223" i="28" s="1"/>
  <c r="L223" i="28" s="1"/>
  <c r="M223" i="28" s="1"/>
  <c r="N223" i="28" s="1"/>
  <c r="O223" i="28" s="1"/>
  <c r="P223" i="28" s="1"/>
  <c r="Q223" i="28" s="1"/>
  <c r="C238" i="28"/>
  <c r="D238" i="28" s="1"/>
  <c r="E238" i="28" s="1"/>
  <c r="F238" i="28" s="1"/>
  <c r="G238" i="28" s="1"/>
  <c r="H238" i="28" s="1"/>
  <c r="I238" i="28" s="1"/>
  <c r="J238" i="28" s="1"/>
  <c r="K238" i="28" s="1"/>
  <c r="L238" i="28" s="1"/>
  <c r="M238" i="28" s="1"/>
  <c r="N238" i="28" s="1"/>
  <c r="O238" i="28" s="1"/>
  <c r="P238" i="28" s="1"/>
  <c r="Q238" i="28" s="1"/>
  <c r="H456" i="13"/>
  <c r="C614" i="28"/>
  <c r="C403" i="28"/>
  <c r="C268" i="28"/>
  <c r="C178" i="28"/>
  <c r="D178" i="28" s="1"/>
  <c r="E178" i="28" s="1"/>
  <c r="F178" i="28" s="1"/>
  <c r="G178" i="28" s="1"/>
  <c r="H178" i="28" s="1"/>
  <c r="I178" i="28" s="1"/>
  <c r="J178" i="28" s="1"/>
  <c r="K178" i="28" s="1"/>
  <c r="L178" i="28" s="1"/>
  <c r="M178" i="28" s="1"/>
  <c r="N178" i="28" s="1"/>
  <c r="O178" i="28" s="1"/>
  <c r="P178" i="28" s="1"/>
  <c r="Q178" i="28" s="1"/>
  <c r="C388" i="28"/>
  <c r="C659" i="28"/>
  <c r="C433" i="28"/>
  <c r="C208" i="28"/>
  <c r="D208" i="28" s="1"/>
  <c r="E208" i="28" s="1"/>
  <c r="F208" i="28" s="1"/>
  <c r="G208" i="28" s="1"/>
  <c r="H208" i="28" s="1"/>
  <c r="I208" i="28" s="1"/>
  <c r="J208" i="28" s="1"/>
  <c r="K208" i="28" s="1"/>
  <c r="L208" i="28" s="1"/>
  <c r="M208" i="28" s="1"/>
  <c r="N208" i="28" s="1"/>
  <c r="O208" i="28" s="1"/>
  <c r="P208" i="28" s="1"/>
  <c r="Q208" i="28" s="1"/>
  <c r="D7" i="26"/>
  <c r="C148" i="28"/>
  <c r="D148" i="28" s="1"/>
  <c r="E148" i="28" s="1"/>
  <c r="F148" i="28" s="1"/>
  <c r="G148" i="28" s="1"/>
  <c r="H148" i="28" s="1"/>
  <c r="I148" i="28" s="1"/>
  <c r="J148" i="28" s="1"/>
  <c r="K148" i="28" s="1"/>
  <c r="L148" i="28" s="1"/>
  <c r="M148" i="28" s="1"/>
  <c r="N148" i="28" s="1"/>
  <c r="O148" i="28" s="1"/>
  <c r="P148" i="28" s="1"/>
  <c r="Q148" i="28" s="1"/>
  <c r="H132" i="3"/>
  <c r="H133" i="3" s="1"/>
  <c r="H142" i="3" s="1"/>
  <c r="H146" i="3" s="1"/>
  <c r="AO207" i="13"/>
  <c r="AO225" i="13"/>
  <c r="AO223" i="13"/>
  <c r="K174" i="9"/>
  <c r="O173" i="9"/>
  <c r="AG150" i="13"/>
  <c r="G189" i="13"/>
  <c r="G131" i="13"/>
  <c r="D166" i="9"/>
  <c r="G187" i="13"/>
  <c r="AL143" i="13"/>
  <c r="AL147" i="13"/>
  <c r="AL144" i="13"/>
  <c r="AL145" i="13" s="1"/>
  <c r="O222" i="1"/>
  <c r="J413" i="28"/>
  <c r="D719" i="28"/>
  <c r="D614" i="28"/>
  <c r="D388" i="28"/>
  <c r="D118" i="28"/>
  <c r="D117" i="28" s="1"/>
  <c r="D119" i="28" s="1"/>
  <c r="D120" i="28" s="1"/>
  <c r="D121" i="28" s="1"/>
  <c r="D689" i="28"/>
  <c r="D569" i="28"/>
  <c r="D463" i="28"/>
  <c r="D328" i="28"/>
  <c r="D73" i="28"/>
  <c r="I132" i="3"/>
  <c r="I133" i="3" s="1"/>
  <c r="I142" i="3" s="1"/>
  <c r="I146" i="3" s="1"/>
  <c r="D704" i="28"/>
  <c r="D584" i="28"/>
  <c r="D478" i="28"/>
  <c r="D358" i="28"/>
  <c r="D88" i="28"/>
  <c r="D659" i="28"/>
  <c r="D539" i="28"/>
  <c r="D433" i="28"/>
  <c r="D283" i="28"/>
  <c r="D644" i="28"/>
  <c r="D524" i="28"/>
  <c r="D418" i="28"/>
  <c r="D268" i="28"/>
  <c r="D58" i="28"/>
  <c r="D57" i="28" s="1"/>
  <c r="D59" i="28" s="1"/>
  <c r="D60" i="28" s="1"/>
  <c r="D61" i="28" s="1"/>
  <c r="D599" i="28"/>
  <c r="D493" i="28"/>
  <c r="D373" i="28"/>
  <c r="D103" i="28"/>
  <c r="E7" i="26"/>
  <c r="I456" i="13"/>
  <c r="D448" i="28"/>
  <c r="D734" i="28"/>
  <c r="D629" i="28"/>
  <c r="D133" i="28"/>
  <c r="D343" i="28"/>
  <c r="D554" i="28"/>
  <c r="D674" i="28"/>
  <c r="D298" i="28"/>
  <c r="D509" i="28"/>
  <c r="D41" i="28"/>
  <c r="D40" i="28" s="1"/>
  <c r="D42" i="28" s="1"/>
  <c r="D43" i="28" s="1"/>
  <c r="D403" i="28"/>
  <c r="D27" i="15"/>
  <c r="O104" i="1"/>
  <c r="P103" i="1"/>
  <c r="O98" i="1"/>
  <c r="F339" i="28"/>
  <c r="F368" i="28"/>
  <c r="AB133" i="13"/>
  <c r="AB131" i="13"/>
  <c r="O206" i="1"/>
  <c r="P205" i="1"/>
  <c r="R17" i="60"/>
  <c r="J18" i="60"/>
  <c r="O502" i="1"/>
  <c r="O525" i="1" s="1"/>
  <c r="P518" i="1"/>
  <c r="O519" i="1"/>
  <c r="Q568" i="28"/>
  <c r="Q570" i="28" s="1"/>
  <c r="Q571" i="28" s="1"/>
  <c r="J669" i="28"/>
  <c r="O88" i="1"/>
  <c r="P87" i="1"/>
  <c r="O82" i="1"/>
  <c r="P59" i="1"/>
  <c r="O60" i="1"/>
  <c r="O54" i="1"/>
  <c r="AN207" i="13"/>
  <c r="AN220" i="13"/>
  <c r="AN26" i="13"/>
  <c r="AN218" i="13"/>
  <c r="J38" i="1"/>
  <c r="M395" i="1"/>
  <c r="I324" i="28"/>
  <c r="AI126" i="13"/>
  <c r="AI130" i="13"/>
  <c r="AI120" i="13"/>
  <c r="I624" i="28"/>
  <c r="K14" i="9"/>
  <c r="O14" i="9" s="1"/>
  <c r="N333" i="1"/>
  <c r="N334" i="1" s="1"/>
  <c r="R332" i="1"/>
  <c r="AO8" i="13"/>
  <c r="AO4" i="13"/>
  <c r="I218" i="28"/>
  <c r="K32" i="9"/>
  <c r="O32" i="9" s="1"/>
  <c r="N107" i="1"/>
  <c r="N108" i="1" s="1"/>
  <c r="K41" i="60"/>
  <c r="AC28" i="17"/>
  <c r="AJ28" i="17" s="1"/>
  <c r="R106" i="1"/>
  <c r="AO381" i="13"/>
  <c r="AO382" i="13" s="1"/>
  <c r="AO369" i="13"/>
  <c r="AO370" i="13" s="1"/>
  <c r="AO371" i="13"/>
  <c r="Q365" i="13"/>
  <c r="N124" i="9"/>
  <c r="Q41" i="13"/>
  <c r="H279" i="28"/>
  <c r="L151" i="1"/>
  <c r="I34" i="9"/>
  <c r="I568" i="28"/>
  <c r="I570" i="28" s="1"/>
  <c r="I571" i="28" s="1"/>
  <c r="P491" i="1"/>
  <c r="O492" i="1"/>
  <c r="N32" i="38"/>
  <c r="N34" i="38" s="1"/>
  <c r="N36" i="38" s="1"/>
  <c r="N41" i="38" s="1"/>
  <c r="O16" i="38"/>
  <c r="M254" i="1"/>
  <c r="J38" i="9"/>
  <c r="L48" i="38"/>
  <c r="L49" i="38" s="1"/>
  <c r="H263" i="28"/>
  <c r="H264" i="28" s="1"/>
  <c r="H144" i="28"/>
  <c r="H69" i="28"/>
  <c r="AE148" i="13"/>
  <c r="AE149" i="13"/>
  <c r="AE150" i="13" s="1"/>
  <c r="AL127" i="13"/>
  <c r="AL137" i="13"/>
  <c r="AL138" i="13" s="1"/>
  <c r="AE126" i="13"/>
  <c r="AE120" i="13"/>
  <c r="AE130" i="13"/>
  <c r="K17" i="60"/>
  <c r="K18" i="60" s="1"/>
  <c r="N155" i="1"/>
  <c r="N156" i="1" s="1"/>
  <c r="K35" i="9"/>
  <c r="O35" i="9" s="1"/>
  <c r="I278" i="28"/>
  <c r="AC20" i="17"/>
  <c r="AJ20" i="17" s="1"/>
  <c r="R154" i="1"/>
  <c r="G259" i="60"/>
  <c r="H234" i="28"/>
  <c r="S398" i="28"/>
  <c r="F14" i="28"/>
  <c r="T398" i="28" s="1"/>
  <c r="N341" i="1"/>
  <c r="N342" i="1" s="1"/>
  <c r="I639" i="28"/>
  <c r="R340" i="1"/>
  <c r="K15" i="9"/>
  <c r="O15" i="9" s="1"/>
  <c r="K24" i="9"/>
  <c r="O24" i="9" s="1"/>
  <c r="I83" i="28"/>
  <c r="K29" i="60"/>
  <c r="N63" i="1"/>
  <c r="N64" i="1" s="1"/>
  <c r="AC23" i="17"/>
  <c r="AJ23" i="17" s="1"/>
  <c r="R62" i="1"/>
  <c r="J64" i="60"/>
  <c r="R65" i="60"/>
  <c r="J66" i="60"/>
  <c r="M354" i="13"/>
  <c r="M326" i="13"/>
  <c r="J112" i="9"/>
  <c r="M349" i="13"/>
  <c r="M330" i="13"/>
  <c r="M333" i="13" s="1"/>
  <c r="M344" i="13"/>
  <c r="H625" i="28"/>
  <c r="H699" i="28"/>
  <c r="H700" i="28" s="1"/>
  <c r="J458" i="28"/>
  <c r="AD143" i="13"/>
  <c r="AD144" i="13"/>
  <c r="AD145" i="13" s="1"/>
  <c r="AD147" i="13"/>
  <c r="P488" i="1"/>
  <c r="O489" i="1"/>
  <c r="I158" i="28"/>
  <c r="K26" i="9"/>
  <c r="O26" i="9" s="1"/>
  <c r="N91" i="1"/>
  <c r="N92" i="1" s="1"/>
  <c r="R90" i="1"/>
  <c r="J34" i="60"/>
  <c r="R33" i="60"/>
  <c r="J32" i="60"/>
  <c r="H240" i="9"/>
  <c r="L358" i="13"/>
  <c r="I122" i="9"/>
  <c r="I123" i="9" s="1"/>
  <c r="L356" i="13"/>
  <c r="H67" i="3"/>
  <c r="E219" i="9"/>
  <c r="C566" i="28"/>
  <c r="D567" i="28"/>
  <c r="D566" i="28" s="1"/>
  <c r="K21" i="60"/>
  <c r="R197" i="1"/>
  <c r="AC22" i="17"/>
  <c r="AJ22" i="17" s="1"/>
  <c r="N253" i="1"/>
  <c r="K37" i="9"/>
  <c r="O37" i="9" s="1"/>
  <c r="I383" i="28"/>
  <c r="N198" i="1"/>
  <c r="N199" i="1" s="1"/>
  <c r="L458" i="13"/>
  <c r="L457" i="13"/>
  <c r="I168" i="9"/>
  <c r="L184" i="13"/>
  <c r="R74" i="1"/>
  <c r="K33" i="60"/>
  <c r="K27" i="9"/>
  <c r="O27" i="9" s="1"/>
  <c r="I98" i="28"/>
  <c r="AC24" i="17"/>
  <c r="AJ24" i="17" s="1"/>
  <c r="N75" i="1"/>
  <c r="N76" i="1" s="1"/>
  <c r="L174" i="1"/>
  <c r="G338" i="28"/>
  <c r="I87" i="60"/>
  <c r="AA38" i="17"/>
  <c r="AH38" i="17" s="1"/>
  <c r="L34" i="1"/>
  <c r="O263" i="1"/>
  <c r="P262" i="1"/>
  <c r="O257" i="1"/>
  <c r="O279" i="1" s="1"/>
  <c r="O280" i="1" s="1"/>
  <c r="AM218" i="13"/>
  <c r="AM220" i="13"/>
  <c r="AM69" i="13" s="1"/>
  <c r="AM26" i="13"/>
  <c r="AM309" i="13"/>
  <c r="AM310" i="13" s="1"/>
  <c r="AM311" i="13"/>
  <c r="O304" i="1"/>
  <c r="O310" i="1"/>
  <c r="P309" i="1"/>
  <c r="AO220" i="13"/>
  <c r="AO218" i="13"/>
  <c r="AO230" i="13"/>
  <c r="AO40" i="13"/>
  <c r="AO228" i="13"/>
  <c r="AO36" i="13"/>
  <c r="O112" i="1"/>
  <c r="P111" i="1"/>
  <c r="O106" i="1"/>
  <c r="L173" i="9"/>
  <c r="P181" i="13"/>
  <c r="O185" i="13"/>
  <c r="I414" i="28"/>
  <c r="I190" i="13"/>
  <c r="I189" i="13"/>
  <c r="F166" i="9"/>
  <c r="I131" i="13"/>
  <c r="I133" i="13"/>
  <c r="I187" i="13"/>
  <c r="K34" i="1"/>
  <c r="L180" i="13"/>
  <c r="AM381" i="13"/>
  <c r="AM382" i="13" s="1"/>
  <c r="AM371" i="13"/>
  <c r="AM369" i="13"/>
  <c r="AM370" i="13" s="1"/>
  <c r="H86" i="60"/>
  <c r="H184" i="60"/>
  <c r="AF133" i="13"/>
  <c r="AF131" i="13"/>
  <c r="N325" i="13"/>
  <c r="N339" i="13" s="1"/>
  <c r="N343" i="13" s="1"/>
  <c r="K5" i="9"/>
  <c r="I36" i="28"/>
  <c r="N503" i="1"/>
  <c r="N504" i="1" s="1"/>
  <c r="K65" i="60"/>
  <c r="AC5" i="17"/>
  <c r="AJ5" i="17" s="1"/>
  <c r="R502" i="1"/>
  <c r="H568" i="28"/>
  <c r="H570" i="28" s="1"/>
  <c r="H571" i="28" s="1"/>
  <c r="K49" i="38"/>
  <c r="K51" i="38" s="1"/>
  <c r="M173" i="1" s="1"/>
  <c r="M193" i="1" s="1"/>
  <c r="J13" i="17"/>
  <c r="J14" i="17" s="1"/>
  <c r="AL115" i="13"/>
  <c r="AL51" i="13"/>
  <c r="AL52" i="13"/>
  <c r="AL54" i="13" s="1"/>
  <c r="AL171" i="13"/>
  <c r="AL172" i="13" s="1"/>
  <c r="AL173" i="13" s="1"/>
  <c r="AL154" i="13"/>
  <c r="AL155" i="13" s="1"/>
  <c r="AN36" i="13"/>
  <c r="AN228" i="13"/>
  <c r="AN230" i="13"/>
  <c r="AO59" i="13" l="1"/>
  <c r="AO57" i="13"/>
  <c r="L383" i="13"/>
  <c r="G133" i="13"/>
  <c r="D171" i="9" s="1"/>
  <c r="D172" i="9" s="1"/>
  <c r="D170" i="9"/>
  <c r="G145" i="13"/>
  <c r="G148" i="13"/>
  <c r="E475" i="28"/>
  <c r="D476" i="28"/>
  <c r="O394" i="1"/>
  <c r="G475" i="28"/>
  <c r="H476" i="28"/>
  <c r="N477" i="28"/>
  <c r="K477" i="28"/>
  <c r="F477" i="28"/>
  <c r="P477" i="28"/>
  <c r="O477" i="28"/>
  <c r="J477" i="28"/>
  <c r="Q477" i="28"/>
  <c r="L477" i="28"/>
  <c r="M477" i="28"/>
  <c r="F761" i="28"/>
  <c r="F369" i="28"/>
  <c r="AP268" i="13"/>
  <c r="AO276" i="13"/>
  <c r="AO277" i="13" s="1"/>
  <c r="AN57" i="13"/>
  <c r="P497" i="1"/>
  <c r="H150" i="13"/>
  <c r="AP284" i="13"/>
  <c r="G98" i="9"/>
  <c r="G99" i="9" s="1"/>
  <c r="J288" i="13"/>
  <c r="K271" i="13"/>
  <c r="AP271" i="13"/>
  <c r="G95" i="9"/>
  <c r="J296" i="13"/>
  <c r="G102" i="9"/>
  <c r="G103" i="9" s="1"/>
  <c r="AP294" i="13"/>
  <c r="J298" i="13"/>
  <c r="J283" i="13"/>
  <c r="J66" i="13" s="1"/>
  <c r="AP279" i="13"/>
  <c r="K279" i="13"/>
  <c r="K283" i="13" s="1"/>
  <c r="K284" i="13"/>
  <c r="K272" i="13"/>
  <c r="K275" i="13" s="1"/>
  <c r="K268" i="13"/>
  <c r="K289" i="13"/>
  <c r="K294" i="13"/>
  <c r="H92" i="9"/>
  <c r="K269" i="13"/>
  <c r="AO291" i="13"/>
  <c r="AO293" i="13"/>
  <c r="AO286" i="13"/>
  <c r="AO288" i="13"/>
  <c r="AO69" i="13" s="1"/>
  <c r="M424" i="1"/>
  <c r="M452" i="1"/>
  <c r="AN276" i="13"/>
  <c r="AN298" i="13"/>
  <c r="AN75" i="13" s="1"/>
  <c r="AN77" i="13" s="1"/>
  <c r="AN296" i="13"/>
  <c r="AN283" i="13"/>
  <c r="AN66" i="13" s="1"/>
  <c r="AN21" i="13"/>
  <c r="O441" i="1"/>
  <c r="N442" i="1"/>
  <c r="L267" i="13"/>
  <c r="I4" i="9"/>
  <c r="I61" i="60"/>
  <c r="G53" i="28"/>
  <c r="G54" i="28" s="1"/>
  <c r="L425" i="1"/>
  <c r="L426" i="1" s="1"/>
  <c r="AA6" i="17"/>
  <c r="AH6" i="17" s="1"/>
  <c r="AP272" i="13"/>
  <c r="J275" i="13"/>
  <c r="AP275" i="13" s="1"/>
  <c r="G94" i="9"/>
  <c r="J276" i="13"/>
  <c r="G100" i="9"/>
  <c r="G101" i="9" s="1"/>
  <c r="J293" i="13"/>
  <c r="AP289" i="13"/>
  <c r="J291" i="13"/>
  <c r="S490" i="28"/>
  <c r="T490" i="28"/>
  <c r="T494" i="28"/>
  <c r="T488" i="28"/>
  <c r="U490" i="28"/>
  <c r="H60" i="60"/>
  <c r="H62" i="60"/>
  <c r="J21" i="13"/>
  <c r="J22" i="13" s="1"/>
  <c r="AO298" i="13"/>
  <c r="AO75" i="13" s="1"/>
  <c r="AO77" i="13" s="1"/>
  <c r="AO296" i="13"/>
  <c r="AO283" i="13"/>
  <c r="AO66" i="13" s="1"/>
  <c r="AO21" i="13"/>
  <c r="N451" i="1"/>
  <c r="N449" i="1"/>
  <c r="O448" i="1"/>
  <c r="AN291" i="13"/>
  <c r="AN293" i="13"/>
  <c r="AN288" i="13"/>
  <c r="AN69" i="13" s="1"/>
  <c r="AN286" i="13"/>
  <c r="N445" i="1"/>
  <c r="O444" i="1"/>
  <c r="AK149" i="13"/>
  <c r="AK150" i="13" s="1"/>
  <c r="AK148" i="13"/>
  <c r="AP215" i="13"/>
  <c r="AM391" i="13"/>
  <c r="AM435" i="13" s="1"/>
  <c r="AM398" i="13"/>
  <c r="N341" i="13"/>
  <c r="B58" i="28"/>
  <c r="B57" i="28" s="1"/>
  <c r="B59" i="28" s="1"/>
  <c r="B60" i="28" s="1"/>
  <c r="B61" i="28" s="1"/>
  <c r="AN208" i="13"/>
  <c r="AN240" i="13" s="1"/>
  <c r="AN257" i="13" s="1"/>
  <c r="AN258" i="13" s="1"/>
  <c r="AN259" i="13" s="1"/>
  <c r="AN260" i="13"/>
  <c r="AP213" i="13"/>
  <c r="AP212" i="13"/>
  <c r="AO208" i="13"/>
  <c r="AO240" i="13" s="1"/>
  <c r="AO257" i="13" s="1"/>
  <c r="AO258" i="13" s="1"/>
  <c r="AO259" i="13" s="1"/>
  <c r="AO260" i="13"/>
  <c r="B223" i="28"/>
  <c r="B734" i="28"/>
  <c r="B719" i="28"/>
  <c r="B358" i="28"/>
  <c r="B357" i="28" s="1"/>
  <c r="B359" i="28" s="1"/>
  <c r="B360" i="28" s="1"/>
  <c r="B361" i="28" s="1"/>
  <c r="B539" i="28"/>
  <c r="B178" i="28"/>
  <c r="B388" i="28"/>
  <c r="B463" i="28"/>
  <c r="B133" i="28"/>
  <c r="B644" i="28"/>
  <c r="B298" i="28"/>
  <c r="G132" i="3"/>
  <c r="G133" i="3" s="1"/>
  <c r="G142" i="3" s="1"/>
  <c r="G146" i="3" s="1"/>
  <c r="B614" i="28"/>
  <c r="B599" i="28"/>
  <c r="B148" i="28"/>
  <c r="B208" i="28"/>
  <c r="B73" i="28"/>
  <c r="B689" i="28"/>
  <c r="B584" i="28"/>
  <c r="B509" i="28"/>
  <c r="B418" i="28"/>
  <c r="B283" i="28"/>
  <c r="B343" i="28"/>
  <c r="B554" i="28"/>
  <c r="B253" i="28"/>
  <c r="B493" i="28"/>
  <c r="G456" i="13"/>
  <c r="G444" i="13" s="1"/>
  <c r="B238" i="28"/>
  <c r="B118" i="28"/>
  <c r="B163" i="28"/>
  <c r="B103" i="28"/>
  <c r="B193" i="28"/>
  <c r="B192" i="28" s="1"/>
  <c r="B194" i="28" s="1"/>
  <c r="B195" i="28" s="1"/>
  <c r="B196" i="28" s="1"/>
  <c r="B373" i="28"/>
  <c r="B328" i="28"/>
  <c r="B569" i="28"/>
  <c r="B568" i="28" s="1"/>
  <c r="B570" i="28" s="1"/>
  <c r="B571" i="28" s="1"/>
  <c r="B572" i="28" s="1"/>
  <c r="B88" i="28"/>
  <c r="B478" i="28"/>
  <c r="B704" i="28"/>
  <c r="B403" i="28"/>
  <c r="B629" i="28"/>
  <c r="B268" i="28"/>
  <c r="B524" i="28"/>
  <c r="B433" i="28"/>
  <c r="B659" i="28"/>
  <c r="B41" i="28"/>
  <c r="B40" i="28" s="1"/>
  <c r="B42" i="28" s="1"/>
  <c r="B43" i="28" s="1"/>
  <c r="B448" i="28"/>
  <c r="B674" i="28"/>
  <c r="AP38" i="1"/>
  <c r="AP428" i="1"/>
  <c r="O521" i="1"/>
  <c r="T300" i="28"/>
  <c r="U300" i="28" s="1"/>
  <c r="F296" i="28" s="1"/>
  <c r="F295" i="28" s="1"/>
  <c r="F297" i="28" s="1"/>
  <c r="F299" i="28" s="1"/>
  <c r="F300" i="28" s="1"/>
  <c r="E8" i="28"/>
  <c r="S128" i="28" s="1"/>
  <c r="S248" i="28"/>
  <c r="U250" i="28" s="1"/>
  <c r="S579" i="28"/>
  <c r="N519" i="28"/>
  <c r="O519" i="28" s="1"/>
  <c r="P519" i="28" s="1"/>
  <c r="Q519" i="28" s="1"/>
  <c r="Q296" i="28"/>
  <c r="Q295" i="28" s="1"/>
  <c r="Q297" i="28" s="1"/>
  <c r="Q299" i="28" s="1"/>
  <c r="Q300" i="28" s="1"/>
  <c r="E16" i="28"/>
  <c r="N115" i="28"/>
  <c r="N117" i="28" s="1"/>
  <c r="N119" i="28" s="1"/>
  <c r="N120" i="28" s="1"/>
  <c r="M115" i="28"/>
  <c r="M117" i="28" s="1"/>
  <c r="M119" i="28" s="1"/>
  <c r="M120" i="28" s="1"/>
  <c r="L116" i="28"/>
  <c r="P729" i="28"/>
  <c r="AM261" i="13"/>
  <c r="AH145" i="13"/>
  <c r="E357" i="28"/>
  <c r="E359" i="28" s="1"/>
  <c r="E360" i="28" s="1"/>
  <c r="N344" i="13"/>
  <c r="N349" i="13"/>
  <c r="N330" i="13"/>
  <c r="N333" i="13" s="1"/>
  <c r="N354" i="13"/>
  <c r="K112" i="9"/>
  <c r="O112" i="9" s="1"/>
  <c r="N326" i="13"/>
  <c r="AM27" i="13"/>
  <c r="AM30" i="13"/>
  <c r="AM28" i="13"/>
  <c r="I86" i="60"/>
  <c r="I184" i="60"/>
  <c r="K22" i="60"/>
  <c r="K20" i="60"/>
  <c r="I279" i="28"/>
  <c r="L196" i="13"/>
  <c r="L211" i="13" s="1"/>
  <c r="I3" i="9"/>
  <c r="AA4" i="17"/>
  <c r="AH4" i="17" s="1"/>
  <c r="L2" i="1"/>
  <c r="G762" i="28" s="1"/>
  <c r="L35" i="1"/>
  <c r="L36" i="1" s="1"/>
  <c r="K42" i="60"/>
  <c r="K40" i="60"/>
  <c r="J383" i="28"/>
  <c r="L37" i="9"/>
  <c r="P37" i="9" s="1"/>
  <c r="O253" i="1"/>
  <c r="L21" i="60"/>
  <c r="O198" i="1"/>
  <c r="O199" i="1" s="1"/>
  <c r="P68" i="1"/>
  <c r="Q67" i="1"/>
  <c r="P62" i="1"/>
  <c r="R42" i="60"/>
  <c r="J63" i="3"/>
  <c r="G186" i="9"/>
  <c r="D222" i="9"/>
  <c r="G103" i="3"/>
  <c r="O373" i="1"/>
  <c r="O374" i="1" s="1"/>
  <c r="J609" i="28"/>
  <c r="L49" i="60"/>
  <c r="I69" i="28"/>
  <c r="N150" i="1"/>
  <c r="N71" i="1"/>
  <c r="N72" i="1" s="1"/>
  <c r="R70" i="1"/>
  <c r="I263" i="28"/>
  <c r="I264" i="28" s="1"/>
  <c r="I144" i="28"/>
  <c r="P354" i="1"/>
  <c r="P348" i="1"/>
  <c r="Q353" i="1"/>
  <c r="N329" i="13"/>
  <c r="J115" i="9"/>
  <c r="P338" i="1"/>
  <c r="Q337" i="1"/>
  <c r="P332" i="1"/>
  <c r="AK134" i="13"/>
  <c r="AK136" i="13" s="1"/>
  <c r="I18" i="17"/>
  <c r="P214" i="1"/>
  <c r="Q213" i="1"/>
  <c r="P128" i="1"/>
  <c r="Q127" i="1"/>
  <c r="P122" i="1"/>
  <c r="I610" i="28"/>
  <c r="K384" i="13"/>
  <c r="H128" i="9"/>
  <c r="R48" i="60"/>
  <c r="R26" i="60"/>
  <c r="C356" i="28"/>
  <c r="Q356" i="28"/>
  <c r="Q355" i="28" s="1"/>
  <c r="O160" i="3"/>
  <c r="P151" i="3"/>
  <c r="P155" i="3" s="1"/>
  <c r="O157" i="3"/>
  <c r="R22" i="60"/>
  <c r="J36" i="13"/>
  <c r="AP226" i="13"/>
  <c r="G82" i="9"/>
  <c r="G83" i="9" s="1"/>
  <c r="J40" i="13"/>
  <c r="J230" i="13"/>
  <c r="N316" i="1"/>
  <c r="R315" i="1"/>
  <c r="K22" i="9"/>
  <c r="O22" i="9" s="1"/>
  <c r="I535" i="28"/>
  <c r="I594" i="28"/>
  <c r="I595" i="28" s="1"/>
  <c r="AN241" i="13"/>
  <c r="AN242" i="13" s="1"/>
  <c r="I37" i="28"/>
  <c r="K196" i="13"/>
  <c r="H3" i="9"/>
  <c r="K2" i="1"/>
  <c r="F762" i="28" s="1"/>
  <c r="Z4" i="17"/>
  <c r="AG4" i="17" s="1"/>
  <c r="K35" i="1"/>
  <c r="K36" i="1" s="1"/>
  <c r="O186" i="13"/>
  <c r="Q111" i="1"/>
  <c r="P112" i="1"/>
  <c r="P106" i="1"/>
  <c r="J534" i="28"/>
  <c r="L16" i="9"/>
  <c r="P16" i="9" s="1"/>
  <c r="O305" i="1"/>
  <c r="O306" i="1" s="1"/>
  <c r="O315" i="1"/>
  <c r="G339" i="28"/>
  <c r="G368" i="28"/>
  <c r="K34" i="60"/>
  <c r="K32" i="60"/>
  <c r="R253" i="1"/>
  <c r="K38" i="9"/>
  <c r="O38" i="9" s="1"/>
  <c r="N254" i="1"/>
  <c r="D568" i="28"/>
  <c r="D570" i="28" s="1"/>
  <c r="D571" i="28" s="1"/>
  <c r="D572" i="28" s="1"/>
  <c r="R34" i="60"/>
  <c r="O498" i="1"/>
  <c r="J459" i="28"/>
  <c r="M348" i="13"/>
  <c r="J118" i="9"/>
  <c r="J119" i="9" s="1"/>
  <c r="R64" i="60"/>
  <c r="K28" i="60"/>
  <c r="K30" i="60"/>
  <c r="I640" i="28"/>
  <c r="T405" i="28"/>
  <c r="U405" i="28" s="1"/>
  <c r="F401" i="28" s="1"/>
  <c r="F400" i="28" s="1"/>
  <c r="T403" i="28"/>
  <c r="Q401" i="28" s="1"/>
  <c r="Q400" i="28" s="1"/>
  <c r="L25" i="9"/>
  <c r="P25" i="9" s="1"/>
  <c r="J143" i="28"/>
  <c r="O83" i="1"/>
  <c r="O84" i="1" s="1"/>
  <c r="Q205" i="1"/>
  <c r="Q206" i="1" s="1"/>
  <c r="P206" i="1"/>
  <c r="Q103" i="1"/>
  <c r="P98" i="1"/>
  <c r="P104" i="1"/>
  <c r="P222" i="1"/>
  <c r="K413" i="28"/>
  <c r="C38" i="26"/>
  <c r="C39" i="26" s="1"/>
  <c r="C44" i="26" s="1"/>
  <c r="D253" i="28"/>
  <c r="O75" i="1"/>
  <c r="O76" i="1" s="1"/>
  <c r="L33" i="60"/>
  <c r="L27" i="9"/>
  <c r="P27" i="9" s="1"/>
  <c r="J98" i="28"/>
  <c r="AD120" i="13"/>
  <c r="AD130" i="13"/>
  <c r="AD126" i="13"/>
  <c r="R28" i="60"/>
  <c r="P96" i="1"/>
  <c r="Q95" i="1"/>
  <c r="P90" i="1"/>
  <c r="Q549" i="28"/>
  <c r="J278" i="28"/>
  <c r="L35" i="9"/>
  <c r="P35" i="9" s="1"/>
  <c r="L17" i="60"/>
  <c r="L18" i="60" s="1"/>
  <c r="O155" i="1"/>
  <c r="O156" i="1" s="1"/>
  <c r="N21" i="38"/>
  <c r="N23" i="38" s="1"/>
  <c r="N25" i="38" s="1"/>
  <c r="N30" i="38" s="1"/>
  <c r="N43" i="38" s="1"/>
  <c r="N46" i="38" s="1"/>
  <c r="O18" i="38"/>
  <c r="N90" i="3"/>
  <c r="J64" i="3"/>
  <c r="G193" i="9"/>
  <c r="N286" i="1"/>
  <c r="R285" i="1"/>
  <c r="K42" i="9"/>
  <c r="O42" i="9" s="1"/>
  <c r="K44" i="60"/>
  <c r="K46" i="60"/>
  <c r="AA134" i="13"/>
  <c r="AA193" i="13"/>
  <c r="AN9" i="13"/>
  <c r="K24" i="60"/>
  <c r="K26" i="60"/>
  <c r="K36" i="60"/>
  <c r="K38" i="60"/>
  <c r="R44" i="60"/>
  <c r="AM208" i="13"/>
  <c r="AM240" i="13" s="1"/>
  <c r="P120" i="1"/>
  <c r="Q119" i="1"/>
  <c r="P114" i="1"/>
  <c r="Q78" i="13"/>
  <c r="Q80" i="13" s="1"/>
  <c r="Q105" i="13"/>
  <c r="Q106" i="13" s="1"/>
  <c r="P106" i="13"/>
  <c r="I356" i="28"/>
  <c r="I355" i="28" s="1"/>
  <c r="N356" i="28"/>
  <c r="N355" i="28" s="1"/>
  <c r="F356" i="28"/>
  <c r="F355" i="28" s="1"/>
  <c r="G356" i="28"/>
  <c r="G355" i="28" s="1"/>
  <c r="N159" i="3"/>
  <c r="N141" i="13" s="1"/>
  <c r="K169" i="9" s="1"/>
  <c r="O169" i="9" s="1"/>
  <c r="N140" i="13"/>
  <c r="N117" i="3"/>
  <c r="N94" i="3"/>
  <c r="J59" i="13"/>
  <c r="J10" i="13"/>
  <c r="J441" i="13" s="1"/>
  <c r="J202" i="13"/>
  <c r="J57" i="13" s="1"/>
  <c r="AP200" i="13"/>
  <c r="G75" i="9"/>
  <c r="AP203" i="13"/>
  <c r="J207" i="13"/>
  <c r="J220" i="13"/>
  <c r="J218" i="13"/>
  <c r="AP216" i="13"/>
  <c r="G78" i="9"/>
  <c r="G79" i="9" s="1"/>
  <c r="J26" i="13"/>
  <c r="F219" i="9"/>
  <c r="I67" i="3"/>
  <c r="R38" i="60"/>
  <c r="AI150" i="13"/>
  <c r="AH242" i="13"/>
  <c r="P263" i="1"/>
  <c r="Q262" i="1"/>
  <c r="P257" i="1"/>
  <c r="P279" i="1" s="1"/>
  <c r="P280" i="1" s="1"/>
  <c r="P489" i="1"/>
  <c r="Q488" i="1"/>
  <c r="N395" i="1"/>
  <c r="R18" i="60"/>
  <c r="O99" i="1"/>
  <c r="O100" i="1" s="1"/>
  <c r="J203" i="28"/>
  <c r="L37" i="60"/>
  <c r="L31" i="9"/>
  <c r="P31" i="9" s="1"/>
  <c r="J414" i="28"/>
  <c r="O341" i="1"/>
  <c r="O342" i="1" s="1"/>
  <c r="J639" i="28"/>
  <c r="L15" i="9"/>
  <c r="P15" i="9" s="1"/>
  <c r="AP338" i="13"/>
  <c r="AP337" i="13"/>
  <c r="M457" i="13"/>
  <c r="M458" i="13"/>
  <c r="J168" i="9"/>
  <c r="M184" i="13"/>
  <c r="P365" i="1"/>
  <c r="K323" i="28"/>
  <c r="O5" i="9"/>
  <c r="AO30" i="13"/>
  <c r="AO27" i="13"/>
  <c r="AO28" i="13"/>
  <c r="C568" i="28"/>
  <c r="C570" i="28" s="1"/>
  <c r="C571" i="28" s="1"/>
  <c r="C572" i="28" s="1"/>
  <c r="I159" i="28"/>
  <c r="K458" i="28"/>
  <c r="M358" i="13"/>
  <c r="M356" i="13"/>
  <c r="J122" i="9"/>
  <c r="J123" i="9" s="1"/>
  <c r="I84" i="28"/>
  <c r="L51" i="38"/>
  <c r="N173" i="1" s="1"/>
  <c r="P16" i="38"/>
  <c r="O32" i="38"/>
  <c r="O34" i="38" s="1"/>
  <c r="O36" i="38" s="1"/>
  <c r="O41" i="38" s="1"/>
  <c r="P492" i="1"/>
  <c r="Q491" i="1"/>
  <c r="Q492" i="1" s="1"/>
  <c r="Q43" i="13"/>
  <c r="N62" i="9"/>
  <c r="N154" i="9"/>
  <c r="AN27" i="13"/>
  <c r="AN30" i="13"/>
  <c r="AN28" i="13"/>
  <c r="I240" i="9"/>
  <c r="G129" i="9"/>
  <c r="Q345" i="1"/>
  <c r="P346" i="1"/>
  <c r="P340" i="1"/>
  <c r="J5" i="13"/>
  <c r="D5" i="15"/>
  <c r="AM9" i="13"/>
  <c r="I174" i="28"/>
  <c r="J324" i="28"/>
  <c r="Y10" i="17"/>
  <c r="J371" i="13"/>
  <c r="G125" i="9"/>
  <c r="G126" i="9" s="1"/>
  <c r="J381" i="13"/>
  <c r="J369" i="13"/>
  <c r="Q522" i="1"/>
  <c r="P523" i="1"/>
  <c r="J654" i="28"/>
  <c r="O349" i="1"/>
  <c r="O350" i="1" s="1"/>
  <c r="N714" i="28"/>
  <c r="AO397" i="13"/>
  <c r="AO435" i="13" s="1"/>
  <c r="E164" i="60"/>
  <c r="E171" i="9"/>
  <c r="W18" i="17"/>
  <c r="L14" i="9"/>
  <c r="P14" i="9" s="1"/>
  <c r="J624" i="28"/>
  <c r="O333" i="1"/>
  <c r="O334" i="1" s="1"/>
  <c r="AM32" i="13"/>
  <c r="AM35" i="13"/>
  <c r="AM33" i="13"/>
  <c r="K50" i="60"/>
  <c r="K48" i="60"/>
  <c r="J173" i="28"/>
  <c r="L29" i="9"/>
  <c r="P29" i="9" s="1"/>
  <c r="L45" i="60"/>
  <c r="O115" i="1"/>
  <c r="O116" i="1" s="1"/>
  <c r="K337" i="13"/>
  <c r="H116" i="9"/>
  <c r="H117" i="9" s="1"/>
  <c r="K338" i="13"/>
  <c r="AP331" i="1"/>
  <c r="AP3" i="1"/>
  <c r="AP4" i="1" s="1"/>
  <c r="AP5" i="13" s="1"/>
  <c r="AP500" i="1"/>
  <c r="AP506" i="1"/>
  <c r="AP256" i="1"/>
  <c r="AP397" i="1"/>
  <c r="AP73" i="1"/>
  <c r="AP318" i="1"/>
  <c r="AP288" i="1"/>
  <c r="AP196" i="1"/>
  <c r="AP153" i="1"/>
  <c r="AC134" i="13"/>
  <c r="AC193" i="13"/>
  <c r="R50" i="60"/>
  <c r="L356" i="28"/>
  <c r="L355" i="28" s="1"/>
  <c r="O356" i="28"/>
  <c r="O355" i="28" s="1"/>
  <c r="M356" i="28"/>
  <c r="M355" i="28" s="1"/>
  <c r="H356" i="28"/>
  <c r="H355" i="28" s="1"/>
  <c r="J199" i="13"/>
  <c r="AP198" i="13"/>
  <c r="G73" i="9"/>
  <c r="J387" i="13"/>
  <c r="J69" i="3"/>
  <c r="G136" i="60"/>
  <c r="G144" i="9"/>
  <c r="G72" i="60"/>
  <c r="F2" i="26"/>
  <c r="F3" i="26" s="1"/>
  <c r="J4" i="13"/>
  <c r="J8" i="13"/>
  <c r="G135" i="60"/>
  <c r="G160" i="60"/>
  <c r="G71" i="60"/>
  <c r="J72" i="3"/>
  <c r="J4" i="3" s="1"/>
  <c r="G47" i="9"/>
  <c r="G7" i="9" s="1"/>
  <c r="AN35" i="13"/>
  <c r="AN32" i="13"/>
  <c r="AN33" i="13"/>
  <c r="R36" i="60"/>
  <c r="AL126" i="13"/>
  <c r="AL130" i="13"/>
  <c r="AL120" i="13"/>
  <c r="J218" i="28"/>
  <c r="L32" i="9"/>
  <c r="P32" i="9" s="1"/>
  <c r="L41" i="60"/>
  <c r="O107" i="1"/>
  <c r="O108" i="1" s="1"/>
  <c r="E222" i="9"/>
  <c r="H103" i="3"/>
  <c r="E242" i="9" s="1"/>
  <c r="P60" i="1"/>
  <c r="Q59" i="1"/>
  <c r="P54" i="1"/>
  <c r="AB193" i="13"/>
  <c r="AB134" i="13"/>
  <c r="AL149" i="13"/>
  <c r="AL150" i="13" s="1"/>
  <c r="AL148" i="13"/>
  <c r="M48" i="38"/>
  <c r="M49" i="38" s="1"/>
  <c r="J34" i="9"/>
  <c r="M151" i="1"/>
  <c r="AN397" i="13"/>
  <c r="AN60" i="13" s="1"/>
  <c r="AN62" i="13" s="1"/>
  <c r="AF134" i="13"/>
  <c r="D18" i="17"/>
  <c r="X18" i="17"/>
  <c r="AE18" i="17" s="1"/>
  <c r="I193" i="13"/>
  <c r="F171" i="9"/>
  <c r="I134" i="13"/>
  <c r="I136" i="13" s="1"/>
  <c r="F164" i="60"/>
  <c r="P185" i="13"/>
  <c r="M173" i="9"/>
  <c r="L194" i="1"/>
  <c r="I36" i="9"/>
  <c r="AD148" i="13"/>
  <c r="AD149" i="13"/>
  <c r="AD150" i="13" s="1"/>
  <c r="T404" i="28"/>
  <c r="L401" i="28" s="1"/>
  <c r="L400" i="28" s="1"/>
  <c r="T400" i="28"/>
  <c r="S400" i="28"/>
  <c r="U400" i="28"/>
  <c r="M174" i="1"/>
  <c r="AB38" i="17"/>
  <c r="AI38" i="17" s="1"/>
  <c r="H338" i="28"/>
  <c r="J87" i="60"/>
  <c r="AO9" i="13"/>
  <c r="AI133" i="13"/>
  <c r="AI131" i="13"/>
  <c r="O70" i="1"/>
  <c r="L25" i="60"/>
  <c r="J68" i="28"/>
  <c r="L23" i="9"/>
  <c r="P23" i="9" s="1"/>
  <c r="O55" i="1"/>
  <c r="O56" i="1" s="1"/>
  <c r="P82" i="1"/>
  <c r="Q87" i="1"/>
  <c r="P88" i="1"/>
  <c r="K669" i="28"/>
  <c r="P519" i="1"/>
  <c r="Q518" i="1"/>
  <c r="P502" i="1"/>
  <c r="P521" i="1" s="1"/>
  <c r="H446" i="13"/>
  <c r="H444" i="13"/>
  <c r="P80" i="1"/>
  <c r="Q79" i="1"/>
  <c r="P74" i="1"/>
  <c r="P203" i="1"/>
  <c r="Q202" i="1"/>
  <c r="P197" i="1"/>
  <c r="P249" i="1" s="1"/>
  <c r="J113" i="9"/>
  <c r="M328" i="13"/>
  <c r="N327" i="13"/>
  <c r="E744" i="28"/>
  <c r="E746" i="28" s="1"/>
  <c r="G232" i="60"/>
  <c r="G235" i="60" s="1"/>
  <c r="AN37" i="13"/>
  <c r="AN38" i="13"/>
  <c r="K66" i="60"/>
  <c r="K64" i="60"/>
  <c r="H183" i="60"/>
  <c r="L174" i="9"/>
  <c r="P173" i="9"/>
  <c r="AO38" i="13"/>
  <c r="AO37" i="13"/>
  <c r="Q309" i="1"/>
  <c r="P310" i="1"/>
  <c r="P304" i="1"/>
  <c r="J443" i="28"/>
  <c r="J504" i="28" s="1"/>
  <c r="O258" i="1"/>
  <c r="O259" i="1" s="1"/>
  <c r="I99" i="28"/>
  <c r="M180" i="13"/>
  <c r="I384" i="28"/>
  <c r="R32" i="60"/>
  <c r="J120" i="9"/>
  <c r="J121" i="9" s="1"/>
  <c r="M353" i="13"/>
  <c r="M351" i="13"/>
  <c r="R66" i="60"/>
  <c r="AE133" i="13"/>
  <c r="AE134" i="13" s="1"/>
  <c r="AE131" i="13"/>
  <c r="I219" i="28"/>
  <c r="I699" i="28"/>
  <c r="I700" i="28" s="1"/>
  <c r="I625" i="28"/>
  <c r="J670" i="28"/>
  <c r="O325" i="13"/>
  <c r="O339" i="13" s="1"/>
  <c r="O503" i="1"/>
  <c r="O504" i="1" s="1"/>
  <c r="J36" i="28"/>
  <c r="L5" i="9"/>
  <c r="L65" i="60"/>
  <c r="I446" i="13"/>
  <c r="I444" i="13"/>
  <c r="AO35" i="13"/>
  <c r="AO32" i="13"/>
  <c r="AO33" i="13"/>
  <c r="D193" i="28"/>
  <c r="C192" i="28"/>
  <c r="C194" i="28" s="1"/>
  <c r="C195" i="28" s="1"/>
  <c r="C196" i="28" s="1"/>
  <c r="AM37" i="13"/>
  <c r="AM38" i="13"/>
  <c r="AM60" i="13"/>
  <c r="R30" i="60"/>
  <c r="L336" i="13"/>
  <c r="L368" i="13" s="1"/>
  <c r="I114" i="9"/>
  <c r="J158" i="28"/>
  <c r="L26" i="9"/>
  <c r="P26" i="9" s="1"/>
  <c r="O91" i="1"/>
  <c r="O92" i="1" s="1"/>
  <c r="J83" i="28"/>
  <c r="L24" i="9"/>
  <c r="P24" i="9" s="1"/>
  <c r="L29" i="60"/>
  <c r="O63" i="1"/>
  <c r="O64" i="1" s="1"/>
  <c r="Q159" i="1"/>
  <c r="P160" i="1"/>
  <c r="P154" i="1"/>
  <c r="R40" i="60"/>
  <c r="G288" i="60"/>
  <c r="G185" i="9"/>
  <c r="J62" i="3"/>
  <c r="J135" i="3"/>
  <c r="I505" i="28"/>
  <c r="I444" i="28"/>
  <c r="Q377" i="1"/>
  <c r="P378" i="1"/>
  <c r="P372" i="1"/>
  <c r="AH133" i="13"/>
  <c r="I204" i="28"/>
  <c r="AG134" i="13"/>
  <c r="E18" i="17"/>
  <c r="R46" i="60"/>
  <c r="O249" i="1"/>
  <c r="O250" i="1" s="1"/>
  <c r="J233" i="28"/>
  <c r="O123" i="1"/>
  <c r="O124" i="1" s="1"/>
  <c r="J239" i="9"/>
  <c r="M100" i="3"/>
  <c r="AP197" i="13"/>
  <c r="AP3" i="13"/>
  <c r="R24" i="60"/>
  <c r="P356" i="28"/>
  <c r="P355" i="28" s="1"/>
  <c r="K356" i="28"/>
  <c r="K355" i="28" s="1"/>
  <c r="J356" i="28"/>
  <c r="J355" i="28" s="1"/>
  <c r="R20" i="60"/>
  <c r="J225" i="13"/>
  <c r="J223" i="13"/>
  <c r="AP221" i="13"/>
  <c r="J31" i="13"/>
  <c r="G80" i="9"/>
  <c r="G81" i="9" s="1"/>
  <c r="I655" i="28"/>
  <c r="I234" i="28"/>
  <c r="AJ134" i="13"/>
  <c r="AJ136" i="13" s="1"/>
  <c r="D164" i="60" l="1"/>
  <c r="V18" i="17"/>
  <c r="G134" i="13"/>
  <c r="G136" i="13" s="1"/>
  <c r="H134" i="13"/>
  <c r="H136" i="13" s="1"/>
  <c r="G761" i="28"/>
  <c r="P394" i="1"/>
  <c r="AO210" i="13"/>
  <c r="AO241" i="13"/>
  <c r="AO242" i="13" s="1"/>
  <c r="AN210" i="13"/>
  <c r="AO243" i="13"/>
  <c r="AN243" i="13"/>
  <c r="AO209" i="13"/>
  <c r="AN209" i="13"/>
  <c r="D475" i="28"/>
  <c r="D477" i="28" s="1"/>
  <c r="D479" i="28" s="1"/>
  <c r="D480" i="28" s="1"/>
  <c r="D481" i="28" s="1"/>
  <c r="C476" i="28"/>
  <c r="AO308" i="13"/>
  <c r="AO309" i="13" s="1"/>
  <c r="E477" i="28"/>
  <c r="E479" i="28" s="1"/>
  <c r="E480" i="28" s="1"/>
  <c r="M479" i="28"/>
  <c r="M480" i="28" s="1"/>
  <c r="Q479" i="28"/>
  <c r="Q480" i="28" s="1"/>
  <c r="O479" i="28"/>
  <c r="O480" i="28" s="1"/>
  <c r="F479" i="28"/>
  <c r="F480" i="28" s="1"/>
  <c r="N479" i="28"/>
  <c r="N480" i="28" s="1"/>
  <c r="L479" i="28"/>
  <c r="L480" i="28" s="1"/>
  <c r="J479" i="28"/>
  <c r="J480" i="28" s="1"/>
  <c r="P479" i="28"/>
  <c r="P480" i="28" s="1"/>
  <c r="K479" i="28"/>
  <c r="K480" i="28" s="1"/>
  <c r="I476" i="28"/>
  <c r="I475" i="28" s="1"/>
  <c r="H475" i="28"/>
  <c r="G477" i="28"/>
  <c r="G369" i="28"/>
  <c r="AN65" i="13"/>
  <c r="AO278" i="13"/>
  <c r="J69" i="13"/>
  <c r="J75" i="13"/>
  <c r="J77" i="13" s="1"/>
  <c r="G446" i="13"/>
  <c r="J382" i="13"/>
  <c r="J390" i="13"/>
  <c r="J391" i="13" s="1"/>
  <c r="J397" i="13" s="1"/>
  <c r="J60" i="13" s="1"/>
  <c r="J72" i="13"/>
  <c r="J74" i="13" s="1"/>
  <c r="AO321" i="13"/>
  <c r="AO322" i="13" s="1"/>
  <c r="AO23" i="13"/>
  <c r="AO25" i="13"/>
  <c r="AO22" i="13"/>
  <c r="AP290" i="13"/>
  <c r="AP291" i="13"/>
  <c r="AP293" i="13"/>
  <c r="AP273" i="13"/>
  <c r="I60" i="60"/>
  <c r="I62" i="60"/>
  <c r="P441" i="1"/>
  <c r="O442" i="1"/>
  <c r="L269" i="13"/>
  <c r="K270" i="13"/>
  <c r="H93" i="9"/>
  <c r="K296" i="13"/>
  <c r="H102" i="9"/>
  <c r="H103" i="9" s="1"/>
  <c r="K298" i="13"/>
  <c r="K288" i="13"/>
  <c r="H98" i="9"/>
  <c r="H99" i="9" s="1"/>
  <c r="AP283" i="13"/>
  <c r="AP66" i="13" s="1"/>
  <c r="AP280" i="13"/>
  <c r="L271" i="13"/>
  <c r="H95" i="9"/>
  <c r="L279" i="13"/>
  <c r="L283" i="13" s="1"/>
  <c r="L289" i="13"/>
  <c r="L294" i="13"/>
  <c r="I92" i="9"/>
  <c r="L284" i="13"/>
  <c r="L272" i="13"/>
  <c r="L275" i="13" s="1"/>
  <c r="L268" i="13"/>
  <c r="Q497" i="1"/>
  <c r="AP21" i="13"/>
  <c r="AP23" i="13" s="1"/>
  <c r="P444" i="1"/>
  <c r="O445" i="1"/>
  <c r="AN321" i="13"/>
  <c r="AN322" i="13" s="1"/>
  <c r="O451" i="1"/>
  <c r="O449" i="1"/>
  <c r="P448" i="1"/>
  <c r="N424" i="1"/>
  <c r="N452" i="1"/>
  <c r="J23" i="13"/>
  <c r="J25" i="13"/>
  <c r="J491" i="28"/>
  <c r="J490" i="28" s="1"/>
  <c r="J492" i="28" s="1"/>
  <c r="J494" i="28" s="1"/>
  <c r="J495" i="28" s="1"/>
  <c r="T493" i="28"/>
  <c r="P491" i="28" s="1"/>
  <c r="P490" i="28" s="1"/>
  <c r="P492" i="28" s="1"/>
  <c r="P494" i="28" s="1"/>
  <c r="P495" i="28" s="1"/>
  <c r="T495" i="28"/>
  <c r="U495" i="28" s="1"/>
  <c r="J308" i="13"/>
  <c r="G96" i="9"/>
  <c r="G97" i="9" s="1"/>
  <c r="J278" i="13"/>
  <c r="J277" i="13"/>
  <c r="J321" i="13"/>
  <c r="AN72" i="13"/>
  <c r="AN74" i="13" s="1"/>
  <c r="AO72" i="13"/>
  <c r="AO74" i="13" s="1"/>
  <c r="AN23" i="13"/>
  <c r="AN25" i="13"/>
  <c r="AN22" i="13"/>
  <c r="AN308" i="13"/>
  <c r="AN277" i="13"/>
  <c r="AN278" i="13"/>
  <c r="M267" i="13"/>
  <c r="M425" i="1"/>
  <c r="M426" i="1" s="1"/>
  <c r="H53" i="28"/>
  <c r="H54" i="28" s="1"/>
  <c r="J61" i="60"/>
  <c r="AB6" i="17"/>
  <c r="AI6" i="17" s="1"/>
  <c r="J4" i="9"/>
  <c r="H100" i="9"/>
  <c r="H101" i="9" s="1"/>
  <c r="K293" i="13"/>
  <c r="K291" i="13"/>
  <c r="AP295" i="13"/>
  <c r="AP296" i="13"/>
  <c r="AP298" i="13"/>
  <c r="AP276" i="13"/>
  <c r="AP285" i="13"/>
  <c r="AP286" i="13"/>
  <c r="AP288" i="13"/>
  <c r="M383" i="13"/>
  <c r="L215" i="13"/>
  <c r="AN435" i="13"/>
  <c r="O343" i="13"/>
  <c r="O341" i="13"/>
  <c r="J208" i="13"/>
  <c r="J240" i="13" s="1"/>
  <c r="J260" i="13"/>
  <c r="K198" i="13"/>
  <c r="K199" i="13" s="1"/>
  <c r="K211" i="13"/>
  <c r="H242" i="60"/>
  <c r="K454" i="1"/>
  <c r="I259" i="60"/>
  <c r="L454" i="1"/>
  <c r="Q523" i="1"/>
  <c r="P525" i="1"/>
  <c r="D155" i="60"/>
  <c r="D156" i="60" s="1"/>
  <c r="G296" i="28"/>
  <c r="G295" i="28" s="1"/>
  <c r="G297" i="28" s="1"/>
  <c r="G299" i="28" s="1"/>
  <c r="G300" i="28" s="1"/>
  <c r="J6" i="13"/>
  <c r="J23" i="3"/>
  <c r="J65" i="3" s="1"/>
  <c r="G221" i="9" s="1"/>
  <c r="P296" i="28"/>
  <c r="P295" i="28" s="1"/>
  <c r="S684" i="28"/>
  <c r="T690" i="28" s="1"/>
  <c r="F8" i="28"/>
  <c r="T128" i="28" s="1"/>
  <c r="T133" i="28" s="1"/>
  <c r="T250" i="28"/>
  <c r="T248" i="28"/>
  <c r="T253" i="28" s="1"/>
  <c r="O251" i="28" s="1"/>
  <c r="O250" i="28" s="1"/>
  <c r="S250" i="28"/>
  <c r="T254" i="28"/>
  <c r="U130" i="28"/>
  <c r="T130" i="28"/>
  <c r="S130" i="28"/>
  <c r="T134" i="28"/>
  <c r="S519" i="28"/>
  <c r="S581" i="28"/>
  <c r="T581" i="28"/>
  <c r="T585" i="28"/>
  <c r="U581" i="28"/>
  <c r="T579" i="28"/>
  <c r="L196" i="1"/>
  <c r="F16" i="28"/>
  <c r="T428" i="28" s="1"/>
  <c r="S428" i="28"/>
  <c r="AM262" i="13"/>
  <c r="Q729" i="28"/>
  <c r="E23" i="28" s="1"/>
  <c r="L115" i="28"/>
  <c r="L117" i="28" s="1"/>
  <c r="L119" i="28" s="1"/>
  <c r="L120" i="28" s="1"/>
  <c r="K116" i="28"/>
  <c r="G401" i="28"/>
  <c r="G400" i="28" s="1"/>
  <c r="G402" i="28" s="1"/>
  <c r="G404" i="28" s="1"/>
  <c r="G405" i="28" s="1"/>
  <c r="P250" i="1"/>
  <c r="K200" i="13"/>
  <c r="H75" i="9" s="1"/>
  <c r="L38" i="1"/>
  <c r="E172" i="9"/>
  <c r="Q402" i="28"/>
  <c r="Q404" i="28" s="1"/>
  <c r="Q405" i="28" s="1"/>
  <c r="AP8" i="13"/>
  <c r="AP4" i="13"/>
  <c r="AO261" i="13"/>
  <c r="AO262" i="13"/>
  <c r="F12" i="26"/>
  <c r="F13" i="26" s="1"/>
  <c r="J136" i="3"/>
  <c r="F11" i="26" s="1"/>
  <c r="Q160" i="1"/>
  <c r="Q154" i="1"/>
  <c r="J84" i="28"/>
  <c r="J37" i="28"/>
  <c r="Q80" i="1"/>
  <c r="Q74" i="1"/>
  <c r="O357" i="28"/>
  <c r="O359" i="28" s="1"/>
  <c r="O360" i="28" s="1"/>
  <c r="L38" i="60"/>
  <c r="L36" i="60"/>
  <c r="Q120" i="1"/>
  <c r="Q114" i="1"/>
  <c r="AN262" i="13"/>
  <c r="AN261" i="13"/>
  <c r="Q96" i="1"/>
  <c r="Q90" i="1"/>
  <c r="AD131" i="13"/>
  <c r="AD133" i="13"/>
  <c r="L32" i="60"/>
  <c r="L34" i="60"/>
  <c r="P401" i="28"/>
  <c r="P400" i="28" s="1"/>
  <c r="L402" i="28"/>
  <c r="L404" i="28" s="1"/>
  <c r="L405" i="28" s="1"/>
  <c r="O140" i="13"/>
  <c r="O159" i="3"/>
  <c r="O141" i="13" s="1"/>
  <c r="L169" i="9" s="1"/>
  <c r="P169" i="9" s="1"/>
  <c r="O117" i="3"/>
  <c r="O94" i="3"/>
  <c r="D242" i="9"/>
  <c r="G105" i="3"/>
  <c r="J35" i="13"/>
  <c r="J33" i="13"/>
  <c r="J32" i="13"/>
  <c r="G150" i="9"/>
  <c r="G151" i="9" s="1"/>
  <c r="G56" i="9"/>
  <c r="G57" i="9" s="1"/>
  <c r="P357" i="28"/>
  <c r="P359" i="28" s="1"/>
  <c r="P360" i="28" s="1"/>
  <c r="Q372" i="1"/>
  <c r="Q378" i="1"/>
  <c r="G220" i="9"/>
  <c r="I116" i="9"/>
  <c r="I117" i="9" s="1"/>
  <c r="L337" i="13"/>
  <c r="L338" i="13"/>
  <c r="AM401" i="13"/>
  <c r="AM423" i="13" s="1"/>
  <c r="AM13" i="13"/>
  <c r="O286" i="1"/>
  <c r="L42" i="9"/>
  <c r="P42" i="9" s="1"/>
  <c r="E748" i="28"/>
  <c r="E750" i="28" s="1"/>
  <c r="E751" i="28" s="1"/>
  <c r="M336" i="13"/>
  <c r="M368" i="13" s="1"/>
  <c r="J114" i="9"/>
  <c r="Q519" i="1"/>
  <c r="Q502" i="1"/>
  <c r="Q521" i="1" s="1"/>
  <c r="G18" i="17"/>
  <c r="AI134" i="13"/>
  <c r="AI136" i="13" s="1"/>
  <c r="M194" i="1"/>
  <c r="J36" i="9"/>
  <c r="P186" i="13"/>
  <c r="AN401" i="13"/>
  <c r="AN13" i="13"/>
  <c r="M34" i="1"/>
  <c r="M51" i="38"/>
  <c r="O173" i="1" s="1"/>
  <c r="Q54" i="1"/>
  <c r="Q60" i="1"/>
  <c r="J9" i="13"/>
  <c r="L357" i="28"/>
  <c r="L359" i="28" s="1"/>
  <c r="L360" i="28" s="1"/>
  <c r="J174" i="28"/>
  <c r="O395" i="1"/>
  <c r="E165" i="60"/>
  <c r="E155" i="60"/>
  <c r="E163" i="60"/>
  <c r="J370" i="13"/>
  <c r="E39" i="28"/>
  <c r="E38" i="28" s="1"/>
  <c r="L458" i="28"/>
  <c r="J204" i="28"/>
  <c r="AP10" i="13"/>
  <c r="AP202" i="13"/>
  <c r="AP57" i="13" s="1"/>
  <c r="AP59" i="13"/>
  <c r="N458" i="13"/>
  <c r="N457" i="13"/>
  <c r="K168" i="9"/>
  <c r="O168" i="9" s="1"/>
  <c r="N184" i="13"/>
  <c r="N357" i="28"/>
  <c r="N359" i="28" s="1"/>
  <c r="N360" i="28" s="1"/>
  <c r="G447" i="13"/>
  <c r="G445" i="13"/>
  <c r="O21" i="38"/>
  <c r="O23" i="38" s="1"/>
  <c r="O25" i="38" s="1"/>
  <c r="O30" i="38" s="1"/>
  <c r="O43" i="38" s="1"/>
  <c r="O46" i="38" s="1"/>
  <c r="P18" i="38"/>
  <c r="S549" i="28"/>
  <c r="K414" i="28"/>
  <c r="J535" i="28"/>
  <c r="J594" i="28"/>
  <c r="J595" i="28" s="1"/>
  <c r="J38" i="13"/>
  <c r="G152" i="9"/>
  <c r="G153" i="9" s="1"/>
  <c r="J37" i="13"/>
  <c r="G59" i="9"/>
  <c r="G60" i="9" s="1"/>
  <c r="P160" i="3"/>
  <c r="P157" i="3"/>
  <c r="Q151" i="3"/>
  <c r="Q155" i="3" s="1"/>
  <c r="H129" i="9"/>
  <c r="K233" i="28"/>
  <c r="P123" i="1"/>
  <c r="P124" i="1" s="1"/>
  <c r="Q214" i="1"/>
  <c r="K654" i="28"/>
  <c r="P349" i="1"/>
  <c r="P350" i="1" s="1"/>
  <c r="N151" i="1"/>
  <c r="K34" i="9"/>
  <c r="O34" i="9" s="1"/>
  <c r="R150" i="1"/>
  <c r="L50" i="60"/>
  <c r="L48" i="60"/>
  <c r="J384" i="28"/>
  <c r="I43" i="9"/>
  <c r="N356" i="13"/>
  <c r="N358" i="13"/>
  <c r="K122" i="9"/>
  <c r="Q304" i="1"/>
  <c r="Q310" i="1"/>
  <c r="N328" i="13"/>
  <c r="K113" i="9"/>
  <c r="O327" i="13"/>
  <c r="K670" i="28"/>
  <c r="P70" i="1"/>
  <c r="M23" i="9"/>
  <c r="K68" i="28"/>
  <c r="P55" i="1"/>
  <c r="P56" i="1" s="1"/>
  <c r="L40" i="60"/>
  <c r="L42" i="60"/>
  <c r="AM62" i="13"/>
  <c r="AM65" i="13" s="1"/>
  <c r="AM86" i="13" s="1"/>
  <c r="AM118" i="13" s="1"/>
  <c r="AM125" i="13" s="1"/>
  <c r="AM63" i="13"/>
  <c r="AM81" i="13" s="1"/>
  <c r="G224" i="9"/>
  <c r="J82" i="3"/>
  <c r="K369" i="13"/>
  <c r="K381" i="13"/>
  <c r="K382" i="13" s="1"/>
  <c r="K371" i="13"/>
  <c r="Z10" i="17"/>
  <c r="H125" i="9"/>
  <c r="H126" i="9" s="1"/>
  <c r="O714" i="28"/>
  <c r="Q112" i="1"/>
  <c r="Q106" i="1"/>
  <c r="AP230" i="13"/>
  <c r="AP36" i="13"/>
  <c r="AP228" i="13"/>
  <c r="AP227" i="13"/>
  <c r="AP40" i="13"/>
  <c r="K118" i="9"/>
  <c r="N348" i="13"/>
  <c r="AP225" i="13"/>
  <c r="AP223" i="13"/>
  <c r="AP222" i="13"/>
  <c r="AP31" i="13"/>
  <c r="J240" i="9"/>
  <c r="J234" i="28"/>
  <c r="P155" i="1"/>
  <c r="P156" i="1" s="1"/>
  <c r="K278" i="28"/>
  <c r="M35" i="9"/>
  <c r="L30" i="60"/>
  <c r="L28" i="60"/>
  <c r="J159" i="28"/>
  <c r="E193" i="28"/>
  <c r="D192" i="28"/>
  <c r="D194" i="28" s="1"/>
  <c r="D195" i="28" s="1"/>
  <c r="D196" i="28" s="1"/>
  <c r="L64" i="60"/>
  <c r="L66" i="60"/>
  <c r="O354" i="13"/>
  <c r="O344" i="13"/>
  <c r="L112" i="9"/>
  <c r="P112" i="9" s="1"/>
  <c r="O330" i="13"/>
  <c r="O333" i="13" s="1"/>
  <c r="O349" i="13"/>
  <c r="O326" i="13"/>
  <c r="K534" i="28"/>
  <c r="M16" i="9"/>
  <c r="P305" i="1"/>
  <c r="P306" i="1" s="1"/>
  <c r="P315" i="1"/>
  <c r="F744" i="28"/>
  <c r="K383" i="28"/>
  <c r="M37" i="9"/>
  <c r="P253" i="1"/>
  <c r="P198" i="1"/>
  <c r="P199" i="1" s="1"/>
  <c r="L669" i="28"/>
  <c r="Q88" i="1"/>
  <c r="Q82" i="1"/>
  <c r="J69" i="28"/>
  <c r="J184" i="60"/>
  <c r="J86" i="60"/>
  <c r="F172" i="9"/>
  <c r="J219" i="28"/>
  <c r="G6" i="9"/>
  <c r="G11" i="9"/>
  <c r="G10" i="9"/>
  <c r="G9" i="9"/>
  <c r="G151" i="60"/>
  <c r="H357" i="28"/>
  <c r="H359" i="28" s="1"/>
  <c r="H360" i="28" s="1"/>
  <c r="AO401" i="13"/>
  <c r="AO13" i="13"/>
  <c r="J655" i="28"/>
  <c r="Y16" i="17"/>
  <c r="AF10" i="17"/>
  <c r="Q346" i="1"/>
  <c r="Q340" i="1"/>
  <c r="Q16" i="38"/>
  <c r="P32" i="38"/>
  <c r="P34" i="38" s="1"/>
  <c r="P36" i="38" s="1"/>
  <c r="P41" i="38" s="1"/>
  <c r="L323" i="28"/>
  <c r="Q365" i="1"/>
  <c r="P498" i="1"/>
  <c r="P258" i="1"/>
  <c r="P259" i="1" s="1"/>
  <c r="K443" i="28"/>
  <c r="K504" i="28" s="1"/>
  <c r="I103" i="3"/>
  <c r="F242" i="9" s="1"/>
  <c r="F222" i="9"/>
  <c r="AP218" i="13"/>
  <c r="AP217" i="13"/>
  <c r="AP220" i="13"/>
  <c r="AP26" i="13"/>
  <c r="I357" i="28"/>
  <c r="I359" i="28" s="1"/>
  <c r="I360" i="28" s="1"/>
  <c r="AH150" i="13"/>
  <c r="AM209" i="13"/>
  <c r="AM210" i="13"/>
  <c r="N48" i="38"/>
  <c r="N49" i="38" s="1"/>
  <c r="J99" i="28"/>
  <c r="P99" i="1"/>
  <c r="P100" i="1" s="1"/>
  <c r="K203" i="28"/>
  <c r="M31" i="9"/>
  <c r="J263" i="28"/>
  <c r="J264" i="28" s="1"/>
  <c r="J144" i="28"/>
  <c r="M401" i="28"/>
  <c r="O316" i="1"/>
  <c r="L22" i="9"/>
  <c r="P22" i="9" s="1"/>
  <c r="P107" i="1"/>
  <c r="P108" i="1" s="1"/>
  <c r="K218" i="28"/>
  <c r="M32" i="9"/>
  <c r="H255" i="60"/>
  <c r="H273" i="60"/>
  <c r="H240" i="60"/>
  <c r="H253" i="60"/>
  <c r="H268" i="60"/>
  <c r="H283" i="60"/>
  <c r="H250" i="60"/>
  <c r="H269" i="60"/>
  <c r="H258" i="60"/>
  <c r="H248" i="60"/>
  <c r="H252" i="60"/>
  <c r="H278" i="60"/>
  <c r="H241" i="60"/>
  <c r="H256" i="60"/>
  <c r="H274" i="60"/>
  <c r="H287" i="60"/>
  <c r="H257" i="60"/>
  <c r="H276" i="60"/>
  <c r="H243" i="60"/>
  <c r="H262" i="60"/>
  <c r="H277" i="60"/>
  <c r="H266" i="60"/>
  <c r="K10" i="3"/>
  <c r="H263" i="60"/>
  <c r="H282" i="60"/>
  <c r="H245" i="60"/>
  <c r="H260" i="60"/>
  <c r="H275" i="60"/>
  <c r="H261" i="60"/>
  <c r="H280" i="60"/>
  <c r="H247" i="60"/>
  <c r="H270" i="60"/>
  <c r="H281" i="60"/>
  <c r="Z7" i="17"/>
  <c r="AG7" i="17" s="1"/>
  <c r="K12" i="3"/>
  <c r="H267" i="60"/>
  <c r="H286" i="60"/>
  <c r="H249" i="60"/>
  <c r="H264" i="60"/>
  <c r="H279" i="60"/>
  <c r="H246" i="60"/>
  <c r="H265" i="60"/>
  <c r="H284" i="60"/>
  <c r="H251" i="60"/>
  <c r="H285" i="60"/>
  <c r="H239" i="60"/>
  <c r="H244" i="60"/>
  <c r="K3" i="1"/>
  <c r="K4" i="1" s="1"/>
  <c r="K5" i="13" s="1"/>
  <c r="K20" i="3"/>
  <c r="H272" i="60"/>
  <c r="H238" i="60"/>
  <c r="K331" i="1"/>
  <c r="H230" i="60"/>
  <c r="H226" i="60"/>
  <c r="H223" i="60"/>
  <c r="H225" i="60"/>
  <c r="H233" i="60"/>
  <c r="H234" i="60" s="1"/>
  <c r="H229" i="60"/>
  <c r="H228" i="60"/>
  <c r="H231" i="60"/>
  <c r="H227" i="60"/>
  <c r="K500" i="1"/>
  <c r="K506" i="1"/>
  <c r="H224" i="60"/>
  <c r="K397" i="1"/>
  <c r="K288" i="1"/>
  <c r="K73" i="1"/>
  <c r="K256" i="1"/>
  <c r="K318" i="1"/>
  <c r="K428" i="1"/>
  <c r="K153" i="1"/>
  <c r="K196" i="1"/>
  <c r="H259" i="60"/>
  <c r="K216" i="13"/>
  <c r="K226" i="13"/>
  <c r="K221" i="13"/>
  <c r="K203" i="13"/>
  <c r="K3" i="13"/>
  <c r="H72" i="9"/>
  <c r="K197" i="13"/>
  <c r="Q122" i="1"/>
  <c r="Q128" i="1"/>
  <c r="J610" i="28"/>
  <c r="P63" i="1"/>
  <c r="P64" i="1" s="1"/>
  <c r="K83" i="28"/>
  <c r="M24" i="9"/>
  <c r="L22" i="60"/>
  <c r="L20" i="60"/>
  <c r="I270" i="60"/>
  <c r="I285" i="60"/>
  <c r="I252" i="60"/>
  <c r="I267" i="60"/>
  <c r="I286" i="60"/>
  <c r="I249" i="60"/>
  <c r="I260" i="60"/>
  <c r="I275" i="60"/>
  <c r="I238" i="60"/>
  <c r="I247" i="60"/>
  <c r="I280" i="60"/>
  <c r="L3" i="1"/>
  <c r="L4" i="1" s="1"/>
  <c r="L5" i="13" s="1"/>
  <c r="I258" i="60"/>
  <c r="I272" i="60"/>
  <c r="I239" i="60"/>
  <c r="I255" i="60"/>
  <c r="I273" i="60"/>
  <c r="I240" i="60"/>
  <c r="I253" i="60"/>
  <c r="I264" i="60"/>
  <c r="I279" i="60"/>
  <c r="I246" i="60"/>
  <c r="I251" i="60"/>
  <c r="I265" i="60"/>
  <c r="L10" i="3"/>
  <c r="I262" i="60"/>
  <c r="I277" i="60"/>
  <c r="I244" i="60"/>
  <c r="I278" i="60"/>
  <c r="I241" i="60"/>
  <c r="I261" i="60"/>
  <c r="I268" i="60"/>
  <c r="I283" i="60"/>
  <c r="I250" i="60"/>
  <c r="I243" i="60"/>
  <c r="I276" i="60"/>
  <c r="AA7" i="17"/>
  <c r="AH7" i="17" s="1"/>
  <c r="L12" i="3"/>
  <c r="I266" i="60"/>
  <c r="I281" i="60"/>
  <c r="I248" i="60"/>
  <c r="I263" i="60"/>
  <c r="I282" i="60"/>
  <c r="I245" i="60"/>
  <c r="I256" i="60"/>
  <c r="I274" i="60"/>
  <c r="I287" i="60"/>
  <c r="I257" i="60"/>
  <c r="I284" i="60"/>
  <c r="I269" i="60"/>
  <c r="L20" i="3"/>
  <c r="L331" i="1"/>
  <c r="I230" i="60"/>
  <c r="I223" i="60"/>
  <c r="I225" i="60"/>
  <c r="L500" i="1"/>
  <c r="I228" i="60"/>
  <c r="I227" i="60"/>
  <c r="I224" i="60"/>
  <c r="L506" i="1"/>
  <c r="I229" i="60"/>
  <c r="I231" i="60"/>
  <c r="I233" i="60"/>
  <c r="I234" i="60" s="1"/>
  <c r="I226" i="60"/>
  <c r="L73" i="1"/>
  <c r="L318" i="1"/>
  <c r="L288" i="1"/>
  <c r="L428" i="1"/>
  <c r="L397" i="1"/>
  <c r="L256" i="1"/>
  <c r="L153" i="1"/>
  <c r="AN63" i="13"/>
  <c r="K357" i="28"/>
  <c r="K359" i="28" s="1"/>
  <c r="K360" i="28" s="1"/>
  <c r="F18" i="17"/>
  <c r="L384" i="13"/>
  <c r="I128" i="9"/>
  <c r="J505" i="28"/>
  <c r="J444" i="28"/>
  <c r="M5" i="9"/>
  <c r="P503" i="1"/>
  <c r="P504" i="1" s="1"/>
  <c r="K36" i="28"/>
  <c r="P325" i="13"/>
  <c r="P339" i="13" s="1"/>
  <c r="P343" i="13" s="1"/>
  <c r="O150" i="1"/>
  <c r="O71" i="1"/>
  <c r="O72" i="1" s="1"/>
  <c r="M174" i="9"/>
  <c r="N174" i="9"/>
  <c r="G74" i="9"/>
  <c r="K639" i="28"/>
  <c r="M15" i="9"/>
  <c r="P341" i="1"/>
  <c r="P342" i="1" s="1"/>
  <c r="J30" i="13"/>
  <c r="J27" i="13"/>
  <c r="J28" i="13"/>
  <c r="G53" i="9"/>
  <c r="G54" i="9" s="1"/>
  <c r="G148" i="9"/>
  <c r="G149" i="9" s="1"/>
  <c r="F357" i="28"/>
  <c r="F359" i="28" s="1"/>
  <c r="F360" i="28" s="1"/>
  <c r="N100" i="3"/>
  <c r="K239" i="9"/>
  <c r="T18" i="26"/>
  <c r="U18" i="26"/>
  <c r="H18" i="26"/>
  <c r="J18" i="26"/>
  <c r="R18" i="26"/>
  <c r="I18" i="26"/>
  <c r="H31" i="26"/>
  <c r="S18" i="26"/>
  <c r="K18" i="26"/>
  <c r="O18" i="26"/>
  <c r="W18" i="26"/>
  <c r="V18" i="26"/>
  <c r="L18" i="26"/>
  <c r="P18" i="26"/>
  <c r="G18" i="26"/>
  <c r="N18" i="26"/>
  <c r="M18" i="26"/>
  <c r="Q18" i="26"/>
  <c r="F18" i="26"/>
  <c r="H43" i="9"/>
  <c r="C355" i="28"/>
  <c r="D356" i="28"/>
  <c r="D355" i="28" s="1"/>
  <c r="Q332" i="1"/>
  <c r="Q338" i="1"/>
  <c r="Q348" i="1"/>
  <c r="Q354" i="1"/>
  <c r="J357" i="28"/>
  <c r="J359" i="28" s="1"/>
  <c r="J360" i="28" s="1"/>
  <c r="AH131" i="13"/>
  <c r="K609" i="28"/>
  <c r="P373" i="1"/>
  <c r="P374" i="1" s="1"/>
  <c r="G271" i="60"/>
  <c r="G254" i="60" s="1"/>
  <c r="I447" i="13"/>
  <c r="I445" i="13"/>
  <c r="P5" i="9"/>
  <c r="Q203" i="1"/>
  <c r="Q197" i="1"/>
  <c r="Q249" i="1" s="1"/>
  <c r="Q250" i="1" s="1"/>
  <c r="K98" i="28"/>
  <c r="M27" i="9"/>
  <c r="P75" i="1"/>
  <c r="P76" i="1" s="1"/>
  <c r="H447" i="13"/>
  <c r="H445" i="13"/>
  <c r="K143" i="28"/>
  <c r="P83" i="1"/>
  <c r="P84" i="1" s="1"/>
  <c r="M25" i="9"/>
  <c r="L24" i="60"/>
  <c r="L26" i="60"/>
  <c r="H339" i="28"/>
  <c r="H368" i="28"/>
  <c r="F169" i="60"/>
  <c r="F155" i="60"/>
  <c r="F165" i="60"/>
  <c r="F163" i="60"/>
  <c r="F170" i="60"/>
  <c r="AL131" i="13"/>
  <c r="AL133" i="13"/>
  <c r="G225" i="9"/>
  <c r="J138" i="3"/>
  <c r="J3" i="3"/>
  <c r="G143" i="60"/>
  <c r="G159" i="60" s="1"/>
  <c r="G144" i="60"/>
  <c r="G161" i="60" s="1"/>
  <c r="AP199" i="13"/>
  <c r="AP387" i="13"/>
  <c r="AP390" i="13" s="1"/>
  <c r="AP391" i="13" s="1"/>
  <c r="M357" i="28"/>
  <c r="M359" i="28" s="1"/>
  <c r="M360" i="28" s="1"/>
  <c r="L46" i="60"/>
  <c r="L44" i="60"/>
  <c r="J625" i="28"/>
  <c r="J699" i="28"/>
  <c r="J700" i="28" s="1"/>
  <c r="G127" i="9"/>
  <c r="AO60" i="13"/>
  <c r="K87" i="60"/>
  <c r="N174" i="1"/>
  <c r="AC38" i="17"/>
  <c r="AJ38" i="17" s="1"/>
  <c r="I338" i="28"/>
  <c r="K459" i="28"/>
  <c r="K324" i="28"/>
  <c r="N180" i="13"/>
  <c r="AP369" i="13"/>
  <c r="AP370" i="13" s="1"/>
  <c r="AP371" i="13"/>
  <c r="AP381" i="13"/>
  <c r="AP382" i="13" s="1"/>
  <c r="J640" i="28"/>
  <c r="Q489" i="1"/>
  <c r="Q263" i="1"/>
  <c r="Q257" i="1"/>
  <c r="Q279" i="1" s="1"/>
  <c r="Q280" i="1" s="1"/>
  <c r="AP207" i="13"/>
  <c r="AP204" i="13"/>
  <c r="G145" i="9"/>
  <c r="G48" i="9"/>
  <c r="O90" i="3"/>
  <c r="G357" i="28"/>
  <c r="G359" i="28" s="1"/>
  <c r="G360" i="28" s="1"/>
  <c r="M29" i="9"/>
  <c r="P115" i="1"/>
  <c r="P116" i="1" s="1"/>
  <c r="K173" i="28"/>
  <c r="J279" i="28"/>
  <c r="K158" i="28"/>
  <c r="P91" i="1"/>
  <c r="P92" i="1" s="1"/>
  <c r="M26" i="9"/>
  <c r="E253" i="28"/>
  <c r="D165" i="60"/>
  <c r="D163" i="60"/>
  <c r="Q222" i="1"/>
  <c r="L413" i="28"/>
  <c r="Q104" i="1"/>
  <c r="Q98" i="1"/>
  <c r="K401" i="28"/>
  <c r="F402" i="28"/>
  <c r="F404" i="28" s="1"/>
  <c r="F405" i="28" s="1"/>
  <c r="K38" i="1"/>
  <c r="Q357" i="28"/>
  <c r="Q359" i="28" s="1"/>
  <c r="Q360" i="28" s="1"/>
  <c r="K624" i="28"/>
  <c r="P333" i="1"/>
  <c r="P334" i="1" s="1"/>
  <c r="M14" i="9"/>
  <c r="O329" i="13"/>
  <c r="K115" i="9"/>
  <c r="Q68" i="1"/>
  <c r="Q62" i="1"/>
  <c r="O254" i="1"/>
  <c r="L38" i="9"/>
  <c r="P38" i="9" s="1"/>
  <c r="L221" i="13"/>
  <c r="L226" i="13"/>
  <c r="L216" i="13"/>
  <c r="L3" i="13"/>
  <c r="L203" i="13"/>
  <c r="L197" i="13"/>
  <c r="I72" i="9"/>
  <c r="I183" i="60"/>
  <c r="I242" i="60"/>
  <c r="N353" i="13"/>
  <c r="N351" i="13"/>
  <c r="K120" i="9"/>
  <c r="G76" i="9" l="1"/>
  <c r="G77" i="9" s="1"/>
  <c r="AP72" i="13"/>
  <c r="AP74" i="13" s="1"/>
  <c r="C475" i="28"/>
  <c r="C477" i="28" s="1"/>
  <c r="C479" i="28" s="1"/>
  <c r="C480" i="28" s="1"/>
  <c r="C481" i="28" s="1"/>
  <c r="B476" i="28"/>
  <c r="B475" i="28" s="1"/>
  <c r="B477" i="28" s="1"/>
  <c r="B479" i="28" s="1"/>
  <c r="B480" i="28" s="1"/>
  <c r="B481" i="28" s="1"/>
  <c r="Q394" i="1"/>
  <c r="H477" i="28"/>
  <c r="I477" i="28"/>
  <c r="L198" i="13"/>
  <c r="I73" i="9" s="1"/>
  <c r="G132" i="9"/>
  <c r="G479" i="28"/>
  <c r="G480" i="28" s="1"/>
  <c r="H761" i="28"/>
  <c r="K491" i="28"/>
  <c r="K490" i="28" s="1"/>
  <c r="K492" i="28" s="1"/>
  <c r="K494" i="28" s="1"/>
  <c r="K495" i="28" s="1"/>
  <c r="Q491" i="28"/>
  <c r="Q490" i="28" s="1"/>
  <c r="Q492" i="28" s="1"/>
  <c r="Q494" i="28" s="1"/>
  <c r="Q495" i="28" s="1"/>
  <c r="O491" i="28"/>
  <c r="O490" i="28" s="1"/>
  <c r="O492" i="28" s="1"/>
  <c r="O494" i="28" s="1"/>
  <c r="O495" i="28" s="1"/>
  <c r="I491" i="28"/>
  <c r="I490" i="28" s="1"/>
  <c r="I492" i="28" s="1"/>
  <c r="I494" i="28" s="1"/>
  <c r="I495" i="28" s="1"/>
  <c r="N491" i="28"/>
  <c r="N490" i="28" s="1"/>
  <c r="N492" i="28" s="1"/>
  <c r="N494" i="28" s="1"/>
  <c r="N495" i="28" s="1"/>
  <c r="H73" i="9"/>
  <c r="H369" i="28"/>
  <c r="AN86" i="13"/>
  <c r="AN118" i="13" s="1"/>
  <c r="AN124" i="13" s="1"/>
  <c r="AP75" i="13"/>
  <c r="AP77" i="13" s="1"/>
  <c r="AN81" i="13"/>
  <c r="AN83" i="13" s="1"/>
  <c r="AP69" i="13"/>
  <c r="AP22" i="13"/>
  <c r="L21" i="13"/>
  <c r="L22" i="13" s="1"/>
  <c r="AP25" i="13"/>
  <c r="AP321" i="13"/>
  <c r="L66" i="13"/>
  <c r="J210" i="13"/>
  <c r="AP308" i="13"/>
  <c r="AP278" i="13"/>
  <c r="AP277" i="13"/>
  <c r="J60" i="60"/>
  <c r="R60" i="60" s="1"/>
  <c r="J62" i="60"/>
  <c r="R62" i="60" s="1"/>
  <c r="R61" i="60"/>
  <c r="M279" i="13"/>
  <c r="M283" i="13" s="1"/>
  <c r="M284" i="13"/>
  <c r="M268" i="13"/>
  <c r="J92" i="9"/>
  <c r="M294" i="13"/>
  <c r="M272" i="13"/>
  <c r="M275" i="13" s="1"/>
  <c r="M289" i="13"/>
  <c r="P451" i="1"/>
  <c r="Q448" i="1"/>
  <c r="Q449" i="1" s="1"/>
  <c r="P449" i="1"/>
  <c r="O424" i="1"/>
  <c r="O452" i="1"/>
  <c r="L293" i="13"/>
  <c r="I100" i="9"/>
  <c r="I101" i="9" s="1"/>
  <c r="L291" i="13"/>
  <c r="K276" i="13"/>
  <c r="H94" i="9"/>
  <c r="K321" i="13"/>
  <c r="AP322" i="13"/>
  <c r="AN311" i="13"/>
  <c r="AN309" i="13"/>
  <c r="AN310" i="13" s="1"/>
  <c r="J322" i="13"/>
  <c r="G108" i="9"/>
  <c r="J309" i="13"/>
  <c r="J311" i="13"/>
  <c r="G105" i="9"/>
  <c r="G106" i="9" s="1"/>
  <c r="Y11" i="17"/>
  <c r="N267" i="13"/>
  <c r="R424" i="1"/>
  <c r="N425" i="1"/>
  <c r="N426" i="1" s="1"/>
  <c r="I53" i="28"/>
  <c r="I54" i="28" s="1"/>
  <c r="AC6" i="17"/>
  <c r="AJ6" i="17" s="1"/>
  <c r="K4" i="9"/>
  <c r="O4" i="9" s="1"/>
  <c r="K61" i="60"/>
  <c r="P445" i="1"/>
  <c r="Q444" i="1"/>
  <c r="Q445" i="1" s="1"/>
  <c r="L288" i="13"/>
  <c r="I98" i="9"/>
  <c r="I99" i="9" s="1"/>
  <c r="L296" i="13"/>
  <c r="I102" i="9"/>
  <c r="I103" i="9" s="1"/>
  <c r="L298" i="13"/>
  <c r="I95" i="9"/>
  <c r="M271" i="13"/>
  <c r="L270" i="13"/>
  <c r="I93" i="9"/>
  <c r="M269" i="13"/>
  <c r="Q441" i="1"/>
  <c r="P442" i="1"/>
  <c r="AO311" i="13"/>
  <c r="K215" i="13"/>
  <c r="K66" i="13" s="1"/>
  <c r="K21" i="13"/>
  <c r="AO423" i="13"/>
  <c r="AO433" i="13" s="1"/>
  <c r="AO434" i="13" s="1"/>
  <c r="AN423" i="13"/>
  <c r="AN433" i="13" s="1"/>
  <c r="AN434" i="13" s="1"/>
  <c r="J435" i="13"/>
  <c r="G141" i="9" s="1"/>
  <c r="N383" i="13"/>
  <c r="P341" i="13"/>
  <c r="K387" i="13"/>
  <c r="K390" i="13" s="1"/>
  <c r="K391" i="13" s="1"/>
  <c r="H132" i="9" s="1"/>
  <c r="J209" i="13"/>
  <c r="AP260" i="13"/>
  <c r="D154" i="60"/>
  <c r="Q525" i="1"/>
  <c r="J24" i="3"/>
  <c r="J30" i="3" s="1"/>
  <c r="G202" i="9" s="1"/>
  <c r="G195" i="9"/>
  <c r="O296" i="28"/>
  <c r="O295" i="28" s="1"/>
  <c r="S686" i="28"/>
  <c r="T686" i="28"/>
  <c r="T255" i="28"/>
  <c r="U255" i="28" s="1"/>
  <c r="T684" i="28"/>
  <c r="T691" i="28" s="1"/>
  <c r="U691" i="28" s="1"/>
  <c r="U686" i="28"/>
  <c r="T135" i="28"/>
  <c r="U135" i="28" s="1"/>
  <c r="E131" i="28" s="1"/>
  <c r="E130" i="28" s="1"/>
  <c r="E132" i="28" s="1"/>
  <c r="E134" i="28" s="1"/>
  <c r="E135" i="28" s="1"/>
  <c r="Q131" i="28"/>
  <c r="Q130" i="28" s="1"/>
  <c r="Q132" i="28" s="1"/>
  <c r="Q134" i="28" s="1"/>
  <c r="Q135" i="28" s="1"/>
  <c r="U521" i="28"/>
  <c r="S521" i="28"/>
  <c r="T525" i="28"/>
  <c r="T519" i="28"/>
  <c r="T521" i="28"/>
  <c r="C251" i="28"/>
  <c r="C250" i="28" s="1"/>
  <c r="C252" i="28" s="1"/>
  <c r="C254" i="28" s="1"/>
  <c r="C255" i="28" s="1"/>
  <c r="C256" i="28" s="1"/>
  <c r="J251" i="28"/>
  <c r="J250" i="28" s="1"/>
  <c r="G251" i="28"/>
  <c r="G250" i="28" s="1"/>
  <c r="M251" i="28"/>
  <c r="M250" i="28" s="1"/>
  <c r="F251" i="28"/>
  <c r="F250" i="28" s="1"/>
  <c r="N251" i="28"/>
  <c r="N250" i="28" s="1"/>
  <c r="K251" i="28"/>
  <c r="K250" i="28" s="1"/>
  <c r="D251" i="28"/>
  <c r="D250" i="28" s="1"/>
  <c r="D252" i="28" s="1"/>
  <c r="D254" i="28" s="1"/>
  <c r="D255" i="28" s="1"/>
  <c r="D256" i="28" s="1"/>
  <c r="B251" i="28"/>
  <c r="B250" i="28" s="1"/>
  <c r="B252" i="28" s="1"/>
  <c r="B254" i="28" s="1"/>
  <c r="B255" i="28" s="1"/>
  <c r="B256" i="28" s="1"/>
  <c r="P251" i="28"/>
  <c r="P250" i="28" s="1"/>
  <c r="Q251" i="28"/>
  <c r="Q250" i="28" s="1"/>
  <c r="T584" i="28"/>
  <c r="O582" i="28" s="1"/>
  <c r="O581" i="28" s="1"/>
  <c r="O583" i="28" s="1"/>
  <c r="O585" i="28" s="1"/>
  <c r="O586" i="28" s="1"/>
  <c r="T586" i="28"/>
  <c r="U586" i="28" s="1"/>
  <c r="B582" i="28"/>
  <c r="B581" i="28" s="1"/>
  <c r="B583" i="28" s="1"/>
  <c r="B585" i="28" s="1"/>
  <c r="B586" i="28" s="1"/>
  <c r="B587" i="28" s="1"/>
  <c r="I251" i="28"/>
  <c r="I250" i="28" s="1"/>
  <c r="H251" i="28"/>
  <c r="H250" i="28" s="1"/>
  <c r="L251" i="28"/>
  <c r="L250" i="28" s="1"/>
  <c r="E251" i="28"/>
  <c r="E250" i="28" s="1"/>
  <c r="E252" i="28" s="1"/>
  <c r="E254" i="28" s="1"/>
  <c r="E255" i="28" s="1"/>
  <c r="U430" i="28"/>
  <c r="T434" i="28"/>
  <c r="L431" i="28" s="1"/>
  <c r="L430" i="28" s="1"/>
  <c r="L432" i="28" s="1"/>
  <c r="L434" i="28" s="1"/>
  <c r="L435" i="28" s="1"/>
  <c r="T430" i="28"/>
  <c r="S430" i="28"/>
  <c r="T433" i="28"/>
  <c r="P431" i="28" s="1"/>
  <c r="P430" i="28" s="1"/>
  <c r="P432" i="28" s="1"/>
  <c r="P434" i="28" s="1"/>
  <c r="P435" i="28" s="1"/>
  <c r="T435" i="28"/>
  <c r="U435" i="28" s="1"/>
  <c r="K431" i="28" s="1"/>
  <c r="K430" i="28" s="1"/>
  <c r="K432" i="28" s="1"/>
  <c r="K434" i="28" s="1"/>
  <c r="K435" i="28" s="1"/>
  <c r="K9" i="17"/>
  <c r="K15" i="17" s="1"/>
  <c r="AM433" i="13"/>
  <c r="AM434" i="13" s="1"/>
  <c r="K12" i="17"/>
  <c r="K59" i="13"/>
  <c r="H448" i="13"/>
  <c r="H454" i="13" s="1"/>
  <c r="K10" i="13"/>
  <c r="H48" i="9" s="1"/>
  <c r="K202" i="13"/>
  <c r="K57" i="13" s="1"/>
  <c r="L200" i="13"/>
  <c r="L10" i="13" s="1"/>
  <c r="L441" i="13" s="1"/>
  <c r="F23" i="28"/>
  <c r="T729" i="28" s="1"/>
  <c r="S729" i="28"/>
  <c r="K115" i="28"/>
  <c r="K117" i="28" s="1"/>
  <c r="K119" i="28" s="1"/>
  <c r="K120" i="28" s="1"/>
  <c r="J116" i="28"/>
  <c r="G289" i="60"/>
  <c r="E156" i="60"/>
  <c r="H288" i="60"/>
  <c r="H271" i="60" s="1"/>
  <c r="H254" i="60" s="1"/>
  <c r="H127" i="9"/>
  <c r="F253" i="28"/>
  <c r="Q498" i="1"/>
  <c r="G178" i="9"/>
  <c r="D357" i="28"/>
  <c r="D359" i="28" s="1"/>
  <c r="D360" i="28" s="1"/>
  <c r="D361" i="28" s="1"/>
  <c r="K240" i="9"/>
  <c r="G88" i="9"/>
  <c r="J261" i="13"/>
  <c r="J262" i="13"/>
  <c r="P326" i="13"/>
  <c r="P344" i="13"/>
  <c r="P330" i="13"/>
  <c r="P333" i="13" s="1"/>
  <c r="P354" i="13"/>
  <c r="P349" i="13"/>
  <c r="M112" i="9"/>
  <c r="L63" i="3"/>
  <c r="I186" i="9"/>
  <c r="K31" i="13"/>
  <c r="H80" i="9"/>
  <c r="H81" i="9" s="1"/>
  <c r="K225" i="13"/>
  <c r="K72" i="13" s="1"/>
  <c r="K74" i="13" s="1"/>
  <c r="K223" i="13"/>
  <c r="K63" i="3"/>
  <c r="H186" i="9"/>
  <c r="K219" i="28"/>
  <c r="K204" i="28"/>
  <c r="K505" i="28"/>
  <c r="K444" i="28"/>
  <c r="M323" i="28"/>
  <c r="L324" i="28"/>
  <c r="L143" i="28"/>
  <c r="Q83" i="1"/>
  <c r="Q84" i="1" s="1"/>
  <c r="N25" i="9"/>
  <c r="P254" i="1"/>
  <c r="M38" i="9"/>
  <c r="P159" i="3"/>
  <c r="P141" i="13" s="1"/>
  <c r="M169" i="9" s="1"/>
  <c r="P140" i="13"/>
  <c r="P117" i="3"/>
  <c r="P94" i="3"/>
  <c r="O48" i="38"/>
  <c r="O49" i="38" s="1"/>
  <c r="E40" i="28"/>
  <c r="E42" i="28" s="1"/>
  <c r="E43" i="28" s="1"/>
  <c r="P90" i="3"/>
  <c r="AD193" i="13"/>
  <c r="AD134" i="13"/>
  <c r="L98" i="28"/>
  <c r="Q75" i="1"/>
  <c r="Q76" i="1" s="1"/>
  <c r="N27" i="9"/>
  <c r="L278" i="28"/>
  <c r="N35" i="9"/>
  <c r="Q155" i="1"/>
  <c r="Q156" i="1" s="1"/>
  <c r="J139" i="3"/>
  <c r="F14" i="26"/>
  <c r="F15" i="26" s="1"/>
  <c r="J43" i="3"/>
  <c r="K144" i="28"/>
  <c r="K263" i="28"/>
  <c r="K264" i="28" s="1"/>
  <c r="C357" i="28"/>
  <c r="C359" i="28" s="1"/>
  <c r="C360" i="28" s="1"/>
  <c r="C361" i="28" s="1"/>
  <c r="K37" i="28"/>
  <c r="K230" i="13"/>
  <c r="K75" i="13" s="1"/>
  <c r="K77" i="13" s="1"/>
  <c r="H82" i="9"/>
  <c r="H83" i="9" s="1"/>
  <c r="K36" i="13"/>
  <c r="K40" i="13"/>
  <c r="H193" i="9"/>
  <c r="L64" i="3"/>
  <c r="K64" i="3"/>
  <c r="M400" i="28"/>
  <c r="N401" i="28"/>
  <c r="AM257" i="13"/>
  <c r="AM258" i="13" s="1"/>
  <c r="AM259" i="13" s="1"/>
  <c r="AM243" i="13"/>
  <c r="AM241" i="13"/>
  <c r="AM242" i="13" s="1"/>
  <c r="J62" i="13"/>
  <c r="J65" i="13" s="1"/>
  <c r="J86" i="13" s="1"/>
  <c r="J118" i="13" s="1"/>
  <c r="J124" i="13" s="1"/>
  <c r="J63" i="13"/>
  <c r="J81" i="13" s="1"/>
  <c r="AO17" i="13"/>
  <c r="AO50" i="13" s="1"/>
  <c r="AO15" i="13"/>
  <c r="AO20" i="13" s="1"/>
  <c r="AO56" i="13" s="1"/>
  <c r="AO116" i="13" s="1"/>
  <c r="G152" i="60"/>
  <c r="P297" i="28"/>
  <c r="P299" i="28" s="1"/>
  <c r="P300" i="28" s="1"/>
  <c r="O180" i="13"/>
  <c r="Q325" i="13"/>
  <c r="Q339" i="13" s="1"/>
  <c r="N5" i="9"/>
  <c r="Q503" i="1"/>
  <c r="Q504" i="1" s="1"/>
  <c r="L36" i="28"/>
  <c r="AM17" i="13"/>
  <c r="AM50" i="13" s="1"/>
  <c r="AM15" i="13"/>
  <c r="AM20" i="13" s="1"/>
  <c r="AM56" i="13" s="1"/>
  <c r="AM116" i="13" s="1"/>
  <c r="O120" i="9"/>
  <c r="K121" i="9"/>
  <c r="G744" i="28"/>
  <c r="L69" i="3"/>
  <c r="I71" i="60"/>
  <c r="H2" i="26"/>
  <c r="I47" i="9"/>
  <c r="I7" i="9" s="1"/>
  <c r="I136" i="60"/>
  <c r="L4" i="13"/>
  <c r="L6" i="13" s="1"/>
  <c r="I72" i="60"/>
  <c r="I160" i="60"/>
  <c r="L72" i="3"/>
  <c r="I135" i="60"/>
  <c r="I144" i="9"/>
  <c r="L8" i="13"/>
  <c r="K400" i="28"/>
  <c r="J401" i="28"/>
  <c r="M413" i="28"/>
  <c r="L414" i="28"/>
  <c r="I339" i="28"/>
  <c r="I368" i="28"/>
  <c r="AO62" i="13"/>
  <c r="AO65" i="13" s="1"/>
  <c r="AO86" i="13" s="1"/>
  <c r="AO118" i="13" s="1"/>
  <c r="AO124" i="13" s="1"/>
  <c r="AO63" i="13"/>
  <c r="AO81" i="13" s="1"/>
  <c r="F156" i="60"/>
  <c r="N37" i="9"/>
  <c r="L383" i="28"/>
  <c r="Q253" i="1"/>
  <c r="Q198" i="1"/>
  <c r="Q199" i="1" s="1"/>
  <c r="I448" i="13"/>
  <c r="I454" i="13" s="1"/>
  <c r="Q333" i="1"/>
  <c r="Q334" i="1" s="1"/>
  <c r="L624" i="28"/>
  <c r="N14" i="9"/>
  <c r="J45" i="28"/>
  <c r="G45" i="28"/>
  <c r="E45" i="28"/>
  <c r="H45" i="28"/>
  <c r="K45" i="28"/>
  <c r="N45" i="28"/>
  <c r="O45" i="28"/>
  <c r="P45" i="28"/>
  <c r="M45" i="28"/>
  <c r="L45" i="28"/>
  <c r="Q45" i="28"/>
  <c r="F45" i="28"/>
  <c r="I45" i="28"/>
  <c r="AH134" i="13"/>
  <c r="AH135" i="13" s="1"/>
  <c r="L233" i="28"/>
  <c r="Q123" i="1"/>
  <c r="Q124" i="1" s="1"/>
  <c r="K207" i="13"/>
  <c r="K208" i="13"/>
  <c r="J183" i="60"/>
  <c r="F746" i="28"/>
  <c r="F745" i="28"/>
  <c r="K535" i="28"/>
  <c r="K594" i="28"/>
  <c r="K595" i="28" s="1"/>
  <c r="L120" i="9"/>
  <c r="O351" i="13"/>
  <c r="O353" i="13"/>
  <c r="L122" i="9"/>
  <c r="O358" i="13"/>
  <c r="O356" i="13"/>
  <c r="F193" i="28"/>
  <c r="E192" i="28"/>
  <c r="E194" i="28" s="1"/>
  <c r="E195" i="28" s="1"/>
  <c r="AP33" i="13"/>
  <c r="AP32" i="13"/>
  <c r="AP35" i="13"/>
  <c r="K119" i="9"/>
  <c r="O118" i="9"/>
  <c r="P714" i="28"/>
  <c r="K370" i="13"/>
  <c r="F39" i="28"/>
  <c r="F38" i="28" s="1"/>
  <c r="O328" i="13"/>
  <c r="P327" i="13"/>
  <c r="L113" i="9"/>
  <c r="Q157" i="3"/>
  <c r="Q160" i="3"/>
  <c r="Q18" i="38"/>
  <c r="P21" i="38"/>
  <c r="P23" i="38" s="1"/>
  <c r="P25" i="38" s="1"/>
  <c r="P30" i="38" s="1"/>
  <c r="P43" i="38" s="1"/>
  <c r="P46" i="38" s="1"/>
  <c r="G448" i="13"/>
  <c r="G454" i="13" s="1"/>
  <c r="G190" i="13" s="1"/>
  <c r="H74" i="9"/>
  <c r="J401" i="13"/>
  <c r="J423" i="13" s="1"/>
  <c r="AP397" i="13"/>
  <c r="AP435" i="13" s="1"/>
  <c r="G134" i="9"/>
  <c r="J13" i="13"/>
  <c r="M196" i="13"/>
  <c r="AB4" i="17"/>
  <c r="AI4" i="17" s="1"/>
  <c r="M35" i="1"/>
  <c r="M36" i="1" s="1"/>
  <c r="J3" i="9"/>
  <c r="M2" i="1"/>
  <c r="H762" i="28" s="1"/>
  <c r="M337" i="13"/>
  <c r="M338" i="13"/>
  <c r="J116" i="9"/>
  <c r="J117" i="9" s="1"/>
  <c r="L609" i="28"/>
  <c r="Q373" i="1"/>
  <c r="Q374" i="1" s="1"/>
  <c r="O457" i="13"/>
  <c r="O458" i="13"/>
  <c r="L168" i="9"/>
  <c r="P168" i="9" s="1"/>
  <c r="O184" i="13"/>
  <c r="J241" i="13"/>
  <c r="J242" i="13" s="1"/>
  <c r="J257" i="13"/>
  <c r="J258" i="13" s="1"/>
  <c r="J259" i="13" s="1"/>
  <c r="Y9" i="17"/>
  <c r="G85" i="9"/>
  <c r="G86" i="9" s="1"/>
  <c r="J243" i="13"/>
  <c r="L220" i="13"/>
  <c r="L218" i="13"/>
  <c r="I78" i="9"/>
  <c r="I79" i="9" s="1"/>
  <c r="L26" i="13"/>
  <c r="P395" i="1"/>
  <c r="K174" i="28"/>
  <c r="L239" i="9"/>
  <c r="O100" i="3"/>
  <c r="J18" i="17"/>
  <c r="AL134" i="13"/>
  <c r="AL136" i="13" s="1"/>
  <c r="K610" i="28"/>
  <c r="K640" i="28"/>
  <c r="I288" i="60"/>
  <c r="K62" i="3"/>
  <c r="H185" i="9"/>
  <c r="K135" i="3"/>
  <c r="N51" i="38"/>
  <c r="P173" i="1" s="1"/>
  <c r="G150" i="60"/>
  <c r="P316" i="1"/>
  <c r="M22" i="9"/>
  <c r="Q107" i="1"/>
  <c r="Q108" i="1" s="1"/>
  <c r="L218" i="28"/>
  <c r="N32" i="9"/>
  <c r="AG10" i="17"/>
  <c r="Z16" i="17"/>
  <c r="AM82" i="13"/>
  <c r="AM83" i="13"/>
  <c r="AM117" i="13"/>
  <c r="P150" i="1"/>
  <c r="P71" i="1"/>
  <c r="P72" i="1" s="1"/>
  <c r="K655" i="28"/>
  <c r="K234" i="28"/>
  <c r="AN17" i="13"/>
  <c r="AN50" i="13" s="1"/>
  <c r="AN15" i="13"/>
  <c r="AN20" i="13" s="1"/>
  <c r="AN56" i="13" s="1"/>
  <c r="AN116" i="13" s="1"/>
  <c r="L36" i="13"/>
  <c r="L40" i="13"/>
  <c r="I82" i="9"/>
  <c r="I83" i="9" s="1"/>
  <c r="L230" i="13"/>
  <c r="P329" i="13"/>
  <c r="L115" i="9"/>
  <c r="K625" i="28"/>
  <c r="K699" i="28"/>
  <c r="K700" i="28" s="1"/>
  <c r="N31" i="9"/>
  <c r="L203" i="28"/>
  <c r="Q99" i="1"/>
  <c r="Q100" i="1" s="1"/>
  <c r="F154" i="60"/>
  <c r="L654" i="28"/>
  <c r="Q349" i="1"/>
  <c r="Q350" i="1" s="1"/>
  <c r="I129" i="9"/>
  <c r="I232" i="60"/>
  <c r="I235" i="60" s="1"/>
  <c r="I185" i="9"/>
  <c r="L62" i="3"/>
  <c r="L135" i="3"/>
  <c r="G232" i="9"/>
  <c r="K123" i="9"/>
  <c r="O122" i="9"/>
  <c r="T549" i="28"/>
  <c r="T555" i="28"/>
  <c r="S551" i="28"/>
  <c r="U551" i="28"/>
  <c r="T551" i="28"/>
  <c r="Q70" i="1"/>
  <c r="N23" i="9"/>
  <c r="L68" i="28"/>
  <c r="Q55" i="1"/>
  <c r="Q56" i="1" s="1"/>
  <c r="J128" i="9"/>
  <c r="M384" i="13"/>
  <c r="L369" i="13"/>
  <c r="AA10" i="17"/>
  <c r="I125" i="9"/>
  <c r="I126" i="9" s="1"/>
  <c r="L381" i="13"/>
  <c r="L382" i="13" s="1"/>
  <c r="L371" i="13"/>
  <c r="Q91" i="1"/>
  <c r="Q92" i="1" s="1"/>
  <c r="L158" i="28"/>
  <c r="N26" i="9"/>
  <c r="L173" i="28"/>
  <c r="Q115" i="1"/>
  <c r="Q116" i="1" s="1"/>
  <c r="N29" i="9"/>
  <c r="L207" i="13"/>
  <c r="I80" i="9"/>
  <c r="I81" i="9" s="1"/>
  <c r="L223" i="13"/>
  <c r="L31" i="13"/>
  <c r="L225" i="13"/>
  <c r="N24" i="9"/>
  <c r="L83" i="28"/>
  <c r="Q63" i="1"/>
  <c r="Q64" i="1" s="1"/>
  <c r="L443" i="28"/>
  <c r="L504" i="28" s="1"/>
  <c r="Q258" i="1"/>
  <c r="Q259" i="1" s="1"/>
  <c r="K86" i="60"/>
  <c r="G179" i="9"/>
  <c r="K99" i="28"/>
  <c r="L34" i="9"/>
  <c r="P34" i="9" s="1"/>
  <c r="O151" i="1"/>
  <c r="I193" i="9"/>
  <c r="K84" i="28"/>
  <c r="K69" i="3"/>
  <c r="H135" i="60"/>
  <c r="K72" i="3"/>
  <c r="H71" i="60"/>
  <c r="H160" i="60"/>
  <c r="H144" i="9"/>
  <c r="H47" i="9"/>
  <c r="H7" i="9" s="1"/>
  <c r="H136" i="60"/>
  <c r="K8" i="13"/>
  <c r="H72" i="60"/>
  <c r="G2" i="26"/>
  <c r="G3" i="26" s="1"/>
  <c r="K4" i="13"/>
  <c r="K6" i="13" s="1"/>
  <c r="K220" i="13"/>
  <c r="K69" i="13" s="1"/>
  <c r="K26" i="13"/>
  <c r="K218" i="13"/>
  <c r="H78" i="9"/>
  <c r="H79" i="9" s="1"/>
  <c r="H232" i="60"/>
  <c r="H235" i="60" s="1"/>
  <c r="AP27" i="13"/>
  <c r="AP30" i="13"/>
  <c r="AP28" i="13"/>
  <c r="P286" i="1"/>
  <c r="M42" i="9"/>
  <c r="Q32" i="38"/>
  <c r="Q34" i="38" s="1"/>
  <c r="Q36" i="38" s="1"/>
  <c r="Q41" i="38" s="1"/>
  <c r="R16" i="38"/>
  <c r="Q341" i="1"/>
  <c r="Q342" i="1" s="1"/>
  <c r="L639" i="28"/>
  <c r="N15" i="9"/>
  <c r="L670" i="28"/>
  <c r="M669" i="28"/>
  <c r="K384" i="28"/>
  <c r="L118" i="9"/>
  <c r="O348" i="13"/>
  <c r="K279" i="28"/>
  <c r="AP38" i="13"/>
  <c r="AP37" i="13"/>
  <c r="K69" i="28"/>
  <c r="N336" i="13"/>
  <c r="N368" i="13" s="1"/>
  <c r="K114" i="9"/>
  <c r="O114" i="9" s="1"/>
  <c r="Q305" i="1"/>
  <c r="Q306" i="1" s="1"/>
  <c r="L534" i="28"/>
  <c r="N16" i="9"/>
  <c r="Q315" i="1"/>
  <c r="AP208" i="13"/>
  <c r="AP240" i="13" s="1"/>
  <c r="L459" i="28"/>
  <c r="M458" i="28"/>
  <c r="E154" i="60"/>
  <c r="J338" i="28"/>
  <c r="L87" i="60"/>
  <c r="O174" i="1"/>
  <c r="D244" i="9"/>
  <c r="H104" i="3"/>
  <c r="P402" i="28"/>
  <c r="P404" i="28" s="1"/>
  <c r="P405" i="28" s="1"/>
  <c r="AP9" i="13"/>
  <c r="L199" i="13" l="1"/>
  <c r="O383" i="13"/>
  <c r="L387" i="13"/>
  <c r="L390" i="13" s="1"/>
  <c r="L391" i="13" s="1"/>
  <c r="I479" i="28"/>
  <c r="I480" i="28" s="1"/>
  <c r="I481" i="28" s="1"/>
  <c r="H479" i="28"/>
  <c r="H480" i="28" s="1"/>
  <c r="H481" i="28" s="1"/>
  <c r="AN82" i="13"/>
  <c r="L491" i="28"/>
  <c r="L490" i="28" s="1"/>
  <c r="L492" i="28" s="1"/>
  <c r="L494" i="28" s="1"/>
  <c r="L495" i="28" s="1"/>
  <c r="L496" i="28" s="1"/>
  <c r="H491" i="28"/>
  <c r="H490" i="28" s="1"/>
  <c r="H492" i="28" s="1"/>
  <c r="H494" i="28" s="1"/>
  <c r="H495" i="28" s="1"/>
  <c r="H496" i="28" s="1"/>
  <c r="L25" i="13"/>
  <c r="I369" i="28"/>
  <c r="L69" i="13"/>
  <c r="AN117" i="13"/>
  <c r="AN123" i="13" s="1"/>
  <c r="AN142" i="13" s="1"/>
  <c r="K397" i="13"/>
  <c r="K435" i="13" s="1"/>
  <c r="H141" i="9" s="1"/>
  <c r="L23" i="13"/>
  <c r="L75" i="13"/>
  <c r="L77" i="13" s="1"/>
  <c r="L72" i="13"/>
  <c r="L74" i="13" s="1"/>
  <c r="AO310" i="13"/>
  <c r="J93" i="9"/>
  <c r="M270" i="13"/>
  <c r="N269" i="13"/>
  <c r="L321" i="13"/>
  <c r="I94" i="9"/>
  <c r="L276" i="13"/>
  <c r="K62" i="60"/>
  <c r="K60" i="60"/>
  <c r="J310" i="13"/>
  <c r="E56" i="28"/>
  <c r="E55" i="28" s="1"/>
  <c r="E57" i="28" s="1"/>
  <c r="E59" i="28" s="1"/>
  <c r="E60" i="28" s="1"/>
  <c r="E61" i="28" s="1"/>
  <c r="K322" i="13"/>
  <c r="H108" i="9"/>
  <c r="H109" i="9" s="1"/>
  <c r="K308" i="13"/>
  <c r="K278" i="13"/>
  <c r="K277" i="13"/>
  <c r="H96" i="9"/>
  <c r="H97" i="9" s="1"/>
  <c r="P424" i="1"/>
  <c r="P452" i="1"/>
  <c r="J98" i="9"/>
  <c r="J99" i="9" s="1"/>
  <c r="M288" i="13"/>
  <c r="N279" i="13"/>
  <c r="N283" i="13" s="1"/>
  <c r="N268" i="13"/>
  <c r="N289" i="13"/>
  <c r="N272" i="13"/>
  <c r="N275" i="13" s="1"/>
  <c r="N284" i="13"/>
  <c r="N294" i="13"/>
  <c r="K92" i="9"/>
  <c r="O92" i="9" s="1"/>
  <c r="Q442" i="1"/>
  <c r="Q451" i="1"/>
  <c r="N271" i="13"/>
  <c r="J95" i="9"/>
  <c r="AF11" i="17"/>
  <c r="Y17" i="17"/>
  <c r="P66" i="17"/>
  <c r="G109" i="9"/>
  <c r="G107" i="9"/>
  <c r="O267" i="13"/>
  <c r="O425" i="1"/>
  <c r="O426" i="1" s="1"/>
  <c r="J53" i="28"/>
  <c r="J54" i="28" s="1"/>
  <c r="L61" i="60"/>
  <c r="L4" i="9"/>
  <c r="P4" i="9" s="1"/>
  <c r="J100" i="9"/>
  <c r="J101" i="9" s="1"/>
  <c r="M291" i="13"/>
  <c r="M293" i="13"/>
  <c r="M298" i="13"/>
  <c r="J102" i="9"/>
  <c r="J103" i="9" s="1"/>
  <c r="M296" i="13"/>
  <c r="AP311" i="13"/>
  <c r="AP309" i="13"/>
  <c r="AP310" i="13" s="1"/>
  <c r="K22" i="13"/>
  <c r="K25" i="13"/>
  <c r="K23" i="13"/>
  <c r="Q343" i="13"/>
  <c r="Q341" i="13"/>
  <c r="M198" i="13"/>
  <c r="M199" i="13" s="1"/>
  <c r="M211" i="13"/>
  <c r="K260" i="13"/>
  <c r="K240" i="13"/>
  <c r="J242" i="60"/>
  <c r="M454" i="1"/>
  <c r="T689" i="28"/>
  <c r="P687" i="28" s="1"/>
  <c r="P686" i="28" s="1"/>
  <c r="P688" i="28" s="1"/>
  <c r="P690" i="28" s="1"/>
  <c r="P691" i="28" s="1"/>
  <c r="P692" i="28" s="1"/>
  <c r="G196" i="9"/>
  <c r="N296" i="28"/>
  <c r="N295" i="28" s="1"/>
  <c r="K23" i="3"/>
  <c r="K24" i="3" s="1"/>
  <c r="H196" i="9" s="1"/>
  <c r="B687" i="28"/>
  <c r="B686" i="28" s="1"/>
  <c r="B688" i="28" s="1"/>
  <c r="B690" i="28" s="1"/>
  <c r="B691" i="28" s="1"/>
  <c r="B692" i="28" s="1"/>
  <c r="F131" i="28"/>
  <c r="F130" i="28" s="1"/>
  <c r="F132" i="28" s="1"/>
  <c r="F134" i="28" s="1"/>
  <c r="F135" i="28" s="1"/>
  <c r="F136" i="28" s="1"/>
  <c r="P131" i="28"/>
  <c r="P130" i="28" s="1"/>
  <c r="P132" i="28" s="1"/>
  <c r="P134" i="28" s="1"/>
  <c r="P135" i="28" s="1"/>
  <c r="P136" i="28" s="1"/>
  <c r="C582" i="28"/>
  <c r="C581" i="28" s="1"/>
  <c r="C583" i="28" s="1"/>
  <c r="C585" i="28" s="1"/>
  <c r="C586" i="28" s="1"/>
  <c r="C587" i="28" s="1"/>
  <c r="D131" i="28"/>
  <c r="D130" i="28" s="1"/>
  <c r="D132" i="28" s="1"/>
  <c r="D134" i="28" s="1"/>
  <c r="D135" i="28" s="1"/>
  <c r="D136" i="28" s="1"/>
  <c r="G582" i="28"/>
  <c r="G581" i="28" s="1"/>
  <c r="G583" i="28" s="1"/>
  <c r="G585" i="28" s="1"/>
  <c r="G586" i="28" s="1"/>
  <c r="G587" i="28" s="1"/>
  <c r="K582" i="28"/>
  <c r="K581" i="28" s="1"/>
  <c r="K583" i="28" s="1"/>
  <c r="K585" i="28" s="1"/>
  <c r="K586" i="28" s="1"/>
  <c r="K587" i="28" s="1"/>
  <c r="I582" i="28"/>
  <c r="I581" i="28" s="1"/>
  <c r="I583" i="28" s="1"/>
  <c r="I585" i="28" s="1"/>
  <c r="I586" i="28" s="1"/>
  <c r="I587" i="28" s="1"/>
  <c r="Q582" i="28"/>
  <c r="Q581" i="28" s="1"/>
  <c r="Q583" i="28" s="1"/>
  <c r="Q585" i="28" s="1"/>
  <c r="Q586" i="28" s="1"/>
  <c r="Q587" i="28" s="1"/>
  <c r="H582" i="28"/>
  <c r="H581" i="28" s="1"/>
  <c r="H583" i="28" s="1"/>
  <c r="H585" i="28" s="1"/>
  <c r="H586" i="28" s="1"/>
  <c r="H587" i="28" s="1"/>
  <c r="N582" i="28"/>
  <c r="N581" i="28" s="1"/>
  <c r="N583" i="28" s="1"/>
  <c r="N585" i="28" s="1"/>
  <c r="N586" i="28" s="1"/>
  <c r="N587" i="28" s="1"/>
  <c r="J582" i="28"/>
  <c r="J581" i="28" s="1"/>
  <c r="J583" i="28" s="1"/>
  <c r="J585" i="28" s="1"/>
  <c r="J586" i="28" s="1"/>
  <c r="J587" i="28" s="1"/>
  <c r="E582" i="28"/>
  <c r="E581" i="28" s="1"/>
  <c r="E583" i="28" s="1"/>
  <c r="E585" i="28" s="1"/>
  <c r="E586" i="28" s="1"/>
  <c r="E587" i="28" s="1"/>
  <c r="L582" i="28"/>
  <c r="L581" i="28" s="1"/>
  <c r="L583" i="28" s="1"/>
  <c r="L585" i="28" s="1"/>
  <c r="L586" i="28" s="1"/>
  <c r="L587" i="28" s="1"/>
  <c r="P582" i="28"/>
  <c r="P581" i="28" s="1"/>
  <c r="P583" i="28" s="1"/>
  <c r="P585" i="28" s="1"/>
  <c r="P586" i="28" s="1"/>
  <c r="P587" i="28" s="1"/>
  <c r="T526" i="28"/>
  <c r="U526" i="28" s="1"/>
  <c r="K522" i="28"/>
  <c r="K521" i="28" s="1"/>
  <c r="K523" i="28" s="1"/>
  <c r="K525" i="28" s="1"/>
  <c r="K526" i="28" s="1"/>
  <c r="K527" i="28" s="1"/>
  <c r="T524" i="28"/>
  <c r="Q522" i="28" s="1"/>
  <c r="Q521" i="28" s="1"/>
  <c r="Q523" i="28" s="1"/>
  <c r="Q525" i="28" s="1"/>
  <c r="Q526" i="28" s="1"/>
  <c r="B529" i="28" s="1"/>
  <c r="F582" i="28"/>
  <c r="F581" i="28" s="1"/>
  <c r="F583" i="28" s="1"/>
  <c r="F585" i="28" s="1"/>
  <c r="F586" i="28" s="1"/>
  <c r="F587" i="28" s="1"/>
  <c r="M582" i="28"/>
  <c r="M581" i="28" s="1"/>
  <c r="M583" i="28" s="1"/>
  <c r="M585" i="28" s="1"/>
  <c r="M586" i="28" s="1"/>
  <c r="M587" i="28" s="1"/>
  <c r="F406" i="28"/>
  <c r="P361" i="28"/>
  <c r="K361" i="28"/>
  <c r="L361" i="28"/>
  <c r="O361" i="28"/>
  <c r="H361" i="28"/>
  <c r="M361" i="28"/>
  <c r="G361" i="28"/>
  <c r="Q431" i="28"/>
  <c r="Q430" i="28" s="1"/>
  <c r="Q432" i="28" s="1"/>
  <c r="Q434" i="28" s="1"/>
  <c r="Q435" i="28" s="1"/>
  <c r="B438" i="28" s="1"/>
  <c r="M431" i="28"/>
  <c r="M430" i="28" s="1"/>
  <c r="M432" i="28" s="1"/>
  <c r="M434" i="28" s="1"/>
  <c r="M435" i="28" s="1"/>
  <c r="M436" i="28" s="1"/>
  <c r="J431" i="28"/>
  <c r="B431" i="28"/>
  <c r="B430" i="28" s="1"/>
  <c r="B432" i="28" s="1"/>
  <c r="B434" i="28" s="1"/>
  <c r="B435" i="28" s="1"/>
  <c r="B436" i="28" s="1"/>
  <c r="C431" i="28"/>
  <c r="C430" i="28" s="1"/>
  <c r="C432" i="28" s="1"/>
  <c r="C434" i="28" s="1"/>
  <c r="C435" i="28" s="1"/>
  <c r="C436" i="28" s="1"/>
  <c r="H145" i="9"/>
  <c r="K441" i="13"/>
  <c r="I75" i="9"/>
  <c r="B363" i="28"/>
  <c r="B303" i="28"/>
  <c r="Q361" i="28"/>
  <c r="B498" i="28"/>
  <c r="L202" i="13"/>
  <c r="L57" i="13" s="1"/>
  <c r="L208" i="13"/>
  <c r="E196" i="28"/>
  <c r="L59" i="13"/>
  <c r="L406" i="28"/>
  <c r="B483" i="28"/>
  <c r="I116" i="28"/>
  <c r="J115" i="28"/>
  <c r="J117" i="28" s="1"/>
  <c r="J119" i="28" s="1"/>
  <c r="J120" i="28" s="1"/>
  <c r="J121" i="28" s="1"/>
  <c r="T735" i="28"/>
  <c r="Q732" i="28" s="1"/>
  <c r="Q731" i="28" s="1"/>
  <c r="Q733" i="28" s="1"/>
  <c r="Q735" i="28" s="1"/>
  <c r="Q736" i="28" s="1"/>
  <c r="S731" i="28"/>
  <c r="U731" i="28"/>
  <c r="T731" i="28"/>
  <c r="T734" i="28"/>
  <c r="T736" i="28"/>
  <c r="U736" i="28" s="1"/>
  <c r="E732" i="28" s="1"/>
  <c r="E731" i="28" s="1"/>
  <c r="E733" i="28" s="1"/>
  <c r="E735" i="28" s="1"/>
  <c r="E736" i="28" s="1"/>
  <c r="E737" i="28" s="1"/>
  <c r="P406" i="28"/>
  <c r="B574" i="28"/>
  <c r="I220" i="9"/>
  <c r="H144" i="60"/>
  <c r="H161" i="60" s="1"/>
  <c r="I144" i="60"/>
  <c r="I161" i="60" s="1"/>
  <c r="F361" i="28"/>
  <c r="H143" i="60"/>
  <c r="H159" i="60" s="1"/>
  <c r="P301" i="28"/>
  <c r="Q406" i="28"/>
  <c r="K9" i="13"/>
  <c r="M443" i="28"/>
  <c r="M504" i="28" s="1"/>
  <c r="L444" i="28"/>
  <c r="L505" i="28"/>
  <c r="I56" i="9"/>
  <c r="I57" i="9" s="1"/>
  <c r="L35" i="13"/>
  <c r="L32" i="13"/>
  <c r="L33" i="13"/>
  <c r="I150" i="9"/>
  <c r="I151" i="9" s="1"/>
  <c r="G39" i="28"/>
  <c r="G38" i="28" s="1"/>
  <c r="L370" i="13"/>
  <c r="M218" i="28"/>
  <c r="L219" i="28"/>
  <c r="P48" i="38"/>
  <c r="P49" i="38" s="1"/>
  <c r="F40" i="28"/>
  <c r="F42" i="28" s="1"/>
  <c r="F43" i="28" s="1"/>
  <c r="F46" i="28" s="1"/>
  <c r="J400" i="28"/>
  <c r="I401" i="28"/>
  <c r="AO18" i="13"/>
  <c r="AO174" i="13"/>
  <c r="P353" i="13"/>
  <c r="P351" i="13"/>
  <c r="M120" i="9"/>
  <c r="M121" i="9" s="1"/>
  <c r="H151" i="60"/>
  <c r="J339" i="28"/>
  <c r="J368" i="28"/>
  <c r="AP210" i="13"/>
  <c r="AP209" i="13"/>
  <c r="L119" i="9"/>
  <c r="P118" i="9"/>
  <c r="R32" i="38"/>
  <c r="R34" i="38" s="1"/>
  <c r="R36" i="38" s="1"/>
  <c r="R41" i="38" s="1"/>
  <c r="S16" i="38"/>
  <c r="H225" i="9"/>
  <c r="K138" i="3"/>
  <c r="K43" i="3" s="1"/>
  <c r="K4" i="3"/>
  <c r="N42" i="9"/>
  <c r="Q286" i="1"/>
  <c r="M158" i="28"/>
  <c r="J129" i="9"/>
  <c r="Q150" i="1"/>
  <c r="Q71" i="1"/>
  <c r="Q72" i="1" s="1"/>
  <c r="I127" i="9"/>
  <c r="M203" i="28"/>
  <c r="L204" i="28"/>
  <c r="P151" i="1"/>
  <c r="M34" i="9"/>
  <c r="H289" i="60"/>
  <c r="L240" i="9"/>
  <c r="P180" i="13"/>
  <c r="Q159" i="3"/>
  <c r="Q141" i="13" s="1"/>
  <c r="N169" i="9" s="1"/>
  <c r="Q140" i="13"/>
  <c r="Q117" i="3"/>
  <c r="Q94" i="3"/>
  <c r="O336" i="13"/>
  <c r="O368" i="13" s="1"/>
  <c r="L114" i="9"/>
  <c r="P114" i="9" s="1"/>
  <c r="Q714" i="28"/>
  <c r="B123" i="28"/>
  <c r="L436" i="28"/>
  <c r="L121" i="28"/>
  <c r="L481" i="28"/>
  <c r="L572" i="28"/>
  <c r="E121" i="28"/>
  <c r="E572" i="28"/>
  <c r="E481" i="28"/>
  <c r="E136" i="28"/>
  <c r="E361" i="28"/>
  <c r="Q395" i="1"/>
  <c r="L384" i="28"/>
  <c r="M383" i="28"/>
  <c r="N413" i="28"/>
  <c r="I225" i="9"/>
  <c r="L138" i="3"/>
  <c r="AM18" i="13"/>
  <c r="AP124" i="13"/>
  <c r="L279" i="28"/>
  <c r="M278" i="28"/>
  <c r="E752" i="28"/>
  <c r="P348" i="13"/>
  <c r="M118" i="9"/>
  <c r="M119" i="9" s="1"/>
  <c r="G89" i="9"/>
  <c r="G87" i="9"/>
  <c r="E256" i="28"/>
  <c r="L174" i="28"/>
  <c r="M173" i="28"/>
  <c r="O297" i="28"/>
  <c r="O299" i="28" s="1"/>
  <c r="O300" i="28" s="1"/>
  <c r="O301" i="28" s="1"/>
  <c r="K136" i="3"/>
  <c r="G11" i="26" s="1"/>
  <c r="G12" i="26"/>
  <c r="G13" i="26" s="1"/>
  <c r="J261" i="60"/>
  <c r="J280" i="60"/>
  <c r="J247" i="60"/>
  <c r="J266" i="60"/>
  <c r="J281" i="60"/>
  <c r="J248" i="60"/>
  <c r="J278" i="60"/>
  <c r="J260" i="60"/>
  <c r="J268" i="60"/>
  <c r="J274" i="60"/>
  <c r="AB7" i="17"/>
  <c r="AI7" i="17" s="1"/>
  <c r="M3" i="1"/>
  <c r="M4" i="1" s="1"/>
  <c r="M5" i="13" s="1"/>
  <c r="M12" i="3"/>
  <c r="J265" i="60"/>
  <c r="J284" i="60"/>
  <c r="J251" i="60"/>
  <c r="J270" i="60"/>
  <c r="J285" i="60"/>
  <c r="J252" i="60"/>
  <c r="J263" i="60"/>
  <c r="J282" i="60"/>
  <c r="J245" i="60"/>
  <c r="J264" i="60"/>
  <c r="J279" i="60"/>
  <c r="J287" i="60"/>
  <c r="J269" i="60"/>
  <c r="J238" i="60"/>
  <c r="J258" i="60"/>
  <c r="J272" i="60"/>
  <c r="J239" i="60"/>
  <c r="J256" i="60"/>
  <c r="J267" i="60"/>
  <c r="J286" i="60"/>
  <c r="J249" i="60"/>
  <c r="J250" i="60"/>
  <c r="J257" i="60"/>
  <c r="J276" i="60"/>
  <c r="J243" i="60"/>
  <c r="J262" i="60"/>
  <c r="J277" i="60"/>
  <c r="J244" i="60"/>
  <c r="J255" i="60"/>
  <c r="J273" i="60"/>
  <c r="J240" i="60"/>
  <c r="J253" i="60"/>
  <c r="J246" i="60"/>
  <c r="J283" i="60"/>
  <c r="M10" i="3"/>
  <c r="M20" i="3"/>
  <c r="J275" i="60"/>
  <c r="J241" i="60"/>
  <c r="M331" i="1"/>
  <c r="J230" i="60"/>
  <c r="J231" i="60"/>
  <c r="M500" i="1"/>
  <c r="J223" i="60"/>
  <c r="J224" i="60"/>
  <c r="J226" i="60"/>
  <c r="J227" i="60"/>
  <c r="J225" i="60"/>
  <c r="J229" i="60"/>
  <c r="M506" i="1"/>
  <c r="J233" i="60"/>
  <c r="J234" i="60" s="1"/>
  <c r="J228" i="60"/>
  <c r="M73" i="1"/>
  <c r="M288" i="1"/>
  <c r="M256" i="1"/>
  <c r="M397" i="1"/>
  <c r="M318" i="1"/>
  <c r="M428" i="1"/>
  <c r="M153" i="1"/>
  <c r="M196" i="1"/>
  <c r="J259" i="60"/>
  <c r="Q326" i="13"/>
  <c r="Q354" i="13"/>
  <c r="Q349" i="13"/>
  <c r="Q344" i="13"/>
  <c r="Q330" i="13"/>
  <c r="Q333" i="13" s="1"/>
  <c r="N112" i="9"/>
  <c r="I212" i="9"/>
  <c r="F9" i="26"/>
  <c r="F10" i="26" s="1"/>
  <c r="J2" i="3"/>
  <c r="P458" i="13"/>
  <c r="P457" i="13"/>
  <c r="M168" i="9"/>
  <c r="P184" i="13"/>
  <c r="N323" i="28"/>
  <c r="G253" i="28"/>
  <c r="F252" i="28"/>
  <c r="F254" i="28" s="1"/>
  <c r="F255" i="28" s="1"/>
  <c r="F256" i="28" s="1"/>
  <c r="N458" i="28"/>
  <c r="M83" i="28"/>
  <c r="L84" i="28"/>
  <c r="L69" i="28"/>
  <c r="M68" i="28"/>
  <c r="M115" i="9"/>
  <c r="Q329" i="13"/>
  <c r="N115" i="9" s="1"/>
  <c r="AM142" i="13"/>
  <c r="I145" i="9"/>
  <c r="I48" i="9"/>
  <c r="I271" i="60"/>
  <c r="I254" i="60" s="1"/>
  <c r="I289" i="60" s="1"/>
  <c r="AF9" i="17"/>
  <c r="Y15" i="17"/>
  <c r="L610" i="28"/>
  <c r="M609" i="28"/>
  <c r="J43" i="9"/>
  <c r="M3" i="13"/>
  <c r="J72" i="9"/>
  <c r="M226" i="13"/>
  <c r="M221" i="13"/>
  <c r="M197" i="13"/>
  <c r="M203" i="13"/>
  <c r="M216" i="13"/>
  <c r="G135" i="9"/>
  <c r="Q21" i="38"/>
  <c r="Q23" i="38" s="1"/>
  <c r="Q25" i="38" s="1"/>
  <c r="Q30" i="38" s="1"/>
  <c r="Q43" i="38" s="1"/>
  <c r="Q46" i="38" s="1"/>
  <c r="R18" i="38"/>
  <c r="L121" i="9"/>
  <c r="P120" i="9"/>
  <c r="H744" i="28"/>
  <c r="F481" i="28"/>
  <c r="F572" i="28"/>
  <c r="F301" i="28"/>
  <c r="P121" i="28"/>
  <c r="P436" i="28"/>
  <c r="P572" i="28"/>
  <c r="P481" i="28"/>
  <c r="P496" i="28"/>
  <c r="K436" i="28"/>
  <c r="K481" i="28"/>
  <c r="K572" i="28"/>
  <c r="K121" i="28"/>
  <c r="K496" i="28"/>
  <c r="J481" i="28"/>
  <c r="J572" i="28"/>
  <c r="J496" i="28"/>
  <c r="L699" i="28"/>
  <c r="L700" i="28" s="1"/>
  <c r="L625" i="28"/>
  <c r="M624" i="28"/>
  <c r="K402" i="28"/>
  <c r="K404" i="28" s="1"/>
  <c r="K405" i="28" s="1"/>
  <c r="K406" i="28" s="1"/>
  <c r="I6" i="9"/>
  <c r="I11" i="9"/>
  <c r="I10" i="9"/>
  <c r="I9" i="9"/>
  <c r="L37" i="28"/>
  <c r="M36" i="28"/>
  <c r="N400" i="28"/>
  <c r="O401" i="28"/>
  <c r="O400" i="28" s="1"/>
  <c r="H152" i="9"/>
  <c r="H153" i="9" s="1"/>
  <c r="K37" i="13"/>
  <c r="K38" i="13"/>
  <c r="H59" i="9"/>
  <c r="H60" i="9" s="1"/>
  <c r="I74" i="9"/>
  <c r="O51" i="38"/>
  <c r="Q173" i="1" s="1"/>
  <c r="L144" i="28"/>
  <c r="L263" i="28"/>
  <c r="L264" i="28" s="1"/>
  <c r="M143" i="28"/>
  <c r="M122" i="9"/>
  <c r="M123" i="9" s="1"/>
  <c r="P358" i="13"/>
  <c r="P356" i="13"/>
  <c r="Q316" i="1"/>
  <c r="N22" i="9"/>
  <c r="N669" i="28"/>
  <c r="AP398" i="13"/>
  <c r="AP401" i="13"/>
  <c r="AP13" i="13"/>
  <c r="I572" i="28"/>
  <c r="I496" i="28"/>
  <c r="M121" i="28"/>
  <c r="M481" i="28"/>
  <c r="M572" i="28"/>
  <c r="N121" i="28"/>
  <c r="N481" i="28"/>
  <c r="N572" i="28"/>
  <c r="N496" i="28"/>
  <c r="G481" i="28"/>
  <c r="G572" i="28"/>
  <c r="G301" i="28"/>
  <c r="L9" i="13"/>
  <c r="I151" i="60"/>
  <c r="I224" i="9"/>
  <c r="L82" i="3"/>
  <c r="K33" i="13"/>
  <c r="K32" i="13"/>
  <c r="H56" i="9"/>
  <c r="H57" i="9" s="1"/>
  <c r="H150" i="9"/>
  <c r="H151" i="9" s="1"/>
  <c r="K35" i="13"/>
  <c r="H105" i="3"/>
  <c r="E243" i="9"/>
  <c r="N337" i="13"/>
  <c r="K116" i="9"/>
  <c r="N338" i="13"/>
  <c r="L640" i="28"/>
  <c r="M639" i="28"/>
  <c r="T554" i="28"/>
  <c r="P552" i="28" s="1"/>
  <c r="P551" i="28" s="1"/>
  <c r="K552" i="28"/>
  <c r="K551" i="28" s="1"/>
  <c r="T556" i="28"/>
  <c r="U556" i="28" s="1"/>
  <c r="L655" i="28"/>
  <c r="M654" i="28"/>
  <c r="AP261" i="13"/>
  <c r="AP262" i="13"/>
  <c r="AN18" i="13"/>
  <c r="L86" i="60"/>
  <c r="M534" i="28"/>
  <c r="L535" i="28"/>
  <c r="L594" i="28"/>
  <c r="L595" i="28" s="1"/>
  <c r="N384" i="13"/>
  <c r="K128" i="9"/>
  <c r="G406" i="28"/>
  <c r="K30" i="13"/>
  <c r="K27" i="13"/>
  <c r="K28" i="13"/>
  <c r="H53" i="9"/>
  <c r="H54" i="9" s="1"/>
  <c r="H148" i="9"/>
  <c r="H149" i="9" s="1"/>
  <c r="H6" i="9"/>
  <c r="H11" i="9"/>
  <c r="H10" i="9"/>
  <c r="H9" i="9"/>
  <c r="H224" i="9"/>
  <c r="K82" i="3"/>
  <c r="AH10" i="17"/>
  <c r="AA16" i="17"/>
  <c r="I361" i="28"/>
  <c r="L136" i="3"/>
  <c r="H11" i="26" s="1"/>
  <c r="H12" i="26"/>
  <c r="H13" i="26" s="1"/>
  <c r="AP60" i="13"/>
  <c r="I59" i="9"/>
  <c r="I60" i="9" s="1"/>
  <c r="L38" i="13"/>
  <c r="L37" i="13"/>
  <c r="I152" i="9"/>
  <c r="I153" i="9" s="1"/>
  <c r="M200" i="13"/>
  <c r="P174" i="1"/>
  <c r="K338" i="28"/>
  <c r="H220" i="9"/>
  <c r="I148" i="9"/>
  <c r="I149" i="9" s="1"/>
  <c r="L28" i="13"/>
  <c r="L30" i="13"/>
  <c r="L27" i="13"/>
  <c r="I53" i="9"/>
  <c r="I54" i="9" s="1"/>
  <c r="M381" i="13"/>
  <c r="M382" i="13" s="1"/>
  <c r="M369" i="13"/>
  <c r="M371" i="13"/>
  <c r="AB10" i="17"/>
  <c r="J125" i="9"/>
  <c r="J126" i="9" s="1"/>
  <c r="M38" i="1"/>
  <c r="J15" i="13"/>
  <c r="J20" i="13" s="1"/>
  <c r="J56" i="13" s="1"/>
  <c r="J116" i="13" s="1"/>
  <c r="J442" i="13"/>
  <c r="J443" i="13" s="1"/>
  <c r="J17" i="13"/>
  <c r="J50" i="13" s="1"/>
  <c r="P328" i="13"/>
  <c r="Q327" i="13"/>
  <c r="M113" i="9"/>
  <c r="G193" i="28"/>
  <c r="F192" i="28"/>
  <c r="F194" i="28" s="1"/>
  <c r="F195" i="28" s="1"/>
  <c r="F196" i="28" s="1"/>
  <c r="P122" i="9"/>
  <c r="L123" i="9"/>
  <c r="F748" i="28"/>
  <c r="F750" i="28" s="1"/>
  <c r="F751" i="28" s="1"/>
  <c r="F752" i="28" s="1"/>
  <c r="H76" i="9"/>
  <c r="H77" i="9" s="1"/>
  <c r="K210" i="13"/>
  <c r="K209" i="13"/>
  <c r="L234" i="28"/>
  <c r="M233" i="28"/>
  <c r="Q121" i="28"/>
  <c r="Q481" i="28"/>
  <c r="Q496" i="28"/>
  <c r="Q572" i="28"/>
  <c r="Q136" i="28"/>
  <c r="B138" i="28"/>
  <c r="Q301" i="28"/>
  <c r="O121" i="28"/>
  <c r="O481" i="28"/>
  <c r="O572" i="28"/>
  <c r="O496" i="28"/>
  <c r="O587" i="28"/>
  <c r="H572" i="28"/>
  <c r="N38" i="9"/>
  <c r="Q254" i="1"/>
  <c r="AO83" i="13"/>
  <c r="AO117" i="13"/>
  <c r="AO82" i="13"/>
  <c r="I143" i="60"/>
  <c r="I159" i="60" s="1"/>
  <c r="H3" i="26"/>
  <c r="G746" i="28"/>
  <c r="G745" i="28"/>
  <c r="J117" i="13"/>
  <c r="G68" i="9"/>
  <c r="J83" i="13"/>
  <c r="J82" i="13"/>
  <c r="G157" i="9"/>
  <c r="G158" i="9" s="1"/>
  <c r="M402" i="28"/>
  <c r="M404" i="28" s="1"/>
  <c r="M405" i="28" s="1"/>
  <c r="M406" i="28" s="1"/>
  <c r="M98" i="28"/>
  <c r="L99" i="28"/>
  <c r="M239" i="9"/>
  <c r="P100" i="3"/>
  <c r="L397" i="13"/>
  <c r="L60" i="13" s="1"/>
  <c r="I132" i="9"/>
  <c r="E46" i="28"/>
  <c r="Q90" i="3"/>
  <c r="K3" i="3"/>
  <c r="B408" i="28"/>
  <c r="N361" i="28"/>
  <c r="J361" i="28"/>
  <c r="P383" i="13" l="1"/>
  <c r="Z9" i="17"/>
  <c r="M491" i="28"/>
  <c r="M490" i="28" s="1"/>
  <c r="M492" i="28" s="1"/>
  <c r="M494" i="28" s="1"/>
  <c r="M495" i="28" s="1"/>
  <c r="M496" i="28" s="1"/>
  <c r="G491" i="28"/>
  <c r="G490" i="28" s="1"/>
  <c r="G492" i="28" s="1"/>
  <c r="G494" i="28" s="1"/>
  <c r="G495" i="28" s="1"/>
  <c r="G496" i="28" s="1"/>
  <c r="M387" i="13"/>
  <c r="M390" i="13" s="1"/>
  <c r="M391" i="13" s="1"/>
  <c r="J132" i="9" s="1"/>
  <c r="K13" i="13"/>
  <c r="K15" i="13" s="1"/>
  <c r="K20" i="13" s="1"/>
  <c r="K60" i="13"/>
  <c r="K62" i="13" s="1"/>
  <c r="K65" i="13" s="1"/>
  <c r="K86" i="13" s="1"/>
  <c r="K118" i="13" s="1"/>
  <c r="K124" i="13" s="1"/>
  <c r="H134" i="9"/>
  <c r="K401" i="13"/>
  <c r="K423" i="13" s="1"/>
  <c r="K241" i="13"/>
  <c r="K242" i="13" s="1"/>
  <c r="K243" i="13"/>
  <c r="J369" i="28"/>
  <c r="O279" i="13"/>
  <c r="O283" i="13" s="1"/>
  <c r="O294" i="13"/>
  <c r="O289" i="13"/>
  <c r="O272" i="13"/>
  <c r="O275" i="13" s="1"/>
  <c r="L92" i="9"/>
  <c r="P92" i="9" s="1"/>
  <c r="O284" i="13"/>
  <c r="O268" i="13"/>
  <c r="K95" i="9"/>
  <c r="O271" i="13"/>
  <c r="N296" i="13"/>
  <c r="K102" i="9"/>
  <c r="N298" i="13"/>
  <c r="L308" i="13"/>
  <c r="L278" i="13"/>
  <c r="I96" i="9"/>
  <c r="I97" i="9" s="1"/>
  <c r="L277" i="13"/>
  <c r="I108" i="9"/>
  <c r="I109" i="9" s="1"/>
  <c r="L322" i="13"/>
  <c r="J94" i="9"/>
  <c r="M321" i="13"/>
  <c r="M276" i="13"/>
  <c r="L62" i="60"/>
  <c r="L60" i="60"/>
  <c r="Q424" i="1"/>
  <c r="Q452" i="1"/>
  <c r="K98" i="9"/>
  <c r="N288" i="13"/>
  <c r="N293" i="13"/>
  <c r="N291" i="13"/>
  <c r="K100" i="9"/>
  <c r="K53" i="28"/>
  <c r="K54" i="28" s="1"/>
  <c r="P425" i="1"/>
  <c r="P426" i="1" s="1"/>
  <c r="M4" i="9"/>
  <c r="P267" i="13"/>
  <c r="H105" i="9"/>
  <c r="K311" i="13"/>
  <c r="K309" i="13"/>
  <c r="Z11" i="17"/>
  <c r="N270" i="13"/>
  <c r="K93" i="9"/>
  <c r="O269" i="13"/>
  <c r="J73" i="9"/>
  <c r="M215" i="13"/>
  <c r="M66" i="13" s="1"/>
  <c r="M21" i="13"/>
  <c r="L435" i="13"/>
  <c r="I141" i="9" s="1"/>
  <c r="AP423" i="13"/>
  <c r="AP433" i="13" s="1"/>
  <c r="AP434" i="13" s="1"/>
  <c r="H85" i="9"/>
  <c r="H86" i="9" s="1"/>
  <c r="K257" i="13"/>
  <c r="K258" i="13" s="1"/>
  <c r="K259" i="13" s="1"/>
  <c r="L260" i="13"/>
  <c r="L262" i="13" s="1"/>
  <c r="I76" i="9"/>
  <c r="I77" i="9" s="1"/>
  <c r="L240" i="13"/>
  <c r="E687" i="28"/>
  <c r="E686" i="28" s="1"/>
  <c r="E688" i="28" s="1"/>
  <c r="E690" i="28" s="1"/>
  <c r="E691" i="28" s="1"/>
  <c r="E692" i="28" s="1"/>
  <c r="C687" i="28"/>
  <c r="D687" i="28" s="1"/>
  <c r="D686" i="28" s="1"/>
  <c r="D688" i="28" s="1"/>
  <c r="D690" i="28" s="1"/>
  <c r="D691" i="28" s="1"/>
  <c r="D692" i="28" s="1"/>
  <c r="O687" i="28"/>
  <c r="O686" i="28" s="1"/>
  <c r="O688" i="28" s="1"/>
  <c r="O690" i="28" s="1"/>
  <c r="O691" i="28" s="1"/>
  <c r="O692" i="28" s="1"/>
  <c r="K687" i="28"/>
  <c r="K686" i="28" s="1"/>
  <c r="K688" i="28" s="1"/>
  <c r="K690" i="28" s="1"/>
  <c r="K691" i="28" s="1"/>
  <c r="K692" i="28" s="1"/>
  <c r="F687" i="28"/>
  <c r="F686" i="28" s="1"/>
  <c r="F688" i="28" s="1"/>
  <c r="F690" i="28" s="1"/>
  <c r="F691" i="28" s="1"/>
  <c r="F692" i="28" s="1"/>
  <c r="H687" i="28"/>
  <c r="H686" i="28" s="1"/>
  <c r="H688" i="28" s="1"/>
  <c r="H690" i="28" s="1"/>
  <c r="H691" i="28" s="1"/>
  <c r="H692" i="28" s="1"/>
  <c r="J687" i="28"/>
  <c r="J686" i="28" s="1"/>
  <c r="J688" i="28" s="1"/>
  <c r="J690" i="28" s="1"/>
  <c r="J691" i="28" s="1"/>
  <c r="J692" i="28" s="1"/>
  <c r="N687" i="28"/>
  <c r="N686" i="28" s="1"/>
  <c r="N688" i="28" s="1"/>
  <c r="N690" i="28" s="1"/>
  <c r="N691" i="28" s="1"/>
  <c r="N692" i="28" s="1"/>
  <c r="L687" i="28"/>
  <c r="L686" i="28" s="1"/>
  <c r="L688" i="28" s="1"/>
  <c r="L690" i="28" s="1"/>
  <c r="L691" i="28" s="1"/>
  <c r="L692" i="28" s="1"/>
  <c r="G687" i="28"/>
  <c r="G686" i="28" s="1"/>
  <c r="G688" i="28" s="1"/>
  <c r="G690" i="28" s="1"/>
  <c r="G691" i="28" s="1"/>
  <c r="G692" i="28" s="1"/>
  <c r="I687" i="28"/>
  <c r="I686" i="28" s="1"/>
  <c r="I688" i="28" s="1"/>
  <c r="I690" i="28" s="1"/>
  <c r="I691" i="28" s="1"/>
  <c r="I692" i="28" s="1"/>
  <c r="M296" i="28"/>
  <c r="L296" i="28" s="1"/>
  <c r="Q687" i="28"/>
  <c r="Q686" i="28" s="1"/>
  <c r="Q688" i="28" s="1"/>
  <c r="Q690" i="28" s="1"/>
  <c r="Q691" i="28" s="1"/>
  <c r="B694" i="28" s="1"/>
  <c r="M687" i="28"/>
  <c r="M686" i="28" s="1"/>
  <c r="M688" i="28" s="1"/>
  <c r="M690" i="28" s="1"/>
  <c r="M691" i="28" s="1"/>
  <c r="M692" i="28" s="1"/>
  <c r="H195" i="9"/>
  <c r="L23" i="3"/>
  <c r="L24" i="3" s="1"/>
  <c r="K30" i="3"/>
  <c r="H202" i="9" s="1"/>
  <c r="K65" i="3"/>
  <c r="H221" i="9" s="1"/>
  <c r="O131" i="28"/>
  <c r="N131" i="28" s="1"/>
  <c r="D582" i="28"/>
  <c r="D581" i="28" s="1"/>
  <c r="D583" i="28" s="1"/>
  <c r="D585" i="28" s="1"/>
  <c r="D586" i="28" s="1"/>
  <c r="D587" i="28" s="1"/>
  <c r="B588" i="28" s="1"/>
  <c r="Q527" i="28"/>
  <c r="O522" i="28"/>
  <c r="O521" i="28" s="1"/>
  <c r="O523" i="28" s="1"/>
  <c r="O525" i="28" s="1"/>
  <c r="O526" i="28" s="1"/>
  <c r="O527" i="28" s="1"/>
  <c r="P522" i="28"/>
  <c r="P521" i="28" s="1"/>
  <c r="P523" i="28" s="1"/>
  <c r="P525" i="28" s="1"/>
  <c r="P526" i="28" s="1"/>
  <c r="P527" i="28" s="1"/>
  <c r="C686" i="28"/>
  <c r="C688" i="28" s="1"/>
  <c r="C690" i="28" s="1"/>
  <c r="C691" i="28" s="1"/>
  <c r="C692" i="28" s="1"/>
  <c r="L522" i="28"/>
  <c r="L521" i="28" s="1"/>
  <c r="L523" i="28" s="1"/>
  <c r="L525" i="28" s="1"/>
  <c r="L526" i="28" s="1"/>
  <c r="L527" i="28" s="1"/>
  <c r="B589" i="28"/>
  <c r="J522" i="28"/>
  <c r="Q436" i="28"/>
  <c r="N431" i="28"/>
  <c r="O431" i="28" s="1"/>
  <c r="O430" i="28" s="1"/>
  <c r="O432" i="28" s="1"/>
  <c r="O434" i="28" s="1"/>
  <c r="O435" i="28" s="1"/>
  <c r="O436" i="28" s="1"/>
  <c r="I431" i="28"/>
  <c r="J430" i="28"/>
  <c r="J432" i="28" s="1"/>
  <c r="J434" i="28" s="1"/>
  <c r="J435" i="28" s="1"/>
  <c r="J436" i="28" s="1"/>
  <c r="L209" i="13"/>
  <c r="L210" i="13"/>
  <c r="K13" i="17"/>
  <c r="K14" i="17" s="1"/>
  <c r="Q737" i="28"/>
  <c r="B739" i="28"/>
  <c r="F732" i="28"/>
  <c r="F731" i="28" s="1"/>
  <c r="F733" i="28" s="1"/>
  <c r="F735" i="28" s="1"/>
  <c r="F736" i="28" s="1"/>
  <c r="F737" i="28" s="1"/>
  <c r="D732" i="28"/>
  <c r="H116" i="28"/>
  <c r="I115" i="28"/>
  <c r="I117" i="28" s="1"/>
  <c r="I119" i="28" s="1"/>
  <c r="I120" i="28" s="1"/>
  <c r="I121" i="28" s="1"/>
  <c r="P732" i="28"/>
  <c r="J127" i="9"/>
  <c r="Q552" i="28"/>
  <c r="Q551" i="28" s="1"/>
  <c r="Q553" i="28" s="1"/>
  <c r="Q555" i="28" s="1"/>
  <c r="Q556" i="28" s="1"/>
  <c r="K56" i="13"/>
  <c r="K116" i="13" s="1"/>
  <c r="B362" i="28"/>
  <c r="B364" i="28" s="1"/>
  <c r="B365" i="28" s="1"/>
  <c r="O552" i="28"/>
  <c r="O551" i="28" s="1"/>
  <c r="O553" i="28" s="1"/>
  <c r="O555" i="28" s="1"/>
  <c r="O556" i="28" s="1"/>
  <c r="O557" i="28" s="1"/>
  <c r="L62" i="13"/>
  <c r="L65" i="13" s="1"/>
  <c r="L86" i="13" s="1"/>
  <c r="L118" i="13" s="1"/>
  <c r="L124" i="13" s="1"/>
  <c r="L63" i="13"/>
  <c r="L81" i="13" s="1"/>
  <c r="I150" i="60"/>
  <c r="AM143" i="13"/>
  <c r="AM144" i="13"/>
  <c r="AM145" i="13" s="1"/>
  <c r="AM147" i="13"/>
  <c r="N98" i="28"/>
  <c r="H193" i="28"/>
  <c r="G192" i="28"/>
  <c r="G194" i="28" s="1"/>
  <c r="G195" i="28" s="1"/>
  <c r="G196" i="28" s="1"/>
  <c r="AN51" i="13"/>
  <c r="AN115" i="13"/>
  <c r="AN52" i="13"/>
  <c r="AN53" i="13" s="1"/>
  <c r="AN171" i="13"/>
  <c r="AN172" i="13" s="1"/>
  <c r="AN173" i="13" s="1"/>
  <c r="AN154" i="13"/>
  <c r="AN155" i="13" s="1"/>
  <c r="AN174" i="13"/>
  <c r="K553" i="28"/>
  <c r="K555" i="28" s="1"/>
  <c r="K556" i="28" s="1"/>
  <c r="K557" i="28" s="1"/>
  <c r="O669" i="28"/>
  <c r="N36" i="28"/>
  <c r="M207" i="13"/>
  <c r="J186" i="9"/>
  <c r="M63" i="3"/>
  <c r="N173" i="28"/>
  <c r="B482" i="28"/>
  <c r="B484" i="28" s="1"/>
  <c r="B485" i="28" s="1"/>
  <c r="L116" i="9"/>
  <c r="O337" i="13"/>
  <c r="O338" i="13"/>
  <c r="T16" i="38"/>
  <c r="T32" i="38" s="1"/>
  <c r="T34" i="38" s="1"/>
  <c r="T36" i="38" s="1"/>
  <c r="T41" i="38" s="1"/>
  <c r="S32" i="38"/>
  <c r="S34" i="38" s="1"/>
  <c r="S36" i="38" s="1"/>
  <c r="S41" i="38" s="1"/>
  <c r="I400" i="28"/>
  <c r="H401" i="28"/>
  <c r="H400" i="28" s="1"/>
  <c r="G748" i="28"/>
  <c r="G750" i="28" s="1"/>
  <c r="G751" i="28" s="1"/>
  <c r="G752" i="28" s="1"/>
  <c r="M370" i="13"/>
  <c r="H39" i="28"/>
  <c r="H38" i="28" s="1"/>
  <c r="AP62" i="13"/>
  <c r="AP65" i="13" s="1"/>
  <c r="AP86" i="13" s="1"/>
  <c r="AP118" i="13" s="1"/>
  <c r="AP125" i="13" s="1"/>
  <c r="AP63" i="13"/>
  <c r="AP81" i="13" s="1"/>
  <c r="H232" i="9"/>
  <c r="L338" i="28"/>
  <c r="Q174" i="1"/>
  <c r="N402" i="28"/>
  <c r="N404" i="28" s="1"/>
  <c r="N405" i="28" s="1"/>
  <c r="N406" i="28" s="1"/>
  <c r="M69" i="3"/>
  <c r="J72" i="60"/>
  <c r="M72" i="60" s="1"/>
  <c r="J144" i="9"/>
  <c r="J47" i="9"/>
  <c r="J7" i="9" s="1"/>
  <c r="M72" i="3"/>
  <c r="J135" i="60"/>
  <c r="I2" i="26"/>
  <c r="I3" i="26" s="1"/>
  <c r="J136" i="60"/>
  <c r="J71" i="60"/>
  <c r="M71" i="60" s="1"/>
  <c r="J160" i="60"/>
  <c r="M8" i="13"/>
  <c r="M4" i="13"/>
  <c r="M6" i="13" s="1"/>
  <c r="N609" i="28"/>
  <c r="G177" i="9"/>
  <c r="K2" i="3"/>
  <c r="Q348" i="13"/>
  <c r="N118" i="9"/>
  <c r="N119" i="9" s="1"/>
  <c r="H14" i="26"/>
  <c r="H15" i="26" s="1"/>
  <c r="L139" i="3"/>
  <c r="L128" i="9"/>
  <c r="O384" i="13"/>
  <c r="K262" i="13"/>
  <c r="H88" i="9"/>
  <c r="K261" i="13"/>
  <c r="N203" i="28"/>
  <c r="AO123" i="13"/>
  <c r="AO142" i="13" s="1"/>
  <c r="N233" i="28"/>
  <c r="G50" i="9"/>
  <c r="G51" i="9" s="1"/>
  <c r="J18" i="13"/>
  <c r="G146" i="9"/>
  <c r="G147" i="9" s="1"/>
  <c r="M59" i="13"/>
  <c r="M202" i="13"/>
  <c r="M57" i="13" s="1"/>
  <c r="M208" i="13"/>
  <c r="M240" i="13" s="1"/>
  <c r="J75" i="9"/>
  <c r="M10" i="13"/>
  <c r="O128" i="9"/>
  <c r="K129" i="9"/>
  <c r="O116" i="9"/>
  <c r="K117" i="9"/>
  <c r="M263" i="28"/>
  <c r="M264" i="28" s="1"/>
  <c r="N143" i="28"/>
  <c r="H746" i="28"/>
  <c r="H745" i="28"/>
  <c r="R21" i="38"/>
  <c r="R23" i="38" s="1"/>
  <c r="R25" i="38" s="1"/>
  <c r="R30" i="38" s="1"/>
  <c r="R43" i="38" s="1"/>
  <c r="R46" i="38" s="1"/>
  <c r="S18" i="38"/>
  <c r="G139" i="9"/>
  <c r="G140" i="9" s="1"/>
  <c r="J433" i="13"/>
  <c r="J434" i="13" s="1"/>
  <c r="Y12" i="17"/>
  <c r="AF12" i="17" s="1"/>
  <c r="M31" i="13"/>
  <c r="M223" i="13"/>
  <c r="M225" i="13"/>
  <c r="M72" i="13" s="1"/>
  <c r="M74" i="13" s="1"/>
  <c r="J80" i="9"/>
  <c r="J81" i="9" s="1"/>
  <c r="J212" i="9"/>
  <c r="G9" i="26"/>
  <c r="G10" i="26" s="1"/>
  <c r="L43" i="3"/>
  <c r="Q353" i="13"/>
  <c r="Q351" i="13"/>
  <c r="N120" i="9"/>
  <c r="N121" i="9" s="1"/>
  <c r="J232" i="60"/>
  <c r="J235" i="60" s="1"/>
  <c r="N383" i="28"/>
  <c r="E22" i="28"/>
  <c r="N158" i="28"/>
  <c r="G14" i="26"/>
  <c r="G15" i="26" s="1"/>
  <c r="K139" i="3"/>
  <c r="H150" i="60"/>
  <c r="AO171" i="13"/>
  <c r="AO172" i="13" s="1"/>
  <c r="AO173" i="13" s="1"/>
  <c r="AO52" i="13"/>
  <c r="AO53" i="13" s="1"/>
  <c r="AO154" i="13"/>
  <c r="AO155" i="13" s="1"/>
  <c r="AO51" i="13"/>
  <c r="AO115" i="13"/>
  <c r="AN143" i="13"/>
  <c r="AN144" i="13"/>
  <c r="AN145" i="13" s="1"/>
  <c r="AN147" i="13"/>
  <c r="P51" i="38"/>
  <c r="M240" i="9"/>
  <c r="J123" i="13"/>
  <c r="J142" i="13" s="1"/>
  <c r="P336" i="13"/>
  <c r="P368" i="13" s="1"/>
  <c r="M114" i="9"/>
  <c r="K339" i="28"/>
  <c r="K368" i="28"/>
  <c r="P553" i="28"/>
  <c r="P555" i="28" s="1"/>
  <c r="P556" i="28" s="1"/>
  <c r="P557" i="28" s="1"/>
  <c r="N371" i="13"/>
  <c r="R368" i="13"/>
  <c r="AC10" i="17"/>
  <c r="N381" i="13"/>
  <c r="N382" i="13" s="1"/>
  <c r="N369" i="13"/>
  <c r="K125" i="9"/>
  <c r="AP15" i="13"/>
  <c r="AP20" i="13" s="1"/>
  <c r="AP56" i="13" s="1"/>
  <c r="AP116" i="13" s="1"/>
  <c r="AP17" i="13"/>
  <c r="AP50" i="13" s="1"/>
  <c r="O402" i="28"/>
  <c r="O404" i="28" s="1"/>
  <c r="O405" i="28" s="1"/>
  <c r="O406" i="28" s="1"/>
  <c r="N68" i="28"/>
  <c r="J185" i="9"/>
  <c r="M62" i="3"/>
  <c r="M135" i="3"/>
  <c r="O413" i="28"/>
  <c r="Q458" i="13"/>
  <c r="Q457" i="13"/>
  <c r="N168" i="9"/>
  <c r="H152" i="60"/>
  <c r="N654" i="28"/>
  <c r="I232" i="9"/>
  <c r="M699" i="28"/>
  <c r="M700" i="28" s="1"/>
  <c r="N624" i="28"/>
  <c r="N83" i="28"/>
  <c r="O458" i="28"/>
  <c r="H253" i="28"/>
  <c r="G252" i="28"/>
  <c r="G254" i="28" s="1"/>
  <c r="G255" i="28" s="1"/>
  <c r="G256" i="28" s="1"/>
  <c r="N278" i="28"/>
  <c r="B573" i="28"/>
  <c r="B575" i="28" s="1"/>
  <c r="B576" i="28" s="1"/>
  <c r="N297" i="28"/>
  <c r="N299" i="28" s="1"/>
  <c r="N300" i="28" s="1"/>
  <c r="N301" i="28" s="1"/>
  <c r="AP241" i="13"/>
  <c r="AP242" i="13" s="1"/>
  <c r="AP257" i="13"/>
  <c r="AP258" i="13" s="1"/>
  <c r="AP259" i="13" s="1"/>
  <c r="AP243" i="13"/>
  <c r="J402" i="28"/>
  <c r="J404" i="28" s="1"/>
  <c r="J405" i="28" s="1"/>
  <c r="J406" i="28" s="1"/>
  <c r="N218" i="28"/>
  <c r="G40" i="28"/>
  <c r="G42" i="28" s="1"/>
  <c r="G43" i="28" s="1"/>
  <c r="G46" i="28" s="1"/>
  <c r="L3" i="3"/>
  <c r="H178" i="9"/>
  <c r="N239" i="9"/>
  <c r="Q100" i="3"/>
  <c r="L401" i="13"/>
  <c r="L423" i="13" s="1"/>
  <c r="I134" i="9"/>
  <c r="L13" i="13"/>
  <c r="G69" i="9"/>
  <c r="N113" i="9"/>
  <c r="Q328" i="13"/>
  <c r="J444" i="13"/>
  <c r="J445" i="13" s="1"/>
  <c r="AB16" i="17"/>
  <c r="AI10" i="17"/>
  <c r="N534" i="28"/>
  <c r="M594" i="28"/>
  <c r="M595" i="28" s="1"/>
  <c r="J552" i="28"/>
  <c r="J551" i="28" s="1"/>
  <c r="L552" i="28"/>
  <c r="N639" i="28"/>
  <c r="I104" i="3"/>
  <c r="E244" i="9"/>
  <c r="I152" i="60"/>
  <c r="Q48" i="38"/>
  <c r="M26" i="13"/>
  <c r="M218" i="13"/>
  <c r="J78" i="9"/>
  <c r="J79" i="9" s="1"/>
  <c r="M220" i="13"/>
  <c r="M69" i="13" s="1"/>
  <c r="M230" i="13"/>
  <c r="M75" i="13" s="1"/>
  <c r="M77" i="13" s="1"/>
  <c r="M40" i="13"/>
  <c r="J82" i="9"/>
  <c r="J83" i="9" s="1"/>
  <c r="M36" i="13"/>
  <c r="O323" i="28"/>
  <c r="Q356" i="13"/>
  <c r="N122" i="9"/>
  <c r="N123" i="9" s="1"/>
  <c r="Q358" i="13"/>
  <c r="J193" i="9"/>
  <c r="M64" i="3"/>
  <c r="J288" i="60"/>
  <c r="AM171" i="13"/>
  <c r="AM172" i="13" s="1"/>
  <c r="AM173" i="13" s="1"/>
  <c r="AM52" i="13"/>
  <c r="AM54" i="13" s="1"/>
  <c r="J54" i="13" s="1"/>
  <c r="AM115" i="13"/>
  <c r="AM120" i="13" s="1"/>
  <c r="AM51" i="13"/>
  <c r="AM154" i="13"/>
  <c r="AM155" i="13" s="1"/>
  <c r="AM174" i="13"/>
  <c r="Q151" i="1"/>
  <c r="N34" i="9"/>
  <c r="H179" i="9"/>
  <c r="L4" i="3"/>
  <c r="J74" i="9"/>
  <c r="M505" i="28"/>
  <c r="N443" i="28"/>
  <c r="N504" i="28" s="1"/>
  <c r="AG9" i="17"/>
  <c r="Z15" i="17"/>
  <c r="F491" i="28" l="1"/>
  <c r="E491" i="28" s="1"/>
  <c r="K442" i="13"/>
  <c r="K443" i="13" s="1"/>
  <c r="K444" i="13" s="1"/>
  <c r="K445" i="13" s="1"/>
  <c r="M397" i="13"/>
  <c r="M13" i="13" s="1"/>
  <c r="M442" i="13" s="1"/>
  <c r="K63" i="13"/>
  <c r="K81" i="13" s="1"/>
  <c r="K83" i="13" s="1"/>
  <c r="K17" i="13"/>
  <c r="K50" i="13" s="1"/>
  <c r="H135" i="9"/>
  <c r="K369" i="28"/>
  <c r="P269" i="13"/>
  <c r="O270" i="13"/>
  <c r="L93" i="9"/>
  <c r="N321" i="13"/>
  <c r="N276" i="13"/>
  <c r="K94" i="9"/>
  <c r="O94" i="9" s="1"/>
  <c r="M322" i="13"/>
  <c r="J108" i="9"/>
  <c r="J109" i="9" s="1"/>
  <c r="O288" i="13"/>
  <c r="L98" i="9"/>
  <c r="O298" i="13"/>
  <c r="O296" i="13"/>
  <c r="L102" i="9"/>
  <c r="Z17" i="17"/>
  <c r="AG11" i="17"/>
  <c r="Q66" i="17"/>
  <c r="F56" i="28"/>
  <c r="F55" i="28" s="1"/>
  <c r="F57" i="28" s="1"/>
  <c r="F59" i="28" s="1"/>
  <c r="F60" i="28" s="1"/>
  <c r="F61" i="28" s="1"/>
  <c r="K310" i="13"/>
  <c r="H106" i="9"/>
  <c r="H107" i="9"/>
  <c r="P279" i="13"/>
  <c r="P283" i="13" s="1"/>
  <c r="P289" i="13"/>
  <c r="P272" i="13"/>
  <c r="P275" i="13" s="1"/>
  <c r="P284" i="13"/>
  <c r="M92" i="9"/>
  <c r="P294" i="13"/>
  <c r="P268" i="13"/>
  <c r="O100" i="9"/>
  <c r="K101" i="9"/>
  <c r="K99" i="9"/>
  <c r="O98" i="9"/>
  <c r="N4" i="9"/>
  <c r="Q425" i="1"/>
  <c r="Q426" i="1" s="1"/>
  <c r="Q267" i="13"/>
  <c r="L53" i="28"/>
  <c r="F490" i="28"/>
  <c r="F492" i="28" s="1"/>
  <c r="F494" i="28" s="1"/>
  <c r="F495" i="28" s="1"/>
  <c r="F496" i="28" s="1"/>
  <c r="M308" i="13"/>
  <c r="J96" i="9"/>
  <c r="J97" i="9" s="1"/>
  <c r="M277" i="13"/>
  <c r="M278" i="13"/>
  <c r="I105" i="9"/>
  <c r="L309" i="13"/>
  <c r="L311" i="13"/>
  <c r="AA11" i="17"/>
  <c r="K103" i="9"/>
  <c r="O102" i="9"/>
  <c r="L95" i="9"/>
  <c r="P271" i="13"/>
  <c r="L100" i="9"/>
  <c r="O291" i="13"/>
  <c r="O293" i="13"/>
  <c r="J136" i="13"/>
  <c r="D8" i="15"/>
  <c r="E8" i="15" s="1"/>
  <c r="E7" i="15" s="1"/>
  <c r="M22" i="13"/>
  <c r="M25" i="13"/>
  <c r="M23" i="13"/>
  <c r="I195" i="9"/>
  <c r="Q383" i="13"/>
  <c r="M260" i="13"/>
  <c r="M295" i="28"/>
  <c r="M297" i="28" s="1"/>
  <c r="M299" i="28" s="1"/>
  <c r="M300" i="28" s="1"/>
  <c r="M301" i="28" s="1"/>
  <c r="Q692" i="28"/>
  <c r="B693" i="28" s="1"/>
  <c r="B695" i="28" s="1"/>
  <c r="B696" i="28" s="1"/>
  <c r="L65" i="3"/>
  <c r="I221" i="9" s="1"/>
  <c r="M23" i="3"/>
  <c r="M65" i="3" s="1"/>
  <c r="J221" i="9" s="1"/>
  <c r="O130" i="28"/>
  <c r="O132" i="28" s="1"/>
  <c r="O134" i="28" s="1"/>
  <c r="O135" i="28" s="1"/>
  <c r="O136" i="28" s="1"/>
  <c r="B590" i="28"/>
  <c r="B591" i="28" s="1"/>
  <c r="M522" i="28"/>
  <c r="M521" i="28" s="1"/>
  <c r="M523" i="28" s="1"/>
  <c r="M525" i="28" s="1"/>
  <c r="M526" i="28" s="1"/>
  <c r="M527" i="28" s="1"/>
  <c r="J521" i="28"/>
  <c r="J523" i="28" s="1"/>
  <c r="J525" i="28" s="1"/>
  <c r="J526" i="28" s="1"/>
  <c r="J527" i="28" s="1"/>
  <c r="I522" i="28"/>
  <c r="M131" i="28"/>
  <c r="N130" i="28"/>
  <c r="N132" i="28" s="1"/>
  <c r="N134" i="28" s="1"/>
  <c r="N135" i="28" s="1"/>
  <c r="N136" i="28" s="1"/>
  <c r="I85" i="9"/>
  <c r="I86" i="9" s="1"/>
  <c r="N430" i="28"/>
  <c r="N432" i="28" s="1"/>
  <c r="N434" i="28" s="1"/>
  <c r="N435" i="28" s="1"/>
  <c r="N436" i="28" s="1"/>
  <c r="I430" i="28"/>
  <c r="I432" i="28" s="1"/>
  <c r="I434" i="28" s="1"/>
  <c r="I435" i="28" s="1"/>
  <c r="I436" i="28" s="1"/>
  <c r="H431" i="28"/>
  <c r="I88" i="9"/>
  <c r="L261" i="13"/>
  <c r="L243" i="13"/>
  <c r="AA9" i="17"/>
  <c r="AH9" i="17" s="1"/>
  <c r="L257" i="13"/>
  <c r="L258" i="13" s="1"/>
  <c r="L259" i="13" s="1"/>
  <c r="L241" i="13"/>
  <c r="L242" i="13" s="1"/>
  <c r="G116" i="28"/>
  <c r="H115" i="28"/>
  <c r="H117" i="28" s="1"/>
  <c r="H119" i="28" s="1"/>
  <c r="H120" i="28" s="1"/>
  <c r="H121" i="28" s="1"/>
  <c r="P731" i="28"/>
  <c r="P733" i="28" s="1"/>
  <c r="P735" i="28" s="1"/>
  <c r="P736" i="28" s="1"/>
  <c r="P737" i="28" s="1"/>
  <c r="O732" i="28"/>
  <c r="D731" i="28"/>
  <c r="D733" i="28" s="1"/>
  <c r="D735" i="28" s="1"/>
  <c r="D736" i="28" s="1"/>
  <c r="D737" i="28" s="1"/>
  <c r="C732" i="28"/>
  <c r="B732" i="28" s="1"/>
  <c r="B559" i="28"/>
  <c r="Q557" i="28"/>
  <c r="J144" i="13"/>
  <c r="J147" i="13"/>
  <c r="G167" i="9"/>
  <c r="J143" i="13"/>
  <c r="I179" i="9"/>
  <c r="M4" i="3"/>
  <c r="F243" i="9"/>
  <c r="I105" i="3"/>
  <c r="M3" i="3"/>
  <c r="I178" i="9"/>
  <c r="O278" i="28"/>
  <c r="M128" i="9"/>
  <c r="P384" i="13"/>
  <c r="AO119" i="13"/>
  <c r="AO121" i="13" s="1"/>
  <c r="M210" i="13"/>
  <c r="J76" i="9"/>
  <c r="J77" i="9" s="1"/>
  <c r="M209" i="13"/>
  <c r="G140" i="60"/>
  <c r="G155" i="9"/>
  <c r="G156" i="9" s="1"/>
  <c r="G64" i="9"/>
  <c r="J154" i="13"/>
  <c r="J155" i="13" s="1"/>
  <c r="G75" i="60"/>
  <c r="J52" i="13"/>
  <c r="J53" i="13" s="1"/>
  <c r="D7" i="15" s="1"/>
  <c r="J51" i="13"/>
  <c r="J131" i="3"/>
  <c r="J133" i="3" s="1"/>
  <c r="J142" i="3" s="1"/>
  <c r="J146" i="3" s="1"/>
  <c r="G139" i="60"/>
  <c r="F4" i="26"/>
  <c r="J113" i="3"/>
  <c r="J171" i="13"/>
  <c r="J172" i="13" s="1"/>
  <c r="J173" i="13" s="1"/>
  <c r="G74" i="60"/>
  <c r="Y13" i="17"/>
  <c r="J115" i="13"/>
  <c r="J174" i="13"/>
  <c r="J452" i="13" s="1"/>
  <c r="O233" i="28"/>
  <c r="H89" i="9"/>
  <c r="H87" i="9"/>
  <c r="M9" i="13"/>
  <c r="J6" i="9"/>
  <c r="J11" i="9"/>
  <c r="J10" i="9"/>
  <c r="J9" i="9"/>
  <c r="H40" i="28"/>
  <c r="H42" i="28" s="1"/>
  <c r="H43" i="28" s="1"/>
  <c r="H46" i="28" s="1"/>
  <c r="P669" i="28"/>
  <c r="J271" i="60"/>
  <c r="J254" i="60" s="1"/>
  <c r="Q336" i="13"/>
  <c r="Q368" i="13" s="1"/>
  <c r="N114" i="9"/>
  <c r="P413" i="28"/>
  <c r="M136" i="3"/>
  <c r="I11" i="26" s="1"/>
  <c r="I12" i="26"/>
  <c r="I13" i="26" s="1"/>
  <c r="AC16" i="17"/>
  <c r="AJ10" i="17"/>
  <c r="AN149" i="13"/>
  <c r="AN150" i="13" s="1"/>
  <c r="AN148" i="13"/>
  <c r="F22" i="28"/>
  <c r="T714" i="28" s="1"/>
  <c r="S714" i="28"/>
  <c r="H748" i="28"/>
  <c r="H750" i="28" s="1"/>
  <c r="H751" i="28" s="1"/>
  <c r="H752" i="28" s="1"/>
  <c r="AO147" i="13"/>
  <c r="AO144" i="13"/>
  <c r="AO145" i="13" s="1"/>
  <c r="AO143" i="13"/>
  <c r="J151" i="60"/>
  <c r="M151" i="60" s="1"/>
  <c r="M160" i="60"/>
  <c r="M184" i="60"/>
  <c r="O98" i="28"/>
  <c r="AM149" i="13"/>
  <c r="AM150" i="13" s="1"/>
  <c r="AM148" i="13"/>
  <c r="N505" i="28"/>
  <c r="O443" i="28"/>
  <c r="O504" i="28" s="1"/>
  <c r="P323" i="28"/>
  <c r="M27" i="13"/>
  <c r="J53" i="9"/>
  <c r="J54" i="9" s="1"/>
  <c r="M28" i="13"/>
  <c r="M30" i="13"/>
  <c r="J148" i="9"/>
  <c r="J149" i="9" s="1"/>
  <c r="O639" i="28"/>
  <c r="J553" i="28"/>
  <c r="J555" i="28" s="1"/>
  <c r="J556" i="28" s="1"/>
  <c r="J557" i="28" s="1"/>
  <c r="O534" i="28"/>
  <c r="N594" i="28"/>
  <c r="N595" i="28" s="1"/>
  <c r="L15" i="13"/>
  <c r="L20" i="13" s="1"/>
  <c r="L56" i="13" s="1"/>
  <c r="L116" i="13" s="1"/>
  <c r="L17" i="13"/>
  <c r="L50" i="13" s="1"/>
  <c r="L442" i="13"/>
  <c r="L443" i="13" s="1"/>
  <c r="O218" i="28"/>
  <c r="I253" i="28"/>
  <c r="H252" i="28"/>
  <c r="H254" i="28" s="1"/>
  <c r="H255" i="28" s="1"/>
  <c r="H256" i="28" s="1"/>
  <c r="O624" i="28"/>
  <c r="N699" i="28"/>
  <c r="N700" i="28" s="1"/>
  <c r="L295" i="28"/>
  <c r="K296" i="28"/>
  <c r="J220" i="9"/>
  <c r="I39" i="28"/>
  <c r="I38" i="28" s="1"/>
  <c r="N370" i="13"/>
  <c r="I552" i="28"/>
  <c r="O383" i="28"/>
  <c r="J150" i="9"/>
  <c r="J151" i="9" s="1"/>
  <c r="M35" i="13"/>
  <c r="J56" i="9"/>
  <c r="J57" i="9" s="1"/>
  <c r="M33" i="13"/>
  <c r="M32" i="13"/>
  <c r="S21" i="38"/>
  <c r="S23" i="38" s="1"/>
  <c r="S25" i="38" s="1"/>
  <c r="S30" i="38" s="1"/>
  <c r="S43" i="38" s="1"/>
  <c r="S46" i="38" s="1"/>
  <c r="T18" i="38"/>
  <c r="T21" i="38" s="1"/>
  <c r="T23" i="38" s="1"/>
  <c r="T25" i="38" s="1"/>
  <c r="T30" i="38" s="1"/>
  <c r="T43" i="38" s="1"/>
  <c r="T46" i="38" s="1"/>
  <c r="J48" i="9"/>
  <c r="J145" i="9"/>
  <c r="O203" i="28"/>
  <c r="H177" i="9"/>
  <c r="L2" i="3"/>
  <c r="J143" i="60"/>
  <c r="M143" i="60" s="1"/>
  <c r="M135" i="60"/>
  <c r="L339" i="28"/>
  <c r="M338" i="28"/>
  <c r="L368" i="28"/>
  <c r="AP117" i="13"/>
  <c r="AP82" i="13"/>
  <c r="AP83" i="13"/>
  <c r="AN119" i="13"/>
  <c r="AN130" i="13" s="1"/>
  <c r="I135" i="9"/>
  <c r="K433" i="13"/>
  <c r="K434" i="13" s="1"/>
  <c r="H139" i="9"/>
  <c r="H140" i="9" s="1"/>
  <c r="Z12" i="17"/>
  <c r="AG12" i="17" s="1"/>
  <c r="P458" i="28"/>
  <c r="O609" i="28"/>
  <c r="H402" i="28"/>
  <c r="H404" i="28" s="1"/>
  <c r="H405" i="28" s="1"/>
  <c r="H406" i="28" s="1"/>
  <c r="P116" i="9"/>
  <c r="L117" i="9"/>
  <c r="N240" i="9"/>
  <c r="O125" i="9"/>
  <c r="K126" i="9"/>
  <c r="J42" i="3"/>
  <c r="G211" i="9" s="1"/>
  <c r="J59" i="3"/>
  <c r="G218" i="9" s="1"/>
  <c r="AP123" i="13"/>
  <c r="O158" i="28"/>
  <c r="I402" i="28"/>
  <c r="I404" i="28" s="1"/>
  <c r="I405" i="28" s="1"/>
  <c r="I406" i="28" s="1"/>
  <c r="L125" i="9"/>
  <c r="L127" i="9" s="1"/>
  <c r="O381" i="13"/>
  <c r="O382" i="13" s="1"/>
  <c r="O371" i="13"/>
  <c r="O369" i="13"/>
  <c r="J152" i="9"/>
  <c r="J153" i="9" s="1"/>
  <c r="M38" i="13"/>
  <c r="M37" i="13"/>
  <c r="J59" i="9"/>
  <c r="J60" i="9" s="1"/>
  <c r="Q49" i="38"/>
  <c r="Q51" i="38" s="1"/>
  <c r="I196" i="9"/>
  <c r="L30" i="3"/>
  <c r="I202" i="9" s="1"/>
  <c r="L551" i="28"/>
  <c r="M552" i="28"/>
  <c r="O83" i="28"/>
  <c r="O654" i="28"/>
  <c r="O68" i="28"/>
  <c r="AP18" i="13"/>
  <c r="AP174" i="13"/>
  <c r="P338" i="13"/>
  <c r="M116" i="9"/>
  <c r="M117" i="9" s="1"/>
  <c r="P337" i="13"/>
  <c r="H9" i="26"/>
  <c r="H10" i="26" s="1"/>
  <c r="K212" i="9"/>
  <c r="R48" i="38"/>
  <c r="O143" i="28"/>
  <c r="N263" i="28"/>
  <c r="N264" i="28" s="1"/>
  <c r="K127" i="9"/>
  <c r="P128" i="9"/>
  <c r="L129" i="9"/>
  <c r="M441" i="13"/>
  <c r="M136" i="60"/>
  <c r="J144" i="60"/>
  <c r="M144" i="60" s="1"/>
  <c r="M138" i="3"/>
  <c r="J225" i="9"/>
  <c r="J224" i="9"/>
  <c r="M82" i="3"/>
  <c r="O173" i="28"/>
  <c r="O36" i="28"/>
  <c r="I193" i="28"/>
  <c r="H192" i="28"/>
  <c r="H194" i="28" s="1"/>
  <c r="H195" i="28" s="1"/>
  <c r="H196" i="28" s="1"/>
  <c r="L117" i="13"/>
  <c r="I68" i="9"/>
  <c r="I157" i="9"/>
  <c r="I158" i="9" s="1"/>
  <c r="L82" i="13"/>
  <c r="J134" i="9" l="1"/>
  <c r="M17" i="13"/>
  <c r="M50" i="13" s="1"/>
  <c r="M84" i="60" s="1"/>
  <c r="M15" i="13"/>
  <c r="M20" i="13" s="1"/>
  <c r="M56" i="13" s="1"/>
  <c r="M116" i="13" s="1"/>
  <c r="M401" i="13"/>
  <c r="M423" i="13" s="1"/>
  <c r="M60" i="13"/>
  <c r="M62" i="13" s="1"/>
  <c r="M65" i="13" s="1"/>
  <c r="M86" i="13" s="1"/>
  <c r="M118" i="13" s="1"/>
  <c r="M124" i="13" s="1"/>
  <c r="M435" i="13"/>
  <c r="J141" i="9" s="1"/>
  <c r="K18" i="13"/>
  <c r="H50" i="9"/>
  <c r="H51" i="9" s="1"/>
  <c r="H146" i="9"/>
  <c r="H147" i="9" s="1"/>
  <c r="H139" i="60"/>
  <c r="K52" i="13"/>
  <c r="L369" i="28"/>
  <c r="H140" i="60"/>
  <c r="H68" i="9"/>
  <c r="H69" i="9" s="1"/>
  <c r="H155" i="9"/>
  <c r="H156" i="9" s="1"/>
  <c r="H64" i="9"/>
  <c r="H65" i="9" s="1"/>
  <c r="K51" i="13"/>
  <c r="K154" i="13"/>
  <c r="K155" i="13" s="1"/>
  <c r="K171" i="13"/>
  <c r="K172" i="13" s="1"/>
  <c r="K173" i="13" s="1"/>
  <c r="L101" i="9"/>
  <c r="P100" i="9"/>
  <c r="G56" i="28"/>
  <c r="G55" i="28" s="1"/>
  <c r="G57" i="28" s="1"/>
  <c r="G59" i="28" s="1"/>
  <c r="G60" i="28" s="1"/>
  <c r="G61" i="28" s="1"/>
  <c r="L310" i="13"/>
  <c r="AB11" i="17"/>
  <c r="M309" i="13"/>
  <c r="M311" i="13"/>
  <c r="J105" i="9"/>
  <c r="Q279" i="13"/>
  <c r="Q283" i="13" s="1"/>
  <c r="Q289" i="13"/>
  <c r="Q294" i="13"/>
  <c r="Q268" i="13"/>
  <c r="Q272" i="13"/>
  <c r="Q275" i="13" s="1"/>
  <c r="Q284" i="13"/>
  <c r="N92" i="9"/>
  <c r="P296" i="13"/>
  <c r="P298" i="13"/>
  <c r="M102" i="9"/>
  <c r="M103" i="9" s="1"/>
  <c r="P288" i="13"/>
  <c r="M98" i="9"/>
  <c r="M99" i="9" s="1"/>
  <c r="P293" i="13"/>
  <c r="M100" i="9"/>
  <c r="M101" i="9" s="1"/>
  <c r="P291" i="13"/>
  <c r="L99" i="9"/>
  <c r="P98" i="9"/>
  <c r="N308" i="13"/>
  <c r="K96" i="9"/>
  <c r="N277" i="13"/>
  <c r="N278" i="13"/>
  <c r="P270" i="13"/>
  <c r="Q269" i="13"/>
  <c r="M93" i="9"/>
  <c r="Q271" i="13"/>
  <c r="N95" i="9" s="1"/>
  <c r="M95" i="9"/>
  <c r="AH11" i="17"/>
  <c r="R66" i="17"/>
  <c r="AA17" i="17"/>
  <c r="I106" i="9"/>
  <c r="I107" i="9"/>
  <c r="D491" i="28"/>
  <c r="E490" i="28"/>
  <c r="E492" i="28" s="1"/>
  <c r="E494" i="28" s="1"/>
  <c r="E495" i="28" s="1"/>
  <c r="E496" i="28" s="1"/>
  <c r="L54" i="28"/>
  <c r="M53" i="28"/>
  <c r="N53" i="28" s="1"/>
  <c r="O53" i="28" s="1"/>
  <c r="L103" i="9"/>
  <c r="P102" i="9"/>
  <c r="N322" i="13"/>
  <c r="K108" i="9"/>
  <c r="O321" i="13"/>
  <c r="L94" i="9"/>
  <c r="P94" i="9" s="1"/>
  <c r="O276" i="13"/>
  <c r="L83" i="13"/>
  <c r="H157" i="9"/>
  <c r="H158" i="9" s="1"/>
  <c r="K117" i="13"/>
  <c r="K123" i="13" s="1"/>
  <c r="K59" i="3" s="1"/>
  <c r="H218" i="9" s="1"/>
  <c r="K82" i="13"/>
  <c r="G4" i="26"/>
  <c r="G5" i="26" s="1"/>
  <c r="K115" i="13"/>
  <c r="H161" i="9" s="1"/>
  <c r="K174" i="13"/>
  <c r="K452" i="13" s="1"/>
  <c r="Z13" i="17"/>
  <c r="AG13" i="17" s="1"/>
  <c r="H74" i="60"/>
  <c r="H146" i="60" s="1"/>
  <c r="H75" i="60"/>
  <c r="K113" i="3"/>
  <c r="K131" i="3"/>
  <c r="K133" i="3" s="1"/>
  <c r="K142" i="3" s="1"/>
  <c r="K146" i="3" s="1"/>
  <c r="M24" i="3"/>
  <c r="J196" i="9" s="1"/>
  <c r="J195" i="9"/>
  <c r="N522" i="28"/>
  <c r="N521" i="28" s="1"/>
  <c r="N523" i="28" s="1"/>
  <c r="N525" i="28" s="1"/>
  <c r="N526" i="28" s="1"/>
  <c r="N527" i="28" s="1"/>
  <c r="I521" i="28"/>
  <c r="I523" i="28" s="1"/>
  <c r="I525" i="28" s="1"/>
  <c r="I526" i="28" s="1"/>
  <c r="I527" i="28" s="1"/>
  <c r="H522" i="28"/>
  <c r="L131" i="28"/>
  <c r="M130" i="28"/>
  <c r="M132" i="28" s="1"/>
  <c r="M134" i="28" s="1"/>
  <c r="M135" i="28" s="1"/>
  <c r="M136" i="28" s="1"/>
  <c r="I87" i="9"/>
  <c r="AA15" i="17"/>
  <c r="H430" i="28"/>
  <c r="H432" i="28" s="1"/>
  <c r="H434" i="28" s="1"/>
  <c r="H435" i="28" s="1"/>
  <c r="H436" i="28" s="1"/>
  <c r="G431" i="28"/>
  <c r="I89" i="9"/>
  <c r="K43" i="17"/>
  <c r="AO122" i="13"/>
  <c r="M443" i="13"/>
  <c r="M444" i="13" s="1"/>
  <c r="M445" i="13" s="1"/>
  <c r="G146" i="60"/>
  <c r="O731" i="28"/>
  <c r="N732" i="28"/>
  <c r="G115" i="28"/>
  <c r="G117" i="28" s="1"/>
  <c r="G119" i="28" s="1"/>
  <c r="G120" i="28" s="1"/>
  <c r="G121" i="28" s="1"/>
  <c r="F116" i="28"/>
  <c r="F115" i="28" s="1"/>
  <c r="F117" i="28" s="1"/>
  <c r="F119" i="28" s="1"/>
  <c r="F120" i="28" s="1"/>
  <c r="F121" i="28" s="1"/>
  <c r="B407" i="28"/>
  <c r="B409" i="28" s="1"/>
  <c r="B410" i="28" s="1"/>
  <c r="U95" i="60" s="1"/>
  <c r="J161" i="60"/>
  <c r="M185" i="60" s="1"/>
  <c r="J289" i="60"/>
  <c r="AO130" i="13"/>
  <c r="AO131" i="13" s="1"/>
  <c r="J39" i="28"/>
  <c r="J38" i="28" s="1"/>
  <c r="O370" i="13"/>
  <c r="AN133" i="13"/>
  <c r="AN134" i="13" s="1"/>
  <c r="AN135" i="13" s="1"/>
  <c r="AN131" i="13"/>
  <c r="T48" i="38"/>
  <c r="T49" i="38" s="1"/>
  <c r="I40" i="28"/>
  <c r="I42" i="28" s="1"/>
  <c r="I43" i="28" s="1"/>
  <c r="I46" i="28" s="1"/>
  <c r="J253" i="28"/>
  <c r="I252" i="28"/>
  <c r="I254" i="28" s="1"/>
  <c r="I255" i="28" s="1"/>
  <c r="I256" i="28" s="1"/>
  <c r="P218" i="28"/>
  <c r="P173" i="28"/>
  <c r="O263" i="28"/>
  <c r="O264" i="28" s="1"/>
  <c r="P143" i="28"/>
  <c r="P381" i="13"/>
  <c r="P382" i="13" s="1"/>
  <c r="P369" i="13"/>
  <c r="P371" i="13"/>
  <c r="M125" i="9"/>
  <c r="M126" i="9" s="1"/>
  <c r="P83" i="28"/>
  <c r="M12" i="60"/>
  <c r="M56" i="60"/>
  <c r="J74" i="60"/>
  <c r="M74" i="60" s="1"/>
  <c r="F217" i="60" s="1"/>
  <c r="AB13" i="17"/>
  <c r="M114" i="60"/>
  <c r="M92" i="60"/>
  <c r="M100" i="60"/>
  <c r="M90" i="60"/>
  <c r="M98" i="60"/>
  <c r="M112" i="60"/>
  <c r="M52" i="60"/>
  <c r="M16" i="60"/>
  <c r="M18" i="60"/>
  <c r="M22" i="60"/>
  <c r="M32" i="60"/>
  <c r="M48" i="60"/>
  <c r="M88" i="60"/>
  <c r="L444" i="13"/>
  <c r="L445" i="13" s="1"/>
  <c r="P534" i="28"/>
  <c r="O594" i="28"/>
  <c r="O595" i="28" s="1"/>
  <c r="S716" i="28"/>
  <c r="T716" i="28"/>
  <c r="T720" i="28"/>
  <c r="Q717" i="28" s="1"/>
  <c r="Q716" i="28" s="1"/>
  <c r="U716" i="28"/>
  <c r="J145" i="13"/>
  <c r="G170" i="9"/>
  <c r="P36" i="28"/>
  <c r="P609" i="28"/>
  <c r="I551" i="28"/>
  <c r="H552" i="28"/>
  <c r="P624" i="28"/>
  <c r="O699" i="28"/>
  <c r="O700" i="28" s="1"/>
  <c r="P639" i="28"/>
  <c r="AB9" i="17"/>
  <c r="M257" i="13"/>
  <c r="M258" i="13" s="1"/>
  <c r="M259" i="13" s="1"/>
  <c r="M241" i="13"/>
  <c r="M242" i="13" s="1"/>
  <c r="M243" i="13"/>
  <c r="J85" i="9"/>
  <c r="J86" i="9" s="1"/>
  <c r="M262" i="13"/>
  <c r="M261" i="13"/>
  <c r="J88" i="9"/>
  <c r="P98" i="28"/>
  <c r="T719" i="28"/>
  <c r="T721" i="28"/>
  <c r="U721" i="28" s="1"/>
  <c r="B717" i="28" s="1"/>
  <c r="B716" i="28" s="1"/>
  <c r="Y14" i="17"/>
  <c r="AF13" i="17"/>
  <c r="G65" i="9"/>
  <c r="G67" i="9"/>
  <c r="AO127" i="13"/>
  <c r="AO137" i="13"/>
  <c r="AO138" i="13" s="1"/>
  <c r="L123" i="13"/>
  <c r="L142" i="13" s="1"/>
  <c r="P68" i="28"/>
  <c r="L553" i="28"/>
  <c r="L555" i="28" s="1"/>
  <c r="L556" i="28" s="1"/>
  <c r="L557" i="28" s="1"/>
  <c r="AM121" i="13"/>
  <c r="AM122" i="13"/>
  <c r="J135" i="9"/>
  <c r="AP115" i="13"/>
  <c r="AP51" i="13"/>
  <c r="AP171" i="13"/>
  <c r="AP172" i="13" s="1"/>
  <c r="AP173" i="13" s="1"/>
  <c r="AP52" i="13"/>
  <c r="AP53" i="13" s="1"/>
  <c r="AP154" i="13"/>
  <c r="AP155" i="13" s="1"/>
  <c r="Q458" i="28"/>
  <c r="AN121" i="13"/>
  <c r="AN122" i="13"/>
  <c r="N338" i="28"/>
  <c r="M368" i="28"/>
  <c r="P203" i="28"/>
  <c r="S48" i="38"/>
  <c r="S49" i="38" s="1"/>
  <c r="P383" i="28"/>
  <c r="O505" i="28"/>
  <c r="P443" i="28"/>
  <c r="P504" i="28" s="1"/>
  <c r="Q413" i="28"/>
  <c r="Q669" i="28"/>
  <c r="J119" i="13"/>
  <c r="G161" i="9"/>
  <c r="P278" i="28"/>
  <c r="J232" i="9"/>
  <c r="M139" i="3"/>
  <c r="I14" i="26"/>
  <c r="I15" i="26" s="1"/>
  <c r="AM130" i="13"/>
  <c r="AM133" i="13" s="1"/>
  <c r="AP142" i="13"/>
  <c r="I177" i="9"/>
  <c r="K295" i="28"/>
  <c r="J296" i="28"/>
  <c r="I146" i="9"/>
  <c r="I147" i="9" s="1"/>
  <c r="I50" i="9"/>
  <c r="I51" i="9" s="1"/>
  <c r="L18" i="13"/>
  <c r="I69" i="9"/>
  <c r="J193" i="28"/>
  <c r="I192" i="28"/>
  <c r="I194" i="28" s="1"/>
  <c r="I195" i="28" s="1"/>
  <c r="I196" i="28" s="1"/>
  <c r="R49" i="38"/>
  <c r="R51" i="38" s="1"/>
  <c r="M43" i="3"/>
  <c r="P654" i="28"/>
  <c r="M551" i="28"/>
  <c r="N552" i="28"/>
  <c r="N551" i="28" s="1"/>
  <c r="AM126" i="13"/>
  <c r="P125" i="9"/>
  <c r="L126" i="9"/>
  <c r="P158" i="28"/>
  <c r="AA12" i="17"/>
  <c r="AH12" i="17" s="1"/>
  <c r="L433" i="13"/>
  <c r="L434" i="13" s="1"/>
  <c r="I139" i="9"/>
  <c r="I140" i="9" s="1"/>
  <c r="AN126" i="13"/>
  <c r="L297" i="28"/>
  <c r="L299" i="28" s="1"/>
  <c r="L300" i="28" s="1"/>
  <c r="L301" i="28" s="1"/>
  <c r="Q323" i="28"/>
  <c r="AO148" i="13"/>
  <c r="AO149" i="13"/>
  <c r="AO150" i="13" s="1"/>
  <c r="Q337" i="13"/>
  <c r="N116" i="9"/>
  <c r="N117" i="9" s="1"/>
  <c r="P233" i="28"/>
  <c r="F5" i="26"/>
  <c r="AO126" i="13"/>
  <c r="J178" i="9"/>
  <c r="F244" i="9"/>
  <c r="J104" i="3"/>
  <c r="J179" i="9"/>
  <c r="J159" i="60"/>
  <c r="N128" i="9"/>
  <c r="Q384" i="13"/>
  <c r="G147" i="60"/>
  <c r="M129" i="9"/>
  <c r="J40" i="3"/>
  <c r="J148" i="13"/>
  <c r="J149" i="13"/>
  <c r="J150" i="13" s="1"/>
  <c r="M63" i="13" l="1"/>
  <c r="M81" i="13" s="1"/>
  <c r="M82" i="13" s="1"/>
  <c r="M116" i="60"/>
  <c r="J139" i="60"/>
  <c r="J146" i="60" s="1"/>
  <c r="M146" i="60" s="1"/>
  <c r="C168" i="60" s="1"/>
  <c r="J75" i="60"/>
  <c r="M75" i="60" s="1"/>
  <c r="E217" i="60" s="1"/>
  <c r="M108" i="60"/>
  <c r="M14" i="60"/>
  <c r="M82" i="60"/>
  <c r="J50" i="9"/>
  <c r="J51" i="9" s="1"/>
  <c r="M86" i="60"/>
  <c r="M64" i="60"/>
  <c r="M42" i="60"/>
  <c r="M36" i="60"/>
  <c r="M46" i="60"/>
  <c r="M44" i="60"/>
  <c r="M6" i="60"/>
  <c r="M8" i="60"/>
  <c r="M132" i="60"/>
  <c r="M122" i="60"/>
  <c r="I4" i="26"/>
  <c r="I5" i="26" s="1"/>
  <c r="M106" i="60"/>
  <c r="M128" i="60"/>
  <c r="M126" i="60"/>
  <c r="M18" i="13"/>
  <c r="M62" i="60"/>
  <c r="M34" i="60"/>
  <c r="M24" i="60"/>
  <c r="M50" i="60"/>
  <c r="M40" i="60"/>
  <c r="M28" i="60"/>
  <c r="M4" i="60"/>
  <c r="M51" i="13"/>
  <c r="M54" i="60"/>
  <c r="M115" i="13"/>
  <c r="M119" i="13" s="1"/>
  <c r="M126" i="13" s="1"/>
  <c r="J164" i="9" s="1"/>
  <c r="M96" i="60"/>
  <c r="J64" i="9"/>
  <c r="J65" i="9" s="1"/>
  <c r="M94" i="60"/>
  <c r="M118" i="60"/>
  <c r="J140" i="60"/>
  <c r="J147" i="60" s="1"/>
  <c r="M147" i="60" s="1"/>
  <c r="C171" i="60" s="1"/>
  <c r="J146" i="9"/>
  <c r="J147" i="9" s="1"/>
  <c r="M60" i="60"/>
  <c r="M20" i="60"/>
  <c r="M30" i="60"/>
  <c r="M38" i="60"/>
  <c r="M66" i="60"/>
  <c r="M26" i="60"/>
  <c r="M10" i="60"/>
  <c r="M104" i="60"/>
  <c r="M130" i="60"/>
  <c r="M171" i="13"/>
  <c r="M172" i="13" s="1"/>
  <c r="M173" i="13" s="1"/>
  <c r="M102" i="60"/>
  <c r="J155" i="9"/>
  <c r="J156" i="9" s="1"/>
  <c r="M110" i="60"/>
  <c r="M120" i="60"/>
  <c r="M154" i="13"/>
  <c r="M155" i="13" s="1"/>
  <c r="M58" i="60"/>
  <c r="M124" i="60"/>
  <c r="S458" i="28"/>
  <c r="S460" i="28" s="1"/>
  <c r="M369" i="28"/>
  <c r="K119" i="13"/>
  <c r="K130" i="13" s="1"/>
  <c r="H166" i="9" s="1"/>
  <c r="H147" i="60"/>
  <c r="H67" i="9"/>
  <c r="K42" i="3"/>
  <c r="H211" i="9" s="1"/>
  <c r="K142" i="13"/>
  <c r="K143" i="13" s="1"/>
  <c r="K109" i="9"/>
  <c r="O108" i="9"/>
  <c r="Q270" i="13"/>
  <c r="N93" i="9"/>
  <c r="K97" i="9"/>
  <c r="O96" i="9"/>
  <c r="Q296" i="13"/>
  <c r="Q298" i="13"/>
  <c r="N102" i="9"/>
  <c r="N103" i="9" s="1"/>
  <c r="M310" i="13"/>
  <c r="H56" i="28"/>
  <c r="H55" i="28" s="1"/>
  <c r="H57" i="28" s="1"/>
  <c r="H59" i="28" s="1"/>
  <c r="H60" i="28" s="1"/>
  <c r="H61" i="28" s="1"/>
  <c r="O308" i="13"/>
  <c r="L96" i="9"/>
  <c r="O278" i="13"/>
  <c r="O277" i="13"/>
  <c r="L108" i="9"/>
  <c r="O322" i="13"/>
  <c r="C491" i="28"/>
  <c r="D490" i="28"/>
  <c r="D492" i="28" s="1"/>
  <c r="D494" i="28" s="1"/>
  <c r="D495" i="28" s="1"/>
  <c r="D496" i="28" s="1"/>
  <c r="P321" i="13"/>
  <c r="M94" i="9"/>
  <c r="P276" i="13"/>
  <c r="N311" i="13"/>
  <c r="K105" i="9"/>
  <c r="N309" i="13"/>
  <c r="AC11" i="17"/>
  <c r="R308" i="13"/>
  <c r="Q288" i="13"/>
  <c r="N98" i="9"/>
  <c r="N99" i="9" s="1"/>
  <c r="N100" i="9"/>
  <c r="N101" i="9" s="1"/>
  <c r="Q291" i="13"/>
  <c r="Q293" i="13"/>
  <c r="J106" i="9"/>
  <c r="J107" i="9"/>
  <c r="V66" i="17"/>
  <c r="AB17" i="17"/>
  <c r="AI11" i="17"/>
  <c r="Z14" i="17"/>
  <c r="M30" i="3"/>
  <c r="J202" i="9" s="1"/>
  <c r="L130" i="28"/>
  <c r="L132" i="28" s="1"/>
  <c r="L134" i="28" s="1"/>
  <c r="L135" i="28" s="1"/>
  <c r="L136" i="28" s="1"/>
  <c r="K131" i="28"/>
  <c r="H521" i="28"/>
  <c r="G522" i="28"/>
  <c r="G430" i="28"/>
  <c r="G432" i="28" s="1"/>
  <c r="G434" i="28" s="1"/>
  <c r="G435" i="28" s="1"/>
  <c r="G436" i="28" s="1"/>
  <c r="F431" i="28"/>
  <c r="J126" i="13"/>
  <c r="G164" i="9" s="1"/>
  <c r="M52" i="13"/>
  <c r="AO133" i="13"/>
  <c r="AO134" i="13" s="1"/>
  <c r="AO135" i="13" s="1"/>
  <c r="B14" i="28"/>
  <c r="C14" i="28" s="1"/>
  <c r="D14" i="28" s="1"/>
  <c r="V14" i="28" s="1"/>
  <c r="Y14" i="28" s="1"/>
  <c r="M127" i="9"/>
  <c r="M161" i="60"/>
  <c r="J152" i="60"/>
  <c r="M152" i="60" s="1"/>
  <c r="C717" i="28"/>
  <c r="C716" i="28" s="1"/>
  <c r="C718" i="28" s="1"/>
  <c r="C720" i="28" s="1"/>
  <c r="C721" i="28" s="1"/>
  <c r="C722" i="28" s="1"/>
  <c r="B122" i="28"/>
  <c r="N731" i="28"/>
  <c r="N733" i="28" s="1"/>
  <c r="N735" i="28" s="1"/>
  <c r="N736" i="28" s="1"/>
  <c r="N737" i="28" s="1"/>
  <c r="M732" i="28"/>
  <c r="O733" i="28"/>
  <c r="O735" i="28" s="1"/>
  <c r="O736" i="28" s="1"/>
  <c r="O737" i="28" s="1"/>
  <c r="J130" i="13"/>
  <c r="B718" i="28"/>
  <c r="B720" i="28" s="1"/>
  <c r="B721" i="28" s="1"/>
  <c r="B722" i="28" s="1"/>
  <c r="N125" i="9"/>
  <c r="N126" i="9" s="1"/>
  <c r="Q369" i="13"/>
  <c r="Q371" i="13"/>
  <c r="Q381" i="13"/>
  <c r="Q382" i="13" s="1"/>
  <c r="I9" i="26"/>
  <c r="I10" i="26" s="1"/>
  <c r="L212" i="9"/>
  <c r="AM131" i="13"/>
  <c r="AN127" i="13"/>
  <c r="AN137" i="13"/>
  <c r="AN138" i="13" s="1"/>
  <c r="Q718" i="28"/>
  <c r="Q720" i="28" s="1"/>
  <c r="Q721" i="28" s="1"/>
  <c r="Q639" i="28"/>
  <c r="U96" i="60"/>
  <c r="U94" i="60"/>
  <c r="G209" i="9"/>
  <c r="J60" i="3"/>
  <c r="J36" i="3"/>
  <c r="J97" i="3"/>
  <c r="J150" i="60"/>
  <c r="M150" i="60" s="1"/>
  <c r="M159" i="60"/>
  <c r="M183" i="60"/>
  <c r="G243" i="9"/>
  <c r="Q654" i="28"/>
  <c r="K297" i="28"/>
  <c r="K299" i="28" s="1"/>
  <c r="K300" i="28" s="1"/>
  <c r="K301" i="28" s="1"/>
  <c r="M2" i="3"/>
  <c r="Q278" i="28"/>
  <c r="E10" i="28" s="1"/>
  <c r="S413" i="28"/>
  <c r="M433" i="13"/>
  <c r="M434" i="13" s="1"/>
  <c r="AB12" i="17"/>
  <c r="AI12" i="17" s="1"/>
  <c r="J139" i="9"/>
  <c r="J140" i="9" s="1"/>
  <c r="Q68" i="28"/>
  <c r="L42" i="3"/>
  <c r="I211" i="9" s="1"/>
  <c r="L59" i="3"/>
  <c r="I218" i="9" s="1"/>
  <c r="P717" i="28"/>
  <c r="P716" i="28" s="1"/>
  <c r="Q609" i="28"/>
  <c r="M113" i="3"/>
  <c r="AI13" i="17"/>
  <c r="AB14" i="17"/>
  <c r="Q143" i="28"/>
  <c r="P263" i="28"/>
  <c r="P264" i="28" s="1"/>
  <c r="Q218" i="28"/>
  <c r="J40" i="28"/>
  <c r="J42" i="28" s="1"/>
  <c r="J43" i="28" s="1"/>
  <c r="J46" i="28" s="1"/>
  <c r="N553" i="28"/>
  <c r="N555" i="28" s="1"/>
  <c r="N556" i="28" s="1"/>
  <c r="N557" i="28" s="1"/>
  <c r="P370" i="13"/>
  <c r="K39" i="28"/>
  <c r="K38" i="28" s="1"/>
  <c r="Q233" i="28"/>
  <c r="Q158" i="28"/>
  <c r="M553" i="28"/>
  <c r="M555" i="28" s="1"/>
  <c r="M556" i="28" s="1"/>
  <c r="M557" i="28" s="1"/>
  <c r="K193" i="28"/>
  <c r="J192" i="28"/>
  <c r="J194" i="28" s="1"/>
  <c r="J195" i="28" s="1"/>
  <c r="J196" i="28" s="1"/>
  <c r="I139" i="60"/>
  <c r="AA13" i="17"/>
  <c r="L52" i="13"/>
  <c r="I74" i="60"/>
  <c r="I64" i="9"/>
  <c r="L131" i="3"/>
  <c r="L133" i="3" s="1"/>
  <c r="L142" i="3" s="1"/>
  <c r="L146" i="3" s="1"/>
  <c r="I140" i="60"/>
  <c r="L171" i="13"/>
  <c r="L172" i="13" s="1"/>
  <c r="L173" i="13" s="1"/>
  <c r="L115" i="13"/>
  <c r="I75" i="60"/>
  <c r="H4" i="26"/>
  <c r="L113" i="3"/>
  <c r="L154" i="13"/>
  <c r="L155" i="13" s="1"/>
  <c r="L51" i="13"/>
  <c r="I155" i="9"/>
  <c r="I156" i="9" s="1"/>
  <c r="L174" i="13"/>
  <c r="L452" i="13" s="1"/>
  <c r="AP143" i="13"/>
  <c r="AP144" i="13"/>
  <c r="AP145" i="13" s="1"/>
  <c r="AP147" i="13"/>
  <c r="AP119" i="13"/>
  <c r="AP130" i="13" s="1"/>
  <c r="F6" i="26"/>
  <c r="F8" i="26" s="1"/>
  <c r="F16" i="26" s="1"/>
  <c r="G162" i="9"/>
  <c r="G163" i="9" s="1"/>
  <c r="Y43" i="17"/>
  <c r="AF43" i="17" s="1"/>
  <c r="J121" i="13"/>
  <c r="J447" i="13"/>
  <c r="J448" i="13" s="1"/>
  <c r="J454" i="13" s="1"/>
  <c r="J122" i="13"/>
  <c r="J453" i="13" s="1"/>
  <c r="Q443" i="28"/>
  <c r="Q504" i="28" s="1"/>
  <c r="P505" i="28"/>
  <c r="Q383" i="28"/>
  <c r="S51" i="38"/>
  <c r="Q98" i="28"/>
  <c r="P53" i="28"/>
  <c r="Q624" i="28"/>
  <c r="P699" i="28"/>
  <c r="P700" i="28" s="1"/>
  <c r="I553" i="28"/>
  <c r="I555" i="28" s="1"/>
  <c r="I556" i="28" s="1"/>
  <c r="I557" i="28" s="1"/>
  <c r="M131" i="3"/>
  <c r="M133" i="3" s="1"/>
  <c r="M142" i="3" s="1"/>
  <c r="M146" i="3" s="1"/>
  <c r="Q83" i="28"/>
  <c r="Q173" i="28"/>
  <c r="K253" i="28"/>
  <c r="J252" i="28"/>
  <c r="J254" i="28" s="1"/>
  <c r="J255" i="28" s="1"/>
  <c r="J256" i="28" s="1"/>
  <c r="S669" i="28"/>
  <c r="AM127" i="13"/>
  <c r="AM137" i="13"/>
  <c r="AM138" i="13" s="1"/>
  <c r="H551" i="28"/>
  <c r="G552" i="28"/>
  <c r="Q36" i="28"/>
  <c r="T51" i="38"/>
  <c r="N129" i="9"/>
  <c r="S323" i="28"/>
  <c r="J295" i="28"/>
  <c r="I296" i="28"/>
  <c r="Q203" i="28"/>
  <c r="O338" i="28"/>
  <c r="N368" i="28"/>
  <c r="I167" i="9"/>
  <c r="L147" i="13"/>
  <c r="L144" i="13"/>
  <c r="J87" i="9"/>
  <c r="J89" i="9"/>
  <c r="AI9" i="17"/>
  <c r="AB15" i="17"/>
  <c r="Q534" i="28"/>
  <c r="P594" i="28"/>
  <c r="P595" i="28" s="1"/>
  <c r="M117" i="13" l="1"/>
  <c r="M140" i="60"/>
  <c r="G217" i="60" s="1"/>
  <c r="J68" i="9"/>
  <c r="M83" i="13"/>
  <c r="K447" i="13"/>
  <c r="K448" i="13" s="1"/>
  <c r="K454" i="13" s="1"/>
  <c r="J157" i="9"/>
  <c r="J158" i="9" s="1"/>
  <c r="M174" i="13"/>
  <c r="M452" i="13" s="1"/>
  <c r="J161" i="9"/>
  <c r="M139" i="60"/>
  <c r="H217" i="60" s="1"/>
  <c r="T458" i="28"/>
  <c r="T463" i="28" s="1"/>
  <c r="K461" i="28" s="1"/>
  <c r="K460" i="28" s="1"/>
  <c r="U460" i="28"/>
  <c r="T464" i="28"/>
  <c r="T460" i="28"/>
  <c r="K131" i="13"/>
  <c r="K126" i="13"/>
  <c r="H164" i="9" s="1"/>
  <c r="H162" i="9"/>
  <c r="H163" i="9" s="1"/>
  <c r="K122" i="13"/>
  <c r="K453" i="13" s="1"/>
  <c r="K133" i="13"/>
  <c r="G6" i="26"/>
  <c r="G8" i="26" s="1"/>
  <c r="G16" i="26" s="1"/>
  <c r="K187" i="13"/>
  <c r="K189" i="13"/>
  <c r="N369" i="28"/>
  <c r="K190" i="13"/>
  <c r="K121" i="13"/>
  <c r="K137" i="13" s="1"/>
  <c r="K138" i="13" s="1"/>
  <c r="L143" i="13"/>
  <c r="H167" i="9"/>
  <c r="K144" i="13"/>
  <c r="H170" i="9" s="1"/>
  <c r="K147" i="13"/>
  <c r="K40" i="3" s="1"/>
  <c r="H209" i="9" s="1"/>
  <c r="AJ11" i="17"/>
  <c r="AC17" i="17"/>
  <c r="K107" i="9"/>
  <c r="K106" i="9"/>
  <c r="O105" i="9"/>
  <c r="P308" i="13"/>
  <c r="M96" i="9"/>
  <c r="M97" i="9" s="1"/>
  <c r="P278" i="13"/>
  <c r="P277" i="13"/>
  <c r="P322" i="13"/>
  <c r="M108" i="9"/>
  <c r="M109" i="9" s="1"/>
  <c r="C490" i="28"/>
  <c r="C492" i="28" s="1"/>
  <c r="C494" i="28" s="1"/>
  <c r="C495" i="28" s="1"/>
  <c r="C496" i="28" s="1"/>
  <c r="B491" i="28"/>
  <c r="B490" i="28" s="1"/>
  <c r="B492" i="28" s="1"/>
  <c r="B494" i="28" s="1"/>
  <c r="B495" i="28" s="1"/>
  <c r="B496" i="28" s="1"/>
  <c r="P108" i="9"/>
  <c r="L109" i="9"/>
  <c r="O311" i="13"/>
  <c r="O309" i="13"/>
  <c r="L105" i="9"/>
  <c r="I56" i="28"/>
  <c r="I55" i="28" s="1"/>
  <c r="I57" i="28" s="1"/>
  <c r="I59" i="28" s="1"/>
  <c r="I60" i="28" s="1"/>
  <c r="I61" i="28" s="1"/>
  <c r="N310" i="13"/>
  <c r="L97" i="9"/>
  <c r="P96" i="9"/>
  <c r="N94" i="9"/>
  <c r="Q321" i="13"/>
  <c r="Q276" i="13"/>
  <c r="G521" i="28"/>
  <c r="G523" i="28" s="1"/>
  <c r="G525" i="28" s="1"/>
  <c r="G526" i="28" s="1"/>
  <c r="G527" i="28" s="1"/>
  <c r="F522" i="28"/>
  <c r="J131" i="28"/>
  <c r="K130" i="28"/>
  <c r="K132" i="28" s="1"/>
  <c r="K134" i="28" s="1"/>
  <c r="K135" i="28" s="1"/>
  <c r="K136" i="28" s="1"/>
  <c r="H523" i="28"/>
  <c r="H525" i="28" s="1"/>
  <c r="H526" i="28" s="1"/>
  <c r="H527" i="28" s="1"/>
  <c r="F430" i="28"/>
  <c r="F432" i="28" s="1"/>
  <c r="F434" i="28" s="1"/>
  <c r="F435" i="28" s="1"/>
  <c r="F436" i="28" s="1"/>
  <c r="E431" i="28"/>
  <c r="AM134" i="13"/>
  <c r="AM136" i="13" s="1"/>
  <c r="K18" i="17"/>
  <c r="O717" i="28"/>
  <c r="O716" i="28" s="1"/>
  <c r="O718" i="28" s="1"/>
  <c r="O720" i="28" s="1"/>
  <c r="O721" i="28" s="1"/>
  <c r="O722" i="28" s="1"/>
  <c r="AG14" i="28"/>
  <c r="N127" i="9"/>
  <c r="J133" i="13"/>
  <c r="B7" i="28"/>
  <c r="C7" i="28" s="1"/>
  <c r="D7" i="28" s="1"/>
  <c r="V7" i="28" s="1"/>
  <c r="B124" i="28"/>
  <c r="B125" i="28" s="1"/>
  <c r="U13" i="60" s="1"/>
  <c r="M731" i="28"/>
  <c r="M733" i="28" s="1"/>
  <c r="M735" i="28" s="1"/>
  <c r="M736" i="28" s="1"/>
  <c r="M737" i="28" s="1"/>
  <c r="L732" i="28"/>
  <c r="J187" i="13"/>
  <c r="G166" i="9"/>
  <c r="J190" i="13"/>
  <c r="J189" i="13"/>
  <c r="J131" i="13"/>
  <c r="B724" i="28"/>
  <c r="Q722" i="28"/>
  <c r="S158" i="28"/>
  <c r="S233" i="28"/>
  <c r="K40" i="28"/>
  <c r="K42" i="28" s="1"/>
  <c r="K43" i="28" s="1"/>
  <c r="K46" i="28" s="1"/>
  <c r="S654" i="28"/>
  <c r="J67" i="3"/>
  <c r="G219" i="9"/>
  <c r="M447" i="13"/>
  <c r="M448" i="13" s="1"/>
  <c r="M454" i="13" s="1"/>
  <c r="S203" i="28"/>
  <c r="I295" i="28"/>
  <c r="H296" i="28"/>
  <c r="H295" i="28" s="1"/>
  <c r="M130" i="13"/>
  <c r="H553" i="28"/>
  <c r="H555" i="28" s="1"/>
  <c r="H556" i="28" s="1"/>
  <c r="H557" i="28" s="1"/>
  <c r="L253" i="28"/>
  <c r="K252" i="28"/>
  <c r="K254" i="28" s="1"/>
  <c r="K255" i="28" s="1"/>
  <c r="K256" i="28" s="1"/>
  <c r="E5" i="28"/>
  <c r="I217" i="60"/>
  <c r="Q505" i="28"/>
  <c r="S443" i="28"/>
  <c r="AP148" i="13"/>
  <c r="AP149" i="13"/>
  <c r="AP150" i="13" s="1"/>
  <c r="I161" i="9"/>
  <c r="L119" i="13"/>
  <c r="AH13" i="17"/>
  <c r="AA14" i="17"/>
  <c r="E19" i="28"/>
  <c r="P718" i="28"/>
  <c r="P720" i="28" s="1"/>
  <c r="P721" i="28" s="1"/>
  <c r="P722" i="28" s="1"/>
  <c r="E4" i="28"/>
  <c r="T413" i="28"/>
  <c r="T419" i="28"/>
  <c r="U415" i="28"/>
  <c r="T415" i="28"/>
  <c r="S415" i="28"/>
  <c r="Q594" i="28"/>
  <c r="Q595" i="28" s="1"/>
  <c r="S534" i="28"/>
  <c r="AP131" i="13"/>
  <c r="AP133" i="13"/>
  <c r="AP134" i="13" s="1"/>
  <c r="AP135" i="13" s="1"/>
  <c r="Q699" i="28"/>
  <c r="Q700" i="28" s="1"/>
  <c r="S624" i="28"/>
  <c r="E6" i="28"/>
  <c r="E13" i="28"/>
  <c r="J137" i="13"/>
  <c r="J138" i="13" s="1"/>
  <c r="J127" i="13"/>
  <c r="AP120" i="13"/>
  <c r="AP121" i="13"/>
  <c r="AP122" i="13"/>
  <c r="I170" i="9"/>
  <c r="J297" i="28"/>
  <c r="J299" i="28" s="1"/>
  <c r="J300" i="28" s="1"/>
  <c r="J301" i="28" s="1"/>
  <c r="T329" i="28"/>
  <c r="U325" i="28"/>
  <c r="T325" i="28"/>
  <c r="T323" i="28"/>
  <c r="S325" i="28"/>
  <c r="B195" i="60"/>
  <c r="F168" i="60"/>
  <c r="M168" i="60"/>
  <c r="Q53" i="28"/>
  <c r="I65" i="9"/>
  <c r="I67" i="9"/>
  <c r="I146" i="60"/>
  <c r="L193" i="28"/>
  <c r="K192" i="28"/>
  <c r="K194" i="28" s="1"/>
  <c r="K195" i="28" s="1"/>
  <c r="K196" i="28" s="1"/>
  <c r="S639" i="28"/>
  <c r="Q370" i="13"/>
  <c r="L39" i="28"/>
  <c r="P338" i="28"/>
  <c r="O368" i="28"/>
  <c r="G551" i="28"/>
  <c r="F552" i="28"/>
  <c r="S671" i="28"/>
  <c r="U671" i="28"/>
  <c r="T675" i="28"/>
  <c r="T669" i="28"/>
  <c r="T671" i="28"/>
  <c r="B201" i="60"/>
  <c r="F171" i="60"/>
  <c r="M171" i="60"/>
  <c r="L40" i="3"/>
  <c r="L149" i="13"/>
  <c r="L148" i="13"/>
  <c r="AP126" i="13"/>
  <c r="M123" i="13"/>
  <c r="M142" i="13" s="1"/>
  <c r="J67" i="9"/>
  <c r="J69" i="9"/>
  <c r="J162" i="9"/>
  <c r="J163" i="9" s="1"/>
  <c r="I6" i="26"/>
  <c r="I8" i="26" s="1"/>
  <c r="I16" i="26" s="1"/>
  <c r="M121" i="13"/>
  <c r="S173" i="28"/>
  <c r="F19" i="26"/>
  <c r="H5" i="26"/>
  <c r="I147" i="60"/>
  <c r="S218" i="28"/>
  <c r="Q263" i="28"/>
  <c r="Q264" i="28" s="1"/>
  <c r="S143" i="28"/>
  <c r="S278" i="28"/>
  <c r="F10" i="28"/>
  <c r="T278" i="28" s="1"/>
  <c r="J177" i="9"/>
  <c r="J34" i="3"/>
  <c r="T465" i="28" l="1"/>
  <c r="U465" i="28" s="1"/>
  <c r="J217" i="60"/>
  <c r="B461" i="28"/>
  <c r="B460" i="28" s="1"/>
  <c r="B462" i="28" s="1"/>
  <c r="B464" i="28" s="1"/>
  <c r="B465" i="28" s="1"/>
  <c r="B466" i="28" s="1"/>
  <c r="G19" i="26"/>
  <c r="K127" i="13"/>
  <c r="H171" i="9"/>
  <c r="K193" i="13"/>
  <c r="H164" i="60"/>
  <c r="H163" i="60" s="1"/>
  <c r="H168" i="60" s="1"/>
  <c r="H177" i="60" s="1"/>
  <c r="Z18" i="17"/>
  <c r="AG18" i="17" s="1"/>
  <c r="O369" i="28"/>
  <c r="L145" i="13"/>
  <c r="K36" i="3"/>
  <c r="K34" i="3" s="1"/>
  <c r="K145" i="13"/>
  <c r="K97" i="3"/>
  <c r="K60" i="3"/>
  <c r="K67" i="3" s="1"/>
  <c r="K149" i="13"/>
  <c r="K150" i="13" s="1"/>
  <c r="K148" i="13"/>
  <c r="Q322" i="13"/>
  <c r="N108" i="9"/>
  <c r="N109" i="9" s="1"/>
  <c r="L107" i="9"/>
  <c r="P105" i="9"/>
  <c r="L106" i="9"/>
  <c r="P311" i="13"/>
  <c r="M105" i="9"/>
  <c r="P309" i="13"/>
  <c r="Q308" i="13"/>
  <c r="Q277" i="13"/>
  <c r="Q278" i="13"/>
  <c r="N96" i="9"/>
  <c r="N97" i="9" s="1"/>
  <c r="J56" i="28"/>
  <c r="J55" i="28" s="1"/>
  <c r="J57" i="28" s="1"/>
  <c r="J59" i="28" s="1"/>
  <c r="J60" i="28" s="1"/>
  <c r="J61" i="28" s="1"/>
  <c r="O310" i="13"/>
  <c r="B497" i="28"/>
  <c r="B499" i="28" s="1"/>
  <c r="B500" i="28" s="1"/>
  <c r="I131" i="28"/>
  <c r="J130" i="28"/>
  <c r="J132" i="28" s="1"/>
  <c r="J134" i="28" s="1"/>
  <c r="J135" i="28" s="1"/>
  <c r="J136" i="28" s="1"/>
  <c r="F521" i="28"/>
  <c r="F523" i="28" s="1"/>
  <c r="F525" i="28" s="1"/>
  <c r="F526" i="28" s="1"/>
  <c r="F527" i="28" s="1"/>
  <c r="E522" i="28"/>
  <c r="L150" i="13"/>
  <c r="E430" i="28"/>
  <c r="E432" i="28" s="1"/>
  <c r="E434" i="28" s="1"/>
  <c r="E435" i="28" s="1"/>
  <c r="E436" i="28" s="1"/>
  <c r="D431" i="28"/>
  <c r="D430" i="28" s="1"/>
  <c r="D432" i="28" s="1"/>
  <c r="D434" i="28" s="1"/>
  <c r="D435" i="28" s="1"/>
  <c r="D436" i="28" s="1"/>
  <c r="N717" i="28"/>
  <c r="N716" i="28" s="1"/>
  <c r="N718" i="28" s="1"/>
  <c r="N720" i="28" s="1"/>
  <c r="N721" i="28" s="1"/>
  <c r="N722" i="28" s="1"/>
  <c r="K134" i="13"/>
  <c r="K135" i="13" s="1"/>
  <c r="G171" i="9"/>
  <c r="G172" i="9" s="1"/>
  <c r="J134" i="13"/>
  <c r="J135" i="13" s="1"/>
  <c r="J193" i="13"/>
  <c r="Y18" i="17"/>
  <c r="AF18" i="17" s="1"/>
  <c r="G164" i="60"/>
  <c r="U12" i="60"/>
  <c r="U14" i="60"/>
  <c r="Y7" i="28"/>
  <c r="AG7" i="28"/>
  <c r="L731" i="28"/>
  <c r="L733" i="28" s="1"/>
  <c r="L735" i="28" s="1"/>
  <c r="L736" i="28" s="1"/>
  <c r="L737" i="28" s="1"/>
  <c r="K732" i="28"/>
  <c r="L461" i="28"/>
  <c r="L460" i="28" s="1"/>
  <c r="H461" i="28"/>
  <c r="H460" i="28" s="1"/>
  <c r="M461" i="28"/>
  <c r="M460" i="28" s="1"/>
  <c r="I461" i="28"/>
  <c r="I460" i="28" s="1"/>
  <c r="P461" i="28"/>
  <c r="P460" i="28" s="1"/>
  <c r="N461" i="28"/>
  <c r="N460" i="28" s="1"/>
  <c r="G461" i="28"/>
  <c r="G460" i="28" s="1"/>
  <c r="G462" i="28" s="1"/>
  <c r="K462" i="28"/>
  <c r="J167" i="9"/>
  <c r="M147" i="13"/>
  <c r="M143" i="13"/>
  <c r="M144" i="13"/>
  <c r="T285" i="28"/>
  <c r="U285" i="28" s="1"/>
  <c r="T283" i="28"/>
  <c r="I281" i="28" s="1"/>
  <c r="I280" i="28" s="1"/>
  <c r="S145" i="28"/>
  <c r="T149" i="28"/>
  <c r="T143" i="28"/>
  <c r="U145" i="28"/>
  <c r="T145" i="28"/>
  <c r="M127" i="13"/>
  <c r="M137" i="13"/>
  <c r="M138" i="13" s="1"/>
  <c r="G553" i="28"/>
  <c r="G555" i="28" s="1"/>
  <c r="G556" i="28" s="1"/>
  <c r="G557" i="28" s="1"/>
  <c r="Q338" i="28"/>
  <c r="P368" i="28"/>
  <c r="T328" i="28"/>
  <c r="P326" i="28" s="1"/>
  <c r="P325" i="28" s="1"/>
  <c r="T330" i="28"/>
  <c r="U330" i="28" s="1"/>
  <c r="AP127" i="13"/>
  <c r="AP137" i="13"/>
  <c r="AP138" i="13" s="1"/>
  <c r="F13" i="28"/>
  <c r="T383" i="28" s="1"/>
  <c r="S383" i="28"/>
  <c r="F6" i="28"/>
  <c r="T98" i="28" s="1"/>
  <c r="S98" i="28"/>
  <c r="L121" i="13"/>
  <c r="H6" i="26"/>
  <c r="H8" i="26" s="1"/>
  <c r="H16" i="26" s="1"/>
  <c r="I162" i="9"/>
  <c r="I163" i="9" s="1"/>
  <c r="L122" i="13"/>
  <c r="L453" i="13" s="1"/>
  <c r="L447" i="13"/>
  <c r="L448" i="13" s="1"/>
  <c r="L454" i="13" s="1"/>
  <c r="M253" i="28"/>
  <c r="L252" i="28"/>
  <c r="L254" i="28" s="1"/>
  <c r="L255" i="28" s="1"/>
  <c r="L256" i="28" s="1"/>
  <c r="U656" i="28"/>
  <c r="T660" i="28"/>
  <c r="T654" i="28"/>
  <c r="S656" i="28"/>
  <c r="T656" i="28"/>
  <c r="T158" i="28"/>
  <c r="T164" i="28"/>
  <c r="T160" i="28"/>
  <c r="U160" i="28"/>
  <c r="S160" i="28"/>
  <c r="U280" i="28"/>
  <c r="S280" i="28"/>
  <c r="T280" i="28"/>
  <c r="T284" i="28"/>
  <c r="E281" i="28" s="1"/>
  <c r="I19" i="26"/>
  <c r="T418" i="28"/>
  <c r="T420" i="28"/>
  <c r="U420" i="28" s="1"/>
  <c r="Q416" i="28"/>
  <c r="Q415" i="28" s="1"/>
  <c r="F461" i="28"/>
  <c r="F460" i="28" s="1"/>
  <c r="O461" i="28"/>
  <c r="O460" i="28" s="1"/>
  <c r="T445" i="28"/>
  <c r="T449" i="28"/>
  <c r="U445" i="28"/>
  <c r="S445" i="28"/>
  <c r="T443" i="28"/>
  <c r="F5" i="28"/>
  <c r="T83" i="28" s="1"/>
  <c r="S83" i="28"/>
  <c r="H297" i="28"/>
  <c r="H299" i="28" s="1"/>
  <c r="H300" i="28" s="1"/>
  <c r="H301" i="28" s="1"/>
  <c r="U175" i="28"/>
  <c r="T179" i="28"/>
  <c r="S175" i="28"/>
  <c r="T173" i="28"/>
  <c r="T175" i="28"/>
  <c r="U626" i="28"/>
  <c r="T626" i="28"/>
  <c r="S626" i="28"/>
  <c r="T630" i="28"/>
  <c r="T624" i="28"/>
  <c r="S68" i="28"/>
  <c r="F4" i="28"/>
  <c r="T68" i="28" s="1"/>
  <c r="F19" i="28"/>
  <c r="T609" i="28" s="1"/>
  <c r="S609" i="28"/>
  <c r="J461" i="28"/>
  <c r="J460" i="28" s="1"/>
  <c r="D461" i="28"/>
  <c r="D460" i="28" s="1"/>
  <c r="E461" i="28"/>
  <c r="E460" i="28" s="1"/>
  <c r="L130" i="13"/>
  <c r="M131" i="13" s="1"/>
  <c r="I297" i="28"/>
  <c r="I299" i="28" s="1"/>
  <c r="I300" i="28" s="1"/>
  <c r="I301" i="28" s="1"/>
  <c r="U205" i="28"/>
  <c r="S205" i="28"/>
  <c r="T209" i="28"/>
  <c r="T203" i="28"/>
  <c r="T205" i="28"/>
  <c r="T239" i="28"/>
  <c r="U235" i="28"/>
  <c r="T235" i="28"/>
  <c r="T233" i="28"/>
  <c r="S235" i="28"/>
  <c r="J33" i="3"/>
  <c r="G204" i="9"/>
  <c r="G206" i="9" s="1"/>
  <c r="T224" i="28"/>
  <c r="T218" i="28"/>
  <c r="U220" i="28"/>
  <c r="S220" i="28"/>
  <c r="T220" i="28"/>
  <c r="M42" i="3"/>
  <c r="J211" i="9" s="1"/>
  <c r="M122" i="13"/>
  <c r="M453" i="13" s="1"/>
  <c r="M59" i="3"/>
  <c r="J218" i="9" s="1"/>
  <c r="I209" i="9"/>
  <c r="L60" i="3"/>
  <c r="L97" i="3"/>
  <c r="B672" i="28"/>
  <c r="B671" i="28" s="1"/>
  <c r="T676" i="28"/>
  <c r="U676" i="28" s="1"/>
  <c r="T674" i="28"/>
  <c r="F672" i="28" s="1"/>
  <c r="F671" i="28" s="1"/>
  <c r="F551" i="28"/>
  <c r="E552" i="28"/>
  <c r="M39" i="28"/>
  <c r="L38" i="28"/>
  <c r="T645" i="28"/>
  <c r="S641" i="28"/>
  <c r="T641" i="28"/>
  <c r="U641" i="28"/>
  <c r="T639" i="28"/>
  <c r="M193" i="28"/>
  <c r="L192" i="28"/>
  <c r="L194" i="28" s="1"/>
  <c r="L195" i="28" s="1"/>
  <c r="L196" i="28" s="1"/>
  <c r="T540" i="28"/>
  <c r="U536" i="28"/>
  <c r="T536" i="28"/>
  <c r="T534" i="28"/>
  <c r="S536" i="28"/>
  <c r="Q461" i="28"/>
  <c r="Q460" i="28" s="1"/>
  <c r="L126" i="13"/>
  <c r="I164" i="9" s="1"/>
  <c r="M190" i="13"/>
  <c r="M133" i="13"/>
  <c r="M189" i="13"/>
  <c r="J166" i="9"/>
  <c r="M187" i="13"/>
  <c r="G222" i="9"/>
  <c r="J103" i="3"/>
  <c r="C461" i="28" l="1"/>
  <c r="C460" i="28" s="1"/>
  <c r="C462" i="28" s="1"/>
  <c r="C464" i="28" s="1"/>
  <c r="C465" i="28" s="1"/>
  <c r="C466" i="28" s="1"/>
  <c r="L36" i="3"/>
  <c r="H172" i="9"/>
  <c r="L462" i="28"/>
  <c r="G464" i="28"/>
  <c r="G465" i="28" s="1"/>
  <c r="G466" i="28" s="1"/>
  <c r="M462" i="28"/>
  <c r="P462" i="28"/>
  <c r="P464" i="28" s="1"/>
  <c r="P465" i="28" s="1"/>
  <c r="P466" i="28" s="1"/>
  <c r="N462" i="28"/>
  <c r="H462" i="28"/>
  <c r="K464" i="28"/>
  <c r="K465" i="28" s="1"/>
  <c r="K466" i="28" s="1"/>
  <c r="I462" i="28"/>
  <c r="H219" i="9"/>
  <c r="H155" i="60"/>
  <c r="H170" i="60"/>
  <c r="H179" i="60" s="1"/>
  <c r="H165" i="60"/>
  <c r="H171" i="60" s="1"/>
  <c r="H180" i="60" s="1"/>
  <c r="H169" i="60"/>
  <c r="H178" i="60" s="1"/>
  <c r="P369" i="28"/>
  <c r="K56" i="28"/>
  <c r="K55" i="28" s="1"/>
  <c r="K57" i="28" s="1"/>
  <c r="K59" i="28" s="1"/>
  <c r="K60" i="28" s="1"/>
  <c r="K61" i="28" s="1"/>
  <c r="P310" i="13"/>
  <c r="Q309" i="13"/>
  <c r="Q311" i="13"/>
  <c r="N105" i="9"/>
  <c r="M106" i="9"/>
  <c r="M107" i="9"/>
  <c r="E521" i="28"/>
  <c r="E523" i="28" s="1"/>
  <c r="E525" i="28" s="1"/>
  <c r="E526" i="28" s="1"/>
  <c r="E527" i="28" s="1"/>
  <c r="D522" i="28"/>
  <c r="I130" i="28"/>
  <c r="I132" i="28" s="1"/>
  <c r="I134" i="28" s="1"/>
  <c r="I135" i="28" s="1"/>
  <c r="I136" i="28" s="1"/>
  <c r="H131" i="28"/>
  <c r="M717" i="28"/>
  <c r="M716" i="28" s="1"/>
  <c r="M718" i="28" s="1"/>
  <c r="M720" i="28" s="1"/>
  <c r="M721" i="28" s="1"/>
  <c r="M722" i="28" s="1"/>
  <c r="B437" i="28"/>
  <c r="B439" i="28" s="1"/>
  <c r="B440" i="28" s="1"/>
  <c r="U9" i="60" s="1"/>
  <c r="G155" i="60"/>
  <c r="G170" i="60"/>
  <c r="G179" i="60" s="1"/>
  <c r="G163" i="60"/>
  <c r="H154" i="60" s="1"/>
  <c r="G165" i="60"/>
  <c r="G171" i="60" s="1"/>
  <c r="G169" i="60"/>
  <c r="C198" i="60" s="1"/>
  <c r="N672" i="28"/>
  <c r="N671" i="28" s="1"/>
  <c r="N673" i="28" s="1"/>
  <c r="N675" i="28" s="1"/>
  <c r="N676" i="28" s="1"/>
  <c r="N677" i="28" s="1"/>
  <c r="E672" i="28"/>
  <c r="E671" i="28" s="1"/>
  <c r="E673" i="28" s="1"/>
  <c r="E675" i="28" s="1"/>
  <c r="E676" i="28" s="1"/>
  <c r="E677" i="28" s="1"/>
  <c r="P416" i="28"/>
  <c r="P415" i="28" s="1"/>
  <c r="P417" i="28" s="1"/>
  <c r="P419" i="28" s="1"/>
  <c r="P420" i="28" s="1"/>
  <c r="P421" i="28" s="1"/>
  <c r="K731" i="28"/>
  <c r="K733" i="28" s="1"/>
  <c r="K735" i="28" s="1"/>
  <c r="K736" i="28" s="1"/>
  <c r="K737" i="28" s="1"/>
  <c r="J732" i="28"/>
  <c r="D672" i="28"/>
  <c r="D671" i="28" s="1"/>
  <c r="D673" i="28" s="1"/>
  <c r="D675" i="28" s="1"/>
  <c r="D676" i="28" s="1"/>
  <c r="D677" i="28" s="1"/>
  <c r="O672" i="28"/>
  <c r="O671" i="28" s="1"/>
  <c r="O673" i="28" s="1"/>
  <c r="O675" i="28" s="1"/>
  <c r="O676" i="28" s="1"/>
  <c r="O677" i="28" s="1"/>
  <c r="J281" i="28"/>
  <c r="J280" i="28" s="1"/>
  <c r="J282" i="28" s="1"/>
  <c r="J284" i="28" s="1"/>
  <c r="J285" i="28" s="1"/>
  <c r="J286" i="28" s="1"/>
  <c r="Q672" i="28"/>
  <c r="Q671" i="28" s="1"/>
  <c r="Q673" i="28" s="1"/>
  <c r="Q675" i="28" s="1"/>
  <c r="Q676" i="28" s="1"/>
  <c r="I672" i="28"/>
  <c r="I671" i="28" s="1"/>
  <c r="I673" i="28" s="1"/>
  <c r="I675" i="28" s="1"/>
  <c r="I676" i="28" s="1"/>
  <c r="I677" i="28" s="1"/>
  <c r="N281" i="28"/>
  <c r="N280" i="28" s="1"/>
  <c r="N282" i="28" s="1"/>
  <c r="N284" i="28" s="1"/>
  <c r="N285" i="28" s="1"/>
  <c r="N286" i="28" s="1"/>
  <c r="Q281" i="28"/>
  <c r="Q280" i="28" s="1"/>
  <c r="Q282" i="28" s="1"/>
  <c r="H672" i="28"/>
  <c r="H671" i="28" s="1"/>
  <c r="H673" i="28" s="1"/>
  <c r="H675" i="28" s="1"/>
  <c r="H676" i="28" s="1"/>
  <c r="H677" i="28" s="1"/>
  <c r="O281" i="28"/>
  <c r="O280" i="28" s="1"/>
  <c r="O282" i="28" s="1"/>
  <c r="O284" i="28" s="1"/>
  <c r="O285" i="28" s="1"/>
  <c r="O286" i="28" s="1"/>
  <c r="J672" i="28"/>
  <c r="J671" i="28" s="1"/>
  <c r="J673" i="28" s="1"/>
  <c r="J675" i="28" s="1"/>
  <c r="J676" i="28" s="1"/>
  <c r="J677" i="28" s="1"/>
  <c r="K672" i="28"/>
  <c r="K671" i="28" s="1"/>
  <c r="K673" i="28" s="1"/>
  <c r="K675" i="28" s="1"/>
  <c r="K676" i="28" s="1"/>
  <c r="K677" i="28" s="1"/>
  <c r="E280" i="28"/>
  <c r="F281" i="28"/>
  <c r="D281" i="28"/>
  <c r="I282" i="28"/>
  <c r="I284" i="28" s="1"/>
  <c r="I285" i="28" s="1"/>
  <c r="I286" i="28" s="1"/>
  <c r="F673" i="28"/>
  <c r="F675" i="28" s="1"/>
  <c r="F676" i="28" s="1"/>
  <c r="F677" i="28" s="1"/>
  <c r="P327" i="28"/>
  <c r="P329" i="28" s="1"/>
  <c r="P330" i="28" s="1"/>
  <c r="P331" i="28" s="1"/>
  <c r="F553" i="28"/>
  <c r="F555" i="28" s="1"/>
  <c r="F556" i="28" s="1"/>
  <c r="F557" i="28" s="1"/>
  <c r="T74" i="28"/>
  <c r="U70" i="28"/>
  <c r="T70" i="28"/>
  <c r="S70" i="28"/>
  <c r="B71" i="28" s="1"/>
  <c r="B70" i="28" s="1"/>
  <c r="T88" i="28"/>
  <c r="N86" i="28" s="1"/>
  <c r="N85" i="28" s="1"/>
  <c r="T90" i="28"/>
  <c r="U90" i="28" s="1"/>
  <c r="T163" i="28"/>
  <c r="N161" i="28" s="1"/>
  <c r="N160" i="28" s="1"/>
  <c r="T165" i="28"/>
  <c r="U165" i="28" s="1"/>
  <c r="E161" i="28"/>
  <c r="E160" i="28" s="1"/>
  <c r="T390" i="28"/>
  <c r="U390" i="28" s="1"/>
  <c r="T388" i="28"/>
  <c r="J386" i="28" s="1"/>
  <c r="J385" i="28" s="1"/>
  <c r="N326" i="28"/>
  <c r="N325" i="28" s="1"/>
  <c r="C326" i="28"/>
  <c r="C325" i="28" s="1"/>
  <c r="G242" i="9"/>
  <c r="J105" i="3"/>
  <c r="Q462" i="28"/>
  <c r="T644" i="28"/>
  <c r="N642" i="28" s="1"/>
  <c r="N641" i="28" s="1"/>
  <c r="B642" i="28"/>
  <c r="B641" i="28" s="1"/>
  <c r="T646" i="28"/>
  <c r="U646" i="28" s="1"/>
  <c r="E551" i="28"/>
  <c r="D552" i="28"/>
  <c r="L672" i="28"/>
  <c r="L671" i="28" s="1"/>
  <c r="P672" i="28"/>
  <c r="P671" i="28" s="1"/>
  <c r="M672" i="28"/>
  <c r="M671" i="28" s="1"/>
  <c r="G672" i="28"/>
  <c r="G671" i="28" s="1"/>
  <c r="T223" i="28"/>
  <c r="P221" i="28" s="1"/>
  <c r="P220" i="28" s="1"/>
  <c r="T225" i="28"/>
  <c r="U225" i="28" s="1"/>
  <c r="L221" i="28"/>
  <c r="L220" i="28" s="1"/>
  <c r="H236" i="28"/>
  <c r="H235" i="28" s="1"/>
  <c r="T240" i="28"/>
  <c r="U240" i="28" s="1"/>
  <c r="C236" i="28" s="1"/>
  <c r="C235" i="28" s="1"/>
  <c r="T238" i="28"/>
  <c r="Q236" i="28" s="1"/>
  <c r="Q235" i="28" s="1"/>
  <c r="J462" i="28"/>
  <c r="T75" i="28"/>
  <c r="U75" i="28" s="1"/>
  <c r="T73" i="28"/>
  <c r="K71" i="28" s="1"/>
  <c r="K70" i="28" s="1"/>
  <c r="T629" i="28"/>
  <c r="G627" i="28" s="1"/>
  <c r="G626" i="28" s="1"/>
  <c r="T631" i="28"/>
  <c r="U631" i="28" s="1"/>
  <c r="K33" i="3"/>
  <c r="H204" i="9"/>
  <c r="H206" i="9" s="1"/>
  <c r="S85" i="28"/>
  <c r="T89" i="28"/>
  <c r="I86" i="28" s="1"/>
  <c r="T85" i="28"/>
  <c r="U85" i="28"/>
  <c r="O462" i="28"/>
  <c r="T661" i="28"/>
  <c r="U661" i="28" s="1"/>
  <c r="T659" i="28"/>
  <c r="Q657" i="28" s="1"/>
  <c r="Q656" i="28" s="1"/>
  <c r="L127" i="13"/>
  <c r="L137" i="13"/>
  <c r="L138" i="13" s="1"/>
  <c r="T389" i="28"/>
  <c r="U385" i="28"/>
  <c r="T385" i="28"/>
  <c r="S385" i="28"/>
  <c r="B386" i="28" s="1"/>
  <c r="B385" i="28" s="1"/>
  <c r="O326" i="28"/>
  <c r="O325" i="28" s="1"/>
  <c r="J326" i="28"/>
  <c r="J325" i="28" s="1"/>
  <c r="Q326" i="28"/>
  <c r="Q325" i="28" s="1"/>
  <c r="G326" i="28"/>
  <c r="G325" i="28" s="1"/>
  <c r="L281" i="28"/>
  <c r="L280" i="28" s="1"/>
  <c r="K281" i="28"/>
  <c r="K280" i="28" s="1"/>
  <c r="P281" i="28"/>
  <c r="P280" i="28" s="1"/>
  <c r="M40" i="3"/>
  <c r="M148" i="13"/>
  <c r="M149" i="13"/>
  <c r="M150" i="13" s="1"/>
  <c r="L40" i="28"/>
  <c r="L42" i="28" s="1"/>
  <c r="L43" i="28" s="1"/>
  <c r="L46" i="28" s="1"/>
  <c r="L189" i="13"/>
  <c r="L133" i="13"/>
  <c r="I166" i="9"/>
  <c r="L190" i="13"/>
  <c r="L131" i="13"/>
  <c r="L187" i="13"/>
  <c r="L176" i="28"/>
  <c r="L175" i="28" s="1"/>
  <c r="T178" i="28"/>
  <c r="Q176" i="28" s="1"/>
  <c r="Q175" i="28" s="1"/>
  <c r="T180" i="28"/>
  <c r="U180" i="28" s="1"/>
  <c r="Q417" i="28"/>
  <c r="Q419" i="28" s="1"/>
  <c r="Q420" i="28" s="1"/>
  <c r="T541" i="28"/>
  <c r="U541" i="28" s="1"/>
  <c r="T539" i="28"/>
  <c r="M537" i="28" s="1"/>
  <c r="M536" i="28" s="1"/>
  <c r="E537" i="28"/>
  <c r="E536" i="28" s="1"/>
  <c r="N39" i="28"/>
  <c r="M38" i="28"/>
  <c r="C672" i="28"/>
  <c r="C671" i="28" s="1"/>
  <c r="T210" i="28"/>
  <c r="U210" i="28" s="1"/>
  <c r="B206" i="28" s="1"/>
  <c r="B205" i="28" s="1"/>
  <c r="T208" i="28"/>
  <c r="P206" i="28" s="1"/>
  <c r="P205" i="28" s="1"/>
  <c r="H206" i="28"/>
  <c r="H205" i="28" s="1"/>
  <c r="E462" i="28"/>
  <c r="T611" i="28"/>
  <c r="T615" i="28"/>
  <c r="H612" i="28" s="1"/>
  <c r="S611" i="28"/>
  <c r="U611" i="28"/>
  <c r="L34" i="3"/>
  <c r="S100" i="28"/>
  <c r="T104" i="28"/>
  <c r="B101" i="28" s="1"/>
  <c r="B100" i="28" s="1"/>
  <c r="T100" i="28"/>
  <c r="U100" i="28"/>
  <c r="F326" i="28"/>
  <c r="F325" i="28" s="1"/>
  <c r="D326" i="28"/>
  <c r="D325" i="28" s="1"/>
  <c r="M326" i="28"/>
  <c r="M325" i="28" s="1"/>
  <c r="L326" i="28"/>
  <c r="L325" i="28" s="1"/>
  <c r="M281" i="28"/>
  <c r="M280" i="28" s="1"/>
  <c r="J170" i="9"/>
  <c r="M145" i="13"/>
  <c r="AB18" i="17"/>
  <c r="AI18" i="17" s="1"/>
  <c r="J164" i="60"/>
  <c r="J171" i="9"/>
  <c r="I219" i="9"/>
  <c r="L67" i="3"/>
  <c r="B302" i="28"/>
  <c r="F462" i="28"/>
  <c r="E326" i="28"/>
  <c r="E325" i="28" s="1"/>
  <c r="H326" i="28"/>
  <c r="H325" i="28" s="1"/>
  <c r="B146" i="28"/>
  <c r="B145" i="28" s="1"/>
  <c r="T150" i="28"/>
  <c r="U150" i="28" s="1"/>
  <c r="T148" i="28"/>
  <c r="E146" i="28" s="1"/>
  <c r="E145" i="28" s="1"/>
  <c r="N193" i="28"/>
  <c r="M192" i="28"/>
  <c r="M194" i="28" s="1"/>
  <c r="M195" i="28" s="1"/>
  <c r="M196" i="28" s="1"/>
  <c r="B673" i="28"/>
  <c r="B675" i="28" s="1"/>
  <c r="B676" i="28" s="1"/>
  <c r="B677" i="28" s="1"/>
  <c r="H222" i="9"/>
  <c r="K103" i="3"/>
  <c r="H242" i="9" s="1"/>
  <c r="D462" i="28"/>
  <c r="D464" i="28" s="1"/>
  <c r="D465" i="28" s="1"/>
  <c r="D466" i="28" s="1"/>
  <c r="T614" i="28"/>
  <c r="L612" i="28" s="1"/>
  <c r="L611" i="28" s="1"/>
  <c r="T616" i="28"/>
  <c r="U616" i="28" s="1"/>
  <c r="T450" i="28"/>
  <c r="U450" i="28" s="1"/>
  <c r="T448" i="28"/>
  <c r="B446" i="28" s="1"/>
  <c r="B445" i="28" s="1"/>
  <c r="B506" i="28" s="1"/>
  <c r="N253" i="28"/>
  <c r="M252" i="28"/>
  <c r="M254" i="28" s="1"/>
  <c r="M255" i="28" s="1"/>
  <c r="M256" i="28" s="1"/>
  <c r="H19" i="26"/>
  <c r="T105" i="28"/>
  <c r="U105" i="28" s="1"/>
  <c r="T103" i="28"/>
  <c r="G101" i="28" s="1"/>
  <c r="G100" i="28" s="1"/>
  <c r="K326" i="28"/>
  <c r="K325" i="28" s="1"/>
  <c r="I326" i="28"/>
  <c r="I325" i="28" s="1"/>
  <c r="B326" i="28"/>
  <c r="B325" i="28" s="1"/>
  <c r="Q368" i="28"/>
  <c r="S338" i="28"/>
  <c r="F464" i="28" l="1"/>
  <c r="F465" i="28" s="1"/>
  <c r="F466" i="28" s="1"/>
  <c r="J464" i="28"/>
  <c r="J465" i="28" s="1"/>
  <c r="J466" i="28" s="1"/>
  <c r="Q464" i="28"/>
  <c r="Q465" i="28" s="1"/>
  <c r="E464" i="28"/>
  <c r="E465" i="28" s="1"/>
  <c r="E466" i="28" s="1"/>
  <c r="O464" i="28"/>
  <c r="O465" i="28" s="1"/>
  <c r="O466" i="28" s="1"/>
  <c r="I464" i="28"/>
  <c r="I465" i="28" s="1"/>
  <c r="I466" i="28" s="1"/>
  <c r="H464" i="28"/>
  <c r="H465" i="28" s="1"/>
  <c r="H466" i="28" s="1"/>
  <c r="N464" i="28"/>
  <c r="N465" i="28" s="1"/>
  <c r="N466" i="28" s="1"/>
  <c r="M464" i="28"/>
  <c r="M465" i="28" s="1"/>
  <c r="M466" i="28" s="1"/>
  <c r="L464" i="28"/>
  <c r="L465" i="28" s="1"/>
  <c r="L466" i="28" s="1"/>
  <c r="Q369" i="28"/>
  <c r="N106" i="9"/>
  <c r="N107" i="9"/>
  <c r="L56" i="28"/>
  <c r="Q310" i="13"/>
  <c r="D521" i="28"/>
  <c r="D523" i="28" s="1"/>
  <c r="D525" i="28" s="1"/>
  <c r="D526" i="28" s="1"/>
  <c r="D527" i="28" s="1"/>
  <c r="C522" i="28"/>
  <c r="H130" i="28"/>
  <c r="H132" i="28" s="1"/>
  <c r="H134" i="28" s="1"/>
  <c r="H135" i="28" s="1"/>
  <c r="H136" i="28" s="1"/>
  <c r="G131" i="28"/>
  <c r="G130" i="28" s="1"/>
  <c r="G132" i="28" s="1"/>
  <c r="G134" i="28" s="1"/>
  <c r="G135" i="28" s="1"/>
  <c r="G136" i="28" s="1"/>
  <c r="L717" i="28"/>
  <c r="L716" i="28" s="1"/>
  <c r="L718" i="28" s="1"/>
  <c r="L720" i="28" s="1"/>
  <c r="L721" i="28" s="1"/>
  <c r="L722" i="28" s="1"/>
  <c r="C192" i="60"/>
  <c r="G178" i="60"/>
  <c r="A199" i="60" s="1"/>
  <c r="B16" i="28"/>
  <c r="C16" i="28" s="1"/>
  <c r="D16" i="28" s="1"/>
  <c r="V16" i="28" s="1"/>
  <c r="AG16" i="28" s="1"/>
  <c r="U8" i="60"/>
  <c r="U10" i="60"/>
  <c r="G156" i="60"/>
  <c r="H156" i="60"/>
  <c r="G168" i="60"/>
  <c r="G177" i="60" s="1"/>
  <c r="A196" i="60" s="1"/>
  <c r="G154" i="60"/>
  <c r="O416" i="28"/>
  <c r="O415" i="28" s="1"/>
  <c r="N206" i="28"/>
  <c r="N205" i="28" s="1"/>
  <c r="N207" i="28" s="1"/>
  <c r="N209" i="28" s="1"/>
  <c r="N210" i="28" s="1"/>
  <c r="N211" i="28" s="1"/>
  <c r="P176" i="28"/>
  <c r="P175" i="28" s="1"/>
  <c r="P177" i="28" s="1"/>
  <c r="P179" i="28" s="1"/>
  <c r="P180" i="28" s="1"/>
  <c r="P181" i="28" s="1"/>
  <c r="J161" i="28"/>
  <c r="J160" i="28" s="1"/>
  <c r="J162" i="28" s="1"/>
  <c r="J164" i="28" s="1"/>
  <c r="J165" i="28" s="1"/>
  <c r="J166" i="28" s="1"/>
  <c r="J657" i="28"/>
  <c r="J656" i="28" s="1"/>
  <c r="J658" i="28" s="1"/>
  <c r="J660" i="28" s="1"/>
  <c r="J661" i="28" s="1"/>
  <c r="J662" i="28" s="1"/>
  <c r="F657" i="28"/>
  <c r="F656" i="28" s="1"/>
  <c r="F658" i="28" s="1"/>
  <c r="F660" i="28" s="1"/>
  <c r="F661" i="28" s="1"/>
  <c r="F662" i="28" s="1"/>
  <c r="B236" i="28"/>
  <c r="B235" i="28" s="1"/>
  <c r="B237" i="28" s="1"/>
  <c r="B239" i="28" s="1"/>
  <c r="B240" i="28" s="1"/>
  <c r="B241" i="28" s="1"/>
  <c r="I206" i="28"/>
  <c r="I205" i="28" s="1"/>
  <c r="I207" i="28" s="1"/>
  <c r="I209" i="28" s="1"/>
  <c r="I210" i="28" s="1"/>
  <c r="I211" i="28" s="1"/>
  <c r="J731" i="28"/>
  <c r="J733" i="28" s="1"/>
  <c r="J735" i="28" s="1"/>
  <c r="J736" i="28" s="1"/>
  <c r="J737" i="28" s="1"/>
  <c r="I732" i="28"/>
  <c r="M176" i="28"/>
  <c r="M175" i="28" s="1"/>
  <c r="M177" i="28" s="1"/>
  <c r="M179" i="28" s="1"/>
  <c r="M180" i="28" s="1"/>
  <c r="M181" i="28" s="1"/>
  <c r="H642" i="28"/>
  <c r="H641" i="28" s="1"/>
  <c r="H643" i="28" s="1"/>
  <c r="H645" i="28" s="1"/>
  <c r="H646" i="28" s="1"/>
  <c r="H647" i="28" s="1"/>
  <c r="F386" i="28"/>
  <c r="F385" i="28" s="1"/>
  <c r="F387" i="28" s="1"/>
  <c r="O206" i="28"/>
  <c r="O205" i="28" s="1"/>
  <c r="O207" i="28" s="1"/>
  <c r="O209" i="28" s="1"/>
  <c r="O210" i="28" s="1"/>
  <c r="O211" i="28" s="1"/>
  <c r="G657" i="28"/>
  <c r="G656" i="28" s="1"/>
  <c r="G658" i="28" s="1"/>
  <c r="G660" i="28" s="1"/>
  <c r="G661" i="28" s="1"/>
  <c r="G662" i="28" s="1"/>
  <c r="I236" i="28"/>
  <c r="I235" i="28" s="1"/>
  <c r="I237" i="28" s="1"/>
  <c r="I239" i="28" s="1"/>
  <c r="I240" i="28" s="1"/>
  <c r="I241" i="28" s="1"/>
  <c r="D161" i="28"/>
  <c r="D160" i="28" s="1"/>
  <c r="Q206" i="28"/>
  <c r="Q205" i="28" s="1"/>
  <c r="Q207" i="28" s="1"/>
  <c r="Q209" i="28" s="1"/>
  <c r="Q210" i="28" s="1"/>
  <c r="M657" i="28"/>
  <c r="M656" i="28" s="1"/>
  <c r="M658" i="28" s="1"/>
  <c r="M660" i="28" s="1"/>
  <c r="M661" i="28" s="1"/>
  <c r="M662" i="28" s="1"/>
  <c r="L206" i="28"/>
  <c r="L205" i="28" s="1"/>
  <c r="L207" i="28" s="1"/>
  <c r="L209" i="28" s="1"/>
  <c r="L210" i="28" s="1"/>
  <c r="L211" i="28" s="1"/>
  <c r="C657" i="28"/>
  <c r="C656" i="28" s="1"/>
  <c r="C658" i="28" s="1"/>
  <c r="C660" i="28" s="1"/>
  <c r="C661" i="28" s="1"/>
  <c r="C662" i="28" s="1"/>
  <c r="B657" i="28"/>
  <c r="B656" i="28" s="1"/>
  <c r="B658" i="28" s="1"/>
  <c r="B660" i="28" s="1"/>
  <c r="B661" i="28" s="1"/>
  <c r="B662" i="28" s="1"/>
  <c r="K221" i="28"/>
  <c r="K220" i="28" s="1"/>
  <c r="C642" i="28"/>
  <c r="C641" i="28" s="1"/>
  <c r="C643" i="28" s="1"/>
  <c r="C645" i="28" s="1"/>
  <c r="C646" i="28" s="1"/>
  <c r="C647" i="28" s="1"/>
  <c r="P161" i="28"/>
  <c r="P160" i="28" s="1"/>
  <c r="P162" i="28" s="1"/>
  <c r="P164" i="28" s="1"/>
  <c r="P165" i="28" s="1"/>
  <c r="P166" i="28" s="1"/>
  <c r="Q161" i="28"/>
  <c r="Q160" i="28" s="1"/>
  <c r="Q162" i="28" s="1"/>
  <c r="Q164" i="28" s="1"/>
  <c r="Q165" i="28" s="1"/>
  <c r="L161" i="28"/>
  <c r="L160" i="28" s="1"/>
  <c r="L162" i="28" s="1"/>
  <c r="L164" i="28" s="1"/>
  <c r="L165" i="28" s="1"/>
  <c r="L166" i="28" s="1"/>
  <c r="Q284" i="28"/>
  <c r="Q285" i="28" s="1"/>
  <c r="Q286" i="28" s="1"/>
  <c r="I161" i="28"/>
  <c r="I160" i="28" s="1"/>
  <c r="P446" i="28"/>
  <c r="P445" i="28" s="1"/>
  <c r="P506" i="28" s="1"/>
  <c r="O657" i="28"/>
  <c r="O656" i="28" s="1"/>
  <c r="O658" i="28" s="1"/>
  <c r="O660" i="28" s="1"/>
  <c r="O661" i="28" s="1"/>
  <c r="O662" i="28" s="1"/>
  <c r="L657" i="28"/>
  <c r="L656" i="28" s="1"/>
  <c r="L658" i="28" s="1"/>
  <c r="L660" i="28" s="1"/>
  <c r="L661" i="28" s="1"/>
  <c r="L662" i="28" s="1"/>
  <c r="D627" i="28"/>
  <c r="D626" i="28" s="1"/>
  <c r="D628" i="28" s="1"/>
  <c r="D630" i="28" s="1"/>
  <c r="D631" i="28" s="1"/>
  <c r="D632" i="28" s="1"/>
  <c r="K161" i="28"/>
  <c r="K160" i="28" s="1"/>
  <c r="K162" i="28" s="1"/>
  <c r="K164" i="28" s="1"/>
  <c r="K165" i="28" s="1"/>
  <c r="K166" i="28" s="1"/>
  <c r="M161" i="28"/>
  <c r="M160" i="28" s="1"/>
  <c r="M162" i="28" s="1"/>
  <c r="M164" i="28" s="1"/>
  <c r="M165" i="28" s="1"/>
  <c r="M166" i="28" s="1"/>
  <c r="Q86" i="28"/>
  <c r="Q85" i="28" s="1"/>
  <c r="Q87" i="28" s="1"/>
  <c r="Q89" i="28" s="1"/>
  <c r="Q90" i="28" s="1"/>
  <c r="N101" i="28"/>
  <c r="N100" i="28" s="1"/>
  <c r="L101" i="28"/>
  <c r="L100" i="28" s="1"/>
  <c r="L102" i="28" s="1"/>
  <c r="L104" i="28" s="1"/>
  <c r="L105" i="28" s="1"/>
  <c r="L106" i="28" s="1"/>
  <c r="J101" i="28"/>
  <c r="J100" i="28" s="1"/>
  <c r="J102" i="28" s="1"/>
  <c r="O101" i="28"/>
  <c r="O100" i="28" s="1"/>
  <c r="O102" i="28" s="1"/>
  <c r="O104" i="28" s="1"/>
  <c r="O105" i="28" s="1"/>
  <c r="O106" i="28" s="1"/>
  <c r="Q612" i="28"/>
  <c r="Q611" i="28" s="1"/>
  <c r="Q613" i="28" s="1"/>
  <c r="Q615" i="28" s="1"/>
  <c r="Q616" i="28" s="1"/>
  <c r="C146" i="28"/>
  <c r="C145" i="28" s="1"/>
  <c r="C147" i="28" s="1"/>
  <c r="G206" i="28"/>
  <c r="G205" i="28" s="1"/>
  <c r="G207" i="28" s="1"/>
  <c r="G209" i="28" s="1"/>
  <c r="G210" i="28" s="1"/>
  <c r="G211" i="28" s="1"/>
  <c r="J537" i="28"/>
  <c r="J536" i="28" s="1"/>
  <c r="J538" i="28" s="1"/>
  <c r="J598" i="28" s="1"/>
  <c r="C386" i="28"/>
  <c r="D386" i="28" s="1"/>
  <c r="D385" i="28" s="1"/>
  <c r="F627" i="28"/>
  <c r="F626" i="28" s="1"/>
  <c r="F628" i="28" s="1"/>
  <c r="L627" i="28"/>
  <c r="L626" i="28" s="1"/>
  <c r="H627" i="28"/>
  <c r="H626" i="28" s="1"/>
  <c r="H628" i="28" s="1"/>
  <c r="N236" i="28"/>
  <c r="N235" i="28" s="1"/>
  <c r="N237" i="28" s="1"/>
  <c r="N239" i="28" s="1"/>
  <c r="N240" i="28" s="1"/>
  <c r="N241" i="28" s="1"/>
  <c r="G236" i="28"/>
  <c r="G235" i="28" s="1"/>
  <c r="G237" i="28" s="1"/>
  <c r="C221" i="28"/>
  <c r="C220" i="28" s="1"/>
  <c r="C222" i="28" s="1"/>
  <c r="B221" i="28"/>
  <c r="B220" i="28" s="1"/>
  <c r="B222" i="28" s="1"/>
  <c r="B224" i="28" s="1"/>
  <c r="B225" i="28" s="1"/>
  <c r="B226" i="28" s="1"/>
  <c r="Q386" i="28"/>
  <c r="Q385" i="28" s="1"/>
  <c r="Q387" i="28" s="1"/>
  <c r="Q389" i="28" s="1"/>
  <c r="Q390" i="28" s="1"/>
  <c r="O386" i="28"/>
  <c r="O385" i="28" s="1"/>
  <c r="O387" i="28" s="1"/>
  <c r="P386" i="28"/>
  <c r="P385" i="28" s="1"/>
  <c r="P387" i="28" s="1"/>
  <c r="P389" i="28" s="1"/>
  <c r="P390" i="28" s="1"/>
  <c r="P391" i="28" s="1"/>
  <c r="O86" i="28"/>
  <c r="O85" i="28" s="1"/>
  <c r="O87" i="28" s="1"/>
  <c r="O89" i="28" s="1"/>
  <c r="O90" i="28" s="1"/>
  <c r="O91" i="28" s="1"/>
  <c r="M86" i="28"/>
  <c r="M85" i="28" s="1"/>
  <c r="M87" i="28" s="1"/>
  <c r="M89" i="28" s="1"/>
  <c r="M90" i="28" s="1"/>
  <c r="M91" i="28" s="1"/>
  <c r="I101" i="28"/>
  <c r="I100" i="28" s="1"/>
  <c r="L537" i="28"/>
  <c r="L536" i="28" s="1"/>
  <c r="L538" i="28" s="1"/>
  <c r="E627" i="28"/>
  <c r="E626" i="28" s="1"/>
  <c r="E628" i="28" s="1"/>
  <c r="C627" i="28"/>
  <c r="C626" i="28" s="1"/>
  <c r="I627" i="28"/>
  <c r="I626" i="28" s="1"/>
  <c r="I628" i="28" s="1"/>
  <c r="B627" i="28"/>
  <c r="B626" i="28" s="1"/>
  <c r="B628" i="28" s="1"/>
  <c r="K627" i="28"/>
  <c r="K626" i="28" s="1"/>
  <c r="K628" i="28" s="1"/>
  <c r="K630" i="28" s="1"/>
  <c r="K631" i="28" s="1"/>
  <c r="K632" i="28" s="1"/>
  <c r="K386" i="28"/>
  <c r="K385" i="28" s="1"/>
  <c r="K387" i="28" s="1"/>
  <c r="K389" i="28" s="1"/>
  <c r="K390" i="28" s="1"/>
  <c r="K391" i="28" s="1"/>
  <c r="G386" i="28"/>
  <c r="G385" i="28" s="1"/>
  <c r="G387" i="28" s="1"/>
  <c r="P86" i="28"/>
  <c r="P85" i="28" s="1"/>
  <c r="P87" i="28" s="1"/>
  <c r="P89" i="28" s="1"/>
  <c r="P90" i="28" s="1"/>
  <c r="P91" i="28" s="1"/>
  <c r="Q101" i="28"/>
  <c r="Q100" i="28" s="1"/>
  <c r="Q102" i="28" s="1"/>
  <c r="Q104" i="28" s="1"/>
  <c r="Q105" i="28" s="1"/>
  <c r="P627" i="28"/>
  <c r="P626" i="28" s="1"/>
  <c r="P628" i="28" s="1"/>
  <c r="O627" i="28"/>
  <c r="O626" i="28" s="1"/>
  <c r="O628" i="28" s="1"/>
  <c r="N627" i="28"/>
  <c r="N626" i="28" s="1"/>
  <c r="N628" i="28" s="1"/>
  <c r="N630" i="28" s="1"/>
  <c r="N631" i="28" s="1"/>
  <c r="N632" i="28" s="1"/>
  <c r="O236" i="28"/>
  <c r="O235" i="28" s="1"/>
  <c r="O237" i="28" s="1"/>
  <c r="O239" i="28" s="1"/>
  <c r="O240" i="28" s="1"/>
  <c r="O241" i="28" s="1"/>
  <c r="P101" i="28"/>
  <c r="P100" i="28" s="1"/>
  <c r="P102" i="28" s="1"/>
  <c r="P104" i="28" s="1"/>
  <c r="P105" i="28" s="1"/>
  <c r="P106" i="28" s="1"/>
  <c r="K101" i="28"/>
  <c r="K100" i="28" s="1"/>
  <c r="K102" i="28" s="1"/>
  <c r="F101" i="28"/>
  <c r="F100" i="28" s="1"/>
  <c r="F102" i="28" s="1"/>
  <c r="F104" i="28" s="1"/>
  <c r="F105" i="28" s="1"/>
  <c r="F106" i="28" s="1"/>
  <c r="D537" i="28"/>
  <c r="D536" i="28" s="1"/>
  <c r="Q627" i="28"/>
  <c r="Q626" i="28" s="1"/>
  <c r="Q628" i="28" s="1"/>
  <c r="M627" i="28"/>
  <c r="M626" i="28" s="1"/>
  <c r="M628" i="28" s="1"/>
  <c r="J627" i="28"/>
  <c r="J626" i="28" s="1"/>
  <c r="J628" i="28" s="1"/>
  <c r="M236" i="28"/>
  <c r="M235" i="28" s="1"/>
  <c r="M237" i="28" s="1"/>
  <c r="M239" i="28" s="1"/>
  <c r="M240" i="28" s="1"/>
  <c r="M241" i="28" s="1"/>
  <c r="M221" i="28"/>
  <c r="M220" i="28" s="1"/>
  <c r="M222" i="28" s="1"/>
  <c r="M224" i="28" s="1"/>
  <c r="M225" i="28" s="1"/>
  <c r="M226" i="28" s="1"/>
  <c r="M386" i="28"/>
  <c r="M385" i="28" s="1"/>
  <c r="M387" i="28" s="1"/>
  <c r="H386" i="28"/>
  <c r="H385" i="28" s="1"/>
  <c r="H387" i="28" s="1"/>
  <c r="H611" i="28"/>
  <c r="I612" i="28"/>
  <c r="G612" i="28"/>
  <c r="N643" i="28"/>
  <c r="N645" i="28" s="1"/>
  <c r="N646" i="28" s="1"/>
  <c r="N647" i="28" s="1"/>
  <c r="B207" i="28"/>
  <c r="B209" i="28" s="1"/>
  <c r="B210" i="28" s="1"/>
  <c r="B211" i="28" s="1"/>
  <c r="Q421" i="28"/>
  <c r="B423" i="28"/>
  <c r="I85" i="28"/>
  <c r="J86" i="28"/>
  <c r="P222" i="28"/>
  <c r="P224" i="28" s="1"/>
  <c r="P225" i="28" s="1"/>
  <c r="P226" i="28" s="1"/>
  <c r="G102" i="28"/>
  <c r="G104" i="28" s="1"/>
  <c r="G105" i="28" s="1"/>
  <c r="G106" i="28" s="1"/>
  <c r="L613" i="28"/>
  <c r="L615" i="28" s="1"/>
  <c r="L616" i="28" s="1"/>
  <c r="L617" i="28" s="1"/>
  <c r="E147" i="28"/>
  <c r="E149" i="28" s="1"/>
  <c r="E150" i="28" s="1"/>
  <c r="E151" i="28" s="1"/>
  <c r="M538" i="28"/>
  <c r="M598" i="28" s="1"/>
  <c r="M596" i="28"/>
  <c r="Q237" i="28"/>
  <c r="Q239" i="28" s="1"/>
  <c r="Q240" i="28" s="1"/>
  <c r="J387" i="28"/>
  <c r="J389" i="28" s="1"/>
  <c r="J390" i="28" s="1"/>
  <c r="J391" i="28" s="1"/>
  <c r="B447" i="28"/>
  <c r="B508" i="28" s="1"/>
  <c r="P207" i="28"/>
  <c r="P209" i="28" s="1"/>
  <c r="P210" i="28" s="1"/>
  <c r="P211" i="28" s="1"/>
  <c r="Q658" i="28"/>
  <c r="Q660" i="28" s="1"/>
  <c r="Q661" i="28" s="1"/>
  <c r="K72" i="28"/>
  <c r="K74" i="28" s="1"/>
  <c r="K75" i="28" s="1"/>
  <c r="K76" i="28" s="1"/>
  <c r="N162" i="28"/>
  <c r="N164" i="28" s="1"/>
  <c r="N165" i="28" s="1"/>
  <c r="N166" i="28" s="1"/>
  <c r="J146" i="28"/>
  <c r="J145" i="28" s="1"/>
  <c r="E327" i="28"/>
  <c r="E329" i="28" s="1"/>
  <c r="E330" i="28" s="1"/>
  <c r="E331" i="28" s="1"/>
  <c r="B11" i="28"/>
  <c r="C11" i="28" s="1"/>
  <c r="D11" i="28" s="1"/>
  <c r="V11" i="28" s="1"/>
  <c r="B304" i="28"/>
  <c r="B305" i="28" s="1"/>
  <c r="U99" i="60" s="1"/>
  <c r="M282" i="28"/>
  <c r="M284" i="28" s="1"/>
  <c r="M285" i="28" s="1"/>
  <c r="M286" i="28" s="1"/>
  <c r="M327" i="28"/>
  <c r="M329" i="28" s="1"/>
  <c r="M330" i="28" s="1"/>
  <c r="M331" i="28" s="1"/>
  <c r="O39" i="28"/>
  <c r="N38" i="28"/>
  <c r="I171" i="9"/>
  <c r="I172" i="9" s="1"/>
  <c r="AA18" i="17"/>
  <c r="AH18" i="17" s="1"/>
  <c r="L134" i="13"/>
  <c r="L135" i="13" s="1"/>
  <c r="I164" i="60"/>
  <c r="J155" i="60" s="1"/>
  <c r="M60" i="3"/>
  <c r="J209" i="9"/>
  <c r="M97" i="3"/>
  <c r="K327" i="28"/>
  <c r="I446" i="28"/>
  <c r="I445" i="28" s="1"/>
  <c r="I506" i="28" s="1"/>
  <c r="Q446" i="28"/>
  <c r="Q445" i="28" s="1"/>
  <c r="Q506" i="28" s="1"/>
  <c r="H446" i="28"/>
  <c r="H445" i="28" s="1"/>
  <c r="H506" i="28" s="1"/>
  <c r="E446" i="28"/>
  <c r="E445" i="28" s="1"/>
  <c r="E506" i="28" s="1"/>
  <c r="G446" i="28"/>
  <c r="G445" i="28" s="1"/>
  <c r="G506" i="28" s="1"/>
  <c r="O612" i="28"/>
  <c r="O611" i="28" s="1"/>
  <c r="N612" i="28"/>
  <c r="N611" i="28" s="1"/>
  <c r="F146" i="28"/>
  <c r="F145" i="28" s="1"/>
  <c r="N146" i="28"/>
  <c r="N145" i="28" s="1"/>
  <c r="P146" i="28"/>
  <c r="P145" i="28" s="1"/>
  <c r="M146" i="28"/>
  <c r="M145" i="28" s="1"/>
  <c r="H327" i="28"/>
  <c r="H329" i="28" s="1"/>
  <c r="H330" i="28" s="1"/>
  <c r="H331" i="28" s="1"/>
  <c r="I222" i="9"/>
  <c r="L103" i="3"/>
  <c r="I242" i="9" s="1"/>
  <c r="L327" i="28"/>
  <c r="M40" i="28"/>
  <c r="M42" i="28" s="1"/>
  <c r="M43" i="28" s="1"/>
  <c r="M46" i="28" s="1"/>
  <c r="E538" i="28"/>
  <c r="E596" i="28"/>
  <c r="F537" i="28"/>
  <c r="P537" i="28"/>
  <c r="P536" i="28" s="1"/>
  <c r="I537" i="28"/>
  <c r="I536" i="28" s="1"/>
  <c r="L177" i="28"/>
  <c r="L179" i="28" s="1"/>
  <c r="L180" i="28" s="1"/>
  <c r="L181" i="28" s="1"/>
  <c r="L282" i="28"/>
  <c r="L284" i="28" s="1"/>
  <c r="L285" i="28" s="1"/>
  <c r="L286" i="28" s="1"/>
  <c r="G327" i="28"/>
  <c r="G628" i="28"/>
  <c r="G630" i="28" s="1"/>
  <c r="G631" i="28" s="1"/>
  <c r="G632" i="28" s="1"/>
  <c r="J71" i="28"/>
  <c r="J70" i="28" s="1"/>
  <c r="L71" i="28"/>
  <c r="L70" i="28" s="1"/>
  <c r="F71" i="28"/>
  <c r="F70" i="28" s="1"/>
  <c r="N71" i="28"/>
  <c r="N70" i="28" s="1"/>
  <c r="C237" i="28"/>
  <c r="C239" i="28" s="1"/>
  <c r="C240" i="28" s="1"/>
  <c r="C241" i="28" s="1"/>
  <c r="P673" i="28"/>
  <c r="P675" i="28" s="1"/>
  <c r="P676" i="28" s="1"/>
  <c r="P677" i="28" s="1"/>
  <c r="K642" i="28"/>
  <c r="K641" i="28" s="1"/>
  <c r="F642" i="28"/>
  <c r="F641" i="28" s="1"/>
  <c r="Q642" i="28"/>
  <c r="Q641" i="28" s="1"/>
  <c r="G642" i="28"/>
  <c r="G641" i="28" s="1"/>
  <c r="N327" i="28"/>
  <c r="N329" i="28" s="1"/>
  <c r="N330" i="28" s="1"/>
  <c r="N331" i="28" s="1"/>
  <c r="F161" i="28"/>
  <c r="D280" i="28"/>
  <c r="C281" i="28"/>
  <c r="O253" i="28"/>
  <c r="N252" i="28"/>
  <c r="N254" i="28" s="1"/>
  <c r="N255" i="28" s="1"/>
  <c r="N256" i="28" s="1"/>
  <c r="D446" i="28"/>
  <c r="D445" i="28" s="1"/>
  <c r="D506" i="28" s="1"/>
  <c r="N446" i="28"/>
  <c r="N445" i="28" s="1"/>
  <c r="N506" i="28" s="1"/>
  <c r="K446" i="28"/>
  <c r="K445" i="28" s="1"/>
  <c r="K506" i="28" s="1"/>
  <c r="G146" i="28"/>
  <c r="G145" i="28" s="1"/>
  <c r="E71" i="28"/>
  <c r="E70" i="28" s="1"/>
  <c r="O71" i="28"/>
  <c r="O70" i="28" s="1"/>
  <c r="H237" i="28"/>
  <c r="H239" i="28" s="1"/>
  <c r="H240" i="28" s="1"/>
  <c r="H241" i="28" s="1"/>
  <c r="L673" i="28"/>
  <c r="L675" i="28" s="1"/>
  <c r="L676" i="28" s="1"/>
  <c r="L677" i="28" s="1"/>
  <c r="E642" i="28"/>
  <c r="E641" i="28" s="1"/>
  <c r="I642" i="28"/>
  <c r="I641" i="28" s="1"/>
  <c r="E162" i="28"/>
  <c r="E164" i="28" s="1"/>
  <c r="E165" i="28" s="1"/>
  <c r="E166" i="28" s="1"/>
  <c r="F280" i="28"/>
  <c r="G281" i="28"/>
  <c r="M446" i="28"/>
  <c r="M445" i="28" s="1"/>
  <c r="M506" i="28" s="1"/>
  <c r="P612" i="28"/>
  <c r="P611" i="28" s="1"/>
  <c r="K146" i="28"/>
  <c r="K145" i="28" s="1"/>
  <c r="Q677" i="28"/>
  <c r="B679" i="28"/>
  <c r="M164" i="60"/>
  <c r="J165" i="60"/>
  <c r="J169" i="60"/>
  <c r="J163" i="60"/>
  <c r="J170" i="60"/>
  <c r="D327" i="28"/>
  <c r="M36" i="3"/>
  <c r="C206" i="28"/>
  <c r="C205" i="28" s="1"/>
  <c r="M206" i="28"/>
  <c r="M205" i="28" s="1"/>
  <c r="Q537" i="28"/>
  <c r="Q536" i="28" s="1"/>
  <c r="O537" i="28"/>
  <c r="O536" i="28" s="1"/>
  <c r="Q177" i="28"/>
  <c r="Q179" i="28" s="1"/>
  <c r="Q180" i="28" s="1"/>
  <c r="K176" i="28"/>
  <c r="P282" i="28"/>
  <c r="P284" i="28" s="1"/>
  <c r="P285" i="28" s="1"/>
  <c r="P286" i="28" s="1"/>
  <c r="J327" i="28"/>
  <c r="K657" i="28"/>
  <c r="K656" i="28" s="1"/>
  <c r="P657" i="28"/>
  <c r="P656" i="28" s="1"/>
  <c r="D657" i="28"/>
  <c r="D656" i="28" s="1"/>
  <c r="I657" i="28"/>
  <c r="I656" i="28" s="1"/>
  <c r="P71" i="28"/>
  <c r="P70" i="28" s="1"/>
  <c r="I71" i="28"/>
  <c r="I70" i="28" s="1"/>
  <c r="M71" i="28"/>
  <c r="M70" i="28" s="1"/>
  <c r="P236" i="28"/>
  <c r="P235" i="28" s="1"/>
  <c r="L236" i="28"/>
  <c r="L235" i="28" s="1"/>
  <c r="L222" i="28"/>
  <c r="L224" i="28" s="1"/>
  <c r="L225" i="28" s="1"/>
  <c r="L226" i="28" s="1"/>
  <c r="Q221" i="28"/>
  <c r="Q220" i="28" s="1"/>
  <c r="G673" i="28"/>
  <c r="G675" i="28" s="1"/>
  <c r="G676" i="28" s="1"/>
  <c r="G677" i="28" s="1"/>
  <c r="D551" i="28"/>
  <c r="C552" i="28"/>
  <c r="D642" i="28"/>
  <c r="D641" i="28" s="1"/>
  <c r="M642" i="28"/>
  <c r="M641" i="28" s="1"/>
  <c r="J642" i="28"/>
  <c r="J641" i="28" s="1"/>
  <c r="P642" i="28"/>
  <c r="P641" i="28" s="1"/>
  <c r="G180" i="60"/>
  <c r="A202" i="60" s="1"/>
  <c r="C201" i="60"/>
  <c r="L386" i="28"/>
  <c r="L385" i="28" s="1"/>
  <c r="E282" i="28"/>
  <c r="E284" i="28" s="1"/>
  <c r="E285" i="28" s="1"/>
  <c r="E286" i="28" s="1"/>
  <c r="Q327" i="28"/>
  <c r="Q329" i="28" s="1"/>
  <c r="Q330" i="28" s="1"/>
  <c r="Q71" i="28"/>
  <c r="Q70" i="28" s="1"/>
  <c r="B72" i="28"/>
  <c r="B74" i="28" s="1"/>
  <c r="B75" i="28" s="1"/>
  <c r="B76" i="28" s="1"/>
  <c r="B468" i="28"/>
  <c r="Q466" i="28"/>
  <c r="B387" i="28"/>
  <c r="B389" i="28" s="1"/>
  <c r="B390" i="28" s="1"/>
  <c r="B391" i="28" s="1"/>
  <c r="N87" i="28"/>
  <c r="N89" i="28" s="1"/>
  <c r="N90" i="28" s="1"/>
  <c r="N91" i="28" s="1"/>
  <c r="B327" i="28"/>
  <c r="B329" i="28" s="1"/>
  <c r="B330" i="28" s="1"/>
  <c r="B331" i="28" s="1"/>
  <c r="B102" i="28"/>
  <c r="B104" i="28" s="1"/>
  <c r="B105" i="28" s="1"/>
  <c r="B106" i="28" s="1"/>
  <c r="C101" i="28"/>
  <c r="F446" i="28"/>
  <c r="F445" i="28" s="1"/>
  <c r="F506" i="28" s="1"/>
  <c r="J446" i="28"/>
  <c r="J445" i="28" s="1"/>
  <c r="J506" i="28" s="1"/>
  <c r="M612" i="28"/>
  <c r="M611" i="28" s="1"/>
  <c r="O193" i="28"/>
  <c r="N192" i="28"/>
  <c r="N194" i="28" s="1"/>
  <c r="N195" i="28" s="1"/>
  <c r="N196" i="28" s="1"/>
  <c r="H146" i="28"/>
  <c r="H145" i="28" s="1"/>
  <c r="Q146" i="28"/>
  <c r="Q145" i="28" s="1"/>
  <c r="T340" i="28"/>
  <c r="T344" i="28"/>
  <c r="S340" i="28"/>
  <c r="U340" i="28"/>
  <c r="T338" i="28"/>
  <c r="I327" i="28"/>
  <c r="M101" i="28"/>
  <c r="M100" i="28" s="1"/>
  <c r="H101" i="28"/>
  <c r="H100" i="28" s="1"/>
  <c r="O446" i="28"/>
  <c r="O445" i="28" s="1"/>
  <c r="O506" i="28" s="1"/>
  <c r="C446" i="28"/>
  <c r="C445" i="28" s="1"/>
  <c r="C506" i="28" s="1"/>
  <c r="L446" i="28"/>
  <c r="L445" i="28" s="1"/>
  <c r="L506" i="28" s="1"/>
  <c r="I146" i="28"/>
  <c r="I145" i="28" s="1"/>
  <c r="L146" i="28"/>
  <c r="L145" i="28" s="1"/>
  <c r="O146" i="28"/>
  <c r="O145" i="28" s="1"/>
  <c r="B147" i="28"/>
  <c r="B149" i="28" s="1"/>
  <c r="B150" i="28" s="1"/>
  <c r="B151" i="28" s="1"/>
  <c r="M134" i="13"/>
  <c r="M135" i="13" s="1"/>
  <c r="F327" i="28"/>
  <c r="I204" i="9"/>
  <c r="I206" i="9" s="1"/>
  <c r="L33" i="3"/>
  <c r="H207" i="28"/>
  <c r="H209" i="28" s="1"/>
  <c r="H210" i="28" s="1"/>
  <c r="H211" i="28" s="1"/>
  <c r="C673" i="28"/>
  <c r="C675" i="28" s="1"/>
  <c r="C676" i="28" s="1"/>
  <c r="C677" i="28" s="1"/>
  <c r="N537" i="28"/>
  <c r="N536" i="28" s="1"/>
  <c r="K537" i="28"/>
  <c r="K536" i="28" s="1"/>
  <c r="K282" i="28"/>
  <c r="K284" i="28" s="1"/>
  <c r="K285" i="28" s="1"/>
  <c r="K286" i="28" s="1"/>
  <c r="O327" i="28"/>
  <c r="O329" i="28" s="1"/>
  <c r="O330" i="28" s="1"/>
  <c r="O331" i="28" s="1"/>
  <c r="H657" i="28"/>
  <c r="H656" i="28" s="1"/>
  <c r="E657" i="28"/>
  <c r="E656" i="28" s="1"/>
  <c r="N657" i="28"/>
  <c r="N656" i="28" s="1"/>
  <c r="G71" i="28"/>
  <c r="G70" i="28" s="1"/>
  <c r="H71" i="28"/>
  <c r="H70" i="28" s="1"/>
  <c r="C71" i="28"/>
  <c r="M673" i="28"/>
  <c r="M675" i="28" s="1"/>
  <c r="M676" i="28" s="1"/>
  <c r="M677" i="28" s="1"/>
  <c r="E553" i="28"/>
  <c r="E555" i="28" s="1"/>
  <c r="E556" i="28" s="1"/>
  <c r="E557" i="28" s="1"/>
  <c r="L642" i="28"/>
  <c r="L641" i="28" s="1"/>
  <c r="O642" i="28"/>
  <c r="O641" i="28" s="1"/>
  <c r="B643" i="28"/>
  <c r="B645" i="28" s="1"/>
  <c r="B646" i="28" s="1"/>
  <c r="B647" i="28" s="1"/>
  <c r="G244" i="9"/>
  <c r="K104" i="3"/>
  <c r="J16" i="3"/>
  <c r="C327" i="28"/>
  <c r="C329" i="28" s="1"/>
  <c r="C330" i="28" s="1"/>
  <c r="C331" i="28" s="1"/>
  <c r="N386" i="28"/>
  <c r="N385" i="28" s="1"/>
  <c r="I386" i="28"/>
  <c r="I385" i="28" s="1"/>
  <c r="E386" i="28"/>
  <c r="E385" i="28" s="1"/>
  <c r="O161" i="28"/>
  <c r="O160" i="28" s="1"/>
  <c r="H86" i="28"/>
  <c r="H85" i="28" s="1"/>
  <c r="B467" i="28" l="1"/>
  <c r="B469" i="28" s="1"/>
  <c r="B470" i="28" s="1"/>
  <c r="L55" i="28"/>
  <c r="L57" i="28" s="1"/>
  <c r="L59" i="28" s="1"/>
  <c r="L60" i="28" s="1"/>
  <c r="L61" i="28" s="1"/>
  <c r="M56" i="28"/>
  <c r="N416" i="28"/>
  <c r="M416" i="28" s="1"/>
  <c r="B137" i="28"/>
  <c r="B139" i="28" s="1"/>
  <c r="B140" i="28" s="1"/>
  <c r="U57" i="60" s="1"/>
  <c r="C521" i="28"/>
  <c r="B522" i="28"/>
  <c r="B521" i="28" s="1"/>
  <c r="B523" i="28" s="1"/>
  <c r="B525" i="28" s="1"/>
  <c r="B526" i="28" s="1"/>
  <c r="B527" i="28" s="1"/>
  <c r="J221" i="28"/>
  <c r="J220" i="28" s="1"/>
  <c r="K717" i="28"/>
  <c r="J717" i="28" s="1"/>
  <c r="J716" i="28" s="1"/>
  <c r="Y16" i="28"/>
  <c r="C195" i="60"/>
  <c r="F236" i="28"/>
  <c r="E236" i="28" s="1"/>
  <c r="J596" i="28"/>
  <c r="J600" i="28" s="1"/>
  <c r="J601" i="28" s="1"/>
  <c r="J602" i="28" s="1"/>
  <c r="N701" i="28"/>
  <c r="N702" i="28" s="1"/>
  <c r="N176" i="28"/>
  <c r="N175" i="28" s="1"/>
  <c r="P701" i="28"/>
  <c r="P702" i="28" s="1"/>
  <c r="J206" i="28"/>
  <c r="J205" i="28" s="1"/>
  <c r="J236" i="28"/>
  <c r="K236" i="28" s="1"/>
  <c r="K235" i="28" s="1"/>
  <c r="C537" i="28"/>
  <c r="B288" i="28"/>
  <c r="C701" i="28"/>
  <c r="C702" i="28" s="1"/>
  <c r="F389" i="28"/>
  <c r="F390" i="28" s="1"/>
  <c r="F391" i="28" s="1"/>
  <c r="C161" i="28"/>
  <c r="D162" i="28"/>
  <c r="D164" i="28" s="1"/>
  <c r="D165" i="28" s="1"/>
  <c r="D166" i="28" s="1"/>
  <c r="N221" i="28"/>
  <c r="N220" i="28" s="1"/>
  <c r="I731" i="28"/>
  <c r="I733" i="28" s="1"/>
  <c r="I735" i="28" s="1"/>
  <c r="I736" i="28" s="1"/>
  <c r="I737" i="28" s="1"/>
  <c r="H732" i="28"/>
  <c r="C628" i="28"/>
  <c r="C630" i="28" s="1"/>
  <c r="C631" i="28" s="1"/>
  <c r="C632" i="28" s="1"/>
  <c r="P630" i="28"/>
  <c r="P631" i="28" s="1"/>
  <c r="P632" i="28" s="1"/>
  <c r="K701" i="28"/>
  <c r="K702" i="28" s="1"/>
  <c r="J540" i="28"/>
  <c r="J541" i="28" s="1"/>
  <c r="J542" i="28" s="1"/>
  <c r="M389" i="28"/>
  <c r="M390" i="28" s="1"/>
  <c r="M391" i="28" s="1"/>
  <c r="O701" i="28"/>
  <c r="O702" i="28" s="1"/>
  <c r="G239" i="28"/>
  <c r="G240" i="28" s="1"/>
  <c r="G241" i="28" s="1"/>
  <c r="D146" i="28"/>
  <c r="D145" i="28" s="1"/>
  <c r="D147" i="28" s="1"/>
  <c r="D149" i="28" s="1"/>
  <c r="D150" i="28" s="1"/>
  <c r="D151" i="28" s="1"/>
  <c r="K104" i="28"/>
  <c r="K105" i="28" s="1"/>
  <c r="K106" i="28" s="1"/>
  <c r="P447" i="28"/>
  <c r="B701" i="28"/>
  <c r="B702" i="28" s="1"/>
  <c r="I102" i="28"/>
  <c r="I104" i="28" s="1"/>
  <c r="I105" i="28" s="1"/>
  <c r="I106" i="28" s="1"/>
  <c r="I162" i="28"/>
  <c r="I164" i="28" s="1"/>
  <c r="I165" i="28" s="1"/>
  <c r="I166" i="28" s="1"/>
  <c r="J172" i="9"/>
  <c r="N102" i="28"/>
  <c r="N104" i="28" s="1"/>
  <c r="N105" i="28" s="1"/>
  <c r="N106" i="28" s="1"/>
  <c r="M540" i="28"/>
  <c r="M541" i="28" s="1"/>
  <c r="M542" i="28" s="1"/>
  <c r="C385" i="28"/>
  <c r="C387" i="28" s="1"/>
  <c r="C389" i="28" s="1"/>
  <c r="C390" i="28" s="1"/>
  <c r="C391" i="28" s="1"/>
  <c r="J630" i="28"/>
  <c r="J631" i="28" s="1"/>
  <c r="J632" i="28" s="1"/>
  <c r="B703" i="28"/>
  <c r="C224" i="28"/>
  <c r="C225" i="28" s="1"/>
  <c r="C226" i="28" s="1"/>
  <c r="J104" i="28"/>
  <c r="J105" i="28" s="1"/>
  <c r="J106" i="28" s="1"/>
  <c r="O630" i="28"/>
  <c r="O631" i="28" s="1"/>
  <c r="O632" i="28" s="1"/>
  <c r="G389" i="28"/>
  <c r="G390" i="28" s="1"/>
  <c r="G391" i="28" s="1"/>
  <c r="O389" i="28"/>
  <c r="O390" i="28" s="1"/>
  <c r="O391" i="28" s="1"/>
  <c r="L598" i="28"/>
  <c r="L540" i="28"/>
  <c r="L541" i="28" s="1"/>
  <c r="L542" i="28" s="1"/>
  <c r="H389" i="28"/>
  <c r="H390" i="28" s="1"/>
  <c r="H391" i="28" s="1"/>
  <c r="L596" i="28"/>
  <c r="L597" i="28" s="1"/>
  <c r="L628" i="28"/>
  <c r="L630" i="28" s="1"/>
  <c r="L631" i="28" s="1"/>
  <c r="L632" i="28" s="1"/>
  <c r="B678" i="28"/>
  <c r="B680" i="28" s="1"/>
  <c r="B681" i="28" s="1"/>
  <c r="E598" i="28"/>
  <c r="E600" i="28" s="1"/>
  <c r="E601" i="28" s="1"/>
  <c r="E602" i="28" s="1"/>
  <c r="F206" i="28"/>
  <c r="F205" i="28" s="1"/>
  <c r="F207" i="28" s="1"/>
  <c r="F209" i="28" s="1"/>
  <c r="F210" i="28" s="1"/>
  <c r="F211" i="28" s="1"/>
  <c r="B619" i="28"/>
  <c r="Q617" i="28"/>
  <c r="B213" i="28"/>
  <c r="Q211" i="28"/>
  <c r="Q662" i="28"/>
  <c r="B664" i="28"/>
  <c r="B243" i="28"/>
  <c r="Q241" i="28"/>
  <c r="O162" i="28"/>
  <c r="O164" i="28" s="1"/>
  <c r="O165" i="28" s="1"/>
  <c r="O166" i="28" s="1"/>
  <c r="I387" i="28"/>
  <c r="I389" i="28" s="1"/>
  <c r="I390" i="28" s="1"/>
  <c r="I391" i="28" s="1"/>
  <c r="H658" i="28"/>
  <c r="H660" i="28" s="1"/>
  <c r="H661" i="28" s="1"/>
  <c r="H662" i="28" s="1"/>
  <c r="N538" i="28"/>
  <c r="N598" i="28" s="1"/>
  <c r="N596" i="28"/>
  <c r="O147" i="28"/>
  <c r="O149" i="28" s="1"/>
  <c r="O150" i="28" s="1"/>
  <c r="O151" i="28" s="1"/>
  <c r="L447" i="28"/>
  <c r="L508" i="28" s="1"/>
  <c r="F447" i="28"/>
  <c r="F508" i="28" s="1"/>
  <c r="M643" i="28"/>
  <c r="M703" i="28" s="1"/>
  <c r="P237" i="28"/>
  <c r="P239" i="28" s="1"/>
  <c r="P240" i="28" s="1"/>
  <c r="P241" i="28" s="1"/>
  <c r="I72" i="28"/>
  <c r="I74" i="28" s="1"/>
  <c r="I75" i="28" s="1"/>
  <c r="I76" i="28" s="1"/>
  <c r="I658" i="28"/>
  <c r="I660" i="28" s="1"/>
  <c r="I661" i="28" s="1"/>
  <c r="I662" i="28" s="1"/>
  <c r="B183" i="28"/>
  <c r="Q181" i="28"/>
  <c r="G280" i="28"/>
  <c r="H281" i="28"/>
  <c r="H280" i="28" s="1"/>
  <c r="I643" i="28"/>
  <c r="I645" i="28" s="1"/>
  <c r="I646" i="28" s="1"/>
  <c r="I647" i="28" s="1"/>
  <c r="N447" i="28"/>
  <c r="N508" i="28" s="1"/>
  <c r="G643" i="28"/>
  <c r="G645" i="28" s="1"/>
  <c r="G646" i="28" s="1"/>
  <c r="G647" i="28" s="1"/>
  <c r="N72" i="28"/>
  <c r="N74" i="28" s="1"/>
  <c r="N75" i="28" s="1"/>
  <c r="N76" i="28" s="1"/>
  <c r="O613" i="28"/>
  <c r="O615" i="28" s="1"/>
  <c r="O616" i="28" s="1"/>
  <c r="O617" i="28" s="1"/>
  <c r="Q106" i="28"/>
  <c r="B108" i="28"/>
  <c r="C70" i="28"/>
  <c r="D71" i="28"/>
  <c r="D70" i="28" s="1"/>
  <c r="H102" i="28"/>
  <c r="H104" i="28" s="1"/>
  <c r="H105" i="28" s="1"/>
  <c r="H106" i="28" s="1"/>
  <c r="I329" i="28"/>
  <c r="I330" i="28" s="1"/>
  <c r="I331" i="28" s="1"/>
  <c r="H147" i="28"/>
  <c r="H149" i="28" s="1"/>
  <c r="H150" i="28" s="1"/>
  <c r="H151" i="28" s="1"/>
  <c r="D643" i="28"/>
  <c r="Q538" i="28"/>
  <c r="Q598" i="28" s="1"/>
  <c r="Q596" i="28"/>
  <c r="M165" i="60"/>
  <c r="J171" i="60"/>
  <c r="E643" i="28"/>
  <c r="E645" i="28" s="1"/>
  <c r="E646" i="28" s="1"/>
  <c r="E647" i="28" s="1"/>
  <c r="D282" i="28"/>
  <c r="D284" i="28" s="1"/>
  <c r="D285" i="28" s="1"/>
  <c r="D286" i="28" s="1"/>
  <c r="Q643" i="28"/>
  <c r="Q645" i="28" s="1"/>
  <c r="Q646" i="28" s="1"/>
  <c r="F536" i="28"/>
  <c r="G537" i="28"/>
  <c r="F147" i="28"/>
  <c r="F149" i="28" s="1"/>
  <c r="F150" i="28" s="1"/>
  <c r="F151" i="28" s="1"/>
  <c r="G447" i="28"/>
  <c r="G508" i="28" s="1"/>
  <c r="J147" i="28"/>
  <c r="J149" i="28" s="1"/>
  <c r="J150" i="28" s="1"/>
  <c r="J151" i="28" s="1"/>
  <c r="M597" i="28"/>
  <c r="M600" i="28"/>
  <c r="M601" i="28" s="1"/>
  <c r="M602" i="28" s="1"/>
  <c r="H87" i="28"/>
  <c r="H89" i="28" s="1"/>
  <c r="H90" i="28" s="1"/>
  <c r="H91" i="28" s="1"/>
  <c r="N658" i="28"/>
  <c r="N660" i="28" s="1"/>
  <c r="N661" i="28" s="1"/>
  <c r="N662" i="28" s="1"/>
  <c r="O417" i="28"/>
  <c r="O419" i="28" s="1"/>
  <c r="O420" i="28" s="1"/>
  <c r="O421" i="28" s="1"/>
  <c r="I147" i="28"/>
  <c r="O447" i="28"/>
  <c r="O508" i="28" s="1"/>
  <c r="M102" i="28"/>
  <c r="M104" i="28" s="1"/>
  <c r="M105" i="28" s="1"/>
  <c r="M106" i="28" s="1"/>
  <c r="M613" i="28"/>
  <c r="M615" i="28" s="1"/>
  <c r="M616" i="28" s="1"/>
  <c r="M617" i="28" s="1"/>
  <c r="B393" i="28"/>
  <c r="Q391" i="28"/>
  <c r="C551" i="28"/>
  <c r="B552" i="28"/>
  <c r="B551" i="28" s="1"/>
  <c r="B630" i="28"/>
  <c r="B631" i="28" s="1"/>
  <c r="B632" i="28" s="1"/>
  <c r="I701" i="28"/>
  <c r="E701" i="28"/>
  <c r="P658" i="28"/>
  <c r="P660" i="28" s="1"/>
  <c r="P661" i="28" s="1"/>
  <c r="P662" i="28" s="1"/>
  <c r="M207" i="28"/>
  <c r="M209" i="28" s="1"/>
  <c r="M210" i="28" s="1"/>
  <c r="M211" i="28" s="1"/>
  <c r="M163" i="60"/>
  <c r="J168" i="60"/>
  <c r="K147" i="28"/>
  <c r="K149" i="28" s="1"/>
  <c r="K150" i="28" s="1"/>
  <c r="K151" i="28" s="1"/>
  <c r="M447" i="28"/>
  <c r="M508" i="28" s="1"/>
  <c r="O72" i="28"/>
  <c r="O74" i="28" s="1"/>
  <c r="O75" i="28" s="1"/>
  <c r="O76" i="28" s="1"/>
  <c r="H630" i="28"/>
  <c r="H631" i="28" s="1"/>
  <c r="H632" i="28" s="1"/>
  <c r="F630" i="28"/>
  <c r="F631" i="28" s="1"/>
  <c r="F632" i="28" s="1"/>
  <c r="G147" i="28"/>
  <c r="G149" i="28" s="1"/>
  <c r="G150" i="28" s="1"/>
  <c r="G151" i="28" s="1"/>
  <c r="F643" i="28"/>
  <c r="F703" i="28" s="1"/>
  <c r="L72" i="28"/>
  <c r="L74" i="28" s="1"/>
  <c r="L75" i="28" s="1"/>
  <c r="L76" i="28" s="1"/>
  <c r="G701" i="28"/>
  <c r="M701" i="28"/>
  <c r="Q630" i="28"/>
  <c r="Q631" i="28" s="1"/>
  <c r="G329" i="28"/>
  <c r="G330" i="28" s="1"/>
  <c r="G331" i="28" s="1"/>
  <c r="E597" i="28"/>
  <c r="M265" i="28"/>
  <c r="M147" i="28"/>
  <c r="E447" i="28"/>
  <c r="E508" i="28" s="1"/>
  <c r="M67" i="3"/>
  <c r="J219" i="9"/>
  <c r="N40" i="28"/>
  <c r="N42" i="28" s="1"/>
  <c r="N43" i="28" s="1"/>
  <c r="N46" i="28" s="1"/>
  <c r="U98" i="60"/>
  <c r="U100" i="60"/>
  <c r="B510" i="28"/>
  <c r="B511" i="28" s="1"/>
  <c r="B512" i="28" s="1"/>
  <c r="B507" i="28"/>
  <c r="K222" i="28"/>
  <c r="K224" i="28" s="1"/>
  <c r="K225" i="28" s="1"/>
  <c r="K226" i="28" s="1"/>
  <c r="J85" i="28"/>
  <c r="K86" i="28"/>
  <c r="I611" i="28"/>
  <c r="J612" i="28"/>
  <c r="L643" i="28"/>
  <c r="L645" i="28" s="1"/>
  <c r="L646" i="28" s="1"/>
  <c r="L647" i="28" s="1"/>
  <c r="M34" i="3"/>
  <c r="H701" i="28"/>
  <c r="L701" i="28"/>
  <c r="C280" i="28"/>
  <c r="B281" i="28"/>
  <c r="B280" i="28" s="1"/>
  <c r="B93" i="28"/>
  <c r="Q91" i="28"/>
  <c r="B168" i="28"/>
  <c r="Q166" i="28"/>
  <c r="P538" i="28"/>
  <c r="P598" i="28" s="1"/>
  <c r="P596" i="28"/>
  <c r="N147" i="28"/>
  <c r="N149" i="28" s="1"/>
  <c r="N150" i="28" s="1"/>
  <c r="N151" i="28" s="1"/>
  <c r="Q447" i="28"/>
  <c r="Q508" i="28" s="1"/>
  <c r="N387" i="28"/>
  <c r="N389" i="28" s="1"/>
  <c r="N390" i="28" s="1"/>
  <c r="N391" i="28" s="1"/>
  <c r="G189" i="9"/>
  <c r="J110" i="3"/>
  <c r="J111" i="3" s="1"/>
  <c r="J17" i="3"/>
  <c r="J7" i="3" s="1"/>
  <c r="L265" i="28"/>
  <c r="L147" i="28"/>
  <c r="L149" i="28" s="1"/>
  <c r="L150" i="28" s="1"/>
  <c r="L151" i="28" s="1"/>
  <c r="C447" i="28"/>
  <c r="C508" i="28" s="1"/>
  <c r="Q331" i="28"/>
  <c r="B333" i="28"/>
  <c r="B378" i="28" s="1"/>
  <c r="P72" i="28"/>
  <c r="P74" i="28" s="1"/>
  <c r="P75" i="28" s="1"/>
  <c r="P76" i="28" s="1"/>
  <c r="I630" i="28"/>
  <c r="I631" i="28" s="1"/>
  <c r="I632" i="28" s="1"/>
  <c r="D658" i="28"/>
  <c r="D660" i="28" s="1"/>
  <c r="D661" i="28" s="1"/>
  <c r="D662" i="28" s="1"/>
  <c r="P613" i="28"/>
  <c r="P615" i="28" s="1"/>
  <c r="P616" i="28" s="1"/>
  <c r="P617" i="28" s="1"/>
  <c r="F282" i="28"/>
  <c r="F284" i="28" s="1"/>
  <c r="F285" i="28" s="1"/>
  <c r="F286" i="28" s="1"/>
  <c r="D447" i="28"/>
  <c r="D508" i="28" s="1"/>
  <c r="F72" i="28"/>
  <c r="F74" i="28" s="1"/>
  <c r="F75" i="28" s="1"/>
  <c r="F76" i="28" s="1"/>
  <c r="I447" i="28"/>
  <c r="I508" i="28" s="1"/>
  <c r="G611" i="28"/>
  <c r="F612" i="28"/>
  <c r="K105" i="3"/>
  <c r="H243" i="9"/>
  <c r="H72" i="28"/>
  <c r="H74" i="28" s="1"/>
  <c r="H75" i="28" s="1"/>
  <c r="H76" i="28" s="1"/>
  <c r="T345" i="28"/>
  <c r="U345" i="28" s="1"/>
  <c r="Q341" i="28"/>
  <c r="Q340" i="28" s="1"/>
  <c r="T343" i="28"/>
  <c r="Q72" i="28"/>
  <c r="Q74" i="28" s="1"/>
  <c r="Q75" i="28" s="1"/>
  <c r="G86" i="28"/>
  <c r="P643" i="28"/>
  <c r="P645" i="28" s="1"/>
  <c r="P646" i="28" s="1"/>
  <c r="P647" i="28" s="1"/>
  <c r="Q222" i="28"/>
  <c r="Q224" i="28" s="1"/>
  <c r="Q225" i="28" s="1"/>
  <c r="E387" i="28"/>
  <c r="E389" i="28" s="1"/>
  <c r="E390" i="28" s="1"/>
  <c r="E391" i="28" s="1"/>
  <c r="O643" i="28"/>
  <c r="O703" i="28" s="1"/>
  <c r="G72" i="28"/>
  <c r="G74" i="28" s="1"/>
  <c r="G75" i="28" s="1"/>
  <c r="G76" i="28" s="1"/>
  <c r="D701" i="28"/>
  <c r="E658" i="28"/>
  <c r="E660" i="28" s="1"/>
  <c r="E661" i="28" s="1"/>
  <c r="E662" i="28" s="1"/>
  <c r="K538" i="28"/>
  <c r="K598" i="28" s="1"/>
  <c r="K596" i="28"/>
  <c r="F329" i="28"/>
  <c r="F330" i="28" s="1"/>
  <c r="F331" i="28" s="1"/>
  <c r="Q147" i="28"/>
  <c r="Q265" i="28"/>
  <c r="P193" i="28"/>
  <c r="O192" i="28"/>
  <c r="O194" i="28" s="1"/>
  <c r="O195" i="28" s="1"/>
  <c r="O196" i="28" s="1"/>
  <c r="J447" i="28"/>
  <c r="J508" i="28" s="1"/>
  <c r="C100" i="28"/>
  <c r="D101" i="28"/>
  <c r="P507" i="28"/>
  <c r="L387" i="28"/>
  <c r="L389" i="28" s="1"/>
  <c r="L390" i="28" s="1"/>
  <c r="L391" i="28" s="1"/>
  <c r="J643" i="28"/>
  <c r="J645" i="28" s="1"/>
  <c r="J646" i="28" s="1"/>
  <c r="J647" i="28" s="1"/>
  <c r="D553" i="28"/>
  <c r="D555" i="28" s="1"/>
  <c r="D556" i="28" s="1"/>
  <c r="D557" i="28" s="1"/>
  <c r="L237" i="28"/>
  <c r="L239" i="28" s="1"/>
  <c r="L240" i="28" s="1"/>
  <c r="L241" i="28" s="1"/>
  <c r="M72" i="28"/>
  <c r="M74" i="28" s="1"/>
  <c r="M75" i="28" s="1"/>
  <c r="M76" i="28" s="1"/>
  <c r="E630" i="28"/>
  <c r="E631" i="28" s="1"/>
  <c r="E632" i="28" s="1"/>
  <c r="K658" i="28"/>
  <c r="K660" i="28" s="1"/>
  <c r="K661" i="28" s="1"/>
  <c r="K662" i="28" s="1"/>
  <c r="J329" i="28"/>
  <c r="J330" i="28" s="1"/>
  <c r="J331" i="28" s="1"/>
  <c r="K175" i="28"/>
  <c r="J176" i="28"/>
  <c r="O538" i="28"/>
  <c r="O598" i="28" s="1"/>
  <c r="O596" i="28"/>
  <c r="C207" i="28"/>
  <c r="C209" i="28" s="1"/>
  <c r="C210" i="28" s="1"/>
  <c r="C211" i="28" s="1"/>
  <c r="D329" i="28"/>
  <c r="D330" i="28" s="1"/>
  <c r="D331" i="28" s="1"/>
  <c r="E72" i="28"/>
  <c r="E74" i="28" s="1"/>
  <c r="E75" i="28" s="1"/>
  <c r="E76" i="28" s="1"/>
  <c r="F701" i="28"/>
  <c r="K447" i="28"/>
  <c r="K508" i="28" s="1"/>
  <c r="P253" i="28"/>
  <c r="O252" i="28"/>
  <c r="O254" i="28" s="1"/>
  <c r="O255" i="28" s="1"/>
  <c r="O256" i="28" s="1"/>
  <c r="F160" i="28"/>
  <c r="G161" i="28"/>
  <c r="K643" i="28"/>
  <c r="J72" i="28"/>
  <c r="J74" i="28" s="1"/>
  <c r="J75" i="28" s="1"/>
  <c r="J76" i="28" s="1"/>
  <c r="J701" i="28"/>
  <c r="M630" i="28"/>
  <c r="M631" i="28" s="1"/>
  <c r="M632" i="28" s="1"/>
  <c r="Q701" i="28"/>
  <c r="I538" i="28"/>
  <c r="I598" i="28" s="1"/>
  <c r="I596" i="28"/>
  <c r="E540" i="28"/>
  <c r="E541" i="28" s="1"/>
  <c r="E542" i="28" s="1"/>
  <c r="L329" i="28"/>
  <c r="L330" i="28" s="1"/>
  <c r="L331" i="28" s="1"/>
  <c r="P265" i="28"/>
  <c r="P147" i="28"/>
  <c r="P149" i="28" s="1"/>
  <c r="P150" i="28" s="1"/>
  <c r="P151" i="28" s="1"/>
  <c r="N613" i="28"/>
  <c r="N615" i="28" s="1"/>
  <c r="N616" i="28" s="1"/>
  <c r="N617" i="28" s="1"/>
  <c r="H447" i="28"/>
  <c r="H508" i="28" s="1"/>
  <c r="K329" i="28"/>
  <c r="K330" i="28" s="1"/>
  <c r="K331" i="28" s="1"/>
  <c r="I163" i="60"/>
  <c r="J154" i="60" s="1"/>
  <c r="I169" i="60"/>
  <c r="I178" i="60" s="1"/>
  <c r="I155" i="60"/>
  <c r="M155" i="60" s="1"/>
  <c r="I165" i="60"/>
  <c r="I170" i="60"/>
  <c r="I179" i="60" s="1"/>
  <c r="P39" i="28"/>
  <c r="O38" i="28"/>
  <c r="Y11" i="28"/>
  <c r="AG11" i="28"/>
  <c r="C149" i="28"/>
  <c r="C150" i="28" s="1"/>
  <c r="C151" i="28" s="1"/>
  <c r="D538" i="28"/>
  <c r="D596" i="28"/>
  <c r="B449" i="28"/>
  <c r="B450" i="28" s="1"/>
  <c r="B451" i="28" s="1"/>
  <c r="I87" i="28"/>
  <c r="I89" i="28" s="1"/>
  <c r="I90" i="28" s="1"/>
  <c r="I91" i="28" s="1"/>
  <c r="D387" i="28"/>
  <c r="D389" i="28" s="1"/>
  <c r="D390" i="28" s="1"/>
  <c r="D391" i="28" s="1"/>
  <c r="H613" i="28"/>
  <c r="H615" i="28" s="1"/>
  <c r="H616" i="28" s="1"/>
  <c r="H617" i="28" s="1"/>
  <c r="P508" i="28" l="1"/>
  <c r="P510" i="28" s="1"/>
  <c r="P511" i="28" s="1"/>
  <c r="P512" i="28" s="1"/>
  <c r="M55" i="28"/>
  <c r="M57" i="28" s="1"/>
  <c r="M59" i="28" s="1"/>
  <c r="M60" i="28" s="1"/>
  <c r="M61" i="28" s="1"/>
  <c r="N56" i="28"/>
  <c r="N415" i="28"/>
  <c r="N417" i="28" s="1"/>
  <c r="N419" i="28" s="1"/>
  <c r="N420" i="28" s="1"/>
  <c r="N421" i="28" s="1"/>
  <c r="B8" i="28"/>
  <c r="C8" i="28" s="1"/>
  <c r="D8" i="28" s="1"/>
  <c r="V8" i="28" s="1"/>
  <c r="Y8" i="28" s="1"/>
  <c r="I221" i="28"/>
  <c r="I220" i="28" s="1"/>
  <c r="I717" i="28"/>
  <c r="H717" i="28" s="1"/>
  <c r="C523" i="28"/>
  <c r="C525" i="28" s="1"/>
  <c r="C526" i="28" s="1"/>
  <c r="C527" i="28" s="1"/>
  <c r="B528" i="28" s="1"/>
  <c r="B530" i="28" s="1"/>
  <c r="B531" i="28" s="1"/>
  <c r="U53" i="60" s="1"/>
  <c r="K716" i="28"/>
  <c r="K718" i="28" s="1"/>
  <c r="K720" i="28" s="1"/>
  <c r="K721" i="28" s="1"/>
  <c r="K722" i="28" s="1"/>
  <c r="O221" i="28"/>
  <c r="O220" i="28" s="1"/>
  <c r="J235" i="28"/>
  <c r="J237" i="28" s="1"/>
  <c r="J239" i="28" s="1"/>
  <c r="J240" i="28" s="1"/>
  <c r="J241" i="28" s="1"/>
  <c r="O176" i="28"/>
  <c r="O175" i="28" s="1"/>
  <c r="O177" i="28" s="1"/>
  <c r="O179" i="28" s="1"/>
  <c r="O180" i="28" s="1"/>
  <c r="O181" i="28" s="1"/>
  <c r="F235" i="28"/>
  <c r="F237" i="28" s="1"/>
  <c r="F239" i="28" s="1"/>
  <c r="F240" i="28" s="1"/>
  <c r="F241" i="28" s="1"/>
  <c r="J597" i="28"/>
  <c r="K206" i="28"/>
  <c r="K205" i="28" s="1"/>
  <c r="K207" i="28" s="1"/>
  <c r="K209" i="28" s="1"/>
  <c r="K210" i="28" s="1"/>
  <c r="K211" i="28" s="1"/>
  <c r="C703" i="28"/>
  <c r="C705" i="28" s="1"/>
  <c r="C706" i="28" s="1"/>
  <c r="C707" i="28" s="1"/>
  <c r="B705" i="28"/>
  <c r="B706" i="28" s="1"/>
  <c r="B707" i="28" s="1"/>
  <c r="H703" i="28"/>
  <c r="H705" i="28" s="1"/>
  <c r="H706" i="28" s="1"/>
  <c r="H707" i="28" s="1"/>
  <c r="D598" i="28"/>
  <c r="D600" i="28" s="1"/>
  <c r="D601" i="28" s="1"/>
  <c r="D602" i="28" s="1"/>
  <c r="O705" i="28"/>
  <c r="O706" i="28" s="1"/>
  <c r="O707" i="28" s="1"/>
  <c r="E206" i="28"/>
  <c r="E205" i="28" s="1"/>
  <c r="P449" i="28"/>
  <c r="P450" i="28" s="1"/>
  <c r="P451" i="28" s="1"/>
  <c r="O540" i="28"/>
  <c r="O541" i="28" s="1"/>
  <c r="O542" i="28" s="1"/>
  <c r="K703" i="28"/>
  <c r="K705" i="28" s="1"/>
  <c r="K706" i="28" s="1"/>
  <c r="K707" i="28" s="1"/>
  <c r="C536" i="28"/>
  <c r="C538" i="28" s="1"/>
  <c r="B537" i="28"/>
  <c r="B536" i="28" s="1"/>
  <c r="B538" i="28" s="1"/>
  <c r="B540" i="28" s="1"/>
  <c r="B541" i="28" s="1"/>
  <c r="B542" i="28" s="1"/>
  <c r="C160" i="28"/>
  <c r="C162" i="28" s="1"/>
  <c r="C164" i="28" s="1"/>
  <c r="C165" i="28" s="1"/>
  <c r="C166" i="28" s="1"/>
  <c r="B161" i="28"/>
  <c r="B160" i="28" s="1"/>
  <c r="E449" i="28"/>
  <c r="E450" i="28" s="1"/>
  <c r="E451" i="28" s="1"/>
  <c r="M645" i="28"/>
  <c r="M646" i="28" s="1"/>
  <c r="M647" i="28" s="1"/>
  <c r="L600" i="28"/>
  <c r="L601" i="28" s="1"/>
  <c r="L602" i="28" s="1"/>
  <c r="L703" i="28"/>
  <c r="L705" i="28" s="1"/>
  <c r="L706" i="28" s="1"/>
  <c r="L707" i="28" s="1"/>
  <c r="H731" i="28"/>
  <c r="H733" i="28" s="1"/>
  <c r="H735" i="28" s="1"/>
  <c r="H736" i="28" s="1"/>
  <c r="H737" i="28" s="1"/>
  <c r="G732" i="28"/>
  <c r="G731" i="28" s="1"/>
  <c r="G733" i="28" s="1"/>
  <c r="G735" i="28" s="1"/>
  <c r="G736" i="28" s="1"/>
  <c r="G737" i="28" s="1"/>
  <c r="P540" i="28"/>
  <c r="P541" i="28" s="1"/>
  <c r="P542" i="28" s="1"/>
  <c r="P703" i="28"/>
  <c r="P705" i="28" s="1"/>
  <c r="P706" i="28" s="1"/>
  <c r="P707" i="28" s="1"/>
  <c r="H449" i="28"/>
  <c r="H450" i="28" s="1"/>
  <c r="H451" i="28" s="1"/>
  <c r="K645" i="28"/>
  <c r="K646" i="28" s="1"/>
  <c r="K647" i="28" s="1"/>
  <c r="N540" i="28"/>
  <c r="N541" i="28" s="1"/>
  <c r="N542" i="28" s="1"/>
  <c r="M267" i="28"/>
  <c r="M269" i="28" s="1"/>
  <c r="M270" i="28" s="1"/>
  <c r="M271" i="28" s="1"/>
  <c r="B663" i="28"/>
  <c r="B665" i="28" s="1"/>
  <c r="B666" i="28" s="1"/>
  <c r="B332" i="28"/>
  <c r="B334" i="28" s="1"/>
  <c r="B335" i="28" s="1"/>
  <c r="O645" i="28"/>
  <c r="O646" i="28" s="1"/>
  <c r="O647" i="28" s="1"/>
  <c r="P341" i="28"/>
  <c r="P340" i="28" s="1"/>
  <c r="I449" i="28"/>
  <c r="I450" i="28" s="1"/>
  <c r="I451" i="28" s="1"/>
  <c r="C449" i="28"/>
  <c r="C450" i="28" s="1"/>
  <c r="C451" i="28" s="1"/>
  <c r="F645" i="28"/>
  <c r="F646" i="28" s="1"/>
  <c r="F647" i="28" s="1"/>
  <c r="G703" i="28"/>
  <c r="G705" i="28" s="1"/>
  <c r="G706" i="28" s="1"/>
  <c r="G707" i="28" s="1"/>
  <c r="E703" i="28"/>
  <c r="E705" i="28" s="1"/>
  <c r="E706" i="28" s="1"/>
  <c r="E707" i="28" s="1"/>
  <c r="J449" i="28"/>
  <c r="J450" i="28" s="1"/>
  <c r="J451" i="28" s="1"/>
  <c r="Q449" i="28"/>
  <c r="Q450" i="28" s="1"/>
  <c r="B453" i="28" s="1"/>
  <c r="B514" i="28" s="1"/>
  <c r="D540" i="28"/>
  <c r="D541" i="28" s="1"/>
  <c r="D542" i="28" s="1"/>
  <c r="K449" i="28"/>
  <c r="K450" i="28" s="1"/>
  <c r="K451" i="28" s="1"/>
  <c r="N703" i="28"/>
  <c r="N705" i="28" s="1"/>
  <c r="N706" i="28" s="1"/>
  <c r="N707" i="28" s="1"/>
  <c r="D449" i="28"/>
  <c r="D450" i="28" s="1"/>
  <c r="D451" i="28" s="1"/>
  <c r="D703" i="28"/>
  <c r="D705" i="28" s="1"/>
  <c r="D706" i="28" s="1"/>
  <c r="D707" i="28" s="1"/>
  <c r="B649" i="28"/>
  <c r="Q647" i="28"/>
  <c r="B392" i="28"/>
  <c r="B228" i="28"/>
  <c r="Q226" i="28"/>
  <c r="Q39" i="28"/>
  <c r="Q38" i="28" s="1"/>
  <c r="P38" i="28"/>
  <c r="I156" i="60"/>
  <c r="I171" i="60"/>
  <c r="I180" i="60" s="1"/>
  <c r="H510" i="28"/>
  <c r="H511" i="28" s="1"/>
  <c r="H512" i="28" s="1"/>
  <c r="H507" i="28"/>
  <c r="P266" i="28"/>
  <c r="J207" i="28"/>
  <c r="J209" i="28" s="1"/>
  <c r="J210" i="28" s="1"/>
  <c r="J211" i="28" s="1"/>
  <c r="F162" i="28"/>
  <c r="F164" i="28" s="1"/>
  <c r="F165" i="28" s="1"/>
  <c r="F166" i="28" s="1"/>
  <c r="Q253" i="28"/>
  <c r="Q252" i="28" s="1"/>
  <c r="Q254" i="28" s="1"/>
  <c r="Q255" i="28" s="1"/>
  <c r="P252" i="28"/>
  <c r="P254" i="28" s="1"/>
  <c r="P255" i="28" s="1"/>
  <c r="P256" i="28" s="1"/>
  <c r="J175" i="28"/>
  <c r="I176" i="28"/>
  <c r="D100" i="28"/>
  <c r="E101" i="28"/>
  <c r="E100" i="28" s="1"/>
  <c r="Q266" i="28"/>
  <c r="D702" i="28"/>
  <c r="B78" i="28"/>
  <c r="Q76" i="28"/>
  <c r="H244" i="9"/>
  <c r="K16" i="3"/>
  <c r="L104" i="3"/>
  <c r="J222" i="28"/>
  <c r="J224" i="28" s="1"/>
  <c r="J225" i="28" s="1"/>
  <c r="J226" i="28" s="1"/>
  <c r="J703" i="28"/>
  <c r="J705" i="28" s="1"/>
  <c r="J706" i="28" s="1"/>
  <c r="J707" i="28" s="1"/>
  <c r="C510" i="28"/>
  <c r="C511" i="28" s="1"/>
  <c r="C512" i="28" s="1"/>
  <c r="C507" i="28"/>
  <c r="L266" i="28"/>
  <c r="Q510" i="28"/>
  <c r="Q511" i="28" s="1"/>
  <c r="Q512" i="28" s="1"/>
  <c r="Q507" i="28"/>
  <c r="L702" i="28"/>
  <c r="K85" i="28"/>
  <c r="L86" i="28"/>
  <c r="L85" i="28" s="1"/>
  <c r="E510" i="28"/>
  <c r="E511" i="28" s="1"/>
  <c r="E512" i="28" s="1"/>
  <c r="E507" i="28"/>
  <c r="M702" i="28"/>
  <c r="M705" i="28"/>
  <c r="M706" i="28" s="1"/>
  <c r="M707" i="28" s="1"/>
  <c r="E702" i="28"/>
  <c r="B553" i="28"/>
  <c r="G507" i="28"/>
  <c r="G510" i="28"/>
  <c r="G511" i="28" s="1"/>
  <c r="G512" i="28" s="1"/>
  <c r="F538" i="28"/>
  <c r="F598" i="28" s="1"/>
  <c r="F596" i="28"/>
  <c r="J156" i="60"/>
  <c r="D72" i="28"/>
  <c r="D74" i="28" s="1"/>
  <c r="D75" i="28" s="1"/>
  <c r="D76" i="28" s="1"/>
  <c r="Q702" i="28"/>
  <c r="K510" i="28"/>
  <c r="K511" i="28" s="1"/>
  <c r="K512" i="28" s="1"/>
  <c r="K507" i="28"/>
  <c r="O600" i="28"/>
  <c r="O601" i="28" s="1"/>
  <c r="O602" i="28" s="1"/>
  <c r="O597" i="28"/>
  <c r="K177" i="28"/>
  <c r="C102" i="28"/>
  <c r="C104" i="28" s="1"/>
  <c r="C105" i="28" s="1"/>
  <c r="C106" i="28" s="1"/>
  <c r="F611" i="28"/>
  <c r="E612" i="28"/>
  <c r="H702" i="28"/>
  <c r="M33" i="3"/>
  <c r="J204" i="9"/>
  <c r="J206" i="9" s="1"/>
  <c r="J611" i="28"/>
  <c r="K612" i="28"/>
  <c r="K611" i="28" s="1"/>
  <c r="J87" i="28"/>
  <c r="J89" i="28" s="1"/>
  <c r="J90" i="28" s="1"/>
  <c r="J91" i="28" s="1"/>
  <c r="M266" i="28"/>
  <c r="G702" i="28"/>
  <c r="I702" i="28"/>
  <c r="C553" i="28"/>
  <c r="C555" i="28" s="1"/>
  <c r="C556" i="28" s="1"/>
  <c r="C557" i="28" s="1"/>
  <c r="N177" i="28"/>
  <c r="N179" i="28" s="1"/>
  <c r="N180" i="28" s="1"/>
  <c r="N181" i="28" s="1"/>
  <c r="Q703" i="28"/>
  <c r="Q705" i="28" s="1"/>
  <c r="Q706" i="28" s="1"/>
  <c r="Q707" i="28" s="1"/>
  <c r="D645" i="28"/>
  <c r="D646" i="28" s="1"/>
  <c r="D647" i="28" s="1"/>
  <c r="C72" i="28"/>
  <c r="C74" i="28" s="1"/>
  <c r="C75" i="28" s="1"/>
  <c r="C76" i="28" s="1"/>
  <c r="N507" i="28"/>
  <c r="N510" i="28"/>
  <c r="N511" i="28" s="1"/>
  <c r="N512" i="28" s="1"/>
  <c r="H282" i="28"/>
  <c r="H284" i="28" s="1"/>
  <c r="H285" i="28" s="1"/>
  <c r="H286" i="28" s="1"/>
  <c r="I703" i="28"/>
  <c r="I705" i="28" s="1"/>
  <c r="I706" i="28" s="1"/>
  <c r="I707" i="28" s="1"/>
  <c r="D597" i="28"/>
  <c r="I597" i="28"/>
  <c r="I600" i="28"/>
  <c r="I601" i="28" s="1"/>
  <c r="I602" i="28" s="1"/>
  <c r="K237" i="28"/>
  <c r="K239" i="28" s="1"/>
  <c r="K240" i="28" s="1"/>
  <c r="K241" i="28" s="1"/>
  <c r="J718" i="28"/>
  <c r="J720" i="28" s="1"/>
  <c r="J721" i="28" s="1"/>
  <c r="J722" i="28" s="1"/>
  <c r="F705" i="28"/>
  <c r="F706" i="28" s="1"/>
  <c r="F707" i="28" s="1"/>
  <c r="F702" i="28"/>
  <c r="U56" i="60"/>
  <c r="U58" i="60"/>
  <c r="Q193" i="28"/>
  <c r="Q192" i="28" s="1"/>
  <c r="Q194" i="28" s="1"/>
  <c r="Q195" i="28" s="1"/>
  <c r="P192" i="28"/>
  <c r="P194" i="28" s="1"/>
  <c r="P195" i="28" s="1"/>
  <c r="P196" i="28" s="1"/>
  <c r="K600" i="28"/>
  <c r="K601" i="28" s="1"/>
  <c r="K602" i="28" s="1"/>
  <c r="K597" i="28"/>
  <c r="G85" i="28"/>
  <c r="F86" i="28"/>
  <c r="G613" i="28"/>
  <c r="G615" i="28" s="1"/>
  <c r="G616" i="28" s="1"/>
  <c r="G617" i="28" s="1"/>
  <c r="I510" i="28"/>
  <c r="I511" i="28" s="1"/>
  <c r="I512" i="28" s="1"/>
  <c r="I507" i="28"/>
  <c r="M415" i="28"/>
  <c r="L416" i="28"/>
  <c r="G190" i="9"/>
  <c r="N265" i="28"/>
  <c r="P600" i="28"/>
  <c r="P601" i="28" s="1"/>
  <c r="P602" i="28" s="1"/>
  <c r="P597" i="28"/>
  <c r="B282" i="28"/>
  <c r="B284" i="28" s="1"/>
  <c r="B285" i="28" s="1"/>
  <c r="B286" i="28" s="1"/>
  <c r="I613" i="28"/>
  <c r="I615" i="28" s="1"/>
  <c r="I616" i="28" s="1"/>
  <c r="I617" i="28" s="1"/>
  <c r="M449" i="28"/>
  <c r="M450" i="28" s="1"/>
  <c r="M451" i="28" s="1"/>
  <c r="O507" i="28"/>
  <c r="O510" i="28"/>
  <c r="O511" i="28" s="1"/>
  <c r="O512" i="28" s="1"/>
  <c r="Q600" i="28"/>
  <c r="Q601" i="28" s="1"/>
  <c r="Q602" i="28" s="1"/>
  <c r="Q597" i="28"/>
  <c r="E235" i="28"/>
  <c r="D236" i="28"/>
  <c r="D235" i="28" s="1"/>
  <c r="G282" i="28"/>
  <c r="G284" i="28" s="1"/>
  <c r="G285" i="28" s="1"/>
  <c r="G286" i="28" s="1"/>
  <c r="F449" i="28"/>
  <c r="F450" i="28" s="1"/>
  <c r="F451" i="28" s="1"/>
  <c r="L449" i="28"/>
  <c r="L450" i="28" s="1"/>
  <c r="L451" i="28" s="1"/>
  <c r="O40" i="28"/>
  <c r="O42" i="28" s="1"/>
  <c r="O43" i="28" s="1"/>
  <c r="O46" i="28" s="1"/>
  <c r="I154" i="60"/>
  <c r="M154" i="60" s="1"/>
  <c r="I168" i="60"/>
  <c r="I177" i="60" s="1"/>
  <c r="I540" i="28"/>
  <c r="I541" i="28" s="1"/>
  <c r="I542" i="28" s="1"/>
  <c r="J702" i="28"/>
  <c r="G160" i="28"/>
  <c r="H161" i="28"/>
  <c r="H160" i="28" s="1"/>
  <c r="J510" i="28"/>
  <c r="J511" i="28" s="1"/>
  <c r="J512" i="28" s="1"/>
  <c r="J507" i="28"/>
  <c r="Q149" i="28"/>
  <c r="Q150" i="28" s="1"/>
  <c r="K540" i="28"/>
  <c r="K541" i="28" s="1"/>
  <c r="K542" i="28" s="1"/>
  <c r="Q342" i="28"/>
  <c r="Q372" i="28" s="1"/>
  <c r="Q370" i="28"/>
  <c r="D507" i="28"/>
  <c r="D510" i="28"/>
  <c r="D511" i="28" s="1"/>
  <c r="D512" i="28" s="1"/>
  <c r="L267" i="28"/>
  <c r="L269" i="28" s="1"/>
  <c r="L270" i="28" s="1"/>
  <c r="L271" i="28" s="1"/>
  <c r="J118" i="3"/>
  <c r="J128" i="3" s="1"/>
  <c r="J114" i="3"/>
  <c r="J112" i="3"/>
  <c r="N222" i="28"/>
  <c r="N224" i="28" s="1"/>
  <c r="N225" i="28" s="1"/>
  <c r="N226" i="28" s="1"/>
  <c r="C282" i="28"/>
  <c r="C284" i="28" s="1"/>
  <c r="C285" i="28" s="1"/>
  <c r="C286" i="28" s="1"/>
  <c r="J222" i="9"/>
  <c r="M103" i="3"/>
  <c r="J242" i="9" s="1"/>
  <c r="M149" i="28"/>
  <c r="M150" i="28" s="1"/>
  <c r="M151" i="28" s="1"/>
  <c r="B634" i="28"/>
  <c r="Q632" i="28"/>
  <c r="B633" i="28" s="1"/>
  <c r="M507" i="28"/>
  <c r="M510" i="28"/>
  <c r="M511" i="28" s="1"/>
  <c r="M512" i="28" s="1"/>
  <c r="O449" i="28"/>
  <c r="O450" i="28" s="1"/>
  <c r="O451" i="28" s="1"/>
  <c r="I149" i="28"/>
  <c r="I150" i="28" s="1"/>
  <c r="I151" i="28" s="1"/>
  <c r="G449" i="28"/>
  <c r="G450" i="28" s="1"/>
  <c r="G451" i="28" s="1"/>
  <c r="G536" i="28"/>
  <c r="H537" i="28"/>
  <c r="H536" i="28" s="1"/>
  <c r="Q540" i="28"/>
  <c r="Q541" i="28" s="1"/>
  <c r="N449" i="28"/>
  <c r="N450" i="28" s="1"/>
  <c r="N451" i="28" s="1"/>
  <c r="F510" i="28"/>
  <c r="F511" i="28" s="1"/>
  <c r="F512" i="28" s="1"/>
  <c r="F507" i="28"/>
  <c r="L507" i="28"/>
  <c r="L510" i="28"/>
  <c r="L511" i="28" s="1"/>
  <c r="L512" i="28" s="1"/>
  <c r="N597" i="28"/>
  <c r="N600" i="28"/>
  <c r="N601" i="28" s="1"/>
  <c r="N602" i="28" s="1"/>
  <c r="N55" i="28" l="1"/>
  <c r="N57" i="28" s="1"/>
  <c r="N59" i="28" s="1"/>
  <c r="N60" i="28" s="1"/>
  <c r="N61" i="28" s="1"/>
  <c r="O56" i="28"/>
  <c r="H221" i="28"/>
  <c r="H220" i="28" s="1"/>
  <c r="AG8" i="28"/>
  <c r="I716" i="28"/>
  <c r="I718" i="28" s="1"/>
  <c r="I720" i="28" s="1"/>
  <c r="I721" i="28" s="1"/>
  <c r="I722" i="28" s="1"/>
  <c r="U54" i="60"/>
  <c r="U52" i="60"/>
  <c r="O265" i="28"/>
  <c r="O266" i="28" s="1"/>
  <c r="O222" i="28"/>
  <c r="O224" i="28" s="1"/>
  <c r="O225" i="28" s="1"/>
  <c r="O226" i="28" s="1"/>
  <c r="K265" i="28"/>
  <c r="K266" i="28" s="1"/>
  <c r="D206" i="28"/>
  <c r="D205" i="28" s="1"/>
  <c r="D207" i="28" s="1"/>
  <c r="D209" i="28" s="1"/>
  <c r="D210" i="28" s="1"/>
  <c r="D211" i="28" s="1"/>
  <c r="B377" i="28"/>
  <c r="B12" i="28" s="1"/>
  <c r="C12" i="28" s="1"/>
  <c r="D12" i="28" s="1"/>
  <c r="V12" i="28" s="1"/>
  <c r="C540" i="28"/>
  <c r="C541" i="28" s="1"/>
  <c r="C542" i="28" s="1"/>
  <c r="B596" i="28"/>
  <c r="B597" i="28" s="1"/>
  <c r="B598" i="28"/>
  <c r="C596" i="28"/>
  <c r="C597" i="28" s="1"/>
  <c r="B555" i="28"/>
  <c r="B556" i="28" s="1"/>
  <c r="B557" i="28" s="1"/>
  <c r="B558" i="28" s="1"/>
  <c r="B560" i="28" s="1"/>
  <c r="B561" i="28" s="1"/>
  <c r="B709" i="28"/>
  <c r="B738" i="28"/>
  <c r="O341" i="28"/>
  <c r="O340" i="28" s="1"/>
  <c r="O342" i="28" s="1"/>
  <c r="B162" i="28"/>
  <c r="B164" i="28" s="1"/>
  <c r="B165" i="28" s="1"/>
  <c r="B166" i="28" s="1"/>
  <c r="Q344" i="28"/>
  <c r="Q345" i="28" s="1"/>
  <c r="B348" i="28" s="1"/>
  <c r="K267" i="28"/>
  <c r="P267" i="28"/>
  <c r="P269" i="28" s="1"/>
  <c r="P270" i="28" s="1"/>
  <c r="P271" i="28" s="1"/>
  <c r="Q451" i="28"/>
  <c r="B452" i="28" s="1"/>
  <c r="K179" i="28"/>
  <c r="K180" i="28" s="1"/>
  <c r="K181" i="28" s="1"/>
  <c r="B77" i="28"/>
  <c r="B4" i="28" s="1"/>
  <c r="C4" i="28" s="1"/>
  <c r="D4" i="28" s="1"/>
  <c r="V4" i="28" s="1"/>
  <c r="F540" i="28"/>
  <c r="F541" i="28" s="1"/>
  <c r="F542" i="28" s="1"/>
  <c r="M156" i="60"/>
  <c r="B635" i="28"/>
  <c r="B636" i="28" s="1"/>
  <c r="H538" i="28"/>
  <c r="H598" i="28" s="1"/>
  <c r="H596" i="28"/>
  <c r="I222" i="28"/>
  <c r="I224" i="28" s="1"/>
  <c r="I225" i="28" s="1"/>
  <c r="I226" i="28" s="1"/>
  <c r="B153" i="28"/>
  <c r="Q151" i="28"/>
  <c r="B152" i="28" s="1"/>
  <c r="G162" i="28"/>
  <c r="E237" i="28"/>
  <c r="E239" i="28" s="1"/>
  <c r="E240" i="28" s="1"/>
  <c r="E241" i="28" s="1"/>
  <c r="F85" i="28"/>
  <c r="E86" i="28"/>
  <c r="J613" i="28"/>
  <c r="J615" i="28" s="1"/>
  <c r="J616" i="28" s="1"/>
  <c r="J617" i="28" s="1"/>
  <c r="E611" i="28"/>
  <c r="D612" i="28"/>
  <c r="F597" i="28"/>
  <c r="F600" i="28"/>
  <c r="F601" i="28" s="1"/>
  <c r="F602" i="28" s="1"/>
  <c r="C598" i="28"/>
  <c r="J177" i="28"/>
  <c r="J267" i="28" s="1"/>
  <c r="J265" i="28"/>
  <c r="B13" i="28"/>
  <c r="C13" i="28" s="1"/>
  <c r="D13" i="28" s="1"/>
  <c r="V13" i="28" s="1"/>
  <c r="B394" i="28"/>
  <c r="B395" i="28" s="1"/>
  <c r="U21" i="60" s="1"/>
  <c r="G538" i="28"/>
  <c r="G598" i="28" s="1"/>
  <c r="G596" i="28"/>
  <c r="Q374" i="28"/>
  <c r="Q375" i="28" s="1"/>
  <c r="Q376" i="28" s="1"/>
  <c r="Q371" i="28"/>
  <c r="B287" i="28"/>
  <c r="G87" i="28"/>
  <c r="G89" i="28" s="1"/>
  <c r="G90" i="28" s="1"/>
  <c r="G91" i="28" s="1"/>
  <c r="B198" i="28"/>
  <c r="Q196" i="28"/>
  <c r="B197" i="28" s="1"/>
  <c r="F613" i="28"/>
  <c r="F615" i="28" s="1"/>
  <c r="F616" i="28" s="1"/>
  <c r="F617" i="28" s="1"/>
  <c r="L87" i="28"/>
  <c r="L89" i="28" s="1"/>
  <c r="L90" i="28" s="1"/>
  <c r="L91" i="28" s="1"/>
  <c r="E102" i="28"/>
  <c r="E104" i="28" s="1"/>
  <c r="E105" i="28" s="1"/>
  <c r="E106" i="28" s="1"/>
  <c r="P342" i="28"/>
  <c r="P372" i="28" s="1"/>
  <c r="P370" i="28"/>
  <c r="N267" i="28"/>
  <c r="N269" i="28" s="1"/>
  <c r="N270" i="28" s="1"/>
  <c r="N271" i="28" s="1"/>
  <c r="L415" i="28"/>
  <c r="K416" i="28"/>
  <c r="B648" i="28"/>
  <c r="B650" i="28" s="1"/>
  <c r="B651" i="28" s="1"/>
  <c r="Q267" i="28"/>
  <c r="Q269" i="28" s="1"/>
  <c r="Q270" i="28" s="1"/>
  <c r="Q271" i="28" s="1"/>
  <c r="K87" i="28"/>
  <c r="K89" i="28" s="1"/>
  <c r="K90" i="28" s="1"/>
  <c r="K91" i="28" s="1"/>
  <c r="I243" i="9"/>
  <c r="L105" i="3"/>
  <c r="D102" i="28"/>
  <c r="D104" i="28" s="1"/>
  <c r="D105" i="28" s="1"/>
  <c r="D106" i="28" s="1"/>
  <c r="Q256" i="28"/>
  <c r="B257" i="28" s="1"/>
  <c r="B258" i="28"/>
  <c r="P40" i="28"/>
  <c r="P42" i="28" s="1"/>
  <c r="P43" i="28" s="1"/>
  <c r="P46" i="28" s="1"/>
  <c r="Q542" i="28"/>
  <c r="B544" i="28"/>
  <c r="B604" i="28" s="1"/>
  <c r="H162" i="28"/>
  <c r="D237" i="28"/>
  <c r="D239" i="28" s="1"/>
  <c r="D240" i="28" s="1"/>
  <c r="D241" i="28" s="1"/>
  <c r="N266" i="28"/>
  <c r="G181" i="9"/>
  <c r="J9" i="3"/>
  <c r="M417" i="28"/>
  <c r="M419" i="28" s="1"/>
  <c r="M420" i="28" s="1"/>
  <c r="M421" i="28" s="1"/>
  <c r="E207" i="28"/>
  <c r="E209" i="28" s="1"/>
  <c r="E210" i="28" s="1"/>
  <c r="E211" i="28" s="1"/>
  <c r="K613" i="28"/>
  <c r="K615" i="28" s="1"/>
  <c r="K616" i="28" s="1"/>
  <c r="K617" i="28" s="1"/>
  <c r="H716" i="28"/>
  <c r="G717" i="28"/>
  <c r="K110" i="3"/>
  <c r="K111" i="3" s="1"/>
  <c r="H189" i="9"/>
  <c r="K17" i="3"/>
  <c r="I175" i="28"/>
  <c r="H176" i="28"/>
  <c r="Q40" i="28"/>
  <c r="Q42" i="28" s="1"/>
  <c r="Q43" i="28" s="1"/>
  <c r="B454" i="28" l="1"/>
  <c r="B455" i="28" s="1"/>
  <c r="B513" i="28"/>
  <c r="B17" i="28" s="1"/>
  <c r="C17" i="28" s="1"/>
  <c r="D17" i="28" s="1"/>
  <c r="V17" i="28" s="1"/>
  <c r="P56" i="28"/>
  <c r="O55" i="28"/>
  <c r="O57" i="28" s="1"/>
  <c r="O59" i="28" s="1"/>
  <c r="O60" i="28" s="1"/>
  <c r="O61" i="28" s="1"/>
  <c r="G221" i="28"/>
  <c r="G220" i="28" s="1"/>
  <c r="O267" i="28"/>
  <c r="O269" i="28" s="1"/>
  <c r="O270" i="28" s="1"/>
  <c r="O271" i="28" s="1"/>
  <c r="Q346" i="28"/>
  <c r="K269" i="28"/>
  <c r="K270" i="28" s="1"/>
  <c r="K271" i="28" s="1"/>
  <c r="B379" i="28"/>
  <c r="B380" i="28" s="1"/>
  <c r="B600" i="28"/>
  <c r="B601" i="28" s="1"/>
  <c r="B602" i="28" s="1"/>
  <c r="C600" i="28"/>
  <c r="C601" i="28" s="1"/>
  <c r="C602" i="28" s="1"/>
  <c r="H540" i="28"/>
  <c r="H541" i="28" s="1"/>
  <c r="H542" i="28" s="1"/>
  <c r="O372" i="28"/>
  <c r="O344" i="28"/>
  <c r="O345" i="28" s="1"/>
  <c r="O346" i="28" s="1"/>
  <c r="N341" i="28"/>
  <c r="N340" i="28" s="1"/>
  <c r="O370" i="28"/>
  <c r="O371" i="28" s="1"/>
  <c r="B23" i="28"/>
  <c r="C23" i="28" s="1"/>
  <c r="D23" i="28" s="1"/>
  <c r="V23" i="28" s="1"/>
  <c r="B740" i="28"/>
  <c r="B741" i="28" s="1"/>
  <c r="U91" i="60" s="1"/>
  <c r="B79" i="28"/>
  <c r="B80" i="28" s="1"/>
  <c r="U25" i="60" s="1"/>
  <c r="U24" i="60" s="1"/>
  <c r="G540" i="28"/>
  <c r="G541" i="28" s="1"/>
  <c r="G542" i="28" s="1"/>
  <c r="B107" i="28"/>
  <c r="B6" i="28" s="1"/>
  <c r="C6" i="28" s="1"/>
  <c r="D6" i="28" s="1"/>
  <c r="V6" i="28" s="1"/>
  <c r="P344" i="28"/>
  <c r="P345" i="28" s="1"/>
  <c r="P346" i="28" s="1"/>
  <c r="B154" i="28"/>
  <c r="B155" i="28" s="1"/>
  <c r="L16" i="3"/>
  <c r="M104" i="3"/>
  <c r="I244" i="9"/>
  <c r="U20" i="60"/>
  <c r="U22" i="60"/>
  <c r="H175" i="28"/>
  <c r="G176" i="28"/>
  <c r="B259" i="28"/>
  <c r="B260" i="28" s="1"/>
  <c r="B199" i="28"/>
  <c r="B200" i="28" s="1"/>
  <c r="Y13" i="28"/>
  <c r="AG13" i="28"/>
  <c r="D611" i="28"/>
  <c r="C612" i="28"/>
  <c r="E85" i="28"/>
  <c r="D86" i="28"/>
  <c r="G164" i="28"/>
  <c r="G165" i="28" s="1"/>
  <c r="G166" i="28" s="1"/>
  <c r="B273" i="28"/>
  <c r="B48" i="28"/>
  <c r="Q46" i="28"/>
  <c r="B47" i="28" s="1"/>
  <c r="B212" i="28"/>
  <c r="B214" i="28" s="1"/>
  <c r="B215" i="28" s="1"/>
  <c r="U37" i="60" s="1"/>
  <c r="G716" i="28"/>
  <c r="F717" i="28"/>
  <c r="I177" i="28"/>
  <c r="I267" i="28" s="1"/>
  <c r="I265" i="28"/>
  <c r="H718" i="28"/>
  <c r="H720" i="28" s="1"/>
  <c r="H721" i="28" s="1"/>
  <c r="H722" i="28" s="1"/>
  <c r="K415" i="28"/>
  <c r="J416" i="28"/>
  <c r="B10" i="28"/>
  <c r="C10" i="28" s="1"/>
  <c r="D10" i="28" s="1"/>
  <c r="V10" i="28" s="1"/>
  <c r="B289" i="28"/>
  <c r="B290" i="28" s="1"/>
  <c r="U17" i="60" s="1"/>
  <c r="J269" i="28"/>
  <c r="J270" i="28" s="1"/>
  <c r="J271" i="28" s="1"/>
  <c r="J266" i="28"/>
  <c r="E613" i="28"/>
  <c r="E615" i="28" s="1"/>
  <c r="E616" i="28" s="1"/>
  <c r="E617" i="28" s="1"/>
  <c r="F87" i="28"/>
  <c r="F89" i="28" s="1"/>
  <c r="F90" i="28" s="1"/>
  <c r="F91" i="28" s="1"/>
  <c r="B708" i="28"/>
  <c r="B242" i="28"/>
  <c r="B244" i="28" s="1"/>
  <c r="B245" i="28" s="1"/>
  <c r="K112" i="3"/>
  <c r="K118" i="3"/>
  <c r="K114" i="3"/>
  <c r="AG12" i="28"/>
  <c r="Y12" i="28"/>
  <c r="H222" i="28"/>
  <c r="H224" i="28" s="1"/>
  <c r="H225" i="28" s="1"/>
  <c r="H226" i="28" s="1"/>
  <c r="H190" i="9"/>
  <c r="K7" i="3"/>
  <c r="G184" i="9"/>
  <c r="J19" i="3"/>
  <c r="H164" i="28"/>
  <c r="H165" i="28" s="1"/>
  <c r="H166" i="28" s="1"/>
  <c r="L417" i="28"/>
  <c r="L419" i="28" s="1"/>
  <c r="L420" i="28" s="1"/>
  <c r="L421" i="28" s="1"/>
  <c r="P374" i="28"/>
  <c r="P375" i="28" s="1"/>
  <c r="P376" i="28" s="1"/>
  <c r="P371" i="28"/>
  <c r="G597" i="28"/>
  <c r="G600" i="28"/>
  <c r="G601" i="28" s="1"/>
  <c r="G602" i="28" s="1"/>
  <c r="J179" i="28"/>
  <c r="J180" i="28" s="1"/>
  <c r="J181" i="28" s="1"/>
  <c r="H600" i="28"/>
  <c r="H601" i="28" s="1"/>
  <c r="H602" i="28" s="1"/>
  <c r="H597" i="28"/>
  <c r="AD4" i="28"/>
  <c r="AB4" i="28"/>
  <c r="Y4" i="28"/>
  <c r="AG4" i="28"/>
  <c r="P55" i="28" l="1"/>
  <c r="P57" i="28" s="1"/>
  <c r="P59" i="28" s="1"/>
  <c r="P60" i="28" s="1"/>
  <c r="P61" i="28" s="1"/>
  <c r="Q56" i="28"/>
  <c r="Q55" i="28" s="1"/>
  <c r="Q57" i="28" s="1"/>
  <c r="Q59" i="28" s="1"/>
  <c r="Q60" i="28" s="1"/>
  <c r="Q61" i="28" s="1"/>
  <c r="F221" i="28"/>
  <c r="F220" i="28" s="1"/>
  <c r="M341" i="28"/>
  <c r="L341" i="28" s="1"/>
  <c r="B543" i="28"/>
  <c r="B603" i="28" s="1"/>
  <c r="B18" i="28" s="1"/>
  <c r="C18" i="28" s="1"/>
  <c r="D18" i="28" s="1"/>
  <c r="V18" i="28" s="1"/>
  <c r="O374" i="28"/>
  <c r="O375" i="28" s="1"/>
  <c r="O376" i="28" s="1"/>
  <c r="U26" i="60"/>
  <c r="U90" i="60"/>
  <c r="U92" i="60"/>
  <c r="B515" i="28"/>
  <c r="B516" i="28" s="1"/>
  <c r="Y23" i="28"/>
  <c r="AG23" i="28"/>
  <c r="B109" i="28"/>
  <c r="B110" i="28" s="1"/>
  <c r="U33" i="60" s="1"/>
  <c r="U32" i="60" s="1"/>
  <c r="I179" i="28"/>
  <c r="I180" i="28" s="1"/>
  <c r="I181" i="28" s="1"/>
  <c r="G192" i="9"/>
  <c r="G203" i="9" s="1"/>
  <c r="J37" i="3"/>
  <c r="H181" i="9"/>
  <c r="K9" i="3"/>
  <c r="Y10" i="28"/>
  <c r="AG10" i="28"/>
  <c r="K417" i="28"/>
  <c r="K419" i="28" s="1"/>
  <c r="K420" i="28" s="1"/>
  <c r="K421" i="28" s="1"/>
  <c r="D85" i="28"/>
  <c r="C86" i="28"/>
  <c r="G222" i="28"/>
  <c r="G224" i="28" s="1"/>
  <c r="G225" i="28" s="1"/>
  <c r="G226" i="28" s="1"/>
  <c r="K128" i="3"/>
  <c r="B167" i="28"/>
  <c r="E87" i="28"/>
  <c r="E89" i="28" s="1"/>
  <c r="E90" i="28" s="1"/>
  <c r="E91" i="28" s="1"/>
  <c r="G175" i="28"/>
  <c r="F176" i="28"/>
  <c r="Y17" i="28"/>
  <c r="AG17" i="28"/>
  <c r="F716" i="28"/>
  <c r="E717" i="28"/>
  <c r="U36" i="60"/>
  <c r="U38" i="60"/>
  <c r="B3" i="28"/>
  <c r="B49" i="28"/>
  <c r="B50" i="28" s="1"/>
  <c r="U65" i="60" s="1"/>
  <c r="C611" i="28"/>
  <c r="B612" i="28"/>
  <c r="B611" i="28" s="1"/>
  <c r="N342" i="28"/>
  <c r="N372" i="28" s="1"/>
  <c r="N370" i="28"/>
  <c r="H177" i="28"/>
  <c r="H267" i="28" s="1"/>
  <c r="H265" i="28"/>
  <c r="J243" i="9"/>
  <c r="M105" i="3"/>
  <c r="B20" i="28"/>
  <c r="C20" i="28" s="1"/>
  <c r="D20" i="28" s="1"/>
  <c r="V20" i="28" s="1"/>
  <c r="B710" i="28"/>
  <c r="B711" i="28" s="1"/>
  <c r="U16" i="60"/>
  <c r="U18" i="60"/>
  <c r="J415" i="28"/>
  <c r="I416" i="28"/>
  <c r="I266" i="28"/>
  <c r="I269" i="28"/>
  <c r="I270" i="28" s="1"/>
  <c r="I271" i="28" s="1"/>
  <c r="G718" i="28"/>
  <c r="G720" i="28" s="1"/>
  <c r="G721" i="28" s="1"/>
  <c r="G722" i="28" s="1"/>
  <c r="D613" i="28"/>
  <c r="D615" i="28" s="1"/>
  <c r="D616" i="28" s="1"/>
  <c r="D617" i="28" s="1"/>
  <c r="I189" i="9"/>
  <c r="L110" i="3"/>
  <c r="L111" i="3" s="1"/>
  <c r="L17" i="3"/>
  <c r="Y6" i="28"/>
  <c r="AG6" i="28"/>
  <c r="E221" i="28" l="1"/>
  <c r="D221" i="28" s="1"/>
  <c r="D220" i="28" s="1"/>
  <c r="B63" i="28"/>
  <c r="B62" i="28"/>
  <c r="M340" i="28"/>
  <c r="M342" i="28" s="1"/>
  <c r="M372" i="28" s="1"/>
  <c r="B605" i="28"/>
  <c r="B606" i="28" s="1"/>
  <c r="B545" i="28"/>
  <c r="B546" i="28" s="1"/>
  <c r="U34" i="60"/>
  <c r="H179" i="28"/>
  <c r="H180" i="28" s="1"/>
  <c r="H181" i="28" s="1"/>
  <c r="E716" i="28"/>
  <c r="D717" i="28"/>
  <c r="D716" i="28" s="1"/>
  <c r="I190" i="9"/>
  <c r="L7" i="3"/>
  <c r="F222" i="28"/>
  <c r="F224" i="28" s="1"/>
  <c r="F225" i="28" s="1"/>
  <c r="F226" i="28" s="1"/>
  <c r="N371" i="28"/>
  <c r="N374" i="28"/>
  <c r="N375" i="28" s="1"/>
  <c r="N376" i="28" s="1"/>
  <c r="C613" i="28"/>
  <c r="C615" i="28" s="1"/>
  <c r="C616" i="28" s="1"/>
  <c r="C617" i="28" s="1"/>
  <c r="L340" i="28"/>
  <c r="K341" i="28"/>
  <c r="B169" i="28"/>
  <c r="B170" i="28" s="1"/>
  <c r="Y20" i="28"/>
  <c r="AG20" i="28"/>
  <c r="L118" i="3"/>
  <c r="L128" i="3" s="1"/>
  <c r="L114" i="3"/>
  <c r="L112" i="3"/>
  <c r="I415" i="28"/>
  <c r="H416" i="28"/>
  <c r="H266" i="28"/>
  <c r="H269" i="28"/>
  <c r="H270" i="28" s="1"/>
  <c r="H271" i="28" s="1"/>
  <c r="N344" i="28"/>
  <c r="N345" i="28" s="1"/>
  <c r="N346" i="28" s="1"/>
  <c r="U66" i="60"/>
  <c r="U64" i="60"/>
  <c r="H184" i="9"/>
  <c r="K19" i="3"/>
  <c r="J417" i="28"/>
  <c r="J419" i="28" s="1"/>
  <c r="J420" i="28" s="1"/>
  <c r="J421" i="28" s="1"/>
  <c r="C3" i="28"/>
  <c r="D3" i="28" s="1"/>
  <c r="V3" i="28" s="1"/>
  <c r="F175" i="28"/>
  <c r="E176" i="28"/>
  <c r="C85" i="28"/>
  <c r="B86" i="28"/>
  <c r="B85" i="28" s="1"/>
  <c r="J244" i="9"/>
  <c r="N104" i="3"/>
  <c r="M16" i="3"/>
  <c r="B613" i="28"/>
  <c r="B615" i="28" s="1"/>
  <c r="B616" i="28" s="1"/>
  <c r="B617" i="28" s="1"/>
  <c r="F718" i="28"/>
  <c r="F720" i="28" s="1"/>
  <c r="F721" i="28" s="1"/>
  <c r="F722" i="28" s="1"/>
  <c r="G177" i="28"/>
  <c r="G267" i="28" s="1"/>
  <c r="G265" i="28"/>
  <c r="D87" i="28"/>
  <c r="D89" i="28" s="1"/>
  <c r="D90" i="28" s="1"/>
  <c r="D91" i="28" s="1"/>
  <c r="AG18" i="28"/>
  <c r="Y18" i="28"/>
  <c r="E220" i="28" l="1"/>
  <c r="B64" i="28"/>
  <c r="B65" i="28" s="1"/>
  <c r="U61" i="60" s="1"/>
  <c r="U60" i="60" s="1"/>
  <c r="B21" i="28"/>
  <c r="C21" i="28" s="1"/>
  <c r="D21" i="28" s="1"/>
  <c r="V21" i="28" s="1"/>
  <c r="Y21" i="28" s="1"/>
  <c r="M370" i="28"/>
  <c r="M371" i="28" s="1"/>
  <c r="M344" i="28"/>
  <c r="M345" i="28" s="1"/>
  <c r="M346" i="28" s="1"/>
  <c r="G266" i="28"/>
  <c r="G269" i="28"/>
  <c r="G270" i="28" s="1"/>
  <c r="G271" i="28" s="1"/>
  <c r="B618" i="28"/>
  <c r="K243" i="9"/>
  <c r="B87" i="28"/>
  <c r="B89" i="28" s="1"/>
  <c r="B90" i="28" s="1"/>
  <c r="B91" i="28" s="1"/>
  <c r="I417" i="28"/>
  <c r="I419" i="28" s="1"/>
  <c r="I420" i="28" s="1"/>
  <c r="I421" i="28" s="1"/>
  <c r="L342" i="28"/>
  <c r="L372" i="28" s="1"/>
  <c r="L370" i="28"/>
  <c r="C87" i="28"/>
  <c r="C89" i="28" s="1"/>
  <c r="C90" i="28" s="1"/>
  <c r="C91" i="28" s="1"/>
  <c r="D718" i="28"/>
  <c r="D720" i="28" s="1"/>
  <c r="D721" i="28" s="1"/>
  <c r="D722" i="28" s="1"/>
  <c r="D222" i="28"/>
  <c r="D224" i="28" s="1"/>
  <c r="D225" i="28" s="1"/>
  <c r="D226" i="28" s="1"/>
  <c r="E175" i="28"/>
  <c r="D176" i="28"/>
  <c r="H192" i="9"/>
  <c r="H203" i="9" s="1"/>
  <c r="K37" i="3"/>
  <c r="E718" i="28"/>
  <c r="E720" i="28" s="1"/>
  <c r="E721" i="28" s="1"/>
  <c r="E722" i="28" s="1"/>
  <c r="G179" i="28"/>
  <c r="G180" i="28" s="1"/>
  <c r="G181" i="28" s="1"/>
  <c r="M110" i="3"/>
  <c r="M111" i="3" s="1"/>
  <c r="J189" i="9"/>
  <c r="M17" i="3"/>
  <c r="E222" i="28"/>
  <c r="E224" i="28" s="1"/>
  <c r="E225" i="28" s="1"/>
  <c r="E226" i="28" s="1"/>
  <c r="F177" i="28"/>
  <c r="F267" i="28" s="1"/>
  <c r="F265" i="28"/>
  <c r="X3" i="28"/>
  <c r="AG3" i="28"/>
  <c r="X4" i="28"/>
  <c r="H415" i="28"/>
  <c r="G416" i="28"/>
  <c r="K340" i="28"/>
  <c r="J341" i="28"/>
  <c r="I181" i="9"/>
  <c r="L9" i="3"/>
  <c r="U62" i="60" l="1"/>
  <c r="AG21" i="28"/>
  <c r="M374" i="28"/>
  <c r="M375" i="28" s="1"/>
  <c r="M376" i="28" s="1"/>
  <c r="B723" i="28"/>
  <c r="B22" i="28" s="1"/>
  <c r="C22" i="28" s="1"/>
  <c r="D22" i="28" s="1"/>
  <c r="V22" i="28" s="1"/>
  <c r="B92" i="28"/>
  <c r="G415" i="28"/>
  <c r="F416" i="28"/>
  <c r="J340" i="28"/>
  <c r="I341" i="28"/>
  <c r="F269" i="28"/>
  <c r="F270" i="28" s="1"/>
  <c r="F271" i="28" s="1"/>
  <c r="F266" i="28"/>
  <c r="J190" i="9"/>
  <c r="M7" i="3"/>
  <c r="B227" i="28"/>
  <c r="B229" i="28" s="1"/>
  <c r="B230" i="28" s="1"/>
  <c r="U41" i="60" s="1"/>
  <c r="B19" i="28"/>
  <c r="C19" i="28" s="1"/>
  <c r="D19" i="28" s="1"/>
  <c r="V19" i="28" s="1"/>
  <c r="B620" i="28"/>
  <c r="B621" i="28" s="1"/>
  <c r="U49" i="60" s="1"/>
  <c r="K342" i="28"/>
  <c r="K372" i="28" s="1"/>
  <c r="K370" i="28"/>
  <c r="AD6" i="28"/>
  <c r="AE4" i="28"/>
  <c r="Z4" i="28"/>
  <c r="AB6" i="28"/>
  <c r="AC4" i="28"/>
  <c r="AA4" i="28"/>
  <c r="F179" i="28"/>
  <c r="F180" i="28" s="1"/>
  <c r="F181" i="28" s="1"/>
  <c r="L374" i="28"/>
  <c r="L375" i="28" s="1"/>
  <c r="L376" i="28" s="1"/>
  <c r="L371" i="28"/>
  <c r="I184" i="9"/>
  <c r="L19" i="3"/>
  <c r="M114" i="3"/>
  <c r="M112" i="3"/>
  <c r="M118" i="3"/>
  <c r="M128" i="3" s="1"/>
  <c r="D175" i="28"/>
  <c r="C176" i="28"/>
  <c r="H417" i="28"/>
  <c r="H419" i="28" s="1"/>
  <c r="H420" i="28" s="1"/>
  <c r="H421" i="28" s="1"/>
  <c r="Y3" i="28"/>
  <c r="AF3" i="28" s="1"/>
  <c r="AF4" i="28"/>
  <c r="E177" i="28"/>
  <c r="E267" i="28" s="1"/>
  <c r="E265" i="28"/>
  <c r="L344" i="28"/>
  <c r="L345" i="28" s="1"/>
  <c r="L346" i="28" s="1"/>
  <c r="K344" i="28" l="1"/>
  <c r="K345" i="28" s="1"/>
  <c r="K346" i="28" s="1"/>
  <c r="B725" i="28"/>
  <c r="B726" i="28" s="1"/>
  <c r="U5" i="60" s="1"/>
  <c r="U6" i="60" s="1"/>
  <c r="I192" i="9"/>
  <c r="I203" i="9" s="1"/>
  <c r="L37" i="3"/>
  <c r="I340" i="28"/>
  <c r="H341" i="28"/>
  <c r="B5" i="28"/>
  <c r="B94" i="28"/>
  <c r="B95" i="28" s="1"/>
  <c r="U29" i="60" s="1"/>
  <c r="E179" i="28"/>
  <c r="E180" i="28" s="1"/>
  <c r="E181" i="28" s="1"/>
  <c r="J342" i="28"/>
  <c r="J372" i="28" s="1"/>
  <c r="J370" i="28"/>
  <c r="U48" i="60"/>
  <c r="U50" i="60"/>
  <c r="E266" i="28"/>
  <c r="E269" i="28"/>
  <c r="E270" i="28" s="1"/>
  <c r="E271" i="28" s="1"/>
  <c r="D177" i="28"/>
  <c r="D267" i="28" s="1"/>
  <c r="D265" i="28"/>
  <c r="K371" i="28"/>
  <c r="K374" i="28"/>
  <c r="K375" i="28" s="1"/>
  <c r="K376" i="28" s="1"/>
  <c r="Y19" i="28"/>
  <c r="AG19" i="28"/>
  <c r="J181" i="9"/>
  <c r="M9" i="3"/>
  <c r="G417" i="28"/>
  <c r="G419" i="28" s="1"/>
  <c r="G420" i="28" s="1"/>
  <c r="G421" i="28" s="1"/>
  <c r="C175" i="28"/>
  <c r="B176" i="28"/>
  <c r="B175" i="28" s="1"/>
  <c r="U42" i="60"/>
  <c r="U40" i="60"/>
  <c r="F415" i="28"/>
  <c r="E416" i="28"/>
  <c r="Y22" i="28"/>
  <c r="AG22" i="28"/>
  <c r="U4" i="60" l="1"/>
  <c r="D266" i="28"/>
  <c r="D269" i="28"/>
  <c r="D270" i="28" s="1"/>
  <c r="D271" i="28" s="1"/>
  <c r="J371" i="28"/>
  <c r="J374" i="28"/>
  <c r="J375" i="28" s="1"/>
  <c r="J376" i="28" s="1"/>
  <c r="F417" i="28"/>
  <c r="F419" i="28" s="1"/>
  <c r="F420" i="28" s="1"/>
  <c r="F421" i="28" s="1"/>
  <c r="B177" i="28"/>
  <c r="B267" i="28" s="1"/>
  <c r="B265" i="28"/>
  <c r="H340" i="28"/>
  <c r="G341" i="28"/>
  <c r="C177" i="28"/>
  <c r="C267" i="28" s="1"/>
  <c r="C265" i="28"/>
  <c r="I342" i="28"/>
  <c r="I372" i="28" s="1"/>
  <c r="I370" i="28"/>
  <c r="U28" i="60"/>
  <c r="U30" i="60"/>
  <c r="E415" i="28"/>
  <c r="D416" i="28"/>
  <c r="J184" i="9"/>
  <c r="M19" i="3"/>
  <c r="D179" i="28"/>
  <c r="D180" i="28" s="1"/>
  <c r="D181" i="28" s="1"/>
  <c r="J344" i="28"/>
  <c r="J345" i="28" s="1"/>
  <c r="J346" i="28" s="1"/>
  <c r="C5" i="28"/>
  <c r="D5" i="28" s="1"/>
  <c r="V5" i="28" s="1"/>
  <c r="B179" i="28" l="1"/>
  <c r="B180" i="28" s="1"/>
  <c r="B181" i="28" s="1"/>
  <c r="I344" i="28"/>
  <c r="I345" i="28" s="1"/>
  <c r="I346" i="28" s="1"/>
  <c r="C266" i="28"/>
  <c r="C269" i="28"/>
  <c r="C270" i="28" s="1"/>
  <c r="C271" i="28" s="1"/>
  <c r="J192" i="9"/>
  <c r="J203" i="9" s="1"/>
  <c r="M37" i="3"/>
  <c r="E417" i="28"/>
  <c r="E419" i="28" s="1"/>
  <c r="E420" i="28" s="1"/>
  <c r="E421" i="28" s="1"/>
  <c r="Y5" i="28"/>
  <c r="AG5" i="28"/>
  <c r="X5" i="28"/>
  <c r="X8" i="28"/>
  <c r="X6" i="28"/>
  <c r="X7" i="28"/>
  <c r="AB5" i="28"/>
  <c r="AD5" i="28"/>
  <c r="G340" i="28"/>
  <c r="F341" i="28"/>
  <c r="H342" i="28"/>
  <c r="H372" i="28" s="1"/>
  <c r="H370" i="28"/>
  <c r="D415" i="28"/>
  <c r="C416" i="28"/>
  <c r="I374" i="28"/>
  <c r="I375" i="28" s="1"/>
  <c r="I376" i="28" s="1"/>
  <c r="I371" i="28"/>
  <c r="C179" i="28"/>
  <c r="C180" i="28" s="1"/>
  <c r="C181" i="28" s="1"/>
  <c r="B266" i="28"/>
  <c r="B269" i="28"/>
  <c r="B270" i="28" s="1"/>
  <c r="B271" i="28" s="1"/>
  <c r="B182" i="28" l="1"/>
  <c r="B184" i="28" s="1"/>
  <c r="B185" i="28" s="1"/>
  <c r="U45" i="60" s="1"/>
  <c r="H344" i="28"/>
  <c r="H345" i="28" s="1"/>
  <c r="H346" i="28" s="1"/>
  <c r="AF5" i="28"/>
  <c r="AD10" i="28"/>
  <c r="AB10" i="28"/>
  <c r="AE8" i="28"/>
  <c r="Z8" i="28"/>
  <c r="AA8" i="28"/>
  <c r="AC8" i="28"/>
  <c r="C415" i="28"/>
  <c r="B416" i="28"/>
  <c r="B415" i="28" s="1"/>
  <c r="AC6" i="28"/>
  <c r="AB8" i="28"/>
  <c r="AD8" i="28"/>
  <c r="AE6" i="28"/>
  <c r="AA6" i="28"/>
  <c r="Z6" i="28"/>
  <c r="AF7" i="28"/>
  <c r="AB7" i="28"/>
  <c r="AE5" i="28"/>
  <c r="AC5" i="28"/>
  <c r="AA5" i="28"/>
  <c r="Z5" i="28"/>
  <c r="AD7" i="28"/>
  <c r="AF6" i="28"/>
  <c r="D417" i="28"/>
  <c r="D419" i="28" s="1"/>
  <c r="D420" i="28" s="1"/>
  <c r="D421" i="28" s="1"/>
  <c r="F340" i="28"/>
  <c r="E341" i="28"/>
  <c r="H374" i="28"/>
  <c r="H375" i="28" s="1"/>
  <c r="H376" i="28" s="1"/>
  <c r="H371" i="28"/>
  <c r="G342" i="28"/>
  <c r="G372" i="28" s="1"/>
  <c r="G370" i="28"/>
  <c r="AA7" i="28"/>
  <c r="AC7" i="28"/>
  <c r="Z7" i="28"/>
  <c r="AE7" i="28"/>
  <c r="AF8" i="28"/>
  <c r="B272" i="28" l="1"/>
  <c r="B9" i="28" s="1"/>
  <c r="G374" i="28"/>
  <c r="G375" i="28" s="1"/>
  <c r="G376" i="28" s="1"/>
  <c r="G371" i="28"/>
  <c r="B417" i="28"/>
  <c r="B419" i="28" s="1"/>
  <c r="B420" i="28" s="1"/>
  <c r="B421" i="28" s="1"/>
  <c r="E340" i="28"/>
  <c r="D341" i="28"/>
  <c r="C417" i="28"/>
  <c r="C419" i="28" s="1"/>
  <c r="C420" i="28" s="1"/>
  <c r="C421" i="28" s="1"/>
  <c r="G344" i="28"/>
  <c r="G345" i="28" s="1"/>
  <c r="G346" i="28" s="1"/>
  <c r="F342" i="28"/>
  <c r="F372" i="28" s="1"/>
  <c r="F370" i="28"/>
  <c r="U44" i="60"/>
  <c r="U71" i="60" s="1"/>
  <c r="U46" i="60"/>
  <c r="U73" i="60" s="1"/>
  <c r="U72" i="60"/>
  <c r="B274" i="28" l="1"/>
  <c r="B275" i="28" s="1"/>
  <c r="B422" i="28"/>
  <c r="B15" i="28" s="1"/>
  <c r="C15" i="28" s="1"/>
  <c r="D15" i="28" s="1"/>
  <c r="V15" i="28" s="1"/>
  <c r="F344" i="28"/>
  <c r="F345" i="28" s="1"/>
  <c r="F346" i="28" s="1"/>
  <c r="F371" i="28"/>
  <c r="F374" i="28"/>
  <c r="F375" i="28" s="1"/>
  <c r="F376" i="28" s="1"/>
  <c r="D340" i="28"/>
  <c r="C341" i="28"/>
  <c r="C9" i="28"/>
  <c r="D9" i="28" s="1"/>
  <c r="V9" i="28" s="1"/>
  <c r="E342" i="28"/>
  <c r="E372" i="28" s="1"/>
  <c r="E370" i="28"/>
  <c r="B424" i="28" l="1"/>
  <c r="B425" i="28" s="1"/>
  <c r="E344" i="28"/>
  <c r="E345" i="28" s="1"/>
  <c r="E346" i="28" s="1"/>
  <c r="E371" i="28"/>
  <c r="E374" i="28"/>
  <c r="E375" i="28" s="1"/>
  <c r="E376" i="28" s="1"/>
  <c r="C340" i="28"/>
  <c r="B341" i="28"/>
  <c r="B340" i="28" s="1"/>
  <c r="D342" i="28"/>
  <c r="D372" i="28" s="1"/>
  <c r="D370" i="28"/>
  <c r="AG9" i="28"/>
  <c r="Y9" i="28"/>
  <c r="X16" i="28"/>
  <c r="X17" i="28"/>
  <c r="X11" i="28"/>
  <c r="X19" i="28"/>
  <c r="X22" i="28"/>
  <c r="X13" i="28"/>
  <c r="X21" i="28"/>
  <c r="X20" i="28"/>
  <c r="X23" i="28"/>
  <c r="X10" i="28"/>
  <c r="X18" i="28"/>
  <c r="X12" i="28"/>
  <c r="X15" i="28"/>
  <c r="X14" i="28"/>
  <c r="X9" i="28"/>
  <c r="AD9" i="28"/>
  <c r="AB9" i="28"/>
  <c r="AG15" i="28"/>
  <c r="Y15" i="28"/>
  <c r="AD25" i="28" l="1"/>
  <c r="AB25" i="28"/>
  <c r="AF15" i="28"/>
  <c r="AF9" i="28"/>
  <c r="D344" i="28"/>
  <c r="D345" i="28" s="1"/>
  <c r="D346" i="28" s="1"/>
  <c r="AA15" i="28"/>
  <c r="AC15" i="28"/>
  <c r="AB17" i="28"/>
  <c r="AE15" i="28"/>
  <c r="Z15" i="28"/>
  <c r="AD17" i="28"/>
  <c r="AF16" i="28"/>
  <c r="Z23" i="28"/>
  <c r="AA23" i="28"/>
  <c r="AE23" i="28"/>
  <c r="AC23" i="28"/>
  <c r="AB19" i="28"/>
  <c r="AD19" i="28"/>
  <c r="AC17" i="28"/>
  <c r="Z17" i="28"/>
  <c r="AA17" i="28"/>
  <c r="AE17" i="28"/>
  <c r="AF18" i="28"/>
  <c r="AA12" i="28"/>
  <c r="Z12" i="28"/>
  <c r="AE12" i="28"/>
  <c r="AB14" i="28"/>
  <c r="AD14" i="28"/>
  <c r="AC12" i="28"/>
  <c r="AF13" i="28"/>
  <c r="Z20" i="28"/>
  <c r="AE20" i="28"/>
  <c r="AC20" i="28"/>
  <c r="AD22" i="28"/>
  <c r="AA20" i="28"/>
  <c r="AB22" i="28"/>
  <c r="AF21" i="28"/>
  <c r="Z22" i="28"/>
  <c r="AE22" i="28"/>
  <c r="AC22" i="28"/>
  <c r="AA22" i="28"/>
  <c r="AF23" i="28"/>
  <c r="AC16" i="28"/>
  <c r="AD18" i="28"/>
  <c r="Z16" i="28"/>
  <c r="AA16" i="28"/>
  <c r="AE16" i="28"/>
  <c r="AB18" i="28"/>
  <c r="AF17" i="28"/>
  <c r="B342" i="28"/>
  <c r="B372" i="28" s="1"/>
  <c r="B370" i="28"/>
  <c r="AC9" i="28"/>
  <c r="AB11" i="28"/>
  <c r="Z9" i="28"/>
  <c r="AD11" i="28"/>
  <c r="AA9" i="28"/>
  <c r="AE9" i="28"/>
  <c r="AF10" i="28"/>
  <c r="AB20" i="28"/>
  <c r="AC18" i="28"/>
  <c r="AA18" i="28"/>
  <c r="Z18" i="28"/>
  <c r="AE18" i="28"/>
  <c r="AD20" i="28"/>
  <c r="AF19" i="28"/>
  <c r="AC21" i="28"/>
  <c r="AB23" i="28"/>
  <c r="AD23" i="28"/>
  <c r="AA21" i="28"/>
  <c r="AE21" i="28"/>
  <c r="Z21" i="28"/>
  <c r="AF22" i="28"/>
  <c r="AB21" i="28"/>
  <c r="AA19" i="28"/>
  <c r="AE19" i="28"/>
  <c r="Z19" i="28"/>
  <c r="AD21" i="28"/>
  <c r="AC19" i="28"/>
  <c r="AF20" i="28"/>
  <c r="D371" i="28"/>
  <c r="D374" i="28"/>
  <c r="D375" i="28" s="1"/>
  <c r="D376" i="28" s="1"/>
  <c r="C342" i="28"/>
  <c r="C372" i="28" s="1"/>
  <c r="C370" i="28"/>
  <c r="AC14" i="28"/>
  <c r="AA14" i="28"/>
  <c r="Z14" i="28"/>
  <c r="AD16" i="28"/>
  <c r="AB16" i="28"/>
  <c r="AE14" i="28"/>
  <c r="AD12" i="28"/>
  <c r="AA10" i="28"/>
  <c r="AC10" i="28"/>
  <c r="AE10" i="28"/>
  <c r="AB12" i="28"/>
  <c r="Z10" i="28"/>
  <c r="AF11" i="28"/>
  <c r="AC13" i="28"/>
  <c r="AE13" i="28"/>
  <c r="AA13" i="28"/>
  <c r="AB15" i="28"/>
  <c r="AD15" i="28"/>
  <c r="Z13" i="28"/>
  <c r="AF14" i="28"/>
  <c r="AE11" i="28"/>
  <c r="AB13" i="28"/>
  <c r="AD13" i="28"/>
  <c r="Z11" i="28"/>
  <c r="AA11" i="28"/>
  <c r="AC11" i="28"/>
  <c r="AF12" i="28"/>
  <c r="B344" i="28" l="1"/>
  <c r="B345" i="28" s="1"/>
  <c r="B346" i="28" s="1"/>
  <c r="C374" i="28"/>
  <c r="C375" i="28" s="1"/>
  <c r="C376" i="28" s="1"/>
  <c r="C371" i="28"/>
  <c r="C344" i="28"/>
  <c r="C345" i="28" s="1"/>
  <c r="C346" i="28" s="1"/>
  <c r="B374" i="28"/>
  <c r="B375" i="28" s="1"/>
  <c r="B376" i="28" s="1"/>
  <c r="B371" i="28"/>
  <c r="B347" i="28" l="1"/>
  <c r="B349" i="28" s="1"/>
  <c r="B350" i="28" s="1"/>
  <c r="U87" i="60" l="1"/>
  <c r="U86" i="60" l="1"/>
  <c r="U88" i="60"/>
  <c r="Q188" i="1" l="1"/>
  <c r="Q182" i="1"/>
  <c r="O182" i="1"/>
  <c r="O188" i="1"/>
  <c r="P182" i="1"/>
  <c r="P188" i="1"/>
  <c r="N182" i="1"/>
  <c r="N183" i="1" s="1"/>
  <c r="N188" i="1"/>
  <c r="N184" i="1" l="1"/>
  <c r="Q183" i="1"/>
  <c r="Q184" i="1" s="1"/>
  <c r="O183" i="1"/>
  <c r="O184" i="1" s="1"/>
  <c r="P183" i="1"/>
  <c r="P184" i="1" s="1"/>
  <c r="N193" i="1"/>
  <c r="N194" i="1" s="1"/>
  <c r="K83" i="60"/>
  <c r="I308" i="28"/>
  <c r="I761" i="28" s="1"/>
  <c r="O193" i="1"/>
  <c r="J308" i="28"/>
  <c r="J761" i="28" s="1"/>
  <c r="L83" i="60"/>
  <c r="Q193" i="1"/>
  <c r="N36" i="9" s="1"/>
  <c r="L308" i="28"/>
  <c r="L761" i="28" s="1"/>
  <c r="P193" i="1"/>
  <c r="P34" i="1" s="1"/>
  <c r="K308" i="28"/>
  <c r="K761" i="28" s="1"/>
  <c r="N34" i="1" l="1"/>
  <c r="K3" i="9" s="1"/>
  <c r="O194" i="1"/>
  <c r="R193" i="1"/>
  <c r="K36" i="9"/>
  <c r="O36" i="9" s="1"/>
  <c r="Q194" i="1"/>
  <c r="L36" i="9"/>
  <c r="P36" i="9" s="1"/>
  <c r="O34" i="1"/>
  <c r="O2" i="1" s="1"/>
  <c r="J762" i="28" s="1"/>
  <c r="P194" i="1"/>
  <c r="M36" i="9"/>
  <c r="Q34" i="1"/>
  <c r="Q196" i="13" s="1"/>
  <c r="Q211" i="13" s="1"/>
  <c r="K309" i="28"/>
  <c r="L82" i="60"/>
  <c r="L183" i="60" s="1"/>
  <c r="L184" i="60"/>
  <c r="J309" i="28"/>
  <c r="I309" i="28"/>
  <c r="K82" i="60"/>
  <c r="K184" i="60"/>
  <c r="L309" i="28"/>
  <c r="M308" i="28"/>
  <c r="P196" i="13"/>
  <c r="P211" i="13" s="1"/>
  <c r="P2" i="1"/>
  <c r="K762" i="28" s="1"/>
  <c r="M3" i="9"/>
  <c r="P454" i="1" l="1"/>
  <c r="O454" i="1"/>
  <c r="P215" i="13"/>
  <c r="P66" i="13" s="1"/>
  <c r="P21" i="13"/>
  <c r="Q215" i="13"/>
  <c r="Q66" i="13" s="1"/>
  <c r="Q21" i="13"/>
  <c r="O196" i="13"/>
  <c r="N196" i="13"/>
  <c r="AC4" i="17"/>
  <c r="AJ4" i="17" s="1"/>
  <c r="N2" i="1"/>
  <c r="I762" i="28" s="1"/>
  <c r="N35" i="1"/>
  <c r="N36" i="1" s="1"/>
  <c r="R34" i="1"/>
  <c r="Q2" i="1"/>
  <c r="L762" i="28" s="1"/>
  <c r="Q35" i="1"/>
  <c r="Q36" i="1" s="1"/>
  <c r="N3" i="9"/>
  <c r="N43" i="9" s="1"/>
  <c r="O35" i="1"/>
  <c r="O36" i="1" s="1"/>
  <c r="L3" i="9"/>
  <c r="L43" i="9" s="1"/>
  <c r="P35" i="1"/>
  <c r="P36" i="1" s="1"/>
  <c r="J744" i="28"/>
  <c r="J746" i="28" s="1"/>
  <c r="J748" i="28" s="1"/>
  <c r="J750" i="28" s="1"/>
  <c r="J751" i="28" s="1"/>
  <c r="J752" i="28" s="1"/>
  <c r="N308" i="28"/>
  <c r="K183" i="60"/>
  <c r="I744" i="28" s="1"/>
  <c r="O38" i="1"/>
  <c r="O12" i="3"/>
  <c r="O288" i="1"/>
  <c r="O256" i="1"/>
  <c r="O20" i="3"/>
  <c r="O500" i="1"/>
  <c r="O397" i="1"/>
  <c r="O153" i="1"/>
  <c r="O10" i="3"/>
  <c r="O73" i="1"/>
  <c r="O331" i="1"/>
  <c r="O506" i="1"/>
  <c r="O428" i="1"/>
  <c r="O318" i="1"/>
  <c r="O196" i="1"/>
  <c r="P38" i="1"/>
  <c r="P20" i="3"/>
  <c r="P500" i="1"/>
  <c r="P73" i="1"/>
  <c r="P153" i="1"/>
  <c r="P3" i="1"/>
  <c r="P4" i="1" s="1"/>
  <c r="P5" i="13" s="1"/>
  <c r="P318" i="1"/>
  <c r="P256" i="1"/>
  <c r="P12" i="3"/>
  <c r="P331" i="1"/>
  <c r="P506" i="1"/>
  <c r="P397" i="1"/>
  <c r="P10" i="3"/>
  <c r="P288" i="1"/>
  <c r="P428" i="1"/>
  <c r="P196" i="1"/>
  <c r="Q10" i="3"/>
  <c r="O3" i="9"/>
  <c r="K43" i="9"/>
  <c r="P216" i="13"/>
  <c r="P3" i="13"/>
  <c r="P221" i="13"/>
  <c r="P203" i="13"/>
  <c r="M72" i="9"/>
  <c r="P226" i="13"/>
  <c r="M43" i="9"/>
  <c r="Q226" i="13"/>
  <c r="N72" i="9"/>
  <c r="Q3" i="13"/>
  <c r="Q203" i="13"/>
  <c r="Q197" i="13"/>
  <c r="Q221" i="13"/>
  <c r="Q216" i="13"/>
  <c r="N216" i="13"/>
  <c r="Q22" i="13" l="1"/>
  <c r="Q25" i="13"/>
  <c r="Q23" i="13"/>
  <c r="P25" i="13"/>
  <c r="P22" i="13"/>
  <c r="N200" i="13"/>
  <c r="O200" i="13" s="1"/>
  <c r="N211" i="13"/>
  <c r="O216" i="13"/>
  <c r="O26" i="13" s="1"/>
  <c r="O211" i="13"/>
  <c r="Q428" i="1"/>
  <c r="Q454" i="1"/>
  <c r="N38" i="1"/>
  <c r="N454" i="1"/>
  <c r="N221" i="13"/>
  <c r="K80" i="9" s="1"/>
  <c r="N3" i="13"/>
  <c r="N203" i="13"/>
  <c r="N207" i="13" s="1"/>
  <c r="N198" i="13"/>
  <c r="N387" i="13" s="1"/>
  <c r="N390" i="13" s="1"/>
  <c r="N391" i="13" s="1"/>
  <c r="N226" i="13"/>
  <c r="N40" i="13" s="1"/>
  <c r="K72" i="9"/>
  <c r="O72" i="9" s="1"/>
  <c r="N197" i="13"/>
  <c r="O197" i="13"/>
  <c r="O203" i="13"/>
  <c r="O207" i="13" s="1"/>
  <c r="O3" i="13"/>
  <c r="O69" i="3" s="1"/>
  <c r="O221" i="13"/>
  <c r="L72" i="9"/>
  <c r="P72" i="9" s="1"/>
  <c r="P197" i="13"/>
  <c r="Q318" i="1"/>
  <c r="Q153" i="1"/>
  <c r="Q38" i="1"/>
  <c r="O226" i="13"/>
  <c r="L82" i="9" s="1"/>
  <c r="Q288" i="1"/>
  <c r="Q3" i="1"/>
  <c r="Q4" i="1" s="1"/>
  <c r="Q5" i="13" s="1"/>
  <c r="Q256" i="1"/>
  <c r="Q196" i="1"/>
  <c r="Q12" i="3"/>
  <c r="Q63" i="3" s="1"/>
  <c r="Q331" i="1"/>
  <c r="Q397" i="1"/>
  <c r="Q73" i="1"/>
  <c r="Q500" i="1"/>
  <c r="Q506" i="1"/>
  <c r="O3" i="1"/>
  <c r="O4" i="1" s="1"/>
  <c r="O5" i="13" s="1"/>
  <c r="K272" i="60"/>
  <c r="Q20" i="3"/>
  <c r="Q64" i="3" s="1"/>
  <c r="K257" i="60"/>
  <c r="K262" i="60"/>
  <c r="N288" i="1"/>
  <c r="K252" i="60"/>
  <c r="N506" i="1"/>
  <c r="N73" i="1"/>
  <c r="K276" i="60"/>
  <c r="N397" i="1"/>
  <c r="K231" i="60"/>
  <c r="N500" i="1"/>
  <c r="K269" i="60"/>
  <c r="N20" i="3"/>
  <c r="O64" i="3" s="1"/>
  <c r="N428" i="1"/>
  <c r="N196" i="1"/>
  <c r="K279" i="60"/>
  <c r="N331" i="1"/>
  <c r="K275" i="60"/>
  <c r="N10" i="3"/>
  <c r="O62" i="3" s="1"/>
  <c r="K253" i="60"/>
  <c r="K223" i="60"/>
  <c r="R2" i="1"/>
  <c r="K248" i="60"/>
  <c r="K265" i="60"/>
  <c r="K239" i="60"/>
  <c r="K256" i="60"/>
  <c r="K242" i="60"/>
  <c r="K224" i="60"/>
  <c r="N3" i="1"/>
  <c r="N4" i="1" s="1"/>
  <c r="N5" i="13" s="1"/>
  <c r="K244" i="60"/>
  <c r="K283" i="60"/>
  <c r="K255" i="60"/>
  <c r="K226" i="60"/>
  <c r="K260" i="60"/>
  <c r="AC7" i="17"/>
  <c r="AJ7" i="17" s="1"/>
  <c r="K277" i="60"/>
  <c r="K286" i="60"/>
  <c r="N256" i="1"/>
  <c r="K247" i="60"/>
  <c r="K259" i="60"/>
  <c r="K228" i="60"/>
  <c r="K264" i="60"/>
  <c r="K266" i="60"/>
  <c r="K268" i="60"/>
  <c r="K280" i="60"/>
  <c r="K225" i="60"/>
  <c r="K243" i="60"/>
  <c r="K278" i="60"/>
  <c r="N153" i="1"/>
  <c r="K284" i="60"/>
  <c r="K263" i="60"/>
  <c r="K249" i="60"/>
  <c r="K233" i="60"/>
  <c r="K234" i="60" s="1"/>
  <c r="K267" i="60"/>
  <c r="N318" i="1"/>
  <c r="K227" i="60"/>
  <c r="K273" i="60"/>
  <c r="N12" i="3"/>
  <c r="O63" i="3" s="1"/>
  <c r="K258" i="60"/>
  <c r="K285" i="60"/>
  <c r="K230" i="60"/>
  <c r="K240" i="60"/>
  <c r="K251" i="60"/>
  <c r="K287" i="60"/>
  <c r="K281" i="60"/>
  <c r="K229" i="60"/>
  <c r="K241" i="60"/>
  <c r="K238" i="60"/>
  <c r="K246" i="60"/>
  <c r="K245" i="60"/>
  <c r="K282" i="60"/>
  <c r="K250" i="60"/>
  <c r="K274" i="60"/>
  <c r="K261" i="60"/>
  <c r="K270" i="60"/>
  <c r="K744" i="28"/>
  <c r="K746" i="28" s="1"/>
  <c r="K748" i="28" s="1"/>
  <c r="K750" i="28" s="1"/>
  <c r="K751" i="28" s="1"/>
  <c r="K752" i="28" s="1"/>
  <c r="P3" i="9"/>
  <c r="I746" i="28"/>
  <c r="I748" i="28" s="1"/>
  <c r="I750" i="28" s="1"/>
  <c r="I751" i="28" s="1"/>
  <c r="I752" i="28" s="1"/>
  <c r="I745" i="28"/>
  <c r="J745" i="28"/>
  <c r="O308" i="28"/>
  <c r="N199" i="13"/>
  <c r="N223" i="13"/>
  <c r="Q220" i="13"/>
  <c r="Q69" i="13" s="1"/>
  <c r="Q26" i="13"/>
  <c r="N78" i="9"/>
  <c r="N79" i="9" s="1"/>
  <c r="Q218" i="13"/>
  <c r="N144" i="9"/>
  <c r="Q72" i="3"/>
  <c r="N47" i="9"/>
  <c r="N7" i="9" s="1"/>
  <c r="Q69" i="3"/>
  <c r="Q4" i="13"/>
  <c r="Q8" i="13"/>
  <c r="M2" i="26"/>
  <c r="P40" i="13"/>
  <c r="M82" i="9"/>
  <c r="M83" i="9" s="1"/>
  <c r="P230" i="13"/>
  <c r="P75" i="13" s="1"/>
  <c r="P77" i="13" s="1"/>
  <c r="P36" i="13"/>
  <c r="M144" i="9"/>
  <c r="L2" i="26"/>
  <c r="P8" i="13"/>
  <c r="M47" i="9"/>
  <c r="M7" i="9" s="1"/>
  <c r="P72" i="3"/>
  <c r="P69" i="3"/>
  <c r="L186" i="9"/>
  <c r="Q31" i="13"/>
  <c r="Q225" i="13"/>
  <c r="Q72" i="13" s="1"/>
  <c r="Q74" i="13" s="1"/>
  <c r="N80" i="9"/>
  <c r="N81" i="9" s="1"/>
  <c r="Q223" i="13"/>
  <c r="P26" i="13"/>
  <c r="P220" i="13"/>
  <c r="P69" i="13" s="1"/>
  <c r="M78" i="9"/>
  <c r="M79" i="9" s="1"/>
  <c r="Q62" i="3"/>
  <c r="N185" i="9"/>
  <c r="Q230" i="13"/>
  <c r="Q75" i="13" s="1"/>
  <c r="Q77" i="13" s="1"/>
  <c r="Q40" i="13"/>
  <c r="Q36" i="13"/>
  <c r="N82" i="9"/>
  <c r="N83" i="9" s="1"/>
  <c r="P207" i="13"/>
  <c r="P62" i="3"/>
  <c r="M185" i="9"/>
  <c r="P135" i="3"/>
  <c r="P63" i="3"/>
  <c r="M186" i="9"/>
  <c r="M193" i="9"/>
  <c r="N218" i="13"/>
  <c r="N220" i="13"/>
  <c r="N69" i="13" s="1"/>
  <c r="K78" i="9"/>
  <c r="N26" i="13"/>
  <c r="Q207" i="13"/>
  <c r="M80" i="9"/>
  <c r="M81" i="9" s="1"/>
  <c r="P31" i="13"/>
  <c r="P225" i="13"/>
  <c r="P72" i="13" s="1"/>
  <c r="P74" i="13" s="1"/>
  <c r="L185" i="9"/>
  <c r="O135" i="3"/>
  <c r="L193" i="9"/>
  <c r="P64" i="3"/>
  <c r="O220" i="13" l="1"/>
  <c r="O69" i="13" s="1"/>
  <c r="N59" i="13"/>
  <c r="K75" i="9"/>
  <c r="O75" i="9" s="1"/>
  <c r="N10" i="13"/>
  <c r="N441" i="13" s="1"/>
  <c r="N57" i="13"/>
  <c r="O218" i="13"/>
  <c r="P218" i="13"/>
  <c r="L78" i="9"/>
  <c r="P78" i="9" s="1"/>
  <c r="O215" i="13"/>
  <c r="O66" i="13" s="1"/>
  <c r="O21" i="13"/>
  <c r="N215" i="13"/>
  <c r="N66" i="13" s="1"/>
  <c r="N21" i="13"/>
  <c r="O31" i="13"/>
  <c r="P33" i="13" s="1"/>
  <c r="N225" i="13"/>
  <c r="N72" i="13" s="1"/>
  <c r="N74" i="13" s="1"/>
  <c r="K160" i="60"/>
  <c r="K151" i="60" s="1"/>
  <c r="K72" i="60"/>
  <c r="N31" i="13"/>
  <c r="K56" i="9" s="1"/>
  <c r="K136" i="60"/>
  <c r="K71" i="60"/>
  <c r="K135" i="60"/>
  <c r="J2" i="26"/>
  <c r="J3" i="26" s="1"/>
  <c r="K47" i="9"/>
  <c r="K7" i="9" s="1"/>
  <c r="R3" i="13"/>
  <c r="N4" i="13"/>
  <c r="N6" i="13" s="1"/>
  <c r="N69" i="3"/>
  <c r="K224" i="9" s="1"/>
  <c r="N8" i="13"/>
  <c r="N9" i="13" s="1"/>
  <c r="K144" i="9"/>
  <c r="O144" i="9" s="1"/>
  <c r="N72" i="3"/>
  <c r="N3" i="3" s="1"/>
  <c r="K73" i="9"/>
  <c r="O198" i="13"/>
  <c r="L73" i="9" s="1"/>
  <c r="N230" i="13"/>
  <c r="N75" i="13" s="1"/>
  <c r="N77" i="13" s="1"/>
  <c r="O36" i="13"/>
  <c r="O37" i="13" s="1"/>
  <c r="N208" i="13"/>
  <c r="N240" i="13" s="1"/>
  <c r="K82" i="9"/>
  <c r="K83" i="9" s="1"/>
  <c r="N36" i="13"/>
  <c r="N63" i="3"/>
  <c r="Q6" i="13"/>
  <c r="N186" i="9"/>
  <c r="L71" i="60"/>
  <c r="O8" i="13"/>
  <c r="O72" i="3"/>
  <c r="O138" i="3" s="1"/>
  <c r="L47" i="9"/>
  <c r="L7" i="9" s="1"/>
  <c r="O4" i="13"/>
  <c r="O6" i="13" s="1"/>
  <c r="O225" i="13"/>
  <c r="O72" i="13" s="1"/>
  <c r="O74" i="13" s="1"/>
  <c r="P223" i="13"/>
  <c r="L135" i="60"/>
  <c r="L72" i="60"/>
  <c r="P4" i="13"/>
  <c r="P6" i="13" s="1"/>
  <c r="L136" i="60"/>
  <c r="L160" i="60"/>
  <c r="K2" i="26"/>
  <c r="L144" i="9"/>
  <c r="P144" i="9" s="1"/>
  <c r="L80" i="9"/>
  <c r="P80" i="9" s="1"/>
  <c r="O223" i="13"/>
  <c r="L744" i="28"/>
  <c r="M744" i="28" s="1"/>
  <c r="N64" i="3"/>
  <c r="O40" i="13"/>
  <c r="O230" i="13"/>
  <c r="O75" i="13" s="1"/>
  <c r="O77" i="13" s="1"/>
  <c r="K193" i="9"/>
  <c r="N62" i="3"/>
  <c r="N135" i="3"/>
  <c r="O136" i="3" s="1"/>
  <c r="K11" i="26" s="1"/>
  <c r="N193" i="9"/>
  <c r="Q135" i="3"/>
  <c r="M12" i="26" s="1"/>
  <c r="M13" i="26" s="1"/>
  <c r="K185" i="9"/>
  <c r="K186" i="9"/>
  <c r="K232" i="60"/>
  <c r="K235" i="60" s="1"/>
  <c r="K288" i="60"/>
  <c r="K271" i="60" s="1"/>
  <c r="P308" i="28"/>
  <c r="N150" i="9"/>
  <c r="N151" i="9" s="1"/>
  <c r="Q32" i="13"/>
  <c r="Q35" i="13"/>
  <c r="Q33" i="13"/>
  <c r="N56" i="9"/>
  <c r="N57" i="9" s="1"/>
  <c r="K148" i="9"/>
  <c r="K53" i="9"/>
  <c r="N27" i="13"/>
  <c r="N28" i="13"/>
  <c r="N30" i="13"/>
  <c r="M220" i="9"/>
  <c r="P27" i="13"/>
  <c r="M53" i="9"/>
  <c r="M54" i="9" s="1"/>
  <c r="M148" i="9"/>
  <c r="M149" i="9" s="1"/>
  <c r="P30" i="13"/>
  <c r="P28" i="13"/>
  <c r="M225" i="9"/>
  <c r="P138" i="3"/>
  <c r="Q9" i="13"/>
  <c r="Q138" i="3"/>
  <c r="N225" i="9"/>
  <c r="Q27" i="13"/>
  <c r="Q30" i="13"/>
  <c r="N53" i="9"/>
  <c r="N54" i="9" s="1"/>
  <c r="N148" i="9"/>
  <c r="N149" i="9" s="1"/>
  <c r="Q28" i="13"/>
  <c r="N397" i="13"/>
  <c r="N435" i="13" s="1"/>
  <c r="K132" i="9"/>
  <c r="O132" i="9" s="1"/>
  <c r="N220" i="9"/>
  <c r="O80" i="9"/>
  <c r="K81" i="9"/>
  <c r="L224" i="9"/>
  <c r="L12" i="26"/>
  <c r="L13" i="26" s="1"/>
  <c r="P136" i="3"/>
  <c r="L11" i="26" s="1"/>
  <c r="O28" i="13"/>
  <c r="L53" i="9"/>
  <c r="O27" i="13"/>
  <c r="O30" i="13"/>
  <c r="L148" i="9"/>
  <c r="L83" i="9"/>
  <c r="P82" i="9"/>
  <c r="Q82" i="3"/>
  <c r="N224" i="9"/>
  <c r="P200" i="13"/>
  <c r="O10" i="13"/>
  <c r="O57" i="13"/>
  <c r="L75" i="9"/>
  <c r="P75" i="9" s="1"/>
  <c r="O59" i="13"/>
  <c r="K12" i="26"/>
  <c r="P35" i="13"/>
  <c r="M56" i="9"/>
  <c r="M57" i="9" s="1"/>
  <c r="M150" i="9"/>
  <c r="M151" i="9" s="1"/>
  <c r="P32" i="13"/>
  <c r="K79" i="9"/>
  <c r="O78" i="9"/>
  <c r="N59" i="9"/>
  <c r="N60" i="9" s="1"/>
  <c r="Q38" i="13"/>
  <c r="N152" i="9"/>
  <c r="N153" i="9" s="1"/>
  <c r="Q37" i="13"/>
  <c r="M11" i="9"/>
  <c r="M10" i="9"/>
  <c r="M6" i="9"/>
  <c r="M9" i="9"/>
  <c r="L220" i="9"/>
  <c r="P82" i="3"/>
  <c r="M224" i="9"/>
  <c r="P37" i="13"/>
  <c r="M152" i="9"/>
  <c r="M153" i="9" s="1"/>
  <c r="M59" i="9"/>
  <c r="M60" i="9" s="1"/>
  <c r="M3" i="26"/>
  <c r="N2" i="26"/>
  <c r="N10" i="9"/>
  <c r="N11" i="9"/>
  <c r="N6" i="9"/>
  <c r="N9" i="9"/>
  <c r="K74" i="9"/>
  <c r="O74" i="9" s="1"/>
  <c r="K145" i="9" l="1"/>
  <c r="O145" i="9" s="1"/>
  <c r="K48" i="9"/>
  <c r="O48" i="9" s="1"/>
  <c r="L150" i="9"/>
  <c r="L151" i="9" s="1"/>
  <c r="O47" i="9"/>
  <c r="O33" i="13"/>
  <c r="O35" i="13"/>
  <c r="L79" i="9"/>
  <c r="O32" i="13"/>
  <c r="N25" i="13"/>
  <c r="N23" i="13"/>
  <c r="N22" i="13"/>
  <c r="O22" i="13"/>
  <c r="O25" i="13"/>
  <c r="O23" i="13"/>
  <c r="P23" i="13"/>
  <c r="L56" i="9"/>
  <c r="P56" i="9" s="1"/>
  <c r="N260" i="13"/>
  <c r="N261" i="13" s="1"/>
  <c r="N35" i="13"/>
  <c r="L151" i="60"/>
  <c r="N32" i="13"/>
  <c r="N33" i="13"/>
  <c r="K150" i="9"/>
  <c r="K151" i="9" s="1"/>
  <c r="K3" i="26"/>
  <c r="O9" i="13"/>
  <c r="N138" i="3"/>
  <c r="N139" i="3" s="1"/>
  <c r="N23" i="3"/>
  <c r="K195" i="9" s="1"/>
  <c r="N82" i="3"/>
  <c r="K232" i="9" s="1"/>
  <c r="K225" i="9"/>
  <c r="N4" i="3"/>
  <c r="O4" i="3" s="1"/>
  <c r="K152" i="9"/>
  <c r="K153" i="9" s="1"/>
  <c r="N37" i="13"/>
  <c r="L152" i="9"/>
  <c r="P152" i="9" s="1"/>
  <c r="N38" i="13"/>
  <c r="K59" i="9"/>
  <c r="O59" i="9" s="1"/>
  <c r="O38" i="13"/>
  <c r="L59" i="9"/>
  <c r="L60" i="9" s="1"/>
  <c r="P38" i="13"/>
  <c r="O199" i="13"/>
  <c r="P198" i="13"/>
  <c r="Q198" i="13" s="1"/>
  <c r="O82" i="9"/>
  <c r="O387" i="13"/>
  <c r="O390" i="13" s="1"/>
  <c r="O391" i="13" s="1"/>
  <c r="K76" i="9"/>
  <c r="O76" i="9" s="1"/>
  <c r="N210" i="13"/>
  <c r="N209" i="13"/>
  <c r="K85" i="9"/>
  <c r="K86" i="9" s="1"/>
  <c r="R240" i="13"/>
  <c r="N243" i="13"/>
  <c r="N241" i="13"/>
  <c r="N242" i="13" s="1"/>
  <c r="N257" i="13"/>
  <c r="N258" i="13" s="1"/>
  <c r="N259" i="13" s="1"/>
  <c r="AC9" i="17"/>
  <c r="AJ9" i="17" s="1"/>
  <c r="P9" i="13"/>
  <c r="L225" i="9"/>
  <c r="K13" i="26"/>
  <c r="L746" i="28"/>
  <c r="L748" i="28" s="1"/>
  <c r="L750" i="28" s="1"/>
  <c r="L751" i="28" s="1"/>
  <c r="L752" i="28" s="1"/>
  <c r="O82" i="3"/>
  <c r="L232" i="9" s="1"/>
  <c r="L3" i="26"/>
  <c r="P47" i="9"/>
  <c r="L81" i="9"/>
  <c r="K220" i="9"/>
  <c r="N136" i="3"/>
  <c r="J11" i="26" s="1"/>
  <c r="J12" i="26"/>
  <c r="J13" i="26" s="1"/>
  <c r="Q136" i="3"/>
  <c r="M11" i="26" s="1"/>
  <c r="K254" i="60"/>
  <c r="K289" i="60" s="1"/>
  <c r="Q308" i="28"/>
  <c r="M746" i="28"/>
  <c r="M748" i="28" s="1"/>
  <c r="M750" i="28" s="1"/>
  <c r="M751" i="28" s="1"/>
  <c r="M752" i="28" s="1"/>
  <c r="N744" i="28"/>
  <c r="M232" i="9"/>
  <c r="L54" i="9"/>
  <c r="P53" i="9"/>
  <c r="N60" i="13"/>
  <c r="N401" i="13"/>
  <c r="N423" i="13" s="1"/>
  <c r="K134" i="9"/>
  <c r="N13" i="13"/>
  <c r="K6" i="9"/>
  <c r="O7" i="9"/>
  <c r="K11" i="9"/>
  <c r="O11" i="9" s="1"/>
  <c r="K10" i="9"/>
  <c r="O10" i="9" s="1"/>
  <c r="K9" i="9"/>
  <c r="O9" i="9" s="1"/>
  <c r="L48" i="9"/>
  <c r="P48" i="9" s="1"/>
  <c r="L145" i="9"/>
  <c r="P145" i="9" s="1"/>
  <c r="O441" i="13"/>
  <c r="P139" i="3"/>
  <c r="L14" i="26"/>
  <c r="L15" i="26" s="1"/>
  <c r="O3" i="3"/>
  <c r="K178" i="9"/>
  <c r="L10" i="9"/>
  <c r="P10" i="9" s="1"/>
  <c r="L6" i="9"/>
  <c r="L11" i="9"/>
  <c r="P11" i="9" s="1"/>
  <c r="P7" i="9"/>
  <c r="L9" i="9"/>
  <c r="P9" i="9" s="1"/>
  <c r="P10" i="13"/>
  <c r="P57" i="13"/>
  <c r="P59" i="13"/>
  <c r="M75" i="9"/>
  <c r="Q200" i="13"/>
  <c r="N232" i="9"/>
  <c r="P148" i="9"/>
  <c r="L149" i="9"/>
  <c r="Q139" i="3"/>
  <c r="M14" i="26"/>
  <c r="M15" i="26" s="1"/>
  <c r="K54" i="9"/>
  <c r="O53" i="9"/>
  <c r="N4" i="26"/>
  <c r="N6" i="26" s="1"/>
  <c r="N8" i="26" s="1"/>
  <c r="N12" i="26"/>
  <c r="N11" i="26" s="1"/>
  <c r="O2" i="26"/>
  <c r="N14" i="26"/>
  <c r="O139" i="3"/>
  <c r="K14" i="26"/>
  <c r="K15" i="26" s="1"/>
  <c r="K141" i="9"/>
  <c r="K57" i="9"/>
  <c r="O56" i="9"/>
  <c r="O148" i="9"/>
  <c r="K149" i="9"/>
  <c r="P150" i="9" l="1"/>
  <c r="O150" i="9"/>
  <c r="O23" i="3"/>
  <c r="O24" i="3" s="1"/>
  <c r="O30" i="3" s="1"/>
  <c r="L202" i="9" s="1"/>
  <c r="L57" i="9"/>
  <c r="L132" i="9"/>
  <c r="P132" i="9" s="1"/>
  <c r="L74" i="9"/>
  <c r="P74" i="9" s="1"/>
  <c r="O260" i="13"/>
  <c r="O261" i="13" s="1"/>
  <c r="N262" i="13"/>
  <c r="N43" i="3"/>
  <c r="N2" i="3" s="1"/>
  <c r="J14" i="26"/>
  <c r="J15" i="26" s="1"/>
  <c r="N65" i="3"/>
  <c r="K221" i="9" s="1"/>
  <c r="N24" i="3"/>
  <c r="K88" i="9"/>
  <c r="K89" i="9" s="1"/>
  <c r="K179" i="9"/>
  <c r="M73" i="9"/>
  <c r="AC15" i="17"/>
  <c r="P199" i="13"/>
  <c r="O152" i="9"/>
  <c r="K77" i="9"/>
  <c r="O208" i="13"/>
  <c r="P387" i="13"/>
  <c r="P390" i="13" s="1"/>
  <c r="P391" i="13" s="1"/>
  <c r="L153" i="9"/>
  <c r="K60" i="9"/>
  <c r="P59" i="9"/>
  <c r="O397" i="13"/>
  <c r="O435" i="13" s="1"/>
  <c r="O85" i="9"/>
  <c r="L195" i="9"/>
  <c r="O744" i="28"/>
  <c r="N746" i="28"/>
  <c r="N748" i="28" s="1"/>
  <c r="N750" i="28" s="1"/>
  <c r="N751" i="28" s="1"/>
  <c r="N752" i="28" s="1"/>
  <c r="S308" i="28"/>
  <c r="L178" i="9"/>
  <c r="P3" i="3"/>
  <c r="O141" i="9"/>
  <c r="Q387" i="13"/>
  <c r="Q390" i="13" s="1"/>
  <c r="Q391" i="13" s="1"/>
  <c r="Q199" i="13"/>
  <c r="N73" i="9"/>
  <c r="N15" i="13"/>
  <c r="N20" i="13" s="1"/>
  <c r="N56" i="13" s="1"/>
  <c r="N116" i="13" s="1"/>
  <c r="N442" i="13"/>
  <c r="N443" i="13" s="1"/>
  <c r="N444" i="13" s="1"/>
  <c r="N17" i="13"/>
  <c r="N50" i="13" s="1"/>
  <c r="Q57" i="13"/>
  <c r="N75" i="9"/>
  <c r="Q59" i="13"/>
  <c r="Q10" i="13"/>
  <c r="M145" i="9"/>
  <c r="M48" i="9"/>
  <c r="P441" i="13"/>
  <c r="K135" i="9"/>
  <c r="P4" i="3"/>
  <c r="L179" i="9"/>
  <c r="O4" i="26"/>
  <c r="O6" i="26" s="1"/>
  <c r="O8" i="26" s="1"/>
  <c r="O12" i="26"/>
  <c r="O11" i="26" s="1"/>
  <c r="P2" i="26"/>
  <c r="O14" i="26"/>
  <c r="N62" i="13"/>
  <c r="N65" i="13" s="1"/>
  <c r="N86" i="13" s="1"/>
  <c r="N118" i="13" s="1"/>
  <c r="N124" i="13" s="1"/>
  <c r="N63" i="13"/>
  <c r="N81" i="13" s="1"/>
  <c r="O65" i="3" l="1"/>
  <c r="L221" i="9" s="1"/>
  <c r="L196" i="9"/>
  <c r="P23" i="3"/>
  <c r="Q23" i="3" s="1"/>
  <c r="N195" i="9" s="1"/>
  <c r="O43" i="3"/>
  <c r="N212" i="9" s="1"/>
  <c r="P397" i="13"/>
  <c r="P435" i="13" s="1"/>
  <c r="M141" i="9" s="1"/>
  <c r="L141" i="9"/>
  <c r="P141" i="9" s="1"/>
  <c r="Q208" i="13"/>
  <c r="Q240" i="13" s="1"/>
  <c r="Q260" i="13"/>
  <c r="P208" i="13"/>
  <c r="P240" i="13" s="1"/>
  <c r="P260" i="13"/>
  <c r="M88" i="9" s="1"/>
  <c r="L76" i="9"/>
  <c r="L77" i="9" s="1"/>
  <c r="O240" i="13"/>
  <c r="O241" i="13" s="1"/>
  <c r="O242" i="13" s="1"/>
  <c r="M212" i="9"/>
  <c r="J9" i="26"/>
  <c r="J10" i="26" s="1"/>
  <c r="N30" i="3"/>
  <c r="K202" i="9" s="1"/>
  <c r="K196" i="9"/>
  <c r="O88" i="9"/>
  <c r="K87" i="9"/>
  <c r="M74" i="9"/>
  <c r="O209" i="13"/>
  <c r="O210" i="13"/>
  <c r="M132" i="9"/>
  <c r="O262" i="13"/>
  <c r="O13" i="13"/>
  <c r="O15" i="13" s="1"/>
  <c r="O20" i="13" s="1"/>
  <c r="O56" i="13" s="1"/>
  <c r="O116" i="13" s="1"/>
  <c r="L88" i="9"/>
  <c r="L89" i="9" s="1"/>
  <c r="L134" i="9"/>
  <c r="O401" i="13"/>
  <c r="O60" i="13"/>
  <c r="O63" i="13" s="1"/>
  <c r="O81" i="13" s="1"/>
  <c r="T308" i="28"/>
  <c r="T314" i="28"/>
  <c r="T310" i="28"/>
  <c r="U310" i="28"/>
  <c r="S310" i="28"/>
  <c r="P744" i="28"/>
  <c r="O746" i="28"/>
  <c r="O748" i="28" s="1"/>
  <c r="O750" i="28" s="1"/>
  <c r="O751" i="28" s="1"/>
  <c r="O752" i="28" s="1"/>
  <c r="K157" i="9"/>
  <c r="N117" i="13"/>
  <c r="N123" i="13" s="1"/>
  <c r="N83" i="13"/>
  <c r="K68" i="9"/>
  <c r="N82" i="13"/>
  <c r="K177" i="9"/>
  <c r="N18" i="13"/>
  <c r="K146" i="9"/>
  <c r="K50" i="9"/>
  <c r="Q3" i="3"/>
  <c r="N178" i="9" s="1"/>
  <c r="M178" i="9"/>
  <c r="P12" i="26"/>
  <c r="P11" i="26" s="1"/>
  <c r="Q2" i="26"/>
  <c r="P14" i="26"/>
  <c r="P9" i="26" s="1"/>
  <c r="P4" i="26"/>
  <c r="P6" i="26" s="1"/>
  <c r="P8" i="26" s="1"/>
  <c r="N74" i="9"/>
  <c r="AC12" i="17"/>
  <c r="AJ12" i="17" s="1"/>
  <c r="K139" i="9"/>
  <c r="N433" i="13"/>
  <c r="N434" i="13" s="1"/>
  <c r="M179" i="9"/>
  <c r="Q4" i="3"/>
  <c r="N179" i="9" s="1"/>
  <c r="Q441" i="13"/>
  <c r="N145" i="9"/>
  <c r="N48" i="9"/>
  <c r="N445" i="13"/>
  <c r="N132" i="9"/>
  <c r="Q397" i="13"/>
  <c r="Q435" i="13" s="1"/>
  <c r="P210" i="13" l="1"/>
  <c r="M76" i="9"/>
  <c r="M77" i="9" s="1"/>
  <c r="P401" i="13"/>
  <c r="P423" i="13" s="1"/>
  <c r="P209" i="13"/>
  <c r="O2" i="3"/>
  <c r="L177" i="9" s="1"/>
  <c r="K9" i="26"/>
  <c r="K10" i="26" s="1"/>
  <c r="M195" i="9"/>
  <c r="P24" i="3"/>
  <c r="M196" i="9" s="1"/>
  <c r="P65" i="3"/>
  <c r="M221" i="9" s="1"/>
  <c r="Q65" i="3"/>
  <c r="N221" i="9" s="1"/>
  <c r="Q24" i="3"/>
  <c r="Q30" i="3" s="1"/>
  <c r="N202" i="9" s="1"/>
  <c r="P13" i="13"/>
  <c r="P442" i="13" s="1"/>
  <c r="P443" i="13" s="1"/>
  <c r="P444" i="13" s="1"/>
  <c r="P43" i="3"/>
  <c r="P2" i="3" s="1"/>
  <c r="M134" i="9"/>
  <c r="P60" i="13"/>
  <c r="P62" i="13" s="1"/>
  <c r="P65" i="13" s="1"/>
  <c r="P86" i="13" s="1"/>
  <c r="P118" i="13" s="1"/>
  <c r="P124" i="13" s="1"/>
  <c r="Q209" i="13"/>
  <c r="N76" i="9"/>
  <c r="N77" i="9" s="1"/>
  <c r="P76" i="9"/>
  <c r="Q210" i="13"/>
  <c r="L135" i="9"/>
  <c r="O423" i="13"/>
  <c r="O433" i="13" s="1"/>
  <c r="O434" i="13" s="1"/>
  <c r="O62" i="13"/>
  <c r="O65" i="13" s="1"/>
  <c r="O86" i="13" s="1"/>
  <c r="O118" i="13" s="1"/>
  <c r="O124" i="13" s="1"/>
  <c r="P261" i="13"/>
  <c r="P262" i="13"/>
  <c r="L85" i="9"/>
  <c r="L87" i="9" s="1"/>
  <c r="O17" i="13"/>
  <c r="O442" i="13"/>
  <c r="O443" i="13" s="1"/>
  <c r="O444" i="13" s="1"/>
  <c r="O243" i="13"/>
  <c r="O257" i="13"/>
  <c r="O258" i="13" s="1"/>
  <c r="O259" i="13" s="1"/>
  <c r="P88" i="9"/>
  <c r="N196" i="9"/>
  <c r="P30" i="3"/>
  <c r="M202" i="9" s="1"/>
  <c r="P746" i="28"/>
  <c r="P748" i="28" s="1"/>
  <c r="P750" i="28" s="1"/>
  <c r="P751" i="28" s="1"/>
  <c r="P752" i="28" s="1"/>
  <c r="Q744" i="28"/>
  <c r="Q746" i="28" s="1"/>
  <c r="Q748" i="28" s="1"/>
  <c r="Q750" i="28" s="1"/>
  <c r="Q751" i="28" s="1"/>
  <c r="T315" i="28"/>
  <c r="U315" i="28" s="1"/>
  <c r="T313" i="28"/>
  <c r="Q311" i="28"/>
  <c r="Q310" i="28" s="1"/>
  <c r="Q312" i="28" s="1"/>
  <c r="Q314" i="28" s="1"/>
  <c r="Q315" i="28" s="1"/>
  <c r="Q4" i="26"/>
  <c r="Q6" i="26" s="1"/>
  <c r="Q8" i="26" s="1"/>
  <c r="Q12" i="26"/>
  <c r="Q11" i="26" s="1"/>
  <c r="R2" i="26"/>
  <c r="Q14" i="26"/>
  <c r="N141" i="9"/>
  <c r="N134" i="9"/>
  <c r="Q401" i="13"/>
  <c r="Q423" i="13" s="1"/>
  <c r="Q13" i="13"/>
  <c r="Q60" i="13"/>
  <c r="O139" i="9"/>
  <c r="K140" i="9"/>
  <c r="P10" i="26"/>
  <c r="O68" i="9"/>
  <c r="K69" i="9"/>
  <c r="K155" i="9"/>
  <c r="N113" i="3"/>
  <c r="K139" i="60"/>
  <c r="K140" i="60"/>
  <c r="K75" i="60"/>
  <c r="N52" i="13"/>
  <c r="K74" i="60"/>
  <c r="N51" i="13"/>
  <c r="N154" i="13"/>
  <c r="N155" i="13" s="1"/>
  <c r="AC13" i="17"/>
  <c r="R50" i="13"/>
  <c r="N171" i="13"/>
  <c r="N172" i="13" s="1"/>
  <c r="N173" i="13" s="1"/>
  <c r="N131" i="3"/>
  <c r="N133" i="3" s="1"/>
  <c r="N142" i="3" s="1"/>
  <c r="N146" i="3" s="1"/>
  <c r="J4" i="26"/>
  <c r="J5" i="26" s="1"/>
  <c r="N115" i="13"/>
  <c r="K64" i="9"/>
  <c r="M85" i="9"/>
  <c r="M86" i="9" s="1"/>
  <c r="P243" i="13"/>
  <c r="P241" i="13"/>
  <c r="P242" i="13" s="1"/>
  <c r="P257" i="13"/>
  <c r="P258" i="13" s="1"/>
  <c r="P259" i="13" s="1"/>
  <c r="O83" i="13"/>
  <c r="O82" i="13"/>
  <c r="L157" i="9"/>
  <c r="L68" i="9"/>
  <c r="O117" i="13"/>
  <c r="O123" i="13" s="1"/>
  <c r="K51" i="9"/>
  <c r="O50" i="9"/>
  <c r="N174" i="13"/>
  <c r="N452" i="13" s="1"/>
  <c r="N142" i="13"/>
  <c r="N59" i="3"/>
  <c r="K218" i="9" s="1"/>
  <c r="N42" i="3"/>
  <c r="K211" i="9" s="1"/>
  <c r="Q43" i="3"/>
  <c r="M9" i="26" s="1"/>
  <c r="Q9" i="26" s="1"/>
  <c r="Q10" i="26" s="1"/>
  <c r="M89" i="9"/>
  <c r="N88" i="9"/>
  <c r="Q261" i="13"/>
  <c r="Q262" i="13"/>
  <c r="Q257" i="13"/>
  <c r="Q258" i="13" s="1"/>
  <c r="Q259" i="13" s="1"/>
  <c r="N85" i="9"/>
  <c r="N86" i="9" s="1"/>
  <c r="Q241" i="13"/>
  <c r="Q243" i="13"/>
  <c r="P16" i="26"/>
  <c r="P19" i="26" s="1"/>
  <c r="K147" i="9"/>
  <c r="O146" i="9"/>
  <c r="O157" i="9"/>
  <c r="K158" i="9"/>
  <c r="P17" i="13" l="1"/>
  <c r="P50" i="13" s="1"/>
  <c r="P15" i="13"/>
  <c r="P20" i="13" s="1"/>
  <c r="P56" i="13" s="1"/>
  <c r="P116" i="13" s="1"/>
  <c r="M135" i="9"/>
  <c r="L9" i="26"/>
  <c r="L10" i="26" s="1"/>
  <c r="P63" i="13"/>
  <c r="P81" i="13" s="1"/>
  <c r="P83" i="13" s="1"/>
  <c r="O18" i="13"/>
  <c r="O50" i="13"/>
  <c r="O52" i="13" s="1"/>
  <c r="P85" i="9"/>
  <c r="L86" i="9"/>
  <c r="L146" i="9"/>
  <c r="P146" i="9" s="1"/>
  <c r="L50" i="9"/>
  <c r="L51" i="9" s="1"/>
  <c r="O445" i="13"/>
  <c r="L139" i="9"/>
  <c r="P139" i="9" s="1"/>
  <c r="P311" i="28"/>
  <c r="P310" i="28" s="1"/>
  <c r="P312" i="28" s="1"/>
  <c r="P314" i="28" s="1"/>
  <c r="P315" i="28" s="1"/>
  <c r="P316" i="28" s="1"/>
  <c r="G311" i="28"/>
  <c r="G310" i="28" s="1"/>
  <c r="G312" i="28" s="1"/>
  <c r="G314" i="28" s="1"/>
  <c r="G315" i="28" s="1"/>
  <c r="G316" i="28" s="1"/>
  <c r="F311" i="28"/>
  <c r="F310" i="28" s="1"/>
  <c r="F312" i="28" s="1"/>
  <c r="F314" i="28" s="1"/>
  <c r="F315" i="28" s="1"/>
  <c r="F316" i="28" s="1"/>
  <c r="Q752" i="28"/>
  <c r="B753" i="28" s="1"/>
  <c r="B754" i="28"/>
  <c r="B318" i="28"/>
  <c r="Q316" i="28"/>
  <c r="Q242" i="13"/>
  <c r="M87" i="9"/>
  <c r="K146" i="60"/>
  <c r="K143" i="60"/>
  <c r="K159" i="60" s="1"/>
  <c r="Q16" i="26"/>
  <c r="Q19" i="26" s="1"/>
  <c r="M10" i="26"/>
  <c r="N9" i="26"/>
  <c r="O64" i="9"/>
  <c r="K65" i="9"/>
  <c r="K67" i="9"/>
  <c r="P433" i="13"/>
  <c r="P434" i="13" s="1"/>
  <c r="M139" i="9"/>
  <c r="M140" i="9" s="1"/>
  <c r="Q17" i="13"/>
  <c r="Q50" i="13" s="1"/>
  <c r="Q15" i="13"/>
  <c r="Q20" i="13" s="1"/>
  <c r="Q56" i="13" s="1"/>
  <c r="Q116" i="13" s="1"/>
  <c r="Q442" i="13"/>
  <c r="Q443" i="13" s="1"/>
  <c r="Q444" i="13" s="1"/>
  <c r="R4" i="26"/>
  <c r="R6" i="26" s="1"/>
  <c r="R8" i="26" s="1"/>
  <c r="S2" i="26"/>
  <c r="R12" i="26"/>
  <c r="R11" i="26" s="1"/>
  <c r="R14" i="26"/>
  <c r="R9" i="26" s="1"/>
  <c r="R10" i="26" s="1"/>
  <c r="L69" i="9"/>
  <c r="P68" i="9"/>
  <c r="AC14" i="17"/>
  <c r="AJ13" i="17"/>
  <c r="N89" i="9"/>
  <c r="N87" i="9"/>
  <c r="P157" i="9"/>
  <c r="L158" i="9"/>
  <c r="Q62" i="13"/>
  <c r="Q65" i="13" s="1"/>
  <c r="Q86" i="13" s="1"/>
  <c r="Q118" i="13" s="1"/>
  <c r="Q124" i="13" s="1"/>
  <c r="Q63" i="13"/>
  <c r="Q81" i="13" s="1"/>
  <c r="K167" i="9"/>
  <c r="O167" i="9" s="1"/>
  <c r="N143" i="13"/>
  <c r="N147" i="13"/>
  <c r="N144" i="13"/>
  <c r="P445" i="13"/>
  <c r="O142" i="13"/>
  <c r="O42" i="3"/>
  <c r="L211" i="9" s="1"/>
  <c r="O59" i="3"/>
  <c r="L218" i="9" s="1"/>
  <c r="N119" i="13"/>
  <c r="N130" i="13" s="1"/>
  <c r="K161" i="9"/>
  <c r="O161" i="9" s="1"/>
  <c r="K147" i="60"/>
  <c r="K144" i="60"/>
  <c r="K161" i="60" s="1"/>
  <c r="K156" i="9"/>
  <c r="O155" i="9"/>
  <c r="N135" i="9"/>
  <c r="Q2" i="3"/>
  <c r="M177" i="9"/>
  <c r="M50" i="9" l="1"/>
  <c r="M51" i="9" s="1"/>
  <c r="P18" i="13"/>
  <c r="M146" i="9"/>
  <c r="M147" i="9" s="1"/>
  <c r="M68" i="9"/>
  <c r="M69" i="9" s="1"/>
  <c r="P82" i="13"/>
  <c r="M157" i="9"/>
  <c r="M158" i="9" s="1"/>
  <c r="P117" i="13"/>
  <c r="P123" i="13" s="1"/>
  <c r="P42" i="3" s="1"/>
  <c r="M211" i="9" s="1"/>
  <c r="L140" i="60"/>
  <c r="L144" i="60" s="1"/>
  <c r="L161" i="60" s="1"/>
  <c r="L147" i="9"/>
  <c r="L140" i="9"/>
  <c r="O171" i="13"/>
  <c r="O172" i="13" s="1"/>
  <c r="O173" i="13" s="1"/>
  <c r="L64" i="9"/>
  <c r="L67" i="9" s="1"/>
  <c r="O51" i="13"/>
  <c r="O174" i="13"/>
  <c r="O452" i="13" s="1"/>
  <c r="L139" i="60"/>
  <c r="O131" i="3"/>
  <c r="O133" i="3" s="1"/>
  <c r="O142" i="3" s="1"/>
  <c r="O146" i="3" s="1"/>
  <c r="L155" i="9"/>
  <c r="P155" i="9" s="1"/>
  <c r="L75" i="60"/>
  <c r="O154" i="13"/>
  <c r="O155" i="13" s="1"/>
  <c r="O115" i="13"/>
  <c r="O119" i="13" s="1"/>
  <c r="K4" i="26"/>
  <c r="K5" i="26" s="1"/>
  <c r="L74" i="60"/>
  <c r="O113" i="3"/>
  <c r="P50" i="9"/>
  <c r="O311" i="28"/>
  <c r="O310" i="28" s="1"/>
  <c r="O312" i="28" s="1"/>
  <c r="O314" i="28" s="1"/>
  <c r="O315" i="28" s="1"/>
  <c r="O316" i="28" s="1"/>
  <c r="B755" i="28"/>
  <c r="B756" i="28" s="1"/>
  <c r="K152" i="60"/>
  <c r="N121" i="13"/>
  <c r="K162" i="9"/>
  <c r="J6" i="26"/>
  <c r="J8" i="26" s="1"/>
  <c r="J16" i="26" s="1"/>
  <c r="N447" i="13"/>
  <c r="N448" i="13" s="1"/>
  <c r="N454" i="13" s="1"/>
  <c r="N122" i="13"/>
  <c r="N453" i="13" s="1"/>
  <c r="N149" i="13"/>
  <c r="N150" i="13" s="1"/>
  <c r="N40" i="3"/>
  <c r="N148" i="13"/>
  <c r="N126" i="13"/>
  <c r="K164" i="9" s="1"/>
  <c r="O164" i="9" s="1"/>
  <c r="R16" i="26"/>
  <c r="R19" i="26" s="1"/>
  <c r="N177" i="9"/>
  <c r="P174" i="13"/>
  <c r="P452" i="13" s="1"/>
  <c r="P115" i="13"/>
  <c r="P113" i="3"/>
  <c r="P131" i="3"/>
  <c r="P133" i="3" s="1"/>
  <c r="P142" i="3" s="1"/>
  <c r="P146" i="3" s="1"/>
  <c r="P154" i="13"/>
  <c r="P155" i="13" s="1"/>
  <c r="P51" i="13"/>
  <c r="P171" i="13"/>
  <c r="P172" i="13" s="1"/>
  <c r="P173" i="13" s="1"/>
  <c r="L4" i="26"/>
  <c r="L5" i="26" s="1"/>
  <c r="M155" i="9"/>
  <c r="M156" i="9" s="1"/>
  <c r="M64" i="9"/>
  <c r="M65" i="9" s="1"/>
  <c r="N139" i="9"/>
  <c r="N140" i="9" s="1"/>
  <c r="Q433" i="13"/>
  <c r="Q434" i="13" s="1"/>
  <c r="N145" i="13"/>
  <c r="K170" i="9"/>
  <c r="O170" i="9" s="1"/>
  <c r="K150" i="60"/>
  <c r="K166" i="9"/>
  <c r="O166" i="9" s="1"/>
  <c r="N131" i="13"/>
  <c r="N189" i="13"/>
  <c r="N187" i="13"/>
  <c r="N190" i="13"/>
  <c r="N133" i="13"/>
  <c r="R130" i="13"/>
  <c r="Q445" i="13"/>
  <c r="O144" i="13"/>
  <c r="L167" i="9"/>
  <c r="P167" i="9" s="1"/>
  <c r="O143" i="13"/>
  <c r="O147" i="13"/>
  <c r="N157" i="9"/>
  <c r="N158" i="9" s="1"/>
  <c r="N68" i="9"/>
  <c r="Q117" i="13"/>
  <c r="Q123" i="13" s="1"/>
  <c r="Q83" i="13"/>
  <c r="Q82" i="13"/>
  <c r="T2" i="26"/>
  <c r="S12" i="26"/>
  <c r="S11" i="26" s="1"/>
  <c r="S14" i="26"/>
  <c r="S9" i="26" s="1"/>
  <c r="S4" i="26"/>
  <c r="S6" i="26" s="1"/>
  <c r="S8" i="26" s="1"/>
  <c r="N50" i="9"/>
  <c r="N51" i="9" s="1"/>
  <c r="N146" i="9"/>
  <c r="N147" i="9" s="1"/>
  <c r="Q18" i="13"/>
  <c r="O9" i="26"/>
  <c r="N10" i="26"/>
  <c r="N16" i="26"/>
  <c r="N19" i="26" s="1"/>
  <c r="P59" i="3" l="1"/>
  <c r="M218" i="9" s="1"/>
  <c r="P142" i="13"/>
  <c r="P143" i="13" s="1"/>
  <c r="L147" i="60"/>
  <c r="P52" i="13"/>
  <c r="P64" i="9"/>
  <c r="L161" i="9"/>
  <c r="P161" i="9" s="1"/>
  <c r="L65" i="9"/>
  <c r="L156" i="9"/>
  <c r="L146" i="60"/>
  <c r="L143" i="60"/>
  <c r="L159" i="60" s="1"/>
  <c r="N311" i="28"/>
  <c r="N310" i="28" s="1"/>
  <c r="N312" i="28" s="1"/>
  <c r="N314" i="28" s="1"/>
  <c r="N315" i="28" s="1"/>
  <c r="N316" i="28" s="1"/>
  <c r="S16" i="26"/>
  <c r="S19" i="26" s="1"/>
  <c r="M67" i="9"/>
  <c r="J19" i="26"/>
  <c r="Q174" i="13"/>
  <c r="Q452" i="13" s="1"/>
  <c r="M4" i="26"/>
  <c r="M5" i="26" s="1"/>
  <c r="Q154" i="13"/>
  <c r="Q155" i="13" s="1"/>
  <c r="Q51" i="13"/>
  <c r="Q52" i="13" s="1"/>
  <c r="Q113" i="3"/>
  <c r="Q115" i="13"/>
  <c r="Q131" i="3"/>
  <c r="Q133" i="3" s="1"/>
  <c r="Q142" i="3" s="1"/>
  <c r="Q146" i="3" s="1"/>
  <c r="N155" i="9"/>
  <c r="N156" i="9" s="1"/>
  <c r="Q171" i="13"/>
  <c r="Q172" i="13" s="1"/>
  <c r="Q173" i="13" s="1"/>
  <c r="N64" i="9"/>
  <c r="N65" i="9" s="1"/>
  <c r="Q142" i="13"/>
  <c r="Q42" i="3"/>
  <c r="N211" i="9" s="1"/>
  <c r="Q59" i="3"/>
  <c r="N218" i="9" s="1"/>
  <c r="O126" i="13"/>
  <c r="L164" i="9" s="1"/>
  <c r="P164" i="9" s="1"/>
  <c r="K6" i="26"/>
  <c r="K8" i="26" s="1"/>
  <c r="K16" i="26" s="1"/>
  <c r="O121" i="13"/>
  <c r="L162" i="9"/>
  <c r="O447" i="13"/>
  <c r="O448" i="13" s="1"/>
  <c r="O454" i="13" s="1"/>
  <c r="O122" i="13"/>
  <c r="O453" i="13" s="1"/>
  <c r="T14" i="26"/>
  <c r="U2" i="26"/>
  <c r="T12" i="26"/>
  <c r="T11" i="26" s="1"/>
  <c r="T4" i="26"/>
  <c r="T6" i="26" s="1"/>
  <c r="T8" i="26" s="1"/>
  <c r="N36" i="3"/>
  <c r="K209" i="9"/>
  <c r="N60" i="3"/>
  <c r="N97" i="3"/>
  <c r="O145" i="13"/>
  <c r="L170" i="9"/>
  <c r="P170" i="9" s="1"/>
  <c r="K171" i="9"/>
  <c r="AC18" i="17"/>
  <c r="AJ18" i="17" s="1"/>
  <c r="K164" i="60"/>
  <c r="N134" i="13"/>
  <c r="N135" i="13" s="1"/>
  <c r="R133" i="13"/>
  <c r="O130" i="13"/>
  <c r="K163" i="9"/>
  <c r="O162" i="9"/>
  <c r="O10" i="26"/>
  <c r="O16" i="26"/>
  <c r="O19" i="26" s="1"/>
  <c r="N69" i="9"/>
  <c r="T9" i="26"/>
  <c r="T10" i="26" s="1"/>
  <c r="S10" i="26"/>
  <c r="O149" i="13"/>
  <c r="O150" i="13" s="1"/>
  <c r="O148" i="13"/>
  <c r="O40" i="3"/>
  <c r="P119" i="13"/>
  <c r="P130" i="13" s="1"/>
  <c r="M161" i="9"/>
  <c r="N137" i="13"/>
  <c r="N138" i="13" s="1"/>
  <c r="N127" i="13"/>
  <c r="L152" i="60"/>
  <c r="P147" i="13" l="1"/>
  <c r="P149" i="13" s="1"/>
  <c r="P150" i="13" s="1"/>
  <c r="L150" i="60"/>
  <c r="P144" i="13"/>
  <c r="P145" i="13" s="1"/>
  <c r="M167" i="9"/>
  <c r="M311" i="28"/>
  <c r="M310" i="28" s="1"/>
  <c r="M312" i="28" s="1"/>
  <c r="M314" i="28" s="1"/>
  <c r="M315" i="28" s="1"/>
  <c r="M316" i="28" s="1"/>
  <c r="N67" i="9"/>
  <c r="P126" i="13"/>
  <c r="M164" i="9" s="1"/>
  <c r="P190" i="13"/>
  <c r="P189" i="13"/>
  <c r="P133" i="13"/>
  <c r="M166" i="9"/>
  <c r="P187" i="13"/>
  <c r="P131" i="13"/>
  <c r="O36" i="3"/>
  <c r="N34" i="3"/>
  <c r="O137" i="13"/>
  <c r="O138" i="13" s="1"/>
  <c r="O127" i="13"/>
  <c r="L209" i="9"/>
  <c r="O60" i="3"/>
  <c r="O97" i="3"/>
  <c r="O131" i="13"/>
  <c r="O189" i="13"/>
  <c r="O133" i="13"/>
  <c r="L166" i="9"/>
  <c r="P166" i="9" s="1"/>
  <c r="O190" i="13"/>
  <c r="O187" i="13"/>
  <c r="K155" i="60"/>
  <c r="K170" i="60"/>
  <c r="K163" i="60"/>
  <c r="K169" i="60"/>
  <c r="K165" i="60"/>
  <c r="V2" i="26"/>
  <c r="U12" i="26"/>
  <c r="U11" i="26" s="1"/>
  <c r="U14" i="26"/>
  <c r="U9" i="26" s="1"/>
  <c r="U10" i="26" s="1"/>
  <c r="U4" i="26"/>
  <c r="U6" i="26" s="1"/>
  <c r="U8" i="26" s="1"/>
  <c r="P162" i="9"/>
  <c r="L163" i="9"/>
  <c r="Q119" i="13"/>
  <c r="Q130" i="13" s="1"/>
  <c r="N161" i="9"/>
  <c r="P122" i="13"/>
  <c r="P453" i="13" s="1"/>
  <c r="M162" i="9"/>
  <c r="M163" i="9" s="1"/>
  <c r="L6" i="26"/>
  <c r="L8" i="26" s="1"/>
  <c r="L16" i="26" s="1"/>
  <c r="L19" i="26" s="1"/>
  <c r="P121" i="13"/>
  <c r="P447" i="13"/>
  <c r="P448" i="13" s="1"/>
  <c r="P454" i="13" s="1"/>
  <c r="O171" i="9"/>
  <c r="K172" i="9"/>
  <c r="T16" i="26"/>
  <c r="T19" i="26" s="1"/>
  <c r="K19" i="26"/>
  <c r="K219" i="9"/>
  <c r="N67" i="3"/>
  <c r="Q144" i="13"/>
  <c r="Q143" i="13"/>
  <c r="N167" i="9"/>
  <c r="Q147" i="13"/>
  <c r="P148" i="13" l="1"/>
  <c r="P40" i="3"/>
  <c r="P36" i="3" s="1"/>
  <c r="M170" i="9"/>
  <c r="L311" i="28"/>
  <c r="L310" i="28" s="1"/>
  <c r="L312" i="28" s="1"/>
  <c r="L314" i="28" s="1"/>
  <c r="L315" i="28" s="1"/>
  <c r="L316" i="28" s="1"/>
  <c r="U16" i="26"/>
  <c r="U19" i="26" s="1"/>
  <c r="N166" i="9"/>
  <c r="Q189" i="13"/>
  <c r="Q131" i="13"/>
  <c r="Q133" i="13"/>
  <c r="Q190" i="13"/>
  <c r="W2" i="26"/>
  <c r="V14" i="26"/>
  <c r="V9" i="26" s="1"/>
  <c r="V12" i="26"/>
  <c r="V11" i="26" s="1"/>
  <c r="V4" i="26"/>
  <c r="V6" i="26" s="1"/>
  <c r="V8" i="26" s="1"/>
  <c r="M171" i="9"/>
  <c r="P134" i="13"/>
  <c r="P135" i="13" s="1"/>
  <c r="N170" i="9"/>
  <c r="Q145" i="13"/>
  <c r="K222" i="9"/>
  <c r="N103" i="3"/>
  <c r="K204" i="9"/>
  <c r="K206" i="9" s="1"/>
  <c r="N33" i="3"/>
  <c r="K156" i="60"/>
  <c r="K171" i="60"/>
  <c r="O34" i="3"/>
  <c r="P137" i="13"/>
  <c r="P138" i="13" s="1"/>
  <c r="P127" i="13"/>
  <c r="K154" i="60"/>
  <c r="K168" i="60"/>
  <c r="Q40" i="3"/>
  <c r="Q148" i="13"/>
  <c r="Q149" i="13"/>
  <c r="Q150" i="13" s="1"/>
  <c r="Q126" i="13"/>
  <c r="N164" i="9" s="1"/>
  <c r="N162" i="9"/>
  <c r="N163" i="9" s="1"/>
  <c r="Q121" i="13"/>
  <c r="M6" i="26"/>
  <c r="M8" i="26" s="1"/>
  <c r="M16" i="26" s="1"/>
  <c r="M19" i="26" s="1"/>
  <c r="Q447" i="13"/>
  <c r="Q448" i="13" s="1"/>
  <c r="Q454" i="13" s="1"/>
  <c r="Q122" i="13"/>
  <c r="Q453" i="13" s="1"/>
  <c r="L171" i="9"/>
  <c r="L164" i="60"/>
  <c r="O134" i="13"/>
  <c r="O135" i="13" s="1"/>
  <c r="O67" i="3"/>
  <c r="L219" i="9"/>
  <c r="P60" i="3" l="1"/>
  <c r="P67" i="3" s="1"/>
  <c r="P97" i="3"/>
  <c r="M209" i="9"/>
  <c r="K311" i="28"/>
  <c r="K310" i="28" s="1"/>
  <c r="K312" i="28" s="1"/>
  <c r="K314" i="28" s="1"/>
  <c r="K315" i="28" s="1"/>
  <c r="K316" i="28" s="1"/>
  <c r="P34" i="3"/>
  <c r="Q36" i="3"/>
  <c r="N171" i="9"/>
  <c r="N172" i="9" s="1"/>
  <c r="Q134" i="13"/>
  <c r="Q135" i="13" s="1"/>
  <c r="L172" i="9"/>
  <c r="P171" i="9"/>
  <c r="Q137" i="13"/>
  <c r="Q138" i="13" s="1"/>
  <c r="Q127" i="13"/>
  <c r="M172" i="9"/>
  <c r="W12" i="26"/>
  <c r="W11" i="26" s="1"/>
  <c r="W14" i="26"/>
  <c r="W4" i="26"/>
  <c r="W6" i="26" s="1"/>
  <c r="W8" i="26" s="1"/>
  <c r="L155" i="60"/>
  <c r="L169" i="60"/>
  <c r="L165" i="60"/>
  <c r="L170" i="60"/>
  <c r="L163" i="60"/>
  <c r="K242" i="9"/>
  <c r="N105" i="3"/>
  <c r="V10" i="26"/>
  <c r="W9" i="26"/>
  <c r="W10" i="26" s="1"/>
  <c r="L222" i="9"/>
  <c r="O103" i="3"/>
  <c r="L242" i="9" s="1"/>
  <c r="Q60" i="3"/>
  <c r="Q97" i="3"/>
  <c r="N209" i="9"/>
  <c r="L204" i="9"/>
  <c r="L206" i="9" s="1"/>
  <c r="O33" i="3"/>
  <c r="V16" i="26"/>
  <c r="V19" i="26" s="1"/>
  <c r="M219" i="9" l="1"/>
  <c r="J311" i="28"/>
  <c r="J310" i="28" s="1"/>
  <c r="J312" i="28" s="1"/>
  <c r="J314" i="28" s="1"/>
  <c r="J315" i="28" s="1"/>
  <c r="J316" i="28" s="1"/>
  <c r="L171" i="60"/>
  <c r="L156" i="60"/>
  <c r="Q67" i="3"/>
  <c r="N219" i="9"/>
  <c r="M222" i="9"/>
  <c r="P103" i="3"/>
  <c r="M242" i="9" s="1"/>
  <c r="Q34" i="3"/>
  <c r="W16" i="26"/>
  <c r="W19" i="26" s="1"/>
  <c r="W20" i="26" s="1"/>
  <c r="C22" i="26" s="1"/>
  <c r="N16" i="3"/>
  <c r="K244" i="9"/>
  <c r="O104" i="3"/>
  <c r="L154" i="60"/>
  <c r="L168" i="60"/>
  <c r="M204" i="9"/>
  <c r="M206" i="9" s="1"/>
  <c r="P33" i="3"/>
  <c r="I311" i="28" l="1"/>
  <c r="I310" i="28" s="1"/>
  <c r="I312" i="28" s="1"/>
  <c r="I314" i="28" s="1"/>
  <c r="I315" i="28" s="1"/>
  <c r="I316" i="28" s="1"/>
  <c r="O105" i="3"/>
  <c r="L243" i="9"/>
  <c r="N110" i="3"/>
  <c r="N111" i="3" s="1"/>
  <c r="K189" i="9"/>
  <c r="N17" i="3"/>
  <c r="N204" i="9"/>
  <c r="N206" i="9" s="1"/>
  <c r="Q33" i="3"/>
  <c r="N222" i="9"/>
  <c r="Q103" i="3"/>
  <c r="N242" i="9" s="1"/>
  <c r="C21" i="26"/>
  <c r="C23" i="26" s="1"/>
  <c r="C29" i="26" s="1"/>
  <c r="H311" i="28" l="1"/>
  <c r="H310" i="28" s="1"/>
  <c r="H312" i="28" s="1"/>
  <c r="H314" i="28" s="1"/>
  <c r="H315" i="28" s="1"/>
  <c r="H316" i="28" s="1"/>
  <c r="B317" i="28" s="1"/>
  <c r="B319" i="28" s="1"/>
  <c r="B320" i="28" s="1"/>
  <c r="U83" i="60" s="1"/>
  <c r="U136" i="60" s="1"/>
  <c r="C31" i="26"/>
  <c r="C32" i="26" s="1"/>
  <c r="B24" i="28"/>
  <c r="N112" i="3"/>
  <c r="N114" i="3"/>
  <c r="N118" i="3"/>
  <c r="N128" i="3" s="1"/>
  <c r="K190" i="9"/>
  <c r="N7" i="3"/>
  <c r="P104" i="3"/>
  <c r="L244" i="9"/>
  <c r="O16" i="3"/>
  <c r="U82" i="60" l="1"/>
  <c r="U84" i="60"/>
  <c r="U137" i="60" s="1"/>
  <c r="C208" i="60"/>
  <c r="U135" i="60"/>
  <c r="D208" i="60" s="1"/>
  <c r="L189" i="9"/>
  <c r="O110" i="3"/>
  <c r="O111" i="3" s="1"/>
  <c r="O17" i="3"/>
  <c r="C24" i="28"/>
  <c r="D24" i="28" s="1"/>
  <c r="V24" i="28" s="1"/>
  <c r="B26" i="28"/>
  <c r="C26" i="28" s="1"/>
  <c r="D26" i="28" s="1"/>
  <c r="M243" i="9"/>
  <c r="P105" i="3"/>
  <c r="K181" i="9"/>
  <c r="N9" i="3"/>
  <c r="H26" i="26"/>
  <c r="Y24" i="28" l="1"/>
  <c r="AG24" i="28"/>
  <c r="X25" i="28"/>
  <c r="X24" i="28"/>
  <c r="AB24" i="28"/>
  <c r="AD24" i="28"/>
  <c r="X26" i="28"/>
  <c r="A193" i="60"/>
  <c r="O118" i="3"/>
  <c r="O128" i="3" s="1"/>
  <c r="O112" i="3"/>
  <c r="O114" i="3"/>
  <c r="M244" i="9"/>
  <c r="P16" i="3"/>
  <c r="Q104" i="3"/>
  <c r="L190" i="9"/>
  <c r="O7" i="3"/>
  <c r="K184" i="9"/>
  <c r="N19" i="3"/>
  <c r="U144" i="60"/>
  <c r="D29" i="28"/>
  <c r="V83" i="60" s="1"/>
  <c r="AF24" i="28" l="1"/>
  <c r="Z25" i="28"/>
  <c r="AE25" i="28"/>
  <c r="AC25" i="28"/>
  <c r="AA25" i="28"/>
  <c r="AA24" i="28"/>
  <c r="AC24" i="28"/>
  <c r="Z24" i="28"/>
  <c r="AE24" i="28"/>
  <c r="AF25" i="28"/>
  <c r="AB26" i="28"/>
  <c r="AD26" i="28"/>
  <c r="AA26" i="28"/>
  <c r="AE26" i="28"/>
  <c r="AF26" i="28"/>
  <c r="N243" i="9"/>
  <c r="Q105" i="3"/>
  <c r="C207" i="60"/>
  <c r="U145" i="60"/>
  <c r="B207" i="60" s="1"/>
  <c r="U143" i="60"/>
  <c r="D207" i="60" s="1"/>
  <c r="K192" i="9"/>
  <c r="K203" i="9" s="1"/>
  <c r="N37" i="3"/>
  <c r="V5" i="60"/>
  <c r="V53" i="60"/>
  <c r="V99" i="60"/>
  <c r="V33" i="60"/>
  <c r="V61" i="60"/>
  <c r="V95" i="60"/>
  <c r="V72" i="60"/>
  <c r="V25" i="60"/>
  <c r="V37" i="60"/>
  <c r="V41" i="60"/>
  <c r="V29" i="60"/>
  <c r="V45" i="60"/>
  <c r="V17" i="60"/>
  <c r="V13" i="60"/>
  <c r="V49" i="60"/>
  <c r="V57" i="60"/>
  <c r="V91" i="60"/>
  <c r="V21" i="60"/>
  <c r="V65" i="60"/>
  <c r="V9" i="60"/>
  <c r="V87" i="60"/>
  <c r="V136" i="60"/>
  <c r="L181" i="9"/>
  <c r="O9" i="3"/>
  <c r="P110" i="3"/>
  <c r="P111" i="3" s="1"/>
  <c r="M189" i="9"/>
  <c r="P17" i="3"/>
  <c r="Y26" i="28"/>
  <c r="AG26" i="28" s="1"/>
  <c r="Z26" i="28" l="1"/>
  <c r="P112" i="3"/>
  <c r="P118" i="3"/>
  <c r="P128" i="3" s="1"/>
  <c r="P114" i="3"/>
  <c r="AC26" i="28"/>
  <c r="L184" i="9"/>
  <c r="O19" i="3"/>
  <c r="M190" i="9"/>
  <c r="P7" i="3"/>
  <c r="Q16" i="3"/>
  <c r="N244" i="9"/>
  <c r="N189" i="9" l="1"/>
  <c r="Q110" i="3"/>
  <c r="Q111" i="3" s="1"/>
  <c r="Q17" i="3"/>
  <c r="L192" i="9"/>
  <c r="L203" i="9" s="1"/>
  <c r="O37" i="3"/>
  <c r="M181" i="9"/>
  <c r="P9" i="3"/>
  <c r="M184" i="9" l="1"/>
  <c r="P19" i="3"/>
  <c r="N190" i="9"/>
  <c r="Q7" i="3"/>
  <c r="Q118" i="3"/>
  <c r="Q128" i="3" s="1"/>
  <c r="Q112" i="3"/>
  <c r="Q114" i="3"/>
  <c r="M192" i="9" l="1"/>
  <c r="M203" i="9" s="1"/>
  <c r="P37" i="3"/>
  <c r="N181" i="9"/>
  <c r="Q9" i="3"/>
  <c r="N184" i="9" l="1"/>
  <c r="Q19" i="3"/>
  <c r="N192" i="9" l="1"/>
  <c r="N203" i="9" s="1"/>
  <c r="Q37" i="3"/>
</calcChain>
</file>

<file path=xl/comments1.xml><?xml version="1.0" encoding="utf-8"?>
<comments xmlns="http://schemas.openxmlformats.org/spreadsheetml/2006/main">
  <authors>
    <author>Makam, Abhishek (Research)</author>
  </authors>
  <commentList>
    <comment ref="D67" authorId="0">
      <text>
        <r>
          <rPr>
            <sz val="9"/>
            <color indexed="81"/>
            <rFont val="Tahoma"/>
            <family val="2"/>
          </rPr>
          <t>Includes gain on CH and Vaccines as calculaed in cell M51 on the CFS</t>
        </r>
      </text>
    </comment>
  </commentList>
</comments>
</file>

<file path=xl/comments2.xml><?xml version="1.0" encoding="utf-8"?>
<comments xmlns="http://schemas.openxmlformats.org/spreadsheetml/2006/main">
  <authors>
    <author>Boutherin, Thibault (Research)</author>
  </authors>
  <commentList>
    <comment ref="B1" authorId="0">
      <text>
        <r>
          <rPr>
            <b/>
            <sz val="9"/>
            <color indexed="81"/>
            <rFont val="Tahoma"/>
            <family val="2"/>
          </rPr>
          <t>Boutherin, Thibault (Research):</t>
        </r>
        <r>
          <rPr>
            <sz val="9"/>
            <color indexed="81"/>
            <rFont val="Tahoma"/>
            <family val="2"/>
          </rPr>
          <t xml:space="preserve">
For covered stocks, chose live values (blank) or holdbin value (HOLD)</t>
        </r>
      </text>
    </comment>
  </commentList>
</comments>
</file>

<file path=xl/comments3.xml><?xml version="1.0" encoding="utf-8"?>
<comments xmlns="http://schemas.openxmlformats.org/spreadsheetml/2006/main">
  <authors>
    <author>Boutherin, Thibault (Research)</author>
  </authors>
  <commentList>
    <comment ref="P1" authorId="0">
      <text>
        <r>
          <rPr>
            <b/>
            <sz val="9"/>
            <color indexed="81"/>
            <rFont val="Tahoma"/>
            <family val="2"/>
          </rPr>
          <t>Boutherin, Thibault (Research):</t>
        </r>
        <r>
          <rPr>
            <sz val="9"/>
            <color indexed="81"/>
            <rFont val="Tahoma"/>
            <family val="2"/>
          </rPr>
          <t xml:space="preserve">
1/3 of the upside/downside on year 1, 2/3 on year 2, full efect thereafter</t>
        </r>
      </text>
    </comment>
    <comment ref="U1" authorId="0">
      <text>
        <r>
          <rPr>
            <b/>
            <sz val="9"/>
            <color indexed="81"/>
            <rFont val="Tahoma"/>
            <family val="2"/>
          </rPr>
          <t>Boutherin, Thibault (Research):</t>
        </r>
        <r>
          <rPr>
            <sz val="9"/>
            <color indexed="81"/>
            <rFont val="Tahoma"/>
            <family val="2"/>
          </rPr>
          <t xml:space="preserve">
The name of the drug in the bull/bear tab has to be the same as the NPV tab</t>
        </r>
      </text>
    </comment>
    <comment ref="U79" authorId="0">
      <text>
        <r>
          <rPr>
            <b/>
            <sz val="9"/>
            <color indexed="81"/>
            <rFont val="Tahoma"/>
            <family val="2"/>
          </rPr>
          <t>Boutherin, Thibault (Research):</t>
        </r>
        <r>
          <rPr>
            <sz val="9"/>
            <color indexed="81"/>
            <rFont val="Tahoma"/>
            <family val="2"/>
          </rPr>
          <t xml:space="preserve">
The name of the drug in the bull/bear tab has to be the same as the NPV tab</t>
        </r>
      </text>
    </comment>
    <comment ref="A110" authorId="0">
      <text>
        <r>
          <rPr>
            <b/>
            <sz val="9"/>
            <color indexed="81"/>
            <rFont val="Tahoma"/>
            <family val="2"/>
          </rPr>
          <t>Boutherin, Thibault (Research):</t>
        </r>
        <r>
          <rPr>
            <sz val="9"/>
            <color indexed="81"/>
            <rFont val="Tahoma"/>
            <family val="2"/>
          </rPr>
          <t xml:space="preserve">
P3 data and filing 2019e</t>
        </r>
      </text>
    </comment>
    <comment ref="U135" authorId="0">
      <text>
        <r>
          <rPr>
            <b/>
            <sz val="9"/>
            <color indexed="81"/>
            <rFont val="Tahoma"/>
            <family val="2"/>
          </rPr>
          <t>Boutherin, Thibault (Research):</t>
        </r>
        <r>
          <rPr>
            <sz val="9"/>
            <color indexed="81"/>
            <rFont val="Tahoma"/>
            <family val="2"/>
          </rPr>
          <t xml:space="preserve">
Base case+upside</t>
        </r>
      </text>
    </comment>
  </commentList>
</comments>
</file>

<file path=xl/sharedStrings.xml><?xml version="1.0" encoding="utf-8"?>
<sst xmlns="http://schemas.openxmlformats.org/spreadsheetml/2006/main" count="5095" uniqueCount="2488">
  <si>
    <t>1Q14</t>
  </si>
  <si>
    <t>2Q14</t>
  </si>
  <si>
    <t>3Q14</t>
  </si>
  <si>
    <t>4Q14</t>
  </si>
  <si>
    <t>1Q15</t>
  </si>
  <si>
    <t>2Q15</t>
  </si>
  <si>
    <t>3Q15</t>
  </si>
  <si>
    <t>4Q15</t>
  </si>
  <si>
    <t>1Q16</t>
  </si>
  <si>
    <t>2Q16</t>
  </si>
  <si>
    <t>3Q16</t>
  </si>
  <si>
    <t>4Q16</t>
  </si>
  <si>
    <t>USDm</t>
  </si>
  <si>
    <t>Total</t>
  </si>
  <si>
    <t>% chge</t>
  </si>
  <si>
    <t>% chge CER</t>
  </si>
  <si>
    <t>Pharmaceuticals</t>
  </si>
  <si>
    <t>Gleevec</t>
  </si>
  <si>
    <t>% total</t>
  </si>
  <si>
    <t>Tasigna</t>
  </si>
  <si>
    <t>Afinitor/Votubia</t>
  </si>
  <si>
    <t>Sandostatin</t>
  </si>
  <si>
    <t>Exjade</t>
  </si>
  <si>
    <t>Votrient</t>
  </si>
  <si>
    <t>Tafinlar/Mekinist</t>
  </si>
  <si>
    <t>Jakavi</t>
  </si>
  <si>
    <t>Revolade/Promacta</t>
  </si>
  <si>
    <t>Femara</t>
  </si>
  <si>
    <t>Zykadia</t>
  </si>
  <si>
    <t>Other</t>
  </si>
  <si>
    <t>Total Oncology</t>
  </si>
  <si>
    <t>Subtotal Bcr-Abl franchise</t>
  </si>
  <si>
    <t>Gilenya</t>
  </si>
  <si>
    <t>Exelon / Exelon patch</t>
  </si>
  <si>
    <t>Total Neuroscience</t>
  </si>
  <si>
    <t>Lucentis</t>
  </si>
  <si>
    <t>Total Retina</t>
  </si>
  <si>
    <t>Neoral / Sandimmune</t>
  </si>
  <si>
    <t>Myfortic</t>
  </si>
  <si>
    <t>Zortress / Certican</t>
  </si>
  <si>
    <t>Ilaris</t>
  </si>
  <si>
    <t>Cosentyx</t>
  </si>
  <si>
    <t>Total Immuno &amp; Dermatology</t>
  </si>
  <si>
    <t>Everolimus stent drug</t>
  </si>
  <si>
    <t>Ultibro Breezhaler</t>
  </si>
  <si>
    <t>Onbrez Breezhaler / Arcapta Neohaler</t>
  </si>
  <si>
    <t>Seebri Breezhaler</t>
  </si>
  <si>
    <t>Subtotal COPD portfolio</t>
  </si>
  <si>
    <t>Xolair</t>
  </si>
  <si>
    <t>Total Respiratory</t>
  </si>
  <si>
    <t>Galvus</t>
  </si>
  <si>
    <t>Entresto</t>
  </si>
  <si>
    <t>Total Cardio-Metabolic</t>
  </si>
  <si>
    <t>Diovan</t>
  </si>
  <si>
    <t>Exforge</t>
  </si>
  <si>
    <t>Voltaren</t>
  </si>
  <si>
    <t>Ritalin / Focalin</t>
  </si>
  <si>
    <t>Total Established medicines</t>
  </si>
  <si>
    <t>Subtotal I&amp;D excl. everolimus</t>
  </si>
  <si>
    <t>Alcon</t>
  </si>
  <si>
    <t>Cataract products</t>
  </si>
  <si>
    <t>Vitroretinal products</t>
  </si>
  <si>
    <t>Refractive/others</t>
  </si>
  <si>
    <t>Total Surgical</t>
  </si>
  <si>
    <t>Glaucoma</t>
  </si>
  <si>
    <t>Allergy/Otic/Nasal</t>
  </si>
  <si>
    <t>Infection/Inflammation</t>
  </si>
  <si>
    <t>Total Ophthalmic Pharmaceuticals</t>
  </si>
  <si>
    <t>Contact Lenses</t>
  </si>
  <si>
    <t>Contact Lenses Care</t>
  </si>
  <si>
    <t>Total Vision Care</t>
  </si>
  <si>
    <t>Sandoz</t>
  </si>
  <si>
    <t>US</t>
  </si>
  <si>
    <t>Rest of the World</t>
  </si>
  <si>
    <t>Europe</t>
  </si>
  <si>
    <t>Canada/LatAm</t>
  </si>
  <si>
    <t>Q113</t>
  </si>
  <si>
    <t>Q213</t>
  </si>
  <si>
    <t>Q313</t>
  </si>
  <si>
    <t>Q413</t>
  </si>
  <si>
    <t>Q114</t>
  </si>
  <si>
    <t>Q214</t>
  </si>
  <si>
    <t>Q314</t>
  </si>
  <si>
    <t>Q414</t>
  </si>
  <si>
    <t>Q115</t>
  </si>
  <si>
    <t>Q215</t>
  </si>
  <si>
    <t>Q315</t>
  </si>
  <si>
    <t>Sales (discontinued)</t>
  </si>
  <si>
    <t>Sales (total)</t>
  </si>
  <si>
    <t>Core Other revenues (continuing)</t>
  </si>
  <si>
    <t>Core Other revenues (discontinued)</t>
  </si>
  <si>
    <t>Core Other revenues (total)</t>
  </si>
  <si>
    <t>Core COGS (continuing)</t>
  </si>
  <si>
    <t>Core COGS (discontinued)</t>
  </si>
  <si>
    <t>Core COGS (total)</t>
  </si>
  <si>
    <t>% of Sales</t>
  </si>
  <si>
    <t>o/w amortization, impairments of PPT</t>
  </si>
  <si>
    <t>Core Gross Profit (continuing)</t>
  </si>
  <si>
    <t>Gross Margin (%)</t>
  </si>
  <si>
    <t>Core Gross profit (discontinued)</t>
  </si>
  <si>
    <t>Core Gross profit (total)</t>
  </si>
  <si>
    <t>Core Marketing &amp; Distribution (continuing)</t>
  </si>
  <si>
    <t>Growth</t>
  </si>
  <si>
    <t>Core M&amp;D (discontinued)</t>
  </si>
  <si>
    <t>Core M&amp;D (total)</t>
  </si>
  <si>
    <t>Core R&amp;D (continuing)</t>
  </si>
  <si>
    <t>Core R&amp;D (discontinued)</t>
  </si>
  <si>
    <t>Core R&amp;D (total)</t>
  </si>
  <si>
    <t>Core General &amp; Admin (continuing)</t>
  </si>
  <si>
    <t>Core General &amp; Admin (discontinued)</t>
  </si>
  <si>
    <t>Core General &amp; Admin (total)</t>
  </si>
  <si>
    <t>Core Other income and expense (cont)</t>
  </si>
  <si>
    <t>Core Other income and expense (discont)</t>
  </si>
  <si>
    <t>Core Other income and expense (total)</t>
  </si>
  <si>
    <t>Core Other income</t>
  </si>
  <si>
    <t>Exceptionals in other income</t>
  </si>
  <si>
    <t>Reported Other income</t>
  </si>
  <si>
    <t>Core Other expense</t>
  </si>
  <si>
    <t>Exceptionals in other expense</t>
  </si>
  <si>
    <t>Reported Other expense</t>
  </si>
  <si>
    <t>Core Operating Profit (continuing)</t>
  </si>
  <si>
    <t>Operating Margin %</t>
  </si>
  <si>
    <t xml:space="preserve">   growth %</t>
  </si>
  <si>
    <t xml:space="preserve">   CER growth % </t>
  </si>
  <si>
    <t>Core Operating Profit (discontinued)</t>
  </si>
  <si>
    <t>Core Operating Profit (total)</t>
  </si>
  <si>
    <t>Reported Other revenues (continuing)</t>
  </si>
  <si>
    <t>Reported Other revenues (discontinued)</t>
  </si>
  <si>
    <t>Reported Other revenues (total)</t>
  </si>
  <si>
    <t>Reported COGS (continuing)</t>
  </si>
  <si>
    <t>Reported COGS (discontinued)</t>
  </si>
  <si>
    <t>Reported COGS (total)</t>
  </si>
  <si>
    <t>Reported Gross Profit (continuing)</t>
  </si>
  <si>
    <t>Reported Gross profit (discontinued)</t>
  </si>
  <si>
    <t>Reported Gross profit (total)</t>
  </si>
  <si>
    <t>Reported  Marketing &amp; Distribution (cont)</t>
  </si>
  <si>
    <t>Reported M&amp;D (discontinued)</t>
  </si>
  <si>
    <t>Reported M&amp;D (total)</t>
  </si>
  <si>
    <t>Reported R&amp;D (continuing)</t>
  </si>
  <si>
    <t>Reported R&amp;D (discontinued)</t>
  </si>
  <si>
    <t>Reported R&amp;D (total)</t>
  </si>
  <si>
    <t>Reported General &amp; Admin (cont)</t>
  </si>
  <si>
    <t>Reported General &amp; Admin (discontinued)</t>
  </si>
  <si>
    <t>Reported General &amp; Admin (total)</t>
  </si>
  <si>
    <t>Reported Other income and expense (cont)</t>
  </si>
  <si>
    <t>Reported Other income and expense (discont)</t>
  </si>
  <si>
    <t>ReportedOther income and expense (total)</t>
  </si>
  <si>
    <t>operating margin</t>
  </si>
  <si>
    <t>Roche Net income (SFr)</t>
  </si>
  <si>
    <t>Roche Net income ($)</t>
  </si>
  <si>
    <t>Core Income from Associated Companies</t>
  </si>
  <si>
    <t>Exceptional items</t>
  </si>
  <si>
    <t>Income from Associated Companies (reported)</t>
  </si>
  <si>
    <t>Other Financial Income (Expense)</t>
  </si>
  <si>
    <t>Net interest Income (Expense)</t>
  </si>
  <si>
    <t>Currency Gains/(Losses)/Adjustments</t>
  </si>
  <si>
    <t>Core Net Financial Income</t>
  </si>
  <si>
    <t>Core Profit Before Taxes (continuing)</t>
  </si>
  <si>
    <t>Core Profit Before Taxes (cont+disc)</t>
  </si>
  <si>
    <t>Reported Profit Before Taxes (continuing)</t>
  </si>
  <si>
    <t>Reported Profit Before Taxes (cont+disc)</t>
  </si>
  <si>
    <t>Core Tax (continuing)</t>
  </si>
  <si>
    <t>Core Tax (cont+disc)</t>
  </si>
  <si>
    <t>Tax Rate (reported, cont + disc)</t>
  </si>
  <si>
    <t>Tax on exceptionals</t>
  </si>
  <si>
    <t>Reported Tax (continuing)</t>
  </si>
  <si>
    <t>Reported Tax (cont+disc)</t>
  </si>
  <si>
    <t>Core NI before minority interests (cont+disc)</t>
  </si>
  <si>
    <t>Minority interest to Alcon</t>
  </si>
  <si>
    <t>Minority Interests</t>
  </si>
  <si>
    <t>Core Net Income (continuing)</t>
  </si>
  <si>
    <t xml:space="preserve">   CER growth </t>
  </si>
  <si>
    <t>Core Net Income (cont+disc)</t>
  </si>
  <si>
    <t>Reported Net Income (continuing)</t>
  </si>
  <si>
    <t>Reported Net Income (cont+disc)</t>
  </si>
  <si>
    <t>Basic Shares Outstanding (average)</t>
  </si>
  <si>
    <t>Diluted Shares Outstanding (average)</t>
  </si>
  <si>
    <t>Core EPS (continuing)</t>
  </si>
  <si>
    <t>Reported EPS, basic (Continuing)</t>
  </si>
  <si>
    <t>Core EPS (cont+disc)</t>
  </si>
  <si>
    <t>Reported EPS basic (cont+disc)</t>
  </si>
  <si>
    <t>Reported EPS diluted (cont+disc)</t>
  </si>
  <si>
    <t>Adjustments</t>
  </si>
  <si>
    <t>Cost Savings (cont)</t>
  </si>
  <si>
    <t>Implied Operating Profit Pre Cost Savings</t>
  </si>
  <si>
    <t>Implied Operating Margin Pre Cost Savings</t>
  </si>
  <si>
    <t>Recurring amortisation (continuing)</t>
  </si>
  <si>
    <t>Recurring amortisation (discontinued)</t>
  </si>
  <si>
    <t>Recurring amortisation (total)</t>
  </si>
  <si>
    <t>Impairment of intangible assets (continuing)</t>
  </si>
  <si>
    <t>Impairment of intangible assets (discontinued)</t>
  </si>
  <si>
    <t>Impairment of intangible assets (total)</t>
  </si>
  <si>
    <t>Intangible asset charges (continuing)</t>
  </si>
  <si>
    <t>Intangible asset charges (discontinued)</t>
  </si>
  <si>
    <t>Intangible asset charges (total)</t>
  </si>
  <si>
    <t>Acquisition-related restructuring and integration items</t>
  </si>
  <si>
    <t>Other "exceptional items" (cont)</t>
  </si>
  <si>
    <t>Other "exceptional items" (discont)</t>
  </si>
  <si>
    <t>Other "exceptional items" (total)</t>
  </si>
  <si>
    <t>EBITA (continuing)</t>
  </si>
  <si>
    <t>EBITA pre "exceptionals" (continuing)</t>
  </si>
  <si>
    <t>core adjustment</t>
  </si>
  <si>
    <t>Basic shares opening</t>
  </si>
  <si>
    <t>Basic shares change</t>
  </si>
  <si>
    <t>Basic shares closing</t>
  </si>
  <si>
    <t>Dividends (Accrued, to be paid in cash in the year shown)</t>
  </si>
  <si>
    <t>DPS (announced in CHF)</t>
  </si>
  <si>
    <t>Year End Exch rate</t>
  </si>
  <si>
    <t>Dividend (Announced in USD)</t>
  </si>
  <si>
    <t>DPS ($)</t>
  </si>
  <si>
    <t>Payout Ratio</t>
  </si>
  <si>
    <t>EPS based on diluted shares</t>
  </si>
  <si>
    <t>Modelware EPS</t>
  </si>
  <si>
    <t>PHARMACEUTICAL DIVISION</t>
  </si>
  <si>
    <t>Internal sales</t>
  </si>
  <si>
    <t>Sales of division</t>
  </si>
  <si>
    <t>Core Other revenues</t>
  </si>
  <si>
    <t>Exceptionals in other revenues</t>
  </si>
  <si>
    <t>Reported Other revenues</t>
  </si>
  <si>
    <t>Core COGS</t>
  </si>
  <si>
    <t>Exceptionals in COGS</t>
  </si>
  <si>
    <t>Reported COGS</t>
  </si>
  <si>
    <t>Core Gross Profit</t>
  </si>
  <si>
    <t>Core Marketing &amp; Distribution</t>
  </si>
  <si>
    <t>Exceptionals in M&amp;D</t>
  </si>
  <si>
    <t>Reported Marketing &amp; Distribution</t>
  </si>
  <si>
    <t>Core R&amp;D</t>
  </si>
  <si>
    <t>Exceptionals in R&amp;D</t>
  </si>
  <si>
    <t>Reported R&amp;D</t>
  </si>
  <si>
    <t>Core General &amp; Admin</t>
  </si>
  <si>
    <t>Exceptionals in G&amp;A</t>
  </si>
  <si>
    <t>Reported General &amp; Admin</t>
  </si>
  <si>
    <t>Core Other income and expense</t>
  </si>
  <si>
    <t>Exceptionals in other income and expense</t>
  </si>
  <si>
    <t>Reported Other income and expense</t>
  </si>
  <si>
    <t>Core Operating Profit</t>
  </si>
  <si>
    <t xml:space="preserve">   bps change</t>
  </si>
  <si>
    <t>Cost Savings</t>
  </si>
  <si>
    <t>FORWARD</t>
  </si>
  <si>
    <t>US Salesforce (announced in Oct '08)</t>
  </si>
  <si>
    <t>Total Cost Saving</t>
  </si>
  <si>
    <t>Recurring amortisation</t>
  </si>
  <si>
    <t>Impairment of intangible assets</t>
  </si>
  <si>
    <t>Intangible asset charges</t>
  </si>
  <si>
    <t>Other "exceptional items"</t>
  </si>
  <si>
    <t>EBITA</t>
  </si>
  <si>
    <t>EBITA pre "exceptionals"</t>
  </si>
  <si>
    <t>EBITA margin (%)</t>
  </si>
  <si>
    <t>Reported Operating Profit (PHARMA)</t>
  </si>
  <si>
    <t>ALCON</t>
  </si>
  <si>
    <t>Other revenues</t>
  </si>
  <si>
    <t>w/o amortization, impairments of PPT</t>
  </si>
  <si>
    <t>gross Margin (%)</t>
  </si>
  <si>
    <t>Reported Operating Profit (ALCON)</t>
  </si>
  <si>
    <t>Operating margin</t>
  </si>
  <si>
    <t>SANDOZ</t>
  </si>
  <si>
    <t>Sales (SANDOZ)</t>
  </si>
  <si>
    <t>w/o other</t>
  </si>
  <si>
    <t>% of sales</t>
  </si>
  <si>
    <t>Reported Operating Profit (SANDOZ)</t>
  </si>
  <si>
    <t>CORPORATE</t>
  </si>
  <si>
    <t>Sales</t>
  </si>
  <si>
    <t>Eliminations (Continuing)</t>
  </si>
  <si>
    <t>Eliminations (Discontinued)</t>
  </si>
  <si>
    <t>Sales of division (continuing)</t>
  </si>
  <si>
    <t>Sales of division (discontinued)</t>
  </si>
  <si>
    <t>Sales of division (total)</t>
  </si>
  <si>
    <t>Other revenues (core)</t>
  </si>
  <si>
    <t>Exceptionals</t>
  </si>
  <si>
    <t>Other revenues (reported)</t>
  </si>
  <si>
    <t>COGS (continuing)</t>
  </si>
  <si>
    <t>COGS (discontinued)</t>
  </si>
  <si>
    <t>COGS of division (total)</t>
  </si>
  <si>
    <t>Core Gross Profit (total)</t>
  </si>
  <si>
    <t>Marketing &amp; Distribution</t>
  </si>
  <si>
    <t>General Overheads &amp; Administration (core)</t>
  </si>
  <si>
    <t>General Overheads &amp; Administration (reported)</t>
  </si>
  <si>
    <t>Other income and expense (core)</t>
  </si>
  <si>
    <t>Other income and expense (reported)</t>
  </si>
  <si>
    <t>Other income and expense (discontinued)- Core</t>
  </si>
  <si>
    <t>Other income and expense (discontinued)- Reported</t>
  </si>
  <si>
    <t>o/w stock options</t>
  </si>
  <si>
    <t>o/w other</t>
  </si>
  <si>
    <t>Reported Operating Profit (cont)</t>
  </si>
  <si>
    <t>Reported Operating Profit (discontinued)</t>
  </si>
  <si>
    <t>Reported Operating Profit (total)</t>
  </si>
  <si>
    <t>MW Adjustments</t>
  </si>
  <si>
    <t>Extraordinary items (pre tax)</t>
  </si>
  <si>
    <t>Tax on one time items</t>
  </si>
  <si>
    <t>ModelWare EPS</t>
  </si>
  <si>
    <t>GROUP</t>
  </si>
  <si>
    <t>1Q13</t>
  </si>
  <si>
    <t>2Q13</t>
  </si>
  <si>
    <t>3Q13</t>
  </si>
  <si>
    <t>4Q13</t>
  </si>
  <si>
    <t xml:space="preserve">  % chge</t>
  </si>
  <si>
    <t xml:space="preserve"> % chge</t>
  </si>
  <si>
    <t>YoY % chge</t>
  </si>
  <si>
    <t>Extavia</t>
  </si>
  <si>
    <t>Dry eye Tears</t>
  </si>
  <si>
    <t>Old Segments</t>
  </si>
  <si>
    <t>Vaccines</t>
  </si>
  <si>
    <t>Consumer Health</t>
  </si>
  <si>
    <t>Asia/Africa/Australasia</t>
  </si>
  <si>
    <t>TOBI</t>
  </si>
  <si>
    <t>Tegretol</t>
  </si>
  <si>
    <t>Trileptal</t>
  </si>
  <si>
    <t>Foradil</t>
  </si>
  <si>
    <t>Other Strategic Franchise Products</t>
  </si>
  <si>
    <t>Other Estabilished - Primary Care</t>
  </si>
  <si>
    <t>Tekturna/Rasilez</t>
  </si>
  <si>
    <t>Estabilished Medicenes - Immunology and Dermatology</t>
  </si>
  <si>
    <t>Balance sheet</t>
  </si>
  <si>
    <t>Tangible Fixed Assets</t>
  </si>
  <si>
    <t>Goodwill</t>
  </si>
  <si>
    <t>Other Intangible Fixed Assets</t>
  </si>
  <si>
    <t>Invest. In associated companies</t>
  </si>
  <si>
    <t>Deferred Taxes</t>
  </si>
  <si>
    <t>Other Investments and Long Term Loans</t>
  </si>
  <si>
    <t>Prepaid Pension</t>
  </si>
  <si>
    <t>Fixed assets</t>
  </si>
  <si>
    <t>Inventories</t>
  </si>
  <si>
    <t>Trade Accounts Receivable</t>
  </si>
  <si>
    <t>Other current assets</t>
  </si>
  <si>
    <t>Marketable Securities</t>
  </si>
  <si>
    <t>Cash and cash equivalents</t>
  </si>
  <si>
    <t>Current Assets</t>
  </si>
  <si>
    <t>Assets (Discontinued Ops)</t>
  </si>
  <si>
    <t>Total Assets</t>
  </si>
  <si>
    <t>Trade Accounts Payable</t>
  </si>
  <si>
    <t>Financial debts</t>
  </si>
  <si>
    <t>Other short term liabilities</t>
  </si>
  <si>
    <t>Current Liabilities</t>
  </si>
  <si>
    <t>Long-term debt</t>
  </si>
  <si>
    <t>Deferred taxes</t>
  </si>
  <si>
    <t>Provisions and other long term liabilities</t>
  </si>
  <si>
    <t>Long-term liabilitites</t>
  </si>
  <si>
    <t>Liabilities (Disc Ops)</t>
  </si>
  <si>
    <t>Total Liabilities</t>
  </si>
  <si>
    <t>Share Capital</t>
  </si>
  <si>
    <t>Treasury Shares</t>
  </si>
  <si>
    <t>Reserves</t>
  </si>
  <si>
    <t>Shareholders Equity</t>
  </si>
  <si>
    <t>Minority interests</t>
  </si>
  <si>
    <t>Liabilities + Shareholders Equity</t>
  </si>
  <si>
    <t>Check</t>
  </si>
  <si>
    <t>Cash Flow Statement</t>
  </si>
  <si>
    <t>Net Income</t>
  </si>
  <si>
    <t>Taxes</t>
  </si>
  <si>
    <t>Depreciation</t>
  </si>
  <si>
    <t>Amortisation of Other Intangibles</t>
  </si>
  <si>
    <t>Impairment of financial assets</t>
  </si>
  <si>
    <t>Income from associated companies</t>
  </si>
  <si>
    <t>Gains on disposal of tangible/intangible assets</t>
  </si>
  <si>
    <t>Option expense</t>
  </si>
  <si>
    <t>Change in Provisions</t>
  </si>
  <si>
    <t>Net Financial Income</t>
  </si>
  <si>
    <t>Dividends received</t>
  </si>
  <si>
    <t>Interest and other financial receipts</t>
  </si>
  <si>
    <t>Interest and other financial payments</t>
  </si>
  <si>
    <t>Cash receipts from Consumer JV</t>
  </si>
  <si>
    <t>Cash receipts from other associates</t>
  </si>
  <si>
    <t>Receipts from associated companies</t>
  </si>
  <si>
    <t>Taxes paid</t>
  </si>
  <si>
    <t>Cash flow before working capital changes</t>
  </si>
  <si>
    <t>Restructuring payments and charges:</t>
  </si>
  <si>
    <t xml:space="preserve"> - Change in inventories</t>
  </si>
  <si>
    <t xml:space="preserve"> - Change in trade accounts receivable and other net current assets</t>
  </si>
  <si>
    <t xml:space="preserve"> - Change in trade accounts payable</t>
  </si>
  <si>
    <t>Cash flow from operating activities</t>
  </si>
  <si>
    <t>Investing Activities</t>
  </si>
  <si>
    <t>Investment in tangible fixed assets (CAPEX)</t>
  </si>
  <si>
    <t>Proceeds from disposal of tangible fixed assets</t>
  </si>
  <si>
    <t>Purchase of intangible assets</t>
  </si>
  <si>
    <t>Purchase of financial assets</t>
  </si>
  <si>
    <t xml:space="preserve"> Purchase of non-current non-financial assets</t>
  </si>
  <si>
    <t>Proceeds from disposal of intangible and financial assets</t>
  </si>
  <si>
    <t>Acquisition of additional interests in associated companies</t>
  </si>
  <si>
    <t>Acquisition/divestment of subsidiaries</t>
  </si>
  <si>
    <t>Proceeds from disposal of marketable securities</t>
  </si>
  <si>
    <t>Payments for acquiring marketable securities</t>
  </si>
  <si>
    <t>Cash flow from investing activities</t>
  </si>
  <si>
    <t>Financing Activities</t>
  </si>
  <si>
    <t>Acquisition of Treasury Shares</t>
  </si>
  <si>
    <t xml:space="preserve">Proceeds from Share Issuance </t>
  </si>
  <si>
    <t>Proceeds from issuance of share capital to third parties by subsidiaries</t>
  </si>
  <si>
    <t>Increase in long-term financial debts</t>
  </si>
  <si>
    <t>Repayment of long-term financial debts</t>
  </si>
  <si>
    <t>Change in short-term financial debts</t>
  </si>
  <si>
    <t>Dividends paid</t>
  </si>
  <si>
    <t>Dividends Paid to Minority Interests</t>
  </si>
  <si>
    <t>Cash Flow from Financing Activities</t>
  </si>
  <si>
    <t>Cash Flow from Discontinued Operations</t>
  </si>
  <si>
    <t>Net effect of Currency on Liquidity</t>
  </si>
  <si>
    <t>Net Change in cash and cash equivalents</t>
  </si>
  <si>
    <t>Cash and cash equivalents at the beginning of the year</t>
  </si>
  <si>
    <t>Cash and cash equivalents at the end of the year</t>
  </si>
  <si>
    <t>Bear</t>
  </si>
  <si>
    <t>Base</t>
  </si>
  <si>
    <t>Bull</t>
  </si>
  <si>
    <t>USD</t>
  </si>
  <si>
    <t>bear</t>
  </si>
  <si>
    <t>base</t>
  </si>
  <si>
    <t xml:space="preserve">bull </t>
  </si>
  <si>
    <t>Not approved</t>
  </si>
  <si>
    <t>ALL, DLBCL</t>
  </si>
  <si>
    <t>Comments</t>
  </si>
  <si>
    <t>Sales revision risk</t>
  </si>
  <si>
    <t>HFpEF fails, lower penetration</t>
  </si>
  <si>
    <t>Competition from other JAK1/2 inhibitors</t>
  </si>
  <si>
    <t>Myelofibrosis</t>
  </si>
  <si>
    <t>Arthritis and psoriasis</t>
  </si>
  <si>
    <t>Non-radiographic axial spondyloarthritis</t>
  </si>
  <si>
    <t>Zykadia (ceritinib)</t>
  </si>
  <si>
    <t>More competition in breast cancer, line extensions fail</t>
  </si>
  <si>
    <t>Approval in TSC, DLBCL</t>
  </si>
  <si>
    <t>Afinitor</t>
  </si>
  <si>
    <t>Multiple sclerosis</t>
  </si>
  <si>
    <t>Pricing power impacted by Gleevec generics</t>
  </si>
  <si>
    <t>More competition from Eylea and off label Avastin</t>
  </si>
  <si>
    <t>Stronger penetration, support from Fovista combo</t>
  </si>
  <si>
    <t>Stronger generics erosion</t>
  </si>
  <si>
    <t>Established Medicines</t>
  </si>
  <si>
    <t>Summary P&amp;L</t>
  </si>
  <si>
    <t>Corporate</t>
  </si>
  <si>
    <t>Group</t>
  </si>
  <si>
    <t xml:space="preserve"> </t>
  </si>
  <si>
    <t>Dividends paid (incl. those to minorities)</t>
  </si>
  <si>
    <t>Proceeds from disposal of tangible/intangible/financial assets</t>
  </si>
  <si>
    <t>Purchase of financial/non-financial assets</t>
  </si>
  <si>
    <t>Increase in working capital</t>
  </si>
  <si>
    <t>Net Interest, dividends and other financial receipts</t>
  </si>
  <si>
    <t>Depreciation &amp; Amortisation</t>
  </si>
  <si>
    <t>FY14</t>
  </si>
  <si>
    <t>Summary Cash Flow Statement</t>
  </si>
  <si>
    <t>Shareholders' funds &amp; minorities</t>
  </si>
  <si>
    <t>Shareholders' funds</t>
  </si>
  <si>
    <t>Net Assets</t>
  </si>
  <si>
    <t>Marketable securities</t>
  </si>
  <si>
    <t>Trade accounts receivable</t>
  </si>
  <si>
    <t>Noncurrent Assets</t>
  </si>
  <si>
    <t xml:space="preserve">Other Investments </t>
  </si>
  <si>
    <t>Other Intangibles</t>
  </si>
  <si>
    <t>Summary Balance Sheet</t>
  </si>
  <si>
    <t>DPS (announced, SFr)</t>
  </si>
  <si>
    <t>EPS (Core, continuing)</t>
  </si>
  <si>
    <t>EPS (Reported, continuing)</t>
  </si>
  <si>
    <t>Diluted Shares Outstanding</t>
  </si>
  <si>
    <t>Shares Outstanding</t>
  </si>
  <si>
    <t>Net Income - reported (continuing)</t>
  </si>
  <si>
    <t>Net Income - core (continuing)</t>
  </si>
  <si>
    <t>Core Net income before minority interests</t>
  </si>
  <si>
    <t>Tax rate (%)</t>
  </si>
  <si>
    <t xml:space="preserve">Core Tax  </t>
  </si>
  <si>
    <t>Core Profit before tax (continuing)</t>
  </si>
  <si>
    <t xml:space="preserve">   margin %</t>
  </si>
  <si>
    <t>Reported Operating Profit (continuing)</t>
  </si>
  <si>
    <t>Core operating profit (continuing)</t>
  </si>
  <si>
    <t>Core Other income and expense (continuing)</t>
  </si>
  <si>
    <t>Core General &amp; Administrative (continuing)</t>
  </si>
  <si>
    <t>Core Marketing, &amp; Distribution (continuing)</t>
  </si>
  <si>
    <t>Gross Profit</t>
  </si>
  <si>
    <t>Other Revenues</t>
  </si>
  <si>
    <t>Revenues</t>
  </si>
  <si>
    <t>Sales (ALCON)</t>
  </si>
  <si>
    <t>Sales (PHARMA)</t>
  </si>
  <si>
    <t>Group operating profit (continuing)</t>
  </si>
  <si>
    <t>Sales (continuing)</t>
  </si>
  <si>
    <t xml:space="preserve">GROUP </t>
  </si>
  <si>
    <t>Pipeline products</t>
  </si>
  <si>
    <t>Other pharmaceuticals</t>
  </si>
  <si>
    <t>Total IHC sales</t>
  </si>
  <si>
    <t>Cardiometabolic</t>
  </si>
  <si>
    <t>Oncology</t>
  </si>
  <si>
    <t xml:space="preserve">Jakavi </t>
  </si>
  <si>
    <t>Gleevec / Glivec</t>
  </si>
  <si>
    <t>Respiratory &amp; Established products</t>
  </si>
  <si>
    <t>Other Estabilished</t>
  </si>
  <si>
    <t>Others</t>
  </si>
  <si>
    <t>Ultibro breezhaler</t>
  </si>
  <si>
    <t>Seebri Breezhaler (NVA237)</t>
  </si>
  <si>
    <t>Onbrez Breezhaler</t>
  </si>
  <si>
    <t>Key Products ($m)</t>
  </si>
  <si>
    <t>Share %</t>
  </si>
  <si>
    <t>FY24E</t>
  </si>
  <si>
    <t>Divisional Revenues ($m)</t>
  </si>
  <si>
    <t>Tafinlar/ Mekinist</t>
  </si>
  <si>
    <t>Novartis</t>
  </si>
  <si>
    <t>MS</t>
  </si>
  <si>
    <t>Consensus</t>
  </si>
  <si>
    <t>Net sales growth (cc)</t>
  </si>
  <si>
    <t>mid single digit</t>
  </si>
  <si>
    <t>high single digit</t>
  </si>
  <si>
    <t>Core operating income growth (cc)</t>
  </si>
  <si>
    <t>% currency impact</t>
  </si>
  <si>
    <t>Morgan Stanley Equity Research - Pharmaceuticals</t>
  </si>
  <si>
    <t>Vincent Meunier  +44 20 7425 8273</t>
  </si>
  <si>
    <t>vincent.meunier@morganstanley.com</t>
  </si>
  <si>
    <t>Notes:</t>
  </si>
  <si>
    <t>E= Morgan Stanley Research Estimates</t>
  </si>
  <si>
    <t>Source: Morgan Stanley Research</t>
  </si>
  <si>
    <t>% exposure</t>
  </si>
  <si>
    <t>% currency impact calculated</t>
  </si>
  <si>
    <t>USD (mn)</t>
  </si>
  <si>
    <t>Operating Income</t>
  </si>
  <si>
    <t>EPS (core, USD)</t>
  </si>
  <si>
    <t>Glivec</t>
  </si>
  <si>
    <t>Tafinlar+Mekinist</t>
  </si>
  <si>
    <t>Seebri</t>
  </si>
  <si>
    <t>Ultibro</t>
  </si>
  <si>
    <t>Core income from associated companies</t>
  </si>
  <si>
    <t>Net financial income</t>
  </si>
  <si>
    <t>Core taxes</t>
  </si>
  <si>
    <t>avg. # shares (basic)</t>
  </si>
  <si>
    <t>FY15</t>
  </si>
  <si>
    <t>FY16</t>
  </si>
  <si>
    <t>Morgan Stanley</t>
  </si>
  <si>
    <t>MS vs. Consensus</t>
  </si>
  <si>
    <t>Year</t>
  </si>
  <si>
    <t>Comtan/Stalevo</t>
  </si>
  <si>
    <t>USDbn</t>
  </si>
  <si>
    <t>CAGR</t>
  </si>
  <si>
    <t>Leukemia</t>
  </si>
  <si>
    <t>Major contributors - portfolio</t>
  </si>
  <si>
    <t>Major contributors - pipeline</t>
  </si>
  <si>
    <t>Eye care</t>
  </si>
  <si>
    <t>Generics</t>
  </si>
  <si>
    <t>Renal cancer</t>
  </si>
  <si>
    <t>Renal, breast cancer</t>
  </si>
  <si>
    <t>Promacta</t>
  </si>
  <si>
    <t>Softer generics erosion</t>
  </si>
  <si>
    <t>Stronger penetration (suboptimal responders, path to cure), delayed generics</t>
  </si>
  <si>
    <t>US generics Feb 2016</t>
  </si>
  <si>
    <t>US generics 2019, EU generics 2021</t>
  </si>
  <si>
    <t>US generics 2026, EU generics 2022</t>
  </si>
  <si>
    <t>US generics 2019, EU generics 2019</t>
  </si>
  <si>
    <t>US generics July 2023</t>
  </si>
  <si>
    <t>Japan generics 2020, EU generics 2022</t>
  </si>
  <si>
    <t>EU generics 2018-20, US generics Sept 2019</t>
  </si>
  <si>
    <t>EU generics 2022</t>
  </si>
  <si>
    <t>Higher penetration</t>
  </si>
  <si>
    <t>Diabetes</t>
  </si>
  <si>
    <t>Chronic Heart failure</t>
  </si>
  <si>
    <t>Higher impact from SGLT2</t>
  </si>
  <si>
    <t>US launch 2016 (COPD)</t>
  </si>
  <si>
    <t>Lower penetration</t>
  </si>
  <si>
    <t>Stronger US launch (impact from FLAME)</t>
  </si>
  <si>
    <t>COPD</t>
  </si>
  <si>
    <t>Faster ramp up + HFpEF as from 2020</t>
  </si>
  <si>
    <t>More competition</t>
  </si>
  <si>
    <t>Myelofibrosis and PV</t>
  </si>
  <si>
    <t>Faster ramp</t>
  </si>
  <si>
    <t>US generics 2022</t>
  </si>
  <si>
    <t>Adjuvant RCC as from 2018</t>
  </si>
  <si>
    <t>Melanoma</t>
  </si>
  <si>
    <t>Melanoma, Lung 2017, adjuvant melanoma 2018, colorectal 2020</t>
  </si>
  <si>
    <t>ER+/HER2- mBC</t>
  </si>
  <si>
    <t>post menopausal mBC</t>
  </si>
  <si>
    <t>pre and post menopausal mBC</t>
  </si>
  <si>
    <t>Reported operating profit (discontinued)</t>
  </si>
  <si>
    <t>Reported operating profit (total)</t>
  </si>
  <si>
    <t>Prior year adjustment</t>
  </si>
  <si>
    <t>Amt of Intang. Assets recognized by Novartis</t>
  </si>
  <si>
    <t>Net income effect from Roche</t>
  </si>
  <si>
    <t>Income from other assoc. companies related to cont. operations</t>
  </si>
  <si>
    <t>Share of estimated Roche reported net income</t>
  </si>
  <si>
    <t>Share of estimated GSK CHC reported results</t>
  </si>
  <si>
    <t>Share of estimated Roche core adjustments</t>
  </si>
  <si>
    <t>Gain on divestment of Idenix shares</t>
  </si>
  <si>
    <t>Total income from associated companies</t>
  </si>
  <si>
    <t>Share of estimated GSK CHC core adjustments</t>
  </si>
  <si>
    <t>Income from other assoc. companies related to disc. operations</t>
  </si>
  <si>
    <t>% of Roche net income</t>
  </si>
  <si>
    <t>CHF-USD</t>
  </si>
  <si>
    <t>Core Operating income (continuing)</t>
  </si>
  <si>
    <t>Reported Operating income (continuing)</t>
  </si>
  <si>
    <t>Net income from discontinued operations</t>
  </si>
  <si>
    <t>Core Tax Rate (continuing)</t>
  </si>
  <si>
    <t>$m</t>
  </si>
  <si>
    <t>% growth</t>
  </si>
  <si>
    <t>EBIT margin</t>
  </si>
  <si>
    <t>Tax rate</t>
  </si>
  <si>
    <t>Tax</t>
  </si>
  <si>
    <t>NOPAT</t>
  </si>
  <si>
    <t>GBP/USD</t>
  </si>
  <si>
    <t>Dividend info</t>
  </si>
  <si>
    <t>% change</t>
  </si>
  <si>
    <t>% CER change</t>
  </si>
  <si>
    <t>bps change</t>
  </si>
  <si>
    <t>Core operating income</t>
  </si>
  <si>
    <t>Core operating margin %</t>
  </si>
  <si>
    <t>Core Gross Margin %</t>
  </si>
  <si>
    <t>reported net Financial Income</t>
  </si>
  <si>
    <t>Core Net income before min. interests (cont)</t>
  </si>
  <si>
    <t>Core Income from associates (continuing)</t>
  </si>
  <si>
    <t>Income from associates (continuing)</t>
  </si>
  <si>
    <t>Net debt (cash)</t>
  </si>
  <si>
    <t>% interest</t>
  </si>
  <si>
    <t>Opening Share Count</t>
  </si>
  <si>
    <t>Issued shares for stock comp (mn)</t>
  </si>
  <si>
    <t>Options exercised (mn)</t>
  </si>
  <si>
    <t>Repurchased shares (mn)</t>
  </si>
  <si>
    <t>Closing Share Count</t>
  </si>
  <si>
    <t>Repurchased shares held in treasury</t>
  </si>
  <si>
    <t>Dilutive options and restrictive shares</t>
  </si>
  <si>
    <t>Diluted Average Share Count</t>
  </si>
  <si>
    <t>Period End Share Count</t>
  </si>
  <si>
    <t>FCF</t>
  </si>
  <si>
    <t>Cash used in Share repurchase</t>
  </si>
  <si>
    <t>% of FCF used for repurchase</t>
  </si>
  <si>
    <t>Average Stock Repurchase Price ($)</t>
  </si>
  <si>
    <t>Theoretical Cost of equity (%)</t>
  </si>
  <si>
    <t>No. Shares Repurchase</t>
  </si>
  <si>
    <t>Capex</t>
  </si>
  <si>
    <t>Investment in tangible fixed assets</t>
  </si>
  <si>
    <t>Change in debt</t>
  </si>
  <si>
    <t>Basic Average share count</t>
  </si>
  <si>
    <t>Average useful life</t>
  </si>
  <si>
    <t>YoY growth (%)</t>
  </si>
  <si>
    <t>growth (%)</t>
  </si>
  <si>
    <t>Core operating Income</t>
  </si>
  <si>
    <t>Currency impact - sales FY15</t>
  </si>
  <si>
    <t>Currency impact - core EBIT FY15</t>
  </si>
  <si>
    <t>Currency impact - sales 4Q15</t>
  </si>
  <si>
    <t>Currency impact - core EBIT 4Q15</t>
  </si>
  <si>
    <t>Group Sales growth (cc)</t>
  </si>
  <si>
    <t>Group Core operating income growth (cc)</t>
  </si>
  <si>
    <t>% sales</t>
  </si>
  <si>
    <t>Total current and Long-term Liabilities</t>
  </si>
  <si>
    <t>Net debt</t>
  </si>
  <si>
    <t>Entreprise value</t>
  </si>
  <si>
    <t>Gross debt</t>
  </si>
  <si>
    <t>Net debt / Equity</t>
  </si>
  <si>
    <t>Net debt /EBITDA</t>
  </si>
  <si>
    <t>EBITDA</t>
  </si>
  <si>
    <t>tax rate</t>
  </si>
  <si>
    <t>Shares</t>
  </si>
  <si>
    <t>Market capitalisation</t>
  </si>
  <si>
    <t>Adjusted net debt (cash)</t>
  </si>
  <si>
    <t>Other liabilities and commitments</t>
  </si>
  <si>
    <t>Revalued minority interests</t>
  </si>
  <si>
    <t>Entreprise value (EV)</t>
  </si>
  <si>
    <t>Method</t>
  </si>
  <si>
    <t>Sum-of-the-parts</t>
  </si>
  <si>
    <t>DCF</t>
  </si>
  <si>
    <t>Target price</t>
  </si>
  <si>
    <t>WACC</t>
  </si>
  <si>
    <t>Roche shares</t>
  </si>
  <si>
    <t>% capital owned</t>
  </si>
  <si>
    <t>Roche share price CHF</t>
  </si>
  <si>
    <t>Roche share price USD</t>
  </si>
  <si>
    <t>Roche stake USD</t>
  </si>
  <si>
    <t>Working capital</t>
  </si>
  <si>
    <t>Change in working capital</t>
  </si>
  <si>
    <t>% of gross debt</t>
  </si>
  <si>
    <t>ADR ratio</t>
  </si>
  <si>
    <t>Fed from Yrly P&amp;L</t>
  </si>
  <si>
    <t>Linked to BS</t>
  </si>
  <si>
    <t>Linked to BS / Assume 2002 payout</t>
  </si>
  <si>
    <t>Zero</t>
  </si>
  <si>
    <t>Linked to P&amp;L</t>
  </si>
  <si>
    <t>Unrecorded Goodwill</t>
  </si>
  <si>
    <t>Statutory tax rate</t>
  </si>
  <si>
    <t>Operating Revenue</t>
  </si>
  <si>
    <t>Operating expense</t>
  </si>
  <si>
    <t>PTOP</t>
  </si>
  <si>
    <t>Net Financing income</t>
  </si>
  <si>
    <t>MW Net income</t>
  </si>
  <si>
    <t>Currency</t>
  </si>
  <si>
    <t>Current Stock Price</t>
  </si>
  <si>
    <t>Count</t>
  </si>
  <si>
    <t>CAD</t>
  </si>
  <si>
    <t>CHF</t>
  </si>
  <si>
    <t>CNY</t>
  </si>
  <si>
    <t>EUR</t>
  </si>
  <si>
    <t>GBP</t>
  </si>
  <si>
    <t>JPY</t>
  </si>
  <si>
    <t>NOVN.VX,mscalc:targetPrice,,,,USD</t>
  </si>
  <si>
    <t>NOVN.VX,mscalc:closePriceCurrencyCalc</t>
  </si>
  <si>
    <t>NOVN.VX,mscalc:sedolCodeCalc</t>
  </si>
  <si>
    <t>99.4486018117374</t>
  </si>
  <si>
    <t>7103065</t>
  </si>
  <si>
    <t>NOVN.VX,mscalc:targetPrice,,,,CHF</t>
  </si>
  <si>
    <t>Underlying Tax rate</t>
  </si>
  <si>
    <t>Discount factor</t>
  </si>
  <si>
    <t>= Discounted free cash flow</t>
  </si>
  <si>
    <t>Operating FCF - Sum of PV</t>
  </si>
  <si>
    <t>Terminal value - PV</t>
  </si>
  <si>
    <t>Enterprise Value</t>
  </si>
  <si>
    <t>Provisions, liabilities</t>
  </si>
  <si>
    <t>Net Debt (cash)</t>
  </si>
  <si>
    <t>Minorities, revalued investments</t>
  </si>
  <si>
    <t>Shares outstanding</t>
  </si>
  <si>
    <t>Cost of Debt</t>
  </si>
  <si>
    <t>Cost of Equity</t>
  </si>
  <si>
    <t>Risk Free Rate (10 Year Bond) MS Estimates</t>
  </si>
  <si>
    <t>Market Risk Premium</t>
  </si>
  <si>
    <t>Current Share price (CHF)</t>
  </si>
  <si>
    <t>Implied Upside/Downside</t>
  </si>
  <si>
    <t>Total Current Market Cap</t>
  </si>
  <si>
    <t>Peer Multiple</t>
  </si>
  <si>
    <t>Implied EV</t>
  </si>
  <si>
    <t>Multiple</t>
  </si>
  <si>
    <t>Group EV</t>
  </si>
  <si>
    <t>Net debt/(cash)</t>
  </si>
  <si>
    <t>Group market cap</t>
  </si>
  <si>
    <t>NPV by product</t>
  </si>
  <si>
    <t>$/sh</t>
  </si>
  <si>
    <t>CHF/sh</t>
  </si>
  <si>
    <t>Peak sales</t>
  </si>
  <si>
    <t>Peak year</t>
  </si>
  <si>
    <t>Launch</t>
  </si>
  <si>
    <t>Launch yr</t>
  </si>
  <si>
    <t>p/sH</t>
  </si>
  <si>
    <t>Line X</t>
  </si>
  <si>
    <t>Line Y</t>
  </si>
  <si>
    <t>Ends</t>
  </si>
  <si>
    <t>NegBlank</t>
  </si>
  <si>
    <t>NegLoss</t>
  </si>
  <si>
    <t>NegGain</t>
  </si>
  <si>
    <t>PosBlank</t>
  </si>
  <si>
    <t>PosLoss</t>
  </si>
  <si>
    <t>PosGain</t>
  </si>
  <si>
    <t>Label Y</t>
  </si>
  <si>
    <t>Y Label</t>
  </si>
  <si>
    <t>Overhead</t>
  </si>
  <si>
    <t>Cash / (debt)</t>
  </si>
  <si>
    <t>Base case equity value</t>
  </si>
  <si>
    <t>Difference</t>
  </si>
  <si>
    <t>Sales ($m)</t>
  </si>
  <si>
    <t>EBIT ($m)</t>
  </si>
  <si>
    <t>tax ($m)</t>
  </si>
  <si>
    <t>Profit after tax ($m)</t>
  </si>
  <si>
    <t>PV of FCF</t>
  </si>
  <si>
    <t>Sum of PV of FCF</t>
  </si>
  <si>
    <t>Terminal Value</t>
  </si>
  <si>
    <t>NPV ($/share)</t>
  </si>
  <si>
    <t>NPV (CHF/share)</t>
  </si>
  <si>
    <t>Erosion</t>
  </si>
  <si>
    <t>Launch sales</t>
  </si>
  <si>
    <t>Launch year</t>
  </si>
  <si>
    <t>Post erosion margin</t>
  </si>
  <si>
    <t>Peak sales margin</t>
  </si>
  <si>
    <t>Yrs launch to peak</t>
  </si>
  <si>
    <t>Small molecule</t>
  </si>
  <si>
    <t>Other oncology</t>
  </si>
  <si>
    <t>Other oncology drugs</t>
  </si>
  <si>
    <t>Exelon</t>
  </si>
  <si>
    <t>Other neuroscience drugs</t>
  </si>
  <si>
    <t>Neoral / Sandimmun</t>
  </si>
  <si>
    <t>Zortess / Certican</t>
  </si>
  <si>
    <t>Illaris</t>
  </si>
  <si>
    <t>Other IHC drugs</t>
  </si>
  <si>
    <t>Seebri breezhaler</t>
  </si>
  <si>
    <t>Onbrez breezhaler</t>
  </si>
  <si>
    <t>Other respiratory</t>
  </si>
  <si>
    <t>Respiratory drugs</t>
  </si>
  <si>
    <t>Ritalin</t>
  </si>
  <si>
    <t>Other established products</t>
  </si>
  <si>
    <t>Established drugs</t>
  </si>
  <si>
    <t>Medium</t>
  </si>
  <si>
    <t>AMG 334</t>
  </si>
  <si>
    <t>Cushing's disease</t>
  </si>
  <si>
    <t>RRMS</t>
  </si>
  <si>
    <t>Asthma</t>
  </si>
  <si>
    <t>BAF312</t>
  </si>
  <si>
    <t>N/A</t>
  </si>
  <si>
    <t>Breast cancer</t>
  </si>
  <si>
    <t>2015</t>
  </si>
  <si>
    <t>Novartis Bloomberg Market Beta</t>
  </si>
  <si>
    <t>Adjusted EBITA</t>
  </si>
  <si>
    <t>WCR on sales</t>
  </si>
  <si>
    <t>CAPEX on sales</t>
  </si>
  <si>
    <t>2022-26 EBIT margin</t>
  </si>
  <si>
    <t>LT growth</t>
  </si>
  <si>
    <t xml:space="preserve">Changes in working capital </t>
  </si>
  <si>
    <t>Capital expenditures</t>
  </si>
  <si>
    <t>Operating free cash flow</t>
  </si>
  <si>
    <t>Weighted Average Cost of Capital</t>
  </si>
  <si>
    <t>Roche stake</t>
  </si>
  <si>
    <t>CHF/USD</t>
  </si>
  <si>
    <t>Equity value per share - CHF</t>
  </si>
  <si>
    <t>Equity value per share - USD</t>
  </si>
  <si>
    <t>After tax Cost of Debt</t>
  </si>
  <si>
    <t>Debt (Book Value) Weight 2015</t>
  </si>
  <si>
    <t>Equity (Market Value) Weight 2015</t>
  </si>
  <si>
    <t>Debt to Equity Ratio 2015</t>
  </si>
  <si>
    <t>Share price $</t>
  </si>
  <si>
    <t>Share price CHF</t>
  </si>
  <si>
    <t>Average share price CHF</t>
  </si>
  <si>
    <t>Cooper</t>
  </si>
  <si>
    <t>Teva</t>
  </si>
  <si>
    <t>Mylan</t>
  </si>
  <si>
    <t>Perrigo</t>
  </si>
  <si>
    <t>U:COO</t>
  </si>
  <si>
    <t>EU Pharma sector</t>
  </si>
  <si>
    <t>Units weighted avge</t>
  </si>
  <si>
    <t>2026-29 sales growth</t>
  </si>
  <si>
    <t>Core Op Income</t>
  </si>
  <si>
    <t>Psoriasis and PA/AS</t>
  </si>
  <si>
    <t xml:space="preserve">Novartis guidance  </t>
  </si>
  <si>
    <t>broadly in line</t>
  </si>
  <si>
    <t>Q415</t>
  </si>
  <si>
    <t>Cash flows used in operating activities from discontinued operations</t>
  </si>
  <si>
    <t>Cash flows from investing activities from discontinued operations</t>
  </si>
  <si>
    <t>Investment in associates</t>
  </si>
  <si>
    <t>Cash flow from investing, disc activities</t>
  </si>
  <si>
    <t>Novartis Financial Model</t>
  </si>
  <si>
    <t>91</t>
  </si>
  <si>
    <t>Core EPS- OLD</t>
  </si>
  <si>
    <t>HFrEF; assumes 15% patient penetration</t>
  </si>
  <si>
    <t>NOVN.S</t>
  </si>
  <si>
    <t>NOVN.S,mscalc:closePriceCurrencyCalc</t>
  </si>
  <si>
    <t>NOVN.S,mscalc:targetPrice,,,,USD</t>
  </si>
  <si>
    <t>NOVN.S,mscalc:sedolCodeCalc</t>
  </si>
  <si>
    <t>NOVN.S,mscalc:targetPrice,,,,CHF</t>
  </si>
  <si>
    <t>NVS.N,mscalc:targetPrice,,,,USD</t>
  </si>
  <si>
    <t>NVS.N,mscalc:sedolCodeCalc</t>
  </si>
  <si>
    <t>NVS.N,mscalc:closePriceCurrencyCalc</t>
  </si>
  <si>
    <t>NA</t>
  </si>
  <si>
    <t>2620105</t>
  </si>
  <si>
    <t>Travoprost Group</t>
  </si>
  <si>
    <t>Topical Olopatadine Group</t>
  </si>
  <si>
    <t>Systane</t>
  </si>
  <si>
    <t>Total Ophthalmology</t>
  </si>
  <si>
    <t>Pharmaceuticals % sales</t>
  </si>
  <si>
    <t>Sandoz % sales</t>
  </si>
  <si>
    <t>Alcon % sales</t>
  </si>
  <si>
    <t>Group % sales</t>
  </si>
  <si>
    <t>Innovative Medicines</t>
  </si>
  <si>
    <t>INNOVATIVE MEDICINES</t>
  </si>
  <si>
    <t>Assumptions</t>
  </si>
  <si>
    <t>Bull case</t>
  </si>
  <si>
    <t>CAGR 14-20: 8%</t>
  </si>
  <si>
    <t>Base case</t>
  </si>
  <si>
    <t>Bear case</t>
  </si>
  <si>
    <t>CAGR 10-16</t>
  </si>
  <si>
    <t>CAGR 14-20: 4%</t>
  </si>
  <si>
    <t>DPS in $</t>
  </si>
  <si>
    <t>SPMS launch in 2018</t>
  </si>
  <si>
    <t>Total US Population (millions)</t>
  </si>
  <si>
    <t>Population Growth Rate</t>
  </si>
  <si>
    <t>Episodic Migraine Prevalence</t>
  </si>
  <si>
    <t>Chronic Migraine Prevalence</t>
  </si>
  <si>
    <t>Episodic Migraine Prevalence (millions)</t>
  </si>
  <si>
    <t>% Visiting Neurologist</t>
  </si>
  <si>
    <t>Treatable Population (millions)</t>
  </si>
  <si>
    <t>% Responding To Treatment</t>
  </si>
  <si>
    <t>Treated Population</t>
  </si>
  <si>
    <t>Market Share</t>
  </si>
  <si>
    <t>AMG334 Treated</t>
  </si>
  <si>
    <t>Chronic Migraine Prevalence (millions)</t>
  </si>
  <si>
    <t>Treatable Population</t>
  </si>
  <si>
    <t>Total AMG334 Treated</t>
  </si>
  <si>
    <t>Cost/Year</t>
  </si>
  <si>
    <t>Revenue (millions)</t>
  </si>
  <si>
    <t>AMG334 US patents expected to expire in 2031</t>
  </si>
  <si>
    <t>Case Manager</t>
  </si>
  <si>
    <t>For the compounds in the migraine field, Novartis receives global co-development rights and commercial rights outside the U.S., Canada and Japan to the investigative molecules in Amgen's migraine portfolio. This includes AMG 334 in phase III and AMG 301 in phase I as well as an option to commercialize an additional early-stage Amgen molecule in these territories. Novartis will fund disproportional global R&amp;D expenses for an agreed period on the migraine programs and will pay Amgen double-digit royalties on sales</t>
  </si>
  <si>
    <t>ex- US and ex-Jpn</t>
  </si>
  <si>
    <t>double digit royalty to Amgen (15%)</t>
  </si>
  <si>
    <t>total Novartis contribution</t>
  </si>
  <si>
    <t>AMG334 erenumab</t>
  </si>
  <si>
    <t>Essilor</t>
  </si>
  <si>
    <t>Cooper, Essilor</t>
  </si>
  <si>
    <t>GSK OTC 36.5% stake</t>
  </si>
  <si>
    <t>Period Ending share count</t>
  </si>
  <si>
    <t>Exceptional Items</t>
  </si>
  <si>
    <t>FY25E</t>
  </si>
  <si>
    <t>broadly in line or decline low-single digit</t>
  </si>
  <si>
    <t>% forex impact</t>
  </si>
  <si>
    <t>Group Sales (cc)</t>
  </si>
  <si>
    <t>Group Core operating income (cc)</t>
  </si>
  <si>
    <t>Tranche 1</t>
  </si>
  <si>
    <t>Tranche 2</t>
  </si>
  <si>
    <t>Tranche 3</t>
  </si>
  <si>
    <t>Alcon acquisition</t>
  </si>
  <si>
    <t>Roche</t>
  </si>
  <si>
    <t>RTH258</t>
  </si>
  <si>
    <t>Longer duration of action</t>
  </si>
  <si>
    <t>BAF 312</t>
  </si>
  <si>
    <t>broadly in line to low single digit decline</t>
  </si>
  <si>
    <t>Sales (all in cc)</t>
  </si>
  <si>
    <t>Core tax rate</t>
  </si>
  <si>
    <t>mid-teens</t>
  </si>
  <si>
    <t>Core associated companies</t>
  </si>
  <si>
    <t>Other financial KPIs</t>
  </si>
  <si>
    <t>higher core income from Roche and OTC JV</t>
  </si>
  <si>
    <t>Currency effect</t>
  </si>
  <si>
    <t>Global sales &gt;USD500m</t>
  </si>
  <si>
    <t>CAGR 14-20: -1%</t>
  </si>
  <si>
    <t>Firepower</t>
  </si>
  <si>
    <t>EV (USDm)</t>
  </si>
  <si>
    <t>Kisqali</t>
  </si>
  <si>
    <t>1Q17</t>
  </si>
  <si>
    <t>ellenchr</t>
  </si>
  <si>
    <t>2Q17</t>
  </si>
  <si>
    <t>low single digit growth</t>
  </si>
  <si>
    <t>-1% FY17</t>
  </si>
  <si>
    <t>in the low end of USD850-950m range</t>
  </si>
  <si>
    <t>Core net financial expense</t>
  </si>
  <si>
    <t>ACZ885</t>
  </si>
  <si>
    <t>Co-commercialize in the US</t>
  </si>
  <si>
    <t>Exclusive rights in ROW except Japan</t>
  </si>
  <si>
    <t>Kisqali (LEE011  ribociclib)</t>
  </si>
  <si>
    <t>Rydapt (PKC412 midostaurin)</t>
  </si>
  <si>
    <t>SEG101</t>
  </si>
  <si>
    <t>mometasone) - Asthma</t>
  </si>
  <si>
    <t>Limited penetration due to ECG monitoring</t>
  </si>
  <si>
    <t>Neovascular AMD (anti VEGF)</t>
  </si>
  <si>
    <t>Upside from DME, RVO</t>
  </si>
  <si>
    <t>2nd prevention of CV events</t>
  </si>
  <si>
    <t>High price, low volume strategy</t>
  </si>
  <si>
    <t>Sickle cell disease</t>
  </si>
  <si>
    <t>Approval on p2 data</t>
  </si>
  <si>
    <t>Co-commercialize in the US, exclusive rights in ROW ex. Jpn</t>
  </si>
  <si>
    <t>partnered with Amgen</t>
  </si>
  <si>
    <t>Lung cancer NSCLC</t>
  </si>
  <si>
    <t>PDR001</t>
  </si>
  <si>
    <t>PD-1 Immuno oncology</t>
  </si>
  <si>
    <t>HER2neg advanced BC post aromatase inhibitor</t>
  </si>
  <si>
    <t>NET, melanoma</t>
  </si>
  <si>
    <t>Adults and adoloescents uncontrolled asthma</t>
  </si>
  <si>
    <t>EGFR wt, ALK neg, cMET amplifications/mutations</t>
  </si>
  <si>
    <t>Allergan</t>
  </si>
  <si>
    <t>2018-20 EV/EBIT</t>
  </si>
  <si>
    <t>TEVA, MYL, PRGO, AGN</t>
  </si>
  <si>
    <t>Total stakes</t>
  </si>
  <si>
    <t>EBITDA 2019 ex Alcon</t>
  </si>
  <si>
    <t>2019 Net debt</t>
  </si>
  <si>
    <t>3x 2019 EV/EBITDA</t>
  </si>
  <si>
    <t>NVS.N,mscalc:targetPrice,,,,CHF</t>
  </si>
  <si>
    <t>% difference vs Jul-17</t>
  </si>
  <si>
    <t>Entresto cons. expectations</t>
  </si>
  <si>
    <t>MSe</t>
  </si>
  <si>
    <t>Alcon cons. op. margin</t>
  </si>
  <si>
    <t>Roche 6.3% stake</t>
  </si>
  <si>
    <t>Potential firepower</t>
  </si>
  <si>
    <t>Kymriah</t>
  </si>
  <si>
    <t>Kymriah (CTL019)</t>
  </si>
  <si>
    <t>broadly in line to a slight decrease</t>
  </si>
  <si>
    <t>negligible impact</t>
  </si>
  <si>
    <t>3Q17</t>
  </si>
  <si>
    <t>thibault.boutherin@morganstanley.com</t>
  </si>
  <si>
    <t>Thibault Boutherin  +44 20 7425 9688</t>
  </si>
  <si>
    <t>2018-22e CAGR</t>
  </si>
  <si>
    <t>2018-23e CAGR</t>
  </si>
  <si>
    <t>4Q17</t>
  </si>
  <si>
    <t>EPS</t>
  </si>
  <si>
    <t>2021 EPS risk %</t>
  </si>
  <si>
    <t>Upside/ downside</t>
  </si>
  <si>
    <t>Comment</t>
  </si>
  <si>
    <t>Margin - for EPS impact</t>
  </si>
  <si>
    <t>17-21</t>
  </si>
  <si>
    <t>Revision - approved drugs</t>
  </si>
  <si>
    <t xml:space="preserve">Bull </t>
  </si>
  <si>
    <t>EPS risk %</t>
  </si>
  <si>
    <t>Revision - pipeline</t>
  </si>
  <si>
    <t>Revision - total</t>
  </si>
  <si>
    <t>Sales revision</t>
  </si>
  <si>
    <t>EPS revision</t>
  </si>
  <si>
    <t xml:space="preserve">17-21 </t>
  </si>
  <si>
    <t>Sales growth</t>
  </si>
  <si>
    <t>Bull/Base/Bear Sales EPS</t>
  </si>
  <si>
    <t>P/E and TP</t>
  </si>
  <si>
    <t>PE '17</t>
  </si>
  <si>
    <t>PE '18</t>
  </si>
  <si>
    <t>PE '19</t>
  </si>
  <si>
    <t>PE '20</t>
  </si>
  <si>
    <t>PE '21</t>
  </si>
  <si>
    <t>PE '22</t>
  </si>
  <si>
    <t>PE '23</t>
  </si>
  <si>
    <t>Upside/downside</t>
  </si>
  <si>
    <t>Base at TP</t>
  </si>
  <si>
    <t>Base at current price</t>
  </si>
  <si>
    <t>PE premium / discount</t>
  </si>
  <si>
    <t>Sales from pipeline</t>
  </si>
  <si>
    <t>contrib. to '17-21 growth</t>
  </si>
  <si>
    <t>RISK REWARD</t>
  </si>
  <si>
    <t>Copy cell and past hardcoded to get ready-to-use text</t>
  </si>
  <si>
    <t>Implied valuation (2018 P/E)</t>
  </si>
  <si>
    <t>Price target</t>
  </si>
  <si>
    <t>Major products</t>
  </si>
  <si>
    <t>Pipeline</t>
  </si>
  <si>
    <t>TOTAL</t>
  </si>
  <si>
    <t>Worst</t>
  </si>
  <si>
    <t>Best</t>
  </si>
  <si>
    <t>Sector</t>
  </si>
  <si>
    <t>Custom</t>
  </si>
  <si>
    <t>INC280 cMET inh</t>
  </si>
  <si>
    <t>LCI699 Hydroxylase inh</t>
  </si>
  <si>
    <t>BYL719 Alpha specific PI3K inh</t>
  </si>
  <si>
    <t>Slower ramp-up</t>
  </si>
  <si>
    <t>Quicker ramp-up</t>
  </si>
  <si>
    <t>EPS growth</t>
  </si>
  <si>
    <t>NOVN - Bull case</t>
  </si>
  <si>
    <t>NOVN - Base at TP</t>
  </si>
  <si>
    <t>NOVN - Base case at current price</t>
  </si>
  <si>
    <t>NOVN - Bear case</t>
  </si>
  <si>
    <t>Sector weighted</t>
  </si>
  <si>
    <t>USD/CHF</t>
  </si>
  <si>
    <t>Drugs with LOE before 2022</t>
  </si>
  <si>
    <t>Total Hard</t>
  </si>
  <si>
    <t>Total Medium</t>
  </si>
  <si>
    <t>Hard</t>
  </si>
  <si>
    <t>Drugs approved since 2017</t>
  </si>
  <si>
    <t>Total Bear</t>
  </si>
  <si>
    <t>Total Base</t>
  </si>
  <si>
    <t>Total Bull</t>
  </si>
  <si>
    <t>Rydapt</t>
  </si>
  <si>
    <t>89.3945550589195</t>
  </si>
  <si>
    <t>Ticker</t>
  </si>
  <si>
    <t>Setting</t>
  </si>
  <si>
    <t>Modelware/Thomson Reuters</t>
  </si>
  <si>
    <t>P/E</t>
  </si>
  <si>
    <t>EV/EBIT</t>
  </si>
  <si>
    <t>EPS (reporting currency)</t>
  </si>
  <si>
    <t>Market Cap ($)</t>
  </si>
  <si>
    <t>CAGR 17-20</t>
  </si>
  <si>
    <t>EU large pharma (weighted)</t>
  </si>
  <si>
    <t>AZN.L</t>
  </si>
  <si>
    <t>AstraZeneca</t>
  </si>
  <si>
    <t>BAYGn.DE</t>
  </si>
  <si>
    <t>Bayer</t>
  </si>
  <si>
    <t>GSK.L</t>
  </si>
  <si>
    <t>GlaxoSmithKline</t>
  </si>
  <si>
    <t>MRCG.DE</t>
  </si>
  <si>
    <t>Merck KGaA</t>
  </si>
  <si>
    <t>NOVOb.CO</t>
  </si>
  <si>
    <t>Novo Nordisk</t>
  </si>
  <si>
    <t>ROG.S</t>
  </si>
  <si>
    <t>SASY.PA</t>
  </si>
  <si>
    <t>Sanofi</t>
  </si>
  <si>
    <t>SHP.L</t>
  </si>
  <si>
    <t>Shire</t>
  </si>
  <si>
    <t>EU Spec pharma (weighted)</t>
  </si>
  <si>
    <t>ALM-MC</t>
  </si>
  <si>
    <t>Almirall*</t>
  </si>
  <si>
    <t>GEN-KO</t>
  </si>
  <si>
    <t>Genmab*</t>
  </si>
  <si>
    <t>HIK.L</t>
  </si>
  <si>
    <t>Hikma</t>
  </si>
  <si>
    <t>INDV.L</t>
  </si>
  <si>
    <t>Indivior</t>
  </si>
  <si>
    <t>IPN.PA</t>
  </si>
  <si>
    <t>Ipsen</t>
  </si>
  <si>
    <t>LUN-KO</t>
  </si>
  <si>
    <t>Lundbeck*</t>
  </si>
  <si>
    <t>REC-MI</t>
  </si>
  <si>
    <t>Recordati*</t>
  </si>
  <si>
    <t>SOBIV.ST</t>
  </si>
  <si>
    <t>Sobi*</t>
  </si>
  <si>
    <t>UCB.BR</t>
  </si>
  <si>
    <t>UCB</t>
  </si>
  <si>
    <t>GRFS.O</t>
  </si>
  <si>
    <t>Grifols</t>
  </si>
  <si>
    <t>EU pharma sector (weighted)</t>
  </si>
  <si>
    <t>*: companies not covered by MS, estimates based on Thomson Reuters consensus forecasts</t>
  </si>
  <si>
    <t>Sandoz peers (weighted)</t>
  </si>
  <si>
    <t>TEVA.N</t>
  </si>
  <si>
    <t>MYL.O</t>
  </si>
  <si>
    <t>AGN.N</t>
  </si>
  <si>
    <t>PRGO.N</t>
  </si>
  <si>
    <t>Alcon peers (weighted)</t>
  </si>
  <si>
    <t>ESSI.PA</t>
  </si>
  <si>
    <t>Spot price (CHF)</t>
  </si>
  <si>
    <t>Last refresh</t>
  </si>
  <si>
    <t>INDV.L,mscalc:epsForConsensusForThomsonFeed,2017FY,,FYR</t>
  </si>
  <si>
    <t>GRFS.O,mstag:revenueNet,2017FY,,FYR</t>
  </si>
  <si>
    <t>HIK.L,mstag:revenueNet,2020FY,,FYR</t>
  </si>
  <si>
    <t>GRFS.O,mstag:revenueNet,2020FY,,FYR</t>
  </si>
  <si>
    <t>UCB.BR,mstag:revenueNet,2017FY,,FYR</t>
  </si>
  <si>
    <t>GRFS.O,mscalc:epsForConsensusForThomsonFeed,2017FY,,FYR</t>
  </si>
  <si>
    <t>HIK.L,mstag:revenueNet,2017FY,,FYR</t>
  </si>
  <si>
    <t>IPN.PA,mscalc:epsForConsensusForThomsonFeed,2020FY,,FYR</t>
  </si>
  <si>
    <t>GRFS.O,mscalc:epsForConsensusForThomsonFeed,2020FY,,FYR</t>
  </si>
  <si>
    <t>IPN.PA,mstag:revenueNet,2020FY,,FYR</t>
  </si>
  <si>
    <t>UCB.BR,mstag:revenueNet,2020FY,,FYR</t>
  </si>
  <si>
    <t>UCB.BR,mscalc:epsForConsensusForThomsonFeed,2017FY,,FYR</t>
  </si>
  <si>
    <t>HIK.L,mscalc:epsForConsensusForThomsonFeed,2020FY,,FYR</t>
  </si>
  <si>
    <t>HIK.L,mscalc:epsForConsensusForThomsonFeed,2017FY,,FYR</t>
  </si>
  <si>
    <t>INDV.L,mstag:revenueNet,2017FY,,FYR</t>
  </si>
  <si>
    <t>IPN.PA,mstag:revenueNet,2017FY,,FYR</t>
  </si>
  <si>
    <t>INDV.L,mscalc:epsForConsensusForThomsonFeed,2020FY,,FYR</t>
  </si>
  <si>
    <t>UCB.BR,mscalc:epsForConsensusForThomsonFeed,2020FY,,FYR</t>
  </si>
  <si>
    <t>INDV.L,mstag:revenueNet,2020FY,,FYR</t>
  </si>
  <si>
    <t>IPN.PA,mscalc:epsForConsensusForThomsonFeed,2017FY,,FYR</t>
  </si>
  <si>
    <t>NOVOb.CO,mstag:revenueNet,2017FY,,FYR</t>
  </si>
  <si>
    <t>AZN.L,mscalc:epsForConsensusForThomsonFeed,2020FY,,FYR</t>
  </si>
  <si>
    <t>GRFS.O,mscalc:evpretaxOperatingProfitPtop,2020FY,,FYR</t>
  </si>
  <si>
    <t>HIK.L,mscalc:evpretaxOperatingProfitPtop,2019FY,,FYR</t>
  </si>
  <si>
    <t>AZN.L,mstag:revenueNet,2017FY,,FYR</t>
  </si>
  <si>
    <t>UCB.BR,mscalc:evpretaxOperatingProfitPtop,2019FY,,FYR</t>
  </si>
  <si>
    <t>SHP.L,mstag:revenueNet,2020FY,,FYR</t>
  </si>
  <si>
    <t>GSK.L,mstag:revenueNet,2020FY,,FYR</t>
  </si>
  <si>
    <t>SHP.L,mstag:revenueNet,2017FY,,FYR</t>
  </si>
  <si>
    <t>ROG.S,mstag:revenueNet,2017FY,,FYR</t>
  </si>
  <si>
    <t>HIK.L,mscalc:evpretaxOperatingProfitPtop,2018FY,,FYR</t>
  </si>
  <si>
    <t>GSK.L,mscalc:epsForConsensusForThomsonFeed,2020FY,,FYR</t>
  </si>
  <si>
    <t>MRCG.DE,mstag:revenueNet,2020FY,,FYR</t>
  </si>
  <si>
    <t>GRFS.O,mscalc:evpretaxOperatingProfitPtop,2019FY,,FYR</t>
  </si>
  <si>
    <t>INDV.L,mscalc:evpretaxOperatingProfitPtop,2019FY,,FYR</t>
  </si>
  <si>
    <t>AZN.L,mscalc:epsForConsensusForThomsonFeed,2017FY,,FYR</t>
  </si>
  <si>
    <t>INDV.L,mscalc:evpretaxOperatingProfitPtop,2017FY,,FYR</t>
  </si>
  <si>
    <t>NOVOb.CO,mscalc:epsForConsensusForThomsonFeed,2020FY,,FYR</t>
  </si>
  <si>
    <t>SASY.PA,mscalc:epsForConsensusForThomsonFeed,2020FY,,FYR</t>
  </si>
  <si>
    <t>MRCG.DE,mstag:revenueNet,2017FY,,FYR</t>
  </si>
  <si>
    <t>GRFS.O,mscalc:evpretaxOperatingProfitPtop,2021FY,,FYR</t>
  </si>
  <si>
    <t>HIK.L,mscalc:evpretaxOperatingProfitPtop,2021FY,,FYR</t>
  </si>
  <si>
    <t>IPN.PA,mscalc:evpretaxOperatingProfitPtop,2019FY,,FYR</t>
  </si>
  <si>
    <t>NOVN.S,mstag:revenueNet,2020FY,,FYR</t>
  </si>
  <si>
    <t>ROG.S,mscalc:epsForConsensusForThomsonFeed,2017FY,,FYR</t>
  </si>
  <si>
    <t>INDV.L,mscalc:evpretaxOperatingProfitPtop,2021FY,,FYR</t>
  </si>
  <si>
    <t>NOVN.S,mscalc:epsForConsensusForThomsonFeed,2017FY,,FYR</t>
  </si>
  <si>
    <t>IPN.PA,mscalc:evpretaxOperatingProfitPtop,2017FY,,FYR</t>
  </si>
  <si>
    <t>SHP.L,mscalc:epsForConsensusForThomsonFeed,2020FY,,FYR</t>
  </si>
  <si>
    <t>SASY.PA,mscalc:epsForConsensusForThomsonFeed,2017FY,,FYR</t>
  </si>
  <si>
    <t>SASY.PA,mstag:revenueNet,2020FY,,FYR</t>
  </si>
  <si>
    <t>ROG.S,mstag:revenueNet,2020FY,,FYR</t>
  </si>
  <si>
    <t>GRFS.O,mscalc:marketCapitalizationCurrent,,,,USD</t>
  </si>
  <si>
    <t>IPN.PA,mscalc:marketCapitalizationCurrent,,,,USD</t>
  </si>
  <si>
    <t>HIK.L,mscalc:evpretaxOperatingProfitPtop,2020FY,,FYR</t>
  </si>
  <si>
    <t>AZN.L,mstag:revenueNet,2020FY,,FYR</t>
  </si>
  <si>
    <t>UCB.BR,mscalc:evpretaxOperatingProfitPtop,2021FY,,FYR</t>
  </si>
  <si>
    <t>HIK.L,mscalc:evpretaxOperatingProfitPtop,2017FY,,FYR</t>
  </si>
  <si>
    <t>INDV.L,mscalc:evpretaxOperatingProfitPtop,2020FY,,FYR</t>
  </si>
  <si>
    <t>NOVN.S,mstag:revenueNet,2017FY,,FYR</t>
  </si>
  <si>
    <t>INDV.L,mscalc:evpretaxOperatingProfitPtop,2018FY,,FYR</t>
  </si>
  <si>
    <t>BAYGn.DE,mstag:revenueNet,2020FY,,FYR</t>
  </si>
  <si>
    <t>NOVN.S,mscalc:epsForConsensusForThomsonFeed,2020FY,,FYR</t>
  </si>
  <si>
    <t>UCB.BR,mscalc:evpretaxOperatingProfitPtop,2020FY,,FYR</t>
  </si>
  <si>
    <t>GRFS.O,mscalc:evpretaxOperatingProfitPtop,2018FY,,FYR</t>
  </si>
  <si>
    <t>GSK.L,mstag:revenueNet,2017FY,,FYR</t>
  </si>
  <si>
    <t>UCB.BR,mscalc:evpretaxOperatingProfitPtop,2018FY,,FYR</t>
  </si>
  <si>
    <t>SHP.L,mscalc:epsForConsensusForThomsonFeed,2017FY,,FYR</t>
  </si>
  <si>
    <t>BAYGn.DE,mstag:revenueNet,2017FY,,FYR</t>
  </si>
  <si>
    <t>UCB.BR,mscalc:marketCapitalizationCurrent,,,,USD</t>
  </si>
  <si>
    <t>INDV.L,mscalc:marketCapitalizationCurrent,,,,USD</t>
  </si>
  <si>
    <t>SASY.PA,mstag:revenueNet,2017FY,,FYR</t>
  </si>
  <si>
    <t>NOVOb.CO,mscalc:epsForConsensusForThomsonFeed,2017FY,,FYR</t>
  </si>
  <si>
    <t>HIK.L,mscalc:marketCapitalizationCurrent,,,,USD</t>
  </si>
  <si>
    <t>GRFS.O,mscalc:evpretaxOperatingProfitPtop,2017FY,,FYR</t>
  </si>
  <si>
    <t>UCB.BR,mscalc:evpretaxOperatingProfitPtop,2017FY,,FYR</t>
  </si>
  <si>
    <t>ROG.S,mscalc:epsForConsensusForThomsonFeed,2020FY,,FYR</t>
  </si>
  <si>
    <t>BAYGn.DE,mscalc:epsForConsensusForThomsonFeed,2017FY,,FYR</t>
  </si>
  <si>
    <t>GSK.L,mscalc:epsForConsensusForThomsonFeed,2017FY,,FYR</t>
  </si>
  <si>
    <t>NOVOb.CO,mstag:revenueNet,2020FY,,FYR</t>
  </si>
  <si>
    <t>IPN.PA,mscalc:evpretaxOperatingProfitPtop,2018FY,,FYR</t>
  </si>
  <si>
    <t>BAYGn.DE,mscalc:epsForConsensusForThomsonFeed,2020FY,,FYR</t>
  </si>
  <si>
    <t>IPN.PA,mscalc:evpretaxOperatingProfitPtop,2021FY,,FYR</t>
  </si>
  <si>
    <t>MRCG.DE,mscalc:epsForConsensusForThomsonFeed,2020FY,,FYR</t>
  </si>
  <si>
    <t>MRCG.DE,mscalc:epsForConsensusForThomsonFeed,2017FY,,FYR</t>
  </si>
  <si>
    <t>IPN.PA,mscalc:evpretaxOperatingProfitPtop,2020FY,,FYR</t>
  </si>
  <si>
    <t>AGN.N,mscalc:epsForConsensusForThomsonFeed,2017FY,,FYR</t>
  </si>
  <si>
    <t>ROG.S,mscalc:evpretaxOperatingProfitPtop,2019FY,,FYR</t>
  </si>
  <si>
    <t>NOVOb.CO,mscalc:marketCapitalizationCurrent,,,,USD</t>
  </si>
  <si>
    <t>BAYGn.DE,mscalc:evpretaxOperatingProfitPtop,2017FY,,FYR</t>
  </si>
  <si>
    <t>SASY.PA,mscalc:evpretaxOperatingProfitPtop,2021FY,,FYR</t>
  </si>
  <si>
    <t>AGN.N,mscalc:epsForConsensusForThomsonFeed,2020FY,,FYR</t>
  </si>
  <si>
    <t>NOVN.S,mscalc:evpretaxOperatingProfitPtop,2018FY,,FYR</t>
  </si>
  <si>
    <t>GSK.L,mscalc:marketCapitalizationCurrent,,,,USD</t>
  </si>
  <si>
    <t>NOVOb.CO,mscalc:evpretaxOperatingProfitPtop,2021FY,,FYR</t>
  </si>
  <si>
    <t>SHP.L,mscalc:evpretaxOperatingProfitPtop,2018FY,,FYR</t>
  </si>
  <si>
    <t>NOVN.S,mscalc:evpretaxOperatingProfitPtop,2019FY,,FYR</t>
  </si>
  <si>
    <t>SHP.L,mscalc:evpretaxOperatingProfitPtop,2017FY,,FYR</t>
  </si>
  <si>
    <t>NOVOb.CO,mscalc:evpretaxOperatingProfitPtop,2017FY,,FYR</t>
  </si>
  <si>
    <t>PRGO.N,mscalc:epsForConsensusForThomsonFeed,2020FY,,FYR</t>
  </si>
  <si>
    <t>MRCG.DE,mscalc:evpretaxOperatingProfitPtop,2018FY,,FYR</t>
  </si>
  <si>
    <t>SASY.PA,mscalc:evpretaxOperatingProfitPtop,2017FY,,FYR</t>
  </si>
  <si>
    <t>AZN.L,mscalc:marketCapitalizationCurrent,,,,USD</t>
  </si>
  <si>
    <t>MRCG.DE,mscalc:evpretaxOperatingProfitPtop,2019FY,,FYR</t>
  </si>
  <si>
    <t>SASY.PA,mscalc:evpretaxOperatingProfitPtop,2019FY,,FYR</t>
  </si>
  <si>
    <t>ROG.S,mscalc:evpretaxOperatingProfitPtop,2017FY,,FYR</t>
  </si>
  <si>
    <t>MYL.O,mstag:revenueNet,2020FY,,FYR</t>
  </si>
  <si>
    <t>SHP.L,mscalc:evpretaxOperatingProfitPtop,2019FY,,FYR</t>
  </si>
  <si>
    <t>ROG.S,mscalc:marketCapitalizationCurrent,,,,USD</t>
  </si>
  <si>
    <t>MYL.O,mscalc:epsForConsensusForThomsonFeed,2017FY,,FYR</t>
  </si>
  <si>
    <t>BAYGn.DE,mscalc:evpretaxOperatingProfitPtop,2018FY,,FYR</t>
  </si>
  <si>
    <t>AZN.L,mscalc:evpretaxOperatingProfitPtop,2020FY,,FYR</t>
  </si>
  <si>
    <t>PRGO.N,mstag:revenueNet,2017FY,,FYR</t>
  </si>
  <si>
    <t>NOVOb.CO,mscalc:evpretaxOperatingProfitPtop,2018FY,,FYR</t>
  </si>
  <si>
    <t>ROG.S,mscalc:evpretaxOperatingProfitPtop,2021FY,,FYR</t>
  </si>
  <si>
    <t>MRCG.DE,mscalc:evpretaxOperatingProfitPtop,2017FY,,FYR</t>
  </si>
  <si>
    <t>SASY.PA,mscalc:marketCapitalizationCurrent,,,,USD</t>
  </si>
  <si>
    <t>NOVN.S,mscalc:evpretaxOperatingProfitPtop,2020FY,,FYR</t>
  </si>
  <si>
    <t>GSK.L,mscalc:evpretaxOperatingProfitPtop,2017FY,,FYR</t>
  </si>
  <si>
    <t>PRGO.N,mstag:revenueNet,2020FY,,FYR</t>
  </si>
  <si>
    <t>AZN.L,mscalc:evpretaxOperatingProfitPtop,2018FY,,FYR</t>
  </si>
  <si>
    <t>AZN.L,mscalc:evpretaxOperatingProfitPtop,2021FY,,FYR</t>
  </si>
  <si>
    <t>ROG.S,mscalc:evpretaxOperatingProfitPtop,2020FY,,FYR</t>
  </si>
  <si>
    <t>GSK.L,mscalc:evpretaxOperatingProfitPtop,2020FY,,FYR</t>
  </si>
  <si>
    <t>BAYGn.DE,mscalc:evpretaxOperatingProfitPtop,2020FY,,FYR</t>
  </si>
  <si>
    <t>NOVN.S,mscalc:evpretaxOperatingProfitPtop,2021FY,,FYR</t>
  </si>
  <si>
    <t>SHP.L,mscalc:evpretaxOperatingProfitPtop,2020FY,,FYR</t>
  </si>
  <si>
    <t>GSK.L,mscalc:evpretaxOperatingProfitPtop,2018FY,,FYR</t>
  </si>
  <si>
    <t>NOVOb.CO,mscalc:evpretaxOperatingProfitPtop,2019FY,,FYR</t>
  </si>
  <si>
    <t>MRCG.DE,mscalc:evpretaxOperatingProfitPtop,2021FY,,FYR</t>
  </si>
  <si>
    <t>AZN.L,mscalc:evpretaxOperatingProfitPtop,2019FY,,FYR</t>
  </si>
  <si>
    <t>NOVN.S,mscalc:marketCapitalizationCurrent,,,,USD</t>
  </si>
  <si>
    <t>AGN.N,mstag:revenueNet,2017FY,,FYR</t>
  </si>
  <si>
    <t>BAYGn.DE,mscalc:evpretaxOperatingProfitPtop,2021FY,,FYR</t>
  </si>
  <si>
    <t>SHP.L,mscalc:marketCapitalizationCurrent,,,,USD</t>
  </si>
  <si>
    <t>ROG.S,mscalc:evpretaxOperatingProfitPtop,2018FY,,FYR</t>
  </si>
  <si>
    <t>BAYGn.DE,mscalc:marketCapitalizationCurrent,,,,USD</t>
  </si>
  <si>
    <t>MYL.O,mscalc:epsForConsensusForThomsonFeed,2020FY,,FYR</t>
  </si>
  <si>
    <t>AGN.N,mstag:revenueNet,2020FY,,FYR</t>
  </si>
  <si>
    <t>MYL.O,mstag:revenueNet,2017FY,,FYR</t>
  </si>
  <si>
    <t>SASY.PA,mscalc:evpretaxOperatingProfitPtop,2020FY,,FYR</t>
  </si>
  <si>
    <t>GSK.L,mscalc:evpretaxOperatingProfitPtop,2021FY,,FYR</t>
  </si>
  <si>
    <t>PRGO.N,mscalc:epsForConsensusForThomsonFeed,2017FY,,FYR</t>
  </si>
  <si>
    <t>MRCG.DE,mscalc:marketCapitalizationCurrent,,,,USD</t>
  </si>
  <si>
    <t>SASY.PA,mscalc:evpretaxOperatingProfitPtop,2018FY,,FYR</t>
  </si>
  <si>
    <t>MRCG.DE,mscalc:evpretaxOperatingProfitPtop,2020FY,,FYR</t>
  </si>
  <si>
    <t>SHP.L,mscalc:evpretaxOperatingProfitPtop,2021FY,,FYR</t>
  </si>
  <si>
    <t>BAYGn.DE,mscalc:evpretaxOperatingProfitPtop,2019FY,,FYR</t>
  </si>
  <si>
    <t>GSK.L,mscalc:evpretaxOperatingProfitPtop,2019FY,,FYR</t>
  </si>
  <si>
    <t>NOVN.S,mscalc:evpretaxOperatingProfitPtop,2017FY,,FYR</t>
  </si>
  <si>
    <t>NOVOb.CO,mscalc:evpretaxOperatingProfitPtop,2020FY,,FYR</t>
  </si>
  <si>
    <t>AZN.L,mscalc:evpretaxOperatingProfitPtop,2017FY,,FYR</t>
  </si>
  <si>
    <t>UCB.BR,mscalc:priceToEarningsBeforeOperatingLeaseAdjustments,2019FY,,FYR</t>
  </si>
  <si>
    <t>HIK.L,mscalc:priceToEarningsBeforeOperatingLeaseAdjustments,2020FY,,FYR</t>
  </si>
  <si>
    <t>IPN.PA,mscalc:priceToEarningsBeforeOperatingLeaseAdjustments,2020FY,,FYR</t>
  </si>
  <si>
    <t>PRGO.N,mscalc:evpretaxOperatingProfitPtop,2018FY,,FYR</t>
  </si>
  <si>
    <t>PRGO.N,mscalc:priceToEarningsBeforeOperatingLeaseAdjustments,2021FY,,FYR</t>
  </si>
  <si>
    <t>IPN.PA,mscalc:priceToEarningsBeforeOperatingLeaseAdjustments,2018FY,,FYR</t>
  </si>
  <si>
    <t>GRFS.O,mscalc:priceToEarningsBeforeOperatingLeaseAdjustments,2018FY,,FYR</t>
  </si>
  <si>
    <t>AGN.N,mscalc:evpretaxOperatingProfitPtop,2018FY,,FYR</t>
  </si>
  <si>
    <t>INDV.L,mscalc:priceToEarningsBeforeOperatingLeaseAdjustments,2020FY,,FYR</t>
  </si>
  <si>
    <t>GRFS.O,mscalc:priceToEarningsBeforeOperatingLeaseAdjustments,2017FY,,FYR</t>
  </si>
  <si>
    <t>MYL.O,mscalc:evpretaxOperatingProfitPtop,2019FY,,FYR</t>
  </si>
  <si>
    <t>IPN.PA,mscalc:priceToEarningsBeforeOperatingLeaseAdjustments,2017FY,,FYR</t>
  </si>
  <si>
    <t>IPN.PA,mscalc:priceToEarningsBeforeOperatingLeaseAdjustments,2021FY,,FYR</t>
  </si>
  <si>
    <t>MYL.O,mscalc:priceToEarningsBeforeOperatingLeaseAdjustments,2017FY,,FYR</t>
  </si>
  <si>
    <t>AGN.N,mscalc:marketCapitalizationCurrent,,,,USD</t>
  </si>
  <si>
    <t>ESSI.PA,mscalc:epsForConsensusForThomsonFeed,2020FY,,FYR</t>
  </si>
  <si>
    <t>PRGO.N,mscalc:priceToEarningsBeforeOperatingLeaseAdjustments,2020FY,,FYR</t>
  </si>
  <si>
    <t>MYL.O,mscalc:evpretaxOperatingProfitPtop,2018FY,,FYR</t>
  </si>
  <si>
    <t>IPN.PA,mscalc:priceToEarningsBeforeOperatingLeaseAdjustments,2019FY,,FYR</t>
  </si>
  <si>
    <t>PRGO.N,mscalc:priceToEarningsBeforeOperatingLeaseAdjustments,2019FY,,FYR</t>
  </si>
  <si>
    <t>AGN.N,mscalc:priceToEarningsBeforeOperatingLeaseAdjustments,2018FY,,FYR</t>
  </si>
  <si>
    <t>MYL.O,mscalc:evpretaxOperatingProfitPtop,2017FY,,FYR</t>
  </si>
  <si>
    <t>GRFS.O,mscalc:priceToEarningsBeforeOperatingLeaseAdjustments,2019FY,,FYR</t>
  </si>
  <si>
    <t>ESSI.PA,mstag:revenueNet,2017FY,,FYR</t>
  </si>
  <si>
    <t>MYL.O,mscalc:priceToEarningsBeforeOperatingLeaseAdjustments,2020FY,,FYR</t>
  </si>
  <si>
    <t>PRGO.N,mscalc:marketCapitalizationCurrent,,,,USD</t>
  </si>
  <si>
    <t>MYL.O,mscalc:priceToEarningsBeforeOperatingLeaseAdjustments,2021FY,,FYR</t>
  </si>
  <si>
    <t>ESSI.PA,mscalc:epsForConsensusForThomsonFeed,2017FY,,FYR</t>
  </si>
  <si>
    <t>PRGO.N,mscalc:evpretaxOperatingProfitPtop,2017FY,,FYR</t>
  </si>
  <si>
    <t>MYL.O,mscalc:evpretaxOperatingProfitPtop,2021FY,,FYR</t>
  </si>
  <si>
    <t>INDV.L,mscalc:priceToEarningsBeforeOperatingLeaseAdjustments,2017FY,,FYR</t>
  </si>
  <si>
    <t>UCB.BR,mscalc:priceToEarningsBeforeOperatingLeaseAdjustments,2018FY,,FYR</t>
  </si>
  <si>
    <t>PRGO.N,mscalc:priceToEarningsBeforeOperatingLeaseAdjustments,2017FY,,FYR</t>
  </si>
  <si>
    <t>MYL.O,mscalc:priceToEarningsBeforeOperatingLeaseAdjustments,2019FY,,FYR</t>
  </si>
  <si>
    <t>MYL.O,mscalc:evpretaxOperatingProfitPtop,2020FY,,FYR</t>
  </si>
  <si>
    <t>HIK.L,mscalc:priceToEarningsBeforeOperatingLeaseAdjustments,2017FY,,FYR</t>
  </si>
  <si>
    <t>AGN.N,mscalc:evpretaxOperatingProfitPtop,2021FY,,FYR</t>
  </si>
  <si>
    <t>HIK.L,mscalc:priceToEarningsBeforeOperatingLeaseAdjustments,2019FY,,FYR</t>
  </si>
  <si>
    <t>PRGO.N,mscalc:priceToEarningsBeforeOperatingLeaseAdjustments,2018FY,,FYR</t>
  </si>
  <si>
    <t>HIK.L,mscalc:priceToEarningsBeforeOperatingLeaseAdjustments,2018FY,,FYR</t>
  </si>
  <si>
    <t>GRFS.O,mscalc:priceToEarningsBeforeOperatingLeaseAdjustments,2021FY,,FYR</t>
  </si>
  <si>
    <t>MYL.O,mscalc:marketCapitalizationCurrent,,,,USD</t>
  </si>
  <si>
    <t>AGN.N,mscalc:priceToEarningsBeforeOperatingLeaseAdjustments,2017FY,,FYR</t>
  </si>
  <si>
    <t>UCB.BR,mscalc:priceToEarningsBeforeOperatingLeaseAdjustments,2020FY,,FYR</t>
  </si>
  <si>
    <t>UCB.BR,mscalc:priceToEarningsBeforeOperatingLeaseAdjustments,2017FY,,FYR</t>
  </si>
  <si>
    <t>ESSI.PA,mstag:revenueNet,2020FY,,FYR</t>
  </si>
  <si>
    <t>MYL.O,mscalc:priceToEarningsBeforeOperatingLeaseAdjustments,2018FY,,FYR</t>
  </si>
  <si>
    <t>INDV.L,mscalc:priceToEarningsBeforeOperatingLeaseAdjustments,2018FY,,FYR</t>
  </si>
  <si>
    <t>AGN.N,mscalc:evpretaxOperatingProfitPtop,2020FY,,FYR</t>
  </si>
  <si>
    <t>UCB.BR,mscalc:priceToEarningsBeforeOperatingLeaseAdjustments,2021FY,,FYR</t>
  </si>
  <si>
    <t>PRGO.N,mscalc:evpretaxOperatingProfitPtop,2019FY,,FYR</t>
  </si>
  <si>
    <t>INDV.L,mscalc:priceToEarningsBeforeOperatingLeaseAdjustments,2019FY,,FYR</t>
  </si>
  <si>
    <t>HIK.L,mscalc:priceToEarningsBeforeOperatingLeaseAdjustments,2021FY,,FYR</t>
  </si>
  <si>
    <t>PRGO.N,mscalc:evpretaxOperatingProfitPtop,2021FY,,FYR</t>
  </si>
  <si>
    <t>AGN.N,mscalc:priceToEarningsBeforeOperatingLeaseAdjustments,2021FY,,FYR</t>
  </si>
  <si>
    <t>PRGO.N,mscalc:evpretaxOperatingProfitPtop,2020FY,,FYR</t>
  </si>
  <si>
    <t>GRFS.O,mscalc:priceToEarningsBeforeOperatingLeaseAdjustments,2020FY,,FYR</t>
  </si>
  <si>
    <t>AGN.N,mscalc:priceToEarningsBeforeOperatingLeaseAdjustments,2020FY,,FYR</t>
  </si>
  <si>
    <t>AGN.N,mscalc:evpretaxOperatingProfitPtop,2019FY,,FYR</t>
  </si>
  <si>
    <t>AGN.N,mscalc:evpretaxOperatingProfitPtop,2017FY,,FYR</t>
  </si>
  <si>
    <t>INDV.L,mscalc:priceToEarningsBeforeOperatingLeaseAdjustments,2021FY,,FYR</t>
  </si>
  <si>
    <t>AGN.N,mscalc:priceToEarningsBeforeOperatingLeaseAdjustments,2019FY,,FYR</t>
  </si>
  <si>
    <t>BAYGn.DE,mscalc:priceToEarningsBeforeOperatingLeaseAdjustments,2020FY,,FYR</t>
  </si>
  <si>
    <t>AZN.L,mscalc:priceToEarningsBeforeOperatingLeaseAdjustments,2021FY,,FYR</t>
  </si>
  <si>
    <t>MRCG.DE,mscalc:priceToEarningsBeforeOperatingLeaseAdjustments,2020FY,,FYR</t>
  </si>
  <si>
    <t>MRCG.DE,mscalc:priceToEarningsBeforeOperatingLeaseAdjustments,2017FY,,FYR</t>
  </si>
  <si>
    <t>SASY.PA,mscalc:priceToEarningsBeforeOperatingLeaseAdjustments,2020FY,,FYR</t>
  </si>
  <si>
    <t>BAYGn.DE,mscalc:priceToEarningsBeforeOperatingLeaseAdjustments,2019FY,,FYR</t>
  </si>
  <si>
    <t>ESSI.PA,mscalc:priceToEarningsBeforeOperatingLeaseAdjustments,2019FY,,FYR</t>
  </si>
  <si>
    <t>ESSI.PA,mscalc:priceToEarningsBeforeOperatingLeaseAdjustments,2021FY,,FYR</t>
  </si>
  <si>
    <t>GSK.L,mscalc:priceToEarningsBeforeOperatingLeaseAdjustments,2019FY,,FYR</t>
  </si>
  <si>
    <t>ROG.S,mscalc:priceToEarningsBeforeOperatingLeaseAdjustments,2019FY,,FYR</t>
  </si>
  <si>
    <t>NOVN.S,mscalc:priceToEarningsBeforeOperatingLeaseAdjustments,2020FY,,FYR</t>
  </si>
  <si>
    <t>AZN.L,mscalc:priceToEarningsBeforeOperatingLeaseAdjustments,2020FY,,FYR</t>
  </si>
  <si>
    <t>SASY.PA,mscalc:priceToEarningsBeforeOperatingLeaseAdjustments,2018FY,,FYR</t>
  </si>
  <si>
    <t>MRCG.DE,mscalc:priceToEarningsBeforeOperatingLeaseAdjustments,2021FY,,FYR</t>
  </si>
  <si>
    <t>NOVN.S,mscalc:priceToEarningsBeforeOperatingLeaseAdjustments,2021FY,,FYR</t>
  </si>
  <si>
    <t>NOVN.S,mscalc:priceToEarningsBeforeOperatingLeaseAdjustments,2019FY,,FYR</t>
  </si>
  <si>
    <t>ESSI.PA,mscalc:evpretaxOperatingProfitPtop,2018FY,,FYR</t>
  </si>
  <si>
    <t>SHP.L,mscalc:priceToEarningsBeforeOperatingLeaseAdjustments,2020FY,,FYR</t>
  </si>
  <si>
    <t>GSK.L,mscalc:priceToEarningsBeforeOperatingLeaseAdjustments,2017FY,,FYR</t>
  </si>
  <si>
    <t>GSK.L,mscalc:priceToEarningsBeforeOperatingLeaseAdjustments,2018FY,,FYR</t>
  </si>
  <si>
    <t>ROG.S,mscalc:priceToEarningsBeforeOperatingLeaseAdjustments,2018FY,,FYR</t>
  </si>
  <si>
    <t>NOVN.S,mscalc:priceToEarningsBeforeOperatingLeaseAdjustments,2017FY,,FYR</t>
  </si>
  <si>
    <t>MRCG.DE,mscalc:priceToEarningsBeforeOperatingLeaseAdjustments,2018FY,,FYR</t>
  </si>
  <si>
    <t>MRCG.DE,mscalc:priceToEarningsBeforeOperatingLeaseAdjustments,2019FY,,FYR</t>
  </si>
  <si>
    <t>ROG.S,mscalc:priceToEarningsBeforeOperatingLeaseAdjustments,2020FY,,FYR</t>
  </si>
  <si>
    <t>SHP.L,mscalc:priceToEarningsBeforeOperatingLeaseAdjustments,2019FY,,FYR</t>
  </si>
  <si>
    <t>ROG.S,mscalc:priceToEarningsBeforeOperatingLeaseAdjustments,2021FY,,FYR</t>
  </si>
  <si>
    <t>SHP.L,mscalc:priceToEarningsBeforeOperatingLeaseAdjustments,2017FY,,FYR</t>
  </si>
  <si>
    <t>NOVOb.CO,mscalc:priceToEarningsBeforeOperatingLeaseAdjustments,2017FY,,FYR</t>
  </si>
  <si>
    <t>NOVOb.CO,mscalc:priceToEarningsBeforeOperatingLeaseAdjustments,2018FY,,FYR</t>
  </si>
  <si>
    <t>NOVOb.CO,mscalc:priceToEarningsBeforeOperatingLeaseAdjustments,2020FY,,FYR</t>
  </si>
  <si>
    <t>NOVOb.CO,mscalc:priceToEarningsBeforeOperatingLeaseAdjustments,2019FY,,FYR</t>
  </si>
  <si>
    <t>ESSI.PA,mscalc:priceToEarningsBeforeOperatingLeaseAdjustments,2020FY,,FYR</t>
  </si>
  <si>
    <t>SASY.PA,mscalc:priceToEarningsBeforeOperatingLeaseAdjustments,2021FY,,FYR</t>
  </si>
  <si>
    <t>ESSI.PA,mscalc:priceToEarningsBeforeOperatingLeaseAdjustments,2018FY,,FYR</t>
  </si>
  <si>
    <t>SASY.PA,mscalc:priceToEarningsBeforeOperatingLeaseAdjustments,2017FY,,FYR</t>
  </si>
  <si>
    <t>GSK.L,mscalc:priceToEarningsBeforeOperatingLeaseAdjustments,2021FY,,FYR</t>
  </si>
  <si>
    <t>ESSI.PA,mscalc:evpretaxOperatingProfitPtop,2019FY,,FYR</t>
  </si>
  <si>
    <t>BAYGn.DE,mscalc:priceToEarningsBeforeOperatingLeaseAdjustments,2017FY,,FYR</t>
  </si>
  <si>
    <t>GSK.L,mscalc:priceToEarningsBeforeOperatingLeaseAdjustments,2020FY,,FYR</t>
  </si>
  <si>
    <t>ESSI.PA,mscalc:priceToEarningsBeforeOperatingLeaseAdjustments,2017FY,,FYR</t>
  </si>
  <si>
    <t>ESSI.PA,mscalc:evpretaxOperatingProfitPtop,2017FY,,FYR</t>
  </si>
  <si>
    <t>ESSI.PA,mscalc:evpretaxOperatingProfitPtop,2021FY,,FYR</t>
  </si>
  <si>
    <t>BAYGn.DE,mscalc:priceToEarningsBeforeOperatingLeaseAdjustments,2021FY,,FYR</t>
  </si>
  <si>
    <t>AZN.L,mscalc:priceToEarningsBeforeOperatingLeaseAdjustments,2018FY,,FYR</t>
  </si>
  <si>
    <t>AZN.L,mscalc:priceToEarningsBeforeOperatingLeaseAdjustments,2017FY,,FYR</t>
  </si>
  <si>
    <t>ROG.S,mscalc:priceToEarningsBeforeOperatingLeaseAdjustments,2017FY,,FYR</t>
  </si>
  <si>
    <t>SHP.L,mscalc:priceToEarningsBeforeOperatingLeaseAdjustments,2018FY,,FYR</t>
  </si>
  <si>
    <t>NOVOb.CO,mscalc:priceToEarningsBeforeOperatingLeaseAdjustments,2021FY,,FYR</t>
  </si>
  <si>
    <t>SHP.L,mscalc:priceToEarningsBeforeOperatingLeaseAdjustments,2021FY,,FYR</t>
  </si>
  <si>
    <t>AZN.L,mscalc:priceToEarningsBeforeOperatingLeaseAdjustments,2019FY,,FYR</t>
  </si>
  <si>
    <t>NOVN.S,mscalc:priceToEarningsBeforeOperatingLeaseAdjustments,2018FY,,FYR</t>
  </si>
  <si>
    <t>BAYGn.DE,mscalc:priceToEarningsBeforeOperatingLeaseAdjustments,2018FY,,FYR</t>
  </si>
  <si>
    <t>ESSI.PA,mscalc:evpretaxOperatingProfitPtop,2020FY,,FYR</t>
  </si>
  <si>
    <t>SASY.PA,mscalc:priceToEarningsBeforeOperatingLeaseAdjustments,2019FY,,FYR</t>
  </si>
  <si>
    <t>AZN.L,mstag:revenueNet,2018FY,,FYR</t>
  </si>
  <si>
    <t>IPN.PA,mstag:revenueNet,2021FY,,FYR</t>
  </si>
  <si>
    <t>SHP.L,mstag:revenueNet,2018FY,,FYR</t>
  </si>
  <si>
    <t>SHP.L,mstag:revenueNet,2021FY,,FYR</t>
  </si>
  <si>
    <t>ESSI.PA,mscalc:epsForConsensusForThomsonFeed,2021FY,,FYR</t>
  </si>
  <si>
    <t>GRFS.O,mscalc:epsForConsensusForThomsonFeed,2021FY,,FYR</t>
  </si>
  <si>
    <t>ROG.S,mstag:revenueNet,2019FY,,FYR</t>
  </si>
  <si>
    <t>BAYGn.DE,mscalc:epsForConsensusForThomsonFeed,2019FY,,FYR</t>
  </si>
  <si>
    <t>GSK.L,mstag:revenueNet,2018FY,,FYR</t>
  </si>
  <si>
    <t>ROG.S,mstag:revenueNet,2018FY,,FYR</t>
  </si>
  <si>
    <t>GRFS.O,mstag:revenueNet,2018FY,,FYR</t>
  </si>
  <si>
    <t>PRGO.N,mscalc:epsForConsensusForThomsonFeed,2018FY,,FYR</t>
  </si>
  <si>
    <t>AGN.N,mstag:revenueNet,2018FY,,FYR</t>
  </si>
  <si>
    <t>HIK.L,mstag:revenueNet,2021FY,,FYR</t>
  </si>
  <si>
    <t>IPN.PA,mscalc:epsForConsensusForThomsonFeed,2021FY,,FYR</t>
  </si>
  <si>
    <t>MYL.O,mscalc:epsForConsensusForThomsonFeed,2018FY,,FYR</t>
  </si>
  <si>
    <t>PRGO.N,mscalc:epsForConsensusForThomsonFeed,2019FY,,FYR</t>
  </si>
  <si>
    <t>ROG.S,mscalc:epsForConsensusForThomsonFeed,2019FY,,FYR</t>
  </si>
  <si>
    <t>IPN.PA,mscalc:epsForConsensusForThomsonFeed,2019FY,,FYR</t>
  </si>
  <si>
    <t>NOVN.S,mstag:revenueNet,2021FY,,FYR</t>
  </si>
  <si>
    <t>NOVOb.CO,mscalc:epsForConsensusForThomsonFeed,2018FY,,FYR</t>
  </si>
  <si>
    <t>HIK.L,mscalc:epsForConsensusForThomsonFeed,2018FY,,FYR</t>
  </si>
  <si>
    <t>IPN.PA,mstag:revenueNet,2019FY,,FYR</t>
  </si>
  <si>
    <t>NOVN.S,mstag:revenueNet,2018FY,,FYR</t>
  </si>
  <si>
    <t>IPN.PA,mscalc:epsForConsensusForThomsonFeed,2018FY,,FYR</t>
  </si>
  <si>
    <t>MYL.O,mstag:revenueNet,2019FY,,FYR</t>
  </si>
  <si>
    <t>NOVOb.CO,mscalc:epsForConsensusForThomsonFeed,2021FY,,FYR</t>
  </si>
  <si>
    <t>ROG.S,mstag:revenueNet,2021FY,,FYR</t>
  </si>
  <si>
    <t>AGN.N,mscalc:epsForConsensusForThomsonFeed,2018FY,,FYR</t>
  </si>
  <si>
    <t>MRCG.DE,mstag:revenueNet,2019FY,,FYR</t>
  </si>
  <si>
    <t>MYL.O,mstag:revenueNet,2018FY,,FYR</t>
  </si>
  <si>
    <t>MYL.O,mstag:revenueNet,2021FY,,FYR</t>
  </si>
  <si>
    <t>SHP.L,mscalc:epsForConsensusForThomsonFeed,2021FY,,FYR</t>
  </si>
  <si>
    <t>ROG.S,mscalc:epsForConsensusForThomsonFeed,2018FY,,FYR</t>
  </si>
  <si>
    <t>ESSI.PA,mscalc:marketCapitalizationCurrent,,,,USD</t>
  </si>
  <si>
    <t>SASY.PA,mstag:revenueNet,2021FY,,FYR</t>
  </si>
  <si>
    <t>UCB.BR,mscalc:epsForConsensusForThomsonFeed,2019FY,,FYR</t>
  </si>
  <si>
    <t>MRCG.DE,mscalc:epsForConsensusForThomsonFeed,2019FY,,FYR</t>
  </si>
  <si>
    <t>UCB.BR,mscalc:epsForConsensusForThomsonFeed,2018FY,,FYR</t>
  </si>
  <si>
    <t>GSK.L,mscalc:epsForConsensusForThomsonFeed,2018FY,,FYR</t>
  </si>
  <si>
    <t>GSK.L,mscalc:epsForConsensusForThomsonFeed,2019FY,,FYR</t>
  </si>
  <si>
    <t>GRFS.O,mscalc:epsForConsensusForThomsonFeed,2019FY,,FYR</t>
  </si>
  <si>
    <t>UCB.BR,mscalc:epsForConsensusForThomsonFeed,2021FY,,FYR</t>
  </si>
  <si>
    <t>AZN.L,mstag:revenueNet,2021FY,,FYR</t>
  </si>
  <si>
    <t>AGN.N,mstag:revenueNet,2021FY,,FYR</t>
  </si>
  <si>
    <t>SASY.PA,mscalc:epsForConsensusForThomsonFeed,2019FY,,FYR</t>
  </si>
  <si>
    <t>HIK.L,mscalc:epsForConsensusForThomsonFeed,2019FY,,FYR</t>
  </si>
  <si>
    <t>NOVN.S,mscalc:epsForConsensusForThomsonFeed,2018FY,,FYR</t>
  </si>
  <si>
    <t>IPN.PA,mstag:revenueNet,2018FY,,FYR</t>
  </si>
  <si>
    <t>AZN.L,mstag:revenueNet,2019FY,,FYR</t>
  </si>
  <si>
    <t>GSK.L,mstag:revenueNet,2019FY,,FYR</t>
  </si>
  <si>
    <t>INDV.L,mstag:revenueNet,2019FY,,FYR</t>
  </si>
  <si>
    <t>AZN.L,mscalc:epsForConsensusForThomsonFeed,2021FY,,FYR</t>
  </si>
  <si>
    <t>PRGO.N,mstag:revenueNet,2019FY,,FYR</t>
  </si>
  <si>
    <t>MRCG.DE,mscalc:epsForConsensusForThomsonFeed,2018FY,,FYR</t>
  </si>
  <si>
    <t>SASY.PA,mstag:revenueNet,2019FY,,FYR</t>
  </si>
  <si>
    <t>AGN.N,mscalc:epsForConsensusForThomsonFeed,2019FY,,FYR</t>
  </si>
  <si>
    <t>INDV.L,mstag:revenueNet,2021FY,,FYR</t>
  </si>
  <si>
    <t>BAYGn.DE,mscalc:epsForConsensusForThomsonFeed,2021FY,,FYR</t>
  </si>
  <si>
    <t>BAYGn.DE,mstag:revenueNet,2018FY,,FYR</t>
  </si>
  <si>
    <t>INDV.L,mstag:revenueNet,2018FY,,FYR</t>
  </si>
  <si>
    <t>AZN.L,mscalc:epsForConsensusForThomsonFeed,2018FY,,FYR</t>
  </si>
  <si>
    <t>PRGO.N,mscalc:epsForConsensusForThomsonFeed,2021FY,,FYR</t>
  </si>
  <si>
    <t>SHP.L,mstag:revenueNet,2019FY,,FYR</t>
  </si>
  <si>
    <t>PRGO.N,mstag:revenueNet,2018FY,,FYR</t>
  </si>
  <si>
    <t>NOVN.S,mscalc:sharePriceCurrent</t>
  </si>
  <si>
    <t>NOVN.S,mscalc:epsForConsensusForThomsonFeed,2019FY,,FYR</t>
  </si>
  <si>
    <t>AZN.L,mscalc:epsForConsensusForThomsonFeed,2019FY,,FYR</t>
  </si>
  <si>
    <t>SASY.PA,mstag:revenueNet,2018FY,,FYR</t>
  </si>
  <si>
    <t>UCB.BR,mstag:revenueNet,2018FY,,FYR</t>
  </si>
  <si>
    <t>PRGO.N,mstag:revenueNet,2021FY,,FYR</t>
  </si>
  <si>
    <t>SASY.PA,mscalc:epsForConsensusForThomsonFeed,2018FY,,FYR</t>
  </si>
  <si>
    <t>BAYGn.DE,mscalc:epsForConsensusForThomsonFeed,2018FY,,FYR</t>
  </si>
  <si>
    <t>GRFS.O,mstag:revenueNet,2019FY,,FYR</t>
  </si>
  <si>
    <t>ESSI.PA,mscalc:epsForConsensusForThomsonFeed,2019FY,,FYR</t>
  </si>
  <si>
    <t>BAYGn.DE,mstag:revenueNet,2019FY,,FYR</t>
  </si>
  <si>
    <t>AGN.N,mstag:revenueNet,2019FY,,FYR</t>
  </si>
  <si>
    <t>UCB.BR,mstag:revenueNet,2019FY,,FYR</t>
  </si>
  <si>
    <t>NOVOb.CO,mstag:revenueNet,2018FY,,FYR</t>
  </si>
  <si>
    <t>NOVOb.CO,mstag:revenueNet,2021FY,,FYR</t>
  </si>
  <si>
    <t>MYL.O,mscalc:epsForConsensusForThomsonFeed,2021FY,,FYR</t>
  </si>
  <si>
    <t>INDV.L,mscalc:epsForConsensusForThomsonFeed,2021FY,,FYR</t>
  </si>
  <si>
    <t>NOVN.S,mstag:revenueNet,2019FY,,FYR</t>
  </si>
  <si>
    <t>ESSI.PA,mstag:revenueNet,2019FY,,FYR</t>
  </si>
  <si>
    <t>NOVOb.CO,mstag:revenueNet,2019FY,,FYR</t>
  </si>
  <si>
    <t>INDV.L,mscalc:epsForConsensusForThomsonFeed,2018FY,,FYR</t>
  </si>
  <si>
    <t>HIK.L,mstag:revenueNet,2018FY,,FYR</t>
  </si>
  <si>
    <t>GRFS.O,mstag:revenueNet,2021FY,,FYR</t>
  </si>
  <si>
    <t>HIK.L,mscalc:epsForConsensusForThomsonFeed,2021FY,,FYR</t>
  </si>
  <si>
    <t>MYL.O,mscalc:epsForConsensusForThomsonFeed,2019FY,,FYR</t>
  </si>
  <si>
    <t>MRCG.DE,mstag:revenueNet,2021FY,,FYR</t>
  </si>
  <si>
    <t>NOVOb.CO,mscalc:epsForConsensusForThomsonFeed,2019FY,,FYR</t>
  </si>
  <si>
    <t>ESSI.PA,mstag:revenueNet,2018FY,,FYR</t>
  </si>
  <si>
    <t>AGN.N,mscalc:epsForConsensusForThomsonFeed,2021FY,,FYR</t>
  </si>
  <si>
    <t>GSK.L,mscalc:epsForConsensusForThomsonFeed,2021FY,,FYR</t>
  </si>
  <si>
    <t>NOVN.S,mscalc:epsForConsensusForThomsonFeed,2021FY,,FYR</t>
  </si>
  <si>
    <t>ESSI.PA,mstag:revenueNet,2021FY,,FYR</t>
  </si>
  <si>
    <t>HIK.L,mstag:revenueNet,2019FY,,FYR</t>
  </si>
  <si>
    <t>ROG.S,mscalc:epsForConsensusForThomsonFeed,2021FY,,FYR</t>
  </si>
  <si>
    <t>SASY.PA,mscalc:epsForConsensusForThomsonFeed,2021FY,,FYR</t>
  </si>
  <si>
    <t>SHP.L,mscalc:epsForConsensusForThomsonFeed,2019FY,,FYR</t>
  </si>
  <si>
    <t>ESSI.PA,mscalc:epsForConsensusForThomsonFeed,2018FY,,FYR</t>
  </si>
  <si>
    <t>INDV.L,mscalc:epsForConsensusForThomsonFeed,2019FY,,FYR</t>
  </si>
  <si>
    <t>GSK.L,mstag:revenueNet,2021FY,,FYR</t>
  </si>
  <si>
    <t>MRCG.DE,mscalc:epsForConsensusForThomsonFeed,2021FY,,FYR</t>
  </si>
  <si>
    <t>GRFS.O,mscalc:epsForConsensusForThomsonFeed,2018FY,,FYR</t>
  </si>
  <si>
    <t>SHP.L,mscalc:epsForConsensusForThomsonFeed,2018FY,,FYR</t>
  </si>
  <si>
    <t>BAYGn.DE,mstag:revenueNet,2021FY,,FYR</t>
  </si>
  <si>
    <t>UCB.BR,mstag:revenueNet,2021FY,,FYR</t>
  </si>
  <si>
    <t>MRCG.DE,mstag:revenueNet,2018FY,,FYR</t>
  </si>
  <si>
    <t>$IV$5</t>
  </si>
  <si>
    <t>50/50 weighting DCF &amp; comps</t>
  </si>
  <si>
    <t>Average</t>
  </si>
  <si>
    <t>Change in TP contribution</t>
  </si>
  <si>
    <t>Old</t>
  </si>
  <si>
    <t>New</t>
  </si>
  <si>
    <t>% chg</t>
  </si>
  <si>
    <t>Contribution</t>
  </si>
  <si>
    <t>TP</t>
  </si>
  <si>
    <t>Amount</t>
  </si>
  <si>
    <t>Old TP</t>
  </si>
  <si>
    <t>SOTP</t>
  </si>
  <si>
    <t>Other Ophthalmology drugs</t>
  </si>
  <si>
    <t>Other neuroscience</t>
  </si>
  <si>
    <t>Erenumab (AMG334)</t>
  </si>
  <si>
    <t>Diluted shares (only for MW purpose)</t>
  </si>
  <si>
    <t>NPV/share</t>
  </si>
  <si>
    <t>CGRP antagonist)- Migraine</t>
  </si>
  <si>
    <t>erenumab (AMG334)</t>
  </si>
  <si>
    <r>
      <t>RTH258</t>
    </r>
    <r>
      <rPr>
        <sz val="11"/>
        <rFont val="Segoe UI"/>
        <family val="2"/>
      </rPr>
      <t xml:space="preserve"> (brolucizumab)</t>
    </r>
  </si>
  <si>
    <t>RTH258 (brolucizumab)</t>
  </si>
  <si>
    <t>Sum NPV/share - key products/divisions</t>
  </si>
  <si>
    <t>Sum NPV/share - pipeline</t>
  </si>
  <si>
    <t>Total NPV/share</t>
  </si>
  <si>
    <t>Bullcase pipeline upside</t>
  </si>
  <si>
    <t>Bull/Base/Bear NPV/share bar chart</t>
  </si>
  <si>
    <t>Marketed</t>
  </si>
  <si>
    <t>Innovative Medicines (cc)</t>
  </si>
  <si>
    <t>Sandoz (cc)</t>
  </si>
  <si>
    <t>Alcon (cc)</t>
  </si>
  <si>
    <t>ACZ885 (canakinumab)</t>
  </si>
  <si>
    <t xml:space="preserve">slight increase </t>
  </si>
  <si>
    <t>% change CER</t>
  </si>
  <si>
    <t>CAGR 18-22e</t>
  </si>
  <si>
    <t>1Q18</t>
  </si>
  <si>
    <t>2Q18</t>
  </si>
  <si>
    <t>3Q18</t>
  </si>
  <si>
    <t>4Q18</t>
  </si>
  <si>
    <t>NM</t>
  </si>
  <si>
    <t>low to mid single digit</t>
  </si>
  <si>
    <t>mid to high single digit</t>
  </si>
  <si>
    <t>broadly in line to a slight decline</t>
  </si>
  <si>
    <t>NOVN.S,mstag:costOfSalesWithDepreciation,2017FY,,FYR</t>
  </si>
  <si>
    <t>NOVN.S,mstag:revenueNet,2022FY,,FYR</t>
  </si>
  <si>
    <t>NOVN.S,mstag:costOfSalesWithDepreciation,2022FY,,FYR</t>
  </si>
  <si>
    <t>NOVN.S,mstag:costOfSalesWithDepreciation,2021FY,,FYR</t>
  </si>
  <si>
    <t>NOVN.S,mstag:costOfSalesWithDepreciation,2020FY,,FYR</t>
  </si>
  <si>
    <t>NOVN.S,mstag:costOfSalesWithDepreciation,2018FY,,FYR</t>
  </si>
  <si>
    <t>NOVN.S,mstag:costOfSalesWithDepreciation,2019FY,,FYR</t>
  </si>
  <si>
    <t>13,557</t>
  </si>
  <si>
    <t>49,109</t>
  </si>
  <si>
    <t>NOVN.S,mstag:researchAndDevelopment,2019FY,,FYR</t>
  </si>
  <si>
    <t>NOVN.S,mstag:researchAndDevelopment,2022FY,,FYR</t>
  </si>
  <si>
    <t>NOVN.S,mstag:sellingGeneralAndAdministrativeExpenses,2020FY,,FYR</t>
  </si>
  <si>
    <t>NOVN.S,mstag:researchAndDevelopment,2018FY,,FYR</t>
  </si>
  <si>
    <t>NOVN.S,mstag:sellingGeneralAndAdministrativeExpenses,2019FY,,FYR</t>
  </si>
  <si>
    <t>NOVN.S,mstag:sellingGeneralAndAdministrativeExpenses,2018FY,,FYR</t>
  </si>
  <si>
    <t>NOVN.S,mstag:sellingGeneralAndAdministrativeExpenses,2021FY,,FYR</t>
  </si>
  <si>
    <t>NOVN.S,mstag:researchAndDevelopment,2021FY,,FYR</t>
  </si>
  <si>
    <t>NOVN.S,mstag:sellingGeneralAndAdministrativeExpenses,2017FY,,FYR</t>
  </si>
  <si>
    <t>NOVN.S,mstag:researchAndDevelopment,2017FY,,FYR</t>
  </si>
  <si>
    <t>NOVN.S,mstag:researchAndDevelopment,2020FY,,FYR</t>
  </si>
  <si>
    <t>NOVN.S,mstag:sellingGeneralAndAdministrativeExpenses,2022FY,,FYR</t>
  </si>
  <si>
    <t>15,000</t>
  </si>
  <si>
    <t>8,313</t>
  </si>
  <si>
    <t>NOVN.S,mscalc:netDebtToEBITDAForConsensus,2020FY,,FYR</t>
  </si>
  <si>
    <t>NOVN.S,mscalc:pretaxOperatingprofitForConsensus,2019FY,,FYR</t>
  </si>
  <si>
    <t>NOVN.S,mscalc:DebtNet,2017FY,,FYR</t>
  </si>
  <si>
    <t>NOVN.S,mscalc:ebitdaBeforePensionOpebAndOperatingLeaseAdjustments,2020FY,,FYR</t>
  </si>
  <si>
    <t>NOVN.S,mscalc:netDebtToEBITDAForConsensus,2022FY,,FYR</t>
  </si>
  <si>
    <t>NOVN.S,mscalc:ebitdaBeforePensionOpebAndOperatingLeaseAdjustments,2017FY,,FYR</t>
  </si>
  <si>
    <t>NOVN.S,mscalc:DebtNet,2021FY,,FYR</t>
  </si>
  <si>
    <t>NOVN.S,mscalc:DebtNet,2019FY,,FYR</t>
  </si>
  <si>
    <t>NOVN.S,mscalc:pretaxOperatingprofitForConsensus,2022FY,,FYR</t>
  </si>
  <si>
    <t>NOVN.S,mscalc:ebitdaBeforePensionOpebAndOperatingLeaseAdjustments,2022FY,,FYR</t>
  </si>
  <si>
    <t>NOVN.S,mscalc:DebtNet,2022FY,,FYR</t>
  </si>
  <si>
    <t>NOVN.S,mscalc:netDebtToEBITDAForConsensus,2021FY,,FYR</t>
  </si>
  <si>
    <t>NOVN.S,mscalc:dilutedEarningsPerShare,2017FY,,FYR</t>
  </si>
  <si>
    <t>NOVN.S,mscalc:netDebtToEBITDAForConsensus,2017FY,,FYR</t>
  </si>
  <si>
    <t>NOVN.S,mscalc:dilutedEarningsPerShare,2020FY,,FYR</t>
  </si>
  <si>
    <t>NOVN.S,mscalc:lastPublishedModelDateTime</t>
  </si>
  <si>
    <t>NOVN.S,mscalc:dilutedEarningsPerShare,2021FY,,FYR</t>
  </si>
  <si>
    <t>NOVN.S,mscalc:pretaxOperatingprofitForConsensus,2017FY,,FYR</t>
  </si>
  <si>
    <t>NOVN.S,mscalc:ebitdaBeforePensionOpebAndOperatingLeaseAdjustments,2019FY,,FYR</t>
  </si>
  <si>
    <t>NOVN.S,mscalc:dilutedEarningsPerShare,2019FY,,FYR</t>
  </si>
  <si>
    <t>NOVN.S,mscalc:ebitdaBeforePensionOpebAndOperatingLeaseAdjustments,2021FY,,FYR</t>
  </si>
  <si>
    <t>NOVN.S,mscalc:dilutedEarningsPerShare,2018FY,,FYR</t>
  </si>
  <si>
    <t>NOVN.S,mscalc:pretaxOperatingprofitForConsensus,2020FY,,FYR</t>
  </si>
  <si>
    <t>NOVN.S,mscalc:netDebtToEBITDAForConsensus,2019FY,,FYR</t>
  </si>
  <si>
    <t>NOVN.S,mscalc:pretaxOperatingprofitForConsensus,2021FY,,FYR</t>
  </si>
  <si>
    <t>NOVN.S,mscalc:DebtNet,2018FY,,FYR</t>
  </si>
  <si>
    <t>NOVN.S,mscalc:pretaxOperatingprofitForConsensus,2018FY,,FYR</t>
  </si>
  <si>
    <t>NOVN.S,mscalc:ebitdaBeforePensionOpebAndOperatingLeaseAdjustments,2018FY,,FYR</t>
  </si>
  <si>
    <t>NOVN.S,mscalc:DebtNet,2020FY,,FYR</t>
  </si>
  <si>
    <t>NOVN.S,mscalc:netDebtToEBITDAForConsensus,2018FY,,FYR</t>
  </si>
  <si>
    <t>NOVN.S,mscalc:dilutedEarningsPerShare,2022FY,,FYR</t>
  </si>
  <si>
    <t>4.85507246376812</t>
  </si>
  <si>
    <t>12,850</t>
  </si>
  <si>
    <t>FY18 guidance</t>
  </si>
  <si>
    <t>15.3395348837209</t>
  </si>
  <si>
    <t>15,940.7</t>
  </si>
  <si>
    <t>15.391135868249</t>
  </si>
  <si>
    <t>53,299</t>
  </si>
  <si>
    <t>16.3629707849349</t>
  </si>
  <si>
    <t>111,696</t>
  </si>
  <si>
    <t>18.8223877195476</t>
  </si>
  <si>
    <t>125,473.112109783</t>
  </si>
  <si>
    <t>11.8205343993267</t>
  </si>
  <si>
    <t>17.4326096828849</t>
  </si>
  <si>
    <t>9.99696217453407</t>
  </si>
  <si>
    <t>18.7224366058247</t>
  </si>
  <si>
    <t>21.7332887490165</t>
  </si>
  <si>
    <t>16.069587628866</t>
  </si>
  <si>
    <t>16.9045017624821</t>
  </si>
  <si>
    <t>20.8744504363112</t>
  </si>
  <si>
    <t>116,823.856766057</t>
  </si>
  <si>
    <t>16.3394852888782</t>
  </si>
  <si>
    <t>109,842.188620219</t>
  </si>
  <si>
    <t>135,062.767422776</t>
  </si>
  <si>
    <t>Alcon disposal</t>
  </si>
  <si>
    <t>market cap</t>
  </si>
  <si>
    <t>premium/discount vs sector</t>
  </si>
  <si>
    <t>Consumer disposal + buyback</t>
  </si>
  <si>
    <t>Alcon disposal + buyback</t>
  </si>
  <si>
    <t>(Consumer disposal + buyback) + Alcon disposal</t>
  </si>
  <si>
    <t>(Consumer disposal + buyback) + (Alcon disposal + buyback)</t>
  </si>
  <si>
    <t>PE</t>
  </si>
  <si>
    <t>EPS CAGR</t>
  </si>
  <si>
    <t>18-20</t>
  </si>
  <si>
    <t>Product NPV</t>
  </si>
  <si>
    <t>4.82446808510638</t>
  </si>
  <si>
    <t>5,268.05028</t>
  </si>
  <si>
    <t>4.36</t>
  </si>
  <si>
    <t>5,033.697779</t>
  </si>
  <si>
    <t>5.54609795395862</t>
  </si>
  <si>
    <t>4,530</t>
  </si>
  <si>
    <t>1.17719773693968</t>
  </si>
  <si>
    <t>2,011.7</t>
  </si>
  <si>
    <t>8,756.130492</t>
  </si>
  <si>
    <t>3.76415512114886</t>
  </si>
  <si>
    <t>16,536.3175225</t>
  </si>
  <si>
    <t>11,907.7</t>
  </si>
  <si>
    <t>4,925.6</t>
  </si>
  <si>
    <t>6.74064985100287</t>
  </si>
  <si>
    <t>5.0483552631579</t>
  </si>
  <si>
    <t>15,327</t>
  </si>
  <si>
    <t>8.26407419950746</t>
  </si>
  <si>
    <t>13.7175744211687</t>
  </si>
  <si>
    <t>4.5560421131091</t>
  </si>
  <si>
    <t>6.15869365225391</t>
  </si>
  <si>
    <t>19.7590638507548</t>
  </si>
  <si>
    <t>22.8371559633027</t>
  </si>
  <si>
    <t>30,186</t>
  </si>
  <si>
    <t>6.74489199244559</t>
  </si>
  <si>
    <t>7,490</t>
  </si>
  <si>
    <t>35,015</t>
  </si>
  <si>
    <t>4.28357030015798</t>
  </si>
  <si>
    <t>5,381.5331582</t>
  </si>
  <si>
    <t>4.93106472548676</t>
  </si>
  <si>
    <t>6.24826283255146</t>
  </si>
  <si>
    <t>4.49584817876626</t>
  </si>
  <si>
    <t>15.9008737022666</t>
  </si>
  <si>
    <t>11.5334867256637</t>
  </si>
  <si>
    <t>20,152</t>
  </si>
  <si>
    <t>111.829717560377</t>
  </si>
  <si>
    <t>38,704.3340753063</t>
  </si>
  <si>
    <t>10.4829229172035</t>
  </si>
  <si>
    <t>14.5728956606169</t>
  </si>
  <si>
    <t>13.2511403623094</t>
  </si>
  <si>
    <t>9.2865691206544</t>
  </si>
  <si>
    <t>15.4287794647169</t>
  </si>
  <si>
    <t>11.2660095109224</t>
  </si>
  <si>
    <t>30.5380613445378</t>
  </si>
  <si>
    <t>17.6756957882755</t>
  </si>
  <si>
    <t>13.4817183775596</t>
  </si>
  <si>
    <t>10.4472936706434</t>
  </si>
  <si>
    <t>11.826015739385</t>
  </si>
  <si>
    <t>16.1673180621366</t>
  </si>
  <si>
    <t>14.3480760157557</t>
  </si>
  <si>
    <t>11.6382424689006</t>
  </si>
  <si>
    <t>14.9025535420253</t>
  </si>
  <si>
    <t>10.9183112816442</t>
  </si>
  <si>
    <t>22.2211639656097</t>
  </si>
  <si>
    <t>17,054.374463161</t>
  </si>
  <si>
    <t>4.62222655851064</t>
  </si>
  <si>
    <t>9,424.417124268</t>
  </si>
  <si>
    <t>5,205.94395709</t>
  </si>
  <si>
    <t>7.40231695826992</t>
  </si>
  <si>
    <t>4.14704867087335</t>
  </si>
  <si>
    <t>39,564.6651193406</t>
  </si>
  <si>
    <t>3.84921888632529</t>
  </si>
  <si>
    <t>7.65813545808328</t>
  </si>
  <si>
    <t>8,145.63246</t>
  </si>
  <si>
    <t>16,026.17058</t>
  </si>
  <si>
    <t>7,595.229</t>
  </si>
  <si>
    <t>35,684.445836826</t>
  </si>
  <si>
    <t>6.13850028405874</t>
  </si>
  <si>
    <t>15,547.406</t>
  </si>
  <si>
    <t>5.7073001925625</t>
  </si>
  <si>
    <t>5.26969014496816</t>
  </si>
  <si>
    <t>6.85595196688713</t>
  </si>
  <si>
    <t>6.0153412933763</t>
  </si>
  <si>
    <t>4.8786416173014</t>
  </si>
  <si>
    <t>5.76721239102795</t>
  </si>
  <si>
    <t>5,219.88378</t>
  </si>
  <si>
    <t>4,807.6244</t>
  </si>
  <si>
    <t>8.73369113068106</t>
  </si>
  <si>
    <t>5.14884510425532</t>
  </si>
  <si>
    <t>5,072.042</t>
  </si>
  <si>
    <t>4,654.02</t>
  </si>
  <si>
    <t>37,294.3224263033</t>
  </si>
  <si>
    <t>EV</t>
  </si>
  <si>
    <t>EBIT (reporting currency)</t>
  </si>
  <si>
    <r>
      <t>OMB157</t>
    </r>
    <r>
      <rPr>
        <sz val="11"/>
        <rFont val="Segoe UI"/>
        <family val="2"/>
      </rPr>
      <t xml:space="preserve"> ofatumumab (anti CD20)</t>
    </r>
  </si>
  <si>
    <r>
      <t xml:space="preserve">QAW039 </t>
    </r>
    <r>
      <rPr>
        <sz val="11"/>
        <rFont val="Segoe UI"/>
        <family val="2"/>
      </rPr>
      <t>fevipiprant (CRTh2 antagonist)</t>
    </r>
  </si>
  <si>
    <r>
      <t>QVM149</t>
    </r>
    <r>
      <rPr>
        <sz val="11"/>
        <rFont val="Segoe UI"/>
        <family val="2"/>
      </rPr>
      <t xml:space="preserve"> (indacaterol, glycoppyrronium,</t>
    </r>
  </si>
  <si>
    <t>QUARTERLY FX (/USD)</t>
  </si>
  <si>
    <t>Name</t>
  </si>
  <si>
    <t>Q1 2011</t>
  </si>
  <si>
    <t>Q2 2011</t>
  </si>
  <si>
    <t>Q3 2011</t>
  </si>
  <si>
    <t>Q4 2011</t>
  </si>
  <si>
    <t>Q1 2012</t>
  </si>
  <si>
    <t>Q2 2012</t>
  </si>
  <si>
    <t>Q3 2012</t>
  </si>
  <si>
    <t>Q4 2012</t>
  </si>
  <si>
    <t>Q1 2013</t>
  </si>
  <si>
    <t>Q2 2013</t>
  </si>
  <si>
    <t>Q3 2013</t>
  </si>
  <si>
    <t>Q4 2013</t>
  </si>
  <si>
    <t>Q1 2014</t>
  </si>
  <si>
    <t>Q2 2014</t>
  </si>
  <si>
    <t>Q3 2014</t>
  </si>
  <si>
    <t>Q4 2014</t>
  </si>
  <si>
    <t>Q1 2015</t>
  </si>
  <si>
    <t>Q2 2015</t>
  </si>
  <si>
    <t>Q3 2015</t>
  </si>
  <si>
    <t>Q4 2015</t>
  </si>
  <si>
    <t>Q1 2016</t>
  </si>
  <si>
    <t>Q2 2016</t>
  </si>
  <si>
    <t>Q3 2016</t>
  </si>
  <si>
    <t>Q4 2016</t>
  </si>
  <si>
    <t>Q1 2017</t>
  </si>
  <si>
    <t>Q2 2017</t>
  </si>
  <si>
    <t>Q3 2017</t>
  </si>
  <si>
    <t>Q4 2017</t>
  </si>
  <si>
    <t>Q1 2018</t>
  </si>
  <si>
    <t>Q2 2018</t>
  </si>
  <si>
    <t>Q3 2018</t>
  </si>
  <si>
    <t>Q4 2018</t>
  </si>
  <si>
    <t>Q1 2019</t>
  </si>
  <si>
    <t>Q2 2019</t>
  </si>
  <si>
    <t>Q3 2019</t>
  </si>
  <si>
    <t>Q4 2019</t>
  </si>
  <si>
    <t>ANNUAL FX  (/USD)</t>
  </si>
  <si>
    <t>2011</t>
  </si>
  <si>
    <t>2012</t>
  </si>
  <si>
    <t>2013</t>
  </si>
  <si>
    <t>2014</t>
  </si>
  <si>
    <t>2016</t>
  </si>
  <si>
    <t>2017</t>
  </si>
  <si>
    <t>2018</t>
  </si>
  <si>
    <t>2,063.474924</t>
  </si>
  <si>
    <t>1,936</t>
  </si>
  <si>
    <t>1.11917290908988</t>
  </si>
  <si>
    <t>1.04564315352697</t>
  </si>
  <si>
    <t>14.6662357466489</t>
  </si>
  <si>
    <t>15,086</t>
  </si>
  <si>
    <t>14.3258197174016</t>
  </si>
  <si>
    <t>1.0721461523361</t>
  </si>
  <si>
    <t>1,981.1589</t>
  </si>
  <si>
    <t>0.831725997717842</t>
  </si>
  <si>
    <t>1,920.05</t>
  </si>
  <si>
    <t>1.19445348627817</t>
  </si>
  <si>
    <t>2,144.29181544</t>
  </si>
  <si>
    <t>FX</t>
  </si>
  <si>
    <t>Spot</t>
  </si>
  <si>
    <t>Type</t>
  </si>
  <si>
    <t>X</t>
  </si>
  <si>
    <t>USARGEN</t>
  </si>
  <si>
    <t>USAUSTR</t>
  </si>
  <si>
    <t>USBRAZL</t>
  </si>
  <si>
    <t>USCDNDL</t>
  </si>
  <si>
    <t>USCHINY</t>
  </si>
  <si>
    <t>USDANKR</t>
  </si>
  <si>
    <t>USEURO.</t>
  </si>
  <si>
    <t>USINDNR</t>
  </si>
  <si>
    <t>USJAPYN</t>
  </si>
  <si>
    <t>USSKORW</t>
  </si>
  <si>
    <t>USMEXPF</t>
  </si>
  <si>
    <t>USSARCM</t>
  </si>
  <si>
    <t>USBRITP</t>
  </si>
  <si>
    <t>USRUSSR</t>
  </si>
  <si>
    <t>USINDON</t>
  </si>
  <si>
    <t>USTURKL</t>
  </si>
  <si>
    <t>USSWISF</t>
  </si>
  <si>
    <t>USTAIWD</t>
  </si>
  <si>
    <t>USSAUDR</t>
  </si>
  <si>
    <t>USTHAIB</t>
  </si>
  <si>
    <t>CQA#(USARGEN)</t>
  </si>
  <si>
    <t>CQA#(USAUSTR)</t>
  </si>
  <si>
    <t>CQA#(USBRAZL)</t>
  </si>
  <si>
    <t>CQA#(USCDNDL)</t>
  </si>
  <si>
    <t>CQA#(USCHINY)</t>
  </si>
  <si>
    <t>CQA#(USDANKR)</t>
  </si>
  <si>
    <t>CQA#(USEURO.)</t>
  </si>
  <si>
    <t>CQA#(USINDNR)</t>
  </si>
  <si>
    <t>CQA#(USJAPYN)</t>
  </si>
  <si>
    <t>CQA#(USSKORW)</t>
  </si>
  <si>
    <t>CQA#(USMEXPF)</t>
  </si>
  <si>
    <t>CQA#(USSARCM)</t>
  </si>
  <si>
    <t>CQA#(USBRITP)</t>
  </si>
  <si>
    <t>CQA#(USRUSSR)</t>
  </si>
  <si>
    <t>CQA#(USINDON)</t>
  </si>
  <si>
    <t>CQA#(USTURKL)</t>
  </si>
  <si>
    <t>CQA#(USSWISF)</t>
  </si>
  <si>
    <t>CQA#(USTAIWD)</t>
  </si>
  <si>
    <t>CQA#(USSAUDR)</t>
  </si>
  <si>
    <t>CQA#(USTHAIB)</t>
  </si>
  <si>
    <t>CYA#(USARGEN)</t>
  </si>
  <si>
    <t>CYA#(USAUSTR)</t>
  </si>
  <si>
    <t>CYA#(USBRAZL)</t>
  </si>
  <si>
    <t>CYA#(USCDNDL)</t>
  </si>
  <si>
    <t>CYA#(USCHINY)</t>
  </si>
  <si>
    <t>CYA#(USDANKR)</t>
  </si>
  <si>
    <t>CYA#(USEURO.)</t>
  </si>
  <si>
    <t>CYA#(USINDNR)</t>
  </si>
  <si>
    <t>CYA#(USJAPYN)</t>
  </si>
  <si>
    <t>CYA#(USSKORW)</t>
  </si>
  <si>
    <t>CYA#(USMEXPF)</t>
  </si>
  <si>
    <t>CYA#(USSARCM)</t>
  </si>
  <si>
    <t>CYA#(USBRITP)</t>
  </si>
  <si>
    <t>CYA#(USRUSSR)</t>
  </si>
  <si>
    <t>CYA#(USINDON)</t>
  </si>
  <si>
    <t>CYA#(USTURKL)</t>
  </si>
  <si>
    <t>CYA#(USSWISF)</t>
  </si>
  <si>
    <t>CYA#(USTAIWD)</t>
  </si>
  <si>
    <t>CYA#(USSAUDR)</t>
  </si>
  <si>
    <t>CYA#(USTHAIB)</t>
  </si>
  <si>
    <t>EUR/USD</t>
  </si>
  <si>
    <t>JPY/USD</t>
  </si>
  <si>
    <t>Pesos (Arg)/USD</t>
  </si>
  <si>
    <t>Real (Brazil)/USD</t>
  </si>
  <si>
    <t>Pesos (Mex)/USD</t>
  </si>
  <si>
    <t>Rupee (India)/USD</t>
  </si>
  <si>
    <t>Ruble/USD</t>
  </si>
  <si>
    <t>NOVN Spot FX (/USD)</t>
  </si>
  <si>
    <t>NOVN Quarterly FX (/USD)</t>
  </si>
  <si>
    <t>NOVN Annual FX (/USD)</t>
  </si>
  <si>
    <t>USD/EUR</t>
  </si>
  <si>
    <t>1Q18 MSe</t>
  </si>
  <si>
    <t>AVXS-101 (SMA gene therapy)</t>
  </si>
  <si>
    <t>18,926</t>
  </si>
  <si>
    <t>16,804</t>
  </si>
  <si>
    <t>++</t>
  </si>
  <si>
    <t>1,093</t>
  </si>
  <si>
    <t>0.202813383750673</t>
  </si>
  <si>
    <t>874.892164</t>
  </si>
  <si>
    <t>0.360730117758343</t>
  </si>
  <si>
    <t>24,133.703215</t>
  </si>
  <si>
    <t>9.30729458991889</t>
  </si>
  <si>
    <t>4.78454722366138</t>
  </si>
  <si>
    <t>15.3031100731011</t>
  </si>
  <si>
    <t>17.059566092456</t>
  </si>
  <si>
    <t>1,159.82</t>
  </si>
  <si>
    <t>4.05171636849763</t>
  </si>
  <si>
    <t>0.381216924388295</t>
  </si>
  <si>
    <t>0.266076521968376</t>
  </si>
  <si>
    <t>21,060.92</t>
  </si>
  <si>
    <t>955.49928916</t>
  </si>
  <si>
    <t>26,234.11932</t>
  </si>
  <si>
    <t>22,426.7506</t>
  </si>
  <si>
    <t>1,120.6066</t>
  </si>
  <si>
    <t>0.380302448383189</t>
  </si>
  <si>
    <t>5.67375092242243</t>
  </si>
  <si>
    <t>3.48485844296998</t>
  </si>
  <si>
    <t>Acquired with AveXis</t>
  </si>
  <si>
    <t>Gene therapy - SMA</t>
  </si>
  <si>
    <t>Not Approvedl</t>
  </si>
  <si>
    <t>Approved for SMA 1-2 in the US, EU, Japan</t>
  </si>
  <si>
    <t>High penetration</t>
  </si>
  <si>
    <t>USD/JPY</t>
  </si>
  <si>
    <t>USD/CNY</t>
  </si>
  <si>
    <t>USD/GBP</t>
  </si>
  <si>
    <t>USD/CAD</t>
  </si>
  <si>
    <t>CAD/USD</t>
  </si>
  <si>
    <t>CNY/USD</t>
  </si>
  <si>
    <t>Other currencies</t>
  </si>
  <si>
    <t>% FX impact</t>
  </si>
  <si>
    <t>39,637.639977</t>
  </si>
  <si>
    <t>For MW Purpose</t>
  </si>
  <si>
    <t>% of Sandoz sales</t>
  </si>
  <si>
    <t>Biopharmaceuticals (inc. Biosimilars)</t>
  </si>
  <si>
    <t>92</t>
  </si>
  <si>
    <t>Ophthalmic OTC</t>
  </si>
  <si>
    <t>Consumables</t>
  </si>
  <si>
    <t>Implantables</t>
  </si>
  <si>
    <t>Equipment/Other</t>
  </si>
  <si>
    <t>Core SG&amp;A</t>
  </si>
  <si>
    <t>Exceptionals in SG&amp;A</t>
  </si>
  <si>
    <t>Reported SG&amp;A</t>
  </si>
  <si>
    <t>Core SG&amp;A (continuing)</t>
  </si>
  <si>
    <t>Core SG&amp;A (discontinued)</t>
  </si>
  <si>
    <t>Core SG&amp;A (total)</t>
  </si>
  <si>
    <t>Reported  SG&amp;A (cont)</t>
  </si>
  <si>
    <t>Reported SG&amp;A (discontinued)</t>
  </si>
  <si>
    <t>Reported SG&amp;A (total)</t>
  </si>
  <si>
    <t>$780-800m</t>
  </si>
  <si>
    <t>Currency effect (guidance mid April)</t>
  </si>
  <si>
    <t>Slight increase vs FY17 (15.3%)</t>
  </si>
  <si>
    <t>Consensus - 17 Apr 2018 (pre-1Q18)</t>
  </si>
  <si>
    <t>Link to website</t>
  </si>
  <si>
    <t>54,916.3966751244</t>
  </si>
  <si>
    <t>56,877.4975017174</t>
  </si>
  <si>
    <t>52,461.6428503958</t>
  </si>
  <si>
    <t>58,027.8110341417</t>
  </si>
  <si>
    <t>53,325.7408465096</t>
  </si>
  <si>
    <t>15,124.5570049957</t>
  </si>
  <si>
    <t>15,181.6306273379</t>
  </si>
  <si>
    <t>14,867.647285625</t>
  </si>
  <si>
    <t>14,552.7194787612</t>
  </si>
  <si>
    <t>14,361.152314909</t>
  </si>
  <si>
    <t>9,067.08579519792</t>
  </si>
  <si>
    <t>9,608.06990361731</t>
  </si>
  <si>
    <t>15,805.044795943</t>
  </si>
  <si>
    <t>15,343.8141889146</t>
  </si>
  <si>
    <t>8,972.86969202661</t>
  </si>
  <si>
    <t>15,545.0006122406</t>
  </si>
  <si>
    <t>15,474.0084680269</t>
  </si>
  <si>
    <t>9,466.86407844829</t>
  </si>
  <si>
    <t>9,327.8005071053</t>
  </si>
  <si>
    <t>15,810.195176374</t>
  </si>
  <si>
    <t>18,341.1002633982</t>
  </si>
  <si>
    <t>6.03206485341093</t>
  </si>
  <si>
    <t>14,948.4272275573</t>
  </si>
  <si>
    <t>0.141165272478132</t>
  </si>
  <si>
    <t>14,446.2333114816</t>
  </si>
  <si>
    <t>22,536.1031826781</t>
  </si>
  <si>
    <t>(22,318.6044274797)</t>
  </si>
  <si>
    <t>(3,227.74677335741)</t>
  </si>
  <si>
    <t>24,846.8793709591</t>
  </si>
  <si>
    <t>(33,638.2736167357)</t>
  </si>
  <si>
    <t>4.8550724637681</t>
  </si>
  <si>
    <t>1.00639332135687</t>
  </si>
  <si>
    <t>4/13/2018 6:16:42</t>
  </si>
  <si>
    <t>21,222.6312825578</t>
  </si>
  <si>
    <t>6.51385143377605</t>
  </si>
  <si>
    <t>5.51014431317999</t>
  </si>
  <si>
    <t>23,695.4296784661</t>
  </si>
  <si>
    <t>5.32813582801721</t>
  </si>
  <si>
    <t>17,268.7794041335</t>
  </si>
  <si>
    <t>5,419.83371618593</t>
  </si>
  <si>
    <t>16,187.0131322115</t>
  </si>
  <si>
    <t>20,629.541217312</t>
  </si>
  <si>
    <t>(12,300.5783932263)</t>
  </si>
  <si>
    <t>0.425347245654246</t>
  </si>
  <si>
    <t>7.00138504910584</t>
  </si>
  <si>
    <t>Sales NPV</t>
  </si>
  <si>
    <t>Sales tab</t>
  </si>
  <si>
    <t>Includes other cardiometabolics</t>
  </si>
  <si>
    <t>11.9817552866376</t>
  </si>
  <si>
    <t>13.7790797509954</t>
  </si>
  <si>
    <t>10.8206269282422</t>
  </si>
  <si>
    <t>186,655.904457944</t>
  </si>
  <si>
    <t>10.5070934992943</t>
  </si>
  <si>
    <t>10.6139171683125</t>
  </si>
  <si>
    <t>13.249872188355</t>
  </si>
  <si>
    <t>21.2940803510582</t>
  </si>
  <si>
    <t>11.5907125302376</t>
  </si>
  <si>
    <t>55,901.656485282</t>
  </si>
  <si>
    <t>43,957.32344</t>
  </si>
  <si>
    <t>11,753.6275096977</t>
  </si>
  <si>
    <t>191,691.547410688</t>
  </si>
  <si>
    <t>10.1686891071852</t>
  </si>
  <si>
    <t>11.792600698587</t>
  </si>
  <si>
    <t>17.2667157855952</t>
  </si>
  <si>
    <t>30,963.6757002101</t>
  </si>
  <si>
    <t>107,057.65444255</t>
  </si>
  <si>
    <t>127,189.659887236</t>
  </si>
  <si>
    <t>107,136.289824127</t>
  </si>
  <si>
    <t>14.4068134706274</t>
  </si>
  <si>
    <t>15.8091943547947</t>
  </si>
  <si>
    <t>16.3915512931001</t>
  </si>
  <si>
    <t>9.70196001016662</t>
  </si>
  <si>
    <t>10.2532855417507</t>
  </si>
  <si>
    <t>21,900.6865</t>
  </si>
  <si>
    <t>14.3704740828362</t>
  </si>
  <si>
    <t>12.9923405748436</t>
  </si>
  <si>
    <t>12.0347714394161</t>
  </si>
  <si>
    <t>12.944002022808</t>
  </si>
  <si>
    <t>11.2260063537852</t>
  </si>
  <si>
    <t>19.2453906023171</t>
  </si>
  <si>
    <t>11.6145547790869</t>
  </si>
  <si>
    <t>12.8884110141025</t>
  </si>
  <si>
    <t>7.52023123892587</t>
  </si>
  <si>
    <t>6.54073828102656</t>
  </si>
  <si>
    <t>8.83387663872382</t>
  </si>
  <si>
    <t>9.5820739751589</t>
  </si>
  <si>
    <t>9.96391955012986</t>
  </si>
  <si>
    <t>12.1838747859197</t>
  </si>
  <si>
    <t>88,405.2337892756</t>
  </si>
  <si>
    <t>14.5176288853979</t>
  </si>
  <si>
    <t>13.0709229251957</t>
  </si>
  <si>
    <t>101,624.468151757</t>
  </si>
  <si>
    <t>11.6365521355154</t>
  </si>
  <si>
    <t>7.40207140886399</t>
  </si>
  <si>
    <t>2,693.95565250368</t>
  </si>
  <si>
    <t>5,881.59340918656</t>
  </si>
  <si>
    <t>1.5390080720573</t>
  </si>
  <si>
    <t>20.2784276868567</t>
  </si>
  <si>
    <t>13,715.64631205</t>
  </si>
  <si>
    <t>14.476809954448</t>
  </si>
  <si>
    <t>23.0327183874133</t>
  </si>
  <si>
    <t>56,362.6119791984</t>
  </si>
  <si>
    <t>17.2924567907734</t>
  </si>
  <si>
    <t>116.935381874393</t>
  </si>
  <si>
    <t>8.04498270757358</t>
  </si>
  <si>
    <t>11.5391014736232</t>
  </si>
  <si>
    <t>14.196621296976</t>
  </si>
  <si>
    <t>10.8489783169547</t>
  </si>
  <si>
    <t>10.9087742157301</t>
  </si>
  <si>
    <t>15.5869354153338</t>
  </si>
  <si>
    <t>15.7457543231061</t>
  </si>
  <si>
    <t>9.1086265319894</t>
  </si>
  <si>
    <t>14,267.7363489911</t>
  </si>
  <si>
    <t>14.453028779458</t>
  </si>
  <si>
    <t>10.7367111223956</t>
  </si>
  <si>
    <t>13,106.2925504587</t>
  </si>
  <si>
    <t>22.3910729464046</t>
  </si>
  <si>
    <t>4,064.7290155</t>
  </si>
  <si>
    <t>11.6160989375211</t>
  </si>
  <si>
    <t>12.7446055710178</t>
  </si>
  <si>
    <t>12.2405599062995</t>
  </si>
  <si>
    <t>5.52390802768717</t>
  </si>
  <si>
    <t>10.8367862826509</t>
  </si>
  <si>
    <t>4,587.0461892192</t>
  </si>
  <si>
    <t>19.866623443997</t>
  </si>
  <si>
    <t>36,221</t>
  </si>
  <si>
    <t>5.88189339531409</t>
  </si>
  <si>
    <t>12.8427093859359</t>
  </si>
  <si>
    <t>19.18759342949</t>
  </si>
  <si>
    <t>16.94096308044</t>
  </si>
  <si>
    <t>14.934998710343</t>
  </si>
  <si>
    <t>19.6053297987632</t>
  </si>
  <si>
    <t>14.1203451568077</t>
  </si>
  <si>
    <t>11.3420960672067</t>
  </si>
  <si>
    <t>23.1687740637376</t>
  </si>
  <si>
    <t>13.4154029154931</t>
  </si>
  <si>
    <t>37,535.0925783193</t>
  </si>
  <si>
    <t>30.2172641995559</t>
  </si>
  <si>
    <t>11.831741982336</t>
  </si>
  <si>
    <t>15.0701427482869</t>
  </si>
  <si>
    <t>16.0051763948073</t>
  </si>
  <si>
    <t>23.7796411297038</t>
  </si>
  <si>
    <t>13.3416388822792</t>
  </si>
  <si>
    <t>14.5629961065022</t>
  </si>
  <si>
    <t>13.1310251599472</t>
  </si>
  <si>
    <t>10.2274002030602</t>
  </si>
  <si>
    <t>15.7311533164116</t>
  </si>
  <si>
    <t>6.42262512398743</t>
  </si>
  <si>
    <t>16.0760585586115</t>
  </si>
  <si>
    <t>11.9437704817396</t>
  </si>
  <si>
    <t>32,592.778138</t>
  </si>
  <si>
    <t>16.1147150802064</t>
  </si>
  <si>
    <t>15,209.744824</t>
  </si>
  <si>
    <t>10.5288945628161</t>
  </si>
  <si>
    <t>9.855980989346</t>
  </si>
  <si>
    <t>13.775212951226</t>
  </si>
  <si>
    <t>17.4151786755409</t>
  </si>
  <si>
    <t>11.404112935722</t>
  </si>
  <si>
    <t>11.1528712934956</t>
  </si>
  <si>
    <t>10.5576182763418</t>
  </si>
  <si>
    <t>14.7477621604501</t>
  </si>
  <si>
    <t>14.9327033326702</t>
  </si>
  <si>
    <t>14.3675638626576</t>
  </si>
  <si>
    <t>27.3326910282269</t>
  </si>
  <si>
    <t>11.0823130931784</t>
  </si>
  <si>
    <t>6.35409964183982</t>
  </si>
  <si>
    <t>8.92614512018898</t>
  </si>
  <si>
    <t>12.0521667152911</t>
  </si>
  <si>
    <t>12.0357070498283</t>
  </si>
  <si>
    <t>15.4564609066762</t>
  </si>
  <si>
    <t>12.7796748609865</t>
  </si>
  <si>
    <t>10.2568785599533</t>
  </si>
  <si>
    <t>14.5275230166501</t>
  </si>
  <si>
    <t>11.645129115971</t>
  </si>
  <si>
    <t>12.4992185652415</t>
  </si>
  <si>
    <t>15.6992152715081</t>
  </si>
  <si>
    <t>8.91464381768037</t>
  </si>
  <si>
    <t>12.1573481223779</t>
  </si>
  <si>
    <t>13.3583116731213</t>
  </si>
  <si>
    <t>12.436457903209</t>
  </si>
  <si>
    <t>13.0806716905375</t>
  </si>
  <si>
    <t>11.5514568319218</t>
  </si>
  <si>
    <t>13.190955852416</t>
  </si>
  <si>
    <t>25.2121502979901</t>
  </si>
  <si>
    <t>11.0776126532098</t>
  </si>
  <si>
    <t>29.4475329534224</t>
  </si>
  <si>
    <t>13.0070956358923</t>
  </si>
  <si>
    <t>6.79148599880615</t>
  </si>
  <si>
    <t>13.0057767383666</t>
  </si>
  <si>
    <t>7.61400516606753</t>
  </si>
  <si>
    <t>20.2479858664973</t>
  </si>
  <si>
    <t>17.0102617657853</t>
  </si>
  <si>
    <t>23.2339263449934</t>
  </si>
  <si>
    <t>12.616759790377</t>
  </si>
  <si>
    <t>9.05224906765463</t>
  </si>
  <si>
    <t>12.2145051118905</t>
  </si>
  <si>
    <t>11.9284522736358</t>
  </si>
  <si>
    <t>13.2404801489789</t>
  </si>
  <si>
    <t>13.5890330749509</t>
  </si>
  <si>
    <t>17.5984735697719</t>
  </si>
  <si>
    <t>12.3612778372535</t>
  </si>
  <si>
    <t>14.3448852566455</t>
  </si>
  <si>
    <t>13.1900888948436</t>
  </si>
  <si>
    <t>14.4394533271371</t>
  </si>
  <si>
    <t>15.2770203379336</t>
  </si>
  <si>
    <t>9.87875441337281</t>
  </si>
  <si>
    <t>55,745.2288845101</t>
  </si>
  <si>
    <t>5.30689471296402</t>
  </si>
  <si>
    <t>35,644.4878725723</t>
  </si>
  <si>
    <t>54,767.712470022</t>
  </si>
  <si>
    <t>8.21200554113281</t>
  </si>
  <si>
    <t>2,469.01931463136</t>
  </si>
  <si>
    <t>16.4127605627872</t>
  </si>
  <si>
    <t>1.4099358253027</t>
  </si>
  <si>
    <t>77.2800000000003</t>
  </si>
  <si>
    <t>2,883.53666808348</t>
  </si>
  <si>
    <t>31,562.2607</t>
  </si>
  <si>
    <t>16.5511378254845</t>
  </si>
  <si>
    <t>5.3598597728661</t>
  </si>
  <si>
    <t>103.568811131552</t>
  </si>
  <si>
    <t>6.0089942035033</t>
  </si>
  <si>
    <t>13,231.983605</t>
  </si>
  <si>
    <t>30,611.26</t>
  </si>
  <si>
    <t>6.23047363696408</t>
  </si>
  <si>
    <t>12,449.2075</t>
  </si>
  <si>
    <t>1.67744695434513</t>
  </si>
  <si>
    <t>5,572.53708871905</t>
  </si>
  <si>
    <t>39,272.4817192877</t>
  </si>
  <si>
    <t>5,277.91987877708</t>
  </si>
  <si>
    <t>121.837446174817</t>
  </si>
  <si>
    <t>1.28289057413718</t>
  </si>
  <si>
    <t>6,208.6499941755</t>
  </si>
  <si>
    <t>2,235.65780330388</t>
  </si>
  <si>
    <t>5.51014431317998</t>
  </si>
  <si>
    <t>33,630.60538773</t>
  </si>
  <si>
    <t>111.550035300937</t>
  </si>
  <si>
    <t>6.51385143377602</t>
  </si>
  <si>
    <t>6.44296703769644</t>
  </si>
  <si>
    <t>5.52467729401092</t>
  </si>
  <si>
    <t>5.49945613187294</t>
  </si>
  <si>
    <t>17.3210828236938</t>
  </si>
  <si>
    <t>36,205.9184381506</t>
  </si>
  <si>
    <t>57,558.7400767124</t>
  </si>
  <si>
    <t>#####</t>
  </si>
  <si>
    <t>WACC 7.3%, LT growth 0%, LT EBIT margin 33%</t>
  </si>
  <si>
    <t>DCF contribution (DCF TP +2%)</t>
  </si>
  <si>
    <t>SOTP contribution (Comps TP +4%)</t>
  </si>
  <si>
    <t>New TP (0%)</t>
  </si>
  <si>
    <t>Research</t>
  </si>
  <si>
    <t>After patent expiry</t>
  </si>
  <si>
    <t>1 year</t>
  </si>
  <si>
    <t>2 year</t>
  </si>
  <si>
    <t>3 year</t>
  </si>
  <si>
    <t>Complex small molecule</t>
  </si>
  <si>
    <t>Biologic</t>
  </si>
  <si>
    <t>&gt;$3bn</t>
  </si>
  <si>
    <t>&lt;$3bn</t>
  </si>
  <si>
    <t>post erosion</t>
  </si>
  <si>
    <t>&gt;$5bn</t>
  </si>
  <si>
    <t>$3-5bn</t>
  </si>
  <si>
    <t>$1-3bn</t>
  </si>
  <si>
    <t>&lt;$1bn</t>
  </si>
  <si>
    <t>R&amp;D pre sales</t>
  </si>
  <si>
    <t>3 years spread evenly</t>
  </si>
  <si>
    <t>of peak sales</t>
  </si>
  <si>
    <t>e = Morgan Stanley Research estimates unless otherwise noted</t>
  </si>
  <si>
    <t>Source: Morgan Stanley Research unless otherwise noted</t>
  </si>
  <si>
    <t>Stocks ratings are relative to the analyst's industry coverage universe.</t>
  </si>
  <si>
    <t>20 Bank Street, Canary Wharf</t>
  </si>
  <si>
    <t>London E14 4AD</t>
  </si>
  <si>
    <t>United Kingdom</t>
  </si>
  <si>
    <t>Tel: +44 (0)20 7425 8000</t>
  </si>
  <si>
    <t>Authors: Vincent Meunier, Thibault Boutherin</t>
  </si>
  <si>
    <t>Date: 20 Apr 2018</t>
  </si>
  <si>
    <t>Ticker: NOVN.S</t>
  </si>
  <si>
    <t>Stock Rating: Overweight</t>
  </si>
  <si>
    <t>Industry: Pharmaceuticals</t>
  </si>
  <si>
    <t>Industry View: In-Line</t>
  </si>
  <si>
    <t>Price as of 20 Apr 2018: 77.28</t>
  </si>
  <si>
    <t>Target Price: 92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</si>
  <si>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</si>
  <si>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</si>
  <si>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</si>
  <si>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</si>
  <si>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Novartis.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</si>
  <si>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</si>
  <si>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</si>
  <si>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</si>
  <si>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</si>
  <si>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</si>
  <si>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</si>
  <si>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</si>
  <si>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</si>
  <si>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</si>
  <si>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</si>
  <si>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</si>
  <si>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</si>
  <si>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</si>
  <si>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</si>
  <si>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</si>
  <si>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</si>
  <si>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</si>
  <si>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</si>
  <si>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</si>
  <si>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</si>
  <si>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</si>
  <si>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</si>
  <si>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</si>
  <si>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</si>
  <si>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</si>
  <si>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</si>
  <si>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</si>
  <si>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</si>
  <si>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</si>
  <si>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</si>
  <si>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</si>
  <si>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</si>
  <si>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</si>
  <si>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</si>
  <si>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</si>
  <si>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</si>
  <si>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</si>
  <si>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</si>
  <si>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</si>
  <si>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</si>
  <si>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</si>
  <si>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</si>
  <si>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</si>
  <si>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</si>
  <si>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</si>
  <si>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</si>
  <si>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</si>
  <si>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</si>
  <si>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</si>
  <si>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</si>
  <si>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</si>
  <si>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</si>
  <si>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</si>
  <si>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</si>
  <si>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</si>
  <si>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</si>
  <si>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</si>
  <si>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</si>
  <si>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</si>
  <si>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</si>
  <si>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</si>
  <si>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</si>
  <si>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</si>
  <si>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</si>
  <si>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</si>
  <si>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</si>
  <si>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</si>
  <si>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</si>
  <si>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</si>
  <si>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</si>
  <si>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</si>
  <si>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</si>
  <si>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</si>
  <si>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</si>
  <si>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</si>
  <si>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</si>
  <si>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</si>
  <si>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</si>
  <si>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</si>
  <si>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</si>
  <si>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</si>
  <si>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</si>
  <si>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</si>
  <si>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</si>
  <si>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</si>
  <si>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</si>
  <si>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</si>
  <si>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</si>
  <si>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</si>
  <si>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</si>
  <si>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</si>
  <si>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</si>
  <si>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</si>
  <si>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</si>
  <si>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</si>
  <si>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</si>
  <si>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</si>
  <si>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</si>
  <si>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</si>
  <si>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</si>
  <si>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</si>
  <si>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</si>
  <si>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</si>
  <si>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</si>
  <si>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</si>
  <si>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</si>
  <si>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</si>
  <si>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</si>
  <si>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</si>
  <si>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</si>
  <si>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</si>
  <si>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</si>
  <si>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</si>
  <si>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</si>
  <si>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</si>
  <si>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</si>
  <si>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</si>
  <si>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</si>
  <si>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</si>
  <si>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</si>
  <si>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</si>
  <si>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</si>
  <si>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</si>
  <si>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</si>
  <si>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</si>
  <si>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</si>
  <si>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</si>
  <si>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</si>
  <si>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</si>
  <si>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</si>
  <si>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</si>
  <si>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</si>
  <si>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</si>
  <si>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</si>
  <si>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</si>
  <si>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</si>
  <si>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</si>
  <si>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</si>
  <si>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</si>
  <si>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</si>
  <si>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</si>
  <si>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</si>
  <si>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</si>
  <si>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</si>
  <si>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</si>
  <si>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</si>
  <si>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</si>
  <si>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</si>
  <si>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</si>
  <si>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</si>
  <si>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</si>
  <si>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</si>
  <si>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</si>
  <si>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</si>
  <si>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</si>
  <si>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</si>
  <si>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</si>
  <si>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</si>
  <si>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</si>
  <si>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</si>
  <si>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</si>
  <si>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</si>
  <si>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</si>
  <si>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</si>
  <si>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</si>
  <si>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</si>
  <si>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</si>
  <si>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</si>
  <si>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</si>
  <si>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</si>
  <si>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</si>
  <si>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</si>
  <si>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</si>
  <si>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</si>
  <si>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</si>
  <si>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</si>
  <si>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Novartis.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</si>
  <si>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</si>
  <si>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</si>
  <si>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</si>
  <si>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</si>
  <si>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</si>
  <si>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</si>
  <si>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</si>
  <si>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</si>
  <si>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</si>
  <si>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</si>
  <si>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</si>
  <si>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</si>
  <si>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</si>
  <si>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</si>
  <si>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</si>
  <si>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</si>
  <si>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</si>
  <si>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</si>
  <si>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</si>
  <si>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</si>
  <si>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</si>
  <si>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</si>
  <si>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</si>
  <si>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</si>
  <si>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</si>
  <si>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</si>
  <si>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</si>
  <si>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</si>
  <si>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</si>
  <si>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</si>
  <si>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</si>
  <si>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</si>
  <si>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</si>
  <si>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</si>
  <si>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</si>
  <si>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</si>
  <si>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</si>
  <si>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</si>
  <si>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</si>
  <si>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</si>
  <si>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</si>
  <si>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</si>
  <si>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</si>
  <si>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</si>
  <si>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</si>
  <si>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</si>
  <si>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</si>
  <si>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</si>
  <si>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</si>
  <si>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</si>
  <si>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</si>
  <si>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</si>
  <si>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</si>
  <si>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</si>
  <si>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</si>
  <si>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</si>
  <si>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</si>
  <si>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</si>
  <si>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</si>
  <si>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</si>
  <si>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</si>
  <si>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</si>
  <si>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</si>
  <si>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</si>
  <si>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</si>
  <si>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</si>
  <si>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</si>
  <si>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</si>
  <si>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Novartis.</t>
  </si>
  <si>
    <t>Within the last 12 months, Morgan Stanley has provided or is providing investment banking services to,</t>
  </si>
  <si>
    <t>or has an investment banking client relationship with, the following company: Novartis.</t>
  </si>
  <si>
    <t>Within the last 12 months, Morgan Stanley has received compensation for products and services other than</t>
  </si>
  <si>
    <t>investment banking services from Novartis.</t>
  </si>
  <si>
    <t>In the next 3 months, Morgan Stanley expects to receive or intends to seek compensation for investment</t>
  </si>
  <si>
    <t>banking services from Novartis.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</si>
  <si>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</si>
  <si>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</si>
  <si>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</si>
  <si>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</si>
  <si>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</si>
  <si>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Vincent Meunier.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</si>
  <si>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</si>
  <si>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</si>
  <si>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</si>
  <si>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</si>
  <si>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</si>
  <si>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</si>
  <si>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</si>
  <si>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</si>
  <si>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</si>
  <si>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</si>
  <si>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Morgan Stanley &amp; Co. International plc, authorized by the Prudential Regulatory Authority and regulated</t>
  </si>
  <si>
    <t>by the Financial Conduct Authority and the Prudential Regulatory Authority, disseminates in the UK</t>
  </si>
  <si>
    <t>research that it has prepared, and approves solely for the purposes of section 21 of the Financial</t>
  </si>
  <si>
    <t>Services and Markets Act 2000, research which has been prepared by any of its affiliates. As used in</t>
  </si>
  <si>
    <t>this disclosure section, Morgan Stanley includes RMB Morgan Stanley Proprietary Limited, Morgan Stanley</t>
  </si>
  <si>
    <t>&amp; Co International plc and its affiliates.</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</si>
  <si>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</si>
  <si>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</si>
  <si>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</si>
  <si>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</si>
  <si>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</si>
  <si>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</si>
  <si>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</si>
  <si>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</si>
  <si>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</si>
  <si>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</si>
  <si>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</si>
  <si>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</si>
  <si>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</si>
  <si>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</si>
  <si>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</si>
  <si>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</si>
  <si>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</si>
  <si>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</si>
  <si>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</si>
  <si>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</si>
  <si>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</si>
  <si>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</si>
  <si>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</si>
  <si>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</si>
  <si>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</si>
  <si>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</si>
  <si>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</si>
  <si>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</si>
  <si>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</si>
  <si>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</si>
  <si>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</si>
  <si>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</si>
  <si>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</si>
  <si>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</si>
  <si>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</si>
  <si>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</si>
  <si>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</si>
  <si>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</si>
  <si>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</si>
  <si>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</si>
  <si>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</si>
  <si>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</si>
  <si>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</si>
  <si>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</si>
  <si>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</si>
  <si>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</si>
  <si>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</si>
  <si>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</si>
  <si>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</si>
  <si>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</si>
  <si>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</si>
  <si>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</si>
  <si>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</si>
  <si>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</si>
  <si>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</si>
  <si>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MSA31JLK, MSA33PHG</t>
  </si>
  <si>
    <t>H5820Q101</t>
  </si>
  <si>
    <t>L:\PHARM\XLDATA\Novartis\Novartis_CLIENT_200418.xlsm</t>
  </si>
  <si>
    <t>[BRO MSA]</t>
  </si>
  <si>
    <t>[PRODUCT MODEL]</t>
  </si>
  <si>
    <t>[EMAIL_ALERT YES]</t>
  </si>
  <si>
    <t>[DISCIPLINE Company]</t>
  </si>
  <si>
    <t>[SUPPRESSED NO]</t>
  </si>
  <si>
    <t>[DOCDAT 2018-04-20]</t>
  </si>
  <si>
    <t>[DOCTIME 10:57]</t>
  </si>
  <si>
    <t>[PSYM NOVN.S(S&amp;P) (None)]</t>
  </si>
  <si>
    <t>[COU 35]</t>
  </si>
  <si>
    <t>[ANA MSA33PHG]</t>
  </si>
  <si>
    <t>[HL NOVN.S Model]</t>
  </si>
  <si>
    <t>[IND PHARMS]</t>
  </si>
  <si>
    <t>[PANA MSA31JLK]</t>
  </si>
</sst>
</file>

<file path=xl/styles.xml><?xml version="1.0" encoding="utf-8"?>
<styleSheet xmlns="http://schemas.openxmlformats.org/spreadsheetml/2006/main" xmlns:mc="http://schemas.openxmlformats.org/markup-compatibility/2006" xmlns:x14ac="http://schemas.microsoft.com/office/spreadsheetml/2009/9/ac" mc:Ignorable="x14ac">
  <numFmts count="186">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 #,##0_-;_-* &quot;-&quot;??_-;_-@_-"/>
    <numFmt numFmtId="169" formatCode="_(* #,##0_);_(* \(#,##0\);_(* &quot;-&quot;??_);_(@_)"/>
    <numFmt numFmtId="170" formatCode="0.0%"/>
    <numFmt numFmtId="171" formatCode="0.0"/>
    <numFmt numFmtId="172" formatCode="#,##0;\(#,##0\)"/>
    <numFmt numFmtId="173" formatCode="_(* #,##0.0_);_(* \(#,##0.0\);_(* &quot;-&quot;??_);_(@_)"/>
    <numFmt numFmtId="174" formatCode="#,##0.00;\(#,##0.00\)"/>
    <numFmt numFmtId="175" formatCode="#,##0.0"/>
    <numFmt numFmtId="176" formatCode="0.0000%"/>
    <numFmt numFmtId="177" formatCode="#,##0_);\(#,##0\);\-\-_)"/>
    <numFmt numFmtId="178" formatCode="0%;\(0%\)"/>
    <numFmt numFmtId="179" formatCode="0_);\(0\)"/>
    <numFmt numFmtId="180" formatCode="#,##0;\(#,##0\);"/>
    <numFmt numFmtId="181" formatCode="0.00_);\(0.00\)"/>
    <numFmt numFmtId="182" formatCode="0&quot;E&quot;"/>
    <numFmt numFmtId="183" formatCode="\$\ #,##0&quot; m&quot;"/>
    <numFmt numFmtId="184" formatCode="0&quot;m&quot;"/>
    <numFmt numFmtId="185" formatCode="\€\ #,##0&quot; m&quot;"/>
    <numFmt numFmtId="186" formatCode="_-* #,##0\ _F_-;\-\ #,##0\ _F_-;_-* &quot;-&quot;??\ _F_-;_-@_-"/>
    <numFmt numFmtId="187" formatCode="#,##0.00_);\(#,##0.00\);\-\-_)"/>
    <numFmt numFmtId="188" formatCode="#,##0.0_);\(#,##0.0\);\-\-_)"/>
    <numFmt numFmtId="189" formatCode="General&quot;e&quot;"/>
    <numFmt numFmtId="190" formatCode="#,##0.00%_);\(#,##0.00%\);\-\-_)"/>
    <numFmt numFmtId="191" formatCode="0&quot;e&quot;"/>
    <numFmt numFmtId="192" formatCode="####&quot;A&quot;"/>
    <numFmt numFmtId="193" formatCode="####&quot;E&quot;"/>
    <numFmt numFmtId="194" formatCode="&quot;$&quot;#,##0"/>
    <numFmt numFmtId="195" formatCode="\+0%;\(0%\)"/>
    <numFmt numFmtId="196" formatCode="#\ ##0_);\(#\ ##0\)"/>
    <numFmt numFmtId="197" formatCode="\+0%;\-0%"/>
    <numFmt numFmtId="198" formatCode="0.0\x"/>
    <numFmt numFmtId="199" formatCode="_-* #,##0.00\ _F_-;\-* #,##0.00\ _F_-;_-* &quot;-&quot;??\ _F_-;_-@_-"/>
    <numFmt numFmtId="200" formatCode="#,##0_ ;\-#,##0\ "/>
    <numFmt numFmtId="201" formatCode="#,##0.0\ ;\(#,##0.0\)"/>
    <numFmt numFmtId="202" formatCode="&quot;\&quot;#,##0;[Red]&quot;\&quot;\-#,##0"/>
    <numFmt numFmtId="203" formatCode="&quot;\&quot;#,##0.00;[Red]&quot;\&quot;\-#,##0.00"/>
    <numFmt numFmtId="204" formatCode="0.0_)\%;\(0.0\)\%;0.0_)\%;@_)_%"/>
    <numFmt numFmtId="205" formatCode="#,##0.0_)_%;\(#,##0.0\)_%;0.0_)_%;@_)_%"/>
    <numFmt numFmtId="206" formatCode="#,##0.0_);\(#,##0.0\)"/>
    <numFmt numFmtId="207" formatCode="#,##0.0_);\(#,##0.0\);#,##0.0_);@_)"/>
    <numFmt numFmtId="208" formatCode="&quot;$&quot;_(#,##0.00_);&quot;$&quot;\(#,##0.00\)"/>
    <numFmt numFmtId="209" formatCode="&quot;$&quot;_(#,##0.00_);&quot;$&quot;\(#,##0.00\);&quot;$&quot;_(0.00_);@_)"/>
    <numFmt numFmtId="210" formatCode="#,##0.00_);\(#,##0.00\);0.00_);@_)"/>
    <numFmt numFmtId="211" formatCode="\€_(#,##0.00_);\€\(#,##0.00\);\€_(0.00_);@_)"/>
    <numFmt numFmtId="212" formatCode="#,##0.0_)\x;\(#,##0.0\)\x"/>
    <numFmt numFmtId="213" formatCode="#,##0_)\x;\(#,##0\)\x;0_)\x;@_)_x"/>
    <numFmt numFmtId="214" formatCode="#,##0.0_)\x;\(#,##0.0\)\x;0.0_)\x;@_)_x"/>
    <numFmt numFmtId="215" formatCode="#,##0.0_)_x;\(#,##0.0\)_x"/>
    <numFmt numFmtId="216" formatCode="#,##0_)_x;\(#,##0\)_x;0_)_x;@_)_x"/>
    <numFmt numFmtId="217" formatCode="#,##0.0_)_x;\(#,##0.0\)_x;0.0_)_x;@_)_x"/>
    <numFmt numFmtId="218" formatCode="0.0_)\%;\(0.0\)\%"/>
    <numFmt numFmtId="219" formatCode="#,##0.0_)_%;\(#,##0.0\)_%"/>
    <numFmt numFmtId="220" formatCode="&quot;E#,##0.00_);[Red]&quot;\&quot;&quot;\&quot;&quot;\&quot;&quot;\&quot;\(&quot;E#,##0.00&quot;\&quot;&quot;\&quot;&quot;\&quot;&quot;\&quot;\)"/>
    <numFmt numFmtId="221" formatCode="&quot;E#,##0_);[Red]&quot;\&quot;&quot;\&quot;&quot;\&quot;&quot;\&quot;\(&quot;E#,##0&quot;\&quot;&quot;\&quot;&quot;\&quot;&quot;\&quot;\)"/>
    <numFmt numFmtId="222" formatCode="#,##0.0_);[Red]\(#,##0.0\)"/>
    <numFmt numFmtId="223" formatCode="#,##0.0_);[Red]&quot;\&quot;&quot;\&quot;&quot;\&quot;&quot;\&quot;&quot;\&quot;&quot;\&quot;&quot;\&quot;&quot;\&quot;&quot;\&quot;&quot;\&quot;&quot;\&quot;&quot;\&quot;&quot;\&quot;\(#,##0.0&quot;\&quot;&quot;\&quot;&quot;\&quot;&quot;\&quot;&quot;\&quot;&quot;\&quot;&quot;\&quot;&quot;\&quot;&quot;\&quot;&quot;\&quot;&quot;\&quot;&quot;\&quot;&quot;\&quot;\);&quot;\&quot;&quot;\&quot;&quot;\&quot;&quot;\&quot;&quot;\&quot;&quot;\&quot;&quot;\&quot;&quot;\&quot;&quot;\&quot;&quot;\&quot;&quot;\&quot;&quot;\&quot;&quot;\&quot;\-_)"/>
    <numFmt numFmtId="224" formatCode="0.00_);\(0.00\);0.00"/>
    <numFmt numFmtId="225" formatCode="yyyy"/>
    <numFmt numFmtId="226" formatCode="00&quot;\&quot;&quot;\&quot;&quot;\&quot;&quot;\&quot;&quot;\&quot;&quot;\&quot;&quot;\&quot;&quot;\&quot;&quot;\&quot;&quot;\&quot;&quot;\&quot;&quot;\&quot;&quot;\&quot;\-00"/>
    <numFmt numFmtId="227" formatCode="m"/>
    <numFmt numFmtId="228" formatCode="#,##0.000,_);[Red]&quot;\&quot;&quot;\&quot;&quot;\&quot;&quot;\&quot;&quot;\&quot;&quot;\&quot;&quot;\&quot;&quot;\&quot;&quot;\&quot;&quot;\&quot;&quot;\&quot;&quot;\&quot;&quot;\&quot;\(#,##0.000,&quot;\&quot;&quot;\&quot;&quot;\&quot;&quot;\&quot;&quot;\&quot;&quot;\&quot;&quot;\&quot;&quot;\&quot;&quot;\&quot;&quot;\&quot;&quot;\&quot;&quot;\&quot;&quot;\&quot;\);"/>
    <numFmt numFmtId="229" formatCode="0%;[Red]&quot;\&quot;&quot;\&quot;&quot;\&quot;&quot;\&quot;&quot;\&quot;&quot;\&quot;&quot;\&quot;&quot;\&quot;&quot;\&quot;&quot;\&quot;&quot;\&quot;&quot;\&quot;&quot;\&quot;\(0%&quot;\&quot;&quot;\&quot;&quot;\&quot;&quot;\&quot;&quot;\&quot;&quot;\&quot;&quot;\&quot;&quot;\&quot;&quot;\&quot;&quot;\&quot;&quot;\&quot;&quot;\&quot;&quot;\&quot;\);"/>
    <numFmt numFmtId="230" formatCode="#,##0.000,_);[Red]&quot;\&quot;&quot;\&quot;&quot;\&quot;&quot;\&quot;&quot;\&quot;&quot;\&quot;&quot;\&quot;&quot;\&quot;\(#,##0.000,&quot;\&quot;&quot;\&quot;&quot;\&quot;&quot;\&quot;&quot;\&quot;&quot;\&quot;&quot;\&quot;&quot;\&quot;\);"/>
    <numFmt numFmtId="231" formatCode="&quot;$&quot;#,##0.00_);[Red]\(&quot;$&quot;#,##0.00\)"/>
    <numFmt numFmtId="232" formatCode="&quot;C&quot;&quot;$&quot;#,##0.00_);[Red]\(&quot;C&quot;&quot;$&quot;#,##0.00\)"/>
    <numFmt numFmtId="233" formatCode="&quot;$&quot;#,##0_);[Red]\(&quot;$&quot;#,##0\)"/>
    <numFmt numFmtId="234" formatCode="0.0%_);[Red]\(0.0%\)"/>
    <numFmt numFmtId="235" formatCode="0.0%_);\(0.0%\)"/>
    <numFmt numFmtId="236" formatCode="#,##0.0,_);[Red]&quot;\&quot;&quot;\&quot;&quot;\&quot;&quot;\&quot;&quot;\&quot;&quot;\&quot;&quot;\&quot;&quot;\&quot;&quot;\&quot;&quot;\&quot;&quot;\&quot;&quot;\&quot;&quot;\&quot;\(#,##0.0,&quot;\&quot;&quot;\&quot;&quot;\&quot;&quot;\&quot;&quot;\&quot;&quot;\&quot;&quot;\&quot;&quot;\&quot;&quot;\&quot;&quot;\&quot;&quot;\&quot;&quot;\&quot;&quot;\&quot;\);0"/>
    <numFmt numFmtId="237" formatCode="#,##0.0_);[Red]&quot;\&quot;&quot;\&quot;&quot;\&quot;&quot;\&quot;&quot;\&quot;&quot;\&quot;&quot;\&quot;&quot;\&quot;&quot;\&quot;&quot;\&quot;&quot;\&quot;&quot;\&quot;&quot;\&quot;\(#,##0.0&quot;\&quot;&quot;\&quot;&quot;\&quot;&quot;\&quot;&quot;\&quot;&quot;\&quot;&quot;\&quot;&quot;\&quot;&quot;\&quot;&quot;\&quot;&quot;\&quot;&quot;\&quot;&quot;\&quot;\);"/>
    <numFmt numFmtId="238" formatCode="#,##0.0\x_);[Red]\(#,##0.0\x\)"/>
    <numFmt numFmtId="239" formatCode="#,##0_);[Red]&quot;\&quot;&quot;\&quot;&quot;\&quot;&quot;\&quot;&quot;\&quot;&quot;\&quot;&quot;\&quot;&quot;\&quot;&quot;\&quot;&quot;\&quot;&quot;\&quot;&quot;\&quot;&quot;\&quot;\(#,##0&quot;\&quot;&quot;\&quot;&quot;\&quot;&quot;\&quot;&quot;\&quot;&quot;\&quot;&quot;\&quot;&quot;\&quot;&quot;\&quot;&quot;\&quot;&quot;\&quot;&quot;\&quot;&quot;\&quot;\);0_)"/>
    <numFmt numFmtId="240" formatCode="#,##0.0_);[Red]&quot;\&quot;&quot;\&quot;&quot;\&quot;&quot;\&quot;&quot;\&quot;&quot;\&quot;&quot;\&quot;&quot;\&quot;&quot;\&quot;&quot;\&quot;&quot;\&quot;&quot;\&quot;&quot;\&quot;\(#,##0.0&quot;\&quot;&quot;\&quot;&quot;\&quot;&quot;\&quot;&quot;\&quot;&quot;\&quot;&quot;\&quot;&quot;\&quot;&quot;\&quot;&quot;\&quot;&quot;\&quot;&quot;\&quot;&quot;\&quot;\);0.0"/>
    <numFmt numFmtId="241" formatCode="#,##0.00_);[Red]&quot;\&quot;&quot;\&quot;&quot;\&quot;&quot;\&quot;&quot;\&quot;&quot;\&quot;&quot;\&quot;&quot;\&quot;&quot;\&quot;&quot;\&quot;&quot;\&quot;&quot;\&quot;&quot;\&quot;\(#,##0.00&quot;\&quot;&quot;\&quot;&quot;\&quot;&quot;\&quot;&quot;\&quot;&quot;\&quot;&quot;\&quot;&quot;\&quot;&quot;\&quot;&quot;\&quot;&quot;\&quot;&quot;\&quot;&quot;\&quot;\);0.00"/>
    <numFmt numFmtId="242" formatCode="#,##0.000_);[Red]&quot;\&quot;&quot;\&quot;&quot;\&quot;&quot;\&quot;&quot;\&quot;&quot;\&quot;&quot;\&quot;&quot;\&quot;&quot;\&quot;&quot;\&quot;&quot;\&quot;&quot;\&quot;&quot;\&quot;\(#,##0.000&quot;\&quot;&quot;\&quot;&quot;\&quot;&quot;\&quot;&quot;\&quot;&quot;\&quot;&quot;\&quot;&quot;\&quot;&quot;\&quot;&quot;\&quot;&quot;\&quot;&quot;\&quot;&quot;\&quot;\);"/>
    <numFmt numFmtId="243" formatCode="#,##0.000_);[Red]&quot;\&quot;&quot;\&quot;&quot;\&quot;&quot;\&quot;&quot;\&quot;&quot;\&quot;&quot;\&quot;&quot;\&quot;\(#,##0.000&quot;\&quot;&quot;\&quot;&quot;\&quot;&quot;\&quot;&quot;\&quot;&quot;\&quot;&quot;\&quot;&quot;\&quot;\);"/>
    <numFmt numFmtId="244" formatCode="#,##0.0,_);[Red]&quot;\&quot;&quot;\&quot;&quot;\&quot;&quot;\&quot;&quot;\&quot;&quot;\&quot;&quot;\&quot;&quot;\&quot;&quot;\&quot;&quot;\&quot;&quot;\&quot;&quot;\&quot;&quot;\&quot;\(#,##0.0,&quot;\&quot;&quot;\&quot;&quot;\&quot;&quot;\&quot;&quot;\&quot;&quot;\&quot;&quot;\&quot;&quot;\&quot;&quot;\&quot;&quot;\&quot;&quot;\&quot;&quot;\&quot;&quot;\&quot;\);0.0_)"/>
    <numFmt numFmtId="245" formatCode="0.0\x_);[Red]\(0.0\x\)"/>
    <numFmt numFmtId="246" formatCode="0.0%;[Red]&quot;\&quot;&quot;\&quot;&quot;\&quot;&quot;\&quot;&quot;\&quot;&quot;\&quot;&quot;\&quot;&quot;\&quot;&quot;\&quot;&quot;\&quot;&quot;\&quot;&quot;\&quot;&quot;\&quot;\(0%&quot;\&quot;&quot;\&quot;&quot;\&quot;&quot;\&quot;&quot;\&quot;&quot;\&quot;&quot;\&quot;&quot;\&quot;&quot;\&quot;&quot;\&quot;&quot;\&quot;&quot;\&quot;&quot;\&quot;\);0"/>
    <numFmt numFmtId="247" formatCode="0.00\%;\-0.00\%;0.00\%"/>
    <numFmt numFmtId="248" formatCode="[Red][&gt;0.05]&quot;\&quot;&quot;\&quot;&quot;\&quot;&quot;\&quot;&quot;\&quot;&quot;\&quot;&quot;\&quot;&quot;\&quot;&quot;\&quot;&quot;\&quot;&quot;\&quot;&quot;\&quot;&quot;\&quot;\ 0%;[Red][&lt;-0.05]&quot;\&quot;&quot;\&quot;&quot;\&quot;&quot;\&quot;&quot;\&quot;&quot;\&quot;&quot;\&quot;&quot;\&quot;&quot;\&quot;&quot;\&quot;&quot;\&quot;&quot;\&quot;&quot;\&quot;\ 0%;0%"/>
    <numFmt numFmtId="249" formatCode="#,##0.000_);[Red]\(#,##0.000\)"/>
    <numFmt numFmtId="250" formatCode="0.000%;\(0.000%\)"/>
    <numFmt numFmtId="251" formatCode="#,##0.000_);[Red]&quot;\&quot;&quot;\&quot;&quot;\&quot;&quot;\&quot;&quot;\&quot;&quot;\&quot;&quot;\&quot;&quot;\&quot;&quot;\&quot;&quot;\&quot;&quot;\&quot;&quot;\&quot;&quot;\&quot;\(#,##0.000&quot;\&quot;&quot;\&quot;&quot;\&quot;&quot;\&quot;&quot;\&quot;&quot;\&quot;&quot;\&quot;&quot;\&quot;&quot;\&quot;&quot;\&quot;&quot;\&quot;&quot;\&quot;&quot;\&quot;\);&quot;\&quot;&quot;\&quot;&quot;\&quot;&quot;\&quot;&quot;\&quot;&quot;\&quot;&quot;\&quot;&quot;\&quot;&quot;\&quot;&quot;\&quot;&quot;\&quot;&quot;\&quot;&quot;\&quot;\-_)"/>
    <numFmt numFmtId="252" formatCode="##0.00000"/>
    <numFmt numFmtId="253" formatCode="#,##0\ ;[Red]\(#,##0\)"/>
    <numFmt numFmtId="254" formatCode="0.00_)"/>
    <numFmt numFmtId="255" formatCode="#,##0.0;[Red]\-0.0;0.0"/>
    <numFmt numFmtId="256" formatCode="#,##0.0&quot; e&quot;;\(#,##0.0\)&quot; e&quot;"/>
    <numFmt numFmtId="257" formatCode="#,##0.00&quot; e&quot;;\(#,##0.00\)&quot; e&quot;"/>
    <numFmt numFmtId="258" formatCode="#,##0&quot; e&quot;;\(#,##0\)&quot; e&quot;"/>
    <numFmt numFmtId="259" formatCode="#,##0&quot;&quot;;\(#,##0\)&quot;&quot;"/>
    <numFmt numFmtId="260" formatCode="#,##0&quot; USD&quot;;\(#,##0\)&quot; USD&quot;"/>
    <numFmt numFmtId="261" formatCode="#,##0.00&quot; e GBp&quot;;\(#,##0.00\)&quot; e GBp&quot;"/>
    <numFmt numFmtId="262" formatCode="#,##0.0&quot;&quot;;\(#,##0.0\)&quot;&quot;"/>
    <numFmt numFmtId="263" formatCode="#&quot;e&quot;"/>
    <numFmt numFmtId="264" formatCode="#,##0&quot; CHF&quot;;\(#,##0\)&quot; CHF&quot;"/>
    <numFmt numFmtId="265" formatCode="&quot;$&quot;#,##0.00;\-&quot;$&quot;#,##0.00"/>
    <numFmt numFmtId="266" formatCode="&quot;$&quot;#,##0.00;[Red]\-&quot;$&quot;#,##0.00"/>
    <numFmt numFmtId="267" formatCode="_-&quot;$&quot;* #,##0_-;\-&quot;$&quot;* #,##0_-;_-&quot;$&quot;* &quot;-&quot;_-;_-@_-"/>
    <numFmt numFmtId="268" formatCode="0.0000"/>
    <numFmt numFmtId="269" formatCode="0_)"/>
    <numFmt numFmtId="270" formatCode="_(* #,##0.0_);_(* \(#,##0.0\);_(* &quot;--- &quot;_)"/>
    <numFmt numFmtId="271" formatCode="0\A"/>
    <numFmt numFmtId="272" formatCode="General_)"/>
    <numFmt numFmtId="273" formatCode="[Color10][&gt;0]&quot;ì&quot;;[Red][&lt;0]&quot;î&quot;;[Color48]&quot;è&quot;"/>
    <numFmt numFmtId="274" formatCode="0.0_);\(0.0\)"/>
    <numFmt numFmtId="275" formatCode="&quot;$&quot;#,##0.00_);\(&quot;$&quot;#,##0.00\)"/>
    <numFmt numFmtId="276" formatCode="\£#,##0_);\(\£#,##0\)"/>
    <numFmt numFmtId="277" formatCode="0.000_);\(0.000\)"/>
    <numFmt numFmtId="278" formatCode="0.000_)"/>
    <numFmt numFmtId="279" formatCode="0.0%;\(0.0\)%"/>
    <numFmt numFmtId="280" formatCode="_-* #,##0.00\ _€_-;\-* #,##0.00\ _€_-;_-* &quot;-&quot;??\ _€_-;_-@_-"/>
    <numFmt numFmtId="281" formatCode="_(* #,##0.000_);_(* \(#,##0.000\);_(* &quot;-&quot;???_);_(@_)"/>
    <numFmt numFmtId="282" formatCode="&quot;$&quot;#,##0_);\(&quot;$&quot;#,##0\)"/>
    <numFmt numFmtId="283" formatCode="#,##0;\(#,##0\);\-\ "/>
    <numFmt numFmtId="284" formatCode="@\ \ \ \ \ "/>
    <numFmt numFmtId="285" formatCode="0.0\ "/>
    <numFmt numFmtId="286" formatCode="#,##0&quot; years&quot;"/>
    <numFmt numFmtId="287" formatCode="mmm\-yyyy"/>
    <numFmt numFmtId="288" formatCode="m/d/yy\ h:mm"/>
    <numFmt numFmtId="289" formatCode="&quot;$&quot;#,##0.0\ \ \ ;\(&quot;$&quot;#,##0.0\)\ \ "/>
    <numFmt numFmtId="290" formatCode="&quot;$&quot;#,##0.0_);\(&quot;$&quot;#,##0.0\)"/>
    <numFmt numFmtId="291" formatCode="_(&quot;$&quot;* #,##0_);_(&quot;$&quot;* \(#,##0\);_(&quot;$&quot;* &quot;-&quot;_);_(@_)"/>
    <numFmt numFmtId="292" formatCode="&quot;$&quot;#,##0.00_)\ \ \ \ \ ;\(&quot;$&quot;#,##0.00\)\ \ \ \ \ "/>
    <numFmt numFmtId="293" formatCode="&quot;$&quot;#,##0.00\A\ \ \ \ ;\(&quot;$&quot;#,##0.00\A\)\ \ \ \ "/>
    <numFmt numFmtId="294" formatCode="&quot;$&quot;#,##0.00&quot;E&quot;\ \ \ \ ;\(&quot;$&quot;#,##0.00&quot;E&quot;\)\ \ \ \ "/>
    <numFmt numFmtId="295" formatCode="#,##0.00_)\ \ \ \ \ ;\(#,##0.00\)\ \ \ \ \ "/>
    <numFmt numFmtId="296" formatCode="#,##0.00\A\ \ \ \ ;\(#,##0.00\A\)\ \ \ \ "/>
    <numFmt numFmtId="297" formatCode="#,##0.00&quot;E&quot;\ \ \ \ ;\(#,##0.00&quot;E&quot;\)\ \ \ \ "/>
    <numFmt numFmtId="298" formatCode="_-* #,##0.00\ &quot;€&quot;_-;\-* #,##0.00\ &quot;€&quot;_-;_-* &quot;-&quot;??\ &quot;€&quot;_-;_-@_-"/>
    <numFmt numFmtId="299" formatCode="0.0&quot;  &quot;"/>
    <numFmt numFmtId="300" formatCode="#\ ##0.0"/>
    <numFmt numFmtId="301" formatCode="##0&quot;%&quot;;\(##0&quot;%&quot;\)"/>
    <numFmt numFmtId="302" formatCode="_(* #,##0.00000_);_(* \(#,##0.00000\);_(* &quot;-&quot;??_);_(@_)"/>
    <numFmt numFmtId="303" formatCode="#,##0.0000\ ;\(#,##0.0000\)"/>
    <numFmt numFmtId="304" formatCode="0%\ \ \ \ \ \ \ "/>
    <numFmt numFmtId="305" formatCode="_-* #,##0_-;\(#,##0\);_-* &quot;–&quot;_-;_-@_-"/>
    <numFmt numFmtId="306" formatCode="_0.0%;_(0.0\)%"/>
    <numFmt numFmtId="307" formatCode="_(&quot;$&quot;* #,##0_)\ &quot;millions&quot;;_(&quot;$&quot;* \(#,##0\)&quot; millions&quot;"/>
    <numFmt numFmtId="308" formatCode="&quot;$&quot;#,##0\ &quot;MM&quot;;\(&quot;$&quot;#,##0.00\ &quot;MM&quot;\)"/>
    <numFmt numFmtId="309" formatCode="_-* #,##0\ _€_-;\-* #,##0\ _€_-;_-* &quot;-&quot;\ _€_-;_-@_-"/>
    <numFmt numFmtId="310" formatCode="\€#,##0.0_);\(\€#,##0.0\)"/>
    <numFmt numFmtId="311" formatCode="#,##0\x_);\(#,##0\x\)"/>
    <numFmt numFmtId="312" formatCode="#,##0%_);\(#,##0%\)"/>
    <numFmt numFmtId="313" formatCode="\£#,##0.0_);\(\£#,##0.0\)"/>
    <numFmt numFmtId="314" formatCode="\¥#,##0.0_);\(\¥#,##0.0\)"/>
    <numFmt numFmtId="315" formatCode="#,##0\ &quot;MM&quot;"/>
    <numFmt numFmtId="316" formatCode="_-* #,##0\ &quot;€&quot;_-;\-* #,##0\ &quot;€&quot;_-;_-* &quot;-&quot;\ &quot;€&quot;_-;_-@_-"/>
    <numFmt numFmtId="317" formatCode="&quot;$&quot;#,##0.0_);&quot;$&quot;\(#,##0.0\)"/>
    <numFmt numFmtId="318" formatCode="&quot;$&quot;#,##0.0_);\(#,##0.0\)"/>
    <numFmt numFmtId="319" formatCode="#,##0.00\x_);\(#,##0.00\x\);\-_)"/>
    <numFmt numFmtId="320" formatCode="0;\(0\)"/>
    <numFmt numFmtId="321" formatCode="#,##0.0\ \ \ ;\(#,##0.0\)\ \ "/>
    <numFmt numFmtId="322" formatCode="#,##0.0&quot;x&quot;;\-#,##0.0&quot;x&quot;;0.0&quot;x&quot;"/>
    <numFmt numFmtId="323" formatCode="0.0;\(0.0\);0.0;&quot;n.s.&quot;"/>
    <numFmt numFmtId="324" formatCode="0.0;\(0.0\)"/>
    <numFmt numFmtId="325" formatCode="0.0\ \ \ \ \ \ "/>
    <numFmt numFmtId="326" formatCode="0.0%\ \ \ \ \ "/>
    <numFmt numFmtId="327" formatCode="#,##0.0\%_);\(#,##0.0\%\);#,##0.0\%_);@_)"/>
    <numFmt numFmtId="328" formatCode="0.0%;\-0.0%"/>
    <numFmt numFmtId="329" formatCode="0.0%;\(0.0%\)"/>
    <numFmt numFmtId="330" formatCode="0.000%"/>
    <numFmt numFmtId="331" formatCode="\ #,##0;\-\ #,##0"/>
    <numFmt numFmtId="332" formatCode="#,##0.0000"/>
    <numFmt numFmtId="333" formatCode="0.00\ \ \ \ "/>
    <numFmt numFmtId="334" formatCode="@\ "/>
    <numFmt numFmtId="335" formatCode="&quot;$&quot;@"/>
    <numFmt numFmtId="336" formatCode="0.00;\-0.00;0.00"/>
    <numFmt numFmtId="337" formatCode="0.00\x;\-0.00\x;0.00\x"/>
    <numFmt numFmtId="338" formatCode="General;\-General;General;"/>
    <numFmt numFmtId="339" formatCode="mmm\ dd\,\ yyyy"/>
    <numFmt numFmtId="340" formatCode="#,##0;\(#,##0\);\–;@"/>
    <numFmt numFmtId="341" formatCode="&quot;Sfr&quot;#,##0_);\(&quot;Sfr&quot;#,##0\)"/>
    <numFmt numFmtId="342" formatCode="#,##0.000\ ;\(#,##0.000\)"/>
    <numFmt numFmtId="343" formatCode="mm/dd/yy"/>
    <numFmt numFmtId="344" formatCode="_(&quot;$&quot;* #,##0_);_(&quot;$&quot;* \(#,##0\);_(&quot;$&quot;* &quot;-&quot;??_);_(@_)"/>
    <numFmt numFmtId="345" formatCode="&quot;$&quot;#,##0.0;\(&quot;$&quot;#,##0.0\)"/>
    <numFmt numFmtId="346" formatCode="#,##0.00\ ;\(#,##0.00\)"/>
    <numFmt numFmtId="347" formatCode="\¥#,##0_);\(\¥#,##0\)"/>
    <numFmt numFmtId="348" formatCode="_-* #,##0.0_-;\-* #,##0.0_-;_-* &quot;-&quot;??_-;_-@_-"/>
    <numFmt numFmtId="349" formatCode="mm/dd/yy\ hh:mm"/>
  </numFmts>
  <fonts count="296">
    <font>
      <sz val="11"/>
      <color theme="1"/>
      <name val="Calibri"/>
      <family val="2"/>
      <scheme val="minor"/>
    </font>
    <font>
      <sz val="11"/>
      <color indexed="8"/>
      <name val="Calibri"/>
      <family val="2"/>
    </font>
    <font>
      <sz val="10"/>
      <name val="Arial"/>
      <family val="2"/>
    </font>
    <font>
      <b/>
      <sz val="10"/>
      <name val="Arial"/>
      <family val="2"/>
    </font>
    <font>
      <b/>
      <sz val="10"/>
      <color indexed="9"/>
      <name val="Arial"/>
      <family val="2"/>
    </font>
    <font>
      <sz val="10"/>
      <color indexed="9"/>
      <name val="Arial"/>
      <family val="2"/>
    </font>
    <font>
      <i/>
      <sz val="10"/>
      <name val="Arial"/>
      <family val="2"/>
    </font>
    <font>
      <b/>
      <sz val="10"/>
      <color indexed="10"/>
      <name val="Arial"/>
      <family val="2"/>
    </font>
    <font>
      <sz val="10"/>
      <color indexed="12"/>
      <name val="Arial"/>
      <family val="2"/>
    </font>
    <font>
      <sz val="9"/>
      <color indexed="81"/>
      <name val="Tahoma"/>
      <family val="2"/>
    </font>
    <font>
      <b/>
      <sz val="9"/>
      <color indexed="81"/>
      <name val="Tahoma"/>
      <family val="2"/>
    </font>
    <font>
      <sz val="9"/>
      <name val="Arial"/>
      <family val="2"/>
    </font>
    <font>
      <sz val="10"/>
      <name val="MS Sans Serif"/>
      <family val="2"/>
    </font>
    <font>
      <b/>
      <sz val="10"/>
      <color indexed="8"/>
      <name val="Times New Roman"/>
      <family val="1"/>
    </font>
    <font>
      <u/>
      <sz val="10"/>
      <color indexed="12"/>
      <name val="Arial"/>
      <family val="2"/>
    </font>
    <font>
      <u/>
      <sz val="9"/>
      <color indexed="12"/>
      <name val="Times New Roman"/>
      <family val="1"/>
    </font>
    <font>
      <sz val="11"/>
      <name val="Segoe UI"/>
      <family val="2"/>
    </font>
    <font>
      <sz val="8"/>
      <name val="Arial"/>
      <family val="2"/>
    </font>
    <font>
      <sz val="9"/>
      <name val="Times New Roman"/>
      <family val="1"/>
    </font>
    <font>
      <sz val="8"/>
      <name val="Times New Roman"/>
      <family val="1"/>
    </font>
    <font>
      <sz val="10"/>
      <color indexed="8"/>
      <name val="Times New Roman"/>
      <family val="1"/>
    </font>
    <font>
      <i/>
      <sz val="8"/>
      <name val="Times New Roman"/>
      <family val="1"/>
    </font>
    <font>
      <b/>
      <sz val="8"/>
      <name val="Arial"/>
      <family val="2"/>
    </font>
    <font>
      <sz val="10"/>
      <name val="Times New Roman"/>
      <family val="1"/>
    </font>
    <font>
      <i/>
      <sz val="8"/>
      <name val="Arial"/>
      <family val="2"/>
    </font>
    <font>
      <b/>
      <sz val="11"/>
      <name val="Segoe UI"/>
      <family val="2"/>
    </font>
    <font>
      <b/>
      <sz val="12"/>
      <name val="Segoe UI"/>
      <family val="2"/>
    </font>
    <font>
      <sz val="14"/>
      <name val="Arial"/>
      <family val="2"/>
    </font>
    <font>
      <b/>
      <sz val="20"/>
      <color indexed="9"/>
      <name val="Arial"/>
      <family val="2"/>
    </font>
    <font>
      <sz val="14"/>
      <color indexed="9"/>
      <name val="Arial"/>
      <family val="2"/>
    </font>
    <font>
      <b/>
      <sz val="16"/>
      <color indexed="9"/>
      <name val="Arial"/>
      <family val="2"/>
    </font>
    <font>
      <sz val="16"/>
      <color indexed="9"/>
      <name val="Arial"/>
      <family val="2"/>
    </font>
    <font>
      <i/>
      <sz val="12"/>
      <name val="Arial"/>
      <family val="2"/>
    </font>
    <font>
      <sz val="16"/>
      <name val="Arial"/>
      <family val="2"/>
    </font>
    <font>
      <b/>
      <sz val="20"/>
      <color indexed="18"/>
      <name val="Arial"/>
      <family val="2"/>
    </font>
    <font>
      <sz val="12"/>
      <name val="Arial"/>
      <family val="2"/>
    </font>
    <font>
      <b/>
      <i/>
      <u/>
      <sz val="10"/>
      <name val="Arial"/>
      <family val="2"/>
    </font>
    <font>
      <sz val="11"/>
      <color indexed="9"/>
      <name val="Segoe UI"/>
      <family val="2"/>
    </font>
    <font>
      <sz val="10"/>
      <name val="Segoe UI"/>
      <family val="2"/>
    </font>
    <font>
      <b/>
      <sz val="10"/>
      <name val="Segoe UI"/>
      <family val="2"/>
    </font>
    <font>
      <b/>
      <sz val="14"/>
      <color indexed="18"/>
      <name val="Arial"/>
      <family val="2"/>
    </font>
    <font>
      <b/>
      <sz val="9"/>
      <name val="Arial"/>
      <family val="2"/>
    </font>
    <font>
      <b/>
      <sz val="11"/>
      <name val="Arial"/>
      <family val="2"/>
    </font>
    <font>
      <b/>
      <sz val="12"/>
      <name val="Arial"/>
      <family val="2"/>
    </font>
    <font>
      <sz val="8"/>
      <color indexed="12"/>
      <name val="Arial"/>
      <family val="2"/>
    </font>
    <font>
      <sz val="10"/>
      <color indexed="8"/>
      <name val="MS Sans Serif"/>
      <family val="2"/>
    </font>
    <font>
      <b/>
      <sz val="11"/>
      <color indexed="9"/>
      <name val="Segoe UI"/>
      <family val="2"/>
    </font>
    <font>
      <sz val="11"/>
      <color indexed="63"/>
      <name val="Segoe UI"/>
      <family val="2"/>
    </font>
    <font>
      <sz val="11"/>
      <name val="Arial"/>
      <family val="2"/>
    </font>
    <font>
      <sz val="11"/>
      <color indexed="62"/>
      <name val="Calibri"/>
      <family val="2"/>
      <charset val="204"/>
    </font>
    <font>
      <sz val="10"/>
      <color indexed="9"/>
      <name val="Segoe UI"/>
      <family val="2"/>
    </font>
    <font>
      <sz val="10"/>
      <color indexed="8"/>
      <name val="Arial"/>
      <family val="2"/>
    </font>
    <font>
      <b/>
      <sz val="10"/>
      <color indexed="8"/>
      <name val="Arial"/>
      <family val="2"/>
    </font>
    <font>
      <sz val="10"/>
      <name val="Arial"/>
      <family val="2"/>
    </font>
    <font>
      <i/>
      <sz val="11"/>
      <name val="Segoe UI"/>
      <family val="2"/>
    </font>
    <font>
      <sz val="11"/>
      <color theme="1"/>
      <name val="Calibri"/>
      <family val="2"/>
      <scheme val="minor"/>
    </font>
    <font>
      <sz val="11"/>
      <color theme="0"/>
      <name val="Calibri"/>
      <family val="2"/>
      <scheme val="minor"/>
    </font>
    <font>
      <b/>
      <sz val="11"/>
      <color theme="3"/>
      <name val="Arial"/>
      <family val="2"/>
    </font>
    <font>
      <u/>
      <sz val="11"/>
      <color theme="3" tint="0.39991454817346722"/>
      <name val="Segoe UI"/>
      <family val="2"/>
    </font>
    <font>
      <b/>
      <sz val="11"/>
      <color theme="1"/>
      <name val="Calibri"/>
      <family val="2"/>
      <scheme val="minor"/>
    </font>
    <font>
      <sz val="11"/>
      <color theme="0"/>
      <name val="Arial"/>
      <family val="2"/>
    </font>
    <font>
      <sz val="11"/>
      <color theme="1"/>
      <name val="Arial"/>
      <family val="2"/>
    </font>
    <font>
      <sz val="9"/>
      <color theme="0"/>
      <name val="Arial"/>
      <family val="2"/>
    </font>
    <font>
      <sz val="9"/>
      <color theme="1"/>
      <name val="Arial"/>
      <family val="2"/>
    </font>
    <font>
      <b/>
      <sz val="11"/>
      <color theme="1"/>
      <name val="Arial"/>
      <family val="2"/>
    </font>
    <font>
      <b/>
      <sz val="9"/>
      <color theme="1"/>
      <name val="Arial"/>
      <family val="2"/>
    </font>
    <font>
      <sz val="10"/>
      <color theme="1"/>
      <name val="Arial"/>
      <family val="2"/>
    </font>
    <font>
      <b/>
      <sz val="10"/>
      <color theme="0"/>
      <name val="Arial"/>
      <family val="2"/>
    </font>
    <font>
      <sz val="10"/>
      <color theme="0"/>
      <name val="Arial"/>
      <family val="2"/>
    </font>
    <font>
      <sz val="10"/>
      <color rgb="FFFF0000"/>
      <name val="Arial"/>
      <family val="2"/>
    </font>
    <font>
      <b/>
      <sz val="10"/>
      <color theme="1"/>
      <name val="Arial"/>
      <family val="2"/>
    </font>
    <font>
      <sz val="9"/>
      <color rgb="FFFF0000"/>
      <name val="Arial"/>
      <family val="2"/>
    </font>
    <font>
      <sz val="11"/>
      <color theme="1"/>
      <name val="Segoe UI"/>
      <family val="2"/>
    </font>
    <font>
      <b/>
      <sz val="11"/>
      <color theme="0"/>
      <name val="Segoe UI"/>
      <family val="2"/>
    </font>
    <font>
      <b/>
      <sz val="12"/>
      <color theme="1"/>
      <name val="Segoe UI"/>
      <family val="2"/>
    </font>
    <font>
      <b/>
      <sz val="20"/>
      <color theme="3"/>
      <name val="Arial"/>
      <family val="2"/>
    </font>
    <font>
      <sz val="11"/>
      <color theme="0" tint="-0.499984740745262"/>
      <name val="Arial"/>
      <family val="2"/>
    </font>
    <font>
      <sz val="9"/>
      <color theme="0" tint="-0.499984740745262"/>
      <name val="Arial"/>
      <family val="2"/>
    </font>
    <font>
      <sz val="8"/>
      <color theme="1"/>
      <name val="Arial"/>
      <family val="2"/>
    </font>
    <font>
      <b/>
      <sz val="8"/>
      <color theme="1"/>
      <name val="Arial"/>
      <family val="2"/>
    </font>
    <font>
      <sz val="11"/>
      <color theme="0"/>
      <name val="Segoe UI"/>
      <family val="2"/>
    </font>
    <font>
      <sz val="10"/>
      <color theme="1"/>
      <name val="Segoe UI"/>
      <family val="2"/>
    </font>
    <font>
      <b/>
      <sz val="10"/>
      <color theme="1"/>
      <name val="Segoe UI"/>
      <family val="2"/>
    </font>
    <font>
      <b/>
      <sz val="11"/>
      <color theme="1"/>
      <name val="Segoe UI"/>
      <family val="2"/>
    </font>
    <font>
      <sz val="11"/>
      <color rgb="FFFF0000"/>
      <name val="Segoe UI"/>
      <family val="2"/>
    </font>
    <font>
      <sz val="12.1"/>
      <color rgb="FF1F140C"/>
      <name val="Arial"/>
      <family val="2"/>
    </font>
    <font>
      <sz val="11"/>
      <color rgb="FFFF0000"/>
      <name val="Arial"/>
      <family val="2"/>
    </font>
    <font>
      <sz val="11"/>
      <name val="MS P????"/>
      <family val="3"/>
    </font>
    <font>
      <sz val="11"/>
      <name val="??"/>
      <family val="1"/>
    </font>
    <font>
      <b/>
      <sz val="22"/>
      <color indexed="18"/>
      <name val="Arial"/>
      <family val="2"/>
    </font>
    <font>
      <sz val="9"/>
      <color indexed="8"/>
      <name val="Arial"/>
      <family val="2"/>
    </font>
    <font>
      <b/>
      <sz val="10"/>
      <color indexed="18"/>
      <name val="Arial"/>
      <family val="2"/>
    </font>
    <font>
      <b/>
      <u val="singleAccounting"/>
      <sz val="10"/>
      <color indexed="18"/>
      <name val="Arial"/>
      <family val="2"/>
    </font>
    <font>
      <sz val="10"/>
      <name val="Univers"/>
      <family val="2"/>
    </font>
    <font>
      <b/>
      <sz val="8"/>
      <name val="Times New Roman"/>
      <family val="1"/>
    </font>
    <font>
      <b/>
      <i/>
      <sz val="12"/>
      <color indexed="11"/>
      <name val="Geneva"/>
      <family val="2"/>
    </font>
    <font>
      <sz val="24"/>
      <name val="MS Sans Serif"/>
      <family val="2"/>
    </font>
    <font>
      <b/>
      <sz val="12"/>
      <name val="Geneva"/>
      <family val="2"/>
    </font>
    <font>
      <b/>
      <u/>
      <sz val="12"/>
      <name val="Geneva"/>
      <family val="2"/>
    </font>
    <font>
      <b/>
      <i/>
      <shadow/>
      <sz val="14"/>
      <name val="Geneva"/>
      <family val="2"/>
    </font>
    <font>
      <i/>
      <sz val="8"/>
      <color indexed="17"/>
      <name val="Times New Roman"/>
      <family val="1"/>
    </font>
    <font>
      <b/>
      <u/>
      <sz val="14"/>
      <name val="Geneva"/>
      <family val="2"/>
    </font>
    <font>
      <b/>
      <sz val="14"/>
      <name val="Geneva"/>
      <family val="2"/>
    </font>
    <font>
      <b/>
      <sz val="12"/>
      <color indexed="8"/>
      <name val="Geneva"/>
      <family val="2"/>
    </font>
    <font>
      <b/>
      <sz val="10"/>
      <name val="MS Sans Serif"/>
      <family val="2"/>
    </font>
    <font>
      <sz val="10"/>
      <name val="GillSans Light"/>
      <family val="2"/>
    </font>
    <font>
      <sz val="8"/>
      <color indexed="18"/>
      <name val="Times New Roman"/>
      <family val="1"/>
    </font>
    <font>
      <b/>
      <outline/>
      <sz val="9"/>
      <color indexed="14"/>
      <name val="Geneva"/>
      <family val="2"/>
    </font>
    <font>
      <sz val="12"/>
      <name val="Geneva"/>
      <family val="2"/>
    </font>
    <font>
      <sz val="14"/>
      <color indexed="15"/>
      <name val="Geneva"/>
      <family val="2"/>
    </font>
    <font>
      <b/>
      <sz val="14"/>
      <color indexed="15"/>
      <name val="Geneva"/>
      <family val="2"/>
    </font>
    <font>
      <sz val="10"/>
      <name val="Geneva"/>
      <family val="2"/>
    </font>
    <font>
      <b/>
      <sz val="9"/>
      <name val="Frutiger 45 Light"/>
      <family val="2"/>
    </font>
    <font>
      <b/>
      <sz val="8"/>
      <color indexed="18"/>
      <name val="Times New Roman"/>
      <family val="1"/>
    </font>
    <font>
      <sz val="10"/>
      <color indexed="23"/>
      <name val="MS Sans Serif"/>
      <family val="2"/>
    </font>
    <font>
      <b/>
      <sz val="12"/>
      <name val="MS Sans Serif"/>
      <family val="2"/>
    </font>
    <font>
      <b/>
      <sz val="10"/>
      <name val="GillSans"/>
      <family val="2"/>
    </font>
    <font>
      <b/>
      <sz val="10"/>
      <name val="lr ¾©"/>
      <family val="1"/>
    </font>
    <font>
      <b/>
      <sz val="10"/>
      <color indexed="16"/>
      <name val="Times New Roman"/>
      <family val="1"/>
    </font>
    <font>
      <sz val="10"/>
      <name val="Arial Narrow"/>
      <family val="2"/>
    </font>
    <font>
      <u/>
      <sz val="11"/>
      <color indexed="12"/>
      <name val="ＭＳ Ｐゴシック"/>
      <family val="3"/>
      <charset val="128"/>
    </font>
    <font>
      <sz val="11"/>
      <name val="ＭＳ Ｐゴシック"/>
      <family val="3"/>
      <charset val="128"/>
    </font>
    <font>
      <b/>
      <sz val="11"/>
      <color rgb="FFFF0000"/>
      <name val="Arial"/>
      <family val="2"/>
    </font>
    <font>
      <sz val="11"/>
      <color rgb="FF000000"/>
      <name val="Calibri"/>
      <family val="2"/>
    </font>
    <font>
      <b/>
      <sz val="11"/>
      <color theme="0"/>
      <name val="Arial"/>
      <family val="2"/>
    </font>
    <font>
      <b/>
      <sz val="10"/>
      <color theme="0"/>
      <name val="Segoe UI"/>
      <family val="2"/>
    </font>
    <font>
      <sz val="12"/>
      <color theme="0"/>
      <name val="Calibri"/>
      <family val="2"/>
      <scheme val="minor"/>
    </font>
    <font>
      <sz val="12"/>
      <color theme="1"/>
      <name val="Calibri"/>
      <family val="2"/>
      <scheme val="minor"/>
    </font>
    <font>
      <sz val="12"/>
      <name val="Calibri"/>
      <family val="2"/>
      <scheme val="minor"/>
    </font>
    <font>
      <b/>
      <sz val="12"/>
      <color theme="1"/>
      <name val="Calibri"/>
      <family val="2"/>
      <scheme val="minor"/>
    </font>
    <font>
      <sz val="10"/>
      <color rgb="FF000000"/>
      <name val="Arial"/>
      <family val="2"/>
    </font>
    <font>
      <sz val="10"/>
      <name val="Helv"/>
    </font>
    <font>
      <sz val="10"/>
      <name val="Courier"/>
      <family val="3"/>
    </font>
    <font>
      <sz val="10"/>
      <name val="Univers Condensed"/>
    </font>
    <font>
      <b/>
      <sz val="10"/>
      <name val="Helv"/>
    </font>
    <font>
      <sz val="11"/>
      <color indexed="9"/>
      <name val="Calibri"/>
      <family val="2"/>
    </font>
    <font>
      <sz val="12"/>
      <name val="Arial MT"/>
    </font>
    <font>
      <i/>
      <sz val="8"/>
      <color indexed="16"/>
      <name val="Arial"/>
      <family val="2"/>
    </font>
    <font>
      <i/>
      <sz val="8"/>
      <color indexed="54"/>
      <name val="Arial"/>
      <family val="2"/>
    </font>
    <font>
      <i/>
      <sz val="9"/>
      <color indexed="16"/>
      <name val="Arial"/>
      <family val="2"/>
    </font>
    <font>
      <sz val="9"/>
      <color indexed="12"/>
      <name val="Times New Roman"/>
      <family val="1"/>
    </font>
    <font>
      <sz val="9"/>
      <color indexed="8"/>
      <name val="Times New Roman"/>
      <family val="1"/>
    </font>
    <font>
      <sz val="8"/>
      <name val="Arial MT"/>
    </font>
    <font>
      <b/>
      <sz val="6"/>
      <name val="Arial"/>
      <family val="2"/>
    </font>
    <font>
      <sz val="8"/>
      <name val="Wingdings"/>
      <charset val="2"/>
    </font>
    <font>
      <sz val="10"/>
      <color indexed="10"/>
      <name val="Arial Narrow"/>
      <family val="2"/>
    </font>
    <font>
      <sz val="11"/>
      <color indexed="10"/>
      <name val="Calibri"/>
      <family val="2"/>
    </font>
    <font>
      <b/>
      <sz val="9"/>
      <color indexed="55"/>
      <name val="Trebuchet MS"/>
      <family val="2"/>
    </font>
    <font>
      <sz val="11"/>
      <color indexed="20"/>
      <name val="Calibri"/>
      <family val="2"/>
    </font>
    <font>
      <sz val="10"/>
      <color indexed="8"/>
      <name val="Tms Rmn"/>
    </font>
    <font>
      <sz val="9"/>
      <color indexed="9"/>
      <name val="Times New Roman"/>
      <family val="1"/>
    </font>
    <font>
      <sz val="8"/>
      <color indexed="12"/>
      <name val="Tms Rmn"/>
    </font>
    <font>
      <sz val="10"/>
      <color indexed="12"/>
      <name val="Times New Roman"/>
      <family val="1"/>
    </font>
    <font>
      <sz val="8"/>
      <color indexed="12"/>
      <name val="Times New Roman"/>
      <family val="1"/>
    </font>
    <font>
      <u val="singleAccounting"/>
      <sz val="10"/>
      <name val="Arial"/>
      <family val="2"/>
    </font>
    <font>
      <sz val="10"/>
      <name val="Tahoma"/>
      <family val="2"/>
    </font>
    <font>
      <b/>
      <sz val="11"/>
      <color indexed="31"/>
      <name val="Calibri"/>
      <family val="2"/>
    </font>
    <font>
      <b/>
      <sz val="11"/>
      <color indexed="52"/>
      <name val="Calibri"/>
      <family val="2"/>
    </font>
    <font>
      <sz val="8"/>
      <name val="Trebuchet MS"/>
      <family val="2"/>
    </font>
    <font>
      <sz val="11"/>
      <color indexed="31"/>
      <name val="Calibri"/>
      <family val="2"/>
    </font>
    <font>
      <sz val="8"/>
      <name val="Tms Rmn"/>
    </font>
    <font>
      <sz val="10"/>
      <color indexed="18"/>
      <name val="Times New Roman"/>
      <family val="1"/>
    </font>
    <font>
      <sz val="6"/>
      <name val="Arial Narrow"/>
      <family val="2"/>
    </font>
    <font>
      <b/>
      <sz val="11"/>
      <color indexed="9"/>
      <name val="Calibri"/>
      <family val="2"/>
    </font>
    <font>
      <b/>
      <sz val="8"/>
      <name val="Book Antiqua"/>
      <family val="1"/>
    </font>
    <font>
      <b/>
      <sz val="8"/>
      <name val="GillSans"/>
      <family val="2"/>
    </font>
    <font>
      <b/>
      <sz val="7"/>
      <name val="Helvetica-Narrow"/>
      <family val="2"/>
    </font>
    <font>
      <b/>
      <sz val="7"/>
      <name val="GillSans"/>
      <family val="2"/>
    </font>
    <font>
      <sz val="11"/>
      <name val="Tms Rmn"/>
      <family val="1"/>
    </font>
    <font>
      <b/>
      <sz val="24"/>
      <name val="Times New Roman"/>
      <family val="1"/>
    </font>
    <font>
      <b/>
      <sz val="11"/>
      <name val="Times New Roman"/>
      <family val="1"/>
    </font>
    <font>
      <sz val="11"/>
      <color indexed="12"/>
      <name val="Book Antiqua"/>
      <family val="1"/>
    </font>
    <font>
      <sz val="8"/>
      <name val="Helv"/>
    </font>
    <font>
      <sz val="10"/>
      <color indexed="17"/>
      <name val="Palatino"/>
      <family val="1"/>
    </font>
    <font>
      <sz val="10"/>
      <name val="GillSans"/>
      <family val="2"/>
    </font>
    <font>
      <sz val="12"/>
      <name val="TimesNewRomanPS"/>
    </font>
    <font>
      <sz val="8"/>
      <color indexed="8"/>
      <name val="Trebuchet MS"/>
      <family val="2"/>
    </font>
    <font>
      <sz val="8"/>
      <name val="Helvetica"/>
      <family val="2"/>
    </font>
    <font>
      <sz val="10"/>
      <color indexed="8"/>
      <name val="Arial Narrow"/>
      <family val="2"/>
    </font>
    <font>
      <sz val="8"/>
      <color indexed="14"/>
      <name val="Times New Roman"/>
      <family val="1"/>
    </font>
    <font>
      <u val="doubleAccounting"/>
      <sz val="10"/>
      <name val="Arial"/>
      <family val="2"/>
    </font>
    <font>
      <b/>
      <i/>
      <sz val="8"/>
      <color indexed="12"/>
      <name val="HelveticaNeue Condensed"/>
      <family val="2"/>
    </font>
    <font>
      <sz val="11"/>
      <color indexed="62"/>
      <name val="Calibri"/>
      <family val="2"/>
    </font>
    <font>
      <sz val="10"/>
      <name val="Verdana"/>
      <family val="2"/>
    </font>
    <font>
      <i/>
      <sz val="11"/>
      <color indexed="23"/>
      <name val="Calibri"/>
      <family val="2"/>
    </font>
    <font>
      <sz val="10"/>
      <color indexed="2"/>
      <name val="Tahoma"/>
      <family val="2"/>
    </font>
    <font>
      <b/>
      <sz val="10"/>
      <color indexed="0"/>
      <name val="Tahoma"/>
      <family val="2"/>
    </font>
    <font>
      <sz val="10"/>
      <name val="Tms Rmn"/>
    </font>
    <font>
      <sz val="9"/>
      <name val="GillSans Light"/>
      <family val="2"/>
    </font>
    <font>
      <b/>
      <sz val="8.5"/>
      <color indexed="17"/>
      <name val="Arial"/>
      <family val="2"/>
    </font>
    <font>
      <sz val="10"/>
      <color rgb="FF886500"/>
      <name val="Verdana"/>
      <family val="2"/>
    </font>
    <font>
      <sz val="10"/>
      <color indexed="8"/>
      <name val="Trebuchet MS"/>
      <family val="2"/>
    </font>
    <font>
      <sz val="9"/>
      <name val="Bembo (DFS)"/>
      <family val="1"/>
    </font>
    <font>
      <sz val="11"/>
      <color indexed="17"/>
      <name val="Calibri"/>
      <family val="2"/>
    </font>
    <font>
      <sz val="10"/>
      <color rgb="FF006100"/>
      <name val="Verdana"/>
      <family val="2"/>
    </font>
    <font>
      <sz val="7"/>
      <name val="Arial"/>
      <family val="2"/>
    </font>
    <font>
      <b/>
      <sz val="7"/>
      <color indexed="17"/>
      <name val="Arial"/>
      <family val="2"/>
    </font>
    <font>
      <sz val="8.5"/>
      <color indexed="8"/>
      <name val="Arial"/>
      <family val="2"/>
    </font>
    <font>
      <sz val="9"/>
      <name val="Futura UBS Bk"/>
      <family val="2"/>
    </font>
    <font>
      <b/>
      <sz val="10"/>
      <color indexed="9"/>
      <name val="GillSans"/>
      <family val="2"/>
    </font>
    <font>
      <b/>
      <sz val="10"/>
      <color indexed="8"/>
      <name val="GillSans"/>
      <family val="2"/>
    </font>
    <font>
      <sz val="10.5"/>
      <name val="Times New Roman"/>
      <family val="1"/>
    </font>
    <font>
      <b/>
      <sz val="8"/>
      <color indexed="9"/>
      <name val="Helvetica"/>
      <family val="2"/>
    </font>
    <font>
      <b/>
      <sz val="13"/>
      <color indexed="62"/>
      <name val="Calibri"/>
      <family val="2"/>
    </font>
    <font>
      <b/>
      <sz val="11"/>
      <color indexed="62"/>
      <name val="Calibri"/>
      <family val="2"/>
    </font>
    <font>
      <b/>
      <sz val="16"/>
      <name val="Times New Roman"/>
      <family val="1"/>
    </font>
    <font>
      <sz val="18"/>
      <name val="Arial"/>
      <family val="2"/>
    </font>
    <font>
      <b/>
      <i/>
      <sz val="22"/>
      <name val="Times New Roman"/>
      <family val="1"/>
    </font>
    <font>
      <sz val="7"/>
      <color indexed="8"/>
      <name val="Tms Rmn"/>
    </font>
    <font>
      <sz val="8"/>
      <color indexed="62"/>
      <name val="Trebuchet MS"/>
      <family val="2"/>
    </font>
    <font>
      <sz val="11"/>
      <color indexed="52"/>
      <name val="Calibri"/>
      <family val="2"/>
    </font>
    <font>
      <b/>
      <sz val="8"/>
      <color indexed="63"/>
      <name val="Trebuchet MS"/>
      <family val="2"/>
    </font>
    <font>
      <b/>
      <sz val="14"/>
      <name val="Arial"/>
      <family val="2"/>
    </font>
    <font>
      <b/>
      <i/>
      <sz val="10"/>
      <color indexed="4"/>
      <name val="Tahoma"/>
      <family val="2"/>
    </font>
    <font>
      <sz val="10"/>
      <color indexed="4"/>
      <name val="Tahoma"/>
      <family val="2"/>
    </font>
    <font>
      <b/>
      <sz val="14"/>
      <name val="Book Antiqua"/>
      <family val="1"/>
    </font>
    <font>
      <sz val="10"/>
      <name val="Palatino"/>
      <family val="1"/>
    </font>
    <font>
      <sz val="8"/>
      <name val="Palatino"/>
      <family val="1"/>
    </font>
    <font>
      <sz val="11"/>
      <color indexed="60"/>
      <name val="Calibri"/>
      <family val="2"/>
    </font>
    <font>
      <sz val="7"/>
      <name val="Small Fonts"/>
      <family val="2"/>
    </font>
    <font>
      <i/>
      <sz val="9"/>
      <name val="Times New Roman"/>
      <family val="1"/>
    </font>
    <font>
      <sz val="11"/>
      <name val="Calibri"/>
      <family val="2"/>
    </font>
    <font>
      <sz val="10"/>
      <name val="Helv"/>
      <charset val="238"/>
    </font>
    <font>
      <i/>
      <sz val="10"/>
      <name val="Helv"/>
    </font>
    <font>
      <sz val="8"/>
      <color indexed="8"/>
      <name val="Times New Roman"/>
      <family val="1"/>
    </font>
    <font>
      <sz val="8.5"/>
      <name val="Arial Narrow"/>
      <family val="2"/>
    </font>
    <font>
      <b/>
      <sz val="13.5"/>
      <name val="MS Sans Serif"/>
      <family val="2"/>
    </font>
    <font>
      <b/>
      <sz val="11"/>
      <color indexed="63"/>
      <name val="Calibri"/>
      <family val="2"/>
    </font>
    <font>
      <b/>
      <sz val="14"/>
      <name val="Times New Roman"/>
      <family val="1"/>
    </font>
    <font>
      <b/>
      <sz val="26"/>
      <name val="Times New Roman"/>
      <family val="1"/>
    </font>
    <font>
      <b/>
      <sz val="18"/>
      <name val="Times New Roman"/>
      <family val="1"/>
    </font>
    <font>
      <sz val="10"/>
      <color indexed="16"/>
      <name val="Helvetica-Black"/>
    </font>
    <font>
      <b/>
      <sz val="24"/>
      <name val="Arial"/>
      <family val="2"/>
    </font>
    <font>
      <i/>
      <sz val="14"/>
      <name val="Times New Roman"/>
      <family val="1"/>
    </font>
    <font>
      <b/>
      <sz val="22"/>
      <name val="Book Antiqua"/>
      <family val="1"/>
    </font>
    <font>
      <sz val="10"/>
      <color indexed="12"/>
      <name val="Arial Narrow"/>
      <family val="2"/>
    </font>
    <font>
      <b/>
      <sz val="10"/>
      <color indexed="8"/>
      <name val="Arial Narrow"/>
      <family val="2"/>
    </font>
    <font>
      <i/>
      <sz val="8"/>
      <name val="Arial MT"/>
    </font>
    <font>
      <sz val="10"/>
      <color indexed="10"/>
      <name val="Arial"/>
      <family val="2"/>
    </font>
    <font>
      <sz val="10"/>
      <color indexed="12"/>
      <name val="Garamond"/>
      <family val="1"/>
    </font>
    <font>
      <u/>
      <sz val="10"/>
      <name val="GillSans"/>
      <family val="2"/>
    </font>
    <font>
      <sz val="10"/>
      <color indexed="38"/>
      <name val="Verdana"/>
      <family val="2"/>
    </font>
    <font>
      <b/>
      <sz val="10"/>
      <color indexed="39"/>
      <name val="Arial"/>
      <family val="2"/>
    </font>
    <font>
      <b/>
      <sz val="12"/>
      <color indexed="8"/>
      <name val="Arial"/>
      <family val="2"/>
    </font>
    <font>
      <sz val="10"/>
      <color indexed="39"/>
      <name val="Arial"/>
      <family val="2"/>
    </font>
    <font>
      <sz val="19"/>
      <color indexed="48"/>
      <name val="Arial"/>
      <family val="2"/>
    </font>
    <font>
      <sz val="12"/>
      <name val="Helvetica"/>
      <family val="2"/>
    </font>
    <font>
      <b/>
      <sz val="10"/>
      <name val="Tms Rmn"/>
    </font>
    <font>
      <sz val="12"/>
      <name val="Helv"/>
    </font>
    <font>
      <sz val="10"/>
      <name val="Book Antiqua"/>
      <family val="1"/>
    </font>
    <font>
      <b/>
      <sz val="14"/>
      <name val="Arial MT"/>
    </font>
    <font>
      <b/>
      <sz val="8"/>
      <name val="HelveticaNeue Condensed"/>
    </font>
    <font>
      <sz val="8"/>
      <name val="HelveticaNeue LightCond"/>
      <family val="2"/>
    </font>
    <font>
      <b/>
      <sz val="7"/>
      <name val="HelveticaNeue Condensed"/>
      <family val="2"/>
    </font>
    <font>
      <b/>
      <sz val="9"/>
      <name val="Times New Roman"/>
      <family val="1"/>
    </font>
    <font>
      <sz val="10"/>
      <color indexed="12"/>
      <name val="Palatino"/>
      <family val="1"/>
    </font>
    <font>
      <b/>
      <sz val="10"/>
      <color indexed="18"/>
      <name val="Symbol"/>
      <family val="1"/>
      <charset val="2"/>
    </font>
    <font>
      <b/>
      <sz val="9"/>
      <name val="Palatino"/>
      <family val="1"/>
    </font>
    <font>
      <sz val="9"/>
      <color indexed="21"/>
      <name val="Helvetica-Black"/>
    </font>
    <font>
      <b/>
      <sz val="8.5"/>
      <color indexed="8"/>
      <name val="Arial"/>
      <family val="2"/>
    </font>
    <font>
      <sz val="7"/>
      <name val="Times New Roman"/>
      <family val="1"/>
    </font>
    <font>
      <b/>
      <sz val="12"/>
      <name val="GillSans"/>
      <family val="2"/>
    </font>
    <font>
      <sz val="12"/>
      <name val="Times New Roman"/>
      <family val="1"/>
    </font>
    <font>
      <b/>
      <sz val="18"/>
      <name val="Helv"/>
    </font>
    <font>
      <b/>
      <sz val="18"/>
      <color indexed="62"/>
      <name val="Cambria"/>
      <family val="2"/>
    </font>
    <font>
      <b/>
      <sz val="16"/>
      <color indexed="12"/>
      <name val="Arial"/>
      <family val="2"/>
    </font>
    <font>
      <b/>
      <sz val="16"/>
      <color indexed="62"/>
      <name val="Arial"/>
      <family val="2"/>
    </font>
    <font>
      <b/>
      <sz val="10"/>
      <name val="Helvetica 65"/>
      <family val="2"/>
    </font>
    <font>
      <b/>
      <sz val="10"/>
      <name val="Times New Roman"/>
      <family val="1"/>
    </font>
    <font>
      <b/>
      <sz val="8"/>
      <name val="Helv"/>
    </font>
    <font>
      <b/>
      <sz val="9"/>
      <color indexed="9"/>
      <name val="Trebuchet MS"/>
      <family val="2"/>
    </font>
    <font>
      <b/>
      <sz val="9"/>
      <color indexed="63"/>
      <name val="Trebuchet MS"/>
      <family val="2"/>
    </font>
    <font>
      <b/>
      <sz val="8"/>
      <color indexed="62"/>
      <name val="Trebuchet MS"/>
      <family val="2"/>
    </font>
    <font>
      <b/>
      <sz val="15"/>
      <color indexed="62"/>
      <name val="Calibri"/>
      <family val="2"/>
    </font>
    <font>
      <u/>
      <sz val="11"/>
      <name val="GillSans"/>
      <family val="2"/>
    </font>
    <font>
      <b/>
      <sz val="10"/>
      <color indexed="16"/>
      <name val="GillSans"/>
      <family val="2"/>
    </font>
    <font>
      <b/>
      <i/>
      <sz val="24"/>
      <name val="Arial"/>
      <family val="2"/>
    </font>
    <font>
      <b/>
      <sz val="10"/>
      <name val="Arial Narrow"/>
      <family val="2"/>
    </font>
    <font>
      <b/>
      <sz val="11"/>
      <color indexed="8"/>
      <name val="Calibri"/>
      <family val="2"/>
    </font>
    <font>
      <b/>
      <u/>
      <sz val="8"/>
      <name val="Arial"/>
      <family val="2"/>
    </font>
    <font>
      <sz val="8"/>
      <color indexed="16"/>
      <name val="Helv"/>
    </font>
    <font>
      <b/>
      <sz val="10"/>
      <name val="Verdana"/>
      <family val="2"/>
    </font>
    <font>
      <b/>
      <sz val="8"/>
      <color indexed="8"/>
      <name val="Wingdings"/>
      <charset val="2"/>
    </font>
    <font>
      <b/>
      <sz val="8"/>
      <color indexed="10"/>
      <name val="Wingdings"/>
      <charset val="2"/>
    </font>
    <font>
      <b/>
      <sz val="8"/>
      <color indexed="9"/>
      <name val="Wingdings"/>
      <charset val="2"/>
    </font>
    <font>
      <b/>
      <sz val="14"/>
      <color indexed="12"/>
      <name val="Arial"/>
      <family val="2"/>
    </font>
    <font>
      <b/>
      <u/>
      <sz val="8"/>
      <name val="Helvetica"/>
      <family val="2"/>
    </font>
    <font>
      <sz val="12"/>
      <name val="新細明體"/>
      <charset val="136"/>
    </font>
    <font>
      <sz val="11"/>
      <name val="明朝"/>
      <family val="1"/>
      <charset val="128"/>
    </font>
    <font>
      <b/>
      <sz val="11"/>
      <color rgb="FFFF0000"/>
      <name val="Calibri"/>
      <family val="2"/>
      <scheme val="minor"/>
    </font>
    <font>
      <sz val="11"/>
      <color rgb="FFFF0000"/>
      <name val="Calibri"/>
      <family val="2"/>
      <scheme val="minor"/>
    </font>
    <font>
      <u/>
      <sz val="11"/>
      <color theme="10"/>
      <name val="Calibri"/>
      <family val="2"/>
      <scheme val="minor"/>
    </font>
    <font>
      <sz val="8"/>
      <color rgb="FFFF0000"/>
      <name val="Arial"/>
      <family val="2"/>
    </font>
    <font>
      <b/>
      <sz val="10"/>
      <color rgb="FFFF0000"/>
      <name val="Arial"/>
      <family val="2"/>
    </font>
    <font>
      <u/>
      <sz val="14"/>
      <color theme="10"/>
      <name val="Calibri"/>
      <family val="2"/>
      <scheme val="minor"/>
    </font>
    <font>
      <b/>
      <sz val="12"/>
      <color rgb="FF000080"/>
      <name val="Arial"/>
      <family val="2"/>
    </font>
  </fonts>
  <fills count="96">
    <fill>
      <patternFill patternType="none"/>
    </fill>
    <fill>
      <patternFill patternType="gray125"/>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56"/>
        <bgColor indexed="64"/>
      </patternFill>
    </fill>
    <fill>
      <patternFill patternType="solid">
        <fgColor indexed="9"/>
        <bgColor indexed="64"/>
      </patternFill>
    </fill>
    <fill>
      <patternFill patternType="solid">
        <fgColor indexed="55"/>
        <bgColor indexed="64"/>
      </patternFill>
    </fill>
    <fill>
      <patternFill patternType="solid">
        <fgColor indexed="16"/>
        <bgColor indexed="64"/>
      </patternFill>
    </fill>
    <fill>
      <patternFill patternType="solid">
        <fgColor indexed="13"/>
        <bgColor indexed="64"/>
      </patternFill>
    </fill>
    <fill>
      <patternFill patternType="solid">
        <fgColor indexed="44"/>
        <bgColor indexed="64"/>
      </patternFill>
    </fill>
    <fill>
      <patternFill patternType="solid">
        <fgColor indexed="18"/>
        <bgColor indexed="64"/>
      </patternFill>
    </fill>
    <fill>
      <patternFill patternType="solid">
        <fgColor theme="0" tint="-4.9989318521683403E-2"/>
        <bgColor indexed="64"/>
      </patternFill>
    </fill>
    <fill>
      <patternFill patternType="solid">
        <fgColor theme="1"/>
        <bgColor indexed="64"/>
      </patternFill>
    </fill>
    <fill>
      <patternFill patternType="solid">
        <fgColor theme="3"/>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rgb="FF137CB1"/>
        <bgColor indexed="64"/>
      </patternFill>
    </fill>
    <fill>
      <patternFill patternType="solid">
        <fgColor theme="0"/>
        <bgColor indexed="64"/>
      </patternFill>
    </fill>
    <fill>
      <patternFill patternType="solid">
        <fgColor rgb="FF00589F"/>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4CBBF"/>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indexed="43"/>
      </patternFill>
    </fill>
    <fill>
      <patternFill patternType="lightGray">
        <fgColor indexed="12"/>
      </patternFill>
    </fill>
    <fill>
      <patternFill patternType="solid">
        <fgColor indexed="31"/>
        <bgColor indexed="64"/>
      </patternFill>
    </fill>
    <fill>
      <patternFill patternType="lightGray">
        <fgColor indexed="11"/>
        <bgColor indexed="9"/>
      </patternFill>
    </fill>
    <fill>
      <patternFill patternType="solid">
        <fgColor indexed="13"/>
      </patternFill>
    </fill>
    <fill>
      <patternFill patternType="solid">
        <fgColor indexed="38"/>
        <bgColor indexed="64"/>
      </patternFill>
    </fill>
    <fill>
      <patternFill patternType="solid">
        <fgColor theme="0" tint="-0.499984740745262"/>
        <bgColor indexed="64"/>
      </patternFill>
    </fill>
    <fill>
      <patternFill patternType="solid">
        <fgColor rgb="FFFFC7CE"/>
      </patternFill>
    </fill>
    <fill>
      <patternFill patternType="solid">
        <fgColor rgb="FFFFEB9C"/>
      </patternFill>
    </fill>
    <fill>
      <patternFill patternType="solid">
        <fgColor indexed="32"/>
      </patternFill>
    </fill>
    <fill>
      <patternFill patternType="solid">
        <fgColor indexed="47"/>
      </patternFill>
    </fill>
    <fill>
      <patternFill patternType="solid">
        <fgColor indexed="9"/>
      </patternFill>
    </fill>
    <fill>
      <patternFill patternType="solid">
        <fgColor indexed="29"/>
      </patternFill>
    </fill>
    <fill>
      <patternFill patternType="solid">
        <fgColor indexed="27"/>
      </patternFill>
    </fill>
    <fill>
      <patternFill patternType="solid">
        <fgColor indexed="33"/>
      </patternFill>
    </fill>
    <fill>
      <patternFill patternType="solid">
        <fgColor indexed="44"/>
      </patternFill>
    </fill>
    <fill>
      <patternFill patternType="solid">
        <fgColor indexed="35"/>
      </patternFill>
    </fill>
    <fill>
      <patternFill patternType="solid">
        <fgColor indexed="26"/>
      </patternFill>
    </fill>
    <fill>
      <patternFill patternType="solid">
        <fgColor indexed="49"/>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54"/>
      </patternFill>
    </fill>
    <fill>
      <patternFill patternType="gray0625">
        <fgColor indexed="10"/>
        <bgColor indexed="9"/>
      </patternFill>
    </fill>
    <fill>
      <patternFill patternType="solid">
        <fgColor indexed="41"/>
        <bgColor indexed="64"/>
      </patternFill>
    </fill>
    <fill>
      <patternFill patternType="solid">
        <fgColor indexed="55"/>
      </patternFill>
    </fill>
    <fill>
      <patternFill patternType="solid">
        <fgColor indexed="45"/>
      </patternFill>
    </fill>
    <fill>
      <patternFill patternType="solid">
        <fgColor indexed="26"/>
        <bgColor indexed="64"/>
      </patternFill>
    </fill>
    <fill>
      <patternFill patternType="lightGray">
        <fgColor indexed="14"/>
        <bgColor indexed="9"/>
      </patternFill>
    </fill>
    <fill>
      <patternFill patternType="lightGray">
        <fgColor indexed="15"/>
      </patternFill>
    </fill>
    <fill>
      <patternFill patternType="solid">
        <fgColor indexed="45"/>
        <bgColor indexed="64"/>
      </patternFill>
    </fill>
    <fill>
      <patternFill patternType="solid">
        <fgColor indexed="20"/>
        <bgColor indexed="64"/>
      </patternFill>
    </fill>
    <fill>
      <patternFill patternType="lightGray">
        <fgColor indexed="12"/>
        <bgColor indexed="9"/>
      </patternFill>
    </fill>
    <fill>
      <patternFill patternType="solid">
        <fgColor indexed="9"/>
        <bgColor indexed="9"/>
      </patternFill>
    </fill>
    <fill>
      <patternFill patternType="solid">
        <fgColor indexed="48"/>
      </patternFill>
    </fill>
    <fill>
      <patternFill patternType="solid">
        <fgColor indexed="42"/>
      </patternFill>
    </fill>
    <fill>
      <patternFill patternType="mediumGray"/>
    </fill>
    <fill>
      <patternFill patternType="solid">
        <fgColor indexed="12"/>
      </patternFill>
    </fill>
    <fill>
      <patternFill patternType="mediumGray">
        <fgColor indexed="9"/>
        <bgColor indexed="22"/>
      </patternFill>
    </fill>
    <fill>
      <patternFill patternType="solid">
        <fgColor indexed="63"/>
      </patternFill>
    </fill>
    <fill>
      <patternFill patternType="solid">
        <fgColor rgb="FFDDDDDD"/>
      </patternFill>
    </fill>
    <fill>
      <patternFill patternType="solid">
        <fgColor indexed="47"/>
        <bgColor indexed="64"/>
      </patternFill>
    </fill>
    <fill>
      <patternFill patternType="mediumGray">
        <fgColor indexed="22"/>
      </patternFill>
    </fill>
    <fill>
      <patternFill patternType="solid">
        <fgColor indexed="10"/>
      </patternFill>
    </fill>
    <fill>
      <patternFill patternType="solid">
        <fgColor indexed="40"/>
        <bgColor indexed="64"/>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15"/>
      </patternFill>
    </fill>
    <fill>
      <patternFill patternType="solid">
        <fgColor indexed="63"/>
        <bgColor indexed="64"/>
      </patternFill>
    </fill>
    <fill>
      <patternFill patternType="lightGray">
        <fgColor indexed="22"/>
        <bgColor indexed="9"/>
      </patternFill>
    </fill>
    <fill>
      <patternFill patternType="solid">
        <fgColor indexed="31"/>
        <bgColor indexed="8"/>
      </patternFill>
    </fill>
    <fill>
      <patternFill patternType="solid">
        <fgColor indexed="43"/>
        <bgColor indexed="8"/>
      </patternFill>
    </fill>
    <fill>
      <patternFill patternType="solid">
        <fgColor indexed="63"/>
        <bgColor indexed="8"/>
      </patternFill>
    </fill>
    <fill>
      <patternFill patternType="solid">
        <fgColor indexed="8"/>
        <bgColor indexed="64"/>
      </patternFill>
    </fill>
    <fill>
      <patternFill patternType="solid">
        <fgColor indexed="22"/>
        <bgColor indexed="9"/>
      </patternFill>
    </fill>
    <fill>
      <patternFill patternType="solid">
        <fgColor indexed="36"/>
      </patternFill>
    </fill>
    <fill>
      <patternFill patternType="solid">
        <fgColor rgb="FFEAEAEA"/>
      </patternFill>
    </fill>
    <fill>
      <patternFill patternType="solid">
        <fgColor indexed="65"/>
        <bgColor indexed="64"/>
      </patternFill>
    </fill>
    <fill>
      <patternFill patternType="solid">
        <fgColor theme="5" tint="0.39997558519241921"/>
        <bgColor indexed="64"/>
      </patternFill>
    </fill>
    <fill>
      <patternFill patternType="solid">
        <fgColor rgb="FF92D050"/>
        <bgColor indexed="64"/>
      </patternFill>
    </fill>
  </fills>
  <borders count="71">
    <border>
      <left/>
      <right/>
      <top/>
      <bottom/>
      <diagonal/>
    </border>
    <border>
      <left style="thin">
        <color indexed="23"/>
      </left>
      <right style="thin">
        <color indexed="23"/>
      </right>
      <top style="thin">
        <color indexed="23"/>
      </top>
      <bottom style="thin">
        <color indexed="23"/>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9"/>
      </left>
      <right style="thin">
        <color indexed="9"/>
      </right>
      <top style="thin">
        <color indexed="9"/>
      </top>
      <bottom style="thin">
        <color indexed="9"/>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bottom style="hair">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hair">
        <color indexed="8"/>
      </top>
      <bottom style="hair">
        <color indexed="8"/>
      </bottom>
      <diagonal/>
    </border>
    <border>
      <left/>
      <right/>
      <top/>
      <bottom style="medium">
        <color indexed="18"/>
      </bottom>
      <diagonal/>
    </border>
    <border>
      <left style="thin">
        <color indexed="8"/>
      </left>
      <right style="thin">
        <color indexed="8"/>
      </right>
      <top style="thin">
        <color indexed="8"/>
      </top>
      <bottom style="thin">
        <color indexed="8"/>
      </bottom>
      <diagonal/>
    </border>
    <border>
      <left/>
      <right/>
      <top style="double">
        <color indexed="64"/>
      </top>
      <bottom/>
      <diagonal/>
    </border>
    <border>
      <left/>
      <right/>
      <top/>
      <bottom style="thick">
        <color indexed="18"/>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style="hair">
        <color indexed="22"/>
      </left>
      <right style="hair">
        <color indexed="22"/>
      </right>
      <top style="hair">
        <color indexed="22"/>
      </top>
      <bottom style="hair">
        <color indexed="22"/>
      </bottom>
      <diagonal/>
    </border>
    <border>
      <left/>
      <right/>
      <top/>
      <bottom style="thin">
        <color indexed="44"/>
      </bottom>
      <diagonal/>
    </border>
    <border>
      <left/>
      <right/>
      <top/>
      <bottom style="double">
        <color indexed="31"/>
      </bottom>
      <diagonal/>
    </border>
    <border>
      <left style="double">
        <color indexed="63"/>
      </left>
      <right style="double">
        <color indexed="63"/>
      </right>
      <top style="double">
        <color indexed="63"/>
      </top>
      <bottom style="double">
        <color indexed="63"/>
      </bottom>
      <diagonal/>
    </border>
    <border>
      <left style="thin">
        <color indexed="35"/>
      </left>
      <right style="thin">
        <color indexed="35"/>
      </right>
      <top style="thin">
        <color indexed="35"/>
      </top>
      <bottom style="thin">
        <color indexed="35"/>
      </bottom>
      <diagonal/>
    </border>
    <border>
      <left/>
      <right style="thin">
        <color indexed="8"/>
      </right>
      <top style="thin">
        <color indexed="8"/>
      </top>
      <bottom/>
      <diagonal/>
    </border>
    <border>
      <left/>
      <right/>
      <top/>
      <bottom style="dotted">
        <color indexed="64"/>
      </bottom>
      <diagonal/>
    </border>
    <border>
      <left style="dotted">
        <color indexed="12"/>
      </left>
      <right style="dotted">
        <color indexed="12"/>
      </right>
      <top style="dotted">
        <color indexed="12"/>
      </top>
      <bottom style="dotted">
        <color indexed="12"/>
      </bottom>
      <diagonal/>
    </border>
    <border>
      <left/>
      <right/>
      <top style="thin">
        <color indexed="8"/>
      </top>
      <bottom/>
      <diagonal/>
    </border>
    <border>
      <left style="thin">
        <color indexed="9"/>
      </left>
      <right style="thin">
        <color indexed="9"/>
      </right>
      <top/>
      <bottom/>
      <diagonal/>
    </border>
    <border>
      <left/>
      <right style="medium">
        <color rgb="FFFFFFFF"/>
      </right>
      <top/>
      <bottom style="medium">
        <color rgb="FFFFFFFF"/>
      </bottom>
      <diagonal/>
    </border>
    <border>
      <left/>
      <right/>
      <top/>
      <bottom style="thick">
        <color indexed="22"/>
      </bottom>
      <diagonal/>
    </border>
    <border>
      <left/>
      <right/>
      <top/>
      <bottom style="medium">
        <color indexed="49"/>
      </bottom>
      <diagonal/>
    </border>
    <border>
      <left/>
      <right/>
      <top/>
      <bottom style="thick">
        <color indexed="64"/>
      </bottom>
      <diagonal/>
    </border>
    <border>
      <left/>
      <right/>
      <top/>
      <bottom style="double">
        <color indexed="52"/>
      </bottom>
      <diagonal/>
    </border>
    <border>
      <left/>
      <right/>
      <top style="medium">
        <color indexed="18"/>
      </top>
      <bottom/>
      <diagonal/>
    </border>
    <border>
      <left style="thin">
        <color indexed="63"/>
      </left>
      <right style="thin">
        <color indexed="63"/>
      </right>
      <top style="thin">
        <color indexed="63"/>
      </top>
      <bottom style="thin">
        <color indexed="63"/>
      </bottom>
      <diagonal/>
    </border>
    <border>
      <left/>
      <right style="medium">
        <color rgb="FFFFFFFF"/>
      </right>
      <top style="thin">
        <color rgb="FF000000"/>
      </top>
      <bottom style="thin">
        <color rgb="FF000000"/>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medium">
        <color indexed="39"/>
      </top>
      <bottom/>
      <diagonal/>
    </border>
    <border>
      <left style="medium">
        <color indexed="39"/>
      </left>
      <right/>
      <top style="medium">
        <color indexed="39"/>
      </top>
      <bottom/>
      <diagonal/>
    </border>
    <border>
      <left/>
      <right/>
      <top/>
      <bottom style="medium">
        <color indexed="39"/>
      </bottom>
      <diagonal/>
    </border>
    <border>
      <left/>
      <right/>
      <top style="thin">
        <color indexed="64"/>
      </top>
      <bottom style="medium">
        <color indexed="64"/>
      </bottom>
      <diagonal/>
    </border>
    <border>
      <left/>
      <right/>
      <top style="thick">
        <color indexed="64"/>
      </top>
      <bottom/>
      <diagonal/>
    </border>
    <border>
      <left/>
      <right/>
      <top/>
      <bottom style="medium">
        <color indexed="63"/>
      </bottom>
      <diagonal/>
    </border>
    <border>
      <left/>
      <right/>
      <top/>
      <bottom style="thick">
        <color indexed="28"/>
      </bottom>
      <diagonal/>
    </border>
    <border>
      <left/>
      <right/>
      <top/>
      <bottom style="thick">
        <color indexed="27"/>
      </bottom>
      <diagonal/>
    </border>
    <border>
      <left/>
      <right/>
      <top/>
      <bottom style="medium">
        <color indexed="27"/>
      </bottom>
      <diagonal/>
    </border>
    <border>
      <left/>
      <right/>
      <top style="thin">
        <color indexed="49"/>
      </top>
      <bottom style="double">
        <color indexed="49"/>
      </bottom>
      <diagonal/>
    </border>
    <border>
      <left/>
      <right/>
      <top style="thin">
        <color indexed="64"/>
      </top>
      <bottom style="double">
        <color indexed="64"/>
      </bottom>
      <diagonal/>
    </border>
    <border>
      <left style="thin">
        <color rgb="FFFFFFFF"/>
      </left>
      <right/>
      <top/>
      <bottom style="thin">
        <color rgb="FFFFFFFF"/>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519">
    <xf numFmtId="0" fontId="0" fillId="0" borderId="0"/>
    <xf numFmtId="0" fontId="2" fillId="0" borderId="0"/>
    <xf numFmtId="0" fontId="2" fillId="0" borderId="0"/>
    <xf numFmtId="3" fontId="11" fillId="0" borderId="0"/>
    <xf numFmtId="0" fontId="2" fillId="0" borderId="0"/>
    <xf numFmtId="0" fontId="2" fillId="0" borderId="0"/>
    <xf numFmtId="0" fontId="2" fillId="0" borderId="0"/>
    <xf numFmtId="0" fontId="12" fillId="0" borderId="0"/>
    <xf numFmtId="0" fontId="12" fillId="0" borderId="0"/>
    <xf numFmtId="0" fontId="12" fillId="0" borderId="0"/>
    <xf numFmtId="0" fontId="12" fillId="0" borderId="0"/>
    <xf numFmtId="0" fontId="12" fillId="0" borderId="0"/>
    <xf numFmtId="0" fontId="2" fillId="0" borderId="0">
      <alignment vertical="center"/>
    </xf>
    <xf numFmtId="0" fontId="13" fillId="0" borderId="0"/>
    <xf numFmtId="167" fontId="55"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53"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0" fontId="57" fillId="0" borderId="2" applyNumberFormat="0" applyFill="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177" fontId="58" fillId="12" borderId="0" applyNumberFormat="0" applyBorder="0" applyAlignment="0" applyProtection="0"/>
    <xf numFmtId="0" fontId="2" fillId="0" borderId="0"/>
    <xf numFmtId="0" fontId="55" fillId="0" borderId="0"/>
    <xf numFmtId="0" fontId="1" fillId="0" borderId="0"/>
    <xf numFmtId="0" fontId="2" fillId="0" borderId="0"/>
    <xf numFmtId="0" fontId="2" fillId="0" borderId="0"/>
    <xf numFmtId="0" fontId="2" fillId="0" borderId="0"/>
    <xf numFmtId="0" fontId="2" fillId="0" borderId="0"/>
    <xf numFmtId="177" fontId="16" fillId="0" borderId="0"/>
    <xf numFmtId="0" fontId="2" fillId="0" borderId="0"/>
    <xf numFmtId="0" fontId="53" fillId="0" borderId="0"/>
    <xf numFmtId="0" fontId="2" fillId="0" borderId="0"/>
    <xf numFmtId="3" fontId="11" fillId="0" borderId="0"/>
    <xf numFmtId="0" fontId="2" fillId="0" borderId="0"/>
    <xf numFmtId="0" fontId="2" fillId="0" borderId="0"/>
    <xf numFmtId="0" fontId="12" fillId="0" borderId="0"/>
    <xf numFmtId="0" fontId="11" fillId="0" borderId="0" applyFill="0" applyBorder="0"/>
    <xf numFmtId="3" fontId="11" fillId="0" borderId="0"/>
    <xf numFmtId="0" fontId="45" fillId="0" borderId="0"/>
    <xf numFmtId="0" fontId="23" fillId="0" borderId="0"/>
    <xf numFmtId="3" fontId="11" fillId="0" borderId="0"/>
    <xf numFmtId="3" fontId="11" fillId="0" borderId="0"/>
    <xf numFmtId="171" fontId="2" fillId="0" borderId="0"/>
    <xf numFmtId="0" fontId="18" fillId="0" borderId="0">
      <alignment vertical="center"/>
    </xf>
    <xf numFmtId="170" fontId="19" fillId="0" borderId="0">
      <alignment horizontal="right"/>
    </xf>
    <xf numFmtId="9" fontId="5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90" fontId="17" fillId="0" borderId="0" applyFont="0" applyFill="0" applyBorder="0" applyAlignment="0" applyProtection="0"/>
    <xf numFmtId="0" fontId="2" fillId="0" borderId="0" applyNumberFormat="0" applyFill="0" applyBorder="0" applyAlignment="0" applyProtection="0"/>
    <xf numFmtId="0" fontId="2" fillId="4" borderId="0" applyNumberFormat="0" applyFont="0" applyBorder="0" applyAlignment="0" applyProtection="0"/>
    <xf numFmtId="0" fontId="2" fillId="4" borderId="0" applyNumberFormat="0" applyFont="0" applyBorder="0" applyAlignment="0" applyProtection="0"/>
    <xf numFmtId="0" fontId="20" fillId="0" borderId="0"/>
    <xf numFmtId="0" fontId="20" fillId="0" borderId="4">
      <alignment horizontal="centerContinuous"/>
    </xf>
    <xf numFmtId="0" fontId="21" fillId="0" borderId="4"/>
    <xf numFmtId="0" fontId="2" fillId="0" borderId="0"/>
    <xf numFmtId="0" fontId="49" fillId="2" borderId="1" applyNumberFormat="0" applyAlignment="0" applyProtection="0"/>
    <xf numFmtId="166" fontId="2" fillId="0" borderId="0" applyFont="0" applyFill="0" applyBorder="0" applyAlignment="0" applyProtection="0"/>
    <xf numFmtId="0" fontId="2" fillId="0" borderId="0"/>
    <xf numFmtId="199" fontId="2" fillId="0" borderId="0" applyFont="0" applyFill="0" applyBorder="0" applyAlignment="0" applyProtection="0"/>
    <xf numFmtId="3" fontId="2" fillId="0" borderId="0"/>
    <xf numFmtId="201" fontId="11" fillId="0" borderId="0"/>
    <xf numFmtId="202" fontId="87" fillId="0" borderId="0" applyFont="0" applyFill="0" applyBorder="0" applyAlignment="0" applyProtection="0"/>
    <xf numFmtId="203" fontId="87" fillId="0" borderId="0" applyFont="0" applyFill="0" applyBorder="0" applyAlignment="0" applyProtection="0"/>
    <xf numFmtId="0" fontId="88" fillId="0" borderId="0"/>
    <xf numFmtId="204" fontId="2" fillId="0" borderId="0" applyFont="0" applyFill="0" applyBorder="0" applyAlignment="0" applyProtection="0"/>
    <xf numFmtId="205" fontId="2" fillId="0" borderId="0" applyFont="0" applyFill="0" applyBorder="0" applyAlignment="0" applyProtection="0"/>
    <xf numFmtId="206" fontId="2" fillId="0" borderId="0" applyFont="0" applyFill="0" applyBorder="0" applyAlignment="0" applyProtection="0"/>
    <xf numFmtId="207" fontId="2" fillId="0" borderId="0" applyFont="0" applyFill="0" applyBorder="0" applyAlignment="0" applyProtection="0"/>
    <xf numFmtId="206" fontId="2" fillId="0" borderId="0" applyFont="0" applyFill="0" applyBorder="0" applyAlignment="0" applyProtection="0"/>
    <xf numFmtId="207" fontId="2" fillId="0" borderId="0" applyFont="0" applyFill="0" applyBorder="0" applyAlignment="0" applyProtection="0"/>
    <xf numFmtId="207" fontId="2" fillId="0" borderId="0" applyFont="0" applyFill="0" applyBorder="0" applyAlignment="0" applyProtection="0"/>
    <xf numFmtId="0" fontId="2" fillId="0" borderId="0" applyFont="0" applyFill="0" applyBorder="0" applyAlignment="0" applyProtection="0"/>
    <xf numFmtId="208" fontId="2" fillId="0" borderId="0" applyFont="0" applyFill="0" applyBorder="0" applyAlignment="0" applyProtection="0"/>
    <xf numFmtId="209" fontId="2" fillId="0" borderId="0" applyFont="0" applyFill="0" applyBorder="0" applyAlignment="0" applyProtection="0"/>
    <xf numFmtId="209" fontId="2" fillId="0" borderId="0" applyFont="0" applyFill="0" applyBorder="0" applyAlignment="0" applyProtection="0"/>
    <xf numFmtId="209" fontId="2" fillId="0" borderId="0" applyFont="0" applyFill="0" applyBorder="0" applyAlignment="0" applyProtection="0"/>
    <xf numFmtId="39" fontId="2" fillId="0" borderId="0" applyFont="0" applyFill="0" applyBorder="0" applyAlignment="0" applyProtection="0"/>
    <xf numFmtId="210" fontId="2" fillId="0" borderId="0" applyFont="0" applyFill="0" applyBorder="0" applyAlignment="0" applyProtection="0"/>
    <xf numFmtId="210" fontId="2" fillId="0" borderId="0" applyFont="0" applyFill="0" applyBorder="0" applyAlignment="0" applyProtection="0"/>
    <xf numFmtId="210" fontId="2" fillId="0" borderId="0" applyFont="0" applyFill="0" applyBorder="0" applyAlignment="0" applyProtection="0"/>
    <xf numFmtId="211" fontId="2" fillId="0" borderId="0" applyFont="0" applyFill="0" applyBorder="0" applyAlignment="0" applyProtection="0"/>
    <xf numFmtId="0" fontId="89" fillId="0" borderId="0" applyNumberFormat="0" applyFill="0" applyBorder="0" applyAlignment="0" applyProtection="0"/>
    <xf numFmtId="0" fontId="2" fillId="28" borderId="0" applyNumberFormat="0" applyFont="0" applyAlignment="0" applyProtection="0"/>
    <xf numFmtId="212" fontId="2" fillId="0" borderId="0" applyFont="0" applyFill="0" applyBorder="0" applyAlignment="0" applyProtection="0"/>
    <xf numFmtId="213" fontId="2" fillId="0" borderId="0" applyFont="0" applyFill="0" applyBorder="0" applyAlignment="0" applyProtection="0"/>
    <xf numFmtId="214" fontId="2" fillId="0" borderId="0" applyFont="0" applyFill="0" applyBorder="0" applyAlignment="0" applyProtection="0"/>
    <xf numFmtId="213" fontId="2" fillId="0" borderId="0" applyFont="0" applyFill="0" applyBorder="0" applyAlignment="0" applyProtection="0"/>
    <xf numFmtId="213" fontId="2" fillId="0" borderId="0" applyFont="0" applyFill="0" applyBorder="0" applyAlignment="0" applyProtection="0"/>
    <xf numFmtId="215" fontId="2" fillId="0" borderId="0" applyFont="0" applyFill="0" applyBorder="0" applyAlignment="0" applyProtection="0"/>
    <xf numFmtId="216" fontId="2" fillId="0" borderId="0" applyFont="0" applyFill="0" applyBorder="0" applyProtection="0">
      <alignment horizontal="right"/>
    </xf>
    <xf numFmtId="217" fontId="2" fillId="0" borderId="0" applyFont="0" applyFill="0" applyBorder="0" applyProtection="0">
      <alignment horizontal="right"/>
    </xf>
    <xf numFmtId="216" fontId="2" fillId="0" borderId="0" applyFont="0" applyFill="0" applyBorder="0" applyProtection="0">
      <alignment horizontal="right"/>
    </xf>
    <xf numFmtId="216" fontId="2" fillId="0" borderId="0" applyFont="0" applyFill="0" applyBorder="0" applyProtection="0">
      <alignment horizontal="right"/>
    </xf>
    <xf numFmtId="218" fontId="2" fillId="0" borderId="0" applyFont="0" applyFill="0" applyBorder="0" applyAlignment="0" applyProtection="0"/>
    <xf numFmtId="219" fontId="2" fillId="0" borderId="0" applyFont="0" applyFill="0" applyBorder="0" applyAlignment="0" applyProtection="0"/>
    <xf numFmtId="0" fontId="40" fillId="0" borderId="0" applyNumberFormat="0" applyFill="0" applyBorder="0" applyProtection="0">
      <alignment vertical="top"/>
    </xf>
    <xf numFmtId="0" fontId="90" fillId="0" borderId="25" applyNumberFormat="0" applyFill="0" applyAlignment="0" applyProtection="0"/>
    <xf numFmtId="0" fontId="91" fillId="0" borderId="26" applyNumberFormat="0" applyFill="0" applyProtection="0">
      <alignment horizontal="center"/>
    </xf>
    <xf numFmtId="0" fontId="91" fillId="0" borderId="0" applyNumberFormat="0" applyFill="0" applyBorder="0" applyProtection="0">
      <alignment horizontal="left"/>
    </xf>
    <xf numFmtId="0" fontId="92" fillId="0" borderId="0" applyNumberFormat="0" applyFill="0" applyBorder="0" applyProtection="0">
      <alignment horizontal="centerContinuous"/>
    </xf>
    <xf numFmtId="220" fontId="93" fillId="0" borderId="0" applyFont="0" applyFill="0" applyBorder="0" applyAlignment="0" applyProtection="0"/>
    <xf numFmtId="221" fontId="93" fillId="0" borderId="0" applyFont="0" applyFill="0" applyBorder="0" applyAlignment="0" applyProtection="0"/>
    <xf numFmtId="0" fontId="2" fillId="0" borderId="0"/>
    <xf numFmtId="0" fontId="93" fillId="0" borderId="0"/>
    <xf numFmtId="222" fontId="19" fillId="0" borderId="0" applyFill="0" applyBorder="0" applyProtection="0"/>
    <xf numFmtId="222" fontId="19" fillId="0" borderId="0" applyFill="0" applyBorder="0" applyProtection="0"/>
    <xf numFmtId="222" fontId="94" fillId="0" borderId="0" applyFont="0" applyFill="0" applyBorder="0" applyAlignment="0" applyProtection="0"/>
    <xf numFmtId="0" fontId="12" fillId="0" borderId="0">
      <alignment horizontal="center" wrapText="1"/>
      <protection hidden="1"/>
    </xf>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223" fontId="95" fillId="0" borderId="0">
      <alignment horizontal="left"/>
    </xf>
    <xf numFmtId="0" fontId="96" fillId="29" borderId="0">
      <alignment horizontal="center" vertical="center" wrapText="1"/>
    </xf>
    <xf numFmtId="224" fontId="12" fillId="0" borderId="0" applyFill="0" applyBorder="0">
      <alignment horizontal="right"/>
      <protection locked="0"/>
    </xf>
    <xf numFmtId="0" fontId="12" fillId="0" borderId="0" applyFont="0" applyFill="0" applyBorder="0" applyAlignment="0">
      <protection locked="0"/>
    </xf>
    <xf numFmtId="17" fontId="97" fillId="0" borderId="0">
      <alignment horizontal="right"/>
      <protection locked="0"/>
    </xf>
    <xf numFmtId="14" fontId="94" fillId="0" borderId="0" applyFill="0" applyBorder="0" applyProtection="0">
      <alignment horizontal="center"/>
    </xf>
    <xf numFmtId="225" fontId="94" fillId="0" borderId="0" applyFill="0" applyBorder="0" applyProtection="0">
      <alignment horizontal="center"/>
    </xf>
    <xf numFmtId="226" fontId="98" fillId="0" borderId="0">
      <alignment horizontal="right"/>
    </xf>
    <xf numFmtId="227" fontId="97" fillId="0" borderId="0">
      <alignment horizontal="right"/>
    </xf>
    <xf numFmtId="14" fontId="94" fillId="0" borderId="0" applyFont="0" applyFill="0" applyBorder="0" applyAlignment="0" applyProtection="0">
      <alignment horizontal="center"/>
    </xf>
    <xf numFmtId="225" fontId="94" fillId="0" borderId="0" applyFont="0" applyFill="0" applyBorder="0" applyAlignment="0" applyProtection="0">
      <alignment horizontal="center"/>
    </xf>
    <xf numFmtId="228" fontId="99" fillId="0" borderId="0">
      <alignment horizontal="right"/>
    </xf>
    <xf numFmtId="229" fontId="99" fillId="0" borderId="0">
      <alignment horizontal="right"/>
    </xf>
    <xf numFmtId="230" fontId="99" fillId="0" borderId="0">
      <alignment horizontal="right"/>
    </xf>
    <xf numFmtId="231" fontId="19" fillId="0" borderId="0" applyFill="0" applyBorder="0" applyProtection="0"/>
    <xf numFmtId="232" fontId="94" fillId="0" borderId="0" applyFill="0" applyBorder="0" applyProtection="0"/>
    <xf numFmtId="233" fontId="19" fillId="0" borderId="0" applyFill="0" applyBorder="0" applyProtection="0"/>
    <xf numFmtId="233" fontId="19" fillId="0" borderId="0" applyFont="0" applyFill="0" applyBorder="0" applyAlignment="0" applyProtection="0">
      <alignment horizontal="right"/>
    </xf>
    <xf numFmtId="233" fontId="19" fillId="0" borderId="0" applyFont="0" applyFill="0" applyBorder="0" applyAlignment="0" applyProtection="0"/>
    <xf numFmtId="222" fontId="2" fillId="30" borderId="0">
      <alignment horizontal="right"/>
    </xf>
    <xf numFmtId="231" fontId="19" fillId="0" borderId="0" applyFont="0" applyFill="0" applyBorder="0" applyAlignment="0" applyProtection="0">
      <alignment horizontal="right"/>
    </xf>
    <xf numFmtId="222" fontId="19" fillId="0" borderId="0" applyFill="0" applyBorder="0" applyAlignment="0" applyProtection="0">
      <protection locked="0"/>
    </xf>
    <xf numFmtId="234" fontId="19" fillId="0" borderId="0" applyFill="0" applyBorder="0" applyAlignment="0" applyProtection="0">
      <alignment horizontal="right"/>
    </xf>
    <xf numFmtId="235" fontId="100" fillId="0" borderId="0" applyFill="0" applyBorder="0" applyAlignment="0" applyProtection="0">
      <alignment horizontal="right"/>
    </xf>
    <xf numFmtId="0" fontId="101" fillId="0" borderId="0"/>
    <xf numFmtId="0" fontId="101" fillId="0" borderId="0"/>
    <xf numFmtId="0" fontId="102" fillId="0" borderId="0"/>
    <xf numFmtId="0" fontId="98" fillId="0" borderId="0"/>
    <xf numFmtId="0" fontId="97" fillId="0" borderId="0"/>
    <xf numFmtId="0" fontId="97" fillId="0" borderId="0"/>
    <xf numFmtId="222" fontId="19" fillId="0" borderId="0" applyFill="0" applyBorder="0" applyAlignment="0" applyProtection="0"/>
    <xf numFmtId="236" fontId="103" fillId="31" borderId="0">
      <alignment horizontal="right"/>
    </xf>
    <xf numFmtId="0" fontId="12" fillId="0" borderId="0" applyFill="0" applyBorder="0">
      <alignment horizontal="right"/>
      <protection locked="0"/>
    </xf>
    <xf numFmtId="181" fontId="12" fillId="0" borderId="0" applyFill="0" applyBorder="0">
      <alignment horizontal="right"/>
      <protection locked="0"/>
    </xf>
    <xf numFmtId="0" fontId="104" fillId="32" borderId="27">
      <alignment horizontal="left" vertical="center" wrapText="1"/>
    </xf>
    <xf numFmtId="0" fontId="105" fillId="0" borderId="0" applyNumberFormat="0" applyFill="0" applyBorder="0" applyProtection="0">
      <alignment horizontal="left" vertical="center"/>
    </xf>
    <xf numFmtId="170" fontId="19" fillId="0" borderId="0" applyFont="0" applyFill="0" applyBorder="0" applyAlignment="0" applyProtection="0">
      <alignment horizontal="right"/>
    </xf>
    <xf numFmtId="235" fontId="106" fillId="0" borderId="0" applyFill="0" applyBorder="0" applyAlignment="0" applyProtection="0">
      <alignment horizontal="right"/>
    </xf>
    <xf numFmtId="234" fontId="19" fillId="0" borderId="0" applyFill="0" applyBorder="0" applyAlignment="0" applyProtection="0">
      <alignment horizontal="right"/>
    </xf>
    <xf numFmtId="237" fontId="107" fillId="0" borderId="0">
      <alignment horizontal="right"/>
    </xf>
    <xf numFmtId="238" fontId="19" fillId="0" borderId="0" applyFill="0" applyBorder="0" applyAlignment="0" applyProtection="0">
      <alignment horizontal="left"/>
    </xf>
    <xf numFmtId="40" fontId="19" fillId="0" borderId="0" applyFill="0" applyBorder="0" applyAlignment="0" applyProtection="0">
      <alignment horizontal="left"/>
    </xf>
    <xf numFmtId="0" fontId="2" fillId="0" borderId="0"/>
    <xf numFmtId="3" fontId="2" fillId="0" borderId="0"/>
    <xf numFmtId="3" fontId="2" fillId="0" borderId="0"/>
    <xf numFmtId="3" fontId="2" fillId="0" borderId="0"/>
    <xf numFmtId="3" fontId="2" fillId="0" borderId="0"/>
    <xf numFmtId="0" fontId="2" fillId="0" borderId="0"/>
    <xf numFmtId="239" fontId="108" fillId="0" borderId="0">
      <alignment horizontal="right"/>
    </xf>
    <xf numFmtId="240" fontId="108" fillId="0" borderId="0">
      <alignment horizontal="right"/>
    </xf>
    <xf numFmtId="241" fontId="108" fillId="0" borderId="0">
      <alignment horizontal="right"/>
    </xf>
    <xf numFmtId="242" fontId="108" fillId="0" borderId="0">
      <alignment horizontal="right"/>
    </xf>
    <xf numFmtId="242" fontId="109" fillId="0" borderId="0">
      <alignment horizontal="right"/>
    </xf>
    <xf numFmtId="243" fontId="108" fillId="0" borderId="0">
      <alignment horizontal="right"/>
    </xf>
    <xf numFmtId="228" fontId="110" fillId="0" borderId="0">
      <alignment horizontal="right"/>
    </xf>
    <xf numFmtId="244" fontId="108" fillId="0" borderId="0">
      <alignment horizontal="right"/>
    </xf>
    <xf numFmtId="4" fontId="111" fillId="0" borderId="0" applyFont="0" applyFill="0" applyBorder="0" applyAlignment="0" applyProtection="0"/>
    <xf numFmtId="245" fontId="19" fillId="0" borderId="0" applyFont="0" applyFill="0" applyBorder="0" applyAlignment="0" applyProtection="0">
      <alignment horizontal="right"/>
    </xf>
    <xf numFmtId="0" fontId="112" fillId="0" borderId="0" applyNumberFormat="0">
      <alignment horizontal="center" vertical="center"/>
    </xf>
    <xf numFmtId="9" fontId="19" fillId="0" borderId="0" applyFont="0" applyFill="0" applyBorder="0" applyAlignment="0" applyProtection="0">
      <alignment horizontal="right"/>
    </xf>
    <xf numFmtId="246" fontId="108" fillId="0" borderId="0">
      <alignment horizontal="right"/>
    </xf>
    <xf numFmtId="247" fontId="12" fillId="0" borderId="0" applyFill="0" applyBorder="0">
      <alignment horizontal="right"/>
      <protection locked="0"/>
    </xf>
    <xf numFmtId="248" fontId="102" fillId="0" borderId="0">
      <alignment horizontal="right"/>
    </xf>
    <xf numFmtId="234" fontId="19" fillId="0" borderId="0" applyFont="0" applyFill="0" applyBorder="0" applyAlignment="0" applyProtection="0"/>
    <xf numFmtId="249" fontId="19" fillId="0" borderId="0" applyFill="0" applyBorder="0" applyAlignment="0" applyProtection="0">
      <alignment horizontal="left"/>
    </xf>
    <xf numFmtId="38" fontId="19" fillId="0" borderId="0" applyFont="0" applyFill="0" applyBorder="0" applyAlignment="0" applyProtection="0"/>
    <xf numFmtId="231" fontId="113" fillId="0" borderId="13">
      <alignment horizontal="right"/>
    </xf>
    <xf numFmtId="250" fontId="2" fillId="0" borderId="0" applyFill="0" applyBorder="0">
      <alignment horizontal="right"/>
      <protection locked="0"/>
    </xf>
    <xf numFmtId="0" fontId="12" fillId="0" borderId="0">
      <alignment horizontal="right"/>
      <protection locked="0"/>
    </xf>
    <xf numFmtId="0" fontId="105" fillId="0" borderId="0" applyNumberFormat="0" applyFill="0" applyBorder="0" applyProtection="0">
      <alignment horizontal="right" vertical="center"/>
    </xf>
    <xf numFmtId="237" fontId="107" fillId="0" borderId="0">
      <alignment horizontal="left"/>
    </xf>
    <xf numFmtId="244" fontId="108" fillId="0" borderId="0">
      <alignment horizontal="right"/>
    </xf>
    <xf numFmtId="251" fontId="108" fillId="0" borderId="0">
      <alignment horizontal="right"/>
    </xf>
    <xf numFmtId="252" fontId="114" fillId="0" borderId="0" applyFill="0" applyBorder="0">
      <alignment horizontal="right"/>
      <protection hidden="1"/>
    </xf>
    <xf numFmtId="0" fontId="115" fillId="29" borderId="7">
      <alignment horizontal="center" vertical="center" wrapText="1"/>
      <protection hidden="1"/>
    </xf>
    <xf numFmtId="222" fontId="19" fillId="0" borderId="2" applyFill="0" applyBorder="0" applyProtection="0"/>
    <xf numFmtId="253" fontId="2" fillId="0" borderId="0">
      <protection locked="0"/>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116" fillId="0" borderId="0" applyNumberFormat="0" applyFill="0" applyBorder="0" applyProtection="0">
      <alignment horizontal="left" vertical="center"/>
    </xf>
    <xf numFmtId="222" fontId="19" fillId="0" borderId="0" applyFill="0" applyBorder="0" applyAlignment="0" applyProtection="0"/>
    <xf numFmtId="0" fontId="2" fillId="1" borderId="28" applyNumberFormat="0" applyBorder="0" applyAlignment="0"/>
    <xf numFmtId="0" fontId="117" fillId="33" borderId="0">
      <alignment vertical="top" wrapText="1"/>
    </xf>
    <xf numFmtId="1" fontId="94" fillId="0" borderId="6" applyFill="0" applyBorder="0" applyProtection="0">
      <alignment horizontal="right"/>
    </xf>
    <xf numFmtId="0" fontId="2" fillId="0" borderId="0"/>
    <xf numFmtId="222" fontId="94" fillId="0" borderId="0" applyFill="0" applyBorder="0" applyProtection="0"/>
    <xf numFmtId="222" fontId="118" fillId="0" borderId="29"/>
    <xf numFmtId="222" fontId="113" fillId="0" borderId="0" applyNumberFormat="0" applyFill="0" applyBorder="0" applyAlignment="0" applyProtection="0"/>
    <xf numFmtId="0" fontId="12" fillId="0" borderId="0" applyBorder="0"/>
    <xf numFmtId="249" fontId="21" fillId="0" borderId="0" applyFill="0" applyBorder="0" applyAlignment="0" applyProtection="0"/>
    <xf numFmtId="38" fontId="19" fillId="0" borderId="0" applyFill="0" applyBorder="0" applyAlignment="0" applyProtection="0">
      <alignment horizontal="left"/>
    </xf>
    <xf numFmtId="38" fontId="94" fillId="0" borderId="0" applyFill="0" applyBorder="0" applyAlignment="0" applyProtection="0">
      <alignment horizontal="left"/>
    </xf>
    <xf numFmtId="38" fontId="19" fillId="0" borderId="0" applyFill="0" applyBorder="0" applyAlignment="0" applyProtection="0">
      <alignment horizontal="left"/>
    </xf>
    <xf numFmtId="1" fontId="19" fillId="0" borderId="0" applyFont="0" applyFill="0" applyBorder="0" applyAlignment="0" applyProtection="0"/>
    <xf numFmtId="254" fontId="11" fillId="0" borderId="0"/>
    <xf numFmtId="255" fontId="119" fillId="0" borderId="0" applyFont="0" applyFill="0" applyBorder="0" applyAlignment="0" applyProtection="0">
      <alignment wrapText="1"/>
      <protection locked="0"/>
    </xf>
    <xf numFmtId="10" fontId="102" fillId="0" borderId="0" applyFont="0" applyFill="0" applyBorder="0" applyAlignment="0" applyProtection="0"/>
    <xf numFmtId="0" fontId="120" fillId="0" borderId="0" applyNumberFormat="0" applyFill="0" applyBorder="0" applyAlignment="0" applyProtection="0">
      <alignment vertical="top"/>
      <protection locked="0"/>
    </xf>
    <xf numFmtId="4" fontId="111" fillId="0" borderId="0" applyFont="0" applyFill="0" applyBorder="0" applyAlignment="0" applyProtection="0"/>
    <xf numFmtId="38" fontId="121" fillId="0" borderId="0" applyFont="0" applyFill="0" applyBorder="0" applyAlignment="0" applyProtection="0"/>
    <xf numFmtId="203" fontId="121" fillId="0" borderId="0" applyFont="0" applyFill="0" applyBorder="0" applyAlignment="0" applyProtection="0"/>
    <xf numFmtId="202" fontId="121" fillId="0" borderId="0" applyFont="0" applyFill="0" applyBorder="0" applyAlignment="0" applyProtection="0"/>
    <xf numFmtId="0" fontId="55" fillId="0" borderId="0"/>
    <xf numFmtId="0" fontId="2" fillId="0" borderId="0"/>
    <xf numFmtId="0" fontId="2" fillId="0" borderId="0"/>
    <xf numFmtId="0" fontId="2" fillId="0" borderId="0"/>
    <xf numFmtId="0" fontId="2" fillId="0" borderId="0"/>
    <xf numFmtId="190" fontId="17" fillId="0" borderId="0" applyFont="0" applyFill="0" applyBorder="0" applyAlignment="0" applyProtection="0"/>
    <xf numFmtId="0" fontId="2" fillId="0" borderId="0"/>
    <xf numFmtId="0" fontId="2" fillId="0" borderId="0"/>
    <xf numFmtId="0" fontId="2" fillId="0" borderId="0"/>
    <xf numFmtId="0" fontId="2" fillId="0" borderId="0"/>
    <xf numFmtId="210" fontId="2" fillId="0" borderId="0" applyFont="0" applyFill="0" applyBorder="0" applyAlignment="0" applyProtection="0"/>
    <xf numFmtId="210" fontId="2" fillId="0" borderId="0" applyFont="0" applyFill="0" applyBorder="0" applyAlignment="0" applyProtection="0"/>
    <xf numFmtId="3" fontId="2" fillId="0" borderId="0" applyFont="0" applyFill="0" applyBorder="0" applyAlignment="0" applyProtection="0"/>
    <xf numFmtId="210" fontId="2" fillId="0" borderId="0" applyFont="0" applyFill="0" applyBorder="0" applyAlignment="0" applyProtection="0"/>
    <xf numFmtId="210" fontId="2" fillId="0" borderId="0" applyFont="0" applyFill="0" applyBorder="0" applyAlignment="0" applyProtection="0"/>
    <xf numFmtId="3" fontId="2" fillId="0" borderId="0" applyFont="0" applyFill="0" applyBorder="0" applyAlignment="0" applyProtection="0"/>
    <xf numFmtId="210" fontId="2" fillId="0" borderId="0" applyFont="0" applyFill="0" applyBorder="0" applyAlignment="0" applyProtection="0"/>
    <xf numFmtId="210" fontId="2" fillId="0" borderId="0" applyFont="0" applyFill="0" applyBorder="0" applyAlignment="0" applyProtection="0"/>
    <xf numFmtId="3" fontId="2" fillId="0" borderId="0" applyFont="0" applyFill="0" applyBorder="0" applyAlignment="0" applyProtection="0"/>
    <xf numFmtId="211" fontId="2" fillId="0" borderId="0" applyFont="0" applyFill="0" applyBorder="0" applyAlignment="0" applyProtection="0"/>
    <xf numFmtId="211" fontId="2" fillId="0" borderId="0" applyFont="0" applyFill="0" applyBorder="0" applyAlignment="0" applyProtection="0"/>
    <xf numFmtId="3" fontId="11" fillId="0" borderId="0"/>
    <xf numFmtId="0" fontId="2" fillId="0" borderId="0"/>
    <xf numFmtId="0" fontId="2" fillId="0" borderId="0"/>
    <xf numFmtId="0" fontId="2" fillId="0" borderId="0"/>
    <xf numFmtId="0" fontId="2" fillId="28" borderId="0" applyNumberFormat="0" applyFont="0" applyAlignment="0" applyProtection="0"/>
    <xf numFmtId="3" fontId="11" fillId="0" borderId="0"/>
    <xf numFmtId="3" fontId="2" fillId="0" borderId="0" applyFont="0" applyFill="0" applyBorder="0" applyAlignment="0" applyProtection="0"/>
    <xf numFmtId="3" fontId="2" fillId="0" borderId="0" applyFont="0" applyFill="0" applyBorder="0" applyAlignment="0" applyProtection="0"/>
    <xf numFmtId="213" fontId="2" fillId="0" borderId="0" applyFont="0" applyFill="0" applyBorder="0" applyAlignment="0" applyProtection="0"/>
    <xf numFmtId="213" fontId="2" fillId="0" borderId="0" applyFont="0" applyFill="0" applyBorder="0" applyAlignment="0" applyProtection="0"/>
    <xf numFmtId="265" fontId="2" fillId="0" borderId="0" applyFont="0" applyFill="0" applyBorder="0" applyAlignment="0" applyProtection="0"/>
    <xf numFmtId="265" fontId="2" fillId="0" borderId="0" applyFont="0" applyFill="0" applyBorder="0" applyAlignment="0" applyProtection="0"/>
    <xf numFmtId="212" fontId="2" fillId="0" borderId="0" applyFont="0" applyFill="0" applyBorder="0" applyAlignment="0" applyProtection="0"/>
    <xf numFmtId="212" fontId="2" fillId="0" borderId="0" applyFont="0" applyFill="0" applyBorder="0" applyAlignment="0" applyProtection="0"/>
    <xf numFmtId="3" fontId="2" fillId="0" borderId="0" applyFont="0" applyFill="0" applyBorder="0" applyAlignment="0" applyProtection="0"/>
    <xf numFmtId="214" fontId="2" fillId="0" borderId="0" applyFont="0" applyFill="0" applyBorder="0" applyAlignment="0" applyProtection="0"/>
    <xf numFmtId="214" fontId="2" fillId="0" borderId="0" applyFont="0" applyFill="0" applyBorder="0" applyAlignment="0" applyProtection="0"/>
    <xf numFmtId="3" fontId="2" fillId="0" borderId="0" applyFont="0" applyFill="0" applyBorder="0" applyAlignment="0" applyProtection="0"/>
    <xf numFmtId="213" fontId="2" fillId="0" borderId="0" applyFont="0" applyFill="0" applyBorder="0" applyAlignment="0" applyProtection="0"/>
    <xf numFmtId="213" fontId="2" fillId="0" borderId="0" applyFont="0" applyFill="0" applyBorder="0" applyAlignment="0" applyProtection="0"/>
    <xf numFmtId="3" fontId="2" fillId="0" borderId="0" applyFont="0" applyFill="0" applyBorder="0" applyAlignment="0" applyProtection="0"/>
    <xf numFmtId="213" fontId="2" fillId="0" borderId="0" applyFont="0" applyFill="0" applyBorder="0" applyAlignment="0" applyProtection="0"/>
    <xf numFmtId="213"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Protection="0">
      <alignment horizontal="right"/>
    </xf>
    <xf numFmtId="216" fontId="2" fillId="0" borderId="0" applyFont="0" applyFill="0" applyBorder="0" applyProtection="0">
      <alignment horizontal="right"/>
    </xf>
    <xf numFmtId="216" fontId="2" fillId="0" borderId="0" applyFont="0" applyFill="0" applyBorder="0" applyProtection="0">
      <alignment horizontal="right"/>
    </xf>
    <xf numFmtId="266" fontId="2" fillId="0" borderId="0" applyFont="0" applyFill="0" applyBorder="0" applyAlignment="0" applyProtection="0"/>
    <xf numFmtId="266" fontId="2" fillId="0" borderId="0" applyFont="0" applyFill="0" applyBorder="0" applyAlignment="0" applyProtection="0"/>
    <xf numFmtId="215" fontId="2" fillId="0" borderId="0" applyFont="0" applyFill="0" applyBorder="0" applyAlignment="0" applyProtection="0"/>
    <xf numFmtId="215" fontId="2" fillId="0" borderId="0" applyFont="0" applyFill="0" applyBorder="0" applyAlignment="0" applyProtection="0"/>
    <xf numFmtId="3" fontId="2" fillId="0" borderId="0" applyFont="0" applyFill="0" applyBorder="0" applyProtection="0">
      <alignment horizontal="right"/>
    </xf>
    <xf numFmtId="217" fontId="2" fillId="0" borderId="0" applyFont="0" applyFill="0" applyBorder="0" applyProtection="0">
      <alignment horizontal="right"/>
    </xf>
    <xf numFmtId="217" fontId="2" fillId="0" borderId="0" applyFont="0" applyFill="0" applyBorder="0" applyProtection="0">
      <alignment horizontal="right"/>
    </xf>
    <xf numFmtId="3" fontId="2" fillId="0" borderId="0" applyFont="0" applyFill="0" applyBorder="0" applyProtection="0">
      <alignment horizontal="right"/>
    </xf>
    <xf numFmtId="216" fontId="2" fillId="0" borderId="0" applyFont="0" applyFill="0" applyBorder="0" applyProtection="0">
      <alignment horizontal="right"/>
    </xf>
    <xf numFmtId="216" fontId="2" fillId="0" borderId="0" applyFont="0" applyFill="0" applyBorder="0" applyProtection="0">
      <alignment horizontal="right"/>
    </xf>
    <xf numFmtId="3" fontId="2" fillId="0" borderId="0" applyFont="0" applyFill="0" applyBorder="0" applyProtection="0">
      <alignment horizontal="right"/>
    </xf>
    <xf numFmtId="216" fontId="2" fillId="0" borderId="0" applyFont="0" applyFill="0" applyBorder="0" applyProtection="0">
      <alignment horizontal="right"/>
    </xf>
    <xf numFmtId="216"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0" applyFont="0" applyFill="0" applyBorder="0" applyAlignment="0" applyProtection="0"/>
    <xf numFmtId="267" fontId="2" fillId="0" borderId="0" applyFont="0" applyFill="0" applyBorder="0" applyAlignment="0" applyProtection="0"/>
    <xf numFmtId="267" fontId="2" fillId="0" borderId="0" applyFont="0" applyFill="0" applyBorder="0" applyAlignment="0" applyProtection="0"/>
    <xf numFmtId="218" fontId="2" fillId="0" borderId="0" applyFont="0" applyFill="0" applyBorder="0" applyAlignment="0" applyProtection="0"/>
    <xf numFmtId="218"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 fontId="2" fillId="0" borderId="0" applyFont="0" applyFill="0" applyBorder="0" applyAlignment="0" applyProtection="0"/>
    <xf numFmtId="268" fontId="2" fillId="0" borderId="0" applyFont="0" applyFill="0" applyBorder="0" applyAlignment="0" applyProtection="0"/>
    <xf numFmtId="268" fontId="2" fillId="0" borderId="0" applyFont="0" applyFill="0" applyBorder="0" applyAlignment="0" applyProtection="0"/>
    <xf numFmtId="219" fontId="2" fillId="0" borderId="0" applyFont="0" applyFill="0" applyBorder="0" applyAlignment="0" applyProtection="0"/>
    <xf numFmtId="21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31" fillId="0" borderId="0"/>
    <xf numFmtId="0" fontId="132" fillId="0" borderId="0">
      <alignment vertical="center"/>
    </xf>
    <xf numFmtId="0" fontId="13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1" fillId="0" borderId="0"/>
    <xf numFmtId="0" fontId="133" fillId="0" borderId="0">
      <alignment vertical="top"/>
    </xf>
    <xf numFmtId="3" fontId="11" fillId="0" borderId="0"/>
    <xf numFmtId="3" fontId="11" fillId="0" borderId="0"/>
    <xf numFmtId="3" fontId="11" fillId="0" borderId="0"/>
    <xf numFmtId="0" fontId="2" fillId="0" borderId="0"/>
    <xf numFmtId="0" fontId="2" fillId="0" borderId="0"/>
    <xf numFmtId="3" fontId="11" fillId="0" borderId="0"/>
    <xf numFmtId="3" fontId="11" fillId="0" borderId="0"/>
    <xf numFmtId="3" fontId="11" fillId="0" borderId="0"/>
    <xf numFmtId="3" fontId="11" fillId="0" borderId="0"/>
    <xf numFmtId="0" fontId="2" fillId="0" borderId="0"/>
    <xf numFmtId="0" fontId="90" fillId="0" borderId="25" applyNumberFormat="0" applyFill="0" applyAlignment="0" applyProtection="0"/>
    <xf numFmtId="3" fontId="11" fillId="0" borderId="0"/>
    <xf numFmtId="0" fontId="2" fillId="0" borderId="0"/>
    <xf numFmtId="0" fontId="2" fillId="0" borderId="0"/>
    <xf numFmtId="203" fontId="2" fillId="0" borderId="0" applyFont="0" applyFill="0" applyBorder="0" applyAlignment="0" applyProtection="0"/>
    <xf numFmtId="202" fontId="2" fillId="0" borderId="0" applyFont="0" applyFill="0" applyBorder="0" applyAlignment="0" applyProtection="0"/>
    <xf numFmtId="0" fontId="2" fillId="0" borderId="0"/>
    <xf numFmtId="269" fontId="12" fillId="0" borderId="0"/>
    <xf numFmtId="3" fontId="12" fillId="0" borderId="0"/>
    <xf numFmtId="3" fontId="12" fillId="0" borderId="0"/>
    <xf numFmtId="9" fontId="2" fillId="0" borderId="0"/>
    <xf numFmtId="9" fontId="2" fillId="0" borderId="0"/>
    <xf numFmtId="9" fontId="2" fillId="0" borderId="0"/>
    <xf numFmtId="171" fontId="12" fillId="0" borderId="0"/>
    <xf numFmtId="171" fontId="12" fillId="0" borderId="0"/>
    <xf numFmtId="170" fontId="12" fillId="0" borderId="0"/>
    <xf numFmtId="170" fontId="12" fillId="0" borderId="0"/>
    <xf numFmtId="171" fontId="12" fillId="0" borderId="0"/>
    <xf numFmtId="2" fontId="12" fillId="0" borderId="0"/>
    <xf numFmtId="2" fontId="12" fillId="0" borderId="0"/>
    <xf numFmtId="10" fontId="12" fillId="0" borderId="0"/>
    <xf numFmtId="10" fontId="12" fillId="0" borderId="0"/>
    <xf numFmtId="269" fontId="12" fillId="0" borderId="0"/>
    <xf numFmtId="269" fontId="12" fillId="0" borderId="0"/>
    <xf numFmtId="269" fontId="12" fillId="0" borderId="0"/>
    <xf numFmtId="269" fontId="12" fillId="0" borderId="0"/>
    <xf numFmtId="0" fontId="12" fillId="0" borderId="0"/>
    <xf numFmtId="269" fontId="12" fillId="0" borderId="0"/>
    <xf numFmtId="269" fontId="12" fillId="0" borderId="0"/>
    <xf numFmtId="269" fontId="12" fillId="0" borderId="0"/>
    <xf numFmtId="269" fontId="12" fillId="0" borderId="0"/>
    <xf numFmtId="0" fontId="12" fillId="0" borderId="0"/>
    <xf numFmtId="0" fontId="12" fillId="0" borderId="0"/>
    <xf numFmtId="0" fontId="12" fillId="0" borderId="0"/>
    <xf numFmtId="0" fontId="12" fillId="0" borderId="0"/>
    <xf numFmtId="269" fontId="12" fillId="0" borderId="0"/>
    <xf numFmtId="269"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38" fontId="23" fillId="0" borderId="30"/>
    <xf numFmtId="38" fontId="23" fillId="0" borderId="30"/>
    <xf numFmtId="206" fontId="2" fillId="0" borderId="0"/>
    <xf numFmtId="206" fontId="2" fillId="0" borderId="0"/>
    <xf numFmtId="175" fontId="134" fillId="0" borderId="0" applyFont="0" applyAlignment="0"/>
    <xf numFmtId="0" fontId="1" fillId="37" borderId="0" applyNumberFormat="0" applyBorder="0" applyAlignment="0" applyProtection="0"/>
    <xf numFmtId="0" fontId="1" fillId="38" borderId="0" applyNumberFormat="0" applyBorder="0" applyAlignment="0" applyProtection="0"/>
    <xf numFmtId="0" fontId="1" fillId="28" borderId="0" applyNumberFormat="0" applyBorder="0" applyAlignment="0" applyProtection="0"/>
    <xf numFmtId="0" fontId="1" fillId="39"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28" borderId="0" applyNumberFormat="0" applyBorder="0" applyAlignment="0" applyProtection="0"/>
    <xf numFmtId="0" fontId="1" fillId="38" borderId="0" applyNumberFormat="0" applyBorder="0" applyAlignment="0" applyProtection="0"/>
    <xf numFmtId="0" fontId="1" fillId="41" borderId="0" applyNumberFormat="0" applyBorder="0" applyAlignment="0" applyProtection="0"/>
    <xf numFmtId="0" fontId="1" fillId="28" borderId="0" applyNumberFormat="0" applyBorder="0" applyAlignment="0" applyProtection="0"/>
    <xf numFmtId="0" fontId="1" fillId="37" borderId="0" applyNumberFormat="0" applyBorder="0" applyAlignment="0" applyProtection="0"/>
    <xf numFmtId="0" fontId="1" fillId="42" borderId="0" applyNumberFormat="0" applyBorder="0" applyAlignment="0" applyProtection="0"/>
    <xf numFmtId="0" fontId="1" fillId="28" borderId="0" applyNumberFormat="0" applyBorder="0" applyAlignment="0" applyProtection="0"/>
    <xf numFmtId="0" fontId="1" fillId="2"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2" borderId="0" applyNumberFormat="0" applyBorder="0" applyAlignment="0" applyProtection="0"/>
    <xf numFmtId="0" fontId="1" fillId="40" borderId="0" applyNumberFormat="0" applyBorder="0" applyAlignment="0" applyProtection="0"/>
    <xf numFmtId="0" fontId="1" fillId="28" borderId="0" applyNumberFormat="0" applyBorder="0" applyAlignment="0" applyProtection="0"/>
    <xf numFmtId="0" fontId="1" fillId="2" borderId="0" applyNumberFormat="0" applyBorder="0" applyAlignment="0" applyProtection="0"/>
    <xf numFmtId="0" fontId="1" fillId="43" borderId="0" applyNumberFormat="0" applyBorder="0" applyAlignment="0" applyProtection="0"/>
    <xf numFmtId="0" fontId="1" fillId="28" borderId="0" applyNumberFormat="0" applyBorder="0" applyAlignment="0" applyProtection="0"/>
    <xf numFmtId="0" fontId="135" fillId="41" borderId="0" applyNumberFormat="0" applyBorder="0" applyAlignment="0" applyProtection="0"/>
    <xf numFmtId="0" fontId="135" fillId="42" borderId="0" applyNumberFormat="0" applyBorder="0" applyAlignment="0" applyProtection="0"/>
    <xf numFmtId="0" fontId="135" fillId="28" borderId="0" applyNumberFormat="0" applyBorder="0" applyAlignment="0" applyProtection="0"/>
    <xf numFmtId="0" fontId="135" fillId="44" borderId="0" applyNumberFormat="0" applyBorder="0" applyAlignment="0" applyProtection="0"/>
    <xf numFmtId="0" fontId="135" fillId="45" borderId="0" applyNumberFormat="0" applyBorder="0" applyAlignment="0" applyProtection="0"/>
    <xf numFmtId="0" fontId="135" fillId="42" borderId="0" applyNumberFormat="0" applyBorder="0" applyAlignment="0" applyProtection="0"/>
    <xf numFmtId="0" fontId="135" fillId="46" borderId="0" applyNumberFormat="0" applyBorder="0" applyAlignment="0" applyProtection="0"/>
    <xf numFmtId="0" fontId="135" fillId="40" borderId="0" applyNumberFormat="0" applyBorder="0" applyAlignment="0" applyProtection="0"/>
    <xf numFmtId="0" fontId="135" fillId="45" borderId="0" applyNumberFormat="0" applyBorder="0" applyAlignment="0" applyProtection="0"/>
    <xf numFmtId="0" fontId="135" fillId="2" borderId="0" applyNumberFormat="0" applyBorder="0" applyAlignment="0" applyProtection="0"/>
    <xf numFmtId="0" fontId="135" fillId="46" borderId="0" applyNumberFormat="0" applyBorder="0" applyAlignment="0" applyProtection="0"/>
    <xf numFmtId="0" fontId="135" fillId="28" borderId="0" applyNumberFormat="0" applyBorder="0" applyAlignment="0" applyProtection="0"/>
    <xf numFmtId="37" fontId="136" fillId="0" borderId="0">
      <alignment horizontal="center"/>
    </xf>
    <xf numFmtId="0" fontId="48" fillId="3" borderId="0" applyFont="0" applyBorder="0"/>
    <xf numFmtId="3" fontId="48" fillId="3" borderId="0" applyFont="0" applyBorder="0"/>
    <xf numFmtId="206" fontId="48" fillId="3" borderId="0" applyFont="0" applyBorder="0"/>
    <xf numFmtId="206" fontId="48" fillId="3" borderId="0" applyFont="0" applyBorder="0"/>
    <xf numFmtId="206" fontId="48" fillId="3" borderId="0" applyFont="0" applyBorder="0"/>
    <xf numFmtId="0" fontId="18" fillId="11" borderId="0"/>
    <xf numFmtId="0" fontId="48" fillId="47" borderId="0" applyNumberFormat="0" applyFont="0" applyBorder="0" applyAlignment="0" applyProtection="0"/>
    <xf numFmtId="3" fontId="48" fillId="47" borderId="0" applyNumberFormat="0" applyFont="0" applyBorder="0" applyAlignment="0" applyProtection="0"/>
    <xf numFmtId="0" fontId="132" fillId="48" borderId="0" applyNumberFormat="0" applyFont="0" applyBorder="0" applyAlignment="0" applyProtection="0"/>
    <xf numFmtId="3" fontId="132" fillId="48" borderId="0" applyNumberFormat="0" applyFont="0" applyBorder="0" applyAlignment="0" applyProtection="0"/>
    <xf numFmtId="3" fontId="132" fillId="48" borderId="0" applyNumberFormat="0" applyFont="0" applyBorder="0" applyAlignment="0" applyProtection="0"/>
    <xf numFmtId="0" fontId="17" fillId="30" borderId="0" applyBorder="0"/>
    <xf numFmtId="3" fontId="17" fillId="30" borderId="0" applyBorder="0"/>
    <xf numFmtId="3" fontId="17" fillId="30" borderId="0" applyBorder="0"/>
    <xf numFmtId="206" fontId="17" fillId="30" borderId="0" applyBorder="0"/>
    <xf numFmtId="206" fontId="17" fillId="30" borderId="0" applyBorder="0"/>
    <xf numFmtId="206" fontId="17" fillId="30" borderId="0" applyBorder="0"/>
    <xf numFmtId="206" fontId="17" fillId="30" borderId="0" applyBorder="0"/>
    <xf numFmtId="206" fontId="17" fillId="30" borderId="0" applyBorder="0"/>
    <xf numFmtId="206" fontId="17" fillId="30" borderId="0" applyBorder="0"/>
    <xf numFmtId="0" fontId="2" fillId="0" borderId="31" applyNumberFormat="0" applyBorder="0" applyAlignment="0" applyProtection="0"/>
    <xf numFmtId="3" fontId="2" fillId="0" borderId="31" applyNumberFormat="0" applyBorder="0" applyAlignment="0" applyProtection="0"/>
    <xf numFmtId="3" fontId="2" fillId="0" borderId="31" applyNumberFormat="0" applyBorder="0" applyAlignment="0" applyProtection="0"/>
    <xf numFmtId="175" fontId="44" fillId="0" borderId="0" applyBorder="0">
      <alignment horizontal="right"/>
    </xf>
    <xf numFmtId="175" fontId="17" fillId="0" borderId="31" applyBorder="0">
      <alignment horizontal="right"/>
    </xf>
    <xf numFmtId="175" fontId="17" fillId="0" borderId="31" applyBorder="0">
      <alignment horizontal="right"/>
    </xf>
    <xf numFmtId="170" fontId="137" fillId="0" borderId="0" applyBorder="0">
      <alignment horizontal="right"/>
    </xf>
    <xf numFmtId="170" fontId="138" fillId="0" borderId="31" applyBorder="0">
      <alignment horizontal="right"/>
    </xf>
    <xf numFmtId="0" fontId="139" fillId="0" borderId="0">
      <alignment horizontal="left" indent="1"/>
    </xf>
    <xf numFmtId="3" fontId="139" fillId="0" borderId="0">
      <alignment horizontal="left" indent="1"/>
    </xf>
    <xf numFmtId="206" fontId="139" fillId="0" borderId="0">
      <alignment horizontal="left" indent="1"/>
    </xf>
    <xf numFmtId="206" fontId="139" fillId="0" borderId="0">
      <alignment horizontal="left" indent="1"/>
    </xf>
    <xf numFmtId="206" fontId="139" fillId="0" borderId="0">
      <alignment horizontal="left" indent="1"/>
    </xf>
    <xf numFmtId="0" fontId="42" fillId="0" borderId="9" applyBorder="0"/>
    <xf numFmtId="3" fontId="42" fillId="0" borderId="9" applyBorder="0"/>
    <xf numFmtId="206" fontId="42" fillId="0" borderId="9" applyBorder="0"/>
    <xf numFmtId="206" fontId="42" fillId="0" borderId="9" applyBorder="0"/>
    <xf numFmtId="206" fontId="42" fillId="0" borderId="9" applyBorder="0"/>
    <xf numFmtId="0" fontId="48" fillId="4" borderId="31" applyNumberFormat="0" applyFont="0" applyBorder="0" applyAlignment="0" applyProtection="0"/>
    <xf numFmtId="3" fontId="48" fillId="4" borderId="31" applyNumberFormat="0" applyFont="0" applyBorder="0" applyAlignment="0" applyProtection="0"/>
    <xf numFmtId="175" fontId="41" fillId="49" borderId="9" applyBorder="0">
      <alignment horizontal="right"/>
    </xf>
    <xf numFmtId="175" fontId="41" fillId="0" borderId="9" applyBorder="0">
      <alignment horizontal="right"/>
    </xf>
    <xf numFmtId="0" fontId="11" fillId="0" borderId="31" applyNumberFormat="0" applyBorder="0" applyAlignment="0" applyProtection="0"/>
    <xf numFmtId="3" fontId="11" fillId="0" borderId="31" applyNumberFormat="0" applyBorder="0" applyAlignment="0" applyProtection="0"/>
    <xf numFmtId="0" fontId="41" fillId="3" borderId="32" applyBorder="0">
      <alignment horizontal="center"/>
    </xf>
    <xf numFmtId="0" fontId="135" fillId="46" borderId="0" applyNumberFormat="0" applyBorder="0" applyAlignment="0" applyProtection="0"/>
    <xf numFmtId="0" fontId="135" fillId="40" borderId="0" applyNumberFormat="0" applyBorder="0" applyAlignment="0" applyProtection="0"/>
    <xf numFmtId="0" fontId="135" fillId="45" borderId="0" applyNumberFormat="0" applyBorder="0" applyAlignment="0" applyProtection="0"/>
    <xf numFmtId="0" fontId="135" fillId="50" borderId="0" applyNumberFormat="0" applyBorder="0" applyAlignment="0" applyProtection="0"/>
    <xf numFmtId="0" fontId="135" fillId="46" borderId="0" applyNumberFormat="0" applyBorder="0" applyAlignment="0" applyProtection="0"/>
    <xf numFmtId="0" fontId="135" fillId="40" borderId="0" applyNumberFormat="0" applyBorder="0" applyAlignment="0" applyProtection="0"/>
    <xf numFmtId="270" fontId="140" fillId="0" borderId="0" applyFont="0" applyFill="0" applyBorder="0" applyAlignment="0" applyProtection="0"/>
    <xf numFmtId="172" fontId="141" fillId="51" borderId="0" applyNumberFormat="0" applyFont="0" applyBorder="0" applyAlignment="0">
      <alignment horizontal="right"/>
    </xf>
    <xf numFmtId="271" fontId="13" fillId="51" borderId="6" applyFont="0">
      <alignment horizontal="right"/>
    </xf>
    <xf numFmtId="0" fontId="17" fillId="0" borderId="0" applyNumberFormat="0" applyFill="0" applyBorder="0" applyAlignment="0" applyProtection="0"/>
    <xf numFmtId="0" fontId="17" fillId="0" borderId="0" applyNumberFormat="0" applyFill="0" applyBorder="0" applyAlignment="0" applyProtection="0"/>
    <xf numFmtId="179" fontId="119" fillId="48" borderId="0" applyProtection="0">
      <alignment horizontal="right"/>
    </xf>
    <xf numFmtId="3" fontId="119" fillId="48" borderId="0" applyProtection="0">
      <alignment horizontal="right"/>
    </xf>
    <xf numFmtId="0" fontId="2" fillId="0" borderId="0">
      <alignment vertical="center"/>
    </xf>
    <xf numFmtId="0" fontId="2" fillId="0" borderId="0">
      <alignment vertical="center"/>
    </xf>
    <xf numFmtId="272" fontId="142" fillId="0" borderId="0">
      <alignment horizontal="left"/>
    </xf>
    <xf numFmtId="0" fontId="2" fillId="0" borderId="0" applyNumberFormat="0" applyFill="0" applyBorder="0" applyAlignment="0" applyProtection="0"/>
    <xf numFmtId="0" fontId="2" fillId="0" borderId="0" applyNumberFormat="0" applyFill="0" applyBorder="0" applyAlignment="0" applyProtection="0"/>
    <xf numFmtId="0" fontId="35" fillId="0" borderId="0" applyNumberFormat="0" applyFill="0" applyBorder="0" applyAlignment="0" applyProtection="0"/>
    <xf numFmtId="0" fontId="143" fillId="0" borderId="5" applyNumberFormat="0" applyFill="0" applyBorder="0" applyAlignment="0" applyProtection="0"/>
    <xf numFmtId="0" fontId="22" fillId="0" borderId="5" applyNumberFormat="0" applyFill="0" applyBorder="0" applyAlignment="0" applyProtection="0"/>
    <xf numFmtId="0" fontId="24" fillId="0" borderId="5" applyNumberFormat="0" applyFill="0" applyBorder="0" applyAlignment="0" applyProtection="0"/>
    <xf numFmtId="0" fontId="17" fillId="0" borderId="5" applyNumberFormat="0" applyFill="0" applyAlignment="0" applyProtection="0"/>
    <xf numFmtId="0" fontId="17" fillId="0" borderId="5" applyNumberFormat="0" applyFill="0" applyAlignment="0" applyProtection="0"/>
    <xf numFmtId="273" fontId="144" fillId="0" borderId="33" applyNumberFormat="0" applyBorder="0" applyProtection="0">
      <alignment horizontal="center" vertical="center"/>
    </xf>
    <xf numFmtId="3" fontId="144" fillId="0" borderId="33" applyNumberFormat="0" applyBorder="0" applyProtection="0">
      <alignment horizontal="center" vertical="center"/>
    </xf>
    <xf numFmtId="179" fontId="145" fillId="52" borderId="0"/>
    <xf numFmtId="3" fontId="145" fillId="52" borderId="0"/>
    <xf numFmtId="274" fontId="145" fillId="52" borderId="0"/>
    <xf numFmtId="3" fontId="145" fillId="52" borderId="0"/>
    <xf numFmtId="9" fontId="145" fillId="52" borderId="0"/>
    <xf numFmtId="38" fontId="12" fillId="0" borderId="0" applyFont="0" applyFill="0" applyBorder="0" applyAlignment="0" applyProtection="0"/>
    <xf numFmtId="38" fontId="12" fillId="0" borderId="0" applyFont="0" applyFill="0" applyBorder="0" applyAlignment="0" applyProtection="0"/>
    <xf numFmtId="0" fontId="146" fillId="0" borderId="0" applyNumberFormat="0" applyFill="0" applyBorder="0" applyAlignment="0" applyProtection="0"/>
    <xf numFmtId="14" fontId="147" fillId="53" borderId="0" applyNumberFormat="0" applyBorder="0" applyProtection="0">
      <alignment horizontal="left" vertical="center" wrapText="1"/>
    </xf>
    <xf numFmtId="0" fontId="148" fillId="54" borderId="0" applyNumberFormat="0" applyBorder="0" applyAlignment="0" applyProtection="0"/>
    <xf numFmtId="0" fontId="149" fillId="0" borderId="0" applyNumberFormat="0" applyFill="0" applyBorder="0" applyAlignment="0" applyProtection="0"/>
    <xf numFmtId="0" fontId="150" fillId="0" borderId="0" applyNumberFormat="0" applyFill="0" applyBorder="0" applyAlignment="0"/>
    <xf numFmtId="0" fontId="8" fillId="0" borderId="0"/>
    <xf numFmtId="0" fontId="151" fillId="0" borderId="0" applyNumberFormat="0" applyFill="0" applyBorder="0" applyAlignment="0" applyProtection="0"/>
    <xf numFmtId="275" fontId="152" fillId="0" borderId="0">
      <alignment horizontal="right"/>
      <protection locked="0"/>
    </xf>
    <xf numFmtId="3" fontId="152" fillId="0" borderId="0">
      <alignment horizontal="right"/>
      <protection locked="0"/>
    </xf>
    <xf numFmtId="3" fontId="152" fillId="0" borderId="0">
      <alignment horizontal="right"/>
      <protection locked="0"/>
    </xf>
    <xf numFmtId="0" fontId="153" fillId="0" borderId="0" applyNumberFormat="0" applyFill="0" applyBorder="0" applyAlignment="0" applyProtection="0"/>
    <xf numFmtId="0" fontId="19" fillId="0" borderId="14" applyNumberFormat="0" applyFont="0" applyFill="0" applyAlignment="0" applyProtection="0"/>
    <xf numFmtId="0" fontId="19" fillId="0" borderId="34" applyNumberFormat="0" applyFont="0" applyFill="0" applyAlignment="0" applyProtection="0"/>
    <xf numFmtId="276" fontId="154" fillId="0" borderId="0" applyFont="0" applyFill="0" applyBorder="0" applyAlignment="0" applyProtection="0"/>
    <xf numFmtId="3" fontId="154" fillId="0" borderId="0" applyFont="0" applyFill="0" applyBorder="0" applyAlignment="0" applyProtection="0"/>
    <xf numFmtId="49" fontId="155" fillId="4" borderId="3" applyNumberFormat="0">
      <alignment horizontal="left" vertical="top" wrapText="1"/>
      <protection locked="0"/>
    </xf>
    <xf numFmtId="179" fontId="119" fillId="55" borderId="0"/>
    <xf numFmtId="3" fontId="119" fillId="55" borderId="0"/>
    <xf numFmtId="274" fontId="119" fillId="55" borderId="0"/>
    <xf numFmtId="3" fontId="119" fillId="55" borderId="0"/>
    <xf numFmtId="181" fontId="119" fillId="55" borderId="0"/>
    <xf numFmtId="3" fontId="119" fillId="55" borderId="0"/>
    <xf numFmtId="277" fontId="119" fillId="55" borderId="0"/>
    <xf numFmtId="3" fontId="119" fillId="55" borderId="0"/>
    <xf numFmtId="179" fontId="119" fillId="9" borderId="0"/>
    <xf numFmtId="3" fontId="119" fillId="9" borderId="0"/>
    <xf numFmtId="274" fontId="119" fillId="9" borderId="0"/>
    <xf numFmtId="3" fontId="119" fillId="9" borderId="0"/>
    <xf numFmtId="181" fontId="119" fillId="9" borderId="0"/>
    <xf numFmtId="3" fontId="119" fillId="9" borderId="0"/>
    <xf numFmtId="277" fontId="119" fillId="9" borderId="0"/>
    <xf numFmtId="3" fontId="119" fillId="9" borderId="0"/>
    <xf numFmtId="2" fontId="17" fillId="56" borderId="0" applyNumberFormat="0" applyFont="0" applyBorder="0" applyAlignment="0" applyProtection="0"/>
    <xf numFmtId="2" fontId="17" fillId="56" borderId="0" applyNumberFormat="0" applyFont="0" applyBorder="0" applyAlignment="0" applyProtection="0"/>
    <xf numFmtId="0" fontId="156" fillId="39" borderId="1" applyNumberFormat="0" applyAlignment="0" applyProtection="0"/>
    <xf numFmtId="0" fontId="157" fillId="39" borderId="1" applyNumberFormat="0" applyAlignment="0" applyProtection="0"/>
    <xf numFmtId="272" fontId="19" fillId="57" borderId="0" applyNumberFormat="0" applyFont="0" applyBorder="0" applyAlignment="0"/>
    <xf numFmtId="3" fontId="19" fillId="57" borderId="0" applyNumberFormat="0" applyFont="0" applyBorder="0" applyAlignment="0"/>
    <xf numFmtId="0" fontId="158" fillId="39" borderId="0" applyNumberFormat="0" applyBorder="0" applyProtection="0"/>
    <xf numFmtId="0" fontId="159" fillId="0" borderId="35" applyNumberFormat="0" applyFill="0" applyAlignment="0" applyProtection="0"/>
    <xf numFmtId="0" fontId="160" fillId="0" borderId="0">
      <alignment horizontal="right"/>
    </xf>
    <xf numFmtId="1" fontId="161" fillId="0" borderId="0"/>
    <xf numFmtId="0" fontId="162" fillId="48" borderId="0"/>
    <xf numFmtId="0" fontId="163" fillId="53" borderId="36" applyNumberFormat="0" applyAlignment="0" applyProtection="0"/>
    <xf numFmtId="0" fontId="164" fillId="0" borderId="2" applyNumberFormat="0" applyFill="0" applyBorder="0" applyAlignment="0" applyProtection="0">
      <alignment horizontal="center"/>
    </xf>
    <xf numFmtId="0" fontId="164" fillId="0" borderId="2" applyNumberFormat="0" applyFill="0" applyBorder="0" applyAlignment="0" applyProtection="0">
      <alignment horizontal="center"/>
    </xf>
    <xf numFmtId="0" fontId="165" fillId="0" borderId="2" applyNumberFormat="0" applyFill="0" applyProtection="0">
      <alignment horizontal="left" vertical="center"/>
    </xf>
    <xf numFmtId="0" fontId="12" fillId="0" borderId="0">
      <alignment horizontal="center" wrapText="1"/>
      <protection hidden="1"/>
    </xf>
    <xf numFmtId="0" fontId="166" fillId="0" borderId="15" applyNumberFormat="0" applyFill="0" applyProtection="0">
      <alignment horizontal="center" vertical="center"/>
    </xf>
    <xf numFmtId="0" fontId="167" fillId="0" borderId="2" applyNumberFormat="0" applyFill="0" applyBorder="0" applyProtection="0">
      <alignment horizontal="right" vertical="center"/>
    </xf>
    <xf numFmtId="0" fontId="167" fillId="0" borderId="2" applyNumberFormat="0" applyFill="0" applyBorder="0" applyProtection="0">
      <alignment horizontal="right" vertical="center"/>
    </xf>
    <xf numFmtId="278" fontId="168" fillId="0" borderId="0"/>
    <xf numFmtId="3" fontId="168" fillId="0" borderId="0"/>
    <xf numFmtId="278" fontId="168" fillId="0" borderId="0"/>
    <xf numFmtId="3" fontId="168" fillId="0" borderId="0"/>
    <xf numFmtId="278" fontId="168" fillId="0" borderId="0"/>
    <xf numFmtId="3" fontId="168" fillId="0" borderId="0"/>
    <xf numFmtId="278" fontId="168" fillId="0" borderId="0"/>
    <xf numFmtId="3" fontId="168" fillId="0" borderId="0"/>
    <xf numFmtId="278" fontId="168" fillId="0" borderId="0"/>
    <xf numFmtId="3" fontId="168" fillId="0" borderId="0"/>
    <xf numFmtId="278" fontId="168" fillId="0" borderId="0"/>
    <xf numFmtId="3" fontId="168" fillId="0" borderId="0"/>
    <xf numFmtId="278" fontId="168" fillId="0" borderId="0"/>
    <xf numFmtId="3" fontId="168" fillId="0" borderId="0"/>
    <xf numFmtId="278" fontId="168" fillId="0" borderId="0"/>
    <xf numFmtId="3" fontId="168" fillId="0" borderId="0"/>
    <xf numFmtId="165" fontId="2" fillId="0" borderId="0" applyFont="0" applyFill="0" applyBorder="0" applyAlignment="0" applyProtection="0"/>
    <xf numFmtId="165" fontId="2" fillId="0" borderId="0" applyFont="0" applyFill="0" applyBorder="0" applyAlignment="0" applyProtection="0"/>
    <xf numFmtId="173" fontId="153" fillId="0" borderId="0" applyFont="0" applyFill="0" applyBorder="0" applyAlignment="0" applyProtection="0"/>
    <xf numFmtId="3" fontId="153" fillId="0" borderId="0" applyFont="0" applyFill="0" applyBorder="0" applyAlignment="0" applyProtection="0"/>
    <xf numFmtId="3" fontId="153" fillId="0" borderId="0" applyFont="0" applyFill="0" applyBorder="0" applyAlignment="0" applyProtection="0"/>
    <xf numFmtId="279" fontId="2" fillId="0" borderId="0" applyFont="0" applyFill="0" applyBorder="0" applyAlignment="0" applyProtection="0">
      <alignment horizontal="right"/>
    </xf>
    <xf numFmtId="279" fontId="2" fillId="0" borderId="0" applyFont="0" applyFill="0" applyBorder="0" applyAlignment="0" applyProtection="0">
      <alignment horizontal="right"/>
    </xf>
    <xf numFmtId="279" fontId="2" fillId="0" borderId="0" applyFont="0" applyFill="0" applyBorder="0" applyAlignment="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0" fontId="2" fillId="0" borderId="0" applyFont="0" applyFill="0" applyBorder="0" applyAlignment="0" applyProtection="0">
      <alignment horizontal="right"/>
    </xf>
    <xf numFmtId="167"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280"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0" fontId="2" fillId="0" borderId="0" applyFont="0" applyFill="0" applyBorder="0" applyAlignment="0" applyProtection="0"/>
    <xf numFmtId="281" fontId="2" fillId="0" borderId="2" applyFont="0"/>
    <xf numFmtId="3" fontId="2" fillId="0" borderId="2" applyFont="0"/>
    <xf numFmtId="3" fontId="2" fillId="0" borderId="2" applyFont="0"/>
    <xf numFmtId="3" fontId="2" fillId="0" borderId="0" applyFont="0" applyFill="0" applyBorder="0" applyAlignment="0" applyProtection="0">
      <alignment vertical="top"/>
    </xf>
    <xf numFmtId="3" fontId="2" fillId="0" borderId="0" applyFont="0" applyFill="0" applyBorder="0" applyAlignment="0" applyProtection="0">
      <alignment vertical="top"/>
    </xf>
    <xf numFmtId="3" fontId="2" fillId="0" borderId="0" applyFont="0" applyFill="0" applyBorder="0" applyAlignment="0" applyProtection="0">
      <alignment vertical="top"/>
    </xf>
    <xf numFmtId="0" fontId="2" fillId="28" borderId="37" applyNumberFormat="0" applyFont="0" applyAlignment="0" applyProtection="0"/>
    <xf numFmtId="0" fontId="2" fillId="28" borderId="37" applyNumberFormat="0" applyFont="0" applyAlignment="0" applyProtection="0"/>
    <xf numFmtId="0" fontId="96" fillId="29" borderId="0">
      <alignment horizontal="center" vertical="center" wrapText="1"/>
    </xf>
    <xf numFmtId="0" fontId="169" fillId="0" borderId="0" applyNumberFormat="0" applyFill="0" applyBorder="0">
      <alignment horizontal="right"/>
    </xf>
    <xf numFmtId="272" fontId="170" fillId="0" borderId="0" applyFill="0" applyBorder="0">
      <alignment horizontal="left"/>
    </xf>
    <xf numFmtId="3" fontId="170" fillId="0" borderId="0" applyFill="0" applyBorder="0">
      <alignment horizontal="left"/>
    </xf>
    <xf numFmtId="3" fontId="170" fillId="0" borderId="0" applyFill="0" applyBorder="0">
      <alignment horizontal="left"/>
    </xf>
    <xf numFmtId="3" fontId="12" fillId="0" borderId="0" applyFill="0" applyBorder="0">
      <alignment horizontal="right"/>
      <protection locked="0"/>
    </xf>
    <xf numFmtId="3" fontId="12" fillId="0" borderId="0" applyFill="0" applyBorder="0">
      <alignment horizontal="right"/>
      <protection locked="0"/>
    </xf>
    <xf numFmtId="0" fontId="23" fillId="0" borderId="0" applyFont="0" applyFill="0" applyBorder="0" applyAlignment="0" applyProtection="0"/>
    <xf numFmtId="0" fontId="23" fillId="0" borderId="0" applyFont="0" applyFill="0" applyBorder="0" applyAlignment="0" applyProtection="0"/>
    <xf numFmtId="231" fontId="171" fillId="0" borderId="38">
      <protection locked="0"/>
    </xf>
    <xf numFmtId="3" fontId="171" fillId="0" borderId="38">
      <protection locked="0"/>
    </xf>
    <xf numFmtId="0" fontId="2" fillId="0" borderId="0" applyFont="0" applyFill="0" applyBorder="0" applyAlignment="0" applyProtection="0">
      <alignment horizontal="right"/>
    </xf>
    <xf numFmtId="0" fontId="2" fillId="0" borderId="0" applyFont="0" applyFill="0" applyBorder="0" applyAlignment="0" applyProtection="0">
      <alignment horizontal="right"/>
    </xf>
    <xf numFmtId="0" fontId="2" fillId="0" borderId="0" applyFont="0" applyFill="0" applyBorder="0" applyAlignment="0" applyProtection="0">
      <alignment horizontal="right"/>
    </xf>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282" fontId="2" fillId="0" borderId="0" applyFont="0" applyFill="0" applyBorder="0" applyAlignment="0" applyProtection="0">
      <alignment vertical="top"/>
    </xf>
    <xf numFmtId="3" fontId="2" fillId="0" borderId="0" applyFont="0" applyFill="0" applyBorder="0" applyAlignment="0" applyProtection="0">
      <alignment vertical="top"/>
    </xf>
    <xf numFmtId="3" fontId="2" fillId="0" borderId="0" applyFont="0" applyFill="0" applyBorder="0" applyAlignment="0" applyProtection="0">
      <alignment vertical="top"/>
    </xf>
    <xf numFmtId="275" fontId="172" fillId="0" borderId="0" applyFill="0" applyBorder="0" applyProtection="0"/>
    <xf numFmtId="3" fontId="172" fillId="0" borderId="0" applyFill="0" applyBorder="0" applyProtection="0"/>
    <xf numFmtId="0" fontId="12" fillId="0" borderId="0" applyFont="0" applyFill="0" applyBorder="0" applyAlignment="0">
      <protection locked="0"/>
    </xf>
    <xf numFmtId="167" fontId="17" fillId="0" borderId="0" applyFont="0" applyFill="0" applyBorder="0" applyAlignment="0" applyProtection="0"/>
    <xf numFmtId="3" fontId="17" fillId="0" borderId="0" applyFont="0" applyFill="0" applyBorder="0" applyAlignment="0" applyProtection="0"/>
    <xf numFmtId="3" fontId="17" fillId="0" borderId="0" applyFont="0" applyFill="0" applyBorder="0" applyAlignment="0" applyProtection="0"/>
    <xf numFmtId="37" fontId="2" fillId="0" borderId="0" applyFont="0" applyFill="0" applyBorder="0" applyAlignment="0" applyProtection="0"/>
    <xf numFmtId="37" fontId="2" fillId="0" borderId="0" applyFont="0" applyFill="0" applyBorder="0" applyAlignment="0" applyProtection="0"/>
    <xf numFmtId="37" fontId="2" fillId="0" borderId="0" applyFont="0" applyFill="0" applyBorder="0" applyAlignment="0" applyProtection="0"/>
    <xf numFmtId="283" fontId="173" fillId="0" borderId="0"/>
    <xf numFmtId="283" fontId="173" fillId="0" borderId="0"/>
    <xf numFmtId="3" fontId="173" fillId="0" borderId="0"/>
    <xf numFmtId="3" fontId="173" fillId="0" borderId="0"/>
    <xf numFmtId="3" fontId="173" fillId="0" borderId="0"/>
    <xf numFmtId="3" fontId="173" fillId="0" borderId="0"/>
    <xf numFmtId="284" fontId="174" fillId="3" borderId="10">
      <alignment horizontal="right"/>
    </xf>
    <xf numFmtId="284" fontId="174" fillId="3" borderId="10">
      <alignment horizontal="right"/>
    </xf>
    <xf numFmtId="2" fontId="2" fillId="0" borderId="0" applyNumberFormat="0" applyFill="0" applyBorder="0" applyAlignment="0" applyProtection="0">
      <protection locked="0"/>
    </xf>
    <xf numFmtId="2" fontId="2" fillId="0" borderId="0" applyNumberFormat="0" applyFill="0" applyBorder="0" applyAlignment="0" applyProtection="0">
      <protection locked="0"/>
    </xf>
    <xf numFmtId="2" fontId="2" fillId="0" borderId="0" applyNumberFormat="0" applyFill="0" applyBorder="0" applyAlignment="0" applyProtection="0">
      <protection locked="0"/>
    </xf>
    <xf numFmtId="2" fontId="2" fillId="0" borderId="0" applyNumberFormat="0" applyFill="0" applyBorder="0" applyProtection="0">
      <alignment horizontal="left"/>
    </xf>
    <xf numFmtId="2" fontId="2" fillId="0" borderId="0" applyNumberFormat="0" applyFill="0" applyBorder="0" applyProtection="0">
      <alignment horizontal="left"/>
    </xf>
    <xf numFmtId="2" fontId="2" fillId="0" borderId="0" applyNumberFormat="0" applyFill="0" applyBorder="0" applyProtection="0">
      <alignment horizontal="left"/>
    </xf>
    <xf numFmtId="2" fontId="2" fillId="0" borderId="0" applyNumberFormat="0" applyFill="0" applyBorder="0" applyAlignment="0" applyProtection="0">
      <protection locked="0"/>
    </xf>
    <xf numFmtId="3" fontId="19" fillId="0" borderId="0" applyFont="0" applyFill="0" applyBorder="0" applyProtection="0">
      <alignment horizontal="right"/>
    </xf>
    <xf numFmtId="285" fontId="2" fillId="0" borderId="0" applyFont="0" applyFill="0" applyBorder="0" applyAlignment="0" applyProtection="0"/>
    <xf numFmtId="285" fontId="2" fillId="0" borderId="0" applyFont="0" applyFill="0" applyBorder="0" applyAlignment="0" applyProtection="0"/>
    <xf numFmtId="285" fontId="2" fillId="0" borderId="0" applyFont="0" applyFill="0" applyBorder="0" applyAlignment="0" applyProtection="0"/>
    <xf numFmtId="16" fontId="2" fillId="52" borderId="0" applyProtection="0"/>
    <xf numFmtId="16" fontId="2" fillId="52" borderId="0" applyProtection="0"/>
    <xf numFmtId="16" fontId="2" fillId="52" borderId="0" applyProtection="0"/>
    <xf numFmtId="14" fontId="175" fillId="0" borderId="0"/>
    <xf numFmtId="14" fontId="23" fillId="0" borderId="0">
      <alignment horizontal="right"/>
      <protection locked="0"/>
    </xf>
    <xf numFmtId="14" fontId="23" fillId="0" borderId="0">
      <alignment horizontal="right"/>
      <protection locked="0"/>
    </xf>
    <xf numFmtId="286" fontId="2" fillId="0" borderId="0"/>
    <xf numFmtId="286" fontId="2" fillId="0" borderId="0"/>
    <xf numFmtId="287" fontId="2" fillId="0" borderId="12">
      <alignment horizontal="left"/>
    </xf>
    <xf numFmtId="288" fontId="2" fillId="0" borderId="0" applyFont="0" applyFill="0" applyBorder="0" applyAlignment="0" applyProtection="0">
      <alignment wrapText="1"/>
    </xf>
    <xf numFmtId="288" fontId="2" fillId="0" borderId="0" applyFont="0" applyFill="0" applyBorder="0" applyAlignment="0" applyProtection="0">
      <alignment wrapText="1"/>
    </xf>
    <xf numFmtId="3" fontId="176" fillId="39" borderId="33" applyNumberFormat="0" applyBorder="0" applyProtection="0">
      <alignment horizontal="right" vertical="center"/>
    </xf>
    <xf numFmtId="175" fontId="176" fillId="39" borderId="33" applyNumberFormat="0" applyBorder="0" applyProtection="0">
      <alignment horizontal="right" vertical="center"/>
    </xf>
    <xf numFmtId="4" fontId="158" fillId="39" borderId="33" applyNumberFormat="0" applyBorder="0" applyProtection="0">
      <alignment horizontal="right" vertical="center"/>
    </xf>
    <xf numFmtId="0" fontId="158" fillId="39" borderId="33" applyNumberFormat="0" applyBorder="0" applyProtection="0">
      <alignment horizontal="right" vertical="center"/>
    </xf>
    <xf numFmtId="3" fontId="158" fillId="39" borderId="33" applyNumberFormat="0" applyBorder="0" applyProtection="0">
      <alignment horizontal="right" vertical="center"/>
    </xf>
    <xf numFmtId="0" fontId="19" fillId="0" borderId="0"/>
    <xf numFmtId="0" fontId="142" fillId="0" borderId="0"/>
    <xf numFmtId="3" fontId="142" fillId="0" borderId="0"/>
    <xf numFmtId="39" fontId="177" fillId="0" borderId="0"/>
    <xf numFmtId="39" fontId="177" fillId="0" borderId="0"/>
    <xf numFmtId="179" fontId="2" fillId="58" borderId="0"/>
    <xf numFmtId="3" fontId="2" fillId="58" borderId="0"/>
    <xf numFmtId="3" fontId="2" fillId="58" borderId="0"/>
    <xf numFmtId="277" fontId="178" fillId="58" borderId="0"/>
    <xf numFmtId="3" fontId="178" fillId="58" borderId="0"/>
    <xf numFmtId="0" fontId="2" fillId="0" borderId="0"/>
    <xf numFmtId="0" fontId="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3" fontId="172" fillId="0" borderId="0"/>
    <xf numFmtId="289" fontId="172" fillId="0" borderId="0"/>
    <xf numFmtId="290" fontId="19" fillId="0" borderId="0"/>
    <xf numFmtId="3" fontId="19" fillId="0" borderId="0"/>
    <xf numFmtId="290" fontId="153" fillId="0" borderId="0">
      <protection locked="0"/>
    </xf>
    <xf numFmtId="3" fontId="153" fillId="0" borderId="0">
      <protection locked="0"/>
    </xf>
    <xf numFmtId="3" fontId="153" fillId="0" borderId="0">
      <protection locked="0"/>
    </xf>
    <xf numFmtId="275" fontId="19" fillId="0" borderId="0"/>
    <xf numFmtId="3" fontId="19" fillId="0" borderId="0"/>
    <xf numFmtId="3" fontId="179" fillId="0" borderId="0" applyFont="0" applyFill="0" applyBorder="0" applyAlignment="0" applyProtection="0"/>
    <xf numFmtId="0" fontId="2" fillId="0" borderId="39" applyNumberFormat="0" applyFont="0" applyFill="0" applyAlignment="0" applyProtection="0"/>
    <xf numFmtId="0" fontId="2" fillId="0" borderId="39" applyNumberFormat="0" applyFont="0" applyFill="0" applyAlignment="0" applyProtection="0"/>
    <xf numFmtId="0" fontId="2" fillId="0" borderId="39" applyNumberFormat="0" applyFont="0" applyFill="0" applyAlignment="0" applyProtection="0"/>
    <xf numFmtId="291" fontId="180" fillId="0" borderId="0" applyFill="0" applyBorder="0" applyAlignment="0" applyProtection="0"/>
    <xf numFmtId="3" fontId="180" fillId="0" borderId="0" applyFill="0" applyBorder="0" applyAlignment="0" applyProtection="0"/>
    <xf numFmtId="0" fontId="23" fillId="0" borderId="28" applyProtection="0">
      <alignment vertical="top"/>
    </xf>
    <xf numFmtId="0" fontId="23" fillId="0" borderId="28" applyProtection="0">
      <alignment vertical="top"/>
    </xf>
    <xf numFmtId="170" fontId="181" fillId="0" borderId="40" applyNumberFormat="0" applyAlignment="0" applyProtection="0">
      <alignment vertical="top"/>
    </xf>
    <xf numFmtId="0" fontId="19" fillId="0" borderId="0">
      <alignment vertical="top"/>
    </xf>
    <xf numFmtId="0" fontId="19" fillId="0" borderId="0">
      <alignment vertical="top"/>
    </xf>
    <xf numFmtId="3" fontId="2" fillId="30" borderId="0">
      <alignment horizontal="right"/>
    </xf>
    <xf numFmtId="0" fontId="182" fillId="38" borderId="1" applyNumberFormat="0" applyAlignment="0" applyProtection="0"/>
    <xf numFmtId="3" fontId="174" fillId="0" borderId="0"/>
    <xf numFmtId="3" fontId="174" fillId="0" borderId="0"/>
    <xf numFmtId="292" fontId="174" fillId="0" borderId="0"/>
    <xf numFmtId="3" fontId="174" fillId="0" borderId="0"/>
    <xf numFmtId="3" fontId="174" fillId="0" borderId="0"/>
    <xf numFmtId="293" fontId="174" fillId="0" borderId="0"/>
    <xf numFmtId="3" fontId="174" fillId="0" borderId="0"/>
    <xf numFmtId="3" fontId="174" fillId="0" borderId="0"/>
    <xf numFmtId="294" fontId="174" fillId="0" borderId="0"/>
    <xf numFmtId="3" fontId="174" fillId="0" borderId="0"/>
    <xf numFmtId="3" fontId="174" fillId="0" borderId="0"/>
    <xf numFmtId="295" fontId="2" fillId="0" borderId="0"/>
    <xf numFmtId="296" fontId="174" fillId="0" borderId="0"/>
    <xf numFmtId="3" fontId="174" fillId="0" borderId="0"/>
    <xf numFmtId="3" fontId="174" fillId="0" borderId="0"/>
    <xf numFmtId="297" fontId="174" fillId="0" borderId="0"/>
    <xf numFmtId="3" fontId="174" fillId="0" borderId="0"/>
    <xf numFmtId="3" fontId="174" fillId="0" borderId="0"/>
    <xf numFmtId="298" fontId="183" fillId="0" borderId="0" applyFont="0" applyFill="0" applyBorder="0" applyAlignment="0" applyProtection="0"/>
    <xf numFmtId="3" fontId="183" fillId="0" borderId="0" applyFont="0" applyFill="0" applyBorder="0" applyAlignment="0" applyProtection="0"/>
    <xf numFmtId="0" fontId="184" fillId="0" borderId="0" applyNumberFormat="0" applyFill="0" applyBorder="0" applyAlignment="0" applyProtection="0"/>
    <xf numFmtId="170" fontId="2" fillId="59" borderId="0"/>
    <xf numFmtId="170" fontId="2" fillId="59" borderId="0"/>
    <xf numFmtId="170" fontId="2" fillId="59" borderId="0"/>
    <xf numFmtId="299" fontId="17" fillId="60" borderId="9" applyNumberFormat="0" applyFont="0" applyBorder="0" applyAlignment="0" applyProtection="0">
      <alignment horizontal="right"/>
    </xf>
    <xf numFmtId="299" fontId="17" fillId="60" borderId="9" applyNumberFormat="0" applyFont="0" applyBorder="0" applyAlignment="0" applyProtection="0">
      <alignment horizontal="right"/>
    </xf>
    <xf numFmtId="179" fontId="2" fillId="58" borderId="0"/>
    <xf numFmtId="3" fontId="2" fillId="58" borderId="0"/>
    <xf numFmtId="3" fontId="2" fillId="58" borderId="0"/>
    <xf numFmtId="274" fontId="145" fillId="58" borderId="0"/>
    <xf numFmtId="3" fontId="145" fillId="58" borderId="0"/>
    <xf numFmtId="181" fontId="2" fillId="58" borderId="0"/>
    <xf numFmtId="3" fontId="2" fillId="58" borderId="0"/>
    <xf numFmtId="3" fontId="2" fillId="58" borderId="0"/>
    <xf numFmtId="277" fontId="145" fillId="58" borderId="0"/>
    <xf numFmtId="3" fontId="145" fillId="58" borderId="0"/>
    <xf numFmtId="300" fontId="20" fillId="61" borderId="12">
      <alignment horizontal="left"/>
    </xf>
    <xf numFmtId="300" fontId="20" fillId="61" borderId="12">
      <alignment horizontal="left"/>
    </xf>
    <xf numFmtId="0" fontId="185" fillId="0" borderId="0"/>
    <xf numFmtId="301" fontId="18" fillId="0" borderId="0" applyFont="0" applyFill="0" applyBorder="0" applyAlignment="0"/>
    <xf numFmtId="0" fontId="186" fillId="62" borderId="0"/>
    <xf numFmtId="2" fontId="23" fillId="0" borderId="0" applyFont="0" applyFill="0" applyBorder="0" applyAlignment="0" applyProtection="0">
      <alignment vertical="top"/>
    </xf>
    <xf numFmtId="37" fontId="23" fillId="0" borderId="0" applyProtection="0">
      <alignment horizontal="right"/>
    </xf>
    <xf numFmtId="37" fontId="23" fillId="0" borderId="0" applyProtection="0">
      <alignment horizontal="right"/>
    </xf>
    <xf numFmtId="39" fontId="23" fillId="0" borderId="0" applyProtection="0">
      <alignment horizontal="right"/>
    </xf>
    <xf numFmtId="39" fontId="23" fillId="0" borderId="0" applyProtection="0">
      <alignment horizontal="right"/>
    </xf>
    <xf numFmtId="2" fontId="23" fillId="0" borderId="0" applyFont="0" applyFill="0" applyBorder="0" applyAlignment="0" applyProtection="0">
      <alignment vertical="top"/>
    </xf>
    <xf numFmtId="2" fontId="23" fillId="0" borderId="0" applyFont="0" applyFill="0" applyBorder="0" applyAlignment="0" applyProtection="0">
      <alignment vertical="top"/>
    </xf>
    <xf numFmtId="2" fontId="23" fillId="0" borderId="0" applyFont="0" applyFill="0" applyBorder="0" applyAlignment="0" applyProtection="0">
      <alignment vertical="top"/>
    </xf>
    <xf numFmtId="2" fontId="23" fillId="0" borderId="0" applyFont="0" applyFill="0" applyBorder="0" applyAlignment="0" applyProtection="0">
      <alignment vertical="top"/>
    </xf>
    <xf numFmtId="2" fontId="23" fillId="0" borderId="0" applyFont="0" applyFill="0" applyBorder="0" applyAlignment="0" applyProtection="0">
      <alignment vertical="top"/>
    </xf>
    <xf numFmtId="2" fontId="23" fillId="0" borderId="0" applyFont="0" applyFill="0" applyBorder="0" applyAlignment="0" applyProtection="0">
      <alignment vertical="top"/>
    </xf>
    <xf numFmtId="302" fontId="2" fillId="0" borderId="0"/>
    <xf numFmtId="0" fontId="172" fillId="0" borderId="0" applyFill="0" applyBorder="0" applyProtection="0"/>
    <xf numFmtId="3" fontId="172" fillId="0" borderId="0" applyFill="0" applyBorder="0" applyProtection="0"/>
    <xf numFmtId="0" fontId="132" fillId="0" borderId="0">
      <alignment vertical="center"/>
    </xf>
    <xf numFmtId="0" fontId="132" fillId="0" borderId="0">
      <alignment vertical="center"/>
    </xf>
    <xf numFmtId="0" fontId="187" fillId="0" borderId="41"/>
    <xf numFmtId="0" fontId="188" fillId="0" borderId="0" applyNumberFormat="0" applyFill="0" applyBorder="0" applyProtection="0">
      <alignment horizontal="left" vertical="center"/>
    </xf>
    <xf numFmtId="0" fontId="188" fillId="0" borderId="0" applyNumberFormat="0" applyFill="0" applyBorder="0" applyProtection="0">
      <alignment horizontal="left" vertical="center"/>
    </xf>
    <xf numFmtId="1" fontId="17" fillId="0" borderId="0" applyNumberFormat="0" applyBorder="0" applyAlignment="0" applyProtection="0"/>
    <xf numFmtId="1" fontId="17" fillId="0" borderId="0" applyNumberFormat="0" applyBorder="0" applyAlignment="0" applyProtection="0"/>
    <xf numFmtId="303" fontId="22" fillId="0" borderId="0" applyBorder="0" applyProtection="0"/>
    <xf numFmtId="3" fontId="22" fillId="0" borderId="0" applyBorder="0" applyProtection="0"/>
    <xf numFmtId="292" fontId="174" fillId="0" borderId="42"/>
    <xf numFmtId="304" fontId="174" fillId="3" borderId="10">
      <alignment horizontal="right"/>
    </xf>
    <xf numFmtId="304" fontId="174" fillId="3" borderId="10">
      <alignment horizontal="right"/>
    </xf>
    <xf numFmtId="305" fontId="189" fillId="0" borderId="0">
      <alignment vertical="center"/>
    </xf>
    <xf numFmtId="0" fontId="190" fillId="36" borderId="43"/>
    <xf numFmtId="0" fontId="191" fillId="39" borderId="33" applyNumberFormat="0" applyBorder="0" applyProtection="0">
      <alignment horizontal="right" vertical="center"/>
    </xf>
    <xf numFmtId="0" fontId="192" fillId="0" borderId="0" applyNumberFormat="0" applyFill="0" applyBorder="0" applyAlignment="0" applyProtection="0"/>
    <xf numFmtId="0" fontId="193" fillId="63" borderId="0" applyNumberFormat="0" applyBorder="0" applyAlignment="0" applyProtection="0"/>
    <xf numFmtId="38" fontId="17" fillId="3" borderId="0" applyNumberFormat="0" applyBorder="0" applyAlignment="0" applyProtection="0"/>
    <xf numFmtId="38" fontId="17" fillId="3" borderId="0" applyNumberFormat="0" applyBorder="0" applyAlignment="0" applyProtection="0"/>
    <xf numFmtId="3" fontId="19" fillId="0" borderId="0" applyFill="0" applyBorder="0" applyAlignment="0" applyProtection="0">
      <alignment horizontal="right"/>
    </xf>
    <xf numFmtId="0" fontId="19" fillId="39" borderId="7"/>
    <xf numFmtId="0" fontId="194" fillId="37" borderId="43"/>
    <xf numFmtId="49" fontId="195" fillId="0" borderId="0">
      <alignment horizontal="right"/>
    </xf>
    <xf numFmtId="49" fontId="196" fillId="0" borderId="0">
      <alignment horizontal="right"/>
    </xf>
    <xf numFmtId="305" fontId="197" fillId="0" borderId="0">
      <alignment vertical="center"/>
    </xf>
    <xf numFmtId="170" fontId="2" fillId="48" borderId="7" applyNumberFormat="0" applyFont="0" applyBorder="0" applyAlignment="0" applyProtection="0"/>
    <xf numFmtId="170" fontId="2" fillId="48" borderId="7" applyNumberFormat="0" applyFont="0" applyBorder="0" applyAlignment="0" applyProtection="0"/>
    <xf numFmtId="306" fontId="2" fillId="0" borderId="0" applyFont="0" applyFill="0" applyBorder="0" applyAlignment="0" applyProtection="0">
      <alignment horizontal="right"/>
    </xf>
    <xf numFmtId="3" fontId="2" fillId="0" borderId="0" applyFont="0" applyFill="0" applyBorder="0" applyAlignment="0" applyProtection="0">
      <alignment horizontal="right"/>
    </xf>
    <xf numFmtId="3" fontId="2" fillId="0" borderId="0" applyFont="0" applyFill="0" applyBorder="0" applyAlignment="0" applyProtection="0">
      <alignment horizontal="right"/>
    </xf>
    <xf numFmtId="206" fontId="198" fillId="48" borderId="0" applyNumberFormat="0" applyFont="0" applyAlignment="0"/>
    <xf numFmtId="0" fontId="199" fillId="64" borderId="0" applyNumberFormat="0" applyBorder="0" applyProtection="0">
      <alignment horizontal="left" vertical="center"/>
    </xf>
    <xf numFmtId="0" fontId="199" fillId="64" borderId="0" applyNumberFormat="0" applyBorder="0" applyProtection="0">
      <alignment horizontal="left" vertical="center"/>
    </xf>
    <xf numFmtId="0" fontId="200" fillId="1" borderId="0" applyNumberFormat="0" applyBorder="0" applyProtection="0">
      <alignment horizontal="left" vertical="center"/>
    </xf>
    <xf numFmtId="0" fontId="200" fillId="1" borderId="0" applyNumberFormat="0" applyBorder="0" applyProtection="0">
      <alignment horizontal="left" vertical="center"/>
    </xf>
    <xf numFmtId="0" fontId="201" fillId="0" borderId="0" applyProtection="0">
      <alignment horizontal="right" vertical="top"/>
    </xf>
    <xf numFmtId="0" fontId="43" fillId="0" borderId="20" applyNumberFormat="0" applyAlignment="0" applyProtection="0">
      <alignment horizontal="left" vertical="center"/>
    </xf>
    <xf numFmtId="0" fontId="43" fillId="0" borderId="6">
      <alignment horizontal="left" vertical="center"/>
    </xf>
    <xf numFmtId="37" fontId="202" fillId="65" borderId="0">
      <alignment horizontal="centerContinuous"/>
    </xf>
    <xf numFmtId="0" fontId="203" fillId="0" borderId="44" applyNumberFormat="0" applyFill="0" applyAlignment="0" applyProtection="0"/>
    <xf numFmtId="0" fontId="204" fillId="0" borderId="45" applyNumberFormat="0" applyFill="0" applyAlignment="0" applyProtection="0"/>
    <xf numFmtId="0" fontId="204" fillId="0" borderId="0" applyNumberFormat="0" applyFill="0" applyBorder="0" applyAlignment="0" applyProtection="0"/>
    <xf numFmtId="37" fontId="202" fillId="65" borderId="0">
      <alignment horizontal="centerContinuous"/>
    </xf>
    <xf numFmtId="272" fontId="205" fillId="0" borderId="0">
      <alignment horizontal="right"/>
    </xf>
    <xf numFmtId="3" fontId="205" fillId="0" borderId="0">
      <alignment horizontal="right"/>
    </xf>
    <xf numFmtId="3" fontId="205" fillId="0" borderId="0">
      <alignment horizontal="right"/>
    </xf>
    <xf numFmtId="272" fontId="205" fillId="0" borderId="0">
      <alignment horizontal="left"/>
    </xf>
    <xf numFmtId="3" fontId="205" fillId="0" borderId="0">
      <alignment horizontal="left"/>
    </xf>
    <xf numFmtId="3" fontId="205" fillId="0" borderId="0">
      <alignment horizontal="left"/>
    </xf>
    <xf numFmtId="0" fontId="206" fillId="0" borderId="0" applyNumberFormat="0" applyFill="0" applyBorder="0" applyAlignment="0" applyProtection="0">
      <alignment vertical="top"/>
    </xf>
    <xf numFmtId="0" fontId="207" fillId="0" borderId="46" applyNumberFormat="0" applyFill="0" applyBorder="0" applyAlignment="0" applyProtection="0">
      <alignment horizontal="left"/>
    </xf>
    <xf numFmtId="0" fontId="207" fillId="0" borderId="46" applyNumberFormat="0" applyFill="0" applyBorder="0" applyAlignment="0" applyProtection="0">
      <alignment horizontal="left"/>
    </xf>
    <xf numFmtId="0" fontId="208" fillId="0" borderId="0" applyNumberFormat="0" applyFill="0" applyBorder="0" applyAlignment="0" applyProtection="0"/>
    <xf numFmtId="0" fontId="14" fillId="0" borderId="0" applyNumberFormat="0" applyFill="0" applyBorder="0" applyAlignment="0" applyProtection="0">
      <alignment vertical="top"/>
      <protection locked="0"/>
    </xf>
    <xf numFmtId="3" fontId="23" fillId="0" borderId="0" applyNumberFormat="0" applyAlignment="0">
      <alignment horizontal="left"/>
    </xf>
    <xf numFmtId="3" fontId="23" fillId="0" borderId="0" applyNumberFormat="0" applyAlignment="0">
      <alignment horizontal="left"/>
    </xf>
    <xf numFmtId="0" fontId="2" fillId="0" borderId="0" applyNumberFormat="0" applyFill="0" applyBorder="0" applyAlignment="0" applyProtection="0">
      <alignment vertical="top"/>
      <protection locked="0"/>
    </xf>
    <xf numFmtId="0" fontId="23" fillId="66" borderId="0" applyNumberFormat="0" applyFont="0" applyBorder="0" applyProtection="0"/>
    <xf numFmtId="0" fontId="209" fillId="0" borderId="33" applyNumberFormat="0" applyBorder="0" applyProtection="0">
      <alignment horizontal="right" vertical="center"/>
    </xf>
    <xf numFmtId="0" fontId="210" fillId="0" borderId="47" applyNumberFormat="0" applyFill="0" applyAlignment="0" applyProtection="0"/>
    <xf numFmtId="0" fontId="211" fillId="67" borderId="0" applyNumberFormat="0" applyBorder="0" applyProtection="0">
      <alignment horizontal="left" vertical="center"/>
    </xf>
    <xf numFmtId="307" fontId="174" fillId="0" borderId="0">
      <alignment horizontal="right"/>
    </xf>
    <xf numFmtId="3" fontId="174" fillId="0" borderId="0">
      <alignment horizontal="right"/>
    </xf>
    <xf numFmtId="3" fontId="174" fillId="0" borderId="0">
      <alignment horizontal="right"/>
    </xf>
    <xf numFmtId="308" fontId="174" fillId="0" borderId="0">
      <alignment horizontal="right"/>
    </xf>
    <xf numFmtId="3" fontId="174" fillId="0" borderId="0">
      <alignment horizontal="right"/>
    </xf>
    <xf numFmtId="3" fontId="174" fillId="0" borderId="0">
      <alignment horizontal="right"/>
    </xf>
    <xf numFmtId="307" fontId="174" fillId="0" borderId="0">
      <alignment horizontal="right"/>
    </xf>
    <xf numFmtId="307" fontId="174" fillId="0" borderId="0">
      <alignment horizontal="right"/>
    </xf>
    <xf numFmtId="307" fontId="174" fillId="0" borderId="0">
      <alignment horizontal="right"/>
    </xf>
    <xf numFmtId="307" fontId="174" fillId="0" borderId="0">
      <alignment horizontal="right"/>
    </xf>
    <xf numFmtId="307" fontId="174" fillId="0" borderId="0">
      <alignment horizontal="right"/>
    </xf>
    <xf numFmtId="307" fontId="174" fillId="0" borderId="0">
      <alignment horizontal="right"/>
    </xf>
    <xf numFmtId="0" fontId="212" fillId="0" borderId="0"/>
    <xf numFmtId="3" fontId="19" fillId="0" borderId="0" applyFill="0" applyBorder="0" applyAlignment="0" applyProtection="0">
      <alignment horizontal="right"/>
    </xf>
    <xf numFmtId="0" fontId="186" fillId="0" borderId="0"/>
    <xf numFmtId="0" fontId="213" fillId="0" borderId="0"/>
    <xf numFmtId="0" fontId="214" fillId="0" borderId="0"/>
    <xf numFmtId="309" fontId="2" fillId="0" borderId="0" applyFont="0" applyFill="0" applyBorder="0" applyAlignment="0" applyProtection="0"/>
    <xf numFmtId="167" fontId="2" fillId="0" borderId="0" applyFont="0" applyFill="0" applyBorder="0" applyAlignment="0" applyProtection="0"/>
    <xf numFmtId="37" fontId="2" fillId="0" borderId="0" applyProtection="0"/>
    <xf numFmtId="37" fontId="2" fillId="0" borderId="0" applyProtection="0"/>
    <xf numFmtId="37" fontId="2" fillId="0" borderId="0" applyProtection="0"/>
    <xf numFmtId="290"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310"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0" fontId="215" fillId="6" borderId="48">
      <alignment horizontal="left" vertical="top"/>
    </xf>
    <xf numFmtId="311" fontId="2" fillId="0" borderId="0" applyProtection="0"/>
    <xf numFmtId="3" fontId="2" fillId="0" borderId="0" applyProtection="0"/>
    <xf numFmtId="3" fontId="2" fillId="0" borderId="0" applyProtection="0"/>
    <xf numFmtId="312"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313"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314"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315" fontId="174" fillId="0" borderId="0">
      <alignment horizontal="right"/>
    </xf>
    <xf numFmtId="3" fontId="174" fillId="0" borderId="0">
      <alignment horizontal="right"/>
    </xf>
    <xf numFmtId="3" fontId="174" fillId="0" borderId="0">
      <alignment horizontal="right"/>
    </xf>
    <xf numFmtId="1" fontId="8" fillId="0" borderId="0">
      <alignment horizontal="left"/>
      <protection locked="0"/>
    </xf>
    <xf numFmtId="1" fontId="8" fillId="0" borderId="0">
      <alignment horizontal="left"/>
      <protection locked="0"/>
    </xf>
    <xf numFmtId="316" fontId="2" fillId="0" borderId="0" applyFont="0" applyFill="0" applyBorder="0" applyAlignment="0" applyProtection="0"/>
    <xf numFmtId="298" fontId="2" fillId="0" borderId="0" applyFont="0" applyFill="0" applyBorder="0" applyAlignment="0" applyProtection="0"/>
    <xf numFmtId="0" fontId="23" fillId="0" borderId="2" applyFont="0" applyFill="0" applyBorder="0" applyProtection="0"/>
    <xf numFmtId="0" fontId="23" fillId="0" borderId="2" applyFont="0" applyFill="0" applyBorder="0" applyProtection="0"/>
    <xf numFmtId="317" fontId="23" fillId="0" borderId="2" applyFont="0" applyFill="0" applyBorder="0" applyAlignment="0" applyProtection="0"/>
    <xf numFmtId="3" fontId="23" fillId="0" borderId="2" applyFont="0" applyFill="0" applyBorder="0" applyAlignment="0" applyProtection="0"/>
    <xf numFmtId="3" fontId="23" fillId="0" borderId="2" applyFont="0" applyFill="0" applyBorder="0" applyAlignment="0" applyProtection="0"/>
    <xf numFmtId="0" fontId="23" fillId="0" borderId="0" applyFont="0" applyFill="0" applyBorder="0" applyAlignment="0" applyProtection="0"/>
    <xf numFmtId="0" fontId="23" fillId="0" borderId="0" applyFont="0" applyFill="0" applyBorder="0" applyAlignment="0" applyProtection="0"/>
    <xf numFmtId="317"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0" fontId="216" fillId="0" borderId="0" applyFont="0" applyFill="0" applyBorder="0" applyAlignment="0" applyProtection="0"/>
    <xf numFmtId="0" fontId="216" fillId="0" borderId="0" applyFont="0" applyFill="0" applyBorder="0" applyAlignment="0" applyProtection="0"/>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 fontId="217" fillId="0" borderId="0" applyFont="0" applyFill="0" applyBorder="0" applyProtection="0">
      <alignment horizontal="right"/>
    </xf>
    <xf numFmtId="318" fontId="23" fillId="0" borderId="0"/>
    <xf numFmtId="319" fontId="23" fillId="0" borderId="0" applyFont="0" applyFill="0" applyBorder="0" applyAlignment="0" applyProtection="0"/>
    <xf numFmtId="3" fontId="23" fillId="0" borderId="0" applyFont="0" applyFill="0" applyBorder="0" applyAlignment="0" applyProtection="0"/>
    <xf numFmtId="3" fontId="23" fillId="0" borderId="0" applyFont="0" applyFill="0" applyBorder="0" applyAlignment="0" applyProtection="0"/>
    <xf numFmtId="0" fontId="2" fillId="0" borderId="0" applyFont="0" applyFill="0" applyBorder="0" applyAlignment="0" applyProtection="0">
      <alignment horizontal="right"/>
    </xf>
    <xf numFmtId="0" fontId="2" fillId="0" borderId="0" applyFont="0" applyFill="0" applyBorder="0" applyAlignment="0" applyProtection="0">
      <alignment horizontal="right"/>
    </xf>
    <xf numFmtId="0" fontId="2" fillId="0" borderId="0" applyFont="0" applyFill="0" applyBorder="0" applyAlignment="0" applyProtection="0">
      <alignment horizontal="right"/>
    </xf>
    <xf numFmtId="0" fontId="218" fillId="28" borderId="0" applyNumberFormat="0" applyBorder="0" applyAlignment="0" applyProtection="0"/>
    <xf numFmtId="0" fontId="218" fillId="28" borderId="0" applyNumberFormat="0" applyBorder="0" applyAlignment="0" applyProtection="0"/>
    <xf numFmtId="175" fontId="35" fillId="6" borderId="0" applyFont="0" applyFill="0" applyBorder="0" applyAlignment="0" applyProtection="0"/>
    <xf numFmtId="37" fontId="219" fillId="0" borderId="0"/>
    <xf numFmtId="37" fontId="219" fillId="0" borderId="0"/>
    <xf numFmtId="320" fontId="19" fillId="0" borderId="0"/>
    <xf numFmtId="320" fontId="220" fillId="0" borderId="0"/>
    <xf numFmtId="169" fontId="2" fillId="6" borderId="0" applyNumberFormat="0" applyFont="0" applyFill="0" applyAlignment="0"/>
    <xf numFmtId="169" fontId="2" fillId="6" borderId="0" applyNumberFormat="0" applyFont="0" applyFill="0" applyAlignment="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0"/>
    <xf numFmtId="3"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0"/>
    <xf numFmtId="3" fontId="2" fillId="0" borderId="0"/>
    <xf numFmtId="3"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5" fillId="0" borderId="0"/>
    <xf numFmtId="0" fontId="2" fillId="0" borderId="0"/>
    <xf numFmtId="0" fontId="2" fillId="0" borderId="0"/>
    <xf numFmtId="0" fontId="2" fillId="0" borderId="0"/>
    <xf numFmtId="0" fontId="221" fillId="0" borderId="0"/>
    <xf numFmtId="0" fontId="221" fillId="0" borderId="0"/>
    <xf numFmtId="0" fontId="221" fillId="0" borderId="0"/>
    <xf numFmtId="0" fontId="221" fillId="0" borderId="0"/>
    <xf numFmtId="0" fontId="221" fillId="0" borderId="0"/>
    <xf numFmtId="3" fontId="2" fillId="0" borderId="0"/>
    <xf numFmtId="0" fontId="221" fillId="0" borderId="0"/>
    <xf numFmtId="0" fontId="221" fillId="0" borderId="0"/>
    <xf numFmtId="0" fontId="221" fillId="0" borderId="0"/>
    <xf numFmtId="0" fontId="2" fillId="0" borderId="0"/>
    <xf numFmtId="0" fontId="55" fillId="0" borderId="0"/>
    <xf numFmtId="0" fontId="2" fillId="0" borderId="0"/>
    <xf numFmtId="0" fontId="2" fillId="0" borderId="0"/>
    <xf numFmtId="0" fontId="2" fillId="0" borderId="0"/>
    <xf numFmtId="0" fontId="2" fillId="0" borderId="0"/>
    <xf numFmtId="0" fontId="2" fillId="0" borderId="0"/>
    <xf numFmtId="2" fontId="12" fillId="0" borderId="0" applyBorder="0" applyProtection="0"/>
    <xf numFmtId="2" fontId="12" fillId="0" borderId="0" applyBorder="0" applyProtection="0"/>
    <xf numFmtId="0" fontId="222" fillId="0" borderId="0"/>
    <xf numFmtId="0" fontId="2" fillId="28" borderId="3" applyNumberFormat="0" applyFont="0" applyAlignment="0" applyProtection="0"/>
    <xf numFmtId="0" fontId="2" fillId="28" borderId="3" applyNumberFormat="0" applyFont="0" applyAlignment="0" applyProtection="0"/>
    <xf numFmtId="0" fontId="223" fillId="0" borderId="8"/>
    <xf numFmtId="0" fontId="2" fillId="0" borderId="8"/>
    <xf numFmtId="0" fontId="2" fillId="0" borderId="8"/>
    <xf numFmtId="1" fontId="153" fillId="0" borderId="0">
      <alignment horizontal="right"/>
      <protection locked="0"/>
    </xf>
    <xf numFmtId="1" fontId="153" fillId="0" borderId="0">
      <alignment horizontal="right"/>
      <protection locked="0"/>
    </xf>
    <xf numFmtId="171" fontId="224" fillId="0" borderId="0">
      <alignment horizontal="right"/>
      <protection locked="0"/>
    </xf>
    <xf numFmtId="171" fontId="224" fillId="0" borderId="0">
      <alignment horizontal="right"/>
      <protection locked="0"/>
    </xf>
    <xf numFmtId="0" fontId="153" fillId="0" borderId="0">
      <protection locked="0"/>
    </xf>
    <xf numFmtId="3" fontId="153" fillId="0" borderId="0">
      <protection locked="0"/>
    </xf>
    <xf numFmtId="3" fontId="153" fillId="0" borderId="0">
      <protection locked="0"/>
    </xf>
    <xf numFmtId="2" fontId="224" fillId="0" borderId="0">
      <alignment horizontal="right"/>
      <protection locked="0"/>
    </xf>
    <xf numFmtId="2" fontId="224" fillId="0" borderId="0">
      <alignment horizontal="right"/>
      <protection locked="0"/>
    </xf>
    <xf numFmtId="2" fontId="153" fillId="0" borderId="0">
      <alignment horizontal="right"/>
      <protection locked="0"/>
    </xf>
    <xf numFmtId="2" fontId="153" fillId="0" borderId="0">
      <alignment horizontal="right"/>
      <protection locked="0"/>
    </xf>
    <xf numFmtId="321" fontId="172" fillId="0" borderId="0"/>
    <xf numFmtId="322" fontId="225" fillId="0" borderId="0" applyFont="0" applyFill="0" applyBorder="0" applyAlignment="0" applyProtection="0"/>
    <xf numFmtId="165" fontId="23" fillId="0" borderId="0" applyFont="0" applyFill="0" applyBorder="0" applyAlignment="0" applyProtection="0"/>
    <xf numFmtId="323" fontId="18" fillId="0" borderId="0" applyFill="0" applyBorder="0"/>
    <xf numFmtId="324" fontId="94" fillId="0" borderId="0"/>
    <xf numFmtId="324" fontId="220" fillId="0" borderId="0"/>
    <xf numFmtId="272" fontId="2" fillId="0" borderId="0"/>
    <xf numFmtId="272" fontId="2" fillId="0" borderId="0"/>
    <xf numFmtId="0" fontId="226" fillId="0" borderId="0">
      <alignment horizontal="left"/>
    </xf>
    <xf numFmtId="0" fontId="226" fillId="0" borderId="0">
      <alignment horizontal="left"/>
    </xf>
    <xf numFmtId="0" fontId="227" fillId="39" borderId="49" applyNumberFormat="0" applyAlignment="0" applyProtection="0"/>
    <xf numFmtId="0" fontId="23" fillId="0" borderId="0" applyProtection="0"/>
    <xf numFmtId="0" fontId="23" fillId="0" borderId="0" applyProtection="0"/>
    <xf numFmtId="9" fontId="23" fillId="0" borderId="0" applyProtection="0">
      <alignment horizontal="right"/>
    </xf>
    <xf numFmtId="9" fontId="23" fillId="0" borderId="0" applyProtection="0">
      <alignment horizontal="right"/>
    </xf>
    <xf numFmtId="3" fontId="119" fillId="6" borderId="0" applyAlignment="0"/>
    <xf numFmtId="3" fontId="119" fillId="6" borderId="0" applyAlignment="0"/>
    <xf numFmtId="0" fontId="183" fillId="68" borderId="50">
      <alignment horizontal="center"/>
    </xf>
    <xf numFmtId="169" fontId="2" fillId="6" borderId="12">
      <alignment horizontal="center"/>
    </xf>
    <xf numFmtId="169" fontId="2" fillId="6" borderId="12">
      <alignment horizontal="center"/>
    </xf>
    <xf numFmtId="0" fontId="228" fillId="0" borderId="0" applyNumberFormat="0" applyFill="0" applyBorder="0">
      <alignment horizontal="left"/>
    </xf>
    <xf numFmtId="0" fontId="229" fillId="0" borderId="0" applyProtection="0">
      <alignment horizontal="left"/>
    </xf>
    <xf numFmtId="0" fontId="229" fillId="0" borderId="0" applyFill="0" applyBorder="0" applyProtection="0">
      <alignment horizontal="left"/>
    </xf>
    <xf numFmtId="0" fontId="230" fillId="0" borderId="0" applyFill="0" applyBorder="0" applyProtection="0">
      <alignment horizontal="left"/>
    </xf>
    <xf numFmtId="1" fontId="231" fillId="0" borderId="0" applyProtection="0">
      <alignment horizontal="right" vertical="center"/>
    </xf>
    <xf numFmtId="37" fontId="232" fillId="0" borderId="0" applyNumberFormat="0" applyFill="0" applyBorder="0" applyAlignment="0" applyProtection="0"/>
    <xf numFmtId="0" fontId="233" fillId="6" borderId="0"/>
    <xf numFmtId="0" fontId="234" fillId="6" borderId="14"/>
    <xf numFmtId="0" fontId="216" fillId="0" borderId="0" applyNumberFormat="0" applyFill="0" applyBorder="0" applyAlignment="0" applyProtection="0"/>
    <xf numFmtId="0" fontId="216" fillId="0" borderId="0" applyNumberFormat="0" applyFill="0" applyBorder="0" applyAlignment="0" applyProtection="0"/>
    <xf numFmtId="0" fontId="214" fillId="0" borderId="0"/>
    <xf numFmtId="325" fontId="174" fillId="0" borderId="0"/>
    <xf numFmtId="325" fontId="174" fillId="0" borderId="0"/>
    <xf numFmtId="326" fontId="174" fillId="0" borderId="0"/>
    <xf numFmtId="326" fontId="174" fillId="0" borderId="0"/>
    <xf numFmtId="170" fontId="19" fillId="0" borderId="0">
      <alignment horizontal="right"/>
    </xf>
    <xf numFmtId="10" fontId="2" fillId="0" borderId="0"/>
    <xf numFmtId="10" fontId="2" fillId="0" borderId="0"/>
    <xf numFmtId="0" fontId="2" fillId="0" borderId="0"/>
    <xf numFmtId="0" fontId="2" fillId="0" borderId="0"/>
    <xf numFmtId="0" fontId="2" fillId="0" borderId="0"/>
    <xf numFmtId="170" fontId="21" fillId="0" borderId="0" applyFont="0" applyFill="0" applyBorder="0" applyAlignment="0" applyProtection="0"/>
    <xf numFmtId="170" fontId="21"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70" fontId="2" fillId="0" borderId="0" applyBorder="0"/>
    <xf numFmtId="170" fontId="2" fillId="0" borderId="0" applyBorder="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45" fillId="58" borderId="0"/>
    <xf numFmtId="170" fontId="145" fillId="58" borderId="0"/>
    <xf numFmtId="10" fontId="145" fillId="58" borderId="0"/>
    <xf numFmtId="9" fontId="235" fillId="52" borderId="0"/>
    <xf numFmtId="327" fontId="19" fillId="0" borderId="0" applyFont="0" applyFill="0" applyBorder="0" applyProtection="0">
      <alignment horizontal="right"/>
    </xf>
    <xf numFmtId="3" fontId="19" fillId="0" borderId="0" applyFont="0" applyFill="0" applyBorder="0" applyProtection="0">
      <alignment horizontal="right"/>
    </xf>
    <xf numFmtId="9" fontId="236" fillId="4" borderId="0"/>
    <xf numFmtId="170" fontId="236" fillId="4" borderId="0"/>
    <xf numFmtId="170" fontId="2" fillId="0" borderId="0"/>
    <xf numFmtId="170" fontId="2" fillId="0" borderId="0"/>
    <xf numFmtId="328" fontId="2" fillId="0" borderId="0" applyFont="0" applyFill="0" applyBorder="0" applyAlignment="0" applyProtection="0"/>
    <xf numFmtId="328" fontId="2" fillId="0" borderId="0" applyFont="0" applyFill="0" applyBorder="0" applyAlignment="0" applyProtection="0"/>
    <xf numFmtId="9" fontId="17" fillId="0" borderId="0"/>
    <xf numFmtId="9" fontId="17" fillId="0" borderId="0"/>
    <xf numFmtId="37" fontId="237" fillId="0" borderId="0" applyBorder="0"/>
    <xf numFmtId="9" fontId="6" fillId="6" borderId="0">
      <alignment horizontal="right"/>
    </xf>
    <xf numFmtId="170" fontId="153" fillId="0" borderId="0"/>
    <xf numFmtId="170" fontId="153" fillId="0" borderId="0"/>
    <xf numFmtId="10" fontId="142" fillId="0" borderId="0" applyBorder="0"/>
    <xf numFmtId="9" fontId="6" fillId="69" borderId="0">
      <alignment horizontal="right"/>
    </xf>
    <xf numFmtId="10" fontId="153" fillId="0" borderId="0">
      <protection locked="0"/>
    </xf>
    <xf numFmtId="10" fontId="153" fillId="0" borderId="0">
      <protection locked="0"/>
    </xf>
    <xf numFmtId="3" fontId="12" fillId="0" borderId="0" applyFill="0" applyBorder="0">
      <alignment horizontal="right"/>
      <protection locked="0"/>
    </xf>
    <xf numFmtId="3" fontId="12" fillId="0" borderId="0" applyFill="0" applyBorder="0">
      <alignment horizontal="right"/>
      <protection locked="0"/>
    </xf>
    <xf numFmtId="178" fontId="19" fillId="0" borderId="0"/>
    <xf numFmtId="329" fontId="18" fillId="0" borderId="0"/>
    <xf numFmtId="329" fontId="21" fillId="0" borderId="0"/>
    <xf numFmtId="330" fontId="172" fillId="0" borderId="0" applyFill="0" applyBorder="0" applyProtection="0"/>
    <xf numFmtId="331" fontId="238" fillId="0" borderId="0" applyFont="0"/>
    <xf numFmtId="0" fontId="239" fillId="0" borderId="0"/>
    <xf numFmtId="170" fontId="11" fillId="0" borderId="0"/>
    <xf numFmtId="170" fontId="11" fillId="0" borderId="0"/>
    <xf numFmtId="9" fontId="2" fillId="0" borderId="0" applyFont="0" applyFill="0" applyBorder="0" applyAlignment="0" applyProtection="0"/>
    <xf numFmtId="9" fontId="2" fillId="0" borderId="0" applyFont="0" applyFill="0" applyBorder="0" applyAlignment="0" applyProtection="0"/>
    <xf numFmtId="3" fontId="2" fillId="0" borderId="0" applyProtection="0">
      <alignment horizontal="right"/>
    </xf>
    <xf numFmtId="3" fontId="2" fillId="0" borderId="0" applyProtection="0">
      <alignment horizontal="right"/>
    </xf>
    <xf numFmtId="332" fontId="2" fillId="0" borderId="0">
      <alignment horizontal="right"/>
      <protection locked="0"/>
    </xf>
    <xf numFmtId="3" fontId="2" fillId="0" borderId="0">
      <alignment horizontal="right"/>
      <protection locked="0"/>
    </xf>
    <xf numFmtId="3" fontId="2" fillId="0" borderId="0">
      <alignment horizontal="right"/>
      <protection locked="0"/>
    </xf>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12" fillId="0" borderId="0" applyNumberFormat="0" applyFont="0" applyFill="0" applyBorder="0" applyAlignment="0" applyProtection="0">
      <alignment horizontal="left"/>
    </xf>
    <xf numFmtId="0" fontId="12" fillId="0" borderId="0" applyNumberFormat="0" applyFont="0" applyFill="0" applyBorder="0" applyAlignment="0" applyProtection="0">
      <alignment horizontal="left"/>
    </xf>
    <xf numFmtId="15" fontId="12" fillId="0" borderId="0" applyFont="0" applyFill="0" applyBorder="0" applyAlignment="0" applyProtection="0"/>
    <xf numFmtId="15" fontId="12" fillId="0" borderId="0" applyFont="0" applyFill="0" applyBorder="0" applyAlignment="0" applyProtection="0"/>
    <xf numFmtId="4" fontId="12" fillId="0" borderId="0" applyFont="0" applyFill="0" applyBorder="0" applyAlignment="0" applyProtection="0"/>
    <xf numFmtId="4" fontId="12" fillId="0" borderId="0" applyFont="0" applyFill="0" applyBorder="0" applyAlignment="0" applyProtection="0"/>
    <xf numFmtId="0" fontId="104" fillId="0" borderId="14">
      <alignment horizontal="center"/>
    </xf>
    <xf numFmtId="0" fontId="104" fillId="0" borderId="14">
      <alignment horizontal="center"/>
    </xf>
    <xf numFmtId="3" fontId="12" fillId="0" borderId="0" applyFont="0" applyFill="0" applyBorder="0" applyAlignment="0" applyProtection="0"/>
    <xf numFmtId="3" fontId="12" fillId="0" borderId="0" applyFont="0" applyFill="0" applyBorder="0" applyAlignment="0" applyProtection="0"/>
    <xf numFmtId="0" fontId="12" fillId="70" borderId="0" applyNumberFormat="0" applyFont="0" applyBorder="0" applyAlignment="0" applyProtection="0"/>
    <xf numFmtId="0" fontId="12" fillId="70" borderId="0" applyNumberFormat="0" applyFont="0" applyBorder="0" applyAlignment="0" applyProtection="0"/>
    <xf numFmtId="333" fontId="174" fillId="3" borderId="0"/>
    <xf numFmtId="333" fontId="174" fillId="3" borderId="0"/>
    <xf numFmtId="0" fontId="240" fillId="0" borderId="0">
      <alignment horizontal="center"/>
    </xf>
    <xf numFmtId="0" fontId="174" fillId="0" borderId="2">
      <alignment horizontal="centerContinuous"/>
    </xf>
    <xf numFmtId="0" fontId="174" fillId="0" borderId="2">
      <alignment horizontal="centerContinuous"/>
    </xf>
    <xf numFmtId="334" fontId="174" fillId="3" borderId="0">
      <alignment horizontal="right"/>
    </xf>
    <xf numFmtId="334" fontId="174" fillId="3" borderId="0">
      <alignment horizontal="right"/>
    </xf>
    <xf numFmtId="335" fontId="174" fillId="3" borderId="10">
      <alignment horizontal="right"/>
    </xf>
    <xf numFmtId="3" fontId="174" fillId="3" borderId="10">
      <alignment horizontal="right"/>
    </xf>
    <xf numFmtId="3" fontId="174" fillId="3" borderId="10">
      <alignment horizontal="right"/>
    </xf>
    <xf numFmtId="336" fontId="12" fillId="0" borderId="0" applyFill="0" applyBorder="0">
      <alignment horizontal="right"/>
      <protection locked="0"/>
    </xf>
    <xf numFmtId="337" fontId="12" fillId="0" borderId="0">
      <alignment horizontal="right"/>
      <protection locked="0"/>
    </xf>
    <xf numFmtId="49" fontId="11" fillId="0" borderId="0">
      <alignment horizontal="right"/>
    </xf>
    <xf numFmtId="171" fontId="12" fillId="71" borderId="11" applyNumberFormat="0" applyFont="0" applyBorder="0" applyAlignment="0" applyProtection="0">
      <alignment horizontal="center"/>
    </xf>
    <xf numFmtId="171" fontId="12" fillId="71" borderId="11" applyNumberFormat="0" applyFont="0" applyBorder="0" applyAlignment="0" applyProtection="0">
      <alignment horizontal="center"/>
    </xf>
    <xf numFmtId="0" fontId="105" fillId="0" borderId="0" applyNumberFormat="0" applyFill="0" applyBorder="0" applyProtection="0">
      <alignment horizontal="right" vertical="center"/>
    </xf>
    <xf numFmtId="170" fontId="178" fillId="55" borderId="0"/>
    <xf numFmtId="170" fontId="178" fillId="9" borderId="0"/>
    <xf numFmtId="170" fontId="145" fillId="58" borderId="0"/>
    <xf numFmtId="0" fontId="241" fillId="35" borderId="43"/>
    <xf numFmtId="0" fontId="2" fillId="4" borderId="0" applyNumberFormat="0" applyFont="0" applyBorder="0" applyAlignment="0" applyProtection="0"/>
    <xf numFmtId="0" fontId="2" fillId="4" borderId="0" applyNumberFormat="0" applyFont="0" applyBorder="0" applyAlignment="0" applyProtection="0"/>
    <xf numFmtId="0" fontId="2" fillId="4" borderId="0" applyNumberFormat="0" applyFont="0" applyBorder="0" applyAlignment="0" applyProtection="0"/>
    <xf numFmtId="38" fontId="8" fillId="3" borderId="0">
      <alignment horizontal="right"/>
    </xf>
    <xf numFmtId="0" fontId="20" fillId="0" borderId="0"/>
    <xf numFmtId="0" fontId="20" fillId="0" borderId="4">
      <alignment horizontal="centerContinuous"/>
    </xf>
    <xf numFmtId="4" fontId="52" fillId="28" borderId="51" applyNumberFormat="0" applyProtection="0">
      <alignment vertical="center"/>
    </xf>
    <xf numFmtId="4" fontId="242" fillId="4" borderId="51" applyNumberFormat="0" applyProtection="0">
      <alignment vertical="center"/>
    </xf>
    <xf numFmtId="4" fontId="52" fillId="4" borderId="51" applyNumberFormat="0" applyProtection="0">
      <alignment horizontal="left" vertical="center" indent="1"/>
    </xf>
    <xf numFmtId="0" fontId="52" fillId="4" borderId="51" applyNumberFormat="0" applyProtection="0">
      <alignment horizontal="left" vertical="top" indent="1"/>
    </xf>
    <xf numFmtId="4" fontId="52" fillId="72" borderId="0" applyNumberFormat="0" applyProtection="0">
      <alignment horizontal="left" vertical="center" indent="1"/>
    </xf>
    <xf numFmtId="4" fontId="51" fillId="54" borderId="51" applyNumberFormat="0" applyProtection="0">
      <alignment horizontal="right" vertical="center"/>
    </xf>
    <xf numFmtId="4" fontId="51" fillId="40" borderId="51" applyNumberFormat="0" applyProtection="0">
      <alignment horizontal="right" vertical="center"/>
    </xf>
    <xf numFmtId="4" fontId="51" fillId="71" borderId="51" applyNumberFormat="0" applyProtection="0">
      <alignment horizontal="right" vertical="center"/>
    </xf>
    <xf numFmtId="4" fontId="51" fillId="73" borderId="51" applyNumberFormat="0" applyProtection="0">
      <alignment horizontal="right" vertical="center"/>
    </xf>
    <xf numFmtId="4" fontId="51" fillId="74" borderId="51" applyNumberFormat="0" applyProtection="0">
      <alignment horizontal="right" vertical="center"/>
    </xf>
    <xf numFmtId="4" fontId="51" fillId="75" borderId="51" applyNumberFormat="0" applyProtection="0">
      <alignment horizontal="right" vertical="center"/>
    </xf>
    <xf numFmtId="4" fontId="51" fillId="76" borderId="51" applyNumberFormat="0" applyProtection="0">
      <alignment horizontal="right" vertical="center"/>
    </xf>
    <xf numFmtId="4" fontId="51" fillId="77" borderId="51" applyNumberFormat="0" applyProtection="0">
      <alignment horizontal="right" vertical="center"/>
    </xf>
    <xf numFmtId="4" fontId="51" fillId="78" borderId="51" applyNumberFormat="0" applyProtection="0">
      <alignment horizontal="right" vertical="center"/>
    </xf>
    <xf numFmtId="4" fontId="52" fillId="79" borderId="52" applyNumberFormat="0" applyProtection="0">
      <alignment horizontal="left" vertical="center" indent="1"/>
    </xf>
    <xf numFmtId="4" fontId="51" fillId="80" borderId="0" applyNumberFormat="0" applyProtection="0">
      <alignment horizontal="left" vertical="center" indent="1"/>
    </xf>
    <xf numFmtId="4" fontId="243" fillId="81" borderId="0" applyNumberFormat="0" applyProtection="0">
      <alignment horizontal="left" vertical="center" indent="1"/>
    </xf>
    <xf numFmtId="4" fontId="51" fillId="82" borderId="51" applyNumberFormat="0" applyProtection="0">
      <alignment horizontal="right" vertical="center"/>
    </xf>
    <xf numFmtId="4" fontId="51" fillId="80" borderId="0" applyNumberFormat="0" applyProtection="0">
      <alignment horizontal="left" vertical="center" indent="1"/>
    </xf>
    <xf numFmtId="4" fontId="51" fillId="72" borderId="0" applyNumberFormat="0" applyProtection="0">
      <alignment horizontal="left" vertical="center" indent="1"/>
    </xf>
    <xf numFmtId="0" fontId="2" fillId="81" borderId="51" applyNumberFormat="0" applyProtection="0">
      <alignment horizontal="left" vertical="center" indent="1"/>
    </xf>
    <xf numFmtId="0" fontId="2" fillId="81" borderId="51" applyNumberFormat="0" applyProtection="0">
      <alignment horizontal="left" vertical="center" indent="1"/>
    </xf>
    <xf numFmtId="0" fontId="2" fillId="81" borderId="51" applyNumberFormat="0" applyProtection="0">
      <alignment horizontal="left" vertical="top" indent="1"/>
    </xf>
    <xf numFmtId="0" fontId="2" fillId="81" borderId="51" applyNumberFormat="0" applyProtection="0">
      <alignment horizontal="left" vertical="top" indent="1"/>
    </xf>
    <xf numFmtId="0" fontId="2" fillId="72" borderId="51" applyNumberFormat="0" applyProtection="0">
      <alignment horizontal="left" vertical="center" indent="1"/>
    </xf>
    <xf numFmtId="0" fontId="2" fillId="72" borderId="51" applyNumberFormat="0" applyProtection="0">
      <alignment horizontal="left" vertical="center" indent="1"/>
    </xf>
    <xf numFmtId="0" fontId="2" fillId="72" borderId="51" applyNumberFormat="0" applyProtection="0">
      <alignment horizontal="left" vertical="top" indent="1"/>
    </xf>
    <xf numFmtId="0" fontId="2" fillId="72" borderId="51" applyNumberFormat="0" applyProtection="0">
      <alignment horizontal="left" vertical="top" indent="1"/>
    </xf>
    <xf numFmtId="0" fontId="2" fillId="10" borderId="51" applyNumberFormat="0" applyProtection="0">
      <alignment horizontal="left" vertical="center" indent="1"/>
    </xf>
    <xf numFmtId="0" fontId="2" fillId="10" borderId="51" applyNumberFormat="0" applyProtection="0">
      <alignment horizontal="left" vertical="center" indent="1"/>
    </xf>
    <xf numFmtId="0" fontId="2" fillId="10" borderId="51" applyNumberFormat="0" applyProtection="0">
      <alignment horizontal="left" vertical="top" indent="1"/>
    </xf>
    <xf numFmtId="0" fontId="2" fillId="10" borderId="51" applyNumberFormat="0" applyProtection="0">
      <alignment horizontal="left" vertical="top" indent="1"/>
    </xf>
    <xf numFmtId="0" fontId="2" fillId="52" borderId="51" applyNumberFormat="0" applyProtection="0">
      <alignment horizontal="left" vertical="center" indent="1"/>
    </xf>
    <xf numFmtId="0" fontId="2" fillId="52" borderId="51" applyNumberFormat="0" applyProtection="0">
      <alignment horizontal="left" vertical="center" indent="1"/>
    </xf>
    <xf numFmtId="0" fontId="2" fillId="52" borderId="51" applyNumberFormat="0" applyProtection="0">
      <alignment horizontal="left" vertical="top" indent="1"/>
    </xf>
    <xf numFmtId="0" fontId="2" fillId="52" borderId="51" applyNumberFormat="0" applyProtection="0">
      <alignment horizontal="left" vertical="top" indent="1"/>
    </xf>
    <xf numFmtId="4" fontId="51" fillId="55" borderId="51" applyNumberFormat="0" applyProtection="0">
      <alignment vertical="center"/>
    </xf>
    <xf numFmtId="4" fontId="244" fillId="55" borderId="51" applyNumberFormat="0" applyProtection="0">
      <alignment vertical="center"/>
    </xf>
    <xf numFmtId="4" fontId="51" fillId="55" borderId="51" applyNumberFormat="0" applyProtection="0">
      <alignment horizontal="left" vertical="center" indent="1"/>
    </xf>
    <xf numFmtId="0" fontId="51" fillId="55" borderId="51" applyNumberFormat="0" applyProtection="0">
      <alignment horizontal="left" vertical="top" indent="1"/>
    </xf>
    <xf numFmtId="4" fontId="51" fillId="80" borderId="51" applyNumberFormat="0" applyProtection="0">
      <alignment horizontal="right" vertical="center"/>
    </xf>
    <xf numFmtId="4" fontId="244" fillId="80" borderId="51" applyNumberFormat="0" applyProtection="0">
      <alignment horizontal="right" vertical="center"/>
    </xf>
    <xf numFmtId="4" fontId="51" fillId="82" borderId="51" applyNumberFormat="0" applyProtection="0">
      <alignment horizontal="left" vertical="center" indent="1"/>
    </xf>
    <xf numFmtId="0" fontId="51" fillId="72" borderId="51" applyNumberFormat="0" applyProtection="0">
      <alignment horizontal="left" vertical="top" indent="1"/>
    </xf>
    <xf numFmtId="4" fontId="245" fillId="83" borderId="0" applyNumberFormat="0" applyProtection="0">
      <alignment horizontal="left" vertical="center" indent="1"/>
    </xf>
    <xf numFmtId="4" fontId="238" fillId="80" borderId="51" applyNumberFormat="0" applyProtection="0">
      <alignment horizontal="right" vertical="center"/>
    </xf>
    <xf numFmtId="0" fontId="193" fillId="63" borderId="0" applyNumberFormat="0" applyBorder="0" applyAlignment="0" applyProtection="0"/>
    <xf numFmtId="0" fontId="187" fillId="0" borderId="18"/>
    <xf numFmtId="3" fontId="114" fillId="0" borderId="0" applyFill="0" applyBorder="0">
      <alignment horizontal="right"/>
      <protection hidden="1"/>
    </xf>
    <xf numFmtId="3" fontId="114" fillId="0" borderId="0" applyFill="0" applyBorder="0">
      <alignment horizontal="right"/>
      <protection hidden="1"/>
    </xf>
    <xf numFmtId="0" fontId="115" fillId="29" borderId="7">
      <alignment horizontal="center" vertical="center" wrapText="1"/>
      <protection hidden="1"/>
    </xf>
    <xf numFmtId="0" fontId="2" fillId="1" borderId="0" applyNumberFormat="0" applyFont="0" applyBorder="0" applyAlignment="0" applyProtection="0"/>
    <xf numFmtId="0" fontId="2" fillId="1" borderId="0" applyNumberFormat="0" applyFont="0" applyBorder="0" applyAlignment="0" applyProtection="0"/>
    <xf numFmtId="0" fontId="23" fillId="84" borderId="0" applyNumberFormat="0" applyFont="0" applyBorder="0" applyAlignment="0" applyProtection="0"/>
    <xf numFmtId="0" fontId="23" fillId="84" borderId="0" applyNumberFormat="0" applyFont="0" applyBorder="0" applyAlignment="0" applyProtection="0"/>
    <xf numFmtId="1" fontId="246" fillId="85" borderId="0" applyNumberFormat="0" applyFont="0" applyBorder="0" applyAlignment="0">
      <alignment horizontal="left"/>
    </xf>
    <xf numFmtId="0" fontId="247" fillId="0" borderId="0">
      <alignment horizontal="center"/>
    </xf>
    <xf numFmtId="291" fontId="154" fillId="0" borderId="0" applyFill="0" applyBorder="0" applyAlignment="0" applyProtection="0"/>
    <xf numFmtId="3" fontId="154" fillId="0" borderId="0" applyFill="0" applyBorder="0" applyAlignment="0" applyProtection="0"/>
    <xf numFmtId="0" fontId="227" fillId="39" borderId="49" applyNumberFormat="0" applyAlignment="0" applyProtection="0"/>
    <xf numFmtId="3" fontId="17" fillId="0" borderId="0"/>
    <xf numFmtId="3" fontId="17" fillId="0" borderId="0"/>
    <xf numFmtId="269" fontId="248" fillId="0" borderId="0"/>
    <xf numFmtId="0" fontId="2" fillId="0" borderId="0"/>
    <xf numFmtId="0" fontId="2" fillId="0" borderId="0"/>
    <xf numFmtId="338" fontId="12" fillId="0" borderId="0">
      <protection locked="0"/>
    </xf>
    <xf numFmtId="0" fontId="249" fillId="0" borderId="0"/>
    <xf numFmtId="0" fontId="136" fillId="83" borderId="0"/>
    <xf numFmtId="0" fontId="250" fillId="32" borderId="0"/>
    <xf numFmtId="0" fontId="2" fillId="0" borderId="0">
      <alignment vertical="top"/>
    </xf>
    <xf numFmtId="0" fontId="2" fillId="0" borderId="0">
      <alignment vertical="top"/>
    </xf>
    <xf numFmtId="0" fontId="2" fillId="0" borderId="0">
      <alignment vertical="top"/>
    </xf>
    <xf numFmtId="0" fontId="3" fillId="86" borderId="53" applyNumberFormat="0" applyProtection="0">
      <alignment horizontal="center" wrapText="1"/>
    </xf>
    <xf numFmtId="0" fontId="3" fillId="86" borderId="54" applyNumberFormat="0" applyAlignment="0" applyProtection="0">
      <alignment wrapText="1"/>
    </xf>
    <xf numFmtId="0" fontId="2" fillId="87" borderId="0" applyNumberFormat="0" applyBorder="0">
      <alignment horizontal="center" wrapText="1"/>
    </xf>
    <xf numFmtId="0" fontId="2" fillId="87" borderId="0" applyNumberFormat="0" applyBorder="0">
      <alignment horizontal="center" wrapText="1"/>
    </xf>
    <xf numFmtId="0" fontId="2" fillId="88" borderId="55" applyNumberFormat="0">
      <alignment wrapText="1"/>
    </xf>
    <xf numFmtId="0" fontId="2" fillId="88" borderId="55" applyNumberFormat="0">
      <alignment wrapText="1"/>
    </xf>
    <xf numFmtId="0" fontId="2" fillId="88" borderId="0" applyNumberFormat="0" applyBorder="0">
      <alignment wrapText="1"/>
    </xf>
    <xf numFmtId="0" fontId="2" fillId="88" borderId="0" applyNumberFormat="0" applyBorder="0">
      <alignment wrapText="1"/>
    </xf>
    <xf numFmtId="0" fontId="2" fillId="0" borderId="0" applyNumberFormat="0" applyFill="0" applyBorder="0" applyProtection="0">
      <alignment horizontal="right" wrapText="1"/>
    </xf>
    <xf numFmtId="0" fontId="2" fillId="0" borderId="0" applyNumberFormat="0" applyFill="0" applyBorder="0" applyProtection="0">
      <alignment horizontal="right" wrapText="1"/>
    </xf>
    <xf numFmtId="339" fontId="2" fillId="0" borderId="0" applyFill="0" applyBorder="0" applyAlignment="0" applyProtection="0">
      <alignment wrapText="1"/>
    </xf>
    <xf numFmtId="339" fontId="2" fillId="0" borderId="0" applyFill="0" applyBorder="0" applyAlignment="0" applyProtection="0">
      <alignment wrapText="1"/>
    </xf>
    <xf numFmtId="287" fontId="2" fillId="0" borderId="0" applyFill="0" applyBorder="0" applyAlignment="0" applyProtection="0">
      <alignment wrapText="1"/>
    </xf>
    <xf numFmtId="287" fontId="2" fillId="0" borderId="0" applyFill="0" applyBorder="0" applyAlignment="0" applyProtection="0">
      <alignment wrapText="1"/>
    </xf>
    <xf numFmtId="225" fontId="2" fillId="0" borderId="0" applyFill="0" applyBorder="0" applyAlignment="0" applyProtection="0">
      <alignment wrapText="1"/>
    </xf>
    <xf numFmtId="225" fontId="2" fillId="0" borderId="0" applyFill="0" applyBorder="0" applyAlignment="0" applyProtection="0">
      <alignment wrapText="1"/>
    </xf>
    <xf numFmtId="0" fontId="2" fillId="0" borderId="0">
      <alignment vertical="top"/>
    </xf>
    <xf numFmtId="0" fontId="2" fillId="0" borderId="0" applyNumberFormat="0" applyFill="0" applyBorder="0" applyProtection="0">
      <alignment horizontal="right" wrapText="1"/>
    </xf>
    <xf numFmtId="0" fontId="2" fillId="0" borderId="0" applyNumberFormat="0" applyFill="0" applyBorder="0" applyProtection="0">
      <alignment horizontal="right" wrapText="1"/>
    </xf>
    <xf numFmtId="0" fontId="2" fillId="0" borderId="0" applyNumberFormat="0" applyFill="0" applyBorder="0">
      <alignment horizontal="right" wrapText="1"/>
    </xf>
    <xf numFmtId="0" fontId="2" fillId="0" borderId="0" applyNumberFormat="0" applyFill="0" applyBorder="0">
      <alignment horizontal="right" wrapText="1"/>
    </xf>
    <xf numFmtId="17" fontId="2" fillId="0" borderId="0" applyFill="0" applyBorder="0">
      <alignment horizontal="right" wrapText="1"/>
    </xf>
    <xf numFmtId="17" fontId="2" fillId="0" borderId="0" applyFill="0" applyBorder="0">
      <alignment horizontal="right" wrapText="1"/>
    </xf>
    <xf numFmtId="231" fontId="2" fillId="0" borderId="0" applyFill="0" applyBorder="0" applyAlignment="0" applyProtection="0">
      <alignment wrapText="1"/>
    </xf>
    <xf numFmtId="231" fontId="2" fillId="0" borderId="0" applyFill="0" applyBorder="0" applyAlignment="0" applyProtection="0">
      <alignment wrapText="1"/>
    </xf>
    <xf numFmtId="0" fontId="43" fillId="0" borderId="0" applyNumberFormat="0" applyFill="0" applyBorder="0">
      <alignment horizontal="left" wrapText="1"/>
    </xf>
    <xf numFmtId="0" fontId="3" fillId="0" borderId="0" applyNumberFormat="0" applyFill="0" applyBorder="0">
      <alignment horizontal="center" wrapText="1"/>
    </xf>
    <xf numFmtId="0" fontId="3" fillId="0" borderId="0" applyNumberFormat="0" applyFill="0" applyBorder="0">
      <alignment horizontal="center" wrapText="1"/>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340" fontId="251" fillId="0" borderId="0" applyNumberFormat="0" applyFill="0" applyBorder="0" applyAlignment="0" applyProtection="0">
      <alignment horizontal="right" vertical="center" wrapText="1"/>
    </xf>
    <xf numFmtId="0" fontId="252" fillId="0" borderId="0" applyNumberFormat="0" applyFill="0" applyBorder="0" applyAlignment="0" applyProtection="0"/>
    <xf numFmtId="0" fontId="253" fillId="0" borderId="0" applyNumberFormat="0" applyFill="0" applyBorder="0" applyAlignment="0" applyProtection="0">
      <protection locked="0"/>
    </xf>
    <xf numFmtId="0" fontId="254" fillId="0" borderId="9" applyNumberFormat="0" applyFill="0" applyProtection="0">
      <alignment horizontal="right"/>
    </xf>
    <xf numFmtId="0" fontId="116" fillId="0" borderId="0" applyNumberFormat="0" applyFill="0" applyBorder="0" applyProtection="0">
      <alignment horizontal="left" vertical="center"/>
    </xf>
    <xf numFmtId="3" fontId="19" fillId="0" borderId="0" applyFill="0" applyBorder="0" applyAlignment="0" applyProtection="0"/>
    <xf numFmtId="0" fontId="23" fillId="0" borderId="0"/>
    <xf numFmtId="0" fontId="23" fillId="0" borderId="0"/>
    <xf numFmtId="0" fontId="116" fillId="0" borderId="6" applyNumberFormat="0" applyFill="0" applyProtection="0">
      <alignment horizontal="left" vertical="center"/>
    </xf>
    <xf numFmtId="341" fontId="255" fillId="0" borderId="0"/>
    <xf numFmtId="0" fontId="256" fillId="0" borderId="5" applyNumberFormat="0" applyFill="0" applyBorder="0" applyAlignment="0" applyProtection="0"/>
    <xf numFmtId="0" fontId="2" fillId="1" borderId="28" applyNumberFormat="0" applyBorder="0" applyAlignment="0"/>
    <xf numFmtId="0" fontId="41" fillId="0" borderId="0" applyFill="0" applyBorder="0" applyProtection="0">
      <alignment horizontal="center" vertical="center"/>
    </xf>
    <xf numFmtId="0" fontId="254" fillId="0" borderId="56" applyNumberFormat="0" applyProtection="0">
      <alignment horizontal="right"/>
    </xf>
    <xf numFmtId="0" fontId="257" fillId="0" borderId="0" applyBorder="0" applyProtection="0">
      <alignment vertical="center"/>
    </xf>
    <xf numFmtId="0" fontId="2" fillId="0" borderId="2" applyBorder="0" applyProtection="0">
      <alignment horizontal="right" vertical="center"/>
    </xf>
    <xf numFmtId="0" fontId="2" fillId="0" borderId="2" applyBorder="0" applyProtection="0">
      <alignment horizontal="right" vertical="center"/>
    </xf>
    <xf numFmtId="0" fontId="2" fillId="0" borderId="2" applyBorder="0" applyProtection="0">
      <alignment horizontal="right" vertical="center"/>
    </xf>
    <xf numFmtId="0" fontId="258" fillId="8" borderId="0" applyBorder="0" applyProtection="0">
      <alignment horizontal="centerContinuous" vertical="center"/>
    </xf>
    <xf numFmtId="0" fontId="258" fillId="89" borderId="2" applyBorder="0" applyProtection="0">
      <alignment horizontal="centerContinuous" vertical="center"/>
    </xf>
    <xf numFmtId="0" fontId="257" fillId="0" borderId="0" applyBorder="0" applyProtection="0">
      <alignment vertical="center"/>
    </xf>
    <xf numFmtId="3" fontId="41" fillId="0" borderId="0" applyNumberFormat="0"/>
    <xf numFmtId="0" fontId="41" fillId="0" borderId="0" applyFill="0" applyBorder="0" applyProtection="0"/>
    <xf numFmtId="0" fontId="259" fillId="0" borderId="0">
      <alignment vertical="center"/>
    </xf>
    <xf numFmtId="0" fontId="189" fillId="0" borderId="0">
      <alignment vertical="center"/>
    </xf>
    <xf numFmtId="0" fontId="197" fillId="0" borderId="0">
      <alignment vertical="center"/>
    </xf>
    <xf numFmtId="0" fontId="3" fillId="0" borderId="0" applyFill="0" applyBorder="0" applyProtection="0">
      <alignment horizontal="left"/>
    </xf>
    <xf numFmtId="0" fontId="260" fillId="0" borderId="0" applyFill="0" applyBorder="0" applyProtection="0">
      <alignment horizontal="left" vertical="top"/>
    </xf>
    <xf numFmtId="49" fontId="261" fillId="0" borderId="0"/>
    <xf numFmtId="0" fontId="2" fillId="0" borderId="0" applyNumberFormat="0" applyBorder="0" applyProtection="0">
      <alignment horizontal="center" wrapText="1"/>
    </xf>
    <xf numFmtId="0" fontId="2" fillId="0" borderId="0" applyNumberFormat="0" applyBorder="0" applyProtection="0">
      <alignment horizontal="center" wrapText="1"/>
    </xf>
    <xf numFmtId="0" fontId="2" fillId="0" borderId="0" applyNumberFormat="0" applyBorder="0" applyProtection="0">
      <alignment horizontal="center" wrapText="1"/>
    </xf>
    <xf numFmtId="272" fontId="153" fillId="0" borderId="0">
      <alignment horizontal="left"/>
      <protection locked="0"/>
    </xf>
    <xf numFmtId="3" fontId="153" fillId="0" borderId="0">
      <alignment horizontal="left"/>
      <protection locked="0"/>
    </xf>
    <xf numFmtId="3" fontId="153" fillId="0" borderId="0">
      <alignment horizontal="left"/>
      <protection locked="0"/>
    </xf>
    <xf numFmtId="0" fontId="13" fillId="0" borderId="0">
      <alignment vertical="center"/>
    </xf>
    <xf numFmtId="0" fontId="184" fillId="0" borderId="0" applyNumberFormat="0" applyFill="0" applyBorder="0" applyAlignment="0" applyProtection="0"/>
    <xf numFmtId="0" fontId="19" fillId="0" borderId="0"/>
    <xf numFmtId="342" fontId="22" fillId="0" borderId="0" applyBorder="0" applyProtection="0">
      <alignment horizontal="right"/>
    </xf>
    <xf numFmtId="0" fontId="23" fillId="0" borderId="0" applyNumberFormat="0" applyFill="0" applyBorder="0" applyAlignment="0" applyProtection="0"/>
    <xf numFmtId="0" fontId="23" fillId="0" borderId="0" applyNumberFormat="0" applyFill="0" applyBorder="0" applyAlignment="0" applyProtection="0"/>
    <xf numFmtId="0" fontId="262" fillId="0" borderId="0" applyNumberFormat="0" applyFill="0" applyBorder="0" applyAlignment="0" applyProtection="0"/>
    <xf numFmtId="0" fontId="18" fillId="0" borderId="0"/>
    <xf numFmtId="0" fontId="18" fillId="0" borderId="0"/>
    <xf numFmtId="0" fontId="2" fillId="0" borderId="0"/>
    <xf numFmtId="0" fontId="263" fillId="0" borderId="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0" fontId="264" fillId="0" borderId="0" applyNumberFormat="0" applyFill="0" applyBorder="0" applyAlignment="0" applyProtection="0"/>
    <xf numFmtId="3" fontId="94" fillId="0" borderId="0" applyFill="0" applyBorder="0" applyProtection="0"/>
    <xf numFmtId="0" fontId="265" fillId="0" borderId="0"/>
    <xf numFmtId="3" fontId="266" fillId="0" borderId="0"/>
    <xf numFmtId="0" fontId="265" fillId="0" borderId="0">
      <alignment horizontal="right"/>
    </xf>
    <xf numFmtId="0" fontId="267" fillId="0" borderId="57"/>
    <xf numFmtId="254" fontId="268" fillId="0" borderId="0">
      <alignment horizontal="centerContinuous"/>
    </xf>
    <xf numFmtId="3" fontId="268" fillId="0" borderId="0">
      <alignment horizontal="centerContinuous"/>
    </xf>
    <xf numFmtId="3" fontId="268" fillId="0" borderId="0">
      <alignment horizontal="centerContinuous"/>
    </xf>
    <xf numFmtId="254" fontId="94" fillId="0" borderId="0">
      <alignment horizontal="centerContinuous"/>
      <protection locked="0"/>
    </xf>
    <xf numFmtId="3" fontId="94" fillId="0" borderId="0">
      <alignment horizontal="centerContinuous"/>
      <protection locked="0"/>
    </xf>
    <xf numFmtId="254" fontId="94" fillId="0" borderId="0">
      <alignment horizontal="left"/>
    </xf>
    <xf numFmtId="3" fontId="94" fillId="0" borderId="0">
      <alignment horizontal="left"/>
    </xf>
    <xf numFmtId="272" fontId="269" fillId="0" borderId="0">
      <alignment horizontal="center"/>
    </xf>
    <xf numFmtId="3" fontId="269" fillId="0" borderId="0">
      <alignment horizontal="center"/>
    </xf>
    <xf numFmtId="14" fontId="270" fillId="53" borderId="0" applyNumberFormat="0" applyBorder="0" applyProtection="0">
      <alignment horizontal="center" vertical="center"/>
    </xf>
    <xf numFmtId="0" fontId="271" fillId="53" borderId="33" applyNumberFormat="0" applyBorder="0" applyProtection="0">
      <alignment horizontal="centerContinuous" vertical="center" wrapText="1"/>
    </xf>
    <xf numFmtId="14" fontId="272" fillId="2" borderId="0" applyNumberFormat="0" applyBorder="0" applyProtection="0">
      <alignment horizontal="right" vertical="center"/>
    </xf>
    <xf numFmtId="272" fontId="269" fillId="0" borderId="0">
      <alignment horizontal="left"/>
    </xf>
    <xf numFmtId="3" fontId="269" fillId="0" borderId="0">
      <alignment horizontal="left"/>
    </xf>
    <xf numFmtId="343" fontId="272" fillId="39" borderId="33" applyNumberFormat="0" applyBorder="0" applyProtection="0"/>
    <xf numFmtId="0" fontId="12" fillId="0" borderId="0" applyBorder="0"/>
    <xf numFmtId="14" fontId="270" fillId="53" borderId="58" applyNumberFormat="0" applyBorder="0" applyProtection="0">
      <alignment horizontal="left" vertical="center" wrapText="1"/>
    </xf>
    <xf numFmtId="0" fontId="264" fillId="0" borderId="0" applyNumberFormat="0" applyFill="0" applyBorder="0" applyAlignment="0" applyProtection="0"/>
    <xf numFmtId="0" fontId="273" fillId="0" borderId="59" applyNumberFormat="0" applyFill="0" applyAlignment="0" applyProtection="0"/>
    <xf numFmtId="0" fontId="203" fillId="0" borderId="60" applyNumberFormat="0" applyFill="0" applyAlignment="0" applyProtection="0"/>
    <xf numFmtId="0" fontId="204" fillId="0" borderId="61" applyNumberFormat="0" applyFill="0" applyAlignment="0" applyProtection="0"/>
    <xf numFmtId="0" fontId="204" fillId="0" borderId="0" applyNumberFormat="0" applyFill="0" applyBorder="0" applyAlignment="0" applyProtection="0"/>
    <xf numFmtId="1" fontId="23" fillId="90" borderId="0" applyNumberFormat="0" applyFont="0" applyBorder="0" applyProtection="0">
      <alignment horizontal="left"/>
    </xf>
    <xf numFmtId="0" fontId="274" fillId="0" borderId="0"/>
    <xf numFmtId="0" fontId="275" fillId="0" borderId="0" applyNumberFormat="0" applyFont="0" applyFill="0" applyBorder="0" applyAlignment="0">
      <alignment horizontal="left" vertical="center"/>
    </xf>
    <xf numFmtId="0" fontId="275" fillId="0" borderId="0" applyNumberFormat="0" applyFont="0" applyFill="0" applyBorder="0" applyAlignment="0">
      <alignment horizontal="left" vertical="center"/>
    </xf>
    <xf numFmtId="344" fontId="254" fillId="0" borderId="9" applyNumberFormat="0" applyFont="0" applyFill="0" applyAlignment="0" applyProtection="0"/>
    <xf numFmtId="0" fontId="41" fillId="0" borderId="6">
      <alignment horizontal="right" wrapText="1"/>
    </xf>
    <xf numFmtId="0" fontId="276" fillId="0" borderId="0"/>
    <xf numFmtId="179" fontId="236" fillId="4" borderId="0"/>
    <xf numFmtId="3" fontId="236" fillId="4" borderId="0"/>
    <xf numFmtId="274" fontId="236" fillId="4" borderId="0"/>
    <xf numFmtId="3" fontId="236" fillId="4" borderId="0"/>
    <xf numFmtId="181" fontId="277" fillId="4" borderId="0"/>
    <xf numFmtId="3" fontId="277" fillId="4" borderId="0"/>
    <xf numFmtId="277" fontId="236" fillId="4" borderId="0"/>
    <xf numFmtId="3" fontId="236" fillId="4" borderId="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0" fontId="278" fillId="0" borderId="62" applyNumberFormat="0" applyFill="0" applyAlignment="0" applyProtection="0"/>
    <xf numFmtId="233" fontId="268" fillId="0" borderId="63" applyFill="0" applyAlignment="0" applyProtection="0"/>
    <xf numFmtId="3" fontId="268" fillId="0" borderId="63" applyFill="0" applyAlignment="0" applyProtection="0"/>
    <xf numFmtId="3" fontId="268" fillId="0" borderId="63" applyFill="0" applyAlignment="0" applyProtection="0"/>
    <xf numFmtId="3" fontId="41" fillId="0" borderId="2" applyNumberFormat="0"/>
    <xf numFmtId="345" fontId="19" fillId="0" borderId="0">
      <alignment horizontal="right"/>
    </xf>
    <xf numFmtId="3" fontId="19" fillId="0" borderId="0">
      <alignment horizontal="right"/>
    </xf>
    <xf numFmtId="346" fontId="17" fillId="0" borderId="0" applyBorder="0" applyProtection="0">
      <alignment horizontal="right"/>
    </xf>
    <xf numFmtId="346" fontId="17" fillId="0" borderId="0" applyBorder="0" applyProtection="0">
      <alignment horizontal="right"/>
    </xf>
    <xf numFmtId="0" fontId="23" fillId="0" borderId="9" applyProtection="0">
      <alignment vertical="top"/>
    </xf>
    <xf numFmtId="0" fontId="23" fillId="0" borderId="9" applyProtection="0">
      <alignment vertical="top"/>
    </xf>
    <xf numFmtId="0" fontId="279" fillId="0" borderId="0" applyNumberFormat="0" applyFont="0" applyAlignment="0">
      <alignment horizontal="center"/>
    </xf>
    <xf numFmtId="0" fontId="279" fillId="0" borderId="0" applyNumberFormat="0" applyFont="0" applyAlignment="0">
      <alignment horizontal="center"/>
    </xf>
    <xf numFmtId="201" fontId="280" fillId="0" borderId="0" applyNumberFormat="0"/>
    <xf numFmtId="38" fontId="94" fillId="0" borderId="0" applyFill="0" applyBorder="0" applyAlignment="0" applyProtection="0">
      <alignment horizontal="left"/>
    </xf>
    <xf numFmtId="164" fontId="2" fillId="0" borderId="0" applyFont="0" applyFill="0" applyBorder="0" applyAlignment="0" applyProtection="0"/>
    <xf numFmtId="166" fontId="2" fillId="0" borderId="0" applyFont="0" applyFill="0" applyBorder="0" applyAlignment="0" applyProtection="0"/>
    <xf numFmtId="0" fontId="163" fillId="91" borderId="36" applyNumberFormat="0" applyAlignment="0" applyProtection="0"/>
    <xf numFmtId="0" fontId="146" fillId="0" borderId="0" applyNumberFormat="0" applyFill="0" applyBorder="0" applyAlignment="0" applyProtection="0"/>
    <xf numFmtId="0" fontId="281" fillId="92" borderId="64"/>
    <xf numFmtId="0" fontId="281" fillId="37" borderId="64"/>
    <xf numFmtId="0" fontId="282" fillId="0" borderId="5" applyNumberFormat="0" applyFill="0" applyBorder="0" applyAlignment="0" applyProtection="0"/>
    <xf numFmtId="0" fontId="283" fillId="0" borderId="5" applyNumberFormat="0" applyFill="0" applyBorder="0" applyAlignment="0" applyProtection="0"/>
    <xf numFmtId="0" fontId="284" fillId="0" borderId="5" applyNumberFormat="0" applyFill="0" applyBorder="0" applyAlignment="0" applyProtection="0"/>
    <xf numFmtId="37" fontId="285" fillId="93" borderId="0">
      <alignment horizontal="right"/>
    </xf>
    <xf numFmtId="254" fontId="11" fillId="0" borderId="0"/>
    <xf numFmtId="0" fontId="23" fillId="0" borderId="0" applyFont="0" applyFill="0" applyBorder="0" applyAlignment="0" applyProtection="0">
      <alignment horizontal="right"/>
    </xf>
    <xf numFmtId="0" fontId="23" fillId="0" borderId="0" applyFont="0" applyFill="0" applyBorder="0" applyAlignment="0" applyProtection="0">
      <alignment horizontal="right"/>
    </xf>
    <xf numFmtId="179" fontId="286" fillId="0" borderId="0"/>
    <xf numFmtId="3" fontId="286" fillId="0" borderId="0"/>
    <xf numFmtId="3" fontId="286" fillId="0" borderId="0"/>
    <xf numFmtId="347" fontId="154" fillId="0" borderId="0" applyFont="0" applyFill="0" applyBorder="0" applyAlignment="0" applyProtection="0"/>
    <xf numFmtId="3" fontId="154" fillId="0" borderId="0" applyFont="0" applyFill="0" applyBorder="0" applyAlignment="0" applyProtection="0"/>
    <xf numFmtId="0" fontId="287" fillId="0" borderId="0"/>
    <xf numFmtId="0" fontId="288" fillId="0" borderId="0"/>
    <xf numFmtId="291" fontId="2" fillId="0" borderId="0" applyFont="0" applyFill="0" applyBorder="0" applyAlignment="0" applyProtection="0"/>
    <xf numFmtId="269" fontId="12" fillId="0" borderId="0"/>
    <xf numFmtId="269" fontId="12" fillId="0" borderId="0"/>
    <xf numFmtId="3" fontId="11" fillId="0" borderId="0"/>
    <xf numFmtId="0" fontId="291" fillId="0" borderId="0" applyNumberFormat="0" applyFill="0" applyBorder="0" applyAlignment="0" applyProtection="0"/>
    <xf numFmtId="0" fontId="132" fillId="0" borderId="0"/>
  </cellStyleXfs>
  <cellXfs count="1427">
    <xf numFmtId="0" fontId="0" fillId="0" borderId="0" xfId="0"/>
    <xf numFmtId="0" fontId="61" fillId="0" borderId="0" xfId="0" applyFont="1"/>
    <xf numFmtId="9" fontId="63" fillId="0" borderId="0" xfId="65" applyFont="1" applyFill="1" applyAlignment="1">
      <alignment horizontal="right"/>
    </xf>
    <xf numFmtId="0" fontId="60" fillId="13" borderId="0" xfId="0" applyFont="1" applyFill="1" applyAlignment="1">
      <alignment horizontal="right"/>
    </xf>
    <xf numFmtId="0" fontId="61" fillId="0" borderId="0" xfId="0" applyFont="1" applyAlignment="1">
      <alignment horizontal="right"/>
    </xf>
    <xf numFmtId="0" fontId="63" fillId="0" borderId="0" xfId="0" applyFont="1" applyAlignment="1">
      <alignment horizontal="right"/>
    </xf>
    <xf numFmtId="0" fontId="60" fillId="14" borderId="0" xfId="0" applyFont="1" applyFill="1" applyAlignment="1">
      <alignment horizontal="right"/>
    </xf>
    <xf numFmtId="0" fontId="62" fillId="14" borderId="0" xfId="0" applyFont="1" applyFill="1" applyAlignment="1">
      <alignment horizontal="right"/>
    </xf>
    <xf numFmtId="9" fontId="62" fillId="14" borderId="0" xfId="65" applyFont="1" applyFill="1" applyAlignment="1">
      <alignment horizontal="right"/>
    </xf>
    <xf numFmtId="0" fontId="61" fillId="15" borderId="0" xfId="0" applyFont="1" applyFill="1" applyAlignment="1">
      <alignment horizontal="right"/>
    </xf>
    <xf numFmtId="9" fontId="63" fillId="0" borderId="0" xfId="65" applyFont="1" applyAlignment="1">
      <alignment horizontal="right"/>
    </xf>
    <xf numFmtId="0" fontId="63" fillId="0" borderId="0" xfId="65" applyNumberFormat="1" applyFont="1" applyAlignment="1">
      <alignment horizontal="right"/>
    </xf>
    <xf numFmtId="0" fontId="64" fillId="0" borderId="0" xfId="0" applyFont="1" applyAlignment="1">
      <alignment horizontal="right"/>
    </xf>
    <xf numFmtId="9" fontId="65" fillId="0" borderId="0" xfId="65" applyFont="1" applyAlignment="1">
      <alignment horizontal="right"/>
    </xf>
    <xf numFmtId="0" fontId="61" fillId="12" borderId="0" xfId="0" applyFont="1" applyFill="1" applyAlignment="1">
      <alignment horizontal="right"/>
    </xf>
    <xf numFmtId="9" fontId="63" fillId="12" borderId="0" xfId="65" applyFont="1" applyFill="1" applyAlignment="1">
      <alignment horizontal="right"/>
    </xf>
    <xf numFmtId="0" fontId="66" fillId="0" borderId="0" xfId="0" applyFont="1"/>
    <xf numFmtId="0" fontId="66" fillId="0" borderId="0" xfId="0" applyFont="1" applyFill="1"/>
    <xf numFmtId="0" fontId="66" fillId="0" borderId="0" xfId="0" applyFont="1" applyFill="1" applyBorder="1"/>
    <xf numFmtId="9" fontId="66" fillId="0" borderId="0" xfId="65" applyFont="1" applyFill="1"/>
    <xf numFmtId="9" fontId="66" fillId="0" borderId="0" xfId="65" applyFont="1"/>
    <xf numFmtId="0" fontId="2" fillId="0" borderId="0" xfId="0" applyFont="1" applyFill="1"/>
    <xf numFmtId="0" fontId="2" fillId="0" borderId="0" xfId="0" applyFont="1"/>
    <xf numFmtId="169" fontId="2" fillId="0" borderId="0" xfId="0" applyNumberFormat="1" applyFont="1" applyFill="1"/>
    <xf numFmtId="169" fontId="66" fillId="0" borderId="0" xfId="0" applyNumberFormat="1" applyFont="1" applyFill="1"/>
    <xf numFmtId="172" fontId="2" fillId="0" borderId="0" xfId="0" applyNumberFormat="1" applyFont="1" applyFill="1" applyAlignment="1">
      <alignment horizontal="right"/>
    </xf>
    <xf numFmtId="0" fontId="3" fillId="0" borderId="0" xfId="0" applyFont="1" applyFill="1"/>
    <xf numFmtId="167" fontId="2" fillId="0" borderId="0" xfId="0" applyNumberFormat="1" applyFont="1" applyFill="1" applyAlignment="1">
      <alignment horizontal="right"/>
    </xf>
    <xf numFmtId="169" fontId="66" fillId="0" borderId="0" xfId="0" applyNumberFormat="1" applyFont="1" applyFill="1" applyBorder="1" applyAlignment="1">
      <alignment horizontal="right"/>
    </xf>
    <xf numFmtId="0" fontId="2" fillId="0" borderId="0" xfId="0" applyFont="1" applyFill="1" applyBorder="1"/>
    <xf numFmtId="0" fontId="3" fillId="0" borderId="0" xfId="0" applyFont="1" applyFill="1" applyBorder="1" applyAlignment="1">
      <alignment horizontal="left"/>
    </xf>
    <xf numFmtId="0" fontId="2" fillId="0" borderId="0" xfId="0" applyFont="1" applyFill="1" applyBorder="1" applyAlignment="1">
      <alignment horizontal="left"/>
    </xf>
    <xf numFmtId="0" fontId="3" fillId="0" borderId="0" xfId="0" applyFont="1" applyFill="1" applyBorder="1"/>
    <xf numFmtId="0" fontId="66" fillId="0" borderId="0" xfId="0" applyFont="1" applyAlignment="1">
      <alignment horizontal="right"/>
    </xf>
    <xf numFmtId="0" fontId="61" fillId="0" borderId="0" xfId="0" applyFont="1" applyFill="1" applyAlignment="1">
      <alignment horizontal="right"/>
    </xf>
    <xf numFmtId="0" fontId="63" fillId="0" borderId="0" xfId="0" applyFont="1" applyFill="1" applyAlignment="1">
      <alignment horizontal="right"/>
    </xf>
    <xf numFmtId="0" fontId="4" fillId="5" borderId="0" xfId="59" applyFont="1" applyFill="1" applyAlignment="1" applyProtection="1">
      <alignment horizontal="left"/>
      <protection locked="0"/>
    </xf>
    <xf numFmtId="0" fontId="4" fillId="5" borderId="0" xfId="59" applyFont="1" applyFill="1" applyAlignment="1" applyProtection="1">
      <alignment horizontal="right"/>
      <protection locked="0"/>
    </xf>
    <xf numFmtId="0" fontId="69" fillId="0" borderId="0" xfId="0" applyFont="1"/>
    <xf numFmtId="169" fontId="69" fillId="0" borderId="0" xfId="0" applyNumberFormat="1" applyFont="1"/>
    <xf numFmtId="0" fontId="70" fillId="0" borderId="0" xfId="0" applyFont="1"/>
    <xf numFmtId="169" fontId="70" fillId="0" borderId="0" xfId="0" applyNumberFormat="1" applyFont="1" applyFill="1" applyBorder="1" applyAlignment="1">
      <alignment horizontal="right"/>
    </xf>
    <xf numFmtId="0" fontId="70" fillId="16" borderId="0" xfId="0" applyFont="1" applyFill="1"/>
    <xf numFmtId="169" fontId="70" fillId="16" borderId="0" xfId="0" applyNumberFormat="1" applyFont="1" applyFill="1" applyBorder="1" applyAlignment="1">
      <alignment horizontal="right"/>
    </xf>
    <xf numFmtId="169" fontId="70" fillId="0" borderId="0" xfId="0" applyNumberFormat="1" applyFont="1"/>
    <xf numFmtId="169" fontId="70" fillId="16" borderId="0" xfId="0" applyNumberFormat="1" applyFont="1" applyFill="1"/>
    <xf numFmtId="169" fontId="3" fillId="16" borderId="0" xfId="0" applyNumberFormat="1" applyFont="1" applyFill="1" applyAlignment="1">
      <alignment horizontal="left" indent="1"/>
    </xf>
    <xf numFmtId="169" fontId="3" fillId="16" borderId="0" xfId="0" applyNumberFormat="1" applyFont="1" applyFill="1"/>
    <xf numFmtId="169" fontId="8" fillId="0" borderId="0" xfId="0" applyNumberFormat="1" applyFont="1" applyFill="1"/>
    <xf numFmtId="169" fontId="66" fillId="6" borderId="0" xfId="0" applyNumberFormat="1" applyFont="1" applyFill="1"/>
    <xf numFmtId="9" fontId="71" fillId="0" borderId="0" xfId="65" applyFont="1" applyAlignment="1">
      <alignment horizontal="right"/>
    </xf>
    <xf numFmtId="0" fontId="63" fillId="15" borderId="0" xfId="0" applyFont="1" applyFill="1" applyAlignment="1">
      <alignment horizontal="right"/>
    </xf>
    <xf numFmtId="9" fontId="63" fillId="15" borderId="0" xfId="65" applyFont="1" applyFill="1" applyAlignment="1">
      <alignment horizontal="right"/>
    </xf>
    <xf numFmtId="0" fontId="66" fillId="0" borderId="0" xfId="0" applyFont="1" applyFill="1" applyBorder="1" applyAlignment="1">
      <alignment horizontal="left"/>
    </xf>
    <xf numFmtId="169" fontId="25" fillId="0" borderId="0" xfId="0" applyNumberFormat="1" applyFont="1" applyFill="1"/>
    <xf numFmtId="9" fontId="72" fillId="0" borderId="0" xfId="67" applyFont="1" applyFill="1"/>
    <xf numFmtId="0" fontId="72" fillId="0" borderId="0" xfId="0" applyFont="1" applyFill="1"/>
    <xf numFmtId="169" fontId="16" fillId="0" borderId="0" xfId="0" applyNumberFormat="1" applyFont="1" applyFill="1"/>
    <xf numFmtId="169" fontId="25" fillId="16" borderId="0" xfId="0" applyNumberFormat="1" applyFont="1" applyFill="1"/>
    <xf numFmtId="169" fontId="3" fillId="0" borderId="0" xfId="14" applyNumberFormat="1" applyFont="1" applyFill="1" applyBorder="1" applyAlignment="1">
      <alignment horizontal="center" vertical="center" wrapText="1"/>
    </xf>
    <xf numFmtId="169" fontId="3" fillId="0" borderId="0" xfId="14" applyNumberFormat="1" applyFont="1" applyFill="1" applyBorder="1" applyAlignment="1">
      <alignment horizontal="left" vertical="center" wrapText="1"/>
    </xf>
    <xf numFmtId="0" fontId="73" fillId="0" borderId="0" xfId="0" applyFont="1" applyFill="1" applyAlignment="1">
      <alignment horizontal="right" wrapText="1"/>
    </xf>
    <xf numFmtId="0" fontId="73" fillId="20" borderId="0" xfId="0" applyFont="1" applyFill="1" applyAlignment="1">
      <alignment horizontal="right"/>
    </xf>
    <xf numFmtId="169" fontId="72" fillId="0" borderId="0" xfId="14" applyNumberFormat="1" applyFont="1" applyFill="1"/>
    <xf numFmtId="0" fontId="74" fillId="0" borderId="0" xfId="0" applyFont="1" applyFill="1"/>
    <xf numFmtId="169" fontId="16" fillId="0" borderId="0" xfId="14" applyNumberFormat="1" applyFont="1" applyFill="1"/>
    <xf numFmtId="169" fontId="25" fillId="0" borderId="0" xfId="14" applyNumberFormat="1" applyFont="1" applyFill="1"/>
    <xf numFmtId="169" fontId="25" fillId="16" borderId="0" xfId="14" applyNumberFormat="1" applyFont="1" applyFill="1"/>
    <xf numFmtId="0" fontId="26" fillId="0" borderId="0" xfId="0" applyFont="1" applyFill="1" applyBorder="1" applyAlignment="1">
      <alignment horizontal="left" vertical="center"/>
    </xf>
    <xf numFmtId="9" fontId="25" fillId="0" borderId="0" xfId="67" applyFont="1" applyFill="1"/>
    <xf numFmtId="167" fontId="25" fillId="0" borderId="0" xfId="14" applyNumberFormat="1" applyFont="1" applyFill="1"/>
    <xf numFmtId="0" fontId="25" fillId="0" borderId="0" xfId="0" applyFont="1" applyFill="1"/>
    <xf numFmtId="9" fontId="25" fillId="16" borderId="0" xfId="67" applyFont="1" applyFill="1"/>
    <xf numFmtId="9" fontId="25" fillId="16" borderId="0" xfId="67" applyNumberFormat="1" applyFont="1" applyFill="1"/>
    <xf numFmtId="167" fontId="25" fillId="16" borderId="0" xfId="14" applyNumberFormat="1" applyFont="1" applyFill="1"/>
    <xf numFmtId="0" fontId="25" fillId="16" borderId="0" xfId="0" applyFont="1" applyFill="1"/>
    <xf numFmtId="167" fontId="16" fillId="0" borderId="0" xfId="14" applyNumberFormat="1" applyFont="1" applyFill="1"/>
    <xf numFmtId="9" fontId="72" fillId="16" borderId="0" xfId="67" applyFont="1" applyFill="1"/>
    <xf numFmtId="0" fontId="16" fillId="0" borderId="0" xfId="0" applyFont="1" applyFill="1"/>
    <xf numFmtId="0" fontId="72" fillId="0" borderId="0" xfId="0" applyFont="1" applyFill="1" applyBorder="1"/>
    <xf numFmtId="0" fontId="25" fillId="16" borderId="0" xfId="0" applyFont="1" applyFill="1" applyBorder="1"/>
    <xf numFmtId="0" fontId="25" fillId="0" borderId="0" xfId="0" applyFont="1" applyFill="1" applyBorder="1"/>
    <xf numFmtId="0" fontId="3" fillId="0" borderId="0" xfId="0" applyFont="1"/>
    <xf numFmtId="0" fontId="74" fillId="0" borderId="0" xfId="0" applyFont="1" applyFill="1" applyBorder="1"/>
    <xf numFmtId="9" fontId="16" fillId="0" borderId="0" xfId="67" applyFont="1" applyFill="1"/>
    <xf numFmtId="0" fontId="16" fillId="0" borderId="0" xfId="0" applyFont="1" applyFill="1" applyBorder="1"/>
    <xf numFmtId="9" fontId="25" fillId="17" borderId="0" xfId="67" applyFont="1" applyFill="1"/>
    <xf numFmtId="169" fontId="25" fillId="17" borderId="0" xfId="14" applyNumberFormat="1" applyFont="1" applyFill="1"/>
    <xf numFmtId="0" fontId="25" fillId="17" borderId="0" xfId="0" applyFont="1" applyFill="1" applyBorder="1"/>
    <xf numFmtId="9" fontId="72" fillId="17" borderId="0" xfId="67" applyFont="1" applyFill="1"/>
    <xf numFmtId="169" fontId="72" fillId="17" borderId="0" xfId="14" applyNumberFormat="1" applyFont="1" applyFill="1"/>
    <xf numFmtId="0" fontId="72" fillId="17" borderId="0" xfId="0" applyFont="1" applyFill="1"/>
    <xf numFmtId="0" fontId="72" fillId="17" borderId="0" xfId="0" applyFont="1" applyFill="1" applyBorder="1"/>
    <xf numFmtId="170" fontId="72" fillId="17" borderId="0" xfId="14" applyNumberFormat="1" applyFont="1" applyFill="1"/>
    <xf numFmtId="169" fontId="3" fillId="0" borderId="0" xfId="14" applyNumberFormat="1" applyFont="1" applyFill="1" applyBorder="1" applyAlignment="1">
      <alignment horizontal="right" vertical="center" wrapText="1"/>
    </xf>
    <xf numFmtId="9" fontId="3" fillId="0" borderId="0" xfId="67" applyFont="1" applyFill="1" applyBorder="1" applyAlignment="1">
      <alignment horizontal="center" vertical="center" wrapText="1"/>
    </xf>
    <xf numFmtId="169" fontId="7" fillId="0" borderId="0" xfId="14" applyNumberFormat="1" applyFont="1" applyFill="1" applyBorder="1" applyAlignment="1">
      <alignment horizontal="center" vertical="center" wrapText="1"/>
    </xf>
    <xf numFmtId="9" fontId="72" fillId="0" borderId="0" xfId="67" applyFont="1" applyFill="1" applyAlignment="1">
      <alignment horizontal="right"/>
    </xf>
    <xf numFmtId="168" fontId="72" fillId="0" borderId="0" xfId="14" applyNumberFormat="1" applyFont="1" applyFill="1"/>
    <xf numFmtId="169" fontId="2" fillId="0" borderId="0" xfId="14" applyNumberFormat="1" applyFont="1" applyFill="1" applyBorder="1" applyAlignment="1">
      <alignment horizontal="center" vertical="center" wrapText="1"/>
    </xf>
    <xf numFmtId="9" fontId="2" fillId="0" borderId="0" xfId="67" applyFont="1" applyFill="1" applyBorder="1" applyAlignment="1">
      <alignment horizontal="center" vertical="center" wrapText="1"/>
    </xf>
    <xf numFmtId="1" fontId="2" fillId="0" borderId="0" xfId="14" applyNumberFormat="1" applyFont="1" applyFill="1" applyBorder="1" applyAlignment="1">
      <alignment horizontal="right" vertical="center" wrapText="1"/>
    </xf>
    <xf numFmtId="169" fontId="2" fillId="0" borderId="0" xfId="14" applyNumberFormat="1" applyFont="1" applyFill="1" applyBorder="1" applyAlignment="1">
      <alignment horizontal="left" vertical="center" wrapText="1"/>
    </xf>
    <xf numFmtId="169" fontId="16" fillId="0" borderId="0" xfId="14" applyNumberFormat="1" applyFont="1" applyFill="1" applyAlignment="1">
      <alignment horizontal="right" vertical="center"/>
    </xf>
    <xf numFmtId="3" fontId="72" fillId="0" borderId="0" xfId="67" applyNumberFormat="1" applyFont="1" applyFill="1"/>
    <xf numFmtId="0" fontId="0" fillId="0" borderId="0" xfId="0" applyAlignment="1">
      <alignment vertical="top"/>
    </xf>
    <xf numFmtId="0" fontId="0" fillId="0" borderId="0" xfId="0" applyAlignment="1">
      <alignment horizontal="right" vertical="top"/>
    </xf>
    <xf numFmtId="1" fontId="61" fillId="0" borderId="0" xfId="0" applyNumberFormat="1" applyFont="1" applyAlignment="1">
      <alignment horizontal="right"/>
    </xf>
    <xf numFmtId="9" fontId="11" fillId="0" borderId="0" xfId="65" applyFont="1" applyFill="1" applyAlignment="1">
      <alignment horizontal="right"/>
    </xf>
    <xf numFmtId="0" fontId="11" fillId="0" borderId="0" xfId="0" applyFont="1" applyFill="1" applyAlignment="1">
      <alignment horizontal="right"/>
    </xf>
    <xf numFmtId="0" fontId="27" fillId="6" borderId="0" xfId="53" applyFont="1" applyFill="1"/>
    <xf numFmtId="0" fontId="2" fillId="0" borderId="0" xfId="44"/>
    <xf numFmtId="0" fontId="30" fillId="6" borderId="0" xfId="53" applyFont="1" applyFill="1" applyBorder="1"/>
    <xf numFmtId="0" fontId="31" fillId="6" borderId="0" xfId="53" applyFont="1" applyFill="1" applyAlignment="1">
      <alignment horizontal="right"/>
    </xf>
    <xf numFmtId="0" fontId="30" fillId="6" borderId="0" xfId="53" applyFont="1" applyFill="1"/>
    <xf numFmtId="0" fontId="27" fillId="6" borderId="0" xfId="53" applyFont="1" applyFill="1" applyBorder="1"/>
    <xf numFmtId="0" fontId="27" fillId="6" borderId="0" xfId="53" applyFont="1" applyFill="1" applyAlignment="1">
      <alignment horizontal="right"/>
    </xf>
    <xf numFmtId="0" fontId="14" fillId="6" borderId="0" xfId="39" applyFill="1" applyAlignment="1">
      <alignment horizontal="right"/>
    </xf>
    <xf numFmtId="0" fontId="32" fillId="6" borderId="0" xfId="53" applyFont="1" applyFill="1" applyAlignment="1">
      <alignment horizontal="right"/>
    </xf>
    <xf numFmtId="0" fontId="33" fillId="6" borderId="0" xfId="53" applyFont="1" applyFill="1" applyBorder="1"/>
    <xf numFmtId="0" fontId="34" fillId="6" borderId="0" xfId="53" applyFont="1" applyFill="1" applyBorder="1"/>
    <xf numFmtId="0" fontId="35" fillId="6" borderId="0" xfId="53" applyFont="1" applyFill="1" applyAlignment="1">
      <alignment horizontal="left"/>
    </xf>
    <xf numFmtId="0" fontId="14" fillId="6" borderId="0" xfId="38" applyFont="1" applyFill="1" applyAlignment="1">
      <alignment horizontal="left"/>
    </xf>
    <xf numFmtId="0" fontId="15" fillId="6" borderId="0" xfId="38" applyFill="1"/>
    <xf numFmtId="0" fontId="36" fillId="6" borderId="0" xfId="53" applyFont="1" applyFill="1" applyBorder="1"/>
    <xf numFmtId="1" fontId="55" fillId="6" borderId="0" xfId="53" applyNumberFormat="1" applyFont="1" applyFill="1" applyBorder="1"/>
    <xf numFmtId="0" fontId="6" fillId="6" borderId="0" xfId="53" applyFont="1" applyFill="1" applyBorder="1"/>
    <xf numFmtId="0" fontId="55" fillId="6" borderId="0" xfId="53" applyFont="1" applyFill="1" applyBorder="1"/>
    <xf numFmtId="0" fontId="28" fillId="14" borderId="0" xfId="53" applyFont="1" applyFill="1"/>
    <xf numFmtId="0" fontId="29" fillId="14" borderId="0" xfId="53" applyFont="1" applyFill="1" applyBorder="1" applyAlignment="1">
      <alignment horizontal="right"/>
    </xf>
    <xf numFmtId="0" fontId="30" fillId="14" borderId="0" xfId="53" applyFont="1" applyFill="1" applyBorder="1"/>
    <xf numFmtId="0" fontId="29" fillId="14" borderId="0" xfId="53" applyFont="1" applyFill="1" applyAlignment="1">
      <alignment horizontal="right"/>
    </xf>
    <xf numFmtId="0" fontId="31" fillId="14" borderId="0" xfId="53" applyFont="1" applyFill="1" applyAlignment="1">
      <alignment horizontal="right"/>
    </xf>
    <xf numFmtId="0" fontId="75" fillId="6" borderId="0" xfId="53" applyFont="1" applyFill="1" applyBorder="1"/>
    <xf numFmtId="1" fontId="60" fillId="14" borderId="0" xfId="0" applyNumberFormat="1" applyFont="1" applyFill="1" applyAlignment="1">
      <alignment horizontal="right"/>
    </xf>
    <xf numFmtId="1" fontId="61" fillId="12" borderId="0" xfId="0" applyNumberFormat="1" applyFont="1" applyFill="1" applyAlignment="1">
      <alignment horizontal="right"/>
    </xf>
    <xf numFmtId="1" fontId="60" fillId="13" borderId="0" xfId="0" applyNumberFormat="1" applyFont="1" applyFill="1" applyAlignment="1">
      <alignment horizontal="right"/>
    </xf>
    <xf numFmtId="9" fontId="71" fillId="0" borderId="0" xfId="65" applyFont="1" applyFill="1" applyAlignment="1">
      <alignment horizontal="right"/>
    </xf>
    <xf numFmtId="0" fontId="0" fillId="0" borderId="0" xfId="0" applyFill="1" applyAlignment="1">
      <alignment vertical="top"/>
    </xf>
    <xf numFmtId="1" fontId="64" fillId="0" borderId="0" xfId="0" applyNumberFormat="1" applyFont="1" applyAlignment="1">
      <alignment horizontal="right"/>
    </xf>
    <xf numFmtId="0" fontId="63" fillId="0" borderId="0" xfId="65" applyNumberFormat="1" applyFont="1" applyFill="1" applyAlignment="1">
      <alignment horizontal="right"/>
    </xf>
    <xf numFmtId="1" fontId="61" fillId="0" borderId="0" xfId="0" applyNumberFormat="1" applyFont="1" applyFill="1" applyAlignment="1">
      <alignment horizontal="right"/>
    </xf>
    <xf numFmtId="0" fontId="61" fillId="0" borderId="0" xfId="65" applyNumberFormat="1" applyFont="1" applyFill="1" applyAlignment="1">
      <alignment horizontal="right"/>
    </xf>
    <xf numFmtId="0" fontId="0" fillId="0" borderId="0" xfId="0" applyFont="1"/>
    <xf numFmtId="1" fontId="61" fillId="15" borderId="0" xfId="0" applyNumberFormat="1" applyFont="1" applyFill="1" applyAlignment="1">
      <alignment horizontal="right"/>
    </xf>
    <xf numFmtId="9" fontId="71" fillId="15" borderId="0" xfId="65" applyFont="1" applyFill="1" applyAlignment="1">
      <alignment horizontal="right"/>
    </xf>
    <xf numFmtId="0" fontId="61" fillId="16" borderId="0" xfId="0" applyFont="1" applyFill="1" applyAlignment="1">
      <alignment horizontal="right"/>
    </xf>
    <xf numFmtId="0" fontId="63" fillId="16" borderId="0" xfId="0" applyFont="1" applyFill="1" applyAlignment="1">
      <alignment horizontal="right"/>
    </xf>
    <xf numFmtId="9" fontId="63" fillId="16" borderId="0" xfId="65" applyFont="1" applyFill="1" applyAlignment="1">
      <alignment horizontal="right"/>
    </xf>
    <xf numFmtId="0" fontId="76" fillId="12" borderId="0" xfId="0" applyFont="1" applyFill="1" applyAlignment="1">
      <alignment horizontal="right"/>
    </xf>
    <xf numFmtId="0" fontId="77" fillId="12" borderId="0" xfId="0" applyFont="1" applyFill="1" applyAlignment="1">
      <alignment horizontal="right"/>
    </xf>
    <xf numFmtId="9" fontId="77" fillId="12" borderId="0" xfId="65" applyFont="1" applyFill="1" applyAlignment="1">
      <alignment horizontal="right"/>
    </xf>
    <xf numFmtId="1" fontId="61" fillId="16" borderId="0" xfId="0" applyNumberFormat="1" applyFont="1" applyFill="1" applyAlignment="1">
      <alignment horizontal="right"/>
    </xf>
    <xf numFmtId="169" fontId="61" fillId="0" borderId="0" xfId="0" applyNumberFormat="1" applyFont="1" applyAlignment="1">
      <alignment horizontal="right"/>
    </xf>
    <xf numFmtId="9" fontId="2" fillId="0" borderId="0" xfId="65" applyFont="1" applyFill="1"/>
    <xf numFmtId="9" fontId="66" fillId="0" borderId="0" xfId="65" applyNumberFormat="1" applyFont="1" applyFill="1" applyBorder="1" applyAlignment="1">
      <alignment horizontal="right"/>
    </xf>
    <xf numFmtId="0" fontId="60" fillId="13" borderId="12" xfId="0" applyFont="1" applyFill="1" applyBorder="1" applyAlignment="1">
      <alignment horizontal="right"/>
    </xf>
    <xf numFmtId="0" fontId="61" fillId="0" borderId="12" xfId="0" applyFont="1" applyBorder="1" applyAlignment="1">
      <alignment horizontal="right"/>
    </xf>
    <xf numFmtId="9" fontId="11" fillId="0" borderId="12" xfId="65" applyFont="1" applyFill="1" applyBorder="1" applyAlignment="1">
      <alignment horizontal="right"/>
    </xf>
    <xf numFmtId="1" fontId="60" fillId="14" borderId="12" xfId="0" applyNumberFormat="1" applyFont="1" applyFill="1" applyBorder="1" applyAlignment="1">
      <alignment horizontal="right"/>
    </xf>
    <xf numFmtId="9" fontId="62" fillId="14" borderId="12" xfId="65" applyFont="1" applyFill="1" applyBorder="1" applyAlignment="1">
      <alignment horizontal="right"/>
    </xf>
    <xf numFmtId="0" fontId="61" fillId="15" borderId="12" xfId="0" applyFont="1" applyFill="1" applyBorder="1" applyAlignment="1">
      <alignment horizontal="right"/>
    </xf>
    <xf numFmtId="9" fontId="63" fillId="15" borderId="12" xfId="65" applyFont="1" applyFill="1" applyBorder="1" applyAlignment="1">
      <alignment horizontal="right"/>
    </xf>
    <xf numFmtId="9" fontId="63" fillId="0" borderId="12" xfId="65" applyFont="1" applyBorder="1" applyAlignment="1">
      <alignment horizontal="right"/>
    </xf>
    <xf numFmtId="0" fontId="64" fillId="0" borderId="12" xfId="0" applyFont="1" applyBorder="1" applyAlignment="1">
      <alignment horizontal="right"/>
    </xf>
    <xf numFmtId="9" fontId="65" fillId="0" borderId="12" xfId="65" applyFont="1" applyBorder="1" applyAlignment="1">
      <alignment horizontal="right"/>
    </xf>
    <xf numFmtId="1" fontId="61" fillId="0" borderId="12" xfId="0" applyNumberFormat="1" applyFont="1" applyBorder="1" applyAlignment="1">
      <alignment horizontal="right"/>
    </xf>
    <xf numFmtId="9" fontId="63" fillId="0" borderId="12" xfId="65" applyFont="1" applyFill="1" applyBorder="1" applyAlignment="1">
      <alignment horizontal="right"/>
    </xf>
    <xf numFmtId="0" fontId="61" fillId="0" borderId="12" xfId="0" applyFont="1" applyFill="1" applyBorder="1" applyAlignment="1">
      <alignment horizontal="right"/>
    </xf>
    <xf numFmtId="0" fontId="61" fillId="0" borderId="12" xfId="65" applyNumberFormat="1" applyFont="1" applyFill="1" applyBorder="1" applyAlignment="1">
      <alignment horizontal="right"/>
    </xf>
    <xf numFmtId="0" fontId="61" fillId="16" borderId="12" xfId="0" applyFont="1" applyFill="1" applyBorder="1" applyAlignment="1">
      <alignment horizontal="right"/>
    </xf>
    <xf numFmtId="9" fontId="63" fillId="16" borderId="12" xfId="65" applyFont="1" applyFill="1" applyBorder="1" applyAlignment="1">
      <alignment horizontal="right"/>
    </xf>
    <xf numFmtId="0" fontId="63" fillId="0" borderId="12" xfId="0" applyFont="1" applyBorder="1" applyAlignment="1">
      <alignment horizontal="right"/>
    </xf>
    <xf numFmtId="0" fontId="60" fillId="14" borderId="12" xfId="0" applyFont="1" applyFill="1" applyBorder="1" applyAlignment="1">
      <alignment horizontal="right"/>
    </xf>
    <xf numFmtId="169" fontId="61" fillId="0" borderId="12" xfId="0" applyNumberFormat="1" applyFont="1" applyBorder="1" applyAlignment="1">
      <alignment horizontal="right"/>
    </xf>
    <xf numFmtId="0" fontId="76" fillId="12" borderId="12" xfId="0" applyFont="1" applyFill="1" applyBorder="1" applyAlignment="1">
      <alignment horizontal="right"/>
    </xf>
    <xf numFmtId="9" fontId="77" fillId="12" borderId="12" xfId="65" applyFont="1" applyFill="1" applyBorder="1" applyAlignment="1">
      <alignment horizontal="right"/>
    </xf>
    <xf numFmtId="1" fontId="61" fillId="16" borderId="12" xfId="0" applyNumberFormat="1" applyFont="1" applyFill="1" applyBorder="1" applyAlignment="1">
      <alignment horizontal="right"/>
    </xf>
    <xf numFmtId="0" fontId="16" fillId="0" borderId="0" xfId="0" applyFont="1" applyFill="1" applyBorder="1" applyAlignment="1">
      <alignment horizontal="left" vertical="center"/>
    </xf>
    <xf numFmtId="9" fontId="2" fillId="0" borderId="0" xfId="67" applyFont="1" applyFill="1" applyBorder="1" applyAlignment="1">
      <alignment horizontal="right" vertical="center" wrapText="1"/>
    </xf>
    <xf numFmtId="9" fontId="3" fillId="0" borderId="0" xfId="67" applyFont="1" applyFill="1" applyBorder="1" applyAlignment="1">
      <alignment horizontal="right" vertical="center" wrapText="1"/>
    </xf>
    <xf numFmtId="0" fontId="16" fillId="17" borderId="0" xfId="0" applyFont="1" applyFill="1" applyBorder="1"/>
    <xf numFmtId="170" fontId="16" fillId="17" borderId="0" xfId="14" applyNumberFormat="1" applyFont="1" applyFill="1"/>
    <xf numFmtId="9" fontId="16" fillId="17" borderId="0" xfId="67" applyFont="1" applyFill="1"/>
    <xf numFmtId="170" fontId="16" fillId="17" borderId="0" xfId="67" applyNumberFormat="1" applyFont="1" applyFill="1"/>
    <xf numFmtId="169" fontId="16" fillId="17" borderId="0" xfId="14" applyNumberFormat="1" applyFont="1" applyFill="1"/>
    <xf numFmtId="170" fontId="16" fillId="0" borderId="0" xfId="67" applyNumberFormat="1" applyFont="1" applyFill="1"/>
    <xf numFmtId="170" fontId="16" fillId="0" borderId="0" xfId="14" applyNumberFormat="1" applyFont="1" applyFill="1"/>
    <xf numFmtId="0" fontId="16" fillId="0" borderId="0" xfId="0" applyFont="1" applyFill="1" applyAlignment="1">
      <alignment horizontal="left"/>
    </xf>
    <xf numFmtId="170" fontId="66" fillId="0" borderId="0" xfId="65" applyNumberFormat="1" applyFont="1" applyFill="1"/>
    <xf numFmtId="169" fontId="66" fillId="0" borderId="0" xfId="0" applyNumberFormat="1" applyFont="1" applyFill="1" applyAlignment="1">
      <alignment horizontal="right"/>
    </xf>
    <xf numFmtId="9" fontId="66" fillId="0" borderId="0" xfId="65" applyFont="1" applyFill="1" applyBorder="1" applyAlignment="1">
      <alignment horizontal="right"/>
    </xf>
    <xf numFmtId="169" fontId="70" fillId="0" borderId="0" xfId="0" applyNumberFormat="1" applyFont="1" applyFill="1"/>
    <xf numFmtId="172" fontId="66" fillId="0" borderId="0" xfId="0" applyNumberFormat="1" applyFont="1" applyFill="1" applyAlignment="1">
      <alignment horizontal="right"/>
    </xf>
    <xf numFmtId="0" fontId="70" fillId="0" borderId="0" xfId="0" applyFont="1" applyFill="1"/>
    <xf numFmtId="9" fontId="66" fillId="0" borderId="0" xfId="65" applyNumberFormat="1" applyFont="1" applyFill="1"/>
    <xf numFmtId="9" fontId="66" fillId="0" borderId="0" xfId="0" applyNumberFormat="1" applyFont="1"/>
    <xf numFmtId="169" fontId="69" fillId="0" borderId="0" xfId="0" applyNumberFormat="1" applyFont="1" applyFill="1" applyAlignment="1">
      <alignment horizontal="right"/>
    </xf>
    <xf numFmtId="168" fontId="2" fillId="0" borderId="0" xfId="0" applyNumberFormat="1" applyFont="1" applyFill="1"/>
    <xf numFmtId="170" fontId="2" fillId="0" borderId="0" xfId="65" applyNumberFormat="1" applyFont="1" applyFill="1" applyAlignment="1">
      <alignment horizontal="right"/>
    </xf>
    <xf numFmtId="9" fontId="2" fillId="0" borderId="0" xfId="65" applyFont="1" applyFill="1" applyAlignment="1">
      <alignment horizontal="right"/>
    </xf>
    <xf numFmtId="169" fontId="70" fillId="6" borderId="0" xfId="0" applyNumberFormat="1" applyFont="1" applyFill="1"/>
    <xf numFmtId="173" fontId="66" fillId="0" borderId="0" xfId="0" applyNumberFormat="1" applyFont="1" applyFill="1"/>
    <xf numFmtId="0" fontId="67" fillId="5" borderId="0" xfId="59" applyFont="1" applyFill="1" applyAlignment="1" applyProtection="1">
      <alignment horizontal="left"/>
      <protection locked="0"/>
    </xf>
    <xf numFmtId="0" fontId="67" fillId="5" borderId="0" xfId="59" applyFont="1" applyFill="1" applyAlignment="1" applyProtection="1">
      <alignment horizontal="right"/>
      <protection locked="0"/>
    </xf>
    <xf numFmtId="0" fontId="68" fillId="0" borderId="0" xfId="0" applyFont="1"/>
    <xf numFmtId="169" fontId="69" fillId="0" borderId="0" xfId="0" applyNumberFormat="1" applyFont="1" applyFill="1"/>
    <xf numFmtId="169" fontId="66" fillId="0" borderId="0" xfId="0" applyNumberFormat="1" applyFont="1"/>
    <xf numFmtId="167" fontId="2" fillId="0" borderId="0" xfId="0" applyNumberFormat="1" applyFont="1" applyFill="1"/>
    <xf numFmtId="174" fontId="2" fillId="0" borderId="0" xfId="0" applyNumberFormat="1" applyFont="1" applyFill="1" applyAlignment="1">
      <alignment horizontal="right"/>
    </xf>
    <xf numFmtId="9" fontId="2" fillId="0" borderId="0" xfId="65" applyNumberFormat="1" applyFont="1" applyFill="1" applyAlignment="1">
      <alignment horizontal="right"/>
    </xf>
    <xf numFmtId="9" fontId="62" fillId="14" borderId="0" xfId="0" applyNumberFormat="1" applyFont="1" applyFill="1" applyAlignment="1">
      <alignment horizontal="right"/>
    </xf>
    <xf numFmtId="9" fontId="69" fillId="0" borderId="0" xfId="0" applyNumberFormat="1" applyFont="1"/>
    <xf numFmtId="1" fontId="66" fillId="0" borderId="0" xfId="0" applyNumberFormat="1" applyFont="1"/>
    <xf numFmtId="0" fontId="38" fillId="6" borderId="0" xfId="60" applyNumberFormat="1" applyFont="1" applyFill="1"/>
    <xf numFmtId="0" fontId="81" fillId="0" borderId="0" xfId="60" applyNumberFormat="1" applyFont="1"/>
    <xf numFmtId="180" fontId="82" fillId="0" borderId="2" xfId="60" applyNumberFormat="1" applyFont="1" applyBorder="1" applyAlignment="1">
      <alignment horizontal="right"/>
    </xf>
    <xf numFmtId="10" fontId="66" fillId="0" borderId="0" xfId="0" applyNumberFormat="1" applyFont="1"/>
    <xf numFmtId="2" fontId="66" fillId="0" borderId="0" xfId="0" applyNumberFormat="1" applyFont="1"/>
    <xf numFmtId="0" fontId="39" fillId="6" borderId="0" xfId="60" applyNumberFormat="1" applyFont="1" applyFill="1"/>
    <xf numFmtId="168" fontId="70" fillId="0" borderId="0" xfId="0" applyNumberFormat="1" applyFont="1"/>
    <xf numFmtId="0" fontId="82" fillId="6" borderId="2" xfId="60" applyNumberFormat="1" applyFont="1" applyFill="1" applyBorder="1"/>
    <xf numFmtId="0" fontId="81" fillId="0" borderId="0" xfId="60" applyNumberFormat="1" applyFont="1" applyAlignment="1">
      <alignment horizontal="right"/>
    </xf>
    <xf numFmtId="0" fontId="66" fillId="0" borderId="2" xfId="0" applyFont="1" applyBorder="1"/>
    <xf numFmtId="171" fontId="66" fillId="0" borderId="2" xfId="0" applyNumberFormat="1" applyFont="1" applyBorder="1"/>
    <xf numFmtId="169" fontId="70" fillId="0" borderId="2" xfId="0" applyNumberFormat="1" applyFont="1" applyFill="1" applyBorder="1"/>
    <xf numFmtId="169" fontId="66" fillId="0" borderId="2" xfId="0" applyNumberFormat="1" applyFont="1" applyFill="1" applyBorder="1"/>
    <xf numFmtId="169" fontId="66" fillId="6" borderId="2" xfId="0" applyNumberFormat="1" applyFont="1" applyFill="1" applyBorder="1"/>
    <xf numFmtId="49" fontId="0" fillId="0" borderId="0" xfId="0" applyNumberFormat="1"/>
    <xf numFmtId="3" fontId="16" fillId="6" borderId="0" xfId="0" applyNumberFormat="1" applyFont="1" applyFill="1" applyBorder="1" applyAlignment="1">
      <alignment horizontal="center"/>
    </xf>
    <xf numFmtId="3" fontId="25" fillId="6" borderId="0" xfId="0" applyNumberFormat="1" applyFont="1" applyFill="1" applyBorder="1" applyAlignment="1">
      <alignment horizontal="center"/>
    </xf>
    <xf numFmtId="170" fontId="16" fillId="6" borderId="0" xfId="0" applyNumberFormat="1" applyFont="1" applyFill="1" applyBorder="1" applyAlignment="1">
      <alignment horizontal="center"/>
    </xf>
    <xf numFmtId="9" fontId="16" fillId="6" borderId="0" xfId="67" applyFont="1" applyFill="1" applyBorder="1" applyAlignment="1">
      <alignment horizontal="center"/>
    </xf>
    <xf numFmtId="37" fontId="16" fillId="6" borderId="0" xfId="0" applyNumberFormat="1" applyFont="1" applyFill="1" applyBorder="1" applyAlignment="1">
      <alignment horizontal="center"/>
    </xf>
    <xf numFmtId="4" fontId="16" fillId="6" borderId="0" xfId="54" applyNumberFormat="1" applyFont="1" applyFill="1" applyBorder="1" applyAlignment="1">
      <alignment horizontal="center"/>
    </xf>
    <xf numFmtId="3" fontId="16" fillId="6" borderId="2" xfId="0" applyNumberFormat="1" applyFont="1" applyFill="1" applyBorder="1" applyAlignment="1">
      <alignment horizontal="center"/>
    </xf>
    <xf numFmtId="3" fontId="25" fillId="6" borderId="2" xfId="0" applyNumberFormat="1" applyFont="1" applyFill="1" applyBorder="1" applyAlignment="1">
      <alignment horizontal="center"/>
    </xf>
    <xf numFmtId="0" fontId="16" fillId="6" borderId="0" xfId="0" applyFont="1" applyFill="1"/>
    <xf numFmtId="0" fontId="16" fillId="6" borderId="0" xfId="0" applyFont="1" applyFill="1" applyAlignment="1">
      <alignment horizontal="center"/>
    </xf>
    <xf numFmtId="4" fontId="25" fillId="6" borderId="0" xfId="58" applyNumberFormat="1" applyFont="1" applyFill="1" applyBorder="1"/>
    <xf numFmtId="183" fontId="16" fillId="6" borderId="0" xfId="0" applyNumberFormat="1" applyFont="1" applyFill="1" applyAlignment="1">
      <alignment horizontal="center"/>
    </xf>
    <xf numFmtId="0" fontId="37" fillId="6" borderId="0" xfId="58" applyFont="1" applyFill="1" applyBorder="1"/>
    <xf numFmtId="1" fontId="16" fillId="6" borderId="0" xfId="0" applyNumberFormat="1" applyFont="1" applyFill="1" applyAlignment="1">
      <alignment horizontal="center"/>
    </xf>
    <xf numFmtId="0" fontId="16" fillId="6" borderId="0" xfId="58" applyFont="1" applyFill="1"/>
    <xf numFmtId="184" fontId="16" fillId="6" borderId="0" xfId="0" applyNumberFormat="1" applyFont="1" applyFill="1" applyAlignment="1">
      <alignment horizontal="center"/>
    </xf>
    <xf numFmtId="0" fontId="16" fillId="6" borderId="0" xfId="58" applyFont="1" applyFill="1" applyBorder="1"/>
    <xf numFmtId="0" fontId="67" fillId="22" borderId="0" xfId="48" applyNumberFormat="1" applyFont="1" applyFill="1" applyAlignment="1">
      <alignment horizontal="left"/>
    </xf>
    <xf numFmtId="0" fontId="67" fillId="22" borderId="0" xfId="48" applyNumberFormat="1" applyFont="1" applyFill="1" applyAlignment="1">
      <alignment horizontal="left" wrapText="1"/>
    </xf>
    <xf numFmtId="0" fontId="73" fillId="22" borderId="0" xfId="48" applyNumberFormat="1" applyFont="1" applyFill="1" applyAlignment="1">
      <alignment horizontal="left" wrapText="1"/>
    </xf>
    <xf numFmtId="177" fontId="2" fillId="0" borderId="0" xfId="48" applyFont="1" applyAlignment="1">
      <alignment horizontal="right"/>
    </xf>
    <xf numFmtId="177" fontId="2" fillId="0" borderId="0" xfId="48" applyFont="1"/>
    <xf numFmtId="186" fontId="66" fillId="0" borderId="0" xfId="14" applyNumberFormat="1" applyFont="1"/>
    <xf numFmtId="187" fontId="2" fillId="0" borderId="0" xfId="48" applyNumberFormat="1" applyFont="1"/>
    <xf numFmtId="188" fontId="2" fillId="0" borderId="0" xfId="48" applyNumberFormat="1" applyFont="1"/>
    <xf numFmtId="177" fontId="2" fillId="0" borderId="0" xfId="48" applyNumberFormat="1" applyFont="1"/>
    <xf numFmtId="37" fontId="66" fillId="0" borderId="0" xfId="0" applyNumberFormat="1" applyFont="1" applyAlignment="1">
      <alignment horizontal="center"/>
    </xf>
    <xf numFmtId="0" fontId="66" fillId="0" borderId="0" xfId="0" applyNumberFormat="1" applyFont="1"/>
    <xf numFmtId="37" fontId="66" fillId="0" borderId="0" xfId="0" applyNumberFormat="1" applyFont="1"/>
    <xf numFmtId="0" fontId="70" fillId="0" borderId="6" xfId="0" applyFont="1" applyBorder="1"/>
    <xf numFmtId="186" fontId="70" fillId="0" borderId="6" xfId="14" applyNumberFormat="1" applyFont="1" applyBorder="1"/>
    <xf numFmtId="1" fontId="70" fillId="0" borderId="6" xfId="0" applyNumberFormat="1" applyFont="1" applyBorder="1"/>
    <xf numFmtId="0" fontId="2" fillId="0" borderId="0" xfId="0" applyNumberFormat="1" applyFont="1"/>
    <xf numFmtId="0" fontId="70" fillId="0" borderId="0" xfId="0" applyFont="1" applyAlignment="1">
      <alignment horizontal="right"/>
    </xf>
    <xf numFmtId="0" fontId="66" fillId="0" borderId="6" xfId="0" applyFont="1" applyBorder="1" applyAlignment="1">
      <alignment horizontal="right"/>
    </xf>
    <xf numFmtId="0" fontId="66" fillId="0" borderId="6" xfId="0" applyFont="1" applyBorder="1"/>
    <xf numFmtId="0" fontId="67" fillId="22" borderId="22" xfId="0" applyNumberFormat="1" applyFont="1" applyFill="1" applyBorder="1"/>
    <xf numFmtId="0" fontId="67" fillId="22" borderId="23" xfId="0" applyNumberFormat="1" applyFont="1" applyFill="1" applyBorder="1"/>
    <xf numFmtId="0" fontId="67" fillId="22" borderId="24" xfId="0" applyNumberFormat="1" applyFont="1" applyFill="1" applyBorder="1"/>
    <xf numFmtId="0" fontId="3" fillId="0" borderId="0" xfId="0" applyNumberFormat="1" applyFont="1" applyBorder="1"/>
    <xf numFmtId="37" fontId="3" fillId="0" borderId="0" xfId="0" applyNumberFormat="1" applyFont="1" applyBorder="1"/>
    <xf numFmtId="0" fontId="66" fillId="0" borderId="0" xfId="0" applyNumberFormat="1" applyFont="1" applyAlignment="1">
      <alignment horizontal="left"/>
    </xf>
    <xf numFmtId="9" fontId="2" fillId="0" borderId="0" xfId="67" applyFont="1"/>
    <xf numFmtId="9" fontId="69" fillId="0" borderId="0" xfId="67" applyFont="1" applyFill="1"/>
    <xf numFmtId="0" fontId="3" fillId="0" borderId="0" xfId="0" applyNumberFormat="1" applyFont="1"/>
    <xf numFmtId="1" fontId="3" fillId="0" borderId="0" xfId="0" applyNumberFormat="1" applyFont="1"/>
    <xf numFmtId="9" fontId="69" fillId="0" borderId="0" xfId="67" applyFont="1"/>
    <xf numFmtId="9" fontId="70" fillId="0" borderId="0" xfId="65" applyFont="1" applyAlignment="1">
      <alignment horizontal="right"/>
    </xf>
    <xf numFmtId="1" fontId="2" fillId="0" borderId="0" xfId="0" applyNumberFormat="1" applyFont="1"/>
    <xf numFmtId="4" fontId="2" fillId="0" borderId="0" xfId="0" applyNumberFormat="1" applyFont="1" applyBorder="1" applyAlignment="1">
      <alignment horizontal="right"/>
    </xf>
    <xf numFmtId="0" fontId="66" fillId="0" borderId="2" xfId="0" applyNumberFormat="1" applyFont="1" applyBorder="1" applyAlignment="1">
      <alignment horizontal="left"/>
    </xf>
    <xf numFmtId="1" fontId="2" fillId="0" borderId="2" xfId="0" applyNumberFormat="1" applyFont="1" applyBorder="1"/>
    <xf numFmtId="0" fontId="2" fillId="0" borderId="0" xfId="0" applyNumberFormat="1" applyFont="1" applyAlignment="1">
      <alignment horizontal="left"/>
    </xf>
    <xf numFmtId="9" fontId="2" fillId="0" borderId="0" xfId="66" applyFont="1"/>
    <xf numFmtId="1" fontId="66" fillId="0" borderId="0" xfId="0" applyNumberFormat="1" applyFont="1" applyBorder="1"/>
    <xf numFmtId="0" fontId="3" fillId="23" borderId="0" xfId="0" applyNumberFormat="1" applyFont="1" applyFill="1" applyBorder="1"/>
    <xf numFmtId="1" fontId="3" fillId="23" borderId="0" xfId="0" applyNumberFormat="1" applyFont="1" applyFill="1" applyBorder="1"/>
    <xf numFmtId="9" fontId="69" fillId="0" borderId="0" xfId="68" applyFont="1"/>
    <xf numFmtId="0" fontId="66" fillId="0" borderId="0" xfId="0" applyNumberFormat="1" applyFont="1" applyAlignment="1">
      <alignment horizontal="right"/>
    </xf>
    <xf numFmtId="9" fontId="66" fillId="0" borderId="0" xfId="66" applyFont="1"/>
    <xf numFmtId="0" fontId="69" fillId="0" borderId="0" xfId="0" applyNumberFormat="1" applyFont="1" applyAlignment="1">
      <alignment horizontal="right"/>
    </xf>
    <xf numFmtId="0" fontId="3" fillId="12" borderId="0" xfId="0" applyNumberFormat="1" applyFont="1" applyFill="1" applyBorder="1"/>
    <xf numFmtId="37" fontId="3" fillId="12" borderId="0" xfId="0" applyNumberFormat="1" applyFont="1" applyFill="1" applyBorder="1"/>
    <xf numFmtId="0" fontId="66" fillId="12" borderId="0" xfId="0" applyNumberFormat="1" applyFont="1" applyFill="1" applyAlignment="1">
      <alignment horizontal="left"/>
    </xf>
    <xf numFmtId="9" fontId="2" fillId="12" borderId="0" xfId="67" applyFont="1" applyFill="1"/>
    <xf numFmtId="0" fontId="3" fillId="12" borderId="0" xfId="0" applyNumberFormat="1" applyFont="1" applyFill="1"/>
    <xf numFmtId="1" fontId="3" fillId="12" borderId="0" xfId="0" applyNumberFormat="1" applyFont="1" applyFill="1"/>
    <xf numFmtId="1" fontId="66" fillId="12" borderId="0" xfId="0" applyNumberFormat="1" applyFont="1" applyFill="1"/>
    <xf numFmtId="9" fontId="66" fillId="12" borderId="0" xfId="0" applyNumberFormat="1" applyFont="1" applyFill="1"/>
    <xf numFmtId="0" fontId="66" fillId="12" borderId="0" xfId="0" applyNumberFormat="1" applyFont="1" applyFill="1"/>
    <xf numFmtId="1" fontId="2" fillId="12" borderId="0" xfId="0" applyNumberFormat="1" applyFont="1" applyFill="1"/>
    <xf numFmtId="0" fontId="66" fillId="12" borderId="2" xfId="0" applyNumberFormat="1" applyFont="1" applyFill="1" applyBorder="1" applyAlignment="1">
      <alignment horizontal="left"/>
    </xf>
    <xf numFmtId="1" fontId="2" fillId="12" borderId="2" xfId="0" applyNumberFormat="1" applyFont="1" applyFill="1" applyBorder="1"/>
    <xf numFmtId="0" fontId="25" fillId="6" borderId="0" xfId="0" applyFont="1" applyFill="1" applyBorder="1"/>
    <xf numFmtId="0" fontId="16" fillId="6" borderId="0" xfId="0" applyFont="1" applyFill="1" applyBorder="1"/>
    <xf numFmtId="0" fontId="25" fillId="6" borderId="0" xfId="0" quotePrefix="1" applyFont="1" applyFill="1" applyBorder="1"/>
    <xf numFmtId="0" fontId="16" fillId="6" borderId="0" xfId="54" applyFont="1" applyFill="1" applyBorder="1"/>
    <xf numFmtId="182" fontId="73" fillId="14" borderId="0" xfId="0" applyNumberFormat="1" applyFont="1" applyFill="1" applyBorder="1" applyAlignment="1">
      <alignment horizontal="center"/>
    </xf>
    <xf numFmtId="1" fontId="73" fillId="14" borderId="0" xfId="0" applyNumberFormat="1" applyFont="1" applyFill="1" applyBorder="1" applyAlignment="1">
      <alignment horizontal="center"/>
    </xf>
    <xf numFmtId="0" fontId="16" fillId="0" borderId="0" xfId="0" applyFont="1" applyBorder="1"/>
    <xf numFmtId="0" fontId="72" fillId="0" borderId="0" xfId="0" applyFont="1" applyBorder="1"/>
    <xf numFmtId="9" fontId="16" fillId="0" borderId="0" xfId="67" applyFont="1" applyFill="1" applyBorder="1" applyAlignment="1">
      <alignment horizontal="center"/>
    </xf>
    <xf numFmtId="0" fontId="16" fillId="0" borderId="0" xfId="0" applyFont="1"/>
    <xf numFmtId="0" fontId="72" fillId="0" borderId="0" xfId="0" applyFont="1"/>
    <xf numFmtId="0" fontId="16" fillId="0" borderId="0" xfId="0" applyFont="1" applyFill="1" applyBorder="1" applyAlignment="1">
      <alignment horizontal="center"/>
    </xf>
    <xf numFmtId="167" fontId="72" fillId="0" borderId="0" xfId="14" applyFont="1" applyFill="1"/>
    <xf numFmtId="9" fontId="16" fillId="0" borderId="0" xfId="67" applyNumberFormat="1" applyFont="1" applyFill="1" applyBorder="1" applyAlignment="1">
      <alignment horizontal="center"/>
    </xf>
    <xf numFmtId="0" fontId="72" fillId="0" borderId="0" xfId="0" applyFont="1" applyAlignment="1"/>
    <xf numFmtId="38" fontId="16" fillId="0" borderId="0" xfId="0" applyNumberFormat="1" applyFont="1" applyFill="1" applyBorder="1" applyAlignment="1">
      <alignment horizontal="center"/>
    </xf>
    <xf numFmtId="185" fontId="72" fillId="0" borderId="0" xfId="0" applyNumberFormat="1" applyFont="1"/>
    <xf numFmtId="38" fontId="25" fillId="0" borderId="0" xfId="0" applyNumberFormat="1" applyFont="1" applyFill="1" applyBorder="1" applyAlignment="1">
      <alignment horizontal="center"/>
    </xf>
    <xf numFmtId="1" fontId="16" fillId="0" borderId="0" xfId="0" applyNumberFormat="1" applyFont="1" applyFill="1" applyBorder="1" applyAlignment="1" applyProtection="1">
      <alignment horizontal="center"/>
      <protection locked="0"/>
    </xf>
    <xf numFmtId="1" fontId="72" fillId="0" borderId="0" xfId="0" applyNumberFormat="1" applyFont="1" applyFill="1"/>
    <xf numFmtId="167" fontId="16" fillId="0" borderId="0" xfId="0" applyNumberFormat="1" applyFont="1" applyFill="1"/>
    <xf numFmtId="170" fontId="72" fillId="0" borderId="0" xfId="0" applyNumberFormat="1" applyFont="1" applyFill="1"/>
    <xf numFmtId="0" fontId="16" fillId="0" borderId="0" xfId="0" applyFont="1" applyBorder="1" applyAlignment="1" applyProtection="1">
      <alignment horizontal="center"/>
      <protection locked="0"/>
    </xf>
    <xf numFmtId="1" fontId="16"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9" fontId="72" fillId="6" borderId="0" xfId="67" applyFont="1" applyFill="1" applyBorder="1" applyAlignment="1">
      <alignment horizontal="center"/>
    </xf>
    <xf numFmtId="170" fontId="72" fillId="6" borderId="0" xfId="0" applyNumberFormat="1" applyFont="1" applyFill="1" applyBorder="1" applyAlignment="1">
      <alignment horizontal="center"/>
    </xf>
    <xf numFmtId="170" fontId="72" fillId="0" borderId="0" xfId="0" applyNumberFormat="1" applyFont="1" applyFill="1" applyBorder="1" applyAlignment="1">
      <alignment horizontal="center"/>
    </xf>
    <xf numFmtId="171" fontId="72" fillId="6" borderId="0" xfId="0" applyNumberFormat="1" applyFont="1" applyFill="1" applyBorder="1" applyAlignment="1">
      <alignment horizontal="center"/>
    </xf>
    <xf numFmtId="0" fontId="73" fillId="14" borderId="0" xfId="0" applyFont="1" applyFill="1" applyBorder="1"/>
    <xf numFmtId="0" fontId="25" fillId="6" borderId="2" xfId="0" quotePrefix="1" applyFont="1" applyFill="1" applyBorder="1"/>
    <xf numFmtId="3" fontId="47" fillId="0" borderId="0" xfId="58" applyNumberFormat="1" applyFont="1" applyAlignment="1">
      <alignment horizontal="right"/>
    </xf>
    <xf numFmtId="0" fontId="47" fillId="0" borderId="0" xfId="58" applyFont="1" applyAlignment="1">
      <alignment horizontal="right"/>
    </xf>
    <xf numFmtId="0" fontId="47" fillId="0" borderId="0" xfId="58" applyFont="1" applyBorder="1" applyAlignment="1">
      <alignment horizontal="right"/>
    </xf>
    <xf numFmtId="3" fontId="47" fillId="0" borderId="2" xfId="58" applyNumberFormat="1" applyFont="1" applyBorder="1" applyAlignment="1">
      <alignment horizontal="right"/>
    </xf>
    <xf numFmtId="3" fontId="83" fillId="6" borderId="0" xfId="0" applyNumberFormat="1" applyFont="1" applyFill="1" applyBorder="1" applyAlignment="1">
      <alignment horizontal="center"/>
    </xf>
    <xf numFmtId="37" fontId="72" fillId="6" borderId="0" xfId="0" applyNumberFormat="1" applyFont="1" applyFill="1" applyBorder="1" applyAlignment="1">
      <alignment horizontal="center"/>
    </xf>
    <xf numFmtId="3" fontId="72" fillId="6" borderId="0" xfId="0" applyNumberFormat="1" applyFont="1" applyFill="1" applyBorder="1" applyAlignment="1">
      <alignment horizontal="center"/>
    </xf>
    <xf numFmtId="3" fontId="16" fillId="0" borderId="0" xfId="58" applyNumberFormat="1" applyFont="1" applyFill="1" applyAlignment="1">
      <alignment horizontal="center"/>
    </xf>
    <xf numFmtId="9" fontId="16" fillId="6" borderId="0" xfId="65" applyFont="1" applyFill="1" applyBorder="1" applyAlignment="1">
      <alignment horizontal="center"/>
    </xf>
    <xf numFmtId="9" fontId="72" fillId="6" borderId="0" xfId="65" applyFont="1" applyFill="1" applyBorder="1" applyAlignment="1">
      <alignment horizontal="center"/>
    </xf>
    <xf numFmtId="1" fontId="72" fillId="0" borderId="0" xfId="0" applyNumberFormat="1" applyFont="1"/>
    <xf numFmtId="2" fontId="72" fillId="0" borderId="0" xfId="0" applyNumberFormat="1" applyFont="1" applyAlignment="1">
      <alignment horizontal="center"/>
    </xf>
    <xf numFmtId="0" fontId="73" fillId="14" borderId="2" xfId="58" applyFont="1" applyFill="1" applyBorder="1"/>
    <xf numFmtId="1" fontId="73" fillId="14" borderId="2" xfId="0" applyNumberFormat="1" applyFont="1" applyFill="1" applyBorder="1" applyAlignment="1">
      <alignment horizontal="center"/>
    </xf>
    <xf numFmtId="0" fontId="72" fillId="0" borderId="0" xfId="0" applyFont="1" applyAlignment="1">
      <alignment horizontal="right"/>
    </xf>
    <xf numFmtId="0" fontId="16" fillId="6" borderId="0" xfId="0" applyFont="1" applyFill="1" applyBorder="1" applyAlignment="1">
      <alignment horizontal="right"/>
    </xf>
    <xf numFmtId="0" fontId="16" fillId="6" borderId="0" xfId="0" applyFont="1" applyFill="1" applyBorder="1" applyAlignment="1">
      <alignment horizontal="left"/>
    </xf>
    <xf numFmtId="0" fontId="72" fillId="0" borderId="6" xfId="0" applyFont="1" applyBorder="1" applyAlignment="1">
      <alignment horizontal="left"/>
    </xf>
    <xf numFmtId="0" fontId="72" fillId="0" borderId="6" xfId="0" applyFont="1" applyBorder="1" applyAlignment="1">
      <alignment horizontal="center"/>
    </xf>
    <xf numFmtId="0" fontId="72" fillId="0" borderId="0" xfId="0" applyFont="1" applyAlignment="1">
      <alignment horizontal="center"/>
    </xf>
    <xf numFmtId="0" fontId="16" fillId="21" borderId="0" xfId="0" applyFont="1" applyFill="1" applyBorder="1" applyAlignment="1">
      <alignment horizontal="right"/>
    </xf>
    <xf numFmtId="0" fontId="16" fillId="0" borderId="2" xfId="0" applyFont="1" applyBorder="1" applyAlignment="1">
      <alignment horizontal="right"/>
    </xf>
    <xf numFmtId="4" fontId="25" fillId="23" borderId="2" xfId="58" applyNumberFormat="1" applyFont="1" applyFill="1" applyBorder="1"/>
    <xf numFmtId="183" fontId="25" fillId="23" borderId="2" xfId="0" applyNumberFormat="1" applyFont="1" applyFill="1" applyBorder="1" applyAlignment="1">
      <alignment horizontal="center"/>
    </xf>
    <xf numFmtId="0" fontId="25" fillId="23" borderId="2" xfId="58" applyFont="1" applyFill="1" applyBorder="1"/>
    <xf numFmtId="0" fontId="25" fillId="23" borderId="2" xfId="0" applyFont="1" applyFill="1" applyBorder="1" applyAlignment="1">
      <alignment horizontal="left"/>
    </xf>
    <xf numFmtId="10" fontId="83" fillId="23" borderId="2" xfId="0" applyNumberFormat="1" applyFont="1" applyFill="1" applyBorder="1" applyAlignment="1">
      <alignment horizontal="center"/>
    </xf>
    <xf numFmtId="0" fontId="25" fillId="23" borderId="0" xfId="0" applyFont="1" applyFill="1" applyBorder="1" applyAlignment="1">
      <alignment horizontal="left"/>
    </xf>
    <xf numFmtId="170" fontId="83" fillId="23" borderId="0" xfId="67" applyNumberFormat="1" applyFont="1" applyFill="1" applyBorder="1" applyAlignment="1">
      <alignment horizontal="center"/>
    </xf>
    <xf numFmtId="170" fontId="25" fillId="23" borderId="2" xfId="0" applyNumberFormat="1" applyFont="1" applyFill="1" applyBorder="1" applyAlignment="1">
      <alignment horizontal="center"/>
    </xf>
    <xf numFmtId="170" fontId="72" fillId="23" borderId="0" xfId="56" applyNumberFormat="1" applyFont="1" applyFill="1" applyBorder="1" applyAlignment="1">
      <alignment horizontal="right" vertical="center"/>
    </xf>
    <xf numFmtId="9" fontId="72" fillId="23" borderId="0" xfId="58" applyNumberFormat="1" applyFont="1" applyFill="1"/>
    <xf numFmtId="9" fontId="72" fillId="23" borderId="0" xfId="58" applyNumberFormat="1" applyFont="1" applyFill="1" applyBorder="1"/>
    <xf numFmtId="9" fontId="72" fillId="23" borderId="0" xfId="56" applyNumberFormat="1" applyFont="1" applyFill="1" applyBorder="1" applyAlignment="1">
      <alignment horizontal="right" vertical="center"/>
    </xf>
    <xf numFmtId="170" fontId="72" fillId="23" borderId="2" xfId="56" applyNumberFormat="1" applyFont="1" applyFill="1" applyBorder="1" applyAlignment="1">
      <alignment horizontal="right" vertical="center"/>
    </xf>
    <xf numFmtId="2" fontId="72" fillId="23" borderId="0" xfId="0" applyNumberFormat="1" applyFont="1" applyFill="1" applyAlignment="1">
      <alignment horizontal="center"/>
    </xf>
    <xf numFmtId="40" fontId="72" fillId="23" borderId="0" xfId="0" applyNumberFormat="1" applyFont="1" applyFill="1" applyBorder="1" applyAlignment="1">
      <alignment horizontal="center"/>
    </xf>
    <xf numFmtId="9" fontId="72" fillId="23" borderId="0" xfId="67" applyFont="1" applyFill="1" applyBorder="1" applyAlignment="1">
      <alignment horizontal="center"/>
    </xf>
    <xf numFmtId="184" fontId="72" fillId="23" borderId="2" xfId="0" applyNumberFormat="1" applyFont="1" applyFill="1" applyBorder="1" applyAlignment="1">
      <alignment horizontal="center"/>
    </xf>
    <xf numFmtId="0" fontId="73" fillId="14" borderId="0" xfId="0" applyFont="1" applyFill="1" applyAlignment="1">
      <alignment horizontal="left"/>
    </xf>
    <xf numFmtId="0" fontId="72" fillId="23" borderId="9" xfId="0" applyFont="1" applyFill="1" applyBorder="1"/>
    <xf numFmtId="0" fontId="72" fillId="0" borderId="2" xfId="0" applyFont="1" applyFill="1" applyBorder="1"/>
    <xf numFmtId="0" fontId="25" fillId="23" borderId="9" xfId="0" applyFont="1" applyFill="1" applyBorder="1"/>
    <xf numFmtId="0" fontId="25" fillId="23" borderId="0" xfId="0" applyFont="1" applyFill="1"/>
    <xf numFmtId="9" fontId="72" fillId="0" borderId="0" xfId="67" applyFont="1"/>
    <xf numFmtId="0" fontId="73" fillId="14" borderId="2" xfId="0" applyFont="1" applyFill="1" applyBorder="1"/>
    <xf numFmtId="0" fontId="72" fillId="0" borderId="2" xfId="0" applyFont="1" applyBorder="1"/>
    <xf numFmtId="1" fontId="16" fillId="0" borderId="0" xfId="61" applyNumberFormat="1" applyFont="1" applyFill="1" applyBorder="1" applyAlignment="1">
      <alignment horizontal="center" vertical="top"/>
    </xf>
    <xf numFmtId="1" fontId="46" fillId="14" borderId="0" xfId="61" applyNumberFormat="1" applyFont="1" applyFill="1" applyBorder="1" applyAlignment="1">
      <alignment horizontal="center" vertical="top"/>
    </xf>
    <xf numFmtId="0" fontId="83" fillId="0" borderId="0" xfId="0" applyFont="1"/>
    <xf numFmtId="3" fontId="25" fillId="23" borderId="0" xfId="58" applyNumberFormat="1" applyFont="1" applyFill="1" applyBorder="1" applyAlignment="1">
      <alignment horizontal="center"/>
    </xf>
    <xf numFmtId="3" fontId="72" fillId="0" borderId="2" xfId="0" applyNumberFormat="1" applyFont="1" applyFill="1" applyBorder="1" applyAlignment="1">
      <alignment horizontal="center"/>
    </xf>
    <xf numFmtId="3" fontId="25" fillId="23" borderId="0" xfId="0" applyNumberFormat="1" applyFont="1" applyFill="1" applyAlignment="1">
      <alignment horizontal="center"/>
    </xf>
    <xf numFmtId="3" fontId="72" fillId="0" borderId="0" xfId="0" applyNumberFormat="1" applyFont="1" applyAlignment="1">
      <alignment horizontal="center"/>
    </xf>
    <xf numFmtId="3" fontId="72" fillId="0" borderId="0" xfId="0" applyNumberFormat="1" applyFont="1" applyFill="1" applyAlignment="1">
      <alignment horizontal="center"/>
    </xf>
    <xf numFmtId="3" fontId="83" fillId="0" borderId="0" xfId="0" applyNumberFormat="1" applyFont="1" applyAlignment="1">
      <alignment horizontal="center"/>
    </xf>
    <xf numFmtId="1" fontId="72" fillId="0" borderId="0" xfId="0" applyNumberFormat="1" applyFont="1" applyAlignment="1">
      <alignment horizontal="center"/>
    </xf>
    <xf numFmtId="2" fontId="72" fillId="0" borderId="2" xfId="0" applyNumberFormat="1" applyFont="1" applyBorder="1" applyAlignment="1">
      <alignment horizontal="center"/>
    </xf>
    <xf numFmtId="0" fontId="73" fillId="14" borderId="0" xfId="0" applyFont="1" applyFill="1" applyAlignment="1">
      <alignment horizontal="center"/>
    </xf>
    <xf numFmtId="0" fontId="72" fillId="23" borderId="9" xfId="0" applyFont="1" applyFill="1" applyBorder="1" applyAlignment="1">
      <alignment horizontal="center"/>
    </xf>
    <xf numFmtId="3" fontId="72" fillId="0" borderId="0" xfId="0" applyNumberFormat="1" applyFont="1" applyFill="1" applyBorder="1" applyAlignment="1">
      <alignment horizontal="center"/>
    </xf>
    <xf numFmtId="171" fontId="72" fillId="0" borderId="0" xfId="0" applyNumberFormat="1" applyFont="1" applyFill="1" applyBorder="1" applyAlignment="1">
      <alignment horizontal="center"/>
    </xf>
    <xf numFmtId="3" fontId="72" fillId="23" borderId="9" xfId="0" applyNumberFormat="1" applyFont="1" applyFill="1" applyBorder="1" applyAlignment="1">
      <alignment horizontal="center"/>
    </xf>
    <xf numFmtId="1" fontId="61" fillId="0" borderId="0" xfId="0" applyNumberFormat="1" applyFont="1" applyBorder="1" applyAlignment="1">
      <alignment horizontal="right"/>
    </xf>
    <xf numFmtId="0" fontId="61" fillId="17" borderId="12" xfId="0" applyFont="1" applyFill="1" applyBorder="1" applyAlignment="1">
      <alignment horizontal="right"/>
    </xf>
    <xf numFmtId="1" fontId="61" fillId="0" borderId="12" xfId="0" applyNumberFormat="1" applyFont="1" applyFill="1" applyBorder="1" applyAlignment="1">
      <alignment horizontal="right"/>
    </xf>
    <xf numFmtId="1" fontId="61" fillId="16" borderId="0" xfId="0" applyNumberFormat="1" applyFont="1" applyFill="1" applyBorder="1" applyAlignment="1">
      <alignment horizontal="right"/>
    </xf>
    <xf numFmtId="0" fontId="0" fillId="0" borderId="0" xfId="0" applyAlignment="1">
      <alignment horizontal="center"/>
    </xf>
    <xf numFmtId="1" fontId="0" fillId="0" borderId="0" xfId="0" applyNumberFormat="1" applyAlignment="1">
      <alignment horizontal="center"/>
    </xf>
    <xf numFmtId="9" fontId="55" fillId="0" borderId="0" xfId="65" applyFont="1" applyAlignment="1">
      <alignment horizontal="center"/>
    </xf>
    <xf numFmtId="0" fontId="56" fillId="14" borderId="0" xfId="0" applyFont="1" applyFill="1" applyAlignment="1">
      <alignment vertical="top"/>
    </xf>
    <xf numFmtId="0" fontId="59" fillId="0" borderId="0" xfId="0" applyFont="1" applyAlignment="1">
      <alignment vertical="top"/>
    </xf>
    <xf numFmtId="170" fontId="72" fillId="0" borderId="0" xfId="65" applyNumberFormat="1" applyFont="1"/>
    <xf numFmtId="0" fontId="61" fillId="12" borderId="12" xfId="0" applyFont="1" applyFill="1" applyBorder="1" applyAlignment="1">
      <alignment horizontal="right"/>
    </xf>
    <xf numFmtId="9" fontId="63" fillId="12" borderId="12" xfId="65" applyFont="1" applyFill="1" applyBorder="1" applyAlignment="1">
      <alignment horizontal="right"/>
    </xf>
    <xf numFmtId="0" fontId="37" fillId="5" borderId="0" xfId="0" applyFont="1" applyFill="1" applyAlignment="1">
      <alignment vertical="top"/>
    </xf>
    <xf numFmtId="0" fontId="37" fillId="5" borderId="0" xfId="0" applyFont="1" applyFill="1" applyAlignment="1">
      <alignment horizontal="right" vertical="top" wrapText="1"/>
    </xf>
    <xf numFmtId="0" fontId="59" fillId="16" borderId="0" xfId="0" applyFont="1" applyFill="1" applyAlignment="1">
      <alignment vertical="top"/>
    </xf>
    <xf numFmtId="1" fontId="59" fillId="16" borderId="0" xfId="0" applyNumberFormat="1" applyFont="1" applyFill="1" applyAlignment="1">
      <alignment vertical="top"/>
    </xf>
    <xf numFmtId="1" fontId="0" fillId="0" borderId="0" xfId="0" applyNumberFormat="1" applyAlignment="1">
      <alignment vertical="top"/>
    </xf>
    <xf numFmtId="1" fontId="59" fillId="0" borderId="0" xfId="0" applyNumberFormat="1" applyFont="1" applyAlignment="1">
      <alignment vertical="top"/>
    </xf>
    <xf numFmtId="170" fontId="55" fillId="0" borderId="0" xfId="65" applyNumberFormat="1" applyFont="1" applyAlignment="1">
      <alignment vertical="top"/>
    </xf>
    <xf numFmtId="170" fontId="59" fillId="0" borderId="0" xfId="65" applyNumberFormat="1" applyFont="1" applyAlignment="1">
      <alignment vertical="top"/>
    </xf>
    <xf numFmtId="2" fontId="59" fillId="16" borderId="0" xfId="0" applyNumberFormat="1" applyFont="1" applyFill="1" applyAlignment="1">
      <alignment vertical="top"/>
    </xf>
    <xf numFmtId="10" fontId="0" fillId="0" borderId="0" xfId="0" applyNumberFormat="1" applyAlignment="1">
      <alignment vertical="top"/>
    </xf>
    <xf numFmtId="191" fontId="4" fillId="5" borderId="0" xfId="59" applyNumberFormat="1" applyFont="1" applyFill="1" applyAlignment="1" applyProtection="1">
      <alignment horizontal="right"/>
      <protection locked="0"/>
    </xf>
    <xf numFmtId="0" fontId="0" fillId="0" borderId="0" xfId="0" applyAlignment="1">
      <alignment horizontal="center" vertical="top"/>
    </xf>
    <xf numFmtId="0" fontId="37" fillId="5" borderId="0" xfId="0" applyFont="1" applyFill="1" applyAlignment="1">
      <alignment horizontal="center" vertical="top" wrapText="1"/>
    </xf>
    <xf numFmtId="0" fontId="59" fillId="16" borderId="0" xfId="0" applyFont="1" applyFill="1" applyAlignment="1">
      <alignment horizontal="center" vertical="top"/>
    </xf>
    <xf numFmtId="1" fontId="0" fillId="0" borderId="0" xfId="0" applyNumberFormat="1" applyAlignment="1">
      <alignment horizontal="center" vertical="top"/>
    </xf>
    <xf numFmtId="1" fontId="59" fillId="0" borderId="0" xfId="0" applyNumberFormat="1" applyFont="1" applyAlignment="1">
      <alignment horizontal="center" vertical="top"/>
    </xf>
    <xf numFmtId="170" fontId="55" fillId="0" borderId="0" xfId="65" applyNumberFormat="1" applyFont="1" applyAlignment="1">
      <alignment horizontal="center" vertical="top"/>
    </xf>
    <xf numFmtId="170" fontId="59" fillId="0" borderId="0" xfId="65" applyNumberFormat="1" applyFont="1" applyAlignment="1">
      <alignment horizontal="center" vertical="top"/>
    </xf>
    <xf numFmtId="2" fontId="59" fillId="16" borderId="0" xfId="0" applyNumberFormat="1" applyFont="1" applyFill="1" applyAlignment="1">
      <alignment horizontal="center" vertical="top"/>
    </xf>
    <xf numFmtId="9" fontId="55" fillId="0" borderId="0" xfId="65" applyFont="1" applyAlignment="1">
      <alignment vertical="top"/>
    </xf>
    <xf numFmtId="9" fontId="63" fillId="0" borderId="0" xfId="65" applyFont="1" applyBorder="1" applyAlignment="1">
      <alignment horizontal="right"/>
    </xf>
    <xf numFmtId="0" fontId="61" fillId="0" borderId="0" xfId="0" applyFont="1" applyBorder="1" applyAlignment="1">
      <alignment horizontal="right"/>
    </xf>
    <xf numFmtId="9" fontId="62" fillId="14" borderId="0" xfId="65" applyFont="1" applyFill="1" applyBorder="1" applyAlignment="1">
      <alignment horizontal="right"/>
    </xf>
    <xf numFmtId="0" fontId="38" fillId="0" borderId="0" xfId="60" applyNumberFormat="1" applyFont="1"/>
    <xf numFmtId="2" fontId="38" fillId="0" borderId="0" xfId="60" applyNumberFormat="1" applyFont="1" applyBorder="1" applyAlignment="1">
      <alignment horizontal="right"/>
    </xf>
    <xf numFmtId="2" fontId="38" fillId="0" borderId="0" xfId="60" applyNumberFormat="1" applyFont="1" applyAlignment="1">
      <alignment horizontal="right"/>
    </xf>
    <xf numFmtId="0" fontId="50" fillId="14" borderId="0" xfId="60" applyNumberFormat="1" applyFont="1" applyFill="1"/>
    <xf numFmtId="170" fontId="55" fillId="0" borderId="0" xfId="65" applyNumberFormat="1" applyFont="1" applyAlignment="1">
      <alignment vertical="top"/>
    </xf>
    <xf numFmtId="9" fontId="72" fillId="0" borderId="2" xfId="65" applyFont="1" applyFill="1" applyBorder="1" applyAlignment="1">
      <alignment horizontal="center"/>
    </xf>
    <xf numFmtId="0" fontId="0" fillId="0" borderId="0" xfId="0" applyFont="1" applyAlignment="1">
      <alignment vertical="top"/>
    </xf>
    <xf numFmtId="0" fontId="51" fillId="0" borderId="0" xfId="42" applyFont="1"/>
    <xf numFmtId="1" fontId="52" fillId="0" borderId="18" xfId="42" applyNumberFormat="1" applyFont="1" applyBorder="1"/>
    <xf numFmtId="192" fontId="52" fillId="0" borderId="18" xfId="42" applyNumberFormat="1" applyFont="1" applyBorder="1"/>
    <xf numFmtId="193" fontId="52" fillId="0" borderId="18" xfId="42" applyNumberFormat="1" applyFont="1" applyBorder="1"/>
    <xf numFmtId="1" fontId="51" fillId="0" borderId="0" xfId="42" applyNumberFormat="1" applyFont="1"/>
    <xf numFmtId="170" fontId="51" fillId="0" borderId="0" xfId="42" applyNumberFormat="1" applyFont="1"/>
    <xf numFmtId="0" fontId="51" fillId="0" borderId="2" xfId="42" applyFont="1" applyBorder="1"/>
    <xf numFmtId="170" fontId="51" fillId="0" borderId="2" xfId="42" applyNumberFormat="1" applyFont="1" applyBorder="1"/>
    <xf numFmtId="0" fontId="51" fillId="0" borderId="0" xfId="42" applyFont="1" applyBorder="1"/>
    <xf numFmtId="170" fontId="51" fillId="0" borderId="0" xfId="42" applyNumberFormat="1" applyFont="1" applyBorder="1"/>
    <xf numFmtId="0" fontId="52" fillId="0" borderId="0" xfId="42" applyFont="1"/>
    <xf numFmtId="2" fontId="52" fillId="0" borderId="0" xfId="42" applyNumberFormat="1" applyFont="1"/>
    <xf numFmtId="171" fontId="51" fillId="0" borderId="0" xfId="42" applyNumberFormat="1" applyFont="1"/>
    <xf numFmtId="3" fontId="51" fillId="0" borderId="0" xfId="42" applyNumberFormat="1" applyFont="1"/>
    <xf numFmtId="3" fontId="51" fillId="0" borderId="6" xfId="42" applyNumberFormat="1" applyFont="1" applyBorder="1" applyAlignment="1">
      <alignment horizontal="left" indent="1"/>
    </xf>
    <xf numFmtId="3" fontId="51" fillId="0" borderId="6" xfId="42" applyNumberFormat="1" applyFont="1" applyBorder="1"/>
    <xf numFmtId="3" fontId="52" fillId="0" borderId="6" xfId="42" applyNumberFormat="1" applyFont="1" applyBorder="1"/>
    <xf numFmtId="194" fontId="51" fillId="0" borderId="0" xfId="42" applyNumberFormat="1" applyFont="1"/>
    <xf numFmtId="3" fontId="52" fillId="0" borderId="19" xfId="42" applyNumberFormat="1" applyFont="1" applyBorder="1"/>
    <xf numFmtId="194" fontId="52" fillId="0" borderId="20" xfId="42" applyNumberFormat="1" applyFont="1" applyBorder="1"/>
    <xf numFmtId="0" fontId="51" fillId="0" borderId="2" xfId="42" applyFont="1" applyBorder="1" applyAlignment="1">
      <alignment horizontal="left" indent="1"/>
    </xf>
    <xf numFmtId="9" fontId="51" fillId="0" borderId="2" xfId="42" applyNumberFormat="1" applyFont="1" applyBorder="1"/>
    <xf numFmtId="0" fontId="51" fillId="0" borderId="0" xfId="42" applyFont="1" applyAlignment="1">
      <alignment horizontal="left" indent="1"/>
    </xf>
    <xf numFmtId="10" fontId="51" fillId="0" borderId="0" xfId="42" applyNumberFormat="1" applyFont="1"/>
    <xf numFmtId="9" fontId="51" fillId="0" borderId="0" xfId="42" applyNumberFormat="1" applyFont="1"/>
    <xf numFmtId="0" fontId="51" fillId="0" borderId="0" xfId="42" applyFont="1" applyFill="1" applyAlignment="1">
      <alignment horizontal="left" indent="1"/>
    </xf>
    <xf numFmtId="9" fontId="51" fillId="0" borderId="0" xfId="42" applyNumberFormat="1" applyFont="1" applyFill="1"/>
    <xf numFmtId="0" fontId="3" fillId="0" borderId="17" xfId="0" applyFont="1" applyFill="1" applyBorder="1" applyAlignment="1">
      <alignment horizontal="center" vertical="center"/>
    </xf>
    <xf numFmtId="0" fontId="2" fillId="25" borderId="21" xfId="0" applyFont="1" applyFill="1" applyBorder="1" applyAlignment="1">
      <alignment horizontal="center" vertical="center"/>
    </xf>
    <xf numFmtId="0" fontId="51" fillId="23" borderId="0" xfId="42" applyFont="1" applyFill="1" applyAlignment="1">
      <alignment horizontal="left" indent="1"/>
    </xf>
    <xf numFmtId="9" fontId="51" fillId="23" borderId="0" xfId="42" applyNumberFormat="1" applyFont="1" applyFill="1"/>
    <xf numFmtId="0" fontId="85" fillId="0" borderId="0" xfId="0" applyFont="1"/>
    <xf numFmtId="0" fontId="51" fillId="23" borderId="0" xfId="42" applyFont="1" applyFill="1"/>
    <xf numFmtId="194" fontId="51" fillId="23" borderId="0" xfId="42" applyNumberFormat="1" applyFont="1" applyFill="1"/>
    <xf numFmtId="0" fontId="0" fillId="23" borderId="0" xfId="0" applyFont="1" applyFill="1"/>
    <xf numFmtId="0" fontId="2" fillId="0" borderId="0" xfId="41"/>
    <xf numFmtId="0" fontId="60" fillId="13" borderId="10" xfId="0" applyFont="1" applyFill="1" applyBorder="1" applyAlignment="1">
      <alignment horizontal="right"/>
    </xf>
    <xf numFmtId="9" fontId="11" fillId="0" borderId="10" xfId="65" applyFont="1" applyFill="1" applyBorder="1" applyAlignment="1">
      <alignment horizontal="right"/>
    </xf>
    <xf numFmtId="9" fontId="71" fillId="0" borderId="10" xfId="65" applyFont="1" applyFill="1" applyBorder="1" applyAlignment="1">
      <alignment horizontal="right"/>
    </xf>
    <xf numFmtId="1" fontId="60" fillId="14" borderId="10" xfId="0" applyNumberFormat="1" applyFont="1" applyFill="1" applyBorder="1" applyAlignment="1">
      <alignment horizontal="right"/>
    </xf>
    <xf numFmtId="9" fontId="62" fillId="14" borderId="10" xfId="65" applyFont="1" applyFill="1" applyBorder="1" applyAlignment="1">
      <alignment horizontal="right"/>
    </xf>
    <xf numFmtId="0" fontId="61" fillId="15" borderId="10" xfId="0" applyFont="1" applyFill="1" applyBorder="1" applyAlignment="1">
      <alignment horizontal="right"/>
    </xf>
    <xf numFmtId="0" fontId="63" fillId="15" borderId="10" xfId="0" applyFont="1" applyFill="1" applyBorder="1" applyAlignment="1">
      <alignment horizontal="right"/>
    </xf>
    <xf numFmtId="1" fontId="61" fillId="0" borderId="10" xfId="0" applyNumberFormat="1" applyFont="1" applyBorder="1" applyAlignment="1">
      <alignment horizontal="right"/>
    </xf>
    <xf numFmtId="9" fontId="63" fillId="0" borderId="10" xfId="65" applyFont="1" applyBorder="1" applyAlignment="1">
      <alignment horizontal="right"/>
    </xf>
    <xf numFmtId="1" fontId="64" fillId="0" borderId="10" xfId="0" applyNumberFormat="1" applyFont="1" applyBorder="1" applyAlignment="1">
      <alignment horizontal="right"/>
    </xf>
    <xf numFmtId="9" fontId="65" fillId="0" borderId="10" xfId="65" applyFont="1" applyBorder="1" applyAlignment="1">
      <alignment horizontal="right"/>
    </xf>
    <xf numFmtId="9" fontId="63" fillId="0" borderId="10" xfId="65" applyFont="1" applyFill="1" applyBorder="1" applyAlignment="1">
      <alignment horizontal="right"/>
    </xf>
    <xf numFmtId="1" fontId="61" fillId="0" borderId="10" xfId="0" applyNumberFormat="1" applyFont="1" applyFill="1" applyBorder="1" applyAlignment="1">
      <alignment horizontal="right"/>
    </xf>
    <xf numFmtId="1" fontId="61" fillId="16" borderId="10" xfId="0" applyNumberFormat="1" applyFont="1" applyFill="1" applyBorder="1" applyAlignment="1">
      <alignment horizontal="right"/>
    </xf>
    <xf numFmtId="9" fontId="63" fillId="16" borderId="10" xfId="65" applyFont="1" applyFill="1" applyBorder="1" applyAlignment="1">
      <alignment horizontal="right"/>
    </xf>
    <xf numFmtId="1" fontId="61" fillId="12" borderId="10" xfId="0" applyNumberFormat="1" applyFont="1" applyFill="1" applyBorder="1" applyAlignment="1">
      <alignment horizontal="right"/>
    </xf>
    <xf numFmtId="9" fontId="63" fillId="12" borderId="10" xfId="65" applyFont="1" applyFill="1" applyBorder="1" applyAlignment="1">
      <alignment horizontal="right"/>
    </xf>
    <xf numFmtId="0" fontId="63" fillId="0" borderId="10" xfId="0" applyFont="1" applyBorder="1" applyAlignment="1">
      <alignment horizontal="right"/>
    </xf>
    <xf numFmtId="0" fontId="61" fillId="0" borderId="10" xfId="0" applyFont="1" applyBorder="1" applyAlignment="1">
      <alignment horizontal="right"/>
    </xf>
    <xf numFmtId="1" fontId="61" fillId="15" borderId="10" xfId="0" applyNumberFormat="1" applyFont="1" applyFill="1" applyBorder="1" applyAlignment="1">
      <alignment horizontal="right"/>
    </xf>
    <xf numFmtId="9" fontId="63" fillId="15" borderId="10" xfId="65" applyFont="1" applyFill="1" applyBorder="1" applyAlignment="1">
      <alignment horizontal="right"/>
    </xf>
    <xf numFmtId="0" fontId="76" fillId="12" borderId="10" xfId="0" applyFont="1" applyFill="1" applyBorder="1" applyAlignment="1">
      <alignment horizontal="right"/>
    </xf>
    <xf numFmtId="0" fontId="77" fillId="12" borderId="10" xfId="0" applyFont="1" applyFill="1" applyBorder="1" applyAlignment="1">
      <alignment horizontal="right"/>
    </xf>
    <xf numFmtId="9" fontId="71" fillId="0" borderId="10" xfId="65" applyFont="1" applyBorder="1" applyAlignment="1">
      <alignment horizontal="right"/>
    </xf>
    <xf numFmtId="0" fontId="61" fillId="0" borderId="10" xfId="0" applyFont="1" applyFill="1" applyBorder="1" applyAlignment="1">
      <alignment horizontal="right"/>
    </xf>
    <xf numFmtId="1" fontId="86" fillId="0" borderId="0" xfId="0" applyNumberFormat="1" applyFont="1" applyAlignment="1">
      <alignment horizontal="right"/>
    </xf>
    <xf numFmtId="9" fontId="63" fillId="16" borderId="0" xfId="65" applyFont="1" applyFill="1" applyBorder="1" applyAlignment="1">
      <alignment horizontal="right"/>
    </xf>
    <xf numFmtId="9" fontId="71" fillId="15" borderId="10" xfId="65" applyFont="1" applyFill="1" applyBorder="1" applyAlignment="1">
      <alignment horizontal="right"/>
    </xf>
    <xf numFmtId="9" fontId="16" fillId="6" borderId="0" xfId="67" applyNumberFormat="1" applyFont="1" applyFill="1" applyBorder="1" applyAlignment="1">
      <alignment horizontal="center"/>
    </xf>
    <xf numFmtId="9" fontId="72" fillId="6" borderId="0" xfId="67" applyNumberFormat="1" applyFont="1" applyFill="1" applyBorder="1" applyAlignment="1">
      <alignment horizontal="center"/>
    </xf>
    <xf numFmtId="0" fontId="72" fillId="0" borderId="2" xfId="0" applyFont="1" applyBorder="1" applyAlignment="1">
      <alignment horizontal="right"/>
    </xf>
    <xf numFmtId="1" fontId="0" fillId="0" borderId="0" xfId="0" applyNumberFormat="1" applyFont="1" applyAlignment="1">
      <alignment horizontal="center" vertical="top"/>
    </xf>
    <xf numFmtId="9" fontId="0" fillId="0" borderId="0" xfId="0" applyNumberFormat="1" applyFont="1" applyAlignment="1">
      <alignment horizontal="center" vertical="top"/>
    </xf>
    <xf numFmtId="1" fontId="0" fillId="0" borderId="2" xfId="0" applyNumberFormat="1" applyFont="1" applyBorder="1" applyAlignment="1">
      <alignment horizontal="center" vertical="top"/>
    </xf>
    <xf numFmtId="9" fontId="0" fillId="0" borderId="2" xfId="0" applyNumberFormat="1" applyFont="1" applyBorder="1" applyAlignment="1">
      <alignment horizontal="center" vertical="top"/>
    </xf>
    <xf numFmtId="171" fontId="72" fillId="0" borderId="0" xfId="0" applyNumberFormat="1" applyFont="1"/>
    <xf numFmtId="3" fontId="72" fillId="0" borderId="0" xfId="0" applyNumberFormat="1" applyFont="1"/>
    <xf numFmtId="0" fontId="83" fillId="0" borderId="2" xfId="0" applyFont="1" applyBorder="1"/>
    <xf numFmtId="0" fontId="83" fillId="23" borderId="0" xfId="0" applyFont="1" applyFill="1"/>
    <xf numFmtId="9" fontId="55" fillId="0" borderId="0" xfId="65" applyFont="1" applyAlignment="1">
      <alignment vertical="top"/>
    </xf>
    <xf numFmtId="17" fontId="0" fillId="0" borderId="0" xfId="0" applyNumberFormat="1" applyAlignment="1">
      <alignment vertical="top"/>
    </xf>
    <xf numFmtId="9" fontId="55" fillId="23" borderId="0" xfId="65" applyFont="1" applyFill="1" applyAlignment="1">
      <alignment vertical="top"/>
    </xf>
    <xf numFmtId="170" fontId="55" fillId="0" borderId="0" xfId="65" applyNumberFormat="1" applyFont="1" applyAlignment="1">
      <alignment vertical="top"/>
    </xf>
    <xf numFmtId="170" fontId="55" fillId="23" borderId="0" xfId="65" applyNumberFormat="1" applyFont="1" applyFill="1" applyAlignment="1">
      <alignment vertical="top"/>
    </xf>
    <xf numFmtId="170" fontId="0" fillId="0" borderId="0" xfId="0" applyNumberFormat="1" applyAlignment="1">
      <alignment vertical="top"/>
    </xf>
    <xf numFmtId="0" fontId="16" fillId="0" borderId="0" xfId="52" applyNumberFormat="1" applyFont="1" applyBorder="1" applyAlignment="1">
      <alignment vertical="center"/>
    </xf>
    <xf numFmtId="0" fontId="25" fillId="0" borderId="0" xfId="52" applyNumberFormat="1" applyFont="1" applyBorder="1" applyAlignment="1">
      <alignment horizontal="center" vertical="center"/>
    </xf>
    <xf numFmtId="0" fontId="73" fillId="14" borderId="9" xfId="52" applyNumberFormat="1" applyFont="1" applyFill="1" applyBorder="1" applyAlignment="1">
      <alignment horizontal="center" vertical="center" wrapText="1"/>
    </xf>
    <xf numFmtId="0" fontId="16" fillId="0" borderId="0" xfId="52" applyNumberFormat="1" applyFont="1" applyAlignment="1">
      <alignment horizontal="right" vertical="center"/>
    </xf>
    <xf numFmtId="0" fontId="16" fillId="0" borderId="0" xfId="52" applyNumberFormat="1" applyFont="1" applyAlignment="1">
      <alignment vertical="center"/>
    </xf>
    <xf numFmtId="1" fontId="16" fillId="0" borderId="0" xfId="52" applyNumberFormat="1" applyFont="1" applyBorder="1" applyAlignment="1">
      <alignment vertical="center"/>
    </xf>
    <xf numFmtId="9" fontId="16" fillId="0" borderId="0" xfId="66" applyFont="1" applyAlignment="1">
      <alignment vertical="center"/>
    </xf>
    <xf numFmtId="3" fontId="80" fillId="14" borderId="2" xfId="61" applyFont="1" applyFill="1" applyBorder="1" applyAlignment="1">
      <alignment horizontal="right" vertical="center"/>
    </xf>
    <xf numFmtId="3" fontId="80" fillId="14" borderId="2" xfId="61" quotePrefix="1" applyFont="1" applyFill="1" applyBorder="1" applyAlignment="1">
      <alignment horizontal="right" vertical="center"/>
    </xf>
    <xf numFmtId="0" fontId="80" fillId="14" borderId="0" xfId="61" applyNumberFormat="1" applyFont="1" applyFill="1" applyAlignment="1">
      <alignment vertical="center"/>
    </xf>
    <xf numFmtId="3" fontId="16" fillId="14" borderId="0" xfId="61" applyNumberFormat="1" applyFont="1" applyFill="1" applyAlignment="1">
      <alignment horizontal="right" vertical="center"/>
    </xf>
    <xf numFmtId="0" fontId="16" fillId="0" borderId="0" xfId="61" applyNumberFormat="1" applyFont="1" applyAlignment="1">
      <alignment vertical="center"/>
    </xf>
    <xf numFmtId="0" fontId="25" fillId="0" borderId="0" xfId="61" applyNumberFormat="1" applyFont="1" applyAlignment="1">
      <alignment vertical="center"/>
    </xf>
    <xf numFmtId="3" fontId="16" fillId="0" borderId="0" xfId="61" applyNumberFormat="1" applyFont="1" applyAlignment="1">
      <alignment horizontal="right" vertical="center"/>
    </xf>
    <xf numFmtId="3" fontId="25" fillId="0" borderId="0" xfId="61" applyNumberFormat="1" applyFont="1" applyAlignment="1">
      <alignment vertical="center"/>
    </xf>
    <xf numFmtId="0" fontId="60" fillId="13" borderId="0" xfId="0" applyFont="1" applyFill="1" applyBorder="1" applyAlignment="1">
      <alignment horizontal="right"/>
    </xf>
    <xf numFmtId="9" fontId="11" fillId="0" borderId="0" xfId="65" applyFont="1" applyFill="1" applyBorder="1" applyAlignment="1">
      <alignment horizontal="right"/>
    </xf>
    <xf numFmtId="1" fontId="60" fillId="14" borderId="0" xfId="0" applyNumberFormat="1" applyFont="1" applyFill="1" applyBorder="1" applyAlignment="1">
      <alignment horizontal="right"/>
    </xf>
    <xf numFmtId="0" fontId="61" fillId="15" borderId="0" xfId="0" applyFont="1" applyFill="1" applyBorder="1" applyAlignment="1">
      <alignment horizontal="right"/>
    </xf>
    <xf numFmtId="0" fontId="63" fillId="15" borderId="0" xfId="0" applyFont="1" applyFill="1" applyBorder="1" applyAlignment="1">
      <alignment horizontal="right"/>
    </xf>
    <xf numFmtId="9" fontId="71" fillId="0" borderId="0" xfId="65" applyFont="1" applyBorder="1" applyAlignment="1">
      <alignment horizontal="right"/>
    </xf>
    <xf numFmtId="1" fontId="64" fillId="0" borderId="0" xfId="0" applyNumberFormat="1" applyFont="1" applyBorder="1" applyAlignment="1">
      <alignment horizontal="right"/>
    </xf>
    <xf numFmtId="9" fontId="65" fillId="0" borderId="0" xfId="65" applyFont="1" applyBorder="1" applyAlignment="1">
      <alignment horizontal="right"/>
    </xf>
    <xf numFmtId="1" fontId="61" fillId="0" borderId="0" xfId="0" applyNumberFormat="1" applyFont="1" applyFill="1" applyBorder="1" applyAlignment="1">
      <alignment horizontal="right"/>
    </xf>
    <xf numFmtId="1" fontId="61" fillId="12" borderId="0" xfId="0" applyNumberFormat="1" applyFont="1" applyFill="1" applyBorder="1" applyAlignment="1">
      <alignment horizontal="right"/>
    </xf>
    <xf numFmtId="0" fontId="61" fillId="0" borderId="0" xfId="0" applyFont="1" applyFill="1" applyBorder="1" applyAlignment="1">
      <alignment horizontal="right"/>
    </xf>
    <xf numFmtId="9" fontId="71" fillId="0" borderId="0" xfId="65" applyFont="1" applyFill="1" applyBorder="1" applyAlignment="1">
      <alignment horizontal="right"/>
    </xf>
    <xf numFmtId="9" fontId="63" fillId="0" borderId="0" xfId="65" applyFont="1" applyFill="1" applyBorder="1" applyAlignment="1">
      <alignment horizontal="right"/>
    </xf>
    <xf numFmtId="9" fontId="63" fillId="12" borderId="0" xfId="65" applyFont="1" applyFill="1" applyBorder="1" applyAlignment="1">
      <alignment horizontal="right"/>
    </xf>
    <xf numFmtId="0" fontId="63" fillId="0" borderId="0" xfId="0" applyFont="1" applyBorder="1" applyAlignment="1">
      <alignment horizontal="right"/>
    </xf>
    <xf numFmtId="1" fontId="61" fillId="15" borderId="0" xfId="0" applyNumberFormat="1" applyFont="1" applyFill="1" applyBorder="1" applyAlignment="1">
      <alignment horizontal="right"/>
    </xf>
    <xf numFmtId="9" fontId="63" fillId="15" borderId="0" xfId="65" applyFont="1" applyFill="1" applyBorder="1" applyAlignment="1">
      <alignment horizontal="right"/>
    </xf>
    <xf numFmtId="9" fontId="71" fillId="15" borderId="0" xfId="65" applyFont="1" applyFill="1" applyBorder="1" applyAlignment="1">
      <alignment horizontal="right"/>
    </xf>
    <xf numFmtId="0" fontId="76" fillId="12" borderId="0" xfId="0" applyFont="1" applyFill="1" applyBorder="1" applyAlignment="1">
      <alignment horizontal="right"/>
    </xf>
    <xf numFmtId="0" fontId="77" fillId="12" borderId="0" xfId="0" applyFont="1" applyFill="1" applyBorder="1" applyAlignment="1">
      <alignment horizontal="right"/>
    </xf>
    <xf numFmtId="1" fontId="60" fillId="13" borderId="10" xfId="0" applyNumberFormat="1" applyFont="1" applyFill="1" applyBorder="1" applyAlignment="1">
      <alignment horizontal="right"/>
    </xf>
    <xf numFmtId="1" fontId="86" fillId="0" borderId="0" xfId="0" applyNumberFormat="1" applyFont="1" applyBorder="1" applyAlignment="1">
      <alignment horizontal="right"/>
    </xf>
    <xf numFmtId="9" fontId="16" fillId="6" borderId="0" xfId="0" applyNumberFormat="1" applyFont="1" applyFill="1" applyBorder="1" applyAlignment="1">
      <alignment horizontal="center"/>
    </xf>
    <xf numFmtId="9" fontId="72" fillId="6" borderId="0" xfId="0" applyNumberFormat="1" applyFont="1" applyFill="1" applyBorder="1" applyAlignment="1">
      <alignment horizontal="center"/>
    </xf>
    <xf numFmtId="191" fontId="37" fillId="5" borderId="0" xfId="0" applyNumberFormat="1" applyFont="1" applyFill="1" applyAlignment="1">
      <alignment horizontal="right" vertical="top" wrapText="1"/>
    </xf>
    <xf numFmtId="170" fontId="0" fillId="0" borderId="0" xfId="65" applyNumberFormat="1" applyFont="1" applyAlignment="1">
      <alignment vertical="top"/>
    </xf>
    <xf numFmtId="0" fontId="42" fillId="23" borderId="0" xfId="0" applyFont="1" applyFill="1"/>
    <xf numFmtId="0" fontId="42" fillId="23" borderId="0" xfId="0" applyFont="1" applyFill="1" applyAlignment="1">
      <alignment horizontal="center"/>
    </xf>
    <xf numFmtId="0" fontId="2" fillId="0" borderId="0" xfId="45" applyNumberFormat="1" applyFont="1" applyFill="1"/>
    <xf numFmtId="171" fontId="42" fillId="23" borderId="0" xfId="0" applyNumberFormat="1" applyFont="1" applyFill="1"/>
    <xf numFmtId="170" fontId="42" fillId="23" borderId="0" xfId="0" applyNumberFormat="1" applyFont="1" applyFill="1" applyAlignment="1">
      <alignment horizontal="center"/>
    </xf>
    <xf numFmtId="0" fontId="48" fillId="0" borderId="0" xfId="0" applyFont="1" applyFill="1"/>
    <xf numFmtId="0" fontId="17" fillId="0" borderId="0" xfId="0" applyNumberFormat="1" applyFont="1"/>
    <xf numFmtId="256" fontId="61" fillId="0" borderId="0" xfId="0" applyNumberFormat="1" applyFont="1" applyAlignment="1">
      <alignment horizontal="right"/>
    </xf>
    <xf numFmtId="257" fontId="61" fillId="0" borderId="0" xfId="0" applyNumberFormat="1" applyFont="1" applyAlignment="1">
      <alignment horizontal="right"/>
    </xf>
    <xf numFmtId="258" fontId="61" fillId="0" borderId="0" xfId="0" applyNumberFormat="1" applyFont="1" applyAlignment="1">
      <alignment horizontal="right"/>
    </xf>
    <xf numFmtId="259" fontId="48" fillId="0" borderId="0" xfId="52" applyNumberFormat="1" applyFont="1" applyFill="1" applyBorder="1"/>
    <xf numFmtId="170" fontId="61" fillId="0" borderId="0" xfId="0" applyNumberFormat="1" applyFont="1" applyFill="1" applyAlignment="1">
      <alignment horizontal="center"/>
    </xf>
    <xf numFmtId="260" fontId="48" fillId="0" borderId="0" xfId="52" applyNumberFormat="1" applyFont="1" applyFill="1" applyBorder="1"/>
    <xf numFmtId="261" fontId="61" fillId="0" borderId="0" xfId="0" applyNumberFormat="1" applyFont="1" applyAlignment="1">
      <alignment horizontal="right"/>
    </xf>
    <xf numFmtId="262" fontId="61" fillId="0" borderId="0" xfId="0" applyNumberFormat="1" applyFont="1" applyAlignment="1">
      <alignment horizontal="right"/>
    </xf>
    <xf numFmtId="200" fontId="48" fillId="0" borderId="0" xfId="52" applyNumberFormat="1" applyFont="1" applyFill="1" applyBorder="1"/>
    <xf numFmtId="0" fontId="122" fillId="0" borderId="0" xfId="0" applyFont="1" applyFill="1"/>
    <xf numFmtId="0" fontId="69" fillId="0" borderId="0" xfId="45" applyNumberFormat="1" applyFont="1" applyFill="1"/>
    <xf numFmtId="171" fontId="122" fillId="0" borderId="0" xfId="0" applyNumberFormat="1" applyFont="1" applyFill="1"/>
    <xf numFmtId="170" fontId="122" fillId="0" borderId="0" xfId="0" applyNumberFormat="1" applyFont="1" applyFill="1" applyAlignment="1">
      <alignment horizontal="center"/>
    </xf>
    <xf numFmtId="22" fontId="124" fillId="14" borderId="0" xfId="0" applyNumberFormat="1" applyFont="1" applyFill="1"/>
    <xf numFmtId="0" fontId="124" fillId="14" borderId="0" xfId="0" applyFont="1" applyFill="1"/>
    <xf numFmtId="171" fontId="61" fillId="0" borderId="0" xfId="0" applyNumberFormat="1" applyFont="1" applyAlignment="1">
      <alignment horizontal="right"/>
    </xf>
    <xf numFmtId="22" fontId="48" fillId="0" borderId="0" xfId="0" applyNumberFormat="1" applyFont="1"/>
    <xf numFmtId="0" fontId="124" fillId="14" borderId="2" xfId="52" applyNumberFormat="1" applyFont="1" applyFill="1" applyBorder="1"/>
    <xf numFmtId="0" fontId="124" fillId="14" borderId="2" xfId="52" applyNumberFormat="1" applyFont="1" applyFill="1" applyBorder="1" applyAlignment="1">
      <alignment horizontal="center"/>
    </xf>
    <xf numFmtId="0" fontId="124" fillId="14" borderId="2" xfId="52" applyNumberFormat="1" applyFont="1" applyFill="1" applyBorder="1" applyAlignment="1">
      <alignment horizontal="left"/>
    </xf>
    <xf numFmtId="0" fontId="48" fillId="0" borderId="0" xfId="52" applyNumberFormat="1" applyFont="1" applyFill="1"/>
    <xf numFmtId="0" fontId="48" fillId="0" borderId="0" xfId="52" applyNumberFormat="1" applyFont="1" applyFill="1" applyAlignment="1">
      <alignment horizontal="left"/>
    </xf>
    <xf numFmtId="0" fontId="124" fillId="14" borderId="0" xfId="52" applyNumberFormat="1" applyFont="1" applyFill="1"/>
    <xf numFmtId="1" fontId="61" fillId="0" borderId="0" xfId="0" applyNumberFormat="1" applyFont="1" applyAlignment="1">
      <alignment horizontal="center"/>
    </xf>
    <xf numFmtId="197" fontId="61" fillId="0" borderId="0" xfId="66" applyNumberFormat="1" applyFont="1" applyAlignment="1">
      <alignment horizontal="center"/>
    </xf>
    <xf numFmtId="0" fontId="67" fillId="14" borderId="0" xfId="0" applyFont="1" applyFill="1"/>
    <xf numFmtId="0" fontId="67" fillId="14" borderId="0" xfId="0" applyFont="1" applyFill="1" applyAlignment="1">
      <alignment horizontal="center"/>
    </xf>
    <xf numFmtId="0" fontId="68" fillId="14" borderId="0" xfId="0" applyFont="1" applyFill="1" applyAlignment="1">
      <alignment horizontal="center"/>
    </xf>
    <xf numFmtId="197" fontId="0" fillId="0" borderId="0" xfId="0" applyNumberFormat="1" applyAlignment="1">
      <alignment horizontal="center"/>
    </xf>
    <xf numFmtId="1" fontId="2" fillId="0" borderId="0" xfId="45" applyNumberFormat="1" applyFont="1" applyFill="1" applyAlignment="1">
      <alignment horizontal="center"/>
    </xf>
    <xf numFmtId="0" fontId="3" fillId="0" borderId="19" xfId="0" applyFont="1" applyBorder="1"/>
    <xf numFmtId="1" fontId="3" fillId="0" borderId="20" xfId="0" applyNumberFormat="1" applyFont="1" applyBorder="1" applyAlignment="1">
      <alignment horizontal="center"/>
    </xf>
    <xf numFmtId="197" fontId="3" fillId="0" borderId="20" xfId="0" applyNumberFormat="1" applyFont="1" applyBorder="1" applyAlignment="1">
      <alignment horizontal="center"/>
    </xf>
    <xf numFmtId="1" fontId="2" fillId="0" borderId="17" xfId="45" applyNumberFormat="1" applyFont="1" applyFill="1" applyBorder="1" applyAlignment="1">
      <alignment horizontal="center"/>
    </xf>
    <xf numFmtId="177" fontId="3" fillId="0" borderId="0" xfId="48" applyFont="1" applyAlignment="1">
      <alignment horizontal="right"/>
    </xf>
    <xf numFmtId="177" fontId="69" fillId="0" borderId="0" xfId="48" applyNumberFormat="1" applyFont="1"/>
    <xf numFmtId="1" fontId="72" fillId="0" borderId="2" xfId="0" applyNumberFormat="1" applyFont="1" applyBorder="1"/>
    <xf numFmtId="1" fontId="83" fillId="0" borderId="2" xfId="0" applyNumberFormat="1" applyFont="1" applyBorder="1"/>
    <xf numFmtId="0" fontId="25" fillId="23" borderId="2" xfId="0" applyFont="1" applyFill="1" applyBorder="1"/>
    <xf numFmtId="0" fontId="25" fillId="23" borderId="2" xfId="0" applyFont="1" applyFill="1" applyBorder="1" applyAlignment="1">
      <alignment horizontal="center"/>
    </xf>
    <xf numFmtId="0" fontId="83" fillId="23" borderId="0" xfId="0" applyFont="1" applyFill="1" applyAlignment="1">
      <alignment horizontal="right"/>
    </xf>
    <xf numFmtId="1" fontId="69" fillId="0" borderId="0" xfId="0" applyNumberFormat="1" applyFont="1" applyFill="1" applyAlignment="1">
      <alignment horizontal="center"/>
    </xf>
    <xf numFmtId="1" fontId="69" fillId="0" borderId="20" xfId="0" applyNumberFormat="1" applyFont="1" applyFill="1" applyBorder="1" applyAlignment="1">
      <alignment horizontal="center"/>
    </xf>
    <xf numFmtId="187" fontId="66" fillId="0" borderId="0" xfId="0" applyNumberFormat="1" applyFont="1"/>
    <xf numFmtId="9" fontId="61" fillId="0" borderId="0" xfId="0" applyNumberFormat="1" applyFont="1" applyAlignment="1">
      <alignment horizontal="right"/>
    </xf>
    <xf numFmtId="9" fontId="69" fillId="0" borderId="0" xfId="66" applyFont="1"/>
    <xf numFmtId="1" fontId="70" fillId="0" borderId="0" xfId="0" applyNumberFormat="1" applyFont="1"/>
    <xf numFmtId="0" fontId="60" fillId="14" borderId="0" xfId="61" applyNumberFormat="1" applyFont="1" applyFill="1" applyAlignment="1">
      <alignment vertical="center"/>
    </xf>
    <xf numFmtId="3" fontId="48" fillId="14" borderId="0" xfId="61" applyNumberFormat="1" applyFont="1" applyFill="1" applyAlignment="1">
      <alignment horizontal="right" vertical="center"/>
    </xf>
    <xf numFmtId="3" fontId="48" fillId="0" borderId="0" xfId="61" applyNumberFormat="1" applyFont="1" applyAlignment="1">
      <alignment horizontal="right" vertical="center"/>
    </xf>
    <xf numFmtId="1" fontId="48" fillId="0" borderId="0" xfId="61" applyNumberFormat="1" applyFont="1" applyAlignment="1">
      <alignment horizontal="center" vertical="center"/>
    </xf>
    <xf numFmtId="3" fontId="48" fillId="0" borderId="0" xfId="61" applyNumberFormat="1" applyFont="1" applyAlignment="1">
      <alignment horizontal="center" vertical="center"/>
    </xf>
    <xf numFmtId="0" fontId="48" fillId="0" borderId="0" xfId="61" applyNumberFormat="1" applyFont="1" applyAlignment="1">
      <alignment horizontal="center" vertical="center"/>
    </xf>
    <xf numFmtId="0" fontId="126" fillId="13" borderId="0" xfId="0" applyFont="1" applyFill="1" applyAlignment="1">
      <alignment vertical="top" wrapText="1"/>
    </xf>
    <xf numFmtId="0" fontId="126" fillId="13" borderId="0" xfId="0" applyFont="1" applyFill="1" applyAlignment="1">
      <alignment horizontal="center" vertical="top" wrapText="1"/>
    </xf>
    <xf numFmtId="0" fontId="127" fillId="0" borderId="0" xfId="0" applyFont="1" applyAlignment="1">
      <alignment vertical="top" wrapText="1"/>
    </xf>
    <xf numFmtId="0" fontId="126" fillId="14" borderId="0" xfId="45" applyFont="1" applyFill="1" applyAlignment="1">
      <alignment horizontal="left" vertical="top" wrapText="1"/>
    </xf>
    <xf numFmtId="0" fontId="126" fillId="14" borderId="0" xfId="45" applyFont="1" applyFill="1" applyAlignment="1">
      <alignment horizontal="center" vertical="top" wrapText="1"/>
    </xf>
    <xf numFmtId="0" fontId="128" fillId="0" borderId="0" xfId="45" applyFont="1" applyAlignment="1">
      <alignment vertical="top" wrapText="1"/>
    </xf>
    <xf numFmtId="0" fontId="128" fillId="0" borderId="0" xfId="45" applyFont="1" applyAlignment="1">
      <alignment horizontal="center" vertical="top" wrapText="1"/>
    </xf>
    <xf numFmtId="197" fontId="128" fillId="0" borderId="0" xfId="45" applyNumberFormat="1" applyFont="1" applyAlignment="1">
      <alignment horizontal="center" vertical="top" wrapText="1"/>
    </xf>
    <xf numFmtId="0" fontId="128" fillId="0" borderId="0" xfId="45" quotePrefix="1" applyFont="1" applyAlignment="1">
      <alignment horizontal="center" vertical="top" wrapText="1"/>
    </xf>
    <xf numFmtId="0" fontId="128" fillId="0" borderId="0" xfId="45" applyFont="1" applyBorder="1" applyAlignment="1">
      <alignment vertical="top" wrapText="1"/>
    </xf>
    <xf numFmtId="0" fontId="128" fillId="0" borderId="0" xfId="45" applyFont="1" applyBorder="1" applyAlignment="1">
      <alignment horizontal="center" vertical="top" wrapText="1"/>
    </xf>
    <xf numFmtId="0" fontId="129" fillId="15" borderId="0" xfId="0" applyFont="1" applyFill="1" applyBorder="1" applyAlignment="1">
      <alignment vertical="top" wrapText="1"/>
    </xf>
    <xf numFmtId="0" fontId="127" fillId="15" borderId="0" xfId="0" applyFont="1" applyFill="1" applyBorder="1" applyAlignment="1">
      <alignment vertical="top" wrapText="1"/>
    </xf>
    <xf numFmtId="9" fontId="128" fillId="15" borderId="0" xfId="65" applyFont="1" applyFill="1" applyBorder="1" applyAlignment="1">
      <alignment horizontal="center" vertical="top" wrapText="1"/>
    </xf>
    <xf numFmtId="9" fontId="128" fillId="0" borderId="0" xfId="45" applyNumberFormat="1" applyFont="1" applyBorder="1" applyAlignment="1">
      <alignment horizontal="center" vertical="top" wrapText="1"/>
    </xf>
    <xf numFmtId="9" fontId="128" fillId="0" borderId="0" xfId="65" applyFont="1" applyBorder="1" applyAlignment="1">
      <alignment horizontal="center" vertical="top" wrapText="1"/>
    </xf>
    <xf numFmtId="0" fontId="127" fillId="0" borderId="0" xfId="0" applyFont="1" applyBorder="1" applyAlignment="1">
      <alignment horizontal="center" vertical="top" wrapText="1"/>
    </xf>
    <xf numFmtId="0" fontId="127" fillId="0" borderId="0" xfId="0" applyFont="1" applyAlignment="1">
      <alignment horizontal="center" vertical="top" wrapText="1"/>
    </xf>
    <xf numFmtId="0" fontId="129" fillId="15" borderId="0" xfId="0" applyFont="1" applyFill="1" applyAlignment="1">
      <alignment vertical="top" wrapText="1"/>
    </xf>
    <xf numFmtId="0" fontId="127" fillId="15" borderId="0" xfId="0" applyFont="1" applyFill="1" applyAlignment="1">
      <alignment horizontal="center" vertical="top" wrapText="1"/>
    </xf>
    <xf numFmtId="0" fontId="127" fillId="0" borderId="0" xfId="0" applyFont="1" applyAlignment="1">
      <alignment horizontal="left" vertical="top" wrapText="1"/>
    </xf>
    <xf numFmtId="9" fontId="127" fillId="0" borderId="0" xfId="0" applyNumberFormat="1" applyFont="1" applyAlignment="1">
      <alignment horizontal="center" vertical="top" wrapText="1"/>
    </xf>
    <xf numFmtId="9" fontId="128" fillId="0" borderId="0" xfId="65" applyNumberFormat="1" applyFont="1" applyAlignment="1">
      <alignment horizontal="center" vertical="top" wrapText="1"/>
    </xf>
    <xf numFmtId="1" fontId="127" fillId="0" borderId="0" xfId="0" applyNumberFormat="1" applyFont="1" applyBorder="1" applyAlignment="1">
      <alignment horizontal="center" vertical="top" wrapText="1"/>
    </xf>
    <xf numFmtId="9" fontId="128" fillId="0" borderId="0" xfId="45" applyNumberFormat="1" applyFont="1" applyAlignment="1">
      <alignment horizontal="center" vertical="top" wrapText="1"/>
    </xf>
    <xf numFmtId="0" fontId="127" fillId="0" borderId="0" xfId="0" applyFont="1" applyBorder="1" applyAlignment="1">
      <alignment vertical="top" wrapText="1"/>
    </xf>
    <xf numFmtId="0" fontId="127" fillId="0" borderId="0" xfId="0" applyFont="1" applyAlignment="1">
      <alignment vertical="top"/>
    </xf>
    <xf numFmtId="0" fontId="128" fillId="0" borderId="2" xfId="45" applyFont="1" applyBorder="1" applyAlignment="1">
      <alignment vertical="top" wrapText="1"/>
    </xf>
    <xf numFmtId="0" fontId="128" fillId="0" borderId="2" xfId="45" applyFont="1" applyBorder="1" applyAlignment="1">
      <alignment horizontal="center" vertical="top" wrapText="1"/>
    </xf>
    <xf numFmtId="9" fontId="128" fillId="0" borderId="2" xfId="45" applyNumberFormat="1" applyFont="1" applyBorder="1" applyAlignment="1">
      <alignment horizontal="center" vertical="top" wrapText="1"/>
    </xf>
    <xf numFmtId="0" fontId="127" fillId="0" borderId="0" xfId="0" applyFont="1" applyAlignment="1">
      <alignment horizontal="right" vertical="top" wrapText="1"/>
    </xf>
    <xf numFmtId="0" fontId="126" fillId="14" borderId="0" xfId="0" applyFont="1" applyFill="1" applyAlignment="1">
      <alignment horizontal="left" vertical="top" wrapText="1"/>
    </xf>
    <xf numFmtId="0" fontId="126" fillId="14" borderId="0" xfId="0" applyFont="1" applyFill="1" applyAlignment="1">
      <alignment horizontal="center" vertical="top" wrapText="1"/>
    </xf>
    <xf numFmtId="9" fontId="127" fillId="0" borderId="0" xfId="65" applyNumberFormat="1" applyFont="1" applyAlignment="1">
      <alignment horizontal="center" vertical="top" wrapText="1"/>
    </xf>
    <xf numFmtId="9" fontId="127" fillId="0" borderId="0" xfId="65" applyFont="1" applyAlignment="1">
      <alignment horizontal="center" vertical="top" wrapText="1"/>
    </xf>
    <xf numFmtId="0" fontId="127" fillId="0" borderId="0" xfId="0" applyFont="1" applyAlignment="1">
      <alignment horizontal="right" vertical="top"/>
    </xf>
    <xf numFmtId="9" fontId="127" fillId="0" borderId="0" xfId="65" applyFont="1" applyAlignment="1">
      <alignment vertical="top" wrapText="1"/>
    </xf>
    <xf numFmtId="0" fontId="16" fillId="0" borderId="0" xfId="61" applyNumberFormat="1" applyFont="1" applyAlignment="1">
      <alignment horizontal="left" vertical="center" wrapText="1"/>
    </xf>
    <xf numFmtId="169" fontId="2" fillId="0" borderId="0" xfId="0" applyNumberFormat="1" applyFont="1" applyFill="1" applyAlignment="1">
      <alignment horizontal="left" indent="1"/>
    </xf>
    <xf numFmtId="169" fontId="3" fillId="0" borderId="0" xfId="0" applyNumberFormat="1" applyFont="1" applyFill="1"/>
    <xf numFmtId="9" fontId="69" fillId="0" borderId="0" xfId="65" applyFont="1" applyFill="1"/>
    <xf numFmtId="169" fontId="66" fillId="0" borderId="0" xfId="55" applyNumberFormat="1" applyFont="1" applyFill="1" applyAlignment="1">
      <alignment horizontal="right"/>
    </xf>
    <xf numFmtId="172" fontId="66" fillId="0" borderId="0" xfId="55" applyNumberFormat="1" applyFont="1" applyFill="1" applyAlignment="1">
      <alignment horizontal="right"/>
    </xf>
    <xf numFmtId="172" fontId="66" fillId="0" borderId="0" xfId="55" applyNumberFormat="1" applyFont="1" applyFill="1" applyBorder="1" applyAlignment="1">
      <alignment horizontal="right"/>
    </xf>
    <xf numFmtId="172" fontId="2" fillId="0" borderId="0" xfId="55" applyNumberFormat="1" applyFont="1" applyFill="1" applyBorder="1" applyAlignment="1">
      <alignment horizontal="right"/>
    </xf>
    <xf numFmtId="169" fontId="2" fillId="0" borderId="0" xfId="55" applyNumberFormat="1" applyFont="1" applyFill="1" applyAlignment="1">
      <alignment horizontal="right"/>
    </xf>
    <xf numFmtId="169" fontId="2" fillId="0" borderId="2" xfId="0" applyNumberFormat="1" applyFont="1" applyFill="1" applyBorder="1"/>
    <xf numFmtId="169" fontId="2" fillId="0" borderId="2" xfId="55" applyNumberFormat="1" applyFont="1" applyFill="1" applyBorder="1" applyAlignment="1">
      <alignment horizontal="right"/>
    </xf>
    <xf numFmtId="168" fontId="66" fillId="0" borderId="0" xfId="0" applyNumberFormat="1" applyFont="1" applyFill="1"/>
    <xf numFmtId="2" fontId="38" fillId="0" borderId="0" xfId="60" applyNumberFormat="1" applyFont="1" applyFill="1" applyAlignment="1">
      <alignment horizontal="right"/>
    </xf>
    <xf numFmtId="0" fontId="38" fillId="0" borderId="0" xfId="60" applyNumberFormat="1" applyFont="1" applyFill="1"/>
    <xf numFmtId="9" fontId="38" fillId="0" borderId="0" xfId="65" applyNumberFormat="1" applyFont="1" applyFill="1"/>
    <xf numFmtId="0" fontId="67" fillId="13" borderId="0" xfId="0" applyFont="1" applyFill="1" applyBorder="1" applyAlignment="1">
      <alignment vertical="top"/>
    </xf>
    <xf numFmtId="0" fontId="67" fillId="13" borderId="0" xfId="0" applyFont="1" applyFill="1" applyAlignment="1">
      <alignment horizontal="right" vertical="top"/>
    </xf>
    <xf numFmtId="0" fontId="67" fillId="13" borderId="0" xfId="0" applyFont="1" applyFill="1" applyBorder="1" applyAlignment="1">
      <alignment horizontal="left" vertical="top" wrapText="1"/>
    </xf>
    <xf numFmtId="0" fontId="67" fillId="13" borderId="0" xfId="0" applyFont="1" applyFill="1" applyBorder="1" applyAlignment="1">
      <alignment horizontal="right" vertical="top"/>
    </xf>
    <xf numFmtId="0" fontId="67" fillId="13" borderId="12" xfId="0" applyFont="1" applyFill="1" applyBorder="1" applyAlignment="1">
      <alignment horizontal="right" vertical="top"/>
    </xf>
    <xf numFmtId="0" fontId="67" fillId="13" borderId="10" xfId="0" applyFont="1" applyFill="1" applyBorder="1" applyAlignment="1">
      <alignment horizontal="right" vertical="top"/>
    </xf>
    <xf numFmtId="169" fontId="70" fillId="18" borderId="0" xfId="0" applyNumberFormat="1" applyFont="1" applyFill="1" applyBorder="1" applyAlignment="1">
      <alignment vertical="top"/>
    </xf>
    <xf numFmtId="168" fontId="70" fillId="18" borderId="0" xfId="14" applyNumberFormat="1" applyFont="1" applyFill="1" applyAlignment="1">
      <alignment horizontal="right" vertical="top"/>
    </xf>
    <xf numFmtId="169" fontId="70" fillId="18" borderId="0" xfId="0" applyNumberFormat="1" applyFont="1" applyFill="1" applyAlignment="1">
      <alignment horizontal="right" vertical="top"/>
    </xf>
    <xf numFmtId="9" fontId="3" fillId="0" borderId="0" xfId="65" applyFont="1" applyFill="1" applyBorder="1" applyAlignment="1">
      <alignment horizontal="center" vertical="top"/>
    </xf>
    <xf numFmtId="169" fontId="70" fillId="18" borderId="0" xfId="0" applyNumberFormat="1" applyFont="1" applyFill="1" applyBorder="1" applyAlignment="1">
      <alignment horizontal="right" vertical="top"/>
    </xf>
    <xf numFmtId="169" fontId="70" fillId="18" borderId="12" xfId="0" applyNumberFormat="1" applyFont="1" applyFill="1" applyBorder="1" applyAlignment="1">
      <alignment horizontal="right" vertical="top"/>
    </xf>
    <xf numFmtId="169" fontId="70" fillId="18" borderId="10" xfId="0" applyNumberFormat="1" applyFont="1" applyFill="1" applyBorder="1" applyAlignment="1">
      <alignment horizontal="right" vertical="top"/>
    </xf>
    <xf numFmtId="167" fontId="66" fillId="18" borderId="0" xfId="0" applyNumberFormat="1" applyFont="1" applyFill="1" applyBorder="1" applyAlignment="1">
      <alignment vertical="top"/>
    </xf>
    <xf numFmtId="170" fontId="66" fillId="18" borderId="0" xfId="65" applyNumberFormat="1" applyFont="1" applyFill="1" applyAlignment="1">
      <alignment horizontal="right" vertical="top"/>
    </xf>
    <xf numFmtId="9" fontId="66" fillId="18" borderId="0" xfId="65" applyNumberFormat="1" applyFont="1" applyFill="1" applyAlignment="1">
      <alignment horizontal="right" vertical="top"/>
    </xf>
    <xf numFmtId="9" fontId="66" fillId="0" borderId="0" xfId="65" applyNumberFormat="1" applyFont="1" applyFill="1" applyBorder="1" applyAlignment="1">
      <alignment horizontal="center" vertical="top"/>
    </xf>
    <xf numFmtId="9" fontId="66" fillId="18" borderId="0" xfId="65" applyNumberFormat="1" applyFont="1" applyFill="1" applyBorder="1" applyAlignment="1">
      <alignment horizontal="right" vertical="top"/>
    </xf>
    <xf numFmtId="9" fontId="66" fillId="18" borderId="12" xfId="65" applyNumberFormat="1" applyFont="1" applyFill="1" applyBorder="1" applyAlignment="1">
      <alignment horizontal="right" vertical="top"/>
    </xf>
    <xf numFmtId="9" fontId="66" fillId="18" borderId="10" xfId="65" applyNumberFormat="1" applyFont="1" applyFill="1" applyBorder="1" applyAlignment="1">
      <alignment horizontal="right" vertical="top"/>
    </xf>
    <xf numFmtId="0" fontId="66" fillId="0" borderId="0" xfId="0" applyFont="1" applyFill="1" applyBorder="1" applyAlignment="1">
      <alignment vertical="top"/>
    </xf>
    <xf numFmtId="0" fontId="66" fillId="0" borderId="0" xfId="0" applyFont="1" applyFill="1" applyAlignment="1">
      <alignment vertical="top"/>
    </xf>
    <xf numFmtId="9" fontId="66" fillId="0" borderId="0" xfId="65" applyNumberFormat="1" applyFont="1" applyFill="1" applyAlignment="1">
      <alignment vertical="top"/>
    </xf>
    <xf numFmtId="0" fontId="66" fillId="0" borderId="0" xfId="0" applyFont="1" applyAlignment="1">
      <alignment vertical="top"/>
    </xf>
    <xf numFmtId="9" fontId="78" fillId="0" borderId="0" xfId="65" applyFont="1" applyFill="1" applyBorder="1" applyAlignment="1">
      <alignment vertical="top"/>
    </xf>
    <xf numFmtId="170" fontId="78" fillId="0" borderId="0" xfId="65" applyNumberFormat="1" applyFont="1" applyFill="1" applyAlignment="1">
      <alignment horizontal="right" vertical="top"/>
    </xf>
    <xf numFmtId="170" fontId="78" fillId="0" borderId="0" xfId="65" applyNumberFormat="1" applyFont="1" applyFill="1" applyBorder="1" applyAlignment="1">
      <alignment horizontal="center" vertical="top"/>
    </xf>
    <xf numFmtId="170" fontId="78" fillId="0" borderId="0" xfId="65" applyNumberFormat="1" applyFont="1" applyFill="1" applyBorder="1" applyAlignment="1">
      <alignment horizontal="right" vertical="top"/>
    </xf>
    <xf numFmtId="170" fontId="78" fillId="0" borderId="12" xfId="65" applyNumberFormat="1" applyFont="1" applyFill="1" applyBorder="1" applyAlignment="1">
      <alignment horizontal="right" vertical="top"/>
    </xf>
    <xf numFmtId="170" fontId="78" fillId="0" borderId="10" xfId="65" applyNumberFormat="1" applyFont="1" applyFill="1" applyBorder="1" applyAlignment="1">
      <alignment horizontal="right" vertical="top"/>
    </xf>
    <xf numFmtId="0" fontId="78" fillId="0" borderId="0" xfId="0" applyFont="1" applyFill="1" applyBorder="1" applyAlignment="1">
      <alignment vertical="top"/>
    </xf>
    <xf numFmtId="0" fontId="78" fillId="0" borderId="0" xfId="0" applyFont="1" applyFill="1" applyAlignment="1">
      <alignment vertical="top"/>
    </xf>
    <xf numFmtId="170" fontId="78" fillId="0" borderId="0" xfId="65" applyNumberFormat="1" applyFont="1" applyFill="1" applyAlignment="1">
      <alignment vertical="top"/>
    </xf>
    <xf numFmtId="169" fontId="78" fillId="0" borderId="0" xfId="0" applyNumberFormat="1" applyFont="1" applyFill="1" applyBorder="1" applyAlignment="1">
      <alignment vertical="top"/>
    </xf>
    <xf numFmtId="169" fontId="78" fillId="0" borderId="0" xfId="0" applyNumberFormat="1" applyFont="1" applyFill="1" applyAlignment="1">
      <alignment horizontal="right" vertical="top"/>
    </xf>
    <xf numFmtId="169" fontId="79" fillId="0" borderId="0" xfId="0" applyNumberFormat="1" applyFont="1" applyFill="1" applyAlignment="1">
      <alignment horizontal="right" vertical="top"/>
    </xf>
    <xf numFmtId="169" fontId="79" fillId="0" borderId="0" xfId="0" applyNumberFormat="1" applyFont="1" applyFill="1" applyBorder="1" applyAlignment="1">
      <alignment horizontal="center" vertical="top"/>
    </xf>
    <xf numFmtId="169" fontId="78" fillId="0" borderId="0" xfId="0" applyNumberFormat="1" applyFont="1" applyFill="1" applyBorder="1" applyAlignment="1">
      <alignment horizontal="right" vertical="top"/>
    </xf>
    <xf numFmtId="169" fontId="78" fillId="0" borderId="12" xfId="0" applyNumberFormat="1" applyFont="1" applyFill="1" applyBorder="1" applyAlignment="1">
      <alignment horizontal="right" vertical="top"/>
    </xf>
    <xf numFmtId="169" fontId="78" fillId="0" borderId="10" xfId="0" applyNumberFormat="1" applyFont="1" applyFill="1" applyBorder="1" applyAlignment="1">
      <alignment horizontal="right" vertical="top"/>
    </xf>
    <xf numFmtId="169" fontId="79" fillId="0" borderId="0" xfId="0" applyNumberFormat="1" applyFont="1" applyFill="1" applyBorder="1" applyAlignment="1">
      <alignment horizontal="right" vertical="top"/>
    </xf>
    <xf numFmtId="169" fontId="66" fillId="0" borderId="0" xfId="0" applyNumberFormat="1" applyFont="1" applyFill="1" applyBorder="1" applyAlignment="1">
      <alignment vertical="top"/>
    </xf>
    <xf numFmtId="169" fontId="66" fillId="0" borderId="0" xfId="0" applyNumberFormat="1" applyFont="1" applyFill="1" applyAlignment="1">
      <alignment horizontal="right" vertical="top"/>
    </xf>
    <xf numFmtId="169" fontId="66" fillId="0" borderId="0" xfId="0" applyNumberFormat="1" applyFont="1" applyFill="1" applyBorder="1" applyAlignment="1">
      <alignment horizontal="center" vertical="top"/>
    </xf>
    <xf numFmtId="169" fontId="66" fillId="0" borderId="0" xfId="0" applyNumberFormat="1" applyFont="1" applyFill="1" applyBorder="1" applyAlignment="1">
      <alignment horizontal="right" vertical="top"/>
    </xf>
    <xf numFmtId="169" fontId="66" fillId="0" borderId="12" xfId="0" applyNumberFormat="1" applyFont="1" applyFill="1" applyBorder="1" applyAlignment="1">
      <alignment horizontal="right" vertical="top"/>
    </xf>
    <xf numFmtId="169" fontId="66" fillId="0" borderId="10" xfId="0" applyNumberFormat="1" applyFont="1" applyFill="1" applyBorder="1" applyAlignment="1">
      <alignment horizontal="right" vertical="top"/>
    </xf>
    <xf numFmtId="169" fontId="70" fillId="0" borderId="0" xfId="0" applyNumberFormat="1" applyFont="1" applyFill="1" applyBorder="1" applyAlignment="1">
      <alignment horizontal="center" vertical="top"/>
    </xf>
    <xf numFmtId="169" fontId="70" fillId="0" borderId="0" xfId="0" applyNumberFormat="1" applyFont="1" applyFill="1" applyAlignment="1">
      <alignment horizontal="right" vertical="top"/>
    </xf>
    <xf numFmtId="170" fontId="66" fillId="0" borderId="0" xfId="65" applyNumberFormat="1" applyFont="1" applyFill="1" applyBorder="1" applyAlignment="1">
      <alignment horizontal="center" vertical="top"/>
    </xf>
    <xf numFmtId="170" fontId="66" fillId="18" borderId="0" xfId="65" applyNumberFormat="1" applyFont="1" applyFill="1" applyBorder="1" applyAlignment="1">
      <alignment horizontal="right" vertical="top"/>
    </xf>
    <xf numFmtId="170" fontId="66" fillId="18" borderId="12" xfId="65" applyNumberFormat="1" applyFont="1" applyFill="1" applyBorder="1" applyAlignment="1">
      <alignment horizontal="right" vertical="top"/>
    </xf>
    <xf numFmtId="170" fontId="66" fillId="18" borderId="10" xfId="65" applyNumberFormat="1" applyFont="1" applyFill="1" applyBorder="1" applyAlignment="1">
      <alignment horizontal="right" vertical="top"/>
    </xf>
    <xf numFmtId="170" fontId="66" fillId="0" borderId="0" xfId="65" applyNumberFormat="1" applyFont="1" applyFill="1" applyAlignment="1">
      <alignment vertical="top"/>
    </xf>
    <xf numFmtId="169" fontId="66" fillId="18" borderId="0" xfId="0" applyNumberFormat="1" applyFont="1" applyFill="1" applyBorder="1" applyAlignment="1">
      <alignment vertical="top"/>
    </xf>
    <xf numFmtId="169" fontId="66" fillId="18" borderId="0" xfId="0" applyNumberFormat="1" applyFont="1" applyFill="1" applyAlignment="1">
      <alignment horizontal="right" vertical="top"/>
    </xf>
    <xf numFmtId="169" fontId="66" fillId="18" borderId="12" xfId="0" applyNumberFormat="1" applyFont="1" applyFill="1" applyBorder="1" applyAlignment="1">
      <alignment horizontal="right" vertical="top"/>
    </xf>
    <xf numFmtId="169" fontId="66" fillId="18" borderId="0" xfId="0" applyNumberFormat="1" applyFont="1" applyFill="1" applyBorder="1" applyAlignment="1">
      <alignment horizontal="right" vertical="top"/>
    </xf>
    <xf numFmtId="169" fontId="66" fillId="18" borderId="10" xfId="0" applyNumberFormat="1" applyFont="1" applyFill="1" applyBorder="1" applyAlignment="1">
      <alignment horizontal="right" vertical="top"/>
    </xf>
    <xf numFmtId="170" fontId="66" fillId="0" borderId="0" xfId="65" applyNumberFormat="1" applyFont="1" applyFill="1" applyAlignment="1">
      <alignment horizontal="right" vertical="top"/>
    </xf>
    <xf numFmtId="170" fontId="66" fillId="0" borderId="0" xfId="65" applyNumberFormat="1" applyFont="1" applyFill="1" applyBorder="1" applyAlignment="1">
      <alignment horizontal="right" vertical="top"/>
    </xf>
    <xf numFmtId="170" fontId="66" fillId="0" borderId="12" xfId="65" applyNumberFormat="1" applyFont="1" applyFill="1" applyBorder="1" applyAlignment="1">
      <alignment horizontal="right" vertical="top"/>
    </xf>
    <xf numFmtId="170" fontId="66" fillId="0" borderId="10" xfId="65" applyNumberFormat="1" applyFont="1" applyFill="1" applyBorder="1" applyAlignment="1">
      <alignment horizontal="right" vertical="top"/>
    </xf>
    <xf numFmtId="9" fontId="66" fillId="0" borderId="0" xfId="65" applyFont="1" applyFill="1" applyAlignment="1">
      <alignment horizontal="right" vertical="top"/>
    </xf>
    <xf numFmtId="9" fontId="66" fillId="0" borderId="0" xfId="65" applyFont="1" applyFill="1" applyBorder="1" applyAlignment="1">
      <alignment horizontal="right" vertical="top"/>
    </xf>
    <xf numFmtId="9" fontId="66" fillId="0" borderId="0" xfId="65" applyFont="1" applyFill="1" applyBorder="1" applyAlignment="1">
      <alignment horizontal="center" vertical="top"/>
    </xf>
    <xf numFmtId="9" fontId="66" fillId="0" borderId="12" xfId="65" applyFont="1" applyFill="1" applyBorder="1" applyAlignment="1">
      <alignment horizontal="right" vertical="top"/>
    </xf>
    <xf numFmtId="9" fontId="66" fillId="0" borderId="10" xfId="65" applyFont="1" applyFill="1" applyBorder="1" applyAlignment="1">
      <alignment horizontal="right" vertical="top"/>
    </xf>
    <xf numFmtId="9" fontId="66" fillId="0" borderId="0" xfId="65" applyFont="1" applyFill="1" applyBorder="1" applyAlignment="1">
      <alignment vertical="top"/>
    </xf>
    <xf numFmtId="9" fontId="66" fillId="0" borderId="0" xfId="65" applyFont="1" applyFill="1" applyAlignment="1">
      <alignment vertical="top"/>
    </xf>
    <xf numFmtId="170" fontId="66" fillId="0" borderId="0" xfId="65" applyNumberFormat="1" applyFont="1" applyFill="1" applyBorder="1" applyAlignment="1">
      <alignment vertical="top"/>
    </xf>
    <xf numFmtId="168" fontId="70" fillId="18" borderId="0" xfId="0" applyNumberFormat="1" applyFont="1" applyFill="1" applyAlignment="1">
      <alignment horizontal="right" vertical="top"/>
    </xf>
    <xf numFmtId="168" fontId="70" fillId="18" borderId="0" xfId="0" applyNumberFormat="1" applyFont="1" applyFill="1" applyBorder="1" applyAlignment="1">
      <alignment horizontal="right" vertical="top"/>
    </xf>
    <xf numFmtId="168" fontId="70" fillId="18" borderId="12" xfId="0" applyNumberFormat="1" applyFont="1" applyFill="1" applyBorder="1" applyAlignment="1">
      <alignment horizontal="right" vertical="top"/>
    </xf>
    <xf numFmtId="168" fontId="70" fillId="18" borderId="10" xfId="0" applyNumberFormat="1" applyFont="1" applyFill="1" applyBorder="1" applyAlignment="1">
      <alignment horizontal="right" vertical="top"/>
    </xf>
    <xf numFmtId="168" fontId="70" fillId="0" borderId="0" xfId="0" applyNumberFormat="1" applyFont="1" applyFill="1" applyAlignment="1">
      <alignment vertical="top"/>
    </xf>
    <xf numFmtId="167" fontId="3" fillId="18" borderId="0" xfId="0" applyNumberFormat="1" applyFont="1" applyFill="1" applyBorder="1" applyAlignment="1">
      <alignment vertical="top"/>
    </xf>
    <xf numFmtId="170" fontId="2" fillId="18" borderId="0" xfId="65" applyNumberFormat="1" applyFont="1" applyFill="1" applyAlignment="1">
      <alignment horizontal="right" vertical="top"/>
    </xf>
    <xf numFmtId="170" fontId="2" fillId="0" borderId="0" xfId="65" applyNumberFormat="1" applyFont="1" applyFill="1" applyBorder="1" applyAlignment="1">
      <alignment horizontal="center" vertical="top"/>
    </xf>
    <xf numFmtId="170" fontId="2" fillId="18" borderId="0" xfId="65" applyNumberFormat="1" applyFont="1" applyFill="1" applyBorder="1" applyAlignment="1">
      <alignment horizontal="right" vertical="top"/>
    </xf>
    <xf numFmtId="170" fontId="2" fillId="18" borderId="12" xfId="65" applyNumberFormat="1" applyFont="1" applyFill="1" applyBorder="1" applyAlignment="1">
      <alignment horizontal="right" vertical="top"/>
    </xf>
    <xf numFmtId="170" fontId="2" fillId="18" borderId="10" xfId="65" applyNumberFormat="1" applyFont="1" applyFill="1" applyBorder="1" applyAlignment="1">
      <alignment horizontal="right" vertical="top"/>
    </xf>
    <xf numFmtId="170" fontId="2" fillId="0" borderId="0" xfId="65" applyNumberFormat="1" applyFont="1" applyFill="1" applyAlignment="1">
      <alignment vertical="top"/>
    </xf>
    <xf numFmtId="9" fontId="66" fillId="0" borderId="0" xfId="65" applyNumberFormat="1" applyFont="1" applyFill="1" applyAlignment="1">
      <alignment horizontal="right" vertical="top"/>
    </xf>
    <xf numFmtId="167" fontId="70" fillId="16" borderId="0" xfId="0" applyNumberFormat="1" applyFont="1" applyFill="1" applyBorder="1" applyAlignment="1">
      <alignment vertical="top"/>
    </xf>
    <xf numFmtId="169" fontId="70" fillId="16" borderId="0" xfId="0" applyNumberFormat="1" applyFont="1" applyFill="1" applyAlignment="1">
      <alignment horizontal="right" vertical="top"/>
    </xf>
    <xf numFmtId="169" fontId="70" fillId="16" borderId="0" xfId="0" applyNumberFormat="1" applyFont="1" applyFill="1" applyBorder="1" applyAlignment="1">
      <alignment horizontal="right" vertical="top"/>
    </xf>
    <xf numFmtId="169" fontId="70" fillId="16" borderId="12" xfId="0" applyNumberFormat="1" applyFont="1" applyFill="1" applyBorder="1" applyAlignment="1">
      <alignment horizontal="right" vertical="top"/>
    </xf>
    <xf numFmtId="169" fontId="70" fillId="16" borderId="10" xfId="0" applyNumberFormat="1" applyFont="1" applyFill="1" applyBorder="1" applyAlignment="1">
      <alignment horizontal="right" vertical="top"/>
    </xf>
    <xf numFmtId="167" fontId="66" fillId="16" borderId="0" xfId="0" applyNumberFormat="1" applyFont="1" applyFill="1" applyBorder="1" applyAlignment="1">
      <alignment vertical="top"/>
    </xf>
    <xf numFmtId="170" fontId="66" fillId="16" borderId="0" xfId="65" applyNumberFormat="1" applyFont="1" applyFill="1" applyAlignment="1">
      <alignment horizontal="right" vertical="top"/>
    </xf>
    <xf numFmtId="170" fontId="66" fillId="16" borderId="0" xfId="65" applyNumberFormat="1" applyFont="1" applyFill="1" applyBorder="1" applyAlignment="1">
      <alignment horizontal="right" vertical="top"/>
    </xf>
    <xf numFmtId="170" fontId="66" fillId="16" borderId="12" xfId="65" applyNumberFormat="1" applyFont="1" applyFill="1" applyBorder="1" applyAlignment="1">
      <alignment horizontal="right" vertical="top"/>
    </xf>
    <xf numFmtId="170" fontId="66" fillId="16" borderId="10" xfId="65" applyNumberFormat="1" applyFont="1" applyFill="1" applyBorder="1" applyAlignment="1">
      <alignment horizontal="right" vertical="top"/>
    </xf>
    <xf numFmtId="9" fontId="66" fillId="16" borderId="0" xfId="65" applyNumberFormat="1" applyFont="1" applyFill="1" applyAlignment="1">
      <alignment horizontal="right" vertical="top"/>
    </xf>
    <xf numFmtId="9" fontId="66" fillId="16" borderId="0" xfId="65" applyNumberFormat="1" applyFont="1" applyFill="1" applyBorder="1" applyAlignment="1">
      <alignment horizontal="right" vertical="top"/>
    </xf>
    <xf numFmtId="9" fontId="66" fillId="16" borderId="12" xfId="65" applyNumberFormat="1" applyFont="1" applyFill="1" applyBorder="1" applyAlignment="1">
      <alignment horizontal="right" vertical="top"/>
    </xf>
    <xf numFmtId="9" fontId="66" fillId="16" borderId="10" xfId="65" applyNumberFormat="1" applyFont="1" applyFill="1" applyBorder="1" applyAlignment="1">
      <alignment horizontal="right" vertical="top"/>
    </xf>
    <xf numFmtId="169" fontId="66" fillId="16" borderId="0" xfId="0" applyNumberFormat="1" applyFont="1" applyFill="1" applyAlignment="1">
      <alignment horizontal="right" vertical="top"/>
    </xf>
    <xf numFmtId="169" fontId="66" fillId="16" borderId="0" xfId="65" applyNumberFormat="1" applyFont="1" applyFill="1" applyAlignment="1">
      <alignment horizontal="right" vertical="top"/>
    </xf>
    <xf numFmtId="169" fontId="66" fillId="16" borderId="0" xfId="0" applyNumberFormat="1" applyFont="1" applyFill="1" applyBorder="1" applyAlignment="1">
      <alignment horizontal="right" vertical="top"/>
    </xf>
    <xf numFmtId="169" fontId="66" fillId="16" borderId="12" xfId="65" applyNumberFormat="1" applyFont="1" applyFill="1" applyBorder="1" applyAlignment="1">
      <alignment horizontal="right" vertical="top"/>
    </xf>
    <xf numFmtId="169" fontId="66" fillId="16" borderId="0" xfId="65" applyNumberFormat="1" applyFont="1" applyFill="1" applyBorder="1" applyAlignment="1">
      <alignment horizontal="right" vertical="top"/>
    </xf>
    <xf numFmtId="169" fontId="66" fillId="16" borderId="10" xfId="65" applyNumberFormat="1" applyFont="1" applyFill="1" applyBorder="1" applyAlignment="1">
      <alignment horizontal="right" vertical="top"/>
    </xf>
    <xf numFmtId="168" fontId="66" fillId="16" borderId="0" xfId="65" applyNumberFormat="1" applyFont="1" applyFill="1" applyAlignment="1">
      <alignment horizontal="right" vertical="top"/>
    </xf>
    <xf numFmtId="168" fontId="66" fillId="16" borderId="0" xfId="65" applyNumberFormat="1" applyFont="1" applyFill="1" applyBorder="1" applyAlignment="1">
      <alignment horizontal="right" vertical="top"/>
    </xf>
    <xf numFmtId="168" fontId="66" fillId="16" borderId="12" xfId="65" applyNumberFormat="1" applyFont="1" applyFill="1" applyBorder="1" applyAlignment="1">
      <alignment horizontal="right" vertical="top"/>
    </xf>
    <xf numFmtId="168" fontId="66" fillId="16" borderId="10" xfId="65" applyNumberFormat="1" applyFont="1" applyFill="1" applyBorder="1" applyAlignment="1">
      <alignment horizontal="right" vertical="top"/>
    </xf>
    <xf numFmtId="169" fontId="66" fillId="0" borderId="0" xfId="0" applyNumberFormat="1" applyFont="1" applyFill="1" applyAlignment="1">
      <alignment vertical="top"/>
    </xf>
    <xf numFmtId="0" fontId="70" fillId="0" borderId="0" xfId="0" applyFont="1" applyFill="1" applyBorder="1" applyAlignment="1">
      <alignment horizontal="left" vertical="top"/>
    </xf>
    <xf numFmtId="171" fontId="66" fillId="0" borderId="0" xfId="65" applyNumberFormat="1" applyFont="1" applyFill="1" applyAlignment="1">
      <alignment horizontal="right" vertical="top"/>
    </xf>
    <xf numFmtId="171" fontId="66" fillId="0" borderId="0" xfId="65" applyNumberFormat="1" applyFont="1" applyFill="1" applyBorder="1" applyAlignment="1">
      <alignment horizontal="right" vertical="top"/>
    </xf>
    <xf numFmtId="1" fontId="66" fillId="0" borderId="0" xfId="65" applyNumberFormat="1" applyFont="1" applyFill="1" applyAlignment="1">
      <alignment horizontal="right" vertical="top"/>
    </xf>
    <xf numFmtId="1" fontId="66" fillId="0" borderId="0" xfId="65" applyNumberFormat="1" applyFont="1" applyFill="1" applyBorder="1" applyAlignment="1">
      <alignment horizontal="right" vertical="top"/>
    </xf>
    <xf numFmtId="168" fontId="66" fillId="0" borderId="0" xfId="0" applyNumberFormat="1" applyFont="1" applyFill="1" applyAlignment="1">
      <alignment horizontal="right" vertical="top"/>
    </xf>
    <xf numFmtId="168" fontId="66" fillId="0" borderId="12" xfId="0" applyNumberFormat="1" applyFont="1" applyFill="1" applyBorder="1" applyAlignment="1">
      <alignment horizontal="right" vertical="top"/>
    </xf>
    <xf numFmtId="169" fontId="69" fillId="0" borderId="0" xfId="0" applyNumberFormat="1" applyFont="1" applyFill="1" applyBorder="1" applyAlignment="1">
      <alignment horizontal="right" vertical="top"/>
    </xf>
    <xf numFmtId="9" fontId="69" fillId="0" borderId="0" xfId="65" applyFont="1" applyFill="1" applyAlignment="1">
      <alignment horizontal="right" vertical="top"/>
    </xf>
    <xf numFmtId="9" fontId="69" fillId="0" borderId="12" xfId="65" applyFont="1" applyFill="1" applyBorder="1" applyAlignment="1">
      <alignment horizontal="right" vertical="top"/>
    </xf>
    <xf numFmtId="9" fontId="66" fillId="0" borderId="10" xfId="65" applyNumberFormat="1" applyFont="1" applyFill="1" applyBorder="1" applyAlignment="1">
      <alignment horizontal="right" vertical="top"/>
    </xf>
    <xf numFmtId="9" fontId="66" fillId="0" borderId="0" xfId="65" applyNumberFormat="1" applyFont="1" applyFill="1" applyBorder="1" applyAlignment="1">
      <alignment horizontal="right" vertical="top"/>
    </xf>
    <xf numFmtId="169" fontId="69" fillId="0" borderId="0" xfId="0" applyNumberFormat="1" applyFont="1" applyFill="1" applyAlignment="1">
      <alignment horizontal="right" vertical="top"/>
    </xf>
    <xf numFmtId="0" fontId="66" fillId="0" borderId="0" xfId="0" applyFont="1" applyFill="1" applyBorder="1" applyAlignment="1">
      <alignment horizontal="left" vertical="top"/>
    </xf>
    <xf numFmtId="169" fontId="70" fillId="0" borderId="0" xfId="0" applyNumberFormat="1" applyFont="1" applyFill="1" applyAlignment="1">
      <alignment vertical="top"/>
    </xf>
    <xf numFmtId="169" fontId="70" fillId="0" borderId="0" xfId="0" applyNumberFormat="1" applyFont="1" applyFill="1" applyBorder="1" applyAlignment="1">
      <alignment horizontal="right" vertical="top"/>
    </xf>
    <xf numFmtId="169" fontId="70" fillId="0" borderId="12" xfId="0" applyNumberFormat="1" applyFont="1" applyFill="1" applyBorder="1" applyAlignment="1">
      <alignment horizontal="right" vertical="top"/>
    </xf>
    <xf numFmtId="169" fontId="70" fillId="0" borderId="10" xfId="0" applyNumberFormat="1" applyFont="1" applyFill="1" applyBorder="1" applyAlignment="1">
      <alignment horizontal="right" vertical="top"/>
    </xf>
    <xf numFmtId="0" fontId="70" fillId="0" borderId="0" xfId="0" applyFont="1" applyFill="1" applyAlignment="1">
      <alignment vertical="top"/>
    </xf>
    <xf numFmtId="1" fontId="70" fillId="0" borderId="0" xfId="65" applyNumberFormat="1" applyFont="1" applyFill="1" applyAlignment="1">
      <alignment horizontal="right" vertical="top"/>
    </xf>
    <xf numFmtId="168" fontId="66" fillId="0" borderId="0" xfId="0" applyNumberFormat="1" applyFont="1" applyFill="1" applyBorder="1" applyAlignment="1">
      <alignment horizontal="right" vertical="top"/>
    </xf>
    <xf numFmtId="9" fontId="69" fillId="0" borderId="0" xfId="65" applyFont="1" applyFill="1" applyBorder="1" applyAlignment="1">
      <alignment horizontal="right" vertical="top"/>
    </xf>
    <xf numFmtId="172" fontId="66" fillId="0" borderId="0" xfId="0" applyNumberFormat="1" applyFont="1" applyFill="1" applyBorder="1" applyAlignment="1">
      <alignment horizontal="right" vertical="top"/>
    </xf>
    <xf numFmtId="172" fontId="66" fillId="0" borderId="12" xfId="0" applyNumberFormat="1" applyFont="1" applyFill="1" applyBorder="1" applyAlignment="1">
      <alignment horizontal="right" vertical="top"/>
    </xf>
    <xf numFmtId="172" fontId="66" fillId="0" borderId="0" xfId="0" applyNumberFormat="1" applyFont="1" applyFill="1" applyAlignment="1">
      <alignment horizontal="right" vertical="top"/>
    </xf>
    <xf numFmtId="172" fontId="66" fillId="0" borderId="0" xfId="0" applyNumberFormat="1" applyFont="1" applyFill="1" applyBorder="1" applyAlignment="1">
      <alignment horizontal="center" vertical="top"/>
    </xf>
    <xf numFmtId="169" fontId="70" fillId="18" borderId="0" xfId="0" applyNumberFormat="1" applyFont="1" applyFill="1" applyAlignment="1">
      <alignment vertical="top"/>
    </xf>
    <xf numFmtId="172" fontId="70" fillId="18" borderId="0" xfId="0" applyNumberFormat="1" applyFont="1" applyFill="1" applyAlignment="1">
      <alignment horizontal="right" vertical="top"/>
    </xf>
    <xf numFmtId="172" fontId="70" fillId="0" borderId="0" xfId="0" applyNumberFormat="1" applyFont="1" applyFill="1" applyBorder="1" applyAlignment="1">
      <alignment horizontal="center" vertical="top"/>
    </xf>
    <xf numFmtId="172" fontId="70" fillId="18" borderId="0" xfId="0" applyNumberFormat="1" applyFont="1" applyFill="1" applyBorder="1" applyAlignment="1">
      <alignment horizontal="right" vertical="top"/>
    </xf>
    <xf numFmtId="172" fontId="70" fillId="18" borderId="12" xfId="0" applyNumberFormat="1" applyFont="1" applyFill="1" applyBorder="1" applyAlignment="1">
      <alignment horizontal="right" vertical="top"/>
    </xf>
    <xf numFmtId="172" fontId="70" fillId="18" borderId="10" xfId="0" applyNumberFormat="1" applyFont="1" applyFill="1" applyBorder="1" applyAlignment="1">
      <alignment horizontal="right" vertical="top"/>
    </xf>
    <xf numFmtId="9" fontId="66" fillId="0" borderId="0" xfId="65" applyFont="1" applyFill="1" applyBorder="1" applyAlignment="1">
      <alignment horizontal="left" vertical="top"/>
    </xf>
    <xf numFmtId="172" fontId="70" fillId="0" borderId="0" xfId="0" applyNumberFormat="1" applyFont="1" applyFill="1" applyAlignment="1">
      <alignment horizontal="right" vertical="top"/>
    </xf>
    <xf numFmtId="169" fontId="66" fillId="18" borderId="0" xfId="0" applyNumberFormat="1" applyFont="1" applyFill="1" applyAlignment="1">
      <alignment vertical="top"/>
    </xf>
    <xf numFmtId="172" fontId="66" fillId="18" borderId="0" xfId="0" applyNumberFormat="1" applyFont="1" applyFill="1" applyAlignment="1">
      <alignment horizontal="right" vertical="top"/>
    </xf>
    <xf numFmtId="172" fontId="66" fillId="18" borderId="0" xfId="0" applyNumberFormat="1" applyFont="1" applyFill="1" applyBorder="1" applyAlignment="1">
      <alignment horizontal="right" vertical="top"/>
    </xf>
    <xf numFmtId="172" fontId="66" fillId="18" borderId="12" xfId="0" applyNumberFormat="1" applyFont="1" applyFill="1" applyBorder="1" applyAlignment="1">
      <alignment horizontal="right" vertical="top"/>
    </xf>
    <xf numFmtId="172" fontId="66" fillId="18" borderId="10" xfId="0" applyNumberFormat="1" applyFont="1" applyFill="1" applyBorder="1" applyAlignment="1">
      <alignment horizontal="right" vertical="top"/>
    </xf>
    <xf numFmtId="0" fontId="66" fillId="18" borderId="0" xfId="0" applyFont="1" applyFill="1" applyAlignment="1">
      <alignment horizontal="right" vertical="top"/>
    </xf>
    <xf numFmtId="0" fontId="66" fillId="0" borderId="0" xfId="0" applyFont="1" applyFill="1" applyAlignment="1">
      <alignment horizontal="right" vertical="top"/>
    </xf>
    <xf numFmtId="9" fontId="69" fillId="0" borderId="0" xfId="65" applyNumberFormat="1" applyFont="1" applyFill="1" applyAlignment="1">
      <alignment horizontal="right" vertical="top"/>
    </xf>
    <xf numFmtId="9" fontId="69" fillId="0" borderId="0" xfId="65" applyNumberFormat="1" applyFont="1" applyFill="1" applyBorder="1" applyAlignment="1">
      <alignment horizontal="right" vertical="top"/>
    </xf>
    <xf numFmtId="170" fontId="69" fillId="0" borderId="0" xfId="65" applyNumberFormat="1" applyFont="1" applyFill="1" applyAlignment="1">
      <alignment horizontal="right" vertical="top"/>
    </xf>
    <xf numFmtId="170" fontId="69" fillId="0" borderId="0" xfId="65" applyNumberFormat="1" applyFont="1" applyFill="1" applyBorder="1" applyAlignment="1">
      <alignment horizontal="right" vertical="top"/>
    </xf>
    <xf numFmtId="169" fontId="3" fillId="18" borderId="0" xfId="0" applyNumberFormat="1" applyFont="1" applyFill="1" applyAlignment="1">
      <alignment vertical="top"/>
    </xf>
    <xf numFmtId="172" fontId="3" fillId="18" borderId="0" xfId="0" applyNumberFormat="1" applyFont="1" applyFill="1" applyAlignment="1">
      <alignment horizontal="right" vertical="top"/>
    </xf>
    <xf numFmtId="172" fontId="3" fillId="18" borderId="0" xfId="0" applyNumberFormat="1" applyFont="1" applyFill="1" applyBorder="1" applyAlignment="1">
      <alignment horizontal="right" vertical="top"/>
    </xf>
    <xf numFmtId="172" fontId="3" fillId="18" borderId="12" xfId="0" applyNumberFormat="1" applyFont="1" applyFill="1" applyBorder="1" applyAlignment="1">
      <alignment horizontal="right" vertical="top"/>
    </xf>
    <xf numFmtId="172" fontId="3" fillId="18" borderId="10" xfId="0" applyNumberFormat="1" applyFont="1" applyFill="1" applyBorder="1" applyAlignment="1">
      <alignment horizontal="right" vertical="top"/>
    </xf>
    <xf numFmtId="0" fontId="2" fillId="0" borderId="0" xfId="0" applyFont="1" applyFill="1" applyBorder="1" applyAlignment="1">
      <alignment horizontal="left" vertical="top"/>
    </xf>
    <xf numFmtId="172" fontId="3" fillId="0" borderId="0" xfId="0" applyNumberFormat="1" applyFont="1" applyFill="1" applyAlignment="1">
      <alignment horizontal="right" vertical="top"/>
    </xf>
    <xf numFmtId="169" fontId="2" fillId="0" borderId="0" xfId="0" applyNumberFormat="1" applyFont="1" applyFill="1" applyAlignment="1">
      <alignment horizontal="right" vertical="top"/>
    </xf>
    <xf numFmtId="9" fontId="2" fillId="18" borderId="0" xfId="65" applyFont="1" applyFill="1" applyAlignment="1">
      <alignment horizontal="right" vertical="top"/>
    </xf>
    <xf numFmtId="9" fontId="2" fillId="0" borderId="0" xfId="65" applyFont="1" applyFill="1" applyBorder="1" applyAlignment="1">
      <alignment horizontal="left" vertical="top"/>
    </xf>
    <xf numFmtId="9" fontId="2" fillId="0" borderId="0" xfId="65" applyFont="1" applyFill="1" applyBorder="1" applyAlignment="1">
      <alignment horizontal="right" vertical="top"/>
    </xf>
    <xf numFmtId="9" fontId="2" fillId="0" borderId="0" xfId="65" applyFont="1" applyFill="1" applyAlignment="1">
      <alignment horizontal="right" vertical="top"/>
    </xf>
    <xf numFmtId="0" fontId="2" fillId="0" borderId="0" xfId="0" applyFont="1" applyFill="1" applyAlignment="1">
      <alignment vertical="top"/>
    </xf>
    <xf numFmtId="9" fontId="70" fillId="18" borderId="0" xfId="65" applyFont="1" applyFill="1" applyAlignment="1">
      <alignment vertical="top"/>
    </xf>
    <xf numFmtId="9" fontId="70" fillId="18" borderId="0" xfId="65" applyFont="1" applyFill="1" applyAlignment="1">
      <alignment horizontal="right" vertical="top"/>
    </xf>
    <xf numFmtId="9" fontId="70" fillId="0" borderId="0" xfId="65" applyFont="1" applyFill="1" applyBorder="1" applyAlignment="1">
      <alignment horizontal="center" vertical="top"/>
    </xf>
    <xf numFmtId="9" fontId="70" fillId="18" borderId="0" xfId="65" applyFont="1" applyFill="1" applyBorder="1" applyAlignment="1">
      <alignment horizontal="right" vertical="top"/>
    </xf>
    <xf numFmtId="9" fontId="70" fillId="18" borderId="0" xfId="65" applyNumberFormat="1" applyFont="1" applyFill="1" applyBorder="1" applyAlignment="1">
      <alignment horizontal="right" vertical="top"/>
    </xf>
    <xf numFmtId="9" fontId="70" fillId="18" borderId="12" xfId="65" applyNumberFormat="1" applyFont="1" applyFill="1" applyBorder="1" applyAlignment="1">
      <alignment horizontal="right" vertical="top"/>
    </xf>
    <xf numFmtId="9" fontId="70" fillId="18" borderId="12" xfId="65" applyFont="1" applyFill="1" applyBorder="1" applyAlignment="1">
      <alignment horizontal="right" vertical="top"/>
    </xf>
    <xf numFmtId="9" fontId="70" fillId="18" borderId="10" xfId="65" applyFont="1" applyFill="1" applyBorder="1" applyAlignment="1">
      <alignment horizontal="right" vertical="top"/>
    </xf>
    <xf numFmtId="9" fontId="66" fillId="18" borderId="0" xfId="65" applyFont="1" applyFill="1" applyBorder="1" applyAlignment="1">
      <alignment horizontal="right" vertical="top"/>
    </xf>
    <xf numFmtId="9" fontId="70" fillId="0" borderId="0" xfId="65" applyFont="1" applyFill="1" applyBorder="1" applyAlignment="1">
      <alignment horizontal="left" vertical="top"/>
    </xf>
    <xf numFmtId="9" fontId="70" fillId="0" borderId="0" xfId="65" applyFont="1" applyFill="1" applyAlignment="1">
      <alignment vertical="top"/>
    </xf>
    <xf numFmtId="9" fontId="70" fillId="0" borderId="0" xfId="65" applyFont="1" applyFill="1" applyBorder="1" applyAlignment="1">
      <alignment horizontal="right" vertical="top"/>
    </xf>
    <xf numFmtId="9" fontId="70" fillId="0" borderId="0" xfId="65" applyFont="1" applyFill="1" applyAlignment="1">
      <alignment horizontal="right" vertical="top"/>
    </xf>
    <xf numFmtId="9" fontId="70" fillId="0" borderId="0" xfId="65" applyNumberFormat="1" applyFont="1" applyFill="1" applyAlignment="1">
      <alignment horizontal="right" vertical="top"/>
    </xf>
    <xf numFmtId="167" fontId="70" fillId="18" borderId="0" xfId="0" applyNumberFormat="1" applyFont="1" applyFill="1" applyAlignment="1">
      <alignment vertical="top"/>
    </xf>
    <xf numFmtId="167" fontId="70" fillId="18" borderId="0" xfId="0" applyNumberFormat="1" applyFont="1" applyFill="1" applyAlignment="1">
      <alignment horizontal="right" vertical="top"/>
    </xf>
    <xf numFmtId="9" fontId="3" fillId="0" borderId="0" xfId="65" applyNumberFormat="1" applyFont="1" applyFill="1" applyBorder="1" applyAlignment="1">
      <alignment horizontal="center" vertical="top"/>
    </xf>
    <xf numFmtId="167" fontId="70" fillId="18" borderId="0" xfId="0" applyNumberFormat="1" applyFont="1" applyFill="1" applyBorder="1" applyAlignment="1">
      <alignment horizontal="right" vertical="top"/>
    </xf>
    <xf numFmtId="167" fontId="70" fillId="18" borderId="12" xfId="0" applyNumberFormat="1" applyFont="1" applyFill="1" applyBorder="1" applyAlignment="1">
      <alignment horizontal="right" vertical="top"/>
    </xf>
    <xf numFmtId="167" fontId="70" fillId="18" borderId="10" xfId="0" applyNumberFormat="1" applyFont="1" applyFill="1" applyBorder="1" applyAlignment="1">
      <alignment horizontal="right" vertical="top"/>
    </xf>
    <xf numFmtId="167" fontId="66" fillId="0" borderId="0" xfId="0" applyNumberFormat="1" applyFont="1" applyFill="1" applyAlignment="1">
      <alignment horizontal="right" vertical="top"/>
    </xf>
    <xf numFmtId="167" fontId="70" fillId="0" borderId="0" xfId="0" applyNumberFormat="1" applyFont="1" applyFill="1" applyAlignment="1">
      <alignment horizontal="right" vertical="top"/>
    </xf>
    <xf numFmtId="9" fontId="66" fillId="18" borderId="0" xfId="65" applyFont="1" applyFill="1" applyAlignment="1">
      <alignment horizontal="right" vertical="top"/>
    </xf>
    <xf numFmtId="167" fontId="66" fillId="18" borderId="0" xfId="0" applyNumberFormat="1" applyFont="1" applyFill="1" applyAlignment="1">
      <alignment horizontal="right" vertical="top"/>
    </xf>
    <xf numFmtId="167" fontId="66" fillId="18" borderId="0" xfId="0" applyNumberFormat="1" applyFont="1" applyFill="1" applyAlignment="1">
      <alignment vertical="top"/>
    </xf>
    <xf numFmtId="167" fontId="66" fillId="18" borderId="0" xfId="0" applyNumberFormat="1" applyFont="1" applyFill="1" applyBorder="1" applyAlignment="1">
      <alignment horizontal="right" vertical="top"/>
    </xf>
    <xf numFmtId="167" fontId="66" fillId="18" borderId="12" xfId="0" applyNumberFormat="1" applyFont="1" applyFill="1" applyBorder="1" applyAlignment="1">
      <alignment horizontal="right" vertical="top"/>
    </xf>
    <xf numFmtId="167" fontId="66" fillId="18" borderId="10" xfId="0" applyNumberFormat="1" applyFont="1" applyFill="1" applyBorder="1" applyAlignment="1">
      <alignment horizontal="right" vertical="top"/>
    </xf>
    <xf numFmtId="167" fontId="66" fillId="0" borderId="0" xfId="0" applyNumberFormat="1" applyFont="1" applyFill="1" applyAlignment="1">
      <alignment vertical="top"/>
    </xf>
    <xf numFmtId="167" fontId="66" fillId="0" borderId="0" xfId="0" applyNumberFormat="1" applyFont="1" applyFill="1" applyBorder="1" applyAlignment="1">
      <alignment horizontal="right" vertical="top"/>
    </xf>
    <xf numFmtId="167" fontId="66" fillId="0" borderId="12" xfId="0" applyNumberFormat="1" applyFont="1" applyFill="1" applyBorder="1" applyAlignment="1">
      <alignment horizontal="right" vertical="top"/>
    </xf>
    <xf numFmtId="167" fontId="66" fillId="0" borderId="10" xfId="0" applyNumberFormat="1" applyFont="1" applyFill="1" applyBorder="1" applyAlignment="1">
      <alignment horizontal="right" vertical="top"/>
    </xf>
    <xf numFmtId="168" fontId="66" fillId="18" borderId="0" xfId="0" applyNumberFormat="1" applyFont="1" applyFill="1" applyBorder="1" applyAlignment="1">
      <alignment horizontal="right" vertical="top"/>
    </xf>
    <xf numFmtId="172" fontId="70" fillId="0" borderId="0" xfId="0" applyNumberFormat="1" applyFont="1" applyFill="1" applyBorder="1" applyAlignment="1">
      <alignment horizontal="right" vertical="top"/>
    </xf>
    <xf numFmtId="172" fontId="70" fillId="0" borderId="12" xfId="0" applyNumberFormat="1" applyFont="1" applyFill="1" applyBorder="1" applyAlignment="1">
      <alignment horizontal="right" vertical="top"/>
    </xf>
    <xf numFmtId="172" fontId="70" fillId="0" borderId="10" xfId="0" applyNumberFormat="1" applyFont="1" applyFill="1" applyBorder="1" applyAlignment="1">
      <alignment horizontal="right" vertical="top"/>
    </xf>
    <xf numFmtId="9" fontId="70" fillId="0" borderId="12" xfId="65" applyFont="1" applyFill="1" applyBorder="1" applyAlignment="1">
      <alignment horizontal="right" vertical="top"/>
    </xf>
    <xf numFmtId="9" fontId="70" fillId="0" borderId="10" xfId="65" applyFont="1" applyFill="1" applyBorder="1" applyAlignment="1">
      <alignment horizontal="right" vertical="top"/>
    </xf>
    <xf numFmtId="167" fontId="70" fillId="0" borderId="0" xfId="0" applyNumberFormat="1" applyFont="1" applyFill="1" applyBorder="1" applyAlignment="1">
      <alignment horizontal="center" vertical="top"/>
    </xf>
    <xf numFmtId="167" fontId="70" fillId="0" borderId="0" xfId="0" applyNumberFormat="1" applyFont="1" applyFill="1" applyBorder="1" applyAlignment="1">
      <alignment horizontal="right" vertical="top"/>
    </xf>
    <xf numFmtId="167" fontId="70" fillId="0" borderId="12" xfId="0" applyNumberFormat="1" applyFont="1" applyFill="1" applyBorder="1" applyAlignment="1">
      <alignment horizontal="right" vertical="top"/>
    </xf>
    <xf numFmtId="167" fontId="70" fillId="0" borderId="10" xfId="0" applyNumberFormat="1" applyFont="1" applyFill="1" applyBorder="1" applyAlignment="1">
      <alignment horizontal="right" vertical="top"/>
    </xf>
    <xf numFmtId="172" fontId="66" fillId="0" borderId="10" xfId="0" applyNumberFormat="1" applyFont="1" applyFill="1" applyBorder="1" applyAlignment="1">
      <alignment horizontal="right" vertical="top"/>
    </xf>
    <xf numFmtId="167" fontId="70" fillId="0" borderId="0" xfId="14" applyFont="1" applyFill="1" applyAlignment="1">
      <alignment horizontal="right" vertical="top"/>
    </xf>
    <xf numFmtId="167" fontId="70" fillId="0" borderId="0" xfId="14" applyFont="1" applyFill="1" applyBorder="1" applyAlignment="1">
      <alignment horizontal="center" vertical="top"/>
    </xf>
    <xf numFmtId="167" fontId="70" fillId="0" borderId="0" xfId="14" applyFont="1" applyFill="1" applyBorder="1" applyAlignment="1">
      <alignment horizontal="right" vertical="top"/>
    </xf>
    <xf numFmtId="167" fontId="70" fillId="0" borderId="12" xfId="14" applyFont="1" applyFill="1" applyBorder="1" applyAlignment="1">
      <alignment horizontal="right" vertical="top"/>
    </xf>
    <xf numFmtId="167" fontId="70" fillId="0" borderId="10" xfId="14" applyFont="1" applyFill="1" applyBorder="1" applyAlignment="1">
      <alignment horizontal="right" vertical="top"/>
    </xf>
    <xf numFmtId="167" fontId="66" fillId="0" borderId="0" xfId="14" applyFont="1" applyFill="1" applyBorder="1" applyAlignment="1">
      <alignment horizontal="right" vertical="top"/>
    </xf>
    <xf numFmtId="169" fontId="3" fillId="17" borderId="0" xfId="0" applyNumberFormat="1" applyFont="1" applyFill="1" applyAlignment="1">
      <alignment vertical="top"/>
    </xf>
    <xf numFmtId="167" fontId="2" fillId="17" borderId="0" xfId="0" applyNumberFormat="1" applyFont="1" applyFill="1" applyAlignment="1">
      <alignment horizontal="right" vertical="top"/>
    </xf>
    <xf numFmtId="167" fontId="2" fillId="0" borderId="0" xfId="0" applyNumberFormat="1" applyFont="1" applyFill="1" applyBorder="1" applyAlignment="1">
      <alignment horizontal="center" vertical="top"/>
    </xf>
    <xf numFmtId="167" fontId="2" fillId="17" borderId="0" xfId="0" applyNumberFormat="1" applyFont="1" applyFill="1" applyBorder="1" applyAlignment="1">
      <alignment horizontal="right" vertical="top"/>
    </xf>
    <xf numFmtId="167" fontId="2" fillId="17" borderId="12" xfId="0" applyNumberFormat="1" applyFont="1" applyFill="1" applyBorder="1" applyAlignment="1">
      <alignment horizontal="right" vertical="top"/>
    </xf>
    <xf numFmtId="167" fontId="2" fillId="17" borderId="10" xfId="0" applyNumberFormat="1" applyFont="1" applyFill="1" applyBorder="1" applyAlignment="1">
      <alignment horizontal="right" vertical="top"/>
    </xf>
    <xf numFmtId="0" fontId="2" fillId="0" borderId="0" xfId="0" applyFont="1" applyFill="1" applyAlignment="1">
      <alignment vertical="top" wrapText="1"/>
    </xf>
    <xf numFmtId="167" fontId="2" fillId="0" borderId="0" xfId="0" applyNumberFormat="1" applyFont="1" applyFill="1" applyAlignment="1">
      <alignment horizontal="right" vertical="top"/>
    </xf>
    <xf numFmtId="167" fontId="66" fillId="0" borderId="0" xfId="0" applyNumberFormat="1" applyFont="1" applyFill="1" applyBorder="1" applyAlignment="1">
      <alignment vertical="top"/>
    </xf>
    <xf numFmtId="167" fontId="70" fillId="0" borderId="0" xfId="0" applyNumberFormat="1" applyFont="1" applyFill="1" applyBorder="1" applyAlignment="1">
      <alignment vertical="top"/>
    </xf>
    <xf numFmtId="173" fontId="66" fillId="0" borderId="12" xfId="0" applyNumberFormat="1" applyFont="1" applyFill="1" applyBorder="1" applyAlignment="1">
      <alignment horizontal="right" vertical="top"/>
    </xf>
    <xf numFmtId="173" fontId="66" fillId="0" borderId="0" xfId="0" applyNumberFormat="1" applyFont="1" applyFill="1" applyBorder="1" applyAlignment="1">
      <alignment horizontal="right" vertical="top"/>
    </xf>
    <xf numFmtId="171" fontId="70" fillId="0" borderId="0" xfId="0" applyNumberFormat="1" applyFont="1" applyFill="1" applyAlignment="1">
      <alignment horizontal="right" vertical="top"/>
    </xf>
    <xf numFmtId="171" fontId="70" fillId="0" borderId="0" xfId="0" applyNumberFormat="1" applyFont="1" applyFill="1" applyBorder="1" applyAlignment="1">
      <alignment horizontal="center" vertical="top"/>
    </xf>
    <xf numFmtId="171" fontId="70" fillId="0" borderId="0" xfId="0" applyNumberFormat="1" applyFont="1" applyFill="1" applyBorder="1" applyAlignment="1">
      <alignment horizontal="right" vertical="top"/>
    </xf>
    <xf numFmtId="171" fontId="70" fillId="0" borderId="12" xfId="0" applyNumberFormat="1" applyFont="1" applyFill="1" applyBorder="1" applyAlignment="1">
      <alignment horizontal="right" vertical="top"/>
    </xf>
    <xf numFmtId="171" fontId="70" fillId="0" borderId="10" xfId="0" applyNumberFormat="1" applyFont="1" applyFill="1" applyBorder="1" applyAlignment="1">
      <alignment horizontal="right" vertical="top"/>
    </xf>
    <xf numFmtId="171" fontId="70" fillId="0" borderId="0" xfId="0" applyNumberFormat="1" applyFont="1" applyFill="1" applyAlignment="1">
      <alignment vertical="top"/>
    </xf>
    <xf numFmtId="168" fontId="70" fillId="0" borderId="0" xfId="14" applyNumberFormat="1" applyFont="1" applyFill="1" applyBorder="1" applyAlignment="1">
      <alignment horizontal="center" vertical="top"/>
    </xf>
    <xf numFmtId="168" fontId="70" fillId="0" borderId="0" xfId="14" applyNumberFormat="1" applyFont="1" applyFill="1" applyAlignment="1">
      <alignment horizontal="right" vertical="top"/>
    </xf>
    <xf numFmtId="168" fontId="66" fillId="0" borderId="0" xfId="14" applyNumberFormat="1" applyFont="1" applyFill="1" applyAlignment="1">
      <alignment horizontal="right" vertical="top"/>
    </xf>
    <xf numFmtId="167" fontId="66" fillId="0" borderId="0" xfId="14" applyFont="1" applyFill="1" applyAlignment="1">
      <alignment horizontal="right" vertical="top"/>
    </xf>
    <xf numFmtId="168" fontId="70" fillId="0" borderId="0" xfId="14" applyNumberFormat="1" applyFont="1" applyFill="1" applyBorder="1" applyAlignment="1">
      <alignment horizontal="right" vertical="top"/>
    </xf>
    <xf numFmtId="167" fontId="66" fillId="0" borderId="12" xfId="14" applyFont="1" applyFill="1" applyBorder="1" applyAlignment="1">
      <alignment horizontal="right" vertical="top"/>
    </xf>
    <xf numFmtId="167" fontId="66" fillId="0" borderId="10" xfId="14" applyFont="1" applyFill="1" applyBorder="1" applyAlignment="1">
      <alignment horizontal="right" vertical="top"/>
    </xf>
    <xf numFmtId="169" fontId="2" fillId="0" borderId="0" xfId="0" applyNumberFormat="1" applyFont="1" applyFill="1" applyAlignment="1">
      <alignment vertical="top"/>
    </xf>
    <xf numFmtId="172" fontId="2" fillId="0" borderId="0" xfId="0" applyNumberFormat="1" applyFont="1" applyFill="1" applyAlignment="1">
      <alignment horizontal="right" vertical="top"/>
    </xf>
    <xf numFmtId="172" fontId="2" fillId="0" borderId="0" xfId="0" applyNumberFormat="1" applyFont="1" applyFill="1" applyBorder="1" applyAlignment="1">
      <alignment horizontal="center" vertical="top"/>
    </xf>
    <xf numFmtId="172" fontId="2" fillId="0" borderId="0" xfId="0" applyNumberFormat="1" applyFont="1" applyFill="1" applyBorder="1" applyAlignment="1">
      <alignment horizontal="right" vertical="top"/>
    </xf>
    <xf numFmtId="172" fontId="2" fillId="0" borderId="12" xfId="0" applyNumberFormat="1" applyFont="1" applyFill="1" applyBorder="1" applyAlignment="1">
      <alignment horizontal="right" vertical="top"/>
    </xf>
    <xf numFmtId="172" fontId="2" fillId="0" borderId="10" xfId="0" applyNumberFormat="1" applyFont="1" applyFill="1" applyBorder="1" applyAlignment="1">
      <alignment horizontal="right" vertical="top"/>
    </xf>
    <xf numFmtId="167" fontId="66" fillId="0" borderId="0" xfId="0" applyNumberFormat="1" applyFont="1" applyFill="1" applyBorder="1" applyAlignment="1">
      <alignment horizontal="center" vertical="top"/>
    </xf>
    <xf numFmtId="174" fontId="66" fillId="0" borderId="0" xfId="0" applyNumberFormat="1" applyFont="1" applyFill="1" applyAlignment="1">
      <alignment horizontal="right" vertical="top"/>
    </xf>
    <xf numFmtId="174" fontId="66" fillId="0" borderId="0" xfId="0" applyNumberFormat="1" applyFont="1" applyFill="1" applyBorder="1" applyAlignment="1">
      <alignment horizontal="center" vertical="top"/>
    </xf>
    <xf numFmtId="174" fontId="66" fillId="0" borderId="0" xfId="0" applyNumberFormat="1" applyFont="1" applyFill="1" applyBorder="1" applyAlignment="1">
      <alignment horizontal="right" vertical="top"/>
    </xf>
    <xf numFmtId="174" fontId="66" fillId="0" borderId="12" xfId="0" applyNumberFormat="1" applyFont="1" applyFill="1" applyBorder="1" applyAlignment="1">
      <alignment horizontal="right" vertical="top"/>
    </xf>
    <xf numFmtId="174" fontId="66" fillId="0" borderId="10" xfId="0" applyNumberFormat="1" applyFont="1" applyFill="1" applyBorder="1" applyAlignment="1">
      <alignment horizontal="right" vertical="top"/>
    </xf>
    <xf numFmtId="0" fontId="66" fillId="0" borderId="0" xfId="0" applyFont="1" applyFill="1" applyAlignment="1">
      <alignment vertical="top" wrapText="1"/>
    </xf>
    <xf numFmtId="169" fontId="66" fillId="24" borderId="0" xfId="0" applyNumberFormat="1" applyFont="1" applyFill="1" applyAlignment="1">
      <alignment vertical="top"/>
    </xf>
    <xf numFmtId="167" fontId="66" fillId="24" borderId="0" xfId="0" applyNumberFormat="1" applyFont="1" applyFill="1" applyAlignment="1">
      <alignment horizontal="right" vertical="top"/>
    </xf>
    <xf numFmtId="167" fontId="66" fillId="24" borderId="12" xfId="0" applyNumberFormat="1" applyFont="1" applyFill="1" applyBorder="1" applyAlignment="1">
      <alignment horizontal="right" vertical="top"/>
    </xf>
    <xf numFmtId="167" fontId="66" fillId="24" borderId="0" xfId="0" applyNumberFormat="1" applyFont="1" applyFill="1" applyBorder="1" applyAlignment="1">
      <alignment horizontal="right" vertical="top"/>
    </xf>
    <xf numFmtId="167" fontId="66" fillId="24" borderId="10" xfId="0" applyNumberFormat="1" applyFont="1" applyFill="1" applyBorder="1" applyAlignment="1">
      <alignment horizontal="right" vertical="top"/>
    </xf>
    <xf numFmtId="9" fontId="66" fillId="24" borderId="0" xfId="65" applyFont="1" applyFill="1" applyAlignment="1">
      <alignment horizontal="right" vertical="top"/>
    </xf>
    <xf numFmtId="9" fontId="66" fillId="24" borderId="12" xfId="65" applyFont="1" applyFill="1" applyBorder="1" applyAlignment="1">
      <alignment horizontal="right" vertical="top"/>
    </xf>
    <xf numFmtId="9" fontId="66" fillId="24" borderId="0" xfId="65" applyFont="1" applyFill="1" applyBorder="1" applyAlignment="1">
      <alignment horizontal="right" vertical="top"/>
    </xf>
    <xf numFmtId="9" fontId="66" fillId="24" borderId="10" xfId="65" applyFont="1" applyFill="1" applyBorder="1" applyAlignment="1">
      <alignment horizontal="right" vertical="top"/>
    </xf>
    <xf numFmtId="175" fontId="70" fillId="0" borderId="0" xfId="65" applyNumberFormat="1" applyFont="1" applyFill="1" applyAlignment="1">
      <alignment horizontal="right" vertical="top"/>
    </xf>
    <xf numFmtId="175" fontId="70" fillId="0" borderId="0" xfId="65" applyNumberFormat="1" applyFont="1" applyFill="1" applyBorder="1" applyAlignment="1">
      <alignment horizontal="center" vertical="top"/>
    </xf>
    <xf numFmtId="175" fontId="70" fillId="0" borderId="0" xfId="65" applyNumberFormat="1" applyFont="1" applyFill="1" applyBorder="1" applyAlignment="1">
      <alignment horizontal="right" vertical="top"/>
    </xf>
    <xf numFmtId="175" fontId="70" fillId="0" borderId="12" xfId="65" applyNumberFormat="1" applyFont="1" applyFill="1" applyBorder="1" applyAlignment="1">
      <alignment horizontal="right" vertical="top"/>
    </xf>
    <xf numFmtId="175" fontId="70" fillId="0" borderId="10" xfId="65" applyNumberFormat="1" applyFont="1" applyFill="1" applyBorder="1" applyAlignment="1">
      <alignment horizontal="right" vertical="top"/>
    </xf>
    <xf numFmtId="0" fontId="4" fillId="0" borderId="0" xfId="0" applyFont="1" applyFill="1" applyAlignment="1">
      <alignment horizontal="right" vertical="top"/>
    </xf>
    <xf numFmtId="0" fontId="4" fillId="0" borderId="0" xfId="0" applyFont="1" applyFill="1" applyBorder="1" applyAlignment="1">
      <alignment horizontal="center" vertical="top"/>
    </xf>
    <xf numFmtId="0" fontId="67" fillId="0" borderId="0" xfId="0" applyFont="1" applyFill="1" applyBorder="1" applyAlignment="1">
      <alignment horizontal="right" vertical="top"/>
    </xf>
    <xf numFmtId="0" fontId="67" fillId="0" borderId="12" xfId="0" applyFont="1" applyFill="1" applyBorder="1" applyAlignment="1">
      <alignment horizontal="right" vertical="top"/>
    </xf>
    <xf numFmtId="0" fontId="67" fillId="0" borderId="10" xfId="0" applyFont="1" applyFill="1" applyBorder="1" applyAlignment="1">
      <alignment horizontal="right" vertical="top"/>
    </xf>
    <xf numFmtId="0" fontId="5" fillId="0" borderId="0" xfId="0" applyFont="1" applyFill="1" applyBorder="1" applyAlignment="1">
      <alignment vertical="top"/>
    </xf>
    <xf numFmtId="0" fontId="5" fillId="0" borderId="0" xfId="0" applyFont="1" applyFill="1" applyAlignment="1">
      <alignment vertical="top"/>
    </xf>
    <xf numFmtId="168" fontId="66" fillId="0" borderId="0" xfId="14" applyNumberFormat="1" applyFont="1" applyFill="1" applyBorder="1" applyAlignment="1">
      <alignment horizontal="center" vertical="top"/>
    </xf>
    <xf numFmtId="168" fontId="66" fillId="0" borderId="0" xfId="14" applyNumberFormat="1" applyFont="1" applyFill="1" applyBorder="1" applyAlignment="1">
      <alignment horizontal="right" vertical="top"/>
    </xf>
    <xf numFmtId="168" fontId="66" fillId="0" borderId="12" xfId="14" applyNumberFormat="1" applyFont="1" applyFill="1" applyBorder="1" applyAlignment="1">
      <alignment horizontal="right" vertical="top"/>
    </xf>
    <xf numFmtId="168" fontId="66" fillId="0" borderId="10" xfId="14" applyNumberFormat="1" applyFont="1" applyFill="1" applyBorder="1" applyAlignment="1">
      <alignment horizontal="right" vertical="top"/>
    </xf>
    <xf numFmtId="168" fontId="66" fillId="0" borderId="0" xfId="14" applyNumberFormat="1" applyFont="1" applyFill="1" applyAlignment="1">
      <alignment vertical="top"/>
    </xf>
    <xf numFmtId="9" fontId="66" fillId="0" borderId="12" xfId="65" applyNumberFormat="1" applyFont="1" applyFill="1" applyBorder="1" applyAlignment="1">
      <alignment horizontal="right" vertical="top"/>
    </xf>
    <xf numFmtId="168" fontId="70" fillId="0" borderId="0" xfId="14" applyNumberFormat="1" applyFont="1" applyFill="1" applyAlignment="1">
      <alignment vertical="top"/>
    </xf>
    <xf numFmtId="1" fontId="66" fillId="0" borderId="0" xfId="0" applyNumberFormat="1" applyFont="1" applyFill="1" applyAlignment="1">
      <alignment vertical="top"/>
    </xf>
    <xf numFmtId="167" fontId="2" fillId="0" borderId="0" xfId="0" applyNumberFormat="1" applyFont="1" applyFill="1" applyBorder="1" applyAlignment="1">
      <alignment vertical="top"/>
    </xf>
    <xf numFmtId="170" fontId="2" fillId="0" borderId="0" xfId="65" applyNumberFormat="1" applyFont="1" applyFill="1" applyAlignment="1">
      <alignment horizontal="right" vertical="top"/>
    </xf>
    <xf numFmtId="170" fontId="2" fillId="0" borderId="0" xfId="65" applyNumberFormat="1" applyFont="1" applyFill="1" applyBorder="1" applyAlignment="1">
      <alignment horizontal="right" vertical="top"/>
    </xf>
    <xf numFmtId="170" fontId="2" fillId="0" borderId="12" xfId="65" applyNumberFormat="1" applyFont="1" applyFill="1" applyBorder="1" applyAlignment="1">
      <alignment horizontal="right" vertical="top"/>
    </xf>
    <xf numFmtId="170" fontId="2" fillId="0" borderId="10" xfId="65" applyNumberFormat="1" applyFont="1" applyFill="1" applyBorder="1" applyAlignment="1">
      <alignment horizontal="right" vertical="top"/>
    </xf>
    <xf numFmtId="9" fontId="2" fillId="0" borderId="0" xfId="65" applyNumberFormat="1" applyFont="1" applyFill="1" applyAlignment="1">
      <alignment horizontal="right" vertical="top"/>
    </xf>
    <xf numFmtId="9" fontId="2" fillId="0" borderId="12" xfId="65" applyNumberFormat="1" applyFont="1" applyFill="1" applyBorder="1" applyAlignment="1">
      <alignment horizontal="right" vertical="top"/>
    </xf>
    <xf numFmtId="9" fontId="2" fillId="0" borderId="0" xfId="65" applyNumberFormat="1" applyFont="1" applyFill="1" applyBorder="1" applyAlignment="1">
      <alignment horizontal="right" vertical="top"/>
    </xf>
    <xf numFmtId="9" fontId="2" fillId="0" borderId="10" xfId="65" applyNumberFormat="1" applyFont="1" applyFill="1" applyBorder="1" applyAlignment="1">
      <alignment horizontal="right" vertical="top"/>
    </xf>
    <xf numFmtId="168" fontId="70" fillId="0" borderId="0" xfId="0" applyNumberFormat="1" applyFont="1" applyFill="1" applyBorder="1" applyAlignment="1">
      <alignment horizontal="center" vertical="top"/>
    </xf>
    <xf numFmtId="176" fontId="70" fillId="0" borderId="0" xfId="65" applyNumberFormat="1" applyFont="1" applyFill="1" applyBorder="1" applyAlignment="1">
      <alignment horizontal="center" vertical="top"/>
    </xf>
    <xf numFmtId="9" fontId="70" fillId="0" borderId="0" xfId="65" applyNumberFormat="1" applyFont="1" applyFill="1" applyBorder="1" applyAlignment="1">
      <alignment horizontal="center" vertical="top"/>
    </xf>
    <xf numFmtId="9" fontId="70" fillId="0" borderId="0" xfId="65" applyNumberFormat="1" applyFont="1" applyFill="1" applyBorder="1" applyAlignment="1">
      <alignment horizontal="right" vertical="top"/>
    </xf>
    <xf numFmtId="168" fontId="70" fillId="0" borderId="0" xfId="0" applyNumberFormat="1" applyFont="1" applyFill="1" applyAlignment="1">
      <alignment horizontal="right" vertical="top"/>
    </xf>
    <xf numFmtId="168" fontId="70" fillId="0" borderId="0" xfId="0" applyNumberFormat="1" applyFont="1" applyFill="1" applyBorder="1" applyAlignment="1">
      <alignment horizontal="right" vertical="top"/>
    </xf>
    <xf numFmtId="168" fontId="70" fillId="0" borderId="12" xfId="0" applyNumberFormat="1" applyFont="1" applyFill="1" applyBorder="1" applyAlignment="1">
      <alignment horizontal="right" vertical="top"/>
    </xf>
    <xf numFmtId="168" fontId="70" fillId="0" borderId="10" xfId="0" applyNumberFormat="1" applyFont="1" applyFill="1" applyBorder="1" applyAlignment="1">
      <alignment horizontal="right" vertical="top"/>
    </xf>
    <xf numFmtId="170" fontId="70" fillId="0" borderId="0" xfId="65" applyNumberFormat="1" applyFont="1" applyFill="1" applyBorder="1" applyAlignment="1">
      <alignment horizontal="center" vertical="top"/>
    </xf>
    <xf numFmtId="170" fontId="70" fillId="0" borderId="0" xfId="65" applyNumberFormat="1" applyFont="1" applyFill="1" applyBorder="1" applyAlignment="1">
      <alignment horizontal="right" vertical="top"/>
    </xf>
    <xf numFmtId="170" fontId="70" fillId="0" borderId="12" xfId="65" applyNumberFormat="1" applyFont="1" applyFill="1" applyBorder="1" applyAlignment="1">
      <alignment horizontal="right" vertical="top"/>
    </xf>
    <xf numFmtId="170" fontId="70" fillId="0" borderId="10" xfId="65" applyNumberFormat="1" applyFont="1" applyFill="1" applyBorder="1" applyAlignment="1">
      <alignment horizontal="right" vertical="top"/>
    </xf>
    <xf numFmtId="170" fontId="70" fillId="0" borderId="0" xfId="65" applyNumberFormat="1" applyFont="1" applyFill="1" applyAlignment="1">
      <alignment vertical="top"/>
    </xf>
    <xf numFmtId="173" fontId="66" fillId="0" borderId="0" xfId="0" applyNumberFormat="1" applyFont="1" applyFill="1" applyAlignment="1">
      <alignment horizontal="right" vertical="top"/>
    </xf>
    <xf numFmtId="170" fontId="70" fillId="0" borderId="0" xfId="65" applyNumberFormat="1" applyFont="1" applyFill="1" applyBorder="1" applyAlignment="1">
      <alignment vertical="top"/>
    </xf>
    <xf numFmtId="170" fontId="70" fillId="0" borderId="0" xfId="65" applyNumberFormat="1" applyFont="1" applyFill="1" applyAlignment="1">
      <alignment horizontal="right" vertical="top"/>
    </xf>
    <xf numFmtId="168" fontId="69" fillId="0" borderId="0" xfId="0" applyNumberFormat="1" applyFont="1" applyFill="1" applyBorder="1" applyAlignment="1">
      <alignment horizontal="right" vertical="top"/>
    </xf>
    <xf numFmtId="9" fontId="66" fillId="0" borderId="0" xfId="0" applyNumberFormat="1" applyFont="1" applyFill="1" applyAlignment="1">
      <alignment vertical="top"/>
    </xf>
    <xf numFmtId="170" fontId="66" fillId="0" borderId="0" xfId="0" applyNumberFormat="1" applyFont="1" applyFill="1" applyAlignment="1">
      <alignment horizontal="right" vertical="top"/>
    </xf>
    <xf numFmtId="170" fontId="66" fillId="0" borderId="0" xfId="0" applyNumberFormat="1" applyFont="1" applyFill="1" applyBorder="1" applyAlignment="1">
      <alignment horizontal="center" vertical="top"/>
    </xf>
    <xf numFmtId="170" fontId="66" fillId="0" borderId="0" xfId="0" applyNumberFormat="1" applyFont="1" applyFill="1" applyBorder="1" applyAlignment="1">
      <alignment horizontal="right" vertical="top"/>
    </xf>
    <xf numFmtId="170" fontId="66" fillId="0" borderId="10" xfId="0" applyNumberFormat="1" applyFont="1" applyFill="1" applyBorder="1" applyAlignment="1">
      <alignment horizontal="right" vertical="top"/>
    </xf>
    <xf numFmtId="167" fontId="66" fillId="0" borderId="0" xfId="0" applyNumberFormat="1" applyFont="1" applyFill="1" applyBorder="1" applyAlignment="1">
      <alignment vertical="top" wrapText="1"/>
    </xf>
    <xf numFmtId="0" fontId="68" fillId="0" borderId="0" xfId="0" applyFont="1" applyFill="1" applyBorder="1" applyAlignment="1">
      <alignment horizontal="center" vertical="top"/>
    </xf>
    <xf numFmtId="0" fontId="68" fillId="0" borderId="0" xfId="0" applyFont="1" applyFill="1" applyBorder="1" applyAlignment="1">
      <alignment horizontal="right" vertical="top"/>
    </xf>
    <xf numFmtId="0" fontId="68" fillId="0" borderId="12" xfId="0" applyFont="1" applyFill="1" applyBorder="1" applyAlignment="1">
      <alignment horizontal="right" vertical="top"/>
    </xf>
    <xf numFmtId="0" fontId="5" fillId="0" borderId="0" xfId="0" applyFont="1" applyFill="1" applyAlignment="1">
      <alignment horizontal="right" vertical="top"/>
    </xf>
    <xf numFmtId="171" fontId="66" fillId="0" borderId="0" xfId="0" applyNumberFormat="1" applyFont="1" applyFill="1" applyAlignment="1">
      <alignment horizontal="right" vertical="top"/>
    </xf>
    <xf numFmtId="171" fontId="66" fillId="0" borderId="0" xfId="0" applyNumberFormat="1" applyFont="1" applyFill="1" applyBorder="1" applyAlignment="1">
      <alignment horizontal="center" vertical="top"/>
    </xf>
    <xf numFmtId="171" fontId="66" fillId="0" borderId="0" xfId="0" applyNumberFormat="1" applyFont="1" applyFill="1" applyBorder="1" applyAlignment="1">
      <alignment horizontal="right" vertical="top"/>
    </xf>
    <xf numFmtId="171" fontId="66" fillId="0" borderId="12" xfId="0" applyNumberFormat="1" applyFont="1" applyFill="1" applyBorder="1" applyAlignment="1">
      <alignment horizontal="right" vertical="top"/>
    </xf>
    <xf numFmtId="171" fontId="66" fillId="0" borderId="10" xfId="0" applyNumberFormat="1" applyFont="1" applyFill="1" applyBorder="1" applyAlignment="1">
      <alignment horizontal="right" vertical="top"/>
    </xf>
    <xf numFmtId="171" fontId="66" fillId="0" borderId="0" xfId="0" applyNumberFormat="1" applyFont="1" applyFill="1" applyAlignment="1">
      <alignment vertical="top"/>
    </xf>
    <xf numFmtId="0" fontId="70" fillId="0" borderId="0" xfId="0" applyFont="1" applyFill="1" applyAlignment="1">
      <alignment vertical="top" wrapText="1"/>
    </xf>
    <xf numFmtId="2" fontId="66" fillId="0" borderId="0" xfId="0" applyNumberFormat="1" applyFont="1" applyFill="1" applyAlignment="1">
      <alignment horizontal="right" vertical="top"/>
    </xf>
    <xf numFmtId="2" fontId="66" fillId="0" borderId="0" xfId="0" applyNumberFormat="1" applyFont="1" applyFill="1" applyBorder="1" applyAlignment="1">
      <alignment horizontal="center" vertical="top"/>
    </xf>
    <xf numFmtId="2" fontId="66" fillId="0" borderId="0" xfId="0" applyNumberFormat="1" applyFont="1" applyFill="1" applyBorder="1" applyAlignment="1">
      <alignment horizontal="right" vertical="top"/>
    </xf>
    <xf numFmtId="2" fontId="66" fillId="0" borderId="12" xfId="0" applyNumberFormat="1" applyFont="1" applyFill="1" applyBorder="1" applyAlignment="1">
      <alignment horizontal="right" vertical="top"/>
    </xf>
    <xf numFmtId="2" fontId="66" fillId="0" borderId="10" xfId="0" applyNumberFormat="1" applyFont="1" applyFill="1" applyBorder="1" applyAlignment="1">
      <alignment horizontal="right" vertical="top"/>
    </xf>
    <xf numFmtId="2" fontId="66" fillId="0" borderId="0" xfId="0" applyNumberFormat="1" applyFont="1" applyFill="1" applyAlignment="1">
      <alignment vertical="top"/>
    </xf>
    <xf numFmtId="1" fontId="66" fillId="0" borderId="0" xfId="0" applyNumberFormat="1" applyFont="1" applyFill="1" applyAlignment="1">
      <alignment horizontal="right" vertical="top"/>
    </xf>
    <xf numFmtId="1" fontId="66" fillId="0" borderId="0" xfId="0" applyNumberFormat="1" applyFont="1" applyFill="1" applyBorder="1" applyAlignment="1">
      <alignment horizontal="center" vertical="top"/>
    </xf>
    <xf numFmtId="1" fontId="66" fillId="0" borderId="12" xfId="0" applyNumberFormat="1" applyFont="1" applyFill="1" applyBorder="1" applyAlignment="1">
      <alignment horizontal="right" vertical="top"/>
    </xf>
    <xf numFmtId="1" fontId="66" fillId="0" borderId="0" xfId="0" applyNumberFormat="1" applyFont="1" applyFill="1" applyBorder="1" applyAlignment="1">
      <alignment horizontal="right" vertical="top"/>
    </xf>
    <xf numFmtId="1" fontId="66" fillId="0" borderId="10" xfId="0" applyNumberFormat="1" applyFont="1" applyFill="1" applyBorder="1" applyAlignment="1">
      <alignment horizontal="right" vertical="top"/>
    </xf>
    <xf numFmtId="169" fontId="66" fillId="0" borderId="0" xfId="65" applyNumberFormat="1" applyFont="1" applyFill="1" applyAlignment="1">
      <alignment horizontal="right" vertical="top"/>
    </xf>
    <xf numFmtId="169" fontId="66" fillId="0" borderId="0" xfId="65" applyNumberFormat="1" applyFont="1" applyFill="1" applyAlignment="1">
      <alignment horizontal="center" vertical="top"/>
    </xf>
    <xf numFmtId="0" fontId="66" fillId="0" borderId="0" xfId="0" applyFont="1" applyAlignment="1">
      <alignment horizontal="right" vertical="top"/>
    </xf>
    <xf numFmtId="0" fontId="66" fillId="0" borderId="0" xfId="0" applyFont="1" applyBorder="1" applyAlignment="1">
      <alignment horizontal="center" vertical="top"/>
    </xf>
    <xf numFmtId="168" fontId="3" fillId="6" borderId="0" xfId="14" applyNumberFormat="1" applyFont="1" applyFill="1" applyBorder="1" applyAlignment="1">
      <alignment horizontal="right" vertical="top"/>
    </xf>
    <xf numFmtId="168" fontId="3" fillId="6" borderId="12" xfId="14" applyNumberFormat="1" applyFont="1" applyFill="1" applyBorder="1" applyAlignment="1">
      <alignment horizontal="right" vertical="top"/>
    </xf>
    <xf numFmtId="168" fontId="3" fillId="6" borderId="10" xfId="14" applyNumberFormat="1" applyFont="1" applyFill="1" applyBorder="1" applyAlignment="1">
      <alignment horizontal="right" vertical="top"/>
    </xf>
    <xf numFmtId="168" fontId="3" fillId="6" borderId="0" xfId="14" applyNumberFormat="1" applyFont="1" applyFill="1" applyAlignment="1">
      <alignment vertical="top"/>
    </xf>
    <xf numFmtId="0" fontId="60" fillId="13" borderId="0" xfId="0" applyFont="1" applyFill="1" applyAlignment="1">
      <alignment horizontal="center"/>
    </xf>
    <xf numFmtId="0" fontId="63" fillId="0" borderId="0" xfId="0" applyFont="1" applyAlignment="1">
      <alignment horizontal="center"/>
    </xf>
    <xf numFmtId="9" fontId="63" fillId="0" borderId="0" xfId="65" applyFont="1" applyAlignment="1">
      <alignment horizontal="center"/>
    </xf>
    <xf numFmtId="0" fontId="61" fillId="0" borderId="0" xfId="0" applyFont="1" applyAlignment="1">
      <alignment horizontal="center"/>
    </xf>
    <xf numFmtId="0" fontId="11" fillId="0" borderId="0" xfId="0" applyFont="1" applyFill="1" applyAlignment="1">
      <alignment horizontal="center"/>
    </xf>
    <xf numFmtId="9" fontId="65" fillId="0" borderId="0" xfId="65" applyFont="1" applyAlignment="1">
      <alignment horizontal="center"/>
    </xf>
    <xf numFmtId="9" fontId="63" fillId="0" borderId="0" xfId="65" applyFont="1" applyFill="1" applyAlignment="1">
      <alignment horizontal="center"/>
    </xf>
    <xf numFmtId="0" fontId="60" fillId="13" borderId="0" xfId="0" applyFont="1" applyFill="1" applyAlignment="1"/>
    <xf numFmtId="0" fontId="61" fillId="0" borderId="0" xfId="0" applyFont="1" applyAlignment="1"/>
    <xf numFmtId="9" fontId="55" fillId="0" borderId="0" xfId="65" applyFont="1" applyAlignment="1"/>
    <xf numFmtId="0" fontId="62" fillId="13" borderId="0" xfId="0" applyFont="1" applyFill="1" applyAlignment="1"/>
    <xf numFmtId="0" fontId="63" fillId="0" borderId="0" xfId="0" applyFont="1" applyAlignment="1"/>
    <xf numFmtId="0" fontId="11" fillId="0" borderId="0" xfId="0" applyFont="1" applyFill="1" applyAlignment="1"/>
    <xf numFmtId="0" fontId="63" fillId="0" borderId="0" xfId="0" applyFont="1" applyFill="1" applyBorder="1" applyAlignment="1"/>
    <xf numFmtId="0" fontId="60" fillId="14" borderId="0" xfId="0" applyFont="1" applyFill="1" applyAlignment="1"/>
    <xf numFmtId="0" fontId="62" fillId="14" borderId="0" xfId="0" applyFont="1" applyFill="1" applyAlignment="1"/>
    <xf numFmtId="0" fontId="61" fillId="15" borderId="0" xfId="0" applyFont="1" applyFill="1" applyAlignment="1"/>
    <xf numFmtId="9" fontId="63" fillId="15" borderId="0" xfId="65" applyFont="1" applyFill="1" applyAlignment="1"/>
    <xf numFmtId="0" fontId="63" fillId="15" borderId="0" xfId="0" applyFont="1" applyFill="1" applyAlignment="1"/>
    <xf numFmtId="0" fontId="61" fillId="0" borderId="0" xfId="0" applyFont="1" applyFill="1" applyAlignment="1"/>
    <xf numFmtId="9" fontId="63" fillId="0" borderId="0" xfId="65" applyFont="1" applyFill="1" applyAlignment="1"/>
    <xf numFmtId="9" fontId="63" fillId="0" borderId="0" xfId="65" applyFont="1" applyAlignment="1"/>
    <xf numFmtId="0" fontId="64" fillId="0" borderId="0" xfId="0" applyFont="1" applyFill="1" applyAlignment="1"/>
    <xf numFmtId="0" fontId="64" fillId="0" borderId="0" xfId="0" applyFont="1" applyAlignment="1"/>
    <xf numFmtId="9" fontId="65" fillId="0" borderId="0" xfId="65" applyFont="1" applyFill="1" applyAlignment="1"/>
    <xf numFmtId="9" fontId="65" fillId="0" borderId="0" xfId="65" applyFont="1" applyAlignment="1"/>
    <xf numFmtId="0" fontId="0" fillId="0" borderId="12" xfId="0" applyBorder="1" applyAlignment="1"/>
    <xf numFmtId="0" fontId="0" fillId="0" borderId="0" xfId="0" applyAlignment="1"/>
    <xf numFmtId="0" fontId="61" fillId="16" borderId="0" xfId="0" applyFont="1" applyFill="1" applyAlignment="1"/>
    <xf numFmtId="9" fontId="63" fillId="16" borderId="0" xfId="65" applyFont="1" applyFill="1" applyAlignment="1"/>
    <xf numFmtId="0" fontId="63" fillId="16" borderId="0" xfId="0" applyFont="1" applyFill="1" applyAlignment="1"/>
    <xf numFmtId="0" fontId="63" fillId="0" borderId="0" xfId="0" applyFont="1" applyFill="1" applyAlignment="1"/>
    <xf numFmtId="9" fontId="61" fillId="0" borderId="0" xfId="65" applyFont="1" applyAlignment="1"/>
    <xf numFmtId="0" fontId="61" fillId="12" borderId="0" xfId="0" applyFont="1" applyFill="1" applyAlignment="1"/>
    <xf numFmtId="9" fontId="63" fillId="12" borderId="0" xfId="65" applyFont="1" applyFill="1" applyAlignment="1"/>
    <xf numFmtId="1" fontId="61" fillId="0" borderId="0" xfId="0" applyNumberFormat="1" applyFont="1" applyAlignment="1"/>
    <xf numFmtId="0" fontId="76" fillId="12" borderId="0" xfId="0" applyFont="1" applyFill="1" applyAlignment="1"/>
    <xf numFmtId="0" fontId="77" fillId="12" borderId="0" xfId="0" applyFont="1" applyFill="1" applyAlignment="1"/>
    <xf numFmtId="0" fontId="4" fillId="34" borderId="0" xfId="0" applyFont="1" applyFill="1" applyBorder="1" applyAlignment="1">
      <alignment vertical="top"/>
    </xf>
    <xf numFmtId="0" fontId="4" fillId="34" borderId="0" xfId="0" applyFont="1" applyFill="1" applyAlignment="1">
      <alignment horizontal="right" vertical="top"/>
    </xf>
    <xf numFmtId="0" fontId="67" fillId="34" borderId="12" xfId="0" applyFont="1" applyFill="1" applyBorder="1" applyAlignment="1">
      <alignment horizontal="right" vertical="top"/>
    </xf>
    <xf numFmtId="0" fontId="67" fillId="34" borderId="0" xfId="0" applyFont="1" applyFill="1" applyBorder="1" applyAlignment="1">
      <alignment horizontal="right" vertical="top"/>
    </xf>
    <xf numFmtId="0" fontId="67" fillId="34" borderId="10" xfId="0" applyFont="1" applyFill="1" applyBorder="1" applyAlignment="1">
      <alignment horizontal="right" vertical="top"/>
    </xf>
    <xf numFmtId="0" fontId="67" fillId="34" borderId="0" xfId="0" applyFont="1" applyFill="1" applyBorder="1" applyAlignment="1">
      <alignment vertical="top"/>
    </xf>
    <xf numFmtId="0" fontId="68" fillId="34" borderId="0" xfId="0" applyFont="1" applyFill="1" applyAlignment="1">
      <alignment horizontal="right" vertical="top"/>
    </xf>
    <xf numFmtId="169" fontId="70" fillId="0" borderId="0" xfId="0" applyNumberFormat="1" applyFont="1" applyFill="1" applyBorder="1" applyAlignment="1">
      <alignment vertical="top"/>
    </xf>
    <xf numFmtId="168" fontId="70" fillId="0" borderId="12" xfId="14" applyNumberFormat="1" applyFont="1" applyFill="1" applyBorder="1" applyAlignment="1">
      <alignment horizontal="right" vertical="top"/>
    </xf>
    <xf numFmtId="168" fontId="70" fillId="0" borderId="10" xfId="14" applyNumberFormat="1" applyFont="1" applyFill="1" applyBorder="1" applyAlignment="1">
      <alignment horizontal="right" vertical="top"/>
    </xf>
    <xf numFmtId="0" fontId="70" fillId="0" borderId="0" xfId="0" applyFont="1" applyFill="1" applyBorder="1" applyAlignment="1">
      <alignment vertical="top"/>
    </xf>
    <xf numFmtId="169" fontId="3" fillId="0" borderId="0" xfId="0" applyNumberFormat="1" applyFont="1" applyFill="1" applyBorder="1" applyAlignment="1">
      <alignment vertical="top"/>
    </xf>
    <xf numFmtId="168" fontId="3" fillId="0" borderId="0" xfId="0" applyNumberFormat="1" applyFont="1" applyFill="1" applyAlignment="1">
      <alignment horizontal="right" vertical="top"/>
    </xf>
    <xf numFmtId="168" fontId="3" fillId="0" borderId="0" xfId="0" applyNumberFormat="1" applyFont="1" applyFill="1" applyBorder="1" applyAlignment="1">
      <alignment horizontal="right" vertical="top"/>
    </xf>
    <xf numFmtId="168" fontId="3" fillId="0" borderId="12" xfId="0" applyNumberFormat="1" applyFont="1" applyFill="1" applyBorder="1" applyAlignment="1">
      <alignment horizontal="right" vertical="top"/>
    </xf>
    <xf numFmtId="168" fontId="3" fillId="0" borderId="10" xfId="0" applyNumberFormat="1" applyFont="1" applyFill="1" applyBorder="1" applyAlignment="1">
      <alignment horizontal="right" vertical="top"/>
    </xf>
    <xf numFmtId="0" fontId="3" fillId="0" borderId="0" xfId="0" applyFont="1" applyFill="1" applyAlignment="1">
      <alignment vertical="top"/>
    </xf>
    <xf numFmtId="168" fontId="3" fillId="0" borderId="0" xfId="0" applyNumberFormat="1" applyFont="1" applyFill="1" applyAlignment="1">
      <alignment vertical="top"/>
    </xf>
    <xf numFmtId="167" fontId="3" fillId="0" borderId="0" xfId="0" applyNumberFormat="1" applyFont="1" applyFill="1" applyBorder="1" applyAlignment="1">
      <alignment vertical="top"/>
    </xf>
    <xf numFmtId="170" fontId="3" fillId="0" borderId="0" xfId="65" applyNumberFormat="1" applyFont="1" applyFill="1" applyAlignment="1">
      <alignment horizontal="right" vertical="top"/>
    </xf>
    <xf numFmtId="170" fontId="3" fillId="0" borderId="0" xfId="65" applyNumberFormat="1" applyFont="1" applyFill="1" applyBorder="1" applyAlignment="1">
      <alignment horizontal="center" vertical="top"/>
    </xf>
    <xf numFmtId="170" fontId="3" fillId="0" borderId="0" xfId="65" applyNumberFormat="1" applyFont="1" applyFill="1" applyBorder="1" applyAlignment="1">
      <alignment horizontal="right" vertical="top"/>
    </xf>
    <xf numFmtId="170" fontId="3" fillId="0" borderId="12" xfId="65" applyNumberFormat="1" applyFont="1" applyFill="1" applyBorder="1" applyAlignment="1">
      <alignment horizontal="right" vertical="top"/>
    </xf>
    <xf numFmtId="170" fontId="3" fillId="0" borderId="10" xfId="65" applyNumberFormat="1" applyFont="1" applyFill="1" applyBorder="1" applyAlignment="1">
      <alignment horizontal="right" vertical="top"/>
    </xf>
    <xf numFmtId="0" fontId="3" fillId="0" borderId="0" xfId="0" applyFont="1" applyFill="1" applyBorder="1" applyAlignment="1">
      <alignment vertical="top"/>
    </xf>
    <xf numFmtId="170" fontId="3" fillId="0" borderId="0" xfId="65" applyNumberFormat="1" applyFont="1" applyFill="1" applyAlignment="1">
      <alignment vertical="top"/>
    </xf>
    <xf numFmtId="169" fontId="3" fillId="0" borderId="0" xfId="0" applyNumberFormat="1" applyFont="1" applyFill="1" applyAlignment="1">
      <alignment horizontal="right" vertical="top"/>
    </xf>
    <xf numFmtId="169" fontId="3" fillId="0" borderId="0" xfId="0" applyNumberFormat="1" applyFont="1" applyFill="1" applyBorder="1" applyAlignment="1">
      <alignment horizontal="center" vertical="top"/>
    </xf>
    <xf numFmtId="169" fontId="3" fillId="0" borderId="0" xfId="0" applyNumberFormat="1" applyFont="1" applyFill="1" applyBorder="1" applyAlignment="1">
      <alignment horizontal="right" vertical="top"/>
    </xf>
    <xf numFmtId="169" fontId="3" fillId="0" borderId="12" xfId="0" applyNumberFormat="1" applyFont="1" applyFill="1" applyBorder="1" applyAlignment="1">
      <alignment horizontal="right" vertical="top"/>
    </xf>
    <xf numFmtId="169" fontId="3" fillId="0" borderId="10" xfId="0" applyNumberFormat="1" applyFont="1" applyFill="1" applyBorder="1" applyAlignment="1">
      <alignment horizontal="right" vertical="top"/>
    </xf>
    <xf numFmtId="168" fontId="3" fillId="0" borderId="0" xfId="14" applyNumberFormat="1" applyFont="1" applyFill="1" applyAlignment="1">
      <alignment horizontal="right" vertical="top"/>
    </xf>
    <xf numFmtId="168" fontId="3" fillId="0" borderId="0" xfId="14" applyNumberFormat="1" applyFont="1" applyFill="1" applyBorder="1" applyAlignment="1">
      <alignment horizontal="center" vertical="top"/>
    </xf>
    <xf numFmtId="168" fontId="3" fillId="0" borderId="0" xfId="14" applyNumberFormat="1" applyFont="1" applyFill="1" applyBorder="1" applyAlignment="1">
      <alignment horizontal="right" vertical="top"/>
    </xf>
    <xf numFmtId="168" fontId="3" fillId="0" borderId="12" xfId="14" applyNumberFormat="1" applyFont="1" applyFill="1" applyBorder="1" applyAlignment="1">
      <alignment horizontal="right" vertical="top"/>
    </xf>
    <xf numFmtId="168" fontId="3" fillId="0" borderId="10" xfId="14" applyNumberFormat="1" applyFont="1" applyFill="1" applyBorder="1" applyAlignment="1">
      <alignment horizontal="right" vertical="top"/>
    </xf>
    <xf numFmtId="168" fontId="3" fillId="0" borderId="0" xfId="14" applyNumberFormat="1" applyFont="1" applyFill="1" applyAlignment="1">
      <alignment vertical="top"/>
    </xf>
    <xf numFmtId="9" fontId="3" fillId="0" borderId="0" xfId="65" applyFont="1" applyFill="1" applyAlignment="1">
      <alignment vertical="top"/>
    </xf>
    <xf numFmtId="0" fontId="73" fillId="14" borderId="2" xfId="52" applyNumberFormat="1" applyFont="1" applyFill="1" applyBorder="1" applyAlignment="1">
      <alignment vertical="center"/>
    </xf>
    <xf numFmtId="0" fontId="73" fillId="14" borderId="2" xfId="52" applyNumberFormat="1" applyFont="1" applyFill="1" applyBorder="1" applyAlignment="1">
      <alignment horizontal="center" vertical="center" wrapText="1"/>
    </xf>
    <xf numFmtId="0" fontId="73" fillId="14" borderId="2" xfId="52" applyNumberFormat="1" applyFont="1" applyFill="1" applyBorder="1" applyAlignment="1">
      <alignment horizontal="right" vertical="center"/>
    </xf>
    <xf numFmtId="189" fontId="73" fillId="14" borderId="2" xfId="52" applyNumberFormat="1" applyFont="1" applyFill="1" applyBorder="1" applyAlignment="1">
      <alignment horizontal="right" vertical="center"/>
    </xf>
    <xf numFmtId="0" fontId="73" fillId="14" borderId="0" xfId="0" applyFont="1" applyFill="1" applyAlignment="1">
      <alignment horizontal="center" vertical="center" wrapText="1"/>
    </xf>
    <xf numFmtId="0" fontId="16" fillId="0" borderId="0" xfId="0" applyFont="1" applyAlignment="1">
      <alignment vertical="center"/>
    </xf>
    <xf numFmtId="0" fontId="73" fillId="14" borderId="0" xfId="52" applyNumberFormat="1" applyFont="1" applyFill="1" applyBorder="1" applyAlignment="1">
      <alignment horizontal="left" vertical="center"/>
    </xf>
    <xf numFmtId="0" fontId="73" fillId="14" borderId="0" xfId="52" applyNumberFormat="1" applyFont="1" applyFill="1" applyBorder="1" applyAlignment="1">
      <alignment horizontal="center" vertical="center" wrapText="1"/>
    </xf>
    <xf numFmtId="0" fontId="73" fillId="14" borderId="0" xfId="52" applyNumberFormat="1" applyFont="1" applyFill="1" applyBorder="1" applyAlignment="1">
      <alignment horizontal="right" vertical="center"/>
    </xf>
    <xf numFmtId="0" fontId="25" fillId="0" borderId="0" xfId="52" applyNumberFormat="1" applyFont="1" applyAlignment="1">
      <alignment vertical="center"/>
    </xf>
    <xf numFmtId="9" fontId="16" fillId="0" borderId="0" xfId="52" applyNumberFormat="1" applyFont="1" applyAlignment="1">
      <alignment horizontal="center" vertical="center"/>
    </xf>
    <xf numFmtId="3" fontId="16" fillId="0" borderId="0" xfId="52" applyFont="1" applyAlignment="1">
      <alignment horizontal="right" vertical="center"/>
    </xf>
    <xf numFmtId="195" fontId="46" fillId="14" borderId="0" xfId="66" applyNumberFormat="1" applyFont="1" applyFill="1" applyAlignment="1">
      <alignment horizontal="center" vertical="center" wrapText="1"/>
    </xf>
    <xf numFmtId="195" fontId="16" fillId="26" borderId="0" xfId="66" applyNumberFormat="1" applyFont="1" applyFill="1" applyAlignment="1">
      <alignment horizontal="center" vertical="center" wrapText="1"/>
    </xf>
    <xf numFmtId="195" fontId="16" fillId="15" borderId="0" xfId="66" applyNumberFormat="1" applyFont="1" applyFill="1" applyAlignment="1">
      <alignment horizontal="center" vertical="center" wrapText="1"/>
    </xf>
    <xf numFmtId="196" fontId="16" fillId="0" borderId="0" xfId="52" quotePrefix="1" applyNumberFormat="1" applyFont="1" applyAlignment="1">
      <alignment horizontal="left" vertical="center" wrapText="1"/>
    </xf>
    <xf numFmtId="171" fontId="16" fillId="0" borderId="0" xfId="52" applyNumberFormat="1" applyFont="1" applyBorder="1" applyAlignment="1">
      <alignment horizontal="center" vertical="center"/>
    </xf>
    <xf numFmtId="0" fontId="54" fillId="0" borderId="0" xfId="52" applyNumberFormat="1" applyFont="1" applyAlignment="1">
      <alignment vertical="center"/>
    </xf>
    <xf numFmtId="9" fontId="25" fillId="0" borderId="0" xfId="52" applyNumberFormat="1" applyFont="1" applyAlignment="1">
      <alignment horizontal="center" vertical="center"/>
    </xf>
    <xf numFmtId="3" fontId="25" fillId="0" borderId="0" xfId="52" applyFont="1" applyAlignment="1">
      <alignment horizontal="right" vertical="center"/>
    </xf>
    <xf numFmtId="195" fontId="25" fillId="15" borderId="0" xfId="66" applyNumberFormat="1" applyFont="1" applyFill="1" applyAlignment="1">
      <alignment horizontal="center" vertical="center" wrapText="1"/>
    </xf>
    <xf numFmtId="171" fontId="25" fillId="0" borderId="0" xfId="52" applyNumberFormat="1" applyFont="1" applyBorder="1" applyAlignment="1">
      <alignment horizontal="center" vertical="center"/>
    </xf>
    <xf numFmtId="9" fontId="25" fillId="0" borderId="0" xfId="52" applyNumberFormat="1" applyFont="1" applyBorder="1" applyAlignment="1">
      <alignment horizontal="center" vertical="center"/>
    </xf>
    <xf numFmtId="195" fontId="16" fillId="24" borderId="0" xfId="66" applyNumberFormat="1" applyFont="1" applyFill="1" applyAlignment="1">
      <alignment horizontal="center" vertical="center" wrapText="1"/>
    </xf>
    <xf numFmtId="196" fontId="16" fillId="0" borderId="0" xfId="52" applyNumberFormat="1" applyFont="1" applyAlignment="1">
      <alignment horizontal="left" vertical="center" wrapText="1"/>
    </xf>
    <xf numFmtId="0" fontId="25" fillId="0" borderId="0" xfId="52" applyNumberFormat="1" applyFont="1" applyAlignment="1">
      <alignment horizontal="center" vertical="center"/>
    </xf>
    <xf numFmtId="3" fontId="16" fillId="0" borderId="0" xfId="52" applyFont="1" applyBorder="1" applyAlignment="1">
      <alignment horizontal="right" vertical="center"/>
    </xf>
    <xf numFmtId="0" fontId="16" fillId="0" borderId="0" xfId="52" applyNumberFormat="1" applyFont="1" applyAlignment="1">
      <alignment horizontal="left" vertical="center" wrapText="1"/>
    </xf>
    <xf numFmtId="170" fontId="16" fillId="0" borderId="0" xfId="66" applyNumberFormat="1" applyFont="1" applyAlignment="1">
      <alignment horizontal="left" vertical="center"/>
    </xf>
    <xf numFmtId="1" fontId="25" fillId="0" borderId="0" xfId="52" applyNumberFormat="1" applyFont="1" applyAlignment="1">
      <alignment horizontal="right" vertical="center"/>
    </xf>
    <xf numFmtId="1" fontId="16" fillId="0" borderId="0" xfId="52" applyNumberFormat="1" applyFont="1" applyAlignment="1">
      <alignment horizontal="left" vertical="center" wrapText="1"/>
    </xf>
    <xf numFmtId="1" fontId="16" fillId="0" borderId="0" xfId="52" applyNumberFormat="1" applyFont="1" applyBorder="1" applyAlignment="1">
      <alignment horizontal="right" vertical="center"/>
    </xf>
    <xf numFmtId="0" fontId="16" fillId="0" borderId="0" xfId="52" applyNumberFormat="1" applyFont="1" applyAlignment="1">
      <alignment vertical="center" wrapText="1"/>
    </xf>
    <xf numFmtId="3" fontId="84" fillId="0" borderId="0" xfId="52" applyFont="1" applyAlignment="1">
      <alignment horizontal="right" vertical="center"/>
    </xf>
    <xf numFmtId="0" fontId="84" fillId="0" borderId="0" xfId="0" applyFont="1" applyAlignment="1">
      <alignment horizontal="center" vertical="center"/>
    </xf>
    <xf numFmtId="0" fontId="16" fillId="0" borderId="0" xfId="0" applyFont="1" applyAlignment="1">
      <alignment horizontal="center" vertical="center"/>
    </xf>
    <xf numFmtId="0" fontId="25" fillId="0" borderId="0" xfId="52" applyNumberFormat="1" applyFont="1" applyAlignment="1">
      <alignment horizontal="left" vertical="center"/>
    </xf>
    <xf numFmtId="9" fontId="16" fillId="0" borderId="0" xfId="66" applyFont="1" applyAlignment="1">
      <alignment horizontal="left" vertical="center" wrapText="1"/>
    </xf>
    <xf numFmtId="0" fontId="16" fillId="0" borderId="0" xfId="52" applyNumberFormat="1" applyFont="1" applyAlignment="1">
      <alignment horizontal="center" vertical="center"/>
    </xf>
    <xf numFmtId="0" fontId="25" fillId="6" borderId="0" xfId="52" applyNumberFormat="1" applyFont="1" applyFill="1" applyAlignment="1">
      <alignment vertical="center"/>
    </xf>
    <xf numFmtId="195" fontId="54" fillId="15" borderId="0" xfId="66" applyNumberFormat="1" applyFont="1" applyFill="1" applyAlignment="1">
      <alignment horizontal="center" vertical="center" wrapText="1"/>
    </xf>
    <xf numFmtId="1" fontId="16" fillId="0" borderId="0" xfId="52" applyNumberFormat="1" applyFont="1" applyAlignment="1">
      <alignment vertical="center"/>
    </xf>
    <xf numFmtId="0" fontId="73" fillId="14" borderId="0" xfId="0" applyFont="1" applyFill="1" applyAlignment="1">
      <alignment vertical="center"/>
    </xf>
    <xf numFmtId="0" fontId="16" fillId="14" borderId="0" xfId="0" applyFont="1" applyFill="1" applyAlignment="1">
      <alignment horizontal="center" vertical="center"/>
    </xf>
    <xf numFmtId="0" fontId="16" fillId="14" borderId="0" xfId="0" applyFont="1" applyFill="1" applyAlignment="1">
      <alignment vertical="center"/>
    </xf>
    <xf numFmtId="0" fontId="16" fillId="14" borderId="0" xfId="0" applyFont="1" applyFill="1" applyBorder="1" applyAlignment="1">
      <alignment vertical="center"/>
    </xf>
    <xf numFmtId="0" fontId="125" fillId="14" borderId="0" xfId="41" applyFont="1" applyFill="1" applyBorder="1" applyAlignment="1">
      <alignment vertical="center"/>
    </xf>
    <xf numFmtId="0" fontId="38" fillId="14" borderId="0" xfId="41" applyFont="1" applyFill="1" applyBorder="1" applyAlignment="1">
      <alignment vertical="center"/>
    </xf>
    <xf numFmtId="0" fontId="38" fillId="0" borderId="0" xfId="41" applyFont="1" applyAlignment="1">
      <alignment vertical="center"/>
    </xf>
    <xf numFmtId="196" fontId="25" fillId="0" borderId="0" xfId="52" applyNumberFormat="1" applyFont="1" applyAlignment="1">
      <alignment vertical="center"/>
    </xf>
    <xf numFmtId="196" fontId="16" fillId="0" borderId="0" xfId="52" applyNumberFormat="1" applyFont="1" applyBorder="1" applyAlignment="1">
      <alignment horizontal="right" vertical="center"/>
    </xf>
    <xf numFmtId="196" fontId="25" fillId="0" borderId="0" xfId="52" applyNumberFormat="1" applyFont="1" applyAlignment="1">
      <alignment horizontal="right" vertical="center"/>
    </xf>
    <xf numFmtId="0" fontId="73" fillId="14" borderId="2" xfId="52" applyNumberFormat="1" applyFont="1" applyFill="1" applyBorder="1" applyAlignment="1">
      <alignment horizontal="center" vertical="center"/>
    </xf>
    <xf numFmtId="0" fontId="73" fillId="14" borderId="2" xfId="0" applyFont="1" applyFill="1" applyBorder="1" applyAlignment="1">
      <alignment horizontal="center" vertical="center" wrapText="1"/>
    </xf>
    <xf numFmtId="0" fontId="72" fillId="0" borderId="0" xfId="0" applyFont="1" applyAlignment="1">
      <alignment vertical="center"/>
    </xf>
    <xf numFmtId="0" fontId="73" fillId="14" borderId="0" xfId="52" applyNumberFormat="1" applyFont="1" applyFill="1" applyBorder="1" applyAlignment="1">
      <alignment horizontal="center" vertical="center"/>
    </xf>
    <xf numFmtId="178" fontId="73" fillId="14" borderId="0" xfId="52" applyNumberFormat="1" applyFont="1" applyFill="1" applyAlignment="1">
      <alignment horizontal="center" vertical="center" wrapText="1"/>
    </xf>
    <xf numFmtId="0" fontId="73" fillId="14" borderId="0" xfId="52" applyNumberFormat="1" applyFont="1" applyFill="1" applyAlignment="1">
      <alignment horizontal="center" vertical="center"/>
    </xf>
    <xf numFmtId="196" fontId="16" fillId="0" borderId="0" xfId="52" applyNumberFormat="1" applyFont="1" applyAlignment="1">
      <alignment horizontal="left" vertical="center"/>
    </xf>
    <xf numFmtId="1" fontId="16" fillId="0" borderId="0" xfId="52" applyNumberFormat="1" applyFont="1" applyAlignment="1">
      <alignment horizontal="left" vertical="center"/>
    </xf>
    <xf numFmtId="3" fontId="25" fillId="0" borderId="0" xfId="52" applyFont="1" applyBorder="1" applyAlignment="1">
      <alignment horizontal="right" vertical="center"/>
    </xf>
    <xf numFmtId="0" fontId="16" fillId="0" borderId="0" xfId="57" applyNumberFormat="1" applyFont="1" applyFill="1" applyAlignment="1">
      <alignment vertical="center"/>
    </xf>
    <xf numFmtId="0" fontId="0" fillId="0" borderId="0" xfId="0" applyAlignment="1">
      <alignment vertical="center"/>
    </xf>
    <xf numFmtId="196" fontId="25" fillId="0" borderId="0" xfId="52" applyNumberFormat="1" applyFont="1" applyBorder="1" applyAlignment="1">
      <alignment vertical="center"/>
    </xf>
    <xf numFmtId="0" fontId="16" fillId="0" borderId="0" xfId="41" applyFont="1" applyAlignment="1">
      <alignment vertical="center"/>
    </xf>
    <xf numFmtId="0" fontId="25" fillId="0" borderId="2" xfId="52" applyNumberFormat="1" applyFont="1" applyBorder="1" applyAlignment="1">
      <alignment vertical="center"/>
    </xf>
    <xf numFmtId="0" fontId="25" fillId="0" borderId="2" xfId="52" applyNumberFormat="1" applyFont="1" applyBorder="1" applyAlignment="1">
      <alignment horizontal="center" vertical="center"/>
    </xf>
    <xf numFmtId="196" fontId="25" fillId="0" borderId="2" xfId="52" applyNumberFormat="1" applyFont="1" applyBorder="1" applyAlignment="1">
      <alignment horizontal="right" vertical="center"/>
    </xf>
    <xf numFmtId="195" fontId="46" fillId="14" borderId="2" xfId="66" applyNumberFormat="1" applyFont="1" applyFill="1" applyBorder="1" applyAlignment="1">
      <alignment horizontal="center" vertical="center" wrapText="1"/>
    </xf>
    <xf numFmtId="0" fontId="2" fillId="0" borderId="0" xfId="41" applyAlignment="1">
      <alignment vertical="center"/>
    </xf>
    <xf numFmtId="9" fontId="3" fillId="0" borderId="0" xfId="0" applyNumberFormat="1" applyFont="1" applyAlignment="1">
      <alignment horizontal="center" vertical="center"/>
    </xf>
    <xf numFmtId="0" fontId="25" fillId="0" borderId="0" xfId="52" applyNumberFormat="1" applyFont="1" applyAlignment="1">
      <alignment horizontal="right" vertical="center"/>
    </xf>
    <xf numFmtId="0" fontId="25" fillId="0" borderId="0" xfId="52" applyNumberFormat="1" applyFont="1" applyBorder="1" applyAlignment="1">
      <alignment vertical="center"/>
    </xf>
    <xf numFmtId="0" fontId="16" fillId="0" borderId="0" xfId="52" applyNumberFormat="1" applyFont="1" applyBorder="1" applyAlignment="1">
      <alignment horizontal="right" vertical="center"/>
    </xf>
    <xf numFmtId="178" fontId="25" fillId="6" borderId="0" xfId="52" applyNumberFormat="1" applyFont="1" applyFill="1" applyAlignment="1">
      <alignment horizontal="center" vertical="center" wrapText="1"/>
    </xf>
    <xf numFmtId="0" fontId="73" fillId="0" borderId="0" xfId="52" applyNumberFormat="1" applyFont="1" applyAlignment="1">
      <alignment vertical="center"/>
    </xf>
    <xf numFmtId="0" fontId="25" fillId="0" borderId="0" xfId="52" applyNumberFormat="1" applyFont="1" applyAlignment="1">
      <alignment horizontal="center" vertical="center" wrapText="1"/>
    </xf>
    <xf numFmtId="0" fontId="37" fillId="14" borderId="2" xfId="52" applyNumberFormat="1" applyFont="1" applyFill="1" applyBorder="1" applyAlignment="1">
      <alignment vertical="center"/>
    </xf>
    <xf numFmtId="0" fontId="37" fillId="14" borderId="0" xfId="0" applyFont="1" applyFill="1" applyAlignment="1">
      <alignment vertical="center"/>
    </xf>
    <xf numFmtId="0" fontId="37" fillId="14" borderId="0" xfId="0" applyFont="1" applyFill="1" applyAlignment="1">
      <alignment horizontal="right" vertical="center"/>
    </xf>
    <xf numFmtId="0" fontId="80" fillId="14" borderId="0" xfId="0" applyFont="1" applyFill="1" applyAlignment="1">
      <alignment vertical="center"/>
    </xf>
    <xf numFmtId="175" fontId="16" fillId="0" borderId="0" xfId="52" applyNumberFormat="1" applyFont="1" applyAlignment="1">
      <alignment horizontal="right" vertical="center"/>
    </xf>
    <xf numFmtId="197" fontId="16" fillId="0" borderId="0" xfId="66" applyNumberFormat="1" applyFont="1" applyAlignment="1">
      <alignment horizontal="center" vertical="center"/>
    </xf>
    <xf numFmtId="175" fontId="25" fillId="0" borderId="0" xfId="52" applyNumberFormat="1" applyFont="1" applyAlignment="1">
      <alignment horizontal="right" vertical="center"/>
    </xf>
    <xf numFmtId="197" fontId="25" fillId="0" borderId="0" xfId="66" applyNumberFormat="1" applyFont="1" applyAlignment="1">
      <alignment horizontal="center" vertical="center"/>
    </xf>
    <xf numFmtId="175" fontId="16" fillId="0" borderId="0" xfId="52" applyNumberFormat="1" applyFont="1" applyBorder="1" applyAlignment="1">
      <alignment horizontal="right" vertical="center"/>
    </xf>
    <xf numFmtId="9" fontId="16" fillId="0" borderId="0" xfId="66" applyFont="1" applyAlignment="1">
      <alignment horizontal="center" vertical="center"/>
    </xf>
    <xf numFmtId="9" fontId="16" fillId="0" borderId="0" xfId="66" applyNumberFormat="1" applyFont="1" applyAlignment="1">
      <alignment vertical="center"/>
    </xf>
    <xf numFmtId="0" fontId="16" fillId="0" borderId="2" xfId="52" applyNumberFormat="1" applyFont="1" applyBorder="1" applyAlignment="1">
      <alignment vertical="center"/>
    </xf>
    <xf numFmtId="0" fontId="16" fillId="0" borderId="2" xfId="52" applyNumberFormat="1" applyFont="1" applyBorder="1" applyAlignment="1">
      <alignment horizontal="center" vertical="center"/>
    </xf>
    <xf numFmtId="175" fontId="16" fillId="0" borderId="2" xfId="52" applyNumberFormat="1" applyFont="1" applyBorder="1" applyAlignment="1">
      <alignment vertical="center"/>
    </xf>
    <xf numFmtId="175" fontId="16" fillId="0" borderId="2" xfId="52" applyNumberFormat="1" applyFont="1" applyBorder="1" applyAlignment="1">
      <alignment horizontal="right" vertical="center"/>
    </xf>
    <xf numFmtId="197" fontId="16" fillId="0" borderId="2" xfId="66" applyNumberFormat="1" applyFont="1" applyBorder="1" applyAlignment="1">
      <alignment horizontal="center" vertical="center"/>
    </xf>
    <xf numFmtId="3" fontId="16" fillId="0" borderId="0" xfId="0" applyNumberFormat="1" applyFont="1" applyAlignment="1">
      <alignment vertical="center"/>
    </xf>
    <xf numFmtId="3" fontId="25" fillId="0" borderId="0" xfId="0" applyNumberFormat="1" applyFont="1" applyAlignment="1">
      <alignment vertical="center"/>
    </xf>
    <xf numFmtId="4" fontId="16" fillId="0" borderId="0" xfId="52" applyNumberFormat="1" applyFont="1" applyBorder="1" applyAlignment="1">
      <alignment horizontal="right" vertical="center"/>
    </xf>
    <xf numFmtId="4" fontId="16" fillId="0" borderId="0" xfId="52" applyNumberFormat="1" applyFont="1" applyAlignment="1">
      <alignment horizontal="right" vertical="center"/>
    </xf>
    <xf numFmtId="2" fontId="25" fillId="0" borderId="0" xfId="52" applyNumberFormat="1" applyFont="1" applyAlignment="1">
      <alignment horizontal="right" vertical="center"/>
    </xf>
    <xf numFmtId="4" fontId="16" fillId="0" borderId="2" xfId="52" applyNumberFormat="1" applyFont="1" applyBorder="1" applyAlignment="1">
      <alignment horizontal="right" vertical="center"/>
    </xf>
    <xf numFmtId="0" fontId="80" fillId="14" borderId="2" xfId="52" applyNumberFormat="1" applyFont="1" applyFill="1" applyBorder="1" applyAlignment="1">
      <alignment horizontal="center" vertical="center"/>
    </xf>
    <xf numFmtId="0" fontId="80" fillId="14" borderId="0" xfId="52" applyNumberFormat="1" applyFont="1" applyFill="1" applyBorder="1" applyAlignment="1">
      <alignment horizontal="right" vertical="center"/>
    </xf>
    <xf numFmtId="0" fontId="73" fillId="14" borderId="2" xfId="52" applyNumberFormat="1" applyFont="1" applyFill="1" applyBorder="1" applyAlignment="1">
      <alignment horizontal="left" vertical="center"/>
    </xf>
    <xf numFmtId="0" fontId="16" fillId="0" borderId="0" xfId="52" applyNumberFormat="1" applyFont="1" applyAlignment="1">
      <alignment horizontal="left" vertical="center"/>
    </xf>
    <xf numFmtId="1" fontId="16" fillId="27" borderId="17" xfId="52" applyNumberFormat="1" applyFont="1" applyFill="1" applyBorder="1" applyAlignment="1">
      <alignment horizontal="center" vertical="center"/>
    </xf>
    <xf numFmtId="171" fontId="16" fillId="0" borderId="0" xfId="52" applyNumberFormat="1" applyFont="1" applyAlignment="1">
      <alignment horizontal="right" vertical="center"/>
    </xf>
    <xf numFmtId="197" fontId="16" fillId="0" borderId="0" xfId="66" applyNumberFormat="1" applyFont="1" applyAlignment="1">
      <alignment horizontal="center" vertical="center" wrapText="1"/>
    </xf>
    <xf numFmtId="1" fontId="16" fillId="12" borderId="17" xfId="52" applyNumberFormat="1" applyFont="1" applyFill="1" applyBorder="1" applyAlignment="1">
      <alignment horizontal="center" vertical="center"/>
    </xf>
    <xf numFmtId="1" fontId="25" fillId="0" borderId="0" xfId="52" applyNumberFormat="1" applyFont="1" applyAlignment="1">
      <alignment horizontal="center" vertical="center"/>
    </xf>
    <xf numFmtId="171" fontId="25" fillId="0" borderId="0" xfId="52" applyNumberFormat="1" applyFont="1" applyAlignment="1">
      <alignment horizontal="right" vertical="center"/>
    </xf>
    <xf numFmtId="197" fontId="25" fillId="0" borderId="0" xfId="52" applyNumberFormat="1" applyFont="1" applyAlignment="1">
      <alignment horizontal="center" vertical="center" wrapText="1"/>
    </xf>
    <xf numFmtId="0" fontId="16" fillId="0" borderId="2" xfId="52" applyNumberFormat="1" applyFont="1" applyBorder="1" applyAlignment="1">
      <alignment horizontal="left" vertical="center"/>
    </xf>
    <xf numFmtId="1" fontId="16" fillId="24" borderId="17" xfId="52" applyNumberFormat="1" applyFont="1" applyFill="1" applyBorder="1" applyAlignment="1">
      <alignment horizontal="center" vertical="center"/>
    </xf>
    <xf numFmtId="171" fontId="16" fillId="0" borderId="2" xfId="52" applyNumberFormat="1" applyFont="1" applyBorder="1" applyAlignment="1">
      <alignment horizontal="right" vertical="center"/>
    </xf>
    <xf numFmtId="197" fontId="16" fillId="0" borderId="2" xfId="66" applyNumberFormat="1" applyFont="1" applyBorder="1" applyAlignment="1">
      <alignment horizontal="center" vertical="center" wrapText="1"/>
    </xf>
    <xf numFmtId="2" fontId="25" fillId="0" borderId="0" xfId="52" applyNumberFormat="1" applyFont="1" applyAlignment="1">
      <alignment horizontal="center" vertical="center"/>
    </xf>
    <xf numFmtId="0" fontId="80" fillId="14" borderId="2" xfId="52" applyNumberFormat="1" applyFont="1" applyFill="1" applyBorder="1" applyAlignment="1">
      <alignment horizontal="right" vertical="center"/>
    </xf>
    <xf numFmtId="9" fontId="16" fillId="0" borderId="0" xfId="66" applyFont="1" applyAlignment="1">
      <alignment horizontal="right" vertical="center"/>
    </xf>
    <xf numFmtId="0" fontId="25" fillId="0" borderId="0" xfId="0" applyFont="1" applyAlignment="1">
      <alignment vertical="center"/>
    </xf>
    <xf numFmtId="9" fontId="25" fillId="0" borderId="0" xfId="66" applyFont="1" applyAlignment="1">
      <alignment horizontal="right" vertical="center"/>
    </xf>
    <xf numFmtId="0" fontId="16" fillId="0" borderId="0" xfId="52" applyNumberFormat="1" applyFont="1" applyBorder="1" applyAlignment="1">
      <alignment horizontal="center" vertical="center"/>
    </xf>
    <xf numFmtId="0" fontId="16" fillId="0" borderId="0" xfId="52" applyNumberFormat="1" applyFont="1" applyAlignment="1">
      <alignment horizontal="right" vertical="center" wrapText="1"/>
    </xf>
    <xf numFmtId="0" fontId="46" fillId="14" borderId="0" xfId="52" applyNumberFormat="1" applyFont="1" applyFill="1" applyBorder="1" applyAlignment="1">
      <alignment horizontal="right" vertical="center"/>
    </xf>
    <xf numFmtId="0" fontId="46" fillId="14" borderId="0" xfId="52" applyNumberFormat="1" applyFont="1" applyFill="1" applyBorder="1" applyAlignment="1">
      <alignment horizontal="center" vertical="center"/>
    </xf>
    <xf numFmtId="0" fontId="37" fillId="14" borderId="0" xfId="52" applyNumberFormat="1" applyFont="1" applyFill="1" applyAlignment="1">
      <alignment vertical="center"/>
    </xf>
    <xf numFmtId="0" fontId="37" fillId="14" borderId="0" xfId="52" applyNumberFormat="1" applyFont="1" applyFill="1" applyBorder="1" applyAlignment="1">
      <alignment horizontal="right" vertical="center"/>
    </xf>
    <xf numFmtId="0" fontId="37" fillId="14" borderId="0" xfId="0" applyFont="1" applyFill="1" applyAlignment="1">
      <alignment horizontal="left" vertical="center"/>
    </xf>
    <xf numFmtId="9" fontId="16" fillId="0" borderId="0" xfId="66" applyNumberFormat="1" applyFont="1" applyBorder="1" applyAlignment="1">
      <alignment horizontal="center" vertical="center"/>
    </xf>
    <xf numFmtId="9" fontId="16" fillId="0" borderId="0" xfId="66" applyFont="1" applyBorder="1" applyAlignment="1">
      <alignment vertical="center"/>
    </xf>
    <xf numFmtId="9" fontId="16" fillId="0" borderId="0" xfId="66" applyFont="1" applyAlignment="1">
      <alignment horizontal="right" vertical="center" wrapText="1"/>
    </xf>
    <xf numFmtId="9" fontId="25" fillId="0" borderId="0" xfId="66" applyNumberFormat="1" applyFont="1" applyBorder="1" applyAlignment="1">
      <alignment horizontal="center" vertical="center"/>
    </xf>
    <xf numFmtId="9" fontId="25" fillId="0" borderId="0" xfId="66" applyFont="1" applyAlignment="1">
      <alignment vertical="center"/>
    </xf>
    <xf numFmtId="0" fontId="16" fillId="0" borderId="0" xfId="0" applyFont="1" applyAlignment="1">
      <alignment horizontal="right" vertical="center"/>
    </xf>
    <xf numFmtId="196" fontId="16" fillId="0" borderId="0" xfId="52" applyNumberFormat="1" applyFont="1" applyAlignment="1">
      <alignment horizontal="right" vertical="center" wrapText="1"/>
    </xf>
    <xf numFmtId="198" fontId="25" fillId="0" borderId="0" xfId="0" applyNumberFormat="1" applyFont="1" applyAlignment="1">
      <alignment vertical="center"/>
    </xf>
    <xf numFmtId="0" fontId="16" fillId="0" borderId="0" xfId="46" applyFont="1" applyAlignment="1">
      <alignment vertical="center"/>
    </xf>
    <xf numFmtId="9" fontId="16" fillId="0" borderId="0" xfId="66" applyFont="1" applyBorder="1" applyAlignment="1">
      <alignment horizontal="right" vertical="center"/>
    </xf>
    <xf numFmtId="0" fontId="16" fillId="0" borderId="0" xfId="52" applyNumberFormat="1" applyFont="1" applyBorder="1" applyAlignment="1">
      <alignment horizontal="left" vertical="center" wrapText="1"/>
    </xf>
    <xf numFmtId="0" fontId="37" fillId="7" borderId="0" xfId="52" applyNumberFormat="1" applyFont="1" applyFill="1" applyAlignment="1">
      <alignment horizontal="right" vertical="center"/>
    </xf>
    <xf numFmtId="3" fontId="37" fillId="7" borderId="0" xfId="52" applyFont="1" applyFill="1" applyAlignment="1">
      <alignment horizontal="right" vertical="center"/>
    </xf>
    <xf numFmtId="9" fontId="16" fillId="0" borderId="0" xfId="66" applyFont="1" applyFill="1" applyBorder="1" applyAlignment="1">
      <alignment vertical="center"/>
    </xf>
    <xf numFmtId="0" fontId="25" fillId="18" borderId="0" xfId="0" applyFont="1" applyFill="1" applyAlignment="1">
      <alignment vertical="center"/>
    </xf>
    <xf numFmtId="0" fontId="48" fillId="0" borderId="0" xfId="0" applyFont="1" applyAlignment="1">
      <alignment vertical="center"/>
    </xf>
    <xf numFmtId="9" fontId="16" fillId="0" borderId="0" xfId="65" applyFont="1" applyAlignment="1">
      <alignment vertical="center"/>
    </xf>
    <xf numFmtId="0" fontId="16" fillId="16" borderId="0" xfId="0" applyFont="1" applyFill="1" applyAlignment="1">
      <alignment vertical="center"/>
    </xf>
    <xf numFmtId="9" fontId="16" fillId="16" borderId="0" xfId="66" applyFont="1" applyFill="1" applyAlignment="1">
      <alignment vertical="center"/>
    </xf>
    <xf numFmtId="0" fontId="42" fillId="16" borderId="0" xfId="0" applyFont="1" applyFill="1" applyAlignment="1">
      <alignment vertical="center"/>
    </xf>
    <xf numFmtId="0" fontId="25" fillId="16" borderId="0" xfId="0" applyFont="1" applyFill="1" applyAlignment="1">
      <alignment vertical="center"/>
    </xf>
    <xf numFmtId="9" fontId="25" fillId="16" borderId="0" xfId="66" applyFont="1" applyFill="1" applyAlignment="1">
      <alignment vertical="center"/>
    </xf>
    <xf numFmtId="0" fontId="42" fillId="18" borderId="0" xfId="0" applyFont="1" applyFill="1" applyAlignment="1">
      <alignment vertical="center"/>
    </xf>
    <xf numFmtId="9" fontId="48" fillId="0" borderId="0" xfId="66" applyFont="1" applyAlignment="1">
      <alignment vertical="center"/>
    </xf>
    <xf numFmtId="0" fontId="48" fillId="16" borderId="0" xfId="0" applyFont="1" applyFill="1" applyAlignment="1">
      <alignment vertical="center"/>
    </xf>
    <xf numFmtId="9" fontId="48" fillId="16" borderId="0" xfId="0" applyNumberFormat="1" applyFont="1" applyFill="1" applyAlignment="1">
      <alignment vertical="center"/>
    </xf>
    <xf numFmtId="263" fontId="67" fillId="13" borderId="0" xfId="0" applyNumberFormat="1" applyFont="1" applyFill="1" applyAlignment="1">
      <alignment horizontal="right" vertical="top"/>
    </xf>
    <xf numFmtId="263" fontId="60" fillId="13" borderId="0" xfId="0" applyNumberFormat="1" applyFont="1" applyFill="1" applyAlignment="1">
      <alignment horizontal="right"/>
    </xf>
    <xf numFmtId="1" fontId="0" fillId="0" borderId="0" xfId="0" applyNumberFormat="1" applyAlignment="1">
      <alignment horizontal="right" vertical="top"/>
    </xf>
    <xf numFmtId="17" fontId="126" fillId="14" borderId="0" xfId="45" applyNumberFormat="1" applyFont="1" applyFill="1" applyAlignment="1">
      <alignment horizontal="center" vertical="top" wrapText="1"/>
    </xf>
    <xf numFmtId="0" fontId="16" fillId="0" borderId="0" xfId="58" applyFont="1" applyFill="1"/>
    <xf numFmtId="0" fontId="83" fillId="0" borderId="0" xfId="0" applyFont="1" applyFill="1"/>
    <xf numFmtId="167" fontId="72" fillId="0" borderId="0" xfId="0" applyNumberFormat="1" applyFont="1"/>
    <xf numFmtId="264" fontId="73" fillId="14" borderId="0" xfId="0" applyNumberFormat="1" applyFont="1" applyFill="1" applyAlignment="1">
      <alignment horizontal="center"/>
    </xf>
    <xf numFmtId="2" fontId="72" fillId="0" borderId="0" xfId="0" applyNumberFormat="1" applyFont="1"/>
    <xf numFmtId="9" fontId="72" fillId="0" borderId="0" xfId="65" applyFont="1"/>
    <xf numFmtId="0" fontId="80" fillId="14" borderId="0" xfId="0" applyFont="1" applyFill="1"/>
    <xf numFmtId="0" fontId="72" fillId="0" borderId="6" xfId="0" applyFont="1" applyBorder="1"/>
    <xf numFmtId="0" fontId="16" fillId="23" borderId="0" xfId="0" applyFont="1" applyFill="1"/>
    <xf numFmtId="0" fontId="16" fillId="0" borderId="0" xfId="0" applyFont="1" applyFill="1" applyAlignment="1">
      <alignment horizontal="right"/>
    </xf>
    <xf numFmtId="0" fontId="16" fillId="0" borderId="2" xfId="0" applyFont="1" applyFill="1" applyBorder="1"/>
    <xf numFmtId="0" fontId="16" fillId="0" borderId="2" xfId="0" applyFont="1" applyFill="1" applyBorder="1" applyAlignment="1">
      <alignment horizontal="right"/>
    </xf>
    <xf numFmtId="0" fontId="80" fillId="14" borderId="2" xfId="0" applyFont="1" applyFill="1" applyBorder="1" applyAlignment="1">
      <alignment horizontal="right"/>
    </xf>
    <xf numFmtId="0" fontId="16" fillId="23" borderId="2" xfId="0" applyFont="1" applyFill="1" applyBorder="1" applyAlignment="1">
      <alignment horizontal="right"/>
    </xf>
    <xf numFmtId="0" fontId="16" fillId="23" borderId="12" xfId="0" applyFont="1" applyFill="1" applyBorder="1" applyAlignment="1">
      <alignment horizontal="right"/>
    </xf>
    <xf numFmtId="0" fontId="16" fillId="23" borderId="16" xfId="0" applyFont="1" applyFill="1" applyBorder="1" applyAlignment="1">
      <alignment horizontal="right"/>
    </xf>
    <xf numFmtId="171" fontId="72" fillId="0" borderId="12" xfId="0" applyNumberFormat="1" applyFont="1" applyBorder="1"/>
    <xf numFmtId="0" fontId="72" fillId="0" borderId="16" xfId="0" applyFont="1" applyBorder="1"/>
    <xf numFmtId="0" fontId="80" fillId="14" borderId="12" xfId="0" applyFont="1" applyFill="1" applyBorder="1" applyAlignment="1">
      <alignment horizontal="right"/>
    </xf>
    <xf numFmtId="0" fontId="80" fillId="14" borderId="16" xfId="0" applyFont="1" applyFill="1" applyBorder="1" applyAlignment="1">
      <alignment horizontal="right"/>
    </xf>
    <xf numFmtId="167" fontId="72" fillId="0" borderId="12" xfId="0" applyNumberFormat="1" applyFont="1" applyBorder="1"/>
    <xf numFmtId="2" fontId="72" fillId="0" borderId="12" xfId="0" applyNumberFormat="1" applyFont="1" applyBorder="1"/>
    <xf numFmtId="9" fontId="83" fillId="0" borderId="16" xfId="65" applyFont="1" applyBorder="1"/>
    <xf numFmtId="9" fontId="83" fillId="0" borderId="2" xfId="65" applyFont="1" applyBorder="1"/>
    <xf numFmtId="17" fontId="80" fillId="14" borderId="0" xfId="0" quotePrefix="1" applyNumberFormat="1" applyFont="1" applyFill="1"/>
    <xf numFmtId="9" fontId="83" fillId="12" borderId="16" xfId="65" applyFont="1" applyFill="1" applyBorder="1"/>
    <xf numFmtId="9" fontId="83" fillId="12" borderId="2" xfId="65" applyFont="1" applyFill="1" applyBorder="1"/>
    <xf numFmtId="0" fontId="3" fillId="0" borderId="0" xfId="41" applyFont="1"/>
    <xf numFmtId="0" fontId="2" fillId="0" borderId="0" xfId="998"/>
    <xf numFmtId="0" fontId="68" fillId="14" borderId="0" xfId="998" applyFont="1" applyFill="1"/>
    <xf numFmtId="14" fontId="2" fillId="0" borderId="0" xfId="998" applyNumberFormat="1"/>
    <xf numFmtId="0" fontId="67" fillId="14" borderId="0" xfId="998" applyFont="1" applyFill="1"/>
    <xf numFmtId="0" fontId="2" fillId="14" borderId="0" xfId="998" applyFill="1"/>
    <xf numFmtId="0" fontId="3" fillId="0" borderId="0" xfId="998" applyFont="1"/>
    <xf numFmtId="2" fontId="2" fillId="0" borderId="0" xfId="998" applyNumberFormat="1"/>
    <xf numFmtId="0" fontId="3" fillId="0" borderId="0" xfId="998" quotePrefix="1" applyFont="1"/>
    <xf numFmtId="0" fontId="3" fillId="94" borderId="0" xfId="998" applyFont="1" applyFill="1"/>
    <xf numFmtId="0" fontId="2" fillId="94" borderId="0" xfId="998" applyFill="1"/>
    <xf numFmtId="0" fontId="3" fillId="94" borderId="0" xfId="998" applyFont="1" applyFill="1" applyAlignment="1">
      <alignment horizontal="right"/>
    </xf>
    <xf numFmtId="2" fontId="2" fillId="23" borderId="0" xfId="998" applyNumberFormat="1" applyFill="1"/>
    <xf numFmtId="0" fontId="289" fillId="0" borderId="0" xfId="0" applyFont="1" applyAlignment="1">
      <alignment vertical="top"/>
    </xf>
    <xf numFmtId="1" fontId="48" fillId="0" borderId="0" xfId="0" applyNumberFormat="1" applyFont="1" applyAlignment="1">
      <alignment horizontal="right"/>
    </xf>
    <xf numFmtId="169" fontId="2" fillId="12" borderId="0" xfId="0" applyNumberFormat="1" applyFont="1" applyFill="1"/>
    <xf numFmtId="168" fontId="69" fillId="0" borderId="0" xfId="0" applyNumberFormat="1" applyFont="1"/>
    <xf numFmtId="0" fontId="41" fillId="0" borderId="0" xfId="0" applyFont="1" applyFill="1" applyAlignment="1"/>
    <xf numFmtId="9" fontId="41" fillId="0" borderId="0" xfId="65" applyFont="1" applyFill="1" applyAlignment="1">
      <alignment horizontal="right"/>
    </xf>
    <xf numFmtId="0" fontId="41" fillId="0" borderId="0" xfId="0" applyFont="1" applyFill="1" applyAlignment="1">
      <alignment horizontal="center"/>
    </xf>
    <xf numFmtId="0" fontId="41" fillId="0" borderId="0" xfId="0" applyFont="1" applyFill="1" applyAlignment="1">
      <alignment horizontal="right"/>
    </xf>
    <xf numFmtId="9" fontId="41" fillId="0" borderId="0" xfId="65" applyNumberFormat="1" applyFont="1" applyFill="1" applyAlignment="1">
      <alignment horizontal="right"/>
    </xf>
    <xf numFmtId="9" fontId="41" fillId="0" borderId="12" xfId="65" applyNumberFormat="1" applyFont="1" applyFill="1" applyBorder="1" applyAlignment="1">
      <alignment horizontal="right"/>
    </xf>
    <xf numFmtId="0" fontId="65" fillId="0" borderId="0" xfId="0" applyFont="1" applyFill="1" applyBorder="1" applyAlignment="1"/>
    <xf numFmtId="0" fontId="63" fillId="0" borderId="0" xfId="0" applyFont="1" applyBorder="1" applyAlignment="1"/>
    <xf numFmtId="0" fontId="11" fillId="0" borderId="0" xfId="0" applyFont="1" applyFill="1" applyBorder="1" applyAlignment="1"/>
    <xf numFmtId="2" fontId="63" fillId="0" borderId="0" xfId="0" applyNumberFormat="1" applyFont="1" applyAlignment="1">
      <alignment horizontal="right"/>
    </xf>
    <xf numFmtId="2" fontId="63" fillId="0" borderId="0" xfId="0" applyNumberFormat="1" applyFont="1" applyAlignment="1">
      <alignment horizontal="center"/>
    </xf>
    <xf numFmtId="2" fontId="63" fillId="0" borderId="12" xfId="0" applyNumberFormat="1" applyFont="1" applyBorder="1" applyAlignment="1">
      <alignment horizontal="right"/>
    </xf>
    <xf numFmtId="2" fontId="63" fillId="0" borderId="10" xfId="0" applyNumberFormat="1" applyFont="1" applyBorder="1" applyAlignment="1">
      <alignment horizontal="right"/>
    </xf>
    <xf numFmtId="2" fontId="63" fillId="0" borderId="0" xfId="0" applyNumberFormat="1" applyFont="1" applyBorder="1" applyAlignment="1">
      <alignment horizontal="right"/>
    </xf>
    <xf numFmtId="197" fontId="63" fillId="0" borderId="0" xfId="0" applyNumberFormat="1" applyFont="1" applyAlignment="1">
      <alignment horizontal="right"/>
    </xf>
    <xf numFmtId="197" fontId="63" fillId="0" borderId="0" xfId="0" applyNumberFormat="1" applyFont="1" applyBorder="1" applyAlignment="1">
      <alignment horizontal="right"/>
    </xf>
    <xf numFmtId="197" fontId="63" fillId="0" borderId="10" xfId="0" applyNumberFormat="1" applyFont="1" applyBorder="1" applyAlignment="1">
      <alignment horizontal="right"/>
    </xf>
    <xf numFmtId="197" fontId="66" fillId="18" borderId="12" xfId="65" applyNumberFormat="1" applyFont="1" applyFill="1" applyBorder="1" applyAlignment="1">
      <alignment horizontal="right" vertical="top"/>
    </xf>
    <xf numFmtId="197" fontId="66" fillId="18" borderId="0" xfId="65" applyNumberFormat="1" applyFont="1" applyFill="1" applyBorder="1" applyAlignment="1">
      <alignment horizontal="right" vertical="top"/>
    </xf>
    <xf numFmtId="197" fontId="66" fillId="18" borderId="10" xfId="65" applyNumberFormat="1" applyFont="1" applyFill="1" applyBorder="1" applyAlignment="1">
      <alignment horizontal="right" vertical="top"/>
    </xf>
    <xf numFmtId="197" fontId="66" fillId="18" borderId="0" xfId="65" applyNumberFormat="1" applyFont="1" applyFill="1" applyAlignment="1">
      <alignment horizontal="right" vertical="top"/>
    </xf>
    <xf numFmtId="197" fontId="69" fillId="18" borderId="0" xfId="65" applyNumberFormat="1" applyFont="1" applyFill="1" applyBorder="1" applyAlignment="1">
      <alignment horizontal="right" vertical="top"/>
    </xf>
    <xf numFmtId="197" fontId="69" fillId="18" borderId="0" xfId="65" applyNumberFormat="1" applyFont="1" applyFill="1" applyAlignment="1">
      <alignment horizontal="right" vertical="top"/>
    </xf>
    <xf numFmtId="197" fontId="65" fillId="0" borderId="0" xfId="65" applyNumberFormat="1" applyFont="1" applyFill="1" applyAlignment="1">
      <alignment horizontal="right"/>
    </xf>
    <xf numFmtId="197" fontId="65" fillId="0" borderId="10" xfId="65" applyNumberFormat="1" applyFont="1" applyFill="1" applyBorder="1" applyAlignment="1">
      <alignment horizontal="right"/>
    </xf>
    <xf numFmtId="197" fontId="62" fillId="13" borderId="0" xfId="0" applyNumberFormat="1" applyFont="1" applyFill="1" applyAlignment="1">
      <alignment horizontal="right"/>
    </xf>
    <xf numFmtId="197" fontId="62" fillId="13" borderId="0" xfId="65" applyNumberFormat="1" applyFont="1" applyFill="1" applyAlignment="1">
      <alignment horizontal="right"/>
    </xf>
    <xf numFmtId="197" fontId="63" fillId="0" borderId="0" xfId="0" applyNumberFormat="1" applyFont="1" applyAlignment="1">
      <alignment horizontal="center"/>
    </xf>
    <xf numFmtId="197" fontId="62" fillId="13" borderId="12" xfId="65" applyNumberFormat="1" applyFont="1" applyFill="1" applyBorder="1" applyAlignment="1">
      <alignment horizontal="right"/>
    </xf>
    <xf numFmtId="197" fontId="62" fillId="13" borderId="10" xfId="65" applyNumberFormat="1" applyFont="1" applyFill="1" applyBorder="1" applyAlignment="1">
      <alignment horizontal="right"/>
    </xf>
    <xf numFmtId="197" fontId="62" fillId="13" borderId="0" xfId="65" applyNumberFormat="1" applyFont="1" applyFill="1" applyBorder="1" applyAlignment="1">
      <alignment horizontal="right"/>
    </xf>
    <xf numFmtId="197" fontId="63" fillId="0" borderId="0" xfId="65" applyNumberFormat="1" applyFont="1" applyAlignment="1">
      <alignment horizontal="center"/>
    </xf>
    <xf numFmtId="197" fontId="63" fillId="0" borderId="0" xfId="65" applyNumberFormat="1" applyFont="1" applyAlignment="1">
      <alignment horizontal="right"/>
    </xf>
    <xf numFmtId="197" fontId="66" fillId="0" borderId="0" xfId="65" applyNumberFormat="1" applyFont="1" applyFill="1" applyBorder="1" applyAlignment="1">
      <alignment horizontal="center" vertical="top"/>
    </xf>
    <xf numFmtId="197" fontId="62" fillId="14" borderId="0" xfId="0" applyNumberFormat="1" applyFont="1" applyFill="1" applyAlignment="1">
      <alignment horizontal="right"/>
    </xf>
    <xf numFmtId="197" fontId="62" fillId="14" borderId="0" xfId="65" applyNumberFormat="1" applyFont="1" applyFill="1" applyAlignment="1">
      <alignment horizontal="right"/>
    </xf>
    <xf numFmtId="197" fontId="62" fillId="14" borderId="12" xfId="65" applyNumberFormat="1" applyFont="1" applyFill="1" applyBorder="1" applyAlignment="1">
      <alignment horizontal="right"/>
    </xf>
    <xf numFmtId="197" fontId="62" fillId="14" borderId="10" xfId="65" applyNumberFormat="1" applyFont="1" applyFill="1" applyBorder="1" applyAlignment="1">
      <alignment horizontal="right"/>
    </xf>
    <xf numFmtId="197" fontId="62" fillId="14" borderId="0" xfId="65" applyNumberFormat="1" applyFont="1" applyFill="1" applyBorder="1" applyAlignment="1">
      <alignment horizontal="right"/>
    </xf>
    <xf numFmtId="197" fontId="62" fillId="14" borderId="10" xfId="0" applyNumberFormat="1" applyFont="1" applyFill="1" applyBorder="1" applyAlignment="1">
      <alignment horizontal="right"/>
    </xf>
    <xf numFmtId="197" fontId="62" fillId="14" borderId="0" xfId="0" applyNumberFormat="1" applyFont="1" applyFill="1" applyBorder="1" applyAlignment="1">
      <alignment horizontal="right"/>
    </xf>
    <xf numFmtId="0" fontId="73" fillId="14" borderId="0" xfId="0" applyFont="1" applyFill="1" applyAlignment="1">
      <alignment horizontal="right"/>
    </xf>
    <xf numFmtId="191" fontId="73" fillId="14" borderId="0" xfId="0" applyNumberFormat="1" applyFont="1" applyFill="1" applyAlignment="1">
      <alignment horizontal="right"/>
    </xf>
    <xf numFmtId="0" fontId="73" fillId="14" borderId="0" xfId="0" applyFont="1" applyFill="1" applyAlignment="1">
      <alignment horizontal="right" wrapText="1"/>
    </xf>
    <xf numFmtId="0" fontId="127" fillId="0" borderId="0" xfId="0" applyFont="1" applyAlignment="1">
      <alignment horizontal="left" vertical="top"/>
    </xf>
    <xf numFmtId="197" fontId="55" fillId="0" borderId="0" xfId="65" applyNumberFormat="1" applyFont="1" applyAlignment="1">
      <alignment horizontal="center"/>
    </xf>
    <xf numFmtId="197" fontId="55" fillId="0" borderId="0" xfId="65" applyNumberFormat="1" applyFont="1" applyAlignment="1"/>
    <xf numFmtId="197" fontId="61" fillId="0" borderId="0" xfId="0" applyNumberFormat="1" applyFont="1" applyAlignment="1">
      <alignment horizontal="right"/>
    </xf>
    <xf numFmtId="197" fontId="61" fillId="0" borderId="0" xfId="0" applyNumberFormat="1" applyFont="1" applyAlignment="1">
      <alignment horizontal="center"/>
    </xf>
    <xf numFmtId="197" fontId="71" fillId="0" borderId="0" xfId="0" applyNumberFormat="1" applyFont="1" applyBorder="1" applyAlignment="1">
      <alignment horizontal="right"/>
    </xf>
    <xf numFmtId="197" fontId="71" fillId="0" borderId="10" xfId="0" applyNumberFormat="1" applyFont="1" applyBorder="1" applyAlignment="1">
      <alignment horizontal="right"/>
    </xf>
    <xf numFmtId="197" fontId="2" fillId="18" borderId="0" xfId="65" applyNumberFormat="1" applyFont="1" applyFill="1" applyAlignment="1">
      <alignment horizontal="right" vertical="top"/>
    </xf>
    <xf numFmtId="197" fontId="2" fillId="0" borderId="0" xfId="65" applyNumberFormat="1" applyFont="1" applyFill="1" applyBorder="1" applyAlignment="1">
      <alignment horizontal="center" vertical="top"/>
    </xf>
    <xf numFmtId="197" fontId="2" fillId="18" borderId="0" xfId="65" applyNumberFormat="1" applyFont="1" applyFill="1" applyBorder="1" applyAlignment="1">
      <alignment horizontal="right" vertical="top"/>
    </xf>
    <xf numFmtId="197" fontId="2" fillId="18" borderId="12" xfId="65" applyNumberFormat="1" applyFont="1" applyFill="1" applyBorder="1" applyAlignment="1">
      <alignment horizontal="right" vertical="top"/>
    </xf>
    <xf numFmtId="197" fontId="2" fillId="18" borderId="10" xfId="65" applyNumberFormat="1" applyFont="1" applyFill="1" applyBorder="1" applyAlignment="1">
      <alignment horizontal="right" vertical="top"/>
    </xf>
    <xf numFmtId="197" fontId="69" fillId="18" borderId="10" xfId="65" applyNumberFormat="1" applyFont="1" applyFill="1" applyBorder="1" applyAlignment="1">
      <alignment horizontal="right" vertical="top"/>
    </xf>
    <xf numFmtId="9" fontId="61" fillId="0" borderId="0" xfId="0" applyNumberFormat="1" applyFont="1" applyAlignment="1"/>
    <xf numFmtId="1" fontId="69" fillId="0" borderId="0" xfId="0" applyNumberFormat="1" applyFont="1" applyFill="1" applyBorder="1" applyAlignment="1">
      <alignment horizontal="right" vertical="top"/>
    </xf>
    <xf numFmtId="9" fontId="65" fillId="0" borderId="0" xfId="65" applyNumberFormat="1" applyFont="1" applyFill="1" applyBorder="1" applyAlignment="1">
      <alignment horizontal="right"/>
    </xf>
    <xf numFmtId="197" fontId="63" fillId="0" borderId="12" xfId="0" applyNumberFormat="1" applyFont="1" applyBorder="1" applyAlignment="1">
      <alignment horizontal="right"/>
    </xf>
    <xf numFmtId="197" fontId="65" fillId="0" borderId="12" xfId="65" applyNumberFormat="1" applyFont="1" applyFill="1" applyBorder="1" applyAlignment="1">
      <alignment horizontal="right"/>
    </xf>
    <xf numFmtId="9" fontId="71" fillId="14" borderId="0" xfId="65" applyFont="1" applyFill="1" applyBorder="1" applyAlignment="1">
      <alignment horizontal="right"/>
    </xf>
    <xf numFmtId="9" fontId="71" fillId="14" borderId="10" xfId="65" applyFont="1" applyFill="1" applyBorder="1" applyAlignment="1">
      <alignment horizontal="right"/>
    </xf>
    <xf numFmtId="197" fontId="71" fillId="14" borderId="0" xfId="0" applyNumberFormat="1" applyFont="1" applyFill="1" applyAlignment="1">
      <alignment horizontal="right"/>
    </xf>
    <xf numFmtId="197" fontId="71" fillId="14" borderId="0" xfId="65" applyNumberFormat="1" applyFont="1" applyFill="1" applyBorder="1" applyAlignment="1">
      <alignment horizontal="right"/>
    </xf>
    <xf numFmtId="197" fontId="71" fillId="14" borderId="10" xfId="65" applyNumberFormat="1" applyFont="1" applyFill="1" applyBorder="1" applyAlignment="1">
      <alignment horizontal="right"/>
    </xf>
    <xf numFmtId="169" fontId="66" fillId="19" borderId="0" xfId="0" applyNumberFormat="1" applyFont="1" applyFill="1" applyAlignment="1">
      <alignment horizontal="right" vertical="top"/>
    </xf>
    <xf numFmtId="169" fontId="66" fillId="19" borderId="0" xfId="0" applyNumberFormat="1" applyFont="1" applyFill="1" applyBorder="1" applyAlignment="1">
      <alignment horizontal="right" vertical="top"/>
    </xf>
    <xf numFmtId="0" fontId="61" fillId="95" borderId="12" xfId="0" applyFont="1" applyFill="1" applyBorder="1" applyAlignment="1">
      <alignment horizontal="right"/>
    </xf>
    <xf numFmtId="1" fontId="61" fillId="12" borderId="12" xfId="0" applyNumberFormat="1" applyFont="1" applyFill="1" applyBorder="1" applyAlignment="1">
      <alignment horizontal="right"/>
    </xf>
    <xf numFmtId="9" fontId="71" fillId="12" borderId="0" xfId="65" applyFont="1" applyFill="1" applyBorder="1" applyAlignment="1">
      <alignment horizontal="right"/>
    </xf>
    <xf numFmtId="9" fontId="71" fillId="12" borderId="10" xfId="65" applyFont="1" applyFill="1" applyBorder="1" applyAlignment="1">
      <alignment horizontal="right"/>
    </xf>
    <xf numFmtId="9" fontId="71" fillId="12" borderId="0" xfId="65" applyFont="1" applyFill="1" applyAlignment="1">
      <alignment horizontal="right"/>
    </xf>
    <xf numFmtId="9" fontId="63" fillId="12" borderId="0" xfId="65" applyFont="1" applyFill="1" applyAlignment="1">
      <alignment horizontal="center"/>
    </xf>
    <xf numFmtId="169" fontId="2" fillId="0" borderId="12" xfId="65" applyNumberFormat="1" applyFont="1" applyFill="1" applyBorder="1" applyAlignment="1">
      <alignment horizontal="right" vertical="top"/>
    </xf>
    <xf numFmtId="169" fontId="2" fillId="0" borderId="0" xfId="65" applyNumberFormat="1" applyFont="1" applyFill="1" applyBorder="1" applyAlignment="1">
      <alignment horizontal="right" vertical="top"/>
    </xf>
    <xf numFmtId="169" fontId="2" fillId="0" borderId="10" xfId="65" applyNumberFormat="1" applyFont="1" applyFill="1" applyBorder="1" applyAlignment="1">
      <alignment horizontal="right" vertical="top"/>
    </xf>
    <xf numFmtId="169" fontId="66" fillId="12" borderId="0" xfId="0" applyNumberFormat="1" applyFont="1" applyFill="1" applyBorder="1" applyAlignment="1">
      <alignment horizontal="right" vertical="top"/>
    </xf>
    <xf numFmtId="170" fontId="69" fillId="12" borderId="0" xfId="65" applyNumberFormat="1" applyFont="1" applyFill="1" applyBorder="1" applyAlignment="1">
      <alignment horizontal="right" vertical="top"/>
    </xf>
    <xf numFmtId="170" fontId="66" fillId="12" borderId="10" xfId="65" applyNumberFormat="1" applyFont="1" applyFill="1" applyBorder="1" applyAlignment="1">
      <alignment horizontal="right" vertical="top"/>
    </xf>
    <xf numFmtId="170" fontId="66" fillId="12" borderId="0" xfId="65" applyNumberFormat="1" applyFont="1" applyFill="1" applyBorder="1" applyAlignment="1">
      <alignment horizontal="right" vertical="top"/>
    </xf>
    <xf numFmtId="169" fontId="66" fillId="12" borderId="0" xfId="0" applyNumberFormat="1" applyFont="1" applyFill="1" applyAlignment="1">
      <alignment horizontal="right" vertical="top"/>
    </xf>
    <xf numFmtId="170" fontId="69" fillId="12" borderId="0" xfId="65" applyNumberFormat="1" applyFont="1" applyFill="1" applyAlignment="1">
      <alignment horizontal="right" vertical="top"/>
    </xf>
    <xf numFmtId="170" fontId="66" fillId="12" borderId="0" xfId="65" applyNumberFormat="1" applyFont="1" applyFill="1" applyAlignment="1">
      <alignment horizontal="right" vertical="top"/>
    </xf>
    <xf numFmtId="9" fontId="66" fillId="12" borderId="0" xfId="65" applyNumberFormat="1" applyFont="1" applyFill="1" applyAlignment="1">
      <alignment horizontal="right" vertical="top"/>
    </xf>
    <xf numFmtId="9" fontId="66" fillId="12" borderId="0" xfId="65" applyNumberFormat="1" applyFont="1" applyFill="1" applyBorder="1" applyAlignment="1">
      <alignment horizontal="right" vertical="top"/>
    </xf>
    <xf numFmtId="169" fontId="66" fillId="12" borderId="12" xfId="0" applyNumberFormat="1" applyFont="1" applyFill="1" applyBorder="1" applyAlignment="1">
      <alignment horizontal="right" vertical="top"/>
    </xf>
    <xf numFmtId="169" fontId="66" fillId="12" borderId="10" xfId="0" applyNumberFormat="1" applyFont="1" applyFill="1" applyBorder="1" applyAlignment="1">
      <alignment horizontal="right" vertical="top"/>
    </xf>
    <xf numFmtId="0" fontId="290" fillId="0" borderId="0" xfId="0" applyFont="1" applyAlignment="1">
      <alignment vertical="top"/>
    </xf>
    <xf numFmtId="0" fontId="69" fillId="0" borderId="12" xfId="0" applyFont="1" applyFill="1" applyBorder="1" applyAlignment="1">
      <alignment vertical="top"/>
    </xf>
    <xf numFmtId="0" fontId="292" fillId="0" borderId="12" xfId="0" applyFont="1" applyFill="1" applyBorder="1" applyAlignment="1">
      <alignment vertical="top"/>
    </xf>
    <xf numFmtId="9" fontId="69" fillId="0" borderId="12" xfId="65" applyFont="1" applyFill="1" applyBorder="1" applyAlignment="1">
      <alignment vertical="top"/>
    </xf>
    <xf numFmtId="168" fontId="69" fillId="0" borderId="12" xfId="0" applyNumberFormat="1" applyFont="1" applyFill="1" applyBorder="1" applyAlignment="1">
      <alignment vertical="top"/>
    </xf>
    <xf numFmtId="170" fontId="69" fillId="0" borderId="12" xfId="0" applyNumberFormat="1" applyFont="1" applyFill="1" applyBorder="1" applyAlignment="1">
      <alignment vertical="top"/>
    </xf>
    <xf numFmtId="0" fontId="293" fillId="0" borderId="12" xfId="0" applyFont="1" applyFill="1" applyBorder="1" applyAlignment="1">
      <alignment horizontal="left" vertical="top"/>
    </xf>
    <xf numFmtId="0" fontId="69" fillId="0" borderId="12" xfId="0" applyFont="1" applyFill="1" applyBorder="1" applyAlignment="1">
      <alignment horizontal="left" vertical="top"/>
    </xf>
    <xf numFmtId="9" fontId="69" fillId="0" borderId="12" xfId="65" applyFont="1" applyFill="1" applyBorder="1" applyAlignment="1">
      <alignment horizontal="left" vertical="top"/>
    </xf>
    <xf numFmtId="9" fontId="293" fillId="0" borderId="12" xfId="65" applyFont="1" applyFill="1" applyBorder="1" applyAlignment="1">
      <alignment horizontal="left" vertical="top"/>
    </xf>
    <xf numFmtId="168" fontId="293" fillId="0" borderId="12" xfId="0" applyNumberFormat="1" applyFont="1" applyFill="1" applyBorder="1" applyAlignment="1">
      <alignment vertical="top"/>
    </xf>
    <xf numFmtId="0" fontId="293" fillId="0" borderId="12" xfId="0" applyFont="1" applyFill="1" applyBorder="1" applyAlignment="1">
      <alignment vertical="top"/>
    </xf>
    <xf numFmtId="170" fontId="69" fillId="0" borderId="12" xfId="65" applyNumberFormat="1" applyFont="1" applyFill="1" applyBorder="1" applyAlignment="1">
      <alignment vertical="top"/>
    </xf>
    <xf numFmtId="348" fontId="293" fillId="0" borderId="12" xfId="0" applyNumberFormat="1" applyFont="1" applyFill="1" applyBorder="1" applyAlignment="1">
      <alignment vertical="top"/>
    </xf>
    <xf numFmtId="0" fontId="294" fillId="6" borderId="0" xfId="1517" applyFont="1" applyFill="1" applyAlignment="1">
      <alignment horizontal="left"/>
    </xf>
    <xf numFmtId="37" fontId="70" fillId="0" borderId="0" xfId="0" applyNumberFormat="1" applyFont="1"/>
    <xf numFmtId="9" fontId="55" fillId="0" borderId="0" xfId="65" applyFont="1" applyFill="1" applyAlignment="1">
      <alignment horizontal="center"/>
    </xf>
    <xf numFmtId="0" fontId="2" fillId="93" borderId="0" xfId="1518" applyFont="1" applyFill="1" applyAlignment="1">
      <alignment vertical="top"/>
    </xf>
    <xf numFmtId="0" fontId="2" fillId="93" borderId="0" xfId="41" applyFill="1" applyAlignment="1">
      <alignment vertical="top"/>
    </xf>
    <xf numFmtId="0" fontId="2" fillId="93" borderId="0" xfId="41" applyFill="1"/>
    <xf numFmtId="0" fontId="48" fillId="93" borderId="0" xfId="1518" applyFont="1" applyFill="1" applyAlignment="1">
      <alignment horizontal="left" vertical="top"/>
    </xf>
    <xf numFmtId="0" fontId="2" fillId="93" borderId="0" xfId="41" applyFont="1" applyFill="1" applyAlignment="1">
      <alignment vertical="top"/>
    </xf>
    <xf numFmtId="0" fontId="6" fillId="93" borderId="0" xfId="1518" applyFont="1" applyFill="1" applyAlignment="1">
      <alignment vertical="top"/>
    </xf>
    <xf numFmtId="0" fontId="0" fillId="93" borderId="0" xfId="0" applyFill="1" applyAlignment="1">
      <alignment vertical="top"/>
    </xf>
    <xf numFmtId="0" fontId="130" fillId="93" borderId="0" xfId="0" applyFont="1" applyFill="1" applyAlignment="1">
      <alignment vertical="top"/>
    </xf>
    <xf numFmtId="0" fontId="295" fillId="93" borderId="0" xfId="0" applyFont="1" applyFill="1" applyAlignment="1">
      <alignment vertical="top"/>
    </xf>
    <xf numFmtId="0" fontId="130" fillId="93" borderId="65" xfId="0" applyFont="1" applyFill="1" applyBorder="1" applyAlignment="1">
      <alignment vertical="top"/>
    </xf>
    <xf numFmtId="9" fontId="130" fillId="93" borderId="65" xfId="0" applyNumberFormat="1" applyFont="1" applyFill="1" applyBorder="1" applyAlignment="1">
      <alignment vertical="top"/>
    </xf>
    <xf numFmtId="3" fontId="130" fillId="93" borderId="65" xfId="0" applyNumberFormat="1" applyFont="1" applyFill="1" applyBorder="1" applyAlignment="1">
      <alignment vertical="top"/>
    </xf>
    <xf numFmtId="2" fontId="2" fillId="0" borderId="0" xfId="41" applyNumberFormat="1" applyAlignment="1">
      <alignment horizontal="left"/>
    </xf>
    <xf numFmtId="0" fontId="2" fillId="0" borderId="0" xfId="41" applyNumberFormat="1" applyAlignment="1">
      <alignment horizontal="left"/>
    </xf>
    <xf numFmtId="1" fontId="2" fillId="0" borderId="0" xfId="41" applyNumberFormat="1" applyAlignment="1">
      <alignment horizontal="left"/>
    </xf>
    <xf numFmtId="0" fontId="2" fillId="0" borderId="0" xfId="41" applyFont="1"/>
    <xf numFmtId="349" fontId="2" fillId="0" borderId="0" xfId="41" applyNumberFormat="1" applyAlignment="1">
      <alignment horizontal="left"/>
    </xf>
    <xf numFmtId="49" fontId="2" fillId="0" borderId="0" xfId="41" applyNumberFormat="1"/>
    <xf numFmtId="0" fontId="0" fillId="93" borderId="70" xfId="0" applyFill="1" applyBorder="1" applyAlignment="1">
      <alignment vertical="top"/>
    </xf>
    <xf numFmtId="0" fontId="130" fillId="93" borderId="0" xfId="0" applyFont="1" applyFill="1" applyAlignment="1">
      <alignment vertical="top"/>
    </xf>
    <xf numFmtId="0" fontId="130" fillId="93" borderId="66" xfId="0" applyFont="1" applyFill="1" applyBorder="1" applyAlignment="1">
      <alignment vertical="top"/>
    </xf>
    <xf numFmtId="0" fontId="130" fillId="93" borderId="67" xfId="0" applyFont="1" applyFill="1" applyBorder="1" applyAlignment="1">
      <alignment vertical="top"/>
    </xf>
    <xf numFmtId="0" fontId="130" fillId="93" borderId="68" xfId="0" applyFont="1" applyFill="1" applyBorder="1" applyAlignment="1">
      <alignment vertical="top"/>
    </xf>
    <xf numFmtId="0" fontId="295" fillId="93" borderId="0" xfId="0" applyFont="1" applyFill="1" applyAlignment="1">
      <alignment vertical="top"/>
    </xf>
    <xf numFmtId="0" fontId="0" fillId="93" borderId="0" xfId="0" applyFill="1" applyAlignment="1">
      <alignment vertical="top"/>
    </xf>
    <xf numFmtId="0" fontId="0" fillId="93" borderId="69" xfId="0" applyFill="1" applyBorder="1" applyAlignment="1">
      <alignment vertical="top"/>
    </xf>
    <xf numFmtId="0" fontId="42" fillId="23" borderId="0" xfId="0" applyFont="1" applyFill="1" applyAlignment="1">
      <alignment horizontal="center"/>
    </xf>
    <xf numFmtId="0" fontId="16" fillId="0" borderId="0" xfId="61" applyNumberFormat="1" applyFont="1" applyAlignment="1">
      <alignment horizontal="left" vertical="center" wrapText="1"/>
    </xf>
  </cellXfs>
  <cellStyles count="1519">
    <cellStyle name=" 1" xfId="1"/>
    <cellStyle name=" 1 2" xfId="246"/>
    <cellStyle name="_x000d__x000a_JournalTemplate=C:\COMFO\CTALK\JOURSTD.TPL_x000d__x000a_LbStateAddress=3 3 0 251 1 89 2 311_x000d__x000a_LbStateJou" xfId="2"/>
    <cellStyle name="_x000d__x000a_JournalTemplate=C:\COMFO\CTALK\JOURSTD.TPL_x000d__x000a_LbStateAddress=3 3 0 251 1 89 2 311_x000d__x000a_LbStateJou 2" xfId="251"/>
    <cellStyle name="_x000d__x000a_JournalTemplate=C:\COMFO\CTALK\JOURSTD.TPL_x000d__x000a_LbStateAddress=3 3 0 251 1 89 2 311_x000d__x000a_LbStateJou 3" xfId="252"/>
    <cellStyle name="$" xfId="84"/>
    <cellStyle name="%" xfId="253"/>
    <cellStyle name="% 2" xfId="254"/>
    <cellStyle name="??" xfId="85"/>
    <cellStyle name="?? [0.00]_????" xfId="86"/>
    <cellStyle name="??_??" xfId="87"/>
    <cellStyle name="_%(SignOnly)" xfId="88"/>
    <cellStyle name="_%(SignSpaceOnly)" xfId="89"/>
    <cellStyle name="_Comma" xfId="90"/>
    <cellStyle name="_Comma_AventisSanofi Merger 26-Jan-2004" xfId="91"/>
    <cellStyle name="_Comma_DCF" xfId="92"/>
    <cellStyle name="_Comma_NRM V" xfId="93"/>
    <cellStyle name="_Comma_Pharma CSC" xfId="94"/>
    <cellStyle name="_Core EPS" xfId="95"/>
    <cellStyle name="_Currency" xfId="96"/>
    <cellStyle name="_Currency_AventisSanofi Merger 26-Jan-2004" xfId="97"/>
    <cellStyle name="_Currency_NRM V" xfId="98"/>
    <cellStyle name="_Currency_Pharma CSC" xfId="99"/>
    <cellStyle name="_CurrencySpace" xfId="100"/>
    <cellStyle name="_CurrencySpace_AventisSanofi Merger 26-Jan-2004" xfId="101"/>
    <cellStyle name="_CurrencySpace_AventisSanofi Merger 26-Jan-2004_Consensus" xfId="255"/>
    <cellStyle name="_CurrencySpace_AventisSanofi Merger 26-Jan-2004_Consensus 2" xfId="256"/>
    <cellStyle name="_CurrencySpace_NRM V" xfId="102"/>
    <cellStyle name="_CurrencySpace_NRM V 2" xfId="257"/>
    <cellStyle name="_CurrencySpace_NRM V_Consensus" xfId="258"/>
    <cellStyle name="_CurrencySpace_NRM V_Consensus 2" xfId="259"/>
    <cellStyle name="_CurrencySpace_Pharma CSC" xfId="103"/>
    <cellStyle name="_CurrencySpace_Pharma CSC 2" xfId="260"/>
    <cellStyle name="_CurrencySpace_Pharma CSC_Consensus" xfId="261"/>
    <cellStyle name="_CurrencySpace_Pharma CSC_Consensus 2" xfId="262"/>
    <cellStyle name="_Euro" xfId="104"/>
    <cellStyle name="_Euro 2" xfId="263"/>
    <cellStyle name="_Euro_Consensus" xfId="264"/>
    <cellStyle name="_Euro_Consensus 2" xfId="265"/>
    <cellStyle name="_Heading" xfId="105"/>
    <cellStyle name="_Healthcare Financial Data BST 20070515 AZN SAN NOVOB" xfId="266"/>
    <cellStyle name="_Healthcare Financial Data BST 20070619 BIIB" xfId="267"/>
    <cellStyle name="_Healthcare Financial Data BST 20070619 BIIB 2" xfId="268"/>
    <cellStyle name="_Healthcare Financial Data BST 20070619 BIIB 3" xfId="269"/>
    <cellStyle name="_Highlight" xfId="106"/>
    <cellStyle name="_Highlight 2" xfId="270"/>
    <cellStyle name="_MS_Roche" xfId="3"/>
    <cellStyle name="_MS_Roche20feb" xfId="271"/>
    <cellStyle name="_Multiple" xfId="107"/>
    <cellStyle name="_Multiple 2" xfId="272"/>
    <cellStyle name="_Multiple_AventisSanofi Merger 26-Jan-2004" xfId="108"/>
    <cellStyle name="_Multiple_AventisSanofi Merger 26-Jan-2004 2" xfId="273"/>
    <cellStyle name="_Multiple_AventisSanofi Merger 26-Jan-2004_Consensus" xfId="274"/>
    <cellStyle name="_Multiple_AventisSanofi Merger 26-Jan-2004_Consensus 2" xfId="275"/>
    <cellStyle name="_Multiple_AZN &amp; GSK bull bear" xfId="276"/>
    <cellStyle name="_Multiple_AZN &amp; GSK bull bear 2" xfId="277"/>
    <cellStyle name="_Multiple_Consensus" xfId="278"/>
    <cellStyle name="_Multiple_Consensus 2" xfId="279"/>
    <cellStyle name="_Multiple_csc" xfId="109"/>
    <cellStyle name="_Multiple_csc 2" xfId="280"/>
    <cellStyle name="_Multiple_csc_Consensus" xfId="281"/>
    <cellStyle name="_Multiple_csc_Consensus 2" xfId="282"/>
    <cellStyle name="_Multiple_NRM V" xfId="110"/>
    <cellStyle name="_Multiple_NRM V 2" xfId="283"/>
    <cellStyle name="_Multiple_NRM V_Consensus" xfId="284"/>
    <cellStyle name="_Multiple_NRM V_Consensus 2" xfId="285"/>
    <cellStyle name="_Multiple_Pharma CSC" xfId="111"/>
    <cellStyle name="_Multiple_Pharma CSC 2" xfId="286"/>
    <cellStyle name="_Multiple_Pharma CSC_Consensus" xfId="287"/>
    <cellStyle name="_Multiple_Pharma CSC_Consensus 2" xfId="288"/>
    <cellStyle name="_Multiple_SA_Novartis" xfId="289"/>
    <cellStyle name="_Multiple_SA_Novartis 2" xfId="290"/>
    <cellStyle name="_MultipleSpace" xfId="112"/>
    <cellStyle name="_MultipleSpace 2" xfId="291"/>
    <cellStyle name="_MultipleSpace_AventisSanofi Merger 26-Jan-2004" xfId="113"/>
    <cellStyle name="_MultipleSpace_AventisSanofi Merger 26-Jan-2004 2" xfId="292"/>
    <cellStyle name="_MultipleSpace_AventisSanofi Merger 26-Jan-2004_Consensus" xfId="293"/>
    <cellStyle name="_MultipleSpace_AventisSanofi Merger 26-Jan-2004_Consensus 2" xfId="294"/>
    <cellStyle name="_MultipleSpace_AZN &amp; GSK bull bear" xfId="295"/>
    <cellStyle name="_MultipleSpace_AZN &amp; GSK bull bear 2" xfId="296"/>
    <cellStyle name="_MultipleSpace_Consensus" xfId="297"/>
    <cellStyle name="_MultipleSpace_Consensus 2" xfId="298"/>
    <cellStyle name="_MultipleSpace_csc" xfId="114"/>
    <cellStyle name="_MultipleSpace_csc 2" xfId="299"/>
    <cellStyle name="_MultipleSpace_csc_Consensus" xfId="300"/>
    <cellStyle name="_MultipleSpace_csc_Consensus 2" xfId="301"/>
    <cellStyle name="_MultipleSpace_NRM V" xfId="115"/>
    <cellStyle name="_MultipleSpace_NRM V 2" xfId="302"/>
    <cellStyle name="_MultipleSpace_NRM V_Consensus" xfId="303"/>
    <cellStyle name="_MultipleSpace_NRM V_Consensus 2" xfId="304"/>
    <cellStyle name="_MultipleSpace_Pharma CSC" xfId="116"/>
    <cellStyle name="_MultipleSpace_Pharma CSC 2" xfId="305"/>
    <cellStyle name="_MultipleSpace_Pharma CSC_Consensus" xfId="306"/>
    <cellStyle name="_MultipleSpace_Pharma CSC_Consensus 2" xfId="307"/>
    <cellStyle name="_MultipleSpace_SA_Novartis" xfId="308"/>
    <cellStyle name="_MultipleSpace_SA_Novartis 2" xfId="309"/>
    <cellStyle name="_NGGIpsenDCF" xfId="310"/>
    <cellStyle name="_NGGIpsenDCF 2" xfId="311"/>
    <cellStyle name="_NGGIpsenDCF 3" xfId="312"/>
    <cellStyle name="_NGGUCB" xfId="313"/>
    <cellStyle name="_NGGUCB 2" xfId="314"/>
    <cellStyle name="_NGGUCB 3" xfId="315"/>
    <cellStyle name="_Novartis_Link" xfId="316"/>
    <cellStyle name="_Novartis_Link 2" xfId="317"/>
    <cellStyle name="_Novartis_Published_140314" xfId="318"/>
    <cellStyle name="_Novartis_Published_140314 2" xfId="319"/>
    <cellStyle name="_Novo_act" xfId="320"/>
    <cellStyle name="_Novo_act 2" xfId="321"/>
    <cellStyle name="_Novo_act 3" xfId="322"/>
    <cellStyle name="_Omthera" xfId="323"/>
    <cellStyle name="_Omthera 2" xfId="324"/>
    <cellStyle name="_Percent" xfId="117"/>
    <cellStyle name="_Percent 2" xfId="325"/>
    <cellStyle name="_Percent_AZN &amp; GSK bull bear" xfId="326"/>
    <cellStyle name="_Percent_AZN &amp; GSK bull bear 2" xfId="327"/>
    <cellStyle name="_Percent_Consensus" xfId="328"/>
    <cellStyle name="_Percent_Consensus 2" xfId="329"/>
    <cellStyle name="_Percent_SA_Novartis" xfId="330"/>
    <cellStyle name="_Percent_SA_Novartis 2" xfId="331"/>
    <cellStyle name="_PercentSpace" xfId="118"/>
    <cellStyle name="_PercentSpace 2" xfId="332"/>
    <cellStyle name="_PercentSpace_AZN &amp; GSK bull bear" xfId="333"/>
    <cellStyle name="_PercentSpace_AZN &amp; GSK bull bear 2" xfId="334"/>
    <cellStyle name="_PercentSpace_Consensus" xfId="335"/>
    <cellStyle name="_PercentSpace_Consensus 2" xfId="336"/>
    <cellStyle name="_PercentSpace_SA_Novartis" xfId="337"/>
    <cellStyle name="_PercentSpace_SA_Novartis 2" xfId="338"/>
    <cellStyle name="_Pharmstandard revenues" xfId="339"/>
    <cellStyle name="_R&amp;D charts" xfId="340"/>
    <cellStyle name="_R&amp;D charts 2" xfId="341"/>
    <cellStyle name="_Roche pipeline" xfId="342"/>
    <cellStyle name="_Roche pipeline 2" xfId="343"/>
    <cellStyle name="_Roczfin_link" xfId="4"/>
    <cellStyle name="_Roczfin_link 2" xfId="344"/>
    <cellStyle name="_RRS1" xfId="345"/>
    <cellStyle name="_RRS1 2" xfId="346"/>
    <cellStyle name="_RRS13" xfId="347"/>
    <cellStyle name="_RRS13 2" xfId="348"/>
    <cellStyle name="_RRS2" xfId="349"/>
    <cellStyle name="_RRS2 2" xfId="350"/>
    <cellStyle name="_RRS20" xfId="351"/>
    <cellStyle name="_RRS20 2" xfId="352"/>
    <cellStyle name="_RRS3" xfId="353"/>
    <cellStyle name="_RRS3 2" xfId="354"/>
    <cellStyle name="_RRS4" xfId="355"/>
    <cellStyle name="_RRS4 2" xfId="356"/>
    <cellStyle name="_RRS5" xfId="357"/>
    <cellStyle name="_RRS5 2" xfId="358"/>
    <cellStyle name="_RRS7" xfId="359"/>
    <cellStyle name="_RRS7 2" xfId="360"/>
    <cellStyle name="_RRS8" xfId="361"/>
    <cellStyle name="_RRS8 2" xfId="362"/>
    <cellStyle name="_SA_Actelion" xfId="363"/>
    <cellStyle name="_SA_IPSEN" xfId="364"/>
    <cellStyle name="_SA_Novartis" xfId="365"/>
    <cellStyle name="_SA_Roche" xfId="366"/>
    <cellStyle name="_SA_Shire Pharmaceuticals Group plcOLD" xfId="367"/>
    <cellStyle name="_SA_Shire Plc_new" xfId="368"/>
    <cellStyle name="_SA_Shire Plc_new 2" xfId="369"/>
    <cellStyle name="_SA_Stallergenes" xfId="370"/>
    <cellStyle name="_Sa_ucb" xfId="371"/>
    <cellStyle name="_Sa_ucbJan11" xfId="372"/>
    <cellStyle name="_SATemplatePreview" xfId="373"/>
    <cellStyle name="_SubHeading" xfId="119"/>
    <cellStyle name="_SUMMARY " xfId="5"/>
    <cellStyle name="_SUMMARY  2" xfId="374"/>
    <cellStyle name="_Table" xfId="120"/>
    <cellStyle name="_Table 2" xfId="375"/>
    <cellStyle name="_TableHead" xfId="121"/>
    <cellStyle name="_TableRowHead" xfId="122"/>
    <cellStyle name="_TableSuperHead" xfId="123"/>
    <cellStyle name="_TOC Macro File 31-01-02" xfId="376"/>
    <cellStyle name="’Ê‰Ý [0.00]_4501mc" xfId="124"/>
    <cellStyle name="’Ê‰Ý_4501mc" xfId="125"/>
    <cellStyle name="=C:\WINNT35\SYSTEM32\COMMAND.COM" xfId="377"/>
    <cellStyle name="=C:\WINNT35\SYSTEM32\COMMAND.COM 2" xfId="378"/>
    <cellStyle name="§Q\?1@" xfId="126"/>
    <cellStyle name="§Q\?1@ 2" xfId="247"/>
    <cellStyle name="§Q\?1@ 3" xfId="6"/>
    <cellStyle name="•W€_4501mc" xfId="127"/>
    <cellStyle name="ÊÝ [0.00]_×Ö[g" xfId="379"/>
    <cellStyle name="ÊÝ_×Ö[g" xfId="380"/>
    <cellStyle name="W_\ (2)" xfId="381"/>
    <cellStyle name="0" xfId="382"/>
    <cellStyle name="0 2" xfId="383"/>
    <cellStyle name="0 3" xfId="384"/>
    <cellStyle name="0%" xfId="385"/>
    <cellStyle name="0% 2" xfId="386"/>
    <cellStyle name="0% 3" xfId="387"/>
    <cellStyle name="0.0" xfId="388"/>
    <cellStyle name="0.0 2" xfId="389"/>
    <cellStyle name="0.0%" xfId="390"/>
    <cellStyle name="0.0% 2" xfId="391"/>
    <cellStyle name="0.0_MS_Roche" xfId="392"/>
    <cellStyle name="0.00" xfId="393"/>
    <cellStyle name="0.00 2" xfId="394"/>
    <cellStyle name="0.00%" xfId="395"/>
    <cellStyle name="0.00% 2" xfId="396"/>
    <cellStyle name="0_ArdeaAMGRigel" xfId="397"/>
    <cellStyle name="0_ArdeaAMGRigel 2" xfId="398"/>
    <cellStyle name="0_AZN &amp; GSK bull bear" xfId="399"/>
    <cellStyle name="0_AZN &amp; GSK bull bear 2" xfId="400"/>
    <cellStyle name="0_Capex &amp; Depreciation " xfId="7"/>
    <cellStyle name="0_Capex &amp; Depreciation  2" xfId="401"/>
    <cellStyle name="0_MS_Roche" xfId="402"/>
    <cellStyle name="0_MS_Roche 2" xfId="403"/>
    <cellStyle name="0_MS_Roche20feb" xfId="404"/>
    <cellStyle name="0_MS_Roche20feb 2" xfId="405"/>
    <cellStyle name="0_Novartis_Link" xfId="406"/>
    <cellStyle name="0_Novartis_Link 2" xfId="407"/>
    <cellStyle name="0_Novartis_Published_140314" xfId="408"/>
    <cellStyle name="0_Novartis_Published_140314 2" xfId="409"/>
    <cellStyle name="0_Omthera" xfId="410"/>
    <cellStyle name="0_Omthera 2" xfId="411"/>
    <cellStyle name="0_P&amp;L-adj " xfId="8"/>
    <cellStyle name="0_P&amp;L-adj  2" xfId="412"/>
    <cellStyle name="0_Pension_UTX Example_Acute Care " xfId="1514"/>
    <cellStyle name="0_Quarterly " xfId="9"/>
    <cellStyle name="0_Quarterly  2" xfId="413"/>
    <cellStyle name="0_Quarterly-ITMN " xfId="10"/>
    <cellStyle name="0_Quarterly-ITMN  2" xfId="414"/>
    <cellStyle name="0_Roche pipeline" xfId="415"/>
    <cellStyle name="0_Roche pipeline 2" xfId="416"/>
    <cellStyle name="0_Roczfin_link" xfId="417"/>
    <cellStyle name="0_Roczfin_link 2" xfId="418"/>
    <cellStyle name="0_TPP.N Ver 15_Acute Care " xfId="1515"/>
    <cellStyle name="0_Valuing BP " xfId="11"/>
    <cellStyle name="0_Valuing BP  2" xfId="419"/>
    <cellStyle name="000" xfId="420"/>
    <cellStyle name="000 2" xfId="421"/>
    <cellStyle name="1,comma" xfId="422"/>
    <cellStyle name="1,comma 2" xfId="423"/>
    <cellStyle name="1dec" xfId="424"/>
    <cellStyle name="20 % - Accent1" xfId="425"/>
    <cellStyle name="20 % - Accent2" xfId="426"/>
    <cellStyle name="20 % - Accent3" xfId="427"/>
    <cellStyle name="20 % - Accent4" xfId="428"/>
    <cellStyle name="20 % - Accent5" xfId="429"/>
    <cellStyle name="20 % - Accent6" xfId="430"/>
    <cellStyle name="20% - Accent1 2" xfId="431"/>
    <cellStyle name="20% - Accent2 2" xfId="432"/>
    <cellStyle name="20% - Accent3 2" xfId="433"/>
    <cellStyle name="20% - Accent4 2" xfId="434"/>
    <cellStyle name="20% - Accent5 2" xfId="435"/>
    <cellStyle name="20% - Accent6 2" xfId="436"/>
    <cellStyle name="40 % - Accent1" xfId="437"/>
    <cellStyle name="40 % - Accent2" xfId="438"/>
    <cellStyle name="40 % - Accent3" xfId="439"/>
    <cellStyle name="40 % - Accent4" xfId="440"/>
    <cellStyle name="40 % - Accent5" xfId="441"/>
    <cellStyle name="40 % - Accent6" xfId="442"/>
    <cellStyle name="40% - Accent1 2" xfId="443"/>
    <cellStyle name="40% - Accent2 2" xfId="444"/>
    <cellStyle name="40% - Accent3 2" xfId="445"/>
    <cellStyle name="40% - Accent4 2" xfId="446"/>
    <cellStyle name="40% - Accent5 2" xfId="447"/>
    <cellStyle name="40% - Accent6 2" xfId="448"/>
    <cellStyle name="60 % - Accent1" xfId="449"/>
    <cellStyle name="60 % - Accent2" xfId="450"/>
    <cellStyle name="60 % - Accent3" xfId="451"/>
    <cellStyle name="60 % - Accent4" xfId="452"/>
    <cellStyle name="60 % - Accent5" xfId="453"/>
    <cellStyle name="60 % - Accent6" xfId="454"/>
    <cellStyle name="60% - Accent1 2" xfId="455"/>
    <cellStyle name="60% - Accent2 2" xfId="456"/>
    <cellStyle name="60% - Accent3 2" xfId="457"/>
    <cellStyle name="60% - Accent4 2" xfId="458"/>
    <cellStyle name="60% - Accent5 2" xfId="459"/>
    <cellStyle name="60% - Accent6 2" xfId="460"/>
    <cellStyle name="752131" xfId="461"/>
    <cellStyle name="A_Block Space" xfId="462"/>
    <cellStyle name="A_Block Space 2" xfId="463"/>
    <cellStyle name="A_Block Space_ArdeaAMGRigel" xfId="464"/>
    <cellStyle name="A_Block Space_AZN &amp; GSK bull bear" xfId="465"/>
    <cellStyle name="A_Block Space_Omthera" xfId="466"/>
    <cellStyle name="A_BlueLine" xfId="467"/>
    <cellStyle name="A_Do not Change" xfId="468"/>
    <cellStyle name="A_Do not Change 2" xfId="469"/>
    <cellStyle name="A_Estimate" xfId="470"/>
    <cellStyle name="A_Estimate 2" xfId="471"/>
    <cellStyle name="A_Estimate 3" xfId="472"/>
    <cellStyle name="A_Memo" xfId="473"/>
    <cellStyle name="A_Memo 2" xfId="474"/>
    <cellStyle name="A_Memo 3" xfId="475"/>
    <cellStyle name="A_Memo_ArdeaAMGRigel" xfId="476"/>
    <cellStyle name="A_Memo_ArdeaAMGRigel 2" xfId="477"/>
    <cellStyle name="A_Memo_AZN &amp; GSK bull bear" xfId="478"/>
    <cellStyle name="A_Memo_AZN &amp; GSK bull bear 2" xfId="479"/>
    <cellStyle name="A_Memo_Omthera" xfId="480"/>
    <cellStyle name="A_Memo_Omthera 2" xfId="481"/>
    <cellStyle name="A_Normal" xfId="482"/>
    <cellStyle name="A_Normal 2" xfId="483"/>
    <cellStyle name="A_Normal 3" xfId="484"/>
    <cellStyle name="A_Normal Forecast" xfId="485"/>
    <cellStyle name="A_Normal Historical" xfId="486"/>
    <cellStyle name="A_Normal Historical 2" xfId="487"/>
    <cellStyle name="A_Rate_Data" xfId="488"/>
    <cellStyle name="A_Rate_Data Historical" xfId="489"/>
    <cellStyle name="A_Rate_Title" xfId="490"/>
    <cellStyle name="A_Rate_Title 2" xfId="491"/>
    <cellStyle name="A_Rate_Title_ArdeaAMGRigel" xfId="492"/>
    <cellStyle name="A_Rate_Title_AZN &amp; GSK bull bear" xfId="493"/>
    <cellStyle name="A_Rate_Title_Omthera" xfId="494"/>
    <cellStyle name="A_Simple Title" xfId="495"/>
    <cellStyle name="A_Simple Title 2" xfId="496"/>
    <cellStyle name="A_Simple Title_ArdeaAMGRigel" xfId="497"/>
    <cellStyle name="A_Simple Title_AZN &amp; GSK bull bear" xfId="498"/>
    <cellStyle name="A_Simple Title_Omthera" xfId="499"/>
    <cellStyle name="A_Sum" xfId="500"/>
    <cellStyle name="A_Sum 2" xfId="501"/>
    <cellStyle name="A_SUM_Row Major" xfId="502"/>
    <cellStyle name="A_SUM_Row Minor" xfId="503"/>
    <cellStyle name="A_Title" xfId="504"/>
    <cellStyle name="A_Title 2" xfId="505"/>
    <cellStyle name="A_YearHeadings" xfId="506"/>
    <cellStyle name="Accent1 2" xfId="507"/>
    <cellStyle name="Accent2 2" xfId="508"/>
    <cellStyle name="Accent3 2" xfId="509"/>
    <cellStyle name="Accent4 2" xfId="510"/>
    <cellStyle name="Accent5 2" xfId="511"/>
    <cellStyle name="Accent6 2" xfId="512"/>
    <cellStyle name="Acctg" xfId="513"/>
    <cellStyle name="Actual data" xfId="514"/>
    <cellStyle name="Actual year" xfId="515"/>
    <cellStyle name="Actuals Cells" xfId="516"/>
    <cellStyle name="Actuals Cells 2" xfId="517"/>
    <cellStyle name="Admin" xfId="518"/>
    <cellStyle name="Admin 2" xfId="519"/>
    <cellStyle name="AFE" xfId="12"/>
    <cellStyle name="AFE 2" xfId="520"/>
    <cellStyle name="AFE 3" xfId="521"/>
    <cellStyle name="ales" xfId="522"/>
    <cellStyle name="Arial 10" xfId="523"/>
    <cellStyle name="Arial 10 2" xfId="524"/>
    <cellStyle name="Arial 12" xfId="525"/>
    <cellStyle name="Arial6Bold" xfId="526"/>
    <cellStyle name="Arial8Bold" xfId="527"/>
    <cellStyle name="Arial8Italic" xfId="528"/>
    <cellStyle name="ArialNormal" xfId="529"/>
    <cellStyle name="ArialNormal 2" xfId="530"/>
    <cellStyle name="Arrow" xfId="531"/>
    <cellStyle name="Arrow 2" xfId="532"/>
    <cellStyle name="Assum [0]" xfId="533"/>
    <cellStyle name="Assum [0] 2" xfId="534"/>
    <cellStyle name="Assum [1]" xfId="535"/>
    <cellStyle name="Assum [1] 2" xfId="536"/>
    <cellStyle name="Assum percent [0]" xfId="537"/>
    <cellStyle name="AutoFormat Options" xfId="538"/>
    <cellStyle name="AutoFormat Options 2" xfId="539"/>
    <cellStyle name="Avertissement" xfId="540"/>
    <cellStyle name="Back_button" xfId="541"/>
    <cellStyle name="Bad 2" xfId="542"/>
    <cellStyle name="BalanceSheet" xfId="128"/>
    <cellStyle name="BLACK" xfId="543"/>
    <cellStyle name="Blank" xfId="544"/>
    <cellStyle name="Bleu" xfId="545"/>
    <cellStyle name="Blue" xfId="546"/>
    <cellStyle name="blue$00" xfId="547"/>
    <cellStyle name="blue$00 2" xfId="548"/>
    <cellStyle name="blue$00 3" xfId="549"/>
    <cellStyle name="Blue_ACL_Working_Approved" xfId="550"/>
    <cellStyle name="Border Heavy" xfId="551"/>
    <cellStyle name="Border Thin" xfId="552"/>
    <cellStyle name="British Pound" xfId="553"/>
    <cellStyle name="British Pound 2" xfId="554"/>
    <cellStyle name="Bullets" xfId="555"/>
    <cellStyle name="c_HardInc " xfId="13"/>
    <cellStyle name="Calc [0]" xfId="556"/>
    <cellStyle name="Calc [0] 2" xfId="557"/>
    <cellStyle name="Calc [1]" xfId="558"/>
    <cellStyle name="Calc [1] 2" xfId="559"/>
    <cellStyle name="Calc [2]" xfId="560"/>
    <cellStyle name="Calc [2] 2" xfId="561"/>
    <cellStyle name="Calc [3]" xfId="562"/>
    <cellStyle name="Calc [3] 2" xfId="563"/>
    <cellStyle name="Calc alt [0]" xfId="564"/>
    <cellStyle name="Calc alt [0] 2" xfId="565"/>
    <cellStyle name="Calc alt [1]" xfId="566"/>
    <cellStyle name="Calc alt [1] 2" xfId="567"/>
    <cellStyle name="Calc alt [2]" xfId="568"/>
    <cellStyle name="Calc alt [2] 2" xfId="569"/>
    <cellStyle name="Calc alt [3]" xfId="570"/>
    <cellStyle name="Calc alt [3] 2" xfId="571"/>
    <cellStyle name="Calc Cells" xfId="572"/>
    <cellStyle name="Calc Cells 2" xfId="573"/>
    <cellStyle name="Calcul" xfId="574"/>
    <cellStyle name="Calculation 2" xfId="575"/>
    <cellStyle name="Case" xfId="576"/>
    <cellStyle name="Case 2" xfId="577"/>
    <cellStyle name="Cash Flow Statement" xfId="129"/>
    <cellStyle name="CashFlow" xfId="130"/>
    <cellStyle name="Cell_Gen" xfId="578"/>
    <cellStyle name="Cellule liée" xfId="579"/>
    <cellStyle name="Cents" xfId="580"/>
    <cellStyle name="Changeable" xfId="581"/>
    <cellStyle name="Chart Fonts" xfId="582"/>
    <cellStyle name="Check Cell 2" xfId="583"/>
    <cellStyle name="COL HEADINGS" xfId="584"/>
    <cellStyle name="COL HEADINGS 2" xfId="585"/>
    <cellStyle name="Colhead_left" xfId="586"/>
    <cellStyle name="ColHeading" xfId="131"/>
    <cellStyle name="ColHeading 2" xfId="587"/>
    <cellStyle name="colheadleft" xfId="588"/>
    <cellStyle name="colheadright" xfId="589"/>
    <cellStyle name="colheadright 2" xfId="590"/>
    <cellStyle name="Comma" xfId="14" builtinId="3"/>
    <cellStyle name="Comma  - Style1" xfId="591"/>
    <cellStyle name="Comma  - Style1 2" xfId="592"/>
    <cellStyle name="Comma  - Style2" xfId="593"/>
    <cellStyle name="Comma  - Style2 2" xfId="594"/>
    <cellStyle name="Comma  - Style3" xfId="595"/>
    <cellStyle name="Comma  - Style3 2" xfId="596"/>
    <cellStyle name="Comma  - Style4" xfId="597"/>
    <cellStyle name="Comma  - Style4 2" xfId="598"/>
    <cellStyle name="Comma  - Style5" xfId="599"/>
    <cellStyle name="Comma  - Style5 2" xfId="600"/>
    <cellStyle name="Comma  - Style6" xfId="601"/>
    <cellStyle name="Comma  - Style6 2" xfId="602"/>
    <cellStyle name="Comma  - Style7" xfId="603"/>
    <cellStyle name="Comma  - Style7 2" xfId="604"/>
    <cellStyle name="Comma  - Style8" xfId="605"/>
    <cellStyle name="Comma  - Style8 2" xfId="606"/>
    <cellStyle name="Comma [0] 2 2" xfId="607"/>
    <cellStyle name="Comma [0] 2 2 2" xfId="608"/>
    <cellStyle name="Comma [1]" xfId="609"/>
    <cellStyle name="Comma [1] 2" xfId="610"/>
    <cellStyle name="Comma [1] 3" xfId="611"/>
    <cellStyle name="Comma 0" xfId="612"/>
    <cellStyle name="Comma 0 2" xfId="613"/>
    <cellStyle name="Comma 0 3" xfId="614"/>
    <cellStyle name="Comma 0*" xfId="615"/>
    <cellStyle name="Comma 0* 2" xfId="616"/>
    <cellStyle name="Comma 0* 3" xfId="617"/>
    <cellStyle name="Comma 10" xfId="618"/>
    <cellStyle name="Comma 11" xfId="619"/>
    <cellStyle name="Comma 11 2 4 2" xfId="132"/>
    <cellStyle name="Comma 12" xfId="620"/>
    <cellStyle name="Comma 13" xfId="621"/>
    <cellStyle name="Comma 14" xfId="622"/>
    <cellStyle name="Comma 15" xfId="623"/>
    <cellStyle name="Comma 16" xfId="624"/>
    <cellStyle name="Comma 17" xfId="625"/>
    <cellStyle name="Comma 18" xfId="626"/>
    <cellStyle name="Comma 19" xfId="627"/>
    <cellStyle name="Comma 2" xfId="15"/>
    <cellStyle name="Comma 2 2" xfId="133"/>
    <cellStyle name="Comma 2 2 13" xfId="134"/>
    <cellStyle name="Comma 2 2 2" xfId="16"/>
    <cellStyle name="Comma 2 3" xfId="628"/>
    <cellStyle name="Comma 2 4" xfId="135"/>
    <cellStyle name="Comma 2 4 2 3 2" xfId="136"/>
    <cellStyle name="Comma 2_Consensus" xfId="629"/>
    <cellStyle name="Comma 20" xfId="630"/>
    <cellStyle name="Comma 21" xfId="631"/>
    <cellStyle name="Comma 22" xfId="632"/>
    <cellStyle name="Comma 23" xfId="633"/>
    <cellStyle name="Comma 24" xfId="634"/>
    <cellStyle name="Comma 25" xfId="635"/>
    <cellStyle name="Comma 26" xfId="636"/>
    <cellStyle name="Comma 27" xfId="637"/>
    <cellStyle name="Comma 28" xfId="638"/>
    <cellStyle name="Comma 29" xfId="639"/>
    <cellStyle name="Comma 3" xfId="82"/>
    <cellStyle name="Comma 3 2" xfId="640"/>
    <cellStyle name="Comma 3 2 2" xfId="641"/>
    <cellStyle name="Comma 3 3" xfId="642"/>
    <cellStyle name="Comma 30" xfId="643"/>
    <cellStyle name="Comma 4" xfId="644"/>
    <cellStyle name="Comma 4 2" xfId="645"/>
    <cellStyle name="Comma 5" xfId="646"/>
    <cellStyle name="Comma 6" xfId="647"/>
    <cellStyle name="Comma 7" xfId="648"/>
    <cellStyle name="Comma 8" xfId="649"/>
    <cellStyle name="Comma 9" xfId="650"/>
    <cellStyle name="Comma(xxx)" xfId="651"/>
    <cellStyle name="Comma(xxx) 2" xfId="652"/>
    <cellStyle name="Comma(xxx) 3" xfId="653"/>
    <cellStyle name="Comma0" xfId="654"/>
    <cellStyle name="Comma0 2" xfId="655"/>
    <cellStyle name="Comma0 3" xfId="656"/>
    <cellStyle name="Comment" xfId="137"/>
    <cellStyle name="Commentaire" xfId="657"/>
    <cellStyle name="Commentaire 2" xfId="658"/>
    <cellStyle name="Company" xfId="138"/>
    <cellStyle name="Company 2" xfId="659"/>
    <cellStyle name="Company name" xfId="660"/>
    <cellStyle name="CompanyName" xfId="661"/>
    <cellStyle name="CompanyName 2" xfId="662"/>
    <cellStyle name="CompanyName 3" xfId="663"/>
    <cellStyle name="CurRatio" xfId="139"/>
    <cellStyle name="CurRatio 2" xfId="664"/>
    <cellStyle name="CurRatio 3" xfId="665"/>
    <cellStyle name="Currency [1]" xfId="666"/>
    <cellStyle name="Currency [1] 2" xfId="667"/>
    <cellStyle name="Currency [2]" xfId="668"/>
    <cellStyle name="Currency [2] 2" xfId="669"/>
    <cellStyle name="Currency 0" xfId="670"/>
    <cellStyle name="Currency 0 2" xfId="671"/>
    <cellStyle name="Currency 0 3" xfId="672"/>
    <cellStyle name="Currency 10" xfId="17"/>
    <cellStyle name="Currency 11" xfId="18"/>
    <cellStyle name="Currency 12" xfId="19"/>
    <cellStyle name="Currency 13" xfId="20"/>
    <cellStyle name="Currency 14" xfId="21"/>
    <cellStyle name="Currency 15" xfId="22"/>
    <cellStyle name="Currency 16" xfId="23"/>
    <cellStyle name="Currency 17" xfId="24"/>
    <cellStyle name="Currency 18" xfId="25"/>
    <cellStyle name="Currency 19" xfId="26"/>
    <cellStyle name="Currency 2" xfId="27"/>
    <cellStyle name="Currency 2 2" xfId="673"/>
    <cellStyle name="Currency 2 3" xfId="674"/>
    <cellStyle name="Currency 20" xfId="28"/>
    <cellStyle name="Currency 21" xfId="80"/>
    <cellStyle name="Currency 3" xfId="29"/>
    <cellStyle name="Currency 3 2" xfId="675"/>
    <cellStyle name="Currency 4" xfId="30"/>
    <cellStyle name="Currency 5" xfId="31"/>
    <cellStyle name="Currency 6" xfId="32"/>
    <cellStyle name="Currency 7" xfId="33"/>
    <cellStyle name="Currency 8" xfId="34"/>
    <cellStyle name="Currency 9" xfId="35"/>
    <cellStyle name="Currency0" xfId="676"/>
    <cellStyle name="Currency0 2" xfId="677"/>
    <cellStyle name="Currency0 3" xfId="678"/>
    <cellStyle name="Currsmall" xfId="679"/>
    <cellStyle name="Currsmall 2" xfId="680"/>
    <cellStyle name="CUS.Work.Area" xfId="140"/>
    <cellStyle name="CUS.Work.Area 2" xfId="681"/>
    <cellStyle name="CustomStyle1" xfId="682"/>
    <cellStyle name="CustomStyle1 2" xfId="683"/>
    <cellStyle name="CustomStyle1 3" xfId="684"/>
    <cellStyle name="CustomStyle25" xfId="685"/>
    <cellStyle name="CustomStyle25 2" xfId="686"/>
    <cellStyle name="CustomStyle25 3" xfId="687"/>
    <cellStyle name="D" xfId="688"/>
    <cellStyle name="D 2" xfId="689"/>
    <cellStyle name="D_SA_Novartis" xfId="690"/>
    <cellStyle name="D_SA_Novartis 2" xfId="691"/>
    <cellStyle name="D_SATemplatePreview" xfId="692"/>
    <cellStyle name="D_SATemplatePreview 2" xfId="693"/>
    <cellStyle name="d_yield" xfId="694"/>
    <cellStyle name="d_yield 2" xfId="695"/>
    <cellStyle name="data" xfId="696"/>
    <cellStyle name="data 2" xfId="697"/>
    <cellStyle name="data 3" xfId="698"/>
    <cellStyle name="data top 2" xfId="699"/>
    <cellStyle name="data top 2 2" xfId="700"/>
    <cellStyle name="data top 2 3" xfId="701"/>
    <cellStyle name="data_Book1" xfId="702"/>
    <cellStyle name="Date" xfId="141"/>
    <cellStyle name="Date 2" xfId="703"/>
    <cellStyle name="Date Aligned" xfId="704"/>
    <cellStyle name="Date Aligned 2" xfId="705"/>
    <cellStyle name="Date Aligned 3" xfId="706"/>
    <cellStyle name="Date Day" xfId="142"/>
    <cellStyle name="Date D-M" xfId="707"/>
    <cellStyle name="Date D-M 2" xfId="708"/>
    <cellStyle name="Date D-M 3" xfId="709"/>
    <cellStyle name="Date Year" xfId="143"/>
    <cellStyle name="Date_ACL_Working_Approved" xfId="710"/>
    <cellStyle name="Date1" xfId="711"/>
    <cellStyle name="Date1 2" xfId="712"/>
    <cellStyle name="date2" xfId="144"/>
    <cellStyle name="Date2 2" xfId="713"/>
    <cellStyle name="Date2 3" xfId="714"/>
    <cellStyle name="date3" xfId="145"/>
    <cellStyle name="Date3 2" xfId="715"/>
    <cellStyle name="Dates" xfId="146"/>
    <cellStyle name="DateTime" xfId="716"/>
    <cellStyle name="DateTime 2" xfId="717"/>
    <cellStyle name="DateYear" xfId="147"/>
    <cellStyle name="Dec0" xfId="718"/>
    <cellStyle name="Dec1" xfId="719"/>
    <cellStyle name="Dec2" xfId="720"/>
    <cellStyle name="Dec3" xfId="721"/>
    <cellStyle name="Dec3 2" xfId="722"/>
    <cellStyle name="Decimal" xfId="723"/>
    <cellStyle name="Decimal1" xfId="724"/>
    <cellStyle name="Decimal1 2" xfId="725"/>
    <cellStyle name="Decimal2" xfId="726"/>
    <cellStyle name="Decimal2 2" xfId="727"/>
    <cellStyle name="Default [0]" xfId="728"/>
    <cellStyle name="Default [0] 2" xfId="729"/>
    <cellStyle name="Default [0] 3" xfId="730"/>
    <cellStyle name="Default [3]" xfId="731"/>
    <cellStyle name="Default [3] 2" xfId="732"/>
    <cellStyle name="Dfc" xfId="148"/>
    <cellStyle name="Dfc%" xfId="149"/>
    <cellStyle name="Dfc_7944C_CF" xfId="150"/>
    <cellStyle name="DJIA" xfId="733"/>
    <cellStyle name="DJIA 2" xfId="734"/>
    <cellStyle name="Dollar" xfId="151"/>
    <cellStyle name="Dollar (Canadian)" xfId="152"/>
    <cellStyle name="Dollar 10" xfId="735"/>
    <cellStyle name="Dollar 11" xfId="736"/>
    <cellStyle name="Dollar 12" xfId="737"/>
    <cellStyle name="Dollar 13" xfId="738"/>
    <cellStyle name="Dollar 14" xfId="739"/>
    <cellStyle name="Dollar 15" xfId="740"/>
    <cellStyle name="Dollar 16" xfId="741"/>
    <cellStyle name="Dollar 17" xfId="742"/>
    <cellStyle name="Dollar 18" xfId="743"/>
    <cellStyle name="Dollar 19" xfId="744"/>
    <cellStyle name="Dollar 2" xfId="745"/>
    <cellStyle name="Dollar 20" xfId="746"/>
    <cellStyle name="Dollar 21" xfId="747"/>
    <cellStyle name="Dollar 22" xfId="748"/>
    <cellStyle name="Dollar 23" xfId="749"/>
    <cellStyle name="Dollar 24" xfId="750"/>
    <cellStyle name="Dollar 25" xfId="751"/>
    <cellStyle name="Dollar 26" xfId="752"/>
    <cellStyle name="Dollar 3" xfId="753"/>
    <cellStyle name="Dollar 4" xfId="754"/>
    <cellStyle name="Dollar 5" xfId="755"/>
    <cellStyle name="Dollar 6" xfId="756"/>
    <cellStyle name="Dollar 7" xfId="757"/>
    <cellStyle name="Dollar 8" xfId="758"/>
    <cellStyle name="Dollar 9" xfId="759"/>
    <cellStyle name="Dollar Whole" xfId="153"/>
    <cellStyle name="Dollar_ArdeaAMGRigel" xfId="760"/>
    <cellStyle name="Dollar1" xfId="761"/>
    <cellStyle name="Dollar1 2" xfId="762"/>
    <cellStyle name="Dollar1Blue" xfId="763"/>
    <cellStyle name="Dollar1Blue 2" xfId="764"/>
    <cellStyle name="Dollar1Blue 3" xfId="765"/>
    <cellStyle name="Dollar2" xfId="766"/>
    <cellStyle name="Dollar2 2" xfId="767"/>
    <cellStyle name="Dollars" xfId="154"/>
    <cellStyle name="Dollars 2" xfId="768"/>
    <cellStyle name="DollarWhole" xfId="155"/>
    <cellStyle name="Dotted Line" xfId="769"/>
    <cellStyle name="Dotted Line 2" xfId="770"/>
    <cellStyle name="Dotted Line 3" xfId="771"/>
    <cellStyle name="Double Accounting" xfId="772"/>
    <cellStyle name="Double Accounting 2" xfId="773"/>
    <cellStyle name="DoubleScore" xfId="774"/>
    <cellStyle name="DoubleScore 2" xfId="775"/>
    <cellStyle name="Driver" xfId="776"/>
    <cellStyle name="edmundo" xfId="777"/>
    <cellStyle name="edmundo 2" xfId="778"/>
    <cellStyle name="Eingabe" xfId="156"/>
    <cellStyle name="Eingabe 2" xfId="779"/>
    <cellStyle name="Entrée" xfId="780"/>
    <cellStyle name="EPS" xfId="157"/>
    <cellStyle name="eps 2" xfId="781"/>
    <cellStyle name="eps 3" xfId="782"/>
    <cellStyle name="eps$" xfId="783"/>
    <cellStyle name="eps$ 2" xfId="784"/>
    <cellStyle name="eps$ 3" xfId="785"/>
    <cellStyle name="eps$A" xfId="786"/>
    <cellStyle name="eps$A 2" xfId="787"/>
    <cellStyle name="eps$A 3" xfId="788"/>
    <cellStyle name="eps$E" xfId="789"/>
    <cellStyle name="eps$E 2" xfId="790"/>
    <cellStyle name="eps$E 3" xfId="791"/>
    <cellStyle name="eps_ACL_Working_Approved" xfId="792"/>
    <cellStyle name="epsA" xfId="793"/>
    <cellStyle name="epsA 2" xfId="794"/>
    <cellStyle name="epsA 3" xfId="795"/>
    <cellStyle name="epsE" xfId="796"/>
    <cellStyle name="epsE 2" xfId="797"/>
    <cellStyle name="epsE 3" xfId="798"/>
    <cellStyle name="Euro" xfId="799"/>
    <cellStyle name="Euro 2" xfId="800"/>
    <cellStyle name="Explanatory Text 2" xfId="801"/>
    <cellStyle name="export percent [1]" xfId="802"/>
    <cellStyle name="export percent [1] 2" xfId="803"/>
    <cellStyle name="export percent [1] 3" xfId="804"/>
    <cellStyle name="External File Cells" xfId="805"/>
    <cellStyle name="External File Cells 2" xfId="806"/>
    <cellStyle name="F [0]" xfId="807"/>
    <cellStyle name="F [0] 2" xfId="808"/>
    <cellStyle name="F [0] 3" xfId="809"/>
    <cellStyle name="F [1]" xfId="810"/>
    <cellStyle name="F [1] 2" xfId="811"/>
    <cellStyle name="F [2]" xfId="812"/>
    <cellStyle name="F [2] 2" xfId="813"/>
    <cellStyle name="F [2] 3" xfId="814"/>
    <cellStyle name="F [3]" xfId="815"/>
    <cellStyle name="F [3] 2" xfId="816"/>
    <cellStyle name="fact" xfId="817"/>
    <cellStyle name="fact 2" xfId="818"/>
    <cellStyle name="Fail" xfId="819"/>
    <cellStyle name="FakePercentNoDec" xfId="820"/>
    <cellStyle name="FiscalPeriod" xfId="821"/>
    <cellStyle name="Fixed" xfId="822"/>
    <cellStyle name="Fixed [0]" xfId="823"/>
    <cellStyle name="Fixed [0] 2" xfId="824"/>
    <cellStyle name="Fixed [2)" xfId="825"/>
    <cellStyle name="Fixed [2) 2" xfId="826"/>
    <cellStyle name="Fixed 2" xfId="827"/>
    <cellStyle name="Fixed 3" xfId="828"/>
    <cellStyle name="Fixed 4" xfId="829"/>
    <cellStyle name="Fixed 5" xfId="830"/>
    <cellStyle name="Fixed 6" xfId="831"/>
    <cellStyle name="Fixed 7" xfId="832"/>
    <cellStyle name="Fixed_AstraZeneca Model - 15-Dec" xfId="833"/>
    <cellStyle name="Fixlong" xfId="834"/>
    <cellStyle name="Fixlong 2" xfId="835"/>
    <cellStyle name="fo]_x000d__x000a_UserName=Murat Zelef_x000d__x000a_UserCompany=Bumerang_x000d__x000a__x000d__x000a_[File Paths]_x000d__x000a_WorkingDirectory=C:\EQUIS\DLWIN_x000d__x000a_DownLoader=C" xfId="836"/>
    <cellStyle name="fo]_x000d__x000a_UserName=Murat Zelef_x000d__x000a_UserCompany=Bumerang_x000d__x000a__x000d__x000a_[File Paths]_x000d__x000a_WorkingDirectory=C:\EQUIS\DLWIN_x000d__x000a_DownLoader=C 2" xfId="837"/>
    <cellStyle name="FOOTER - Style2" xfId="838"/>
    <cellStyle name="Footnote" xfId="839"/>
    <cellStyle name="Footnote 2" xfId="840"/>
    <cellStyle name="Forecast Cells" xfId="841"/>
    <cellStyle name="Forecast Cells 2" xfId="842"/>
    <cellStyle name="fourdecplace" xfId="843"/>
    <cellStyle name="fourdecplace 2" xfId="844"/>
    <cellStyle name="fy_eps$" xfId="845"/>
    <cellStyle name="g_rate" xfId="846"/>
    <cellStyle name="g_rate 2" xfId="847"/>
    <cellStyle name="G1_1999 figures" xfId="848"/>
    <cellStyle name="gelb_inhalt" xfId="849"/>
    <cellStyle name="Gen_Admin_Black_pD" xfId="850"/>
    <cellStyle name="General" xfId="158"/>
    <cellStyle name="Global" xfId="851"/>
    <cellStyle name="Good 2" xfId="852"/>
    <cellStyle name="Grey" xfId="853"/>
    <cellStyle name="Grey 2" xfId="854"/>
    <cellStyle name="Growth" xfId="159"/>
    <cellStyle name="Growth 2" xfId="855"/>
    <cellStyle name="GrowthRate" xfId="160"/>
    <cellStyle name="GrpStyle5" xfId="856"/>
    <cellStyle name="gruen_inhalt" xfId="857"/>
    <cellStyle name="H_1998_col_head" xfId="858"/>
    <cellStyle name="H_1999_col_head" xfId="859"/>
    <cellStyle name="H1_1998 figures" xfId="860"/>
    <cellStyle name="hard no" xfId="861"/>
    <cellStyle name="hard no 2" xfId="862"/>
    <cellStyle name="Hard Percent" xfId="863"/>
    <cellStyle name="Hard Percent 2" xfId="864"/>
    <cellStyle name="Hard Percent 3" xfId="865"/>
    <cellStyle name="hardno" xfId="866"/>
    <cellStyle name="head1" xfId="867"/>
    <cellStyle name="head1 2" xfId="868"/>
    <cellStyle name="head2" xfId="869"/>
    <cellStyle name="head2 2" xfId="870"/>
    <cellStyle name="Header" xfId="871"/>
    <cellStyle name="Header1" xfId="872"/>
    <cellStyle name="Header2" xfId="873"/>
    <cellStyle name="Heading" xfId="874"/>
    <cellStyle name="Heading 1 2" xfId="36"/>
    <cellStyle name="Heading 2 2" xfId="875"/>
    <cellStyle name="Heading 3 2" xfId="876"/>
    <cellStyle name="Heading 4 2" xfId="877"/>
    <cellStyle name="Heading 5" xfId="878"/>
    <cellStyle name="Heading Left" xfId="879"/>
    <cellStyle name="Heading Left 2" xfId="880"/>
    <cellStyle name="Heading Left 3" xfId="881"/>
    <cellStyle name="Heading Right" xfId="882"/>
    <cellStyle name="Heading Right 2" xfId="883"/>
    <cellStyle name="Heading Right 3" xfId="884"/>
    <cellStyle name="Heading1" xfId="161"/>
    <cellStyle name="HEADING1 2" xfId="885"/>
    <cellStyle name="Heading2" xfId="162"/>
    <cellStyle name="Heading3" xfId="163"/>
    <cellStyle name="Heading4" xfId="164"/>
    <cellStyle name="Heading5" xfId="165"/>
    <cellStyle name="Heading6" xfId="166"/>
    <cellStyle name="HeadingS" xfId="886"/>
    <cellStyle name="HeadingS 2" xfId="887"/>
    <cellStyle name="hidenorm" xfId="888"/>
    <cellStyle name="Hyperlink" xfId="1517" builtinId="8"/>
    <cellStyle name="Hyperlink 2" xfId="37"/>
    <cellStyle name="Hyperlink 2 2" xfId="889"/>
    <cellStyle name="Hyperlink 3" xfId="38"/>
    <cellStyle name="Hyperlink_Novartis_Published_140314" xfId="39"/>
    <cellStyle name="IncomeStatement" xfId="167"/>
    <cellStyle name="Input MS" xfId="40"/>
    <cellStyle name="Input,1d" xfId="168"/>
    <cellStyle name="Integer" xfId="169"/>
    <cellStyle name="Item" xfId="170"/>
    <cellStyle name="ItemTypeClass" xfId="171"/>
    <cellStyle name="KP_Normal" xfId="172"/>
    <cellStyle name="LEVERS69 2" xfId="890"/>
    <cellStyle name="LEVERS69 3" xfId="891"/>
    <cellStyle name="Lien hypertexte_Depress2" xfId="892"/>
    <cellStyle name="ligne_detail" xfId="893"/>
    <cellStyle name="Lines_Gen_pD" xfId="894"/>
    <cellStyle name="Linked Cell 2" xfId="895"/>
    <cellStyle name="Logo" xfId="896"/>
    <cellStyle name="LTGR" xfId="173"/>
    <cellStyle name="m" xfId="897"/>
    <cellStyle name="m 2" xfId="898"/>
    <cellStyle name="m 3" xfId="899"/>
    <cellStyle name="m$" xfId="900"/>
    <cellStyle name="m$ 2" xfId="901"/>
    <cellStyle name="m$ 3" xfId="902"/>
    <cellStyle name="m_ArdeaAMGRigel" xfId="903"/>
    <cellStyle name="m_ArdeaAMGRigel 2" xfId="904"/>
    <cellStyle name="m_AZN &amp; GSK bull bear" xfId="905"/>
    <cellStyle name="m_AZN &amp; GSK bull bear 2" xfId="906"/>
    <cellStyle name="m_Omthera" xfId="907"/>
    <cellStyle name="m_Omthera 2" xfId="908"/>
    <cellStyle name="Mainhead" xfId="909"/>
    <cellStyle name="Margin" xfId="174"/>
    <cellStyle name="Margins" xfId="175"/>
    <cellStyle name="Margins 2" xfId="910"/>
    <cellStyle name="Message" xfId="176"/>
    <cellStyle name="MetricLabel" xfId="911"/>
    <cellStyle name="MetricLabelBlue" xfId="912"/>
    <cellStyle name="MetricValue" xfId="913"/>
    <cellStyle name="Milliers [0]_Classeur1" xfId="914"/>
    <cellStyle name="Milliers_Arko" xfId="915"/>
    <cellStyle name="MLComma0" xfId="916"/>
    <cellStyle name="MLComma0 2" xfId="917"/>
    <cellStyle name="MLComma0 3" xfId="918"/>
    <cellStyle name="MLDollar0" xfId="919"/>
    <cellStyle name="MLDollar0 2" xfId="920"/>
    <cellStyle name="MLDollar0 3" xfId="921"/>
    <cellStyle name="MLEuro0" xfId="922"/>
    <cellStyle name="MLEuro0 2" xfId="923"/>
    <cellStyle name="MLEuro0 3" xfId="924"/>
    <cellStyle name="MLHeaderSection" xfId="925"/>
    <cellStyle name="MLMultiple0" xfId="926"/>
    <cellStyle name="MLMultiple0 2" xfId="927"/>
    <cellStyle name="MLMultiple0 3" xfId="928"/>
    <cellStyle name="MLPercent0" xfId="929"/>
    <cellStyle name="MLPercent0 2" xfId="930"/>
    <cellStyle name="MLPercent0 3" xfId="931"/>
    <cellStyle name="MLPound0" xfId="932"/>
    <cellStyle name="MLPound0 2" xfId="933"/>
    <cellStyle name="MLPound0 3" xfId="934"/>
    <cellStyle name="MLYen0" xfId="935"/>
    <cellStyle name="MLYen0 2" xfId="936"/>
    <cellStyle name="MLYen0 3" xfId="937"/>
    <cellStyle name="mm" xfId="938"/>
    <cellStyle name="mm 2" xfId="939"/>
    <cellStyle name="mm 3" xfId="940"/>
    <cellStyle name="model" xfId="941"/>
    <cellStyle name="model 2" xfId="942"/>
    <cellStyle name="Monétaire [0]_Classeur1" xfId="943"/>
    <cellStyle name="Monétaire_Classeur1" xfId="944"/>
    <cellStyle name="Mult No x" xfId="945"/>
    <cellStyle name="Mult No x 2" xfId="946"/>
    <cellStyle name="Mult With x" xfId="947"/>
    <cellStyle name="Mult With x 2" xfId="948"/>
    <cellStyle name="Mult With x 3" xfId="949"/>
    <cellStyle name="Multiple" xfId="177"/>
    <cellStyle name="Multiple (no x)" xfId="950"/>
    <cellStyle name="Multiple (no x) 2" xfId="951"/>
    <cellStyle name="Multiple (x)" xfId="952"/>
    <cellStyle name="Multiple (x) 2" xfId="953"/>
    <cellStyle name="Multiple (x) 3" xfId="954"/>
    <cellStyle name="Multiple [0]" xfId="955"/>
    <cellStyle name="Multiple [0] 2" xfId="956"/>
    <cellStyle name="Multiple 10" xfId="957"/>
    <cellStyle name="Multiple 11" xfId="958"/>
    <cellStyle name="Multiple 12" xfId="959"/>
    <cellStyle name="Multiple 13" xfId="960"/>
    <cellStyle name="Multiple 14" xfId="961"/>
    <cellStyle name="Multiple 15" xfId="962"/>
    <cellStyle name="Multiple 16" xfId="963"/>
    <cellStyle name="Multiple 17" xfId="964"/>
    <cellStyle name="Multiple 18" xfId="965"/>
    <cellStyle name="Multiple 19" xfId="966"/>
    <cellStyle name="Multiple 2" xfId="967"/>
    <cellStyle name="Multiple 20" xfId="968"/>
    <cellStyle name="Multiple 21" xfId="969"/>
    <cellStyle name="Multiple 22" xfId="970"/>
    <cellStyle name="Multiple 23" xfId="971"/>
    <cellStyle name="Multiple 24" xfId="972"/>
    <cellStyle name="Multiple 25" xfId="973"/>
    <cellStyle name="Multiple 26" xfId="974"/>
    <cellStyle name="Multiple 3" xfId="975"/>
    <cellStyle name="Multiple 4" xfId="976"/>
    <cellStyle name="Multiple 5" xfId="977"/>
    <cellStyle name="Multiple 6" xfId="978"/>
    <cellStyle name="Multiple 7" xfId="979"/>
    <cellStyle name="Multiple 8" xfId="980"/>
    <cellStyle name="Multiple 9" xfId="981"/>
    <cellStyle name="Multiple Without" xfId="178"/>
    <cellStyle name="Multiple_ACL_Working_Approved" xfId="982"/>
    <cellStyle name="Multiple0" xfId="983"/>
    <cellStyle name="Multiple0 2" xfId="984"/>
    <cellStyle name="Multiple0 3" xfId="985"/>
    <cellStyle name="MultipleBelow" xfId="986"/>
    <cellStyle name="MultipleBelow 2" xfId="987"/>
    <cellStyle name="MultipleBelow 3" xfId="988"/>
    <cellStyle name="Neutral 2" xfId="989"/>
    <cellStyle name="Neutre" xfId="990"/>
    <cellStyle name="nkst_aus" xfId="991"/>
    <cellStyle name="no dec" xfId="992"/>
    <cellStyle name="no dec 2" xfId="993"/>
    <cellStyle name="NoDecimal" xfId="994"/>
    <cellStyle name="NoDecimalItal" xfId="995"/>
    <cellStyle name="Norm#" xfId="996"/>
    <cellStyle name="Norm# 2" xfId="997"/>
    <cellStyle name="Normal" xfId="0" builtinId="0"/>
    <cellStyle name="Normal 10" xfId="41"/>
    <cellStyle name="Normal 10 2" xfId="998"/>
    <cellStyle name="Normal 11" xfId="248"/>
    <cellStyle name="Normal 11 2" xfId="999"/>
    <cellStyle name="Normal 12" xfId="249"/>
    <cellStyle name="Normal 12 2" xfId="1000"/>
    <cellStyle name="Normal 13" xfId="1001"/>
    <cellStyle name="Normal 13 2" xfId="1002"/>
    <cellStyle name="Normal 13 2 2 2 2 3 2" xfId="179"/>
    <cellStyle name="Normal 14" xfId="180"/>
    <cellStyle name="Normal 14 2" xfId="1003"/>
    <cellStyle name="Normal 14 2 2 3 2" xfId="181"/>
    <cellStyle name="Normal 14 2 4 2" xfId="182"/>
    <cellStyle name="Normal 15" xfId="1004"/>
    <cellStyle name="Normal 15 2" xfId="1005"/>
    <cellStyle name="Normal 16" xfId="42"/>
    <cellStyle name="Normal 16 2" xfId="1006"/>
    <cellStyle name="Normal 17" xfId="43"/>
    <cellStyle name="Normal 17 2" xfId="1007"/>
    <cellStyle name="Normal 18" xfId="44"/>
    <cellStyle name="Normal 19" xfId="1008"/>
    <cellStyle name="Normal 2" xfId="45"/>
    <cellStyle name="Normal 2 2" xfId="183"/>
    <cellStyle name="Normal 2 2 2" xfId="1009"/>
    <cellStyle name="Normal 2 3" xfId="81"/>
    <cellStyle name="Normal 2_ArdeaAMGRigel" xfId="1010"/>
    <cellStyle name="Normal 20" xfId="1011"/>
    <cellStyle name="Normal 21" xfId="1012"/>
    <cellStyle name="Normal 22" xfId="1013"/>
    <cellStyle name="Normal 23" xfId="1014"/>
    <cellStyle name="Normal 24" xfId="1015"/>
    <cellStyle name="Normal 25" xfId="1016"/>
    <cellStyle name="Normal 26" xfId="1017"/>
    <cellStyle name="Normal 27" xfId="1018"/>
    <cellStyle name="Normal 28" xfId="1019"/>
    <cellStyle name="Normal 29" xfId="1020"/>
    <cellStyle name="Normal 3" xfId="46"/>
    <cellStyle name="Normal 3 2" xfId="1021"/>
    <cellStyle name="Normal 3 2 2" xfId="1022"/>
    <cellStyle name="Normal 3 3" xfId="1023"/>
    <cellStyle name="Normal 3_AZN &amp; GSK bull bear" xfId="1024"/>
    <cellStyle name="Normal 30" xfId="1025"/>
    <cellStyle name="Normal 31" xfId="1026"/>
    <cellStyle name="Normal 32" xfId="1027"/>
    <cellStyle name="Normal 33" xfId="1028"/>
    <cellStyle name="Normal 34" xfId="1029"/>
    <cellStyle name="Normal 35" xfId="1030"/>
    <cellStyle name="Normal 36" xfId="1031"/>
    <cellStyle name="Normal 37" xfId="1032"/>
    <cellStyle name="Normal 38" xfId="1033"/>
    <cellStyle name="Normal 39" xfId="1034"/>
    <cellStyle name="Normal 4" xfId="47"/>
    <cellStyle name="Normal 4 2" xfId="245"/>
    <cellStyle name="Normal 4 2 2" xfId="1035"/>
    <cellStyle name="Normal 40" xfId="1036"/>
    <cellStyle name="Normal 41" xfId="1037"/>
    <cellStyle name="Normal 42" xfId="1038"/>
    <cellStyle name="Normal 43" xfId="184"/>
    <cellStyle name="Normal 44" xfId="1039"/>
    <cellStyle name="Normal 45" xfId="48"/>
    <cellStyle name="Normal 46" xfId="1040"/>
    <cellStyle name="Normal 47" xfId="1041"/>
    <cellStyle name="Normal 48" xfId="1042"/>
    <cellStyle name="Normal 49" xfId="1043"/>
    <cellStyle name="Normal 5" xfId="49"/>
    <cellStyle name="Normal 5 2" xfId="1044"/>
    <cellStyle name="Normal 50" xfId="1045"/>
    <cellStyle name="Normal 51" xfId="1046"/>
    <cellStyle name="Normal 52" xfId="1047"/>
    <cellStyle name="Normal 53" xfId="1048"/>
    <cellStyle name="Normal 54" xfId="1049"/>
    <cellStyle name="Normal 6" xfId="50"/>
    <cellStyle name="Normal 6 2" xfId="1050"/>
    <cellStyle name="Normal 7" xfId="51"/>
    <cellStyle name="Normal 7 2" xfId="1051"/>
    <cellStyle name="Normal 8" xfId="83"/>
    <cellStyle name="Normal 8 2" xfId="1052"/>
    <cellStyle name="Normal 9" xfId="1053"/>
    <cellStyle name="Normal 9 2" xfId="1054"/>
    <cellStyle name="Normal Cells" xfId="1055"/>
    <cellStyle name="Normal Cells 2" xfId="1056"/>
    <cellStyle name="Normal_AVE_SASY nico 291010 (version 1)" xfId="52"/>
    <cellStyle name="Normal_azn" xfId="53"/>
    <cellStyle name="Normal_AZN_link" xfId="54"/>
    <cellStyle name="Normál_CASHNEV.XLS" xfId="1057"/>
    <cellStyle name="Normal_CIBAFLOW.XLS" xfId="55"/>
    <cellStyle name="Normal_DisclaimerSheet Samples" xfId="1518"/>
    <cellStyle name="Normal_Eval_Eval  (2)" xfId="56"/>
    <cellStyle name="Normal_New novartis" xfId="57"/>
    <cellStyle name="Normal_NGGIpsenDCF" xfId="58"/>
    <cellStyle name="Normal_Prof Latest2" xfId="59"/>
    <cellStyle name="Normal_SA_Roche 25082010" xfId="60"/>
    <cellStyle name="Normal_SA_Roche_1" xfId="61"/>
    <cellStyle name="Note 2" xfId="1058"/>
    <cellStyle name="Note 3" xfId="1059"/>
    <cellStyle name="Notes" xfId="1060"/>
    <cellStyle name="Notes 2" xfId="1061"/>
    <cellStyle name="Notes 3" xfId="1062"/>
    <cellStyle name="Num0Un" xfId="1063"/>
    <cellStyle name="Num0Un 2" xfId="1064"/>
    <cellStyle name="Num1" xfId="1065"/>
    <cellStyle name="Num1 2" xfId="1066"/>
    <cellStyle name="Num1Blue" xfId="1067"/>
    <cellStyle name="Num1Blue 2" xfId="1068"/>
    <cellStyle name="Num1Blue 3" xfId="1069"/>
    <cellStyle name="Num2" xfId="1070"/>
    <cellStyle name="Num2 2" xfId="1071"/>
    <cellStyle name="Num2Un" xfId="1072"/>
    <cellStyle name="Num2Un 2" xfId="1073"/>
    <cellStyle name="Number" xfId="1074"/>
    <cellStyle name="Number 0d" xfId="185"/>
    <cellStyle name="Number 1d" xfId="186"/>
    <cellStyle name="Number 2d" xfId="187"/>
    <cellStyle name="Number 3d" xfId="188"/>
    <cellStyle name="Number 3d big" xfId="189"/>
    <cellStyle name="Number 3d_7944C_CF" xfId="190"/>
    <cellStyle name="Number, 3d big" xfId="191"/>
    <cellStyle name="Number,1d" xfId="192"/>
    <cellStyle name="NumberX" xfId="1075"/>
    <cellStyle name="Œ…‹æØ‚è [0.00]_4535" xfId="193"/>
    <cellStyle name="Œ…‹æØ‚è_GE 3 MINIMUM" xfId="1076"/>
    <cellStyle name="Onedec_FT Valuation " xfId="62"/>
    <cellStyle name="OneDecimal" xfId="1077"/>
    <cellStyle name="OneDecimalBold" xfId="1078"/>
    <cellStyle name="OneDecimalItal" xfId="1079"/>
    <cellStyle name="Operc" xfId="1080"/>
    <cellStyle name="Operc 2" xfId="1081"/>
    <cellStyle name="outh America" xfId="1082"/>
    <cellStyle name="outh America 2" xfId="1083"/>
    <cellStyle name="Output 2" xfId="1084"/>
    <cellStyle name="Output Labels" xfId="1085"/>
    <cellStyle name="Output Labels 2" xfId="1086"/>
    <cellStyle name="OutputPct" xfId="1087"/>
    <cellStyle name="OutputPct 2" xfId="1088"/>
    <cellStyle name="OutputPlain" xfId="1089"/>
    <cellStyle name="OutputPlain 2" xfId="1090"/>
    <cellStyle name="overview_dunkelgrau" xfId="1091"/>
    <cellStyle name="p " xfId="63"/>
    <cellStyle name="P/E" xfId="194"/>
    <cellStyle name="P[er" xfId="1092"/>
    <cellStyle name="P[er 2" xfId="1093"/>
    <cellStyle name="Page header" xfId="1094"/>
    <cellStyle name="Page Heading" xfId="1095"/>
    <cellStyle name="Page Heading Large" xfId="1096"/>
    <cellStyle name="Page Heading Small" xfId="1097"/>
    <cellStyle name="Page Number" xfId="1098"/>
    <cellStyle name="Page Title" xfId="1099"/>
    <cellStyle name="PageSubtitle" xfId="1100"/>
    <cellStyle name="PageTitle" xfId="1101"/>
    <cellStyle name="Palatino" xfId="1102"/>
    <cellStyle name="Palatino 2" xfId="1103"/>
    <cellStyle name="Pass" xfId="1104"/>
    <cellStyle name="pb_table_format_columnheading" xfId="195"/>
    <cellStyle name="pe" xfId="1105"/>
    <cellStyle name="pe 2" xfId="1106"/>
    <cellStyle name="PE/LTGR" xfId="196"/>
    <cellStyle name="PEG" xfId="1107"/>
    <cellStyle name="PEG 2" xfId="1108"/>
    <cellStyle name="Perc1" xfId="64"/>
    <cellStyle name="Perc1 2" xfId="1109"/>
    <cellStyle name="Percent" xfId="65" builtinId="5"/>
    <cellStyle name="Percent (.xx)" xfId="1110"/>
    <cellStyle name="Percent (.xx) 2" xfId="1111"/>
    <cellStyle name="Percent [0]" xfId="1112"/>
    <cellStyle name="Percent [0] 2" xfId="1113"/>
    <cellStyle name="Percent [0] 3" xfId="1114"/>
    <cellStyle name="Percent [1]" xfId="1115"/>
    <cellStyle name="Percent [1] 2" xfId="1116"/>
    <cellStyle name="Percent [2]" xfId="1117"/>
    <cellStyle name="Percent [2] 2" xfId="1118"/>
    <cellStyle name="Percent [2] 3" xfId="1119"/>
    <cellStyle name="Percent 1" xfId="1120"/>
    <cellStyle name="Percent 1 2" xfId="1121"/>
    <cellStyle name="Percent 10" xfId="66"/>
    <cellStyle name="Percent 11" xfId="1122"/>
    <cellStyle name="Percent 12" xfId="1123"/>
    <cellStyle name="Percent 13" xfId="1124"/>
    <cellStyle name="Percent 14" xfId="1125"/>
    <cellStyle name="Percent 15" xfId="1126"/>
    <cellStyle name="Percent 16" xfId="1127"/>
    <cellStyle name="Percent 17" xfId="1128"/>
    <cellStyle name="Percent 18" xfId="1129"/>
    <cellStyle name="Percent 19" xfId="1130"/>
    <cellStyle name="Percent 1d" xfId="197"/>
    <cellStyle name="Percent 2" xfId="67"/>
    <cellStyle name="Percent 2 2" xfId="1131"/>
    <cellStyle name="Percent 2 2 2" xfId="68"/>
    <cellStyle name="Percent 2 3" xfId="1132"/>
    <cellStyle name="Percent 20" xfId="1133"/>
    <cellStyle name="Percent 21" xfId="1134"/>
    <cellStyle name="Percent 22" xfId="1135"/>
    <cellStyle name="Percent 23" xfId="1136"/>
    <cellStyle name="Percent 24" xfId="1137"/>
    <cellStyle name="Percent 25" xfId="1138"/>
    <cellStyle name="Percent 26" xfId="1139"/>
    <cellStyle name="Percent 27" xfId="1140"/>
    <cellStyle name="Percent 28" xfId="1141"/>
    <cellStyle name="Percent 29" xfId="1142"/>
    <cellStyle name="Percent 2dp" xfId="250"/>
    <cellStyle name="Percent 3" xfId="69"/>
    <cellStyle name="Percent 3 2" xfId="1143"/>
    <cellStyle name="Percent 3 2 2" xfId="1144"/>
    <cellStyle name="Percent 3 3" xfId="1145"/>
    <cellStyle name="Percent 30" xfId="1146"/>
    <cellStyle name="Percent 37" xfId="70"/>
    <cellStyle name="Percent 4" xfId="1147"/>
    <cellStyle name="Percent 5" xfId="1148"/>
    <cellStyle name="Percent 5 2" xfId="1149"/>
    <cellStyle name="Percent 6" xfId="1150"/>
    <cellStyle name="Percent 7" xfId="1151"/>
    <cellStyle name="Percent 8" xfId="1152"/>
    <cellStyle name="Percent 9" xfId="1153"/>
    <cellStyle name="Percent F [0]" xfId="1154"/>
    <cellStyle name="Percent F [1]" xfId="1155"/>
    <cellStyle name="Percent F [2]" xfId="1156"/>
    <cellStyle name="Percent H [0]" xfId="1157"/>
    <cellStyle name="Percent Hard" xfId="1158"/>
    <cellStyle name="Percent Hard 2" xfId="1159"/>
    <cellStyle name="Percent total [0]" xfId="1160"/>
    <cellStyle name="Percent total [1]" xfId="1161"/>
    <cellStyle name="Percent(.x)" xfId="1162"/>
    <cellStyle name="Percent(.x) 2" xfId="1163"/>
    <cellStyle name="Percent[1]" xfId="1164"/>
    <cellStyle name="Percent[1] 2" xfId="1165"/>
    <cellStyle name="Percent0" xfId="1166"/>
    <cellStyle name="Percent0 2" xfId="1167"/>
    <cellStyle name="Percent1" xfId="1168"/>
    <cellStyle name="Percent1 2" xfId="1169"/>
    <cellStyle name="Percent1Blue" xfId="1170"/>
    <cellStyle name="Percent1Blue 2" xfId="1171"/>
    <cellStyle name="Percent2" xfId="1172"/>
    <cellStyle name="Percent2 2" xfId="1173"/>
    <cellStyle name="Percent2Blue" xfId="1174"/>
    <cellStyle name="Percent2Blue 2" xfId="1175"/>
    <cellStyle name="Percentage 2bp" xfId="71"/>
    <cellStyle name="PercentChange" xfId="198"/>
    <cellStyle name="PercentChange 2" xfId="1176"/>
    <cellStyle name="PercentChange 3" xfId="1177"/>
    <cellStyle name="PercentERR" xfId="199"/>
    <cellStyle name="PercentNoDecimal" xfId="1178"/>
    <cellStyle name="PercentOneDecimal" xfId="1179"/>
    <cellStyle name="PercentOneDecimalItal" xfId="1180"/>
    <cellStyle name="PercentPresentation" xfId="200"/>
    <cellStyle name="Perlong" xfId="1181"/>
    <cellStyle name="phil" xfId="1182"/>
    <cellStyle name="Plug" xfId="1183"/>
    <cellStyle name="POPS" xfId="201"/>
    <cellStyle name="Pourcent" xfId="1184"/>
    <cellStyle name="Pourcent 2" xfId="1185"/>
    <cellStyle name="Pourcentage 2" xfId="1186"/>
    <cellStyle name="Pourcentage 2 2" xfId="1187"/>
    <cellStyle name="PresentationZero" xfId="202"/>
    <cellStyle name="Price" xfId="203"/>
    <cellStyle name="Price 2" xfId="1188"/>
    <cellStyle name="Price 3" xfId="1189"/>
    <cellStyle name="PriceUn" xfId="1190"/>
    <cellStyle name="PriceUn 2" xfId="1191"/>
    <cellStyle name="PriceUn 3" xfId="1192"/>
    <cellStyle name="Prozent 2" xfId="1193"/>
    <cellStyle name="Prozent 2 2" xfId="1194"/>
    <cellStyle name="Prozent 2 2 2" xfId="1195"/>
    <cellStyle name="Prozent 2 3" xfId="1196"/>
    <cellStyle name="PSChar" xfId="1197"/>
    <cellStyle name="PSChar 2" xfId="1198"/>
    <cellStyle name="PSDate" xfId="1199"/>
    <cellStyle name="PSDate 2" xfId="1200"/>
    <cellStyle name="PSDec" xfId="1201"/>
    <cellStyle name="PSDec 2" xfId="1202"/>
    <cellStyle name="PSHeading" xfId="1203"/>
    <cellStyle name="PSHeading 2" xfId="1204"/>
    <cellStyle name="PSInt" xfId="1205"/>
    <cellStyle name="PSInt 2" xfId="1206"/>
    <cellStyle name="PSSpacer" xfId="1207"/>
    <cellStyle name="PSSpacer 2" xfId="1208"/>
    <cellStyle name="q" xfId="1209"/>
    <cellStyle name="q 2" xfId="1210"/>
    <cellStyle name="QEPS-h" xfId="1211"/>
    <cellStyle name="QEPS-H1" xfId="1212"/>
    <cellStyle name="QEPS-H1 2" xfId="1213"/>
    <cellStyle name="qRange" xfId="1214"/>
    <cellStyle name="qRange 2" xfId="1215"/>
    <cellStyle name="range" xfId="1216"/>
    <cellStyle name="range 2" xfId="1217"/>
    <cellStyle name="range 3" xfId="1218"/>
    <cellStyle name="Ratio" xfId="204"/>
    <cellStyle name="Ratio 2" xfId="1219"/>
    <cellStyle name="RatioX" xfId="205"/>
    <cellStyle name="RatioX 2" xfId="1220"/>
    <cellStyle name="Ref Numbers" xfId="1221"/>
    <cellStyle name="Reuters Cells" xfId="1222"/>
    <cellStyle name="Reuters Cells 2" xfId="1223"/>
    <cellStyle name="Right" xfId="206"/>
    <cellStyle name="Right 2" xfId="1224"/>
    <cellStyle name="Rmess" xfId="207"/>
    <cellStyle name="Rnumber" xfId="208"/>
    <cellStyle name="Rnumber3" xfId="209"/>
    <cellStyle name="ROC [1]" xfId="1225"/>
    <cellStyle name="ROC alt [1]" xfId="1226"/>
    <cellStyle name="ROC F [1]" xfId="1227"/>
    <cellStyle name="rot_inhalt" xfId="1228"/>
    <cellStyle name="RowLevel_" xfId="72"/>
    <cellStyle name="RRSInstruction" xfId="73"/>
    <cellStyle name="RRSInstruction 2" xfId="74"/>
    <cellStyle name="RRSInstruction 2 2" xfId="1229"/>
    <cellStyle name="RRSInstruction 3" xfId="1230"/>
    <cellStyle name="RRSInstruction 4" xfId="1231"/>
    <cellStyle name="s_HardInc" xfId="1232"/>
    <cellStyle name="s_HardInc " xfId="75"/>
    <cellStyle name="s_HardInc  2" xfId="1233"/>
    <cellStyle name="s_Valuation " xfId="76"/>
    <cellStyle name="s_Valuation  2" xfId="1234"/>
    <cellStyle name="SAPBEXaggData" xfId="1235"/>
    <cellStyle name="SAPBEXaggDataEmph" xfId="1236"/>
    <cellStyle name="SAPBEXaggItem" xfId="1237"/>
    <cellStyle name="SAPBEXaggItemX" xfId="1238"/>
    <cellStyle name="SAPBEXchaText" xfId="1239"/>
    <cellStyle name="SAPBEXexcBad7" xfId="1240"/>
    <cellStyle name="SAPBEXexcBad8" xfId="1241"/>
    <cellStyle name="SAPBEXexcBad9" xfId="1242"/>
    <cellStyle name="SAPBEXexcCritical4" xfId="1243"/>
    <cellStyle name="SAPBEXexcCritical5" xfId="1244"/>
    <cellStyle name="SAPBEXexcCritical6" xfId="1245"/>
    <cellStyle name="SAPBEXexcGood1" xfId="1246"/>
    <cellStyle name="SAPBEXexcGood2" xfId="1247"/>
    <cellStyle name="SAPBEXexcGood3" xfId="1248"/>
    <cellStyle name="SAPBEXfilterDrill" xfId="1249"/>
    <cellStyle name="SAPBEXfilterItem" xfId="1250"/>
    <cellStyle name="SAPBEXfilterText" xfId="1251"/>
    <cellStyle name="SAPBEXformats" xfId="1252"/>
    <cellStyle name="SAPBEXheaderItem" xfId="1253"/>
    <cellStyle name="SAPBEXheaderText" xfId="1254"/>
    <cellStyle name="SAPBEXHLevel0" xfId="1255"/>
    <cellStyle name="SAPBEXHLevel0 2" xfId="1256"/>
    <cellStyle name="SAPBEXHLevel0X" xfId="1257"/>
    <cellStyle name="SAPBEXHLevel0X 2" xfId="1258"/>
    <cellStyle name="SAPBEXHLevel1" xfId="1259"/>
    <cellStyle name="SAPBEXHLevel1 2" xfId="1260"/>
    <cellStyle name="SAPBEXHLevel1X" xfId="1261"/>
    <cellStyle name="SAPBEXHLevel1X 2" xfId="1262"/>
    <cellStyle name="SAPBEXHLevel2" xfId="1263"/>
    <cellStyle name="SAPBEXHLevel2 2" xfId="1264"/>
    <cellStyle name="SAPBEXHLevel2X" xfId="1265"/>
    <cellStyle name="SAPBEXHLevel2X 2" xfId="1266"/>
    <cellStyle name="SAPBEXHLevel3" xfId="1267"/>
    <cellStyle name="SAPBEXHLevel3 2" xfId="1268"/>
    <cellStyle name="SAPBEXHLevel3X" xfId="1269"/>
    <cellStyle name="SAPBEXHLevel3X 2" xfId="1270"/>
    <cellStyle name="SAPBEXresData" xfId="1271"/>
    <cellStyle name="SAPBEXresDataEmph" xfId="1272"/>
    <cellStyle name="SAPBEXresItem" xfId="1273"/>
    <cellStyle name="SAPBEXresItemX" xfId="1274"/>
    <cellStyle name="SAPBEXstdData" xfId="1275"/>
    <cellStyle name="SAPBEXstdDataEmph" xfId="1276"/>
    <cellStyle name="SAPBEXstdItem" xfId="1277"/>
    <cellStyle name="SAPBEXstdItemX" xfId="1278"/>
    <cellStyle name="SAPBEXtitle" xfId="1279"/>
    <cellStyle name="SAPBEXundefined" xfId="1280"/>
    <cellStyle name="Satisfaisant" xfId="1281"/>
    <cellStyle name="ScotchRule" xfId="1282"/>
    <cellStyle name="ScripFactor" xfId="210"/>
    <cellStyle name="ScripFactor 2" xfId="1283"/>
    <cellStyle name="ScripFactor 3" xfId="1284"/>
    <cellStyle name="SectionHeading" xfId="211"/>
    <cellStyle name="SectionHeading 2" xfId="1285"/>
    <cellStyle name="Shade" xfId="1286"/>
    <cellStyle name="Shade 2" xfId="1287"/>
    <cellStyle name="Shaded" xfId="1288"/>
    <cellStyle name="Shaded 2" xfId="1289"/>
    <cellStyle name="ShadedCells_Database" xfId="1290"/>
    <cellStyle name="Share" xfId="1291"/>
    <cellStyle name="Shares" xfId="212"/>
    <cellStyle name="Single Accounting" xfId="1292"/>
    <cellStyle name="Single Accounting 2" xfId="1293"/>
    <cellStyle name="Sortie" xfId="1294"/>
    <cellStyle name="Source Line" xfId="1295"/>
    <cellStyle name="Source Line 2" xfId="1296"/>
    <cellStyle name="ssp " xfId="77"/>
    <cellStyle name="Standaard_DUT-BAYERNWERK" xfId="1297"/>
    <cellStyle name="Standard" xfId="213"/>
    <cellStyle name="Standard 2" xfId="1298"/>
    <cellStyle name="Standard 2 2" xfId="1299"/>
    <cellStyle name="Standard 3" xfId="1300"/>
    <cellStyle name="Standard_Board Meeting HC Summary Q1 02 b1" xfId="1301"/>
    <cellStyle name="STYL2 - Style2" xfId="1302"/>
    <cellStyle name="STYL3 - Style3" xfId="1303"/>
    <cellStyle name="Style 1" xfId="78"/>
    <cellStyle name="Style 1 2" xfId="1304"/>
    <cellStyle name="Style 1 2 2" xfId="1516"/>
    <cellStyle name="Style 1 3" xfId="1305"/>
    <cellStyle name="Style 2" xfId="214"/>
    <cellStyle name="Style 2 2" xfId="1306"/>
    <cellStyle name="Style 21" xfId="1307"/>
    <cellStyle name="Style 22" xfId="1308"/>
    <cellStyle name="Style 23" xfId="1309"/>
    <cellStyle name="Style 23 2" xfId="1310"/>
    <cellStyle name="Style 24" xfId="1311"/>
    <cellStyle name="Style 24 2" xfId="1312"/>
    <cellStyle name="Style 25" xfId="1313"/>
    <cellStyle name="Style 25 2" xfId="1314"/>
    <cellStyle name="Style 26" xfId="1315"/>
    <cellStyle name="Style 26 2" xfId="1316"/>
    <cellStyle name="Style 27" xfId="1317"/>
    <cellStyle name="Style 27 2" xfId="1318"/>
    <cellStyle name="Style 28" xfId="1319"/>
    <cellStyle name="Style 28 2" xfId="1320"/>
    <cellStyle name="Style 29" xfId="1321"/>
    <cellStyle name="Style 29 2" xfId="1322"/>
    <cellStyle name="Style 3" xfId="215"/>
    <cellStyle name="Style 3 2" xfId="1323"/>
    <cellStyle name="Style 30" xfId="1324"/>
    <cellStyle name="Style 30 2" xfId="1325"/>
    <cellStyle name="Style 31" xfId="1326"/>
    <cellStyle name="Style 31 2" xfId="1327"/>
    <cellStyle name="Style 32" xfId="1328"/>
    <cellStyle name="Style 32 2" xfId="1329"/>
    <cellStyle name="Style 33" xfId="1330"/>
    <cellStyle name="Style 33 2" xfId="1331"/>
    <cellStyle name="Style 34" xfId="1332"/>
    <cellStyle name="Style 35" xfId="1333"/>
    <cellStyle name="Style 36" xfId="1334"/>
    <cellStyle name="Style 4" xfId="216"/>
    <cellStyle name="Style 4 2" xfId="1335"/>
    <cellStyle name="Style 5" xfId="217"/>
    <cellStyle name="Style 5 2" xfId="1336"/>
    <cellStyle name="Style 6" xfId="218"/>
    <cellStyle name="Style 6 2" xfId="1337"/>
    <cellStyle name="Style 7" xfId="219"/>
    <cellStyle name="Style 7 2" xfId="1338"/>
    <cellStyle name="Style 8" xfId="220"/>
    <cellStyle name="Style 8 2" xfId="1339"/>
    <cellStyle name="Style 9" xfId="221"/>
    <cellStyle name="Style 9 2" xfId="1340"/>
    <cellStyle name="Style D green" xfId="1341"/>
    <cellStyle name="Style E" xfId="1342"/>
    <cellStyle name="Style H" xfId="1343"/>
    <cellStyle name="Sub total" xfId="1344"/>
    <cellStyle name="Subhead" xfId="222"/>
    <cellStyle name="Subhead 2" xfId="1345"/>
    <cellStyle name="Subscribers" xfId="223"/>
    <cellStyle name="Subscribers 2" xfId="1346"/>
    <cellStyle name="Subtitle" xfId="1347"/>
    <cellStyle name="Subtitle 2" xfId="1348"/>
    <cellStyle name="Subtotal_left" xfId="1349"/>
    <cellStyle name="swisses" xfId="1350"/>
    <cellStyle name="SymbolBlue" xfId="1351"/>
    <cellStyle name="t%" xfId="224"/>
    <cellStyle name="t% 2" xfId="1352"/>
    <cellStyle name="Table Col Head" xfId="1353"/>
    <cellStyle name="Table end" xfId="1354"/>
    <cellStyle name="Table Head" xfId="1355"/>
    <cellStyle name="Table Head Aligned" xfId="1356"/>
    <cellStyle name="Table Head Aligned 2" xfId="1357"/>
    <cellStyle name="Table Head Aligned 3" xfId="1358"/>
    <cellStyle name="Table Head Blue" xfId="1359"/>
    <cellStyle name="Table Head Green" xfId="1360"/>
    <cellStyle name="Table Head_MS_Roche" xfId="1361"/>
    <cellStyle name="Table Heading" xfId="1362"/>
    <cellStyle name="Table Sub Head" xfId="1363"/>
    <cellStyle name="table text bold" xfId="1364"/>
    <cellStyle name="table text bold green" xfId="1365"/>
    <cellStyle name="table text light" xfId="1366"/>
    <cellStyle name="Table Title" xfId="1367"/>
    <cellStyle name="Table Units" xfId="1368"/>
    <cellStyle name="tcn" xfId="1369"/>
    <cellStyle name="Terms" xfId="225"/>
    <cellStyle name="TEST" xfId="1370"/>
    <cellStyle name="TEST 2" xfId="1371"/>
    <cellStyle name="TEST 3" xfId="1372"/>
    <cellStyle name="Text 8" xfId="1373"/>
    <cellStyle name="Text 8 2" xfId="1374"/>
    <cellStyle name="Text 8 3" xfId="1375"/>
    <cellStyle name="textbold" xfId="1376"/>
    <cellStyle name="Texte explicatif" xfId="1377"/>
    <cellStyle name="ThreeDecimal" xfId="1378"/>
    <cellStyle name="threedecplace" xfId="1379"/>
    <cellStyle name="Time Strip" xfId="226"/>
    <cellStyle name="Times 10" xfId="1380"/>
    <cellStyle name="Times 10 2" xfId="1381"/>
    <cellStyle name="Times 12" xfId="1382"/>
    <cellStyle name="TIMES 9" xfId="1383"/>
    <cellStyle name="TIMES 9 2" xfId="1384"/>
    <cellStyle name="titel" xfId="227"/>
    <cellStyle name="titel 2" xfId="1385"/>
    <cellStyle name="TITLE - Style1" xfId="1386"/>
    <cellStyle name="Title 10" xfId="1387"/>
    <cellStyle name="Title 11" xfId="1388"/>
    <cellStyle name="Title 12" xfId="1389"/>
    <cellStyle name="Title 13" xfId="1390"/>
    <cellStyle name="Title 14" xfId="1391"/>
    <cellStyle name="Title 15" xfId="1392"/>
    <cellStyle name="Title 16" xfId="1393"/>
    <cellStyle name="Title 17" xfId="1394"/>
    <cellStyle name="Title 18" xfId="1395"/>
    <cellStyle name="Title 19" xfId="1396"/>
    <cellStyle name="Title 2" xfId="1397"/>
    <cellStyle name="Title 20" xfId="1398"/>
    <cellStyle name="Title 21" xfId="1399"/>
    <cellStyle name="Title 22" xfId="1400"/>
    <cellStyle name="Title 23" xfId="1401"/>
    <cellStyle name="Title 24" xfId="1402"/>
    <cellStyle name="Title 25" xfId="1403"/>
    <cellStyle name="Title 26" xfId="1404"/>
    <cellStyle name="Title 3" xfId="1405"/>
    <cellStyle name="Title 4" xfId="1406"/>
    <cellStyle name="Title 5" xfId="1407"/>
    <cellStyle name="Title 6" xfId="1408"/>
    <cellStyle name="Title 7" xfId="1409"/>
    <cellStyle name="Title 8" xfId="1410"/>
    <cellStyle name="Title 9" xfId="1411"/>
    <cellStyle name="Title II" xfId="228"/>
    <cellStyle name="Title II 2" xfId="1412"/>
    <cellStyle name="Title Left" xfId="1413"/>
    <cellStyle name="Title Line" xfId="1414"/>
    <cellStyle name="Title Right" xfId="1415"/>
    <cellStyle name="Title1" xfId="1416"/>
    <cellStyle name="Title10" xfId="1417"/>
    <cellStyle name="Title10 2" xfId="1418"/>
    <cellStyle name="Title10 3" xfId="1419"/>
    <cellStyle name="Title2" xfId="229"/>
    <cellStyle name="Title8" xfId="1420"/>
    <cellStyle name="Title8 2" xfId="1421"/>
    <cellStyle name="Title8Left" xfId="1422"/>
    <cellStyle name="Title8Left 2" xfId="1423"/>
    <cellStyle name="TitleCenter" xfId="1424"/>
    <cellStyle name="TitleCenter 2" xfId="1425"/>
    <cellStyle name="TitleCols_Gen_line_pC" xfId="1426"/>
    <cellStyle name="TitleII" xfId="230"/>
    <cellStyle name="TitleImpCols_Gen_pC" xfId="1427"/>
    <cellStyle name="TitleImpLines_Gen_date_PD" xfId="1428"/>
    <cellStyle name="TitleLeft" xfId="1429"/>
    <cellStyle name="TitleLeft 2" xfId="1430"/>
    <cellStyle name="TitleLines_Date" xfId="1431"/>
    <cellStyle name="Titles" xfId="231"/>
    <cellStyle name="Titles 2" xfId="1432"/>
    <cellStyle name="TitleSubCols_Gen_pG" xfId="1433"/>
    <cellStyle name="Titre" xfId="1434"/>
    <cellStyle name="Titre 1" xfId="1435"/>
    <cellStyle name="Titre 2" xfId="1436"/>
    <cellStyle name="Titre 3" xfId="1437"/>
    <cellStyle name="Titre 4" xfId="1438"/>
    <cellStyle name="titre_col" xfId="1439"/>
    <cellStyle name="tn" xfId="1440"/>
    <cellStyle name="tom" xfId="1441"/>
    <cellStyle name="tom 2" xfId="1442"/>
    <cellStyle name="Top Line" xfId="1443"/>
    <cellStyle name="Top Row" xfId="1444"/>
    <cellStyle name="topline" xfId="1445"/>
    <cellStyle name="total [0]" xfId="1446"/>
    <cellStyle name="total [0] 2" xfId="1447"/>
    <cellStyle name="total [1]" xfId="1448"/>
    <cellStyle name="total [1] 2" xfId="1449"/>
    <cellStyle name="Total [2]" xfId="1450"/>
    <cellStyle name="Total [2] 2" xfId="1451"/>
    <cellStyle name="total [3]" xfId="1452"/>
    <cellStyle name="total [3] 2" xfId="1453"/>
    <cellStyle name="Total 10" xfId="1454"/>
    <cellStyle name="Total 11" xfId="1455"/>
    <cellStyle name="Total 12" xfId="1456"/>
    <cellStyle name="Total 13" xfId="1457"/>
    <cellStyle name="Total 14" xfId="1458"/>
    <cellStyle name="Total 15" xfId="1459"/>
    <cellStyle name="Total 16" xfId="1460"/>
    <cellStyle name="Total 17" xfId="1461"/>
    <cellStyle name="Total 18" xfId="1462"/>
    <cellStyle name="Total 19" xfId="1463"/>
    <cellStyle name="Total 2" xfId="1464"/>
    <cellStyle name="Total 20" xfId="1465"/>
    <cellStyle name="Total 21" xfId="1466"/>
    <cellStyle name="Total 22" xfId="1467"/>
    <cellStyle name="Total 23" xfId="1468"/>
    <cellStyle name="Total 24" xfId="1469"/>
    <cellStyle name="Total 25" xfId="1470"/>
    <cellStyle name="Total 26" xfId="1471"/>
    <cellStyle name="Total 3" xfId="1472"/>
    <cellStyle name="Total 4" xfId="1473"/>
    <cellStyle name="Total 5" xfId="1474"/>
    <cellStyle name="Total 6" xfId="1475"/>
    <cellStyle name="Total 7" xfId="1476"/>
    <cellStyle name="Total 8" xfId="1477"/>
    <cellStyle name="Total 9" xfId="1478"/>
    <cellStyle name="Total Bold" xfId="1479"/>
    <cellStyle name="Total Bold 2" xfId="1480"/>
    <cellStyle name="Total Bold 3" xfId="1481"/>
    <cellStyle name="Total Row" xfId="1482"/>
    <cellStyle name="TransVal" xfId="1483"/>
    <cellStyle name="TransVal 2" xfId="1484"/>
    <cellStyle name="twodecplace" xfId="1485"/>
    <cellStyle name="twodecplace 2" xfId="1486"/>
    <cellStyle name="Underscore" xfId="1487"/>
    <cellStyle name="Underscore 2" xfId="1488"/>
    <cellStyle name="Units" xfId="232"/>
    <cellStyle name="Unshaded" xfId="1489"/>
    <cellStyle name="Unshaded 2" xfId="1490"/>
    <cellStyle name="Upload Only" xfId="1491"/>
    <cellStyle name="Valuation" xfId="233"/>
    <cellStyle name="Valuation Bold" xfId="234"/>
    <cellStyle name="Valuation Bold 2" xfId="1492"/>
    <cellStyle name="Valuation_Global Pipeline" xfId="235"/>
    <cellStyle name="Valuta [0]_CONVERSI" xfId="1493"/>
    <cellStyle name="Valuta_CONVERSI" xfId="1494"/>
    <cellStyle name="Vérification" xfId="1495"/>
    <cellStyle name="Warning Text 2" xfId="1496"/>
    <cellStyle name="Wert_dunkelgrau" xfId="1497"/>
    <cellStyle name="Wertezelle" xfId="1498"/>
    <cellStyle name="WholeNumber" xfId="236"/>
    <cellStyle name="WingdingsBlack" xfId="1499"/>
    <cellStyle name="WingdingsRed" xfId="1500"/>
    <cellStyle name="WingdingsWhite" xfId="1501"/>
    <cellStyle name="Worksheet Title" xfId="1502"/>
    <cellStyle name="x" xfId="237"/>
    <cellStyle name="x_Consensus" xfId="1503"/>
    <cellStyle name="xstyle" xfId="1504"/>
    <cellStyle name="xstyle 2" xfId="1505"/>
    <cellStyle name="Year" xfId="1506"/>
    <cellStyle name="Year 2" xfId="1507"/>
    <cellStyle name="Year 3" xfId="1508"/>
    <cellStyle name="Yen" xfId="1509"/>
    <cellStyle name="Yen 2" xfId="1510"/>
    <cellStyle name="zero" xfId="238"/>
    <cellStyle name="Ввод " xfId="79"/>
    <cellStyle name="パーセント_8001C_CF" xfId="239"/>
    <cellStyle name="ハイパーリンク" xfId="240"/>
    <cellStyle name="一般_bs992q" xfId="1511"/>
    <cellStyle name="桁区切り [0.00]_4502TAKE" xfId="241"/>
    <cellStyle name="桁区切り_4505 Daiichi Model" xfId="242"/>
    <cellStyle name="標準_20021025_web-annual_base_ja" xfId="1512"/>
    <cellStyle name="貨幣[0]_112906" xfId="1513"/>
    <cellStyle name="通貨 [0.00]_２目次案" xfId="243"/>
    <cellStyle name="通貨_２目次案" xfId="244"/>
  </cellStyles>
  <dxfs count="49">
    <dxf>
      <font>
        <b/>
        <i val="0"/>
        <condense val="0"/>
        <extend val="0"/>
        <color indexed="10"/>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b/>
        <i val="0"/>
        <condense val="0"/>
        <extend val="0"/>
        <color indexed="10"/>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b/>
        <i val="0"/>
        <condense val="0"/>
        <extend val="0"/>
        <color indexed="10"/>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b/>
        <i val="0"/>
        <condense val="0"/>
        <extend val="0"/>
        <color indexed="10"/>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
      <font>
        <condense val="0"/>
        <extend val="0"/>
        <color indexed="10"/>
      </font>
    </dxf>
    <dxf>
      <font>
        <condense val="0"/>
        <extend val="0"/>
        <color indexed="10"/>
      </font>
    </dxf>
    <dxf>
      <font>
        <strike val="0"/>
        <condense val="0"/>
        <extend val="0"/>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externalLinks/externalLink1.xml" Type="http://schemas.openxmlformats.org/officeDocument/2006/relationships/externalLink"/>
<Relationship Id="rId19" Target="externalLinks/externalLink2.xml" Type="http://schemas.openxmlformats.org/officeDocument/2006/relationships/externalLink"/>
<Relationship Id="rId2" Target="worksheets/sheet2.xml" Type="http://schemas.openxmlformats.org/officeDocument/2006/relationships/worksheet"/>
<Relationship Id="rId20" Target="externalLinks/externalLink3.xml" Type="http://schemas.openxmlformats.org/officeDocument/2006/relationships/externalLink"/>
<Relationship Id="rId21" Target="externalLinks/externalLink4.xml" Type="http://schemas.openxmlformats.org/officeDocument/2006/relationships/externalLink"/>
<Relationship Id="rId22" Target="externalLinks/externalLink5.xml" Type="http://schemas.openxmlformats.org/officeDocument/2006/relationships/externalLink"/>
<Relationship Id="rId23" Target="externalLinks/externalLink6.xml" Type="http://schemas.openxmlformats.org/officeDocument/2006/relationships/externalLink"/>
<Relationship Id="rId24" Target="externalLinks/externalLink7.xml" Type="http://schemas.openxmlformats.org/officeDocument/2006/relationships/externalLink"/>
<Relationship Id="rId25" Target="externalLinks/externalLink8.xml" Type="http://schemas.openxmlformats.org/officeDocument/2006/relationships/externalLink"/>
<Relationship Id="rId26" Target="externalLinks/externalLink9.xml" Type="http://schemas.openxmlformats.org/officeDocument/2006/relationships/externalLink"/>
<Relationship Id="rId27" Target="externalLinks/externalLink10.xml" Type="http://schemas.openxmlformats.org/officeDocument/2006/relationships/externalLink"/>
<Relationship Id="rId28" Target="externalLinks/externalLink11.xml" Type="http://schemas.openxmlformats.org/officeDocument/2006/relationships/externalLink"/>
<Relationship Id="rId29" Target="externalLinks/externalLink12.xml" Type="http://schemas.openxmlformats.org/officeDocument/2006/relationships/externalLink"/>
<Relationship Id="rId3" Target="worksheets/sheet3.xml" Type="http://schemas.openxmlformats.org/officeDocument/2006/relationships/worksheet"/>
<Relationship Id="rId30" Target="externalLinks/externalLink13.xml" Type="http://schemas.openxmlformats.org/officeDocument/2006/relationships/externalLink"/>
<Relationship Id="rId31" Target="externalLinks/externalLink14.xml" Type="http://schemas.openxmlformats.org/officeDocument/2006/relationships/externalLink"/>
<Relationship Id="rId32" Target="externalLinks/externalLink15.xml" Type="http://schemas.openxmlformats.org/officeDocument/2006/relationships/externalLink"/>
<Relationship Id="rId33" Target="externalLinks/externalLink16.xml" Type="http://schemas.openxmlformats.org/officeDocument/2006/relationships/externalLink"/>
<Relationship Id="rId34" Target="externalLinks/externalLink17.xml" Type="http://schemas.openxmlformats.org/officeDocument/2006/relationships/externalLink"/>
<Relationship Id="rId35" Target="externalLinks/externalLink18.xml" Type="http://schemas.openxmlformats.org/officeDocument/2006/relationships/externalLink"/>
<Relationship Id="rId36" Target="externalLinks/externalLink19.xml" Type="http://schemas.openxmlformats.org/officeDocument/2006/relationships/externalLink"/>
<Relationship Id="rId37" Target="externalLinks/externalLink20.xml" Type="http://schemas.openxmlformats.org/officeDocument/2006/relationships/externalLink"/>
<Relationship Id="rId38" Target="externalLinks/externalLink21.xml" Type="http://schemas.openxmlformats.org/officeDocument/2006/relationships/externalLink"/>
<Relationship Id="rId39" Target="externalLinks/externalLink22.xml" Type="http://schemas.openxmlformats.org/officeDocument/2006/relationships/externalLink"/>
<Relationship Id="rId4" Target="worksheets/sheet4.xml" Type="http://schemas.openxmlformats.org/officeDocument/2006/relationships/worksheet"/>
<Relationship Id="rId40" Target="externalLinks/externalLink23.xml" Type="http://schemas.openxmlformats.org/officeDocument/2006/relationships/externalLink"/>
<Relationship Id="rId41" Target="externalLinks/externalLink24.xml" Type="http://schemas.openxmlformats.org/officeDocument/2006/relationships/externalLink"/>
<Relationship Id="rId42" Target="externalLinks/externalLink25.xml" Type="http://schemas.openxmlformats.org/officeDocument/2006/relationships/externalLink"/>
<Relationship Id="rId43" Target="externalLinks/externalLink26.xml" Type="http://schemas.openxmlformats.org/officeDocument/2006/relationships/externalLink"/>
<Relationship Id="rId44" Target="externalLinks/externalLink27.xml" Type="http://schemas.openxmlformats.org/officeDocument/2006/relationships/externalLink"/>
<Relationship Id="rId45" Target="externalLinks/externalLink28.xml" Type="http://schemas.openxmlformats.org/officeDocument/2006/relationships/externalLink"/>
<Relationship Id="rId46" Target="externalLinks/externalLink29.xml" Type="http://schemas.openxmlformats.org/officeDocument/2006/relationships/externalLink"/>
<Relationship Id="rId47" Target="externalLinks/externalLink30.xml" Type="http://schemas.openxmlformats.org/officeDocument/2006/relationships/externalLink"/>
<Relationship Id="rId48" Target="externalLinks/externalLink31.xml" Type="http://schemas.openxmlformats.org/officeDocument/2006/relationships/externalLink"/>
<Relationship Id="rId49" Target="externalLinks/externalLink32.xml" Type="http://schemas.openxmlformats.org/officeDocument/2006/relationships/externalLink"/>
<Relationship Id="rId5" Target="worksheets/sheet5.xml" Type="http://schemas.openxmlformats.org/officeDocument/2006/relationships/worksheet"/>
<Relationship Id="rId50" Target="externalLinks/externalLink33.xml" Type="http://schemas.openxmlformats.org/officeDocument/2006/relationships/externalLink"/>
<Relationship Id="rId51" Target="externalLinks/externalLink34.xml" Type="http://schemas.openxmlformats.org/officeDocument/2006/relationships/externalLink"/>
<Relationship Id="rId52" Target="externalLinks/externalLink35.xml" Type="http://schemas.openxmlformats.org/officeDocument/2006/relationships/externalLink"/>
<Relationship Id="rId53" Target="externalLinks/externalLink36.xml" Type="http://schemas.openxmlformats.org/officeDocument/2006/relationships/externalLink"/>
<Relationship Id="rId54" Target="externalLinks/externalLink37.xml" Type="http://schemas.openxmlformats.org/officeDocument/2006/relationships/externalLink"/>
<Relationship Id="rId55" Target="externalLinks/externalLink38.xml" Type="http://schemas.openxmlformats.org/officeDocument/2006/relationships/externalLink"/>
<Relationship Id="rId56" Target="externalLinks/externalLink39.xml" Type="http://schemas.openxmlformats.org/officeDocument/2006/relationships/externalLink"/>
<Relationship Id="rId57" Target="externalLinks/externalLink40.xml" Type="http://schemas.openxmlformats.org/officeDocument/2006/relationships/externalLink"/>
<Relationship Id="rId58" Target="externalLinks/externalLink41.xml" Type="http://schemas.openxmlformats.org/officeDocument/2006/relationships/externalLink"/>
<Relationship Id="rId59" Target="externalLinks/externalLink42.xml" Type="http://schemas.openxmlformats.org/officeDocument/2006/relationships/externalLink"/>
<Relationship Id="rId6" Target="worksheets/sheet6.xml" Type="http://schemas.openxmlformats.org/officeDocument/2006/relationships/worksheet"/>
<Relationship Id="rId60" Target="externalLinks/externalLink43.xml" Type="http://schemas.openxmlformats.org/officeDocument/2006/relationships/externalLink"/>
<Relationship Id="rId61" Target="externalLinks/externalLink44.xml" Type="http://schemas.openxmlformats.org/officeDocument/2006/relationships/externalLink"/>
<Relationship Id="rId62" Target="externalLinks/externalLink45.xml" Type="http://schemas.openxmlformats.org/officeDocument/2006/relationships/externalLink"/>
<Relationship Id="rId63" Target="externalLinks/externalLink46.xml" Type="http://schemas.openxmlformats.org/officeDocument/2006/relationships/externalLink"/>
<Relationship Id="rId64" Target="externalLinks/externalLink47.xml" Type="http://schemas.openxmlformats.org/officeDocument/2006/relationships/externalLink"/>
<Relationship Id="rId65" Target="externalLinks/externalLink48.xml" Type="http://schemas.openxmlformats.org/officeDocument/2006/relationships/externalLink"/>
<Relationship Id="rId66" Target="externalLinks/externalLink49.xml" Type="http://schemas.openxmlformats.org/officeDocument/2006/relationships/externalLink"/>
<Relationship Id="rId67" Target="externalLinks/externalLink50.xml" Type="http://schemas.openxmlformats.org/officeDocument/2006/relationships/externalLink"/>
<Relationship Id="rId68" Target="externalLinks/externalLink51.xml" Type="http://schemas.openxmlformats.org/officeDocument/2006/relationships/externalLink"/>
<Relationship Id="rId69" Target="externalLinks/externalLink52.xml" Type="http://schemas.openxmlformats.org/officeDocument/2006/relationships/externalLink"/>
<Relationship Id="rId7" Target="worksheets/sheet7.xml" Type="http://schemas.openxmlformats.org/officeDocument/2006/relationships/worksheet"/>
<Relationship Id="rId70" Target="externalLinks/externalLink53.xml" Type="http://schemas.openxmlformats.org/officeDocument/2006/relationships/externalLink"/>
<Relationship Id="rId71" Target="externalLinks/externalLink54.xml" Type="http://schemas.openxmlformats.org/officeDocument/2006/relationships/externalLink"/>
<Relationship Id="rId72" Target="externalLinks/externalLink55.xml" Type="http://schemas.openxmlformats.org/officeDocument/2006/relationships/externalLink"/>
<Relationship Id="rId73" Target="externalLinks/externalLink56.xml" Type="http://schemas.openxmlformats.org/officeDocument/2006/relationships/externalLink"/>
<Relationship Id="rId74" Target="theme/theme1.xml" Type="http://schemas.openxmlformats.org/officeDocument/2006/relationships/theme"/>
<Relationship Id="rId75" Target="styles.xml" Type="http://schemas.openxmlformats.org/officeDocument/2006/relationships/styles"/>
<Relationship Id="rId76" Target="sharedStrings.xml" Type="http://schemas.openxmlformats.org/officeDocument/2006/relationships/sharedStrings"/>
<Relationship Id="rId77" Target="calcChain.xml" Type="http://schemas.openxmlformats.org/officeDocument/2006/relationships/calcChain"/>
<Relationship Id="rId78" Target="vbaProject.bin" Type="http://schemas.microsoft.com/office/2006/relationships/vbaProject"/>
<Relationship Id="rId8" Target="worksheets/sheet8.xml" Type="http://schemas.openxmlformats.org/officeDocument/2006/relationships/worksheet"/>
<Relationship Id="rId9" Target="worksheets/sheet9.xml" Type="http://schemas.openxmlformats.org/officeDocument/2006/relationships/worksheet"/>
</Relationships>

</file>

<file path=xl/activeX/activeX1.xml><?xml version="1.0" encoding="utf-8"?>
<ax:ocx xmlns:ax="http://schemas.microsoft.com/office/2006/activeX" xmlns:r="http://schemas.openxmlformats.org/officeDocument/2006/relationships" ax:classid="{59DC45F5-F19A-11D2-A98A-0004AC83E4DD}" ax:persistence="persistPropertyBag">
  <ax:ocxPr ax:name="_ExtentX" ax:value="1720"/>
  <ax:ocxPr ax:name="_ExtentY" ax:value="450"/>
  <ax:ocxPr ax:name="RequestType" ax:value="1"/>
  <ax:ocxPr ax:name="Format" ax:value="RCED"/>
  <ax:ocxPr ax:name="NumRows" ax:value="21"/>
  <ax:ocxPr ax:name="NumCols" ax:value="2"/>
  <ax:ocxPr ax:name="AutoRefresh" ax:value="0"/>
  <ax:ocxPr ax:name="LastRefreshed" ax:value="10/04/2018 19:13:42"/>
  <ax:ocxPr ax:name="MSChart" ax:value="0"/>
  <ax:ocxPr ax:name="SROrgin" ax:value="False"/>
  <ax:ocxPr ax:name="SDatatype" ax:value=""/>
  <ax:ocxPr ax:name="SeriesCode" ax:value="USARGEN,USAUSTR,USBRAZL,USCDNDL,USCHINY,USDANKR,USEURO.,USINDNR,USJAPYN,USSKORW,USMEXPF,USSARCM,USBRITP,USRUSSR,USINDON,USTURKL,USSWISF,USTAIWD,USSAUDR,USTHAIB"/>
  <ax:ocxPr ax:name="DateLiteral1" ax:value=" "/>
  <ax:ocxPr ax:name="Font">
    <ax:font ax:persistence="persistPropertyBag">
      <ax:ocxPr ax:name="Name" ax:value="MS Sans Serif"/>
      <ax:ocxPr ax:name="Size" ax:value="8.25"/>
      <ax:ocxPr ax:name="Charset" ax:value="0"/>
      <ax:ocxPr ax:name="Weight" ax:value="400"/>
      <ax:ocxPr ax:name="Underline" ax:value="0"/>
      <ax:ocxPr ax:name="Italic" ax:value="0"/>
      <ax:ocxPr ax:name="Strikethrough" ax:value="0"/>
    </ax:font>
  </ax:ocxPr>
  <ax:ocxPr ax:name="Origin" ax:value="A3"/>
  <ax:ocxPr ax:name="TriggerAt" ax:value=""/>
  <ax:ocxPr ax:name="CodesSection" ax:value=""/>
  <ax:ocxPr ax:name="DataTypesSection" ax:value=""/>
  <ax:ocxPr ax:name="WriteILXSection" ax:value="0"/>
  <ax:ocxPr ax:name="AcceptILXSection" ax:value="0"/>
  <ax:ocxPr ax:name="CellReferenceForm" ax:value="1"/>
</ax:ocx>
</file>

<file path=xl/activeX/activeX2.xml><?xml version="1.0" encoding="utf-8"?>
<ax:ocx xmlns:ax="http://schemas.microsoft.com/office/2006/activeX" xmlns:r="http://schemas.openxmlformats.org/officeDocument/2006/relationships" ax:classid="{59DC45F5-F19A-11D2-A98A-0004AC83E4DD}" ax:persistence="persistPropertyBag">
  <ax:ocxPr ax:name="_ExtentX" ax:value="1720"/>
  <ax:ocxPr ax:name="_ExtentY" ax:value="450"/>
  <ax:ocxPr ax:name="RequestType" ax:value="0"/>
  <ax:ocxPr ax:name="Format" ax:value="RCTNO"/>
  <ax:ocxPr ax:name="NumRows" ax:value="21"/>
  <ax:ocxPr ax:name="NumCols" ax:value="9"/>
  <ax:ocxPr ax:name="AutoRefresh" ax:value="0"/>
  <ax:ocxPr ax:name="LastRefreshed" ax:value="10/04/2018 19:13:42"/>
  <ax:ocxPr ax:name="MSChart" ax:value="0"/>
  <ax:ocxPr ax:name="SROrgin" ax:value="False"/>
  <ax:ocxPr ax:name="SDatatype" ax:value=""/>
  <ax:ocxPr ax:name="SeriesCode" ax:value="USARGEN,USAUSTR,USBRAZL,USCDNDL,USCHINY,USDANKR,USEURO.,USINDNR,USJAPYN,USSKORW,USMEXPF,USSARCM,USBRITP,USRUSSR,USINDON,USTURKL,USSWISF,USTAIWD,USSAUDR,USTHAIB"/>
  <ax:ocxPr ax:name="DataTypes" ax:value="CYA#(X)"/>
  <ax:ocxPr ax:name="Frequency" ax:value="Y"/>
  <ax:ocxPr ax:name="UseAbsolute1" ax:value="-1"/>
  <ax:ocxPr ax:name="DateAbsolute1" ax:value="40544"/>
  <ax:ocxPr ax:name="Font">
    <ax:font ax:persistence="persistPropertyBag">
      <ax:ocxPr ax:name="Name" ax:value="MS Sans Serif"/>
      <ax:ocxPr ax:name="Size" ax:value="8.25"/>
      <ax:ocxPr ax:name="Charset" ax:value="0"/>
      <ax:ocxPr ax:name="Weight" ax:value="400"/>
      <ax:ocxPr ax:name="Underline" ax:value="0"/>
      <ax:ocxPr ax:name="Italic" ax:value="0"/>
      <ax:ocxPr ax:name="Strikethrough" ax:value="0"/>
    </ax:font>
  </ax:ocxPr>
  <ax:ocxPr ax:name="Origin" ax:value="A48"/>
  <ax:ocxPr ax:name="TriggerAt" ax:value=""/>
  <ax:ocxPr ax:name="CodesSection" ax:value=""/>
  <ax:ocxPr ax:name="DataTypesSection" ax:value=""/>
  <ax:ocxPr ax:name="WriteILXSection" ax:value="0"/>
  <ax:ocxPr ax:name="AcceptILXSection" ax:value="0"/>
  <ax:ocxPr ax:name="CellReferenceForm" ax:value="1"/>
</ax:ocx>
</file>

<file path=xl/activeX/activeX3.xml><?xml version="1.0" encoding="utf-8"?>
<ax:ocx xmlns:ax="http://schemas.microsoft.com/office/2006/activeX" xmlns:r="http://schemas.openxmlformats.org/officeDocument/2006/relationships" ax:classid="{59DC45F5-F19A-11D2-A98A-0004AC83E4DD}" ax:persistence="persistPropertyBag">
  <ax:ocxPr ax:name="_ExtentX" ax:value="1720"/>
  <ax:ocxPr ax:name="_ExtentY" ax:value="450"/>
  <ax:ocxPr ax:name="RequestType" ax:value="0"/>
  <ax:ocxPr ax:name="Format" ax:value="RCTNO"/>
  <ax:ocxPr ax:name="NumRows" ax:value="21"/>
  <ax:ocxPr ax:name="NumCols" ax:value="31"/>
  <ax:ocxPr ax:name="AutoRefresh" ax:value="0"/>
  <ax:ocxPr ax:name="LastRefreshed" ax:value="10/04/2018 19:13:41"/>
  <ax:ocxPr ax:name="MSChart" ax:value="0"/>
  <ax:ocxPr ax:name="SROrgin" ax:value="False"/>
  <ax:ocxPr ax:name="SDatatype" ax:value=""/>
  <ax:ocxPr ax:name="SeriesCode" ax:value="USARGEN,USAUSTR,USBRAZL,USCDNDL,USCHINY,USDANKR,USEURO.,USINDNR,USJAPYN,USSKORW,USMEXPF,USSARCM,USBRITP,USRUSSR,USINDON,USTURKL,USSWISF,USTAIWD,USSAUDR,USTHAIB"/>
  <ax:ocxPr ax:name="DataTypes" ax:value="CQA#(X)"/>
  <ax:ocxPr ax:name="Frequency" ax:value="Q"/>
  <ax:ocxPr ax:name="UseAbsolute1" ax:value="-1"/>
  <ax:ocxPr ax:name="DateAbsolute1" ax:value="40544"/>
  <ax:ocxPr ax:name="Font">
    <ax:font ax:persistence="persistPropertyBag">
      <ax:ocxPr ax:name="Name" ax:value="MS Sans Serif"/>
      <ax:ocxPr ax:name="Size" ax:value="8.25"/>
      <ax:ocxPr ax:name="Charset" ax:value="0"/>
      <ax:ocxPr ax:name="Weight" ax:value="400"/>
      <ax:ocxPr ax:name="Underline" ax:value="0"/>
      <ax:ocxPr ax:name="Italic" ax:value="0"/>
      <ax:ocxPr ax:name="Strikethrough" ax:value="0"/>
    </ax:font>
  </ax:ocxPr>
  <ax:ocxPr ax:name="Origin" ax:value="A26"/>
  <ax:ocxPr ax:name="TriggerAt" ax:value=""/>
  <ax:ocxPr ax:name="CodesSection" ax:value=""/>
  <ax:ocxPr ax:name="DataTypesSection" ax:value=""/>
  <ax:ocxPr ax:name="WriteILXSection" ax:value="0"/>
  <ax:ocxPr ax:name="AcceptILXSection" ax:value="0"/>
  <ax:ocxPr ax:name="CellReferenceForm" ax:value="1"/>
</ax:ocx>
</file>

<file path=xl/charts/_rels/chart2.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3.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_rels/chart4.xml.rels><?xml version="1.0" encoding="UTF-8" standalone="yes"?>
<Relationships xmlns="http://schemas.openxmlformats.org/package/2006/relationships">
<Relationship Id="rId1" Target="../drawings/drawing11.xml" Type="http://schemas.openxmlformats.org/officeDocument/2006/relationships/chartUserShapes"/>
</Relationships>

</file>

<file path=xl/charts/_rels/chart5.xml.rels><?xml version="1.0" encoding="UTF-8" standalone="yes"?>
<Relationships xmlns="http://schemas.openxmlformats.org/package/2006/relationships">
<Relationship Id="rId1" Target="../drawings/drawing12.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'BS CF Shares'!$A$166</c:f>
              <c:strCache>
                <c:ptCount val="1"/>
                <c:pt idx="0">
                  <c:v>Bull case</c:v>
                </c:pt>
              </c:strCache>
            </c:strRef>
          </c:tx>
          <c:marker>
            <c:symbol val="none"/>
          </c:marker>
          <c:cat>
            <c:numRef>
              <c:f>'BS CF Shares'!$I$165:$O$165</c:f>
              <c:numCache>
                <c:formatCode>General</c:formatCode>
                <c:ptCount val="7"/>
                <c:pt idx="0">
                  <c:v>2017</c:v>
                </c:pt>
                <c:pt idx="1">
                  <c:v>2018</c:v>
                </c:pt>
                <c:pt idx="2">
                  <c:v>2019</c:v>
                </c:pt>
                <c:pt idx="3">
                  <c:v>2020</c:v>
                </c:pt>
                <c:pt idx="4">
                  <c:v>2021</c:v>
                </c:pt>
                <c:pt idx="5">
                  <c:v>2022</c:v>
                </c:pt>
                <c:pt idx="6">
                  <c:v>2023</c:v>
                </c:pt>
              </c:numCache>
            </c:numRef>
          </c:cat>
          <c:val>
            <c:numRef>
              <c:f>'BS CF Shares'!$I$166:$O$166</c:f>
              <c:numCache>
                <c:formatCode>0.00</c:formatCode>
                <c:ptCount val="7"/>
                <c:pt idx="1">
                  <c:v>3.0709436975908417</c:v>
                </c:pt>
                <c:pt idx="2">
                  <c:v>3.2244908824703837</c:v>
                </c:pt>
                <c:pt idx="3">
                  <c:v>3.3857154265939031</c:v>
                </c:pt>
                <c:pt idx="4">
                  <c:v>3.5550011979235983</c:v>
                </c:pt>
                <c:pt idx="5">
                  <c:v>3.7327512578197783</c:v>
                </c:pt>
                <c:pt idx="6">
                  <c:v>3.9193888207107674</c:v>
                </c:pt>
              </c:numCache>
            </c:numRef>
          </c:val>
          <c:smooth val="0"/>
        </c:ser>
        <c:ser>
          <c:idx val="1"/>
          <c:order val="1"/>
          <c:tx>
            <c:strRef>
              <c:f>'BS CF Shares'!$A$167</c:f>
              <c:strCache>
                <c:ptCount val="1"/>
                <c:pt idx="0">
                  <c:v>Base case</c:v>
                </c:pt>
              </c:strCache>
            </c:strRef>
          </c:tx>
          <c:marker>
            <c:symbol val="none"/>
          </c:marker>
          <c:cat>
            <c:numRef>
              <c:f>'BS CF Shares'!$I$165:$O$165</c:f>
              <c:numCache>
                <c:formatCode>General</c:formatCode>
                <c:ptCount val="7"/>
                <c:pt idx="0">
                  <c:v>2017</c:v>
                </c:pt>
                <c:pt idx="1">
                  <c:v>2018</c:v>
                </c:pt>
                <c:pt idx="2">
                  <c:v>2019</c:v>
                </c:pt>
                <c:pt idx="3">
                  <c:v>2020</c:v>
                </c:pt>
                <c:pt idx="4">
                  <c:v>2021</c:v>
                </c:pt>
                <c:pt idx="5">
                  <c:v>2022</c:v>
                </c:pt>
                <c:pt idx="6">
                  <c:v>2023</c:v>
                </c:pt>
              </c:numCache>
            </c:numRef>
          </c:cat>
          <c:val>
            <c:numRef>
              <c:f>'BS CF Shares'!$I$167:$O$167</c:f>
              <c:numCache>
                <c:formatCode>0.00</c:formatCode>
                <c:ptCount val="7"/>
                <c:pt idx="0">
                  <c:v>2.9340416948282271</c:v>
                </c:pt>
                <c:pt idx="1">
                  <c:v>2.981498735525089</c:v>
                </c:pt>
                <c:pt idx="2">
                  <c:v>3.035707803443727</c:v>
                </c:pt>
                <c:pt idx="3">
                  <c:v>3.090902490779067</c:v>
                </c:pt>
                <c:pt idx="4">
                  <c:v>3.147100717884141</c:v>
                </c:pt>
                <c:pt idx="5">
                  <c:v>3.2043207309365798</c:v>
                </c:pt>
                <c:pt idx="6">
                  <c:v>3.2625811078626992</c:v>
                </c:pt>
              </c:numCache>
            </c:numRef>
          </c:val>
          <c:smooth val="0"/>
        </c:ser>
        <c:ser>
          <c:idx val="2"/>
          <c:order val="2"/>
          <c:tx>
            <c:strRef>
              <c:f>'BS CF Shares'!$A$168</c:f>
              <c:strCache>
                <c:ptCount val="1"/>
                <c:pt idx="0">
                  <c:v>Bear case</c:v>
                </c:pt>
              </c:strCache>
            </c:strRef>
          </c:tx>
          <c:marker>
            <c:symbol val="none"/>
          </c:marker>
          <c:cat>
            <c:numRef>
              <c:f>'BS CF Shares'!$I$165:$O$165</c:f>
              <c:numCache>
                <c:formatCode>General</c:formatCode>
                <c:ptCount val="7"/>
                <c:pt idx="0">
                  <c:v>2017</c:v>
                </c:pt>
                <c:pt idx="1">
                  <c:v>2018</c:v>
                </c:pt>
                <c:pt idx="2">
                  <c:v>2019</c:v>
                </c:pt>
                <c:pt idx="3">
                  <c:v>2020</c:v>
                </c:pt>
                <c:pt idx="4">
                  <c:v>2021</c:v>
                </c:pt>
                <c:pt idx="5">
                  <c:v>2022</c:v>
                </c:pt>
                <c:pt idx="6">
                  <c:v>2023</c:v>
                </c:pt>
              </c:numCache>
            </c:numRef>
          </c:cat>
          <c:val>
            <c:numRef>
              <c:f>'BS CF Shares'!$I$168:$O$168</c:f>
              <c:numCache>
                <c:formatCode>0.00</c:formatCode>
                <c:ptCount val="7"/>
                <c:pt idx="1">
                  <c:v>2.8920537734593363</c:v>
                </c:pt>
                <c:pt idx="2">
                  <c:v>2.8631332357247428</c:v>
                </c:pt>
                <c:pt idx="3">
                  <c:v>2.8345019033674954</c:v>
                </c:pt>
                <c:pt idx="4">
                  <c:v>2.8061568843338205</c:v>
                </c:pt>
                <c:pt idx="5">
                  <c:v>2.7780953154904822</c:v>
                </c:pt>
                <c:pt idx="6">
                  <c:v>2.7503143623355775</c:v>
                </c:pt>
              </c:numCache>
            </c:numRef>
          </c:val>
          <c:smooth val="0"/>
        </c:ser>
        <c:dLbls>
          <c:showLegendKey val="0"/>
          <c:showVal val="0"/>
          <c:showCatName val="0"/>
          <c:showSerName val="0"/>
          <c:showPercent val="0"/>
          <c:showBubbleSize val="0"/>
        </c:dLbls>
        <c:marker val="1"/>
        <c:smooth val="0"/>
        <c:axId val="491521152"/>
        <c:axId val="491522688"/>
      </c:lineChart>
      <c:catAx>
        <c:axId val="491521152"/>
        <c:scaling>
          <c:orientation val="minMax"/>
        </c:scaling>
        <c:delete val="0"/>
        <c:axPos val="b"/>
        <c:numFmt formatCode="General" sourceLinked="1"/>
        <c:majorTickMark val="none"/>
        <c:minorTickMark val="none"/>
        <c:tickLblPos val="nextTo"/>
        <c:crossAx val="491522688"/>
        <c:crosses val="autoZero"/>
        <c:auto val="1"/>
        <c:lblAlgn val="ctr"/>
        <c:lblOffset val="100"/>
        <c:noMultiLvlLbl val="0"/>
      </c:catAx>
      <c:valAx>
        <c:axId val="491522688"/>
        <c:scaling>
          <c:orientation val="minMax"/>
          <c:min val="2"/>
        </c:scaling>
        <c:delete val="0"/>
        <c:axPos val="l"/>
        <c:numFmt formatCode="0.00" sourceLinked="1"/>
        <c:majorTickMark val="none"/>
        <c:minorTickMark val="none"/>
        <c:tickLblPos val="nextTo"/>
        <c:crossAx val="491521152"/>
        <c:crosses val="autoZero"/>
        <c:crossBetween val="between"/>
      </c:valAx>
    </c:plotArea>
    <c:legend>
      <c:legendPos val="b"/>
      <c:overlay val="0"/>
    </c:legend>
    <c:plotVisOnly val="1"/>
    <c:dispBlanksAs val="gap"/>
    <c:showDLblsOverMax val="0"/>
  </c:chart>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41235232445726E-2"/>
          <c:y val="0.10770754161537226"/>
          <c:w val="0.88806132426751538"/>
          <c:h val="0.56848257774447364"/>
        </c:manualLayout>
      </c:layout>
      <c:barChart>
        <c:barDir val="col"/>
        <c:grouping val="stacked"/>
        <c:varyColors val="0"/>
        <c:ser>
          <c:idx val="0"/>
          <c:order val="0"/>
          <c:tx>
            <c:v>Ends</c:v>
          </c:tx>
          <c:spPr>
            <a:solidFill>
              <a:srgbClr val="137CB1"/>
            </a:solidFill>
            <a:ln w="25400">
              <a:noFill/>
            </a:ln>
          </c:spPr>
          <c:invertIfNegative val="0"/>
          <c:dLbls>
            <c:dLbl>
              <c:idx val="1"/>
              <c:delete val="1"/>
            </c:dLbl>
            <c:dLbl>
              <c:idx val="2"/>
              <c:delete val="1"/>
            </c:dLbl>
            <c:txPr>
              <a:bodyPr/>
              <a:lstStyle/>
              <a:p>
                <a:pPr>
                  <a:defRPr sz="11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strRef>
              <c:f>Valuation!$C$82:$C$85</c:f>
              <c:strCache>
                <c:ptCount val="4"/>
                <c:pt idx="0">
                  <c:v>Old TP</c:v>
                </c:pt>
                <c:pt idx="1">
                  <c:v>DCF contribution (DCF TP +2%)</c:v>
                </c:pt>
                <c:pt idx="2">
                  <c:v>SOTP contribution (Comps TP +4%)</c:v>
                </c:pt>
                <c:pt idx="3">
                  <c:v>New TP (0%)</c:v>
                </c:pt>
              </c:strCache>
            </c:strRef>
          </c:cat>
          <c:val>
            <c:numRef>
              <c:f>Valuation!$G$82:$G$85</c:f>
              <c:numCache>
                <c:formatCode>#,##0_);\(#,##0\);\-\-_)</c:formatCode>
                <c:ptCount val="4"/>
                <c:pt idx="0">
                  <c:v>92</c:v>
                </c:pt>
                <c:pt idx="1">
                  <c:v>0</c:v>
                </c:pt>
                <c:pt idx="2">
                  <c:v>0</c:v>
                </c:pt>
                <c:pt idx="3">
                  <c:v>106</c:v>
                </c:pt>
              </c:numCache>
            </c:numRef>
          </c:val>
        </c:ser>
        <c:ser>
          <c:idx val="1"/>
          <c:order val="1"/>
          <c:tx>
            <c:v>NegBlank</c:v>
          </c:tx>
          <c:spPr>
            <a:noFill/>
            <a:ln w="25400">
              <a:noFill/>
            </a:ln>
          </c:spPr>
          <c:invertIfNegative val="0"/>
          <c:cat>
            <c:strRef>
              <c:f>Valuation!$C$82:$C$85</c:f>
              <c:strCache>
                <c:ptCount val="4"/>
                <c:pt idx="0">
                  <c:v>Old TP</c:v>
                </c:pt>
                <c:pt idx="1">
                  <c:v>DCF contribution (DCF TP +2%)</c:v>
                </c:pt>
                <c:pt idx="2">
                  <c:v>SOTP contribution (Comps TP +4%)</c:v>
                </c:pt>
                <c:pt idx="3">
                  <c:v>New TP (0%)</c:v>
                </c:pt>
              </c:strCache>
            </c:strRef>
          </c:cat>
          <c:val>
            <c:numRef>
              <c:f>Valuation!$H$82:$H$85</c:f>
              <c:numCache>
                <c:formatCode>#,##0_);\(#,##0\);\-\-_)</c:formatCode>
                <c:ptCount val="4"/>
                <c:pt idx="1">
                  <c:v>0</c:v>
                </c:pt>
                <c:pt idx="2">
                  <c:v>0</c:v>
                </c:pt>
                <c:pt idx="3">
                  <c:v>0</c:v>
                </c:pt>
              </c:numCache>
            </c:numRef>
          </c:val>
        </c:ser>
        <c:ser>
          <c:idx val="2"/>
          <c:order val="2"/>
          <c:tx>
            <c:v>NegLoss</c:v>
          </c:tx>
          <c:spPr>
            <a:solidFill>
              <a:srgbClr val="4AAC6B"/>
            </a:solidFill>
            <a:ln w="25400">
              <a:noFill/>
            </a:ln>
          </c:spPr>
          <c:invertIfNegative val="0"/>
          <c:cat>
            <c:strRef>
              <c:f>Valuation!$C$82:$C$85</c:f>
              <c:strCache>
                <c:ptCount val="4"/>
                <c:pt idx="0">
                  <c:v>Old TP</c:v>
                </c:pt>
                <c:pt idx="1">
                  <c:v>DCF contribution (DCF TP +2%)</c:v>
                </c:pt>
                <c:pt idx="2">
                  <c:v>SOTP contribution (Comps TP +4%)</c:v>
                </c:pt>
                <c:pt idx="3">
                  <c:v>New TP (0%)</c:v>
                </c:pt>
              </c:strCache>
            </c:strRef>
          </c:cat>
          <c:val>
            <c:numRef>
              <c:f>Valuation!$I$82:$I$85</c:f>
              <c:numCache>
                <c:formatCode>#,##0_);\(#,##0\);\-\-_)</c:formatCode>
                <c:ptCount val="4"/>
                <c:pt idx="1">
                  <c:v>0</c:v>
                </c:pt>
                <c:pt idx="2">
                  <c:v>0</c:v>
                </c:pt>
                <c:pt idx="3">
                  <c:v>0</c:v>
                </c:pt>
              </c:numCache>
            </c:numRef>
          </c:val>
        </c:ser>
        <c:ser>
          <c:idx val="3"/>
          <c:order val="3"/>
          <c:tx>
            <c:v>NegGain</c:v>
          </c:tx>
          <c:spPr>
            <a:solidFill>
              <a:srgbClr val="4AAC6B"/>
            </a:solidFill>
            <a:ln w="25400">
              <a:noFill/>
            </a:ln>
          </c:spPr>
          <c:invertIfNegative val="0"/>
          <c:cat>
            <c:strRef>
              <c:f>Valuation!$C$82:$C$85</c:f>
              <c:strCache>
                <c:ptCount val="4"/>
                <c:pt idx="0">
                  <c:v>Old TP</c:v>
                </c:pt>
                <c:pt idx="1">
                  <c:v>DCF contribution (DCF TP +2%)</c:v>
                </c:pt>
                <c:pt idx="2">
                  <c:v>SOTP contribution (Comps TP +4%)</c:v>
                </c:pt>
                <c:pt idx="3">
                  <c:v>New TP (0%)</c:v>
                </c:pt>
              </c:strCache>
            </c:strRef>
          </c:cat>
          <c:val>
            <c:numRef>
              <c:f>Valuation!$J$82:$J$85</c:f>
              <c:numCache>
                <c:formatCode>#,##0_);\(#,##0\);\-\-_)</c:formatCode>
                <c:ptCount val="4"/>
                <c:pt idx="1">
                  <c:v>0</c:v>
                </c:pt>
                <c:pt idx="2">
                  <c:v>0</c:v>
                </c:pt>
                <c:pt idx="3">
                  <c:v>0</c:v>
                </c:pt>
              </c:numCache>
            </c:numRef>
          </c:val>
        </c:ser>
        <c:ser>
          <c:idx val="4"/>
          <c:order val="4"/>
          <c:tx>
            <c:v>PosBlank</c:v>
          </c:tx>
          <c:spPr>
            <a:noFill/>
            <a:ln w="25400">
              <a:noFill/>
            </a:ln>
          </c:spPr>
          <c:invertIfNegative val="0"/>
          <c:cat>
            <c:strRef>
              <c:f>Valuation!$C$82:$C$85</c:f>
              <c:strCache>
                <c:ptCount val="4"/>
                <c:pt idx="0">
                  <c:v>Old TP</c:v>
                </c:pt>
                <c:pt idx="1">
                  <c:v>DCF contribution (DCF TP +2%)</c:v>
                </c:pt>
                <c:pt idx="2">
                  <c:v>SOTP contribution (Comps TP +4%)</c:v>
                </c:pt>
                <c:pt idx="3">
                  <c:v>New TP (0%)</c:v>
                </c:pt>
              </c:strCache>
            </c:strRef>
          </c:cat>
          <c:val>
            <c:numRef>
              <c:f>Valuation!$K$82:$K$85</c:f>
              <c:numCache>
                <c:formatCode>#,##0.00_);\(#,##0.00\);\-\-_)</c:formatCode>
                <c:ptCount val="4"/>
                <c:pt idx="1">
                  <c:v>92</c:v>
                </c:pt>
                <c:pt idx="2">
                  <c:v>92</c:v>
                </c:pt>
                <c:pt idx="3">
                  <c:v>0</c:v>
                </c:pt>
              </c:numCache>
            </c:numRef>
          </c:val>
        </c:ser>
        <c:ser>
          <c:idx val="5"/>
          <c:order val="5"/>
          <c:tx>
            <c:v>PosLoss</c:v>
          </c:tx>
          <c:spPr>
            <a:solidFill>
              <a:schemeClr val="bg1">
                <a:lumMod val="85000"/>
              </a:schemeClr>
            </a:solidFill>
            <a:ln w="25400">
              <a:noFill/>
            </a:ln>
          </c:spPr>
          <c:invertIfNegative val="0"/>
          <c:dPt>
            <c:idx val="11"/>
            <c:invertIfNegative val="0"/>
            <c:bubble3D val="0"/>
          </c:dPt>
          <c:dPt>
            <c:idx val="12"/>
            <c:invertIfNegative val="0"/>
            <c:bubble3D val="0"/>
          </c:dPt>
          <c:cat>
            <c:strRef>
              <c:f>Valuation!$C$82:$C$85</c:f>
              <c:strCache>
                <c:ptCount val="4"/>
                <c:pt idx="0">
                  <c:v>Old TP</c:v>
                </c:pt>
                <c:pt idx="1">
                  <c:v>DCF contribution (DCF TP +2%)</c:v>
                </c:pt>
                <c:pt idx="2">
                  <c:v>SOTP contribution (Comps TP +4%)</c:v>
                </c:pt>
                <c:pt idx="3">
                  <c:v>New TP (0%)</c:v>
                </c:pt>
              </c:strCache>
            </c:strRef>
          </c:cat>
          <c:val>
            <c:numRef>
              <c:f>Valuation!$L$82:$L$85</c:f>
              <c:numCache>
                <c:formatCode>#,##0_);\(#,##0\);\-\-_)</c:formatCode>
                <c:ptCount val="4"/>
                <c:pt idx="1">
                  <c:v>0</c:v>
                </c:pt>
                <c:pt idx="2">
                  <c:v>0</c:v>
                </c:pt>
                <c:pt idx="3">
                  <c:v>0</c:v>
                </c:pt>
              </c:numCache>
            </c:numRef>
          </c:val>
        </c:ser>
        <c:ser>
          <c:idx val="6"/>
          <c:order val="6"/>
          <c:tx>
            <c:v>PosGain</c:v>
          </c:tx>
          <c:spPr>
            <a:solidFill>
              <a:srgbClr val="4AAE6B"/>
            </a:solidFill>
            <a:ln w="25400">
              <a:noFill/>
            </a:ln>
          </c:spPr>
          <c:invertIfNegative val="0"/>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dPt>
            <c:idx val="10"/>
            <c:invertIfNegative val="0"/>
            <c:bubble3D val="0"/>
          </c:dPt>
          <c:dLbls>
            <c:dLbl>
              <c:idx val="2"/>
              <c:layout/>
              <c:showLegendKey val="0"/>
              <c:showVal val="1"/>
              <c:showCatName val="0"/>
              <c:showSerName val="0"/>
              <c:showPercent val="0"/>
              <c:showBubbleSize val="0"/>
            </c:dLbl>
            <c:showLegendKey val="0"/>
            <c:showVal val="0"/>
            <c:showCatName val="0"/>
            <c:showSerName val="0"/>
            <c:showPercent val="0"/>
            <c:showBubbleSize val="0"/>
          </c:dLbls>
          <c:cat>
            <c:strRef>
              <c:f>Valuation!$C$82:$C$85</c:f>
              <c:strCache>
                <c:ptCount val="4"/>
                <c:pt idx="0">
                  <c:v>Old TP</c:v>
                </c:pt>
                <c:pt idx="1">
                  <c:v>DCF contribution (DCF TP +2%)</c:v>
                </c:pt>
                <c:pt idx="2">
                  <c:v>SOTP contribution (Comps TP +4%)</c:v>
                </c:pt>
                <c:pt idx="3">
                  <c:v>New TP (0%)</c:v>
                </c:pt>
              </c:strCache>
            </c:strRef>
          </c:cat>
          <c:val>
            <c:numRef>
              <c:f>Valuation!$M$82:$M$85</c:f>
              <c:numCache>
                <c:formatCode>#,##0_);\(#,##0\);\-\-_)</c:formatCode>
                <c:ptCount val="4"/>
                <c:pt idx="1">
                  <c:v>0</c:v>
                </c:pt>
                <c:pt idx="2">
                  <c:v>14</c:v>
                </c:pt>
                <c:pt idx="3">
                  <c:v>0</c:v>
                </c:pt>
              </c:numCache>
            </c:numRef>
          </c:val>
        </c:ser>
        <c:dLbls>
          <c:showLegendKey val="0"/>
          <c:showVal val="0"/>
          <c:showCatName val="0"/>
          <c:showSerName val="0"/>
          <c:showPercent val="0"/>
          <c:showBubbleSize val="0"/>
        </c:dLbls>
        <c:gapWidth val="50"/>
        <c:overlap val="100"/>
        <c:axId val="492171264"/>
        <c:axId val="492172800"/>
      </c:barChart>
      <c:lineChart>
        <c:grouping val="standard"/>
        <c:varyColors val="0"/>
        <c:ser>
          <c:idx val="7"/>
          <c:order val="7"/>
          <c:tx>
            <c:v>Label Y</c:v>
          </c:tx>
          <c:spPr>
            <a:ln w="28575">
              <a:noFill/>
            </a:ln>
          </c:spPr>
          <c:marker>
            <c:symbol val="none"/>
          </c:marker>
          <c:val>
            <c:numRef>
              <c:f>Valuation!$N$82:$N$85</c:f>
              <c:numCache>
                <c:formatCode>#,##0.00_);\(#,##0.00\);\-\-_)</c:formatCode>
                <c:ptCount val="4"/>
                <c:pt idx="0">
                  <c:v>92</c:v>
                </c:pt>
                <c:pt idx="1">
                  <c:v>92</c:v>
                </c:pt>
                <c:pt idx="2">
                  <c:v>106</c:v>
                </c:pt>
                <c:pt idx="3">
                  <c:v>106</c:v>
                </c:pt>
              </c:numCache>
            </c:numRef>
          </c:val>
          <c:smooth val="0"/>
        </c:ser>
        <c:dLbls>
          <c:showLegendKey val="0"/>
          <c:showVal val="0"/>
          <c:showCatName val="0"/>
          <c:showSerName val="0"/>
          <c:showPercent val="0"/>
          <c:showBubbleSize val="0"/>
        </c:dLbls>
        <c:marker val="1"/>
        <c:smooth val="0"/>
        <c:axId val="492171264"/>
        <c:axId val="492172800"/>
      </c:lineChart>
      <c:scatterChart>
        <c:scatterStyle val="lineMarker"/>
        <c:varyColors val="0"/>
        <c:ser>
          <c:idx val="8"/>
          <c:order val="8"/>
          <c:tx>
            <c:v>Line Y</c:v>
          </c:tx>
          <c:spPr>
            <a:ln w="28575">
              <a:noFill/>
            </a:ln>
          </c:spPr>
          <c:marker>
            <c:symbol val="none"/>
          </c:marker>
          <c:errBars>
            <c:errDir val="x"/>
            <c:errBarType val="both"/>
            <c:errValType val="fixedVal"/>
            <c:noEndCap val="1"/>
            <c:val val="0.83"/>
            <c:spPr>
              <a:ln w="12700">
                <a:solidFill>
                  <a:srgbClr val="1275A6"/>
                </a:solidFill>
                <a:prstDash val="solid"/>
              </a:ln>
            </c:spPr>
          </c:errBars>
          <c:xVal>
            <c:numRef>
              <c:f>Valuation!$E$82:$E$85</c:f>
              <c:numCache>
                <c:formatCode>#,##0.0_);\(#,##0.0\);\-\-_)</c:formatCode>
                <c:ptCount val="4"/>
                <c:pt idx="0">
                  <c:v>1.5</c:v>
                </c:pt>
                <c:pt idx="1">
                  <c:v>2.5</c:v>
                </c:pt>
                <c:pt idx="2">
                  <c:v>3.5</c:v>
                </c:pt>
              </c:numCache>
            </c:numRef>
          </c:xVal>
          <c:yVal>
            <c:numRef>
              <c:f>Valuation!$F$82:$F$85</c:f>
              <c:numCache>
                <c:formatCode>#,##0_);\(#,##0\);\-\-_)</c:formatCode>
                <c:ptCount val="4"/>
                <c:pt idx="0">
                  <c:v>92</c:v>
                </c:pt>
                <c:pt idx="1">
                  <c:v>92</c:v>
                </c:pt>
                <c:pt idx="2">
                  <c:v>106</c:v>
                </c:pt>
                <c:pt idx="3">
                  <c:v>106</c:v>
                </c:pt>
              </c:numCache>
            </c:numRef>
          </c:yVal>
          <c:smooth val="0"/>
        </c:ser>
        <c:dLbls>
          <c:showLegendKey val="0"/>
          <c:showVal val="0"/>
          <c:showCatName val="0"/>
          <c:showSerName val="0"/>
          <c:showPercent val="0"/>
          <c:showBubbleSize val="0"/>
        </c:dLbls>
        <c:axId val="492171264"/>
        <c:axId val="492172800"/>
      </c:scatterChart>
      <c:catAx>
        <c:axId val="492171264"/>
        <c:scaling>
          <c:orientation val="minMax"/>
        </c:scaling>
        <c:delete val="0"/>
        <c:axPos val="b"/>
        <c:numFmt formatCode="General" sourceLinked="1"/>
        <c:majorTickMark val="out"/>
        <c:minorTickMark val="none"/>
        <c:tickLblPos val="low"/>
        <c:spPr>
          <a:ln w="3175">
            <a:solidFill>
              <a:srgbClr val="000000"/>
            </a:solidFill>
            <a:prstDash val="solid"/>
          </a:ln>
        </c:spPr>
        <c:txPr>
          <a:bodyPr rot="-1200000" vert="horz"/>
          <a:lstStyle/>
          <a:p>
            <a:pPr>
              <a:defRPr sz="1100" b="0" i="0" u="none" strike="noStrike" baseline="0">
                <a:solidFill>
                  <a:srgbClr val="333333"/>
                </a:solidFill>
                <a:latin typeface="Arial"/>
                <a:ea typeface="Arial"/>
                <a:cs typeface="Arial"/>
              </a:defRPr>
            </a:pPr>
            <a:endParaRPr lang="en-US"/>
          </a:p>
        </c:txPr>
        <c:crossAx val="492172800"/>
        <c:crosses val="autoZero"/>
        <c:auto val="0"/>
        <c:lblAlgn val="ctr"/>
        <c:lblOffset val="100"/>
        <c:tickLblSkip val="1"/>
        <c:tickMarkSkip val="1"/>
        <c:noMultiLvlLbl val="0"/>
      </c:catAx>
      <c:valAx>
        <c:axId val="492172800"/>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492171264"/>
        <c:crosses val="autoZero"/>
        <c:crossBetween val="between"/>
      </c:valAx>
      <c:spPr>
        <a:noFill/>
        <a:ln w="12700">
          <a:solidFill>
            <a:srgbClr val="C0C0C0"/>
          </a:solidFill>
          <a:prstDash val="solid"/>
        </a:ln>
      </c:spPr>
    </c:plotArea>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41235232445726E-2"/>
          <c:y val="7.1468632281933647E-2"/>
          <c:w val="0.88806132426751538"/>
          <c:h val="0.60472150604231778"/>
        </c:manualLayout>
      </c:layout>
      <c:barChart>
        <c:barDir val="col"/>
        <c:grouping val="stacked"/>
        <c:varyColors val="0"/>
        <c:ser>
          <c:idx val="0"/>
          <c:order val="0"/>
          <c:tx>
            <c:v>Ends</c:v>
          </c:tx>
          <c:spPr>
            <a:solidFill>
              <a:srgbClr val="137CB1"/>
            </a:solidFill>
            <a:ln w="25400">
              <a:noFill/>
            </a:ln>
          </c:spPr>
          <c:invertIfNegative val="0"/>
          <c:dLbls>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dLbl>
              <c:idx val="10"/>
              <c:delete val="1"/>
            </c:dLbl>
            <c:dLbl>
              <c:idx val="11"/>
              <c:delete val="1"/>
            </c:dLbl>
            <c:dLbl>
              <c:idx val="12"/>
              <c:delete val="1"/>
            </c:dLbl>
            <c:dLbl>
              <c:idx val="13"/>
              <c:delete val="1"/>
            </c:dLbl>
            <c:dLbl>
              <c:idx val="14"/>
              <c:delete val="1"/>
            </c:dLbl>
            <c:dLbl>
              <c:idx val="15"/>
              <c:delete val="1"/>
            </c:dLbl>
            <c:dLbl>
              <c:idx val="16"/>
              <c:delete val="1"/>
            </c:dLbl>
            <c:dLbl>
              <c:idx val="17"/>
              <c:delete val="1"/>
            </c:dLbl>
            <c:dLbl>
              <c:idx val="18"/>
              <c:delete val="1"/>
            </c:dLbl>
            <c:dLbl>
              <c:idx val="19"/>
              <c:delete val="1"/>
            </c:dLbl>
            <c:numFmt formatCode="#,##0" sourceLinked="0"/>
            <c:txPr>
              <a:bodyPr/>
              <a:lstStyle/>
              <a:p>
                <a:pPr>
                  <a:defRPr sz="100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NPV!$Y$3:$Y$26</c:f>
              <c:numCache>
                <c:formatCode>#,##0_);\(#,##0\);\-\-_)</c:formatCode>
                <c:ptCount val="24"/>
                <c:pt idx="0">
                  <c:v>20.296710557264156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106.93067514395931</c:v>
                </c:pt>
              </c:numCache>
            </c:numRef>
          </c:val>
        </c:ser>
        <c:ser>
          <c:idx val="1"/>
          <c:order val="1"/>
          <c:tx>
            <c:v>NegBlank</c:v>
          </c:tx>
          <c:spPr>
            <a:noFill/>
            <a:ln w="25400">
              <a:noFill/>
            </a:ln>
          </c:spPr>
          <c:invertIfNegative val="0"/>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NPV!$Z$3:$Z$26</c:f>
              <c:numCache>
                <c:formatCode>#,##0_);\(#,##0\);\-\-_)</c:formatCode>
                <c:ptCount val="2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ser>
          <c:idx val="2"/>
          <c:order val="2"/>
          <c:tx>
            <c:v>NegLoss</c:v>
          </c:tx>
          <c:spPr>
            <a:solidFill>
              <a:srgbClr val="4AAC6B"/>
            </a:solidFill>
            <a:ln w="25400">
              <a:noFill/>
            </a:ln>
          </c:spPr>
          <c:invertIfNegative val="0"/>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NPV!$AA$3:$AA$26</c:f>
              <c:numCache>
                <c:formatCode>#,##0_);\(#,##0\);\-\-_)</c:formatCode>
                <c:ptCount val="2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ser>
          <c:idx val="3"/>
          <c:order val="3"/>
          <c:tx>
            <c:v>NegGain</c:v>
          </c:tx>
          <c:spPr>
            <a:solidFill>
              <a:srgbClr val="4AAC6B"/>
            </a:solidFill>
            <a:ln w="25400">
              <a:noFill/>
            </a:ln>
          </c:spPr>
          <c:invertIfNegative val="0"/>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NPV!$AB$3:$AB$26</c:f>
              <c:numCache>
                <c:formatCode>#,##0_);\(#,##0\);\-\-_)</c:formatCode>
                <c:ptCount val="2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ser>
          <c:idx val="4"/>
          <c:order val="4"/>
          <c:tx>
            <c:v>PosBlank</c:v>
          </c:tx>
          <c:spPr>
            <a:noFill/>
            <a:ln w="25400">
              <a:noFill/>
            </a:ln>
          </c:spPr>
          <c:invertIfNegative val="0"/>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NPV!$AC$3:$AC$26</c:f>
              <c:numCache>
                <c:formatCode>#,##0.00_);\(#,##0.00\);\-\-_)</c:formatCode>
                <c:ptCount val="24"/>
                <c:pt idx="1">
                  <c:v>20.296710557264156</c:v>
                </c:pt>
                <c:pt idx="2">
                  <c:v>21.29081919502368</c:v>
                </c:pt>
                <c:pt idx="3">
                  <c:v>22.801065247194614</c:v>
                </c:pt>
                <c:pt idx="4">
                  <c:v>23.423213827753713</c:v>
                </c:pt>
                <c:pt idx="5">
                  <c:v>24.958665458466882</c:v>
                </c:pt>
                <c:pt idx="6">
                  <c:v>26.92290472645389</c:v>
                </c:pt>
                <c:pt idx="7">
                  <c:v>37.677488703815655</c:v>
                </c:pt>
                <c:pt idx="8">
                  <c:v>39.653721327421522</c:v>
                </c:pt>
                <c:pt idx="9">
                  <c:v>41.594832273970404</c:v>
                </c:pt>
                <c:pt idx="10">
                  <c:v>41.69025809077597</c:v>
                </c:pt>
                <c:pt idx="11">
                  <c:v>43.225250563774424</c:v>
                </c:pt>
                <c:pt idx="12">
                  <c:v>44.267227787694765</c:v>
                </c:pt>
                <c:pt idx="13">
                  <c:v>49.895133019819369</c:v>
                </c:pt>
                <c:pt idx="14">
                  <c:v>60.550120489282676</c:v>
                </c:pt>
                <c:pt idx="15">
                  <c:v>62.150076962152959</c:v>
                </c:pt>
                <c:pt idx="16">
                  <c:v>64.583678164498437</c:v>
                </c:pt>
                <c:pt idx="17">
                  <c:v>65.871465696102575</c:v>
                </c:pt>
                <c:pt idx="18">
                  <c:v>73.128230734682973</c:v>
                </c:pt>
                <c:pt idx="19">
                  <c:v>85.130764664093789</c:v>
                </c:pt>
                <c:pt idx="20">
                  <c:v>89.85699255555771</c:v>
                </c:pt>
                <c:pt idx="21">
                  <c:v>91.227354283529252</c:v>
                </c:pt>
                <c:pt idx="22">
                  <c:v>106.93067514395931</c:v>
                </c:pt>
                <c:pt idx="23">
                  <c:v>0</c:v>
                </c:pt>
              </c:numCache>
            </c:numRef>
          </c:val>
        </c:ser>
        <c:ser>
          <c:idx val="5"/>
          <c:order val="5"/>
          <c:tx>
            <c:v>PosLoss</c:v>
          </c:tx>
          <c:spPr>
            <a:solidFill>
              <a:schemeClr val="bg1">
                <a:lumMod val="85000"/>
              </a:schemeClr>
            </a:solidFill>
            <a:ln w="25400">
              <a:noFill/>
            </a:ln>
          </c:spPr>
          <c:invertIfNegative val="0"/>
          <c:dPt>
            <c:idx val="11"/>
            <c:invertIfNegative val="0"/>
            <c:bubble3D val="0"/>
          </c:dPt>
          <c:dPt>
            <c:idx val="12"/>
            <c:invertIfNegative val="0"/>
            <c:bubble3D val="0"/>
          </c:dPt>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NPV!$AD$3:$AD$26</c:f>
              <c:numCache>
                <c:formatCode>#,##0_);\(#,##0\);\-\-_)</c:formatCode>
                <c:ptCount val="2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3.9530201045425453</c:v>
                </c:pt>
                <c:pt idx="23">
                  <c:v>0</c:v>
                </c:pt>
              </c:numCache>
            </c:numRef>
          </c:val>
        </c:ser>
        <c:ser>
          <c:idx val="6"/>
          <c:order val="6"/>
          <c:tx>
            <c:v>PosGain</c:v>
          </c:tx>
          <c:spPr>
            <a:solidFill>
              <a:srgbClr val="4AAE6B"/>
            </a:solidFill>
            <a:ln w="25400">
              <a:noFill/>
            </a:ln>
          </c:spPr>
          <c:invertIfNegative val="0"/>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spPr>
              <a:solidFill>
                <a:srgbClr val="00B050"/>
              </a:solidFill>
              <a:ln w="25400">
                <a:noFill/>
              </a:ln>
            </c:spPr>
          </c:dPt>
          <c:dPt>
            <c:idx val="9"/>
            <c:invertIfNegative val="0"/>
            <c:bubble3D val="0"/>
          </c:dPt>
          <c:dPt>
            <c:idx val="10"/>
            <c:invertIfNegative val="0"/>
            <c:bubble3D val="0"/>
          </c:dPt>
          <c:dLbls>
            <c:dLbl>
              <c:idx val="1"/>
              <c:layout>
                <c:manualLayout>
                  <c:x val="0"/>
                  <c:y val="-3.1974420463629097E-2"/>
                </c:manualLayout>
              </c:layout>
              <c:dLblPos val="ctr"/>
              <c:showLegendKey val="0"/>
              <c:showVal val="1"/>
              <c:showCatName val="0"/>
              <c:showSerName val="0"/>
              <c:showPercent val="0"/>
              <c:showBubbleSize val="0"/>
            </c:dLbl>
            <c:dLbl>
              <c:idx val="2"/>
              <c:layout>
                <c:manualLayout>
                  <c:x val="0"/>
                  <c:y val="-2.8610056836420629E-2"/>
                </c:manualLayout>
              </c:layout>
              <c:dLblPos val="ctr"/>
              <c:showLegendKey val="0"/>
              <c:showVal val="1"/>
              <c:showCatName val="0"/>
              <c:showSerName val="0"/>
              <c:showPercent val="0"/>
              <c:showBubbleSize val="0"/>
            </c:dLbl>
            <c:dLbl>
              <c:idx val="3"/>
              <c:layout>
                <c:manualLayout>
                  <c:x val="3.7003517041447961E-17"/>
                  <c:y val="-2.842276765643215E-2"/>
                </c:manualLayout>
              </c:layout>
              <c:dLblPos val="ctr"/>
              <c:showLegendKey val="0"/>
              <c:showVal val="1"/>
              <c:showCatName val="0"/>
              <c:showSerName val="0"/>
              <c:showPercent val="0"/>
              <c:showBubbleSize val="0"/>
            </c:dLbl>
            <c:dLbl>
              <c:idx val="4"/>
              <c:layout>
                <c:manualLayout>
                  <c:x val="2.0183969732309702E-3"/>
                  <c:y val="-3.7897023541909533E-2"/>
                </c:manualLayout>
              </c:layout>
              <c:dLblPos val="ctr"/>
              <c:showLegendKey val="0"/>
              <c:showVal val="1"/>
              <c:showCatName val="0"/>
              <c:showSerName val="0"/>
              <c:showPercent val="0"/>
              <c:showBubbleSize val="0"/>
            </c:dLbl>
            <c:dLbl>
              <c:idx val="5"/>
              <c:layout>
                <c:manualLayout>
                  <c:x val="0"/>
                  <c:y val="-3.4738938246750402E-2"/>
                </c:manualLayout>
              </c:layout>
              <c:dLblPos val="ctr"/>
              <c:showLegendKey val="0"/>
              <c:showVal val="1"/>
              <c:showCatName val="0"/>
              <c:showSerName val="0"/>
              <c:showPercent val="0"/>
              <c:showBubbleSize val="0"/>
            </c:dLbl>
            <c:dLbl>
              <c:idx val="7"/>
              <c:layout>
                <c:manualLayout>
                  <c:x val="0"/>
                  <c:y val="-3.1702897420157999E-2"/>
                </c:manualLayout>
              </c:layout>
              <c:dLblPos val="ctr"/>
              <c:showLegendKey val="0"/>
              <c:showVal val="1"/>
              <c:showCatName val="0"/>
              <c:showSerName val="0"/>
              <c:showPercent val="0"/>
              <c:showBubbleSize val="0"/>
            </c:dLbl>
            <c:dLbl>
              <c:idx val="8"/>
              <c:layout>
                <c:manualLayout>
                  <c:x val="0"/>
                  <c:y val="-2.85326076781422E-2"/>
                </c:manualLayout>
              </c:layout>
              <c:dLblPos val="ctr"/>
              <c:showLegendKey val="0"/>
              <c:showVal val="1"/>
              <c:showCatName val="0"/>
              <c:showSerName val="0"/>
              <c:showPercent val="0"/>
              <c:showBubbleSize val="0"/>
            </c:dLbl>
            <c:dLbl>
              <c:idx val="9"/>
              <c:layout>
                <c:manualLayout>
                  <c:x val="0"/>
                  <c:y val="-3.8369304556354913E-2"/>
                </c:manualLayout>
              </c:layout>
              <c:dLblPos val="ctr"/>
              <c:showLegendKey val="0"/>
              <c:showVal val="1"/>
              <c:showCatName val="0"/>
              <c:showSerName val="0"/>
              <c:showPercent val="0"/>
              <c:showBubbleSize val="0"/>
            </c:dLbl>
            <c:dLbl>
              <c:idx val="10"/>
              <c:layout>
                <c:manualLayout>
                  <c:x val="0"/>
                  <c:y val="-2.8776978417266189E-2"/>
                </c:manualLayout>
              </c:layout>
              <c:dLblPos val="ctr"/>
              <c:showLegendKey val="0"/>
              <c:showVal val="1"/>
              <c:showCatName val="0"/>
              <c:showSerName val="0"/>
              <c:showPercent val="0"/>
              <c:showBubbleSize val="0"/>
            </c:dLbl>
            <c:dLbl>
              <c:idx val="11"/>
              <c:layout>
                <c:manualLayout>
                  <c:x val="2.018364725685885E-3"/>
                  <c:y val="-2.5343378840234899E-2"/>
                </c:manualLayout>
              </c:layout>
              <c:dLblPos val="ctr"/>
              <c:showLegendKey val="0"/>
              <c:showVal val="1"/>
              <c:showCatName val="0"/>
              <c:showSerName val="0"/>
              <c:showPercent val="0"/>
              <c:showBubbleSize val="0"/>
            </c:dLbl>
            <c:dLbl>
              <c:idx val="12"/>
              <c:layout>
                <c:manualLayout>
                  <c:x val="0"/>
                  <c:y val="-2.8776978417266189E-2"/>
                </c:manualLayout>
              </c:layout>
              <c:dLblPos val="ctr"/>
              <c:showLegendKey val="0"/>
              <c:showVal val="1"/>
              <c:showCatName val="0"/>
              <c:showSerName val="0"/>
              <c:showPercent val="0"/>
              <c:showBubbleSize val="0"/>
            </c:dLbl>
            <c:dLbl>
              <c:idx val="13"/>
              <c:layout>
                <c:manualLayout>
                  <c:x val="-2.0263424518743669E-3"/>
                  <c:y val="-2.5579536370903277E-2"/>
                </c:manualLayout>
              </c:layout>
              <c:dLblPos val="ctr"/>
              <c:showLegendKey val="0"/>
              <c:showVal val="1"/>
              <c:showCatName val="0"/>
              <c:showSerName val="0"/>
              <c:showPercent val="0"/>
              <c:showBubbleSize val="0"/>
            </c:dLbl>
            <c:dLbl>
              <c:idx val="17"/>
              <c:layout>
                <c:manualLayout>
                  <c:x val="0"/>
                  <c:y val="-3.2533546056614009E-2"/>
                </c:manualLayout>
              </c:layout>
              <c:dLblPos val="ctr"/>
              <c:showLegendKey val="0"/>
              <c:showVal val="1"/>
              <c:showCatName val="0"/>
              <c:showSerName val="0"/>
              <c:showPercent val="0"/>
              <c:showBubbleSize val="0"/>
            </c:dLbl>
            <c:dLbl>
              <c:idx val="18"/>
              <c:layout>
                <c:manualLayout>
                  <c:x val="0"/>
                  <c:y val="-2.6026836845291206E-2"/>
                </c:manualLayout>
              </c:layout>
              <c:dLblPos val="ctr"/>
              <c:showLegendKey val="0"/>
              <c:showVal val="1"/>
              <c:showCatName val="0"/>
              <c:showSerName val="0"/>
              <c:showPercent val="0"/>
              <c:showBubbleSize val="0"/>
            </c:dLbl>
            <c:dLbl>
              <c:idx val="19"/>
              <c:delete val="1"/>
            </c:dLbl>
            <c:dLbl>
              <c:idx val="20"/>
              <c:delete val="1"/>
            </c:dLbl>
            <c:dLbl>
              <c:idx val="21"/>
              <c:delete val="1"/>
            </c:dLbl>
            <c:numFmt formatCode="#,##0" sourceLinked="0"/>
            <c:txPr>
              <a:bodyPr/>
              <a:lstStyle/>
              <a:p>
                <a:pPr>
                  <a:defRPr sz="10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NPV!$U$3:$U$26</c:f>
              <c:strCache>
                <c:ptCount val="24"/>
                <c:pt idx="0">
                  <c:v>Sandoz</c:v>
                </c:pt>
                <c:pt idx="1">
                  <c:v>Gleevec</c:v>
                </c:pt>
                <c:pt idx="2">
                  <c:v>Tasigna</c:v>
                </c:pt>
                <c:pt idx="3">
                  <c:v>Afinitor</c:v>
                </c:pt>
                <c:pt idx="4">
                  <c:v>Kisqali</c:v>
                </c:pt>
                <c:pt idx="5">
                  <c:v>Kymriah</c:v>
                </c:pt>
                <c:pt idx="6">
                  <c:v>Other oncology drugs</c:v>
                </c:pt>
                <c:pt idx="7">
                  <c:v>Gilenya</c:v>
                </c:pt>
                <c:pt idx="8">
                  <c:v>BAF312</c:v>
                </c:pt>
                <c:pt idx="9">
                  <c:v>Other neuroscience drugs</c:v>
                </c:pt>
                <c:pt idx="10">
                  <c:v>Lucentis</c:v>
                </c:pt>
                <c:pt idx="11">
                  <c:v>RTH258 (brolucizumab)</c:v>
                </c:pt>
                <c:pt idx="12">
                  <c:v>Other Ophthalmology drugs</c:v>
                </c:pt>
                <c:pt idx="13">
                  <c:v>Cosentyx</c:v>
                </c:pt>
                <c:pt idx="14">
                  <c:v>Other IHC drugs</c:v>
                </c:pt>
                <c:pt idx="15">
                  <c:v>Respiratory drugs</c:v>
                </c:pt>
                <c:pt idx="16">
                  <c:v>Galvus</c:v>
                </c:pt>
                <c:pt idx="17">
                  <c:v>Established drugs</c:v>
                </c:pt>
                <c:pt idx="18">
                  <c:v>Alcon</c:v>
                </c:pt>
                <c:pt idx="19">
                  <c:v>Entresto</c:v>
                </c:pt>
                <c:pt idx="20">
                  <c:v>ACZ885</c:v>
                </c:pt>
                <c:pt idx="21">
                  <c:v>Overhead</c:v>
                </c:pt>
                <c:pt idx="22">
                  <c:v>Cash / (debt)</c:v>
                </c:pt>
                <c:pt idx="23">
                  <c:v>Base case equity value</c:v>
                </c:pt>
              </c:strCache>
            </c:strRef>
          </c:cat>
          <c:val>
            <c:numRef>
              <c:f>NPV!$AE$3:$AE$26</c:f>
              <c:numCache>
                <c:formatCode>#,##0.00_);\(#,##0.00\);\-\-_)</c:formatCode>
                <c:ptCount val="24"/>
                <c:pt idx="1">
                  <c:v>0.99410863775952241</c:v>
                </c:pt>
                <c:pt idx="2">
                  <c:v>1.5102460521709333</c:v>
                </c:pt>
                <c:pt idx="3">
                  <c:v>0.62214858055910016</c:v>
                </c:pt>
                <c:pt idx="4">
                  <c:v>1.5354516307131707</c:v>
                </c:pt>
                <c:pt idx="5">
                  <c:v>1.9642392679870087</c:v>
                </c:pt>
                <c:pt idx="6">
                  <c:v>10.754583977361762</c:v>
                </c:pt>
                <c:pt idx="7">
                  <c:v>1.9762326236058683</c:v>
                </c:pt>
                <c:pt idx="8">
                  <c:v>1.9411109465488832</c:v>
                </c:pt>
                <c:pt idx="9">
                  <c:v>9.5425816805569316E-2</c:v>
                </c:pt>
                <c:pt idx="10">
                  <c:v>1.5349924729984532</c:v>
                </c:pt>
                <c:pt idx="11">
                  <c:v>1.0419772239203411</c:v>
                </c:pt>
                <c:pt idx="12">
                  <c:v>5.6279052321246006</c:v>
                </c:pt>
                <c:pt idx="13">
                  <c:v>10.654987469463308</c:v>
                </c:pt>
                <c:pt idx="14">
                  <c:v>1.5999564728702818</c:v>
                </c:pt>
                <c:pt idx="15">
                  <c:v>2.4336012023454807</c:v>
                </c:pt>
                <c:pt idx="16">
                  <c:v>1.2877875316041372</c:v>
                </c:pt>
                <c:pt idx="17">
                  <c:v>7.2567650385803937</c:v>
                </c:pt>
                <c:pt idx="18">
                  <c:v>12.00253392941082</c:v>
                </c:pt>
                <c:pt idx="19">
                  <c:v>4.7262278914639255</c:v>
                </c:pt>
                <c:pt idx="20">
                  <c:v>1.3703617279715476</c:v>
                </c:pt>
                <c:pt idx="21">
                  <c:v>19.656340964972607</c:v>
                </c:pt>
                <c:pt idx="22">
                  <c:v>0</c:v>
                </c:pt>
                <c:pt idx="23">
                  <c:v>0</c:v>
                </c:pt>
              </c:numCache>
            </c:numRef>
          </c:val>
        </c:ser>
        <c:dLbls>
          <c:showLegendKey val="0"/>
          <c:showVal val="0"/>
          <c:showCatName val="0"/>
          <c:showSerName val="0"/>
          <c:showPercent val="0"/>
          <c:showBubbleSize val="0"/>
        </c:dLbls>
        <c:gapWidth val="50"/>
        <c:overlap val="100"/>
        <c:axId val="495116672"/>
        <c:axId val="495118208"/>
      </c:barChart>
      <c:lineChart>
        <c:grouping val="standard"/>
        <c:varyColors val="0"/>
        <c:ser>
          <c:idx val="7"/>
          <c:order val="7"/>
          <c:tx>
            <c:v>Label Y</c:v>
          </c:tx>
          <c:spPr>
            <a:ln w="28575">
              <a:noFill/>
            </a:ln>
          </c:spPr>
          <c:marker>
            <c:symbol val="none"/>
          </c:marker>
          <c:cat>
            <c:strLit>
              <c:ptCount val="16"/>
              <c:pt idx="0">
                <c:v>Vyvanse</c:v>
              </c:pt>
              <c:pt idx="1">
                <c:v>Intuniv</c:v>
              </c:pt>
              <c:pt idx="2">
                <c:v>AXR </c:v>
              </c:pt>
              <c:pt idx="3">
                <c:v>Other ADHD</c:v>
              </c:pt>
              <c:pt idx="4">
                <c:v>Gastro intestinal</c:v>
              </c:pt>
              <c:pt idx="5">
                <c:v>General products</c:v>
              </c:pt>
              <c:pt idx="6">
                <c:v>Regenerative medicine</c:v>
              </c:pt>
              <c:pt idx="7">
                <c:v>VPRIV</c:v>
              </c:pt>
              <c:pt idx="8">
                <c:v>Replagal</c:v>
              </c:pt>
              <c:pt idx="9">
                <c:v>Elaprase</c:v>
              </c:pt>
            </c:strLit>
          </c:cat>
          <c:val>
            <c:numRef>
              <c:f>NPV!$AF$3:$AF$26</c:f>
              <c:numCache>
                <c:formatCode>#,##0.00_);\(#,##0.00\);\-\-_)</c:formatCode>
                <c:ptCount val="24"/>
                <c:pt idx="0">
                  <c:v>20.296710557264156</c:v>
                </c:pt>
                <c:pt idx="1">
                  <c:v>21.29081919502368</c:v>
                </c:pt>
                <c:pt idx="2">
                  <c:v>22.801065247194614</c:v>
                </c:pt>
                <c:pt idx="3">
                  <c:v>23.423213827753713</c:v>
                </c:pt>
                <c:pt idx="4">
                  <c:v>24.958665458466882</c:v>
                </c:pt>
                <c:pt idx="5">
                  <c:v>26.92290472645389</c:v>
                </c:pt>
                <c:pt idx="6">
                  <c:v>37.677488703815655</c:v>
                </c:pt>
                <c:pt idx="7">
                  <c:v>39.653721327421522</c:v>
                </c:pt>
                <c:pt idx="8">
                  <c:v>41.594832273970404</c:v>
                </c:pt>
                <c:pt idx="9">
                  <c:v>41.69025809077597</c:v>
                </c:pt>
                <c:pt idx="10">
                  <c:v>43.225250563774424</c:v>
                </c:pt>
                <c:pt idx="11">
                  <c:v>44.267227787694765</c:v>
                </c:pt>
                <c:pt idx="12">
                  <c:v>49.895133019819369</c:v>
                </c:pt>
                <c:pt idx="13">
                  <c:v>60.550120489282676</c:v>
                </c:pt>
                <c:pt idx="14">
                  <c:v>62.150076962152959</c:v>
                </c:pt>
                <c:pt idx="15">
                  <c:v>64.583678164498437</c:v>
                </c:pt>
                <c:pt idx="16">
                  <c:v>65.871465696102575</c:v>
                </c:pt>
                <c:pt idx="17">
                  <c:v>73.128230734682973</c:v>
                </c:pt>
                <c:pt idx="18">
                  <c:v>85.130764664093789</c:v>
                </c:pt>
                <c:pt idx="19">
                  <c:v>89.85699255555771</c:v>
                </c:pt>
                <c:pt idx="20">
                  <c:v>91.227354283529252</c:v>
                </c:pt>
                <c:pt idx="21">
                  <c:v>110.88369524850185</c:v>
                </c:pt>
                <c:pt idx="22">
                  <c:v>110.88369524850185</c:v>
                </c:pt>
                <c:pt idx="23">
                  <c:v>106.93067514395931</c:v>
                </c:pt>
              </c:numCache>
            </c:numRef>
          </c:val>
          <c:smooth val="0"/>
        </c:ser>
        <c:dLbls>
          <c:showLegendKey val="0"/>
          <c:showVal val="0"/>
          <c:showCatName val="0"/>
          <c:showSerName val="0"/>
          <c:showPercent val="0"/>
          <c:showBubbleSize val="0"/>
        </c:dLbls>
        <c:marker val="1"/>
        <c:smooth val="0"/>
        <c:axId val="495116672"/>
        <c:axId val="495118208"/>
      </c:lineChart>
      <c:scatterChart>
        <c:scatterStyle val="lineMarker"/>
        <c:varyColors val="0"/>
        <c:ser>
          <c:idx val="8"/>
          <c:order val="8"/>
          <c:tx>
            <c:v>Line Y</c:v>
          </c:tx>
          <c:spPr>
            <a:ln w="28575">
              <a:noFill/>
            </a:ln>
          </c:spPr>
          <c:marker>
            <c:symbol val="none"/>
          </c:marker>
          <c:errBars>
            <c:errDir val="x"/>
            <c:errBarType val="both"/>
            <c:errValType val="fixedVal"/>
            <c:noEndCap val="1"/>
            <c:val val="0.83"/>
            <c:spPr>
              <a:ln w="12700">
                <a:solidFill>
                  <a:srgbClr val="993366"/>
                </a:solidFill>
                <a:prstDash val="solid"/>
              </a:ln>
            </c:spPr>
          </c:errBars>
          <c:xVal>
            <c:numRef>
              <c:f>NPV!$W$3:$W$26</c:f>
              <c:numCache>
                <c:formatCode>#,##0.0_);\(#,##0.0\);\-\-_)</c:formatCode>
                <c:ptCount val="24"/>
                <c:pt idx="0">
                  <c:v>1.5</c:v>
                </c:pt>
                <c:pt idx="1">
                  <c:v>2.5</c:v>
                </c:pt>
                <c:pt idx="2">
                  <c:v>3.5</c:v>
                </c:pt>
                <c:pt idx="3">
                  <c:v>4.5</c:v>
                </c:pt>
                <c:pt idx="4">
                  <c:v>5.5</c:v>
                </c:pt>
                <c:pt idx="5">
                  <c:v>6.5</c:v>
                </c:pt>
                <c:pt idx="6">
                  <c:v>7.5</c:v>
                </c:pt>
                <c:pt idx="7">
                  <c:v>8.5</c:v>
                </c:pt>
                <c:pt idx="8">
                  <c:v>9.5</c:v>
                </c:pt>
                <c:pt idx="9">
                  <c:v>10.5</c:v>
                </c:pt>
                <c:pt idx="10">
                  <c:v>11.5</c:v>
                </c:pt>
                <c:pt idx="11">
                  <c:v>12.5</c:v>
                </c:pt>
                <c:pt idx="12">
                  <c:v>13.5</c:v>
                </c:pt>
                <c:pt idx="13">
                  <c:v>14.5</c:v>
                </c:pt>
                <c:pt idx="14">
                  <c:v>15.5</c:v>
                </c:pt>
                <c:pt idx="15">
                  <c:v>16.5</c:v>
                </c:pt>
                <c:pt idx="16">
                  <c:v>17.5</c:v>
                </c:pt>
                <c:pt idx="17">
                  <c:v>18.5</c:v>
                </c:pt>
                <c:pt idx="18">
                  <c:v>19.5</c:v>
                </c:pt>
                <c:pt idx="19">
                  <c:v>20.5</c:v>
                </c:pt>
                <c:pt idx="20">
                  <c:v>21.5</c:v>
                </c:pt>
                <c:pt idx="21">
                  <c:v>22.5</c:v>
                </c:pt>
                <c:pt idx="22">
                  <c:v>23.5</c:v>
                </c:pt>
              </c:numCache>
            </c:numRef>
          </c:xVal>
          <c:yVal>
            <c:numRef>
              <c:f>NPV!$X$3:$X$26</c:f>
              <c:numCache>
                <c:formatCode>#,##0.00_);\(#,##0.00\);\-\-_)</c:formatCode>
                <c:ptCount val="24"/>
                <c:pt idx="0">
                  <c:v>20.296710557264156</c:v>
                </c:pt>
                <c:pt idx="1">
                  <c:v>21.29081919502368</c:v>
                </c:pt>
                <c:pt idx="2">
                  <c:v>22.801065247194614</c:v>
                </c:pt>
                <c:pt idx="3">
                  <c:v>23.423213827753713</c:v>
                </c:pt>
                <c:pt idx="4">
                  <c:v>24.958665458466882</c:v>
                </c:pt>
                <c:pt idx="5">
                  <c:v>26.92290472645389</c:v>
                </c:pt>
                <c:pt idx="6">
                  <c:v>37.677488703815655</c:v>
                </c:pt>
                <c:pt idx="7">
                  <c:v>39.653721327421522</c:v>
                </c:pt>
                <c:pt idx="8">
                  <c:v>41.594832273970404</c:v>
                </c:pt>
                <c:pt idx="9">
                  <c:v>41.69025809077597</c:v>
                </c:pt>
                <c:pt idx="10">
                  <c:v>43.225250563774424</c:v>
                </c:pt>
                <c:pt idx="11">
                  <c:v>44.267227787694765</c:v>
                </c:pt>
                <c:pt idx="12">
                  <c:v>49.895133019819369</c:v>
                </c:pt>
                <c:pt idx="13">
                  <c:v>60.550120489282676</c:v>
                </c:pt>
                <c:pt idx="14">
                  <c:v>62.150076962152959</c:v>
                </c:pt>
                <c:pt idx="15">
                  <c:v>64.583678164498437</c:v>
                </c:pt>
                <c:pt idx="16">
                  <c:v>65.871465696102575</c:v>
                </c:pt>
                <c:pt idx="17">
                  <c:v>73.128230734682973</c:v>
                </c:pt>
                <c:pt idx="18">
                  <c:v>85.130764664093789</c:v>
                </c:pt>
                <c:pt idx="19">
                  <c:v>89.85699255555771</c:v>
                </c:pt>
                <c:pt idx="20">
                  <c:v>91.227354283529252</c:v>
                </c:pt>
                <c:pt idx="21">
                  <c:v>110.88369524850185</c:v>
                </c:pt>
                <c:pt idx="22">
                  <c:v>106.93067514395931</c:v>
                </c:pt>
                <c:pt idx="23">
                  <c:v>106.93067514395931</c:v>
                </c:pt>
              </c:numCache>
            </c:numRef>
          </c:yVal>
          <c:smooth val="0"/>
        </c:ser>
        <c:dLbls>
          <c:showLegendKey val="0"/>
          <c:showVal val="0"/>
          <c:showCatName val="0"/>
          <c:showSerName val="0"/>
          <c:showPercent val="0"/>
          <c:showBubbleSize val="0"/>
        </c:dLbls>
        <c:axId val="495116672"/>
        <c:axId val="495118208"/>
      </c:scatterChart>
      <c:catAx>
        <c:axId val="495116672"/>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333333"/>
                </a:solidFill>
                <a:latin typeface="Arial"/>
                <a:ea typeface="Arial"/>
                <a:cs typeface="Arial"/>
              </a:defRPr>
            </a:pPr>
            <a:endParaRPr lang="en-US"/>
          </a:p>
        </c:txPr>
        <c:crossAx val="495118208"/>
        <c:crosses val="autoZero"/>
        <c:auto val="0"/>
        <c:lblAlgn val="ctr"/>
        <c:lblOffset val="100"/>
        <c:tickLblSkip val="1"/>
        <c:tickMarkSkip val="1"/>
        <c:noMultiLvlLbl val="0"/>
      </c:catAx>
      <c:valAx>
        <c:axId val="495118208"/>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333333"/>
                </a:solidFill>
                <a:latin typeface="Arial"/>
                <a:ea typeface="Arial"/>
                <a:cs typeface="Arial"/>
              </a:defRPr>
            </a:pPr>
            <a:endParaRPr lang="en-US"/>
          </a:p>
        </c:txPr>
        <c:crossAx val="495116672"/>
        <c:crosses val="autoZero"/>
        <c:crossBetween val="between"/>
      </c:valAx>
      <c:spPr>
        <a:noFill/>
        <a:ln w="12700">
          <a:solidFill>
            <a:srgbClr val="C0C0C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40" b="0" i="0" u="none" strike="noStrike" baseline="0">
                <a:solidFill>
                  <a:srgbClr val="333333"/>
                </a:solidFill>
                <a:latin typeface="Arial"/>
                <a:ea typeface="Arial"/>
                <a:cs typeface="Arial"/>
              </a:defRPr>
            </a:pPr>
            <a:r>
              <a:rPr lang="en-GB"/>
              <a:t>EPS growth</a:t>
            </a:r>
          </a:p>
        </c:rich>
      </c:tx>
      <c:layout>
        <c:manualLayout>
          <c:xMode val="edge"/>
          <c:yMode val="edge"/>
          <c:x val="0.36754972777163181"/>
          <c:y val="5.0675734941872622E-2"/>
        </c:manualLayout>
      </c:layout>
      <c:overlay val="0"/>
      <c:spPr>
        <a:noFill/>
        <a:ln w="25400">
          <a:noFill/>
        </a:ln>
      </c:spPr>
    </c:title>
    <c:autoTitleDeleted val="0"/>
    <c:plotArea>
      <c:layout>
        <c:manualLayout>
          <c:layoutTarget val="inner"/>
          <c:xMode val="edge"/>
          <c:yMode val="edge"/>
          <c:x val="7.837711561995675E-2"/>
          <c:y val="5.4054054054054057E-2"/>
          <c:w val="0.90837782288052227"/>
          <c:h val="0.78952832119382343"/>
        </c:manualLayout>
      </c:layout>
      <c:lineChart>
        <c:grouping val="standard"/>
        <c:varyColors val="0"/>
        <c:ser>
          <c:idx val="0"/>
          <c:order val="0"/>
          <c:tx>
            <c:strRef>
              <c:f>Bullbear!$C$154</c:f>
              <c:strCache>
                <c:ptCount val="1"/>
                <c:pt idx="0">
                  <c:v>Bull</c:v>
                </c:pt>
              </c:strCache>
            </c:strRef>
          </c:tx>
          <c:spPr>
            <a:ln w="12700">
              <a:solidFill>
                <a:srgbClr val="137CB1"/>
              </a:solidFill>
              <a:prstDash val="solid"/>
            </a:ln>
          </c:spPr>
          <c:marker>
            <c:symbol val="none"/>
          </c:marker>
          <c:cat>
            <c:numRef>
              <c:f>Bullbear!$D$149:$J$149</c:f>
              <c:numCache>
                <c:formatCode>General</c:formatCode>
                <c:ptCount val="7"/>
                <c:pt idx="0">
                  <c:v>2015</c:v>
                </c:pt>
                <c:pt idx="1">
                  <c:v>2016</c:v>
                </c:pt>
                <c:pt idx="2">
                  <c:v>2017</c:v>
                </c:pt>
                <c:pt idx="3">
                  <c:v>2018</c:v>
                </c:pt>
                <c:pt idx="4">
                  <c:v>2019</c:v>
                </c:pt>
                <c:pt idx="5">
                  <c:v>2020</c:v>
                </c:pt>
                <c:pt idx="6">
                  <c:v>2021</c:v>
                </c:pt>
              </c:numCache>
            </c:numRef>
          </c:cat>
          <c:val>
            <c:numRef>
              <c:f>Bullbear!$D$154:$J$154</c:f>
              <c:numCache>
                <c:formatCode>#,##0.0</c:formatCode>
                <c:ptCount val="7"/>
                <c:pt idx="0">
                  <c:v>-3.4950848586664307</c:v>
                </c:pt>
                <c:pt idx="1">
                  <c:v>-4.9630549362506322</c:v>
                </c:pt>
                <c:pt idx="2">
                  <c:v>2.0449206190611635</c:v>
                </c:pt>
                <c:pt idx="3">
                  <c:v>13.368895880915655</c:v>
                </c:pt>
                <c:pt idx="4">
                  <c:v>9.3257148693849814</c:v>
                </c:pt>
                <c:pt idx="5">
                  <c:v>18.958012804367797</c:v>
                </c:pt>
                <c:pt idx="6">
                  <c:v>17.146584307024824</c:v>
                </c:pt>
              </c:numCache>
            </c:numRef>
          </c:val>
          <c:smooth val="1"/>
        </c:ser>
        <c:ser>
          <c:idx val="1"/>
          <c:order val="1"/>
          <c:tx>
            <c:strRef>
              <c:f>Bullbear!$C$155</c:f>
              <c:strCache>
                <c:ptCount val="1"/>
                <c:pt idx="0">
                  <c:v>Base</c:v>
                </c:pt>
              </c:strCache>
            </c:strRef>
          </c:tx>
          <c:spPr>
            <a:ln w="25400">
              <a:solidFill>
                <a:srgbClr val="003366"/>
              </a:solidFill>
              <a:prstDash val="solid"/>
            </a:ln>
          </c:spPr>
          <c:marker>
            <c:symbol val="none"/>
          </c:marker>
          <c:dLbls>
            <c:txPr>
              <a:bodyPr/>
              <a:lstStyle/>
              <a:p>
                <a:pPr>
                  <a:defRPr sz="1200" b="0" i="0" u="none" strike="noStrike" baseline="0">
                    <a:solidFill>
                      <a:srgbClr val="333333"/>
                    </a:solidFill>
                    <a:latin typeface="Arial"/>
                    <a:ea typeface="Arial"/>
                    <a:cs typeface="Arial"/>
                  </a:defRPr>
                </a:pPr>
                <a:endParaRPr lang="en-US"/>
              </a:p>
            </c:txPr>
            <c:dLblPos val="t"/>
            <c:showLegendKey val="0"/>
            <c:showVal val="1"/>
            <c:showCatName val="0"/>
            <c:showSerName val="0"/>
            <c:showPercent val="0"/>
            <c:showBubbleSize val="0"/>
            <c:showLeaderLines val="0"/>
          </c:dLbls>
          <c:cat>
            <c:numRef>
              <c:f>Bullbear!$D$149:$J$149</c:f>
              <c:numCache>
                <c:formatCode>General</c:formatCode>
                <c:ptCount val="7"/>
                <c:pt idx="0">
                  <c:v>2015</c:v>
                </c:pt>
                <c:pt idx="1">
                  <c:v>2016</c:v>
                </c:pt>
                <c:pt idx="2">
                  <c:v>2017</c:v>
                </c:pt>
                <c:pt idx="3">
                  <c:v>2018</c:v>
                </c:pt>
                <c:pt idx="4">
                  <c:v>2019</c:v>
                </c:pt>
                <c:pt idx="5">
                  <c:v>2020</c:v>
                </c:pt>
                <c:pt idx="6">
                  <c:v>2021</c:v>
                </c:pt>
              </c:numCache>
            </c:numRef>
          </c:cat>
          <c:val>
            <c:numRef>
              <c:f>Bullbear!$D$155:$J$155</c:f>
              <c:numCache>
                <c:formatCode>#,##0.0</c:formatCode>
                <c:ptCount val="7"/>
                <c:pt idx="0">
                  <c:v>-3.4950848586664307</c:v>
                </c:pt>
                <c:pt idx="1">
                  <c:v>-4.9630549362506322</c:v>
                </c:pt>
                <c:pt idx="2">
                  <c:v>2.0449206190611635</c:v>
                </c:pt>
                <c:pt idx="3">
                  <c:v>8.6358344089214611</c:v>
                </c:pt>
                <c:pt idx="4">
                  <c:v>4.526136938017844</c:v>
                </c:pt>
                <c:pt idx="5">
                  <c:v>9.6759543183110974</c:v>
                </c:pt>
                <c:pt idx="6">
                  <c:v>8.1150719800670004</c:v>
                </c:pt>
              </c:numCache>
            </c:numRef>
          </c:val>
          <c:smooth val="1"/>
        </c:ser>
        <c:ser>
          <c:idx val="2"/>
          <c:order val="2"/>
          <c:tx>
            <c:strRef>
              <c:f>Bullbear!$C$156</c:f>
              <c:strCache>
                <c:ptCount val="1"/>
                <c:pt idx="0">
                  <c:v>Bear</c:v>
                </c:pt>
              </c:strCache>
            </c:strRef>
          </c:tx>
          <c:spPr>
            <a:ln w="12700">
              <a:solidFill>
                <a:srgbClr val="1275A6"/>
              </a:solidFill>
              <a:prstDash val="solid"/>
            </a:ln>
          </c:spPr>
          <c:marker>
            <c:symbol val="none"/>
          </c:marker>
          <c:cat>
            <c:numRef>
              <c:f>Bullbear!$D$149:$J$149</c:f>
              <c:numCache>
                <c:formatCode>General</c:formatCode>
                <c:ptCount val="7"/>
                <c:pt idx="0">
                  <c:v>2015</c:v>
                </c:pt>
                <c:pt idx="1">
                  <c:v>2016</c:v>
                </c:pt>
                <c:pt idx="2">
                  <c:v>2017</c:v>
                </c:pt>
                <c:pt idx="3">
                  <c:v>2018</c:v>
                </c:pt>
                <c:pt idx="4">
                  <c:v>2019</c:v>
                </c:pt>
                <c:pt idx="5">
                  <c:v>2020</c:v>
                </c:pt>
                <c:pt idx="6">
                  <c:v>2021</c:v>
                </c:pt>
              </c:numCache>
            </c:numRef>
          </c:cat>
          <c:val>
            <c:numRef>
              <c:f>Bullbear!$D$156:$J$156</c:f>
              <c:numCache>
                <c:formatCode>#,##0.0</c:formatCode>
                <c:ptCount val="7"/>
                <c:pt idx="0">
                  <c:v>-3.4950848586664307</c:v>
                </c:pt>
                <c:pt idx="1">
                  <c:v>-4.9630549362506322</c:v>
                </c:pt>
                <c:pt idx="2">
                  <c:v>2.0449206190611635</c:v>
                </c:pt>
                <c:pt idx="3">
                  <c:v>3.1030426548133594</c:v>
                </c:pt>
                <c:pt idx="4">
                  <c:v>-1.1214559756171583</c:v>
                </c:pt>
                <c:pt idx="5">
                  <c:v>-4.1896061317625577E-2</c:v>
                </c:pt>
                <c:pt idx="6">
                  <c:v>-3.6881357872817877</c:v>
                </c:pt>
              </c:numCache>
            </c:numRef>
          </c:val>
          <c:smooth val="1"/>
        </c:ser>
        <c:dLbls>
          <c:showLegendKey val="0"/>
          <c:showVal val="0"/>
          <c:showCatName val="0"/>
          <c:showSerName val="0"/>
          <c:showPercent val="0"/>
          <c:showBubbleSize val="0"/>
        </c:dLbls>
        <c:marker val="1"/>
        <c:smooth val="0"/>
        <c:axId val="495533056"/>
        <c:axId val="495543040"/>
      </c:lineChart>
      <c:catAx>
        <c:axId val="495533056"/>
        <c:scaling>
          <c:orientation val="minMax"/>
        </c:scaling>
        <c:delete val="0"/>
        <c:axPos val="b"/>
        <c:numFmt formatCode="General" sourceLinked="1"/>
        <c:majorTickMark val="out"/>
        <c:minorTickMark val="none"/>
        <c:tickLblPos val="low"/>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495543040"/>
        <c:crosses val="autoZero"/>
        <c:auto val="1"/>
        <c:lblAlgn val="ctr"/>
        <c:lblOffset val="100"/>
        <c:tickLblSkip val="1"/>
        <c:tickMarkSkip val="1"/>
        <c:noMultiLvlLbl val="0"/>
      </c:catAx>
      <c:valAx>
        <c:axId val="495543040"/>
        <c:scaling>
          <c:orientation val="minMax"/>
        </c:scaling>
        <c:delete val="0"/>
        <c:axPos val="l"/>
        <c:numFmt formatCode="0" sourceLinked="0"/>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495533056"/>
        <c:crosses val="autoZero"/>
        <c:crossBetween val="between"/>
      </c:valAx>
      <c:spPr>
        <a:noFill/>
        <a:ln w="12700">
          <a:solidFill>
            <a:srgbClr val="C0C0C0"/>
          </a:solidFill>
          <a:prstDash val="solid"/>
        </a:ln>
      </c:spPr>
    </c:plotArea>
    <c:legend>
      <c:legendPos val="r"/>
      <c:layout>
        <c:manualLayout>
          <c:xMode val="edge"/>
          <c:yMode val="edge"/>
          <c:x val="2.3178672913819653E-2"/>
          <c:y val="0.93243217348474117"/>
          <c:w val="0.96357627817184011"/>
          <c:h val="5.7432679526884356E-2"/>
        </c:manualLayout>
      </c:layout>
      <c:overlay val="0"/>
      <c:spPr>
        <a:noFill/>
        <a:ln w="25400">
          <a:noFill/>
        </a:ln>
      </c:spPr>
      <c:txPr>
        <a:bodyPr/>
        <a:lstStyle/>
        <a:p>
          <a:pPr>
            <a:defRPr sz="12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40" b="0" i="0" u="none" strike="noStrike" baseline="0">
                <a:solidFill>
                  <a:srgbClr val="333333"/>
                </a:solidFill>
                <a:latin typeface="Arial"/>
                <a:ea typeface="Arial"/>
                <a:cs typeface="Arial"/>
              </a:defRPr>
            </a:pPr>
            <a:r>
              <a:rPr lang="en-GB"/>
              <a:t>EPS (USD)</a:t>
            </a:r>
          </a:p>
        </c:rich>
      </c:tx>
      <c:layout>
        <c:manualLayout>
          <c:xMode val="edge"/>
          <c:yMode val="edge"/>
          <c:x val="0.36754970846035551"/>
          <c:y val="5.0675734941872622E-2"/>
        </c:manualLayout>
      </c:layout>
      <c:overlay val="0"/>
      <c:spPr>
        <a:noFill/>
        <a:ln w="25400">
          <a:noFill/>
        </a:ln>
      </c:spPr>
    </c:title>
    <c:autoTitleDeleted val="0"/>
    <c:plotArea>
      <c:layout>
        <c:manualLayout>
          <c:layoutTarget val="inner"/>
          <c:xMode val="edge"/>
          <c:yMode val="edge"/>
          <c:x val="7.837711561995675E-2"/>
          <c:y val="5.4054054054054057E-2"/>
          <c:w val="0.90837782288052227"/>
          <c:h val="0.79980149319611327"/>
        </c:manualLayout>
      </c:layout>
      <c:lineChart>
        <c:grouping val="standard"/>
        <c:varyColors val="0"/>
        <c:ser>
          <c:idx val="0"/>
          <c:order val="0"/>
          <c:tx>
            <c:strRef>
              <c:f>Bullbear!$C$163</c:f>
              <c:strCache>
                <c:ptCount val="1"/>
                <c:pt idx="0">
                  <c:v>Bull</c:v>
                </c:pt>
              </c:strCache>
            </c:strRef>
          </c:tx>
          <c:spPr>
            <a:ln w="12700">
              <a:solidFill>
                <a:srgbClr val="137CB1"/>
              </a:solidFill>
              <a:prstDash val="solid"/>
            </a:ln>
          </c:spPr>
          <c:marker>
            <c:symbol val="none"/>
          </c:marker>
          <c:cat>
            <c:numRef>
              <c:f>Bullbear!$D$158:$J$158</c:f>
              <c:numCache>
                <c:formatCode>General</c:formatCode>
                <c:ptCount val="7"/>
                <c:pt idx="0">
                  <c:v>2015</c:v>
                </c:pt>
                <c:pt idx="1">
                  <c:v>2016</c:v>
                </c:pt>
                <c:pt idx="2">
                  <c:v>2017</c:v>
                </c:pt>
                <c:pt idx="3">
                  <c:v>2018</c:v>
                </c:pt>
                <c:pt idx="4">
                  <c:v>2019</c:v>
                </c:pt>
                <c:pt idx="5">
                  <c:v>2020</c:v>
                </c:pt>
                <c:pt idx="6">
                  <c:v>2021</c:v>
                </c:pt>
              </c:numCache>
            </c:numRef>
          </c:cat>
          <c:val>
            <c:numRef>
              <c:f>Bullbear!$D$163:$J$163</c:f>
              <c:numCache>
                <c:formatCode>#,##0.00</c:formatCode>
                <c:ptCount val="7"/>
                <c:pt idx="0">
                  <c:v>5.0062421972534334</c:v>
                </c:pt>
                <c:pt idx="1">
                  <c:v>4.7577796467619846</c:v>
                </c:pt>
                <c:pt idx="2">
                  <c:v>4.8550724637681162</c:v>
                </c:pt>
                <c:pt idx="3">
                  <c:v>5.5041420463922819</c:v>
                </c:pt>
                <c:pt idx="4">
                  <c:v>6.0174426396447576</c:v>
                </c:pt>
                <c:pt idx="5">
                  <c:v>7.158230185764098</c:v>
                </c:pt>
                <c:pt idx="6">
                  <c:v>8.3856221594570393</c:v>
                </c:pt>
              </c:numCache>
            </c:numRef>
          </c:val>
          <c:smooth val="1"/>
        </c:ser>
        <c:ser>
          <c:idx val="1"/>
          <c:order val="1"/>
          <c:tx>
            <c:strRef>
              <c:f>Bullbear!$C$164</c:f>
              <c:strCache>
                <c:ptCount val="1"/>
                <c:pt idx="0">
                  <c:v>Base</c:v>
                </c:pt>
              </c:strCache>
            </c:strRef>
          </c:tx>
          <c:spPr>
            <a:ln w="34925">
              <a:solidFill>
                <a:srgbClr val="003366"/>
              </a:solidFill>
              <a:prstDash val="solid"/>
            </a:ln>
          </c:spPr>
          <c:marker>
            <c:symbol val="none"/>
          </c:marker>
          <c:dLbls>
            <c:txPr>
              <a:bodyPr/>
              <a:lstStyle/>
              <a:p>
                <a:pPr>
                  <a:defRPr sz="1200" b="0" i="0" u="none" strike="noStrike" baseline="0">
                    <a:solidFill>
                      <a:srgbClr val="333333"/>
                    </a:solidFill>
                    <a:latin typeface="Arial"/>
                    <a:ea typeface="Arial"/>
                    <a:cs typeface="Arial"/>
                  </a:defRPr>
                </a:pPr>
                <a:endParaRPr lang="en-US"/>
              </a:p>
            </c:txPr>
            <c:dLblPos val="t"/>
            <c:showLegendKey val="0"/>
            <c:showVal val="1"/>
            <c:showCatName val="0"/>
            <c:showSerName val="0"/>
            <c:showPercent val="0"/>
            <c:showBubbleSize val="0"/>
            <c:showLeaderLines val="0"/>
          </c:dLbls>
          <c:cat>
            <c:numRef>
              <c:f>Bullbear!$D$158:$J$158</c:f>
              <c:numCache>
                <c:formatCode>General</c:formatCode>
                <c:ptCount val="7"/>
                <c:pt idx="0">
                  <c:v>2015</c:v>
                </c:pt>
                <c:pt idx="1">
                  <c:v>2016</c:v>
                </c:pt>
                <c:pt idx="2">
                  <c:v>2017</c:v>
                </c:pt>
                <c:pt idx="3">
                  <c:v>2018</c:v>
                </c:pt>
                <c:pt idx="4">
                  <c:v>2019</c:v>
                </c:pt>
                <c:pt idx="5">
                  <c:v>2020</c:v>
                </c:pt>
                <c:pt idx="6">
                  <c:v>2021</c:v>
                </c:pt>
              </c:numCache>
            </c:numRef>
          </c:cat>
          <c:val>
            <c:numRef>
              <c:f>Bullbear!$D$164:$J$164</c:f>
              <c:numCache>
                <c:formatCode>0.00</c:formatCode>
                <c:ptCount val="7"/>
                <c:pt idx="0">
                  <c:v>5.0062421972534334</c:v>
                </c:pt>
                <c:pt idx="1">
                  <c:v>4.7577796467619846</c:v>
                </c:pt>
                <c:pt idx="2">
                  <c:v>4.8550724637681162</c:v>
                </c:pt>
                <c:pt idx="3">
                  <c:v>5.2743484821722744</c:v>
                </c:pt>
                <c:pt idx="4">
                  <c:v>5.5130727170636566</c:v>
                </c:pt>
                <c:pt idx="5">
                  <c:v>6.0465151147020091</c:v>
                </c:pt>
                <c:pt idx="6">
                  <c:v>6.5371941685457085</c:v>
                </c:pt>
              </c:numCache>
            </c:numRef>
          </c:val>
          <c:smooth val="1"/>
        </c:ser>
        <c:ser>
          <c:idx val="2"/>
          <c:order val="2"/>
          <c:tx>
            <c:strRef>
              <c:f>Bullbear!$C$165</c:f>
              <c:strCache>
                <c:ptCount val="1"/>
                <c:pt idx="0">
                  <c:v>Bear</c:v>
                </c:pt>
              </c:strCache>
            </c:strRef>
          </c:tx>
          <c:spPr>
            <a:ln w="12700">
              <a:solidFill>
                <a:srgbClr val="1275A6"/>
              </a:solidFill>
              <a:prstDash val="solid"/>
            </a:ln>
          </c:spPr>
          <c:marker>
            <c:symbol val="none"/>
          </c:marker>
          <c:cat>
            <c:numRef>
              <c:f>Bullbear!$D$158:$J$158</c:f>
              <c:numCache>
                <c:formatCode>General</c:formatCode>
                <c:ptCount val="7"/>
                <c:pt idx="0">
                  <c:v>2015</c:v>
                </c:pt>
                <c:pt idx="1">
                  <c:v>2016</c:v>
                </c:pt>
                <c:pt idx="2">
                  <c:v>2017</c:v>
                </c:pt>
                <c:pt idx="3">
                  <c:v>2018</c:v>
                </c:pt>
                <c:pt idx="4">
                  <c:v>2019</c:v>
                </c:pt>
                <c:pt idx="5">
                  <c:v>2020</c:v>
                </c:pt>
                <c:pt idx="6">
                  <c:v>2021</c:v>
                </c:pt>
              </c:numCache>
            </c:numRef>
          </c:cat>
          <c:val>
            <c:numRef>
              <c:f>Bullbear!$D$165:$J$165</c:f>
              <c:numCache>
                <c:formatCode>#,##0.00</c:formatCode>
                <c:ptCount val="7"/>
                <c:pt idx="0">
                  <c:v>5.0062421972534334</c:v>
                </c:pt>
                <c:pt idx="1">
                  <c:v>4.7577796467619846</c:v>
                </c:pt>
                <c:pt idx="2">
                  <c:v>4.8550724637681162</c:v>
                </c:pt>
                <c:pt idx="3">
                  <c:v>5.0057274332409385</c:v>
                </c:pt>
                <c:pt idx="4">
                  <c:v>4.9495904038177505</c:v>
                </c:pt>
                <c:pt idx="5">
                  <c:v>4.9475167203871955</c:v>
                </c:pt>
                <c:pt idx="6">
                  <c:v>4.7650455856408449</c:v>
                </c:pt>
              </c:numCache>
            </c:numRef>
          </c:val>
          <c:smooth val="1"/>
        </c:ser>
        <c:dLbls>
          <c:showLegendKey val="0"/>
          <c:showVal val="0"/>
          <c:showCatName val="0"/>
          <c:showSerName val="0"/>
          <c:showPercent val="0"/>
          <c:showBubbleSize val="0"/>
        </c:dLbls>
        <c:marker val="1"/>
        <c:smooth val="0"/>
        <c:axId val="495913984"/>
        <c:axId val="495923968"/>
      </c:lineChart>
      <c:catAx>
        <c:axId val="495913984"/>
        <c:scaling>
          <c:orientation val="minMax"/>
        </c:scaling>
        <c:delete val="0"/>
        <c:axPos val="b"/>
        <c:numFmt formatCode="General" sourceLinked="1"/>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495923968"/>
        <c:crosses val="autoZero"/>
        <c:auto val="1"/>
        <c:lblAlgn val="ctr"/>
        <c:lblOffset val="100"/>
        <c:tickLblSkip val="1"/>
        <c:tickMarkSkip val="1"/>
        <c:noMultiLvlLbl val="0"/>
      </c:catAx>
      <c:valAx>
        <c:axId val="495923968"/>
        <c:scaling>
          <c:orientation val="minMax"/>
        </c:scaling>
        <c:delete val="0"/>
        <c:axPos val="l"/>
        <c:numFmt formatCode="0" sourceLinked="0"/>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495913984"/>
        <c:crosses val="autoZero"/>
        <c:crossBetween val="between"/>
      </c:valAx>
      <c:spPr>
        <a:noFill/>
        <a:ln w="12700">
          <a:solidFill>
            <a:srgbClr val="C0C0C0"/>
          </a:solidFill>
          <a:prstDash val="solid"/>
        </a:ln>
      </c:spPr>
    </c:plotArea>
    <c:legend>
      <c:legendPos val="r"/>
      <c:layout>
        <c:manualLayout>
          <c:xMode val="edge"/>
          <c:yMode val="edge"/>
          <c:x val="2.3178624411079051E-2"/>
          <c:y val="0.93243217348474117"/>
          <c:w val="0.96357629209392304"/>
          <c:h val="5.7432679526884356E-2"/>
        </c:manualLayout>
      </c:layout>
      <c:overlay val="0"/>
      <c:spPr>
        <a:noFill/>
        <a:ln w="25400">
          <a:noFill/>
        </a:ln>
      </c:spPr>
      <c:txPr>
        <a:bodyPr/>
        <a:lstStyle/>
        <a:p>
          <a:pPr>
            <a:defRPr sz="12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GB"/>
              <a:t>NPV/share - CHF</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3.0904183511435575E-3"/>
          <c:y val="0.10170264800995547"/>
          <c:w val="0.83857395147228397"/>
          <c:h val="0.85099113528076598"/>
        </c:manualLayout>
      </c:layout>
      <c:barChart>
        <c:barDir val="col"/>
        <c:grouping val="stacked"/>
        <c:varyColors val="0"/>
        <c:ser>
          <c:idx val="0"/>
          <c:order val="0"/>
          <c:tx>
            <c:strRef>
              <c:f>Bullbear!$A$207</c:f>
              <c:strCache>
                <c:ptCount val="1"/>
                <c:pt idx="0">
                  <c:v>Marketed</c:v>
                </c:pt>
              </c:strCache>
            </c:strRef>
          </c:tx>
          <c:spPr>
            <a:solidFill>
              <a:srgbClr val="137CB1"/>
            </a:solidFill>
            <a:ln w="25400">
              <a:noFill/>
            </a:ln>
            <a:effectLst/>
          </c:spPr>
          <c:invertIfNegative val="0"/>
          <c:dLbls>
            <c:txPr>
              <a:bodyPr/>
              <a:lstStyle/>
              <a:p>
                <a:pPr>
                  <a:defRPr>
                    <a:solidFill>
                      <a:schemeClr val="bg1"/>
                    </a:solidFill>
                  </a:defRPr>
                </a:pPr>
                <a:endParaRPr lang="en-US"/>
              </a:p>
            </c:txPr>
            <c:showLegendKey val="0"/>
            <c:showVal val="1"/>
            <c:showCatName val="0"/>
            <c:showSerName val="0"/>
            <c:showPercent val="0"/>
            <c:showBubbleSize val="0"/>
            <c:showLeaderLines val="0"/>
          </c:dLbls>
          <c:cat>
            <c:strRef>
              <c:f>Bullbear!$B$206:$D$206</c:f>
              <c:strCache>
                <c:ptCount val="3"/>
                <c:pt idx="0">
                  <c:v>Bear</c:v>
                </c:pt>
                <c:pt idx="1">
                  <c:v>Base</c:v>
                </c:pt>
                <c:pt idx="2">
                  <c:v>Bull</c:v>
                </c:pt>
              </c:strCache>
            </c:strRef>
          </c:cat>
          <c:val>
            <c:numRef>
              <c:f>Bullbear!$B$207:$D$207</c:f>
              <c:numCache>
                <c:formatCode>#,##0</c:formatCode>
                <c:ptCount val="3"/>
                <c:pt idx="0" formatCode="0">
                  <c:v>87.624678811877516</c:v>
                </c:pt>
                <c:pt idx="1">
                  <c:v>99.635412745127056</c:v>
                </c:pt>
                <c:pt idx="2">
                  <c:v>113.4198985594271</c:v>
                </c:pt>
              </c:numCache>
            </c:numRef>
          </c:val>
        </c:ser>
        <c:ser>
          <c:idx val="1"/>
          <c:order val="1"/>
          <c:tx>
            <c:strRef>
              <c:f>Bullbear!$A$208</c:f>
              <c:strCache>
                <c:ptCount val="1"/>
                <c:pt idx="0">
                  <c:v>Pipeline</c:v>
                </c:pt>
              </c:strCache>
            </c:strRef>
          </c:tx>
          <c:spPr>
            <a:solidFill>
              <a:srgbClr val="EACC80"/>
            </a:solidFill>
            <a:ln w="25400">
              <a:noFill/>
            </a:ln>
            <a:effectLst/>
          </c:spPr>
          <c:invertIfNegative val="0"/>
          <c:dLbls>
            <c:dLbl>
              <c:idx val="0"/>
              <c:delete val="1"/>
            </c:dLbl>
            <c:dLbl>
              <c:idx val="1"/>
              <c:layout>
                <c:manualLayout>
                  <c:x val="4.5786646126368619E-3"/>
                  <c:y val="-2.6683603300962831E-2"/>
                </c:manualLayout>
              </c:layout>
              <c:showLegendKey val="0"/>
              <c:showVal val="1"/>
              <c:showCatName val="0"/>
              <c:showSerName val="0"/>
              <c:showPercent val="0"/>
              <c:showBubbleSize val="0"/>
            </c:dLbl>
            <c:dLbl>
              <c:idx val="2"/>
              <c:layout>
                <c:manualLayout>
                  <c:x val="0"/>
                  <c:y val="-7.6238866574179515E-3"/>
                </c:manualLayout>
              </c:layout>
              <c:showLegendKey val="0"/>
              <c:showVal val="1"/>
              <c:showCatName val="0"/>
              <c:showSerName val="0"/>
              <c:showPercent val="0"/>
              <c:showBubbleSize val="0"/>
            </c:dLbl>
            <c:showLegendKey val="0"/>
            <c:showVal val="1"/>
            <c:showCatName val="0"/>
            <c:showSerName val="0"/>
            <c:showPercent val="0"/>
            <c:showBubbleSize val="0"/>
            <c:showLeaderLines val="0"/>
          </c:dLbls>
          <c:cat>
            <c:strRef>
              <c:f>Bullbear!$B$206:$D$206</c:f>
              <c:strCache>
                <c:ptCount val="3"/>
                <c:pt idx="0">
                  <c:v>Bear</c:v>
                </c:pt>
                <c:pt idx="1">
                  <c:v>Base</c:v>
                </c:pt>
                <c:pt idx="2">
                  <c:v>Bull</c:v>
                </c:pt>
              </c:strCache>
            </c:strRef>
          </c:cat>
          <c:val>
            <c:numRef>
              <c:f>Bullbear!$B$208:$D$208</c:f>
              <c:numCache>
                <c:formatCode>#,##0</c:formatCode>
                <c:ptCount val="3"/>
                <c:pt idx="0" formatCode="General">
                  <c:v>0</c:v>
                </c:pt>
                <c:pt idx="1">
                  <c:v>7.29526239883225</c:v>
                </c:pt>
                <c:pt idx="2">
                  <c:v>11.117492555712269</c:v>
                </c:pt>
              </c:numCache>
            </c:numRef>
          </c:val>
        </c:ser>
        <c:dLbls>
          <c:showLegendKey val="0"/>
          <c:showVal val="0"/>
          <c:showCatName val="0"/>
          <c:showSerName val="0"/>
          <c:showPercent val="0"/>
          <c:showBubbleSize val="0"/>
        </c:dLbls>
        <c:gapWidth val="60"/>
        <c:overlap val="100"/>
        <c:axId val="495966848"/>
        <c:axId val="496308608"/>
      </c:barChart>
      <c:catAx>
        <c:axId val="495966848"/>
        <c:scaling>
          <c:orientation val="minMax"/>
        </c:scaling>
        <c:delete val="0"/>
        <c:axPos val="b"/>
        <c:majorTickMark val="none"/>
        <c:minorTickMark val="none"/>
        <c:tickLblPos val="low"/>
        <c:spPr>
          <a:ln w="12700">
            <a:solidFill>
              <a:srgbClr val="808080"/>
            </a:solidFill>
            <a:prstDash val="solid"/>
          </a:ln>
        </c:spPr>
        <c:txPr>
          <a:bodyPr rot="0" vert="horz"/>
          <a:lstStyle/>
          <a:p>
            <a:pPr>
              <a:defRPr sz="1400" b="0" i="0">
                <a:solidFill>
                  <a:srgbClr val="808080"/>
                </a:solidFill>
                <a:latin typeface="Arial"/>
                <a:ea typeface="Arial"/>
                <a:cs typeface="Arial"/>
              </a:defRPr>
            </a:pPr>
            <a:endParaRPr lang="en-US"/>
          </a:p>
        </c:txPr>
        <c:crossAx val="496308608"/>
        <c:crosses val="autoZero"/>
        <c:auto val="1"/>
        <c:lblAlgn val="ctr"/>
        <c:lblOffset val="100"/>
        <c:tickLblSkip val="1"/>
        <c:tickMarkSkip val="1"/>
        <c:noMultiLvlLbl val="0"/>
      </c:catAx>
      <c:valAx>
        <c:axId val="496308608"/>
        <c:scaling>
          <c:orientation val="minMax"/>
        </c:scaling>
        <c:delete val="0"/>
        <c:axPos val="l"/>
        <c:majorGridlines>
          <c:spPr>
            <a:ln w="12700">
              <a:solidFill>
                <a:srgbClr val="C0C0C0"/>
              </a:solidFill>
              <a:prstDash val="solid"/>
            </a:ln>
          </c:spPr>
        </c:majorGridlines>
        <c:numFmt formatCode="0" sourceLinked="1"/>
        <c:majorTickMark val="out"/>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495966848"/>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r"/>
      <c:layout/>
      <c:overlay val="0"/>
      <c:spPr>
        <a:noFill/>
        <a:ln w="25400">
          <a:noFill/>
        </a:ln>
        <a:extLst>
          <a:ext uri="{909E8E84-426E-40DD-AFC4-6F175D3DCCD1}">
            <a14:hiddenFill xmlns:a14="http://schemas.microsoft.com/office/drawing/2010/main">
              <a:noFill/>
            </a14:hiddenFill>
          </a:ext>
        </a:extLst>
      </c:spPr>
      <c:txPr>
        <a:bodyPr/>
        <a:lstStyle/>
        <a:p>
          <a:pPr>
            <a:defRPr sz="1100" b="0" i="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300" b="1" i="0">
          <a:solidFill>
            <a:srgbClr val="333333"/>
          </a:solidFill>
          <a:latin typeface="Arial"/>
          <a:ea typeface="Arial"/>
          <a:cs typeface="Arial"/>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4.xml.rels><?xml version="1.0" encoding="UTF-8" standalone="yes"?>
<Relationships xmlns="http://schemas.openxmlformats.org/package/2006/relationships">
<Relationship Id="rId1" Target="../charts/chart1.xml" Type="http://schemas.openxmlformats.org/officeDocument/2006/relationships/chart"/>
</Relationships>

</file>

<file path=xl/drawings/_rels/drawing5.xml.rels><?xml version="1.0" encoding="UTF-8" standalone="yes"?>
<Relationships xmlns="http://schemas.openxmlformats.org/package/2006/relationships">
<Relationship Id="rId1" Target="../charts/chart2.xml" Type="http://schemas.openxmlformats.org/officeDocument/2006/relationships/chart"/>
</Relationships>

</file>

<file path=xl/drawings/_rels/drawing7.xml.rels><?xml version="1.0" encoding="UTF-8" standalone="yes"?>
<Relationships xmlns="http://schemas.openxmlformats.org/package/2006/relationships">
<Relationship Id="rId1" Target="../charts/chart3.xml" Type="http://schemas.openxmlformats.org/officeDocument/2006/relationships/chart"/>
</Relationships>

</file>

<file path=xl/drawings/_rels/drawing9.xml.rels><?xml version="1.0" encoding="UTF-8" standalone="yes"?>
<Relationships xmlns="http://schemas.openxmlformats.org/package/2006/relationships">
<Relationship Id="rId1" Target="../media/image5.emf" Type="http://schemas.openxmlformats.org/officeDocument/2006/relationships/image"/>
<Relationship Id="rId2" Target="../media/image6.png" Type="http://schemas.openxmlformats.org/officeDocument/2006/relationships/image"/>
<Relationship Id="rId3" Target="../media/image7.emf" Type="http://schemas.openxmlformats.org/officeDocument/2006/relationships/image"/>
<Relationship Id="rId4" Target="../media/image8.emf" Type="http://schemas.openxmlformats.org/officeDocument/2006/relationships/image"/>
</Relationships>

</file>

<file path=xl/drawings/_rels/drawing10.xml.rels><?xml version="1.0" encoding="UTF-8" standalone="yes"?>
<Relationships xmlns="http://schemas.openxmlformats.org/package/2006/relationships">
<Relationship Id="rId1" Target="../charts/chart4.xml" Type="http://schemas.openxmlformats.org/officeDocument/2006/relationships/chart"/>
<Relationship Id="rId2" Target="../charts/chart5.xml" Type="http://schemas.openxmlformats.org/officeDocument/2006/relationships/chart"/>
<Relationship Id="rId3" Target="../charts/chart6.xml" Type="http://schemas.openxmlformats.org/officeDocument/2006/relationships/chart"/>
</Relationships>

</file>

<file path=xl/drawings/_rels/drawing14.xml.rels><?xml version="1.0" encoding="UTF-8" standalone="yes"?>
<Relationships xmlns="http://schemas.openxmlformats.org/package/2006/relationships">
<Relationship Id="rId1" Target="../media/image10.png"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9.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175</xdr:row>
      <xdr:rowOff>0</xdr:rowOff>
    </xdr:from>
    <xdr:to>
      <xdr:col>7</xdr:col>
      <xdr:colOff>390525</xdr:colOff>
      <xdr:row>195</xdr:row>
      <xdr:rowOff>19050</xdr:rowOff>
    </xdr:to>
    <xdr:pic>
      <xdr:nvPicPr>
        <xdr:cNvPr id="36532225" name="Picture 1" descr="C:\Users\ellenchr\AppData\Local\Temp\MercuryPriceRatingHistoryChart\NOVN.S_2018_04_19_13_46_5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1178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123825</xdr:colOff>
      <xdr:row>0</xdr:row>
      <xdr:rowOff>114300</xdr:rowOff>
    </xdr:from>
    <xdr:to>
      <xdr:col>1</xdr:col>
      <xdr:colOff>1590675</xdr:colOff>
      <xdr:row>0</xdr:row>
      <xdr:rowOff>400050</xdr:rowOff>
    </xdr:to>
    <xdr:pic>
      <xdr:nvPicPr>
        <xdr:cNvPr id="35301462" name="Picture 4" descr="Morgan Stanley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14300"/>
          <a:ext cx="16954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171450</xdr:colOff>
          <xdr:row>2</xdr:row>
          <xdr:rowOff>47625</xdr:rowOff>
        </xdr:from>
        <xdr:to>
          <xdr:col>18</xdr:col>
          <xdr:colOff>590550</xdr:colOff>
          <xdr:row>4</xdr:row>
          <xdr:rowOff>57150</xdr:rowOff>
        </xdr:to>
        <xdr:sp macro="" textlink="">
          <xdr:nvSpPr>
            <xdr:cNvPr id="1199" name="Button 175" hidden="1">
              <a:extLst>
                <a:ext uri="{63B3BB69-23CF-44E3-9099-C40C66FF867C}">
                  <a14:compatExt spid="_x0000_s11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152400</xdr:colOff>
          <xdr:row>5</xdr:row>
          <xdr:rowOff>0</xdr:rowOff>
        </xdr:from>
        <xdr:to>
          <xdr:col>44</xdr:col>
          <xdr:colOff>219075</xdr:colOff>
          <xdr:row>5</xdr:row>
          <xdr:rowOff>0</xdr:rowOff>
        </xdr:to>
        <xdr:sp macro="" textlink="">
          <xdr:nvSpPr>
            <xdr:cNvPr id="1200" name="Button 176" hidden="1">
              <a:extLst>
                <a:ext uri="{63B3BB69-23CF-44E3-9099-C40C66FF867C}">
                  <a14:compatExt spid="_x0000_s12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FX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625929</xdr:colOff>
      <xdr:row>201</xdr:row>
      <xdr:rowOff>57150</xdr:rowOff>
    </xdr:from>
    <xdr:to>
      <xdr:col>15</xdr:col>
      <xdr:colOff>625929</xdr:colOff>
      <xdr:row>218</xdr:row>
      <xdr:rowOff>24493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33</xdr:row>
          <xdr:rowOff>85725</xdr:rowOff>
        </xdr:from>
        <xdr:to>
          <xdr:col>11</xdr:col>
          <xdr:colOff>95250</xdr:colOff>
          <xdr:row>35</xdr:row>
          <xdr:rowOff>114300</xdr:rowOff>
        </xdr:to>
        <xdr:sp macro="" textlink="">
          <xdr:nvSpPr>
            <xdr:cNvPr id="36483074" name="Button 2" hidden="1">
              <a:extLst>
                <a:ext uri="{63B3BB69-23CF-44E3-9099-C40C66FF867C}">
                  <a14:compatExt spid="_x0000_s3648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MW and TR</a:t>
              </a:r>
            </a:p>
          </xdr:txBody>
        </xdr:sp>
        <xdr:clientData fPrintsWithSheet="0"/>
      </xdr:twoCellAnchor>
    </mc:Choice>
    <mc:Fallback/>
  </mc:AlternateContent>
  <xdr:twoCellAnchor editAs="oneCell">
    <xdr:from>
      <xdr:col>2</xdr:col>
      <xdr:colOff>1611086</xdr:colOff>
      <xdr:row>86</xdr:row>
      <xdr:rowOff>144235</xdr:rowOff>
    </xdr:from>
    <xdr:to>
      <xdr:col>8</xdr:col>
      <xdr:colOff>569820</xdr:colOff>
      <xdr:row>104</xdr:row>
      <xdr:rowOff>108937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161925</xdr:colOff>
          <xdr:row>35</xdr:row>
          <xdr:rowOff>200025</xdr:rowOff>
        </xdr:from>
        <xdr:to>
          <xdr:col>11</xdr:col>
          <xdr:colOff>9525</xdr:colOff>
          <xdr:row>37</xdr:row>
          <xdr:rowOff>66675</xdr:rowOff>
        </xdr:to>
        <xdr:sp macro="" textlink="">
          <xdr:nvSpPr>
            <xdr:cNvPr id="36483075" name="Button 3" hidden="1">
              <a:extLst>
                <a:ext uri="{63B3BB69-23CF-44E3-9099-C40C66FF867C}">
                  <a14:compatExt spid="_x0000_s3648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FX</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0.00843</cdr:x>
      <cdr:y>0.01471</cdr:y>
    </cdr:from>
    <cdr:to>
      <cdr:x>0.00843</cdr:x>
      <cdr:y>0.01471</cdr:y>
    </cdr:to>
    <cdr:sp macro="" textlink="">
      <cdr:nvSpPr>
        <cdr:cNvPr id="25601" name="ExaChartWithStyle" descr="2"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0.00196</cdr:x>
      <cdr:y>0</cdr:y>
    </cdr:from>
    <cdr:to>
      <cdr:x>0.08191</cdr:x>
      <cdr:y>0.07292</cdr:y>
    </cdr:to>
    <cdr:sp macro="" textlink="">
      <cdr:nvSpPr>
        <cdr:cNvPr id="4" name="TextBox 1"/>
        <cdr:cNvSpPr txBox="1"/>
      </cdr:nvSpPr>
      <cdr:spPr>
        <a:xfrm xmlns:a="http://schemas.openxmlformats.org/drawingml/2006/main">
          <a:off x="12389" y="0"/>
          <a:ext cx="504429" cy="27247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200">
              <a:latin typeface="Arial Narrow" panose="020B0606020202030204" pitchFamily="34" charset="0"/>
            </a:rPr>
            <a:t>CHF</a:t>
          </a:r>
        </a:p>
      </cdr:txBody>
    </cdr:sp>
  </cdr:relSizeAnchor>
  <cdr:relSizeAnchor xmlns:cdr="http://schemas.openxmlformats.org/drawingml/2006/chartDrawing">
    <cdr:from>
      <cdr:x>0.45102</cdr:x>
      <cdr:y>0.44379</cdr:y>
    </cdr:from>
    <cdr:to>
      <cdr:x>0.75394</cdr:x>
      <cdr:y>0.53464</cdr:y>
    </cdr:to>
    <cdr:sp macro="" textlink="">
      <cdr:nvSpPr>
        <cdr:cNvPr id="16" name="TextBox 1"/>
        <cdr:cNvSpPr txBox="1"/>
      </cdr:nvSpPr>
      <cdr:spPr>
        <a:xfrm xmlns:a="http://schemas.openxmlformats.org/drawingml/2006/main">
          <a:off x="2366108" y="1545493"/>
          <a:ext cx="1590430" cy="315545"/>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en-GB"/>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8</xdr:col>
      <xdr:colOff>457200</xdr:colOff>
      <xdr:row>2</xdr:row>
      <xdr:rowOff>114300</xdr:rowOff>
    </xdr:from>
    <xdr:to>
      <xdr:col>19</xdr:col>
      <xdr:colOff>19050</xdr:colOff>
      <xdr:row>27</xdr:row>
      <xdr:rowOff>38100</xdr:rowOff>
    </xdr:to>
    <xdr:graphicFrame macro="">
      <xdr:nvGraphicFramePr>
        <xdr:cNvPr id="3531579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0.00843</cdr:x>
      <cdr:y>0.01471</cdr:y>
    </cdr:from>
    <cdr:to>
      <cdr:x>0.00843</cdr:x>
      <cdr:y>0.01471</cdr:y>
    </cdr:to>
    <cdr:sp macro="" textlink="">
      <cdr:nvSpPr>
        <cdr:cNvPr id="25601" name="ExaChartWithStyle" descr="2"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0.00906</cdr:x>
      <cdr:y>0.00049</cdr:y>
    </cdr:from>
    <cdr:to>
      <cdr:x>0.12329</cdr:x>
      <cdr:y>0.07341</cdr:y>
    </cdr:to>
    <cdr:sp macro="" textlink="">
      <cdr:nvSpPr>
        <cdr:cNvPr id="4" name="TextBox 1"/>
        <cdr:cNvSpPr txBox="1"/>
      </cdr:nvSpPr>
      <cdr:spPr>
        <a:xfrm xmlns:a="http://schemas.openxmlformats.org/drawingml/2006/main">
          <a:off x="45229" y="0"/>
          <a:ext cx="570232" cy="2491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latin typeface="Arial Narrow" panose="020B0606020202030204" pitchFamily="34" charset="0"/>
            </a:rPr>
            <a:t>CHF</a:t>
          </a:r>
        </a:p>
      </cdr:txBody>
    </cdr:sp>
  </cdr:relSizeAnchor>
  <cdr:relSizeAnchor xmlns:cdr="http://schemas.openxmlformats.org/drawingml/2006/chartDrawing">
    <cdr:from>
      <cdr:x>0.45102</cdr:x>
      <cdr:y>0.44379</cdr:y>
    </cdr:from>
    <cdr:to>
      <cdr:x>0.75394</cdr:x>
      <cdr:y>0.53464</cdr:y>
    </cdr:to>
    <cdr:sp macro="" textlink="">
      <cdr:nvSpPr>
        <cdr:cNvPr id="16" name="TextBox 1"/>
        <cdr:cNvSpPr txBox="1"/>
      </cdr:nvSpPr>
      <cdr:spPr>
        <a:xfrm xmlns:a="http://schemas.openxmlformats.org/drawingml/2006/main">
          <a:off x="2366108" y="1545493"/>
          <a:ext cx="1590430" cy="315545"/>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en-GB"/>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11</xdr:col>
      <xdr:colOff>229024</xdr:colOff>
      <xdr:row>41</xdr:row>
      <xdr:rowOff>47625</xdr:rowOff>
    </xdr:from>
    <xdr:to>
      <xdr:col>18</xdr:col>
      <xdr:colOff>381001</xdr:colOff>
      <xdr:row>51</xdr:row>
      <xdr:rowOff>194089</xdr:rowOff>
    </xdr:to>
    <xdr:pic>
      <xdr:nvPicPr>
        <xdr:cNvPr id="35302658"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08160" y="8568170"/>
          <a:ext cx="4394931" cy="24151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519544</xdr:colOff>
      <xdr:row>41</xdr:row>
      <xdr:rowOff>38101</xdr:rowOff>
    </xdr:from>
    <xdr:to>
      <xdr:col>9</xdr:col>
      <xdr:colOff>1802079</xdr:colOff>
      <xdr:row>51</xdr:row>
      <xdr:rowOff>175647</xdr:rowOff>
    </xdr:to>
    <xdr:pic>
      <xdr:nvPicPr>
        <xdr:cNvPr id="35302659"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03226" y="8558646"/>
          <a:ext cx="4566805" cy="2406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847725</xdr:colOff>
      <xdr:row>19</xdr:row>
      <xdr:rowOff>57150</xdr:rowOff>
    </xdr:from>
    <xdr:to>
      <xdr:col>9</xdr:col>
      <xdr:colOff>4786992</xdr:colOff>
      <xdr:row>38</xdr:row>
      <xdr:rowOff>127908</xdr:rowOff>
    </xdr:to>
    <xdr:pic>
      <xdr:nvPicPr>
        <xdr:cNvPr id="35302660"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20150" y="438150"/>
          <a:ext cx="7200900"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372836</xdr:colOff>
      <xdr:row>1</xdr:row>
      <xdr:rowOff>193395</xdr:rowOff>
    </xdr:from>
    <xdr:to>
      <xdr:col>9</xdr:col>
      <xdr:colOff>3166382</xdr:colOff>
      <xdr:row>15</xdr:row>
      <xdr:rowOff>156483</xdr:rowOff>
    </xdr:to>
    <xdr:pic>
      <xdr:nvPicPr>
        <xdr:cNvPr id="6" name="Picture 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050236" y="393420"/>
          <a:ext cx="4984296" cy="2763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169</xdr:row>
      <xdr:rowOff>0</xdr:rowOff>
    </xdr:from>
    <xdr:to>
      <xdr:col>26</xdr:col>
      <xdr:colOff>35378</xdr:colOff>
      <xdr:row>188</xdr:row>
      <xdr:rowOff>28575</xdr:rowOff>
    </xdr:to>
    <xdr:graphicFrame macro="">
      <xdr:nvGraphicFramePr>
        <xdr:cNvPr id="2"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312964</xdr:colOff>
      <xdr:row>169</xdr:row>
      <xdr:rowOff>108857</xdr:rowOff>
    </xdr:from>
    <xdr:to>
      <xdr:col>37</xdr:col>
      <xdr:colOff>357868</xdr:colOff>
      <xdr:row>188</xdr:row>
      <xdr:rowOff>189139</xdr:rowOff>
    </xdr:to>
    <xdr:graphicFrame macro="">
      <xdr:nvGraphicFramePr>
        <xdr:cNvPr id="3"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xdr:colOff>
      <xdr:row>194</xdr:row>
      <xdr:rowOff>136071</xdr:rowOff>
    </xdr:from>
    <xdr:to>
      <xdr:col>18</xdr:col>
      <xdr:colOff>2948505</xdr:colOff>
      <xdr:row>212</xdr:row>
      <xdr:rowOff>38705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0.01553</cdr:x>
      <cdr:y>0.01732</cdr:y>
    </cdr:from>
    <cdr:to>
      <cdr:x>0.01553</cdr:x>
      <cdr:y>0.01732</cdr:y>
    </cdr:to>
    <cdr:sp macro="" textlink="">
      <cdr:nvSpPr>
        <cdr:cNvPr id="34296833" name="ExaChartWithStyle" descr="3" hidden="1"/>
        <cdr:cNvSpPr txBox="1">
          <a:spLocks xmlns:a="http://schemas.openxmlformats.org/drawingml/2006/main" noChangeArrowheads="1"/>
        </cdr:cNvSpPr>
      </cdr:nvSpPr>
      <cdr:spPr bwMode="auto">
        <a:xfrm xmlns:a="http://schemas.openxmlformats.org/drawingml/2006/main">
          <a:off x="48009" y="5216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12.xml><?xml version="1.0" encoding="utf-8"?>
<c:userShapes xmlns:c="http://schemas.openxmlformats.org/drawingml/2006/chart">
  <cdr:relSizeAnchor xmlns:cdr="http://schemas.openxmlformats.org/drawingml/2006/chartDrawing">
    <cdr:from>
      <cdr:x>0.01553</cdr:x>
      <cdr:y>0.01732</cdr:y>
    </cdr:from>
    <cdr:to>
      <cdr:x>0.01553</cdr:x>
      <cdr:y>0.01732</cdr:y>
    </cdr:to>
    <cdr:sp macro="" textlink="">
      <cdr:nvSpPr>
        <cdr:cNvPr id="34296833" name="ExaChartWithStyle" descr="3" hidden="1"/>
        <cdr:cNvSpPr txBox="1">
          <a:spLocks xmlns:a="http://schemas.openxmlformats.org/drawingml/2006/main" noChangeArrowheads="1"/>
        </cdr:cNvSpPr>
      </cdr:nvSpPr>
      <cdr:spPr bwMode="auto">
        <a:xfrm xmlns:a="http://schemas.openxmlformats.org/drawingml/2006/main">
          <a:off x="48009" y="5216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29</xdr:row>
          <xdr:rowOff>152400</xdr:rowOff>
        </xdr:from>
        <xdr:to>
          <xdr:col>0</xdr:col>
          <xdr:colOff>619125</xdr:colOff>
          <xdr:row>30</xdr:row>
          <xdr:rowOff>152400</xdr:rowOff>
        </xdr:to>
        <xdr:sp macro="" textlink="">
          <xdr:nvSpPr>
            <xdr:cNvPr id="36521985" name="XLDataChannel1" hidden="1">
              <a:extLst>
                <a:ext uri="{63B3BB69-23CF-44E3-9099-C40C66FF867C}">
                  <a14:compatExt spid="_x0000_s3652198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66675</xdr:rowOff>
        </xdr:from>
        <xdr:to>
          <xdr:col>0</xdr:col>
          <xdr:colOff>619125</xdr:colOff>
          <xdr:row>57</xdr:row>
          <xdr:rowOff>66675</xdr:rowOff>
        </xdr:to>
        <xdr:sp macro="" textlink="">
          <xdr:nvSpPr>
            <xdr:cNvPr id="36521986" name="XLDataChannel2" hidden="1">
              <a:extLst>
                <a:ext uri="{63B3BB69-23CF-44E3-9099-C40C66FF867C}">
                  <a14:compatExt spid="_x0000_s3652198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47625</xdr:rowOff>
        </xdr:from>
        <xdr:to>
          <xdr:col>0</xdr:col>
          <xdr:colOff>828675</xdr:colOff>
          <xdr:row>0</xdr:row>
          <xdr:rowOff>285750</xdr:rowOff>
        </xdr:to>
        <xdr:sp macro="" textlink="">
          <xdr:nvSpPr>
            <xdr:cNvPr id="36521987" name="Button 3" hidden="1">
              <a:extLst>
                <a:ext uri="{63B3BB69-23CF-44E3-9099-C40C66FF867C}">
                  <a14:compatExt spid="_x0000_s36521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619125</xdr:colOff>
          <xdr:row>3</xdr:row>
          <xdr:rowOff>0</xdr:rowOff>
        </xdr:to>
        <xdr:sp macro="" textlink="">
          <xdr:nvSpPr>
            <xdr:cNvPr id="36521988" name="XLDataChannel3" hidden="1">
              <a:extLst>
                <a:ext uri="{63B3BB69-23CF-44E3-9099-C40C66FF867C}">
                  <a14:compatExt spid="_x0000_s36521988"/>
                </a:ext>
              </a:extLst>
            </xdr:cNvPr>
            <xdr:cNvSpPr/>
          </xdr:nvSpPr>
          <xdr:spPr>
            <a:xfrm>
              <a:off x="0" y="0"/>
              <a:ext cx="0" cy="0"/>
            </a:xfrm>
            <a:prstGeom prst="rect">
              <a:avLst/>
            </a:prstGeom>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161925</xdr:rowOff>
    </xdr:from>
    <xdr:to>
      <xdr:col>10</xdr:col>
      <xdr:colOff>276225</xdr:colOff>
      <xdr:row>12</xdr:row>
      <xdr:rowOff>95250</xdr:rowOff>
    </xdr:to>
    <xdr:pic>
      <xdr:nvPicPr>
        <xdr:cNvPr id="35317846"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161925"/>
          <a:ext cx="10401300" cy="2219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file://///Platon/Commun/Chemicals/Company%20Models/DSM/Dsm%20Output.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PHARM/XLDATA/UCB/Schwarz%20as%20bought.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PHARM/XLDATA/Merck%20KGaA/Merck%20KGaA_link.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Documents%20and%20Settings/makam/Desktop/Bayer%20new/0503/Bayer_Draft_030513.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XLDATA/Novartis/Novartis_Link.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FACTSETXLT/PHARM/XLDATA/GLAXO/GSK_WIP.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PHARM/XLDATA/Roche/MS_Roche_REM.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ACTSETXLT/PHARM/XLDATA/ROCHE/Roczfin_WIP.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PHARM/MedTech/Initiations/Gyrus/Exhibits_CE1.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PHARM/XLDATA/GLAXO/GSK.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PHARM/XLDATA/AstraZeneca/azn.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PHARM/XLDATA/GLAXO/Bull_bear_20060707.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PHARM/XLDATA/Novartis/Novartis_Link_core.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file:///G:/Novartis/Grilleno%20Eric.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health/LIND/COMPANY/BGEN/BGEN.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ANALYSE/Secteurs/Pharmacie/Biotech/Biotech_US/SA_Amgen.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PHARM/XLDATA/Novo%20Nordisk/ANALYSE/Societes/Grilles/Serono%20B.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EE/Z%20Drive%20Stuff/Misc/dummy.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PHARM/Therapeutic%20areas/Oncology/MS_IO%20LUNG%20model.xls.xlsm"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ANALYSE/Secteurs/Chimie/Chimie%20March&#233;/Pres%20Powerpoint/Requeteur%20univers.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PHARM/XLDATA/Novo%20Nordisk/ANALYSE/Secteurs/Pharmacie/Novartis/SA_Novartis.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file://///SRV_PARNOV2/DATA24/ANALYSE/Secteurs/Pharmacie/Donn&#233;es%20sectorielles/Tableau%20PE+EPS.xls"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ANALYSE/Secteurs/Pharmacie/Novartis/SA_Novartis.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SECTOR/PHRM/Models/Roche/ALXN.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file://///tprschgroup02/Biotec1/EE/Z%20Drive%20Stuff/Misc/dummy.xls" TargetMode="External" Type="http://schemas.openxmlformats.org/officeDocument/2006/relationships/externalLinkPath"/>
</Relationships>

</file>

<file path=xl/externalLinks/_rels/externalLink27.xml.rels><?xml version="1.0" encoding="UTF-8" standalone="yes"?>
<Relationships xmlns="http://schemas.openxmlformats.org/package/2006/relationships">
<Relationship Id="rId1" Target="ANALYSE/Secteurs/Pharmacie/Aventis/EVA_AventisPharma.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ANALYSE/Secteurs/Pharmacie/Actelion/SA_Actelion%20.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PHARM/XLDATA/Indivior/Copy%20of%20MS_Indivior.xls" TargetMode="External" Type="http://schemas.microsoft.com/office/2006/relationships/xlExternalLinkPath/xlAlternateStartup"/>
</Relationships>

</file>

<file path=xl/externalLinks/_rels/externalLink30.xml.rels><?xml version="1.0" encoding="UTF-8" standalone="yes"?>
<Relationships xmlns="http://schemas.openxmlformats.org/package/2006/relationships">
<Relationship Id="rId1" Target="Documents%20and%20Settings/florent/Mes%20documents/NATEXIS/GLAXO/GRILLEGL.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SECTOR/PHRM/Models/Roche/061108%20New%20Avastin%20and%20Herceptin%20Model.xls" TargetMode="External" Type="http://schemas.microsoft.com/office/2006/relationships/xlExternalLinkPath/xlStartup"/>
</Relationships>

</file>

<file path=xl/externalLinks/_rels/externalLink32.xml.rels><?xml version="1.0" encoding="UTF-8" standalone="yes"?>
<Relationships xmlns="http://schemas.openxmlformats.org/package/2006/relationships">
<Relationship Id="rId1" Target="file:///S:/GENSET/GRILLEGE.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DOCUME~1/boscoes/LOCALS~1/Temp/LLYwork.xls" TargetMode="External" Type="http://schemas.microsoft.com/office/2006/relationships/xlExternalLinkPath/xlStartup"/>
</Relationships>

</file>

<file path=xl/externalLinks/_rels/externalLink34.xml.rels><?xml version="1.0" encoding="UTF-8" standalone="yes"?>
<Relationships xmlns="http://schemas.openxmlformats.org/package/2006/relationships">
<Relationship Id="rId1" Target="PHARM/David/david%20Instrumentarium.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PHARM/XLDATA/Novo%20Nordisk/ANALYSE/Secteurs/Pharmacie/Ares%20Serono/SA_Serono.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Documents%20and%20Settings/heuze_f/Desktop/Companies%20Profiles/ShirePlc.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_Special/Cockpit/ROFIS/Excel%20Uploads/ROFIS%20uplift%20sheet.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health/GOODMAN/MODELS/AZA.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40.xml.rels><?xml version="1.0" encoding="UTF-8" standalone="yes"?>
<Relationships xmlns="http://schemas.openxmlformats.org/package/2006/relationships">
<Relationship Id="rId1" Target="PHARM/XLDATA/NOVARTIS/Novartis.xls" TargetMode="External" Type="http://schemas.microsoft.com/office/2006/relationships/xlExternalLinkPath/xlStartup"/>
</Relationships>

</file>

<file path=xl/externalLinks/_rels/externalLink41.xml.rels><?xml version="1.0" encoding="UTF-8" standalone="yes"?>
<Relationships xmlns="http://schemas.openxmlformats.org/package/2006/relationships">
<Relationship Id="rId1" Target="DOCUME~1/Ntuser/LOCALS~1/Temp/C.Lotus.Notes.Data/Novartis/Grilleno%20Eric.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ANALYSE/Secteurs/Pharmacie/Laurent%20Higueret/Exo%20Valo%20Break%20Liinks.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SECTOR/PHRM/Models/Novartis/Novartis%20Model%20with%20Chiron.xls" TargetMode="External" Type="http://schemas.microsoft.com/office/2006/relationships/xlExternalLinkPath/xlStartup"/>
</Relationships>

</file>

<file path=xl/externalLinks/_rels/externalLink44.xml.rels><?xml version="1.0" encoding="UTF-8" standalone="yes"?>
<Relationships xmlns="http://schemas.openxmlformats.org/package/2006/relationships">
<Relationship Id="rId1" Target="file:///S:/SANOSYNT/Sqsd.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WINNT/Profiles/Cespedes/Param&#232;tres%20locaux/Temporary%20Internet%20Files/OLK14/GENZ%20model.xls" TargetMode="External" Type="http://schemas.microsoft.com/office/2006/relationships/xlExternalLinkPath/xlStartup"/>
</Relationships>

</file>

<file path=xl/externalLinks/_rels/externalLink46.xml.rels><?xml version="1.0" encoding="UTF-8" standalone="yes"?>
<Relationships xmlns="http://schemas.openxmlformats.org/package/2006/relationships">
<Relationship Id="rId1" Target="file:///O:/data/Excel/US$%20presentation/1998%20MASTER.xls" TargetMode="External" Type="http://schemas.openxmlformats.org/officeDocument/2006/relationships/externalLinkPath"/>
</Relationships>

</file>

<file path=xl/externalLinks/_rels/externalLink47.xml.rels><?xml version="1.0" encoding="UTF-8" standalone="yes"?>
<Relationships xmlns="http://schemas.openxmlformats.org/package/2006/relationships">
<Relationship Id="rId1" Target="SECTOR/PHRM/Models/AstraZeneca/AstraZeneca%20Model%20sj.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SECTOR/PHRM/Models/Sanofi-Aventis/Sanofi%20Aventis.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health/RubinJ/Company/BMY/BMYwork.xls" TargetMode="External" Type="http://schemas.microsoft.com/office/2006/relationships/xlExternalLinkPath/xlStartup"/>
</Relationships>

</file>

<file path=xl/externalLinks/_rels/externalLink50.xml.rels><?xml version="1.0" encoding="UTF-8" standalone="yes"?>
<Relationships xmlns="http://schemas.openxmlformats.org/package/2006/relationships">
<Relationship Id="rId1" Target="ANALYSE/Secteurs/Pharmacie/Ipsen/SA_IPSEN.xls" TargetMode="External" Type="http://schemas.microsoft.com/office/2006/relationships/xlExternalLinkPath/xlStartup"/>
</Relationships>

</file>

<file path=xl/externalLinks/_rels/externalLink51.xml.rels><?xml version="1.0" encoding="UTF-8" standalone="yes"?>
<Relationships xmlns="http://schemas.openxmlformats.org/package/2006/relationships">
<Relationship Id="rId1" Target="PHARM/Simon/Companies/UCB/Models/UCBpubpete.xls" TargetMode="External" Type="http://schemas.microsoft.com/office/2006/relationships/xlExternalLinkPath/xlStartup"/>
</Relationships>

</file>

<file path=xl/externalLinks/_rels/externalLink52.xml.rels><?xml version="1.0" encoding="UTF-8" standalone="yes"?>
<Relationships xmlns="http://schemas.openxmlformats.org/package/2006/relationships">
<Relationship Id="rId1" Target="http://annualreport.schwarzpharma.com/reports/schwarzpharma-gb2005_280306-685/download/Top%20Products_e.xls?rdm=91582"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PHARM/XLDATA/Roche/XTemplatePostview1%20H1%2012.xls" TargetMode="External" Type="http://schemas.microsoft.com/office/2006/relationships/xlExternalLinkPath/xlStartup"/>
</Relationships>

</file>

<file path=xl/externalLinks/_rels/externalLink54.xml.rels><?xml version="1.0" encoding="UTF-8" standalone="yes"?>
<Relationships xmlns="http://schemas.openxmlformats.org/package/2006/relationships">
<Relationship Id="rId1" Target="ANALYSE/Secteurs/Pharmacie/Sanofi/SortieSanSyn.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file://///RCBPARSDC001/serveurtrf/ALL/RCI-REU/Schneider/Project%20Leo/Evaluation%20Leo/En%20cours/Lexel4.xls" TargetMode="External" Type="http://schemas.openxmlformats.org/officeDocument/2006/relationships/externalLinkPath"/>
</Relationships>

</file>

<file path=xl/externalLinks/_rels/externalLink56.xml.rels><?xml version="1.0" encoding="UTF-8" standalone="yes"?>
<Relationships xmlns="http://schemas.openxmlformats.org/package/2006/relationships">
<Relationship Id="rId1" Target="PHARM/XLDATA/Novo%20Nordisk/ANALYSE/Secteurs/Pharmacie/Donn&#233;es%20sectorielles/Tableau%20PE+EPS.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amp; EVA EUR"/>
      <sheetName val="Tables EUR"/>
      <sheetName val="Cluster Data EUR"/>
      <sheetName val="BG Data EUR"/>
      <sheetName val="Standard1 EUR"/>
      <sheetName val="Standard2 EUR"/>
      <sheetName val="Comment EUR"/>
      <sheetName val="Update Study EUR"/>
      <sheetName val="10jaarDSM"/>
      <sheetName val="Consensus"/>
      <sheetName val="Product Chain"/>
      <sheetName val="Extra"/>
      <sheetName val="Charts EUR"/>
      <sheetName val="P&amp;L"/>
      <sheetName val="Settings"/>
    </sheetNames>
    <sheetDataSet>
      <sheetData sheetId="0"/>
      <sheetData sheetId="1"/>
      <sheetData sheetId="2"/>
      <sheetData sheetId="3"/>
      <sheetData sheetId="4"/>
      <sheetData sheetId="5"/>
      <sheetData sheetId="6"/>
      <sheetData sheetId="7"/>
      <sheetData sheetId="8" refreshError="1">
        <row r="310">
          <cell r="A310" t="str">
            <v>Netherlands</v>
          </cell>
          <cell r="D310">
            <v>7057</v>
          </cell>
          <cell r="E310">
            <v>7164</v>
          </cell>
          <cell r="F310">
            <v>6565</v>
          </cell>
          <cell r="G310">
            <v>5783</v>
          </cell>
          <cell r="H310">
            <v>5551</v>
          </cell>
          <cell r="I310">
            <v>4960</v>
          </cell>
        </row>
        <row r="311">
          <cell r="A311" t="str">
            <v>Other EU countries</v>
          </cell>
          <cell r="D311">
            <v>2391</v>
          </cell>
          <cell r="E311">
            <v>2386</v>
          </cell>
          <cell r="F311">
            <v>2314</v>
          </cell>
          <cell r="G311">
            <v>2296</v>
          </cell>
          <cell r="H311">
            <v>2026</v>
          </cell>
          <cell r="I311">
            <v>1715</v>
          </cell>
        </row>
        <row r="312">
          <cell r="A312" t="str">
            <v>EU countries</v>
          </cell>
          <cell r="D312">
            <v>9448</v>
          </cell>
          <cell r="E312">
            <v>9550</v>
          </cell>
          <cell r="F312">
            <v>8879</v>
          </cell>
          <cell r="G312">
            <v>8079</v>
          </cell>
          <cell r="H312">
            <v>7577</v>
          </cell>
          <cell r="I312">
            <v>6675</v>
          </cell>
        </row>
        <row r="313">
          <cell r="A313" t="str">
            <v>rest of Europe</v>
          </cell>
          <cell r="D313">
            <v>62</v>
          </cell>
          <cell r="E313">
            <v>101</v>
          </cell>
          <cell r="F313">
            <v>93</v>
          </cell>
          <cell r="G313">
            <v>50</v>
          </cell>
          <cell r="H313">
            <v>39</v>
          </cell>
          <cell r="I313">
            <v>87</v>
          </cell>
        </row>
        <row r="314">
          <cell r="A314" t="str">
            <v>North America</v>
          </cell>
          <cell r="D314">
            <v>610</v>
          </cell>
          <cell r="E314">
            <v>1120</v>
          </cell>
          <cell r="F314">
            <v>1185</v>
          </cell>
          <cell r="G314">
            <v>1200</v>
          </cell>
          <cell r="H314">
            <v>1273</v>
          </cell>
          <cell r="I314">
            <v>1243</v>
          </cell>
        </row>
        <row r="315">
          <cell r="A315" t="str">
            <v>rest of the world</v>
          </cell>
          <cell r="D315">
            <v>1</v>
          </cell>
          <cell r="E315">
            <v>1</v>
          </cell>
          <cell r="F315">
            <v>7</v>
          </cell>
          <cell r="G315">
            <v>18</v>
          </cell>
          <cell r="H315">
            <v>18</v>
          </cell>
          <cell r="I315">
            <v>35</v>
          </cell>
        </row>
        <row r="316">
          <cell r="A316" t="str">
            <v>total net sales</v>
          </cell>
          <cell r="D316">
            <v>10121</v>
          </cell>
          <cell r="E316">
            <v>10772</v>
          </cell>
          <cell r="F316">
            <v>10164</v>
          </cell>
          <cell r="G316">
            <v>9347</v>
          </cell>
          <cell r="H316">
            <v>8907</v>
          </cell>
          <cell r="I316">
            <v>8040</v>
          </cell>
        </row>
        <row r="318">
          <cell r="A318" t="str">
            <v>By destination</v>
          </cell>
        </row>
        <row r="319">
          <cell r="D319" t="str">
            <v>1988</v>
          </cell>
          <cell r="E319" t="str">
            <v>1989</v>
          </cell>
          <cell r="F319" t="str">
            <v>1990</v>
          </cell>
          <cell r="G319" t="str">
            <v>1991</v>
          </cell>
          <cell r="H319" t="str">
            <v>1992</v>
          </cell>
          <cell r="I319" t="str">
            <v>1993</v>
          </cell>
        </row>
        <row r="321">
          <cell r="A321" t="str">
            <v>Netherlands</v>
          </cell>
          <cell r="D321">
            <v>2192</v>
          </cell>
          <cell r="E321">
            <v>2303</v>
          </cell>
          <cell r="F321">
            <v>1805</v>
          </cell>
          <cell r="G321">
            <v>1579</v>
          </cell>
          <cell r="H321">
            <v>1453</v>
          </cell>
          <cell r="I321">
            <v>1107</v>
          </cell>
        </row>
        <row r="322">
          <cell r="A322" t="str">
            <v>Other EU countries</v>
          </cell>
          <cell r="D322">
            <v>5746</v>
          </cell>
          <cell r="E322">
            <v>5868</v>
          </cell>
          <cell r="F322">
            <v>5824</v>
          </cell>
          <cell r="G322">
            <v>5273</v>
          </cell>
          <cell r="H322">
            <v>4964</v>
          </cell>
          <cell r="I322">
            <v>4491</v>
          </cell>
        </row>
        <row r="323">
          <cell r="A323" t="str">
            <v>EU countries</v>
          </cell>
          <cell r="D323">
            <v>7938</v>
          </cell>
          <cell r="E323">
            <v>8171</v>
          </cell>
          <cell r="F323">
            <v>7629</v>
          </cell>
          <cell r="G323">
            <v>6852</v>
          </cell>
          <cell r="H323">
            <v>6417</v>
          </cell>
          <cell r="I323">
            <v>5598</v>
          </cell>
        </row>
        <row r="324">
          <cell r="A324" t="str">
            <v>rest of Europe</v>
          </cell>
          <cell r="D324">
            <v>499</v>
          </cell>
          <cell r="E324">
            <v>455</v>
          </cell>
          <cell r="F324">
            <v>472</v>
          </cell>
          <cell r="G324">
            <v>428</v>
          </cell>
          <cell r="H324">
            <v>414</v>
          </cell>
          <cell r="I324">
            <v>447</v>
          </cell>
        </row>
        <row r="325">
          <cell r="A325" t="str">
            <v>North America</v>
          </cell>
          <cell r="D325">
            <v>624</v>
          </cell>
          <cell r="E325">
            <v>1139</v>
          </cell>
          <cell r="F325">
            <v>1165</v>
          </cell>
          <cell r="G325">
            <v>1083</v>
          </cell>
          <cell r="H325">
            <v>1189</v>
          </cell>
          <cell r="I325">
            <v>1231</v>
          </cell>
        </row>
        <row r="326">
          <cell r="A326" t="str">
            <v>rest of the world</v>
          </cell>
          <cell r="D326">
            <v>1060</v>
          </cell>
          <cell r="E326">
            <v>1007</v>
          </cell>
          <cell r="F326">
            <v>898</v>
          </cell>
          <cell r="G326">
            <v>984</v>
          </cell>
          <cell r="H326">
            <v>887</v>
          </cell>
          <cell r="I326">
            <v>764</v>
          </cell>
        </row>
        <row r="327">
          <cell r="A327" t="str">
            <v>total net sales</v>
          </cell>
        </row>
      </sheetData>
      <sheetData sheetId="9"/>
      <sheetData sheetId="10"/>
      <sheetData sheetId="11"/>
      <sheetData sheetId="12"/>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__FDSCACHE__"/>
      <sheetName val="DCF valuation"/>
      <sheetName val="Valuation"/>
      <sheetName val="Bull_Bear"/>
      <sheetName val="Geographic Sales"/>
      <sheetName val="Quarterly Sales"/>
      <sheetName val="mwareTaxoPres"/>
      <sheetName val="Fesoterodine"/>
      <sheetName val="Neupro (Rotigotine)"/>
      <sheetName val="Lacosamide"/>
      <sheetName val="Margin Breakdown"/>
      <sheetName val="P&amp;L quarterly"/>
      <sheetName val="P&amp;L Ann"/>
      <sheetName val="Margin Breakdown (old)"/>
      <sheetName val="Balance Sheet"/>
      <sheetName val="mwareValPrintout"/>
      <sheetName val="Cash Flow"/>
      <sheetName val="DCF valuation (old)"/>
      <sheetName val="Currency"/>
      <sheetName val="GE Upload1"/>
      <sheetName val="Report Summary"/>
      <sheetName val="Model_Template"/>
      <sheetName val="mwareDates"/>
      <sheetName val="Schwarzfeed"/>
      <sheetName val="mwareSettings"/>
      <sheetName val="GE3"/>
    </sheetNames>
    <sheetDataSet>
      <sheetData sheetId="0" refreshError="1"/>
      <sheetData sheetId="1" refreshError="1"/>
      <sheetData sheetId="2" refreshError="1">
        <row r="1">
          <cell r="R1" t="str">
            <v>Return to contents</v>
          </cell>
        </row>
        <row r="2">
          <cell r="A2" t="str">
            <v>Schwarz Pharma</v>
          </cell>
        </row>
        <row r="3">
          <cell r="A3" t="str">
            <v>DCF Valuation</v>
          </cell>
        </row>
        <row r="6">
          <cell r="B6" t="str">
            <v>2005A</v>
          </cell>
          <cell r="C6" t="str">
            <v>2006E</v>
          </cell>
          <cell r="D6" t="str">
            <v>2007E</v>
          </cell>
          <cell r="E6" t="str">
            <v>2008E</v>
          </cell>
          <cell r="F6" t="str">
            <v>2009E</v>
          </cell>
          <cell r="G6" t="str">
            <v>2010E</v>
          </cell>
          <cell r="H6" t="str">
            <v>2011E</v>
          </cell>
          <cell r="I6" t="str">
            <v>2012E</v>
          </cell>
          <cell r="J6" t="str">
            <v>2013E</v>
          </cell>
          <cell r="K6" t="str">
            <v>2014E</v>
          </cell>
          <cell r="L6" t="str">
            <v>2015E</v>
          </cell>
          <cell r="M6" t="str">
            <v>2016E</v>
          </cell>
        </row>
        <row r="7">
          <cell r="A7" t="str">
            <v>Cash Flow to Equity Holders</v>
          </cell>
          <cell r="B7">
            <v>-3.0139999999999816</v>
          </cell>
          <cell r="C7">
            <v>75.523109061210619</v>
          </cell>
          <cell r="D7">
            <v>92.781658230156765</v>
          </cell>
          <cell r="E7">
            <v>137.77086511347648</v>
          </cell>
          <cell r="F7">
            <v>129.3459848223124</v>
          </cell>
          <cell r="G7">
            <v>301.34407950038332</v>
          </cell>
          <cell r="H7">
            <v>204.54147770447071</v>
          </cell>
          <cell r="I7">
            <v>224.87270962786147</v>
          </cell>
          <cell r="J7">
            <v>247.35998059064764</v>
          </cell>
          <cell r="K7">
            <v>272.09597864971244</v>
          </cell>
          <cell r="L7">
            <v>299.30557651468371</v>
          </cell>
          <cell r="M7">
            <v>329.23613416615211</v>
          </cell>
        </row>
        <row r="8">
          <cell r="C8">
            <v>-26.057434990448268</v>
          </cell>
          <cell r="D8">
            <v>0.22852010971844774</v>
          </cell>
          <cell r="E8">
            <v>0.48489332634816928</v>
          </cell>
          <cell r="F8">
            <v>-6.1151392816070564E-2</v>
          </cell>
          <cell r="G8">
            <v>1.3297520979437543</v>
          </cell>
          <cell r="H8">
            <v>-0.32123611639029886</v>
          </cell>
          <cell r="I8">
            <v>9.9399066397506411E-2</v>
          </cell>
          <cell r="J8">
            <v>0.1</v>
          </cell>
          <cell r="K8">
            <v>0.1</v>
          </cell>
          <cell r="L8">
            <v>0.1</v>
          </cell>
          <cell r="M8">
            <v>0.1</v>
          </cell>
        </row>
        <row r="12">
          <cell r="A12" t="str">
            <v>Discounted Cash Flow (DCF) Business Valuation (€ mlns):</v>
          </cell>
          <cell r="F12" t="str">
            <v>Equity Value</v>
          </cell>
          <cell r="M12" t="str">
            <v>Terminal Value</v>
          </cell>
        </row>
        <row r="13">
          <cell r="A13" t="str">
            <v>Ke (%)</v>
          </cell>
          <cell r="C13">
            <v>8.5000000000000006E-2</v>
          </cell>
        </row>
        <row r="14">
          <cell r="A14" t="str">
            <v>Intermediate Growth rate</v>
          </cell>
          <cell r="C14">
            <v>0.1</v>
          </cell>
          <cell r="G14" t="str">
            <v>Discount Applied</v>
          </cell>
          <cell r="N14" t="str">
            <v>Discount Applied</v>
          </cell>
        </row>
        <row r="15">
          <cell r="A15" t="str">
            <v>Discounted Net Cash Flow (2007-16)</v>
          </cell>
          <cell r="C15">
            <v>1365.7746305062888</v>
          </cell>
          <cell r="E15" t="str">
            <v>Terminal Growth</v>
          </cell>
          <cell r="G15">
            <v>0.08</v>
          </cell>
          <cell r="H15">
            <v>8.5000000000000006E-2</v>
          </cell>
          <cell r="I15">
            <v>9.0000000000000011E-2</v>
          </cell>
          <cell r="J15">
            <v>9.5000000000000015E-2</v>
          </cell>
          <cell r="L15" t="str">
            <v>Terminal Growth</v>
          </cell>
          <cell r="N15">
            <v>0.08</v>
          </cell>
          <cell r="O15">
            <v>8.5000000000000006E-2</v>
          </cell>
          <cell r="P15">
            <v>9.0000000000000011E-2</v>
          </cell>
          <cell r="Q15">
            <v>9.5000000000000015E-2</v>
          </cell>
        </row>
        <row r="16">
          <cell r="A16" t="str">
            <v>Terminal Growth Rate (%)</v>
          </cell>
          <cell r="C16">
            <v>0.02</v>
          </cell>
          <cell r="F16">
            <v>9.9999999999999985E-3</v>
          </cell>
          <cell r="G16">
            <v>3603.0387327161457</v>
          </cell>
          <cell r="H16">
            <v>3326.7413458031915</v>
          </cell>
          <cell r="I16">
            <v>3086.0075757017212</v>
          </cell>
          <cell r="J16">
            <v>2874.5227557120761</v>
          </cell>
          <cell r="M16">
            <v>9.9999999999999985E-3</v>
          </cell>
          <cell r="N16">
            <v>4750.4070786830516</v>
          </cell>
          <cell r="O16">
            <v>4433.7132734375145</v>
          </cell>
          <cell r="P16">
            <v>4156.6061938476696</v>
          </cell>
          <cell r="Q16">
            <v>3912.0999471507475</v>
          </cell>
        </row>
        <row r="17">
          <cell r="A17" t="str">
            <v>Discounted Value of Terminal Value</v>
          </cell>
          <cell r="C17">
            <v>2285.0564161494758</v>
          </cell>
          <cell r="F17">
            <v>1.4999999999999999E-2</v>
          </cell>
          <cell r="G17">
            <v>3784.0277833304008</v>
          </cell>
          <cell r="H17">
            <v>3477.2115640561715</v>
          </cell>
          <cell r="I17">
            <v>3212.3321275272647</v>
          </cell>
          <cell r="J17">
            <v>2981.4877106834047</v>
          </cell>
          <cell r="M17">
            <v>1.4999999999999999E-2</v>
          </cell>
          <cell r="N17">
            <v>5141.1488642868362</v>
          </cell>
          <cell r="O17">
            <v>4773.9239454092049</v>
          </cell>
          <cell r="P17">
            <v>4455.6623490485908</v>
          </cell>
          <cell r="Q17">
            <v>4177.1834522330537</v>
          </cell>
        </row>
        <row r="18">
          <cell r="A18" t="str">
            <v>Terminal Value as % of total</v>
          </cell>
          <cell r="C18">
            <v>0.62590034623558766</v>
          </cell>
          <cell r="F18">
            <v>0.02</v>
          </cell>
          <cell r="G18">
            <v>3995.181675713698</v>
          </cell>
          <cell r="H18">
            <v>3650.8310466557646</v>
          </cell>
          <cell r="I18">
            <v>3356.7030438993147</v>
          </cell>
          <cell r="J18">
            <v>3102.7146596509101</v>
          </cell>
          <cell r="M18">
            <v>0.02</v>
          </cell>
          <cell r="N18">
            <v>5597.0142808245855</v>
          </cell>
          <cell r="O18">
            <v>5166.4747207611563</v>
          </cell>
          <cell r="P18">
            <v>4797.440812135359</v>
          </cell>
          <cell r="Q18">
            <v>4477.611424659668</v>
          </cell>
        </row>
        <row r="19">
          <cell r="A19" t="str">
            <v>DCF plus Terminal Value</v>
          </cell>
          <cell r="C19">
            <v>3650.8310466557646</v>
          </cell>
          <cell r="F19">
            <v>2.5000000000000001E-2</v>
          </cell>
          <cell r="G19">
            <v>4244.7271848939581</v>
          </cell>
          <cell r="H19">
            <v>3853.3871096886223</v>
          </cell>
          <cell r="I19">
            <v>3523.2848704824492</v>
          </cell>
          <cell r="J19">
            <v>3241.2597441852017</v>
          </cell>
          <cell r="M19">
            <v>2.5000000000000001E-2</v>
          </cell>
          <cell r="N19">
            <v>6135.764318551016</v>
          </cell>
          <cell r="O19">
            <v>5624.4506253384316</v>
          </cell>
          <cell r="P19">
            <v>5191.8005772354745</v>
          </cell>
          <cell r="Q19">
            <v>4820.9576788615122</v>
          </cell>
        </row>
        <row r="20">
          <cell r="F20">
            <v>3.0000000000000002E-2</v>
          </cell>
          <cell r="G20">
            <v>4544.1817959102718</v>
          </cell>
          <cell r="H20">
            <v>4092.7715478183636</v>
          </cell>
          <cell r="I20">
            <v>3717.6303348294387</v>
          </cell>
          <cell r="J20">
            <v>3401.1194571093843</v>
          </cell>
          <cell r="M20">
            <v>3.0000000000000002E-2</v>
          </cell>
          <cell r="N20">
            <v>6782.2643638227328</v>
          </cell>
          <cell r="O20">
            <v>6165.6948762024849</v>
          </cell>
          <cell r="P20">
            <v>5651.8869698522767</v>
          </cell>
          <cell r="Q20">
            <v>5217.1264337097937</v>
          </cell>
        </row>
        <row r="21">
          <cell r="A21" t="str">
            <v>Equity Value</v>
          </cell>
          <cell r="C21">
            <v>3650.8310466557646</v>
          </cell>
        </row>
        <row r="22">
          <cell r="A22" t="str">
            <v>Shares Outstanding 2006E (million)</v>
          </cell>
          <cell r="C22">
            <v>46.403964999999999</v>
          </cell>
        </row>
        <row r="23">
          <cell r="A23" t="str">
            <v>Business Value per Share (€)</v>
          </cell>
          <cell r="C23">
            <v>78.674980611156059</v>
          </cell>
          <cell r="F23" t="str">
            <v>Value per Share</v>
          </cell>
        </row>
        <row r="24">
          <cell r="A24" t="str">
            <v>E = Morgan Stanley Estimates</v>
          </cell>
          <cell r="L24" t="str">
            <v>Cost of equity</v>
          </cell>
        </row>
        <row r="25">
          <cell r="A25" t="str">
            <v>Source: Morgan Stanley Research</v>
          </cell>
          <cell r="G25" t="str">
            <v>Discount Applied</v>
          </cell>
          <cell r="L25" t="str">
            <v>Beta</v>
          </cell>
          <cell r="M25">
            <v>0.76</v>
          </cell>
        </row>
        <row r="26">
          <cell r="E26" t="str">
            <v>Terminal Growth</v>
          </cell>
          <cell r="G26">
            <v>0.08</v>
          </cell>
          <cell r="H26">
            <v>8.5000000000000006E-2</v>
          </cell>
          <cell r="I26">
            <v>9.0000000000000011E-2</v>
          </cell>
          <cell r="J26">
            <v>9.5000000000000015E-2</v>
          </cell>
          <cell r="L26" t="str">
            <v>Risk free</v>
          </cell>
          <cell r="M26">
            <v>3.9899999999999998E-2</v>
          </cell>
        </row>
        <row r="27">
          <cell r="F27">
            <v>9.9999999999999985E-3</v>
          </cell>
          <cell r="G27">
            <v>77.645061854437344</v>
          </cell>
          <cell r="H27">
            <v>71.690885591418564</v>
          </cell>
          <cell r="I27">
            <v>66.503101097109294</v>
          </cell>
          <cell r="J27">
            <v>61.945628045191313</v>
          </cell>
          <cell r="L27" t="str">
            <v>Risk prem</v>
          </cell>
          <cell r="M27">
            <v>3.5000000000000003E-2</v>
          </cell>
        </row>
        <row r="28">
          <cell r="F28">
            <v>1.4999999999999999E-2</v>
          </cell>
          <cell r="G28">
            <v>81.545354655155023</v>
          </cell>
          <cell r="H28">
            <v>74.933501136296684</v>
          </cell>
          <cell r="I28">
            <v>69.225380364097433</v>
          </cell>
          <cell r="J28">
            <v>64.250710271921903</v>
          </cell>
          <cell r="L28" t="str">
            <v>Ke</v>
          </cell>
          <cell r="M28">
            <v>6.6500000000000004E-2</v>
          </cell>
        </row>
        <row r="29">
          <cell r="F29">
            <v>0.02</v>
          </cell>
          <cell r="G29">
            <v>86.095696255992308</v>
          </cell>
          <cell r="H29">
            <v>78.674980611156059</v>
          </cell>
          <cell r="I29">
            <v>72.336556669226752</v>
          </cell>
          <cell r="J29">
            <v>66.863136795549906</v>
          </cell>
        </row>
        <row r="30">
          <cell r="F30">
            <v>2.5000000000000001E-2</v>
          </cell>
          <cell r="G30">
            <v>91.473372693345453</v>
          </cell>
          <cell r="H30">
            <v>83.040039998491991</v>
          </cell>
          <cell r="I30">
            <v>75.9263754828375</v>
          </cell>
          <cell r="J30">
            <v>69.848767108267623</v>
          </cell>
        </row>
        <row r="31">
          <cell r="F31">
            <v>3.0000000000000002E-2</v>
          </cell>
          <cell r="G31">
            <v>97.92658441816927</v>
          </cell>
          <cell r="H31">
            <v>88.198746547161733</v>
          </cell>
          <cell r="I31">
            <v>80.114497432050015</v>
          </cell>
          <cell r="J31">
            <v>73.29372516140343</v>
          </cell>
        </row>
        <row r="35">
          <cell r="A35" t="str">
            <v>Tax sensitivity</v>
          </cell>
        </row>
        <row r="36">
          <cell r="B36" t="str">
            <v>NPV</v>
          </cell>
          <cell r="C36" t="str">
            <v>Upside</v>
          </cell>
          <cell r="D36" t="str">
            <v>2007E</v>
          </cell>
          <cell r="E36" t="str">
            <v>2008E</v>
          </cell>
          <cell r="F36" t="str">
            <v>2009E</v>
          </cell>
          <cell r="G36" t="str">
            <v>2010E</v>
          </cell>
          <cell r="H36" t="str">
            <v>2011E</v>
          </cell>
          <cell r="I36" t="str">
            <v>2012E</v>
          </cell>
        </row>
        <row r="37">
          <cell r="A37" t="str">
            <v>Bear</v>
          </cell>
          <cell r="B37">
            <v>77.12592903592504</v>
          </cell>
          <cell r="C37">
            <v>-8.1671398687217067E-2</v>
          </cell>
          <cell r="D37">
            <v>0.35</v>
          </cell>
          <cell r="E37">
            <v>0.35</v>
          </cell>
          <cell r="F37">
            <v>0.35</v>
          </cell>
          <cell r="G37">
            <v>0.35</v>
          </cell>
          <cell r="H37">
            <v>0.35</v>
          </cell>
          <cell r="I37">
            <v>0.35</v>
          </cell>
        </row>
        <row r="38">
          <cell r="A38" t="str">
            <v>Base</v>
          </cell>
          <cell r="B38">
            <v>83.985110477524955</v>
          </cell>
          <cell r="C38">
            <v>0</v>
          </cell>
          <cell r="D38">
            <v>0.35</v>
          </cell>
          <cell r="E38">
            <v>0.35</v>
          </cell>
          <cell r="F38">
            <v>0.35</v>
          </cell>
          <cell r="G38">
            <v>0.3</v>
          </cell>
          <cell r="H38">
            <v>0.3</v>
          </cell>
          <cell r="I38">
            <v>0.28000000000000003</v>
          </cell>
        </row>
        <row r="39">
          <cell r="A39" t="str">
            <v>Bull</v>
          </cell>
          <cell r="B39">
            <v>86.020197541341489</v>
          </cell>
          <cell r="C39">
            <v>2.4231522138214556E-2</v>
          </cell>
          <cell r="D39">
            <v>0.35</v>
          </cell>
          <cell r="E39">
            <v>0.35</v>
          </cell>
          <cell r="F39">
            <v>0.32</v>
          </cell>
          <cell r="G39">
            <v>0.3</v>
          </cell>
          <cell r="H39">
            <v>0.28000000000000003</v>
          </cell>
          <cell r="I39">
            <v>0.26</v>
          </cell>
        </row>
        <row r="43">
          <cell r="A43" t="str">
            <v>Sum of Parts</v>
          </cell>
        </row>
        <row r="44">
          <cell r="A44" t="str">
            <v>Market Cap</v>
          </cell>
          <cell r="C44">
            <v>3424</v>
          </cell>
        </row>
        <row r="46">
          <cell r="A46" t="str">
            <v>Base</v>
          </cell>
          <cell r="C46" t="str">
            <v>2007E</v>
          </cell>
        </row>
        <row r="47">
          <cell r="A47" t="str">
            <v>Sales</v>
          </cell>
          <cell r="C47">
            <v>825.6605400000002</v>
          </cell>
        </row>
        <row r="48">
          <cell r="A48" t="str">
            <v>Multiple</v>
          </cell>
          <cell r="C48">
            <v>0.6</v>
          </cell>
        </row>
        <row r="49">
          <cell r="A49" t="str">
            <v>Value</v>
          </cell>
          <cell r="C49">
            <v>495.39632400000011</v>
          </cell>
        </row>
        <row r="51">
          <cell r="A51" t="str">
            <v>Net debt</v>
          </cell>
          <cell r="C51">
            <v>332.60118129136742</v>
          </cell>
        </row>
        <row r="52">
          <cell r="A52" t="str">
            <v>Pipeline</v>
          </cell>
          <cell r="C52">
            <v>2596.0024947086322</v>
          </cell>
        </row>
        <row r="57">
          <cell r="A57" t="str">
            <v>Generic Company</v>
          </cell>
          <cell r="B57" t="str">
            <v>Code</v>
          </cell>
          <cell r="C57" t="str">
            <v>EV</v>
          </cell>
          <cell r="D57" t="str">
            <v>05 Sales</v>
          </cell>
          <cell r="E57" t="str">
            <v>Sales X</v>
          </cell>
          <cell r="F57" t="str">
            <v>05 EBITDA</v>
          </cell>
          <cell r="G57" t="str">
            <v>EBITDA X</v>
          </cell>
        </row>
        <row r="58">
          <cell r="A58" t="str">
            <v>Actavis</v>
          </cell>
          <cell r="B58">
            <v>494390</v>
          </cell>
          <cell r="C58">
            <v>298348.3</v>
          </cell>
          <cell r="D58">
            <v>42770.26</v>
          </cell>
          <cell r="E58">
            <v>6.9756017382171622</v>
          </cell>
          <cell r="F58">
            <v>11639.216</v>
          </cell>
          <cell r="G58">
            <v>25.633023736306637</v>
          </cell>
        </row>
        <row r="59">
          <cell r="A59" t="str">
            <v>EGIS</v>
          </cell>
          <cell r="B59">
            <v>404049</v>
          </cell>
          <cell r="C59">
            <v>210419.30000000002</v>
          </cell>
          <cell r="D59">
            <v>93985.07</v>
          </cell>
          <cell r="E59">
            <v>2.2388587889544582</v>
          </cell>
          <cell r="F59">
            <v>18002.310000000001</v>
          </cell>
          <cell r="G59">
            <v>11.688461091937645</v>
          </cell>
        </row>
        <row r="60">
          <cell r="A60" t="str">
            <v>KRKA d.d.</v>
          </cell>
          <cell r="B60">
            <v>515723</v>
          </cell>
          <cell r="C60" t="e">
            <v>#N/A</v>
          </cell>
          <cell r="D60">
            <v>113317.14</v>
          </cell>
          <cell r="F60">
            <v>31296.800000000003</v>
          </cell>
        </row>
        <row r="61">
          <cell r="A61" t="str">
            <v>Richter Gedeon Rt.</v>
          </cell>
          <cell r="B61">
            <v>404238</v>
          </cell>
          <cell r="C61">
            <v>759276.8</v>
          </cell>
          <cell r="D61">
            <v>171720</v>
          </cell>
          <cell r="E61">
            <v>4.4215979501514093</v>
          </cell>
          <cell r="F61">
            <v>62774</v>
          </cell>
          <cell r="G61">
            <v>12.095402555198012</v>
          </cell>
        </row>
        <row r="62">
          <cell r="A62" t="str">
            <v>Stada Arzneimittel AG</v>
          </cell>
          <cell r="B62">
            <v>538675</v>
          </cell>
          <cell r="C62">
            <v>2064.8960000000002</v>
          </cell>
          <cell r="D62">
            <v>1022.059</v>
          </cell>
          <cell r="E62">
            <v>2.0203295504466965</v>
          </cell>
          <cell r="F62">
            <v>143.422</v>
          </cell>
          <cell r="G62">
            <v>14.397344898272234</v>
          </cell>
        </row>
        <row r="63">
          <cell r="A63" t="str">
            <v>Average</v>
          </cell>
          <cell r="E63">
            <v>3.9140970069424315</v>
          </cell>
          <cell r="G63">
            <v>15.953558070428631</v>
          </cell>
        </row>
        <row r="65">
          <cell r="A65" t="str">
            <v>Generic Company</v>
          </cell>
          <cell r="B65" t="str">
            <v>Code</v>
          </cell>
          <cell r="C65" t="str">
            <v>EV</v>
          </cell>
          <cell r="D65" t="str">
            <v>07 Sales</v>
          </cell>
          <cell r="E65" t="str">
            <v>Sales X</v>
          </cell>
          <cell r="F65" t="str">
            <v>07 EBITDA</v>
          </cell>
          <cell r="G65" t="str">
            <v>EBITDA X</v>
          </cell>
        </row>
        <row r="66">
          <cell r="A66" t="str">
            <v>Actavis</v>
          </cell>
          <cell r="B66">
            <v>494390</v>
          </cell>
          <cell r="C66">
            <v>298348.3</v>
          </cell>
          <cell r="D66">
            <v>176669.90000000002</v>
          </cell>
          <cell r="E66">
            <v>1.6887330552629505</v>
          </cell>
          <cell r="F66">
            <v>37103.07</v>
          </cell>
          <cell r="G66">
            <v>8.0410677607001251</v>
          </cell>
        </row>
        <row r="67">
          <cell r="A67" t="str">
            <v>EGIS</v>
          </cell>
          <cell r="B67">
            <v>404049</v>
          </cell>
          <cell r="C67">
            <v>210419.30000000002</v>
          </cell>
          <cell r="D67">
            <v>95278.57</v>
          </cell>
          <cell r="E67">
            <v>2.2084640858904581</v>
          </cell>
          <cell r="F67">
            <v>22859.11</v>
          </cell>
          <cell r="G67">
            <v>9.2050521651980333</v>
          </cell>
        </row>
        <row r="68">
          <cell r="A68" t="str">
            <v>KRKA d.d.</v>
          </cell>
          <cell r="B68">
            <v>515723</v>
          </cell>
          <cell r="C68" t="e">
            <v>#N/A</v>
          </cell>
          <cell r="D68">
            <v>153979.30000000002</v>
          </cell>
          <cell r="F68">
            <v>48458.11</v>
          </cell>
        </row>
        <row r="69">
          <cell r="A69" t="str">
            <v>Richter Gedeon Rt.</v>
          </cell>
          <cell r="B69">
            <v>404238</v>
          </cell>
          <cell r="C69">
            <v>759276.8</v>
          </cell>
          <cell r="D69">
            <v>190672.6</v>
          </cell>
          <cell r="E69">
            <v>3.982097060615946</v>
          </cell>
          <cell r="F69">
            <v>65722.97</v>
          </cell>
          <cell r="G69">
            <v>11.552685461414784</v>
          </cell>
        </row>
        <row r="70">
          <cell r="A70" t="str">
            <v>Stada Arzneimittel AG</v>
          </cell>
          <cell r="B70">
            <v>538675</v>
          </cell>
          <cell r="C70">
            <v>2064.8960000000002</v>
          </cell>
          <cell r="D70">
            <v>1359.6610000000001</v>
          </cell>
          <cell r="E70">
            <v>1.5186844367824039</v>
          </cell>
          <cell r="F70">
            <v>242.26300000000001</v>
          </cell>
          <cell r="G70">
            <v>8.5233651032142763</v>
          </cell>
        </row>
        <row r="71">
          <cell r="A71" t="str">
            <v>Average</v>
          </cell>
          <cell r="E71">
            <v>2.3494946596379398</v>
          </cell>
          <cell r="G71">
            <v>9.3305426226318033</v>
          </cell>
        </row>
        <row r="74">
          <cell r="A74" t="str">
            <v>Peer group Terminal value</v>
          </cell>
        </row>
        <row r="75">
          <cell r="A75" t="str">
            <v>Mid Caps</v>
          </cell>
        </row>
        <row r="76">
          <cell r="A76" t="str">
            <v>Altana</v>
          </cell>
          <cell r="B76">
            <v>0.03</v>
          </cell>
        </row>
        <row r="77">
          <cell r="A77" t="str">
            <v>H. Lundbeck</v>
          </cell>
          <cell r="B77">
            <v>3.5000000000000003E-2</v>
          </cell>
        </row>
        <row r="78">
          <cell r="A78" t="str">
            <v>Merck KGaA</v>
          </cell>
          <cell r="B78">
            <v>0.03</v>
          </cell>
        </row>
        <row r="79">
          <cell r="A79" t="str">
            <v>Novo Nordisk</v>
          </cell>
          <cell r="B79">
            <v>0.04</v>
          </cell>
        </row>
        <row r="80">
          <cell r="A80" t="str">
            <v>Shire</v>
          </cell>
          <cell r="B80">
            <v>0.03</v>
          </cell>
        </row>
        <row r="81">
          <cell r="A81" t="str">
            <v>UCB</v>
          </cell>
          <cell r="B81">
            <v>0.03</v>
          </cell>
        </row>
        <row r="82">
          <cell r="A82" t="str">
            <v>Average</v>
          </cell>
          <cell r="B82">
            <v>0.03</v>
          </cell>
        </row>
      </sheetData>
      <sheetData sheetId="3" refreshError="1"/>
      <sheetData sheetId="4" refreshError="1">
        <row r="1">
          <cell r="A1" t="str">
            <v>SRZ</v>
          </cell>
        </row>
        <row r="2">
          <cell r="A2" t="str">
            <v xml:space="preserve"> Date </v>
          </cell>
          <cell r="B2" t="str">
            <v xml:space="preserve"> Price Close </v>
          </cell>
        </row>
        <row r="3">
          <cell r="A3">
            <v>38707</v>
          </cell>
          <cell r="B3">
            <v>53.97</v>
          </cell>
        </row>
        <row r="4">
          <cell r="A4">
            <v>38708</v>
          </cell>
          <cell r="B4">
            <v>54.33</v>
          </cell>
        </row>
        <row r="5">
          <cell r="A5">
            <v>38709</v>
          </cell>
          <cell r="B5">
            <v>54.02</v>
          </cell>
        </row>
        <row r="6">
          <cell r="A6">
            <v>38712</v>
          </cell>
          <cell r="B6">
            <v>54.02</v>
          </cell>
        </row>
        <row r="7">
          <cell r="A7">
            <v>38713</v>
          </cell>
          <cell r="B7">
            <v>53.97</v>
          </cell>
        </row>
        <row r="8">
          <cell r="A8">
            <v>38714</v>
          </cell>
          <cell r="B8">
            <v>53.73</v>
          </cell>
        </row>
        <row r="9">
          <cell r="A9">
            <v>38715</v>
          </cell>
          <cell r="B9">
            <v>53.85</v>
          </cell>
        </row>
        <row r="10">
          <cell r="A10">
            <v>38716</v>
          </cell>
          <cell r="B10">
            <v>53.94</v>
          </cell>
        </row>
        <row r="11">
          <cell r="A11">
            <v>38719</v>
          </cell>
          <cell r="B11">
            <v>53.8</v>
          </cell>
        </row>
        <row r="12">
          <cell r="A12">
            <v>38720</v>
          </cell>
          <cell r="B12">
            <v>53.6</v>
          </cell>
        </row>
        <row r="13">
          <cell r="A13">
            <v>38721</v>
          </cell>
          <cell r="B13">
            <v>53.85</v>
          </cell>
        </row>
        <row r="14">
          <cell r="A14">
            <v>38722</v>
          </cell>
          <cell r="B14">
            <v>53.34</v>
          </cell>
        </row>
        <row r="15">
          <cell r="A15">
            <v>38723</v>
          </cell>
          <cell r="B15">
            <v>53.1</v>
          </cell>
        </row>
        <row r="16">
          <cell r="A16">
            <v>38726</v>
          </cell>
          <cell r="B16">
            <v>53.67</v>
          </cell>
        </row>
        <row r="17">
          <cell r="A17">
            <v>38727</v>
          </cell>
          <cell r="B17">
            <v>52.81</v>
          </cell>
        </row>
        <row r="18">
          <cell r="A18">
            <v>38728</v>
          </cell>
          <cell r="B18">
            <v>52.75</v>
          </cell>
        </row>
        <row r="19">
          <cell r="A19">
            <v>38729</v>
          </cell>
          <cell r="B19">
            <v>53</v>
          </cell>
        </row>
        <row r="20">
          <cell r="A20">
            <v>38730</v>
          </cell>
          <cell r="B20">
            <v>52.89</v>
          </cell>
        </row>
        <row r="21">
          <cell r="A21">
            <v>38733</v>
          </cell>
          <cell r="B21">
            <v>52.5</v>
          </cell>
        </row>
        <row r="22">
          <cell r="A22">
            <v>38734</v>
          </cell>
          <cell r="B22">
            <v>52.25</v>
          </cell>
        </row>
        <row r="23">
          <cell r="A23">
            <v>38735</v>
          </cell>
          <cell r="B23">
            <v>52.24</v>
          </cell>
        </row>
        <row r="24">
          <cell r="A24">
            <v>38736</v>
          </cell>
          <cell r="B24">
            <v>52.15</v>
          </cell>
        </row>
        <row r="25">
          <cell r="A25">
            <v>38737</v>
          </cell>
          <cell r="B25">
            <v>52.19</v>
          </cell>
        </row>
        <row r="26">
          <cell r="A26">
            <v>38740</v>
          </cell>
          <cell r="B26">
            <v>52.15</v>
          </cell>
        </row>
        <row r="27">
          <cell r="A27">
            <v>38741</v>
          </cell>
          <cell r="B27">
            <v>52.62</v>
          </cell>
        </row>
        <row r="28">
          <cell r="A28">
            <v>38742</v>
          </cell>
          <cell r="B28">
            <v>52.89</v>
          </cell>
        </row>
        <row r="29">
          <cell r="A29">
            <v>38743</v>
          </cell>
          <cell r="B29">
            <v>53.19</v>
          </cell>
        </row>
        <row r="30">
          <cell r="A30">
            <v>38744</v>
          </cell>
          <cell r="B30">
            <v>52.85</v>
          </cell>
        </row>
        <row r="31">
          <cell r="A31">
            <v>38747</v>
          </cell>
          <cell r="B31">
            <v>52</v>
          </cell>
        </row>
        <row r="32">
          <cell r="A32">
            <v>38748</v>
          </cell>
          <cell r="B32">
            <v>52.24</v>
          </cell>
        </row>
        <row r="33">
          <cell r="A33">
            <v>38749</v>
          </cell>
          <cell r="B33">
            <v>52.25</v>
          </cell>
        </row>
        <row r="34">
          <cell r="A34">
            <v>38750</v>
          </cell>
          <cell r="B34">
            <v>49.98</v>
          </cell>
        </row>
        <row r="35">
          <cell r="A35">
            <v>38751</v>
          </cell>
          <cell r="B35">
            <v>50.07</v>
          </cell>
        </row>
        <row r="36">
          <cell r="A36">
            <v>38754</v>
          </cell>
          <cell r="B36">
            <v>51.48</v>
          </cell>
        </row>
        <row r="37">
          <cell r="A37">
            <v>38755</v>
          </cell>
          <cell r="B37">
            <v>52.08</v>
          </cell>
        </row>
        <row r="38">
          <cell r="A38">
            <v>38756</v>
          </cell>
          <cell r="B38">
            <v>55.9</v>
          </cell>
        </row>
        <row r="39">
          <cell r="A39">
            <v>38757</v>
          </cell>
          <cell r="B39">
            <v>57.1</v>
          </cell>
        </row>
        <row r="40">
          <cell r="A40">
            <v>38758</v>
          </cell>
          <cell r="B40">
            <v>57.14</v>
          </cell>
        </row>
        <row r="41">
          <cell r="A41">
            <v>38761</v>
          </cell>
          <cell r="B41">
            <v>57.8</v>
          </cell>
        </row>
        <row r="42">
          <cell r="A42">
            <v>38762</v>
          </cell>
          <cell r="B42">
            <v>56.97</v>
          </cell>
        </row>
        <row r="43">
          <cell r="A43">
            <v>38763</v>
          </cell>
          <cell r="B43">
            <v>56.91</v>
          </cell>
        </row>
        <row r="44">
          <cell r="A44">
            <v>38764</v>
          </cell>
          <cell r="B44">
            <v>57.28</v>
          </cell>
        </row>
        <row r="45">
          <cell r="A45">
            <v>38765</v>
          </cell>
          <cell r="B45">
            <v>58.65</v>
          </cell>
        </row>
        <row r="46">
          <cell r="A46">
            <v>38768</v>
          </cell>
          <cell r="B46">
            <v>56.2</v>
          </cell>
        </row>
        <row r="47">
          <cell r="A47">
            <v>38769</v>
          </cell>
          <cell r="B47">
            <v>56.25</v>
          </cell>
        </row>
        <row r="48">
          <cell r="A48">
            <v>38770</v>
          </cell>
          <cell r="B48">
            <v>54.87</v>
          </cell>
        </row>
        <row r="49">
          <cell r="A49">
            <v>38771</v>
          </cell>
          <cell r="B49">
            <v>54.7</v>
          </cell>
        </row>
        <row r="50">
          <cell r="A50">
            <v>38772</v>
          </cell>
          <cell r="B50">
            <v>54.95</v>
          </cell>
        </row>
        <row r="51">
          <cell r="A51">
            <v>38775</v>
          </cell>
          <cell r="B51">
            <v>54.87</v>
          </cell>
        </row>
        <row r="52">
          <cell r="A52">
            <v>38776</v>
          </cell>
          <cell r="B52">
            <v>52.85</v>
          </cell>
        </row>
        <row r="53">
          <cell r="A53">
            <v>38777</v>
          </cell>
          <cell r="B53">
            <v>54.9</v>
          </cell>
        </row>
        <row r="54">
          <cell r="A54">
            <v>38778</v>
          </cell>
          <cell r="B54">
            <v>53.22</v>
          </cell>
        </row>
        <row r="55">
          <cell r="A55">
            <v>38779</v>
          </cell>
          <cell r="B55">
            <v>55.75</v>
          </cell>
        </row>
        <row r="56">
          <cell r="A56">
            <v>38782</v>
          </cell>
          <cell r="B56">
            <v>53.68</v>
          </cell>
        </row>
        <row r="57">
          <cell r="A57">
            <v>38783</v>
          </cell>
          <cell r="B57">
            <v>53.85</v>
          </cell>
        </row>
        <row r="58">
          <cell r="A58">
            <v>38784</v>
          </cell>
          <cell r="B58">
            <v>54.85</v>
          </cell>
        </row>
        <row r="59">
          <cell r="A59">
            <v>38785</v>
          </cell>
          <cell r="B59">
            <v>55.42</v>
          </cell>
        </row>
        <row r="60">
          <cell r="A60">
            <v>38786</v>
          </cell>
          <cell r="B60">
            <v>56.35</v>
          </cell>
        </row>
        <row r="61">
          <cell r="A61">
            <v>38789</v>
          </cell>
          <cell r="B61">
            <v>57.66</v>
          </cell>
        </row>
        <row r="62">
          <cell r="A62">
            <v>38790</v>
          </cell>
          <cell r="B62">
            <v>58.62</v>
          </cell>
        </row>
        <row r="63">
          <cell r="A63">
            <v>38791</v>
          </cell>
          <cell r="B63">
            <v>57.3</v>
          </cell>
        </row>
        <row r="64">
          <cell r="A64">
            <v>38792</v>
          </cell>
          <cell r="B64">
            <v>58.5</v>
          </cell>
        </row>
        <row r="65">
          <cell r="A65">
            <v>38793</v>
          </cell>
          <cell r="B65">
            <v>60.18</v>
          </cell>
        </row>
        <row r="66">
          <cell r="A66">
            <v>38796</v>
          </cell>
          <cell r="B66">
            <v>60.09</v>
          </cell>
        </row>
        <row r="67">
          <cell r="A67">
            <v>38797</v>
          </cell>
          <cell r="B67">
            <v>60</v>
          </cell>
        </row>
        <row r="68">
          <cell r="A68">
            <v>38798</v>
          </cell>
          <cell r="B68">
            <v>60.72</v>
          </cell>
        </row>
        <row r="69">
          <cell r="A69">
            <v>38799</v>
          </cell>
          <cell r="B69">
            <v>60.29</v>
          </cell>
        </row>
        <row r="70">
          <cell r="A70">
            <v>38800</v>
          </cell>
          <cell r="B70">
            <v>60.4</v>
          </cell>
        </row>
        <row r="71">
          <cell r="A71">
            <v>38803</v>
          </cell>
          <cell r="B71">
            <v>60.14</v>
          </cell>
        </row>
        <row r="72">
          <cell r="A72">
            <v>38804</v>
          </cell>
          <cell r="B72">
            <v>59.74</v>
          </cell>
        </row>
        <row r="73">
          <cell r="A73">
            <v>38805</v>
          </cell>
          <cell r="B73">
            <v>65.180000000000007</v>
          </cell>
        </row>
        <row r="74">
          <cell r="A74">
            <v>38806</v>
          </cell>
          <cell r="B74">
            <v>65.77</v>
          </cell>
        </row>
        <row r="75">
          <cell r="A75">
            <v>38807</v>
          </cell>
          <cell r="B75">
            <v>66.599999999999994</v>
          </cell>
        </row>
        <row r="76">
          <cell r="A76">
            <v>38810</v>
          </cell>
          <cell r="B76">
            <v>68.55</v>
          </cell>
        </row>
        <row r="77">
          <cell r="A77">
            <v>38811</v>
          </cell>
          <cell r="B77">
            <v>67.3</v>
          </cell>
        </row>
        <row r="78">
          <cell r="A78">
            <v>38812</v>
          </cell>
          <cell r="B78">
            <v>67.8</v>
          </cell>
        </row>
        <row r="79">
          <cell r="A79">
            <v>38813</v>
          </cell>
          <cell r="B79">
            <v>66.8</v>
          </cell>
        </row>
        <row r="80">
          <cell r="A80">
            <v>38814</v>
          </cell>
          <cell r="B80">
            <v>65.53</v>
          </cell>
        </row>
        <row r="81">
          <cell r="A81">
            <v>38817</v>
          </cell>
          <cell r="B81">
            <v>65.400000000000006</v>
          </cell>
        </row>
        <row r="82">
          <cell r="A82">
            <v>38818</v>
          </cell>
          <cell r="B82">
            <v>65.17</v>
          </cell>
        </row>
        <row r="83">
          <cell r="A83">
            <v>38819</v>
          </cell>
          <cell r="B83">
            <v>63.21</v>
          </cell>
        </row>
        <row r="84">
          <cell r="A84">
            <v>38820</v>
          </cell>
          <cell r="B84">
            <v>71.7</v>
          </cell>
        </row>
        <row r="85">
          <cell r="A85">
            <v>38821</v>
          </cell>
          <cell r="B85">
            <v>71.7</v>
          </cell>
        </row>
        <row r="86">
          <cell r="A86">
            <v>38824</v>
          </cell>
          <cell r="B86">
            <v>71.7</v>
          </cell>
        </row>
        <row r="87">
          <cell r="A87">
            <v>38825</v>
          </cell>
          <cell r="B87">
            <v>71.8</v>
          </cell>
        </row>
        <row r="88">
          <cell r="A88">
            <v>38826</v>
          </cell>
          <cell r="B88">
            <v>72</v>
          </cell>
        </row>
        <row r="89">
          <cell r="A89">
            <v>38827</v>
          </cell>
          <cell r="B89">
            <v>71.55</v>
          </cell>
        </row>
        <row r="90">
          <cell r="A90">
            <v>38828</v>
          </cell>
          <cell r="B90">
            <v>71.48</v>
          </cell>
        </row>
        <row r="91">
          <cell r="A91">
            <v>38831</v>
          </cell>
          <cell r="B91">
            <v>77.13</v>
          </cell>
        </row>
        <row r="92">
          <cell r="A92">
            <v>38832</v>
          </cell>
          <cell r="B92">
            <v>73.5</v>
          </cell>
        </row>
        <row r="93">
          <cell r="A93">
            <v>38833</v>
          </cell>
          <cell r="B93">
            <v>72</v>
          </cell>
        </row>
        <row r="94">
          <cell r="A94">
            <v>38834</v>
          </cell>
          <cell r="B94">
            <v>71.260000000000005</v>
          </cell>
        </row>
        <row r="95">
          <cell r="A95">
            <v>38835</v>
          </cell>
          <cell r="B95">
            <v>70.400000000000006</v>
          </cell>
        </row>
        <row r="96">
          <cell r="A96">
            <v>38838</v>
          </cell>
          <cell r="B96">
            <v>70.400000000000006</v>
          </cell>
        </row>
        <row r="97">
          <cell r="A97">
            <v>38839</v>
          </cell>
          <cell r="B97">
            <v>70.8</v>
          </cell>
        </row>
        <row r="98">
          <cell r="A98">
            <v>38840</v>
          </cell>
          <cell r="B98">
            <v>70.849999999999994</v>
          </cell>
        </row>
        <row r="99">
          <cell r="A99">
            <v>38841</v>
          </cell>
          <cell r="B99">
            <v>71</v>
          </cell>
        </row>
        <row r="100">
          <cell r="A100">
            <v>38842</v>
          </cell>
          <cell r="B100">
            <v>70.5</v>
          </cell>
        </row>
        <row r="101">
          <cell r="A101">
            <v>38845</v>
          </cell>
          <cell r="B101">
            <v>70.319999999999993</v>
          </cell>
        </row>
        <row r="102">
          <cell r="A102">
            <v>38846</v>
          </cell>
          <cell r="B102">
            <v>70.19</v>
          </cell>
        </row>
        <row r="103">
          <cell r="A103">
            <v>38847</v>
          </cell>
          <cell r="B103">
            <v>72.069999999999993</v>
          </cell>
        </row>
        <row r="104">
          <cell r="A104">
            <v>38848</v>
          </cell>
          <cell r="B104">
            <v>69.86</v>
          </cell>
        </row>
        <row r="105">
          <cell r="A105">
            <v>38849</v>
          </cell>
          <cell r="B105">
            <v>69.180000000000007</v>
          </cell>
        </row>
        <row r="106">
          <cell r="A106">
            <v>38852</v>
          </cell>
          <cell r="B106">
            <v>68.75</v>
          </cell>
        </row>
        <row r="107">
          <cell r="A107">
            <v>38853</v>
          </cell>
          <cell r="B107">
            <v>67.88</v>
          </cell>
        </row>
        <row r="108">
          <cell r="A108">
            <v>38854</v>
          </cell>
          <cell r="B108">
            <v>67.069999999999993</v>
          </cell>
        </row>
        <row r="109">
          <cell r="A109">
            <v>38855</v>
          </cell>
          <cell r="B109">
            <v>65.39</v>
          </cell>
        </row>
        <row r="110">
          <cell r="A110">
            <v>38856</v>
          </cell>
          <cell r="B110">
            <v>66.81</v>
          </cell>
        </row>
        <row r="111">
          <cell r="A111">
            <v>38859</v>
          </cell>
          <cell r="B111">
            <v>60</v>
          </cell>
        </row>
        <row r="112">
          <cell r="A112">
            <v>38860</v>
          </cell>
          <cell r="B112">
            <v>62.05</v>
          </cell>
        </row>
        <row r="113">
          <cell r="A113">
            <v>38861</v>
          </cell>
          <cell r="B113">
            <v>64.400000000000006</v>
          </cell>
        </row>
        <row r="114">
          <cell r="A114">
            <v>38862</v>
          </cell>
          <cell r="B114">
            <v>64.349999999999994</v>
          </cell>
        </row>
        <row r="115">
          <cell r="A115">
            <v>38863</v>
          </cell>
          <cell r="B115">
            <v>66.8</v>
          </cell>
        </row>
        <row r="116">
          <cell r="A116">
            <v>38866</v>
          </cell>
          <cell r="B116">
            <v>66.2</v>
          </cell>
        </row>
        <row r="117">
          <cell r="A117">
            <v>38867</v>
          </cell>
          <cell r="B117">
            <v>63.94</v>
          </cell>
        </row>
        <row r="118">
          <cell r="A118">
            <v>38868</v>
          </cell>
          <cell r="B118">
            <v>65</v>
          </cell>
        </row>
        <row r="119">
          <cell r="A119">
            <v>38869</v>
          </cell>
          <cell r="B119">
            <v>65.760000000000005</v>
          </cell>
        </row>
        <row r="120">
          <cell r="A120">
            <v>38870</v>
          </cell>
          <cell r="B120">
            <v>69.19</v>
          </cell>
        </row>
        <row r="121">
          <cell r="A121">
            <v>38873</v>
          </cell>
          <cell r="B121">
            <v>68.19</v>
          </cell>
        </row>
        <row r="122">
          <cell r="A122">
            <v>38874</v>
          </cell>
          <cell r="B122">
            <v>68.599999999999994</v>
          </cell>
        </row>
        <row r="123">
          <cell r="A123">
            <v>38875</v>
          </cell>
          <cell r="B123">
            <v>67.2</v>
          </cell>
        </row>
        <row r="124">
          <cell r="A124">
            <v>38876</v>
          </cell>
          <cell r="B124">
            <v>63.87</v>
          </cell>
        </row>
        <row r="125">
          <cell r="A125">
            <v>38877</v>
          </cell>
          <cell r="B125">
            <v>66.13</v>
          </cell>
        </row>
        <row r="126">
          <cell r="A126">
            <v>38880</v>
          </cell>
          <cell r="B126">
            <v>63.11</v>
          </cell>
        </row>
        <row r="127">
          <cell r="A127">
            <v>38881</v>
          </cell>
          <cell r="B127">
            <v>61.15</v>
          </cell>
        </row>
        <row r="128">
          <cell r="A128">
            <v>38882</v>
          </cell>
          <cell r="B128">
            <v>62.29</v>
          </cell>
        </row>
        <row r="129">
          <cell r="A129">
            <v>38883</v>
          </cell>
          <cell r="B129">
            <v>65.5</v>
          </cell>
        </row>
        <row r="130">
          <cell r="A130">
            <v>38884</v>
          </cell>
          <cell r="B130">
            <v>63.91</v>
          </cell>
        </row>
        <row r="131">
          <cell r="A131">
            <v>38887</v>
          </cell>
          <cell r="B131">
            <v>65.55</v>
          </cell>
        </row>
        <row r="132">
          <cell r="A132">
            <v>38888</v>
          </cell>
          <cell r="B132">
            <v>66.400000000000006</v>
          </cell>
        </row>
        <row r="133">
          <cell r="A133">
            <v>38889</v>
          </cell>
          <cell r="B133">
            <v>66.13</v>
          </cell>
        </row>
        <row r="134">
          <cell r="A134">
            <v>38890</v>
          </cell>
          <cell r="B134">
            <v>66.349999999999994</v>
          </cell>
        </row>
        <row r="135">
          <cell r="A135">
            <v>38891</v>
          </cell>
          <cell r="B135">
            <v>67.34</v>
          </cell>
        </row>
        <row r="136">
          <cell r="A136">
            <v>38894</v>
          </cell>
          <cell r="B136">
            <v>69.239999999999995</v>
          </cell>
        </row>
        <row r="137">
          <cell r="A137">
            <v>38895</v>
          </cell>
          <cell r="B137">
            <v>67.150000000000006</v>
          </cell>
        </row>
        <row r="138">
          <cell r="A138">
            <v>38896</v>
          </cell>
          <cell r="B138">
            <v>68.03</v>
          </cell>
        </row>
        <row r="139">
          <cell r="A139">
            <v>38897</v>
          </cell>
          <cell r="B139">
            <v>68.930000000000007</v>
          </cell>
        </row>
        <row r="140">
          <cell r="A140">
            <v>38898</v>
          </cell>
          <cell r="B140">
            <v>70.12</v>
          </cell>
        </row>
        <row r="141">
          <cell r="A141">
            <v>38901</v>
          </cell>
          <cell r="B141">
            <v>70.2</v>
          </cell>
        </row>
        <row r="142">
          <cell r="A142">
            <v>38902</v>
          </cell>
          <cell r="B142">
            <v>73.010000000000005</v>
          </cell>
        </row>
        <row r="143">
          <cell r="A143">
            <v>38903</v>
          </cell>
          <cell r="B143">
            <v>75.599999999999994</v>
          </cell>
        </row>
        <row r="144">
          <cell r="A144">
            <v>38904</v>
          </cell>
          <cell r="B144">
            <v>78.319999999999993</v>
          </cell>
        </row>
        <row r="145">
          <cell r="A145">
            <v>38905</v>
          </cell>
          <cell r="B145">
            <v>79.349999999999994</v>
          </cell>
        </row>
        <row r="146">
          <cell r="A146">
            <v>38908</v>
          </cell>
          <cell r="B146">
            <v>79.3</v>
          </cell>
        </row>
        <row r="147">
          <cell r="A147">
            <v>38909</v>
          </cell>
          <cell r="B147">
            <v>80.930000000000007</v>
          </cell>
        </row>
        <row r="148">
          <cell r="A148">
            <v>38910</v>
          </cell>
          <cell r="B148">
            <v>81.680000000000007</v>
          </cell>
        </row>
        <row r="149">
          <cell r="A149">
            <v>38911</v>
          </cell>
          <cell r="B149">
            <v>80.41</v>
          </cell>
        </row>
        <row r="150">
          <cell r="A150">
            <v>38912</v>
          </cell>
          <cell r="B150">
            <v>76.849999999999994</v>
          </cell>
        </row>
        <row r="151">
          <cell r="A151">
            <v>38915</v>
          </cell>
          <cell r="B151">
            <v>78.7</v>
          </cell>
        </row>
        <row r="152">
          <cell r="A152">
            <v>38916</v>
          </cell>
          <cell r="B152">
            <v>77.5</v>
          </cell>
        </row>
        <row r="153">
          <cell r="A153">
            <v>38917</v>
          </cell>
          <cell r="B153">
            <v>76.7</v>
          </cell>
        </row>
        <row r="154">
          <cell r="A154">
            <v>38918</v>
          </cell>
          <cell r="B154">
            <v>76.87</v>
          </cell>
        </row>
        <row r="155">
          <cell r="A155">
            <v>38919</v>
          </cell>
          <cell r="B155">
            <v>74.81</v>
          </cell>
        </row>
        <row r="156">
          <cell r="A156">
            <v>38922</v>
          </cell>
          <cell r="B156">
            <v>71.349999999999994</v>
          </cell>
        </row>
        <row r="157">
          <cell r="A157">
            <v>38923</v>
          </cell>
          <cell r="B157">
            <v>71.09</v>
          </cell>
        </row>
        <row r="158">
          <cell r="A158">
            <v>38924</v>
          </cell>
        </row>
        <row r="159">
          <cell r="A159">
            <v>38925</v>
          </cell>
        </row>
        <row r="160">
          <cell r="A160">
            <v>38926</v>
          </cell>
        </row>
        <row r="161">
          <cell r="A161">
            <v>38927</v>
          </cell>
        </row>
        <row r="162">
          <cell r="A162">
            <v>38928</v>
          </cell>
        </row>
        <row r="163">
          <cell r="A163">
            <v>38929</v>
          </cell>
        </row>
        <row r="164">
          <cell r="A164">
            <v>38930</v>
          </cell>
        </row>
        <row r="165">
          <cell r="A165">
            <v>38931</v>
          </cell>
        </row>
        <row r="166">
          <cell r="A166">
            <v>38932</v>
          </cell>
        </row>
        <row r="167">
          <cell r="A167">
            <v>38933</v>
          </cell>
        </row>
        <row r="168">
          <cell r="A168">
            <v>38934</v>
          </cell>
        </row>
        <row r="169">
          <cell r="A169">
            <v>38935</v>
          </cell>
        </row>
        <row r="170">
          <cell r="A170">
            <v>38936</v>
          </cell>
        </row>
        <row r="171">
          <cell r="A171">
            <v>38937</v>
          </cell>
        </row>
        <row r="172">
          <cell r="A172">
            <v>38938</v>
          </cell>
        </row>
        <row r="173">
          <cell r="A173">
            <v>38939</v>
          </cell>
        </row>
        <row r="174">
          <cell r="A174">
            <v>38940</v>
          </cell>
        </row>
        <row r="175">
          <cell r="A175">
            <v>38941</v>
          </cell>
        </row>
        <row r="176">
          <cell r="A176">
            <v>38942</v>
          </cell>
        </row>
        <row r="177">
          <cell r="A177">
            <v>38943</v>
          </cell>
        </row>
        <row r="178">
          <cell r="A178">
            <v>38944</v>
          </cell>
        </row>
        <row r="179">
          <cell r="A179">
            <v>38945</v>
          </cell>
        </row>
        <row r="180">
          <cell r="A180">
            <v>38946</v>
          </cell>
        </row>
        <row r="181">
          <cell r="A181">
            <v>38947</v>
          </cell>
        </row>
        <row r="182">
          <cell r="A182">
            <v>38948</v>
          </cell>
        </row>
        <row r="183">
          <cell r="A183">
            <v>38949</v>
          </cell>
        </row>
        <row r="184">
          <cell r="A184">
            <v>38950</v>
          </cell>
        </row>
        <row r="185">
          <cell r="A185">
            <v>38951</v>
          </cell>
        </row>
        <row r="186">
          <cell r="A186">
            <v>38952</v>
          </cell>
        </row>
        <row r="187">
          <cell r="A187">
            <v>38953</v>
          </cell>
        </row>
        <row r="188">
          <cell r="A188">
            <v>38954</v>
          </cell>
        </row>
        <row r="189">
          <cell r="A189">
            <v>38955</v>
          </cell>
        </row>
        <row r="190">
          <cell r="A190">
            <v>38956</v>
          </cell>
        </row>
        <row r="191">
          <cell r="A191">
            <v>38957</v>
          </cell>
        </row>
        <row r="192">
          <cell r="A192">
            <v>38958</v>
          </cell>
        </row>
        <row r="193">
          <cell r="A193">
            <v>38959</v>
          </cell>
        </row>
        <row r="194">
          <cell r="A194">
            <v>38960</v>
          </cell>
        </row>
        <row r="195">
          <cell r="A195">
            <v>38961</v>
          </cell>
        </row>
        <row r="196">
          <cell r="A196">
            <v>38962</v>
          </cell>
        </row>
        <row r="197">
          <cell r="A197">
            <v>38963</v>
          </cell>
        </row>
        <row r="198">
          <cell r="A198">
            <v>38964</v>
          </cell>
        </row>
        <row r="199">
          <cell r="A199">
            <v>38965</v>
          </cell>
        </row>
        <row r="200">
          <cell r="A200">
            <v>38966</v>
          </cell>
        </row>
        <row r="201">
          <cell r="A201">
            <v>38967</v>
          </cell>
        </row>
        <row r="202">
          <cell r="A202">
            <v>38968</v>
          </cell>
        </row>
        <row r="203">
          <cell r="A203">
            <v>38969</v>
          </cell>
        </row>
        <row r="204">
          <cell r="A204">
            <v>38970</v>
          </cell>
        </row>
        <row r="205">
          <cell r="A205">
            <v>38971</v>
          </cell>
        </row>
        <row r="206">
          <cell r="A206">
            <v>38972</v>
          </cell>
        </row>
        <row r="207">
          <cell r="A207">
            <v>38973</v>
          </cell>
        </row>
        <row r="208">
          <cell r="A208">
            <v>38974</v>
          </cell>
        </row>
        <row r="209">
          <cell r="A209">
            <v>38975</v>
          </cell>
        </row>
        <row r="210">
          <cell r="A210">
            <v>38976</v>
          </cell>
        </row>
        <row r="211">
          <cell r="A211">
            <v>38977</v>
          </cell>
        </row>
        <row r="212">
          <cell r="A212">
            <v>38978</v>
          </cell>
        </row>
        <row r="213">
          <cell r="A213">
            <v>38979</v>
          </cell>
        </row>
        <row r="214">
          <cell r="A214">
            <v>38980</v>
          </cell>
        </row>
        <row r="215">
          <cell r="A215">
            <v>38981</v>
          </cell>
        </row>
        <row r="216">
          <cell r="A216">
            <v>38982</v>
          </cell>
        </row>
        <row r="217">
          <cell r="A217">
            <v>38983</v>
          </cell>
        </row>
        <row r="218">
          <cell r="A218">
            <v>38984</v>
          </cell>
        </row>
        <row r="219">
          <cell r="A219">
            <v>38985</v>
          </cell>
        </row>
        <row r="220">
          <cell r="A220">
            <v>38986</v>
          </cell>
        </row>
        <row r="221">
          <cell r="A221">
            <v>38987</v>
          </cell>
        </row>
        <row r="222">
          <cell r="A222">
            <v>38988</v>
          </cell>
        </row>
        <row r="223">
          <cell r="A223">
            <v>38989</v>
          </cell>
        </row>
        <row r="224">
          <cell r="A224">
            <v>38990</v>
          </cell>
        </row>
        <row r="225">
          <cell r="A225">
            <v>38991</v>
          </cell>
        </row>
        <row r="226">
          <cell r="A226">
            <v>38992</v>
          </cell>
        </row>
        <row r="227">
          <cell r="A227">
            <v>38993</v>
          </cell>
        </row>
        <row r="228">
          <cell r="A228">
            <v>38994</v>
          </cell>
        </row>
        <row r="229">
          <cell r="A229">
            <v>38995</v>
          </cell>
        </row>
        <row r="230">
          <cell r="A230">
            <v>38996</v>
          </cell>
        </row>
        <row r="231">
          <cell r="A231">
            <v>38997</v>
          </cell>
        </row>
        <row r="232">
          <cell r="A232">
            <v>38998</v>
          </cell>
        </row>
        <row r="233">
          <cell r="A233">
            <v>38999</v>
          </cell>
        </row>
        <row r="234">
          <cell r="A234">
            <v>39000</v>
          </cell>
        </row>
        <row r="235">
          <cell r="A235">
            <v>39001</v>
          </cell>
        </row>
        <row r="236">
          <cell r="A236">
            <v>39002</v>
          </cell>
        </row>
        <row r="237">
          <cell r="A237">
            <v>39003</v>
          </cell>
        </row>
        <row r="238">
          <cell r="A238">
            <v>39004</v>
          </cell>
        </row>
        <row r="239">
          <cell r="A239">
            <v>39005</v>
          </cell>
        </row>
        <row r="240">
          <cell r="A240">
            <v>39006</v>
          </cell>
        </row>
        <row r="241">
          <cell r="A241">
            <v>39007</v>
          </cell>
        </row>
        <row r="242">
          <cell r="A242">
            <v>39008</v>
          </cell>
        </row>
        <row r="243">
          <cell r="A243">
            <v>39009</v>
          </cell>
        </row>
        <row r="244">
          <cell r="A244">
            <v>39010</v>
          </cell>
        </row>
        <row r="245">
          <cell r="A245">
            <v>39011</v>
          </cell>
        </row>
        <row r="246">
          <cell r="A246">
            <v>39012</v>
          </cell>
        </row>
        <row r="247">
          <cell r="A247">
            <v>39013</v>
          </cell>
        </row>
        <row r="248">
          <cell r="A248">
            <v>39014</v>
          </cell>
        </row>
        <row r="249">
          <cell r="A249">
            <v>39015</v>
          </cell>
        </row>
        <row r="250">
          <cell r="A250">
            <v>39016</v>
          </cell>
        </row>
        <row r="251">
          <cell r="A251">
            <v>39017</v>
          </cell>
        </row>
        <row r="252">
          <cell r="A252">
            <v>39018</v>
          </cell>
        </row>
        <row r="253">
          <cell r="A253">
            <v>39019</v>
          </cell>
        </row>
        <row r="254">
          <cell r="A254">
            <v>39020</v>
          </cell>
        </row>
        <row r="255">
          <cell r="A255">
            <v>39021</v>
          </cell>
        </row>
        <row r="256">
          <cell r="A256">
            <v>39022</v>
          </cell>
        </row>
        <row r="257">
          <cell r="A257">
            <v>39023</v>
          </cell>
        </row>
        <row r="258">
          <cell r="A258">
            <v>39024</v>
          </cell>
        </row>
        <row r="259">
          <cell r="A259">
            <v>39025</v>
          </cell>
        </row>
        <row r="260">
          <cell r="A260">
            <v>39026</v>
          </cell>
        </row>
        <row r="261">
          <cell r="A261">
            <v>39027</v>
          </cell>
        </row>
        <row r="262">
          <cell r="A262">
            <v>39028</v>
          </cell>
        </row>
        <row r="263">
          <cell r="A263">
            <v>39029</v>
          </cell>
        </row>
        <row r="264">
          <cell r="A264">
            <v>39030</v>
          </cell>
        </row>
        <row r="265">
          <cell r="A265">
            <v>39031</v>
          </cell>
        </row>
        <row r="266">
          <cell r="A266">
            <v>39032</v>
          </cell>
        </row>
        <row r="267">
          <cell r="A267">
            <v>39033</v>
          </cell>
        </row>
        <row r="268">
          <cell r="A268">
            <v>39034</v>
          </cell>
        </row>
        <row r="269">
          <cell r="A269">
            <v>39035</v>
          </cell>
        </row>
        <row r="270">
          <cell r="A270">
            <v>39036</v>
          </cell>
        </row>
        <row r="271">
          <cell r="A271">
            <v>39037</v>
          </cell>
        </row>
        <row r="272">
          <cell r="A272">
            <v>39038</v>
          </cell>
        </row>
        <row r="273">
          <cell r="A273">
            <v>39039</v>
          </cell>
        </row>
        <row r="274">
          <cell r="A274">
            <v>39040</v>
          </cell>
        </row>
        <row r="275">
          <cell r="A275">
            <v>39041</v>
          </cell>
        </row>
        <row r="276">
          <cell r="A276">
            <v>39042</v>
          </cell>
        </row>
        <row r="277">
          <cell r="A277">
            <v>39043</v>
          </cell>
        </row>
        <row r="278">
          <cell r="A278">
            <v>39044</v>
          </cell>
        </row>
        <row r="279">
          <cell r="A279">
            <v>39045</v>
          </cell>
        </row>
        <row r="280">
          <cell r="A280">
            <v>39046</v>
          </cell>
        </row>
        <row r="281">
          <cell r="A281">
            <v>39047</v>
          </cell>
        </row>
        <row r="282">
          <cell r="A282">
            <v>39048</v>
          </cell>
        </row>
        <row r="283">
          <cell r="A283">
            <v>39049</v>
          </cell>
        </row>
        <row r="284">
          <cell r="A284">
            <v>39050</v>
          </cell>
        </row>
        <row r="285">
          <cell r="A285">
            <v>39051</v>
          </cell>
        </row>
        <row r="286">
          <cell r="A286">
            <v>39052</v>
          </cell>
        </row>
        <row r="287">
          <cell r="A287">
            <v>39053</v>
          </cell>
        </row>
        <row r="288">
          <cell r="A288">
            <v>39054</v>
          </cell>
        </row>
        <row r="289">
          <cell r="A289">
            <v>39055</v>
          </cell>
        </row>
        <row r="290">
          <cell r="A290">
            <v>39056</v>
          </cell>
        </row>
        <row r="291">
          <cell r="A291">
            <v>39057</v>
          </cell>
        </row>
        <row r="292">
          <cell r="A292">
            <v>39058</v>
          </cell>
        </row>
        <row r="293">
          <cell r="A293">
            <v>39059</v>
          </cell>
        </row>
        <row r="294">
          <cell r="A294">
            <v>39060</v>
          </cell>
        </row>
        <row r="295">
          <cell r="A295">
            <v>39061</v>
          </cell>
        </row>
        <row r="296">
          <cell r="A296">
            <v>39062</v>
          </cell>
        </row>
        <row r="297">
          <cell r="A297">
            <v>39063</v>
          </cell>
        </row>
        <row r="298">
          <cell r="A298">
            <v>39064</v>
          </cell>
        </row>
        <row r="299">
          <cell r="A299">
            <v>39065</v>
          </cell>
        </row>
        <row r="300">
          <cell r="A300">
            <v>39066</v>
          </cell>
        </row>
        <row r="301">
          <cell r="A301">
            <v>39067</v>
          </cell>
        </row>
        <row r="302">
          <cell r="A302">
            <v>39068</v>
          </cell>
        </row>
        <row r="303">
          <cell r="A303">
            <v>39069</v>
          </cell>
        </row>
        <row r="304">
          <cell r="A304">
            <v>39070</v>
          </cell>
        </row>
        <row r="305">
          <cell r="A305">
            <v>39071</v>
          </cell>
        </row>
        <row r="306">
          <cell r="A306">
            <v>39072</v>
          </cell>
        </row>
      </sheetData>
      <sheetData sheetId="5" refreshError="1"/>
      <sheetData sheetId="6" refreshError="1"/>
      <sheetData sheetId="7" refreshError="1"/>
      <sheetData sheetId="8" refreshError="1">
        <row r="1">
          <cell r="A1" t="str">
            <v>Schwarz Pharma</v>
          </cell>
        </row>
        <row r="2">
          <cell r="A2" t="str">
            <v>Fesoterodine sales model</v>
          </cell>
        </row>
        <row r="3">
          <cell r="A3" t="str">
            <v>€ mlns</v>
          </cell>
          <cell r="B3" t="str">
            <v>2002A</v>
          </cell>
          <cell r="C3" t="str">
            <v>Q103A</v>
          </cell>
          <cell r="D3" t="str">
            <v>Q203A</v>
          </cell>
          <cell r="E3" t="str">
            <v>H103A</v>
          </cell>
          <cell r="F3" t="str">
            <v>Q303A</v>
          </cell>
          <cell r="G3" t="str">
            <v>9/1203A</v>
          </cell>
          <cell r="H3" t="str">
            <v>Q403A</v>
          </cell>
          <cell r="I3" t="str">
            <v>2003A</v>
          </cell>
          <cell r="J3" t="str">
            <v>Q104A</v>
          </cell>
          <cell r="K3" t="str">
            <v>Q204A</v>
          </cell>
          <cell r="L3" t="str">
            <v>H104A</v>
          </cell>
          <cell r="M3" t="str">
            <v>Q304A</v>
          </cell>
          <cell r="N3" t="str">
            <v>9/1204A</v>
          </cell>
          <cell r="O3" t="str">
            <v>Q404A</v>
          </cell>
          <cell r="P3" t="str">
            <v>2004A</v>
          </cell>
          <cell r="Q3" t="str">
            <v>Q105A</v>
          </cell>
          <cell r="R3" t="str">
            <v>Q205A</v>
          </cell>
          <cell r="S3" t="str">
            <v>H105A</v>
          </cell>
          <cell r="T3" t="str">
            <v>Q305A</v>
          </cell>
          <cell r="U3" t="str">
            <v>9/1205A</v>
          </cell>
          <cell r="V3" t="str">
            <v>Q405A</v>
          </cell>
          <cell r="W3" t="str">
            <v>2005A</v>
          </cell>
          <cell r="X3" t="str">
            <v>Q106A</v>
          </cell>
          <cell r="Y3" t="str">
            <v>Q206A</v>
          </cell>
          <cell r="Z3" t="str">
            <v>H106A</v>
          </cell>
          <cell r="AA3" t="str">
            <v>Q306E</v>
          </cell>
          <cell r="AB3" t="str">
            <v>9/1206E</v>
          </cell>
          <cell r="AC3" t="str">
            <v>Q406E</v>
          </cell>
          <cell r="AD3" t="str">
            <v>2006E</v>
          </cell>
          <cell r="AE3" t="str">
            <v>2007E</v>
          </cell>
          <cell r="AF3" t="str">
            <v>2008E</v>
          </cell>
          <cell r="AG3" t="str">
            <v>2009E</v>
          </cell>
          <cell r="AH3" t="str">
            <v>2010E</v>
          </cell>
          <cell r="AI3" t="str">
            <v>2011E</v>
          </cell>
          <cell r="AJ3" t="str">
            <v>2012E</v>
          </cell>
        </row>
        <row r="5">
          <cell r="A5" t="str">
            <v>Detrol ($)</v>
          </cell>
        </row>
        <row r="6">
          <cell r="A6" t="str">
            <v>US sales</v>
          </cell>
          <cell r="B6">
            <v>0</v>
          </cell>
          <cell r="C6">
            <v>0</v>
          </cell>
          <cell r="D6">
            <v>77</v>
          </cell>
          <cell r="E6">
            <v>77</v>
          </cell>
          <cell r="F6">
            <v>160</v>
          </cell>
          <cell r="G6">
            <v>237</v>
          </cell>
          <cell r="H6">
            <v>176</v>
          </cell>
          <cell r="I6">
            <v>413</v>
          </cell>
          <cell r="J6">
            <v>145</v>
          </cell>
          <cell r="K6">
            <v>115</v>
          </cell>
          <cell r="L6">
            <v>260</v>
          </cell>
          <cell r="M6">
            <v>166</v>
          </cell>
          <cell r="N6">
            <v>426</v>
          </cell>
          <cell r="O6">
            <v>207</v>
          </cell>
          <cell r="P6">
            <v>633</v>
          </cell>
          <cell r="Q6">
            <v>180</v>
          </cell>
          <cell r="R6">
            <v>142</v>
          </cell>
          <cell r="S6">
            <v>322</v>
          </cell>
          <cell r="T6">
            <v>160</v>
          </cell>
          <cell r="U6">
            <v>482</v>
          </cell>
          <cell r="V6">
            <v>193</v>
          </cell>
          <cell r="W6">
            <v>675</v>
          </cell>
          <cell r="X6">
            <v>185</v>
          </cell>
          <cell r="Y6">
            <v>138</v>
          </cell>
          <cell r="Z6">
            <v>323</v>
          </cell>
          <cell r="AA6">
            <v>165</v>
          </cell>
          <cell r="AB6">
            <v>488</v>
          </cell>
          <cell r="AC6">
            <v>208</v>
          </cell>
          <cell r="AD6">
            <v>696</v>
          </cell>
          <cell r="AE6">
            <v>716</v>
          </cell>
          <cell r="AF6">
            <v>680</v>
          </cell>
          <cell r="AG6">
            <v>668.97260273972609</v>
          </cell>
          <cell r="AH6">
            <v>659.94184977475413</v>
          </cell>
          <cell r="AI6">
            <v>653.6406867702492</v>
          </cell>
          <cell r="AJ6">
            <v>643.31350050565425</v>
          </cell>
          <cell r="AK6" t="str">
            <v>Pfizer model</v>
          </cell>
        </row>
        <row r="7">
          <cell r="A7" t="str">
            <v xml:space="preserve">  % Growth</v>
          </cell>
          <cell r="J7" t="e">
            <v>#DIV/0!</v>
          </cell>
          <cell r="K7">
            <v>0.4935064935064935</v>
          </cell>
          <cell r="L7">
            <v>2.3766233766233764</v>
          </cell>
          <cell r="M7">
            <v>3.7499999999999999E-2</v>
          </cell>
          <cell r="N7">
            <v>0.79746835443037978</v>
          </cell>
          <cell r="O7">
            <v>0.17613636363636365</v>
          </cell>
          <cell r="P7">
            <v>0.53268765133171914</v>
          </cell>
          <cell r="Q7">
            <v>0.2413793103448276</v>
          </cell>
          <cell r="R7">
            <v>0.23478260869565218</v>
          </cell>
          <cell r="S7">
            <v>0.23846153846153847</v>
          </cell>
          <cell r="T7">
            <v>-3.614457831325301E-2</v>
          </cell>
          <cell r="U7">
            <v>0.13145539906103287</v>
          </cell>
          <cell r="V7">
            <v>-6.7632850241545889E-2</v>
          </cell>
          <cell r="W7">
            <v>6.6350710900473939E-2</v>
          </cell>
          <cell r="X7">
            <v>2.7777777777777776E-2</v>
          </cell>
          <cell r="Y7">
            <v>-2.8169014084507043E-2</v>
          </cell>
          <cell r="Z7">
            <v>3.105590062111801E-3</v>
          </cell>
          <cell r="AA7">
            <v>3.125E-2</v>
          </cell>
          <cell r="AB7">
            <v>1.2448132780082987E-2</v>
          </cell>
          <cell r="AC7">
            <v>7.7720207253886009E-2</v>
          </cell>
          <cell r="AD7">
            <v>3.111111111111111E-2</v>
          </cell>
          <cell r="AE7">
            <v>2.8735632183908046E-2</v>
          </cell>
          <cell r="AF7">
            <v>1.9553072625698324E-2</v>
          </cell>
          <cell r="AG7">
            <v>2.0547945205479451E-2</v>
          </cell>
          <cell r="AH7">
            <v>2.0134228187919462E-2</v>
          </cell>
          <cell r="AI7">
            <v>0.02</v>
          </cell>
          <cell r="AJ7">
            <v>0.02</v>
          </cell>
        </row>
        <row r="8">
          <cell r="A8" t="str">
            <v>ROW sales</v>
          </cell>
          <cell r="B8">
            <v>0</v>
          </cell>
          <cell r="C8">
            <v>0</v>
          </cell>
          <cell r="D8">
            <v>21</v>
          </cell>
          <cell r="E8">
            <v>21</v>
          </cell>
          <cell r="F8">
            <v>51</v>
          </cell>
          <cell r="G8">
            <v>72</v>
          </cell>
          <cell r="H8">
            <v>58</v>
          </cell>
          <cell r="I8">
            <v>130</v>
          </cell>
          <cell r="J8">
            <v>61</v>
          </cell>
          <cell r="K8">
            <v>67</v>
          </cell>
          <cell r="L8">
            <v>128</v>
          </cell>
          <cell r="M8">
            <v>65</v>
          </cell>
          <cell r="N8">
            <v>193</v>
          </cell>
          <cell r="O8">
            <v>78</v>
          </cell>
          <cell r="P8">
            <v>271</v>
          </cell>
          <cell r="Q8">
            <v>72</v>
          </cell>
          <cell r="R8">
            <v>80</v>
          </cell>
          <cell r="S8">
            <v>152</v>
          </cell>
          <cell r="T8">
            <v>71</v>
          </cell>
          <cell r="U8">
            <v>223</v>
          </cell>
          <cell r="V8">
            <v>90</v>
          </cell>
          <cell r="W8">
            <v>313</v>
          </cell>
          <cell r="X8">
            <v>75</v>
          </cell>
          <cell r="Y8">
            <v>86</v>
          </cell>
          <cell r="Z8">
            <v>161</v>
          </cell>
          <cell r="AA8">
            <v>75</v>
          </cell>
          <cell r="AB8">
            <v>236</v>
          </cell>
          <cell r="AC8">
            <v>94</v>
          </cell>
          <cell r="AD8">
            <v>330</v>
          </cell>
          <cell r="AE8">
            <v>339</v>
          </cell>
          <cell r="AF8">
            <v>299</v>
          </cell>
          <cell r="AG8">
            <v>282.56733524355298</v>
          </cell>
          <cell r="AH8">
            <v>268.72538729836936</v>
          </cell>
          <cell r="AI8">
            <v>257.28714891732045</v>
          </cell>
          <cell r="AJ8">
            <v>247.45576338484008</v>
          </cell>
          <cell r="AK8" t="str">
            <v>Pfizer model</v>
          </cell>
        </row>
        <row r="9">
          <cell r="A9" t="str">
            <v xml:space="preserve">  % Growth</v>
          </cell>
          <cell r="J9" t="e">
            <v>#DIV/0!</v>
          </cell>
          <cell r="K9">
            <v>2.1904761904761907</v>
          </cell>
          <cell r="L9">
            <v>5.0952380952380949</v>
          </cell>
          <cell r="M9">
            <v>0.27450980392156865</v>
          </cell>
          <cell r="N9">
            <v>1.6805555555555556</v>
          </cell>
          <cell r="O9">
            <v>0.34482758620689657</v>
          </cell>
          <cell r="P9">
            <v>1.0846153846153845</v>
          </cell>
          <cell r="Q9">
            <v>0.18032786885245902</v>
          </cell>
          <cell r="R9">
            <v>0.19402985074626866</v>
          </cell>
          <cell r="S9">
            <v>0.1875</v>
          </cell>
          <cell r="T9">
            <v>9.2307692307692313E-2</v>
          </cell>
          <cell r="U9">
            <v>0.15544041450777202</v>
          </cell>
          <cell r="V9">
            <v>0.15384615384615385</v>
          </cell>
          <cell r="W9">
            <v>0.15498154981549817</v>
          </cell>
          <cell r="X9">
            <v>4.1666666666666664E-2</v>
          </cell>
          <cell r="Y9">
            <v>7.4999999999999997E-2</v>
          </cell>
          <cell r="Z9">
            <v>5.921052631578947E-2</v>
          </cell>
          <cell r="AA9">
            <v>5.6338028169014086E-2</v>
          </cell>
          <cell r="AB9">
            <v>5.829596412556054E-2</v>
          </cell>
          <cell r="AC9">
            <v>4.4444444444444446E-2</v>
          </cell>
          <cell r="AD9">
            <v>5.4313099041533544E-2</v>
          </cell>
          <cell r="AE9">
            <v>2.7272727272727271E-2</v>
          </cell>
          <cell r="AF9">
            <v>2.9498525073746312E-2</v>
          </cell>
          <cell r="AG9">
            <v>2.865329512893983E-2</v>
          </cell>
          <cell r="AH9">
            <v>3.0640668523676879E-2</v>
          </cell>
          <cell r="AI9">
            <v>0.03</v>
          </cell>
          <cell r="AJ9">
            <v>0.03</v>
          </cell>
        </row>
        <row r="10">
          <cell r="A10" t="str">
            <v>Total</v>
          </cell>
          <cell r="B10">
            <v>0</v>
          </cell>
          <cell r="C10">
            <v>0</v>
          </cell>
          <cell r="D10">
            <v>98</v>
          </cell>
          <cell r="E10">
            <v>98</v>
          </cell>
          <cell r="F10">
            <v>211</v>
          </cell>
          <cell r="G10">
            <v>309</v>
          </cell>
          <cell r="H10">
            <v>234</v>
          </cell>
          <cell r="I10">
            <v>543</v>
          </cell>
          <cell r="J10">
            <v>206</v>
          </cell>
          <cell r="K10">
            <v>182</v>
          </cell>
          <cell r="L10">
            <v>388</v>
          </cell>
          <cell r="M10">
            <v>231</v>
          </cell>
          <cell r="N10">
            <v>619</v>
          </cell>
          <cell r="O10">
            <v>285</v>
          </cell>
          <cell r="P10">
            <v>904</v>
          </cell>
          <cell r="Q10">
            <v>252</v>
          </cell>
          <cell r="R10">
            <v>222</v>
          </cell>
          <cell r="S10">
            <v>474</v>
          </cell>
          <cell r="T10">
            <v>231</v>
          </cell>
          <cell r="U10">
            <v>705</v>
          </cell>
          <cell r="V10">
            <v>283</v>
          </cell>
          <cell r="W10">
            <v>988</v>
          </cell>
          <cell r="X10">
            <v>260</v>
          </cell>
          <cell r="Y10">
            <v>224</v>
          </cell>
          <cell r="Z10">
            <v>484</v>
          </cell>
          <cell r="AA10">
            <v>240</v>
          </cell>
          <cell r="AB10">
            <v>724</v>
          </cell>
          <cell r="AC10">
            <v>302</v>
          </cell>
          <cell r="AD10">
            <v>1026</v>
          </cell>
          <cell r="AE10">
            <v>1055</v>
          </cell>
          <cell r="AF10">
            <v>979</v>
          </cell>
          <cell r="AG10">
            <v>951.53993798327906</v>
          </cell>
          <cell r="AH10">
            <v>928.66723707312349</v>
          </cell>
          <cell r="AI10">
            <v>910.92783568756965</v>
          </cell>
          <cell r="AJ10">
            <v>890.76926389049436</v>
          </cell>
        </row>
        <row r="11">
          <cell r="A11" t="str">
            <v xml:space="preserve">  % Growth</v>
          </cell>
          <cell r="J11" t="e">
            <v>#DIV/0!</v>
          </cell>
          <cell r="K11">
            <v>0.8571428571428571</v>
          </cell>
          <cell r="L11">
            <v>2.9591836734693877</v>
          </cell>
          <cell r="M11">
            <v>9.4786729857819899E-2</v>
          </cell>
          <cell r="N11">
            <v>1.0032362459546926</v>
          </cell>
          <cell r="O11">
            <v>0.21794871794871795</v>
          </cell>
          <cell r="P11">
            <v>0.66482504604051562</v>
          </cell>
          <cell r="Q11">
            <v>0.22330097087378642</v>
          </cell>
          <cell r="R11">
            <v>0.21978021978021978</v>
          </cell>
          <cell r="S11">
            <v>0.22164948453608246</v>
          </cell>
          <cell r="T11">
            <v>0</v>
          </cell>
          <cell r="U11">
            <v>0.13893376413570274</v>
          </cell>
          <cell r="V11">
            <v>-7.0175438596491229E-3</v>
          </cell>
          <cell r="W11">
            <v>9.2920353982300891E-2</v>
          </cell>
          <cell r="X11">
            <v>3.1746031746031744E-2</v>
          </cell>
          <cell r="Y11">
            <v>9.0090090090090089E-3</v>
          </cell>
          <cell r="Z11">
            <v>2.1097046413502109E-2</v>
          </cell>
          <cell r="AA11">
            <v>3.896103896103896E-2</v>
          </cell>
          <cell r="AB11">
            <v>2.6950354609929079E-2</v>
          </cell>
          <cell r="AC11">
            <v>6.7137809187279157E-2</v>
          </cell>
          <cell r="AD11">
            <v>3.8461538461538464E-2</v>
          </cell>
          <cell r="AE11">
            <v>2.8265107212475632E-2</v>
          </cell>
          <cell r="AF11">
            <v>-7.2037914691943122E-2</v>
          </cell>
          <cell r="AG11">
            <v>-2.8049092969071439E-2</v>
          </cell>
          <cell r="AH11">
            <v>-2.4037562688784906E-2</v>
          </cell>
          <cell r="AI11">
            <v>-1.9101999809386004E-2</v>
          </cell>
          <cell r="AJ11">
            <v>-2.2129713252048749E-2</v>
          </cell>
        </row>
        <row r="13">
          <cell r="A13" t="str">
            <v>Fesoterodine ($)</v>
          </cell>
        </row>
        <row r="14">
          <cell r="A14" t="str">
            <v>US sales</v>
          </cell>
          <cell r="AF14">
            <v>100</v>
          </cell>
          <cell r="AG14">
            <v>150</v>
          </cell>
          <cell r="AH14">
            <v>195</v>
          </cell>
          <cell r="AI14">
            <v>234</v>
          </cell>
          <cell r="AJ14">
            <v>280.8</v>
          </cell>
        </row>
        <row r="15">
          <cell r="A15" t="str">
            <v xml:space="preserve">  % Growth</v>
          </cell>
          <cell r="AG15">
            <v>0.5</v>
          </cell>
          <cell r="AH15">
            <v>0.3</v>
          </cell>
          <cell r="AI15">
            <v>0.2</v>
          </cell>
          <cell r="AJ15">
            <v>0.2</v>
          </cell>
        </row>
        <row r="16">
          <cell r="A16" t="str">
            <v>ROW sales</v>
          </cell>
          <cell r="AF16">
            <v>100</v>
          </cell>
          <cell r="AG16">
            <v>150</v>
          </cell>
          <cell r="AH16">
            <v>195</v>
          </cell>
          <cell r="AI16">
            <v>234</v>
          </cell>
          <cell r="AJ16">
            <v>269.09999999999997</v>
          </cell>
        </row>
        <row r="17">
          <cell r="A17" t="str">
            <v xml:space="preserve">  % Growth</v>
          </cell>
          <cell r="AG17">
            <v>0.5</v>
          </cell>
          <cell r="AH17">
            <v>0.3</v>
          </cell>
          <cell r="AI17">
            <v>0.2</v>
          </cell>
          <cell r="AJ17">
            <v>0.15</v>
          </cell>
        </row>
        <row r="18">
          <cell r="A18" t="str">
            <v>Total</v>
          </cell>
          <cell r="AF18">
            <v>200</v>
          </cell>
          <cell r="AG18">
            <v>300</v>
          </cell>
          <cell r="AH18">
            <v>390</v>
          </cell>
          <cell r="AI18">
            <v>468</v>
          </cell>
          <cell r="AJ18">
            <v>549.9</v>
          </cell>
        </row>
        <row r="19">
          <cell r="A19" t="str">
            <v xml:space="preserve">  % Growth</v>
          </cell>
          <cell r="AG19">
            <v>0.5</v>
          </cell>
          <cell r="AH19">
            <v>0.3</v>
          </cell>
          <cell r="AI19">
            <v>0.2</v>
          </cell>
          <cell r="AJ19">
            <v>0.17499999999999996</v>
          </cell>
        </row>
        <row r="21">
          <cell r="A21" t="str">
            <v>Total Sales ($)</v>
          </cell>
          <cell r="X21">
            <v>260</v>
          </cell>
          <cell r="Y21">
            <v>224</v>
          </cell>
          <cell r="Z21">
            <v>484</v>
          </cell>
          <cell r="AA21">
            <v>240</v>
          </cell>
          <cell r="AB21">
            <v>724</v>
          </cell>
          <cell r="AC21">
            <v>302</v>
          </cell>
          <cell r="AF21">
            <v>1179</v>
          </cell>
          <cell r="AG21">
            <v>1251.5399379832791</v>
          </cell>
          <cell r="AH21">
            <v>1318.6672370731235</v>
          </cell>
          <cell r="AI21">
            <v>1378.9278356875698</v>
          </cell>
          <cell r="AJ21">
            <v>1440.6692638904942</v>
          </cell>
        </row>
        <row r="22">
          <cell r="A22" t="str">
            <v xml:space="preserve">  % Growth</v>
          </cell>
          <cell r="AG22">
            <v>6.1526664956131516E-2</v>
          </cell>
          <cell r="AH22">
            <v>5.3635762673313318E-2</v>
          </cell>
          <cell r="AI22">
            <v>4.569810860562442E-2</v>
          </cell>
          <cell r="AJ22">
            <v>4.47749523978088E-2</v>
          </cell>
        </row>
        <row r="24">
          <cell r="A24" t="str">
            <v>Sales for which royalties based</v>
          </cell>
          <cell r="AF24">
            <v>1179</v>
          </cell>
          <cell r="AG24">
            <v>1251.5399379832791</v>
          </cell>
          <cell r="AH24">
            <v>1318.6672370731235</v>
          </cell>
          <cell r="AI24">
            <v>1378.9278356875698</v>
          </cell>
          <cell r="AJ24">
            <v>1440.6692638904942</v>
          </cell>
        </row>
        <row r="25">
          <cell r="A25" t="str">
            <v>Royalty rate</v>
          </cell>
          <cell r="AF25">
            <v>0.06</v>
          </cell>
          <cell r="AG25">
            <v>0.06</v>
          </cell>
          <cell r="AH25">
            <v>0.06</v>
          </cell>
          <cell r="AI25">
            <v>0.06</v>
          </cell>
          <cell r="AJ25">
            <v>0.06</v>
          </cell>
        </row>
        <row r="26">
          <cell r="A26" t="str">
            <v xml:space="preserve">Royalties $ </v>
          </cell>
          <cell r="AF26">
            <v>70.739999999999995</v>
          </cell>
          <cell r="AG26">
            <v>75.092396278996745</v>
          </cell>
          <cell r="AH26">
            <v>79.12003422438741</v>
          </cell>
          <cell r="AI26">
            <v>82.73567014125419</v>
          </cell>
          <cell r="AJ26">
            <v>86.440155833429657</v>
          </cell>
        </row>
        <row r="27">
          <cell r="A27" t="str">
            <v>Exchange rate</v>
          </cell>
          <cell r="AF27">
            <v>0.78145959999999992</v>
          </cell>
          <cell r="AG27">
            <v>0.78145959999999992</v>
          </cell>
          <cell r="AH27">
            <v>0.78145959999999992</v>
          </cell>
          <cell r="AI27">
            <v>0.78145959999999992</v>
          </cell>
          <cell r="AJ27">
            <v>0.78145959999999992</v>
          </cell>
        </row>
        <row r="28">
          <cell r="A28" t="str">
            <v xml:space="preserve">Royalties € </v>
          </cell>
          <cell r="AF28">
            <v>55.280452103999991</v>
          </cell>
          <cell r="AG28">
            <v>58.681673959226281</v>
          </cell>
          <cell r="AH28">
            <v>61.82911029697609</v>
          </cell>
          <cell r="AI28">
            <v>64.654583694316429</v>
          </cell>
          <cell r="AJ28">
            <v>67.549489601529601</v>
          </cell>
        </row>
        <row r="29">
          <cell r="A29" t="str">
            <v xml:space="preserve">  % Growth</v>
          </cell>
          <cell r="AG29">
            <v>6.1526664956131634E-2</v>
          </cell>
          <cell r="AH29">
            <v>5.3635762673313291E-2</v>
          </cell>
          <cell r="AI29">
            <v>4.569810860562433E-2</v>
          </cell>
          <cell r="AJ29">
            <v>4.4774952397808931E-2</v>
          </cell>
        </row>
      </sheetData>
      <sheetData sheetId="9" refreshError="1"/>
      <sheetData sheetId="10" refreshError="1">
        <row r="1">
          <cell r="A1" t="str">
            <v>Schwarz Pharma</v>
          </cell>
        </row>
        <row r="2">
          <cell r="A2" t="str">
            <v>Lacosamide sales model</v>
          </cell>
        </row>
        <row r="3">
          <cell r="A3" t="str">
            <v>€ mlns</v>
          </cell>
          <cell r="B3" t="str">
            <v>Assumption</v>
          </cell>
          <cell r="C3" t="str">
            <v>Q106A</v>
          </cell>
          <cell r="D3" t="str">
            <v>Q206A</v>
          </cell>
          <cell r="E3" t="str">
            <v>H106A</v>
          </cell>
          <cell r="F3" t="str">
            <v>Q306E</v>
          </cell>
          <cell r="G3" t="str">
            <v>9/1206E</v>
          </cell>
          <cell r="H3" t="str">
            <v>Q406E</v>
          </cell>
          <cell r="I3" t="str">
            <v>2006E</v>
          </cell>
          <cell r="J3" t="str">
            <v>2007E</v>
          </cell>
          <cell r="K3" t="str">
            <v>2008E</v>
          </cell>
          <cell r="L3" t="str">
            <v>2009E</v>
          </cell>
          <cell r="M3" t="str">
            <v>2010E</v>
          </cell>
          <cell r="N3" t="str">
            <v>2011E</v>
          </cell>
          <cell r="O3" t="str">
            <v>2012E</v>
          </cell>
          <cell r="P3" t="str">
            <v>Guidance</v>
          </cell>
        </row>
        <row r="5">
          <cell r="A5" t="str">
            <v>Epilepsy</v>
          </cell>
          <cell r="B5" t="str">
            <v>Risk Adjustment</v>
          </cell>
        </row>
        <row r="6">
          <cell r="A6" t="str">
            <v>US sales</v>
          </cell>
          <cell r="J6">
            <v>60</v>
          </cell>
          <cell r="K6">
            <v>102</v>
          </cell>
          <cell r="L6">
            <v>132.6</v>
          </cell>
          <cell r="M6">
            <v>159.11999999999998</v>
          </cell>
          <cell r="N6">
            <v>175.03199999999998</v>
          </cell>
          <cell r="O6">
            <v>192.5352</v>
          </cell>
        </row>
        <row r="7">
          <cell r="A7" t="str">
            <v xml:space="preserve">  % Growth</v>
          </cell>
          <cell r="K7">
            <v>0.7</v>
          </cell>
          <cell r="L7">
            <v>0.3</v>
          </cell>
          <cell r="M7">
            <v>0.2</v>
          </cell>
          <cell r="N7">
            <v>0.1</v>
          </cell>
          <cell r="O7">
            <v>0.1</v>
          </cell>
        </row>
        <row r="8">
          <cell r="A8" t="str">
            <v xml:space="preserve">  Risk Adjusted </v>
          </cell>
          <cell r="B8">
            <v>0.8</v>
          </cell>
          <cell r="J8">
            <v>48</v>
          </cell>
          <cell r="K8">
            <v>81.600000000000009</v>
          </cell>
          <cell r="L8">
            <v>106.08</v>
          </cell>
          <cell r="M8">
            <v>127.29599999999999</v>
          </cell>
          <cell r="N8">
            <v>140.0256</v>
          </cell>
          <cell r="O8">
            <v>154.02816000000001</v>
          </cell>
        </row>
        <row r="9">
          <cell r="A9" t="str">
            <v>ROW sales</v>
          </cell>
          <cell r="J9">
            <v>30</v>
          </cell>
          <cell r="K9">
            <v>54</v>
          </cell>
          <cell r="L9">
            <v>70.2</v>
          </cell>
          <cell r="M9">
            <v>84.24</v>
          </cell>
          <cell r="N9">
            <v>92.664000000000001</v>
          </cell>
          <cell r="O9">
            <v>97.297200000000004</v>
          </cell>
        </row>
        <row r="10">
          <cell r="A10" t="str">
            <v xml:space="preserve">  % Growth</v>
          </cell>
          <cell r="K10">
            <v>0.8</v>
          </cell>
          <cell r="L10">
            <v>0.3</v>
          </cell>
          <cell r="M10">
            <v>0.2</v>
          </cell>
          <cell r="N10">
            <v>0.1</v>
          </cell>
          <cell r="O10">
            <v>0.05</v>
          </cell>
        </row>
        <row r="11">
          <cell r="A11" t="str">
            <v xml:space="preserve">  Risk Adjusted </v>
          </cell>
          <cell r="B11">
            <v>0.8</v>
          </cell>
          <cell r="J11">
            <v>24</v>
          </cell>
          <cell r="K11">
            <v>43.2</v>
          </cell>
          <cell r="L11">
            <v>56.160000000000004</v>
          </cell>
          <cell r="M11">
            <v>67.391999999999996</v>
          </cell>
          <cell r="N11">
            <v>74.131200000000007</v>
          </cell>
          <cell r="O11">
            <v>77.837760000000003</v>
          </cell>
        </row>
        <row r="12">
          <cell r="A12" t="str">
            <v>Total (risk adjusted)</v>
          </cell>
          <cell r="J12">
            <v>72</v>
          </cell>
          <cell r="K12">
            <v>124.80000000000001</v>
          </cell>
          <cell r="L12">
            <v>162.24</v>
          </cell>
          <cell r="M12">
            <v>194.68799999999999</v>
          </cell>
          <cell r="N12">
            <v>214.1568</v>
          </cell>
          <cell r="O12">
            <v>231.86592000000002</v>
          </cell>
          <cell r="P12">
            <v>300</v>
          </cell>
        </row>
        <row r="13">
          <cell r="A13" t="str">
            <v xml:space="preserve">  % Growth</v>
          </cell>
          <cell r="K13">
            <v>0.7333333333333335</v>
          </cell>
          <cell r="L13">
            <v>0.29999999999999993</v>
          </cell>
          <cell r="M13">
            <v>0.19999999999999987</v>
          </cell>
          <cell r="N13">
            <v>0.10000000000000009</v>
          </cell>
          <cell r="O13">
            <v>8.2692307692307745E-2</v>
          </cell>
        </row>
        <row r="15">
          <cell r="A15" t="str">
            <v>Diabetic Neuropathy</v>
          </cell>
          <cell r="B15" t="str">
            <v>Risk Adjustment</v>
          </cell>
        </row>
        <row r="16">
          <cell r="A16" t="str">
            <v>US sales</v>
          </cell>
          <cell r="K16">
            <v>90</v>
          </cell>
          <cell r="L16">
            <v>162</v>
          </cell>
          <cell r="M16">
            <v>243</v>
          </cell>
          <cell r="N16">
            <v>328.05</v>
          </cell>
          <cell r="O16">
            <v>393.66</v>
          </cell>
        </row>
        <row r="17">
          <cell r="A17" t="str">
            <v xml:space="preserve">  % Growth</v>
          </cell>
          <cell r="L17">
            <v>0.8</v>
          </cell>
          <cell r="M17">
            <v>0.5</v>
          </cell>
          <cell r="N17">
            <v>0.35</v>
          </cell>
          <cell r="O17">
            <v>0.2</v>
          </cell>
        </row>
        <row r="18">
          <cell r="A18" t="str">
            <v xml:space="preserve">  Risk Adjusted </v>
          </cell>
          <cell r="B18">
            <v>0.65</v>
          </cell>
          <cell r="K18">
            <v>58.5</v>
          </cell>
          <cell r="L18">
            <v>105.3</v>
          </cell>
          <cell r="M18">
            <v>157.95000000000002</v>
          </cell>
          <cell r="N18">
            <v>213.23250000000002</v>
          </cell>
          <cell r="O18">
            <v>255.87900000000002</v>
          </cell>
        </row>
        <row r="19">
          <cell r="A19" t="str">
            <v>ROW sales</v>
          </cell>
          <cell r="K19">
            <v>60</v>
          </cell>
          <cell r="L19">
            <v>90</v>
          </cell>
          <cell r="M19">
            <v>117</v>
          </cell>
          <cell r="N19">
            <v>146.25</v>
          </cell>
          <cell r="O19">
            <v>175.5</v>
          </cell>
        </row>
        <row r="20">
          <cell r="A20" t="str">
            <v xml:space="preserve">  % Growth</v>
          </cell>
          <cell r="L20">
            <v>0.5</v>
          </cell>
          <cell r="M20">
            <v>0.3</v>
          </cell>
          <cell r="N20">
            <v>0.25</v>
          </cell>
          <cell r="O20">
            <v>0.2</v>
          </cell>
        </row>
        <row r="21">
          <cell r="A21" t="str">
            <v xml:space="preserve">  Risk Adjusted </v>
          </cell>
          <cell r="B21">
            <v>0.65</v>
          </cell>
          <cell r="K21">
            <v>39</v>
          </cell>
          <cell r="L21">
            <v>58.5</v>
          </cell>
          <cell r="M21">
            <v>76.05</v>
          </cell>
          <cell r="N21">
            <v>95.0625</v>
          </cell>
          <cell r="O21">
            <v>114.075</v>
          </cell>
        </row>
        <row r="22">
          <cell r="A22" t="str">
            <v>Total (risk adjusted)</v>
          </cell>
          <cell r="K22">
            <v>97.5</v>
          </cell>
          <cell r="L22">
            <v>163.80000000000001</v>
          </cell>
          <cell r="M22">
            <v>234</v>
          </cell>
          <cell r="N22">
            <v>308.29500000000002</v>
          </cell>
          <cell r="O22">
            <v>369.95400000000001</v>
          </cell>
          <cell r="P22">
            <v>600</v>
          </cell>
        </row>
        <row r="23">
          <cell r="A23" t="str">
            <v xml:space="preserve">  % Growth</v>
          </cell>
          <cell r="L23">
            <v>0.68000000000000016</v>
          </cell>
          <cell r="M23">
            <v>0.42857142857142849</v>
          </cell>
          <cell r="N23">
            <v>0.31750000000000006</v>
          </cell>
          <cell r="O23">
            <v>0.19999999999999996</v>
          </cell>
        </row>
        <row r="25">
          <cell r="A25" t="str">
            <v>Total Sales (risk adjusted)</v>
          </cell>
          <cell r="J25">
            <v>72</v>
          </cell>
          <cell r="K25">
            <v>222.3</v>
          </cell>
          <cell r="L25">
            <v>326.04000000000002</v>
          </cell>
          <cell r="M25">
            <v>428.68799999999999</v>
          </cell>
          <cell r="N25">
            <v>522.45180000000005</v>
          </cell>
          <cell r="O25">
            <v>601.81992000000002</v>
          </cell>
          <cell r="P25">
            <v>900</v>
          </cell>
        </row>
        <row r="26">
          <cell r="A26" t="str">
            <v xml:space="preserve">  % Growth</v>
          </cell>
          <cell r="K26">
            <v>2.0875000000000004</v>
          </cell>
          <cell r="L26">
            <v>0.46666666666666667</v>
          </cell>
          <cell r="M26">
            <v>0.31483253588516735</v>
          </cell>
          <cell r="N26">
            <v>0.21872270742358094</v>
          </cell>
          <cell r="O26">
            <v>0.15191472208536744</v>
          </cell>
        </row>
        <row r="29">
          <cell r="A29" t="str">
            <v>Payaway to Harris FRC</v>
          </cell>
          <cell r="B29">
            <v>0.1</v>
          </cell>
          <cell r="J29">
            <v>-7.2</v>
          </cell>
          <cell r="K29">
            <v>-22.230000000000004</v>
          </cell>
          <cell r="L29">
            <v>-32.604000000000006</v>
          </cell>
          <cell r="M29">
            <v>-42.8688</v>
          </cell>
          <cell r="N29">
            <v>-52.245180000000005</v>
          </cell>
          <cell r="O29">
            <v>-60.181992000000008</v>
          </cell>
        </row>
        <row r="30">
          <cell r="A30" t="str">
            <v>Total Royalties</v>
          </cell>
          <cell r="J30">
            <v>-7.2</v>
          </cell>
          <cell r="K30">
            <v>-22.230000000000004</v>
          </cell>
          <cell r="L30">
            <v>-32.604000000000006</v>
          </cell>
          <cell r="M30">
            <v>-42.8688</v>
          </cell>
          <cell r="N30">
            <v>-52.245180000000005</v>
          </cell>
          <cell r="O30">
            <v>-60.181992000000008</v>
          </cell>
        </row>
        <row r="31">
          <cell r="A31" t="str">
            <v>ROW Revenues (booked as sales)</v>
          </cell>
          <cell r="J31">
            <v>24</v>
          </cell>
          <cell r="K31">
            <v>82.2</v>
          </cell>
          <cell r="L31">
            <v>114.66</v>
          </cell>
          <cell r="M31">
            <v>143.44200000000001</v>
          </cell>
          <cell r="N31">
            <v>169.19370000000001</v>
          </cell>
          <cell r="O31">
            <v>191.91275999999999</v>
          </cell>
        </row>
        <row r="34">
          <cell r="A34" t="str">
            <v>Lacosamide P&amp;L</v>
          </cell>
        </row>
        <row r="35">
          <cell r="A35" t="str">
            <v>Sales</v>
          </cell>
          <cell r="J35">
            <v>24</v>
          </cell>
          <cell r="K35">
            <v>82.2</v>
          </cell>
          <cell r="L35">
            <v>114.66</v>
          </cell>
          <cell r="M35">
            <v>143.44200000000001</v>
          </cell>
          <cell r="N35">
            <v>169.19370000000001</v>
          </cell>
          <cell r="O35">
            <v>191.91275999999999</v>
          </cell>
          <cell r="P35">
            <v>272.79719999999998</v>
          </cell>
        </row>
        <row r="36">
          <cell r="A36" t="str">
            <v>COGS</v>
          </cell>
          <cell r="J36">
            <v>-12</v>
          </cell>
          <cell r="K36">
            <v>-35.231999999999999</v>
          </cell>
          <cell r="L36">
            <v>-48.118200000000002</v>
          </cell>
          <cell r="M36">
            <v>-58.614659999999994</v>
          </cell>
          <cell r="N36">
            <v>-65.929383000000001</v>
          </cell>
          <cell r="O36">
            <v>-69.777629999999988</v>
          </cell>
          <cell r="P36">
            <v>-83.351339999999993</v>
          </cell>
        </row>
        <row r="37">
          <cell r="A37" t="str">
            <v>Royalties</v>
          </cell>
          <cell r="J37">
            <v>-7.2</v>
          </cell>
          <cell r="K37">
            <v>-22.230000000000004</v>
          </cell>
          <cell r="L37">
            <v>-32.604000000000006</v>
          </cell>
          <cell r="M37">
            <v>-42.8688</v>
          </cell>
          <cell r="N37">
            <v>-52.245180000000005</v>
          </cell>
          <cell r="O37">
            <v>-60.181992000000008</v>
          </cell>
          <cell r="P37">
            <v>142.44731999999999</v>
          </cell>
        </row>
        <row r="38">
          <cell r="A38" t="str">
            <v>EBIT</v>
          </cell>
          <cell r="J38">
            <v>4.8</v>
          </cell>
          <cell r="K38">
            <v>24.738</v>
          </cell>
          <cell r="L38">
            <v>33.937799999999989</v>
          </cell>
          <cell r="M38">
            <v>41.958540000000021</v>
          </cell>
          <cell r="N38">
            <v>51.019137000000001</v>
          </cell>
          <cell r="O38">
            <v>61.953137999999996</v>
          </cell>
          <cell r="P38">
            <v>331.89317999999997</v>
          </cell>
        </row>
      </sheetData>
      <sheetData sheetId="11" refreshError="1"/>
      <sheetData sheetId="12" refreshError="1">
        <row r="1">
          <cell r="BV1" t="str">
            <v>Return to contents</v>
          </cell>
          <cell r="CC1" t="str">
            <v>ElementName</v>
          </cell>
          <cell r="CD1" t="str">
            <v>ScaleOverride</v>
          </cell>
          <cell r="CE1" t="str">
            <v>UnitOverride</v>
          </cell>
          <cell r="CF1" t="str">
            <v>ReverseSign</v>
          </cell>
          <cell r="CG1" t="str">
            <v>IsDrivingAssumption</v>
          </cell>
          <cell r="CH1" t="str">
            <v>SegmentID</v>
          </cell>
        </row>
        <row r="2">
          <cell r="A2" t="str">
            <v>Schwarz Pharma</v>
          </cell>
        </row>
        <row r="3">
          <cell r="A3" t="str">
            <v>P&amp;L quarterly</v>
          </cell>
          <cell r="C3">
            <v>1</v>
          </cell>
          <cell r="D3" t="str">
            <v>DM</v>
          </cell>
          <cell r="E3" t="str">
            <v>=</v>
          </cell>
          <cell r="F3">
            <v>0.51100000000000001</v>
          </cell>
          <cell r="G3" t="str">
            <v>Euro</v>
          </cell>
          <cell r="BZ3" t="str">
            <v xml:space="preserve">Morgan Stanley Equity Research- Pharmaceuticals  </v>
          </cell>
        </row>
        <row r="5">
          <cell r="A5" t="str">
            <v>€ mlns</v>
          </cell>
          <cell r="B5" t="str">
            <v>1996A</v>
          </cell>
          <cell r="C5" t="str">
            <v>Q197A</v>
          </cell>
          <cell r="D5" t="str">
            <v>Q297A</v>
          </cell>
          <cell r="E5" t="str">
            <v>H197A</v>
          </cell>
          <cell r="F5" t="str">
            <v>Q397A</v>
          </cell>
          <cell r="G5" t="str">
            <v>9/1297A</v>
          </cell>
          <cell r="H5" t="str">
            <v>Q497A</v>
          </cell>
          <cell r="I5" t="str">
            <v>1997A</v>
          </cell>
          <cell r="J5" t="str">
            <v>Q198A</v>
          </cell>
          <cell r="K5" t="str">
            <v>Q298A</v>
          </cell>
          <cell r="L5" t="str">
            <v>H198A</v>
          </cell>
          <cell r="M5" t="str">
            <v>Q398A</v>
          </cell>
          <cell r="N5" t="str">
            <v>9/1298A</v>
          </cell>
          <cell r="O5" t="str">
            <v>Q498A</v>
          </cell>
          <cell r="P5" t="str">
            <v>1998A</v>
          </cell>
          <cell r="Q5" t="str">
            <v>Q199A</v>
          </cell>
          <cell r="R5" t="str">
            <v>Q299A</v>
          </cell>
          <cell r="S5" t="str">
            <v>H199A</v>
          </cell>
          <cell r="T5" t="str">
            <v>Q399A</v>
          </cell>
          <cell r="U5" t="str">
            <v>9/1299A</v>
          </cell>
          <cell r="V5" t="str">
            <v>Q499A</v>
          </cell>
          <cell r="W5" t="str">
            <v>FY 99A</v>
          </cell>
          <cell r="X5" t="str">
            <v>Q1 00A</v>
          </cell>
          <cell r="Y5" t="str">
            <v>Q2 00A</v>
          </cell>
          <cell r="Z5" t="str">
            <v>H1 00A</v>
          </cell>
          <cell r="AA5" t="str">
            <v>Q3 00A</v>
          </cell>
          <cell r="AB5" t="str">
            <v>3/4 00A</v>
          </cell>
          <cell r="AC5" t="str">
            <v>Q4 00A</v>
          </cell>
          <cell r="AD5" t="str">
            <v>FY 00A</v>
          </cell>
          <cell r="AE5" t="str">
            <v>Q1 01A</v>
          </cell>
          <cell r="AF5" t="str">
            <v>Q2 01A</v>
          </cell>
          <cell r="AG5" t="str">
            <v>H1 01A</v>
          </cell>
          <cell r="AH5" t="str">
            <v>Q3 01A</v>
          </cell>
          <cell r="AI5" t="str">
            <v>3/4 01A</v>
          </cell>
          <cell r="AJ5" t="str">
            <v>Q4 01A</v>
          </cell>
          <cell r="AK5" t="str">
            <v>FY 01A</v>
          </cell>
          <cell r="AL5" t="str">
            <v>Q1 02A</v>
          </cell>
          <cell r="AM5" t="str">
            <v>Q2 02A</v>
          </cell>
          <cell r="AN5" t="str">
            <v>H1 02A</v>
          </cell>
          <cell r="AO5" t="str">
            <v>Q3 02A</v>
          </cell>
          <cell r="AP5" t="str">
            <v>3/4 02A</v>
          </cell>
          <cell r="AQ5" t="str">
            <v>Q4 02A</v>
          </cell>
          <cell r="AR5" t="str">
            <v>FY 02A</v>
          </cell>
          <cell r="AS5" t="str">
            <v>Q1 03A</v>
          </cell>
          <cell r="AT5" t="str">
            <v>Q2 03A</v>
          </cell>
          <cell r="AU5" t="str">
            <v>H1 03A</v>
          </cell>
          <cell r="AV5" t="str">
            <v>Q3 03A</v>
          </cell>
          <cell r="AW5" t="str">
            <v>3/4 03A</v>
          </cell>
          <cell r="AX5" t="str">
            <v>Q4 03A</v>
          </cell>
          <cell r="AY5" t="str">
            <v>FY03A</v>
          </cell>
          <cell r="AZ5" t="str">
            <v>Q104A</v>
          </cell>
          <cell r="BA5" t="str">
            <v>Q204A</v>
          </cell>
          <cell r="BB5" t="str">
            <v>H104A</v>
          </cell>
          <cell r="BC5" t="str">
            <v>Q304A</v>
          </cell>
          <cell r="BD5" t="str">
            <v>9/1204A</v>
          </cell>
          <cell r="BE5" t="str">
            <v>Q404A</v>
          </cell>
          <cell r="BF5" t="str">
            <v>FY04A</v>
          </cell>
          <cell r="BG5" t="str">
            <v>Q105A</v>
          </cell>
          <cell r="BH5" t="str">
            <v>Q205A</v>
          </cell>
          <cell r="BI5" t="str">
            <v>H105A</v>
          </cell>
          <cell r="BJ5" t="str">
            <v>Q305A</v>
          </cell>
          <cell r="BK5" t="str">
            <v>9/1205A</v>
          </cell>
          <cell r="BL5" t="str">
            <v>Q405A</v>
          </cell>
          <cell r="BM5" t="str">
            <v>FY05A</v>
          </cell>
          <cell r="BN5" t="str">
            <v>Q106A</v>
          </cell>
          <cell r="BO5" t="str">
            <v>Q206A</v>
          </cell>
          <cell r="BP5" t="str">
            <v>H106A</v>
          </cell>
          <cell r="BQ5" t="str">
            <v>Q306E</v>
          </cell>
          <cell r="BR5" t="str">
            <v>9/1206E</v>
          </cell>
          <cell r="BS5" t="str">
            <v>Q406E</v>
          </cell>
          <cell r="BT5" t="str">
            <v>FY06E</v>
          </cell>
          <cell r="BU5" t="str">
            <v>FY07E</v>
          </cell>
          <cell r="BV5" t="str">
            <v>FY08E</v>
          </cell>
          <cell r="BW5" t="str">
            <v>FY09E</v>
          </cell>
          <cell r="BX5" t="str">
            <v>FY10E</v>
          </cell>
          <cell r="BY5" t="str">
            <v>FY11E</v>
          </cell>
          <cell r="BZ5" t="str">
            <v>FY12E</v>
          </cell>
        </row>
        <row r="7">
          <cell r="A7" t="str">
            <v>Revenue</v>
          </cell>
          <cell r="B7">
            <v>610.79574500000001</v>
          </cell>
          <cell r="C7">
            <v>0</v>
          </cell>
          <cell r="D7">
            <v>0</v>
          </cell>
          <cell r="E7">
            <v>0</v>
          </cell>
          <cell r="F7">
            <v>0</v>
          </cell>
          <cell r="G7">
            <v>0</v>
          </cell>
          <cell r="H7">
            <v>650.19895499999996</v>
          </cell>
          <cell r="I7">
            <v>650.19895499999984</v>
          </cell>
          <cell r="J7">
            <v>0</v>
          </cell>
          <cell r="K7">
            <v>0</v>
          </cell>
          <cell r="L7">
            <v>0</v>
          </cell>
          <cell r="M7">
            <v>0</v>
          </cell>
          <cell r="N7">
            <v>0</v>
          </cell>
          <cell r="O7">
            <v>0</v>
          </cell>
          <cell r="P7">
            <v>681.28410699999995</v>
          </cell>
          <cell r="Q7">
            <v>166.68819999999999</v>
          </cell>
          <cell r="R7">
            <v>188.55900000000003</v>
          </cell>
          <cell r="S7">
            <v>355.24720000000002</v>
          </cell>
          <cell r="T7">
            <v>168.42559999999992</v>
          </cell>
          <cell r="U7">
            <v>523.67279999999994</v>
          </cell>
          <cell r="V7">
            <v>182.21019999999999</v>
          </cell>
          <cell r="W7">
            <v>705.88299999999981</v>
          </cell>
          <cell r="X7">
            <v>166.6</v>
          </cell>
          <cell r="Y7">
            <v>199.3</v>
          </cell>
          <cell r="Z7">
            <v>365.9</v>
          </cell>
          <cell r="AA7">
            <v>174.4</v>
          </cell>
          <cell r="AB7">
            <v>540.29999999999995</v>
          </cell>
          <cell r="AC7">
            <v>195.89200000000017</v>
          </cell>
          <cell r="AD7">
            <v>736.19200000000001</v>
          </cell>
          <cell r="AE7">
            <v>177.2</v>
          </cell>
          <cell r="AF7">
            <v>204.9</v>
          </cell>
          <cell r="AG7">
            <v>382.1</v>
          </cell>
          <cell r="AH7">
            <v>184.1</v>
          </cell>
          <cell r="AI7">
            <v>566.20000000000005</v>
          </cell>
          <cell r="AJ7">
            <v>201.52799999999996</v>
          </cell>
          <cell r="AK7">
            <v>767.72800000000007</v>
          </cell>
          <cell r="AL7">
            <v>185.5</v>
          </cell>
          <cell r="AM7">
            <v>217.60000000000002</v>
          </cell>
          <cell r="AN7">
            <v>403.1</v>
          </cell>
          <cell r="AO7">
            <v>187.7</v>
          </cell>
          <cell r="AP7">
            <v>590.79999999999995</v>
          </cell>
          <cell r="AQ7">
            <v>372.73400000000004</v>
          </cell>
          <cell r="AR7">
            <v>963.53400000000011</v>
          </cell>
          <cell r="AS7">
            <v>468.1</v>
          </cell>
          <cell r="AT7">
            <v>509.9</v>
          </cell>
          <cell r="AU7">
            <v>978</v>
          </cell>
          <cell r="AV7">
            <v>269.60000000000002</v>
          </cell>
          <cell r="AW7">
            <v>1247.5999999999999</v>
          </cell>
          <cell r="AX7">
            <v>248.679</v>
          </cell>
          <cell r="AY7">
            <v>1496.279</v>
          </cell>
          <cell r="AZ7">
            <v>226.3</v>
          </cell>
          <cell r="BA7">
            <v>264.2</v>
          </cell>
          <cell r="BB7">
            <v>490.5</v>
          </cell>
          <cell r="BC7">
            <v>221.3</v>
          </cell>
          <cell r="BD7">
            <v>711.8</v>
          </cell>
          <cell r="BE7">
            <v>234.84699999999992</v>
          </cell>
          <cell r="BF7">
            <v>946.64700000000016</v>
          </cell>
          <cell r="BG7">
            <v>238.1</v>
          </cell>
          <cell r="BH7">
            <v>250.5</v>
          </cell>
          <cell r="BI7">
            <v>488.6</v>
          </cell>
          <cell r="BJ7">
            <v>233.6</v>
          </cell>
          <cell r="BK7">
            <v>722.2</v>
          </cell>
          <cell r="BL7">
            <v>268.37199999999996</v>
          </cell>
          <cell r="BM7">
            <v>990.572</v>
          </cell>
          <cell r="BN7">
            <v>247.4</v>
          </cell>
          <cell r="BO7">
            <v>236</v>
          </cell>
          <cell r="BP7">
            <v>483.4</v>
          </cell>
          <cell r="BQ7">
            <v>226.58399999999997</v>
          </cell>
          <cell r="BR7">
            <v>709.98399999999992</v>
          </cell>
          <cell r="BS7">
            <v>234.44600000000011</v>
          </cell>
          <cell r="BT7">
            <v>944.43000000000006</v>
          </cell>
          <cell r="BU7">
            <v>937.6605400000002</v>
          </cell>
          <cell r="BV7">
            <v>1079.2162497000002</v>
          </cell>
          <cell r="BW7">
            <v>1167.0174131660001</v>
          </cell>
          <cell r="BX7">
            <v>1244.5110234575802</v>
          </cell>
          <cell r="BY7">
            <v>1289.0839343890796</v>
          </cell>
          <cell r="BZ7">
            <v>1323.8548088090984</v>
          </cell>
          <cell r="CC7" t="str">
            <v>mstag:revenueNet</v>
          </cell>
          <cell r="CD7">
            <v>6</v>
          </cell>
          <cell r="CE7" t="str">
            <v>ISO4217:EUR</v>
          </cell>
          <cell r="CF7" t="b">
            <v>0</v>
          </cell>
          <cell r="CG7" t="b">
            <v>0</v>
          </cell>
        </row>
        <row r="8">
          <cell r="A8" t="str">
            <v>Cost of goods sold</v>
          </cell>
          <cell r="B8">
            <v>-193.805948</v>
          </cell>
          <cell r="C8">
            <v>0</v>
          </cell>
          <cell r="D8">
            <v>0</v>
          </cell>
          <cell r="E8">
            <v>0</v>
          </cell>
          <cell r="F8">
            <v>0</v>
          </cell>
          <cell r="G8">
            <v>0</v>
          </cell>
          <cell r="H8">
            <v>-189.93205700000001</v>
          </cell>
          <cell r="I8">
            <v>-189.93205700000001</v>
          </cell>
          <cell r="J8">
            <v>0</v>
          </cell>
          <cell r="K8">
            <v>0</v>
          </cell>
          <cell r="L8">
            <v>0</v>
          </cell>
          <cell r="M8">
            <v>0</v>
          </cell>
          <cell r="N8">
            <v>0</v>
          </cell>
          <cell r="O8">
            <v>-223.18384900000001</v>
          </cell>
          <cell r="P8">
            <v>-223.18384900000001</v>
          </cell>
          <cell r="Q8">
            <v>-62.188700000000004</v>
          </cell>
          <cell r="R8">
            <v>-69.802599999999984</v>
          </cell>
          <cell r="S8">
            <v>-131.9913</v>
          </cell>
          <cell r="T8">
            <v>-76.956600000000009</v>
          </cell>
          <cell r="U8">
            <v>-208.9479</v>
          </cell>
          <cell r="V8">
            <v>-84.863099999999974</v>
          </cell>
          <cell r="W8">
            <v>-293.81099999999998</v>
          </cell>
          <cell r="X8">
            <v>-64.900000000000006</v>
          </cell>
          <cell r="Y8">
            <v>-86.3</v>
          </cell>
          <cell r="Z8">
            <v>-151.19999999999999</v>
          </cell>
          <cell r="AA8">
            <v>-71.7</v>
          </cell>
          <cell r="AB8">
            <v>-222.89999999999998</v>
          </cell>
          <cell r="AC8">
            <v>-81.708999999999975</v>
          </cell>
          <cell r="AD8">
            <v>-304.60899999999998</v>
          </cell>
          <cell r="AE8">
            <v>-67.900000000000006</v>
          </cell>
          <cell r="AF8">
            <v>-80.3</v>
          </cell>
          <cell r="AG8">
            <v>-148.19999999999999</v>
          </cell>
          <cell r="AH8">
            <v>-71.8</v>
          </cell>
          <cell r="AI8">
            <v>-220</v>
          </cell>
          <cell r="AJ8">
            <v>-81.709999999999951</v>
          </cell>
          <cell r="AK8">
            <v>-301.70999999999998</v>
          </cell>
          <cell r="AL8">
            <v>-72.599999999999994</v>
          </cell>
          <cell r="AM8">
            <v>-81.2</v>
          </cell>
          <cell r="AN8">
            <v>-153.80000000000001</v>
          </cell>
          <cell r="AO8">
            <v>-72.2</v>
          </cell>
          <cell r="AP8">
            <v>-226</v>
          </cell>
          <cell r="AQ8">
            <v>-99.065000000000026</v>
          </cell>
          <cell r="AR8">
            <v>-325.065</v>
          </cell>
          <cell r="AS8">
            <v>-92.4</v>
          </cell>
          <cell r="AT8">
            <v>-118.5</v>
          </cell>
          <cell r="AU8">
            <v>-210.9</v>
          </cell>
          <cell r="AV8">
            <v>-82.3</v>
          </cell>
          <cell r="AW8">
            <v>-293.2</v>
          </cell>
          <cell r="AX8">
            <v>-92.122999999999962</v>
          </cell>
          <cell r="AY8">
            <v>-385.32299999999998</v>
          </cell>
          <cell r="AZ8">
            <v>-81.7</v>
          </cell>
          <cell r="BA8">
            <v>-75.899999999999991</v>
          </cell>
          <cell r="BB8">
            <v>-157.6</v>
          </cell>
          <cell r="BC8">
            <v>-80.40000000000002</v>
          </cell>
          <cell r="BD8">
            <v>-238</v>
          </cell>
          <cell r="BE8">
            <v>-88.927999999999983</v>
          </cell>
          <cell r="BF8">
            <v>-326.928</v>
          </cell>
          <cell r="BG8">
            <v>-74.599999999999994</v>
          </cell>
          <cell r="BH8">
            <v>-83.6</v>
          </cell>
          <cell r="BI8">
            <v>-158.19999999999999</v>
          </cell>
          <cell r="BJ8">
            <v>-85.6</v>
          </cell>
          <cell r="BK8">
            <v>-243.79999999999998</v>
          </cell>
          <cell r="BL8">
            <v>-74.138000000000005</v>
          </cell>
          <cell r="BM8">
            <v>-317.93799999999999</v>
          </cell>
          <cell r="BN8">
            <v>-77.900000000000006</v>
          </cell>
          <cell r="BO8">
            <v>-79.099999999999994</v>
          </cell>
          <cell r="BP8">
            <v>-157</v>
          </cell>
          <cell r="BQ8">
            <v>-70.266879999999986</v>
          </cell>
          <cell r="BR8">
            <v>-227.26687999999999</v>
          </cell>
          <cell r="BS8">
            <v>-67.626289999999955</v>
          </cell>
          <cell r="BT8">
            <v>-299.89316999999994</v>
          </cell>
          <cell r="BU8">
            <v>-291.51137280000006</v>
          </cell>
          <cell r="BV8">
            <v>-320.24519990400006</v>
          </cell>
          <cell r="BW8">
            <v>-332.35097221312003</v>
          </cell>
          <cell r="BX8">
            <v>-338.53497750642566</v>
          </cell>
          <cell r="BY8">
            <v>-332.07336850450542</v>
          </cell>
          <cell r="BZ8">
            <v>-323.71530279391141</v>
          </cell>
          <cell r="CC8" t="str">
            <v>mstag:costOfSalesWithDepreciation</v>
          </cell>
          <cell r="CD8">
            <v>6</v>
          </cell>
          <cell r="CE8" t="str">
            <v>ISO4217:EUR</v>
          </cell>
          <cell r="CF8" t="b">
            <v>1</v>
          </cell>
          <cell r="CG8" t="b">
            <v>0</v>
          </cell>
        </row>
        <row r="9">
          <cell r="A9" t="str">
            <v>Gross Profit</v>
          </cell>
          <cell r="B9">
            <v>416.98979700000001</v>
          </cell>
          <cell r="C9">
            <v>0</v>
          </cell>
          <cell r="D9">
            <v>0</v>
          </cell>
          <cell r="E9">
            <v>0</v>
          </cell>
          <cell r="F9">
            <v>0</v>
          </cell>
          <cell r="G9">
            <v>0</v>
          </cell>
          <cell r="H9">
            <v>460.26689799999997</v>
          </cell>
          <cell r="I9">
            <v>460.26689799999986</v>
          </cell>
          <cell r="J9">
            <v>0</v>
          </cell>
          <cell r="K9">
            <v>0</v>
          </cell>
          <cell r="L9">
            <v>0</v>
          </cell>
          <cell r="M9">
            <v>0</v>
          </cell>
          <cell r="N9">
            <v>0</v>
          </cell>
          <cell r="O9">
            <v>-223.18384900000001</v>
          </cell>
          <cell r="P9">
            <v>458.10025799999994</v>
          </cell>
          <cell r="Q9">
            <v>104.49949999999998</v>
          </cell>
          <cell r="R9">
            <v>118.75640000000004</v>
          </cell>
          <cell r="S9">
            <v>223.25590000000003</v>
          </cell>
          <cell r="T9">
            <v>91.468999999999909</v>
          </cell>
          <cell r="U9">
            <v>314.72489999999993</v>
          </cell>
          <cell r="V9">
            <v>97.347100000000012</v>
          </cell>
          <cell r="W9">
            <v>412.07199999999983</v>
          </cell>
          <cell r="X9">
            <v>101.69999999999999</v>
          </cell>
          <cell r="Y9">
            <v>113.00000000000001</v>
          </cell>
          <cell r="Z9">
            <v>214.7</v>
          </cell>
          <cell r="AA9">
            <v>102.7</v>
          </cell>
          <cell r="AB9">
            <v>317.39999999999998</v>
          </cell>
          <cell r="AC9">
            <v>114.18300000000019</v>
          </cell>
          <cell r="AD9">
            <v>431.58300000000003</v>
          </cell>
          <cell r="AE9">
            <v>109.29999999999998</v>
          </cell>
          <cell r="AF9">
            <v>124.60000000000001</v>
          </cell>
          <cell r="AG9">
            <v>233.90000000000003</v>
          </cell>
          <cell r="AH9">
            <v>112.3</v>
          </cell>
          <cell r="AI9">
            <v>346.20000000000005</v>
          </cell>
          <cell r="AJ9">
            <v>119.81800000000001</v>
          </cell>
          <cell r="AK9">
            <v>466.01800000000009</v>
          </cell>
          <cell r="AL9">
            <v>112.9</v>
          </cell>
          <cell r="AM9">
            <v>136.40000000000003</v>
          </cell>
          <cell r="AN9">
            <v>249.3</v>
          </cell>
          <cell r="AO9">
            <v>115.49999999999999</v>
          </cell>
          <cell r="AP9">
            <v>364.79999999999995</v>
          </cell>
          <cell r="AQ9">
            <v>273.66899999999998</v>
          </cell>
          <cell r="AR9">
            <v>638.46900000000005</v>
          </cell>
          <cell r="AS9">
            <v>375.70000000000005</v>
          </cell>
          <cell r="AT9">
            <v>391.4</v>
          </cell>
          <cell r="AU9">
            <v>767.1</v>
          </cell>
          <cell r="AV9">
            <v>187.3</v>
          </cell>
          <cell r="AW9">
            <v>954.39999999999986</v>
          </cell>
          <cell r="AX9">
            <v>156.55600000000004</v>
          </cell>
          <cell r="AY9">
            <v>1110.9560000000001</v>
          </cell>
          <cell r="AZ9">
            <v>144.60000000000002</v>
          </cell>
          <cell r="BA9">
            <v>188.3</v>
          </cell>
          <cell r="BB9">
            <v>332.9</v>
          </cell>
          <cell r="BC9">
            <v>140.89999999999998</v>
          </cell>
          <cell r="BD9">
            <v>473.79999999999995</v>
          </cell>
          <cell r="BE9">
            <v>145.91899999999993</v>
          </cell>
          <cell r="BF9">
            <v>619.71900000000016</v>
          </cell>
          <cell r="BG9">
            <v>163.5</v>
          </cell>
          <cell r="BH9">
            <v>166.9</v>
          </cell>
          <cell r="BI9">
            <v>330.40000000000003</v>
          </cell>
          <cell r="BJ9">
            <v>148</v>
          </cell>
          <cell r="BK9">
            <v>478.40000000000009</v>
          </cell>
          <cell r="BL9">
            <v>194.23399999999995</v>
          </cell>
          <cell r="BM9">
            <v>672.63400000000001</v>
          </cell>
          <cell r="BN9">
            <v>169.5</v>
          </cell>
          <cell r="BO9">
            <v>156.9</v>
          </cell>
          <cell r="BP9">
            <v>326.39999999999998</v>
          </cell>
          <cell r="BQ9">
            <v>156.31711999999999</v>
          </cell>
          <cell r="BR9">
            <v>482.71711999999991</v>
          </cell>
          <cell r="BS9">
            <v>166.81971000000016</v>
          </cell>
          <cell r="BT9">
            <v>644.53683000000012</v>
          </cell>
          <cell r="BU9">
            <v>646.14916720000019</v>
          </cell>
          <cell r="BV9">
            <v>758.9710497960001</v>
          </cell>
          <cell r="BW9">
            <v>834.66644095288007</v>
          </cell>
          <cell r="BX9">
            <v>905.97604595115456</v>
          </cell>
          <cell r="BY9">
            <v>957.01056588457413</v>
          </cell>
          <cell r="BZ9">
            <v>1000.139506015187</v>
          </cell>
        </row>
        <row r="10">
          <cell r="A10" t="str">
            <v>Gross Margin</v>
          </cell>
          <cell r="B10">
            <v>0.68269924997594733</v>
          </cell>
          <cell r="C10" t="e">
            <v>#DIV/0!</v>
          </cell>
          <cell r="D10" t="e">
            <v>#DIV/0!</v>
          </cell>
          <cell r="E10" t="e">
            <v>#DIV/0!</v>
          </cell>
          <cell r="F10" t="e">
            <v>#DIV/0!</v>
          </cell>
          <cell r="G10" t="e">
            <v>#DIV/0!</v>
          </cell>
          <cell r="H10">
            <v>0.70788624691037838</v>
          </cell>
          <cell r="I10">
            <v>0.70788624691037838</v>
          </cell>
          <cell r="J10" t="e">
            <v>#DIV/0!</v>
          </cell>
          <cell r="K10" t="e">
            <v>#DIV/0!</v>
          </cell>
          <cell r="L10" t="e">
            <v>#DIV/0!</v>
          </cell>
          <cell r="M10" t="e">
            <v>#DIV/0!</v>
          </cell>
          <cell r="N10" t="e">
            <v>#DIV/0!</v>
          </cell>
          <cell r="O10" t="e">
            <v>#DIV/0!</v>
          </cell>
          <cell r="P10">
            <v>0.67240708141163197</v>
          </cell>
          <cell r="Q10">
            <v>0.62691600245248302</v>
          </cell>
          <cell r="R10">
            <v>0.62981029810298117</v>
          </cell>
          <cell r="S10">
            <v>0.62845224395857313</v>
          </cell>
          <cell r="T10">
            <v>0.54308252427184434</v>
          </cell>
          <cell r="U10">
            <v>0.6009953161592505</v>
          </cell>
          <cell r="V10">
            <v>0.53425713818436082</v>
          </cell>
          <cell r="W10">
            <v>0.58376813154587937</v>
          </cell>
          <cell r="X10">
            <v>0.6104441776710684</v>
          </cell>
          <cell r="Y10">
            <v>0.56698444555945815</v>
          </cell>
          <cell r="Z10">
            <v>0.58677234216999186</v>
          </cell>
          <cell r="AA10">
            <v>0.58887614678899081</v>
          </cell>
          <cell r="AB10">
            <v>0.58745141588006666</v>
          </cell>
          <cell r="AC10">
            <v>0.58288750944397982</v>
          </cell>
          <cell r="AD10">
            <v>0.58623701425715036</v>
          </cell>
          <cell r="AE10">
            <v>0.61681715575620766</v>
          </cell>
          <cell r="AF10">
            <v>0.60810151293313819</v>
          </cell>
          <cell r="AG10">
            <v>0.61214341795341543</v>
          </cell>
          <cell r="AH10">
            <v>0.60999456816947306</v>
          </cell>
          <cell r="AI10">
            <v>0.61144471918050158</v>
          </cell>
          <cell r="AJ10">
            <v>0.5945476559088565</v>
          </cell>
          <cell r="AK10">
            <v>0.60700925327720245</v>
          </cell>
          <cell r="AL10">
            <v>0.60862533692722376</v>
          </cell>
          <cell r="AM10">
            <v>0.62683823529411775</v>
          </cell>
          <cell r="AN10">
            <v>0.61845695857107419</v>
          </cell>
          <cell r="AO10">
            <v>0.61534363345764509</v>
          </cell>
          <cell r="AP10">
            <v>0.61746784021665535</v>
          </cell>
          <cell r="AQ10">
            <v>0.73422065065167108</v>
          </cell>
          <cell r="AR10">
            <v>0.66263255889257666</v>
          </cell>
          <cell r="AS10">
            <v>0.80260628070925022</v>
          </cell>
          <cell r="AT10">
            <v>0.76760149048833104</v>
          </cell>
          <cell r="AU10">
            <v>0.78435582822085892</v>
          </cell>
          <cell r="AV10">
            <v>0.69473293768545996</v>
          </cell>
          <cell r="AW10">
            <v>0.76498877845463287</v>
          </cell>
          <cell r="AX10">
            <v>0.62955054508020392</v>
          </cell>
          <cell r="AY10">
            <v>0.74247917667761165</v>
          </cell>
          <cell r="AZ10">
            <v>0.63897481219619978</v>
          </cell>
          <cell r="BA10">
            <v>0.71271763815291456</v>
          </cell>
          <cell r="BB10">
            <v>0.67869520897043834</v>
          </cell>
          <cell r="BC10">
            <v>0.6366922729326705</v>
          </cell>
          <cell r="BD10">
            <v>0.66563641472323687</v>
          </cell>
          <cell r="BE10">
            <v>0.62133644457881076</v>
          </cell>
          <cell r="BF10">
            <v>0.65464634652621312</v>
          </cell>
          <cell r="BG10">
            <v>0.68668626627467455</v>
          </cell>
          <cell r="BH10">
            <v>0.66626746506986034</v>
          </cell>
          <cell r="BI10">
            <v>0.67621776504298003</v>
          </cell>
          <cell r="BJ10">
            <v>0.63356164383561642</v>
          </cell>
          <cell r="BK10">
            <v>0.66242038216560517</v>
          </cell>
          <cell r="BL10">
            <v>0.72374912434978311</v>
          </cell>
          <cell r="BM10">
            <v>0.67903595094551428</v>
          </cell>
          <cell r="BN10">
            <v>0.68512530315278897</v>
          </cell>
          <cell r="BO10">
            <v>0.66483050847457625</v>
          </cell>
          <cell r="BP10">
            <v>0.67521721141911462</v>
          </cell>
          <cell r="BQ10">
            <v>0.68988595840836076</v>
          </cell>
          <cell r="BR10">
            <v>0.67989858926398339</v>
          </cell>
          <cell r="BS10">
            <v>0.711548544227669</v>
          </cell>
          <cell r="BT10">
            <v>0.682461198818335</v>
          </cell>
          <cell r="BU10">
            <v>0.68910777369387866</v>
          </cell>
          <cell r="BV10">
            <v>0.70326132506527617</v>
          </cell>
          <cell r="BW10">
            <v>0.71521335631874983</v>
          </cell>
          <cell r="BX10">
            <v>0.72797751797658961</v>
          </cell>
          <cell r="BY10">
            <v>0.74239585208865311</v>
          </cell>
          <cell r="BZ10">
            <v>0.75547522232810682</v>
          </cell>
        </row>
        <row r="12">
          <cell r="A12" t="str">
            <v>SG&amp;A</v>
          </cell>
          <cell r="B12">
            <v>-234.00887299999999</v>
          </cell>
          <cell r="C12">
            <v>0</v>
          </cell>
          <cell r="D12">
            <v>0</v>
          </cell>
          <cell r="E12">
            <v>0</v>
          </cell>
          <cell r="F12">
            <v>0</v>
          </cell>
          <cell r="G12">
            <v>0</v>
          </cell>
          <cell r="H12">
            <v>-263.34538300000003</v>
          </cell>
          <cell r="I12">
            <v>-263.34538300000003</v>
          </cell>
          <cell r="J12">
            <v>0</v>
          </cell>
          <cell r="K12">
            <v>0</v>
          </cell>
          <cell r="L12">
            <v>0</v>
          </cell>
          <cell r="M12">
            <v>0</v>
          </cell>
          <cell r="N12">
            <v>0</v>
          </cell>
          <cell r="O12">
            <v>-266.88150300000001</v>
          </cell>
          <cell r="P12">
            <v>-266.88150300000001</v>
          </cell>
          <cell r="Q12">
            <v>-66.072300000000013</v>
          </cell>
          <cell r="R12">
            <v>-76.496700000000004</v>
          </cell>
          <cell r="S12">
            <v>-142.56900000000002</v>
          </cell>
          <cell r="T12">
            <v>-71.539999999999992</v>
          </cell>
          <cell r="U12">
            <v>-214.10900000000001</v>
          </cell>
          <cell r="V12">
            <v>-79.114000000000004</v>
          </cell>
          <cell r="W12">
            <v>-293.22300000000001</v>
          </cell>
          <cell r="X12">
            <v>-68.7</v>
          </cell>
          <cell r="Y12">
            <v>-76.2</v>
          </cell>
          <cell r="Z12">
            <v>-144.9</v>
          </cell>
          <cell r="AA12">
            <v>-73</v>
          </cell>
          <cell r="AB12">
            <v>-217.9</v>
          </cell>
          <cell r="AC12">
            <v>-83.112000000000009</v>
          </cell>
          <cell r="AD12">
            <v>-301.012</v>
          </cell>
          <cell r="AE12">
            <v>-82.6</v>
          </cell>
          <cell r="AF12">
            <v>-77.099999999999994</v>
          </cell>
          <cell r="AG12">
            <v>-159.69999999999999</v>
          </cell>
          <cell r="AH12">
            <v>-77.900000000000006</v>
          </cell>
          <cell r="AI12">
            <v>-237.6</v>
          </cell>
          <cell r="AJ12">
            <v>-75.594999999999999</v>
          </cell>
          <cell r="AK12">
            <v>-313.19499999999999</v>
          </cell>
          <cell r="AL12">
            <v>-75.400000000000006</v>
          </cell>
          <cell r="AM12">
            <v>-91.5</v>
          </cell>
          <cell r="AN12">
            <v>-166.9</v>
          </cell>
          <cell r="AO12">
            <v>-76.900000000000006</v>
          </cell>
          <cell r="AP12">
            <v>-243.8</v>
          </cell>
          <cell r="AQ12">
            <v>-134.70900000000003</v>
          </cell>
          <cell r="AR12">
            <v>-378.50900000000001</v>
          </cell>
          <cell r="AS12">
            <v>-144.4</v>
          </cell>
          <cell r="AT12">
            <v>-151.6</v>
          </cell>
          <cell r="AU12">
            <v>-296</v>
          </cell>
          <cell r="AV12">
            <v>-115.6</v>
          </cell>
          <cell r="AW12">
            <v>-411.6</v>
          </cell>
          <cell r="AX12">
            <v>-106.23500000000001</v>
          </cell>
          <cell r="AY12">
            <v>-517.83500000000004</v>
          </cell>
          <cell r="AZ12">
            <v>-82</v>
          </cell>
          <cell r="BA12">
            <v>-91.699999999999989</v>
          </cell>
          <cell r="BB12">
            <v>-173.7</v>
          </cell>
          <cell r="BC12">
            <v>-86.900000000000034</v>
          </cell>
          <cell r="BD12">
            <v>-260.60000000000002</v>
          </cell>
          <cell r="BE12">
            <v>-87.45999999999998</v>
          </cell>
          <cell r="BF12">
            <v>-348.06</v>
          </cell>
          <cell r="BG12">
            <v>-91.5</v>
          </cell>
          <cell r="BH12">
            <v>-102.7</v>
          </cell>
          <cell r="BI12">
            <v>-194.2</v>
          </cell>
          <cell r="BJ12">
            <v>-96.9</v>
          </cell>
          <cell r="BK12">
            <v>-291.10000000000002</v>
          </cell>
          <cell r="BL12">
            <v>-115.209</v>
          </cell>
          <cell r="BM12">
            <v>-406.30900000000003</v>
          </cell>
          <cell r="BN12">
            <v>-105.8</v>
          </cell>
          <cell r="BO12">
            <v>-115.2</v>
          </cell>
          <cell r="BP12">
            <v>-221</v>
          </cell>
          <cell r="BQ12">
            <v>-101.96279999999999</v>
          </cell>
          <cell r="BR12">
            <v>-322.96280000000002</v>
          </cell>
          <cell r="BS12">
            <v>-111.47500000000002</v>
          </cell>
          <cell r="BT12">
            <v>-434.43780000000004</v>
          </cell>
          <cell r="BU12">
            <v>-440.70045380000005</v>
          </cell>
          <cell r="BV12">
            <v>-496.43947486200011</v>
          </cell>
          <cell r="BW12">
            <v>-525.15783592470007</v>
          </cell>
          <cell r="BX12">
            <v>-547.58485032133535</v>
          </cell>
          <cell r="BY12">
            <v>-554.30609178730424</v>
          </cell>
          <cell r="BZ12">
            <v>-569.25756778791231</v>
          </cell>
          <cell r="CC12" t="str">
            <v>mstag:marketingAndDistributionCosts</v>
          </cell>
          <cell r="CD12">
            <v>6</v>
          </cell>
          <cell r="CE12" t="str">
            <v>ISO4217:EUR</v>
          </cell>
          <cell r="CF12" t="b">
            <v>1</v>
          </cell>
          <cell r="CG12" t="b">
            <v>0</v>
          </cell>
        </row>
        <row r="13">
          <cell r="A13" t="str">
            <v>SG&amp;A as % Revenue</v>
          </cell>
          <cell r="B13">
            <v>0.38312132151477246</v>
          </cell>
          <cell r="C13" t="e">
            <v>#DIV/0!</v>
          </cell>
          <cell r="D13" t="e">
            <v>#DIV/0!</v>
          </cell>
          <cell r="E13" t="e">
            <v>#DIV/0!</v>
          </cell>
          <cell r="F13" t="e">
            <v>#DIV/0!</v>
          </cell>
          <cell r="G13" t="e">
            <v>#DIV/0!</v>
          </cell>
          <cell r="H13">
            <v>0.40502277183758323</v>
          </cell>
          <cell r="I13">
            <v>0.40502277183758328</v>
          </cell>
          <cell r="J13" t="e">
            <v>#DIV/0!</v>
          </cell>
          <cell r="K13" t="e">
            <v>#DIV/0!</v>
          </cell>
          <cell r="L13" t="e">
            <v>#DIV/0!</v>
          </cell>
          <cell r="M13" t="e">
            <v>#DIV/0!</v>
          </cell>
          <cell r="N13" t="e">
            <v>#DIV/0!</v>
          </cell>
          <cell r="O13" t="e">
            <v>#DIV/0!</v>
          </cell>
          <cell r="P13">
            <v>0.39173305271305858</v>
          </cell>
          <cell r="Q13">
            <v>0.39638258736971194</v>
          </cell>
          <cell r="R13">
            <v>0.40569105691056906</v>
          </cell>
          <cell r="S13">
            <v>0.40132336018411968</v>
          </cell>
          <cell r="T13">
            <v>0.4247572815533982</v>
          </cell>
          <cell r="U13">
            <v>0.40886026541764253</v>
          </cell>
          <cell r="V13">
            <v>0.43419084112744516</v>
          </cell>
          <cell r="W13">
            <v>0.41539886921770336</v>
          </cell>
          <cell r="X13">
            <v>0.41236494597839141</v>
          </cell>
          <cell r="Y13">
            <v>0.38233818364274963</v>
          </cell>
          <cell r="Z13">
            <v>0.39600983875375789</v>
          </cell>
          <cell r="AA13">
            <v>0.41857798165137611</v>
          </cell>
          <cell r="AB13">
            <v>0.40329446603738667</v>
          </cell>
          <cell r="AC13">
            <v>0.42427460028995539</v>
          </cell>
          <cell r="AD13">
            <v>0.40887703207858817</v>
          </cell>
          <cell r="AE13">
            <v>0.46613995485327314</v>
          </cell>
          <cell r="AF13">
            <v>0.37628111273792092</v>
          </cell>
          <cell r="AG13">
            <v>0.41795341533629932</v>
          </cell>
          <cell r="AH13">
            <v>0.42313959804454104</v>
          </cell>
          <cell r="AI13">
            <v>0.41963970328505823</v>
          </cell>
          <cell r="AJ13">
            <v>0.37510916597197419</v>
          </cell>
          <cell r="AK13">
            <v>0.40795047204218154</v>
          </cell>
          <cell r="AL13">
            <v>0.4064690026954178</v>
          </cell>
          <cell r="AM13">
            <v>0.42049632352941174</v>
          </cell>
          <cell r="AN13">
            <v>0.41404118084842467</v>
          </cell>
          <cell r="AO13">
            <v>0.40969632392115085</v>
          </cell>
          <cell r="AP13">
            <v>0.41266079891672314</v>
          </cell>
          <cell r="AQ13">
            <v>0.36140786727263952</v>
          </cell>
          <cell r="AR13">
            <v>0.39283408784744489</v>
          </cell>
          <cell r="AS13">
            <v>0.30848109378337962</v>
          </cell>
          <cell r="AT13">
            <v>0.29731319866640515</v>
          </cell>
          <cell r="AU13">
            <v>0.30265848670756645</v>
          </cell>
          <cell r="AV13">
            <v>0.42878338278931744</v>
          </cell>
          <cell r="AW13">
            <v>0.32991343379288235</v>
          </cell>
          <cell r="AX13">
            <v>0.42719731058915311</v>
          </cell>
          <cell r="AY13">
            <v>0.34608184703521205</v>
          </cell>
          <cell r="AZ13">
            <v>0.36235086168802472</v>
          </cell>
          <cell r="BA13">
            <v>0.34708554125662372</v>
          </cell>
          <cell r="BB13">
            <v>0.35412844036697244</v>
          </cell>
          <cell r="BC13">
            <v>0.3926796204247629</v>
          </cell>
          <cell r="BD13">
            <v>0.36611407698791804</v>
          </cell>
          <cell r="BE13">
            <v>0.37241267718983001</v>
          </cell>
          <cell r="BF13">
            <v>0.36767665243749775</v>
          </cell>
          <cell r="BG13">
            <v>0.38429231415371695</v>
          </cell>
          <cell r="BH13">
            <v>0.40998003992015969</v>
          </cell>
          <cell r="BI13">
            <v>0.39746213671715103</v>
          </cell>
          <cell r="BJ13">
            <v>0.41481164383561647</v>
          </cell>
          <cell r="BK13">
            <v>0.40307394073663805</v>
          </cell>
          <cell r="BL13">
            <v>0.42928845035994823</v>
          </cell>
          <cell r="BM13">
            <v>0.41017614065408675</v>
          </cell>
          <cell r="BN13">
            <v>0.42764753435731606</v>
          </cell>
          <cell r="BO13">
            <v>0.488135593220339</v>
          </cell>
          <cell r="BP13">
            <v>0.45717832023169219</v>
          </cell>
          <cell r="BQ13">
            <v>0.45</v>
          </cell>
          <cell r="BR13">
            <v>0.45488743408302168</v>
          </cell>
          <cell r="BS13">
            <v>0.47548262712948813</v>
          </cell>
          <cell r="BT13">
            <v>0.46</v>
          </cell>
          <cell r="BU13">
            <v>0.47</v>
          </cell>
          <cell r="BV13">
            <v>0.46</v>
          </cell>
          <cell r="BW13">
            <v>0.45</v>
          </cell>
          <cell r="BX13">
            <v>0.44000000000000006</v>
          </cell>
          <cell r="BY13">
            <v>0.43000000000000005</v>
          </cell>
          <cell r="BZ13">
            <v>0.43</v>
          </cell>
        </row>
        <row r="15">
          <cell r="A15" t="str">
            <v>Profit before R&amp;D</v>
          </cell>
          <cell r="B15">
            <v>182.98092400000002</v>
          </cell>
          <cell r="C15">
            <v>0</v>
          </cell>
          <cell r="D15">
            <v>0</v>
          </cell>
          <cell r="E15">
            <v>0</v>
          </cell>
          <cell r="F15">
            <v>0</v>
          </cell>
          <cell r="G15">
            <v>0</v>
          </cell>
          <cell r="H15">
            <v>196.92151499999994</v>
          </cell>
          <cell r="I15">
            <v>196.92151499999983</v>
          </cell>
          <cell r="J15">
            <v>0</v>
          </cell>
          <cell r="K15">
            <v>0</v>
          </cell>
          <cell r="L15">
            <v>0</v>
          </cell>
          <cell r="M15">
            <v>0</v>
          </cell>
          <cell r="N15">
            <v>0</v>
          </cell>
          <cell r="O15">
            <v>-490.06535200000002</v>
          </cell>
          <cell r="P15">
            <v>191.21875499999993</v>
          </cell>
          <cell r="Q15">
            <v>38.427199999999971</v>
          </cell>
          <cell r="R15">
            <v>42.259700000000038</v>
          </cell>
          <cell r="S15">
            <v>80.686900000000009</v>
          </cell>
          <cell r="T15">
            <v>19.928999999999917</v>
          </cell>
          <cell r="U15">
            <v>100.61589999999993</v>
          </cell>
          <cell r="V15">
            <v>18.233100000000007</v>
          </cell>
          <cell r="W15">
            <v>118.84899999999982</v>
          </cell>
          <cell r="X15">
            <v>32.999999999999986</v>
          </cell>
          <cell r="Y15">
            <v>36.800000000000011</v>
          </cell>
          <cell r="Z15">
            <v>69.799999999999983</v>
          </cell>
          <cell r="AA15">
            <v>29.700000000000003</v>
          </cell>
          <cell r="AB15">
            <v>99.499999999999972</v>
          </cell>
          <cell r="AC15">
            <v>31.071000000000183</v>
          </cell>
          <cell r="AD15">
            <v>130.57100000000003</v>
          </cell>
          <cell r="AE15">
            <v>26.699999999999989</v>
          </cell>
          <cell r="AF15">
            <v>47.500000000000014</v>
          </cell>
          <cell r="AG15">
            <v>74.200000000000045</v>
          </cell>
          <cell r="AH15">
            <v>34.399999999999991</v>
          </cell>
          <cell r="AI15">
            <v>108.60000000000005</v>
          </cell>
          <cell r="AJ15">
            <v>44.223000000000013</v>
          </cell>
          <cell r="AK15">
            <v>152.82300000000009</v>
          </cell>
          <cell r="AL15">
            <v>37.5</v>
          </cell>
          <cell r="AM15">
            <v>44.900000000000034</v>
          </cell>
          <cell r="AN15">
            <v>82.4</v>
          </cell>
          <cell r="AO15">
            <v>38.59999999999998</v>
          </cell>
          <cell r="AP15">
            <v>120.99999999999994</v>
          </cell>
          <cell r="AQ15">
            <v>138.95999999999995</v>
          </cell>
          <cell r="AR15">
            <v>259.96000000000004</v>
          </cell>
          <cell r="AS15">
            <v>231.30000000000004</v>
          </cell>
          <cell r="AT15">
            <v>239.79999999999998</v>
          </cell>
          <cell r="AU15">
            <v>471.1</v>
          </cell>
          <cell r="AV15">
            <v>71.700000000000017</v>
          </cell>
          <cell r="AW15">
            <v>542.79999999999984</v>
          </cell>
          <cell r="AX15">
            <v>50.321000000000026</v>
          </cell>
          <cell r="AY15">
            <v>593.12100000000009</v>
          </cell>
          <cell r="AZ15">
            <v>62.600000000000023</v>
          </cell>
          <cell r="BA15">
            <v>96.600000000000023</v>
          </cell>
          <cell r="BB15">
            <v>159.19999999999999</v>
          </cell>
          <cell r="BC15">
            <v>53.999999999999943</v>
          </cell>
          <cell r="BD15">
            <v>213.19999999999993</v>
          </cell>
          <cell r="BE15">
            <v>58.458999999999946</v>
          </cell>
          <cell r="BF15">
            <v>271.65900000000016</v>
          </cell>
          <cell r="BG15">
            <v>72</v>
          </cell>
          <cell r="BH15">
            <v>64.2</v>
          </cell>
          <cell r="BI15">
            <v>136.20000000000005</v>
          </cell>
          <cell r="BJ15">
            <v>51.099999999999994</v>
          </cell>
          <cell r="BK15">
            <v>187.30000000000007</v>
          </cell>
          <cell r="BL15">
            <v>79.024999999999949</v>
          </cell>
          <cell r="BM15">
            <v>266.32499999999999</v>
          </cell>
          <cell r="BN15">
            <v>63.7</v>
          </cell>
          <cell r="BO15">
            <v>41.7</v>
          </cell>
          <cell r="BP15">
            <v>105.39999999999998</v>
          </cell>
          <cell r="BQ15">
            <v>54.354320000000001</v>
          </cell>
          <cell r="BR15">
            <v>159.75431999999989</v>
          </cell>
          <cell r="BS15">
            <v>55.344710000000134</v>
          </cell>
          <cell r="BT15">
            <v>210.09903000000008</v>
          </cell>
          <cell r="BU15">
            <v>205.44871340000014</v>
          </cell>
          <cell r="BV15">
            <v>262.53157493399999</v>
          </cell>
          <cell r="BW15">
            <v>309.50860502818</v>
          </cell>
          <cell r="BX15">
            <v>358.39119562981921</v>
          </cell>
          <cell r="BY15">
            <v>402.70447409726989</v>
          </cell>
          <cell r="BZ15">
            <v>430.88193822727465</v>
          </cell>
        </row>
        <row r="16">
          <cell r="A16" t="str">
            <v>Research and Development expenses</v>
          </cell>
          <cell r="B16">
            <v>-49.121919000000005</v>
          </cell>
          <cell r="C16">
            <v>0</v>
          </cell>
          <cell r="D16">
            <v>0</v>
          </cell>
          <cell r="E16">
            <v>0</v>
          </cell>
          <cell r="F16">
            <v>0</v>
          </cell>
          <cell r="G16">
            <v>0</v>
          </cell>
          <cell r="H16">
            <v>-54.705105000000003</v>
          </cell>
          <cell r="I16">
            <v>-54.705105000000003</v>
          </cell>
          <cell r="J16">
            <v>0</v>
          </cell>
          <cell r="K16">
            <v>0</v>
          </cell>
          <cell r="L16">
            <v>0</v>
          </cell>
          <cell r="M16">
            <v>0</v>
          </cell>
          <cell r="N16">
            <v>0</v>
          </cell>
          <cell r="O16">
            <v>-59.191685</v>
          </cell>
          <cell r="P16">
            <v>-59.191685</v>
          </cell>
          <cell r="Q16">
            <v>-10.066699999999999</v>
          </cell>
          <cell r="R16">
            <v>-15.278900000000002</v>
          </cell>
          <cell r="S16">
            <v>-25.345600000000001</v>
          </cell>
          <cell r="T16">
            <v>-14.818999999999999</v>
          </cell>
          <cell r="U16">
            <v>-40.1646</v>
          </cell>
          <cell r="V16">
            <v>-36.899399999999993</v>
          </cell>
          <cell r="W16">
            <v>-77.063999999999993</v>
          </cell>
          <cell r="X16">
            <v>-15.6</v>
          </cell>
          <cell r="Y16">
            <v>-19.899999999999999</v>
          </cell>
          <cell r="Z16">
            <v>-35.5</v>
          </cell>
          <cell r="AA16">
            <v>-24</v>
          </cell>
          <cell r="AB16">
            <v>-59.5</v>
          </cell>
          <cell r="AC16">
            <v>-31.981999999999999</v>
          </cell>
          <cell r="AD16">
            <v>-91.481999999999999</v>
          </cell>
          <cell r="AE16">
            <v>-21.1</v>
          </cell>
          <cell r="AF16">
            <v>-25.7</v>
          </cell>
          <cell r="AG16">
            <v>-46.8</v>
          </cell>
          <cell r="AH16">
            <v>-23.3</v>
          </cell>
          <cell r="AI16">
            <v>-70.099999999999994</v>
          </cell>
          <cell r="AJ16">
            <v>-36.881999999999998</v>
          </cell>
          <cell r="AK16">
            <v>-106.982</v>
          </cell>
          <cell r="AL16">
            <v>-24.7</v>
          </cell>
          <cell r="AM16">
            <v>-35</v>
          </cell>
          <cell r="AN16">
            <v>-59.7</v>
          </cell>
          <cell r="AO16">
            <v>-23.8</v>
          </cell>
          <cell r="AP16">
            <v>-83.5</v>
          </cell>
          <cell r="AQ16">
            <v>-40.736000000000004</v>
          </cell>
          <cell r="AR16">
            <v>-124.236</v>
          </cell>
          <cell r="AS16">
            <v>-31.2</v>
          </cell>
          <cell r="AT16">
            <v>-33.9</v>
          </cell>
          <cell r="AU16">
            <v>-65.099999999999994</v>
          </cell>
          <cell r="AV16">
            <v>-30.9</v>
          </cell>
          <cell r="AW16">
            <v>-96</v>
          </cell>
          <cell r="AX16">
            <v>-48.024999999999991</v>
          </cell>
          <cell r="AY16">
            <v>-144.02500000000001</v>
          </cell>
          <cell r="AZ16">
            <v>-46.6</v>
          </cell>
          <cell r="BA16">
            <v>-50.499999999999993</v>
          </cell>
          <cell r="BB16">
            <v>-97.1</v>
          </cell>
          <cell r="BC16">
            <v>-43.999999999999993</v>
          </cell>
          <cell r="BD16">
            <v>-141.1</v>
          </cell>
          <cell r="BE16">
            <v>-57.220999999999997</v>
          </cell>
          <cell r="BF16">
            <v>-198.321</v>
          </cell>
          <cell r="BG16">
            <v>-43.7</v>
          </cell>
          <cell r="BH16">
            <v>-45.4</v>
          </cell>
          <cell r="BI16">
            <v>-89.1</v>
          </cell>
          <cell r="BJ16">
            <v>-111.8</v>
          </cell>
          <cell r="BK16">
            <v>-200.89999999999998</v>
          </cell>
          <cell r="BL16">
            <v>-58.030999999999963</v>
          </cell>
          <cell r="BM16">
            <v>-258.93099999999998</v>
          </cell>
          <cell r="BN16">
            <v>-45.8</v>
          </cell>
          <cell r="BO16">
            <v>-52.1</v>
          </cell>
          <cell r="BP16">
            <v>-97.9</v>
          </cell>
          <cell r="BQ16">
            <v>-43.916799999999995</v>
          </cell>
          <cell r="BR16">
            <v>-141.8168</v>
          </cell>
          <cell r="BS16">
            <v>-47.069200000000023</v>
          </cell>
          <cell r="BT16">
            <v>-188.88600000000002</v>
          </cell>
          <cell r="BU16">
            <v>-168.77889720000002</v>
          </cell>
          <cell r="BV16">
            <v>-178.07068120050005</v>
          </cell>
          <cell r="BW16">
            <v>-192.55787317239003</v>
          </cell>
          <cell r="BX16">
            <v>-205.34431887050076</v>
          </cell>
          <cell r="BY16">
            <v>-212.69884917419813</v>
          </cell>
          <cell r="BZ16">
            <v>-218.43604345350124</v>
          </cell>
          <cell r="CC16" t="str">
            <v>mstag:researchAndDevelopment</v>
          </cell>
          <cell r="CD16">
            <v>6</v>
          </cell>
          <cell r="CE16" t="str">
            <v>ISO4217:EUR</v>
          </cell>
          <cell r="CF16" t="b">
            <v>1</v>
          </cell>
          <cell r="CG16" t="b">
            <v>0</v>
          </cell>
        </row>
        <row r="17">
          <cell r="A17" t="str">
            <v>R&amp;D as % Revenue</v>
          </cell>
          <cell r="B17">
            <v>8.0422824491025238E-2</v>
          </cell>
          <cell r="C17" t="e">
            <v>#DIV/0!</v>
          </cell>
          <cell r="D17" t="e">
            <v>#DIV/0!</v>
          </cell>
          <cell r="E17" t="e">
            <v>#DIV/0!</v>
          </cell>
          <cell r="F17" t="e">
            <v>#DIV/0!</v>
          </cell>
          <cell r="G17" t="e">
            <v>#DIV/0!</v>
          </cell>
          <cell r="H17">
            <v>8.4135947280936499E-2</v>
          </cell>
          <cell r="I17">
            <v>8.4135947280936513E-2</v>
          </cell>
          <cell r="J17" t="e">
            <v>#DIV/0!</v>
          </cell>
          <cell r="K17" t="e">
            <v>#DIV/0!</v>
          </cell>
          <cell r="L17" t="e">
            <v>#DIV/0!</v>
          </cell>
          <cell r="M17" t="e">
            <v>#DIV/0!</v>
          </cell>
          <cell r="N17" t="e">
            <v>#DIV/0!</v>
          </cell>
          <cell r="O17" t="e">
            <v>#DIV/0!</v>
          </cell>
          <cell r="P17">
            <v>8.6882527262594725E-2</v>
          </cell>
          <cell r="Q17">
            <v>6.0392397302268544E-2</v>
          </cell>
          <cell r="R17">
            <v>8.1029810298102981E-2</v>
          </cell>
          <cell r="S17">
            <v>7.1346375143843496E-2</v>
          </cell>
          <cell r="T17">
            <v>8.7985436893203928E-2</v>
          </cell>
          <cell r="U17">
            <v>7.6697892271662779E-2</v>
          </cell>
          <cell r="V17">
            <v>0.20251006804229399</v>
          </cell>
          <cell r="W17">
            <v>0.10917389992392509</v>
          </cell>
          <cell r="X17">
            <v>9.3637454981992801E-2</v>
          </cell>
          <cell r="Y17">
            <v>9.9849473156046142E-2</v>
          </cell>
          <cell r="Z17">
            <v>9.7021044001093196E-2</v>
          </cell>
          <cell r="AA17">
            <v>0.13761467889908258</v>
          </cell>
          <cell r="AB17">
            <v>0.11012400518230614</v>
          </cell>
          <cell r="AC17">
            <v>0.16326343087007111</v>
          </cell>
          <cell r="AD17">
            <v>0.12426377901417021</v>
          </cell>
          <cell r="AE17">
            <v>0.11907449209932282</v>
          </cell>
          <cell r="AF17">
            <v>0.12542703757930698</v>
          </cell>
          <cell r="AG17">
            <v>0.12248102590944777</v>
          </cell>
          <cell r="AH17">
            <v>0.12656165127648017</v>
          </cell>
          <cell r="AI17">
            <v>0.12380784175203106</v>
          </cell>
          <cell r="AJ17">
            <v>0.18301178992497322</v>
          </cell>
          <cell r="AK17">
            <v>0.13934883187795677</v>
          </cell>
          <cell r="AL17">
            <v>0.13315363881401618</v>
          </cell>
          <cell r="AM17">
            <v>0.1608455882352941</v>
          </cell>
          <cell r="AN17">
            <v>0.14810220788886133</v>
          </cell>
          <cell r="AO17">
            <v>0.1267980820458178</v>
          </cell>
          <cell r="AP17">
            <v>0.14133378469871363</v>
          </cell>
          <cell r="AQ17">
            <v>0.10928973477064073</v>
          </cell>
          <cell r="AR17">
            <v>0.12893784754871129</v>
          </cell>
          <cell r="AS17">
            <v>6.6652424695577861E-2</v>
          </cell>
          <cell r="AT17">
            <v>6.6483624240047071E-2</v>
          </cell>
          <cell r="AU17">
            <v>6.6564417177914101E-2</v>
          </cell>
          <cell r="AV17">
            <v>0.11461424332344212</v>
          </cell>
          <cell r="AW17">
            <v>7.6947739660147493E-2</v>
          </cell>
          <cell r="AX17">
            <v>0.19312044844960768</v>
          </cell>
          <cell r="AY17">
            <v>9.6255444338923427E-2</v>
          </cell>
          <cell r="AZ17">
            <v>0.20592134334953602</v>
          </cell>
          <cell r="BA17">
            <v>0.19114307342922027</v>
          </cell>
          <cell r="BB17">
            <v>0.19796126401630987</v>
          </cell>
          <cell r="BC17">
            <v>0.19882512426570262</v>
          </cell>
          <cell r="BD17">
            <v>0.19822983984265244</v>
          </cell>
          <cell r="BE17">
            <v>0.2436522501884206</v>
          </cell>
          <cell r="BF17">
            <v>0.20949836633930066</v>
          </cell>
          <cell r="BG17">
            <v>0.18353632927341454</v>
          </cell>
          <cell r="BH17">
            <v>0.18123752495009979</v>
          </cell>
          <cell r="BI17">
            <v>0.18235775685632416</v>
          </cell>
          <cell r="BJ17">
            <v>0.4785958904109589</v>
          </cell>
          <cell r="BK17">
            <v>0.27817779008584875</v>
          </cell>
          <cell r="BL17">
            <v>0.21623343716930221</v>
          </cell>
          <cell r="BM17">
            <v>0.26139543617223177</v>
          </cell>
          <cell r="BN17">
            <v>0.18512530315278899</v>
          </cell>
          <cell r="BO17">
            <v>0.2207627118644068</v>
          </cell>
          <cell r="BP17">
            <v>0.20252378982209351</v>
          </cell>
          <cell r="BQ17">
            <v>0.19382127599477456</v>
          </cell>
          <cell r="BR17">
            <v>0.19974647315995855</v>
          </cell>
          <cell r="BS17">
            <v>0.20076776741765695</v>
          </cell>
          <cell r="BT17">
            <v>0.2</v>
          </cell>
          <cell r="BU17">
            <v>0.18</v>
          </cell>
          <cell r="BV17">
            <v>0.16500000000000001</v>
          </cell>
          <cell r="BW17">
            <v>0.16500000000000001</v>
          </cell>
          <cell r="BX17">
            <v>0.16500000000000001</v>
          </cell>
          <cell r="BY17">
            <v>0.16500000000000001</v>
          </cell>
          <cell r="BZ17">
            <v>0.16500000000000001</v>
          </cell>
        </row>
        <row r="19">
          <cell r="A19" t="str">
            <v>Amortization of intangible assets</v>
          </cell>
          <cell r="B19">
            <v>-32.624794999999999</v>
          </cell>
          <cell r="E19">
            <v>0</v>
          </cell>
          <cell r="G19">
            <v>0</v>
          </cell>
          <cell r="H19">
            <v>-39.813542999999996</v>
          </cell>
          <cell r="I19">
            <v>-39.813542999999996</v>
          </cell>
          <cell r="L19">
            <v>0</v>
          </cell>
          <cell r="N19">
            <v>0</v>
          </cell>
          <cell r="O19">
            <v>-41.185066999999997</v>
          </cell>
          <cell r="P19">
            <v>-41.185066999999997</v>
          </cell>
          <cell r="Q19">
            <v>-11.7019</v>
          </cell>
          <cell r="R19">
            <v>-11.241999999999999</v>
          </cell>
          <cell r="S19">
            <v>-22.943899999999999</v>
          </cell>
          <cell r="T19">
            <v>-9.6067999999999998</v>
          </cell>
          <cell r="U19">
            <v>-32.550699999999999</v>
          </cell>
          <cell r="V19">
            <v>-8.8993000000000055</v>
          </cell>
          <cell r="W19">
            <v>-41.45</v>
          </cell>
          <cell r="X19">
            <v>-9.3000000000000007</v>
          </cell>
          <cell r="Y19">
            <v>-9.5</v>
          </cell>
          <cell r="Z19">
            <v>-18.8</v>
          </cell>
          <cell r="AA19">
            <v>-9.6</v>
          </cell>
          <cell r="AB19">
            <v>-28.4</v>
          </cell>
          <cell r="AC19">
            <v>-17.953999999999997</v>
          </cell>
          <cell r="AD19">
            <v>-46.353999999999999</v>
          </cell>
          <cell r="AE19">
            <v>-9.4</v>
          </cell>
          <cell r="AF19">
            <v>-10.5</v>
          </cell>
          <cell r="AG19">
            <v>-19.899999999999999</v>
          </cell>
          <cell r="AH19">
            <v>-9.1999999999999993</v>
          </cell>
          <cell r="AI19">
            <v>-29.099999999999998</v>
          </cell>
          <cell r="AJ19">
            <v>-9.3129999999999971</v>
          </cell>
          <cell r="AK19">
            <v>-38.412999999999997</v>
          </cell>
          <cell r="AL19">
            <v>-8.4</v>
          </cell>
          <cell r="AM19">
            <v>-8.4</v>
          </cell>
          <cell r="AN19">
            <v>-16.8</v>
          </cell>
          <cell r="AO19">
            <v>-8.1999999999999993</v>
          </cell>
          <cell r="AP19">
            <v>-25</v>
          </cell>
          <cell r="AQ19">
            <v>-9.2359999999999953</v>
          </cell>
          <cell r="AR19">
            <v>-34.235999999999997</v>
          </cell>
          <cell r="AS19">
            <v>-8.3000000000000007</v>
          </cell>
          <cell r="AT19">
            <v>-7.5</v>
          </cell>
          <cell r="AU19">
            <v>-15.8</v>
          </cell>
          <cell r="AV19">
            <v>-7.5</v>
          </cell>
          <cell r="AW19">
            <v>-23.3</v>
          </cell>
          <cell r="AX19">
            <v>-7.9689999999999976</v>
          </cell>
          <cell r="AY19">
            <v>-31.268999999999998</v>
          </cell>
          <cell r="AZ19">
            <v>-7.3</v>
          </cell>
          <cell r="BA19">
            <v>-7.5000000000000009</v>
          </cell>
          <cell r="BB19">
            <v>-14.8</v>
          </cell>
          <cell r="BC19">
            <v>-7.3999999999999995</v>
          </cell>
          <cell r="BD19">
            <v>-22.2</v>
          </cell>
          <cell r="BE19">
            <v>-7.8520000000000012</v>
          </cell>
          <cell r="BF19">
            <v>-30.052</v>
          </cell>
          <cell r="BG19">
            <v>-6.6</v>
          </cell>
          <cell r="BH19">
            <v>-6.6</v>
          </cell>
          <cell r="BI19">
            <v>-13.2</v>
          </cell>
          <cell r="BJ19">
            <v>-6.6</v>
          </cell>
          <cell r="BK19">
            <v>-19.799999999999997</v>
          </cell>
          <cell r="BL19">
            <v>-6.6759999999999984</v>
          </cell>
          <cell r="BM19">
            <v>-26.475999999999999</v>
          </cell>
          <cell r="BN19">
            <v>-6.5</v>
          </cell>
          <cell r="BO19">
            <v>-6.6</v>
          </cell>
          <cell r="BP19">
            <v>-13.1</v>
          </cell>
          <cell r="BQ19">
            <v>-6.2</v>
          </cell>
          <cell r="BR19">
            <v>-19.3</v>
          </cell>
          <cell r="BS19">
            <v>-5.5564948318544491</v>
          </cell>
          <cell r="BT19">
            <v>-24.856494831854448</v>
          </cell>
          <cell r="BU19">
            <v>-23.336052852621503</v>
          </cell>
          <cell r="BV19">
            <v>-21.908614485838822</v>
          </cell>
          <cell r="BW19">
            <v>-20.568490812069204</v>
          </cell>
          <cell r="BX19">
            <v>-19.310340896254868</v>
          </cell>
          <cell r="BY19">
            <v>-18.129150501930305</v>
          </cell>
          <cell r="BZ19">
            <v>-17.020212107461177</v>
          </cell>
          <cell r="CC19" t="str">
            <v>mstag:amortizationOfOtherIntangiblesInIncomeStatement</v>
          </cell>
          <cell r="CD19">
            <v>6</v>
          </cell>
          <cell r="CE19" t="str">
            <v>ISO4217:EUR</v>
          </cell>
          <cell r="CF19" t="b">
            <v>1</v>
          </cell>
          <cell r="CG19" t="b">
            <v>0</v>
          </cell>
        </row>
        <row r="20">
          <cell r="A20" t="str">
            <v xml:space="preserve">Impairment of assets </v>
          </cell>
          <cell r="B20">
            <v>0</v>
          </cell>
          <cell r="I20">
            <v>0</v>
          </cell>
          <cell r="P20">
            <v>0</v>
          </cell>
          <cell r="Q20">
            <v>0</v>
          </cell>
          <cell r="R20">
            <v>0</v>
          </cell>
          <cell r="S20">
            <v>0</v>
          </cell>
          <cell r="T20">
            <v>0</v>
          </cell>
          <cell r="U20">
            <v>0</v>
          </cell>
          <cell r="V20">
            <v>-43.652999999999999</v>
          </cell>
          <cell r="W20">
            <v>-43.652999999999999</v>
          </cell>
          <cell r="X20">
            <v>0</v>
          </cell>
          <cell r="Y20">
            <v>0</v>
          </cell>
          <cell r="Z20">
            <v>0</v>
          </cell>
          <cell r="AA20">
            <v>0</v>
          </cell>
          <cell r="AB20">
            <v>0</v>
          </cell>
          <cell r="AC20">
            <v>-2.3260000000000001</v>
          </cell>
          <cell r="AD20">
            <v>-2.3260000000000001</v>
          </cell>
          <cell r="AF20">
            <v>-1.3</v>
          </cell>
          <cell r="AG20">
            <v>-1.3</v>
          </cell>
          <cell r="AH20">
            <v>0</v>
          </cell>
          <cell r="AI20">
            <v>-1.3</v>
          </cell>
          <cell r="AJ20">
            <v>-2.8999999999999915E-2</v>
          </cell>
          <cell r="AK20">
            <v>-1.329</v>
          </cell>
          <cell r="AL20">
            <v>0</v>
          </cell>
          <cell r="AM20">
            <v>0</v>
          </cell>
          <cell r="AN20">
            <v>0</v>
          </cell>
          <cell r="AO20">
            <v>0</v>
          </cell>
          <cell r="AP20">
            <v>0</v>
          </cell>
          <cell r="AQ20">
            <v>-3.0619999999999998</v>
          </cell>
          <cell r="AR20">
            <v>-3.0619999999999998</v>
          </cell>
          <cell r="AS20">
            <v>-25.588999999999999</v>
          </cell>
          <cell r="AT20">
            <v>0</v>
          </cell>
          <cell r="AU20">
            <v>-25.588999999999999</v>
          </cell>
          <cell r="AV20">
            <v>0</v>
          </cell>
          <cell r="AW20">
            <v>-25.588999999999999</v>
          </cell>
          <cell r="AX20">
            <v>0</v>
          </cell>
          <cell r="AY20">
            <v>-25.588999999999999</v>
          </cell>
          <cell r="AZ20">
            <v>0</v>
          </cell>
          <cell r="BA20">
            <v>0</v>
          </cell>
          <cell r="BB20">
            <v>0</v>
          </cell>
          <cell r="BC20">
            <v>0</v>
          </cell>
          <cell r="BD20">
            <v>0</v>
          </cell>
          <cell r="BE20">
            <v>0</v>
          </cell>
          <cell r="BF20">
            <v>0</v>
          </cell>
          <cell r="BL20">
            <v>-6.06</v>
          </cell>
          <cell r="BM20">
            <v>-6.06</v>
          </cell>
          <cell r="CC20" t="str">
            <v>mstag:assetImpairmentNonGoodwillOneTimeIncomeStatement</v>
          </cell>
          <cell r="CD20">
            <v>6</v>
          </cell>
          <cell r="CE20" t="str">
            <v>ISO4217:EUR</v>
          </cell>
          <cell r="CF20" t="b">
            <v>1</v>
          </cell>
          <cell r="CG20" t="b">
            <v>0</v>
          </cell>
        </row>
        <row r="21">
          <cell r="A21" t="str">
            <v>Gains/losses from fixed asset disposals</v>
          </cell>
          <cell r="B21">
            <v>0</v>
          </cell>
          <cell r="I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-2.0350000000000001</v>
          </cell>
          <cell r="BF21">
            <v>-2.0350000000000001</v>
          </cell>
          <cell r="BL21">
            <v>-1.4510000000000001</v>
          </cell>
          <cell r="BM21">
            <v>-1.4510000000000001</v>
          </cell>
          <cell r="CC21" t="str">
            <v>mstag:gainsLossesFromSaleOfOperatingAssetsOneTimeIncomeStatement</v>
          </cell>
          <cell r="CD21">
            <v>6</v>
          </cell>
          <cell r="CE21" t="str">
            <v>ISO4217:EUR</v>
          </cell>
          <cell r="CF21" t="b">
            <v>0</v>
          </cell>
          <cell r="CG21" t="b">
            <v>0</v>
          </cell>
        </row>
        <row r="22">
          <cell r="A22" t="str">
            <v>Other operating income/(expense)</v>
          </cell>
          <cell r="B22">
            <v>0</v>
          </cell>
          <cell r="E22">
            <v>0</v>
          </cell>
          <cell r="G22">
            <v>0</v>
          </cell>
          <cell r="H22">
            <v>0</v>
          </cell>
          <cell r="I22">
            <v>0</v>
          </cell>
          <cell r="L22">
            <v>0</v>
          </cell>
          <cell r="N22">
            <v>0</v>
          </cell>
          <cell r="O22">
            <v>13.052984</v>
          </cell>
          <cell r="P22">
            <v>13.052984</v>
          </cell>
          <cell r="Q22">
            <v>4.1901999999999999</v>
          </cell>
          <cell r="R22">
            <v>-5.4676999999999998</v>
          </cell>
          <cell r="S22">
            <v>-1.2774999999999999</v>
          </cell>
          <cell r="T22">
            <v>1.6351999999999998</v>
          </cell>
          <cell r="U22">
            <v>0.35769999999999991</v>
          </cell>
          <cell r="V22">
            <v>13.1403</v>
          </cell>
          <cell r="W22">
            <v>13.497999999999999</v>
          </cell>
          <cell r="X22">
            <v>1.9</v>
          </cell>
          <cell r="Y22">
            <v>2.7</v>
          </cell>
          <cell r="Z22">
            <v>4.5999999999999996</v>
          </cell>
          <cell r="AA22">
            <v>2.7</v>
          </cell>
          <cell r="AB22">
            <v>7.3</v>
          </cell>
          <cell r="AC22">
            <v>-1.3220000000000005</v>
          </cell>
          <cell r="AD22">
            <v>5.9779999999999998</v>
          </cell>
          <cell r="AE22">
            <v>4.9000000000000004</v>
          </cell>
          <cell r="AF22">
            <v>1.3</v>
          </cell>
          <cell r="AG22">
            <v>6.2</v>
          </cell>
          <cell r="AH22">
            <v>1.2</v>
          </cell>
          <cell r="AI22">
            <v>7.4</v>
          </cell>
          <cell r="AJ22">
            <v>3.0529999999999999</v>
          </cell>
          <cell r="AK22">
            <v>10.452999999999999</v>
          </cell>
          <cell r="AL22">
            <v>1.9</v>
          </cell>
          <cell r="AM22">
            <v>-0.2</v>
          </cell>
          <cell r="AN22">
            <v>1.7</v>
          </cell>
          <cell r="AO22">
            <v>1.5</v>
          </cell>
          <cell r="AP22">
            <v>3.2</v>
          </cell>
          <cell r="AQ22">
            <v>-26.689999999999998</v>
          </cell>
          <cell r="AR22">
            <v>-23.49</v>
          </cell>
          <cell r="AS22">
            <v>-56.11099999999999</v>
          </cell>
          <cell r="AT22">
            <v>-48.9</v>
          </cell>
          <cell r="AU22">
            <v>-105.011</v>
          </cell>
          <cell r="AV22">
            <v>-17.400000000000002</v>
          </cell>
          <cell r="AW22">
            <v>-122.411</v>
          </cell>
          <cell r="AX22">
            <v>-9.3259999999999934</v>
          </cell>
          <cell r="AY22">
            <v>-131.73699999999999</v>
          </cell>
          <cell r="AZ22">
            <v>-1.9</v>
          </cell>
          <cell r="BA22">
            <v>-35.800000000000004</v>
          </cell>
          <cell r="BB22">
            <v>-37.700000000000003</v>
          </cell>
          <cell r="BC22">
            <v>3.0000000000000013</v>
          </cell>
          <cell r="BD22">
            <v>-34.700000000000003</v>
          </cell>
          <cell r="BE22">
            <v>9.2490000000000041</v>
          </cell>
          <cell r="BF22">
            <v>-25.451000000000001</v>
          </cell>
          <cell r="BG22">
            <v>8.6999999999999993</v>
          </cell>
          <cell r="BH22">
            <v>-3.6</v>
          </cell>
          <cell r="BI22">
            <v>5.0999999999999996</v>
          </cell>
          <cell r="BJ22">
            <v>5.0999999999999996</v>
          </cell>
          <cell r="BK22">
            <v>10.199999999999999</v>
          </cell>
          <cell r="BL22">
            <v>-0.5649999999999995</v>
          </cell>
          <cell r="BM22">
            <v>9.6349999999999998</v>
          </cell>
          <cell r="BO22">
            <v>4</v>
          </cell>
          <cell r="CC22" t="str">
            <v>mstag:otherOperatingExpense</v>
          </cell>
          <cell r="CD22">
            <v>6</v>
          </cell>
          <cell r="CE22" t="str">
            <v>ISO4217:EUR</v>
          </cell>
          <cell r="CF22" t="b">
            <v>1</v>
          </cell>
          <cell r="CG22" t="b">
            <v>0</v>
          </cell>
        </row>
        <row r="23">
          <cell r="A23" t="str">
            <v>Royalties</v>
          </cell>
          <cell r="BU23">
            <v>1.7999999999999998</v>
          </cell>
          <cell r="BV23">
            <v>61.550452103999987</v>
          </cell>
          <cell r="BW23">
            <v>68.377673959226257</v>
          </cell>
          <cell r="BX23">
            <v>74.85031029697609</v>
          </cell>
          <cell r="BY23">
            <v>80.203028694316401</v>
          </cell>
          <cell r="BZ23">
            <v>81.766841351529592</v>
          </cell>
          <cell r="CC23" t="str">
            <v>mstag:otherOperatingExpense</v>
          </cell>
          <cell r="CD23">
            <v>6</v>
          </cell>
          <cell r="CE23" t="str">
            <v>ISO4217:EUR</v>
          </cell>
          <cell r="CF23" t="b">
            <v>1</v>
          </cell>
          <cell r="CG23" t="b">
            <v>0</v>
          </cell>
        </row>
        <row r="24">
          <cell r="A24" t="str">
            <v>Exceptionals</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80</v>
          </cell>
          <cell r="BP24">
            <v>80</v>
          </cell>
          <cell r="BQ24">
            <v>0</v>
          </cell>
          <cell r="BS24">
            <v>0</v>
          </cell>
          <cell r="BT24">
            <v>80</v>
          </cell>
          <cell r="BU24">
            <v>88</v>
          </cell>
          <cell r="BV24">
            <v>0</v>
          </cell>
          <cell r="BW24">
            <v>0</v>
          </cell>
          <cell r="BX24">
            <v>160</v>
          </cell>
          <cell r="BY24">
            <v>0</v>
          </cell>
          <cell r="BZ24">
            <v>0</v>
          </cell>
          <cell r="CC24" t="str">
            <v>mstag:incomeLossFromExtraordinaryItemsPretax</v>
          </cell>
          <cell r="CD24">
            <v>6</v>
          </cell>
          <cell r="CE24" t="str">
            <v>ISO4217:EUR</v>
          </cell>
          <cell r="CF24" t="b">
            <v>0</v>
          </cell>
          <cell r="CG24" t="b">
            <v>0</v>
          </cell>
        </row>
        <row r="25">
          <cell r="A25" t="str">
            <v>Operating Profit</v>
          </cell>
          <cell r="B25">
            <v>101.23421000000002</v>
          </cell>
          <cell r="C25">
            <v>0</v>
          </cell>
          <cell r="D25">
            <v>0</v>
          </cell>
          <cell r="E25">
            <v>0</v>
          </cell>
          <cell r="F25">
            <v>0</v>
          </cell>
          <cell r="G25">
            <v>0</v>
          </cell>
          <cell r="H25">
            <v>102.40286699999994</v>
          </cell>
          <cell r="I25">
            <v>102.40286699999983</v>
          </cell>
          <cell r="J25">
            <v>0</v>
          </cell>
          <cell r="K25">
            <v>0</v>
          </cell>
          <cell r="L25">
            <v>0</v>
          </cell>
          <cell r="M25">
            <v>0</v>
          </cell>
          <cell r="N25">
            <v>0</v>
          </cell>
          <cell r="O25">
            <v>-577.38911999999993</v>
          </cell>
          <cell r="P25">
            <v>103.89498699999992</v>
          </cell>
          <cell r="Q25">
            <v>20.848799999999972</v>
          </cell>
          <cell r="R25">
            <v>10.27110000000004</v>
          </cell>
          <cell r="S25">
            <v>31.119900000000005</v>
          </cell>
          <cell r="T25">
            <v>-2.8616000000000823</v>
          </cell>
          <cell r="U25">
            <v>28.258299999999927</v>
          </cell>
          <cell r="V25">
            <v>-58.078299999999984</v>
          </cell>
          <cell r="W25">
            <v>-29.820000000000178</v>
          </cell>
          <cell r="X25">
            <v>9.999999999999984</v>
          </cell>
          <cell r="Y25">
            <v>10.100000000000012</v>
          </cell>
          <cell r="Z25">
            <v>20.09999999999998</v>
          </cell>
          <cell r="AA25">
            <v>-1.1999999999999966</v>
          </cell>
          <cell r="AB25">
            <v>18.899999999999974</v>
          </cell>
          <cell r="AC25">
            <v>-22.512999999999813</v>
          </cell>
          <cell r="AD25">
            <v>-3.6129999999999725</v>
          </cell>
          <cell r="AE25">
            <v>1.0999999999999872</v>
          </cell>
          <cell r="AF25">
            <v>11.300000000000015</v>
          </cell>
          <cell r="AG25">
            <v>12.400000000000048</v>
          </cell>
          <cell r="AH25">
            <v>3.0999999999999917</v>
          </cell>
          <cell r="AI25">
            <v>15.50000000000006</v>
          </cell>
          <cell r="AJ25">
            <v>1.0520000000000183</v>
          </cell>
          <cell r="AK25">
            <v>16.552000000000096</v>
          </cell>
          <cell r="AL25">
            <v>6.3000000000000007</v>
          </cell>
          <cell r="AM25">
            <v>1.3000000000000338</v>
          </cell>
          <cell r="AN25">
            <v>7.6000000000000023</v>
          </cell>
          <cell r="AO25">
            <v>8.0999999999999801</v>
          </cell>
          <cell r="AP25">
            <v>15.699999999999942</v>
          </cell>
          <cell r="AQ25">
            <v>59.235999999999962</v>
          </cell>
          <cell r="AR25">
            <v>74.936000000000064</v>
          </cell>
          <cell r="AS25">
            <v>110.10000000000005</v>
          </cell>
          <cell r="AT25">
            <v>149.49999999999997</v>
          </cell>
          <cell r="AU25">
            <v>259.59999999999997</v>
          </cell>
          <cell r="AV25">
            <v>15.900000000000016</v>
          </cell>
          <cell r="AW25">
            <v>275.49999999999983</v>
          </cell>
          <cell r="AX25">
            <v>-14.998999999999956</v>
          </cell>
          <cell r="AY25">
            <v>260.50100000000015</v>
          </cell>
          <cell r="AZ25">
            <v>6.8000000000000203</v>
          </cell>
          <cell r="BA25">
            <v>2.8000000000000256</v>
          </cell>
          <cell r="BB25">
            <v>9.5999999999999943</v>
          </cell>
          <cell r="BC25">
            <v>5.5999999999999517</v>
          </cell>
          <cell r="BD25">
            <v>15.199999999999932</v>
          </cell>
          <cell r="BE25">
            <v>0.59999999999995257</v>
          </cell>
          <cell r="BF25">
            <v>15.800000000000164</v>
          </cell>
          <cell r="BG25">
            <v>30.399999999999995</v>
          </cell>
          <cell r="BH25">
            <v>8.600000000000005</v>
          </cell>
          <cell r="BI25">
            <v>39.00000000000005</v>
          </cell>
          <cell r="BJ25">
            <v>-62.199999999999996</v>
          </cell>
          <cell r="BK25">
            <v>-23.199999999999907</v>
          </cell>
          <cell r="BL25">
            <v>6.2419999999999884</v>
          </cell>
          <cell r="BM25">
            <v>-16.957999999999995</v>
          </cell>
          <cell r="BN25">
            <v>11.400000000000006</v>
          </cell>
          <cell r="BO25">
            <v>67</v>
          </cell>
          <cell r="BP25">
            <v>74.399999999999977</v>
          </cell>
          <cell r="BQ25">
            <v>4.2375200000000062</v>
          </cell>
          <cell r="BR25">
            <v>-1.362480000000108</v>
          </cell>
          <cell r="BS25">
            <v>2.7190151681456616</v>
          </cell>
          <cell r="BT25">
            <v>76.356535168145612</v>
          </cell>
          <cell r="BU25">
            <v>103.13376334737862</v>
          </cell>
          <cell r="BV25">
            <v>124.10273135166111</v>
          </cell>
          <cell r="BW25">
            <v>164.75991500294703</v>
          </cell>
          <cell r="BX25">
            <v>368.58684616003967</v>
          </cell>
          <cell r="BY25">
            <v>252.07950311545787</v>
          </cell>
          <cell r="BZ25">
            <v>277.19252401784183</v>
          </cell>
        </row>
        <row r="26">
          <cell r="A26" t="str">
            <v>Operating margin</v>
          </cell>
          <cell r="B26">
            <v>0.16574151150971103</v>
          </cell>
          <cell r="C26" t="e">
            <v>#DIV/0!</v>
          </cell>
          <cell r="D26" t="e">
            <v>#DIV/0!</v>
          </cell>
          <cell r="E26" t="e">
            <v>#DIV/0!</v>
          </cell>
          <cell r="F26" t="e">
            <v>#DIV/0!</v>
          </cell>
          <cell r="G26" t="e">
            <v>#DIV/0!</v>
          </cell>
          <cell r="H26">
            <v>0.15749466561354278</v>
          </cell>
          <cell r="I26">
            <v>0.15749466561354264</v>
          </cell>
          <cell r="J26" t="e">
            <v>#DIV/0!</v>
          </cell>
          <cell r="K26" t="e">
            <v>#DIV/0!</v>
          </cell>
          <cell r="L26" t="e">
            <v>#DIV/0!</v>
          </cell>
          <cell r="M26" t="e">
            <v>#DIV/0!</v>
          </cell>
          <cell r="N26" t="e">
            <v>#DIV/0!</v>
          </cell>
          <cell r="O26" t="e">
            <v>#DIV/0!</v>
          </cell>
          <cell r="P26">
            <v>0.1524987680359905</v>
          </cell>
          <cell r="Q26">
            <v>0.12507664009809916</v>
          </cell>
          <cell r="R26">
            <v>5.4471544715447358E-2</v>
          </cell>
          <cell r="S26">
            <v>8.7600690448791721E-2</v>
          </cell>
          <cell r="T26">
            <v>-1.6990291262136418E-2</v>
          </cell>
          <cell r="U26">
            <v>5.3961748633879647E-2</v>
          </cell>
          <cell r="V26">
            <v>-0.3187434073394354</v>
          </cell>
          <cell r="W26">
            <v>-4.2244961275452429E-2</v>
          </cell>
          <cell r="X26">
            <v>6.0024009603841445E-2</v>
          </cell>
          <cell r="Y26">
            <v>5.0677370797792332E-2</v>
          </cell>
          <cell r="Z26">
            <v>5.4933041814703418E-2</v>
          </cell>
          <cell r="AA26">
            <v>-6.8807339449541089E-3</v>
          </cell>
          <cell r="AB26">
            <v>3.4980566352026607E-2</v>
          </cell>
          <cell r="AC26">
            <v>-0.11492557123312741</v>
          </cell>
          <cell r="AD26">
            <v>-4.9076871250977629E-3</v>
          </cell>
          <cell r="AE26">
            <v>6.2076749435665199E-3</v>
          </cell>
          <cell r="AF26">
            <v>5.5148853099072789E-2</v>
          </cell>
          <cell r="AG26">
            <v>3.2452237634127315E-2</v>
          </cell>
          <cell r="AH26">
            <v>1.6838674633351394E-2</v>
          </cell>
          <cell r="AI26">
            <v>2.7375485694101129E-2</v>
          </cell>
          <cell r="AJ26">
            <v>5.2201182962169947E-3</v>
          </cell>
          <cell r="AK26">
            <v>2.1559719067169743E-2</v>
          </cell>
          <cell r="AL26">
            <v>3.3962264150943403E-2</v>
          </cell>
          <cell r="AM26">
            <v>5.9742647058825078E-3</v>
          </cell>
          <cell r="AN26">
            <v>1.8853882411312334E-2</v>
          </cell>
          <cell r="AO26">
            <v>4.315396909962696E-2</v>
          </cell>
          <cell r="AP26">
            <v>2.6574136763710128E-2</v>
          </cell>
          <cell r="AQ26">
            <v>0.15892298529246046</v>
          </cell>
          <cell r="AR26">
            <v>7.7772035029381487E-2</v>
          </cell>
          <cell r="AS26">
            <v>0.23520615253151045</v>
          </cell>
          <cell r="AT26">
            <v>0.29319474406746415</v>
          </cell>
          <cell r="AU26">
            <v>0.26543967280163594</v>
          </cell>
          <cell r="AV26">
            <v>5.8976261127596498E-2</v>
          </cell>
          <cell r="AW26">
            <v>0.22082398204552728</v>
          </cell>
          <cell r="AX26">
            <v>-6.0314702890070959E-2</v>
          </cell>
          <cell r="AY26">
            <v>0.1740992154538025</v>
          </cell>
          <cell r="AZ26">
            <v>3.0048608042421654E-2</v>
          </cell>
          <cell r="BA26">
            <v>1.0598031794095479E-2</v>
          </cell>
          <cell r="BB26">
            <v>1.9571865443425065E-2</v>
          </cell>
          <cell r="BC26">
            <v>2.5305015815634664E-2</v>
          </cell>
          <cell r="BD26">
            <v>2.1354313009272173E-2</v>
          </cell>
          <cell r="BE26">
            <v>2.5548548629531261E-3</v>
          </cell>
          <cell r="BF26">
            <v>1.6690487584073221E-2</v>
          </cell>
          <cell r="BG26">
            <v>0.12767744645107096</v>
          </cell>
          <cell r="BH26">
            <v>3.433133732534932E-2</v>
          </cell>
          <cell r="BI26">
            <v>7.981989357347534E-2</v>
          </cell>
          <cell r="BJ26">
            <v>-0.26626712328767121</v>
          </cell>
          <cell r="BK26">
            <v>-3.2124065355856969E-2</v>
          </cell>
          <cell r="BL26">
            <v>2.3258760228339729E-2</v>
          </cell>
          <cell r="BM26">
            <v>-1.7119401719410596E-2</v>
          </cell>
          <cell r="BN26">
            <v>4.6079223928860165E-2</v>
          </cell>
          <cell r="BO26">
            <v>0.28389830508474578</v>
          </cell>
          <cell r="BP26">
            <v>0.15390980554406286</v>
          </cell>
          <cell r="BQ26">
            <v>1.8701761819016376E-2</v>
          </cell>
          <cell r="BR26">
            <v>-1.919029161220687E-3</v>
          </cell>
          <cell r="BS26">
            <v>1.1597618078984757E-2</v>
          </cell>
          <cell r="BT26">
            <v>8.0849332579593619E-2</v>
          </cell>
          <cell r="BU26">
            <v>0.10999051250186832</v>
          </cell>
          <cell r="BV26">
            <v>0.11499338653041881</v>
          </cell>
          <cell r="BW26">
            <v>0.14118033985111675</v>
          </cell>
          <cell r="BX26">
            <v>0.2961700131317504</v>
          </cell>
          <cell r="BY26">
            <v>0.19554933266228544</v>
          </cell>
          <cell r="BZ26">
            <v>0.20938287353973223</v>
          </cell>
        </row>
        <row r="27">
          <cell r="A27" t="str">
            <v>Growth</v>
          </cell>
          <cell r="I27">
            <v>1.154409166624415E-2</v>
          </cell>
          <cell r="J27" t="e">
            <v>#DIV/0!</v>
          </cell>
          <cell r="K27" t="e">
            <v>#DIV/0!</v>
          </cell>
          <cell r="L27" t="e">
            <v>#DIV/0!</v>
          </cell>
          <cell r="M27" t="e">
            <v>#DIV/0!</v>
          </cell>
          <cell r="N27" t="e">
            <v>#DIV/0!</v>
          </cell>
          <cell r="O27">
            <v>-6.6384077605952205</v>
          </cell>
          <cell r="P27">
            <v>1.457107641332045E-2</v>
          </cell>
          <cell r="Q27" t="e">
            <v>#DIV/0!</v>
          </cell>
          <cell r="R27" t="e">
            <v>#DIV/0!</v>
          </cell>
          <cell r="S27" t="e">
            <v>#DIV/0!</v>
          </cell>
          <cell r="T27" t="e">
            <v>#DIV/0!</v>
          </cell>
          <cell r="U27" t="e">
            <v>#DIV/0!</v>
          </cell>
          <cell r="V27">
            <v>-0.8994122022943557</v>
          </cell>
          <cell r="W27">
            <v>-1.2870205855071737</v>
          </cell>
          <cell r="X27">
            <v>-0.52035608764053576</v>
          </cell>
          <cell r="Y27">
            <v>-1.665839101946498E-2</v>
          </cell>
          <cell r="Z27">
            <v>-0.35411103506116737</v>
          </cell>
          <cell r="AA27">
            <v>-0.5806541794800244</v>
          </cell>
          <cell r="AB27">
            <v>-0.33116995714533348</v>
          </cell>
          <cell r="AC27">
            <v>-0.61236813060988671</v>
          </cell>
          <cell r="AD27">
            <v>-0.87883970489604457</v>
          </cell>
          <cell r="AE27">
            <v>-0.89000000000000112</v>
          </cell>
          <cell r="AF27">
            <v>0.11881188118811892</v>
          </cell>
          <cell r="AG27">
            <v>-0.3830845771144249</v>
          </cell>
          <cell r="AH27">
            <v>-3.5833333333333335</v>
          </cell>
          <cell r="AI27">
            <v>-0.17989417989417555</v>
          </cell>
          <cell r="AJ27">
            <v>-1.0467285568338305</v>
          </cell>
          <cell r="AK27">
            <v>-5.5812344312206541</v>
          </cell>
          <cell r="AL27">
            <v>4.7272727272727941</v>
          </cell>
          <cell r="AM27">
            <v>-0.88495575221238654</v>
          </cell>
          <cell r="AN27">
            <v>-0.3870967741935506</v>
          </cell>
          <cell r="AO27">
            <v>1.6129032258064524</v>
          </cell>
          <cell r="AP27">
            <v>1.2903225806443874E-2</v>
          </cell>
          <cell r="AQ27">
            <v>55.307984790873512</v>
          </cell>
          <cell r="AR27">
            <v>3.5273078782020075</v>
          </cell>
          <cell r="AS27">
            <v>16.476190476190482</v>
          </cell>
          <cell r="AT27">
            <v>113.99999999999699</v>
          </cell>
          <cell r="AU27">
            <v>33.157894736842088</v>
          </cell>
          <cell r="AV27">
            <v>0.9629629629629699</v>
          </cell>
          <cell r="AW27">
            <v>16.547770700636995</v>
          </cell>
          <cell r="AX27">
            <v>-1.2532075089472612</v>
          </cell>
          <cell r="AY27">
            <v>2.4763131205295177</v>
          </cell>
          <cell r="AZ27">
            <v>-0.93823796548592175</v>
          </cell>
          <cell r="BA27">
            <v>-0.98127090301003328</v>
          </cell>
          <cell r="BB27">
            <v>-0.963020030816641</v>
          </cell>
          <cell r="BC27">
            <v>-0.64779874213836819</v>
          </cell>
          <cell r="BD27">
            <v>-0.94482758620689677</v>
          </cell>
          <cell r="BE27">
            <v>-1.0400026668444533</v>
          </cell>
          <cell r="BF27">
            <v>-0.93934764165972429</v>
          </cell>
          <cell r="BG27">
            <v>3.4705882352941035</v>
          </cell>
          <cell r="BH27">
            <v>2.071428571428545</v>
          </cell>
          <cell r="BI27">
            <v>3.062500000000008</v>
          </cell>
          <cell r="BJ27">
            <v>-12.107142857142952</v>
          </cell>
          <cell r="BK27">
            <v>-2.526315789473685</v>
          </cell>
          <cell r="BL27">
            <v>9.4033333333341371</v>
          </cell>
          <cell r="BM27">
            <v>-2.0732911392404949</v>
          </cell>
          <cell r="BN27">
            <v>-0.62499999999999978</v>
          </cell>
          <cell r="BO27">
            <v>6.7906976744185998</v>
          </cell>
          <cell r="BP27">
            <v>0.90769230769230469</v>
          </cell>
          <cell r="BQ27">
            <v>-1.0681273311897108</v>
          </cell>
          <cell r="BR27">
            <v>-0.94127241379309856</v>
          </cell>
          <cell r="BS27">
            <v>-0.56440000510322541</v>
          </cell>
          <cell r="BT27">
            <v>-5.5026851732601507</v>
          </cell>
          <cell r="BU27">
            <v>0.35068678954940213</v>
          </cell>
          <cell r="BV27">
            <v>0.20331816976031503</v>
          </cell>
          <cell r="BW27">
            <v>0.3276090961775735</v>
          </cell>
          <cell r="BX27">
            <v>1.2371148112903971</v>
          </cell>
          <cell r="BY27">
            <v>-0.31609197196905547</v>
          </cell>
          <cell r="BZ27">
            <v>9.962341480370851E-2</v>
          </cell>
        </row>
        <row r="29">
          <cell r="A29" t="str">
            <v>Operating Profit Pre exceptionals</v>
          </cell>
          <cell r="B29">
            <v>101.23421000000002</v>
          </cell>
          <cell r="C29">
            <v>0</v>
          </cell>
          <cell r="D29">
            <v>0</v>
          </cell>
          <cell r="E29">
            <v>0</v>
          </cell>
          <cell r="F29">
            <v>0</v>
          </cell>
          <cell r="G29">
            <v>0</v>
          </cell>
          <cell r="H29">
            <v>102.40286699999994</v>
          </cell>
          <cell r="I29">
            <v>102.40286699999983</v>
          </cell>
          <cell r="J29">
            <v>0</v>
          </cell>
          <cell r="K29">
            <v>0</v>
          </cell>
          <cell r="L29">
            <v>0</v>
          </cell>
          <cell r="M29">
            <v>0</v>
          </cell>
          <cell r="N29">
            <v>0</v>
          </cell>
          <cell r="O29">
            <v>-577.38911999999993</v>
          </cell>
          <cell r="P29">
            <v>103.89498699999992</v>
          </cell>
          <cell r="Q29">
            <v>20.848799999999972</v>
          </cell>
          <cell r="R29">
            <v>10.27110000000004</v>
          </cell>
          <cell r="S29">
            <v>31.119900000000005</v>
          </cell>
          <cell r="T29">
            <v>-2.8616000000000823</v>
          </cell>
          <cell r="U29">
            <v>28.258299999999927</v>
          </cell>
          <cell r="V29">
            <v>-58.078299999999984</v>
          </cell>
          <cell r="W29">
            <v>-29.820000000000178</v>
          </cell>
          <cell r="X29">
            <v>9.999999999999984</v>
          </cell>
          <cell r="Y29">
            <v>10.100000000000012</v>
          </cell>
          <cell r="Z29">
            <v>20.09999999999998</v>
          </cell>
          <cell r="AA29">
            <v>-1.1999999999999966</v>
          </cell>
          <cell r="AB29">
            <v>18.899999999999974</v>
          </cell>
          <cell r="AC29">
            <v>-22.512999999999813</v>
          </cell>
          <cell r="AD29">
            <v>-3.6129999999999725</v>
          </cell>
          <cell r="AE29">
            <v>1.0999999999999872</v>
          </cell>
          <cell r="AF29">
            <v>11.300000000000015</v>
          </cell>
          <cell r="AG29">
            <v>12.400000000000048</v>
          </cell>
          <cell r="AH29">
            <v>3.0999999999999917</v>
          </cell>
          <cell r="AI29">
            <v>15.50000000000006</v>
          </cell>
          <cell r="AJ29">
            <v>1.0520000000000183</v>
          </cell>
          <cell r="AK29">
            <v>16.552000000000096</v>
          </cell>
          <cell r="AL29">
            <v>6.3000000000000007</v>
          </cell>
          <cell r="AM29">
            <v>1.3000000000000338</v>
          </cell>
          <cell r="AN29">
            <v>7.6000000000000023</v>
          </cell>
          <cell r="AO29">
            <v>8.0999999999999801</v>
          </cell>
          <cell r="AP29">
            <v>15.699999999999942</v>
          </cell>
          <cell r="AQ29">
            <v>59.235999999999962</v>
          </cell>
          <cell r="AR29">
            <v>74.936000000000064</v>
          </cell>
          <cell r="AS29">
            <v>110.10000000000005</v>
          </cell>
          <cell r="AT29">
            <v>149.49999999999997</v>
          </cell>
          <cell r="AU29">
            <v>259.59999999999997</v>
          </cell>
          <cell r="AV29">
            <v>15.900000000000016</v>
          </cell>
          <cell r="AW29">
            <v>275.49999999999983</v>
          </cell>
          <cell r="AX29">
            <v>-14.998999999999956</v>
          </cell>
          <cell r="AY29">
            <v>260.50100000000015</v>
          </cell>
          <cell r="AZ29">
            <v>6.8000000000000203</v>
          </cell>
          <cell r="BA29">
            <v>2.8000000000000256</v>
          </cell>
          <cell r="BB29">
            <v>9.5999999999999943</v>
          </cell>
          <cell r="BC29">
            <v>5.5999999999999517</v>
          </cell>
          <cell r="BD29">
            <v>15.199999999999932</v>
          </cell>
          <cell r="BE29">
            <v>0.59999999999995257</v>
          </cell>
          <cell r="BF29">
            <v>15.800000000000164</v>
          </cell>
          <cell r="BG29">
            <v>30.399999999999995</v>
          </cell>
          <cell r="BH29">
            <v>8.600000000000005</v>
          </cell>
          <cell r="BI29">
            <v>39.00000000000005</v>
          </cell>
          <cell r="BJ29">
            <v>-62.199999999999996</v>
          </cell>
          <cell r="BK29">
            <v>-23.199999999999907</v>
          </cell>
          <cell r="BL29">
            <v>6.2419999999999884</v>
          </cell>
          <cell r="BM29">
            <v>-16.957999999999995</v>
          </cell>
          <cell r="BN29">
            <v>11.400000000000006</v>
          </cell>
          <cell r="BO29">
            <v>-13</v>
          </cell>
          <cell r="BP29">
            <v>-5.6000000000000227</v>
          </cell>
          <cell r="BQ29">
            <v>4.2375200000000062</v>
          </cell>
          <cell r="BR29">
            <v>-1.362480000000108</v>
          </cell>
          <cell r="BS29">
            <v>2.7190151681456616</v>
          </cell>
          <cell r="BT29">
            <v>-3.6434648318543879</v>
          </cell>
          <cell r="BU29">
            <v>15.133763347378618</v>
          </cell>
          <cell r="BV29">
            <v>124.10273135166111</v>
          </cell>
          <cell r="BW29">
            <v>164.75991500294703</v>
          </cell>
          <cell r="BX29">
            <v>208.58684616003967</v>
          </cell>
          <cell r="BY29">
            <v>252.07950311545787</v>
          </cell>
          <cell r="BZ29">
            <v>277.19252401784183</v>
          </cell>
        </row>
        <row r="30">
          <cell r="A30" t="str">
            <v>Operating margin</v>
          </cell>
          <cell r="B30">
            <v>0.16574151150971103</v>
          </cell>
          <cell r="C30" t="e">
            <v>#DIV/0!</v>
          </cell>
          <cell r="D30" t="e">
            <v>#DIV/0!</v>
          </cell>
          <cell r="E30" t="e">
            <v>#DIV/0!</v>
          </cell>
          <cell r="F30" t="e">
            <v>#DIV/0!</v>
          </cell>
          <cell r="G30" t="e">
            <v>#DIV/0!</v>
          </cell>
          <cell r="H30">
            <v>0.15749466561354278</v>
          </cell>
          <cell r="I30">
            <v>0.15749466561354264</v>
          </cell>
          <cell r="J30" t="e">
            <v>#DIV/0!</v>
          </cell>
          <cell r="K30" t="e">
            <v>#DIV/0!</v>
          </cell>
          <cell r="L30" t="e">
            <v>#DIV/0!</v>
          </cell>
          <cell r="M30" t="e">
            <v>#DIV/0!</v>
          </cell>
          <cell r="N30" t="e">
            <v>#DIV/0!</v>
          </cell>
          <cell r="O30" t="e">
            <v>#DIV/0!</v>
          </cell>
          <cell r="P30">
            <v>0.1524987680359905</v>
          </cell>
          <cell r="Q30">
            <v>0.12507664009809916</v>
          </cell>
          <cell r="R30">
            <v>5.4471544715447358E-2</v>
          </cell>
          <cell r="S30">
            <v>8.7600690448791721E-2</v>
          </cell>
          <cell r="T30">
            <v>-1.6990291262136418E-2</v>
          </cell>
          <cell r="U30">
            <v>5.3961748633879647E-2</v>
          </cell>
          <cell r="V30">
            <v>-0.3187434073394354</v>
          </cell>
          <cell r="W30">
            <v>-4.2244961275452429E-2</v>
          </cell>
          <cell r="X30">
            <v>6.0024009603841445E-2</v>
          </cell>
          <cell r="Y30">
            <v>5.0677370797792332E-2</v>
          </cell>
          <cell r="Z30">
            <v>5.4933041814703418E-2</v>
          </cell>
          <cell r="AA30">
            <v>-6.8807339449541089E-3</v>
          </cell>
          <cell r="AB30">
            <v>3.4980566352026607E-2</v>
          </cell>
          <cell r="AC30">
            <v>-0.11492557123312741</v>
          </cell>
          <cell r="AD30">
            <v>-4.9076871250977629E-3</v>
          </cell>
          <cell r="AE30">
            <v>6.2076749435665199E-3</v>
          </cell>
          <cell r="AF30">
            <v>5.5148853099072789E-2</v>
          </cell>
          <cell r="AG30">
            <v>3.2452237634127315E-2</v>
          </cell>
          <cell r="AH30">
            <v>1.6838674633351394E-2</v>
          </cell>
          <cell r="AI30">
            <v>2.7375485694101129E-2</v>
          </cell>
          <cell r="AJ30">
            <v>5.2201182962169947E-3</v>
          </cell>
          <cell r="AK30">
            <v>2.1559719067169743E-2</v>
          </cell>
          <cell r="AL30">
            <v>3.3962264150943403E-2</v>
          </cell>
          <cell r="AM30">
            <v>5.9742647058825078E-3</v>
          </cell>
          <cell r="AN30">
            <v>1.8853882411312334E-2</v>
          </cell>
          <cell r="AO30">
            <v>4.315396909962696E-2</v>
          </cell>
          <cell r="AP30">
            <v>2.6574136763710128E-2</v>
          </cell>
          <cell r="AQ30">
            <v>0.15892298529246046</v>
          </cell>
          <cell r="AR30">
            <v>7.7772035029381487E-2</v>
          </cell>
          <cell r="AS30">
            <v>0.23520615253151045</v>
          </cell>
          <cell r="AT30">
            <v>0.29319474406746415</v>
          </cell>
          <cell r="AU30">
            <v>0.26543967280163594</v>
          </cell>
          <cell r="AV30">
            <v>5.8976261127596498E-2</v>
          </cell>
          <cell r="AW30">
            <v>0.22082398204552728</v>
          </cell>
          <cell r="AX30">
            <v>-6.0314702890070959E-2</v>
          </cell>
          <cell r="AY30">
            <v>0.1740992154538025</v>
          </cell>
          <cell r="AZ30">
            <v>3.0048608042421654E-2</v>
          </cell>
          <cell r="BA30">
            <v>1.0598031794095479E-2</v>
          </cell>
          <cell r="BB30">
            <v>1.9571865443425065E-2</v>
          </cell>
          <cell r="BC30">
            <v>2.5305015815634664E-2</v>
          </cell>
          <cell r="BD30">
            <v>2.1354313009272173E-2</v>
          </cell>
          <cell r="BE30">
            <v>2.5548548629531261E-3</v>
          </cell>
          <cell r="BF30">
            <v>1.6690487584073221E-2</v>
          </cell>
          <cell r="BG30">
            <v>0.12767744645107096</v>
          </cell>
          <cell r="BH30">
            <v>3.433133732534932E-2</v>
          </cell>
          <cell r="BI30">
            <v>7.981989357347534E-2</v>
          </cell>
          <cell r="BJ30">
            <v>-0.26626712328767121</v>
          </cell>
          <cell r="BK30">
            <v>-3.2124065355856969E-2</v>
          </cell>
          <cell r="BL30">
            <v>2.3258760228339729E-2</v>
          </cell>
          <cell r="BM30">
            <v>-1.7119401719410596E-2</v>
          </cell>
          <cell r="BN30">
            <v>4.6079223928860165E-2</v>
          </cell>
          <cell r="BO30">
            <v>-5.5084745762711863E-2</v>
          </cell>
          <cell r="BP30">
            <v>-1.158460901944564E-2</v>
          </cell>
          <cell r="BQ30">
            <v>1.8701761819016376E-2</v>
          </cell>
          <cell r="BR30">
            <v>-1.919029161220687E-3</v>
          </cell>
          <cell r="BS30">
            <v>1.1597618078984757E-2</v>
          </cell>
          <cell r="BT30">
            <v>-3.8578452948915087E-3</v>
          </cell>
          <cell r="BU30">
            <v>1.6139917061433143E-2</v>
          </cell>
          <cell r="BV30">
            <v>0.11499338653041881</v>
          </cell>
          <cell r="BW30">
            <v>0.14118033985111675</v>
          </cell>
          <cell r="BX30">
            <v>0.1676054628913855</v>
          </cell>
          <cell r="BY30">
            <v>0.19554933266228544</v>
          </cell>
          <cell r="BZ30">
            <v>0.20938287353973223</v>
          </cell>
        </row>
        <row r="32">
          <cell r="A32" t="str">
            <v>Gains/losses from fixed asset disposals</v>
          </cell>
          <cell r="E32">
            <v>0</v>
          </cell>
          <cell r="G32">
            <v>0</v>
          </cell>
          <cell r="H32">
            <v>0</v>
          </cell>
          <cell r="L32">
            <v>0</v>
          </cell>
          <cell r="N32">
            <v>0</v>
          </cell>
          <cell r="O32">
            <v>2.0879460000000001</v>
          </cell>
          <cell r="P32">
            <v>2.0879460000000001</v>
          </cell>
          <cell r="S32">
            <v>0</v>
          </cell>
          <cell r="U32">
            <v>0</v>
          </cell>
          <cell r="V32">
            <v>92.358999999999995</v>
          </cell>
          <cell r="W32">
            <v>92.358999999999995</v>
          </cell>
          <cell r="Z32">
            <v>0</v>
          </cell>
          <cell r="AB32">
            <v>0</v>
          </cell>
          <cell r="AC32">
            <v>4.694</v>
          </cell>
          <cell r="AD32">
            <v>4.694</v>
          </cell>
          <cell r="AG32">
            <v>0</v>
          </cell>
          <cell r="AI32">
            <v>0</v>
          </cell>
          <cell r="AJ32">
            <v>6.3E-2</v>
          </cell>
          <cell r="AK32">
            <v>6.3E-2</v>
          </cell>
          <cell r="AN32">
            <v>0</v>
          </cell>
          <cell r="AP32">
            <v>0</v>
          </cell>
          <cell r="AQ32">
            <v>5.7489999999999997</v>
          </cell>
          <cell r="AR32">
            <v>5.7489999999999997</v>
          </cell>
          <cell r="AU32">
            <v>0</v>
          </cell>
          <cell r="AW32">
            <v>0</v>
          </cell>
          <cell r="AX32">
            <v>-1.782</v>
          </cell>
          <cell r="AY32">
            <v>-1.782</v>
          </cell>
          <cell r="BE32">
            <v>0</v>
          </cell>
          <cell r="BF32">
            <v>0</v>
          </cell>
          <cell r="BK32">
            <v>0</v>
          </cell>
          <cell r="BM32">
            <v>0</v>
          </cell>
          <cell r="BR32">
            <v>0</v>
          </cell>
          <cell r="BS32">
            <v>0</v>
          </cell>
          <cell r="CC32" t="str">
            <v>mstag:gainsLossesFromSaleOfOperatingAssetsOneTimeIncomeStatement</v>
          </cell>
          <cell r="CD32">
            <v>6</v>
          </cell>
          <cell r="CE32" t="str">
            <v>ISO4217:EUR</v>
          </cell>
          <cell r="CF32" t="b">
            <v>0</v>
          </cell>
          <cell r="CG32" t="b">
            <v>0</v>
          </cell>
        </row>
        <row r="33">
          <cell r="A33" t="str">
            <v xml:space="preserve">Other </v>
          </cell>
          <cell r="B33">
            <v>-0.15432199999999999</v>
          </cell>
          <cell r="E33">
            <v>0</v>
          </cell>
          <cell r="G33">
            <v>0</v>
          </cell>
          <cell r="H33">
            <v>7.1044330000000002</v>
          </cell>
          <cell r="I33">
            <v>7.1044330000000002</v>
          </cell>
          <cell r="L33">
            <v>0</v>
          </cell>
          <cell r="N33">
            <v>0</v>
          </cell>
          <cell r="O33">
            <v>-1.7276909999999999</v>
          </cell>
          <cell r="P33">
            <v>-1.7276909999999999</v>
          </cell>
          <cell r="Q33">
            <v>0.30659999999999998</v>
          </cell>
          <cell r="R33">
            <v>96.374599999999987</v>
          </cell>
          <cell r="S33">
            <v>96.68119999999999</v>
          </cell>
          <cell r="T33">
            <v>3.5259000000000071</v>
          </cell>
          <cell r="U33">
            <v>100.2071</v>
          </cell>
          <cell r="V33">
            <v>-101.7501</v>
          </cell>
          <cell r="W33">
            <v>-1.5429999999999999</v>
          </cell>
          <cell r="X33">
            <v>0.9</v>
          </cell>
          <cell r="Y33">
            <v>-1.2</v>
          </cell>
          <cell r="Z33">
            <v>-0.29999999999999993</v>
          </cell>
          <cell r="AA33">
            <v>-0.6</v>
          </cell>
          <cell r="AB33">
            <v>-0.89999999999999991</v>
          </cell>
          <cell r="AC33">
            <v>9.5879999999999992</v>
          </cell>
          <cell r="AD33">
            <v>8.6880000000000006</v>
          </cell>
          <cell r="AE33">
            <v>5.4</v>
          </cell>
          <cell r="AF33">
            <v>44</v>
          </cell>
          <cell r="AG33">
            <v>49.4</v>
          </cell>
          <cell r="AH33">
            <v>0.8</v>
          </cell>
          <cell r="AI33">
            <v>50.199999999999996</v>
          </cell>
          <cell r="AJ33">
            <v>0.32200000000000095</v>
          </cell>
          <cell r="AK33">
            <v>50.521999999999998</v>
          </cell>
          <cell r="AL33">
            <v>2.9</v>
          </cell>
          <cell r="AM33">
            <v>7.4</v>
          </cell>
          <cell r="AN33">
            <v>10.3</v>
          </cell>
          <cell r="AO33">
            <v>3.6</v>
          </cell>
          <cell r="AP33">
            <v>13.9</v>
          </cell>
          <cell r="AQ33">
            <v>-8.6590000000000007</v>
          </cell>
          <cell r="AR33">
            <v>5.2409999999999997</v>
          </cell>
          <cell r="AS33">
            <v>3.6</v>
          </cell>
          <cell r="AT33">
            <v>14</v>
          </cell>
          <cell r="AU33">
            <v>17.600000000000001</v>
          </cell>
          <cell r="AV33">
            <v>-6.2</v>
          </cell>
          <cell r="AW33">
            <v>11.400000000000002</v>
          </cell>
          <cell r="AX33">
            <v>3.3529999999999993</v>
          </cell>
          <cell r="AY33">
            <v>14.753</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-0.1</v>
          </cell>
          <cell r="BP33">
            <v>-0.1</v>
          </cell>
          <cell r="BR33">
            <v>-0.1</v>
          </cell>
          <cell r="BS33">
            <v>0.1</v>
          </cell>
          <cell r="BT33">
            <v>0</v>
          </cell>
          <cell r="BU33">
            <v>0</v>
          </cell>
          <cell r="BV33">
            <v>0</v>
          </cell>
          <cell r="BW33">
            <v>0</v>
          </cell>
          <cell r="BX33">
            <v>0</v>
          </cell>
          <cell r="BY33">
            <v>0</v>
          </cell>
          <cell r="BZ33">
            <v>0</v>
          </cell>
          <cell r="CC33" t="str">
            <v>mstag:otherNonOperatingIncomeExpense</v>
          </cell>
          <cell r="CD33">
            <v>6</v>
          </cell>
          <cell r="CE33" t="str">
            <v>ISO4217:EUR</v>
          </cell>
          <cell r="CF33" t="b">
            <v>0</v>
          </cell>
          <cell r="CG33" t="b">
            <v>0</v>
          </cell>
        </row>
        <row r="35">
          <cell r="A35" t="str">
            <v>Interest Income</v>
          </cell>
          <cell r="B35">
            <v>2.4497339999999999</v>
          </cell>
          <cell r="E35">
            <v>0</v>
          </cell>
          <cell r="G35">
            <v>0</v>
          </cell>
          <cell r="H35">
            <v>2.1191170000000001</v>
          </cell>
          <cell r="I35">
            <v>2.1191170000000001</v>
          </cell>
          <cell r="L35">
            <v>0</v>
          </cell>
          <cell r="N35">
            <v>0</v>
          </cell>
          <cell r="O35">
            <v>2.9213869999999997</v>
          </cell>
          <cell r="P35">
            <v>2.9213869999999997</v>
          </cell>
          <cell r="S35">
            <v>0</v>
          </cell>
          <cell r="U35">
            <v>0</v>
          </cell>
          <cell r="V35">
            <v>4.1550000000000002</v>
          </cell>
          <cell r="W35">
            <v>4.1550000000000002</v>
          </cell>
          <cell r="Y35">
            <v>10.6</v>
          </cell>
          <cell r="Z35">
            <v>10.6</v>
          </cell>
          <cell r="AA35">
            <v>0</v>
          </cell>
          <cell r="AB35">
            <v>10.6</v>
          </cell>
          <cell r="AC35">
            <v>4.9090000000000007</v>
          </cell>
          <cell r="AD35">
            <v>15.509</v>
          </cell>
          <cell r="AG35">
            <v>0</v>
          </cell>
          <cell r="AI35">
            <v>0</v>
          </cell>
          <cell r="AJ35">
            <v>3.613</v>
          </cell>
          <cell r="AK35">
            <v>3.613</v>
          </cell>
          <cell r="AN35">
            <v>0</v>
          </cell>
          <cell r="AP35">
            <v>0</v>
          </cell>
          <cell r="AQ35">
            <v>2.4990000000000001</v>
          </cell>
          <cell r="AR35">
            <v>2.4990000000000001</v>
          </cell>
          <cell r="AU35">
            <v>0</v>
          </cell>
          <cell r="AW35">
            <v>0</v>
          </cell>
          <cell r="AX35">
            <v>5.0830000000000002</v>
          </cell>
          <cell r="AY35">
            <v>5.0830000000000002</v>
          </cell>
          <cell r="AZ35">
            <v>0</v>
          </cell>
          <cell r="BA35">
            <v>0</v>
          </cell>
          <cell r="BC35">
            <v>0</v>
          </cell>
          <cell r="BD35">
            <v>0</v>
          </cell>
          <cell r="BE35">
            <v>5.4379999999999997</v>
          </cell>
          <cell r="BF35">
            <v>5.4379999999999997</v>
          </cell>
          <cell r="BG35">
            <v>0</v>
          </cell>
          <cell r="BH35">
            <v>0.3</v>
          </cell>
          <cell r="BI35">
            <v>0.3</v>
          </cell>
          <cell r="BJ35">
            <v>0.2</v>
          </cell>
          <cell r="BK35">
            <v>0.5</v>
          </cell>
          <cell r="BL35">
            <v>5.819</v>
          </cell>
          <cell r="BM35">
            <v>6.319</v>
          </cell>
          <cell r="BN35">
            <v>1.2</v>
          </cell>
          <cell r="BO35">
            <v>1.9</v>
          </cell>
          <cell r="BP35">
            <v>3.0999999999999996</v>
          </cell>
          <cell r="BQ35">
            <v>1.5</v>
          </cell>
          <cell r="BR35">
            <v>4.5999999999999996</v>
          </cell>
          <cell r="BS35">
            <v>2.7318663262283094</v>
          </cell>
          <cell r="BT35">
            <v>7.331866326228309</v>
          </cell>
          <cell r="BU35">
            <v>9.6222838529251735</v>
          </cell>
          <cell r="BV35">
            <v>12.867510210101116</v>
          </cell>
          <cell r="BW35">
            <v>16.67397604910478</v>
          </cell>
          <cell r="BX35">
            <v>22.98999151117404</v>
          </cell>
          <cell r="BY35">
            <v>30.460442710643409</v>
          </cell>
          <cell r="BZ35">
            <v>36.759474431834334</v>
          </cell>
          <cell r="CC35" t="str">
            <v>mstag:interestIncome</v>
          </cell>
          <cell r="CD35">
            <v>6</v>
          </cell>
          <cell r="CE35" t="str">
            <v>ISO4217:EUR</v>
          </cell>
          <cell r="CF35" t="b">
            <v>0</v>
          </cell>
          <cell r="CG35" t="b">
            <v>0</v>
          </cell>
        </row>
        <row r="36">
          <cell r="A36" t="str">
            <v>Interest Expense</v>
          </cell>
          <cell r="B36">
            <v>-9.5224850000000014</v>
          </cell>
          <cell r="E36">
            <v>0</v>
          </cell>
          <cell r="G36">
            <v>0</v>
          </cell>
          <cell r="H36">
            <v>-8.2056380000000004</v>
          </cell>
          <cell r="I36">
            <v>-8.2056380000000004</v>
          </cell>
          <cell r="L36">
            <v>0</v>
          </cell>
          <cell r="N36">
            <v>0</v>
          </cell>
          <cell r="O36">
            <v>-6.6184719999999997</v>
          </cell>
          <cell r="P36">
            <v>-6.6184719999999997</v>
          </cell>
          <cell r="Q36">
            <v>-0.61319999999999997</v>
          </cell>
          <cell r="R36">
            <v>-2.6061000000000001</v>
          </cell>
          <cell r="S36">
            <v>-3.2193000000000001</v>
          </cell>
          <cell r="T36">
            <v>-1.1752999999999996</v>
          </cell>
          <cell r="U36">
            <v>-4.3945999999999996</v>
          </cell>
          <cell r="V36">
            <v>-4.011400000000001</v>
          </cell>
          <cell r="W36">
            <v>-8.4060000000000006</v>
          </cell>
          <cell r="X36">
            <v>-0.7</v>
          </cell>
          <cell r="Y36">
            <v>0</v>
          </cell>
          <cell r="Z36">
            <v>-0.7</v>
          </cell>
          <cell r="AA36">
            <v>-0.6</v>
          </cell>
          <cell r="AB36">
            <v>-1.2999999999999998</v>
          </cell>
          <cell r="AC36">
            <v>-7.6390000000000002</v>
          </cell>
          <cell r="AD36">
            <v>-8.9390000000000001</v>
          </cell>
          <cell r="AE36">
            <v>-0.5</v>
          </cell>
          <cell r="AF36">
            <v>-0.5</v>
          </cell>
          <cell r="AG36">
            <v>-1</v>
          </cell>
          <cell r="AH36">
            <v>-1.2</v>
          </cell>
          <cell r="AI36">
            <v>-2.2000000000000002</v>
          </cell>
          <cell r="AJ36">
            <v>-5.8359999999999994</v>
          </cell>
          <cell r="AK36">
            <v>-8.0359999999999996</v>
          </cell>
          <cell r="AL36">
            <v>-2</v>
          </cell>
          <cell r="AM36">
            <v>-2.2000000000000002</v>
          </cell>
          <cell r="AN36">
            <v>-4.2</v>
          </cell>
          <cell r="AO36">
            <v>-2.5</v>
          </cell>
          <cell r="AP36">
            <v>-6.7</v>
          </cell>
          <cell r="AQ36">
            <v>-4.9370000000000003</v>
          </cell>
          <cell r="AR36">
            <v>-11.637</v>
          </cell>
          <cell r="AS36">
            <v>-1.4</v>
          </cell>
          <cell r="AT36">
            <v>-1.2</v>
          </cell>
          <cell r="AU36">
            <v>-2.5999999999999996</v>
          </cell>
          <cell r="AV36">
            <v>-1.1000000000000001</v>
          </cell>
          <cell r="AW36">
            <v>-3.6999999999999997</v>
          </cell>
          <cell r="AX36">
            <v>-6.0690000000000008</v>
          </cell>
          <cell r="AY36">
            <v>-9.7690000000000001</v>
          </cell>
          <cell r="AZ36">
            <v>-0.2</v>
          </cell>
          <cell r="BA36">
            <v>-0.8</v>
          </cell>
          <cell r="BB36">
            <v>-1</v>
          </cell>
          <cell r="BC36">
            <v>-0.60000000000000009</v>
          </cell>
          <cell r="BD36">
            <v>-1.6</v>
          </cell>
          <cell r="BE36">
            <v>-6.1739999999999995</v>
          </cell>
          <cell r="BF36">
            <v>-7.774</v>
          </cell>
          <cell r="BG36">
            <v>-0.5</v>
          </cell>
          <cell r="BH36">
            <v>0</v>
          </cell>
          <cell r="BI36">
            <v>-0.5</v>
          </cell>
          <cell r="BJ36">
            <v>0</v>
          </cell>
          <cell r="BK36">
            <v>-0.5</v>
          </cell>
          <cell r="BL36">
            <v>-6.95</v>
          </cell>
          <cell r="BM36">
            <v>-7.45</v>
          </cell>
          <cell r="BN36">
            <v>0</v>
          </cell>
          <cell r="BP36">
            <v>0</v>
          </cell>
          <cell r="BR36">
            <v>0</v>
          </cell>
          <cell r="BS36">
            <v>-1.164628</v>
          </cell>
          <cell r="BT36">
            <v>-1.164628</v>
          </cell>
          <cell r="BU36">
            <v>-1.164628</v>
          </cell>
          <cell r="BV36">
            <v>-1.164628</v>
          </cell>
          <cell r="BW36">
            <v>-1.164628</v>
          </cell>
          <cell r="BX36">
            <v>-1.164628</v>
          </cell>
          <cell r="BY36">
            <v>-1.164628</v>
          </cell>
          <cell r="BZ36">
            <v>-1.164628</v>
          </cell>
          <cell r="CC36" t="str">
            <v>mstag:interestExpense</v>
          </cell>
          <cell r="CD36">
            <v>6</v>
          </cell>
          <cell r="CE36" t="str">
            <v>ISO4217:EUR</v>
          </cell>
          <cell r="CF36" t="b">
            <v>1</v>
          </cell>
          <cell r="CG36" t="b">
            <v>0</v>
          </cell>
        </row>
        <row r="37">
          <cell r="A37" t="str">
            <v>Income from investments</v>
          </cell>
          <cell r="E37">
            <v>0</v>
          </cell>
          <cell r="G37">
            <v>0</v>
          </cell>
          <cell r="H37">
            <v>0</v>
          </cell>
          <cell r="L37">
            <v>0</v>
          </cell>
          <cell r="N37">
            <v>0</v>
          </cell>
          <cell r="O37">
            <v>-5.2842509999999994</v>
          </cell>
          <cell r="P37">
            <v>-5.2842509999999994</v>
          </cell>
          <cell r="S37">
            <v>0</v>
          </cell>
          <cell r="U37">
            <v>0</v>
          </cell>
          <cell r="V37">
            <v>2.0670000000000002</v>
          </cell>
          <cell r="W37">
            <v>2.0670000000000002</v>
          </cell>
          <cell r="Z37">
            <v>0</v>
          </cell>
          <cell r="AB37">
            <v>0</v>
          </cell>
          <cell r="AC37">
            <v>1.4379999999999999</v>
          </cell>
          <cell r="AD37">
            <v>1.4379999999999999</v>
          </cell>
          <cell r="AG37">
            <v>0</v>
          </cell>
          <cell r="AI37">
            <v>0</v>
          </cell>
          <cell r="AJ37">
            <v>2.4</v>
          </cell>
          <cell r="AK37">
            <v>2.4</v>
          </cell>
          <cell r="AN37">
            <v>0</v>
          </cell>
          <cell r="AP37">
            <v>0</v>
          </cell>
          <cell r="AQ37">
            <v>3.6139999999999999</v>
          </cell>
          <cell r="AR37">
            <v>3.6139999999999999</v>
          </cell>
          <cell r="AU37">
            <v>0</v>
          </cell>
          <cell r="AW37">
            <v>0</v>
          </cell>
          <cell r="AX37">
            <v>1.748</v>
          </cell>
          <cell r="AY37">
            <v>1.748</v>
          </cell>
          <cell r="AZ37">
            <v>0.1</v>
          </cell>
          <cell r="BA37">
            <v>0.4</v>
          </cell>
          <cell r="BB37">
            <v>0.5</v>
          </cell>
          <cell r="BC37">
            <v>0.7</v>
          </cell>
          <cell r="BD37">
            <v>1.2</v>
          </cell>
          <cell r="BE37">
            <v>0.3660000000000001</v>
          </cell>
          <cell r="BF37">
            <v>1.5660000000000001</v>
          </cell>
          <cell r="BG37">
            <v>0</v>
          </cell>
          <cell r="BH37">
            <v>0</v>
          </cell>
          <cell r="BI37">
            <v>0</v>
          </cell>
          <cell r="BJ37">
            <v>0</v>
          </cell>
          <cell r="BK37">
            <v>0</v>
          </cell>
          <cell r="BL37">
            <v>0.63400000000000001</v>
          </cell>
          <cell r="BM37">
            <v>0.63400000000000001</v>
          </cell>
          <cell r="BN37">
            <v>0</v>
          </cell>
          <cell r="BP37">
            <v>0</v>
          </cell>
          <cell r="BR37">
            <v>0</v>
          </cell>
          <cell r="BS37">
            <v>0</v>
          </cell>
          <cell r="CC37" t="str">
            <v>mstag:incomeLossesFromInvestmentsNonOperating</v>
          </cell>
          <cell r="CD37">
            <v>6</v>
          </cell>
          <cell r="CE37" t="str">
            <v>ISO4217:EUR</v>
          </cell>
          <cell r="CF37" t="b">
            <v>0</v>
          </cell>
          <cell r="CG37" t="b">
            <v>0</v>
          </cell>
        </row>
        <row r="38">
          <cell r="A38" t="str">
            <v>Net Financial Items</v>
          </cell>
          <cell r="B38">
            <v>-7.072751000000002</v>
          </cell>
          <cell r="C38">
            <v>0</v>
          </cell>
          <cell r="D38">
            <v>0</v>
          </cell>
          <cell r="E38">
            <v>0</v>
          </cell>
          <cell r="F38">
            <v>0</v>
          </cell>
          <cell r="G38">
            <v>0</v>
          </cell>
          <cell r="H38">
            <v>-6.0865210000000003</v>
          </cell>
          <cell r="I38">
            <v>-6.0865210000000003</v>
          </cell>
          <cell r="J38">
            <v>0</v>
          </cell>
          <cell r="K38">
            <v>0</v>
          </cell>
          <cell r="L38">
            <v>0</v>
          </cell>
          <cell r="M38">
            <v>0</v>
          </cell>
          <cell r="N38">
            <v>0</v>
          </cell>
          <cell r="O38">
            <v>-8.9813359999999989</v>
          </cell>
          <cell r="P38">
            <v>-8.9813359999999989</v>
          </cell>
          <cell r="Q38">
            <v>-0.61319999999999997</v>
          </cell>
          <cell r="R38">
            <v>-2.6061000000000001</v>
          </cell>
          <cell r="S38">
            <v>-3.2193000000000001</v>
          </cell>
          <cell r="T38">
            <v>-1.1752999999999996</v>
          </cell>
          <cell r="U38">
            <v>-4.3945999999999996</v>
          </cell>
          <cell r="V38">
            <v>2.2105999999999995</v>
          </cell>
          <cell r="W38">
            <v>-2.1840000000000002</v>
          </cell>
          <cell r="X38">
            <v>-0.7</v>
          </cell>
          <cell r="Y38">
            <v>10.6</v>
          </cell>
          <cell r="Z38">
            <v>9.9</v>
          </cell>
          <cell r="AA38">
            <v>-0.6</v>
          </cell>
          <cell r="AB38">
            <v>9.3000000000000007</v>
          </cell>
          <cell r="AC38">
            <v>-1.2919999999999996</v>
          </cell>
          <cell r="AD38">
            <v>8.0080000000000009</v>
          </cell>
          <cell r="AE38">
            <v>-0.5</v>
          </cell>
          <cell r="AF38">
            <v>-0.5</v>
          </cell>
          <cell r="AG38">
            <v>-1</v>
          </cell>
          <cell r="AH38">
            <v>-1.2</v>
          </cell>
          <cell r="AI38">
            <v>-2.2000000000000002</v>
          </cell>
          <cell r="AJ38">
            <v>0.17700000000000049</v>
          </cell>
          <cell r="AK38">
            <v>-2.0230000000000001</v>
          </cell>
          <cell r="AL38">
            <v>-2</v>
          </cell>
          <cell r="AM38">
            <v>-2.2000000000000002</v>
          </cell>
          <cell r="AN38">
            <v>-4.2</v>
          </cell>
          <cell r="AO38">
            <v>-2.5</v>
          </cell>
          <cell r="AP38">
            <v>-6.7</v>
          </cell>
          <cell r="AQ38">
            <v>1.1759999999999997</v>
          </cell>
          <cell r="AR38">
            <v>-5.524</v>
          </cell>
          <cell r="AS38">
            <v>-1.4</v>
          </cell>
          <cell r="AT38">
            <v>-1.2</v>
          </cell>
          <cell r="AU38">
            <v>-2.5999999999999996</v>
          </cell>
          <cell r="AV38">
            <v>-1.1000000000000001</v>
          </cell>
          <cell r="AW38">
            <v>-3.6999999999999997</v>
          </cell>
          <cell r="AX38">
            <v>0.76199999999999934</v>
          </cell>
          <cell r="AY38">
            <v>-2.9379999999999997</v>
          </cell>
          <cell r="AZ38">
            <v>-0.1</v>
          </cell>
          <cell r="BA38">
            <v>-0.4</v>
          </cell>
          <cell r="BB38">
            <v>-0.5</v>
          </cell>
          <cell r="BC38">
            <v>9.9999999999999867E-2</v>
          </cell>
          <cell r="BD38">
            <v>-0.40000000000000013</v>
          </cell>
          <cell r="BE38">
            <v>-0.36999999999999966</v>
          </cell>
          <cell r="BF38">
            <v>-0.77000000000000024</v>
          </cell>
          <cell r="BG38">
            <v>-0.5</v>
          </cell>
          <cell r="BH38">
            <v>0.3</v>
          </cell>
          <cell r="BI38">
            <v>-0.2</v>
          </cell>
          <cell r="BJ38">
            <v>0.2</v>
          </cell>
          <cell r="BK38">
            <v>0</v>
          </cell>
          <cell r="BL38">
            <v>-0.49700000000000022</v>
          </cell>
          <cell r="BM38">
            <v>-0.49700000000000022</v>
          </cell>
          <cell r="BN38">
            <v>1.2</v>
          </cell>
          <cell r="BO38">
            <v>1.9</v>
          </cell>
          <cell r="BP38">
            <v>3.0999999999999996</v>
          </cell>
          <cell r="BQ38">
            <v>1.5</v>
          </cell>
          <cell r="BR38">
            <v>4.5999999999999996</v>
          </cell>
          <cell r="BS38">
            <v>1.5672383262283094</v>
          </cell>
          <cell r="BT38">
            <v>6.1672383262283095</v>
          </cell>
          <cell r="BU38">
            <v>8.4576558529251731</v>
          </cell>
          <cell r="BV38">
            <v>11.702882210101116</v>
          </cell>
          <cell r="BW38">
            <v>15.50934804910478</v>
          </cell>
          <cell r="BX38">
            <v>21.825363511174039</v>
          </cell>
          <cell r="BY38">
            <v>29.295814710643409</v>
          </cell>
          <cell r="BZ38">
            <v>35.594846431834334</v>
          </cell>
        </row>
        <row r="40">
          <cell r="A40" t="str">
            <v>Profit before tax</v>
          </cell>
          <cell r="B40">
            <v>94.007137000000029</v>
          </cell>
          <cell r="C40">
            <v>0</v>
          </cell>
          <cell r="D40">
            <v>0</v>
          </cell>
          <cell r="E40">
            <v>0</v>
          </cell>
          <cell r="F40">
            <v>0</v>
          </cell>
          <cell r="G40">
            <v>0</v>
          </cell>
          <cell r="H40">
            <v>103.42077899999994</v>
          </cell>
          <cell r="I40">
            <v>103.42077899999983</v>
          </cell>
          <cell r="J40">
            <v>0</v>
          </cell>
          <cell r="K40">
            <v>0</v>
          </cell>
          <cell r="L40">
            <v>0</v>
          </cell>
          <cell r="M40">
            <v>0</v>
          </cell>
          <cell r="N40">
            <v>0</v>
          </cell>
          <cell r="O40">
            <v>-586.01020099999994</v>
          </cell>
          <cell r="P40">
            <v>95.273905999999926</v>
          </cell>
          <cell r="Q40">
            <v>20.542199999999973</v>
          </cell>
          <cell r="R40">
            <v>104.03960000000002</v>
          </cell>
          <cell r="S40">
            <v>124.58179999999999</v>
          </cell>
          <cell r="T40">
            <v>-0.51100000000007473</v>
          </cell>
          <cell r="U40">
            <v>124.07079999999992</v>
          </cell>
          <cell r="V40">
            <v>-65.258799999999994</v>
          </cell>
          <cell r="W40">
            <v>58.81199999999982</v>
          </cell>
          <cell r="X40">
            <v>10.199999999999985</v>
          </cell>
          <cell r="Y40">
            <v>19.500000000000011</v>
          </cell>
          <cell r="Z40">
            <v>29.699999999999978</v>
          </cell>
          <cell r="AA40">
            <v>-2.3999999999999968</v>
          </cell>
          <cell r="AB40">
            <v>27.299999999999976</v>
          </cell>
          <cell r="AC40">
            <v>-9.5229999999998132</v>
          </cell>
          <cell r="AD40">
            <v>17.777000000000029</v>
          </cell>
          <cell r="AE40">
            <v>5.9999999999999876</v>
          </cell>
          <cell r="AF40">
            <v>54.800000000000011</v>
          </cell>
          <cell r="AG40">
            <v>60.800000000000047</v>
          </cell>
          <cell r="AH40">
            <v>2.6999999999999917</v>
          </cell>
          <cell r="AI40">
            <v>63.500000000000057</v>
          </cell>
          <cell r="AJ40">
            <v>1.6140000000000196</v>
          </cell>
          <cell r="AK40">
            <v>65.11400000000009</v>
          </cell>
          <cell r="AL40">
            <v>7.2000000000000011</v>
          </cell>
          <cell r="AM40">
            <v>6.5000000000000338</v>
          </cell>
          <cell r="AN40">
            <v>13.700000000000003</v>
          </cell>
          <cell r="AO40">
            <v>9.1999999999999797</v>
          </cell>
          <cell r="AP40">
            <v>22.899999999999942</v>
          </cell>
          <cell r="AQ40">
            <v>57.50199999999996</v>
          </cell>
          <cell r="AR40">
            <v>80.402000000000058</v>
          </cell>
          <cell r="AS40">
            <v>112.30000000000004</v>
          </cell>
          <cell r="AT40">
            <v>162.29999999999998</v>
          </cell>
          <cell r="AU40">
            <v>274.59999999999997</v>
          </cell>
          <cell r="AV40">
            <v>8.6000000000000156</v>
          </cell>
          <cell r="AW40">
            <v>283.19999999999982</v>
          </cell>
          <cell r="AX40">
            <v>-12.665999999999956</v>
          </cell>
          <cell r="AY40">
            <v>270.53400000000016</v>
          </cell>
          <cell r="AZ40">
            <v>6.7000000000000206</v>
          </cell>
          <cell r="BA40">
            <v>2.4000000000000257</v>
          </cell>
          <cell r="BB40">
            <v>9.0999999999999943</v>
          </cell>
          <cell r="BC40">
            <v>5.6999999999999513</v>
          </cell>
          <cell r="BD40">
            <v>14.799999999999931</v>
          </cell>
          <cell r="BE40">
            <v>0.22999999999995291</v>
          </cell>
          <cell r="BF40">
            <v>15.030000000000165</v>
          </cell>
          <cell r="BG40">
            <v>29.899999999999995</v>
          </cell>
          <cell r="BH40">
            <v>8.9000000000000057</v>
          </cell>
          <cell r="BI40">
            <v>38.800000000000047</v>
          </cell>
          <cell r="BJ40">
            <v>-61.999999999999993</v>
          </cell>
          <cell r="BK40">
            <v>-23.199999999999907</v>
          </cell>
          <cell r="BL40">
            <v>5.7449999999999886</v>
          </cell>
          <cell r="BM40">
            <v>-17.454999999999995</v>
          </cell>
          <cell r="BN40">
            <v>12.500000000000005</v>
          </cell>
          <cell r="BO40">
            <v>68.900000000000006</v>
          </cell>
          <cell r="BP40">
            <v>77.399999999999977</v>
          </cell>
          <cell r="BQ40">
            <v>5.7375200000000062</v>
          </cell>
          <cell r="BR40">
            <v>3.1375199999998915</v>
          </cell>
          <cell r="BS40">
            <v>4.3862534943739711</v>
          </cell>
          <cell r="BT40">
            <v>82.523773494373927</v>
          </cell>
          <cell r="BU40">
            <v>111.59141920030379</v>
          </cell>
          <cell r="BV40">
            <v>135.80561356176221</v>
          </cell>
          <cell r="BW40">
            <v>180.2692630520518</v>
          </cell>
          <cell r="BX40">
            <v>390.4122096712137</v>
          </cell>
          <cell r="BY40">
            <v>281.37531782610125</v>
          </cell>
          <cell r="BZ40">
            <v>312.78737044967619</v>
          </cell>
        </row>
        <row r="41">
          <cell r="A41" t="str">
            <v>Total tax</v>
          </cell>
          <cell r="B41">
            <v>-41.882071000000003</v>
          </cell>
          <cell r="E41">
            <v>0</v>
          </cell>
          <cell r="G41">
            <v>0</v>
          </cell>
          <cell r="H41">
            <v>-43.967462000000005</v>
          </cell>
          <cell r="I41">
            <v>-43.967462000000005</v>
          </cell>
          <cell r="L41">
            <v>0</v>
          </cell>
          <cell r="N41">
            <v>0</v>
          </cell>
          <cell r="O41">
            <v>-35.188482</v>
          </cell>
          <cell r="P41">
            <v>-35.188482</v>
          </cell>
          <cell r="Q41">
            <v>-8.2782</v>
          </cell>
          <cell r="R41">
            <v>-54.012700000000002</v>
          </cell>
          <cell r="S41">
            <v>-62.290900000000001</v>
          </cell>
          <cell r="T41">
            <v>2.4528000000000034</v>
          </cell>
          <cell r="U41">
            <v>-59.838099999999997</v>
          </cell>
          <cell r="V41">
            <v>8.5541</v>
          </cell>
          <cell r="W41">
            <v>-51.283999999999999</v>
          </cell>
          <cell r="X41">
            <v>-3</v>
          </cell>
          <cell r="Y41">
            <v>-6.6</v>
          </cell>
          <cell r="Z41">
            <v>-9.6</v>
          </cell>
          <cell r="AA41">
            <v>-0.4</v>
          </cell>
          <cell r="AB41">
            <v>-10</v>
          </cell>
          <cell r="AC41">
            <v>5.6310000000000002</v>
          </cell>
          <cell r="AD41">
            <v>-4.3689999999999998</v>
          </cell>
          <cell r="AE41">
            <v>-1.7</v>
          </cell>
          <cell r="AF41">
            <v>-23</v>
          </cell>
          <cell r="AG41">
            <v>-24.7</v>
          </cell>
          <cell r="AH41">
            <v>-0.5</v>
          </cell>
          <cell r="AI41">
            <v>-25.2</v>
          </cell>
          <cell r="AJ41">
            <v>0.37800000000000078</v>
          </cell>
          <cell r="AK41">
            <v>-24.821999999999999</v>
          </cell>
          <cell r="AL41">
            <v>-2.6</v>
          </cell>
          <cell r="AM41">
            <v>-2</v>
          </cell>
          <cell r="AN41">
            <v>-4.5999999999999996</v>
          </cell>
          <cell r="AO41">
            <v>-3.2</v>
          </cell>
          <cell r="AP41">
            <v>-7.8</v>
          </cell>
          <cell r="AQ41">
            <v>-24.231999999999996</v>
          </cell>
          <cell r="AR41">
            <v>-32.031999999999996</v>
          </cell>
          <cell r="AS41">
            <v>-57.7</v>
          </cell>
          <cell r="AT41">
            <v>-73.7</v>
          </cell>
          <cell r="AU41">
            <v>-131.4</v>
          </cell>
          <cell r="AV41">
            <v>-6</v>
          </cell>
          <cell r="AW41">
            <v>-137.4</v>
          </cell>
          <cell r="AX41">
            <v>-0.30400000000000205</v>
          </cell>
          <cell r="AY41">
            <v>-137.70400000000001</v>
          </cell>
          <cell r="AZ41">
            <v>-6.2</v>
          </cell>
          <cell r="BA41">
            <v>-5.2</v>
          </cell>
          <cell r="BB41">
            <v>-11.4</v>
          </cell>
          <cell r="BC41">
            <v>-3.9000000000000012</v>
          </cell>
          <cell r="BD41">
            <v>-15.3</v>
          </cell>
          <cell r="BE41">
            <v>-0.45299999999999763</v>
          </cell>
          <cell r="BF41">
            <v>-15.753</v>
          </cell>
          <cell r="BG41">
            <v>-28.8</v>
          </cell>
          <cell r="BH41">
            <v>-7.7</v>
          </cell>
          <cell r="BI41">
            <v>-36.5</v>
          </cell>
          <cell r="BJ41">
            <v>11.6</v>
          </cell>
          <cell r="BK41">
            <v>-24.9</v>
          </cell>
          <cell r="BL41">
            <v>-11.102000000000004</v>
          </cell>
          <cell r="BM41">
            <v>-36.002000000000002</v>
          </cell>
          <cell r="BN41">
            <v>-10.199999999999999</v>
          </cell>
          <cell r="BO41">
            <v>-33.700000000000003</v>
          </cell>
          <cell r="BP41">
            <v>-43.900000000000006</v>
          </cell>
          <cell r="BQ41">
            <v>-4.0162640000000041</v>
          </cell>
          <cell r="BR41">
            <v>-47.916264000000012</v>
          </cell>
          <cell r="BS41">
            <v>-3.0703774460617796</v>
          </cell>
          <cell r="BT41">
            <v>-50.986641446061789</v>
          </cell>
          <cell r="BU41">
            <v>-42.66499672010633</v>
          </cell>
          <cell r="BV41">
            <v>-47.531964746616772</v>
          </cell>
          <cell r="BW41">
            <v>-63.094242068218122</v>
          </cell>
          <cell r="BX41">
            <v>-109.12366290136411</v>
          </cell>
          <cell r="BY41">
            <v>-84.412595347830376</v>
          </cell>
          <cell r="BZ41">
            <v>-87.58046372590934</v>
          </cell>
        </row>
        <row r="42">
          <cell r="A42" t="str">
            <v>Income tax</v>
          </cell>
          <cell r="B42">
            <v>-41.882071000000003</v>
          </cell>
          <cell r="C42">
            <v>0</v>
          </cell>
          <cell r="D42">
            <v>0</v>
          </cell>
          <cell r="E42">
            <v>0</v>
          </cell>
          <cell r="F42">
            <v>0</v>
          </cell>
          <cell r="G42">
            <v>0</v>
          </cell>
          <cell r="H42">
            <v>-43.967462000000005</v>
          </cell>
          <cell r="I42">
            <v>-43.967462000000005</v>
          </cell>
          <cell r="J42">
            <v>0</v>
          </cell>
          <cell r="K42">
            <v>0</v>
          </cell>
          <cell r="L42">
            <v>0</v>
          </cell>
          <cell r="M42">
            <v>0</v>
          </cell>
          <cell r="N42">
            <v>0</v>
          </cell>
          <cell r="O42">
            <v>-35.188482</v>
          </cell>
          <cell r="P42">
            <v>-35.188482</v>
          </cell>
          <cell r="Q42">
            <v>-8.2782</v>
          </cell>
          <cell r="R42">
            <v>-54.012700000000002</v>
          </cell>
          <cell r="S42">
            <v>-62.290900000000001</v>
          </cell>
          <cell r="T42">
            <v>2.4528000000000034</v>
          </cell>
          <cell r="U42">
            <v>-59.838099999999997</v>
          </cell>
          <cell r="V42">
            <v>8.5541</v>
          </cell>
          <cell r="W42">
            <v>-51.283999999999999</v>
          </cell>
          <cell r="X42">
            <v>-3</v>
          </cell>
          <cell r="Y42">
            <v>-6.6</v>
          </cell>
          <cell r="Z42">
            <v>-9.6</v>
          </cell>
          <cell r="AA42">
            <v>-0.4</v>
          </cell>
          <cell r="AB42">
            <v>-10</v>
          </cell>
          <cell r="AC42">
            <v>5.6310000000000002</v>
          </cell>
          <cell r="AD42">
            <v>-4.3689999999999998</v>
          </cell>
          <cell r="AE42">
            <v>-1.7</v>
          </cell>
          <cell r="AF42">
            <v>-23</v>
          </cell>
          <cell r="AG42">
            <v>-24.7</v>
          </cell>
          <cell r="AH42">
            <v>-0.5</v>
          </cell>
          <cell r="AI42">
            <v>-25.2</v>
          </cell>
          <cell r="AJ42">
            <v>0.37800000000000078</v>
          </cell>
          <cell r="AK42">
            <v>-24.821999999999999</v>
          </cell>
          <cell r="AL42">
            <v>-2.6</v>
          </cell>
          <cell r="AM42">
            <v>-2</v>
          </cell>
          <cell r="AN42">
            <v>-4.5999999999999996</v>
          </cell>
          <cell r="AO42">
            <v>-3.2</v>
          </cell>
          <cell r="AP42">
            <v>-7.8</v>
          </cell>
          <cell r="AQ42">
            <v>-24.231999999999996</v>
          </cell>
          <cell r="AR42">
            <v>-32.031999999999996</v>
          </cell>
          <cell r="AS42">
            <v>-57.7</v>
          </cell>
          <cell r="AT42">
            <v>-73.7</v>
          </cell>
          <cell r="AU42">
            <v>-131.4</v>
          </cell>
          <cell r="AV42">
            <v>-6</v>
          </cell>
          <cell r="AW42">
            <v>-137.4</v>
          </cell>
          <cell r="AX42">
            <v>-0.30400000000000205</v>
          </cell>
          <cell r="AY42">
            <v>-137.70400000000001</v>
          </cell>
          <cell r="AZ42">
            <v>-6.2</v>
          </cell>
          <cell r="BA42">
            <v>-5.2</v>
          </cell>
          <cell r="BB42">
            <v>-11.4</v>
          </cell>
          <cell r="BC42">
            <v>-3.9000000000000012</v>
          </cell>
          <cell r="BD42">
            <v>-15.3</v>
          </cell>
          <cell r="BE42">
            <v>-0.45299999999999763</v>
          </cell>
          <cell r="BF42">
            <v>-15.753</v>
          </cell>
          <cell r="BG42">
            <v>-28.8</v>
          </cell>
          <cell r="BH42">
            <v>-7.7</v>
          </cell>
          <cell r="BI42">
            <v>-36.5</v>
          </cell>
          <cell r="BJ42">
            <v>11.6</v>
          </cell>
          <cell r="BK42">
            <v>-24.9</v>
          </cell>
          <cell r="BL42">
            <v>-11.102000000000004</v>
          </cell>
          <cell r="BM42">
            <v>-36.002000000000002</v>
          </cell>
          <cell r="BN42">
            <v>-10.199999999999999</v>
          </cell>
          <cell r="BO42">
            <v>-13.700000000000003</v>
          </cell>
          <cell r="BP42">
            <v>-43.900000000000006</v>
          </cell>
          <cell r="BQ42">
            <v>-4.0162640000000041</v>
          </cell>
          <cell r="BR42">
            <v>-47.916264000000012</v>
          </cell>
          <cell r="BS42">
            <v>-3.0703774460617796</v>
          </cell>
          <cell r="BT42">
            <v>-19.706641446061788</v>
          </cell>
          <cell r="BU42">
            <v>-8.2569967201063257</v>
          </cell>
          <cell r="BV42">
            <v>-47.531964746616772</v>
          </cell>
          <cell r="BW42">
            <v>-63.094242068218122</v>
          </cell>
          <cell r="BX42">
            <v>-69.123662901364114</v>
          </cell>
          <cell r="BY42">
            <v>-84.412595347830376</v>
          </cell>
          <cell r="BZ42">
            <v>-87.58046372590934</v>
          </cell>
          <cell r="CC42" t="str">
            <v>mstag:taxExpenseIncome</v>
          </cell>
          <cell r="CD42">
            <v>6</v>
          </cell>
          <cell r="CE42" t="str">
            <v>ISO4217:EUR</v>
          </cell>
          <cell r="CF42" t="b">
            <v>1</v>
          </cell>
          <cell r="CG42" t="b">
            <v>0</v>
          </cell>
        </row>
        <row r="43">
          <cell r="A43" t="str">
            <v>Exceptional tax</v>
          </cell>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-20</v>
          </cell>
          <cell r="BQ43">
            <v>0</v>
          </cell>
          <cell r="BS43">
            <v>0</v>
          </cell>
          <cell r="BT43">
            <v>-31.28</v>
          </cell>
          <cell r="BU43">
            <v>-34.408000000000001</v>
          </cell>
          <cell r="BV43">
            <v>0</v>
          </cell>
          <cell r="BW43">
            <v>0</v>
          </cell>
          <cell r="BX43">
            <v>-40</v>
          </cell>
          <cell r="BY43">
            <v>0</v>
          </cell>
          <cell r="BZ43">
            <v>0</v>
          </cell>
          <cell r="CC43" t="str">
            <v>mstag:taxOnIncomeLossFromExtraordinaryItems</v>
          </cell>
          <cell r="CD43">
            <v>6</v>
          </cell>
          <cell r="CE43" t="str">
            <v>ISO4217:EUR</v>
          </cell>
          <cell r="CF43" t="b">
            <v>1</v>
          </cell>
          <cell r="CG43" t="b">
            <v>0</v>
          </cell>
        </row>
        <row r="44">
          <cell r="A44" t="str">
            <v>Tax rate</v>
          </cell>
          <cell r="B44">
            <v>0.44552012045638612</v>
          </cell>
          <cell r="C44" t="e">
            <v>#DIV/0!</v>
          </cell>
          <cell r="D44" t="e">
            <v>#DIV/0!</v>
          </cell>
          <cell r="E44" t="e">
            <v>#DIV/0!</v>
          </cell>
          <cell r="F44" t="e">
            <v>#DIV/0!</v>
          </cell>
          <cell r="G44" t="e">
            <v>#DIV/0!</v>
          </cell>
          <cell r="H44">
            <v>0.42513180064133949</v>
          </cell>
          <cell r="I44">
            <v>0.42513180064133999</v>
          </cell>
          <cell r="J44" t="e">
            <v>#DIV/0!</v>
          </cell>
          <cell r="K44" t="e">
            <v>#DIV/0!</v>
          </cell>
          <cell r="L44" t="e">
            <v>#DIV/0!</v>
          </cell>
          <cell r="M44" t="e">
            <v>#DIV/0!</v>
          </cell>
          <cell r="N44" t="e">
            <v>#DIV/0!</v>
          </cell>
          <cell r="O44">
            <v>-6.0047558796676996E-2</v>
          </cell>
          <cell r="P44">
            <v>0.36934018428928511</v>
          </cell>
          <cell r="Q44">
            <v>0.40298507462686622</v>
          </cell>
          <cell r="R44">
            <v>0.51915520628683687</v>
          </cell>
          <cell r="S44">
            <v>0.50000000000000011</v>
          </cell>
          <cell r="T44">
            <v>4.7999999999993044</v>
          </cell>
          <cell r="U44">
            <v>0.48228995057660656</v>
          </cell>
          <cell r="V44">
            <v>0.13107963983401474</v>
          </cell>
          <cell r="W44">
            <v>0.87199891178671285</v>
          </cell>
          <cell r="X44">
            <v>0.29411764705882398</v>
          </cell>
          <cell r="Y44">
            <v>0.33846153846153826</v>
          </cell>
          <cell r="Z44">
            <v>0.32323232323232348</v>
          </cell>
          <cell r="AA44">
            <v>-0.16666666666666691</v>
          </cell>
          <cell r="AB44">
            <v>0.36630036630036661</v>
          </cell>
          <cell r="AC44">
            <v>0.59130526094719216</v>
          </cell>
          <cell r="AD44">
            <v>0.24576700230635048</v>
          </cell>
          <cell r="AE44">
            <v>0.28333333333333394</v>
          </cell>
          <cell r="AF44">
            <v>0.41970802919708022</v>
          </cell>
          <cell r="AG44">
            <v>0.40624999999999967</v>
          </cell>
          <cell r="AH44">
            <v>0.18518518518518576</v>
          </cell>
          <cell r="AI44">
            <v>0.39685039370078701</v>
          </cell>
          <cell r="AJ44">
            <v>-0.23420074349442144</v>
          </cell>
          <cell r="AK44">
            <v>0.3812083422919797</v>
          </cell>
          <cell r="AL44">
            <v>0.36111111111111105</v>
          </cell>
          <cell r="AM44">
            <v>0.3076923076923061</v>
          </cell>
          <cell r="AN44">
            <v>0.33576642335766416</v>
          </cell>
          <cell r="AO44">
            <v>0.34782608695652251</v>
          </cell>
          <cell r="AP44">
            <v>0.34061135371179124</v>
          </cell>
          <cell r="AQ44">
            <v>0.42141142916768132</v>
          </cell>
          <cell r="AR44">
            <v>0.3983980497997559</v>
          </cell>
          <cell r="AS44">
            <v>0.51380231522707021</v>
          </cell>
          <cell r="AT44">
            <v>0.45409735058533585</v>
          </cell>
          <cell r="AU44">
            <v>0.47851420247632931</v>
          </cell>
          <cell r="AV44">
            <v>0.69767441860464985</v>
          </cell>
          <cell r="AW44">
            <v>0.48516949152542405</v>
          </cell>
          <cell r="AX44">
            <v>-2.4001263224380474E-2</v>
          </cell>
          <cell r="AY44">
            <v>0.50900810988637257</v>
          </cell>
          <cell r="AZ44">
            <v>0.92537313432835544</v>
          </cell>
          <cell r="BA44">
            <v>2.1666666666666434</v>
          </cell>
          <cell r="BB44">
            <v>1.2527472527472536</v>
          </cell>
          <cell r="BC44">
            <v>0.68421052631579549</v>
          </cell>
          <cell r="BD44">
            <v>1.0337837837837887</v>
          </cell>
          <cell r="BE44">
            <v>1.9695652173916973</v>
          </cell>
          <cell r="BF44">
            <v>1.0481037924151582</v>
          </cell>
          <cell r="BG44">
            <v>0.96321070234113726</v>
          </cell>
          <cell r="BH44">
            <v>0.86516853932584215</v>
          </cell>
          <cell r="BI44">
            <v>0.94072164948453496</v>
          </cell>
          <cell r="BJ44">
            <v>0.18709677419354839</v>
          </cell>
          <cell r="BK44">
            <v>-1.0732758620689697</v>
          </cell>
          <cell r="BL44">
            <v>1.9324630113141907</v>
          </cell>
          <cell r="BM44">
            <v>-2.0625608708106569</v>
          </cell>
          <cell r="BN44">
            <v>0.81599999999999961</v>
          </cell>
          <cell r="BO44">
            <v>0.48911465892597966</v>
          </cell>
          <cell r="BP44">
            <v>0.56718346253230001</v>
          </cell>
          <cell r="BQ44">
            <v>0.7</v>
          </cell>
          <cell r="BR44">
            <v>15.272018664423388</v>
          </cell>
          <cell r="BS44">
            <v>0.7</v>
          </cell>
          <cell r="BT44">
            <v>0.61784185680188042</v>
          </cell>
          <cell r="BU44">
            <v>0.35</v>
          </cell>
          <cell r="BV44">
            <v>0.35</v>
          </cell>
          <cell r="BW44">
            <v>0.35</v>
          </cell>
          <cell r="BX44">
            <v>0.3</v>
          </cell>
          <cell r="BY44">
            <v>0.3</v>
          </cell>
          <cell r="BZ44">
            <v>0.28000000000000003</v>
          </cell>
        </row>
        <row r="46">
          <cell r="A46" t="str">
            <v>Profit after tax</v>
          </cell>
          <cell r="B46">
            <v>52.125066000000025</v>
          </cell>
          <cell r="C46">
            <v>0</v>
          </cell>
          <cell r="D46">
            <v>0</v>
          </cell>
          <cell r="E46">
            <v>0</v>
          </cell>
          <cell r="F46">
            <v>0</v>
          </cell>
          <cell r="G46">
            <v>0</v>
          </cell>
          <cell r="H46">
            <v>59.453316999999934</v>
          </cell>
          <cell r="I46">
            <v>59.453316999999821</v>
          </cell>
          <cell r="J46">
            <v>0</v>
          </cell>
          <cell r="K46">
            <v>0</v>
          </cell>
          <cell r="L46">
            <v>0</v>
          </cell>
          <cell r="M46">
            <v>0</v>
          </cell>
          <cell r="N46">
            <v>0</v>
          </cell>
          <cell r="O46">
            <v>-621.19868299999996</v>
          </cell>
          <cell r="P46">
            <v>60.085423999999925</v>
          </cell>
          <cell r="Q46">
            <v>12.263999999999973</v>
          </cell>
          <cell r="R46">
            <v>50.026900000000019</v>
          </cell>
          <cell r="S46">
            <v>62.290899999999986</v>
          </cell>
          <cell r="T46">
            <v>1.9417999999999287</v>
          </cell>
          <cell r="U46">
            <v>64.232699999999923</v>
          </cell>
          <cell r="V46">
            <v>-56.704699999999995</v>
          </cell>
          <cell r="W46">
            <v>7.5279999999998211</v>
          </cell>
          <cell r="X46">
            <v>7.1999999999999851</v>
          </cell>
          <cell r="Y46">
            <v>12.900000000000011</v>
          </cell>
          <cell r="Z46">
            <v>20.09999999999998</v>
          </cell>
          <cell r="AA46">
            <v>-2.7999999999999967</v>
          </cell>
          <cell r="AB46">
            <v>17.299999999999976</v>
          </cell>
          <cell r="AC46">
            <v>-3.8919999999998129</v>
          </cell>
          <cell r="AD46">
            <v>13.40800000000003</v>
          </cell>
          <cell r="AE46">
            <v>4.2999999999999874</v>
          </cell>
          <cell r="AF46">
            <v>31.800000000000011</v>
          </cell>
          <cell r="AG46">
            <v>36.100000000000051</v>
          </cell>
          <cell r="AH46">
            <v>2.1999999999999917</v>
          </cell>
          <cell r="AI46">
            <v>38.300000000000054</v>
          </cell>
          <cell r="AJ46">
            <v>1.9920000000000204</v>
          </cell>
          <cell r="AK46">
            <v>40.292000000000087</v>
          </cell>
          <cell r="AL46">
            <v>4.6000000000000014</v>
          </cell>
          <cell r="AM46">
            <v>4.5000000000000338</v>
          </cell>
          <cell r="AN46">
            <v>9.1000000000000032</v>
          </cell>
          <cell r="AO46">
            <v>5.9999999999999796</v>
          </cell>
          <cell r="AP46">
            <v>15.099999999999941</v>
          </cell>
          <cell r="AQ46">
            <v>33.269999999999968</v>
          </cell>
          <cell r="AR46">
            <v>48.370000000000061</v>
          </cell>
          <cell r="AS46">
            <v>54.600000000000037</v>
          </cell>
          <cell r="AT46">
            <v>88.59999999999998</v>
          </cell>
          <cell r="AU46">
            <v>143.19999999999996</v>
          </cell>
          <cell r="AV46">
            <v>2.6000000000000156</v>
          </cell>
          <cell r="AW46">
            <v>145.79999999999981</v>
          </cell>
          <cell r="AX46">
            <v>-12.969999999999958</v>
          </cell>
          <cell r="AY46">
            <v>132.83000000000015</v>
          </cell>
          <cell r="AZ46">
            <v>0.50000000000002043</v>
          </cell>
          <cell r="BA46">
            <v>-2.7999999999999745</v>
          </cell>
          <cell r="BB46">
            <v>-2.300000000000006</v>
          </cell>
          <cell r="BC46">
            <v>1.7999999999999501</v>
          </cell>
          <cell r="BD46">
            <v>-0.50000000000006928</v>
          </cell>
          <cell r="BE46">
            <v>-0.22300000000004472</v>
          </cell>
          <cell r="BF46">
            <v>-0.72299999999983555</v>
          </cell>
          <cell r="BG46">
            <v>1.0999999999999943</v>
          </cell>
          <cell r="BH46">
            <v>1.2000000000000055</v>
          </cell>
          <cell r="BI46">
            <v>2.3000000000000469</v>
          </cell>
          <cell r="BJ46">
            <v>-50.399999999999991</v>
          </cell>
          <cell r="BK46">
            <v>-48.099999999999909</v>
          </cell>
          <cell r="BL46">
            <v>-5.3570000000000153</v>
          </cell>
          <cell r="BM46">
            <v>-53.456999999999994</v>
          </cell>
          <cell r="BN46">
            <v>2.300000000000006</v>
          </cell>
          <cell r="BO46">
            <v>35.200000000000003</v>
          </cell>
          <cell r="BP46">
            <v>33.499999999999972</v>
          </cell>
          <cell r="BQ46">
            <v>1.7212560000000021</v>
          </cell>
          <cell r="BR46">
            <v>-44.778744000000124</v>
          </cell>
          <cell r="BS46">
            <v>1.3158760483121914</v>
          </cell>
          <cell r="BT46">
            <v>31.537132048312138</v>
          </cell>
          <cell r="BU46">
            <v>68.926422480197459</v>
          </cell>
          <cell r="BV46">
            <v>88.273648815145435</v>
          </cell>
          <cell r="BW46">
            <v>117.17502098383368</v>
          </cell>
          <cell r="BX46">
            <v>281.28854676984957</v>
          </cell>
          <cell r="BY46">
            <v>196.96272247827088</v>
          </cell>
          <cell r="BZ46">
            <v>225.20690672376685</v>
          </cell>
        </row>
        <row r="47">
          <cell r="A47" t="str">
            <v>Minority interests</v>
          </cell>
          <cell r="B47">
            <v>0</v>
          </cell>
          <cell r="E47">
            <v>0</v>
          </cell>
          <cell r="G47">
            <v>0</v>
          </cell>
          <cell r="H47">
            <v>0.11753000000000001</v>
          </cell>
          <cell r="I47">
            <v>0.11753000000000001</v>
          </cell>
          <cell r="L47">
            <v>0</v>
          </cell>
          <cell r="N47">
            <v>0</v>
          </cell>
          <cell r="O47">
            <v>0.25856600000000002</v>
          </cell>
          <cell r="P47">
            <v>0.25856600000000002</v>
          </cell>
          <cell r="Q47">
            <v>0.15329999999999999</v>
          </cell>
          <cell r="R47">
            <v>0.15329999999999999</v>
          </cell>
          <cell r="S47">
            <v>0.30659999999999998</v>
          </cell>
          <cell r="T47">
            <v>0.15330000000000005</v>
          </cell>
          <cell r="U47">
            <v>0.45990000000000003</v>
          </cell>
          <cell r="V47">
            <v>0.2661</v>
          </cell>
          <cell r="W47">
            <v>0.72599999999999998</v>
          </cell>
          <cell r="X47">
            <v>0.1</v>
          </cell>
          <cell r="Y47">
            <v>0.1</v>
          </cell>
          <cell r="Z47">
            <v>0.2</v>
          </cell>
          <cell r="AA47">
            <v>0.1</v>
          </cell>
          <cell r="AB47">
            <v>0.30000000000000004</v>
          </cell>
          <cell r="AC47">
            <v>-8.4000000000000019E-2</v>
          </cell>
          <cell r="AD47">
            <v>0.216</v>
          </cell>
          <cell r="AE47">
            <v>0.1</v>
          </cell>
          <cell r="AF47">
            <v>0.1</v>
          </cell>
          <cell r="AG47">
            <v>0.2</v>
          </cell>
          <cell r="AH47">
            <v>0.1</v>
          </cell>
          <cell r="AI47">
            <v>0.30000000000000004</v>
          </cell>
          <cell r="AJ47">
            <v>-8.7000000000000022E-2</v>
          </cell>
          <cell r="AK47">
            <v>0.21299999999999999</v>
          </cell>
          <cell r="AL47">
            <v>0.2</v>
          </cell>
          <cell r="AM47">
            <v>0.2</v>
          </cell>
          <cell r="AN47">
            <v>0.4</v>
          </cell>
          <cell r="AO47">
            <v>-0.2</v>
          </cell>
          <cell r="AP47">
            <v>0.2</v>
          </cell>
          <cell r="AQ47">
            <v>-0.17800000000000002</v>
          </cell>
          <cell r="AR47">
            <v>2.1999999999999999E-2</v>
          </cell>
          <cell r="AS47">
            <v>0</v>
          </cell>
          <cell r="AT47">
            <v>0</v>
          </cell>
          <cell r="AU47">
            <v>0</v>
          </cell>
          <cell r="AV47">
            <v>0</v>
          </cell>
          <cell r="AW47">
            <v>0</v>
          </cell>
          <cell r="AX47">
            <v>-0.312</v>
          </cell>
          <cell r="AY47">
            <v>-0.312</v>
          </cell>
          <cell r="AZ47">
            <v>0</v>
          </cell>
          <cell r="BA47">
            <v>0</v>
          </cell>
          <cell r="BB47">
            <v>0</v>
          </cell>
          <cell r="BC47">
            <v>-0.1</v>
          </cell>
          <cell r="BD47">
            <v>-0.1</v>
          </cell>
          <cell r="BE47">
            <v>-1.1999999999999997E-2</v>
          </cell>
          <cell r="BF47">
            <v>-0.112</v>
          </cell>
          <cell r="BG47">
            <v>-0.1</v>
          </cell>
          <cell r="BH47">
            <v>-0.1</v>
          </cell>
          <cell r="BI47">
            <v>-0.2</v>
          </cell>
          <cell r="BJ47">
            <v>-0.2</v>
          </cell>
          <cell r="BK47">
            <v>-0.4</v>
          </cell>
          <cell r="BL47">
            <v>-0.22599999999999998</v>
          </cell>
          <cell r="BM47">
            <v>-0.626</v>
          </cell>
          <cell r="BN47">
            <v>-0.1</v>
          </cell>
          <cell r="BO47">
            <v>-0.1</v>
          </cell>
          <cell r="BP47">
            <v>-0.2</v>
          </cell>
          <cell r="BR47">
            <v>-0.2</v>
          </cell>
          <cell r="BS47">
            <v>0.56931074811986082</v>
          </cell>
          <cell r="BT47">
            <v>0.36931074811986081</v>
          </cell>
          <cell r="BU47">
            <v>0.80715229946692879</v>
          </cell>
          <cell r="BV47">
            <v>1.0337150262506509</v>
          </cell>
          <cell r="BW47">
            <v>1.3721601125368033</v>
          </cell>
          <cell r="BX47">
            <v>3.2939863867767709</v>
          </cell>
          <cell r="BY47">
            <v>2.3065017541462778</v>
          </cell>
          <cell r="BZ47">
            <v>2.6372509420483392</v>
          </cell>
          <cell r="CC47" t="str">
            <v>mstag:minorityInterestsInNetIncome</v>
          </cell>
          <cell r="CD47">
            <v>6</v>
          </cell>
          <cell r="CE47" t="str">
            <v>ISO4217:EUR</v>
          </cell>
          <cell r="CF47" t="b">
            <v>1</v>
          </cell>
          <cell r="CG47" t="b">
            <v>0</v>
          </cell>
        </row>
        <row r="49">
          <cell r="A49" t="str">
            <v>Net Profit</v>
          </cell>
          <cell r="B49">
            <v>52.125066000000025</v>
          </cell>
          <cell r="C49">
            <v>0</v>
          </cell>
          <cell r="D49">
            <v>0</v>
          </cell>
          <cell r="E49">
            <v>0</v>
          </cell>
          <cell r="F49">
            <v>0</v>
          </cell>
          <cell r="G49">
            <v>0</v>
          </cell>
          <cell r="H49">
            <v>59.570846999999937</v>
          </cell>
          <cell r="I49">
            <v>59.570846999999823</v>
          </cell>
          <cell r="J49">
            <v>0</v>
          </cell>
          <cell r="K49">
            <v>0</v>
          </cell>
          <cell r="L49">
            <v>0</v>
          </cell>
          <cell r="M49">
            <v>0</v>
          </cell>
          <cell r="N49">
            <v>0</v>
          </cell>
          <cell r="O49">
            <v>-620.94011699999999</v>
          </cell>
          <cell r="P49">
            <v>60.343989999999927</v>
          </cell>
          <cell r="Q49">
            <v>12.417299999999972</v>
          </cell>
          <cell r="R49">
            <v>50.180200000000021</v>
          </cell>
          <cell r="S49">
            <v>62.597499999999989</v>
          </cell>
          <cell r="T49">
            <v>2.0950999999999289</v>
          </cell>
          <cell r="U49">
            <v>64.692599999999928</v>
          </cell>
          <cell r="V49">
            <v>-56.438599999999994</v>
          </cell>
          <cell r="W49">
            <v>8.2539999999998201</v>
          </cell>
          <cell r="X49">
            <v>7.2999999999999847</v>
          </cell>
          <cell r="Y49">
            <v>13.000000000000011</v>
          </cell>
          <cell r="Z49">
            <v>20.299999999999979</v>
          </cell>
          <cell r="AA49">
            <v>-2.6999999999999966</v>
          </cell>
          <cell r="AB49">
            <v>17.599999999999977</v>
          </cell>
          <cell r="AC49">
            <v>-3.975999999999813</v>
          </cell>
          <cell r="AD49">
            <v>13.624000000000029</v>
          </cell>
          <cell r="AE49">
            <v>4.399999999999987</v>
          </cell>
          <cell r="AF49">
            <v>31.900000000000013</v>
          </cell>
          <cell r="AG49">
            <v>36.300000000000054</v>
          </cell>
          <cell r="AH49">
            <v>2.2999999999999918</v>
          </cell>
          <cell r="AI49">
            <v>38.600000000000044</v>
          </cell>
          <cell r="AJ49">
            <v>1.9050000000000205</v>
          </cell>
          <cell r="AK49">
            <v>40.505000000000088</v>
          </cell>
          <cell r="AL49">
            <v>4.8000000000000016</v>
          </cell>
          <cell r="AM49">
            <v>4.7000000000000339</v>
          </cell>
          <cell r="AN49">
            <v>9.5000000000000355</v>
          </cell>
          <cell r="AO49">
            <v>5.7999999999999794</v>
          </cell>
          <cell r="AP49">
            <v>15.300000000000015</v>
          </cell>
          <cell r="AQ49">
            <v>33.09199999999997</v>
          </cell>
          <cell r="AR49">
            <v>48.39200000000006</v>
          </cell>
          <cell r="AS49">
            <v>54.600000000000037</v>
          </cell>
          <cell r="AT49">
            <v>88.59999999999998</v>
          </cell>
          <cell r="AU49">
            <v>143.19999999999996</v>
          </cell>
          <cell r="AV49">
            <v>2.6000000000000156</v>
          </cell>
          <cell r="AW49">
            <v>145.79999999999981</v>
          </cell>
          <cell r="AX49">
            <v>-13.281999999999957</v>
          </cell>
          <cell r="AY49">
            <v>132.51800000000014</v>
          </cell>
          <cell r="AZ49">
            <v>0.50000000000002043</v>
          </cell>
          <cell r="BA49">
            <v>-2.7999999999999745</v>
          </cell>
          <cell r="BB49">
            <v>-2.300000000000006</v>
          </cell>
          <cell r="BC49">
            <v>1.69999999999995</v>
          </cell>
          <cell r="BD49">
            <v>-0.60000000000006926</v>
          </cell>
          <cell r="BE49">
            <v>-0.23500000000004473</v>
          </cell>
          <cell r="BF49">
            <v>-0.83499999999983554</v>
          </cell>
          <cell r="BG49">
            <v>0.99999999999999434</v>
          </cell>
          <cell r="BH49">
            <v>1.1000000000000054</v>
          </cell>
          <cell r="BI49">
            <v>2.1000000000000467</v>
          </cell>
          <cell r="BJ49">
            <v>-50.599999999999994</v>
          </cell>
          <cell r="BK49">
            <v>-48.499999999999908</v>
          </cell>
          <cell r="BL49">
            <v>-5.5830000000000153</v>
          </cell>
          <cell r="BM49">
            <v>-54.082999999999991</v>
          </cell>
          <cell r="BN49">
            <v>2.200000000000006</v>
          </cell>
          <cell r="BO49">
            <v>35.1</v>
          </cell>
          <cell r="BP49">
            <v>33.299999999999969</v>
          </cell>
          <cell r="BQ49">
            <v>1.7212560000000021</v>
          </cell>
          <cell r="BR49">
            <v>-44.978744000000127</v>
          </cell>
          <cell r="BS49">
            <v>1.8851867964320523</v>
          </cell>
          <cell r="BT49">
            <v>31.906442796432</v>
          </cell>
          <cell r="BU49">
            <v>69.733574779664394</v>
          </cell>
          <cell r="BV49">
            <v>89.307363841396082</v>
          </cell>
          <cell r="BW49">
            <v>118.54718109637048</v>
          </cell>
          <cell r="BX49">
            <v>284.58253315662637</v>
          </cell>
          <cell r="BY49">
            <v>199.26922423241714</v>
          </cell>
          <cell r="BZ49">
            <v>227.84415766581517</v>
          </cell>
        </row>
        <row r="50">
          <cell r="A50" t="str">
            <v>Net profit margin</v>
          </cell>
          <cell r="B50">
            <v>8.5339602357577038E-2</v>
          </cell>
          <cell r="C50" t="e">
            <v>#DIV/0!</v>
          </cell>
          <cell r="D50" t="e">
            <v>#DIV/0!</v>
          </cell>
          <cell r="E50" t="e">
            <v>#DIV/0!</v>
          </cell>
          <cell r="F50" t="e">
            <v>#DIV/0!</v>
          </cell>
          <cell r="G50" t="e">
            <v>#DIV/0!</v>
          </cell>
          <cell r="H50">
            <v>9.1619413630094099E-2</v>
          </cell>
          <cell r="I50">
            <v>9.1619413630093946E-2</v>
          </cell>
          <cell r="J50" t="e">
            <v>#DIV/0!</v>
          </cell>
          <cell r="K50" t="e">
            <v>#DIV/0!</v>
          </cell>
          <cell r="L50" t="e">
            <v>#DIV/0!</v>
          </cell>
          <cell r="M50" t="e">
            <v>#DIV/0!</v>
          </cell>
          <cell r="N50" t="e">
            <v>#DIV/0!</v>
          </cell>
          <cell r="O50" t="e">
            <v>#DIV/0!</v>
          </cell>
          <cell r="P50">
            <v>8.8573899464236189E-2</v>
          </cell>
          <cell r="Q50">
            <v>7.4494175352544295E-2</v>
          </cell>
          <cell r="R50">
            <v>0.26612466124661255</v>
          </cell>
          <cell r="S50">
            <v>0.17620828538550054</v>
          </cell>
          <cell r="T50">
            <v>1.2439320388349098E-2</v>
          </cell>
          <cell r="U50">
            <v>0.12353629976580784</v>
          </cell>
          <cell r="V50">
            <v>-0.309744459969859</v>
          </cell>
          <cell r="W50">
            <v>1.1693155947940129E-2</v>
          </cell>
          <cell r="X50">
            <v>4.3817527010804234E-2</v>
          </cell>
          <cell r="Y50">
            <v>6.5228299046663371E-2</v>
          </cell>
          <cell r="Z50">
            <v>5.5479639245695489E-2</v>
          </cell>
          <cell r="AA50">
            <v>-1.5481651376146769E-2</v>
          </cell>
          <cell r="AB50">
            <v>3.2574495650564458E-2</v>
          </cell>
          <cell r="AC50">
            <v>-2.0296898290894011E-2</v>
          </cell>
          <cell r="AD50">
            <v>1.8506041902112531E-2</v>
          </cell>
          <cell r="AE50">
            <v>2.4830699774266295E-2</v>
          </cell>
          <cell r="AF50">
            <v>0.15568570034163012</v>
          </cell>
          <cell r="AG50">
            <v>9.5001308557969247E-2</v>
          </cell>
          <cell r="AH50">
            <v>1.2493210211841346E-2</v>
          </cell>
          <cell r="AI50">
            <v>6.8173790180148436E-2</v>
          </cell>
          <cell r="AJ50">
            <v>9.4527807550316614E-3</v>
          </cell>
          <cell r="AK50">
            <v>5.2759571098097355E-2</v>
          </cell>
          <cell r="AL50">
            <v>2.5876010781671167E-2</v>
          </cell>
          <cell r="AM50">
            <v>2.1599264705882505E-2</v>
          </cell>
          <cell r="AN50">
            <v>2.3567353014140497E-2</v>
          </cell>
          <cell r="AO50">
            <v>3.0900372935535322E-2</v>
          </cell>
          <cell r="AP50">
            <v>2.5897088693297252E-2</v>
          </cell>
          <cell r="AQ50">
            <v>8.8781812230705998E-2</v>
          </cell>
          <cell r="AR50">
            <v>5.0223448264410032E-2</v>
          </cell>
          <cell r="AS50">
            <v>0.11664174321726134</v>
          </cell>
          <cell r="AT50">
            <v>0.17375956069817608</v>
          </cell>
          <cell r="AU50">
            <v>0.1464212678936605</v>
          </cell>
          <cell r="AV50">
            <v>9.6439169139466447E-3</v>
          </cell>
          <cell r="AW50">
            <v>0.11686437960884885</v>
          </cell>
          <cell r="AX50">
            <v>-5.3410219600368174E-2</v>
          </cell>
          <cell r="AY50">
            <v>8.8565033660166409E-2</v>
          </cell>
          <cell r="AZ50">
            <v>2.2094564737075583E-3</v>
          </cell>
          <cell r="BA50">
            <v>-1.0598031794095287E-2</v>
          </cell>
          <cell r="BB50">
            <v>-4.6890927624872701E-3</v>
          </cell>
          <cell r="BC50">
            <v>7.6818798011746492E-3</v>
          </cell>
          <cell r="BD50">
            <v>-8.4293340826084476E-4</v>
          </cell>
          <cell r="BE50">
            <v>-1.0006514879902439E-3</v>
          </cell>
          <cell r="BF50">
            <v>-8.8206057801887652E-4</v>
          </cell>
          <cell r="BG50">
            <v>4.1999160016799424E-3</v>
          </cell>
          <cell r="BH50">
            <v>4.391217564870281E-3</v>
          </cell>
          <cell r="BI50">
            <v>4.2979942693410697E-3</v>
          </cell>
          <cell r="BJ50">
            <v>-0.21660958904109587</v>
          </cell>
          <cell r="BK50">
            <v>-6.715591248961493E-2</v>
          </cell>
          <cell r="BL50">
            <v>-2.0803213449987392E-2</v>
          </cell>
          <cell r="BM50">
            <v>-5.4597747564033704E-2</v>
          </cell>
          <cell r="BN50">
            <v>8.8924818108326829E-3</v>
          </cell>
          <cell r="BO50">
            <v>0.14872881355932205</v>
          </cell>
          <cell r="BP50">
            <v>6.8887050062060348E-2</v>
          </cell>
          <cell r="BQ50">
            <v>7.5965469759559472E-3</v>
          </cell>
          <cell r="BR50">
            <v>-6.3351771307522606E-2</v>
          </cell>
          <cell r="BS50">
            <v>8.0410277694311326E-3</v>
          </cell>
          <cell r="BT50">
            <v>3.3783809066243127E-2</v>
          </cell>
          <cell r="BU50">
            <v>7.4369744491609283E-2</v>
          </cell>
          <cell r="BV50">
            <v>8.2752056287348982E-2</v>
          </cell>
          <cell r="BW50">
            <v>0.10158133011465868</v>
          </cell>
          <cell r="BX50">
            <v>0.22867015863465873</v>
          </cell>
          <cell r="BY50">
            <v>0.15458203994052139</v>
          </cell>
          <cell r="BZ50">
            <v>0.17210660576198475</v>
          </cell>
        </row>
        <row r="52">
          <cell r="A52" t="str">
            <v>Exceptionals post tax</v>
          </cell>
          <cell r="B52">
            <v>0</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60</v>
          </cell>
          <cell r="BP52">
            <v>80</v>
          </cell>
          <cell r="BQ52">
            <v>0</v>
          </cell>
          <cell r="BR52">
            <v>0</v>
          </cell>
          <cell r="BS52">
            <v>0</v>
          </cell>
          <cell r="BT52">
            <v>48.72</v>
          </cell>
          <cell r="BU52">
            <v>53.591999999999999</v>
          </cell>
          <cell r="BV52">
            <v>0</v>
          </cell>
          <cell r="BW52">
            <v>0</v>
          </cell>
          <cell r="BX52">
            <v>120</v>
          </cell>
          <cell r="BY52">
            <v>0</v>
          </cell>
          <cell r="BZ52">
            <v>0</v>
          </cell>
        </row>
        <row r="53">
          <cell r="A53" t="str">
            <v>Net Profit Pre exceptionals</v>
          </cell>
          <cell r="B53">
            <v>52.125066000000025</v>
          </cell>
          <cell r="C53">
            <v>0</v>
          </cell>
          <cell r="D53">
            <v>0</v>
          </cell>
          <cell r="E53">
            <v>0</v>
          </cell>
          <cell r="F53">
            <v>0</v>
          </cell>
          <cell r="G53">
            <v>0</v>
          </cell>
          <cell r="H53">
            <v>59.570846999999937</v>
          </cell>
          <cell r="I53">
            <v>59.570846999999823</v>
          </cell>
          <cell r="J53">
            <v>0</v>
          </cell>
          <cell r="K53">
            <v>0</v>
          </cell>
          <cell r="L53">
            <v>0</v>
          </cell>
          <cell r="M53">
            <v>0</v>
          </cell>
          <cell r="N53">
            <v>0</v>
          </cell>
          <cell r="O53">
            <v>-620.94011699999999</v>
          </cell>
          <cell r="P53">
            <v>60.343989999999927</v>
          </cell>
          <cell r="Q53">
            <v>12.417299999999972</v>
          </cell>
          <cell r="R53">
            <v>50.180200000000021</v>
          </cell>
          <cell r="S53">
            <v>62.597499999999989</v>
          </cell>
          <cell r="T53">
            <v>2.0950999999999289</v>
          </cell>
          <cell r="U53">
            <v>64.692599999999928</v>
          </cell>
          <cell r="V53">
            <v>-56.438599999999994</v>
          </cell>
          <cell r="W53">
            <v>8.2539999999998201</v>
          </cell>
          <cell r="X53">
            <v>7.2999999999999847</v>
          </cell>
          <cell r="Y53">
            <v>13.000000000000011</v>
          </cell>
          <cell r="Z53">
            <v>20.299999999999979</v>
          </cell>
          <cell r="AA53">
            <v>-2.6999999999999966</v>
          </cell>
          <cell r="AB53">
            <v>17.599999999999977</v>
          </cell>
          <cell r="AC53">
            <v>-3.975999999999813</v>
          </cell>
          <cell r="AD53">
            <v>13.624000000000029</v>
          </cell>
          <cell r="AE53">
            <v>4.399999999999987</v>
          </cell>
          <cell r="AF53">
            <v>31.900000000000013</v>
          </cell>
          <cell r="AG53">
            <v>36.300000000000054</v>
          </cell>
          <cell r="AH53">
            <v>2.2999999999999918</v>
          </cell>
          <cell r="AI53">
            <v>38.600000000000044</v>
          </cell>
          <cell r="AJ53">
            <v>1.9050000000000205</v>
          </cell>
          <cell r="AK53">
            <v>40.505000000000088</v>
          </cell>
          <cell r="AL53">
            <v>4.8000000000000016</v>
          </cell>
          <cell r="AM53">
            <v>4.7000000000000339</v>
          </cell>
          <cell r="AN53">
            <v>9.5000000000000355</v>
          </cell>
          <cell r="AO53">
            <v>5.7999999999999794</v>
          </cell>
          <cell r="AP53">
            <v>15.300000000000015</v>
          </cell>
          <cell r="AQ53">
            <v>33.09199999999997</v>
          </cell>
          <cell r="AR53">
            <v>48.39200000000006</v>
          </cell>
          <cell r="AS53">
            <v>54.600000000000037</v>
          </cell>
          <cell r="AT53">
            <v>88.59999999999998</v>
          </cell>
          <cell r="AU53">
            <v>143.19999999999996</v>
          </cell>
          <cell r="AV53">
            <v>2.6000000000000156</v>
          </cell>
          <cell r="AW53">
            <v>145.79999999999981</v>
          </cell>
          <cell r="AX53">
            <v>-13.281999999999957</v>
          </cell>
          <cell r="AY53">
            <v>132.51800000000014</v>
          </cell>
          <cell r="AZ53">
            <v>0.50000000000002043</v>
          </cell>
          <cell r="BA53">
            <v>-2.7999999999999745</v>
          </cell>
          <cell r="BB53">
            <v>-2.300000000000006</v>
          </cell>
          <cell r="BC53">
            <v>1.69999999999995</v>
          </cell>
          <cell r="BD53">
            <v>-0.60000000000006926</v>
          </cell>
          <cell r="BE53">
            <v>-0.23500000000004473</v>
          </cell>
          <cell r="BF53">
            <v>-0.83499999999983554</v>
          </cell>
          <cell r="BG53">
            <v>0.99999999999999434</v>
          </cell>
          <cell r="BH53">
            <v>1.1000000000000054</v>
          </cell>
          <cell r="BI53">
            <v>2.1000000000000467</v>
          </cell>
          <cell r="BJ53">
            <v>-50.599999999999994</v>
          </cell>
          <cell r="BK53">
            <v>-48.499999999999908</v>
          </cell>
          <cell r="BL53">
            <v>-5.5830000000000153</v>
          </cell>
          <cell r="BM53">
            <v>-54.082999999999991</v>
          </cell>
          <cell r="BN53">
            <v>2.200000000000006</v>
          </cell>
          <cell r="BO53">
            <v>-24.9</v>
          </cell>
          <cell r="BP53">
            <v>-46.700000000000031</v>
          </cell>
          <cell r="BQ53">
            <v>1.7212560000000021</v>
          </cell>
          <cell r="BR53">
            <v>-44.978744000000127</v>
          </cell>
          <cell r="BS53">
            <v>1.8851867964320523</v>
          </cell>
          <cell r="BT53">
            <v>-16.813557203567999</v>
          </cell>
          <cell r="BU53">
            <v>16.141574779664396</v>
          </cell>
          <cell r="BV53">
            <v>89.307363841396082</v>
          </cell>
          <cell r="BW53">
            <v>118.54718109637048</v>
          </cell>
          <cell r="BX53">
            <v>164.58253315662637</v>
          </cell>
          <cell r="BY53">
            <v>199.26922423241714</v>
          </cell>
          <cell r="BZ53">
            <v>227.84415766581517</v>
          </cell>
        </row>
        <row r="55">
          <cell r="A55" t="str">
            <v>Shares Outstanding</v>
          </cell>
          <cell r="B55">
            <v>45.03576158940399</v>
          </cell>
          <cell r="E55">
            <v>0</v>
          </cell>
          <cell r="G55">
            <v>0</v>
          </cell>
          <cell r="H55">
            <v>45.097485493230039</v>
          </cell>
          <cell r="I55">
            <v>45.097485493230039</v>
          </cell>
          <cell r="L55">
            <v>0</v>
          </cell>
          <cell r="N55">
            <v>0</v>
          </cell>
          <cell r="O55">
            <v>45.08</v>
          </cell>
          <cell r="P55">
            <v>45.08</v>
          </cell>
          <cell r="Q55">
            <v>44.999999999999893</v>
          </cell>
          <cell r="R55">
            <v>45.053003533568905</v>
          </cell>
          <cell r="S55">
            <v>45.053003533568905</v>
          </cell>
          <cell r="T55">
            <v>45.053380782918147</v>
          </cell>
          <cell r="U55">
            <v>45.053380782918147</v>
          </cell>
          <cell r="V55">
            <v>44.963999999999999</v>
          </cell>
          <cell r="W55">
            <v>44.963999999999999</v>
          </cell>
          <cell r="X55">
            <v>44.24242424242415</v>
          </cell>
          <cell r="Y55">
            <v>44.06779661016953</v>
          </cell>
          <cell r="Z55">
            <v>44.06779661016953</v>
          </cell>
          <cell r="AA55">
            <v>44.999999999999943</v>
          </cell>
          <cell r="AB55">
            <v>44.999999999999943</v>
          </cell>
          <cell r="AC55">
            <v>43.985999999999997</v>
          </cell>
          <cell r="AD55">
            <v>43.985999999999997</v>
          </cell>
          <cell r="AE55">
            <v>43.999999999999865</v>
          </cell>
          <cell r="AF55">
            <v>44.000000000000021</v>
          </cell>
          <cell r="AG55">
            <v>44.000000000000021</v>
          </cell>
          <cell r="AH55">
            <v>45.999999999999837</v>
          </cell>
          <cell r="AI55">
            <v>45.999999999999837</v>
          </cell>
          <cell r="AJ55">
            <v>43.985999999999997</v>
          </cell>
          <cell r="AK55">
            <v>43.985999999999997</v>
          </cell>
          <cell r="AL55">
            <v>43.636363636363647</v>
          </cell>
          <cell r="AM55">
            <v>43.987000000000002</v>
          </cell>
          <cell r="AN55">
            <v>43.987000000000002</v>
          </cell>
          <cell r="AO55">
            <v>43.991</v>
          </cell>
          <cell r="AP55">
            <v>43.991</v>
          </cell>
          <cell r="AQ55">
            <v>44.171999999999997</v>
          </cell>
          <cell r="AR55">
            <v>44.171999999999997</v>
          </cell>
          <cell r="AS55">
            <v>44.725000000000001</v>
          </cell>
          <cell r="AT55">
            <v>44.749000000000002</v>
          </cell>
          <cell r="AU55">
            <v>44.749000000000002</v>
          </cell>
          <cell r="AV55">
            <v>44.948999999999998</v>
          </cell>
          <cell r="AW55">
            <v>44.948999999999998</v>
          </cell>
          <cell r="AX55">
            <v>45.05</v>
          </cell>
          <cell r="AY55">
            <v>45.05</v>
          </cell>
          <cell r="AZ55">
            <v>45.351999999999997</v>
          </cell>
          <cell r="BA55">
            <v>45.386000000000003</v>
          </cell>
          <cell r="BB55">
            <v>45.386000000000003</v>
          </cell>
          <cell r="BC55">
            <v>45.418999999999997</v>
          </cell>
          <cell r="BD55">
            <v>45.418999999999997</v>
          </cell>
          <cell r="BE55">
            <v>45.53</v>
          </cell>
          <cell r="BF55">
            <v>45.53</v>
          </cell>
          <cell r="BG55">
            <v>45.863</v>
          </cell>
          <cell r="BH55">
            <v>46.006</v>
          </cell>
          <cell r="BI55">
            <v>46.006</v>
          </cell>
          <cell r="BJ55">
            <v>46.106000000000002</v>
          </cell>
          <cell r="BK55">
            <v>46.106000000000002</v>
          </cell>
          <cell r="BL55">
            <v>46.18</v>
          </cell>
          <cell r="BM55">
            <v>46.18</v>
          </cell>
          <cell r="BN55">
            <v>46.42</v>
          </cell>
          <cell r="BO55">
            <v>46.709000000000003</v>
          </cell>
          <cell r="BP55">
            <v>46.709000000000003</v>
          </cell>
          <cell r="BQ55">
            <v>46.709000000000003</v>
          </cell>
          <cell r="BR55">
            <v>46.709000000000003</v>
          </cell>
          <cell r="BS55">
            <v>46.403964999999999</v>
          </cell>
          <cell r="BT55">
            <v>46.403964999999999</v>
          </cell>
          <cell r="BU55">
            <v>46.403964999999999</v>
          </cell>
          <cell r="BV55">
            <v>46.403964999999999</v>
          </cell>
          <cell r="BW55">
            <v>46.403964999999999</v>
          </cell>
          <cell r="BX55">
            <v>46.403964999999999</v>
          </cell>
          <cell r="BY55">
            <v>46.403964999999999</v>
          </cell>
          <cell r="BZ55">
            <v>46.403964999999999</v>
          </cell>
        </row>
        <row r="56">
          <cell r="A56" t="str">
            <v>Diluted Shares</v>
          </cell>
          <cell r="B56">
            <v>45.03576158940399</v>
          </cell>
          <cell r="C56">
            <v>0</v>
          </cell>
          <cell r="D56">
            <v>0</v>
          </cell>
          <cell r="E56">
            <v>0</v>
          </cell>
          <cell r="F56">
            <v>0</v>
          </cell>
          <cell r="G56">
            <v>0</v>
          </cell>
          <cell r="H56">
            <v>45.097485493230039</v>
          </cell>
          <cell r="I56">
            <v>45.097485493230039</v>
          </cell>
          <cell r="J56">
            <v>0</v>
          </cell>
          <cell r="K56">
            <v>0</v>
          </cell>
          <cell r="L56">
            <v>0</v>
          </cell>
          <cell r="M56">
            <v>0</v>
          </cell>
          <cell r="N56">
            <v>0</v>
          </cell>
          <cell r="O56">
            <v>45.08</v>
          </cell>
          <cell r="P56">
            <v>45.08</v>
          </cell>
          <cell r="Q56">
            <v>44.999999999999893</v>
          </cell>
          <cell r="R56">
            <v>45.053003533568905</v>
          </cell>
          <cell r="S56">
            <v>45.053003533568905</v>
          </cell>
          <cell r="T56">
            <v>45.053380782918147</v>
          </cell>
          <cell r="U56">
            <v>45.053380782918147</v>
          </cell>
          <cell r="V56">
            <v>44.963999999999999</v>
          </cell>
          <cell r="W56">
            <v>44.963999999999999</v>
          </cell>
          <cell r="X56">
            <v>44.24242424242415</v>
          </cell>
          <cell r="Y56">
            <v>44.06779661016953</v>
          </cell>
          <cell r="Z56">
            <v>44.06779661016953</v>
          </cell>
          <cell r="AA56">
            <v>44.999999999999943</v>
          </cell>
          <cell r="AB56">
            <v>44.999999999999943</v>
          </cell>
          <cell r="AC56">
            <v>43.985999999999997</v>
          </cell>
          <cell r="AD56">
            <v>43.985999999999997</v>
          </cell>
          <cell r="AE56">
            <v>43.999999999999865</v>
          </cell>
          <cell r="AF56">
            <v>44.000000000000021</v>
          </cell>
          <cell r="AG56">
            <v>44.000000000000021</v>
          </cell>
          <cell r="AH56">
            <v>45.999999999999837</v>
          </cell>
          <cell r="AI56">
            <v>45.999999999999837</v>
          </cell>
          <cell r="AJ56">
            <v>43.985999999999997</v>
          </cell>
          <cell r="AK56">
            <v>43.985999999999997</v>
          </cell>
          <cell r="AL56">
            <v>43.636363636363647</v>
          </cell>
          <cell r="AM56">
            <v>44.264000000000003</v>
          </cell>
          <cell r="AN56">
            <v>44.264000000000003</v>
          </cell>
          <cell r="AO56">
            <v>44.237000000000002</v>
          </cell>
          <cell r="AP56">
            <v>44.237000000000002</v>
          </cell>
          <cell r="AQ56">
            <v>44.448999999999998</v>
          </cell>
          <cell r="AR56">
            <v>44.448999999999998</v>
          </cell>
          <cell r="AS56">
            <v>46.115000000000002</v>
          </cell>
          <cell r="AT56">
            <v>46.122999999999998</v>
          </cell>
          <cell r="AU56">
            <v>46.122999999999998</v>
          </cell>
          <cell r="AV56">
            <v>46.183</v>
          </cell>
          <cell r="AW56">
            <v>46.183</v>
          </cell>
          <cell r="AX56">
            <v>46.17</v>
          </cell>
          <cell r="AY56">
            <v>46.17</v>
          </cell>
          <cell r="AZ56">
            <v>47.280999999999999</v>
          </cell>
          <cell r="BA56">
            <v>47.314999999999998</v>
          </cell>
          <cell r="BB56">
            <v>47.314999999999998</v>
          </cell>
          <cell r="BC56">
            <v>47.274999999999999</v>
          </cell>
          <cell r="BD56">
            <v>47.274999999999999</v>
          </cell>
          <cell r="BE56">
            <v>47.301000000000002</v>
          </cell>
          <cell r="BF56">
            <v>47.301000000000002</v>
          </cell>
          <cell r="BG56">
            <v>47.412999999999997</v>
          </cell>
          <cell r="BH56">
            <v>47.561999999999998</v>
          </cell>
          <cell r="BI56">
            <v>47.561999999999998</v>
          </cell>
          <cell r="BJ56">
            <v>47.414999999999999</v>
          </cell>
          <cell r="BK56">
            <v>47.414999999999999</v>
          </cell>
          <cell r="BL56">
            <v>46.143000000000001</v>
          </cell>
          <cell r="BM56">
            <v>47.366999999999997</v>
          </cell>
          <cell r="BN56">
            <v>47.874000000000002</v>
          </cell>
          <cell r="BO56">
            <v>48.206000000000003</v>
          </cell>
          <cell r="BP56">
            <v>48.206000000000003</v>
          </cell>
          <cell r="BQ56">
            <v>48.206000000000003</v>
          </cell>
          <cell r="BR56">
            <v>48.206000000000003</v>
          </cell>
          <cell r="BS56">
            <v>46.556482500000001</v>
          </cell>
          <cell r="BT56">
            <v>47.403964999999999</v>
          </cell>
          <cell r="BU56">
            <v>47.403964999999999</v>
          </cell>
          <cell r="BV56">
            <v>47.403964999999999</v>
          </cell>
          <cell r="BW56">
            <v>47.403964999999999</v>
          </cell>
          <cell r="BX56">
            <v>47.403964999999999</v>
          </cell>
          <cell r="BY56">
            <v>47.403964999999999</v>
          </cell>
          <cell r="BZ56">
            <v>47.403964999999999</v>
          </cell>
        </row>
        <row r="58">
          <cell r="A58" t="str">
            <v>EPS Diluted</v>
          </cell>
          <cell r="B58">
            <v>1.1574150000000001</v>
          </cell>
          <cell r="C58" t="e">
            <v>#DIV/0!</v>
          </cell>
          <cell r="D58" t="e">
            <v>#DIV/0!</v>
          </cell>
          <cell r="E58" t="e">
            <v>#DIV/0!</v>
          </cell>
          <cell r="F58" t="e">
            <v>#DIV/0!</v>
          </cell>
          <cell r="G58" t="e">
            <v>#DIV/0!</v>
          </cell>
          <cell r="H58">
            <v>1.3209350000000026</v>
          </cell>
          <cell r="I58">
            <v>1.320935</v>
          </cell>
          <cell r="J58" t="e">
            <v>#DIV/0!</v>
          </cell>
          <cell r="K58" t="e">
            <v>#DIV/0!</v>
          </cell>
          <cell r="L58" t="e">
            <v>#DIV/0!</v>
          </cell>
          <cell r="M58" t="e">
            <v>#DIV/0!</v>
          </cell>
          <cell r="N58" t="e">
            <v>#DIV/0!</v>
          </cell>
          <cell r="O58">
            <v>-13.774181832298137</v>
          </cell>
          <cell r="P58">
            <v>1.3385978260869549</v>
          </cell>
          <cell r="Q58">
            <v>0.27594000000000002</v>
          </cell>
          <cell r="R58">
            <v>1.1138036549019612</v>
          </cell>
          <cell r="S58">
            <v>1.3894190196078429</v>
          </cell>
          <cell r="T58">
            <v>4.650261453396367E-2</v>
          </cell>
          <cell r="U58">
            <v>1.4359099999999985</v>
          </cell>
          <cell r="V58">
            <v>-1.2551952673249709</v>
          </cell>
          <cell r="W58">
            <v>0.18356907748420559</v>
          </cell>
          <cell r="X58">
            <v>0.16500000000000001</v>
          </cell>
          <cell r="Y58">
            <v>0.29499999999999998</v>
          </cell>
          <cell r="Z58">
            <v>0.4606538461538453</v>
          </cell>
          <cell r="AA58">
            <v>-0.06</v>
          </cell>
          <cell r="AB58">
            <v>0.39111111111111108</v>
          </cell>
          <cell r="AC58">
            <v>-9.0392397581044268E-2</v>
          </cell>
          <cell r="AD58">
            <v>0.30973491565498179</v>
          </cell>
          <cell r="AE58">
            <v>0.1</v>
          </cell>
          <cell r="AF58">
            <v>0.72499999999999998</v>
          </cell>
          <cell r="AG58">
            <v>0.82500000000000084</v>
          </cell>
          <cell r="AH58">
            <v>0.05</v>
          </cell>
          <cell r="AI58">
            <v>0.83913043478261262</v>
          </cell>
          <cell r="AJ58">
            <v>4.3309234756513902E-2</v>
          </cell>
          <cell r="AK58">
            <v>0.9208611831037169</v>
          </cell>
          <cell r="AL58">
            <v>0.11000000000000001</v>
          </cell>
          <cell r="AM58">
            <v>0.10618109524670237</v>
          </cell>
          <cell r="AN58">
            <v>0.21462136273269553</v>
          </cell>
          <cell r="AO58">
            <v>0.13111196509709019</v>
          </cell>
          <cell r="AP58">
            <v>0.34586432172163606</v>
          </cell>
          <cell r="AQ58">
            <v>0.74449368939683613</v>
          </cell>
          <cell r="AR58">
            <v>1.088708407388244</v>
          </cell>
          <cell r="AS58">
            <v>1.1839965304130984</v>
          </cell>
          <cell r="AT58">
            <v>1.920950501918782</v>
          </cell>
          <cell r="AU58">
            <v>3.1047416690154579</v>
          </cell>
          <cell r="AV58">
            <v>5.6297771907412156E-2</v>
          </cell>
          <cell r="AW58">
            <v>3.1570058246540893</v>
          </cell>
          <cell r="AX58">
            <v>-0.28767598007363998</v>
          </cell>
          <cell r="AY58">
            <v>2.8702187567684674</v>
          </cell>
          <cell r="AZ58">
            <v>1.057507243924664E-2</v>
          </cell>
          <cell r="BA58">
            <v>-5.9177850575926762E-2</v>
          </cell>
          <cell r="BB58">
            <v>-4.8610377258797549E-2</v>
          </cell>
          <cell r="BC58">
            <v>3.5959809624536224E-2</v>
          </cell>
          <cell r="BD58">
            <v>-1.2691697514544036E-2</v>
          </cell>
          <cell r="BE58">
            <v>-4.9681824908573754E-3</v>
          </cell>
          <cell r="BF58">
            <v>-1.7652903744103412E-2</v>
          </cell>
          <cell r="BG58">
            <v>2.1091261890198772E-2</v>
          </cell>
          <cell r="BH58">
            <v>2.3127706992977701E-2</v>
          </cell>
          <cell r="BI58">
            <v>4.415289516841274E-2</v>
          </cell>
          <cell r="BJ58">
            <v>-1.0671728356005483</v>
          </cell>
          <cell r="BK58">
            <v>-1.0228830538858991</v>
          </cell>
          <cell r="BL58">
            <v>-0.1209934334568627</v>
          </cell>
          <cell r="BM58">
            <v>-1.1417864758164966</v>
          </cell>
          <cell r="BN58">
            <v>4.5953962484856205E-2</v>
          </cell>
          <cell r="BO58">
            <v>0.72812512965191056</v>
          </cell>
          <cell r="BP58">
            <v>0.69078537941335039</v>
          </cell>
          <cell r="BQ58">
            <v>3.570626063145671E-2</v>
          </cell>
          <cell r="BR58">
            <v>-0.93305281500228443</v>
          </cell>
          <cell r="BS58">
            <v>4.0492466251763164E-2</v>
          </cell>
          <cell r="BT58">
            <v>0.67307540195070181</v>
          </cell>
          <cell r="BU58">
            <v>1.47104941073314</v>
          </cell>
          <cell r="BV58">
            <v>1.8839640068377421</v>
          </cell>
          <cell r="BW58">
            <v>2.5007861915426375</v>
          </cell>
          <cell r="BX58">
            <v>6.003348731622479</v>
          </cell>
          <cell r="BY58">
            <v>4.2036404387780042</v>
          </cell>
          <cell r="BZ58">
            <v>4.8064367119040607</v>
          </cell>
        </row>
        <row r="59">
          <cell r="A59" t="str">
            <v>EPS Pre exceptionals</v>
          </cell>
          <cell r="B59">
            <v>1.1574150000000001</v>
          </cell>
          <cell r="C59" t="e">
            <v>#DIV/0!</v>
          </cell>
          <cell r="D59" t="e">
            <v>#DIV/0!</v>
          </cell>
          <cell r="E59" t="e">
            <v>#DIV/0!</v>
          </cell>
          <cell r="F59" t="e">
            <v>#DIV/0!</v>
          </cell>
          <cell r="G59" t="e">
            <v>#DIV/0!</v>
          </cell>
          <cell r="H59">
            <v>1.3209350000000026</v>
          </cell>
          <cell r="I59">
            <v>1.320935</v>
          </cell>
          <cell r="J59" t="e">
            <v>#DIV/0!</v>
          </cell>
          <cell r="K59" t="e">
            <v>#DIV/0!</v>
          </cell>
          <cell r="L59" t="e">
            <v>#DIV/0!</v>
          </cell>
          <cell r="M59" t="e">
            <v>#DIV/0!</v>
          </cell>
          <cell r="N59" t="e">
            <v>#DIV/0!</v>
          </cell>
          <cell r="O59">
            <v>-13.774181832298137</v>
          </cell>
          <cell r="P59">
            <v>1.3385978260869549</v>
          </cell>
          <cell r="Q59">
            <v>0.27594000000000002</v>
          </cell>
          <cell r="R59">
            <v>1.1138036549019612</v>
          </cell>
          <cell r="S59">
            <v>1.3894190196078429</v>
          </cell>
          <cell r="T59">
            <v>4.650261453396367E-2</v>
          </cell>
          <cell r="U59">
            <v>1.4359099999999985</v>
          </cell>
          <cell r="V59">
            <v>-1.2551952673249709</v>
          </cell>
          <cell r="W59">
            <v>0.18356907748420559</v>
          </cell>
          <cell r="X59">
            <v>0.16500000000000001</v>
          </cell>
          <cell r="Y59">
            <v>0.29499999999999998</v>
          </cell>
          <cell r="Z59">
            <v>0.4606538461538453</v>
          </cell>
          <cell r="AA59">
            <v>-0.06</v>
          </cell>
          <cell r="AB59">
            <v>0.39111111111111108</v>
          </cell>
          <cell r="AC59">
            <v>-9.0392397581044268E-2</v>
          </cell>
          <cell r="AD59">
            <v>0.30973491565498179</v>
          </cell>
          <cell r="AE59">
            <v>0.1</v>
          </cell>
          <cell r="AF59">
            <v>0.72499999999999998</v>
          </cell>
          <cell r="AG59">
            <v>0.82500000000000084</v>
          </cell>
          <cell r="AH59">
            <v>0.05</v>
          </cell>
          <cell r="AI59">
            <v>0.83913043478261262</v>
          </cell>
          <cell r="AJ59">
            <v>4.3309234756513902E-2</v>
          </cell>
          <cell r="AK59">
            <v>0.9208611831037169</v>
          </cell>
          <cell r="AL59">
            <v>0.11000000000000001</v>
          </cell>
          <cell r="AM59">
            <v>0.10618109524670237</v>
          </cell>
          <cell r="AN59">
            <v>0.21462136273269553</v>
          </cell>
          <cell r="AO59">
            <v>0.13111196509709019</v>
          </cell>
          <cell r="AP59">
            <v>0.34586432172163606</v>
          </cell>
          <cell r="AQ59">
            <v>0.74449368939683613</v>
          </cell>
          <cell r="AR59">
            <v>1.088708407388244</v>
          </cell>
          <cell r="AS59">
            <v>1.1839965304130984</v>
          </cell>
          <cell r="AT59">
            <v>1.920950501918782</v>
          </cell>
          <cell r="AU59">
            <v>3.1047416690154579</v>
          </cell>
          <cell r="AV59">
            <v>5.6297771907412156E-2</v>
          </cell>
          <cell r="AW59">
            <v>3.1570058246540893</v>
          </cell>
          <cell r="AX59">
            <v>-0.28767598007363998</v>
          </cell>
          <cell r="AY59">
            <v>2.8702187567684674</v>
          </cell>
          <cell r="AZ59">
            <v>1.057507243924664E-2</v>
          </cell>
          <cell r="BA59">
            <v>-5.9177850575926762E-2</v>
          </cell>
          <cell r="BB59">
            <v>-4.8610377258797549E-2</v>
          </cell>
          <cell r="BC59">
            <v>3.5959809624536224E-2</v>
          </cell>
          <cell r="BD59">
            <v>-1.2691697514544036E-2</v>
          </cell>
          <cell r="BE59">
            <v>-4.9681824908573754E-3</v>
          </cell>
          <cell r="BF59">
            <v>-1.7652903744103412E-2</v>
          </cell>
          <cell r="BG59">
            <v>2.1091261890198772E-2</v>
          </cell>
          <cell r="BH59">
            <v>2.3127706992977701E-2</v>
          </cell>
          <cell r="BI59">
            <v>4.415289516841274E-2</v>
          </cell>
          <cell r="BJ59">
            <v>-1.0671728356005483</v>
          </cell>
          <cell r="BK59">
            <v>-1.0228830538858991</v>
          </cell>
          <cell r="BL59">
            <v>-0.1209934334568627</v>
          </cell>
          <cell r="BM59">
            <v>-1.1417864758164966</v>
          </cell>
          <cell r="BN59">
            <v>4.5953962484856205E-2</v>
          </cell>
          <cell r="BO59">
            <v>-0.5165332116334066</v>
          </cell>
          <cell r="BP59">
            <v>-0.96875907563373909</v>
          </cell>
          <cell r="BQ59">
            <v>3.570626063145671E-2</v>
          </cell>
          <cell r="BR59">
            <v>-0.93305281500228443</v>
          </cell>
          <cell r="BS59">
            <v>4.0492466251763164E-2</v>
          </cell>
          <cell r="BT59">
            <v>-0.35468672722984246</v>
          </cell>
          <cell r="BU59">
            <v>0.34051106863454134</v>
          </cell>
          <cell r="BV59">
            <v>1.8839640068377421</v>
          </cell>
          <cell r="BW59">
            <v>2.5007861915426375</v>
          </cell>
          <cell r="BX59">
            <v>3.4719149159068525</v>
          </cell>
          <cell r="BY59">
            <v>4.2036404387780042</v>
          </cell>
          <cell r="BZ59">
            <v>4.8064367119040607</v>
          </cell>
        </row>
        <row r="61">
          <cell r="A61" t="str">
            <v>Notes:</v>
          </cell>
        </row>
        <row r="62">
          <cell r="A62" t="str">
            <v>E= Morgan Stanley Research Estimates</v>
          </cell>
        </row>
        <row r="63">
          <cell r="A63" t="str">
            <v>Source: Morgan Stanley Research</v>
          </cell>
        </row>
        <row r="67">
          <cell r="A67" t="str">
            <v>EBIT</v>
          </cell>
          <cell r="B67">
            <v>101.23421000000002</v>
          </cell>
          <cell r="C67">
            <v>0</v>
          </cell>
          <cell r="D67">
            <v>0</v>
          </cell>
          <cell r="E67">
            <v>0</v>
          </cell>
          <cell r="F67">
            <v>0</v>
          </cell>
          <cell r="G67">
            <v>0</v>
          </cell>
          <cell r="H67">
            <v>102.40286699999994</v>
          </cell>
          <cell r="I67">
            <v>102.40286699999983</v>
          </cell>
          <cell r="J67">
            <v>0</v>
          </cell>
          <cell r="K67">
            <v>0</v>
          </cell>
          <cell r="L67">
            <v>0</v>
          </cell>
          <cell r="M67">
            <v>0</v>
          </cell>
          <cell r="N67">
            <v>0</v>
          </cell>
          <cell r="O67">
            <v>-577.38911999999993</v>
          </cell>
          <cell r="P67">
            <v>103.89498699999992</v>
          </cell>
          <cell r="Q67">
            <v>20.848799999999972</v>
          </cell>
          <cell r="R67">
            <v>10.27110000000004</v>
          </cell>
          <cell r="S67">
            <v>31.119900000000005</v>
          </cell>
          <cell r="T67">
            <v>-2.8616000000000823</v>
          </cell>
          <cell r="U67">
            <v>28.258299999999927</v>
          </cell>
          <cell r="V67">
            <v>-58.078299999999984</v>
          </cell>
          <cell r="W67">
            <v>-29.820000000000178</v>
          </cell>
          <cell r="X67">
            <v>9.999999999999984</v>
          </cell>
          <cell r="Y67">
            <v>10.100000000000012</v>
          </cell>
          <cell r="Z67">
            <v>20.09999999999998</v>
          </cell>
          <cell r="AA67">
            <v>-1.1999999999999966</v>
          </cell>
          <cell r="AB67">
            <v>18.899999999999974</v>
          </cell>
          <cell r="AC67">
            <v>-22.512999999999813</v>
          </cell>
          <cell r="AD67">
            <v>-3.6129999999999725</v>
          </cell>
          <cell r="AE67">
            <v>1.0999999999999872</v>
          </cell>
          <cell r="AF67">
            <v>11.300000000000015</v>
          </cell>
          <cell r="AG67">
            <v>12.400000000000048</v>
          </cell>
          <cell r="AH67">
            <v>3.0999999999999917</v>
          </cell>
          <cell r="AI67">
            <v>15.50000000000006</v>
          </cell>
          <cell r="AJ67">
            <v>1.0520000000000183</v>
          </cell>
          <cell r="AK67">
            <v>16.552000000000096</v>
          </cell>
          <cell r="AL67">
            <v>6.3000000000000007</v>
          </cell>
          <cell r="AM67">
            <v>1.3000000000000338</v>
          </cell>
          <cell r="AN67">
            <v>7.6000000000000023</v>
          </cell>
          <cell r="AO67">
            <v>8.0999999999999801</v>
          </cell>
          <cell r="AP67">
            <v>15.699999999999942</v>
          </cell>
          <cell r="AQ67">
            <v>59.235999999999962</v>
          </cell>
          <cell r="AR67">
            <v>74.936000000000064</v>
          </cell>
          <cell r="AS67">
            <v>110.10000000000005</v>
          </cell>
          <cell r="AT67">
            <v>149.49999999999997</v>
          </cell>
          <cell r="AU67">
            <v>259.59999999999997</v>
          </cell>
          <cell r="AV67">
            <v>15.900000000000016</v>
          </cell>
          <cell r="AW67">
            <v>275.49999999999983</v>
          </cell>
          <cell r="AX67">
            <v>-14.998999999999956</v>
          </cell>
          <cell r="AY67">
            <v>260.50100000000015</v>
          </cell>
          <cell r="AZ67">
            <v>6.8000000000000203</v>
          </cell>
          <cell r="BA67">
            <v>2.8000000000000256</v>
          </cell>
          <cell r="BB67">
            <v>9.5999999999999943</v>
          </cell>
          <cell r="BC67">
            <v>5.5999999999999517</v>
          </cell>
          <cell r="BD67">
            <v>15.199999999999932</v>
          </cell>
          <cell r="BE67">
            <v>0.59999999999995257</v>
          </cell>
          <cell r="BF67">
            <v>15.800000000000164</v>
          </cell>
          <cell r="BG67">
            <v>30.399999999999995</v>
          </cell>
          <cell r="BH67">
            <v>8.600000000000005</v>
          </cell>
          <cell r="BI67">
            <v>39.00000000000005</v>
          </cell>
          <cell r="BJ67">
            <v>-62.199999999999996</v>
          </cell>
          <cell r="BK67">
            <v>-23.199999999999907</v>
          </cell>
          <cell r="BL67">
            <v>6.2419999999999884</v>
          </cell>
          <cell r="BM67">
            <v>-16.957999999999995</v>
          </cell>
          <cell r="BN67">
            <v>11.400000000000006</v>
          </cell>
          <cell r="BO67">
            <v>67</v>
          </cell>
          <cell r="BP67">
            <v>74.399999999999977</v>
          </cell>
          <cell r="BQ67">
            <v>4.2375200000000062</v>
          </cell>
          <cell r="BR67">
            <v>-1.362480000000108</v>
          </cell>
          <cell r="BS67">
            <v>2.7190151681456616</v>
          </cell>
          <cell r="BT67">
            <v>76.356535168145612</v>
          </cell>
          <cell r="BU67">
            <v>103.13376334737862</v>
          </cell>
          <cell r="BV67">
            <v>124.10273135166111</v>
          </cell>
          <cell r="BW67">
            <v>164.75991500294703</v>
          </cell>
          <cell r="BX67">
            <v>368.58684616003967</v>
          </cell>
          <cell r="BY67">
            <v>252.07950311545787</v>
          </cell>
          <cell r="BZ67">
            <v>277.19252401784183</v>
          </cell>
        </row>
        <row r="68">
          <cell r="A68" t="str">
            <v>Depreciation+ Amortization</v>
          </cell>
          <cell r="B68">
            <v>48.22307</v>
          </cell>
          <cell r="I68">
            <v>61.494762000000001</v>
          </cell>
          <cell r="P68">
            <v>61.351681999999997</v>
          </cell>
          <cell r="W68">
            <v>62.734000000000002</v>
          </cell>
          <cell r="AD68">
            <v>70.510000000000005</v>
          </cell>
          <cell r="AK68">
            <v>61.091999999999999</v>
          </cell>
          <cell r="AR68">
            <v>58.472999999999999</v>
          </cell>
          <cell r="AY68">
            <v>54.774000000000001</v>
          </cell>
          <cell r="BF68">
            <v>52.872</v>
          </cell>
          <cell r="BM68">
            <v>49.807000000000002</v>
          </cell>
          <cell r="BT68">
            <v>57.713604713470154</v>
          </cell>
          <cell r="BU68">
            <v>59.699830566160529</v>
          </cell>
          <cell r="BV68">
            <v>61.834625403701935</v>
          </cell>
          <cell r="BW68">
            <v>64.127567564443027</v>
          </cell>
          <cell r="BX68">
            <v>66.58890968368695</v>
          </cell>
          <cell r="BY68">
            <v>63.375434823752158</v>
          </cell>
          <cell r="BZ68">
            <v>48.506931344872868</v>
          </cell>
        </row>
        <row r="69">
          <cell r="A69" t="str">
            <v>EBITDA</v>
          </cell>
          <cell r="B69">
            <v>149.45728000000003</v>
          </cell>
          <cell r="I69">
            <v>163.89762899999982</v>
          </cell>
          <cell r="P69">
            <v>165.24666899999991</v>
          </cell>
          <cell r="W69">
            <v>32.913999999999824</v>
          </cell>
          <cell r="AD69">
            <v>66.897000000000034</v>
          </cell>
          <cell r="AK69">
            <v>77.644000000000091</v>
          </cell>
          <cell r="AR69">
            <v>133.40900000000005</v>
          </cell>
          <cell r="AY69">
            <v>315.27500000000015</v>
          </cell>
          <cell r="BF69">
            <v>68.672000000000168</v>
          </cell>
          <cell r="BM69">
            <v>32.849000000000004</v>
          </cell>
          <cell r="BT69">
            <v>134.07013988161577</v>
          </cell>
          <cell r="BU69">
            <v>162.83359391353915</v>
          </cell>
          <cell r="BV69">
            <v>185.93735675536306</v>
          </cell>
          <cell r="BW69">
            <v>228.88748256739007</v>
          </cell>
          <cell r="BX69">
            <v>435.17575584372662</v>
          </cell>
          <cell r="BY69">
            <v>315.45493793921003</v>
          </cell>
          <cell r="BZ69">
            <v>325.69945536271473</v>
          </cell>
        </row>
        <row r="71">
          <cell r="A71" t="str">
            <v>Goodwill Amortization</v>
          </cell>
          <cell r="B71">
            <v>0</v>
          </cell>
          <cell r="I71">
            <v>0</v>
          </cell>
          <cell r="P71">
            <v>0</v>
          </cell>
          <cell r="W71">
            <v>0</v>
          </cell>
          <cell r="AD71">
            <v>0</v>
          </cell>
          <cell r="AK71">
            <v>0</v>
          </cell>
          <cell r="AR71">
            <v>0</v>
          </cell>
          <cell r="AY71">
            <v>0</v>
          </cell>
          <cell r="BF71">
            <v>0</v>
          </cell>
          <cell r="BM71">
            <v>0</v>
          </cell>
          <cell r="BT71">
            <v>0</v>
          </cell>
          <cell r="BU71">
            <v>0</v>
          </cell>
          <cell r="BV71">
            <v>0</v>
          </cell>
          <cell r="BW71">
            <v>0</v>
          </cell>
          <cell r="BX71">
            <v>0</v>
          </cell>
          <cell r="BY71">
            <v>0</v>
          </cell>
          <cell r="BZ71">
            <v>0</v>
          </cell>
        </row>
        <row r="72">
          <cell r="A72" t="str">
            <v>EPS (pre goodwill)</v>
          </cell>
          <cell r="B72">
            <v>1.1574150000000001</v>
          </cell>
          <cell r="I72">
            <v>1.320935</v>
          </cell>
          <cell r="P72">
            <v>1.3385978260869549</v>
          </cell>
          <cell r="W72">
            <v>0.18356907748420559</v>
          </cell>
          <cell r="AD72">
            <v>0.30973491565498179</v>
          </cell>
          <cell r="AK72">
            <v>0.9208611831037169</v>
          </cell>
          <cell r="AR72">
            <v>1.088708407388244</v>
          </cell>
          <cell r="AY72">
            <v>2.8702187567684674</v>
          </cell>
          <cell r="BF72">
            <v>-1.7652903744103412E-2</v>
          </cell>
          <cell r="BM72">
            <v>-1.1417864758164966</v>
          </cell>
          <cell r="BT72">
            <v>0.67307540195070181</v>
          </cell>
          <cell r="BU72">
            <v>1.47104941073314</v>
          </cell>
          <cell r="BV72">
            <v>1.8839640068377421</v>
          </cell>
          <cell r="BW72">
            <v>2.5007861915426375</v>
          </cell>
          <cell r="BX72">
            <v>6.003348731622479</v>
          </cell>
          <cell r="BY72">
            <v>4.2036404387780042</v>
          </cell>
          <cell r="BZ72">
            <v>4.8064367119040607</v>
          </cell>
        </row>
        <row r="74">
          <cell r="A74" t="str">
            <v>CEPS</v>
          </cell>
          <cell r="B74">
            <v>2.2281878324804421</v>
          </cell>
          <cell r="C74" t="e">
            <v>#DIV/0!</v>
          </cell>
          <cell r="D74" t="e">
            <v>#DIV/0!</v>
          </cell>
          <cell r="E74" t="e">
            <v>#DIV/0!</v>
          </cell>
          <cell r="F74" t="e">
            <v>#DIV/0!</v>
          </cell>
          <cell r="G74" t="e">
            <v>#DIV/0!</v>
          </cell>
          <cell r="H74">
            <v>1.3209350000000026</v>
          </cell>
          <cell r="I74">
            <v>2.6845312477161061</v>
          </cell>
          <cell r="J74" t="e">
            <v>#DIV/0!</v>
          </cell>
          <cell r="K74" t="e">
            <v>#DIV/0!</v>
          </cell>
          <cell r="L74" t="e">
            <v>#DIV/0!</v>
          </cell>
          <cell r="M74" t="e">
            <v>#DIV/0!</v>
          </cell>
          <cell r="N74" t="e">
            <v>#DIV/0!</v>
          </cell>
          <cell r="O74">
            <v>-13.774181832298137</v>
          </cell>
          <cell r="P74">
            <v>2.6995490683229795</v>
          </cell>
          <cell r="Q74">
            <v>0.27594000000000002</v>
          </cell>
          <cell r="R74">
            <v>1.1138036549019612</v>
          </cell>
          <cell r="S74">
            <v>1.3894190196078429</v>
          </cell>
          <cell r="T74">
            <v>4.650261453396367E-2</v>
          </cell>
          <cell r="U74">
            <v>1.4359099999999985</v>
          </cell>
          <cell r="V74">
            <v>-1.2551952673249709</v>
          </cell>
          <cell r="W74">
            <v>1.5787741304154395</v>
          </cell>
          <cell r="X74">
            <v>0.16500000000000001</v>
          </cell>
          <cell r="Y74">
            <v>0.29499999999999998</v>
          </cell>
          <cell r="Z74">
            <v>0.4606538461538453</v>
          </cell>
          <cell r="AA74">
            <v>-0.06</v>
          </cell>
          <cell r="AB74">
            <v>0.39111111111111108</v>
          </cell>
          <cell r="AC74">
            <v>-9.0392397581044268E-2</v>
          </cell>
          <cell r="AD74">
            <v>1.9127449643068257</v>
          </cell>
          <cell r="AE74">
            <v>0.1</v>
          </cell>
          <cell r="AF74">
            <v>0.72499999999999998</v>
          </cell>
          <cell r="AG74">
            <v>0.82500000000000084</v>
          </cell>
          <cell r="AH74">
            <v>0.05</v>
          </cell>
          <cell r="AI74">
            <v>0.83913043478261262</v>
          </cell>
          <cell r="AJ74">
            <v>4.3309234756513902E-2</v>
          </cell>
          <cell r="AK74">
            <v>2.309757650161417</v>
          </cell>
          <cell r="AL74">
            <v>0.11000000000000001</v>
          </cell>
          <cell r="AM74">
            <v>0.10618109524670237</v>
          </cell>
          <cell r="AN74">
            <v>0.21462136273269553</v>
          </cell>
          <cell r="AO74">
            <v>0.13111196509709019</v>
          </cell>
          <cell r="AP74">
            <v>0.34586432172163606</v>
          </cell>
          <cell r="AQ74">
            <v>0.74449368939683613</v>
          </cell>
          <cell r="AR74">
            <v>2.4124655386025879</v>
          </cell>
          <cell r="AY74">
            <v>4.0860678133722406</v>
          </cell>
          <cell r="BF74">
            <v>1.1436034107737969</v>
          </cell>
          <cell r="BM74">
            <v>-6.3245982096271414E-2</v>
          </cell>
          <cell r="BT74">
            <v>1.9167968105301227</v>
          </cell>
          <cell r="BU74">
            <v>2.7575737533439604</v>
          </cell>
          <cell r="BV74">
            <v>3.2164929276681482</v>
          </cell>
          <cell r="BW74">
            <v>3.8827277468481602</v>
          </cell>
          <cell r="BX74">
            <v>7.4383319207462311</v>
          </cell>
          <cell r="BY74">
            <v>5.5693736217883814</v>
          </cell>
          <cell r="BZ74">
            <v>5.8517553898418804</v>
          </cell>
        </row>
        <row r="76">
          <cell r="A76" t="str">
            <v>Dividends</v>
          </cell>
          <cell r="B76">
            <v>14.381584</v>
          </cell>
          <cell r="I76">
            <v>17.276910000000001</v>
          </cell>
          <cell r="P76">
            <v>23.028214999999999</v>
          </cell>
          <cell r="W76">
            <v>28.786162999999998</v>
          </cell>
          <cell r="AD76">
            <v>12.316080000000001</v>
          </cell>
          <cell r="AK76">
            <v>26.391599999999997</v>
          </cell>
          <cell r="AR76">
            <v>26.6694</v>
          </cell>
          <cell r="AY76">
            <v>27.702000000000002</v>
          </cell>
          <cell r="BF76">
            <v>9.4602000000000022</v>
          </cell>
          <cell r="BM76">
            <v>9.4733999999999998</v>
          </cell>
          <cell r="BT76">
            <v>9.4807930000000002</v>
          </cell>
          <cell r="BU76">
            <v>9.4807930000000002</v>
          </cell>
          <cell r="BV76">
            <v>9.4807930000000002</v>
          </cell>
          <cell r="BW76">
            <v>9.4807930000000002</v>
          </cell>
          <cell r="BX76">
            <v>9.4807930000000002</v>
          </cell>
          <cell r="BY76">
            <v>9.4807930000000002</v>
          </cell>
          <cell r="BZ76">
            <v>9.4807930000000002</v>
          </cell>
        </row>
        <row r="77">
          <cell r="A77" t="str">
            <v>DPS</v>
          </cell>
          <cell r="B77">
            <v>0.31933697782483372</v>
          </cell>
          <cell r="I77">
            <v>0.38310140379320223</v>
          </cell>
          <cell r="P77">
            <v>0.51082996894409938</v>
          </cell>
          <cell r="W77">
            <v>0.64020467485099186</v>
          </cell>
          <cell r="AD77">
            <v>0.28000000000000003</v>
          </cell>
          <cell r="AK77">
            <v>0.6</v>
          </cell>
          <cell r="AR77">
            <v>0.6</v>
          </cell>
          <cell r="AY77">
            <v>0.6</v>
          </cell>
          <cell r="BF77">
            <v>0.2</v>
          </cell>
          <cell r="BM77">
            <v>0.2</v>
          </cell>
          <cell r="BT77">
            <v>0.2</v>
          </cell>
          <cell r="BU77">
            <v>0.2</v>
          </cell>
          <cell r="BV77">
            <v>0.2</v>
          </cell>
          <cell r="BW77">
            <v>0.2</v>
          </cell>
          <cell r="BX77">
            <v>0.2</v>
          </cell>
          <cell r="BY77">
            <v>0.2</v>
          </cell>
          <cell r="BZ77">
            <v>0.2</v>
          </cell>
        </row>
        <row r="78">
          <cell r="A78" t="str">
            <v>Payout ratio</v>
          </cell>
          <cell r="B78">
            <v>0.2759053389016331</v>
          </cell>
          <cell r="I78">
            <v>0.29002290331712177</v>
          </cell>
          <cell r="P78">
            <v>0.38161571682615003</v>
          </cell>
          <cell r="W78">
            <v>3.4875409498425762</v>
          </cell>
          <cell r="AD78">
            <v>0.90399882560187717</v>
          </cell>
          <cell r="AK78">
            <v>0.65156400444389428</v>
          </cell>
          <cell r="AR78">
            <v>0.55111175400892642</v>
          </cell>
          <cell r="AY78">
            <v>0.20904329977814312</v>
          </cell>
          <cell r="BF78">
            <v>-11.329580838325587</v>
          </cell>
          <cell r="BM78">
            <v>-0.17516409962465102</v>
          </cell>
          <cell r="BT78">
            <v>0.29714352867503641</v>
          </cell>
          <cell r="BU78">
            <v>0.13595736386606092</v>
          </cell>
          <cell r="BV78">
            <v>0.10615914065985931</v>
          </cell>
          <cell r="BW78">
            <v>7.9974849779791773E-2</v>
          </cell>
          <cell r="BX78">
            <v>3.3314739646308628E-2</v>
          </cell>
          <cell r="BY78">
            <v>4.7577808547807167E-2</v>
          </cell>
          <cell r="BZ78">
            <v>4.1610867257372126E-2</v>
          </cell>
        </row>
        <row r="81">
          <cell r="A81" t="str">
            <v>Expenses Summary (as % sales)</v>
          </cell>
        </row>
        <row r="83">
          <cell r="A83" t="str">
            <v>Cost of goods sold</v>
          </cell>
          <cell r="B83">
            <v>0.31730075002405261</v>
          </cell>
          <cell r="C83" t="e">
            <v>#DIV/0!</v>
          </cell>
          <cell r="D83" t="e">
            <v>#DIV/0!</v>
          </cell>
          <cell r="E83" t="e">
            <v>#DIV/0!</v>
          </cell>
          <cell r="F83" t="e">
            <v>#DIV/0!</v>
          </cell>
          <cell r="G83" t="e">
            <v>#DIV/0!</v>
          </cell>
          <cell r="H83">
            <v>0.29211375308962167</v>
          </cell>
          <cell r="I83">
            <v>0.29211375308962173</v>
          </cell>
          <cell r="J83" t="e">
            <v>#DIV/0!</v>
          </cell>
          <cell r="K83" t="e">
            <v>#DIV/0!</v>
          </cell>
          <cell r="L83" t="e">
            <v>#DIV/0!</v>
          </cell>
          <cell r="M83" t="e">
            <v>#DIV/0!</v>
          </cell>
          <cell r="N83" t="e">
            <v>#DIV/0!</v>
          </cell>
          <cell r="O83" t="e">
            <v>#DIV/0!</v>
          </cell>
          <cell r="P83">
            <v>0.32759291858836803</v>
          </cell>
          <cell r="Q83">
            <v>0.37308399754751692</v>
          </cell>
          <cell r="R83">
            <v>0.37018970189701883</v>
          </cell>
          <cell r="S83">
            <v>0.37154775604142687</v>
          </cell>
          <cell r="T83">
            <v>0.45691747572815561</v>
          </cell>
          <cell r="U83">
            <v>0.3990046838407495</v>
          </cell>
          <cell r="V83">
            <v>0.46574286181563918</v>
          </cell>
          <cell r="W83">
            <v>0.41623186845412069</v>
          </cell>
          <cell r="X83">
            <v>0.3895558223289316</v>
          </cell>
          <cell r="Y83">
            <v>0.43301555444054185</v>
          </cell>
          <cell r="Z83">
            <v>0.4132276578300082</v>
          </cell>
          <cell r="AA83">
            <v>0.41112385321100919</v>
          </cell>
          <cell r="AB83">
            <v>0.41254858411993334</v>
          </cell>
          <cell r="AC83">
            <v>0.41711249055602018</v>
          </cell>
          <cell r="AD83">
            <v>0.41376298574284964</v>
          </cell>
          <cell r="AE83">
            <v>0.3831828442437924</v>
          </cell>
          <cell r="AF83">
            <v>0.39189848706686187</v>
          </cell>
          <cell r="AG83">
            <v>0.38785658204658463</v>
          </cell>
          <cell r="AH83">
            <v>0.39000543183052688</v>
          </cell>
          <cell r="AI83">
            <v>0.38855528081949836</v>
          </cell>
          <cell r="AJ83">
            <v>0.4054523440911435</v>
          </cell>
          <cell r="AK83">
            <v>0.3929907467227976</v>
          </cell>
          <cell r="AL83">
            <v>0.39137466307277624</v>
          </cell>
          <cell r="AM83">
            <v>0.3731617647058823</v>
          </cell>
          <cell r="AN83">
            <v>0.38154304142892581</v>
          </cell>
          <cell r="AO83">
            <v>0.38465636654235486</v>
          </cell>
          <cell r="AP83">
            <v>0.38253215978334465</v>
          </cell>
          <cell r="AQ83">
            <v>0.26577934934832886</v>
          </cell>
          <cell r="AR83">
            <v>0.33736744110742328</v>
          </cell>
          <cell r="AS83">
            <v>0.19739371929074984</v>
          </cell>
          <cell r="AT83">
            <v>0.23239850951166896</v>
          </cell>
          <cell r="AU83">
            <v>0.21564417177914111</v>
          </cell>
          <cell r="AV83">
            <v>0.30526706231454004</v>
          </cell>
          <cell r="AW83">
            <v>0.2350112215453671</v>
          </cell>
          <cell r="AX83">
            <v>0.37044945491979603</v>
          </cell>
          <cell r="AY83">
            <v>0.2575208233223884</v>
          </cell>
          <cell r="AZ83">
            <v>0.36102518780380027</v>
          </cell>
          <cell r="BA83">
            <v>0.2872823618470855</v>
          </cell>
          <cell r="BB83">
            <v>0.32130479102956166</v>
          </cell>
          <cell r="BC83">
            <v>0.3633077270673295</v>
          </cell>
          <cell r="BD83">
            <v>0.33436358527676313</v>
          </cell>
          <cell r="BE83">
            <v>0.37866355542118918</v>
          </cell>
          <cell r="BF83">
            <v>0.34535365347378688</v>
          </cell>
          <cell r="BG83">
            <v>0.31331373372532545</v>
          </cell>
          <cell r="BH83">
            <v>0.33373253493013971</v>
          </cell>
          <cell r="BI83">
            <v>0.32378223495702002</v>
          </cell>
          <cell r="BJ83">
            <v>0.36643835616438353</v>
          </cell>
          <cell r="BK83">
            <v>0.33757961783439489</v>
          </cell>
          <cell r="BL83">
            <v>0.27625087565021694</v>
          </cell>
          <cell r="BM83">
            <v>0.32096404905448567</v>
          </cell>
          <cell r="BN83">
            <v>0.31487469684721103</v>
          </cell>
          <cell r="BO83">
            <v>0.33516949152542369</v>
          </cell>
          <cell r="BP83">
            <v>0.32478278858088538</v>
          </cell>
          <cell r="BQ83">
            <v>0.3101140415916393</v>
          </cell>
          <cell r="BR83">
            <v>0.32010141073601661</v>
          </cell>
          <cell r="BS83">
            <v>0.28845145577233106</v>
          </cell>
          <cell r="BT83">
            <v>0.31753880118166505</v>
          </cell>
          <cell r="BU83">
            <v>0.3108922263061214</v>
          </cell>
          <cell r="BV83">
            <v>0.29673867493472378</v>
          </cell>
          <cell r="BW83">
            <v>0.28478664368125023</v>
          </cell>
          <cell r="BX83">
            <v>0.27202248202341039</v>
          </cell>
          <cell r="BY83">
            <v>0.25760414791134689</v>
          </cell>
          <cell r="BZ83">
            <v>0.24452477767189315</v>
          </cell>
        </row>
        <row r="84">
          <cell r="A84" t="str">
            <v>SG&amp;A</v>
          </cell>
          <cell r="B84" t="e">
            <v>#REF!</v>
          </cell>
          <cell r="C84" t="e">
            <v>#REF!</v>
          </cell>
          <cell r="D84" t="e">
            <v>#REF!</v>
          </cell>
          <cell r="E84" t="e">
            <v>#REF!</v>
          </cell>
          <cell r="F84" t="e">
            <v>#REF!</v>
          </cell>
          <cell r="G84" t="e">
            <v>#REF!</v>
          </cell>
          <cell r="H84" t="e">
            <v>#REF!</v>
          </cell>
          <cell r="I84">
            <v>0.40502277183758328</v>
          </cell>
          <cell r="J84" t="e">
            <v>#REF!</v>
          </cell>
          <cell r="K84" t="e">
            <v>#REF!</v>
          </cell>
          <cell r="L84" t="e">
            <v>#REF!</v>
          </cell>
          <cell r="M84" t="e">
            <v>#REF!</v>
          </cell>
          <cell r="N84" t="e">
            <v>#REF!</v>
          </cell>
          <cell r="O84" t="e">
            <v>#REF!</v>
          </cell>
          <cell r="P84">
            <v>0.39173305271305858</v>
          </cell>
          <cell r="Q84" t="e">
            <v>#REF!</v>
          </cell>
          <cell r="R84" t="e">
            <v>#REF!</v>
          </cell>
          <cell r="S84" t="e">
            <v>#REF!</v>
          </cell>
          <cell r="T84" t="e">
            <v>#REF!</v>
          </cell>
          <cell r="U84" t="e">
            <v>#REF!</v>
          </cell>
          <cell r="V84" t="e">
            <v>#REF!</v>
          </cell>
          <cell r="W84">
            <v>0.41539886921770336</v>
          </cell>
          <cell r="X84" t="e">
            <v>#REF!</v>
          </cell>
          <cell r="Y84" t="e">
            <v>#REF!</v>
          </cell>
          <cell r="Z84" t="e">
            <v>#REF!</v>
          </cell>
          <cell r="AA84" t="e">
            <v>#REF!</v>
          </cell>
          <cell r="AB84" t="e">
            <v>#REF!</v>
          </cell>
          <cell r="AC84" t="e">
            <v>#REF!</v>
          </cell>
          <cell r="AD84">
            <v>0.40887703207858817</v>
          </cell>
          <cell r="AE84" t="e">
            <v>#REF!</v>
          </cell>
          <cell r="AF84" t="e">
            <v>#REF!</v>
          </cell>
          <cell r="AG84" t="e">
            <v>#REF!</v>
          </cell>
          <cell r="AH84" t="e">
            <v>#REF!</v>
          </cell>
          <cell r="AI84" t="e">
            <v>#REF!</v>
          </cell>
          <cell r="AJ84" t="e">
            <v>#REF!</v>
          </cell>
          <cell r="AK84">
            <v>0.40795047204218154</v>
          </cell>
          <cell r="AL84">
            <v>0.4064690026954178</v>
          </cell>
          <cell r="AM84">
            <v>0.42049632352941174</v>
          </cell>
          <cell r="AN84">
            <v>0.41404118084842467</v>
          </cell>
          <cell r="AO84">
            <v>0.40969632392115085</v>
          </cell>
          <cell r="AP84">
            <v>0.41266079891672314</v>
          </cell>
          <cell r="AQ84">
            <v>0.36140786727263952</v>
          </cell>
          <cell r="AR84">
            <v>0.39283408784744489</v>
          </cell>
          <cell r="AS84">
            <v>0.30848109378337962</v>
          </cell>
          <cell r="AT84">
            <v>0.29731319866640515</v>
          </cell>
          <cell r="AU84">
            <v>0.30265848670756645</v>
          </cell>
          <cell r="AV84">
            <v>0.42878338278931744</v>
          </cell>
          <cell r="AW84">
            <v>0.32991343379288235</v>
          </cell>
          <cell r="AX84">
            <v>0.42719731058915311</v>
          </cell>
          <cell r="AY84">
            <v>0.34608184703521205</v>
          </cell>
          <cell r="AZ84">
            <v>0.36235086168802472</v>
          </cell>
          <cell r="BA84">
            <v>0.34708554125662372</v>
          </cell>
          <cell r="BB84">
            <v>0.35412844036697244</v>
          </cell>
          <cell r="BC84">
            <v>0.3926796204247629</v>
          </cell>
          <cell r="BD84">
            <v>0.36611407698791804</v>
          </cell>
          <cell r="BE84">
            <v>0.37241267718983001</v>
          </cell>
          <cell r="BF84">
            <v>0.36767665243749775</v>
          </cell>
          <cell r="BG84">
            <v>0.38429231415371695</v>
          </cell>
          <cell r="BH84">
            <v>0.40998003992015969</v>
          </cell>
          <cell r="BI84">
            <v>0.39746213671715103</v>
          </cell>
          <cell r="BJ84">
            <v>0.41481164383561647</v>
          </cell>
          <cell r="BK84">
            <v>0.40307394073663805</v>
          </cell>
          <cell r="BL84">
            <v>0.42928845035994823</v>
          </cell>
          <cell r="BM84">
            <v>0.41017614065408675</v>
          </cell>
          <cell r="BN84">
            <v>0.42764753435731606</v>
          </cell>
          <cell r="BO84">
            <v>0.488135593220339</v>
          </cell>
          <cell r="BP84">
            <v>0.45717832023169219</v>
          </cell>
          <cell r="BQ84">
            <v>0.45</v>
          </cell>
          <cell r="BR84">
            <v>0.45488743408302168</v>
          </cell>
          <cell r="BS84">
            <v>0.47548262712948813</v>
          </cell>
          <cell r="BT84">
            <v>0.46</v>
          </cell>
          <cell r="BU84">
            <v>0.47</v>
          </cell>
          <cell r="BV84">
            <v>0.46</v>
          </cell>
          <cell r="BW84">
            <v>0.45</v>
          </cell>
          <cell r="BX84">
            <v>0.44000000000000006</v>
          </cell>
          <cell r="BY84">
            <v>0.43000000000000005</v>
          </cell>
          <cell r="BZ84">
            <v>0.43</v>
          </cell>
        </row>
        <row r="85">
          <cell r="A85" t="str">
            <v>Research and Development expenses</v>
          </cell>
          <cell r="B85">
            <v>8.0422824491025238E-2</v>
          </cell>
          <cell r="C85" t="e">
            <v>#DIV/0!</v>
          </cell>
          <cell r="D85" t="e">
            <v>#DIV/0!</v>
          </cell>
          <cell r="E85" t="e">
            <v>#DIV/0!</v>
          </cell>
          <cell r="F85" t="e">
            <v>#DIV/0!</v>
          </cell>
          <cell r="G85" t="e">
            <v>#DIV/0!</v>
          </cell>
          <cell r="H85">
            <v>8.4135947280936499E-2</v>
          </cell>
          <cell r="I85">
            <v>8.4135947280936513E-2</v>
          </cell>
          <cell r="J85" t="e">
            <v>#DIV/0!</v>
          </cell>
          <cell r="K85" t="e">
            <v>#DIV/0!</v>
          </cell>
          <cell r="L85" t="e">
            <v>#DIV/0!</v>
          </cell>
          <cell r="M85" t="e">
            <v>#DIV/0!</v>
          </cell>
          <cell r="N85" t="e">
            <v>#DIV/0!</v>
          </cell>
          <cell r="O85" t="e">
            <v>#DIV/0!</v>
          </cell>
          <cell r="P85">
            <v>8.6882527262594725E-2</v>
          </cell>
          <cell r="Q85">
            <v>6.0392397302268544E-2</v>
          </cell>
          <cell r="R85">
            <v>8.1029810298102981E-2</v>
          </cell>
          <cell r="S85">
            <v>7.1346375143843496E-2</v>
          </cell>
          <cell r="T85">
            <v>8.7985436893203928E-2</v>
          </cell>
          <cell r="U85">
            <v>7.6697892271662779E-2</v>
          </cell>
          <cell r="V85">
            <v>0.20251006804229399</v>
          </cell>
          <cell r="W85">
            <v>0.10917389992392509</v>
          </cell>
          <cell r="X85">
            <v>9.3637454981992801E-2</v>
          </cell>
          <cell r="Y85">
            <v>9.9849473156046142E-2</v>
          </cell>
          <cell r="Z85">
            <v>9.7021044001093196E-2</v>
          </cell>
          <cell r="AA85">
            <v>0.13761467889908258</v>
          </cell>
          <cell r="AB85">
            <v>0.11012400518230614</v>
          </cell>
          <cell r="AC85">
            <v>0.16326343087007111</v>
          </cell>
          <cell r="AD85">
            <v>0.12426377901417021</v>
          </cell>
          <cell r="AE85">
            <v>0.11907449209932282</v>
          </cell>
          <cell r="AF85">
            <v>0.12542703757930698</v>
          </cell>
          <cell r="AG85">
            <v>0.12248102590944777</v>
          </cell>
          <cell r="AH85">
            <v>0.12656165127648017</v>
          </cell>
          <cell r="AI85">
            <v>0.12380784175203106</v>
          </cell>
          <cell r="AJ85">
            <v>0.18301178992497322</v>
          </cell>
          <cell r="AK85">
            <v>0.13934883187795677</v>
          </cell>
          <cell r="AL85">
            <v>0.13315363881401618</v>
          </cell>
          <cell r="AM85">
            <v>0.1608455882352941</v>
          </cell>
          <cell r="AN85">
            <v>0.14810220788886133</v>
          </cell>
          <cell r="AO85">
            <v>0.1267980820458178</v>
          </cell>
          <cell r="AP85">
            <v>0.14133378469871363</v>
          </cell>
          <cell r="AQ85">
            <v>0.10928973477064073</v>
          </cell>
          <cell r="AR85">
            <v>0.12893784754871129</v>
          </cell>
          <cell r="AS85">
            <v>6.6652424695577861E-2</v>
          </cell>
          <cell r="AT85">
            <v>6.6483624240047071E-2</v>
          </cell>
          <cell r="AU85">
            <v>6.6564417177914101E-2</v>
          </cell>
          <cell r="AV85">
            <v>0.11461424332344212</v>
          </cell>
          <cell r="AW85">
            <v>7.6947739660147493E-2</v>
          </cell>
          <cell r="AX85">
            <v>0.19312044844960768</v>
          </cell>
          <cell r="AY85">
            <v>9.6255444338923427E-2</v>
          </cell>
          <cell r="AZ85">
            <v>0.20592134334953602</v>
          </cell>
          <cell r="BA85">
            <v>0.19114307342922027</v>
          </cell>
          <cell r="BB85">
            <v>0.19796126401630987</v>
          </cell>
          <cell r="BC85">
            <v>0.19882512426570262</v>
          </cell>
          <cell r="BD85">
            <v>0.19822983984265244</v>
          </cell>
          <cell r="BE85">
            <v>0.2436522501884206</v>
          </cell>
          <cell r="BF85">
            <v>0.20949836633930066</v>
          </cell>
          <cell r="BG85">
            <v>0.18353632927341454</v>
          </cell>
          <cell r="BH85">
            <v>0.18123752495009979</v>
          </cell>
          <cell r="BI85">
            <v>0.18235775685632416</v>
          </cell>
          <cell r="BJ85">
            <v>0.4785958904109589</v>
          </cell>
          <cell r="BK85">
            <v>0.27817779008584875</v>
          </cell>
          <cell r="BL85">
            <v>0.21623343716930221</v>
          </cell>
          <cell r="BM85">
            <v>0.26139543617223177</v>
          </cell>
          <cell r="BN85">
            <v>0.18512530315278899</v>
          </cell>
          <cell r="BO85">
            <v>0.2207627118644068</v>
          </cell>
          <cell r="BP85">
            <v>0.20252378982209351</v>
          </cell>
          <cell r="BQ85">
            <v>0.19382127599477456</v>
          </cell>
          <cell r="BR85">
            <v>0.19974647315995855</v>
          </cell>
          <cell r="BS85">
            <v>0.20076776741765695</v>
          </cell>
          <cell r="BT85">
            <v>0.2</v>
          </cell>
          <cell r="BU85">
            <v>0.18</v>
          </cell>
          <cell r="BV85">
            <v>0.16500000000000001</v>
          </cell>
          <cell r="BW85">
            <v>0.16500000000000001</v>
          </cell>
          <cell r="BX85">
            <v>0.16500000000000001</v>
          </cell>
          <cell r="BY85">
            <v>0.16500000000000001</v>
          </cell>
          <cell r="BZ85">
            <v>0.16500000000000001</v>
          </cell>
        </row>
        <row r="88">
          <cell r="A88" t="str">
            <v>Revenue</v>
          </cell>
          <cell r="B88">
            <v>610.79574500000001</v>
          </cell>
          <cell r="C88">
            <v>0</v>
          </cell>
          <cell r="D88">
            <v>0</v>
          </cell>
          <cell r="E88">
            <v>0</v>
          </cell>
          <cell r="F88">
            <v>0</v>
          </cell>
          <cell r="G88">
            <v>0</v>
          </cell>
          <cell r="H88">
            <v>650.19895499999996</v>
          </cell>
          <cell r="I88">
            <v>650.19895499999984</v>
          </cell>
          <cell r="J88">
            <v>0</v>
          </cell>
          <cell r="K88">
            <v>0</v>
          </cell>
          <cell r="L88">
            <v>0</v>
          </cell>
          <cell r="M88">
            <v>0</v>
          </cell>
          <cell r="N88">
            <v>0</v>
          </cell>
          <cell r="O88">
            <v>0</v>
          </cell>
          <cell r="P88">
            <v>681.28410699999995</v>
          </cell>
          <cell r="Q88">
            <v>166.68819999999999</v>
          </cell>
          <cell r="R88">
            <v>188.55900000000003</v>
          </cell>
          <cell r="S88">
            <v>355.24720000000002</v>
          </cell>
          <cell r="T88">
            <v>168.42559999999992</v>
          </cell>
          <cell r="U88">
            <v>523.67279999999994</v>
          </cell>
          <cell r="V88">
            <v>182.21019999999999</v>
          </cell>
          <cell r="W88">
            <v>705.88299999999981</v>
          </cell>
          <cell r="X88">
            <v>166.6</v>
          </cell>
          <cell r="Y88">
            <v>199.3</v>
          </cell>
          <cell r="Z88">
            <v>365.9</v>
          </cell>
          <cell r="AA88">
            <v>174.4</v>
          </cell>
          <cell r="AB88">
            <v>540.29999999999995</v>
          </cell>
          <cell r="AC88">
            <v>195.89200000000017</v>
          </cell>
          <cell r="AD88">
            <v>736.19200000000001</v>
          </cell>
          <cell r="AE88">
            <v>177.2</v>
          </cell>
          <cell r="AF88">
            <v>204.9</v>
          </cell>
          <cell r="AG88">
            <v>382.1</v>
          </cell>
          <cell r="AH88">
            <v>184.1</v>
          </cell>
          <cell r="AI88">
            <v>566.20000000000005</v>
          </cell>
          <cell r="AJ88">
            <v>201.52799999999996</v>
          </cell>
          <cell r="AK88">
            <v>767.72800000000007</v>
          </cell>
          <cell r="AL88">
            <v>185.5</v>
          </cell>
          <cell r="AM88">
            <v>217.60000000000002</v>
          </cell>
          <cell r="AN88">
            <v>403.1</v>
          </cell>
          <cell r="AO88">
            <v>187.7</v>
          </cell>
          <cell r="AP88">
            <v>590.79999999999995</v>
          </cell>
          <cell r="AQ88">
            <v>372.73400000000004</v>
          </cell>
          <cell r="AR88">
            <v>963.53400000000011</v>
          </cell>
          <cell r="AS88">
            <v>468.1</v>
          </cell>
          <cell r="AT88">
            <v>509.9</v>
          </cell>
          <cell r="AU88">
            <v>978</v>
          </cell>
          <cell r="AV88">
            <v>269.60000000000002</v>
          </cell>
          <cell r="AW88">
            <v>1247.5999999999999</v>
          </cell>
          <cell r="AX88">
            <v>248.679</v>
          </cell>
          <cell r="AY88">
            <v>1496.279</v>
          </cell>
          <cell r="AZ88">
            <v>226.3</v>
          </cell>
          <cell r="BA88">
            <v>264.2</v>
          </cell>
          <cell r="BB88">
            <v>490.5</v>
          </cell>
          <cell r="BC88">
            <v>221.3</v>
          </cell>
          <cell r="BD88">
            <v>711.8</v>
          </cell>
          <cell r="BE88">
            <v>234.84699999999992</v>
          </cell>
          <cell r="BF88">
            <v>946.64700000000016</v>
          </cell>
          <cell r="BG88">
            <v>238.1</v>
          </cell>
          <cell r="BH88">
            <v>250.5</v>
          </cell>
          <cell r="BI88">
            <v>488.6</v>
          </cell>
          <cell r="BJ88">
            <v>233.6</v>
          </cell>
          <cell r="BK88">
            <v>722.2</v>
          </cell>
          <cell r="BL88">
            <v>268.37199999999996</v>
          </cell>
          <cell r="BM88">
            <v>990.572</v>
          </cell>
          <cell r="BN88">
            <v>247.4</v>
          </cell>
          <cell r="BO88">
            <v>236</v>
          </cell>
          <cell r="BP88">
            <v>483.4</v>
          </cell>
          <cell r="BQ88">
            <v>483.4</v>
          </cell>
          <cell r="BR88">
            <v>709.98399999999992</v>
          </cell>
          <cell r="BS88">
            <v>234.44600000000011</v>
          </cell>
          <cell r="BT88">
            <v>944.43000000000006</v>
          </cell>
          <cell r="BU88">
            <v>937.6605400000002</v>
          </cell>
          <cell r="BV88">
            <v>1079.2162497000002</v>
          </cell>
          <cell r="BW88">
            <v>1167.0174131660001</v>
          </cell>
          <cell r="BX88">
            <v>1244.5110234575802</v>
          </cell>
          <cell r="BY88">
            <v>1289.0839343890796</v>
          </cell>
          <cell r="BZ88">
            <v>1323.8548088090984</v>
          </cell>
        </row>
        <row r="89">
          <cell r="A89" t="str">
            <v>Operating margin</v>
          </cell>
          <cell r="B89">
            <v>0.16574151150971103</v>
          </cell>
          <cell r="C89" t="e">
            <v>#DIV/0!</v>
          </cell>
          <cell r="D89" t="e">
            <v>#DIV/0!</v>
          </cell>
          <cell r="E89" t="e">
            <v>#DIV/0!</v>
          </cell>
          <cell r="F89" t="e">
            <v>#DIV/0!</v>
          </cell>
          <cell r="G89" t="e">
            <v>#DIV/0!</v>
          </cell>
          <cell r="H89">
            <v>0.15749466561354278</v>
          </cell>
          <cell r="I89">
            <v>0.15749466561354264</v>
          </cell>
          <cell r="J89" t="e">
            <v>#DIV/0!</v>
          </cell>
          <cell r="K89" t="e">
            <v>#DIV/0!</v>
          </cell>
          <cell r="L89" t="e">
            <v>#DIV/0!</v>
          </cell>
          <cell r="M89" t="e">
            <v>#DIV/0!</v>
          </cell>
          <cell r="N89" t="e">
            <v>#DIV/0!</v>
          </cell>
          <cell r="O89" t="e">
            <v>#DIV/0!</v>
          </cell>
          <cell r="P89">
            <v>0.1524987680359905</v>
          </cell>
          <cell r="Q89">
            <v>0.12507664009809916</v>
          </cell>
          <cell r="R89">
            <v>5.4471544715447358E-2</v>
          </cell>
          <cell r="S89">
            <v>8.7600690448791721E-2</v>
          </cell>
          <cell r="T89">
            <v>-1.6990291262136418E-2</v>
          </cell>
          <cell r="U89">
            <v>5.3961748633879647E-2</v>
          </cell>
          <cell r="V89">
            <v>-0.3187434073394354</v>
          </cell>
          <cell r="W89">
            <v>-4.2244961275452429E-2</v>
          </cell>
          <cell r="X89">
            <v>6.0024009603841445E-2</v>
          </cell>
          <cell r="Y89">
            <v>5.0677370797792332E-2</v>
          </cell>
          <cell r="Z89">
            <v>5.4933041814703418E-2</v>
          </cell>
          <cell r="AA89">
            <v>-6.8807339449541089E-3</v>
          </cell>
          <cell r="AB89">
            <v>3.4980566352026607E-2</v>
          </cell>
          <cell r="AC89">
            <v>-0.11492557123312741</v>
          </cell>
          <cell r="AD89">
            <v>-4.9076871250977629E-3</v>
          </cell>
          <cell r="AE89">
            <v>6.2076749435665199E-3</v>
          </cell>
          <cell r="AF89">
            <v>5.5148853099072789E-2</v>
          </cell>
          <cell r="AG89">
            <v>3.2452237634127315E-2</v>
          </cell>
          <cell r="AH89">
            <v>1.6838674633351394E-2</v>
          </cell>
          <cell r="AI89">
            <v>2.7375485694101129E-2</v>
          </cell>
          <cell r="AJ89">
            <v>5.2201182962169947E-3</v>
          </cell>
          <cell r="AK89">
            <v>2.1559719067169743E-2</v>
          </cell>
          <cell r="AL89">
            <v>3.3962264150943403E-2</v>
          </cell>
          <cell r="AM89">
            <v>5.9742647058825078E-3</v>
          </cell>
          <cell r="AN89">
            <v>1.8853882411312334E-2</v>
          </cell>
          <cell r="AO89">
            <v>4.315396909962696E-2</v>
          </cell>
          <cell r="AP89">
            <v>2.6574136763710128E-2</v>
          </cell>
          <cell r="AQ89">
            <v>0.15892298529246046</v>
          </cell>
          <cell r="AR89">
            <v>7.7772035029381487E-2</v>
          </cell>
          <cell r="AS89">
            <v>0.23520615253151045</v>
          </cell>
          <cell r="AT89">
            <v>0.29319474406746415</v>
          </cell>
          <cell r="AU89">
            <v>0.26543967280163594</v>
          </cell>
          <cell r="AV89">
            <v>5.8976261127596498E-2</v>
          </cell>
          <cell r="AW89">
            <v>0.22082398204552728</v>
          </cell>
          <cell r="AX89">
            <v>-6.0314702890070959E-2</v>
          </cell>
          <cell r="AY89">
            <v>0.1740992154538025</v>
          </cell>
          <cell r="AZ89">
            <v>3.0048608042421654E-2</v>
          </cell>
          <cell r="BA89">
            <v>1.0598031794095479E-2</v>
          </cell>
          <cell r="BB89">
            <v>1.9571865443425065E-2</v>
          </cell>
          <cell r="BC89">
            <v>2.5305015815634664E-2</v>
          </cell>
          <cell r="BD89">
            <v>2.1354313009272173E-2</v>
          </cell>
          <cell r="BE89">
            <v>2.5548548629531261E-3</v>
          </cell>
          <cell r="BF89">
            <v>1.6690487584073221E-2</v>
          </cell>
          <cell r="BG89">
            <v>0.12767744645107096</v>
          </cell>
          <cell r="BH89">
            <v>3.433133732534932E-2</v>
          </cell>
          <cell r="BI89">
            <v>7.981989357347534E-2</v>
          </cell>
          <cell r="BJ89">
            <v>-0.26626712328767121</v>
          </cell>
          <cell r="BK89">
            <v>-3.2124065355856969E-2</v>
          </cell>
          <cell r="BL89">
            <v>2.3258760228339729E-2</v>
          </cell>
          <cell r="BM89">
            <v>-1.7119401719410596E-2</v>
          </cell>
          <cell r="BN89">
            <v>4.6079223928860165E-2</v>
          </cell>
          <cell r="BO89">
            <v>0.28389830508474578</v>
          </cell>
          <cell r="BP89">
            <v>0.15390980554406286</v>
          </cell>
          <cell r="BQ89">
            <v>1.8701761819016376E-2</v>
          </cell>
          <cell r="BR89">
            <v>-1.919029161220687E-3</v>
          </cell>
          <cell r="BS89">
            <v>1.1597618078984757E-2</v>
          </cell>
          <cell r="BT89">
            <v>8.0849332579593619E-2</v>
          </cell>
          <cell r="BU89">
            <v>0.10999051250186832</v>
          </cell>
          <cell r="BV89">
            <v>0.11499338653041881</v>
          </cell>
          <cell r="BW89">
            <v>0.14118033985111675</v>
          </cell>
          <cell r="BX89">
            <v>0.2961700131317504</v>
          </cell>
          <cell r="BY89">
            <v>0.19554933266228544</v>
          </cell>
          <cell r="BZ89">
            <v>0.20938287353973223</v>
          </cell>
        </row>
        <row r="90">
          <cell r="A90" t="str">
            <v>Statutory Tax Rate</v>
          </cell>
          <cell r="B90">
            <v>0.45</v>
          </cell>
          <cell r="C90">
            <v>0.45</v>
          </cell>
          <cell r="D90">
            <v>0.45</v>
          </cell>
          <cell r="E90">
            <v>0.45</v>
          </cell>
          <cell r="F90">
            <v>0.45</v>
          </cell>
          <cell r="G90">
            <v>0.45</v>
          </cell>
          <cell r="H90">
            <v>0.45</v>
          </cell>
          <cell r="I90">
            <v>0.45</v>
          </cell>
          <cell r="J90">
            <v>0.45</v>
          </cell>
          <cell r="K90">
            <v>0.45</v>
          </cell>
          <cell r="L90">
            <v>0.45</v>
          </cell>
          <cell r="M90">
            <v>0.45</v>
          </cell>
          <cell r="N90">
            <v>0.45</v>
          </cell>
          <cell r="O90">
            <v>0.45</v>
          </cell>
          <cell r="P90">
            <v>0.45</v>
          </cell>
          <cell r="Q90">
            <v>0.4</v>
          </cell>
          <cell r="R90">
            <v>0.4</v>
          </cell>
          <cell r="S90">
            <v>0.4</v>
          </cell>
          <cell r="T90">
            <v>0.4</v>
          </cell>
          <cell r="U90">
            <v>0.4</v>
          </cell>
          <cell r="V90">
            <v>0.4</v>
          </cell>
          <cell r="W90">
            <v>0.4</v>
          </cell>
          <cell r="X90">
            <v>0.4</v>
          </cell>
          <cell r="Y90">
            <v>0.4</v>
          </cell>
          <cell r="Z90">
            <v>0.4</v>
          </cell>
          <cell r="AA90">
            <v>0.4</v>
          </cell>
          <cell r="AB90">
            <v>0.4</v>
          </cell>
          <cell r="AC90">
            <v>0.4</v>
          </cell>
          <cell r="AD90">
            <v>0.4</v>
          </cell>
          <cell r="AE90">
            <v>0.33100000000000002</v>
          </cell>
          <cell r="AF90">
            <v>0.33100000000000002</v>
          </cell>
          <cell r="AG90">
            <v>0.33100000000000002</v>
          </cell>
          <cell r="AH90">
            <v>0.33100000000000002</v>
          </cell>
          <cell r="AI90">
            <v>0.33100000000000002</v>
          </cell>
          <cell r="AJ90">
            <v>0.33100000000000002</v>
          </cell>
          <cell r="AK90">
            <v>0.33100000000000002</v>
          </cell>
          <cell r="AL90">
            <v>0.374</v>
          </cell>
          <cell r="AM90">
            <v>0.374</v>
          </cell>
          <cell r="AN90">
            <v>0.374</v>
          </cell>
          <cell r="AO90">
            <v>0.374</v>
          </cell>
          <cell r="AP90">
            <v>0.374</v>
          </cell>
          <cell r="AQ90">
            <v>0.374</v>
          </cell>
          <cell r="AR90">
            <v>0.374</v>
          </cell>
          <cell r="AS90">
            <v>0.40700000000000003</v>
          </cell>
          <cell r="AT90">
            <v>0.40700000000000003</v>
          </cell>
          <cell r="AU90">
            <v>0.40700000000000003</v>
          </cell>
          <cell r="AV90">
            <v>0.40700000000000003</v>
          </cell>
          <cell r="AW90">
            <v>0.40700000000000003</v>
          </cell>
          <cell r="AX90">
            <v>0.40700000000000003</v>
          </cell>
          <cell r="AY90">
            <v>0.40700000000000003</v>
          </cell>
          <cell r="AZ90">
            <v>0.38800000000000001</v>
          </cell>
          <cell r="BA90">
            <v>0.38800000000000001</v>
          </cell>
          <cell r="BB90">
            <v>0.38800000000000001</v>
          </cell>
          <cell r="BC90">
            <v>0.38800000000000001</v>
          </cell>
          <cell r="BD90">
            <v>0.38800000000000001</v>
          </cell>
          <cell r="BE90">
            <v>0.38800000000000001</v>
          </cell>
          <cell r="BF90">
            <v>0.38800000000000001</v>
          </cell>
          <cell r="BG90">
            <v>0.39100000000000001</v>
          </cell>
          <cell r="BH90">
            <v>0.39100000000000001</v>
          </cell>
          <cell r="BI90">
            <v>0.39100000000000001</v>
          </cell>
          <cell r="BJ90">
            <v>0.39100000000000001</v>
          </cell>
          <cell r="BK90">
            <v>0.39100000000000001</v>
          </cell>
          <cell r="BL90">
            <v>0.39100000000000001</v>
          </cell>
          <cell r="BM90">
            <v>0.39100000000000001</v>
          </cell>
          <cell r="BN90">
            <v>0.39100000000000001</v>
          </cell>
          <cell r="BO90">
            <v>0.39100000000000001</v>
          </cell>
          <cell r="BP90">
            <v>0.39100000000000001</v>
          </cell>
          <cell r="BQ90">
            <v>0.39100000000000001</v>
          </cell>
          <cell r="BR90">
            <v>0.39100000000000001</v>
          </cell>
          <cell r="BS90">
            <v>0.39100000000000001</v>
          </cell>
          <cell r="BT90">
            <v>0.39100000000000001</v>
          </cell>
          <cell r="BU90">
            <v>0.39100000000000001</v>
          </cell>
          <cell r="BV90">
            <v>0.39100000000000001</v>
          </cell>
          <cell r="BW90">
            <v>0.39100000000000001</v>
          </cell>
          <cell r="BX90">
            <v>0.39100000000000001</v>
          </cell>
          <cell r="BY90">
            <v>0.39100000000000001</v>
          </cell>
          <cell r="BZ90">
            <v>0.39100000000000001</v>
          </cell>
          <cell r="CC90" t="str">
            <v>mstag:statutoryTaxRate</v>
          </cell>
          <cell r="CD90">
            <v>0</v>
          </cell>
          <cell r="CE90" t="str">
            <v>ms_eqr_gcim_Decimal:ms_eqr_gcim_decimal</v>
          </cell>
          <cell r="CF90" t="b">
            <v>0</v>
          </cell>
          <cell r="CG90" t="b">
            <v>0</v>
          </cell>
        </row>
        <row r="93">
          <cell r="B93" t="str">
            <v>1996-FY</v>
          </cell>
          <cell r="C93" t="str">
            <v>1997-Q1</v>
          </cell>
          <cell r="D93" t="str">
            <v>1997-Q2</v>
          </cell>
          <cell r="F93" t="str">
            <v>1997-Q3</v>
          </cell>
          <cell r="H93" t="str">
            <v>1997-Q4</v>
          </cell>
          <cell r="I93" t="str">
            <v>1997-FY</v>
          </cell>
          <cell r="J93" t="str">
            <v>1998-Q1</v>
          </cell>
          <cell r="K93" t="str">
            <v>1998-Q2</v>
          </cell>
          <cell r="M93" t="str">
            <v>1998-Q3</v>
          </cell>
          <cell r="O93" t="str">
            <v>1998-Q4</v>
          </cell>
          <cell r="P93" t="str">
            <v>1998-FY</v>
          </cell>
          <cell r="Q93" t="str">
            <v>1999-Q1</v>
          </cell>
          <cell r="R93" t="str">
            <v>1999-Q2</v>
          </cell>
          <cell r="T93" t="str">
            <v>1999-Q3</v>
          </cell>
          <cell r="V93" t="str">
            <v>1999-Q4</v>
          </cell>
          <cell r="W93" t="str">
            <v>1999-FY</v>
          </cell>
          <cell r="X93" t="str">
            <v>2000-Q1</v>
          </cell>
          <cell r="Y93" t="str">
            <v>2000-Q2</v>
          </cell>
          <cell r="AA93" t="str">
            <v>2000-Q3</v>
          </cell>
          <cell r="AC93" t="str">
            <v>2000-Q4</v>
          </cell>
          <cell r="AD93" t="str">
            <v>2000-FY</v>
          </cell>
          <cell r="AE93" t="str">
            <v>2001-Q1</v>
          </cell>
          <cell r="AF93" t="str">
            <v>2001-Q2</v>
          </cell>
          <cell r="AH93" t="str">
            <v>2001-Q3</v>
          </cell>
          <cell r="AJ93" t="str">
            <v>2001-Q4</v>
          </cell>
          <cell r="AK93" t="str">
            <v>2001-FY</v>
          </cell>
          <cell r="AL93" t="str">
            <v>2002-Q1</v>
          </cell>
          <cell r="AM93" t="str">
            <v>2002-Q2</v>
          </cell>
          <cell r="AO93" t="str">
            <v>2002-Q3</v>
          </cell>
          <cell r="AQ93" t="str">
            <v>2002-Q4</v>
          </cell>
          <cell r="AR93" t="str">
            <v>2002-FY</v>
          </cell>
          <cell r="AS93" t="str">
            <v>2003-Q1</v>
          </cell>
          <cell r="AT93" t="str">
            <v>2003-Q2</v>
          </cell>
          <cell r="AV93" t="str">
            <v>2003-Q3</v>
          </cell>
          <cell r="AX93" t="str">
            <v>2003-Q4</v>
          </cell>
          <cell r="AY93" t="str">
            <v>2003-FY</v>
          </cell>
          <cell r="AZ93" t="str">
            <v>2004-Q1</v>
          </cell>
          <cell r="BA93" t="str">
            <v>2004-Q2</v>
          </cell>
          <cell r="BC93" t="str">
            <v>2004-Q3</v>
          </cell>
          <cell r="BE93" t="str">
            <v>2004-Q4</v>
          </cell>
          <cell r="BF93" t="str">
            <v>2004-FY</v>
          </cell>
          <cell r="BG93" t="str">
            <v>2005-Q1</v>
          </cell>
          <cell r="BH93" t="str">
            <v>2005-Q2</v>
          </cell>
          <cell r="BJ93" t="str">
            <v>2005-Q3</v>
          </cell>
          <cell r="BL93" t="str">
            <v>2005-Q4</v>
          </cell>
          <cell r="BM93" t="str">
            <v>2005-FY</v>
          </cell>
          <cell r="BN93" t="str">
            <v>2006-Q1</v>
          </cell>
          <cell r="BO93" t="str">
            <v>2006-Q2</v>
          </cell>
          <cell r="BQ93" t="str">
            <v>2006-Q3</v>
          </cell>
          <cell r="BS93" t="str">
            <v>2006-Q4</v>
          </cell>
          <cell r="BT93" t="str">
            <v>2006-FY</v>
          </cell>
          <cell r="BU93" t="str">
            <v>2007-FY</v>
          </cell>
          <cell r="BV93" t="str">
            <v>2008-FY</v>
          </cell>
          <cell r="BW93" t="str">
            <v>2009-FY</v>
          </cell>
          <cell r="BX93" t="str">
            <v>2010-FY</v>
          </cell>
          <cell r="BY93" t="str">
            <v>2011-FY</v>
          </cell>
          <cell r="BZ93" t="str">
            <v>2012-FY</v>
          </cell>
        </row>
      </sheetData>
      <sheetData sheetId="13" refreshError="1">
        <row r="1">
          <cell r="N1" t="str">
            <v>Return to contents</v>
          </cell>
        </row>
        <row r="2">
          <cell r="A2" t="str">
            <v>Schwarz Pharma</v>
          </cell>
        </row>
        <row r="3">
          <cell r="A3" t="str">
            <v xml:space="preserve">  Annual Profit and Loss Statement</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Revenue</v>
          </cell>
          <cell r="B7">
            <v>610.79574500000001</v>
          </cell>
          <cell r="C7">
            <v>650.19895499999984</v>
          </cell>
          <cell r="D7">
            <v>681.28410699999995</v>
          </cell>
          <cell r="E7">
            <v>705.88299999999981</v>
          </cell>
          <cell r="F7">
            <v>736.19200000000001</v>
          </cell>
          <cell r="G7">
            <v>767.72800000000007</v>
          </cell>
          <cell r="H7">
            <v>963.53400000000011</v>
          </cell>
          <cell r="I7">
            <v>1496.279</v>
          </cell>
          <cell r="J7">
            <v>946.64700000000016</v>
          </cell>
          <cell r="K7">
            <v>990.572</v>
          </cell>
          <cell r="L7">
            <v>944.43000000000006</v>
          </cell>
          <cell r="M7">
            <v>937.6605400000002</v>
          </cell>
          <cell r="N7">
            <v>1079.2162497000002</v>
          </cell>
          <cell r="O7">
            <v>1167.0174131660001</v>
          </cell>
          <cell r="P7">
            <v>1244.5110234575802</v>
          </cell>
          <cell r="Q7">
            <v>1289.0839343890796</v>
          </cell>
          <cell r="R7">
            <v>1323.8548088090984</v>
          </cell>
        </row>
        <row r="8">
          <cell r="A8" t="str">
            <v>Cost of goods sold</v>
          </cell>
          <cell r="B8">
            <v>-193.805948</v>
          </cell>
          <cell r="C8">
            <v>-189.93205700000001</v>
          </cell>
          <cell r="D8">
            <v>-223.18384900000001</v>
          </cell>
          <cell r="E8">
            <v>-293.81099999999998</v>
          </cell>
          <cell r="F8">
            <v>-304.60899999999998</v>
          </cell>
          <cell r="G8">
            <v>-301.70999999999998</v>
          </cell>
          <cell r="H8">
            <v>-325.065</v>
          </cell>
          <cell r="I8">
            <v>-385.32299999999998</v>
          </cell>
          <cell r="J8">
            <v>-326.928</v>
          </cell>
          <cell r="K8">
            <v>-317.93799999999999</v>
          </cell>
          <cell r="L8">
            <v>-299.89316999999994</v>
          </cell>
          <cell r="M8">
            <v>-291.51137280000006</v>
          </cell>
          <cell r="N8">
            <v>-320.24519990400006</v>
          </cell>
          <cell r="O8">
            <v>-332.35097221312003</v>
          </cell>
          <cell r="P8">
            <v>-338.53497750642566</v>
          </cell>
          <cell r="Q8">
            <v>-332.07336850450542</v>
          </cell>
          <cell r="R8">
            <v>-323.71530279391141</v>
          </cell>
        </row>
        <row r="9">
          <cell r="A9" t="str">
            <v>Gross Profit</v>
          </cell>
          <cell r="B9">
            <v>416.98979700000001</v>
          </cell>
          <cell r="C9">
            <v>460.26689799999986</v>
          </cell>
          <cell r="D9">
            <v>458.10025799999994</v>
          </cell>
          <cell r="E9">
            <v>412.07199999999983</v>
          </cell>
          <cell r="F9">
            <v>431.58300000000003</v>
          </cell>
          <cell r="G9">
            <v>466.01800000000009</v>
          </cell>
          <cell r="H9">
            <v>638.46900000000005</v>
          </cell>
          <cell r="I9">
            <v>1110.9560000000001</v>
          </cell>
          <cell r="J9">
            <v>619.71900000000016</v>
          </cell>
          <cell r="K9">
            <v>672.63400000000001</v>
          </cell>
          <cell r="L9">
            <v>644.53683000000012</v>
          </cell>
          <cell r="M9">
            <v>646.14916720000019</v>
          </cell>
          <cell r="N9">
            <v>758.9710497960001</v>
          </cell>
          <cell r="O9">
            <v>834.66644095288007</v>
          </cell>
          <cell r="P9">
            <v>905.97604595115456</v>
          </cell>
          <cell r="Q9">
            <v>957.01056588457413</v>
          </cell>
          <cell r="R9">
            <v>1000.139506015187</v>
          </cell>
        </row>
        <row r="10">
          <cell r="A10" t="str">
            <v>Gross Margin</v>
          </cell>
          <cell r="B10">
            <v>68.269924997594728</v>
          </cell>
          <cell r="C10">
            <v>70.788624691037839</v>
          </cell>
          <cell r="D10">
            <v>67.240708141163196</v>
          </cell>
          <cell r="E10">
            <v>58.376813154587936</v>
          </cell>
          <cell r="F10">
            <v>58.623701425715034</v>
          </cell>
          <cell r="G10">
            <v>60.700925327720242</v>
          </cell>
          <cell r="H10">
            <v>0.66263255889257666</v>
          </cell>
          <cell r="I10">
            <v>0.74247917667761165</v>
          </cell>
          <cell r="J10">
            <v>0.65464634652621312</v>
          </cell>
          <cell r="K10">
            <v>0.67903595094551428</v>
          </cell>
          <cell r="L10">
            <v>0.682461198818335</v>
          </cell>
          <cell r="M10">
            <v>0.68910777369387866</v>
          </cell>
          <cell r="N10">
            <v>0.70326132506527617</v>
          </cell>
          <cell r="O10">
            <v>0.71521335631874983</v>
          </cell>
          <cell r="P10">
            <v>0.72797751797658961</v>
          </cell>
          <cell r="Q10">
            <v>0.74239585208865311</v>
          </cell>
          <cell r="R10">
            <v>0.75547522232810682</v>
          </cell>
        </row>
        <row r="12">
          <cell r="A12" t="str">
            <v>Selling and marketing expenses</v>
          </cell>
          <cell r="B12">
            <v>-234.00887299999999</v>
          </cell>
          <cell r="C12">
            <v>-263.34538300000003</v>
          </cell>
          <cell r="D12">
            <v>-266.88150300000001</v>
          </cell>
          <cell r="E12">
            <v>-293.22300000000001</v>
          </cell>
          <cell r="F12">
            <v>-301.012</v>
          </cell>
          <cell r="G12">
            <v>-313.19499999999999</v>
          </cell>
          <cell r="H12">
            <v>-378.50900000000001</v>
          </cell>
          <cell r="I12">
            <v>-517.83500000000004</v>
          </cell>
          <cell r="J12">
            <v>-348.06</v>
          </cell>
          <cell r="K12">
            <v>-406.30900000000003</v>
          </cell>
          <cell r="L12">
            <v>-434.43780000000004</v>
          </cell>
          <cell r="M12">
            <v>-440.70045380000005</v>
          </cell>
          <cell r="N12">
            <v>-496.43947486200011</v>
          </cell>
          <cell r="O12">
            <v>-525.15783592470007</v>
          </cell>
          <cell r="P12">
            <v>-547.58485032133535</v>
          </cell>
          <cell r="Q12">
            <v>-554.30609178730424</v>
          </cell>
          <cell r="R12">
            <v>-569.25756778791231</v>
          </cell>
        </row>
        <row r="13">
          <cell r="A13" t="str">
            <v>SG&amp;A as % Revenue</v>
          </cell>
          <cell r="B13">
            <v>0.38312132151477246</v>
          </cell>
          <cell r="C13">
            <v>0.40502277183758328</v>
          </cell>
          <cell r="D13">
            <v>0.39173305271305858</v>
          </cell>
          <cell r="E13">
            <v>0.41539886921770336</v>
          </cell>
          <cell r="F13">
            <v>0.40887703207858817</v>
          </cell>
          <cell r="G13">
            <v>0.40795047204218154</v>
          </cell>
          <cell r="H13">
            <v>0.39283408784744489</v>
          </cell>
          <cell r="I13">
            <v>0.34608184703521205</v>
          </cell>
          <cell r="J13">
            <v>0.36767665243749775</v>
          </cell>
          <cell r="K13">
            <v>0.41017614065408675</v>
          </cell>
          <cell r="L13">
            <v>0.46</v>
          </cell>
          <cell r="M13">
            <v>0.47</v>
          </cell>
          <cell r="N13">
            <v>0.46</v>
          </cell>
          <cell r="O13">
            <v>0.45</v>
          </cell>
          <cell r="P13">
            <v>0.44000000000000006</v>
          </cell>
          <cell r="Q13">
            <v>0.43000000000000005</v>
          </cell>
          <cell r="R13">
            <v>0.43</v>
          </cell>
        </row>
        <row r="15">
          <cell r="A15" t="str">
            <v>R&amp;D</v>
          </cell>
          <cell r="B15">
            <v>-49.121919000000005</v>
          </cell>
          <cell r="C15">
            <v>-54.705105000000003</v>
          </cell>
          <cell r="D15">
            <v>-59.191685</v>
          </cell>
          <cell r="E15">
            <v>-77.063999999999993</v>
          </cell>
          <cell r="F15">
            <v>-91.481999999999999</v>
          </cell>
          <cell r="G15">
            <v>-106.982</v>
          </cell>
          <cell r="H15">
            <v>-124.236</v>
          </cell>
          <cell r="I15">
            <v>-144.02500000000001</v>
          </cell>
          <cell r="J15">
            <v>-198.321</v>
          </cell>
          <cell r="K15">
            <v>-258.93099999999998</v>
          </cell>
          <cell r="L15">
            <v>-188.88600000000002</v>
          </cell>
          <cell r="M15">
            <v>-168.77889720000002</v>
          </cell>
          <cell r="N15">
            <v>-178.07068120050005</v>
          </cell>
          <cell r="O15">
            <v>-192.55787317239003</v>
          </cell>
          <cell r="P15">
            <v>-205.34431887050076</v>
          </cell>
          <cell r="Q15">
            <v>-212.69884917419813</v>
          </cell>
          <cell r="R15">
            <v>-218.43604345350124</v>
          </cell>
        </row>
        <row r="16">
          <cell r="A16" t="str">
            <v>R&amp;D as % Revenue</v>
          </cell>
          <cell r="B16">
            <v>8.0422824491025238E-2</v>
          </cell>
          <cell r="C16">
            <v>8.4135947280936513E-2</v>
          </cell>
          <cell r="D16">
            <v>8.6882527262594725E-2</v>
          </cell>
          <cell r="E16">
            <v>0.10917389992392509</v>
          </cell>
          <cell r="F16">
            <v>0.12426377901417021</v>
          </cell>
          <cell r="G16">
            <v>0.13934883187795677</v>
          </cell>
          <cell r="H16">
            <v>0.12893784754871129</v>
          </cell>
          <cell r="I16">
            <v>9.6255444338923427E-2</v>
          </cell>
          <cell r="J16">
            <v>0.20949836633930066</v>
          </cell>
          <cell r="K16">
            <v>0.26139543617223177</v>
          </cell>
          <cell r="L16">
            <v>0.2</v>
          </cell>
          <cell r="M16">
            <v>0.18</v>
          </cell>
          <cell r="N16">
            <v>0.16500000000000001</v>
          </cell>
          <cell r="O16">
            <v>0.16500000000000001</v>
          </cell>
          <cell r="P16">
            <v>0.16500000000000001</v>
          </cell>
          <cell r="Q16">
            <v>0.16500000000000001</v>
          </cell>
          <cell r="R16">
            <v>0.16500000000000001</v>
          </cell>
        </row>
        <row r="18">
          <cell r="A18" t="str">
            <v>Amortization of intangible assets</v>
          </cell>
          <cell r="B18">
            <v>-32.624794999999999</v>
          </cell>
          <cell r="C18">
            <v>-39.813542999999996</v>
          </cell>
          <cell r="D18">
            <v>-41.185066999999997</v>
          </cell>
          <cell r="E18">
            <v>-41.45</v>
          </cell>
          <cell r="F18">
            <v>-46.353999999999999</v>
          </cell>
          <cell r="G18">
            <v>-38.412999999999997</v>
          </cell>
          <cell r="H18">
            <v>-34.235999999999997</v>
          </cell>
          <cell r="I18">
            <v>-31.268999999999998</v>
          </cell>
          <cell r="J18">
            <v>-30.052</v>
          </cell>
          <cell r="K18">
            <v>-26.475999999999999</v>
          </cell>
          <cell r="L18">
            <v>-24.856494831854448</v>
          </cell>
          <cell r="M18">
            <v>-23.336052852621503</v>
          </cell>
          <cell r="N18">
            <v>-21.908614485838822</v>
          </cell>
          <cell r="O18">
            <v>-20.568490812069204</v>
          </cell>
          <cell r="P18">
            <v>-19.310340896254868</v>
          </cell>
          <cell r="Q18">
            <v>-18.129150501930305</v>
          </cell>
          <cell r="R18">
            <v>-17.020212107461177</v>
          </cell>
        </row>
        <row r="19">
          <cell r="A19" t="str">
            <v xml:space="preserve">Impairment of assets </v>
          </cell>
          <cell r="B19">
            <v>0</v>
          </cell>
          <cell r="C19">
            <v>0</v>
          </cell>
          <cell r="D19">
            <v>0</v>
          </cell>
          <cell r="E19">
            <v>-43.652999999999999</v>
          </cell>
          <cell r="F19">
            <v>-2.3260000000000001</v>
          </cell>
          <cell r="G19">
            <v>-1.329</v>
          </cell>
          <cell r="H19">
            <v>-3.0619999999999998</v>
          </cell>
          <cell r="I19">
            <v>-25.588999999999999</v>
          </cell>
          <cell r="J19">
            <v>0</v>
          </cell>
          <cell r="K19">
            <v>-6.06</v>
          </cell>
        </row>
        <row r="20">
          <cell r="A20" t="str">
            <v>Gains/losses from fixed asset disposals</v>
          </cell>
          <cell r="B20">
            <v>0</v>
          </cell>
          <cell r="C20">
            <v>0</v>
          </cell>
          <cell r="D20">
            <v>0</v>
          </cell>
          <cell r="E20">
            <v>0</v>
          </cell>
          <cell r="F20">
            <v>0</v>
          </cell>
          <cell r="G20">
            <v>0</v>
          </cell>
          <cell r="H20">
            <v>0</v>
          </cell>
          <cell r="I20">
            <v>0</v>
          </cell>
          <cell r="J20">
            <v>-2.0350000000000001</v>
          </cell>
          <cell r="K20">
            <v>-1.4510000000000001</v>
          </cell>
        </row>
        <row r="21">
          <cell r="A21" t="str">
            <v>Other operating income/(expense)</v>
          </cell>
          <cell r="B21">
            <v>0</v>
          </cell>
          <cell r="C21">
            <v>0</v>
          </cell>
          <cell r="D21">
            <v>13.052984</v>
          </cell>
          <cell r="E21">
            <v>13.497999999999999</v>
          </cell>
          <cell r="F21">
            <v>5.9779999999999998</v>
          </cell>
          <cell r="G21">
            <v>10.452999999999999</v>
          </cell>
          <cell r="H21">
            <v>-23.49</v>
          </cell>
          <cell r="I21">
            <v>-131.73699999999999</v>
          </cell>
          <cell r="J21">
            <v>-25.451000000000001</v>
          </cell>
          <cell r="K21">
            <v>9.6349999999999998</v>
          </cell>
          <cell r="L21">
            <v>0</v>
          </cell>
          <cell r="M21">
            <v>0</v>
          </cell>
          <cell r="N21">
            <v>0</v>
          </cell>
          <cell r="O21">
            <v>0</v>
          </cell>
          <cell r="P21">
            <v>0</v>
          </cell>
          <cell r="Q21">
            <v>0</v>
          </cell>
          <cell r="R21">
            <v>0</v>
          </cell>
        </row>
        <row r="22">
          <cell r="A22" t="str">
            <v>Royalties</v>
          </cell>
          <cell r="M22">
            <v>1.7999999999999998</v>
          </cell>
          <cell r="N22">
            <v>61.550452103999987</v>
          </cell>
          <cell r="O22">
            <v>68.377673959226257</v>
          </cell>
          <cell r="P22">
            <v>74.85031029697609</v>
          </cell>
          <cell r="Q22">
            <v>80.203028694316401</v>
          </cell>
          <cell r="R22">
            <v>81.766841351529592</v>
          </cell>
        </row>
        <row r="23">
          <cell r="A23" t="str">
            <v>Exceptionals</v>
          </cell>
          <cell r="B23">
            <v>0</v>
          </cell>
          <cell r="C23">
            <v>0</v>
          </cell>
          <cell r="D23">
            <v>0</v>
          </cell>
          <cell r="E23">
            <v>0</v>
          </cell>
          <cell r="F23">
            <v>0</v>
          </cell>
          <cell r="G23">
            <v>0</v>
          </cell>
          <cell r="H23">
            <v>0</v>
          </cell>
          <cell r="I23">
            <v>0</v>
          </cell>
          <cell r="J23">
            <v>0</v>
          </cell>
          <cell r="K23">
            <v>0</v>
          </cell>
          <cell r="L23">
            <v>80</v>
          </cell>
          <cell r="M23">
            <v>88</v>
          </cell>
          <cell r="N23">
            <v>0</v>
          </cell>
          <cell r="O23">
            <v>0</v>
          </cell>
          <cell r="P23">
            <v>160</v>
          </cell>
          <cell r="Q23">
            <v>0</v>
          </cell>
          <cell r="R23">
            <v>0</v>
          </cell>
        </row>
        <row r="24">
          <cell r="A24" t="str">
            <v>Operating Profit</v>
          </cell>
          <cell r="B24">
            <v>101.23421000000002</v>
          </cell>
          <cell r="C24">
            <v>102.40286699999983</v>
          </cell>
          <cell r="D24">
            <v>103.89498699999992</v>
          </cell>
          <cell r="E24">
            <v>-29.820000000000178</v>
          </cell>
          <cell r="F24">
            <v>-3.6129999999999725</v>
          </cell>
          <cell r="G24">
            <v>16.552000000000096</v>
          </cell>
          <cell r="H24">
            <v>74.936000000000064</v>
          </cell>
          <cell r="I24">
            <v>260.50100000000015</v>
          </cell>
          <cell r="J24">
            <v>15.800000000000164</v>
          </cell>
          <cell r="K24">
            <v>-16.957999999999995</v>
          </cell>
          <cell r="L24">
            <v>76.356535168145612</v>
          </cell>
          <cell r="M24">
            <v>103.13376334737862</v>
          </cell>
          <cell r="N24">
            <v>124.10273135166111</v>
          </cell>
          <cell r="O24">
            <v>164.75991500294703</v>
          </cell>
          <cell r="P24">
            <v>368.58684616003967</v>
          </cell>
          <cell r="Q24">
            <v>252.07950311545787</v>
          </cell>
          <cell r="R24">
            <v>277.19252401784183</v>
          </cell>
        </row>
        <row r="25">
          <cell r="A25" t="str">
            <v>Operating margin</v>
          </cell>
          <cell r="B25">
            <v>0.16574151150971103</v>
          </cell>
          <cell r="C25">
            <v>0.15749466561354264</v>
          </cell>
          <cell r="D25">
            <v>0.1524987680359905</v>
          </cell>
          <cell r="E25">
            <v>-4.2244961275452429E-2</v>
          </cell>
          <cell r="F25">
            <v>-4.9076871250977629E-3</v>
          </cell>
          <cell r="G25">
            <v>2.1559719067169743E-2</v>
          </cell>
          <cell r="H25">
            <v>7.7772035029381487E-2</v>
          </cell>
          <cell r="I25">
            <v>0.1740992154538025</v>
          </cell>
          <cell r="J25">
            <v>1.6690487584073221E-2</v>
          </cell>
          <cell r="K25">
            <v>-1.7119401719410596E-2</v>
          </cell>
          <cell r="L25">
            <v>8.0849332579593619E-2</v>
          </cell>
          <cell r="M25">
            <v>0.10999051250186832</v>
          </cell>
          <cell r="N25">
            <v>0.11499338653041881</v>
          </cell>
          <cell r="O25">
            <v>0.14118033985111675</v>
          </cell>
          <cell r="P25">
            <v>0.2961700131317504</v>
          </cell>
          <cell r="Q25">
            <v>0.19554933266228544</v>
          </cell>
          <cell r="R25">
            <v>0.20938287353973223</v>
          </cell>
        </row>
        <row r="27">
          <cell r="A27" t="str">
            <v>Operating Profit Pre exceptionals</v>
          </cell>
          <cell r="B27">
            <v>101.23421000000002</v>
          </cell>
          <cell r="C27">
            <v>102.40286699999983</v>
          </cell>
          <cell r="D27">
            <v>103.89498699999992</v>
          </cell>
          <cell r="E27">
            <v>-29.820000000000178</v>
          </cell>
          <cell r="F27">
            <v>-3.6129999999999725</v>
          </cell>
          <cell r="G27">
            <v>16.552000000000096</v>
          </cell>
          <cell r="H27">
            <v>74.936000000000064</v>
          </cell>
          <cell r="I27">
            <v>260.50100000000015</v>
          </cell>
          <cell r="J27">
            <v>15.800000000000164</v>
          </cell>
          <cell r="K27">
            <v>-16.957999999999995</v>
          </cell>
          <cell r="L27">
            <v>-3.6434648318543879</v>
          </cell>
          <cell r="M27">
            <v>15.133763347378618</v>
          </cell>
          <cell r="N27">
            <v>124.10273135166111</v>
          </cell>
          <cell r="O27">
            <v>164.75991500294703</v>
          </cell>
          <cell r="P27">
            <v>208.58684616003967</v>
          </cell>
          <cell r="Q27">
            <v>252.07950311545787</v>
          </cell>
          <cell r="R27">
            <v>277.19252401784183</v>
          </cell>
        </row>
        <row r="28">
          <cell r="A28" t="str">
            <v>Operating margin</v>
          </cell>
          <cell r="B28">
            <v>0.16574151150971103</v>
          </cell>
          <cell r="C28">
            <v>0.15749466561354264</v>
          </cell>
          <cell r="D28">
            <v>0.1524987680359905</v>
          </cell>
          <cell r="E28">
            <v>-4.2244961275452429E-2</v>
          </cell>
          <cell r="F28">
            <v>-4.9076871250977629E-3</v>
          </cell>
          <cell r="G28">
            <v>2.1559719067169743E-2</v>
          </cell>
          <cell r="H28">
            <v>7.7772035029381487E-2</v>
          </cell>
          <cell r="I28">
            <v>0.1740992154538025</v>
          </cell>
          <cell r="J28">
            <v>1.6690487584073221E-2</v>
          </cell>
          <cell r="K28">
            <v>-1.7119401719410596E-2</v>
          </cell>
          <cell r="L28">
            <v>-3.8578452948915087E-3</v>
          </cell>
          <cell r="M28">
            <v>1.6139917061433143E-2</v>
          </cell>
          <cell r="N28">
            <v>0.11499338653041881</v>
          </cell>
          <cell r="O28">
            <v>0.14118033985111675</v>
          </cell>
          <cell r="P28">
            <v>0.1676054628913855</v>
          </cell>
          <cell r="Q28">
            <v>0.19554933266228544</v>
          </cell>
          <cell r="R28">
            <v>0.20938287353973223</v>
          </cell>
        </row>
        <row r="30">
          <cell r="A30" t="str">
            <v>Other non-operating income/(expense)</v>
          </cell>
          <cell r="B30">
            <v>-0.15432199999999999</v>
          </cell>
          <cell r="C30">
            <v>7.1044330000000002</v>
          </cell>
          <cell r="D30">
            <v>0.36025500000000021</v>
          </cell>
          <cell r="E30">
            <v>90.815999999999988</v>
          </cell>
          <cell r="F30">
            <v>13.382000000000001</v>
          </cell>
          <cell r="G30">
            <v>50.585000000000001</v>
          </cell>
          <cell r="H30">
            <v>10.989999999999998</v>
          </cell>
          <cell r="I30">
            <v>12.971</v>
          </cell>
          <cell r="J30">
            <v>0</v>
          </cell>
          <cell r="K30">
            <v>0</v>
          </cell>
          <cell r="L30">
            <v>0</v>
          </cell>
          <cell r="M30">
            <v>0</v>
          </cell>
          <cell r="N30">
            <v>0</v>
          </cell>
          <cell r="O30">
            <v>0</v>
          </cell>
          <cell r="P30">
            <v>0</v>
          </cell>
          <cell r="Q30">
            <v>0</v>
          </cell>
          <cell r="R30">
            <v>0</v>
          </cell>
        </row>
        <row r="31">
          <cell r="A31" t="str">
            <v>Finance Income</v>
          </cell>
          <cell r="B31">
            <v>-7.072751000000002</v>
          </cell>
          <cell r="C31">
            <v>-6.0865210000000003</v>
          </cell>
          <cell r="D31">
            <v>-8.9813359999999989</v>
          </cell>
          <cell r="E31">
            <v>-2.1840000000000002</v>
          </cell>
          <cell r="F31">
            <v>8.0080000000000009</v>
          </cell>
          <cell r="G31">
            <v>-2.0230000000000001</v>
          </cell>
          <cell r="H31">
            <v>-5.524</v>
          </cell>
          <cell r="I31">
            <v>-2.9379999999999997</v>
          </cell>
          <cell r="J31">
            <v>-0.77000000000000024</v>
          </cell>
          <cell r="K31">
            <v>-0.49700000000000022</v>
          </cell>
          <cell r="L31">
            <v>6.1672383262283095</v>
          </cell>
          <cell r="M31">
            <v>8.4576558529251731</v>
          </cell>
          <cell r="N31">
            <v>11.702882210101116</v>
          </cell>
          <cell r="O31">
            <v>15.50934804910478</v>
          </cell>
          <cell r="P31">
            <v>21.825363511174039</v>
          </cell>
          <cell r="Q31">
            <v>29.295814710643409</v>
          </cell>
          <cell r="R31">
            <v>35.594846431834334</v>
          </cell>
        </row>
        <row r="33">
          <cell r="A33" t="str">
            <v>Profit before tax</v>
          </cell>
          <cell r="B33">
            <v>94.007137000000029</v>
          </cell>
          <cell r="C33">
            <v>103.42077899999983</v>
          </cell>
          <cell r="D33">
            <v>95.273905999999911</v>
          </cell>
          <cell r="E33">
            <v>58.811999999999813</v>
          </cell>
          <cell r="F33">
            <v>17.777000000000029</v>
          </cell>
          <cell r="G33">
            <v>65.11400000000009</v>
          </cell>
          <cell r="H33">
            <v>80.402000000000058</v>
          </cell>
          <cell r="I33">
            <v>270.53400000000016</v>
          </cell>
          <cell r="J33">
            <v>15.030000000000165</v>
          </cell>
          <cell r="K33">
            <v>-17.454999999999995</v>
          </cell>
          <cell r="L33">
            <v>82.523773494373927</v>
          </cell>
          <cell r="M33">
            <v>111.59141920030379</v>
          </cell>
          <cell r="N33">
            <v>135.80561356176221</v>
          </cell>
          <cell r="O33">
            <v>180.2692630520518</v>
          </cell>
          <cell r="P33">
            <v>390.4122096712137</v>
          </cell>
          <cell r="Q33">
            <v>281.37531782610125</v>
          </cell>
          <cell r="R33">
            <v>312.78737044967619</v>
          </cell>
        </row>
        <row r="34">
          <cell r="A34" t="str">
            <v>Income tax</v>
          </cell>
          <cell r="B34">
            <v>-41.882071000000003</v>
          </cell>
          <cell r="C34">
            <v>-43.967462000000005</v>
          </cell>
          <cell r="D34">
            <v>-35.188482</v>
          </cell>
          <cell r="E34">
            <v>-51.283999999999999</v>
          </cell>
          <cell r="F34">
            <v>-4.3689999999999998</v>
          </cell>
          <cell r="G34">
            <v>-24.821999999999999</v>
          </cell>
          <cell r="H34">
            <v>-32.031999999999996</v>
          </cell>
          <cell r="I34">
            <v>-137.70400000000001</v>
          </cell>
          <cell r="J34">
            <v>-15.753</v>
          </cell>
          <cell r="K34">
            <v>-36.002000000000002</v>
          </cell>
          <cell r="L34">
            <v>-50.986641446061789</v>
          </cell>
          <cell r="M34">
            <v>-42.66499672010633</v>
          </cell>
          <cell r="N34">
            <v>-47.531964746616772</v>
          </cell>
          <cell r="O34">
            <v>-63.094242068218122</v>
          </cell>
          <cell r="P34">
            <v>-109.12366290136411</v>
          </cell>
          <cell r="Q34">
            <v>-84.412595347830376</v>
          </cell>
          <cell r="R34">
            <v>-87.58046372590934</v>
          </cell>
        </row>
        <row r="35">
          <cell r="A35" t="str">
            <v>Exceptional tax</v>
          </cell>
          <cell r="B35">
            <v>0</v>
          </cell>
          <cell r="C35">
            <v>0</v>
          </cell>
          <cell r="D35">
            <v>0</v>
          </cell>
          <cell r="E35">
            <v>0</v>
          </cell>
          <cell r="F35">
            <v>0</v>
          </cell>
          <cell r="G35">
            <v>0</v>
          </cell>
          <cell r="H35">
            <v>0</v>
          </cell>
          <cell r="I35">
            <v>0</v>
          </cell>
          <cell r="J35">
            <v>0</v>
          </cell>
          <cell r="K35">
            <v>0</v>
          </cell>
          <cell r="L35">
            <v>-31.28</v>
          </cell>
          <cell r="M35">
            <v>-34.408000000000001</v>
          </cell>
          <cell r="N35">
            <v>0</v>
          </cell>
          <cell r="O35">
            <v>0</v>
          </cell>
          <cell r="P35">
            <v>-40</v>
          </cell>
          <cell r="Q35">
            <v>0</v>
          </cell>
          <cell r="R35">
            <v>0</v>
          </cell>
        </row>
        <row r="36">
          <cell r="A36" t="str">
            <v>Tax rate</v>
          </cell>
          <cell r="B36">
            <v>0.44552012045638612</v>
          </cell>
          <cell r="C36">
            <v>0.42513180064133999</v>
          </cell>
          <cell r="D36">
            <v>0.36934018428928517</v>
          </cell>
          <cell r="E36">
            <v>0.87199891178671296</v>
          </cell>
          <cell r="F36">
            <v>0.24576700230635048</v>
          </cell>
          <cell r="G36">
            <v>0.3812083422919797</v>
          </cell>
          <cell r="H36">
            <v>0.3983980497997559</v>
          </cell>
          <cell r="I36">
            <v>0.50900810988637257</v>
          </cell>
          <cell r="J36">
            <v>1.0481037924151582</v>
          </cell>
          <cell r="K36">
            <v>2.0625608708106569</v>
          </cell>
          <cell r="L36">
            <v>0.61784185680188042</v>
          </cell>
          <cell r="M36">
            <v>0.38233223509348629</v>
          </cell>
          <cell r="N36">
            <v>0.35</v>
          </cell>
          <cell r="O36">
            <v>0.35</v>
          </cell>
          <cell r="P36">
            <v>0.27950883757775608</v>
          </cell>
          <cell r="Q36">
            <v>0.3</v>
          </cell>
          <cell r="R36">
            <v>0.28000000000000003</v>
          </cell>
        </row>
        <row r="38">
          <cell r="A38" t="str">
            <v>Profit after tax</v>
          </cell>
          <cell r="B38">
            <v>52.125066000000025</v>
          </cell>
          <cell r="C38">
            <v>59.453316999999821</v>
          </cell>
          <cell r="D38">
            <v>60.085423999999911</v>
          </cell>
          <cell r="E38">
            <v>7.527999999999814</v>
          </cell>
          <cell r="F38">
            <v>13.40800000000003</v>
          </cell>
          <cell r="G38">
            <v>40.292000000000087</v>
          </cell>
          <cell r="H38">
            <v>48.370000000000061</v>
          </cell>
          <cell r="I38">
            <v>132.83000000000015</v>
          </cell>
          <cell r="J38">
            <v>-0.72299999999983555</v>
          </cell>
          <cell r="K38">
            <v>-53.456999999999994</v>
          </cell>
          <cell r="L38">
            <v>31.537132048312138</v>
          </cell>
          <cell r="M38">
            <v>68.926422480197459</v>
          </cell>
          <cell r="N38">
            <v>88.273648815145435</v>
          </cell>
          <cell r="O38">
            <v>117.17502098383368</v>
          </cell>
          <cell r="P38">
            <v>281.28854676984957</v>
          </cell>
          <cell r="Q38">
            <v>196.96272247827088</v>
          </cell>
          <cell r="R38">
            <v>225.20690672376685</v>
          </cell>
        </row>
        <row r="39">
          <cell r="A39" t="str">
            <v>Minority interests</v>
          </cell>
          <cell r="B39">
            <v>0</v>
          </cell>
          <cell r="C39">
            <v>0.11753000000000001</v>
          </cell>
          <cell r="D39">
            <v>0.25856600000000002</v>
          </cell>
          <cell r="E39">
            <v>0.72599999999999998</v>
          </cell>
          <cell r="F39">
            <v>0.216</v>
          </cell>
          <cell r="G39">
            <v>0.21299999999999999</v>
          </cell>
          <cell r="H39">
            <v>2.1999999999999999E-2</v>
          </cell>
          <cell r="I39">
            <v>-0.312</v>
          </cell>
          <cell r="J39">
            <v>-0.112</v>
          </cell>
          <cell r="K39">
            <v>-0.626</v>
          </cell>
          <cell r="L39">
            <v>0.36931074811986081</v>
          </cell>
          <cell r="M39">
            <v>0.80715229946692879</v>
          </cell>
          <cell r="N39">
            <v>1.0337150262506509</v>
          </cell>
          <cell r="O39">
            <v>1.3721601125368033</v>
          </cell>
          <cell r="P39">
            <v>3.2939863867767709</v>
          </cell>
          <cell r="Q39">
            <v>2.3065017541462778</v>
          </cell>
          <cell r="R39">
            <v>2.6372509420483392</v>
          </cell>
        </row>
        <row r="41">
          <cell r="A41" t="str">
            <v>Net Profit</v>
          </cell>
          <cell r="B41">
            <v>52.125066000000025</v>
          </cell>
          <cell r="C41">
            <v>59.570846999999823</v>
          </cell>
          <cell r="D41">
            <v>60.343989999999913</v>
          </cell>
          <cell r="E41">
            <v>8.253999999999813</v>
          </cell>
          <cell r="F41">
            <v>13.624000000000029</v>
          </cell>
          <cell r="G41">
            <v>40.505000000000088</v>
          </cell>
          <cell r="H41">
            <v>48.39200000000006</v>
          </cell>
          <cell r="I41">
            <v>132.51800000000014</v>
          </cell>
          <cell r="J41">
            <v>-0.83499999999983554</v>
          </cell>
          <cell r="K41">
            <v>-54.082999999999991</v>
          </cell>
          <cell r="L41">
            <v>31.906442796432</v>
          </cell>
          <cell r="M41">
            <v>69.733574779664394</v>
          </cell>
          <cell r="N41">
            <v>89.307363841396082</v>
          </cell>
          <cell r="O41">
            <v>118.54718109637048</v>
          </cell>
          <cell r="P41">
            <v>284.58253315662637</v>
          </cell>
          <cell r="Q41">
            <v>199.26922423241714</v>
          </cell>
          <cell r="R41">
            <v>227.84415766581517</v>
          </cell>
        </row>
        <row r="42">
          <cell r="A42" t="str">
            <v>Net profit margin</v>
          </cell>
          <cell r="B42">
            <v>8.5339602357577038E-2</v>
          </cell>
          <cell r="C42">
            <v>9.1619413630093946E-2</v>
          </cell>
          <cell r="D42">
            <v>8.8573899464236175E-2</v>
          </cell>
          <cell r="E42">
            <v>1.1693155947940119E-2</v>
          </cell>
          <cell r="F42">
            <v>1.8506041902112531E-2</v>
          </cell>
          <cell r="G42">
            <v>5.2759571098097355E-2</v>
          </cell>
          <cell r="H42">
            <v>5.0223448264410032E-2</v>
          </cell>
          <cell r="I42">
            <v>8.8565033660166409E-2</v>
          </cell>
          <cell r="J42">
            <v>-8.8206057801887652E-4</v>
          </cell>
          <cell r="K42">
            <v>-5.4597747564033704E-2</v>
          </cell>
          <cell r="L42">
            <v>3.3783809066243127E-2</v>
          </cell>
          <cell r="M42">
            <v>7.4369744491609283E-2</v>
          </cell>
          <cell r="N42">
            <v>8.2752056287348982E-2</v>
          </cell>
          <cell r="O42">
            <v>0.10158133011465868</v>
          </cell>
          <cell r="P42">
            <v>0.22867015863465873</v>
          </cell>
          <cell r="Q42">
            <v>0.15458203994052139</v>
          </cell>
          <cell r="R42">
            <v>0.17210660576198475</v>
          </cell>
        </row>
        <row r="44">
          <cell r="A44" t="str">
            <v>Net Profit Pre exceptionals</v>
          </cell>
          <cell r="B44">
            <v>52.125066000000025</v>
          </cell>
          <cell r="C44">
            <v>59.570846999999823</v>
          </cell>
          <cell r="D44">
            <v>60.343989999999913</v>
          </cell>
          <cell r="E44">
            <v>8.253999999999813</v>
          </cell>
          <cell r="F44">
            <v>13.624000000000029</v>
          </cell>
          <cell r="G44">
            <v>40.505000000000088</v>
          </cell>
          <cell r="H44">
            <v>48.39200000000006</v>
          </cell>
          <cell r="I44">
            <v>132.51800000000014</v>
          </cell>
          <cell r="J44">
            <v>-0.83499999999983554</v>
          </cell>
          <cell r="K44">
            <v>-54.082999999999991</v>
          </cell>
          <cell r="L44">
            <v>-16.813557203567999</v>
          </cell>
          <cell r="M44">
            <v>16.141574779664396</v>
          </cell>
          <cell r="N44">
            <v>89.307363841396082</v>
          </cell>
          <cell r="O44">
            <v>118.54718109637048</v>
          </cell>
          <cell r="P44">
            <v>164.58253315662637</v>
          </cell>
          <cell r="Q44">
            <v>199.26922423241714</v>
          </cell>
          <cell r="R44">
            <v>227.84415766581517</v>
          </cell>
        </row>
        <row r="46">
          <cell r="A46" t="str">
            <v>Diluted Shares</v>
          </cell>
          <cell r="B46">
            <v>45.03576158940399</v>
          </cell>
          <cell r="C46">
            <v>45.097485493230039</v>
          </cell>
          <cell r="D46">
            <v>45.08</v>
          </cell>
          <cell r="E46">
            <v>44.963999999999999</v>
          </cell>
          <cell r="F46">
            <v>43.985999999999997</v>
          </cell>
          <cell r="G46">
            <v>43.985999999999997</v>
          </cell>
          <cell r="H46">
            <v>44.171999999999997</v>
          </cell>
          <cell r="I46">
            <v>45.05</v>
          </cell>
          <cell r="J46">
            <v>47.301000000000002</v>
          </cell>
          <cell r="K46">
            <v>47.366999999999997</v>
          </cell>
          <cell r="L46">
            <v>47.403964999999999</v>
          </cell>
          <cell r="M46">
            <v>47.403964999999999</v>
          </cell>
          <cell r="N46">
            <v>47.403964999999999</v>
          </cell>
          <cell r="O46">
            <v>47.403964999999999</v>
          </cell>
          <cell r="P46">
            <v>47.403964999999999</v>
          </cell>
          <cell r="Q46">
            <v>47.403964999999999</v>
          </cell>
          <cell r="R46">
            <v>47.403964999999999</v>
          </cell>
        </row>
        <row r="47">
          <cell r="A47" t="str">
            <v>EPS</v>
          </cell>
          <cell r="B47">
            <v>1.1574150000000001</v>
          </cell>
          <cell r="C47">
            <v>1.320935</v>
          </cell>
          <cell r="D47">
            <v>1.3385978260869547</v>
          </cell>
          <cell r="E47">
            <v>0.18356907748420545</v>
          </cell>
          <cell r="F47">
            <v>0.30973491565498179</v>
          </cell>
          <cell r="G47">
            <v>0.9208611831037169</v>
          </cell>
          <cell r="H47">
            <v>1.0955356334329454</v>
          </cell>
          <cell r="I47">
            <v>2.9415760266370734</v>
          </cell>
          <cell r="J47">
            <v>-1.7652903744103412E-2</v>
          </cell>
          <cell r="K47">
            <v>-1.1417864758164966</v>
          </cell>
          <cell r="L47">
            <v>0.67307540195070181</v>
          </cell>
          <cell r="M47">
            <v>1.47104941073314</v>
          </cell>
          <cell r="N47">
            <v>1.8839640068377421</v>
          </cell>
          <cell r="O47">
            <v>2.5007861915426375</v>
          </cell>
          <cell r="P47">
            <v>6.003348731622479</v>
          </cell>
          <cell r="Q47">
            <v>4.2036404387780042</v>
          </cell>
          <cell r="R47">
            <v>4.8064367119040607</v>
          </cell>
        </row>
        <row r="48">
          <cell r="A48" t="str">
            <v>EPS Pre exceptionals</v>
          </cell>
          <cell r="B48">
            <v>1.1574150000000001</v>
          </cell>
          <cell r="C48">
            <v>1.320935</v>
          </cell>
          <cell r="D48">
            <v>1.3385978260869547</v>
          </cell>
          <cell r="E48">
            <v>0.18356907748420545</v>
          </cell>
          <cell r="F48">
            <v>0.30973491565498179</v>
          </cell>
          <cell r="G48">
            <v>0.9208611831037169</v>
          </cell>
          <cell r="H48">
            <v>1.0955356334329454</v>
          </cell>
          <cell r="I48">
            <v>2.9415760266370734</v>
          </cell>
          <cell r="J48">
            <v>-1.7652903744103412E-2</v>
          </cell>
          <cell r="K48">
            <v>-1.1417864758164966</v>
          </cell>
          <cell r="L48">
            <v>-0.35468672722984246</v>
          </cell>
          <cell r="M48">
            <v>0.34051106863454134</v>
          </cell>
          <cell r="N48">
            <v>1.8839640068377421</v>
          </cell>
          <cell r="O48">
            <v>2.5007861915426375</v>
          </cell>
          <cell r="P48">
            <v>3.4719149159068525</v>
          </cell>
          <cell r="Q48">
            <v>4.2036404387780042</v>
          </cell>
          <cell r="R48">
            <v>4.8064367119040607</v>
          </cell>
        </row>
        <row r="50">
          <cell r="A50" t="str">
            <v>Notes:</v>
          </cell>
        </row>
        <row r="51">
          <cell r="A51" t="str">
            <v>E= Morgan Stanley Research Estimates</v>
          </cell>
        </row>
        <row r="52">
          <cell r="A52" t="str">
            <v>Source: Morgan Stanley Research</v>
          </cell>
        </row>
        <row r="55">
          <cell r="A55" t="str">
            <v>EBIT</v>
          </cell>
          <cell r="B55">
            <v>101.23421000000002</v>
          </cell>
          <cell r="C55">
            <v>102.40286699999983</v>
          </cell>
          <cell r="D55">
            <v>103.89498699999992</v>
          </cell>
          <cell r="E55">
            <v>-29.820000000000178</v>
          </cell>
          <cell r="F55">
            <v>-3.6129999999999725</v>
          </cell>
          <cell r="G55">
            <v>16.552000000000096</v>
          </cell>
          <cell r="H55">
            <v>74.936000000000064</v>
          </cell>
          <cell r="I55">
            <v>260.50100000000015</v>
          </cell>
          <cell r="J55">
            <v>15.800000000000164</v>
          </cell>
          <cell r="K55">
            <v>-16.957999999999995</v>
          </cell>
          <cell r="L55">
            <v>76.356535168145612</v>
          </cell>
          <cell r="M55">
            <v>103.13376334737862</v>
          </cell>
          <cell r="N55">
            <v>124.10273135166111</v>
          </cell>
          <cell r="O55">
            <v>164.75991500294703</v>
          </cell>
          <cell r="P55">
            <v>368.58684616003967</v>
          </cell>
          <cell r="Q55">
            <v>252.07950311545787</v>
          </cell>
          <cell r="R55">
            <v>277.19252401784183</v>
          </cell>
        </row>
        <row r="56">
          <cell r="A56" t="str">
            <v>Depreciation and Amortization</v>
          </cell>
          <cell r="B56">
            <v>48.22307</v>
          </cell>
          <cell r="C56">
            <v>61.494762000000001</v>
          </cell>
          <cell r="D56">
            <v>61.351681999999997</v>
          </cell>
          <cell r="E56">
            <v>62.734000000000002</v>
          </cell>
          <cell r="F56">
            <v>70.510000000000005</v>
          </cell>
          <cell r="G56">
            <v>61.091999999999999</v>
          </cell>
          <cell r="H56">
            <v>58.472999999999999</v>
          </cell>
          <cell r="I56">
            <v>54.774000000000001</v>
          </cell>
          <cell r="J56">
            <v>52.872</v>
          </cell>
          <cell r="K56">
            <v>49.807000000000002</v>
          </cell>
          <cell r="L56">
            <v>57.713604713470154</v>
          </cell>
          <cell r="M56">
            <v>59.699830566160529</v>
          </cell>
          <cell r="N56">
            <v>61.834625403701935</v>
          </cell>
          <cell r="O56">
            <v>64.127567564443027</v>
          </cell>
          <cell r="P56">
            <v>66.58890968368695</v>
          </cell>
          <cell r="Q56">
            <v>63.375434823752158</v>
          </cell>
          <cell r="R56">
            <v>48.506931344872868</v>
          </cell>
        </row>
        <row r="57">
          <cell r="A57" t="str">
            <v>EBITDA</v>
          </cell>
          <cell r="B57">
            <v>149.45728000000003</v>
          </cell>
          <cell r="C57">
            <v>163.89762899999982</v>
          </cell>
          <cell r="D57">
            <v>165.24666899999991</v>
          </cell>
          <cell r="E57">
            <v>32.913999999999824</v>
          </cell>
          <cell r="F57">
            <v>66.897000000000034</v>
          </cell>
          <cell r="G57">
            <v>77.644000000000091</v>
          </cell>
          <cell r="H57">
            <v>133.40900000000005</v>
          </cell>
          <cell r="I57">
            <v>315.27500000000015</v>
          </cell>
          <cell r="J57">
            <v>68.672000000000168</v>
          </cell>
          <cell r="K57">
            <v>32.849000000000004</v>
          </cell>
          <cell r="L57">
            <v>134.07013988161577</v>
          </cell>
          <cell r="M57">
            <v>162.83359391353915</v>
          </cell>
          <cell r="N57">
            <v>185.93735675536306</v>
          </cell>
          <cell r="O57">
            <v>228.88748256739007</v>
          </cell>
          <cell r="P57">
            <v>435.17575584372662</v>
          </cell>
          <cell r="Q57">
            <v>315.45493793921003</v>
          </cell>
          <cell r="R57">
            <v>325.69945536271473</v>
          </cell>
        </row>
        <row r="59">
          <cell r="A59" t="str">
            <v>CEPS</v>
          </cell>
          <cell r="B59">
            <v>1.1621855084130812</v>
          </cell>
          <cell r="C59">
            <v>1.3267320812813932</v>
          </cell>
          <cell r="D59">
            <v>1.3436243659131164</v>
          </cell>
          <cell r="E59">
            <v>0.19573525036295905</v>
          </cell>
          <cell r="F59">
            <v>0.31367458539822302</v>
          </cell>
          <cell r="G59">
            <v>2.309757650161417</v>
          </cell>
          <cell r="H59">
            <v>2.419292764647289</v>
          </cell>
          <cell r="I59">
            <v>4.157425083240847</v>
          </cell>
          <cell r="J59">
            <v>1.1001247330923272</v>
          </cell>
          <cell r="K59">
            <v>-9.0273819325690674E-2</v>
          </cell>
          <cell r="L59">
            <v>1.8905601569383945</v>
          </cell>
          <cell r="M59">
            <v>2.7304341597970745</v>
          </cell>
          <cell r="N59">
            <v>3.1883828545797388</v>
          </cell>
          <cell r="O59">
            <v>3.8535753003111344</v>
          </cell>
          <cell r="P59">
            <v>7.4080605459968032</v>
          </cell>
          <cell r="Q59">
            <v>5.5405630954324039</v>
          </cell>
          <cell r="R59">
            <v>5.8297040977624563</v>
          </cell>
        </row>
        <row r="60">
          <cell r="A60" t="str">
            <v>EPS (Pre Goodwill)</v>
          </cell>
          <cell r="B60">
            <v>1.1574150000000001</v>
          </cell>
          <cell r="C60">
            <v>1.320935</v>
          </cell>
          <cell r="D60">
            <v>1.3385978260869549</v>
          </cell>
          <cell r="E60">
            <v>0.18356907748420559</v>
          </cell>
          <cell r="F60">
            <v>0.30973491565498179</v>
          </cell>
          <cell r="G60">
            <v>0.9208611831037169</v>
          </cell>
          <cell r="H60">
            <v>1.088708407388244</v>
          </cell>
          <cell r="I60">
            <v>2.8702187567684674</v>
          </cell>
          <cell r="J60">
            <v>-1.7652903744103412E-2</v>
          </cell>
          <cell r="K60">
            <v>-1.1417864758164966</v>
          </cell>
          <cell r="L60">
            <v>0.67307540195070181</v>
          </cell>
          <cell r="M60">
            <v>1.47104941073314</v>
          </cell>
          <cell r="N60">
            <v>1.8839640068377421</v>
          </cell>
          <cell r="O60">
            <v>2.5007861915426375</v>
          </cell>
          <cell r="P60">
            <v>6.003348731622479</v>
          </cell>
          <cell r="Q60">
            <v>4.2036404387780042</v>
          </cell>
          <cell r="R60">
            <v>4.8064367119040607</v>
          </cell>
        </row>
        <row r="62">
          <cell r="A62" t="str">
            <v>Dividends</v>
          </cell>
          <cell r="B62">
            <v>14.381584</v>
          </cell>
          <cell r="C62">
            <v>17.276910000000001</v>
          </cell>
          <cell r="D62">
            <v>23.028214999999999</v>
          </cell>
          <cell r="E62">
            <v>28.786162999999998</v>
          </cell>
          <cell r="F62">
            <v>12.316080000000001</v>
          </cell>
          <cell r="G62">
            <v>26.391599999999997</v>
          </cell>
          <cell r="H62">
            <v>26.6694</v>
          </cell>
          <cell r="I62">
            <v>27.702000000000002</v>
          </cell>
          <cell r="J62">
            <v>9.4602000000000022</v>
          </cell>
          <cell r="K62">
            <v>9.4733999999999998</v>
          </cell>
          <cell r="L62">
            <v>9.4807930000000002</v>
          </cell>
          <cell r="M62">
            <v>9.4807930000000002</v>
          </cell>
          <cell r="N62">
            <v>9.4807930000000002</v>
          </cell>
          <cell r="O62">
            <v>9.4807930000000002</v>
          </cell>
          <cell r="P62">
            <v>9.4807930000000002</v>
          </cell>
          <cell r="Q62">
            <v>9.4807930000000002</v>
          </cell>
          <cell r="R62">
            <v>9.4807930000000002</v>
          </cell>
        </row>
        <row r="63">
          <cell r="A63" t="str">
            <v>DPS</v>
          </cell>
          <cell r="B63">
            <v>0.31933697782483372</v>
          </cell>
          <cell r="C63">
            <v>0.38310140379320223</v>
          </cell>
          <cell r="D63">
            <v>0.51082996894409938</v>
          </cell>
          <cell r="E63">
            <v>0.64020467485099186</v>
          </cell>
          <cell r="F63">
            <v>0.28000000000000003</v>
          </cell>
          <cell r="G63">
            <v>0.6</v>
          </cell>
          <cell r="H63">
            <v>0.6037625645205108</v>
          </cell>
          <cell r="I63">
            <v>0.6</v>
          </cell>
          <cell r="J63">
            <v>0.2</v>
          </cell>
          <cell r="K63">
            <v>0.2</v>
          </cell>
          <cell r="L63">
            <v>0.2</v>
          </cell>
          <cell r="M63">
            <v>0.2</v>
          </cell>
          <cell r="N63">
            <v>0.2</v>
          </cell>
          <cell r="O63">
            <v>0.2</v>
          </cell>
          <cell r="P63">
            <v>0.2</v>
          </cell>
          <cell r="Q63">
            <v>0.2</v>
          </cell>
          <cell r="R63">
            <v>0.2</v>
          </cell>
        </row>
        <row r="64">
          <cell r="A64" t="str">
            <v>Payout ratio</v>
          </cell>
          <cell r="B64">
            <v>0.2759053389016331</v>
          </cell>
          <cell r="C64">
            <v>0.29002290331712177</v>
          </cell>
          <cell r="D64">
            <v>0.38161571682615009</v>
          </cell>
          <cell r="E64">
            <v>3.4875409498425793</v>
          </cell>
          <cell r="F64">
            <v>0.90399882560187717</v>
          </cell>
          <cell r="G64">
            <v>0.65156400444389428</v>
          </cell>
          <cell r="H64">
            <v>0.55111175400892642</v>
          </cell>
          <cell r="I64">
            <v>0.20397229055675431</v>
          </cell>
          <cell r="J64">
            <v>-11.329580838325587</v>
          </cell>
          <cell r="K64">
            <v>-0.17516409962465102</v>
          </cell>
          <cell r="L64">
            <v>0.29714352867503641</v>
          </cell>
          <cell r="M64">
            <v>0.13595736386606092</v>
          </cell>
          <cell r="N64">
            <v>0.10615914065985931</v>
          </cell>
          <cell r="O64">
            <v>7.9974849779791773E-2</v>
          </cell>
          <cell r="P64">
            <v>3.3314739646308628E-2</v>
          </cell>
          <cell r="Q64">
            <v>4.7577808547807167E-2</v>
          </cell>
          <cell r="R64">
            <v>4.1610867257372126E-2</v>
          </cell>
        </row>
        <row r="67">
          <cell r="A67" t="str">
            <v>Expenses Summary (as % sales)</v>
          </cell>
        </row>
        <row r="69">
          <cell r="A69" t="str">
            <v>Cost of goods sold</v>
          </cell>
          <cell r="B69">
            <v>0.31730075002405261</v>
          </cell>
          <cell r="C69">
            <v>0.29211375308962173</v>
          </cell>
          <cell r="D69">
            <v>0.32759291858836803</v>
          </cell>
          <cell r="E69">
            <v>0.41623186845412069</v>
          </cell>
          <cell r="F69">
            <v>0.41376298574284964</v>
          </cell>
          <cell r="G69">
            <v>0.3929907467227976</v>
          </cell>
          <cell r="H69">
            <v>0.33736744110742328</v>
          </cell>
          <cell r="I69">
            <v>0.2575208233223884</v>
          </cell>
          <cell r="J69">
            <v>0.34535365347378688</v>
          </cell>
          <cell r="K69">
            <v>0.32096404905448567</v>
          </cell>
          <cell r="L69">
            <v>0.31753880118166505</v>
          </cell>
          <cell r="M69">
            <v>0.3108922263061214</v>
          </cell>
          <cell r="N69">
            <v>0.29673867493472378</v>
          </cell>
          <cell r="O69">
            <v>0.28478664368125023</v>
          </cell>
          <cell r="P69">
            <v>0.27202248202341039</v>
          </cell>
          <cell r="Q69">
            <v>0.25760414791134689</v>
          </cell>
          <cell r="R69">
            <v>0.24452477767189315</v>
          </cell>
        </row>
        <row r="70">
          <cell r="A70" t="str">
            <v>Selling and marketing expenses</v>
          </cell>
          <cell r="B70">
            <v>0.38312132151477246</v>
          </cell>
          <cell r="C70">
            <v>0.40502277183758328</v>
          </cell>
          <cell r="D70">
            <v>0.39173305271305858</v>
          </cell>
          <cell r="E70">
            <v>0.41539886921770336</v>
          </cell>
          <cell r="F70">
            <v>0.40887703207858817</v>
          </cell>
          <cell r="G70">
            <v>0.40795047204218154</v>
          </cell>
          <cell r="H70">
            <v>0.39283408784744489</v>
          </cell>
          <cell r="I70">
            <v>0.34608184703521205</v>
          </cell>
          <cell r="J70">
            <v>0.36767665243749775</v>
          </cell>
          <cell r="K70">
            <v>0.41017614065408675</v>
          </cell>
          <cell r="L70">
            <v>0.46</v>
          </cell>
          <cell r="M70">
            <v>0.47</v>
          </cell>
          <cell r="N70">
            <v>0.46</v>
          </cell>
          <cell r="O70">
            <v>0.45</v>
          </cell>
          <cell r="P70">
            <v>0.44000000000000006</v>
          </cell>
          <cell r="Q70">
            <v>0.43000000000000005</v>
          </cell>
          <cell r="R70">
            <v>0.43</v>
          </cell>
        </row>
        <row r="71">
          <cell r="A71" t="str">
            <v>General and Administrative Expenses</v>
          </cell>
          <cell r="B71">
            <v>0.38312132151477246</v>
          </cell>
          <cell r="C71">
            <v>0.40502277183758328</v>
          </cell>
          <cell r="D71">
            <v>0.39173305271305858</v>
          </cell>
          <cell r="E71">
            <v>0.41539886921770336</v>
          </cell>
          <cell r="F71">
            <v>0.40887703207858817</v>
          </cell>
          <cell r="G71">
            <v>0.40795047204218154</v>
          </cell>
          <cell r="H71">
            <v>0.39283408784744489</v>
          </cell>
          <cell r="I71">
            <v>0.34608184703521205</v>
          </cell>
          <cell r="J71">
            <v>0.36767665243749775</v>
          </cell>
          <cell r="K71">
            <v>0.41017614065408675</v>
          </cell>
          <cell r="L71">
            <v>0.46</v>
          </cell>
          <cell r="M71">
            <v>0.47</v>
          </cell>
          <cell r="N71">
            <v>0.46</v>
          </cell>
          <cell r="O71">
            <v>0.45</v>
          </cell>
          <cell r="P71">
            <v>0.44000000000000006</v>
          </cell>
          <cell r="Q71">
            <v>0.43000000000000005</v>
          </cell>
          <cell r="R71">
            <v>0.43</v>
          </cell>
        </row>
        <row r="72">
          <cell r="A72" t="str">
            <v>R&amp;D</v>
          </cell>
          <cell r="B72">
            <v>8.0422824491025238E-2</v>
          </cell>
          <cell r="C72">
            <v>8.4135947280936513E-2</v>
          </cell>
          <cell r="D72">
            <v>8.6882527262594725E-2</v>
          </cell>
          <cell r="E72">
            <v>0.10917389992392509</v>
          </cell>
          <cell r="F72">
            <v>0.12426377901417021</v>
          </cell>
          <cell r="G72">
            <v>0.13934883187795677</v>
          </cell>
          <cell r="H72">
            <v>0.12893784754871129</v>
          </cell>
          <cell r="I72">
            <v>9.6255444338923427E-2</v>
          </cell>
          <cell r="J72">
            <v>0.20949836633930066</v>
          </cell>
          <cell r="K72">
            <v>0.26139543617223177</v>
          </cell>
          <cell r="L72">
            <v>0.2</v>
          </cell>
          <cell r="M72">
            <v>0.18</v>
          </cell>
          <cell r="N72">
            <v>0.16500000000000001</v>
          </cell>
          <cell r="O72">
            <v>0.16500000000000001</v>
          </cell>
          <cell r="P72">
            <v>0.16500000000000001</v>
          </cell>
          <cell r="Q72">
            <v>0.16500000000000001</v>
          </cell>
          <cell r="R72">
            <v>0.16500000000000001</v>
          </cell>
        </row>
      </sheetData>
      <sheetData sheetId="14" refreshError="1"/>
      <sheetData sheetId="15" refreshError="1">
        <row r="1">
          <cell r="N1" t="str">
            <v>Return to contents</v>
          </cell>
          <cell r="W1" t="str">
            <v>ElementName</v>
          </cell>
          <cell r="X1" t="str">
            <v>ScaleOverride</v>
          </cell>
          <cell r="Y1" t="str">
            <v>UnitOverride</v>
          </cell>
          <cell r="Z1" t="str">
            <v>ReverseSign</v>
          </cell>
          <cell r="AA1" t="str">
            <v>IsDrivingAssumption</v>
          </cell>
          <cell r="AB1" t="str">
            <v>SegmentID</v>
          </cell>
        </row>
        <row r="2">
          <cell r="A2" t="str">
            <v>Schwarz Pharma</v>
          </cell>
        </row>
        <row r="3">
          <cell r="A3" t="str">
            <v xml:space="preserve">  Annual Balance Sheet</v>
          </cell>
          <cell r="C3">
            <v>1</v>
          </cell>
          <cell r="D3" t="str">
            <v>DM</v>
          </cell>
          <cell r="E3" t="str">
            <v>=</v>
          </cell>
          <cell r="F3">
            <v>0.51100000000000001</v>
          </cell>
          <cell r="G3" t="str">
            <v>Euro</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Goodwill</v>
          </cell>
          <cell r="B7">
            <v>0</v>
          </cell>
          <cell r="C7">
            <v>0</v>
          </cell>
          <cell r="D7">
            <v>131.410293</v>
          </cell>
          <cell r="E7">
            <v>82.436000000000007</v>
          </cell>
          <cell r="F7">
            <v>26.564</v>
          </cell>
          <cell r="G7">
            <v>45.414999999999999</v>
          </cell>
          <cell r="H7">
            <v>43.93</v>
          </cell>
          <cell r="I7">
            <v>42.499000000000002</v>
          </cell>
          <cell r="J7">
            <v>42.002000000000002</v>
          </cell>
          <cell r="K7">
            <v>42.966999999999999</v>
          </cell>
          <cell r="L7">
            <v>42.967000000000006</v>
          </cell>
          <cell r="M7">
            <v>42.967000000000006</v>
          </cell>
          <cell r="N7">
            <v>42.967000000000006</v>
          </cell>
          <cell r="O7">
            <v>42.967000000000006</v>
          </cell>
          <cell r="P7">
            <v>42.967000000000006</v>
          </cell>
          <cell r="Q7">
            <v>42.967000000000006</v>
          </cell>
          <cell r="R7">
            <v>42.967000000000006</v>
          </cell>
          <cell r="S7" t="str">
            <v>Linked to Schedule Below</v>
          </cell>
          <cell r="W7" t="str">
            <v>mstag:goodwill</v>
          </cell>
          <cell r="X7">
            <v>6</v>
          </cell>
          <cell r="Y7" t="str">
            <v>ISO4217:EUR</v>
          </cell>
          <cell r="Z7" t="b">
            <v>0</v>
          </cell>
          <cell r="AA7" t="b">
            <v>0</v>
          </cell>
        </row>
        <row r="8">
          <cell r="A8" t="str">
            <v>Other Intangible assets</v>
          </cell>
          <cell r="B8">
            <v>366.12485699999996</v>
          </cell>
          <cell r="C8">
            <v>359.52733599999999</v>
          </cell>
          <cell r="D8">
            <v>267.46864200000005</v>
          </cell>
          <cell r="E8">
            <v>256.74199999999996</v>
          </cell>
          <cell r="F8">
            <v>293.77599999999995</v>
          </cell>
          <cell r="G8">
            <v>303.32299999999998</v>
          </cell>
          <cell r="H8">
            <v>251.31</v>
          </cell>
          <cell r="I8">
            <v>171.49100000000001</v>
          </cell>
          <cell r="J8">
            <v>154.18699999999998</v>
          </cell>
          <cell r="K8">
            <v>138.56599999999997</v>
          </cell>
          <cell r="L8">
            <v>114.07946207093431</v>
          </cell>
          <cell r="M8">
            <v>89.772515812802794</v>
          </cell>
          <cell r="N8">
            <v>65.635366610433834</v>
          </cell>
          <cell r="O8">
            <v>41.658291685324286</v>
          </cell>
          <cell r="P8">
            <v>17.831636177793087</v>
          </cell>
          <cell r="Q8">
            <v>0</v>
          </cell>
          <cell r="R8">
            <v>0</v>
          </cell>
          <cell r="S8" t="str">
            <v>Linked to Schedule Below</v>
          </cell>
          <cell r="W8" t="str">
            <v>mstag:otherIntangibleAssets</v>
          </cell>
          <cell r="X8">
            <v>6</v>
          </cell>
          <cell r="Y8" t="str">
            <v>ISO4217:EUR</v>
          </cell>
          <cell r="Z8" t="b">
            <v>0</v>
          </cell>
          <cell r="AA8" t="b">
            <v>0</v>
          </cell>
        </row>
        <row r="9">
          <cell r="A9" t="str">
            <v>Property and Equipment</v>
          </cell>
          <cell r="B9">
            <v>128.273775</v>
          </cell>
          <cell r="C9">
            <v>135.74510600000002</v>
          </cell>
          <cell r="D9">
            <v>132.57946100000004</v>
          </cell>
          <cell r="E9">
            <v>164.86700000000002</v>
          </cell>
          <cell r="F9">
            <v>179.52599999999995</v>
          </cell>
          <cell r="G9">
            <v>193.03399999999999</v>
          </cell>
          <cell r="H9">
            <v>171.99700000000004</v>
          </cell>
          <cell r="I9">
            <v>161.041</v>
          </cell>
          <cell r="J9">
            <v>152.90099999999998</v>
          </cell>
          <cell r="K9">
            <v>164.30899999999997</v>
          </cell>
          <cell r="L9">
            <v>170.75722321559562</v>
          </cell>
          <cell r="M9">
            <v>177.4160392075666</v>
          </cell>
          <cell r="N9">
            <v>184.30500512723361</v>
          </cell>
          <cell r="O9">
            <v>191.44495081337016</v>
          </cell>
          <cell r="P9">
            <v>198.85806980658731</v>
          </cell>
          <cell r="Q9">
            <v>206.56801669619966</v>
          </cell>
          <cell r="R9">
            <v>214.60001124361753</v>
          </cell>
          <cell r="S9" t="str">
            <v>Linked to Schedule Below</v>
          </cell>
          <cell r="W9" t="str">
            <v>mstag:propertyPlantAndEquipmentNet</v>
          </cell>
          <cell r="X9">
            <v>6</v>
          </cell>
          <cell r="Y9" t="str">
            <v>ISO4217:EUR</v>
          </cell>
          <cell r="Z9" t="b">
            <v>0</v>
          </cell>
          <cell r="AA9" t="b">
            <v>0</v>
          </cell>
        </row>
        <row r="10">
          <cell r="A10" t="str">
            <v>Investments in Affiliated/Associated companies</v>
          </cell>
          <cell r="B10">
            <v>8.047739</v>
          </cell>
          <cell r="C10">
            <v>19.884542999999997</v>
          </cell>
          <cell r="D10">
            <v>20.772661000000003</v>
          </cell>
          <cell r="E10">
            <v>36.521000000000001</v>
          </cell>
          <cell r="F10">
            <v>28.742000000000001</v>
          </cell>
          <cell r="G10">
            <v>26.725999999999999</v>
          </cell>
          <cell r="H10">
            <v>27.745999999999999</v>
          </cell>
          <cell r="I10">
            <v>22.805</v>
          </cell>
          <cell r="J10">
            <v>1.9169999999999998</v>
          </cell>
          <cell r="K10">
            <v>1.2949999999999999</v>
          </cell>
          <cell r="L10">
            <v>1.2949999999999999</v>
          </cell>
          <cell r="M10">
            <v>1.2949999999999999</v>
          </cell>
          <cell r="N10">
            <v>1.2949999999999999</v>
          </cell>
          <cell r="O10">
            <v>1.2949999999999999</v>
          </cell>
          <cell r="P10">
            <v>1.2949999999999999</v>
          </cell>
          <cell r="Q10">
            <v>1.2949999999999999</v>
          </cell>
          <cell r="R10">
            <v>1.2949999999999999</v>
          </cell>
          <cell r="S10" t="str">
            <v>Linked to P&amp;L</v>
          </cell>
          <cell r="W10" t="str">
            <v>mstag:investmentsUnderTheEquityMethodOperating</v>
          </cell>
          <cell r="X10">
            <v>6</v>
          </cell>
          <cell r="Y10" t="str">
            <v>ISO4217:EUR</v>
          </cell>
          <cell r="Z10" t="b">
            <v>0</v>
          </cell>
          <cell r="AA10" t="b">
            <v>0</v>
          </cell>
        </row>
        <row r="11">
          <cell r="A11" t="str">
            <v>Other investments</v>
          </cell>
          <cell r="B11">
            <v>0</v>
          </cell>
          <cell r="C11">
            <v>0</v>
          </cell>
          <cell r="D11">
            <v>0</v>
          </cell>
          <cell r="E11">
            <v>17.347000000000001</v>
          </cell>
          <cell r="F11">
            <v>25.865999999999996</v>
          </cell>
          <cell r="G11">
            <v>21.192</v>
          </cell>
          <cell r="H11">
            <v>42.172000000000011</v>
          </cell>
          <cell r="I11">
            <v>16.87</v>
          </cell>
          <cell r="J11">
            <v>0</v>
          </cell>
          <cell r="K11">
            <v>0</v>
          </cell>
          <cell r="L11">
            <v>0</v>
          </cell>
          <cell r="M11">
            <v>0</v>
          </cell>
          <cell r="N11">
            <v>0</v>
          </cell>
          <cell r="O11">
            <v>0</v>
          </cell>
          <cell r="P11">
            <v>0</v>
          </cell>
          <cell r="Q11">
            <v>0</v>
          </cell>
          <cell r="R11">
            <v>0</v>
          </cell>
          <cell r="W11" t="str">
            <v>mstag:longTermInvestmentsNonOperating</v>
          </cell>
          <cell r="X11">
            <v>6</v>
          </cell>
          <cell r="Y11" t="str">
            <v>ISO4217:EUR</v>
          </cell>
          <cell r="Z11" t="b">
            <v>0</v>
          </cell>
          <cell r="AA11" t="b">
            <v>0</v>
          </cell>
        </row>
        <row r="12">
          <cell r="A12" t="str">
            <v>Long-term securities</v>
          </cell>
          <cell r="B12">
            <v>0</v>
          </cell>
          <cell r="C12">
            <v>0</v>
          </cell>
          <cell r="D12">
            <v>0</v>
          </cell>
          <cell r="E12">
            <v>0</v>
          </cell>
          <cell r="F12">
            <v>0</v>
          </cell>
          <cell r="G12">
            <v>0</v>
          </cell>
          <cell r="H12">
            <v>0</v>
          </cell>
          <cell r="I12">
            <v>0</v>
          </cell>
          <cell r="J12">
            <v>16.157</v>
          </cell>
          <cell r="K12">
            <v>9.0380000000000003</v>
          </cell>
          <cell r="L12">
            <v>9.0380000000000003</v>
          </cell>
          <cell r="M12">
            <v>9.0380000000000003</v>
          </cell>
          <cell r="N12">
            <v>9.0380000000000003</v>
          </cell>
          <cell r="O12">
            <v>9.0380000000000003</v>
          </cell>
          <cell r="P12">
            <v>9.0380000000000003</v>
          </cell>
          <cell r="Q12">
            <v>9.0380000000000003</v>
          </cell>
          <cell r="R12">
            <v>9.0380000000000003</v>
          </cell>
          <cell r="S12" t="str">
            <v>Flat</v>
          </cell>
          <cell r="W12" t="str">
            <v>mstag:longTermInvestmentsNonOperating</v>
          </cell>
          <cell r="X12">
            <v>6</v>
          </cell>
          <cell r="Y12" t="str">
            <v>ISO4217:EUR</v>
          </cell>
          <cell r="Z12" t="b">
            <v>0</v>
          </cell>
          <cell r="AA12" t="b">
            <v>0</v>
          </cell>
        </row>
        <row r="13">
          <cell r="A13" t="str">
            <v>Deferred charges</v>
          </cell>
          <cell r="B13">
            <v>0</v>
          </cell>
          <cell r="C13">
            <v>0</v>
          </cell>
          <cell r="D13">
            <v>0</v>
          </cell>
          <cell r="E13">
            <v>0</v>
          </cell>
          <cell r="F13">
            <v>0</v>
          </cell>
          <cell r="G13">
            <v>0</v>
          </cell>
          <cell r="H13">
            <v>0</v>
          </cell>
          <cell r="I13">
            <v>0</v>
          </cell>
          <cell r="J13">
            <v>5.94</v>
          </cell>
          <cell r="K13">
            <v>7.32</v>
          </cell>
          <cell r="L13">
            <v>7.32</v>
          </cell>
          <cell r="M13">
            <v>7.32</v>
          </cell>
          <cell r="N13">
            <v>7.32</v>
          </cell>
          <cell r="O13">
            <v>7.32</v>
          </cell>
          <cell r="P13">
            <v>7.32</v>
          </cell>
          <cell r="Q13">
            <v>7.32</v>
          </cell>
          <cell r="R13">
            <v>7.32</v>
          </cell>
          <cell r="S13" t="str">
            <v>Flat</v>
          </cell>
          <cell r="W13" t="str">
            <v>mstag:otherReceivablesNonCurrent</v>
          </cell>
          <cell r="X13">
            <v>6</v>
          </cell>
          <cell r="Y13" t="str">
            <v>ISO4217:EUR</v>
          </cell>
          <cell r="Z13" t="b">
            <v>0</v>
          </cell>
          <cell r="AA13" t="b">
            <v>0</v>
          </cell>
        </row>
        <row r="14">
          <cell r="A14" t="str">
            <v>Other long-term receivables</v>
          </cell>
          <cell r="B14">
            <v>0</v>
          </cell>
          <cell r="C14">
            <v>0</v>
          </cell>
          <cell r="D14">
            <v>0</v>
          </cell>
          <cell r="E14">
            <v>0</v>
          </cell>
          <cell r="F14">
            <v>0</v>
          </cell>
          <cell r="G14">
            <v>0</v>
          </cell>
          <cell r="H14">
            <v>0</v>
          </cell>
          <cell r="I14">
            <v>0</v>
          </cell>
          <cell r="J14">
            <v>3.61</v>
          </cell>
          <cell r="K14">
            <v>2.88</v>
          </cell>
          <cell r="L14">
            <v>2.88</v>
          </cell>
          <cell r="M14">
            <v>2.88</v>
          </cell>
          <cell r="N14">
            <v>2.88</v>
          </cell>
          <cell r="O14">
            <v>2.88</v>
          </cell>
          <cell r="P14">
            <v>2.88</v>
          </cell>
          <cell r="Q14">
            <v>2.88</v>
          </cell>
          <cell r="R14">
            <v>2.88</v>
          </cell>
          <cell r="S14" t="str">
            <v>Flat</v>
          </cell>
          <cell r="W14" t="str">
            <v>mstag:otherReceivablesNonCurrent</v>
          </cell>
          <cell r="X14">
            <v>6</v>
          </cell>
          <cell r="Y14" t="str">
            <v>ISO4217:EUR</v>
          </cell>
          <cell r="Z14" t="b">
            <v>0</v>
          </cell>
          <cell r="AA14" t="b">
            <v>0</v>
          </cell>
        </row>
        <row r="15">
          <cell r="A15" t="str">
            <v>Deferred Tax Assets</v>
          </cell>
          <cell r="B15">
            <v>0</v>
          </cell>
          <cell r="C15">
            <v>0</v>
          </cell>
          <cell r="D15">
            <v>0</v>
          </cell>
          <cell r="E15">
            <v>12.188000000000001</v>
          </cell>
          <cell r="F15">
            <v>19.056999999999999</v>
          </cell>
          <cell r="G15">
            <v>24.003</v>
          </cell>
          <cell r="H15">
            <v>37.363</v>
          </cell>
          <cell r="I15">
            <v>60.957000000000001</v>
          </cell>
          <cell r="J15">
            <v>82.986000000000004</v>
          </cell>
          <cell r="K15">
            <v>92.822000000000003</v>
          </cell>
          <cell r="L15">
            <v>92.822000000000003</v>
          </cell>
          <cell r="M15">
            <v>92.822000000000003</v>
          </cell>
          <cell r="N15">
            <v>92.822000000000003</v>
          </cell>
          <cell r="O15">
            <v>92.822000000000003</v>
          </cell>
          <cell r="P15">
            <v>92.822000000000003</v>
          </cell>
          <cell r="Q15">
            <v>92.822000000000003</v>
          </cell>
          <cell r="R15">
            <v>92.822000000000003</v>
          </cell>
          <cell r="S15" t="str">
            <v>Linked to CAPEX Growth</v>
          </cell>
          <cell r="W15" t="str">
            <v>mstag:deferredTaxAssetsNonCurrent</v>
          </cell>
          <cell r="X15">
            <v>6</v>
          </cell>
          <cell r="Y15" t="str">
            <v>ISO4217:EUR</v>
          </cell>
          <cell r="Z15" t="b">
            <v>0</v>
          </cell>
          <cell r="AA15" t="b">
            <v>0</v>
          </cell>
        </row>
        <row r="16">
          <cell r="A16" t="str">
            <v>Total non current assets</v>
          </cell>
          <cell r="B16">
            <v>502.44637099999994</v>
          </cell>
          <cell r="C16">
            <v>515.15698499999996</v>
          </cell>
          <cell r="D16">
            <v>552.23105700000008</v>
          </cell>
          <cell r="E16">
            <v>570.101</v>
          </cell>
          <cell r="F16">
            <v>573.53099999999995</v>
          </cell>
          <cell r="G16">
            <v>613.69299999999998</v>
          </cell>
          <cell r="H16">
            <v>574.51800000000003</v>
          </cell>
          <cell r="I16">
            <v>475.66300000000001</v>
          </cell>
          <cell r="J16">
            <v>459.69999999999993</v>
          </cell>
          <cell r="K16">
            <v>459.19699999999995</v>
          </cell>
          <cell r="L16">
            <v>441.15868528652993</v>
          </cell>
          <cell r="M16">
            <v>423.51055502036945</v>
          </cell>
          <cell r="N16">
            <v>406.26237173766748</v>
          </cell>
          <cell r="O16">
            <v>389.4252424986945</v>
          </cell>
          <cell r="P16">
            <v>373.0117059843804</v>
          </cell>
          <cell r="Q16">
            <v>362.89001669619967</v>
          </cell>
          <cell r="R16">
            <v>370.92201124361753</v>
          </cell>
        </row>
        <row r="18">
          <cell r="A18" t="str">
            <v>Inventories</v>
          </cell>
          <cell r="B18">
            <v>75.989277000000001</v>
          </cell>
          <cell r="C18">
            <v>86.322208000000003</v>
          </cell>
          <cell r="D18">
            <v>93.314731999999992</v>
          </cell>
          <cell r="E18">
            <v>125.167</v>
          </cell>
          <cell r="F18">
            <v>80.608999999999995</v>
          </cell>
          <cell r="G18">
            <v>87.266999999999996</v>
          </cell>
          <cell r="H18">
            <v>94.063000000000002</v>
          </cell>
          <cell r="I18">
            <v>115.83</v>
          </cell>
          <cell r="J18">
            <v>83.697999999999993</v>
          </cell>
          <cell r="K18">
            <v>87.27</v>
          </cell>
          <cell r="L18">
            <v>82.316920109895619</v>
          </cell>
          <cell r="M18">
            <v>80.016221729569921</v>
          </cell>
          <cell r="N18">
            <v>87.903297484484654</v>
          </cell>
          <cell r="O18">
            <v>91.22618040322007</v>
          </cell>
          <cell r="P18">
            <v>92.923612424390186</v>
          </cell>
          <cell r="Q18">
            <v>91.149981661167232</v>
          </cell>
          <cell r="R18">
            <v>88.855797277534123</v>
          </cell>
          <cell r="S18" t="str">
            <v>Linked to Schedule Below</v>
          </cell>
          <cell r="W18" t="str">
            <v>mstag:inventories</v>
          </cell>
          <cell r="X18">
            <v>6</v>
          </cell>
          <cell r="Y18" t="str">
            <v>ISO4217:EUR</v>
          </cell>
          <cell r="Z18" t="b">
            <v>0</v>
          </cell>
          <cell r="AA18" t="b">
            <v>0</v>
          </cell>
        </row>
        <row r="19">
          <cell r="A19" t="str">
            <v>Trade Receivables</v>
          </cell>
          <cell r="B19">
            <v>72.037203000000005</v>
          </cell>
          <cell r="C19">
            <v>76.260107000000005</v>
          </cell>
          <cell r="D19">
            <v>115.52994600000001</v>
          </cell>
          <cell r="E19">
            <v>103.136</v>
          </cell>
          <cell r="F19">
            <v>108.688</v>
          </cell>
          <cell r="G19">
            <v>125.694</v>
          </cell>
          <cell r="H19">
            <v>147.99799999999999</v>
          </cell>
          <cell r="I19">
            <v>162.321</v>
          </cell>
          <cell r="J19">
            <v>142.88200000000001</v>
          </cell>
          <cell r="K19">
            <v>161.37700000000001</v>
          </cell>
          <cell r="L19">
            <v>153.85987097353856</v>
          </cell>
          <cell r="M19">
            <v>153.85987097353856</v>
          </cell>
          <cell r="N19">
            <v>152.75703832086921</v>
          </cell>
          <cell r="O19">
            <v>175.81829561893227</v>
          </cell>
          <cell r="P19">
            <v>190.12224157808785</v>
          </cell>
          <cell r="Q19">
            <v>202.74695371211178</v>
          </cell>
          <cell r="R19">
            <v>210.00845782023572</v>
          </cell>
          <cell r="S19" t="str">
            <v>Linked to Schedule Below</v>
          </cell>
          <cell r="W19" t="str">
            <v>mstag:tradeReceivables</v>
          </cell>
          <cell r="X19">
            <v>6</v>
          </cell>
          <cell r="Y19" t="str">
            <v>ISO4217:EUR</v>
          </cell>
          <cell r="Z19" t="b">
            <v>0</v>
          </cell>
          <cell r="AA19" t="b">
            <v>0</v>
          </cell>
        </row>
        <row r="20">
          <cell r="A20" t="str">
            <v>Other Receivables</v>
          </cell>
          <cell r="B20">
            <v>0</v>
          </cell>
          <cell r="C20">
            <v>0</v>
          </cell>
          <cell r="D20">
            <v>0</v>
          </cell>
          <cell r="E20">
            <v>0</v>
          </cell>
          <cell r="F20">
            <v>0</v>
          </cell>
          <cell r="G20">
            <v>0</v>
          </cell>
          <cell r="H20">
            <v>0</v>
          </cell>
          <cell r="I20">
            <v>0</v>
          </cell>
          <cell r="J20">
            <v>25.591000000000001</v>
          </cell>
          <cell r="K20">
            <v>17.077000000000002</v>
          </cell>
          <cell r="L20">
            <v>16.281533406960829</v>
          </cell>
          <cell r="M20">
            <v>16.16483106889757</v>
          </cell>
          <cell r="N20">
            <v>18.605185585830107</v>
          </cell>
          <cell r="O20">
            <v>20.118836757586305</v>
          </cell>
          <cell r="P20">
            <v>21.454790512537297</v>
          </cell>
          <cell r="Q20">
            <v>22.22320674071376</v>
          </cell>
          <cell r="R20">
            <v>22.822640423949974</v>
          </cell>
          <cell r="S20" t="str">
            <v>Linked to Schedule Below</v>
          </cell>
          <cell r="W20" t="str">
            <v>mstag:otherReceivablesCurrent</v>
          </cell>
          <cell r="X20">
            <v>6</v>
          </cell>
          <cell r="Y20" t="str">
            <v>ISO4217:EUR</v>
          </cell>
          <cell r="Z20" t="b">
            <v>0</v>
          </cell>
          <cell r="AA20" t="b">
            <v>0</v>
          </cell>
        </row>
        <row r="21">
          <cell r="A21" t="str">
            <v>Receivables from associated companies</v>
          </cell>
          <cell r="B21">
            <v>0</v>
          </cell>
          <cell r="C21">
            <v>0</v>
          </cell>
          <cell r="D21">
            <v>0</v>
          </cell>
          <cell r="E21">
            <v>0</v>
          </cell>
          <cell r="F21">
            <v>0</v>
          </cell>
          <cell r="G21">
            <v>0</v>
          </cell>
          <cell r="H21">
            <v>0</v>
          </cell>
          <cell r="I21">
            <v>0</v>
          </cell>
          <cell r="J21">
            <v>3.9689999999999999</v>
          </cell>
          <cell r="K21">
            <v>0.17799999999999999</v>
          </cell>
          <cell r="L21">
            <v>0.17799999999999999</v>
          </cell>
          <cell r="M21">
            <v>0.17799999999999999</v>
          </cell>
          <cell r="N21">
            <v>0.17799999999999999</v>
          </cell>
          <cell r="O21">
            <v>0.17799999999999999</v>
          </cell>
          <cell r="P21">
            <v>0.17799999999999999</v>
          </cell>
          <cell r="Q21">
            <v>0.17799999999999999</v>
          </cell>
          <cell r="R21">
            <v>0.17799999999999999</v>
          </cell>
          <cell r="S21" t="str">
            <v>Flat</v>
          </cell>
          <cell r="W21" t="str">
            <v>mstag:otherReceivablesCurrent</v>
          </cell>
          <cell r="X21">
            <v>6</v>
          </cell>
          <cell r="Y21" t="str">
            <v>ISO4217:EUR</v>
          </cell>
          <cell r="Z21" t="b">
            <v>0</v>
          </cell>
          <cell r="AA21" t="b">
            <v>0</v>
          </cell>
        </row>
        <row r="22">
          <cell r="A22" t="str">
            <v>Tax receivables</v>
          </cell>
          <cell r="B22">
            <v>0</v>
          </cell>
          <cell r="C22">
            <v>0</v>
          </cell>
          <cell r="D22">
            <v>0</v>
          </cell>
          <cell r="E22">
            <v>0</v>
          </cell>
          <cell r="F22">
            <v>0</v>
          </cell>
          <cell r="G22">
            <v>0</v>
          </cell>
          <cell r="H22">
            <v>0</v>
          </cell>
          <cell r="I22">
            <v>0</v>
          </cell>
          <cell r="J22">
            <v>36.683999999999997</v>
          </cell>
          <cell r="K22">
            <v>3.266</v>
          </cell>
          <cell r="L22">
            <v>3.266</v>
          </cell>
          <cell r="M22">
            <v>3.266</v>
          </cell>
          <cell r="N22">
            <v>3.266</v>
          </cell>
          <cell r="O22">
            <v>3.266</v>
          </cell>
          <cell r="P22">
            <v>3.266</v>
          </cell>
          <cell r="Q22">
            <v>3.266</v>
          </cell>
          <cell r="R22">
            <v>3.266</v>
          </cell>
          <cell r="S22" t="str">
            <v>Flat</v>
          </cell>
          <cell r="W22" t="str">
            <v>mstag:incomeTaxReceivableOperating</v>
          </cell>
          <cell r="X22">
            <v>6</v>
          </cell>
          <cell r="Y22" t="str">
            <v>ISO4217:EUR</v>
          </cell>
          <cell r="Z22" t="b">
            <v>0</v>
          </cell>
          <cell r="AA22" t="b">
            <v>0</v>
          </cell>
        </row>
        <row r="23">
          <cell r="A23" t="str">
            <v>Receivables from employees</v>
          </cell>
          <cell r="B23">
            <v>0</v>
          </cell>
          <cell r="C23">
            <v>0</v>
          </cell>
          <cell r="D23">
            <v>0</v>
          </cell>
          <cell r="E23">
            <v>0</v>
          </cell>
          <cell r="F23">
            <v>0</v>
          </cell>
          <cell r="G23">
            <v>0</v>
          </cell>
          <cell r="H23">
            <v>0</v>
          </cell>
          <cell r="I23">
            <v>0</v>
          </cell>
          <cell r="J23">
            <v>0.26400000000000001</v>
          </cell>
          <cell r="K23">
            <v>0.29199999999999998</v>
          </cell>
          <cell r="L23">
            <v>0.29199999999999998</v>
          </cell>
          <cell r="M23">
            <v>0.29199999999999998</v>
          </cell>
          <cell r="N23">
            <v>0.29199999999999998</v>
          </cell>
          <cell r="O23">
            <v>0.29199999999999998</v>
          </cell>
          <cell r="P23">
            <v>0.29199999999999998</v>
          </cell>
          <cell r="Q23">
            <v>0.29199999999999998</v>
          </cell>
          <cell r="R23">
            <v>0.29199999999999998</v>
          </cell>
          <cell r="S23" t="str">
            <v>Flat</v>
          </cell>
          <cell r="W23" t="str">
            <v>mstag:otherReceivablesCurrent</v>
          </cell>
          <cell r="X23">
            <v>6</v>
          </cell>
          <cell r="Y23" t="str">
            <v>ISO4217:EUR</v>
          </cell>
          <cell r="Z23" t="b">
            <v>0</v>
          </cell>
          <cell r="AA23" t="b">
            <v>0</v>
          </cell>
        </row>
        <row r="24">
          <cell r="A24" t="str">
            <v>Deferred Income Taxes</v>
          </cell>
          <cell r="B24">
            <v>9.7544789999999999</v>
          </cell>
          <cell r="C24">
            <v>15.062236</v>
          </cell>
          <cell r="D24">
            <v>19.54064</v>
          </cell>
          <cell r="E24">
            <v>25.334</v>
          </cell>
          <cell r="F24">
            <v>23.774999999999999</v>
          </cell>
          <cell r="G24">
            <v>25.870999999999999</v>
          </cell>
          <cell r="H24">
            <v>25.274000000000001</v>
          </cell>
          <cell r="I24">
            <v>59.985999999999997</v>
          </cell>
          <cell r="J24">
            <v>0</v>
          </cell>
          <cell r="K24">
            <v>0</v>
          </cell>
          <cell r="L24">
            <v>0</v>
          </cell>
          <cell r="M24">
            <v>0</v>
          </cell>
          <cell r="N24">
            <v>0</v>
          </cell>
          <cell r="O24">
            <v>0</v>
          </cell>
          <cell r="P24">
            <v>0</v>
          </cell>
          <cell r="Q24">
            <v>0</v>
          </cell>
          <cell r="R24">
            <v>0</v>
          </cell>
          <cell r="S24" t="str">
            <v>Flat</v>
          </cell>
          <cell r="W24" t="str">
            <v>mstag:deferredTaxAssetsCurrent</v>
          </cell>
          <cell r="X24">
            <v>6</v>
          </cell>
          <cell r="Y24" t="str">
            <v>ISO4217:EUR</v>
          </cell>
          <cell r="Z24" t="b">
            <v>0</v>
          </cell>
          <cell r="AA24" t="b">
            <v>0</v>
          </cell>
        </row>
        <row r="25">
          <cell r="A25" t="str">
            <v>Advance payments</v>
          </cell>
          <cell r="B25">
            <v>4.0374109999999996</v>
          </cell>
          <cell r="C25">
            <v>4.0087950000000001</v>
          </cell>
          <cell r="D25">
            <v>4.7359480000000005</v>
          </cell>
          <cell r="E25">
            <v>4.827</v>
          </cell>
          <cell r="F25">
            <v>6.3609999999999998</v>
          </cell>
          <cell r="G25">
            <v>8.1289999999999996</v>
          </cell>
          <cell r="H25">
            <v>9.7550000000000008</v>
          </cell>
          <cell r="I25">
            <v>7.2169999999999996</v>
          </cell>
          <cell r="J25">
            <v>6.6859999999999999</v>
          </cell>
          <cell r="K25">
            <v>6.3929999999999998</v>
          </cell>
          <cell r="L25">
            <v>6.3929999999999998</v>
          </cell>
          <cell r="M25">
            <v>6.3929999999999998</v>
          </cell>
          <cell r="N25">
            <v>6.3929999999999998</v>
          </cell>
          <cell r="O25">
            <v>6.3929999999999998</v>
          </cell>
          <cell r="P25">
            <v>6.3929999999999998</v>
          </cell>
          <cell r="Q25">
            <v>6.3929999999999998</v>
          </cell>
          <cell r="R25">
            <v>6.3929999999999998</v>
          </cell>
          <cell r="S25" t="str">
            <v>Flat</v>
          </cell>
          <cell r="W25" t="str">
            <v>mstag:prepaidExpenses</v>
          </cell>
          <cell r="X25">
            <v>6</v>
          </cell>
          <cell r="Y25" t="str">
            <v>ISO4217:EUR</v>
          </cell>
          <cell r="Z25" t="b">
            <v>0</v>
          </cell>
          <cell r="AA25" t="b">
            <v>0</v>
          </cell>
        </row>
        <row r="26">
          <cell r="A26" t="str">
            <v>Securities</v>
          </cell>
          <cell r="B26">
            <v>5.8652579999999999</v>
          </cell>
          <cell r="C26">
            <v>1.731268</v>
          </cell>
          <cell r="D26">
            <v>0.82168800000000008</v>
          </cell>
          <cell r="E26">
            <v>2.831</v>
          </cell>
          <cell r="F26">
            <v>0</v>
          </cell>
          <cell r="G26">
            <v>12.013</v>
          </cell>
          <cell r="H26">
            <v>3.7120000000000002</v>
          </cell>
          <cell r="I26">
            <v>4.87</v>
          </cell>
          <cell r="J26">
            <v>0</v>
          </cell>
          <cell r="K26">
            <v>0</v>
          </cell>
          <cell r="L26">
            <v>0</v>
          </cell>
          <cell r="M26">
            <v>0</v>
          </cell>
          <cell r="N26">
            <v>0</v>
          </cell>
          <cell r="O26">
            <v>0</v>
          </cell>
          <cell r="P26">
            <v>0</v>
          </cell>
          <cell r="Q26">
            <v>0</v>
          </cell>
          <cell r="R26">
            <v>0</v>
          </cell>
          <cell r="S26" t="str">
            <v>Linked to Schedule Below</v>
          </cell>
          <cell r="W26" t="str">
            <v>mstag:shortTermInvestments</v>
          </cell>
          <cell r="X26">
            <v>6</v>
          </cell>
          <cell r="Y26" t="str">
            <v>ISO4217:EUR</v>
          </cell>
          <cell r="Z26" t="b">
            <v>0</v>
          </cell>
          <cell r="AA26" t="b">
            <v>0</v>
          </cell>
        </row>
        <row r="27">
          <cell r="A27" t="str">
            <v>Cash</v>
          </cell>
          <cell r="B27">
            <v>18.779761000000001</v>
          </cell>
          <cell r="C27">
            <v>27.828037999999999</v>
          </cell>
          <cell r="D27">
            <v>26.517834000000001</v>
          </cell>
          <cell r="E27">
            <v>35.603000000000002</v>
          </cell>
          <cell r="F27">
            <v>23.992999999999999</v>
          </cell>
          <cell r="G27">
            <v>32.281999999999996</v>
          </cell>
          <cell r="H27">
            <v>161.32400000000001</v>
          </cell>
          <cell r="I27">
            <v>207.714</v>
          </cell>
          <cell r="J27">
            <v>184.42400000000001</v>
          </cell>
          <cell r="K27">
            <v>206.00899999999999</v>
          </cell>
          <cell r="L27">
            <v>272.05131606121063</v>
          </cell>
          <cell r="M27">
            <v>355.3521812913674</v>
          </cell>
          <cell r="N27">
            <v>483.64225340484387</v>
          </cell>
          <cell r="O27">
            <v>603.50744522715627</v>
          </cell>
          <cell r="P27">
            <v>895.37073172753958</v>
          </cell>
          <cell r="Q27">
            <v>1090.4314164320103</v>
          </cell>
          <cell r="R27">
            <v>1305.8233330598719</v>
          </cell>
          <cell r="S27" t="str">
            <v>Linked to Schedule Below</v>
          </cell>
          <cell r="W27" t="str">
            <v>mstag:cashAndCashEquivalents</v>
          </cell>
          <cell r="X27">
            <v>6</v>
          </cell>
          <cell r="Y27" t="str">
            <v>ISO4217:EUR</v>
          </cell>
          <cell r="Z27" t="b">
            <v>0</v>
          </cell>
          <cell r="AA27" t="b">
            <v>0</v>
          </cell>
        </row>
        <row r="28">
          <cell r="A28" t="str">
            <v>Total Current Assets</v>
          </cell>
          <cell r="B28">
            <v>186.46338900000001</v>
          </cell>
          <cell r="C28">
            <v>211.21265199999999</v>
          </cell>
          <cell r="D28">
            <v>260.46078799999998</v>
          </cell>
          <cell r="E28">
            <v>296.89800000000002</v>
          </cell>
          <cell r="F28">
            <v>243.42599999999999</v>
          </cell>
          <cell r="G28">
            <v>291.25599999999997</v>
          </cell>
          <cell r="H28">
            <v>442.12599999999998</v>
          </cell>
          <cell r="I28">
            <v>557.93799999999999</v>
          </cell>
          <cell r="J28">
            <v>484.19799999999998</v>
          </cell>
          <cell r="K28">
            <v>481.86199999999997</v>
          </cell>
          <cell r="L28">
            <v>534.63864055160559</v>
          </cell>
          <cell r="M28">
            <v>615.52210506337337</v>
          </cell>
          <cell r="N28">
            <v>753.03677479602788</v>
          </cell>
          <cell r="O28">
            <v>900.79975800689488</v>
          </cell>
          <cell r="P28">
            <v>1210.0003762425549</v>
          </cell>
          <cell r="Q28">
            <v>1416.6805585460031</v>
          </cell>
          <cell r="R28">
            <v>1637.6392285815916</v>
          </cell>
        </row>
        <row r="30">
          <cell r="A30" t="str">
            <v>Total Assets</v>
          </cell>
          <cell r="B30">
            <v>688.90976000000001</v>
          </cell>
          <cell r="C30">
            <v>726.36963700000001</v>
          </cell>
          <cell r="D30">
            <v>812.69184500000006</v>
          </cell>
          <cell r="E30">
            <v>866.99900000000002</v>
          </cell>
          <cell r="F30">
            <v>816.95699999999988</v>
          </cell>
          <cell r="G30">
            <v>904.94899999999996</v>
          </cell>
          <cell r="H30">
            <v>1016.644</v>
          </cell>
          <cell r="I30">
            <v>1033.6010000000001</v>
          </cell>
          <cell r="J30">
            <v>943.89799999999991</v>
          </cell>
          <cell r="K30">
            <v>941.05899999999997</v>
          </cell>
          <cell r="L30">
            <v>975.79732583813552</v>
          </cell>
          <cell r="M30">
            <v>1039.0326600837429</v>
          </cell>
          <cell r="N30">
            <v>1159.2991465336954</v>
          </cell>
          <cell r="O30">
            <v>1290.2250005055894</v>
          </cell>
          <cell r="P30">
            <v>1583.0120822269353</v>
          </cell>
          <cell r="Q30">
            <v>1779.5705752422027</v>
          </cell>
          <cell r="R30">
            <v>2008.5612398252092</v>
          </cell>
        </row>
        <row r="32">
          <cell r="A32" t="str">
            <v>Common stock</v>
          </cell>
          <cell r="B32">
            <v>57.589700000000001</v>
          </cell>
          <cell r="C32">
            <v>57.589700000000001</v>
          </cell>
          <cell r="D32">
            <v>57.589700000000001</v>
          </cell>
          <cell r="E32">
            <v>58.603999999999999</v>
          </cell>
          <cell r="F32">
            <v>58.603999999999999</v>
          </cell>
          <cell r="G32">
            <v>58.603999999999999</v>
          </cell>
          <cell r="H32">
            <v>58.783000000000001</v>
          </cell>
          <cell r="I32">
            <v>59.582999999999998</v>
          </cell>
          <cell r="J32">
            <v>60.234999999999999</v>
          </cell>
          <cell r="K32">
            <v>60.926000000000002</v>
          </cell>
          <cell r="L32">
            <v>60.926000000000002</v>
          </cell>
          <cell r="M32">
            <v>60.926000000000002</v>
          </cell>
          <cell r="N32">
            <v>60.926000000000002</v>
          </cell>
          <cell r="O32">
            <v>60.926000000000002</v>
          </cell>
          <cell r="P32">
            <v>60.926000000000002</v>
          </cell>
          <cell r="Q32">
            <v>60.926000000000002</v>
          </cell>
          <cell r="R32">
            <v>60.926000000000002</v>
          </cell>
          <cell r="S32" t="str">
            <v>Flat</v>
          </cell>
          <cell r="W32" t="str">
            <v>mstag:commonStock</v>
          </cell>
          <cell r="X32">
            <v>6</v>
          </cell>
          <cell r="Y32" t="str">
            <v>ISO4217:EUR</v>
          </cell>
          <cell r="Z32" t="b">
            <v>0</v>
          </cell>
          <cell r="AA32" t="b">
            <v>0</v>
          </cell>
        </row>
        <row r="33">
          <cell r="A33" t="str">
            <v>Share Premium</v>
          </cell>
          <cell r="B33">
            <v>141.24602100000001</v>
          </cell>
          <cell r="C33">
            <v>141.24602100000001</v>
          </cell>
          <cell r="D33">
            <v>141.24602100000001</v>
          </cell>
          <cell r="E33">
            <v>141.327</v>
          </cell>
          <cell r="F33">
            <v>141.327</v>
          </cell>
          <cell r="G33">
            <v>141.327</v>
          </cell>
          <cell r="H33">
            <v>144.03399999999999</v>
          </cell>
          <cell r="I33">
            <v>152.011</v>
          </cell>
          <cell r="J33">
            <v>163.42500000000001</v>
          </cell>
          <cell r="K33">
            <v>176.447</v>
          </cell>
          <cell r="L33">
            <v>176.447</v>
          </cell>
          <cell r="M33">
            <v>176.447</v>
          </cell>
          <cell r="N33">
            <v>176.447</v>
          </cell>
          <cell r="O33">
            <v>176.447</v>
          </cell>
          <cell r="P33">
            <v>176.447</v>
          </cell>
          <cell r="Q33">
            <v>176.447</v>
          </cell>
          <cell r="R33">
            <v>176.447</v>
          </cell>
          <cell r="S33" t="str">
            <v>Flat</v>
          </cell>
          <cell r="W33" t="str">
            <v>mstag:additionalPaidInCapital</v>
          </cell>
          <cell r="X33">
            <v>6</v>
          </cell>
          <cell r="Y33" t="str">
            <v>ISO4217:EUR</v>
          </cell>
          <cell r="Z33" t="b">
            <v>0</v>
          </cell>
          <cell r="AA33" t="b">
            <v>0</v>
          </cell>
        </row>
        <row r="34">
          <cell r="A34" t="str">
            <v>Capital Reserve</v>
          </cell>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t="str">
            <v>Flat</v>
          </cell>
          <cell r="W34" t="str">
            <v>mstag:otherAccumulatedOciAndReserves</v>
          </cell>
          <cell r="X34">
            <v>6</v>
          </cell>
          <cell r="Y34" t="str">
            <v>ISO4217:EUR</v>
          </cell>
          <cell r="Z34" t="b">
            <v>0</v>
          </cell>
          <cell r="AA34" t="b">
            <v>0</v>
          </cell>
        </row>
        <row r="35">
          <cell r="A35" t="str">
            <v xml:space="preserve">Accumulated Other Comprehensive Income </v>
          </cell>
          <cell r="B35">
            <v>8.835189999999999</v>
          </cell>
          <cell r="C35">
            <v>36.260048999999995</v>
          </cell>
          <cell r="D35">
            <v>16.661154999999997</v>
          </cell>
          <cell r="E35">
            <v>49.79</v>
          </cell>
          <cell r="F35">
            <v>67.840999999999994</v>
          </cell>
          <cell r="G35">
            <v>84.070999999999998</v>
          </cell>
          <cell r="H35">
            <v>36.499000000000002</v>
          </cell>
          <cell r="I35">
            <v>-31.506</v>
          </cell>
          <cell r="J35">
            <v>-61.829000000000001</v>
          </cell>
          <cell r="K35">
            <v>-0.86099999999999999</v>
          </cell>
          <cell r="L35">
            <v>-0.86099999999999999</v>
          </cell>
          <cell r="M35">
            <v>-0.86099999999999999</v>
          </cell>
          <cell r="N35">
            <v>-0.86099999999999999</v>
          </cell>
          <cell r="O35">
            <v>-0.86099999999999999</v>
          </cell>
          <cell r="P35">
            <v>-0.86099999999999999</v>
          </cell>
          <cell r="Q35">
            <v>-0.86099999999999999</v>
          </cell>
          <cell r="R35">
            <v>-0.86099999999999999</v>
          </cell>
          <cell r="S35" t="str">
            <v>Flat</v>
          </cell>
          <cell r="W35" t="str">
            <v>mstag:otherAccumulatedOciAndReserves</v>
          </cell>
          <cell r="X35">
            <v>6</v>
          </cell>
          <cell r="Y35" t="str">
            <v>ISO4217:EUR</v>
          </cell>
          <cell r="Z35" t="b">
            <v>0</v>
          </cell>
          <cell r="AA35" t="b">
            <v>0</v>
          </cell>
        </row>
        <row r="36">
          <cell r="A36" t="str">
            <v xml:space="preserve">Treasury Stock </v>
          </cell>
          <cell r="B36">
            <v>-9.9134E-2</v>
          </cell>
          <cell r="C36">
            <v>-0.56669899999999995</v>
          </cell>
          <cell r="D36">
            <v>-0.33930400000000005</v>
          </cell>
          <cell r="E36">
            <v>-17.797999999999998</v>
          </cell>
          <cell r="F36">
            <v>-17.812999999999999</v>
          </cell>
          <cell r="G36">
            <v>-17.812999999999999</v>
          </cell>
          <cell r="H36">
            <v>-8.032</v>
          </cell>
          <cell r="I36">
            <v>-7.8460000000000001</v>
          </cell>
          <cell r="J36">
            <v>-7.6870000000000003</v>
          </cell>
          <cell r="K36">
            <v>-7.5339999999999998</v>
          </cell>
          <cell r="L36">
            <v>-7.5339999999999998</v>
          </cell>
          <cell r="M36">
            <v>-7.5339999999999998</v>
          </cell>
          <cell r="N36">
            <v>-7.5339999999999998</v>
          </cell>
          <cell r="O36">
            <v>-7.5339999999999998</v>
          </cell>
          <cell r="P36">
            <v>-7.5339999999999998</v>
          </cell>
          <cell r="Q36">
            <v>-7.5339999999999998</v>
          </cell>
          <cell r="R36">
            <v>-7.5339999999999998</v>
          </cell>
          <cell r="S36" t="str">
            <v>Flat</v>
          </cell>
          <cell r="W36" t="str">
            <v>mstag:treasuryStockAndInvestmentInOwnShares</v>
          </cell>
          <cell r="X36">
            <v>6</v>
          </cell>
          <cell r="Y36" t="str">
            <v>ISO4217:EUR</v>
          </cell>
          <cell r="Z36" t="b">
            <v>1</v>
          </cell>
          <cell r="AA36" t="b">
            <v>0</v>
          </cell>
        </row>
        <row r="37">
          <cell r="A37" t="str">
            <v>Minority interest</v>
          </cell>
          <cell r="B37">
            <v>0</v>
          </cell>
          <cell r="C37">
            <v>1.2785219999999999</v>
          </cell>
          <cell r="D37">
            <v>1.2693240000000001</v>
          </cell>
          <cell r="E37">
            <v>0.84199999999999997</v>
          </cell>
          <cell r="F37">
            <v>0.626</v>
          </cell>
          <cell r="G37">
            <v>0.41299999999999998</v>
          </cell>
          <cell r="H37">
            <v>0.39100000000000001</v>
          </cell>
          <cell r="I37">
            <v>0.70299999999999996</v>
          </cell>
          <cell r="J37">
            <v>0.81499999999999995</v>
          </cell>
          <cell r="K37">
            <v>1.4410000000000001</v>
          </cell>
          <cell r="L37">
            <v>1.4410000000000001</v>
          </cell>
          <cell r="M37">
            <v>1.4410000000000001</v>
          </cell>
          <cell r="N37">
            <v>1.4410000000000001</v>
          </cell>
          <cell r="O37">
            <v>1.4410000000000001</v>
          </cell>
          <cell r="P37">
            <v>1.4410000000000001</v>
          </cell>
          <cell r="Q37">
            <v>1.4410000000000001</v>
          </cell>
          <cell r="R37">
            <v>1.4410000000000001</v>
          </cell>
          <cell r="W37" t="str">
            <v>mstag:minorityInterestsInShareholdersEquity</v>
          </cell>
          <cell r="X37">
            <v>6</v>
          </cell>
          <cell r="Y37" t="str">
            <v>ISO4217:EUR</v>
          </cell>
          <cell r="Z37" t="b">
            <v>0</v>
          </cell>
          <cell r="AA37" t="b">
            <v>0</v>
          </cell>
        </row>
        <row r="38">
          <cell r="A38" t="str">
            <v>Net income and Retained Earnings</v>
          </cell>
          <cell r="B38">
            <v>199.11881500000001</v>
          </cell>
          <cell r="C38">
            <v>241.41275200000001</v>
          </cell>
          <cell r="D38">
            <v>278.69633400000004</v>
          </cell>
          <cell r="E38">
            <v>257.32600000000002</v>
          </cell>
          <cell r="F38">
            <v>248.691</v>
          </cell>
          <cell r="G38">
            <v>277.09899999999999</v>
          </cell>
          <cell r="H38">
            <v>299.10000000000002</v>
          </cell>
          <cell r="I38">
            <v>404.78399999999999</v>
          </cell>
          <cell r="J38">
            <v>373.25200000000001</v>
          </cell>
          <cell r="K38">
            <v>309.99700000000001</v>
          </cell>
          <cell r="L38">
            <v>332.42264979643198</v>
          </cell>
          <cell r="M38">
            <v>392.6754315760964</v>
          </cell>
          <cell r="N38">
            <v>472.50200241749246</v>
          </cell>
          <cell r="O38">
            <v>581.56839051386294</v>
          </cell>
          <cell r="P38">
            <v>856.67013067048924</v>
          </cell>
          <cell r="Q38">
            <v>1046.4585619029065</v>
          </cell>
          <cell r="R38">
            <v>1264.8219265687217</v>
          </cell>
          <cell r="S38" t="str">
            <v>Linked to Schedule Below</v>
          </cell>
          <cell r="W38" t="str">
            <v>mstag:retainedEarnings</v>
          </cell>
          <cell r="X38">
            <v>6</v>
          </cell>
          <cell r="Y38" t="str">
            <v>ISO4217:EUR</v>
          </cell>
          <cell r="Z38" t="b">
            <v>0</v>
          </cell>
          <cell r="AA38" t="b">
            <v>0</v>
          </cell>
        </row>
        <row r="39">
          <cell r="A39" t="str">
            <v>Total Shareholders Equity</v>
          </cell>
          <cell r="B39">
            <v>406.69059200000004</v>
          </cell>
          <cell r="C39">
            <v>477.22034500000007</v>
          </cell>
          <cell r="D39">
            <v>495.12323000000004</v>
          </cell>
          <cell r="E39">
            <v>490.09100000000001</v>
          </cell>
          <cell r="F39">
            <v>499.27600000000001</v>
          </cell>
          <cell r="G39">
            <v>543.70100000000002</v>
          </cell>
          <cell r="H39">
            <v>530.77499999999998</v>
          </cell>
          <cell r="I39">
            <v>577.72900000000004</v>
          </cell>
          <cell r="J39">
            <v>528.21100000000001</v>
          </cell>
          <cell r="K39">
            <v>540.41600000000005</v>
          </cell>
          <cell r="L39">
            <v>562.84164979643197</v>
          </cell>
          <cell r="M39">
            <v>623.09443157609644</v>
          </cell>
          <cell r="N39">
            <v>702.92100241749245</v>
          </cell>
          <cell r="O39">
            <v>811.98739051386292</v>
          </cell>
          <cell r="P39">
            <v>1087.0891306704893</v>
          </cell>
          <cell r="Q39">
            <v>1276.8775619029066</v>
          </cell>
          <cell r="R39">
            <v>1495.2409265687218</v>
          </cell>
        </row>
        <row r="41">
          <cell r="A41" t="str">
            <v>Provisions for Pensions</v>
          </cell>
          <cell r="B41">
            <v>15.721425999999999</v>
          </cell>
          <cell r="C41">
            <v>16.151688</v>
          </cell>
          <cell r="D41">
            <v>16.750579999999999</v>
          </cell>
          <cell r="E41">
            <v>23.739000000000001</v>
          </cell>
          <cell r="F41">
            <v>19.297000000000001</v>
          </cell>
          <cell r="G41">
            <v>19.681999999999999</v>
          </cell>
          <cell r="H41">
            <v>21.088999999999999</v>
          </cell>
          <cell r="I41">
            <v>22.123000000000001</v>
          </cell>
          <cell r="J41">
            <v>0</v>
          </cell>
          <cell r="K41">
            <v>0</v>
          </cell>
          <cell r="L41">
            <v>0</v>
          </cell>
          <cell r="M41">
            <v>0</v>
          </cell>
          <cell r="N41">
            <v>0</v>
          </cell>
          <cell r="O41">
            <v>0</v>
          </cell>
          <cell r="P41">
            <v>0</v>
          </cell>
          <cell r="Q41">
            <v>0</v>
          </cell>
          <cell r="R41">
            <v>0</v>
          </cell>
          <cell r="S41" t="str">
            <v>Linked to EBIT growth</v>
          </cell>
          <cell r="W41" t="str">
            <v>mstag:pensionAndOtherPostRetirementObligations</v>
          </cell>
          <cell r="X41">
            <v>6</v>
          </cell>
          <cell r="Y41" t="str">
            <v>ISO4217:EUR</v>
          </cell>
          <cell r="Z41" t="b">
            <v>0</v>
          </cell>
          <cell r="AA41" t="b">
            <v>0</v>
          </cell>
        </row>
        <row r="42">
          <cell r="A42" t="str">
            <v>Provisions for Deferred Tax</v>
          </cell>
          <cell r="B42">
            <v>12.324297999999999</v>
          </cell>
          <cell r="C42">
            <v>14.071406999999999</v>
          </cell>
          <cell r="D42">
            <v>4.0133939999999999</v>
          </cell>
          <cell r="E42">
            <v>0</v>
          </cell>
          <cell r="F42">
            <v>0</v>
          </cell>
          <cell r="G42">
            <v>0</v>
          </cell>
          <cell r="H42">
            <v>0</v>
          </cell>
          <cell r="I42">
            <v>0</v>
          </cell>
          <cell r="J42">
            <v>19.452000000000002</v>
          </cell>
          <cell r="K42">
            <v>0</v>
          </cell>
          <cell r="L42">
            <v>0</v>
          </cell>
          <cell r="M42">
            <v>0</v>
          </cell>
          <cell r="N42">
            <v>0</v>
          </cell>
          <cell r="O42">
            <v>0</v>
          </cell>
          <cell r="P42">
            <v>0</v>
          </cell>
          <cell r="Q42">
            <v>0</v>
          </cell>
          <cell r="R42">
            <v>0</v>
          </cell>
          <cell r="S42" t="str">
            <v>Linked to CAPEX growth</v>
          </cell>
          <cell r="W42" t="str">
            <v>mstag:deferredTaxLiabilitiesNonCurrent</v>
          </cell>
          <cell r="X42">
            <v>6</v>
          </cell>
          <cell r="Y42" t="str">
            <v>ISO4217:EUR</v>
          </cell>
          <cell r="Z42" t="b">
            <v>0</v>
          </cell>
          <cell r="AA42" t="b">
            <v>0</v>
          </cell>
        </row>
        <row r="43">
          <cell r="A43" t="str">
            <v>Other non current liabilities</v>
          </cell>
          <cell r="B43">
            <v>7.4365830000000006</v>
          </cell>
          <cell r="C43">
            <v>5.8969399999999998</v>
          </cell>
          <cell r="D43">
            <v>8.4279229999999998</v>
          </cell>
          <cell r="E43">
            <v>13.561999999999999</v>
          </cell>
          <cell r="F43">
            <v>16.242000000000001</v>
          </cell>
          <cell r="G43">
            <v>21.199000000000002</v>
          </cell>
          <cell r="H43">
            <v>30.102</v>
          </cell>
          <cell r="I43">
            <v>85.906000000000006</v>
          </cell>
          <cell r="J43">
            <v>3.9490000000000003</v>
          </cell>
          <cell r="K43">
            <v>5.9530000000000003</v>
          </cell>
          <cell r="L43">
            <v>5.9530000000000003</v>
          </cell>
          <cell r="M43">
            <v>5.9530000000000003</v>
          </cell>
          <cell r="N43">
            <v>5.9530000000000003</v>
          </cell>
          <cell r="O43">
            <v>5.9530000000000003</v>
          </cell>
          <cell r="P43">
            <v>5.9530000000000003</v>
          </cell>
          <cell r="Q43">
            <v>5.9530000000000003</v>
          </cell>
          <cell r="R43">
            <v>5.9530000000000003</v>
          </cell>
          <cell r="W43" t="str">
            <v>mstag:otherLiabilitiesOperatingNonCurrent</v>
          </cell>
          <cell r="X43">
            <v>6</v>
          </cell>
          <cell r="Y43" t="str">
            <v>ISO4217:EUR</v>
          </cell>
          <cell r="Z43" t="b">
            <v>0</v>
          </cell>
          <cell r="AA43" t="b">
            <v>0</v>
          </cell>
        </row>
        <row r="44">
          <cell r="A44" t="str">
            <v>Deferred income</v>
          </cell>
          <cell r="B44">
            <v>0</v>
          </cell>
          <cell r="C44">
            <v>0</v>
          </cell>
          <cell r="D44">
            <v>0</v>
          </cell>
          <cell r="E44">
            <v>0</v>
          </cell>
          <cell r="F44">
            <v>0</v>
          </cell>
          <cell r="G44">
            <v>0</v>
          </cell>
          <cell r="H44">
            <v>0</v>
          </cell>
          <cell r="I44">
            <v>0</v>
          </cell>
          <cell r="J44">
            <v>0.59</v>
          </cell>
          <cell r="K44">
            <v>1.357</v>
          </cell>
          <cell r="L44">
            <v>1.357</v>
          </cell>
          <cell r="M44">
            <v>1.357</v>
          </cell>
          <cell r="N44">
            <v>1.357</v>
          </cell>
          <cell r="O44">
            <v>1.357</v>
          </cell>
          <cell r="P44">
            <v>1.357</v>
          </cell>
          <cell r="Q44">
            <v>1.357</v>
          </cell>
          <cell r="R44">
            <v>1.357</v>
          </cell>
          <cell r="W44" t="str">
            <v>mstag:deferredRevenueNonCurrent</v>
          </cell>
          <cell r="X44">
            <v>6</v>
          </cell>
          <cell r="Y44" t="str">
            <v>ISO4217:EUR</v>
          </cell>
          <cell r="Z44" t="b">
            <v>0</v>
          </cell>
          <cell r="AA44" t="b">
            <v>0</v>
          </cell>
        </row>
        <row r="45">
          <cell r="A45" t="str">
            <v>Non-current provisions</v>
          </cell>
          <cell r="B45">
            <v>0</v>
          </cell>
          <cell r="C45">
            <v>0</v>
          </cell>
          <cell r="D45">
            <v>0</v>
          </cell>
          <cell r="E45">
            <v>0</v>
          </cell>
          <cell r="F45">
            <v>0</v>
          </cell>
          <cell r="G45">
            <v>0</v>
          </cell>
          <cell r="H45">
            <v>0</v>
          </cell>
          <cell r="I45">
            <v>0</v>
          </cell>
          <cell r="J45">
            <v>60.033000000000001</v>
          </cell>
          <cell r="K45">
            <v>55.201999999999998</v>
          </cell>
          <cell r="L45">
            <v>55.201999999999998</v>
          </cell>
          <cell r="M45">
            <v>55.201999999999998</v>
          </cell>
          <cell r="N45">
            <v>55.201999999999998</v>
          </cell>
          <cell r="O45">
            <v>55.201999999999998</v>
          </cell>
          <cell r="P45">
            <v>55.201999999999998</v>
          </cell>
          <cell r="Q45">
            <v>55.201999999999998</v>
          </cell>
          <cell r="R45">
            <v>55.201999999999998</v>
          </cell>
          <cell r="W45" t="str">
            <v>mstag:otherProvisions</v>
          </cell>
          <cell r="X45">
            <v>6</v>
          </cell>
          <cell r="Y45" t="str">
            <v>ISO4217:EUR</v>
          </cell>
          <cell r="Z45" t="b">
            <v>0</v>
          </cell>
          <cell r="AA45" t="b">
            <v>0</v>
          </cell>
        </row>
        <row r="46">
          <cell r="A46" t="str">
            <v>Employee Benefits</v>
          </cell>
          <cell r="B46">
            <v>0</v>
          </cell>
          <cell r="C46">
            <v>0</v>
          </cell>
          <cell r="D46">
            <v>0</v>
          </cell>
          <cell r="E46">
            <v>0</v>
          </cell>
          <cell r="F46">
            <v>0</v>
          </cell>
          <cell r="G46">
            <v>0</v>
          </cell>
          <cell r="H46">
            <v>0</v>
          </cell>
          <cell r="I46">
            <v>0</v>
          </cell>
          <cell r="J46">
            <v>22.920999999999999</v>
          </cell>
          <cell r="K46">
            <v>23.437000000000001</v>
          </cell>
          <cell r="L46">
            <v>23.437000000000001</v>
          </cell>
          <cell r="M46">
            <v>23.437000000000001</v>
          </cell>
          <cell r="N46">
            <v>23.437000000000001</v>
          </cell>
          <cell r="O46">
            <v>23.437000000000001</v>
          </cell>
          <cell r="P46">
            <v>23.437000000000001</v>
          </cell>
          <cell r="Q46">
            <v>23.437000000000001</v>
          </cell>
          <cell r="R46">
            <v>23.437000000000001</v>
          </cell>
          <cell r="W46" t="str">
            <v>mstag:pensionAndOtherPostRetirementObligations</v>
          </cell>
          <cell r="X46">
            <v>6</v>
          </cell>
          <cell r="Y46" t="str">
            <v>ISO4217:EUR</v>
          </cell>
          <cell r="Z46" t="b">
            <v>0</v>
          </cell>
          <cell r="AA46" t="b">
            <v>0</v>
          </cell>
        </row>
        <row r="47">
          <cell r="A47" t="str">
            <v>Long Term Debt</v>
          </cell>
          <cell r="B47">
            <v>99.895901000000009</v>
          </cell>
          <cell r="C47">
            <v>74.156320000000008</v>
          </cell>
          <cell r="D47">
            <v>80.400739999999999</v>
          </cell>
          <cell r="E47">
            <v>51.9</v>
          </cell>
          <cell r="F47">
            <v>34.481000000000002</v>
          </cell>
          <cell r="G47">
            <v>45.155000000000001</v>
          </cell>
          <cell r="H47">
            <v>83.778999999999996</v>
          </cell>
          <cell r="I47">
            <v>63.167999999999999</v>
          </cell>
          <cell r="J47">
            <v>47.344000000000001</v>
          </cell>
          <cell r="K47">
            <v>12.803000000000001</v>
          </cell>
          <cell r="L47">
            <v>12.803000000000001</v>
          </cell>
          <cell r="M47">
            <v>12.803000000000001</v>
          </cell>
          <cell r="N47">
            <v>12.803000000000001</v>
          </cell>
          <cell r="O47">
            <v>12.803000000000001</v>
          </cell>
          <cell r="P47">
            <v>12.803000000000001</v>
          </cell>
          <cell r="Q47">
            <v>12.803000000000001</v>
          </cell>
          <cell r="R47">
            <v>12.803000000000001</v>
          </cell>
          <cell r="S47" t="str">
            <v>Linked to Schedule Below</v>
          </cell>
          <cell r="W47" t="str">
            <v>mstag:longTermDebt</v>
          </cell>
          <cell r="X47">
            <v>6</v>
          </cell>
          <cell r="Y47" t="str">
            <v>ISO4217:EUR</v>
          </cell>
          <cell r="Z47" t="b">
            <v>0</v>
          </cell>
          <cell r="AA47" t="b">
            <v>0</v>
          </cell>
        </row>
        <row r="48">
          <cell r="A48" t="str">
            <v>Non current liabilities</v>
          </cell>
          <cell r="B48">
            <v>135.378208</v>
          </cell>
          <cell r="C48">
            <v>110.27635500000001</v>
          </cell>
          <cell r="D48">
            <v>109.592637</v>
          </cell>
          <cell r="E48">
            <v>89.200999999999993</v>
          </cell>
          <cell r="F48">
            <v>70.02000000000001</v>
          </cell>
          <cell r="G48">
            <v>86.036000000000001</v>
          </cell>
          <cell r="H48">
            <v>134.97</v>
          </cell>
          <cell r="I48">
            <v>171.197</v>
          </cell>
          <cell r="J48">
            <v>154.28899999999999</v>
          </cell>
          <cell r="K48">
            <v>98.751999999999995</v>
          </cell>
          <cell r="L48">
            <v>98.751999999999995</v>
          </cell>
          <cell r="M48">
            <v>98.751999999999995</v>
          </cell>
          <cell r="N48">
            <v>98.751999999999995</v>
          </cell>
          <cell r="O48">
            <v>98.751999999999995</v>
          </cell>
          <cell r="P48">
            <v>98.751999999999995</v>
          </cell>
          <cell r="Q48">
            <v>98.751999999999995</v>
          </cell>
          <cell r="R48">
            <v>98.751999999999995</v>
          </cell>
        </row>
        <row r="50">
          <cell r="A50" t="str">
            <v>Short Term Debt</v>
          </cell>
          <cell r="B50">
            <v>42.956703999999995</v>
          </cell>
          <cell r="C50">
            <v>20.336778000000002</v>
          </cell>
          <cell r="D50">
            <v>30.997771</v>
          </cell>
          <cell r="E50">
            <v>56.704000000000001</v>
          </cell>
          <cell r="F50">
            <v>35.984000000000002</v>
          </cell>
          <cell r="G50">
            <v>56.289000000000001</v>
          </cell>
          <cell r="H50">
            <v>50.86</v>
          </cell>
          <cell r="I50">
            <v>7.0460000000000003</v>
          </cell>
          <cell r="J50">
            <v>9.2999999999999999E-2</v>
          </cell>
          <cell r="K50">
            <v>1.2999999999999999E-2</v>
          </cell>
          <cell r="L50">
            <v>1.2999999999999999E-2</v>
          </cell>
          <cell r="M50">
            <v>1.2999999999999999E-2</v>
          </cell>
          <cell r="N50">
            <v>1.2999999999999999E-2</v>
          </cell>
          <cell r="O50">
            <v>1.2999999999999999E-2</v>
          </cell>
          <cell r="P50">
            <v>1.2999999999999999E-2</v>
          </cell>
          <cell r="Q50">
            <v>1.2999999999999999E-2</v>
          </cell>
          <cell r="R50">
            <v>1.2999999999999999E-2</v>
          </cell>
          <cell r="S50" t="str">
            <v>Linked to Schedule Below</v>
          </cell>
          <cell r="W50" t="str">
            <v>mstag:shortTermBorrowings</v>
          </cell>
          <cell r="X50">
            <v>6</v>
          </cell>
          <cell r="Y50" t="str">
            <v>ISO4217:EUR</v>
          </cell>
          <cell r="Z50" t="b">
            <v>0</v>
          </cell>
          <cell r="AA50" t="b">
            <v>0</v>
          </cell>
        </row>
        <row r="51">
          <cell r="A51" t="str">
            <v>Current Portion of Long Term Debt</v>
          </cell>
          <cell r="B51">
            <v>15.620248</v>
          </cell>
          <cell r="C51">
            <v>24.119711000000002</v>
          </cell>
          <cell r="D51">
            <v>48.260373000000001</v>
          </cell>
          <cell r="E51">
            <v>65.245999999999995</v>
          </cell>
          <cell r="F51">
            <v>57.744</v>
          </cell>
          <cell r="G51">
            <v>73.430999999999997</v>
          </cell>
          <cell r="H51">
            <v>11.667</v>
          </cell>
          <cell r="I51">
            <v>6.6559999999999997</v>
          </cell>
          <cell r="J51">
            <v>15.871</v>
          </cell>
          <cell r="K51">
            <v>9.9350000000000005</v>
          </cell>
          <cell r="L51">
            <v>9.9350000000000005</v>
          </cell>
          <cell r="M51">
            <v>9.9350000000000005</v>
          </cell>
          <cell r="N51">
            <v>9.9350000000000005</v>
          </cell>
          <cell r="O51">
            <v>9.9350000000000005</v>
          </cell>
          <cell r="P51">
            <v>9.9350000000000005</v>
          </cell>
          <cell r="Q51">
            <v>9.9350000000000005</v>
          </cell>
          <cell r="R51">
            <v>9.9350000000000005</v>
          </cell>
          <cell r="S51" t="str">
            <v>Linked to Schedule Below</v>
          </cell>
          <cell r="W51" t="str">
            <v>mstag:shortTermBorrowings</v>
          </cell>
          <cell r="X51">
            <v>6</v>
          </cell>
          <cell r="Y51" t="str">
            <v>ISO4217:EUR</v>
          </cell>
          <cell r="Z51" t="b">
            <v>0</v>
          </cell>
          <cell r="AA51" t="b">
            <v>0</v>
          </cell>
        </row>
        <row r="52">
          <cell r="A52" t="str">
            <v>Trade accounts payable</v>
          </cell>
          <cell r="B52">
            <v>37.657634000000002</v>
          </cell>
          <cell r="C52">
            <v>36.301440000000007</v>
          </cell>
          <cell r="D52">
            <v>36.231433000000003</v>
          </cell>
          <cell r="E52">
            <v>55.984000000000002</v>
          </cell>
          <cell r="F52">
            <v>52.845999999999997</v>
          </cell>
          <cell r="G52">
            <v>55.195</v>
          </cell>
          <cell r="H52">
            <v>53.57</v>
          </cell>
          <cell r="I52">
            <v>53.73</v>
          </cell>
          <cell r="J52">
            <v>45.874000000000002</v>
          </cell>
          <cell r="K52">
            <v>68.201999999999998</v>
          </cell>
          <cell r="L52">
            <v>65.02507123157126</v>
          </cell>
          <cell r="M52">
            <v>64.558986271649133</v>
          </cell>
          <cell r="N52">
            <v>74.305256621466597</v>
          </cell>
          <cell r="O52">
            <v>80.350465804350961</v>
          </cell>
          <cell r="P52">
            <v>85.685988319732317</v>
          </cell>
          <cell r="Q52">
            <v>88.754883535173633</v>
          </cell>
          <cell r="R52">
            <v>91.14889747579997</v>
          </cell>
          <cell r="S52" t="str">
            <v>Linked to Schedule Below</v>
          </cell>
          <cell r="W52" t="str">
            <v>mstag:tradePayablesCurrent</v>
          </cell>
          <cell r="X52">
            <v>6</v>
          </cell>
          <cell r="Y52" t="str">
            <v>ISO4217:EUR</v>
          </cell>
          <cell r="Z52" t="b">
            <v>0</v>
          </cell>
          <cell r="AA52" t="b">
            <v>0</v>
          </cell>
        </row>
        <row r="53">
          <cell r="A53" t="str">
            <v>Other Payables</v>
          </cell>
          <cell r="B53">
            <v>50.606374000000002</v>
          </cell>
          <cell r="C53">
            <v>58.115008000000003</v>
          </cell>
          <cell r="D53">
            <v>92.486401000000001</v>
          </cell>
          <cell r="E53">
            <v>109.773</v>
          </cell>
          <cell r="F53">
            <v>101.087</v>
          </cell>
          <cell r="G53">
            <v>90.296999999999997</v>
          </cell>
          <cell r="H53">
            <v>234.80199999999999</v>
          </cell>
          <cell r="I53">
            <v>217.24299999999999</v>
          </cell>
          <cell r="J53">
            <v>199.56</v>
          </cell>
          <cell r="K53">
            <v>223.74100000000001</v>
          </cell>
          <cell r="L53">
            <v>239.23060481013223</v>
          </cell>
          <cell r="M53">
            <v>242.67924223599726</v>
          </cell>
          <cell r="N53">
            <v>273.37288749473618</v>
          </cell>
          <cell r="O53">
            <v>289.1871441873754</v>
          </cell>
          <cell r="P53">
            <v>301.53696323671363</v>
          </cell>
          <cell r="Q53">
            <v>305.23812980412254</v>
          </cell>
          <cell r="R53">
            <v>313.47141578068732</v>
          </cell>
          <cell r="S53" t="str">
            <v>Linked to Schedule Below</v>
          </cell>
          <cell r="W53" t="str">
            <v>mstag:otherPayablesCurrent</v>
          </cell>
          <cell r="X53">
            <v>6</v>
          </cell>
          <cell r="Y53" t="str">
            <v>ISO4217:EUR</v>
          </cell>
          <cell r="Z53" t="b">
            <v>0</v>
          </cell>
          <cell r="AA53" t="b">
            <v>0</v>
          </cell>
        </row>
        <row r="54">
          <cell r="A54" t="str">
            <v>Current liabilities</v>
          </cell>
          <cell r="B54">
            <v>146.84096</v>
          </cell>
          <cell r="C54">
            <v>138.87293700000001</v>
          </cell>
          <cell r="D54">
            <v>207.975978</v>
          </cell>
          <cell r="E54">
            <v>287.70699999999999</v>
          </cell>
          <cell r="F54">
            <v>247.661</v>
          </cell>
          <cell r="G54">
            <v>275.21199999999999</v>
          </cell>
          <cell r="H54">
            <v>350.899</v>
          </cell>
          <cell r="I54">
            <v>284.67500000000001</v>
          </cell>
          <cell r="J54">
            <v>261.39800000000002</v>
          </cell>
          <cell r="K54">
            <v>301.89099999999996</v>
          </cell>
          <cell r="L54">
            <v>314.20367604170349</v>
          </cell>
          <cell r="M54">
            <v>317.18622850764638</v>
          </cell>
          <cell r="N54">
            <v>357.62614411620274</v>
          </cell>
          <cell r="O54">
            <v>379.48560999172634</v>
          </cell>
          <cell r="P54">
            <v>397.17095155644591</v>
          </cell>
          <cell r="Q54">
            <v>403.94101333929615</v>
          </cell>
          <cell r="R54">
            <v>414.56831325648727</v>
          </cell>
        </row>
        <row r="56">
          <cell r="A56" t="str">
            <v>Total Liabilities</v>
          </cell>
          <cell r="B56">
            <v>282.21916799999997</v>
          </cell>
          <cell r="C56">
            <v>249.149292</v>
          </cell>
          <cell r="D56">
            <v>317.56861500000002</v>
          </cell>
          <cell r="E56">
            <v>376.90800000000002</v>
          </cell>
          <cell r="F56">
            <v>317.68100000000004</v>
          </cell>
          <cell r="G56">
            <v>361.24799999999999</v>
          </cell>
          <cell r="H56">
            <v>485.86900000000003</v>
          </cell>
          <cell r="I56">
            <v>455.87200000000001</v>
          </cell>
          <cell r="J56">
            <v>415.68700000000001</v>
          </cell>
          <cell r="K56">
            <v>400.64299999999997</v>
          </cell>
          <cell r="L56">
            <v>412.9556760417035</v>
          </cell>
          <cell r="M56">
            <v>415.93822850764639</v>
          </cell>
          <cell r="N56">
            <v>456.37814411620275</v>
          </cell>
          <cell r="O56">
            <v>478.23760999172634</v>
          </cell>
          <cell r="P56">
            <v>495.92295155644592</v>
          </cell>
          <cell r="Q56">
            <v>502.69301333929616</v>
          </cell>
          <cell r="R56">
            <v>513.32031325648722</v>
          </cell>
        </row>
        <row r="58">
          <cell r="A58" t="str">
            <v>Shareholders equity and liabilities</v>
          </cell>
          <cell r="B58">
            <v>688.90976000000001</v>
          </cell>
          <cell r="C58">
            <v>726.36963700000001</v>
          </cell>
          <cell r="D58">
            <v>812.69184500000006</v>
          </cell>
          <cell r="E58">
            <v>866.99900000000002</v>
          </cell>
          <cell r="F58">
            <v>816.95700000000011</v>
          </cell>
          <cell r="G58">
            <v>904.94900000000007</v>
          </cell>
          <cell r="H58">
            <v>1016.644</v>
          </cell>
          <cell r="I58">
            <v>1033.6010000000001</v>
          </cell>
          <cell r="J58">
            <v>943.89800000000002</v>
          </cell>
          <cell r="K58">
            <v>941.05899999999997</v>
          </cell>
          <cell r="L58">
            <v>975.79732583813552</v>
          </cell>
          <cell r="M58">
            <v>1039.0326600837429</v>
          </cell>
          <cell r="N58">
            <v>1159.2991465336952</v>
          </cell>
          <cell r="O58">
            <v>1290.2250005055894</v>
          </cell>
          <cell r="P58">
            <v>1583.0120822269353</v>
          </cell>
          <cell r="Q58">
            <v>1779.5705752422027</v>
          </cell>
          <cell r="R58">
            <v>2008.561239825209</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row>
        <row r="60">
          <cell r="A60" t="str">
            <v>Notes:</v>
          </cell>
        </row>
        <row r="61">
          <cell r="A61" t="str">
            <v>E= Morgan Stanley Research Estimates</v>
          </cell>
        </row>
        <row r="62">
          <cell r="A62" t="str">
            <v>Source: Morgan Stanley Research</v>
          </cell>
        </row>
        <row r="64">
          <cell r="A64" t="str">
            <v>OUTPUTS</v>
          </cell>
        </row>
        <row r="65">
          <cell r="A65" t="str">
            <v>Net Debt</v>
          </cell>
          <cell r="B65">
            <v>133.82783399999997</v>
          </cell>
          <cell r="C65">
            <v>89.053503000000006</v>
          </cell>
          <cell r="D65">
            <v>132.31936200000001</v>
          </cell>
          <cell r="E65">
            <v>135.416</v>
          </cell>
          <cell r="F65">
            <v>104.21600000000001</v>
          </cell>
          <cell r="G65">
            <v>130.58000000000001</v>
          </cell>
          <cell r="H65">
            <v>-18.730000000000029</v>
          </cell>
          <cell r="I65">
            <v>-135.714</v>
          </cell>
          <cell r="J65">
            <v>-121.11600000000001</v>
          </cell>
          <cell r="K65">
            <v>-183.25799999999998</v>
          </cell>
          <cell r="L65">
            <v>-249.30031606121062</v>
          </cell>
          <cell r="M65">
            <v>-332.60118129136742</v>
          </cell>
          <cell r="N65">
            <v>-460.89125340484389</v>
          </cell>
          <cell r="O65">
            <v>-580.75644522715629</v>
          </cell>
          <cell r="P65">
            <v>-872.6197317275396</v>
          </cell>
          <cell r="Q65">
            <v>-1067.6804164320104</v>
          </cell>
          <cell r="R65">
            <v>-1283.0723330598719</v>
          </cell>
        </row>
        <row r="66">
          <cell r="A66" t="str">
            <v>ROA (%)</v>
          </cell>
          <cell r="B66">
            <v>7.5663126038452447E-2</v>
          </cell>
          <cell r="C66">
            <v>8.2011752647089001E-2</v>
          </cell>
          <cell r="D66">
            <v>7.4251994001490088E-2</v>
          </cell>
          <cell r="E66">
            <v>9.5201955250234574E-3</v>
          </cell>
          <cell r="F66">
            <v>1.6676520306454355E-2</v>
          </cell>
          <cell r="G66">
            <v>4.4759428431878578E-2</v>
          </cell>
          <cell r="H66">
            <v>4.7599749764912852E-2</v>
          </cell>
          <cell r="I66">
            <v>0.12821001527668813</v>
          </cell>
          <cell r="J66">
            <v>-8.8462948327026393E-4</v>
          </cell>
          <cell r="K66">
            <v>-5.7470360519372314E-2</v>
          </cell>
          <cell r="L66">
            <v>3.2697817417184249E-2</v>
          </cell>
          <cell r="M66">
            <v>6.7113939203839915E-2</v>
          </cell>
          <cell r="N66">
            <v>7.7035650469014075E-2</v>
          </cell>
          <cell r="O66">
            <v>9.1881013815355003E-2</v>
          </cell>
          <cell r="P66">
            <v>0.17977281181346635</v>
          </cell>
          <cell r="Q66">
            <v>0.11197601657652508</v>
          </cell>
          <cell r="R66">
            <v>0.11343650029094599</v>
          </cell>
        </row>
        <row r="67">
          <cell r="A67" t="str">
            <v>ROE (%)</v>
          </cell>
          <cell r="B67">
            <v>0.1281688512725665</v>
          </cell>
          <cell r="C67">
            <v>0.1248288083778151</v>
          </cell>
          <cell r="D67">
            <v>0.12187670935980909</v>
          </cell>
          <cell r="E67">
            <v>1.684177020186009E-2</v>
          </cell>
          <cell r="F67">
            <v>2.7287512317836285E-2</v>
          </cell>
          <cell r="G67">
            <v>7.4498667466125837E-2</v>
          </cell>
          <cell r="H67">
            <v>9.117234232961248E-2</v>
          </cell>
          <cell r="I67">
            <v>0.22937744167247989</v>
          </cell>
          <cell r="J67">
            <v>-1.5808076696620017E-3</v>
          </cell>
          <cell r="K67">
            <v>-0.10007660765040263</v>
          </cell>
          <cell r="L67">
            <v>5.6688133879168129E-2</v>
          </cell>
          <cell r="M67">
            <v>0.11191493816318605</v>
          </cell>
          <cell r="N67">
            <v>0.12705177898263015</v>
          </cell>
          <cell r="O67">
            <v>0.14599633255554423</v>
          </cell>
          <cell r="P67">
            <v>0.2617839928002067</v>
          </cell>
          <cell r="Q67">
            <v>0.1560597743885874</v>
          </cell>
          <cell r="R67">
            <v>0.15237956212760431</v>
          </cell>
        </row>
        <row r="68">
          <cell r="A68" t="str">
            <v>ROCE (%)</v>
          </cell>
          <cell r="B68">
            <v>9.223007337284532E-2</v>
          </cell>
          <cell r="C68">
            <v>9.9979074007687407E-2</v>
          </cell>
          <cell r="D68">
            <v>9.2158885696135423E-2</v>
          </cell>
          <cell r="E68">
            <v>1.243182752684322E-2</v>
          </cell>
          <cell r="F68">
            <v>2.1712072798552997E-2</v>
          </cell>
          <cell r="G68">
            <v>5.6368428670036413E-2</v>
          </cell>
          <cell r="H68">
            <v>7.1471507840273257E-2</v>
          </cell>
          <cell r="I68">
            <v>0.20244149471661296</v>
          </cell>
          <cell r="J68">
            <v>-1.4116199141529443E-3</v>
          </cell>
          <cell r="K68">
            <v>-9.6033680950765921E-2</v>
          </cell>
          <cell r="L68">
            <v>5.4485729640772564E-2</v>
          </cell>
          <cell r="M68">
            <v>0.10797254477668017</v>
          </cell>
          <cell r="N68">
            <v>0.12306849863833649</v>
          </cell>
          <cell r="O68">
            <v>0.14201716662796968</v>
          </cell>
          <cell r="P68">
            <v>0.2564175914099458</v>
          </cell>
          <cell r="Q68">
            <v>0.1533278277145961</v>
          </cell>
          <cell r="R68">
            <v>0.1500957638034581</v>
          </cell>
        </row>
        <row r="69">
          <cell r="A69" t="str">
            <v>Debt: Equity</v>
          </cell>
          <cell r="B69">
            <v>0.38966441839893851</v>
          </cell>
          <cell r="C69">
            <v>0.24854935512022225</v>
          </cell>
          <cell r="D69">
            <v>0.32246292301817464</v>
          </cell>
          <cell r="E69">
            <v>0.35473003993135965</v>
          </cell>
          <cell r="F69">
            <v>0.25678983167626723</v>
          </cell>
          <cell r="G69">
            <v>0.32163817980838733</v>
          </cell>
          <cell r="H69">
            <v>0.27564598935518819</v>
          </cell>
          <cell r="I69">
            <v>0.13305546372087951</v>
          </cell>
          <cell r="J69">
            <v>0.11985361910297211</v>
          </cell>
          <cell r="K69">
            <v>4.2099049621032683E-2</v>
          </cell>
          <cell r="L69">
            <v>4.042167101213736E-2</v>
          </cell>
          <cell r="M69">
            <v>3.6512924601897194E-2</v>
          </cell>
          <cell r="N69">
            <v>3.2366368228797474E-2</v>
          </cell>
          <cell r="O69">
            <v>2.8018908009891784E-2</v>
          </cell>
          <cell r="P69">
            <v>2.0928366734720046E-2</v>
          </cell>
          <cell r="Q69">
            <v>1.7817683291493205E-2</v>
          </cell>
          <cell r="R69">
            <v>1.5215608130931105E-2</v>
          </cell>
        </row>
        <row r="70">
          <cell r="A70" t="str">
            <v>Leverage (Total Assets:Equity)</v>
          </cell>
          <cell r="B70">
            <v>1.6939407341884121</v>
          </cell>
          <cell r="C70">
            <v>1.5220843885019193</v>
          </cell>
          <cell r="D70">
            <v>1.6413930830916579</v>
          </cell>
          <cell r="E70">
            <v>1.7690571750960535</v>
          </cell>
          <cell r="F70">
            <v>1.6362833382738202</v>
          </cell>
          <cell r="G70">
            <v>1.6644240124627321</v>
          </cell>
          <cell r="H70">
            <v>1.9153954123687063</v>
          </cell>
          <cell r="I70">
            <v>1.7890758469801586</v>
          </cell>
          <cell r="J70">
            <v>1.7869714943460093</v>
          </cell>
          <cell r="K70">
            <v>1.7413603594268117</v>
          </cell>
          <cell r="L70">
            <v>1.7336977926048311</v>
          </cell>
          <cell r="M70">
            <v>1.6675364237416546</v>
          </cell>
          <cell r="N70">
            <v>1.6492595078915313</v>
          </cell>
          <cell r="O70">
            <v>1.5889717199784048</v>
          </cell>
          <cell r="P70">
            <v>1.4561934597309174</v>
          </cell>
          <cell r="Q70">
            <v>1.393689284186451</v>
          </cell>
          <cell r="R70">
            <v>1.3433027441500378</v>
          </cell>
        </row>
        <row r="71">
          <cell r="A71" t="str">
            <v>Asset turnover</v>
          </cell>
          <cell r="B71">
            <v>3.2756872449636747</v>
          </cell>
          <cell r="C71">
            <v>3.078409123900399</v>
          </cell>
          <cell r="D71">
            <v>2.6156878055671089</v>
          </cell>
          <cell r="E71">
            <v>2.3775269621216704</v>
          </cell>
          <cell r="F71">
            <v>3.0242948575747866</v>
          </cell>
          <cell r="G71">
            <v>2.6359216634163762</v>
          </cell>
          <cell r="H71">
            <v>2.1793199223750701</v>
          </cell>
          <cell r="I71">
            <v>2.6818015621807443</v>
          </cell>
          <cell r="J71">
            <v>1.0029123909574977</v>
          </cell>
          <cell r="K71">
            <v>1.0526141294010258</v>
          </cell>
          <cell r="L71">
            <v>0.96785467124416091</v>
          </cell>
          <cell r="M71">
            <v>0.90243606002185495</v>
          </cell>
          <cell r="N71">
            <v>0.93092128371426552</v>
          </cell>
          <cell r="O71">
            <v>0.90450689818341068</v>
          </cell>
          <cell r="P71">
            <v>0.78616647177249488</v>
          </cell>
          <cell r="Q71">
            <v>0.72437921390874482</v>
          </cell>
          <cell r="R71">
            <v>0.65910602204207824</v>
          </cell>
        </row>
        <row r="72">
          <cell r="A72" t="str">
            <v>Working Capital as a % Sales</v>
          </cell>
          <cell r="B72">
            <v>0.10445371226349977</v>
          </cell>
          <cell r="C72">
            <v>0.11100396493254897</v>
          </cell>
          <cell r="D72">
            <v>0.12456299967672663</v>
          </cell>
          <cell r="E72">
            <v>9.5444995842087155E-2</v>
          </cell>
          <cell r="F72">
            <v>5.6676790837172884E-2</v>
          </cell>
          <cell r="G72">
            <v>9.846977054373425E-2</v>
          </cell>
          <cell r="H72">
            <v>-3.7939501875387902E-2</v>
          </cell>
          <cell r="I72">
            <v>9.6205319997139643E-3</v>
          </cell>
          <cell r="J72">
            <v>5.320990823400909E-2</v>
          </cell>
          <cell r="K72">
            <v>-1.6422834483510597E-2</v>
          </cell>
          <cell r="L72">
            <v>-4.4308579303186595E-2</v>
          </cell>
          <cell r="M72">
            <v>-5.0387429906819318E-2</v>
          </cell>
          <cell r="N72">
            <v>-7.2702410426853298E-2</v>
          </cell>
          <cell r="O72">
            <v>-6.2058454651084144E-2</v>
          </cell>
          <cell r="P72">
            <v>-5.8473814751156435E-2</v>
          </cell>
          <cell r="Q72">
            <v>-5.2690030038651338E-2</v>
          </cell>
          <cell r="R72">
            <v>-5.5128717476518749E-2</v>
          </cell>
        </row>
        <row r="73">
          <cell r="A73" t="str">
            <v>Book Value per share</v>
          </cell>
          <cell r="B73">
            <v>12.538937004760934</v>
          </cell>
          <cell r="C73">
            <v>13.221788463599612</v>
          </cell>
          <cell r="D73">
            <v>14.529349043861506</v>
          </cell>
          <cell r="E73">
            <v>15.093605721348643</v>
          </cell>
          <cell r="F73">
            <v>14.265237456521247</v>
          </cell>
          <cell r="G73">
            <v>16.335727925797947</v>
          </cell>
          <cell r="H73">
            <v>15.13890124848573</v>
          </cell>
          <cell r="I73">
            <v>14.433835997327554</v>
          </cell>
          <cell r="J73">
            <v>12.897512159630271</v>
          </cell>
          <cell r="K73">
            <v>12.13618275938274</v>
          </cell>
          <cell r="L73">
            <v>12.619452880727584</v>
          </cell>
          <cell r="M73">
            <v>13.917893257097672</v>
          </cell>
          <cell r="N73">
            <v>15.638146490660711</v>
          </cell>
          <cell r="O73">
            <v>17.988514354621699</v>
          </cell>
          <cell r="P73">
            <v>23.916924570357065</v>
          </cell>
          <cell r="Q73">
            <v>28.00684299074242</v>
          </cell>
          <cell r="R73">
            <v>32.712547873198375</v>
          </cell>
        </row>
        <row r="75">
          <cell r="A75" t="str">
            <v>FIGURES FOR WORKINGS</v>
          </cell>
        </row>
        <row r="76">
          <cell r="A76" t="str">
            <v>Sales</v>
          </cell>
          <cell r="B76">
            <v>610.79574500000001</v>
          </cell>
          <cell r="C76">
            <v>650.19895499999984</v>
          </cell>
          <cell r="D76">
            <v>681.28410699999995</v>
          </cell>
          <cell r="E76">
            <v>705.88299999999981</v>
          </cell>
          <cell r="F76">
            <v>736.19200000000001</v>
          </cell>
          <cell r="G76">
            <v>767.72800000000007</v>
          </cell>
          <cell r="H76">
            <v>963.53400000000011</v>
          </cell>
          <cell r="I76">
            <v>1496.279</v>
          </cell>
          <cell r="J76">
            <v>946.64700000000016</v>
          </cell>
          <cell r="K76">
            <v>990.572</v>
          </cell>
          <cell r="L76">
            <v>944.43000000000006</v>
          </cell>
          <cell r="M76">
            <v>937.6605400000002</v>
          </cell>
          <cell r="N76">
            <v>1079.2162497000002</v>
          </cell>
          <cell r="O76">
            <v>1167.0174131660001</v>
          </cell>
          <cell r="P76">
            <v>1244.5110234575802</v>
          </cell>
          <cell r="Q76">
            <v>1289.0839343890796</v>
          </cell>
          <cell r="R76">
            <v>1323.8548088090984</v>
          </cell>
        </row>
        <row r="77">
          <cell r="A77" t="str">
            <v>Sales Growth</v>
          </cell>
          <cell r="C77">
            <v>6.4511271276128213E-2</v>
          </cell>
          <cell r="D77">
            <v>4.7808677268637023E-2</v>
          </cell>
          <cell r="E77">
            <v>3.6106659097508986E-2</v>
          </cell>
          <cell r="F77">
            <v>4.2937710640432281E-2</v>
          </cell>
          <cell r="G77">
            <v>4.2836651308354456E-2</v>
          </cell>
          <cell r="H77">
            <v>0.25504605797886759</v>
          </cell>
          <cell r="I77">
            <v>0.55290731826795914</v>
          </cell>
          <cell r="J77">
            <v>-0.36733256297789374</v>
          </cell>
          <cell r="K77">
            <v>4.6400611843696593E-2</v>
          </cell>
          <cell r="L77">
            <v>-4.6581167244783783E-2</v>
          </cell>
          <cell r="M77">
            <v>-7.1677731541774925E-3</v>
          </cell>
          <cell r="N77">
            <v>0.15096690503793608</v>
          </cell>
          <cell r="O77">
            <v>8.1356413499525049E-2</v>
          </cell>
          <cell r="P77">
            <v>6.6403131107827917E-2</v>
          </cell>
          <cell r="Q77">
            <v>3.5815601542575459E-2</v>
          </cell>
          <cell r="R77">
            <v>2.6973320737642581E-2</v>
          </cell>
        </row>
        <row r="78">
          <cell r="A78" t="str">
            <v>Cost of Goods Sold</v>
          </cell>
          <cell r="B78">
            <v>193.805948</v>
          </cell>
          <cell r="C78">
            <v>189.93205700000001</v>
          </cell>
          <cell r="D78">
            <v>223.18384900000001</v>
          </cell>
          <cell r="E78">
            <v>293.81099999999998</v>
          </cell>
          <cell r="F78">
            <v>304.60899999999998</v>
          </cell>
          <cell r="G78">
            <v>301.70999999999998</v>
          </cell>
          <cell r="H78">
            <v>325.065</v>
          </cell>
          <cell r="I78">
            <v>385.32299999999998</v>
          </cell>
          <cell r="J78">
            <v>326.928</v>
          </cell>
          <cell r="K78">
            <v>317.93799999999999</v>
          </cell>
          <cell r="L78">
            <v>299.89316999999994</v>
          </cell>
          <cell r="M78">
            <v>291.51137280000006</v>
          </cell>
          <cell r="N78">
            <v>320.24519990400006</v>
          </cell>
          <cell r="O78">
            <v>332.35097221312003</v>
          </cell>
          <cell r="P78">
            <v>338.53497750642566</v>
          </cell>
          <cell r="Q78">
            <v>332.07336850450542</v>
          </cell>
          <cell r="R78">
            <v>323.71530279391141</v>
          </cell>
        </row>
        <row r="79">
          <cell r="A79" t="str">
            <v>Cost of Goods Sold Growth</v>
          </cell>
          <cell r="C79">
            <v>-1.9988504171192911E-2</v>
          </cell>
          <cell r="D79">
            <v>0.1750720364177385</v>
          </cell>
          <cell r="E79">
            <v>0.3164527868681033</v>
          </cell>
          <cell r="F79">
            <v>3.6751517131761613E-2</v>
          </cell>
          <cell r="G79">
            <v>-9.517118666881208E-3</v>
          </cell>
          <cell r="H79">
            <v>7.7408770010937822E-2</v>
          </cell>
          <cell r="I79">
            <v>0.18537215633796311</v>
          </cell>
          <cell r="J79">
            <v>-0.15154818165539041</v>
          </cell>
          <cell r="K79">
            <v>-2.7498409435716797E-2</v>
          </cell>
          <cell r="L79">
            <v>-5.6755814026634321E-2</v>
          </cell>
          <cell r="M79">
            <v>-2.794927673744585E-2</v>
          </cell>
          <cell r="N79">
            <v>9.8568460050145967E-2</v>
          </cell>
          <cell r="O79">
            <v>3.7801573022012258E-2</v>
          </cell>
          <cell r="P79">
            <v>1.8606851823319337E-2</v>
          </cell>
          <cell r="Q79">
            <v>-1.9086976032772207E-2</v>
          </cell>
          <cell r="R79">
            <v>-2.5169334560716572E-2</v>
          </cell>
        </row>
        <row r="80">
          <cell r="A80" t="str">
            <v>SG&amp;A</v>
          </cell>
          <cell r="B80" t="e">
            <v>#REF!</v>
          </cell>
          <cell r="C80" t="e">
            <v>#REF!</v>
          </cell>
          <cell r="D80">
            <v>266.88150300000001</v>
          </cell>
          <cell r="E80">
            <v>293.22300000000001</v>
          </cell>
          <cell r="F80">
            <v>301.012</v>
          </cell>
          <cell r="G80">
            <v>313.19499999999999</v>
          </cell>
          <cell r="H80">
            <v>378.50900000000001</v>
          </cell>
          <cell r="I80">
            <v>517.83500000000004</v>
          </cell>
          <cell r="J80">
            <v>348.06</v>
          </cell>
          <cell r="K80">
            <v>406.30900000000003</v>
          </cell>
          <cell r="L80">
            <v>434.43780000000004</v>
          </cell>
          <cell r="M80">
            <v>440.70045380000005</v>
          </cell>
          <cell r="N80">
            <v>496.43947486200011</v>
          </cell>
          <cell r="O80">
            <v>525.15783592470007</v>
          </cell>
          <cell r="P80">
            <v>547.58485032133535</v>
          </cell>
          <cell r="Q80">
            <v>554.30609178730424</v>
          </cell>
          <cell r="R80">
            <v>569.25756778791231</v>
          </cell>
        </row>
        <row r="81">
          <cell r="A81" t="str">
            <v>SG&amp;A Growth</v>
          </cell>
          <cell r="C81" t="e">
            <v>#REF!</v>
          </cell>
          <cell r="E81">
            <v>9.8701096568689417E-2</v>
          </cell>
          <cell r="F81">
            <v>2.6563400551798511E-2</v>
          </cell>
          <cell r="G81">
            <v>4.0473469496232761E-2</v>
          </cell>
          <cell r="H81">
            <v>0.20854100480531312</v>
          </cell>
          <cell r="I81">
            <v>0.36809164379182535</v>
          </cell>
          <cell r="J81">
            <v>-0.32785539795494711</v>
          </cell>
          <cell r="K81">
            <v>0.16735332988565199</v>
          </cell>
          <cell r="L81">
            <v>6.9230068740786077E-2</v>
          </cell>
          <cell r="M81">
            <v>1.4415536125079287E-2</v>
          </cell>
          <cell r="N81">
            <v>0.12647824748393766</v>
          </cell>
          <cell r="O81">
            <v>5.7848665379970132E-2</v>
          </cell>
          <cell r="P81">
            <v>4.2705283749876255E-2</v>
          </cell>
          <cell r="Q81">
            <v>1.2274337871153174E-2</v>
          </cell>
          <cell r="R81">
            <v>2.6973320737642581E-2</v>
          </cell>
        </row>
        <row r="82">
          <cell r="A82" t="str">
            <v>EBIT</v>
          </cell>
          <cell r="B82">
            <v>101.23421000000002</v>
          </cell>
          <cell r="C82">
            <v>102.40286699999983</v>
          </cell>
          <cell r="D82">
            <v>103.89498699999992</v>
          </cell>
          <cell r="E82">
            <v>-29.820000000000178</v>
          </cell>
          <cell r="F82">
            <v>-3.6129999999999725</v>
          </cell>
          <cell r="G82">
            <v>16.552000000000096</v>
          </cell>
          <cell r="H82">
            <v>74.936000000000064</v>
          </cell>
          <cell r="I82">
            <v>260.50100000000015</v>
          </cell>
          <cell r="J82">
            <v>15.800000000000164</v>
          </cell>
          <cell r="K82">
            <v>-16.957999999999995</v>
          </cell>
          <cell r="L82">
            <v>76.356535168145612</v>
          </cell>
          <cell r="M82">
            <v>103.13376334737862</v>
          </cell>
          <cell r="N82">
            <v>124.10273135166111</v>
          </cell>
          <cell r="O82">
            <v>164.75991500294703</v>
          </cell>
          <cell r="P82">
            <v>368.58684616003967</v>
          </cell>
          <cell r="Q82">
            <v>252.07950311545787</v>
          </cell>
          <cell r="R82">
            <v>277.19252401784183</v>
          </cell>
        </row>
        <row r="83">
          <cell r="A83" t="str">
            <v>EBIT Growth</v>
          </cell>
          <cell r="C83">
            <v>1.154409166624415E-2</v>
          </cell>
          <cell r="D83">
            <v>1.457107641332045E-2</v>
          </cell>
          <cell r="E83">
            <v>-1.2870205855071737</v>
          </cell>
          <cell r="F83">
            <v>-0.87883970489604457</v>
          </cell>
          <cell r="G83">
            <v>-5.5812344312206541</v>
          </cell>
          <cell r="H83">
            <v>3.5273078782020075</v>
          </cell>
          <cell r="I83">
            <v>2.4763131205295177</v>
          </cell>
          <cell r="J83">
            <v>-0.93934764165972429</v>
          </cell>
          <cell r="K83">
            <v>-2.0732911392404949</v>
          </cell>
          <cell r="L83">
            <v>-5.5026851732601507</v>
          </cell>
          <cell r="M83">
            <v>0.35068678954940213</v>
          </cell>
          <cell r="N83">
            <v>0.20331816976031503</v>
          </cell>
          <cell r="O83">
            <v>0.3276090961775735</v>
          </cell>
          <cell r="P83">
            <v>1.2371148112903971</v>
          </cell>
          <cell r="Q83">
            <v>-0.31609197196905547</v>
          </cell>
          <cell r="R83">
            <v>9.962341480370851E-2</v>
          </cell>
        </row>
        <row r="84">
          <cell r="A84" t="str">
            <v>Net Income</v>
          </cell>
          <cell r="B84">
            <v>52.125066000000025</v>
          </cell>
          <cell r="C84">
            <v>59.570846999999823</v>
          </cell>
          <cell r="D84">
            <v>60.343989999999913</v>
          </cell>
          <cell r="E84">
            <v>8.253999999999813</v>
          </cell>
          <cell r="F84">
            <v>13.624000000000029</v>
          </cell>
          <cell r="G84">
            <v>40.505000000000088</v>
          </cell>
          <cell r="H84">
            <v>48.39200000000006</v>
          </cell>
          <cell r="I84">
            <v>132.51800000000014</v>
          </cell>
          <cell r="J84">
            <v>-0.83499999999983554</v>
          </cell>
          <cell r="K84">
            <v>-54.082999999999991</v>
          </cell>
          <cell r="L84">
            <v>31.906442796432</v>
          </cell>
          <cell r="M84">
            <v>69.733574779664394</v>
          </cell>
          <cell r="N84">
            <v>89.307363841396082</v>
          </cell>
          <cell r="O84">
            <v>118.54718109637048</v>
          </cell>
          <cell r="P84">
            <v>284.58253315662637</v>
          </cell>
          <cell r="Q84">
            <v>199.26922423241714</v>
          </cell>
          <cell r="R84">
            <v>227.84415766581517</v>
          </cell>
        </row>
        <row r="85">
          <cell r="A85" t="str">
            <v>Dividends</v>
          </cell>
          <cell r="B85">
            <v>-14.381584</v>
          </cell>
          <cell r="C85">
            <v>-17.276910000000001</v>
          </cell>
          <cell r="D85">
            <v>-23.028214999999999</v>
          </cell>
          <cell r="E85">
            <v>-28.786162999999998</v>
          </cell>
          <cell r="F85">
            <v>-12.316080000000001</v>
          </cell>
          <cell r="G85">
            <v>-26.391599999999997</v>
          </cell>
          <cell r="H85">
            <v>-26.6694</v>
          </cell>
          <cell r="I85">
            <v>-27.702000000000002</v>
          </cell>
          <cell r="J85">
            <v>-9.4602000000000022</v>
          </cell>
          <cell r="K85">
            <v>-9.4733999999999998</v>
          </cell>
          <cell r="L85">
            <v>-9.4807930000000002</v>
          </cell>
          <cell r="M85">
            <v>-9.4807930000000002</v>
          </cell>
          <cell r="N85">
            <v>-9.4807930000000002</v>
          </cell>
          <cell r="O85">
            <v>-9.4807930000000002</v>
          </cell>
          <cell r="P85">
            <v>-9.4807930000000002</v>
          </cell>
          <cell r="Q85">
            <v>-9.4807930000000002</v>
          </cell>
          <cell r="R85">
            <v>-9.4807930000000002</v>
          </cell>
        </row>
        <row r="86">
          <cell r="A86" t="str">
            <v>Share Repurchases</v>
          </cell>
          <cell r="B86">
            <v>0</v>
          </cell>
          <cell r="C86">
            <v>0.46756500000000001</v>
          </cell>
          <cell r="D86">
            <v>0</v>
          </cell>
          <cell r="E86">
            <v>17.457000000000001</v>
          </cell>
          <cell r="F86">
            <v>1.4999999999999999E-2</v>
          </cell>
          <cell r="G86">
            <v>0</v>
          </cell>
          <cell r="H86">
            <v>0</v>
          </cell>
          <cell r="I86">
            <v>0</v>
          </cell>
          <cell r="J86">
            <v>0</v>
          </cell>
          <cell r="K86">
            <v>0</v>
          </cell>
          <cell r="L86">
            <v>0</v>
          </cell>
          <cell r="M86">
            <v>0</v>
          </cell>
          <cell r="N86">
            <v>0</v>
          </cell>
          <cell r="O86">
            <v>0</v>
          </cell>
          <cell r="P86">
            <v>0</v>
          </cell>
          <cell r="Q86">
            <v>0</v>
          </cell>
          <cell r="R86">
            <v>0</v>
          </cell>
        </row>
        <row r="87">
          <cell r="A87" t="str">
            <v>Retained Earnings</v>
          </cell>
          <cell r="B87">
            <v>37.743482000000029</v>
          </cell>
          <cell r="C87">
            <v>42.761501999999822</v>
          </cell>
          <cell r="D87">
            <v>37.315774999999917</v>
          </cell>
          <cell r="E87">
            <v>-3.0751630000001846</v>
          </cell>
          <cell r="F87">
            <v>1.3229200000000276</v>
          </cell>
          <cell r="G87">
            <v>14.113400000000091</v>
          </cell>
          <cell r="H87">
            <v>21.72260000000006</v>
          </cell>
          <cell r="I87">
            <v>104.81600000000014</v>
          </cell>
          <cell r="J87">
            <v>-10.295199999999838</v>
          </cell>
          <cell r="K87">
            <v>-63.556399999999989</v>
          </cell>
          <cell r="L87">
            <v>22.425649796431998</v>
          </cell>
          <cell r="M87">
            <v>60.252781779664396</v>
          </cell>
          <cell r="N87">
            <v>79.826570841396077</v>
          </cell>
          <cell r="O87">
            <v>109.06638809637047</v>
          </cell>
          <cell r="P87">
            <v>275.10174015662636</v>
          </cell>
          <cell r="Q87">
            <v>189.78843123241714</v>
          </cell>
          <cell r="R87">
            <v>218.36336466581517</v>
          </cell>
        </row>
        <row r="88">
          <cell r="A88" t="str">
            <v>Growth in Capex on Tangibles</v>
          </cell>
          <cell r="C88" t="e">
            <v>#DIV/0!</v>
          </cell>
          <cell r="D88" t="e">
            <v>#DIV/0!</v>
          </cell>
          <cell r="E88" t="e">
            <v>#DIV/0!</v>
          </cell>
          <cell r="F88">
            <v>-2.3478755250739836E-3</v>
          </cell>
          <cell r="G88">
            <v>-0.18663192310528776</v>
          </cell>
          <cell r="H88">
            <v>-0.37371172968235256</v>
          </cell>
          <cell r="I88">
            <v>0.27420133191776852</v>
          </cell>
          <cell r="J88">
            <v>-1</v>
          </cell>
          <cell r="K88" t="e">
            <v>#DIV/0!</v>
          </cell>
          <cell r="L88">
            <v>7.0000000000000062E-2</v>
          </cell>
          <cell r="M88">
            <v>7.0000000000000062E-2</v>
          </cell>
          <cell r="N88">
            <v>7.0000000000000062E-2</v>
          </cell>
          <cell r="O88">
            <v>7.0000000000000062E-2</v>
          </cell>
          <cell r="P88">
            <v>7.0000000000000062E-2</v>
          </cell>
          <cell r="Q88">
            <v>7.0000000000000062E-2</v>
          </cell>
          <cell r="R88">
            <v>7.0000000000000062E-2</v>
          </cell>
        </row>
        <row r="89">
          <cell r="A89" t="str">
            <v>Royalties from Forest</v>
          </cell>
        </row>
        <row r="90">
          <cell r="A90" t="str">
            <v>Growth in Royalties</v>
          </cell>
        </row>
        <row r="91">
          <cell r="A91" t="str">
            <v>AOCI</v>
          </cell>
          <cell r="C91">
            <v>37.538570999999997</v>
          </cell>
          <cell r="D91">
            <v>17.930478999999998</v>
          </cell>
          <cell r="E91">
            <v>50.631999999999998</v>
          </cell>
          <cell r="F91">
            <v>68.466999999999999</v>
          </cell>
          <cell r="G91">
            <v>84.483999999999995</v>
          </cell>
          <cell r="H91">
            <v>36.89</v>
          </cell>
          <cell r="I91">
            <v>-30.803000000000001</v>
          </cell>
          <cell r="J91">
            <v>-61.014000000000003</v>
          </cell>
          <cell r="K91">
            <v>0.58000000000000007</v>
          </cell>
          <cell r="L91">
            <v>0</v>
          </cell>
          <cell r="M91">
            <v>0</v>
          </cell>
          <cell r="N91">
            <v>0</v>
          </cell>
          <cell r="O91">
            <v>0</v>
          </cell>
          <cell r="P91">
            <v>0</v>
          </cell>
          <cell r="Q91">
            <v>0</v>
          </cell>
          <cell r="R91">
            <v>0</v>
          </cell>
        </row>
        <row r="92">
          <cell r="A92" t="str">
            <v xml:space="preserve">Change in Accum Other Comp Inc </v>
          </cell>
          <cell r="C92">
            <v>27.424858999999998</v>
          </cell>
          <cell r="D92">
            <v>-19.598893999999998</v>
          </cell>
          <cell r="E92">
            <v>33.128844999999998</v>
          </cell>
          <cell r="F92">
            <v>18.050999999999995</v>
          </cell>
          <cell r="G92">
            <v>16.230000000000004</v>
          </cell>
          <cell r="H92">
            <v>-47.571999999999996</v>
          </cell>
          <cell r="I92">
            <v>-68.004999999999995</v>
          </cell>
          <cell r="J92">
            <v>-30.323</v>
          </cell>
          <cell r="K92">
            <v>60.968000000000004</v>
          </cell>
          <cell r="L92">
            <v>0</v>
          </cell>
          <cell r="M92">
            <v>0</v>
          </cell>
          <cell r="N92">
            <v>0</v>
          </cell>
          <cell r="O92">
            <v>0</v>
          </cell>
          <cell r="P92">
            <v>0</v>
          </cell>
          <cell r="Q92">
            <v>0</v>
          </cell>
          <cell r="R92">
            <v>0</v>
          </cell>
        </row>
        <row r="93">
          <cell r="A93" t="str">
            <v>Unrecorded Goodwill from Pooling and Amortised or Written off</v>
          </cell>
          <cell r="B93">
            <v>0</v>
          </cell>
          <cell r="C93">
            <v>0</v>
          </cell>
          <cell r="D93">
            <v>39.129825000000004</v>
          </cell>
          <cell r="E93">
            <v>85.097852000000003</v>
          </cell>
          <cell r="F93">
            <v>92.337999999999994</v>
          </cell>
          <cell r="G93">
            <v>100.193</v>
          </cell>
          <cell r="H93">
            <v>86.975999999999999</v>
          </cell>
          <cell r="I93">
            <v>74.251999999999995</v>
          </cell>
          <cell r="J93">
            <v>39.920999999999999</v>
          </cell>
          <cell r="K93">
            <v>43.542999999999999</v>
          </cell>
          <cell r="L93">
            <v>0</v>
          </cell>
          <cell r="M93">
            <v>0</v>
          </cell>
          <cell r="N93">
            <v>0</v>
          </cell>
          <cell r="O93">
            <v>0</v>
          </cell>
          <cell r="P93">
            <v>0</v>
          </cell>
          <cell r="Q93">
            <v>0</v>
          </cell>
          <cell r="R93">
            <v>0</v>
          </cell>
          <cell r="W93" t="str">
            <v>mstag:unrecordedGoodwillFromPoolingAndAmortizedOrWrittenOffGoodwill</v>
          </cell>
          <cell r="X93">
            <v>6</v>
          </cell>
          <cell r="Y93" t="str">
            <v>ISO4217:EUR</v>
          </cell>
          <cell r="Z93" t="b">
            <v>0</v>
          </cell>
          <cell r="AA93" t="b">
            <v>0</v>
          </cell>
        </row>
        <row r="95">
          <cell r="A95" t="str">
            <v>INPUTS</v>
          </cell>
        </row>
        <row r="96">
          <cell r="A96" t="str">
            <v>1) WORKING CAPITAL</v>
          </cell>
        </row>
        <row r="97">
          <cell r="A97" t="str">
            <v>Inventories</v>
          </cell>
          <cell r="B97">
            <v>75.989277000000001</v>
          </cell>
          <cell r="C97">
            <v>86.322208000000003</v>
          </cell>
          <cell r="D97">
            <v>93.314731999999992</v>
          </cell>
          <cell r="E97">
            <v>125.167</v>
          </cell>
          <cell r="F97">
            <v>80.608999999999995</v>
          </cell>
          <cell r="G97">
            <v>87.266999999999996</v>
          </cell>
          <cell r="H97">
            <v>94.063000000000002</v>
          </cell>
          <cell r="I97">
            <v>115.83</v>
          </cell>
          <cell r="J97">
            <v>83.697999999999993</v>
          </cell>
          <cell r="K97">
            <v>87.27</v>
          </cell>
          <cell r="L97">
            <v>82.316920109895619</v>
          </cell>
          <cell r="M97">
            <v>80.016221729569921</v>
          </cell>
          <cell r="N97">
            <v>87.903297484484654</v>
          </cell>
          <cell r="O97">
            <v>91.22618040322007</v>
          </cell>
          <cell r="P97">
            <v>92.923612424390186</v>
          </cell>
          <cell r="Q97">
            <v>91.149981661167232</v>
          </cell>
          <cell r="R97">
            <v>88.855797277534123</v>
          </cell>
          <cell r="S97" t="str">
            <v>Feeds into balance sheet</v>
          </cell>
        </row>
        <row r="98">
          <cell r="A98" t="str">
            <v>Change in Inventories</v>
          </cell>
          <cell r="C98">
            <v>10.332931000000002</v>
          </cell>
          <cell r="D98">
            <v>6.9925239999999889</v>
          </cell>
          <cell r="E98">
            <v>31.852268000000009</v>
          </cell>
          <cell r="F98">
            <v>-44.558000000000007</v>
          </cell>
          <cell r="G98">
            <v>6.6580000000000013</v>
          </cell>
          <cell r="H98">
            <v>6.7960000000000065</v>
          </cell>
          <cell r="I98">
            <v>21.766999999999996</v>
          </cell>
          <cell r="J98">
            <v>-32.132000000000005</v>
          </cell>
          <cell r="K98">
            <v>3.5720000000000027</v>
          </cell>
          <cell r="L98">
            <v>-4.9530798901043767</v>
          </cell>
          <cell r="M98">
            <v>-2.3006983803256986</v>
          </cell>
          <cell r="N98">
            <v>7.8870757549147328</v>
          </cell>
          <cell r="O98">
            <v>3.3228829187354165</v>
          </cell>
          <cell r="P98">
            <v>1.6974320211701155</v>
          </cell>
          <cell r="Q98">
            <v>-1.773630763222954</v>
          </cell>
          <cell r="R98">
            <v>-2.2941843836331088</v>
          </cell>
          <cell r="S98" t="str">
            <v>Feeds into Cash Flow</v>
          </cell>
        </row>
        <row r="99">
          <cell r="A99" t="str">
            <v>Inventory Days</v>
          </cell>
          <cell r="C99">
            <v>162.57295632639716</v>
          </cell>
          <cell r="D99">
            <v>179.32663773551397</v>
          </cell>
          <cell r="E99">
            <v>204.70099070654524</v>
          </cell>
          <cell r="F99">
            <v>100.14017514660786</v>
          </cell>
          <cell r="G99">
            <v>104.56833186150115</v>
          </cell>
          <cell r="H99">
            <v>113.7946869510457</v>
          </cell>
          <cell r="I99">
            <v>130.05998800239951</v>
          </cell>
          <cell r="J99">
            <v>79.283536150190869</v>
          </cell>
          <cell r="K99">
            <v>100.18792972214708</v>
          </cell>
          <cell r="L99">
            <v>100.18792972214708</v>
          </cell>
          <cell r="M99">
            <v>100.18792972214708</v>
          </cell>
          <cell r="N99">
            <v>100.18792972214708</v>
          </cell>
          <cell r="O99">
            <v>100.18792972214708</v>
          </cell>
          <cell r="P99">
            <v>100.18792972214708</v>
          </cell>
          <cell r="Q99">
            <v>100.18792972214708</v>
          </cell>
          <cell r="R99">
            <v>100.18792972214708</v>
          </cell>
          <cell r="S99" t="str">
            <v>Input</v>
          </cell>
        </row>
        <row r="101">
          <cell r="A101" t="str">
            <v>Trade Receivables</v>
          </cell>
          <cell r="B101">
            <v>72.037203000000005</v>
          </cell>
          <cell r="C101">
            <v>76.260107000000005</v>
          </cell>
          <cell r="D101">
            <v>115.52994600000001</v>
          </cell>
          <cell r="E101">
            <v>103.136</v>
          </cell>
          <cell r="F101">
            <v>108.688</v>
          </cell>
          <cell r="G101">
            <v>125.694</v>
          </cell>
          <cell r="H101">
            <v>147.99799999999999</v>
          </cell>
          <cell r="I101">
            <v>162.321</v>
          </cell>
          <cell r="J101">
            <v>142.88200000000001</v>
          </cell>
          <cell r="K101">
            <v>161.37700000000001</v>
          </cell>
          <cell r="L101">
            <v>153.85987097353856</v>
          </cell>
          <cell r="M101">
            <v>153.85987097353856</v>
          </cell>
          <cell r="N101">
            <v>152.75703832086921</v>
          </cell>
          <cell r="O101">
            <v>175.81829561893227</v>
          </cell>
          <cell r="P101">
            <v>190.12224157808785</v>
          </cell>
          <cell r="Q101">
            <v>202.74695371211178</v>
          </cell>
          <cell r="R101">
            <v>210.00845782023572</v>
          </cell>
          <cell r="S101" t="str">
            <v>Feeds into balance sheet</v>
          </cell>
        </row>
        <row r="102">
          <cell r="A102" t="str">
            <v>Change in Trade Receivables</v>
          </cell>
          <cell r="C102">
            <v>4.2229039999999998</v>
          </cell>
          <cell r="D102">
            <v>39.269839000000005</v>
          </cell>
          <cell r="E102">
            <v>-12.393946000000014</v>
          </cell>
          <cell r="F102">
            <v>5.5520000000000067</v>
          </cell>
          <cell r="G102">
            <v>17.006</v>
          </cell>
          <cell r="H102">
            <v>22.303999999999988</v>
          </cell>
          <cell r="I102">
            <v>14.323000000000008</v>
          </cell>
          <cell r="J102">
            <v>-19.438999999999993</v>
          </cell>
          <cell r="K102">
            <v>18.495000000000005</v>
          </cell>
          <cell r="L102">
            <v>-7.517129026461447</v>
          </cell>
          <cell r="M102">
            <v>0</v>
          </cell>
          <cell r="N102">
            <v>-1.102832652669349</v>
          </cell>
          <cell r="O102">
            <v>23.061257298063055</v>
          </cell>
          <cell r="P102">
            <v>14.303945959155584</v>
          </cell>
          <cell r="Q102">
            <v>12.624712134023923</v>
          </cell>
          <cell r="R102">
            <v>7.261504108123944</v>
          </cell>
          <cell r="S102" t="str">
            <v>Feeds into Cash Flow</v>
          </cell>
        </row>
        <row r="103">
          <cell r="A103" t="str">
            <v>Trade Receivable Days</v>
          </cell>
          <cell r="C103">
            <v>45.571599479626371</v>
          </cell>
          <cell r="D103">
            <v>64.854657125679353</v>
          </cell>
          <cell r="E103">
            <v>55.255420775579609</v>
          </cell>
          <cell r="F103">
            <v>56.200701816023347</v>
          </cell>
          <cell r="G103">
            <v>62.318403351299665</v>
          </cell>
          <cell r="H103">
            <v>70.36251120188399</v>
          </cell>
          <cell r="I103">
            <v>61.489438878129874</v>
          </cell>
          <cell r="J103">
            <v>34.854415520100197</v>
          </cell>
          <cell r="K103">
            <v>59.463224278497677</v>
          </cell>
          <cell r="L103">
            <v>59.463224278497691</v>
          </cell>
          <cell r="M103">
            <v>59.463224278497691</v>
          </cell>
          <cell r="N103">
            <v>59.463224278497691</v>
          </cell>
          <cell r="O103">
            <v>59.463224278497691</v>
          </cell>
          <cell r="P103">
            <v>59.463224278497691</v>
          </cell>
          <cell r="Q103">
            <v>59.463224278497691</v>
          </cell>
          <cell r="R103">
            <v>59.463224278497691</v>
          </cell>
          <cell r="S103" t="str">
            <v>Input</v>
          </cell>
        </row>
        <row r="105">
          <cell r="A105" t="str">
            <v>Other Receivables (Current)</v>
          </cell>
          <cell r="B105">
            <v>13.791889999999999</v>
          </cell>
          <cell r="C105">
            <v>19.071031000000001</v>
          </cell>
          <cell r="D105">
            <v>24.276588</v>
          </cell>
          <cell r="E105">
            <v>30.161000000000001</v>
          </cell>
          <cell r="F105">
            <v>30.135999999999999</v>
          </cell>
          <cell r="G105">
            <v>0</v>
          </cell>
          <cell r="H105">
            <v>0</v>
          </cell>
          <cell r="I105">
            <v>0</v>
          </cell>
          <cell r="J105">
            <v>25.591000000000001</v>
          </cell>
          <cell r="K105">
            <v>17.077000000000002</v>
          </cell>
          <cell r="L105">
            <v>16.281533406960829</v>
          </cell>
          <cell r="M105">
            <v>16.16483106889757</v>
          </cell>
          <cell r="N105">
            <v>18.605185585830107</v>
          </cell>
          <cell r="O105">
            <v>20.118836757586305</v>
          </cell>
          <cell r="P105">
            <v>21.454790512537297</v>
          </cell>
          <cell r="Q105">
            <v>22.22320674071376</v>
          </cell>
          <cell r="R105">
            <v>22.822640423949974</v>
          </cell>
          <cell r="S105" t="str">
            <v>Linked to Sales Growth</v>
          </cell>
        </row>
        <row r="106">
          <cell r="A106" t="str">
            <v>Change in Other Receivables</v>
          </cell>
          <cell r="C106">
            <v>5.2791410000000027</v>
          </cell>
          <cell r="D106">
            <v>5.2055569999999989</v>
          </cell>
          <cell r="E106">
            <v>5.8844120000000011</v>
          </cell>
          <cell r="F106">
            <v>-2.5000000000002132E-2</v>
          </cell>
          <cell r="G106">
            <v>-30.135999999999999</v>
          </cell>
          <cell r="H106">
            <v>0</v>
          </cell>
          <cell r="I106">
            <v>0</v>
          </cell>
          <cell r="J106">
            <v>25.591000000000001</v>
          </cell>
          <cell r="K106">
            <v>-8.5139999999999993</v>
          </cell>
          <cell r="L106">
            <v>-0.79546659303917266</v>
          </cell>
          <cell r="M106">
            <v>-0.11670233806325925</v>
          </cell>
          <cell r="N106">
            <v>2.4403545169325369</v>
          </cell>
          <cell r="O106">
            <v>1.513651171756198</v>
          </cell>
          <cell r="P106">
            <v>1.3359537549509923</v>
          </cell>
          <cell r="Q106">
            <v>0.76841622817646282</v>
          </cell>
          <cell r="R106">
            <v>0.59943368323621371</v>
          </cell>
          <cell r="S106" t="str">
            <v>Feeds into Cash Flow</v>
          </cell>
        </row>
        <row r="108">
          <cell r="A108" t="str">
            <v>Trade Creditors</v>
          </cell>
          <cell r="B108">
            <v>37.657634000000002</v>
          </cell>
          <cell r="C108">
            <v>36.301440000000007</v>
          </cell>
          <cell r="D108">
            <v>36.231433000000003</v>
          </cell>
          <cell r="E108">
            <v>55.984000000000002</v>
          </cell>
          <cell r="F108">
            <v>52.845999999999997</v>
          </cell>
          <cell r="G108">
            <v>55.195</v>
          </cell>
          <cell r="H108">
            <v>53.57</v>
          </cell>
          <cell r="I108">
            <v>53.73</v>
          </cell>
          <cell r="J108">
            <v>45.874000000000002</v>
          </cell>
          <cell r="K108">
            <v>68.201999999999998</v>
          </cell>
          <cell r="L108">
            <v>65.02507123157126</v>
          </cell>
          <cell r="M108">
            <v>64.558986271649133</v>
          </cell>
          <cell r="N108">
            <v>74.305256621466597</v>
          </cell>
          <cell r="O108">
            <v>80.350465804350961</v>
          </cell>
          <cell r="P108">
            <v>85.685988319732317</v>
          </cell>
          <cell r="Q108">
            <v>88.754883535173633</v>
          </cell>
          <cell r="R108">
            <v>91.14889747579997</v>
          </cell>
          <cell r="S108" t="str">
            <v>Feeds into balance sheet</v>
          </cell>
        </row>
        <row r="109">
          <cell r="A109" t="str">
            <v>Change in Trade Creditors</v>
          </cell>
          <cell r="C109">
            <v>-1.356193999999995</v>
          </cell>
          <cell r="D109">
            <v>-7.0007000000003927E-2</v>
          </cell>
          <cell r="E109">
            <v>19.752566999999999</v>
          </cell>
          <cell r="F109">
            <v>-3.1380000000000052</v>
          </cell>
          <cell r="G109">
            <v>2.3490000000000038</v>
          </cell>
          <cell r="H109">
            <v>-1.625</v>
          </cell>
          <cell r="I109">
            <v>0.15999999999999659</v>
          </cell>
          <cell r="J109">
            <v>-7.8559999999999945</v>
          </cell>
          <cell r="K109">
            <v>22.327999999999996</v>
          </cell>
          <cell r="L109">
            <v>-3.1769287684287377</v>
          </cell>
          <cell r="M109">
            <v>-0.46608495992212795</v>
          </cell>
          <cell r="N109">
            <v>9.7462703498174648</v>
          </cell>
          <cell r="O109">
            <v>6.0452091828843635</v>
          </cell>
          <cell r="P109">
            <v>5.3355225153813564</v>
          </cell>
          <cell r="Q109">
            <v>3.0688952154413158</v>
          </cell>
          <cell r="R109">
            <v>2.394013940626337</v>
          </cell>
          <cell r="S109" t="str">
            <v>Feeds into Cash Flow</v>
          </cell>
        </row>
        <row r="110">
          <cell r="A110" t="str">
            <v>Trade Creditor Days</v>
          </cell>
          <cell r="C110">
            <v>21.69305485256778</v>
          </cell>
          <cell r="D110">
            <v>20.339117655149114</v>
          </cell>
          <cell r="E110">
            <v>29.993595608711303</v>
          </cell>
          <cell r="F110">
            <v>27.325760784719289</v>
          </cell>
          <cell r="G110">
            <v>27.365381585238637</v>
          </cell>
          <cell r="H110">
            <v>25.468720692745343</v>
          </cell>
          <cell r="I110">
            <v>20.353666814040807</v>
          </cell>
          <cell r="J110">
            <v>43.454478450546688</v>
          </cell>
          <cell r="K110">
            <v>25.130661880206588</v>
          </cell>
          <cell r="L110">
            <v>25.130661880206588</v>
          </cell>
          <cell r="M110">
            <v>25.130661880206588</v>
          </cell>
          <cell r="N110">
            <v>25.130661880206588</v>
          </cell>
          <cell r="O110">
            <v>25.130661880206588</v>
          </cell>
          <cell r="P110">
            <v>25.130661880206588</v>
          </cell>
          <cell r="Q110">
            <v>25.130661880206588</v>
          </cell>
          <cell r="R110">
            <v>25.130661880206588</v>
          </cell>
          <cell r="S110" t="str">
            <v>Input</v>
          </cell>
        </row>
        <row r="112">
          <cell r="A112" t="str">
            <v>Other Creditors</v>
          </cell>
          <cell r="B112">
            <v>50.606374000000002</v>
          </cell>
          <cell r="C112">
            <v>58.115008000000003</v>
          </cell>
          <cell r="D112">
            <v>92.486401000000001</v>
          </cell>
          <cell r="E112">
            <v>109.773</v>
          </cell>
          <cell r="F112">
            <v>101.087</v>
          </cell>
          <cell r="G112">
            <v>90.296999999999997</v>
          </cell>
          <cell r="H112">
            <v>234.80199999999999</v>
          </cell>
          <cell r="I112">
            <v>217.24299999999999</v>
          </cell>
          <cell r="J112">
            <v>199.56</v>
          </cell>
          <cell r="K112">
            <v>223.74100000000001</v>
          </cell>
          <cell r="L112">
            <v>239.23060481013223</v>
          </cell>
          <cell r="M112">
            <v>242.67924223599726</v>
          </cell>
          <cell r="N112">
            <v>273.37288749473618</v>
          </cell>
          <cell r="O112">
            <v>289.1871441873754</v>
          </cell>
          <cell r="P112">
            <v>301.53696323671363</v>
          </cell>
          <cell r="Q112">
            <v>305.23812980412254</v>
          </cell>
          <cell r="R112">
            <v>313.47141578068732</v>
          </cell>
          <cell r="S112" t="str">
            <v>Linked to SG&amp;A Growth</v>
          </cell>
        </row>
        <row r="113">
          <cell r="A113" t="str">
            <v>Change in Other Creditors</v>
          </cell>
          <cell r="C113">
            <v>7.5086340000000007</v>
          </cell>
          <cell r="D113">
            <v>34.371392999999998</v>
          </cell>
          <cell r="E113">
            <v>17.286598999999995</v>
          </cell>
          <cell r="F113">
            <v>-8.6859999999999928</v>
          </cell>
          <cell r="G113">
            <v>-10.790000000000006</v>
          </cell>
          <cell r="H113">
            <v>144.505</v>
          </cell>
          <cell r="I113">
            <v>-17.558999999999997</v>
          </cell>
          <cell r="J113">
            <v>-17.682999999999993</v>
          </cell>
          <cell r="K113">
            <v>24.181000000000012</v>
          </cell>
          <cell r="L113">
            <v>15.489604810132221</v>
          </cell>
          <cell r="M113">
            <v>3.4486374258650301</v>
          </cell>
          <cell r="N113">
            <v>30.693645258738911</v>
          </cell>
          <cell r="O113">
            <v>15.814256692639219</v>
          </cell>
          <cell r="P113">
            <v>12.349819049338237</v>
          </cell>
          <cell r="Q113">
            <v>3.7011665674089045</v>
          </cell>
          <cell r="R113">
            <v>8.2332859765647868</v>
          </cell>
          <cell r="S113" t="str">
            <v>Feeds into Cash Flow</v>
          </cell>
        </row>
        <row r="115">
          <cell r="A115" t="str">
            <v>2) TANGIBLE FIXED ASSETS</v>
          </cell>
        </row>
        <row r="116">
          <cell r="A116" t="str">
            <v>Cost</v>
          </cell>
        </row>
        <row r="117">
          <cell r="A117" t="str">
            <v>Cost at start of year</v>
          </cell>
          <cell r="E117">
            <v>243.28198999999998</v>
          </cell>
          <cell r="F117">
            <v>280.71499999999997</v>
          </cell>
          <cell r="G117">
            <v>301.11099999999999</v>
          </cell>
          <cell r="H117">
            <v>325.53499999999997</v>
          </cell>
          <cell r="I117">
            <v>313.51699999999994</v>
          </cell>
          <cell r="J117">
            <v>309.36199999999997</v>
          </cell>
          <cell r="K117">
            <v>314.90899999999999</v>
          </cell>
          <cell r="L117">
            <v>342.14499999999998</v>
          </cell>
          <cell r="M117">
            <v>357.51209</v>
          </cell>
          <cell r="N117">
            <v>375.09524629999999</v>
          </cell>
          <cell r="O117">
            <v>395.04959354099998</v>
          </cell>
          <cell r="P117">
            <v>417.54111508886996</v>
          </cell>
          <cell r="Q117">
            <v>442.74741314509089</v>
          </cell>
          <cell r="R117">
            <v>470.85852206524726</v>
          </cell>
        </row>
        <row r="118">
          <cell r="A118" t="str">
            <v>Exchange adjustments</v>
          </cell>
          <cell r="E118">
            <v>9.916977000000001</v>
          </cell>
          <cell r="F118">
            <v>7.15</v>
          </cell>
          <cell r="G118">
            <v>5.633</v>
          </cell>
          <cell r="H118">
            <v>-16.722999999999999</v>
          </cell>
          <cell r="I118">
            <v>-16.655999999999999</v>
          </cell>
          <cell r="K118">
            <v>13.94</v>
          </cell>
          <cell r="L118">
            <v>0</v>
          </cell>
          <cell r="M118">
            <v>0</v>
          </cell>
          <cell r="N118">
            <v>0</v>
          </cell>
          <cell r="O118">
            <v>0</v>
          </cell>
          <cell r="P118">
            <v>0</v>
          </cell>
          <cell r="Q118">
            <v>0</v>
          </cell>
          <cell r="R118">
            <v>0</v>
          </cell>
          <cell r="S118" t="str">
            <v>Hard Coded as 0</v>
          </cell>
        </row>
        <row r="119">
          <cell r="A119" t="str">
            <v>Additions on Acquisitions</v>
          </cell>
          <cell r="E119">
            <v>-3.8381210000000001</v>
          </cell>
          <cell r="F119">
            <v>-0.51</v>
          </cell>
          <cell r="G119">
            <v>0</v>
          </cell>
          <cell r="H119">
            <v>-1.9E-2</v>
          </cell>
          <cell r="I119">
            <v>0</v>
          </cell>
          <cell r="K119">
            <v>0</v>
          </cell>
          <cell r="L119">
            <v>0</v>
          </cell>
          <cell r="M119">
            <v>0</v>
          </cell>
          <cell r="N119">
            <v>0</v>
          </cell>
          <cell r="O119">
            <v>0</v>
          </cell>
          <cell r="P119">
            <v>0</v>
          </cell>
          <cell r="Q119">
            <v>0</v>
          </cell>
          <cell r="R119">
            <v>0</v>
          </cell>
          <cell r="S119" t="str">
            <v>Hard Coded as 0</v>
          </cell>
        </row>
        <row r="120">
          <cell r="A120" t="str">
            <v>CAPEX</v>
          </cell>
          <cell r="E120">
            <v>40.774734000000002</v>
          </cell>
          <cell r="F120">
            <v>40.679000000000002</v>
          </cell>
          <cell r="G120">
            <v>33.087000000000003</v>
          </cell>
          <cell r="H120">
            <v>20.722000000000001</v>
          </cell>
          <cell r="I120">
            <v>26.404</v>
          </cell>
          <cell r="K120">
            <v>29.587</v>
          </cell>
          <cell r="L120">
            <v>31.658090000000001</v>
          </cell>
          <cell r="M120">
            <v>33.874156300000003</v>
          </cell>
          <cell r="N120">
            <v>36.245347241000005</v>
          </cell>
          <cell r="O120">
            <v>38.782521547870004</v>
          </cell>
          <cell r="P120">
            <v>41.497298056220906</v>
          </cell>
          <cell r="Q120">
            <v>44.402108920156373</v>
          </cell>
          <cell r="R120">
            <v>47.510256544567319</v>
          </cell>
          <cell r="S120" t="str">
            <v>Grows at 10% per year</v>
          </cell>
        </row>
        <row r="121">
          <cell r="A121" t="str">
            <v>Reclassification</v>
          </cell>
          <cell r="E121">
            <v>1.647975</v>
          </cell>
          <cell r="F121">
            <v>0.42399999999999999</v>
          </cell>
          <cell r="G121">
            <v>0</v>
          </cell>
          <cell r="H121">
            <v>-5.1150000000000002</v>
          </cell>
          <cell r="I121">
            <v>-0.43099999999999999</v>
          </cell>
          <cell r="K121">
            <v>0</v>
          </cell>
          <cell r="L121">
            <v>0</v>
          </cell>
          <cell r="M121">
            <v>0</v>
          </cell>
          <cell r="N121">
            <v>0</v>
          </cell>
          <cell r="O121">
            <v>0</v>
          </cell>
          <cell r="P121">
            <v>0</v>
          </cell>
          <cell r="Q121">
            <v>0</v>
          </cell>
          <cell r="R121">
            <v>0</v>
          </cell>
          <cell r="S121" t="str">
            <v>Hard Coded as 0</v>
          </cell>
        </row>
        <row r="122">
          <cell r="A122" t="str">
            <v>Disposals</v>
          </cell>
          <cell r="E122">
            <v>-11.228714</v>
          </cell>
          <cell r="F122">
            <v>-27.347000000000001</v>
          </cell>
          <cell r="G122">
            <v>-14.295999999999999</v>
          </cell>
          <cell r="H122">
            <v>-10.882999999999999</v>
          </cell>
          <cell r="I122">
            <v>-13.472</v>
          </cell>
          <cell r="K122">
            <v>-16.291</v>
          </cell>
          <cell r="L122">
            <v>-16.291</v>
          </cell>
          <cell r="M122">
            <v>-16.291</v>
          </cell>
          <cell r="N122">
            <v>-16.291</v>
          </cell>
          <cell r="O122">
            <v>-16.291</v>
          </cell>
          <cell r="P122">
            <v>-16.291</v>
          </cell>
          <cell r="Q122">
            <v>-16.291</v>
          </cell>
          <cell r="R122">
            <v>-16.291</v>
          </cell>
          <cell r="S122" t="str">
            <v>Constant</v>
          </cell>
        </row>
        <row r="123">
          <cell r="A123" t="str">
            <v>Cost at end of year</v>
          </cell>
          <cell r="B123" t="e">
            <v>#REF!</v>
          </cell>
          <cell r="C123" t="e">
            <v>#REF!</v>
          </cell>
          <cell r="D123">
            <v>243.28198999999998</v>
          </cell>
          <cell r="E123">
            <v>280.55484099999995</v>
          </cell>
          <cell r="F123">
            <v>301.11099999999999</v>
          </cell>
          <cell r="G123">
            <v>325.53499999999997</v>
          </cell>
          <cell r="H123">
            <v>313.51699999999994</v>
          </cell>
          <cell r="I123">
            <v>309.36199999999997</v>
          </cell>
          <cell r="J123">
            <v>314.90899999999999</v>
          </cell>
          <cell r="K123">
            <v>342.14499999999998</v>
          </cell>
          <cell r="L123">
            <v>357.51209</v>
          </cell>
          <cell r="M123">
            <v>375.09524629999999</v>
          </cell>
          <cell r="N123">
            <v>395.04959354099998</v>
          </cell>
          <cell r="O123">
            <v>417.54111508886996</v>
          </cell>
          <cell r="P123">
            <v>442.74741314509089</v>
          </cell>
          <cell r="Q123">
            <v>470.85852206524726</v>
          </cell>
          <cell r="R123">
            <v>502.07777860981463</v>
          </cell>
        </row>
        <row r="124">
          <cell r="A124" t="str">
            <v>Depreciation</v>
          </cell>
        </row>
        <row r="125">
          <cell r="A125" t="str">
            <v>At start of year</v>
          </cell>
          <cell r="E125">
            <v>110.70252900000001</v>
          </cell>
          <cell r="F125">
            <v>115.849</v>
          </cell>
          <cell r="G125">
            <v>121.58700000000002</v>
          </cell>
          <cell r="H125">
            <v>132.50300000000001</v>
          </cell>
          <cell r="I125">
            <v>141.52200000000002</v>
          </cell>
          <cell r="J125">
            <v>148.32300000000001</v>
          </cell>
          <cell r="K125">
            <v>162.00800000000001</v>
          </cell>
          <cell r="L125">
            <v>177.83599999999998</v>
          </cell>
          <cell r="M125">
            <v>186.75486678440438</v>
          </cell>
          <cell r="N125">
            <v>197.67920709243339</v>
          </cell>
          <cell r="O125">
            <v>210.74458841376637</v>
          </cell>
          <cell r="P125">
            <v>226.0961642754998</v>
          </cell>
          <cell r="Q125">
            <v>243.88934333850358</v>
          </cell>
          <cell r="R125">
            <v>264.29050536904759</v>
          </cell>
        </row>
        <row r="126">
          <cell r="A126" t="str">
            <v>Exchange adjustments</v>
          </cell>
          <cell r="E126">
            <v>3.3608470000000001</v>
          </cell>
          <cell r="F126">
            <v>2.2050000000000001</v>
          </cell>
          <cell r="G126">
            <v>1.6140000000000001</v>
          </cell>
          <cell r="H126">
            <v>-5.2619999999999996</v>
          </cell>
          <cell r="I126">
            <v>-6.274</v>
          </cell>
          <cell r="K126">
            <v>6.1050000000000004</v>
          </cell>
          <cell r="L126">
            <v>0</v>
          </cell>
          <cell r="M126">
            <v>0</v>
          </cell>
          <cell r="N126">
            <v>0</v>
          </cell>
          <cell r="O126">
            <v>0</v>
          </cell>
          <cell r="P126">
            <v>0</v>
          </cell>
          <cell r="Q126">
            <v>0</v>
          </cell>
          <cell r="R126">
            <v>0</v>
          </cell>
          <cell r="S126" t="str">
            <v>Hard Coded as 0</v>
          </cell>
        </row>
        <row r="127">
          <cell r="A127" t="str">
            <v>Depreciation charge (P&amp;L)</v>
          </cell>
          <cell r="E127">
            <v>18.538057999999999</v>
          </cell>
          <cell r="F127">
            <v>23.832999999999998</v>
          </cell>
          <cell r="G127">
            <v>22.678000000000001</v>
          </cell>
          <cell r="H127">
            <v>24.236999999999998</v>
          </cell>
          <cell r="I127">
            <v>23.504000000000001</v>
          </cell>
          <cell r="K127">
            <v>23.331</v>
          </cell>
          <cell r="L127">
            <v>25.209866784404383</v>
          </cell>
          <cell r="M127">
            <v>27.215340308028988</v>
          </cell>
          <cell r="N127">
            <v>29.356381321332986</v>
          </cell>
          <cell r="O127">
            <v>31.642575861733427</v>
          </cell>
          <cell r="P127">
            <v>34.084179063003752</v>
          </cell>
          <cell r="Q127">
            <v>36.692162030544026</v>
          </cell>
          <cell r="R127">
            <v>39.478261997149517</v>
          </cell>
          <cell r="S127" t="str">
            <v>2% Fall off</v>
          </cell>
        </row>
        <row r="128">
          <cell r="A128" t="str">
            <v>Acquisition</v>
          </cell>
          <cell r="E128">
            <v>-7.851515</v>
          </cell>
          <cell r="F128">
            <v>-0.55700000000000005</v>
          </cell>
          <cell r="G128">
            <v>0</v>
          </cell>
          <cell r="H128">
            <v>-1.9E-2</v>
          </cell>
        </row>
        <row r="129">
          <cell r="A129" t="str">
            <v>Depreciation (exceptional)</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t="str">
            <v>Hard Coded as 0</v>
          </cell>
        </row>
        <row r="130">
          <cell r="A130" t="str">
            <v>Reclassification</v>
          </cell>
          <cell r="E130">
            <v>0.47165300000000004</v>
          </cell>
          <cell r="F130">
            <v>0</v>
          </cell>
          <cell r="G130">
            <v>0</v>
          </cell>
          <cell r="H130">
            <v>-2.0030000000000001</v>
          </cell>
          <cell r="I130">
            <v>-7.0000000000000007E-2</v>
          </cell>
        </row>
        <row r="131">
          <cell r="A131" t="str">
            <v>Disposals</v>
          </cell>
          <cell r="E131">
            <v>-9.4391920000000002</v>
          </cell>
          <cell r="F131">
            <v>-19.742999999999999</v>
          </cell>
          <cell r="G131">
            <v>-13.375999999999999</v>
          </cell>
          <cell r="H131">
            <v>-7.9340000000000002</v>
          </cell>
          <cell r="I131">
            <v>-10.359</v>
          </cell>
          <cell r="K131">
            <v>-13.608000000000001</v>
          </cell>
          <cell r="L131">
            <v>-16.291</v>
          </cell>
          <cell r="M131">
            <v>-16.291</v>
          </cell>
          <cell r="N131">
            <v>-16.291</v>
          </cell>
          <cell r="O131">
            <v>-16.291</v>
          </cell>
          <cell r="P131">
            <v>-16.291</v>
          </cell>
          <cell r="Q131">
            <v>-16.291</v>
          </cell>
          <cell r="R131">
            <v>-16.291</v>
          </cell>
          <cell r="S131" t="str">
            <v>Constant</v>
          </cell>
        </row>
        <row r="132">
          <cell r="A132" t="str">
            <v>At end of year</v>
          </cell>
          <cell r="B132" t="e">
            <v>#REF!</v>
          </cell>
          <cell r="C132" t="e">
            <v>#REF!</v>
          </cell>
          <cell r="D132">
            <v>110.70252900000001</v>
          </cell>
          <cell r="E132">
            <v>115.78238</v>
          </cell>
          <cell r="F132">
            <v>121.58700000000002</v>
          </cell>
          <cell r="G132">
            <v>132.50300000000001</v>
          </cell>
          <cell r="H132">
            <v>141.52200000000002</v>
          </cell>
          <cell r="I132">
            <v>148.32300000000001</v>
          </cell>
          <cell r="J132">
            <v>162.00800000000001</v>
          </cell>
          <cell r="K132">
            <v>177.83599999999998</v>
          </cell>
          <cell r="L132">
            <v>186.75486678440438</v>
          </cell>
          <cell r="M132">
            <v>197.67920709243339</v>
          </cell>
          <cell r="N132">
            <v>210.74458841376637</v>
          </cell>
          <cell r="O132">
            <v>226.0961642754998</v>
          </cell>
          <cell r="P132">
            <v>243.88934333850358</v>
          </cell>
          <cell r="Q132">
            <v>264.29050536904759</v>
          </cell>
          <cell r="R132">
            <v>287.4777673661971</v>
          </cell>
        </row>
        <row r="134">
          <cell r="A134" t="str">
            <v>Net book value (at start)</v>
          </cell>
          <cell r="B134">
            <v>0</v>
          </cell>
          <cell r="C134" t="e">
            <v>#REF!</v>
          </cell>
          <cell r="D134" t="e">
            <v>#REF!</v>
          </cell>
          <cell r="E134">
            <v>132.57946099999998</v>
          </cell>
          <cell r="F134">
            <v>164.86599999999999</v>
          </cell>
          <cell r="G134">
            <v>179.52399999999997</v>
          </cell>
          <cell r="H134">
            <v>193.03199999999995</v>
          </cell>
          <cell r="I134">
            <v>171.99499999999992</v>
          </cell>
          <cell r="J134">
            <v>161.03899999999996</v>
          </cell>
          <cell r="K134">
            <v>152.90099999999998</v>
          </cell>
          <cell r="L134">
            <v>164.309</v>
          </cell>
          <cell r="M134">
            <v>170.75722321559562</v>
          </cell>
          <cell r="N134">
            <v>177.4160392075666</v>
          </cell>
          <cell r="O134">
            <v>184.30500512723361</v>
          </cell>
          <cell r="P134">
            <v>191.44495081337016</v>
          </cell>
          <cell r="Q134">
            <v>198.85806980658731</v>
          </cell>
          <cell r="R134">
            <v>206.56801669619966</v>
          </cell>
        </row>
        <row r="135">
          <cell r="A135" t="str">
            <v>Net book value (at end)</v>
          </cell>
          <cell r="B135" t="e">
            <v>#REF!</v>
          </cell>
          <cell r="C135" t="e">
            <v>#REF!</v>
          </cell>
          <cell r="D135">
            <v>132.57946099999998</v>
          </cell>
          <cell r="E135">
            <v>164.77246099999996</v>
          </cell>
          <cell r="F135">
            <v>179.52399999999997</v>
          </cell>
          <cell r="G135">
            <v>193.03199999999995</v>
          </cell>
          <cell r="H135">
            <v>171.99499999999992</v>
          </cell>
          <cell r="I135">
            <v>161.03899999999996</v>
          </cell>
          <cell r="J135">
            <v>152.90099999999998</v>
          </cell>
          <cell r="K135">
            <v>164.309</v>
          </cell>
          <cell r="L135">
            <v>170.75722321559562</v>
          </cell>
          <cell r="M135">
            <v>177.4160392075666</v>
          </cell>
          <cell r="N135">
            <v>184.30500512723361</v>
          </cell>
          <cell r="O135">
            <v>191.44495081337016</v>
          </cell>
          <cell r="P135">
            <v>198.85806980658731</v>
          </cell>
          <cell r="Q135">
            <v>206.56801669619966</v>
          </cell>
          <cell r="R135">
            <v>214.60001124361753</v>
          </cell>
        </row>
        <row r="137">
          <cell r="A137" t="str">
            <v>CAPEX / Depreciation (Tangible Fixed)</v>
          </cell>
          <cell r="C137" t="e">
            <v>#DIV/0!</v>
          </cell>
          <cell r="D137" t="e">
            <v>#DIV/0!</v>
          </cell>
          <cell r="E137">
            <v>2.1995148574893877</v>
          </cell>
          <cell r="F137">
            <v>1.7068350606302187</v>
          </cell>
          <cell r="G137">
            <v>1.4589910926889498</v>
          </cell>
          <cell r="H137">
            <v>0.85497380038783688</v>
          </cell>
          <cell r="I137">
            <v>1.1233832539142272</v>
          </cell>
          <cell r="J137" t="e">
            <v>#DIV/0!</v>
          </cell>
          <cell r="K137">
            <v>1.2681410998242681</v>
          </cell>
          <cell r="L137">
            <v>1.2557817250975991</v>
          </cell>
          <cell r="M137">
            <v>1.2446714212133718</v>
          </cell>
          <cell r="N137">
            <v>1.2346667269463787</v>
          </cell>
          <cell r="O137">
            <v>1.22564363019419</v>
          </cell>
          <cell r="P137">
            <v>1.2174944269455394</v>
          </cell>
          <cell r="Q137">
            <v>1.2101251728691886</v>
          </cell>
          <cell r="R137">
            <v>1.2034536005662495</v>
          </cell>
        </row>
        <row r="138">
          <cell r="A138" t="str">
            <v>Average Useful Life</v>
          </cell>
          <cell r="C138" t="e">
            <v>#DIV/0!</v>
          </cell>
          <cell r="D138" t="e">
            <v>#DIV/0!</v>
          </cell>
          <cell r="E138">
            <v>13.123380561221676</v>
          </cell>
          <cell r="F138">
            <v>11.778416481349389</v>
          </cell>
          <cell r="G138">
            <v>13.277669988535143</v>
          </cell>
          <cell r="H138">
            <v>13.431324008746957</v>
          </cell>
          <cell r="I138">
            <v>13.338878488767866</v>
          </cell>
          <cell r="J138" t="e">
            <v>#DIV/0!</v>
          </cell>
          <cell r="K138">
            <v>13.497449744974498</v>
          </cell>
          <cell r="L138">
            <v>13.497449744974498</v>
          </cell>
          <cell r="M138">
            <v>13.497449744974498</v>
          </cell>
          <cell r="N138">
            <v>13.497449744974498</v>
          </cell>
          <cell r="O138">
            <v>13.497449744974498</v>
          </cell>
          <cell r="P138">
            <v>13.497449744974498</v>
          </cell>
          <cell r="Q138">
            <v>13.497449744974498</v>
          </cell>
          <cell r="R138">
            <v>13.497449744974498</v>
          </cell>
          <cell r="S138" t="str">
            <v>Drives Depn Charge</v>
          </cell>
        </row>
        <row r="140">
          <cell r="A140" t="str">
            <v>3) GOODWILL</v>
          </cell>
        </row>
        <row r="141">
          <cell r="A141" t="str">
            <v>Cost</v>
          </cell>
        </row>
        <row r="142">
          <cell r="A142" t="str">
            <v>Cost at start of year</v>
          </cell>
          <cell r="E142">
            <v>179.73811800000001</v>
          </cell>
          <cell r="F142">
            <v>167.583</v>
          </cell>
          <cell r="G142">
            <v>118.90299999999999</v>
          </cell>
          <cell r="H142">
            <v>145.60900000000001</v>
          </cell>
          <cell r="I142">
            <v>130.90700000000001</v>
          </cell>
          <cell r="J142">
            <v>116.75200000000001</v>
          </cell>
          <cell r="K142">
            <v>81.923000000000002</v>
          </cell>
          <cell r="L142">
            <v>86.51</v>
          </cell>
          <cell r="M142">
            <v>86.51</v>
          </cell>
          <cell r="N142">
            <v>86.51</v>
          </cell>
          <cell r="O142">
            <v>86.51</v>
          </cell>
          <cell r="P142">
            <v>86.51</v>
          </cell>
          <cell r="Q142">
            <v>86.51</v>
          </cell>
          <cell r="R142">
            <v>86.51</v>
          </cell>
        </row>
        <row r="143">
          <cell r="A143" t="str">
            <v>Exchange Adjustments</v>
          </cell>
          <cell r="E143">
            <v>19.752194000000003</v>
          </cell>
          <cell r="F143">
            <v>10.782999999999999</v>
          </cell>
          <cell r="G143">
            <v>5.0010000000000003</v>
          </cell>
          <cell r="H143">
            <v>-14.702</v>
          </cell>
          <cell r="I143">
            <v>-14.154999999999999</v>
          </cell>
          <cell r="J143">
            <v>0</v>
          </cell>
          <cell r="K143">
            <v>4.5869999999999997</v>
          </cell>
          <cell r="L143">
            <v>0</v>
          </cell>
          <cell r="M143">
            <v>0</v>
          </cell>
          <cell r="N143">
            <v>0</v>
          </cell>
          <cell r="O143">
            <v>0</v>
          </cell>
          <cell r="P143">
            <v>0</v>
          </cell>
          <cell r="Q143">
            <v>0</v>
          </cell>
          <cell r="R143">
            <v>0</v>
          </cell>
          <cell r="S143" t="str">
            <v>Hard Coded as 0</v>
          </cell>
        </row>
        <row r="144">
          <cell r="A144" t="str">
            <v>Additions</v>
          </cell>
          <cell r="E144">
            <v>-32.003419000000001</v>
          </cell>
          <cell r="F144">
            <v>-0.78500000000000003</v>
          </cell>
          <cell r="G144">
            <v>21.706</v>
          </cell>
          <cell r="H144">
            <v>0</v>
          </cell>
          <cell r="I144">
            <v>0</v>
          </cell>
          <cell r="J144">
            <v>0</v>
          </cell>
          <cell r="L144">
            <v>0</v>
          </cell>
          <cell r="M144">
            <v>0</v>
          </cell>
          <cell r="N144">
            <v>0</v>
          </cell>
          <cell r="O144">
            <v>0</v>
          </cell>
          <cell r="P144">
            <v>0</v>
          </cell>
          <cell r="Q144">
            <v>0</v>
          </cell>
          <cell r="R144">
            <v>0</v>
          </cell>
          <cell r="S144" t="str">
            <v>Hard Coded as 0</v>
          </cell>
        </row>
        <row r="145">
          <cell r="A145" t="str">
            <v>Reclassification</v>
          </cell>
          <cell r="E145">
            <v>0</v>
          </cell>
          <cell r="F145">
            <v>-58.677999999999997</v>
          </cell>
          <cell r="G145">
            <v>0</v>
          </cell>
          <cell r="H145">
            <v>0</v>
          </cell>
          <cell r="I145">
            <v>0</v>
          </cell>
        </row>
        <row r="146">
          <cell r="A146" t="str">
            <v>Disposals/ Other movements</v>
          </cell>
          <cell r="E146">
            <v>0</v>
          </cell>
          <cell r="F146">
            <v>0</v>
          </cell>
          <cell r="G146">
            <v>0</v>
          </cell>
          <cell r="H146">
            <v>0</v>
          </cell>
          <cell r="I146">
            <v>0</v>
          </cell>
          <cell r="L146">
            <v>0</v>
          </cell>
          <cell r="M146">
            <v>0</v>
          </cell>
          <cell r="N146">
            <v>0</v>
          </cell>
          <cell r="O146">
            <v>0</v>
          </cell>
          <cell r="P146">
            <v>0</v>
          </cell>
          <cell r="Q146">
            <v>0</v>
          </cell>
          <cell r="R146">
            <v>0</v>
          </cell>
          <cell r="S146" t="str">
            <v>Hard Coded as 0</v>
          </cell>
        </row>
        <row r="147">
          <cell r="A147" t="str">
            <v>Cost at end of year</v>
          </cell>
          <cell r="C147">
            <v>0</v>
          </cell>
          <cell r="D147">
            <v>179.73811800000001</v>
          </cell>
          <cell r="E147">
            <v>167.48689300000001</v>
          </cell>
          <cell r="F147">
            <v>118.90299999999999</v>
          </cell>
          <cell r="G147">
            <v>145.60999999999999</v>
          </cell>
          <cell r="H147">
            <v>130.90700000000001</v>
          </cell>
          <cell r="I147">
            <v>116.75200000000001</v>
          </cell>
          <cell r="J147">
            <v>81.923000000000002</v>
          </cell>
          <cell r="K147">
            <v>86.51</v>
          </cell>
          <cell r="L147">
            <v>86.51</v>
          </cell>
          <cell r="M147">
            <v>86.51</v>
          </cell>
          <cell r="N147">
            <v>86.51</v>
          </cell>
          <cell r="O147">
            <v>86.51</v>
          </cell>
          <cell r="P147">
            <v>86.51</v>
          </cell>
          <cell r="Q147">
            <v>86.51</v>
          </cell>
          <cell r="R147">
            <v>86.51</v>
          </cell>
        </row>
        <row r="148">
          <cell r="A148" t="str">
            <v>Amortization</v>
          </cell>
        </row>
        <row r="149">
          <cell r="A149" t="str">
            <v>At start of year</v>
          </cell>
          <cell r="E149">
            <v>39.129825000000004</v>
          </cell>
          <cell r="F149">
            <v>85.146000000000001</v>
          </cell>
          <cell r="G149">
            <v>92.337999999999994</v>
          </cell>
          <cell r="H149">
            <v>100.193</v>
          </cell>
          <cell r="I149">
            <v>86.975999999999999</v>
          </cell>
          <cell r="J149">
            <v>74.251999999999995</v>
          </cell>
          <cell r="K149">
            <v>39.920999999999999</v>
          </cell>
          <cell r="L149">
            <v>43.542999999999999</v>
          </cell>
          <cell r="M149">
            <v>43.542999999999999</v>
          </cell>
          <cell r="N149">
            <v>43.542999999999999</v>
          </cell>
          <cell r="O149">
            <v>43.542999999999999</v>
          </cell>
          <cell r="P149">
            <v>43.542999999999999</v>
          </cell>
          <cell r="Q149">
            <v>43.542999999999999</v>
          </cell>
          <cell r="R149">
            <v>43.542999999999999</v>
          </cell>
        </row>
        <row r="150">
          <cell r="A150" t="str">
            <v>Exchange adjustment</v>
          </cell>
          <cell r="E150">
            <v>3.5519609999999999</v>
          </cell>
          <cell r="F150">
            <v>5.8120000000000003</v>
          </cell>
          <cell r="G150">
            <v>4.4740000000000002</v>
          </cell>
          <cell r="H150">
            <v>-13.217000000000001</v>
          </cell>
          <cell r="I150">
            <v>-12.724</v>
          </cell>
          <cell r="J150">
            <v>0</v>
          </cell>
          <cell r="K150">
            <v>3.6219999999999999</v>
          </cell>
          <cell r="L150">
            <v>0</v>
          </cell>
          <cell r="M150">
            <v>0</v>
          </cell>
          <cell r="N150">
            <v>0</v>
          </cell>
          <cell r="O150">
            <v>0</v>
          </cell>
          <cell r="P150">
            <v>0</v>
          </cell>
          <cell r="Q150">
            <v>0</v>
          </cell>
          <cell r="R150">
            <v>0</v>
          </cell>
          <cell r="S150" t="str">
            <v>Hard Coded as 0</v>
          </cell>
        </row>
        <row r="151">
          <cell r="A151" t="str">
            <v>Amortization charge</v>
          </cell>
          <cell r="E151">
            <v>52.268146000000002</v>
          </cell>
          <cell r="F151">
            <v>2.1669999999999998</v>
          </cell>
          <cell r="G151">
            <v>3.3809999999999998</v>
          </cell>
          <cell r="H151">
            <v>0</v>
          </cell>
          <cell r="I151">
            <v>0</v>
          </cell>
          <cell r="L151">
            <v>0</v>
          </cell>
          <cell r="M151">
            <v>0</v>
          </cell>
          <cell r="N151">
            <v>0</v>
          </cell>
          <cell r="O151">
            <v>0</v>
          </cell>
          <cell r="P151">
            <v>0</v>
          </cell>
          <cell r="Q151">
            <v>0</v>
          </cell>
          <cell r="R151">
            <v>0</v>
          </cell>
        </row>
        <row r="152">
          <cell r="A152" t="str">
            <v>Disposals / Other</v>
          </cell>
          <cell r="E152">
            <v>-9.8520800000000008</v>
          </cell>
          <cell r="F152">
            <v>-0.78700000000000003</v>
          </cell>
          <cell r="G152">
            <v>0</v>
          </cell>
          <cell r="H152">
            <v>0</v>
          </cell>
          <cell r="I152">
            <v>0</v>
          </cell>
          <cell r="L152">
            <v>0</v>
          </cell>
          <cell r="M152">
            <v>0</v>
          </cell>
          <cell r="N152">
            <v>0</v>
          </cell>
          <cell r="O152">
            <v>0</v>
          </cell>
          <cell r="P152">
            <v>0</v>
          </cell>
          <cell r="Q152">
            <v>0</v>
          </cell>
          <cell r="R152">
            <v>0</v>
          </cell>
          <cell r="S152" t="str">
            <v>Same every year</v>
          </cell>
        </row>
        <row r="153">
          <cell r="A153" t="str">
            <v>At end of Year</v>
          </cell>
          <cell r="C153">
            <v>0</v>
          </cell>
          <cell r="D153">
            <v>39.129825000000004</v>
          </cell>
          <cell r="E153">
            <v>85.097852000000003</v>
          </cell>
          <cell r="F153">
            <v>92.337999999999994</v>
          </cell>
          <cell r="G153">
            <v>100.193</v>
          </cell>
          <cell r="H153">
            <v>86.975999999999999</v>
          </cell>
          <cell r="I153">
            <v>74.251999999999995</v>
          </cell>
          <cell r="J153">
            <v>39.920999999999999</v>
          </cell>
          <cell r="K153">
            <v>43.542999999999999</v>
          </cell>
          <cell r="L153">
            <v>43.542999999999999</v>
          </cell>
          <cell r="M153">
            <v>43.542999999999999</v>
          </cell>
          <cell r="N153">
            <v>43.542999999999999</v>
          </cell>
          <cell r="O153">
            <v>43.542999999999999</v>
          </cell>
          <cell r="P153">
            <v>43.542999999999999</v>
          </cell>
          <cell r="Q153">
            <v>43.542999999999999</v>
          </cell>
          <cell r="R153">
            <v>43.542999999999999</v>
          </cell>
        </row>
        <row r="155">
          <cell r="A155" t="str">
            <v>Net book value (at start)</v>
          </cell>
          <cell r="C155">
            <v>0</v>
          </cell>
          <cell r="D155">
            <v>0</v>
          </cell>
          <cell r="E155">
            <v>140.608293</v>
          </cell>
          <cell r="F155">
            <v>82.436999999999998</v>
          </cell>
          <cell r="G155">
            <v>26.564999999999998</v>
          </cell>
          <cell r="H155">
            <v>45.416000000000011</v>
          </cell>
          <cell r="I155">
            <v>43.931000000000012</v>
          </cell>
          <cell r="J155">
            <v>42.500000000000014</v>
          </cell>
          <cell r="K155">
            <v>42.002000000000002</v>
          </cell>
          <cell r="L155">
            <v>42.967000000000006</v>
          </cell>
          <cell r="M155">
            <v>42.967000000000006</v>
          </cell>
          <cell r="N155">
            <v>42.967000000000006</v>
          </cell>
          <cell r="O155">
            <v>42.967000000000006</v>
          </cell>
          <cell r="P155">
            <v>42.967000000000006</v>
          </cell>
          <cell r="Q155">
            <v>42.967000000000006</v>
          </cell>
          <cell r="R155">
            <v>42.967000000000006</v>
          </cell>
        </row>
        <row r="156">
          <cell r="A156" t="str">
            <v>Net book value of Goodwill (at end)</v>
          </cell>
          <cell r="C156">
            <v>0</v>
          </cell>
          <cell r="D156">
            <v>140.608293</v>
          </cell>
          <cell r="E156">
            <v>82.389041000000006</v>
          </cell>
          <cell r="F156">
            <v>26.564999999999998</v>
          </cell>
          <cell r="G156">
            <v>45.416999999999987</v>
          </cell>
          <cell r="H156">
            <v>43.931000000000012</v>
          </cell>
          <cell r="I156">
            <v>42.500000000000014</v>
          </cell>
          <cell r="J156">
            <v>42.002000000000002</v>
          </cell>
          <cell r="K156">
            <v>42.967000000000006</v>
          </cell>
          <cell r="L156">
            <v>42.967000000000006</v>
          </cell>
          <cell r="M156">
            <v>42.967000000000006</v>
          </cell>
          <cell r="N156">
            <v>42.967000000000006</v>
          </cell>
          <cell r="O156">
            <v>42.967000000000006</v>
          </cell>
          <cell r="P156">
            <v>42.967000000000006</v>
          </cell>
          <cell r="Q156">
            <v>42.967000000000006</v>
          </cell>
          <cell r="R156">
            <v>42.967000000000006</v>
          </cell>
        </row>
        <row r="158">
          <cell r="A158" t="str">
            <v>CAPEX/ Goodwill Charge</v>
          </cell>
          <cell r="C158" t="e">
            <v>#DIV/0!</v>
          </cell>
          <cell r="D158" t="e">
            <v>#DIV/0!</v>
          </cell>
          <cell r="E158">
            <v>-0.61229298242183683</v>
          </cell>
          <cell r="F158">
            <v>-0.36225196123673287</v>
          </cell>
          <cell r="G158">
            <v>6.4199940845903578</v>
          </cell>
          <cell r="H158" t="e">
            <v>#DIV/0!</v>
          </cell>
          <cell r="I158" t="e">
            <v>#DIV/0!</v>
          </cell>
          <cell r="J158" t="e">
            <v>#DIV/0!</v>
          </cell>
          <cell r="K158" t="e">
            <v>#DIV/0!</v>
          </cell>
        </row>
        <row r="159">
          <cell r="A159" t="str">
            <v>Average Useful Life</v>
          </cell>
          <cell r="C159" t="e">
            <v>#DIV/0!</v>
          </cell>
          <cell r="D159" t="e">
            <v>#DIV/0!</v>
          </cell>
          <cell r="E159">
            <v>3.2043779207320653</v>
          </cell>
          <cell r="F159">
            <v>54.869866174434705</v>
          </cell>
          <cell r="G159">
            <v>43.067139899438033</v>
          </cell>
          <cell r="H159" t="e">
            <v>#DIV/0!</v>
          </cell>
          <cell r="I159" t="e">
            <v>#DIV/0!</v>
          </cell>
          <cell r="J159" t="e">
            <v>#DIV/0!</v>
          </cell>
          <cell r="K159" t="e">
            <v>#DIV/0!</v>
          </cell>
          <cell r="S159" t="str">
            <v>Drives Amortisation</v>
          </cell>
        </row>
        <row r="161">
          <cell r="A161" t="str">
            <v>4) OTHER INTANGIBLE ASSETS</v>
          </cell>
        </row>
        <row r="162">
          <cell r="A162" t="str">
            <v>Cost</v>
          </cell>
        </row>
        <row r="163">
          <cell r="A163" t="str">
            <v>Cost at start of year</v>
          </cell>
          <cell r="E163">
            <v>375.31365900000003</v>
          </cell>
          <cell r="F163">
            <v>368.173</v>
          </cell>
          <cell r="G163">
            <v>441.84899999999999</v>
          </cell>
          <cell r="H163">
            <v>478.81799999999998</v>
          </cell>
          <cell r="I163">
            <v>451.16699999999997</v>
          </cell>
          <cell r="J163">
            <v>377.00599999999991</v>
          </cell>
          <cell r="K163">
            <v>397.43400000000003</v>
          </cell>
          <cell r="L163">
            <v>421.77100000000007</v>
          </cell>
          <cell r="M163">
            <v>426.70120000000009</v>
          </cell>
          <cell r="N163">
            <v>431.79174400000011</v>
          </cell>
          <cell r="O163">
            <v>437.04583888000013</v>
          </cell>
          <cell r="P163">
            <v>442.46675565760017</v>
          </cell>
          <cell r="Q163">
            <v>448.05783077075216</v>
          </cell>
          <cell r="R163">
            <v>453.8224673861672</v>
          </cell>
        </row>
        <row r="164">
          <cell r="A164" t="str">
            <v>Exchange Adjustments</v>
          </cell>
          <cell r="E164">
            <v>20.034776999999998</v>
          </cell>
          <cell r="F164">
            <v>10.980000000000002</v>
          </cell>
          <cell r="G164">
            <v>11.622999999999998</v>
          </cell>
          <cell r="H164">
            <v>-38.791000000000004</v>
          </cell>
          <cell r="I164">
            <v>-38.499000000000002</v>
          </cell>
          <cell r="K164">
            <v>19.564</v>
          </cell>
          <cell r="L164">
            <v>0</v>
          </cell>
          <cell r="M164">
            <v>0</v>
          </cell>
          <cell r="N164">
            <v>0</v>
          </cell>
          <cell r="O164">
            <v>0</v>
          </cell>
          <cell r="P164">
            <v>0</v>
          </cell>
          <cell r="Q164">
            <v>0</v>
          </cell>
          <cell r="R164">
            <v>0</v>
          </cell>
          <cell r="S164" t="str">
            <v>Hard Coded as 0</v>
          </cell>
        </row>
        <row r="165">
          <cell r="A165" t="str">
            <v>Additions</v>
          </cell>
          <cell r="E165">
            <v>-20.972462000000007</v>
          </cell>
          <cell r="F165">
            <v>18.154</v>
          </cell>
          <cell r="G165">
            <v>39.478999999999999</v>
          </cell>
          <cell r="H165">
            <v>8.1059999999999999</v>
          </cell>
          <cell r="I165">
            <v>9.6219999999999999</v>
          </cell>
          <cell r="K165">
            <v>7.86</v>
          </cell>
          <cell r="L165">
            <v>8.0172000000000008</v>
          </cell>
          <cell r="M165">
            <v>8.177544000000001</v>
          </cell>
          <cell r="N165">
            <v>8.3410948800000018</v>
          </cell>
          <cell r="O165">
            <v>8.507916777600002</v>
          </cell>
          <cell r="P165">
            <v>8.6780751131520013</v>
          </cell>
          <cell r="Q165">
            <v>8.8516366154150408</v>
          </cell>
          <cell r="R165">
            <v>9.0286693477233424</v>
          </cell>
          <cell r="S165" t="str">
            <v>Grows at 2% per year</v>
          </cell>
        </row>
        <row r="166">
          <cell r="A166" t="str">
            <v>Disposals/ Other movements</v>
          </cell>
          <cell r="E166">
            <v>-4.7650749999999995</v>
          </cell>
          <cell r="F166">
            <v>-13.711</v>
          </cell>
          <cell r="G166">
            <v>-14.132999999999999</v>
          </cell>
          <cell r="H166">
            <v>-2.081</v>
          </cell>
          <cell r="I166">
            <v>-45.715000000000003</v>
          </cell>
          <cell r="K166">
            <v>-3.0870000000000002</v>
          </cell>
          <cell r="L166">
            <v>-3.0870000000000002</v>
          </cell>
          <cell r="M166">
            <v>-3.0870000000000002</v>
          </cell>
          <cell r="N166">
            <v>-3.0870000000000002</v>
          </cell>
          <cell r="O166">
            <v>-3.0870000000000002</v>
          </cell>
          <cell r="P166">
            <v>-3.0870000000000002</v>
          </cell>
          <cell r="Q166">
            <v>-3.0870000000000002</v>
          </cell>
          <cell r="R166">
            <v>-3.0870000000000002</v>
          </cell>
          <cell r="S166" t="str">
            <v>Same each year</v>
          </cell>
        </row>
        <row r="167">
          <cell r="A167" t="str">
            <v>Reclassification</v>
          </cell>
          <cell r="E167">
            <v>-1.6469529999999999</v>
          </cell>
          <cell r="F167">
            <v>58.253</v>
          </cell>
          <cell r="G167">
            <v>0</v>
          </cell>
          <cell r="H167">
            <v>5.1150000000000002</v>
          </cell>
          <cell r="I167">
            <v>0.43099999999999999</v>
          </cell>
        </row>
        <row r="168">
          <cell r="A168" t="str">
            <v>Cost at end of year</v>
          </cell>
          <cell r="C168">
            <v>0</v>
          </cell>
          <cell r="D168">
            <v>375.31365900000003</v>
          </cell>
          <cell r="E168">
            <v>367.96394600000002</v>
          </cell>
          <cell r="F168">
            <v>441.84899999999999</v>
          </cell>
          <cell r="G168">
            <v>478.81799999999998</v>
          </cell>
          <cell r="H168">
            <v>451.16699999999997</v>
          </cell>
          <cell r="I168">
            <v>377.00599999999991</v>
          </cell>
          <cell r="J168">
            <v>397.43400000000003</v>
          </cell>
          <cell r="K168">
            <v>421.77100000000007</v>
          </cell>
          <cell r="L168">
            <v>426.70120000000009</v>
          </cell>
          <cell r="M168">
            <v>431.79174400000011</v>
          </cell>
          <cell r="N168">
            <v>437.04583888000013</v>
          </cell>
          <cell r="O168">
            <v>442.46675565760017</v>
          </cell>
          <cell r="P168">
            <v>448.05783077075216</v>
          </cell>
          <cell r="Q168">
            <v>453.8224673861672</v>
          </cell>
          <cell r="R168">
            <v>459.76413673389055</v>
          </cell>
        </row>
        <row r="169">
          <cell r="A169" t="str">
            <v>Amortization</v>
          </cell>
        </row>
        <row r="170">
          <cell r="A170" t="str">
            <v>At start of year</v>
          </cell>
          <cell r="E170">
            <v>117.04301699999999</v>
          </cell>
          <cell r="F170">
            <v>111.432</v>
          </cell>
          <cell r="G170">
            <v>148.07500000000002</v>
          </cell>
          <cell r="H170">
            <v>175.49800000000002</v>
          </cell>
          <cell r="I170">
            <v>199.86000000000004</v>
          </cell>
          <cell r="J170">
            <v>205.51800000000003</v>
          </cell>
          <cell r="K170">
            <v>243.24700000000001</v>
          </cell>
          <cell r="L170">
            <v>283.20499999999998</v>
          </cell>
          <cell r="M170">
            <v>312.62173792906577</v>
          </cell>
          <cell r="N170">
            <v>342.01922818719731</v>
          </cell>
          <cell r="O170">
            <v>371.4104722695663</v>
          </cell>
          <cell r="P170">
            <v>400.80846397227589</v>
          </cell>
          <cell r="Q170">
            <v>430.22619459295908</v>
          </cell>
          <cell r="R170">
            <v>453.8224673861672</v>
          </cell>
        </row>
        <row r="171">
          <cell r="A171" t="str">
            <v>Exchange adjustment</v>
          </cell>
          <cell r="E171">
            <v>4.0655160000000006</v>
          </cell>
          <cell r="F171">
            <v>3.0720000000000001</v>
          </cell>
          <cell r="G171">
            <v>3.3029999999999999</v>
          </cell>
          <cell r="H171">
            <v>-12.485999999999999</v>
          </cell>
          <cell r="I171">
            <v>-13.305</v>
          </cell>
          <cell r="K171">
            <v>10.505000000000001</v>
          </cell>
          <cell r="L171">
            <v>0</v>
          </cell>
          <cell r="M171">
            <v>0</v>
          </cell>
          <cell r="N171">
            <v>0</v>
          </cell>
          <cell r="O171">
            <v>0</v>
          </cell>
          <cell r="P171">
            <v>0</v>
          </cell>
          <cell r="Q171">
            <v>0</v>
          </cell>
          <cell r="R171">
            <v>0</v>
          </cell>
          <cell r="S171" t="str">
            <v>Hard Coded as 0</v>
          </cell>
        </row>
        <row r="172">
          <cell r="A172" t="str">
            <v>Amortization charge</v>
          </cell>
          <cell r="E172">
            <v>36.292242000000002</v>
          </cell>
          <cell r="F172">
            <v>44.362000000000002</v>
          </cell>
          <cell r="G172">
            <v>36.362000000000002</v>
          </cell>
          <cell r="H172">
            <v>36.237000000000002</v>
          </cell>
          <cell r="I172">
            <v>56.856999999999999</v>
          </cell>
          <cell r="K172">
            <v>32.536000000000001</v>
          </cell>
          <cell r="L172">
            <v>32.503737929065771</v>
          </cell>
          <cell r="M172">
            <v>32.484490258131544</v>
          </cell>
          <cell r="N172">
            <v>32.478244082368946</v>
          </cell>
          <cell r="O172">
            <v>32.4849917027096</v>
          </cell>
          <cell r="P172">
            <v>32.504730620683198</v>
          </cell>
          <cell r="Q172">
            <v>26.683272793208129</v>
          </cell>
          <cell r="R172">
            <v>9.0286693477233477</v>
          </cell>
          <cell r="S172" t="str">
            <v>Hard Coded so as cannot produce negative Net book value</v>
          </cell>
        </row>
        <row r="173">
          <cell r="A173" t="str">
            <v>Reclassification</v>
          </cell>
          <cell r="E173">
            <v>-0.47063100000000002</v>
          </cell>
          <cell r="F173">
            <v>0</v>
          </cell>
          <cell r="G173">
            <v>0</v>
          </cell>
          <cell r="H173">
            <v>2.0019999999999998</v>
          </cell>
          <cell r="I173">
            <v>6.9000000000000006E-2</v>
          </cell>
        </row>
        <row r="174">
          <cell r="A174" t="str">
            <v>Disposals / Other</v>
          </cell>
          <cell r="E174">
            <v>-45.561781999999994</v>
          </cell>
          <cell r="F174">
            <v>-10.791</v>
          </cell>
          <cell r="G174">
            <v>-12.242000000000001</v>
          </cell>
          <cell r="H174">
            <v>-1.391</v>
          </cell>
          <cell r="I174">
            <v>-37.963000000000001</v>
          </cell>
          <cell r="K174">
            <v>-3.0830000000000002</v>
          </cell>
          <cell r="L174">
            <v>-3.0870000000000002</v>
          </cell>
          <cell r="M174">
            <v>-3.0870000000000002</v>
          </cell>
          <cell r="N174">
            <v>-3.0870000000000002</v>
          </cell>
          <cell r="O174">
            <v>-3.0870000000000002</v>
          </cell>
          <cell r="P174">
            <v>-3.0870000000000002</v>
          </cell>
          <cell r="Q174">
            <v>-3.0870000000000002</v>
          </cell>
          <cell r="R174">
            <v>-3.0870000000000002</v>
          </cell>
          <cell r="S174" t="str">
            <v>Same each year</v>
          </cell>
        </row>
        <row r="175">
          <cell r="A175" t="str">
            <v>At end of Year</v>
          </cell>
          <cell r="C175">
            <v>0</v>
          </cell>
          <cell r="D175">
            <v>117.04301699999999</v>
          </cell>
          <cell r="E175">
            <v>111.36836200000002</v>
          </cell>
          <cell r="F175">
            <v>148.07500000000002</v>
          </cell>
          <cell r="G175">
            <v>175.49800000000002</v>
          </cell>
          <cell r="H175">
            <v>199.86000000000004</v>
          </cell>
          <cell r="I175">
            <v>205.51800000000003</v>
          </cell>
          <cell r="J175">
            <v>243.24700000000001</v>
          </cell>
          <cell r="K175">
            <v>283.20499999999998</v>
          </cell>
          <cell r="L175">
            <v>312.62173792906577</v>
          </cell>
          <cell r="M175">
            <v>342.01922818719731</v>
          </cell>
          <cell r="N175">
            <v>371.4104722695663</v>
          </cell>
          <cell r="O175">
            <v>400.80846397227589</v>
          </cell>
          <cell r="P175">
            <v>430.22619459295908</v>
          </cell>
          <cell r="Q175">
            <v>453.8224673861672</v>
          </cell>
          <cell r="R175">
            <v>459.76413673389055</v>
          </cell>
        </row>
        <row r="177">
          <cell r="A177" t="str">
            <v>Net book value (at start)</v>
          </cell>
          <cell r="C177">
            <v>0</v>
          </cell>
          <cell r="D177">
            <v>0</v>
          </cell>
          <cell r="E177">
            <v>258.27064200000007</v>
          </cell>
          <cell r="F177">
            <v>256.74099999999999</v>
          </cell>
          <cell r="G177">
            <v>293.774</v>
          </cell>
          <cell r="H177">
            <v>303.31999999999994</v>
          </cell>
          <cell r="I177">
            <v>251.30699999999993</v>
          </cell>
          <cell r="J177">
            <v>171.48799999999989</v>
          </cell>
          <cell r="K177">
            <v>154.18700000000001</v>
          </cell>
          <cell r="L177">
            <v>138.56600000000009</v>
          </cell>
          <cell r="M177">
            <v>114.07946207093431</v>
          </cell>
          <cell r="N177">
            <v>89.772515812802794</v>
          </cell>
          <cell r="O177">
            <v>65.635366610433834</v>
          </cell>
          <cell r="P177">
            <v>41.658291685324286</v>
          </cell>
          <cell r="Q177">
            <v>17.831636177793087</v>
          </cell>
          <cell r="R177">
            <v>0</v>
          </cell>
        </row>
        <row r="178">
          <cell r="A178" t="str">
            <v>Net book value of Intangibles (at end)</v>
          </cell>
          <cell r="B178">
            <v>366.12485699999996</v>
          </cell>
          <cell r="C178">
            <v>359.52733599999999</v>
          </cell>
          <cell r="D178">
            <v>258.27064200000007</v>
          </cell>
          <cell r="E178">
            <v>256.59558400000003</v>
          </cell>
          <cell r="F178">
            <v>293.774</v>
          </cell>
          <cell r="G178">
            <v>303.31999999999994</v>
          </cell>
          <cell r="H178">
            <v>251.30699999999993</v>
          </cell>
          <cell r="I178">
            <v>171.48799999999989</v>
          </cell>
          <cell r="J178">
            <v>154.18700000000001</v>
          </cell>
          <cell r="K178">
            <v>138.56600000000009</v>
          </cell>
          <cell r="L178">
            <v>114.07946207093431</v>
          </cell>
          <cell r="M178">
            <v>89.772515812802794</v>
          </cell>
          <cell r="N178">
            <v>65.635366610433834</v>
          </cell>
          <cell r="O178">
            <v>41.658291685324286</v>
          </cell>
          <cell r="P178">
            <v>17.831636177793087</v>
          </cell>
          <cell r="Q178">
            <v>0</v>
          </cell>
          <cell r="R178">
            <v>0</v>
          </cell>
          <cell r="S178" t="str">
            <v>Hard Coded so as cannot produce negative Net book value</v>
          </cell>
        </row>
        <row r="180">
          <cell r="A180" t="str">
            <v>CAPEX/ Amortization Charge</v>
          </cell>
          <cell r="C180" t="e">
            <v>#DIV/0!</v>
          </cell>
          <cell r="D180" t="e">
            <v>#DIV/0!</v>
          </cell>
          <cell r="E180">
            <v>-0.5778772774633214</v>
          </cell>
          <cell r="F180">
            <v>0.40922411072539561</v>
          </cell>
          <cell r="G180">
            <v>1.0857213574610858</v>
          </cell>
          <cell r="H180">
            <v>0.22369401440516598</v>
          </cell>
          <cell r="I180">
            <v>0.16923158098387181</v>
          </cell>
          <cell r="J180" t="e">
            <v>#DIV/0!</v>
          </cell>
          <cell r="K180">
            <v>0.24157855913449716</v>
          </cell>
          <cell r="L180">
            <v>0.24665470837527248</v>
          </cell>
          <cell r="M180">
            <v>0.25173687304368247</v>
          </cell>
          <cell r="N180">
            <v>0.25682099250334861</v>
          </cell>
          <cell r="O180">
            <v>0.26190299986717713</v>
          </cell>
          <cell r="P180">
            <v>0.26697883500163588</v>
          </cell>
          <cell r="Q180">
            <v>0.33172979506727174</v>
          </cell>
          <cell r="R180">
            <v>0.99999999999999944</v>
          </cell>
        </row>
        <row r="181">
          <cell r="A181" t="str">
            <v>Average Useful Life</v>
          </cell>
          <cell r="C181" t="e">
            <v>#DIV/0!</v>
          </cell>
          <cell r="D181" t="e">
            <v>#DIV/0!</v>
          </cell>
          <cell r="E181">
            <v>10.138914702486554</v>
          </cell>
          <cell r="F181">
            <v>9.960078445516432</v>
          </cell>
          <cell r="G181">
            <v>13.168087563940377</v>
          </cell>
          <cell r="H181">
            <v>12.450451196291082</v>
          </cell>
          <cell r="I181">
            <v>6.6307754542096822</v>
          </cell>
          <cell r="J181" t="e">
            <v>#DIV/0!</v>
          </cell>
          <cell r="K181">
            <v>12.963209982788298</v>
          </cell>
          <cell r="L181">
            <v>12.963209982788298</v>
          </cell>
          <cell r="M181">
            <v>12.963209982788298</v>
          </cell>
          <cell r="N181">
            <v>12.963209982788298</v>
          </cell>
          <cell r="O181">
            <v>12.963209982788298</v>
          </cell>
          <cell r="P181">
            <v>12.963209982788298</v>
          </cell>
          <cell r="Q181">
            <v>12.963209982788298</v>
          </cell>
          <cell r="R181">
            <v>12.963209982788298</v>
          </cell>
        </row>
        <row r="183">
          <cell r="A183" t="str">
            <v>5) CASH AND DEBT</v>
          </cell>
        </row>
        <row r="184">
          <cell r="A184" t="str">
            <v>Short Term Debt</v>
          </cell>
        </row>
        <row r="185">
          <cell r="A185" t="str">
            <v>Beginning</v>
          </cell>
          <cell r="C185">
            <v>42.956703999999995</v>
          </cell>
          <cell r="D185">
            <v>20.336778000000002</v>
          </cell>
          <cell r="E185">
            <v>30.997771</v>
          </cell>
          <cell r="F185">
            <v>56.704000000000001</v>
          </cell>
          <cell r="G185">
            <v>35.984000000000002</v>
          </cell>
          <cell r="H185">
            <v>56.289000000000001</v>
          </cell>
          <cell r="I185">
            <v>50.86</v>
          </cell>
          <cell r="J185">
            <v>7.0460000000000003</v>
          </cell>
          <cell r="K185">
            <v>9.2999999999999999E-2</v>
          </cell>
          <cell r="L185">
            <v>1.2999999999999999E-2</v>
          </cell>
          <cell r="M185">
            <v>1.2999999999999999E-2</v>
          </cell>
          <cell r="N185">
            <v>1.2999999999999999E-2</v>
          </cell>
          <cell r="O185">
            <v>1.2999999999999999E-2</v>
          </cell>
          <cell r="P185">
            <v>1.2999999999999999E-2</v>
          </cell>
          <cell r="Q185">
            <v>1.2999999999999999E-2</v>
          </cell>
          <cell r="R185">
            <v>1.2999999999999999E-2</v>
          </cell>
        </row>
        <row r="186">
          <cell r="A186" t="str">
            <v>New Debt</v>
          </cell>
          <cell r="C186">
            <v>0</v>
          </cell>
          <cell r="D186">
            <v>10.660992999999998</v>
          </cell>
          <cell r="E186">
            <v>25.706229</v>
          </cell>
          <cell r="F186">
            <v>0</v>
          </cell>
          <cell r="G186">
            <v>20.305</v>
          </cell>
          <cell r="H186">
            <v>0</v>
          </cell>
          <cell r="I186">
            <v>0</v>
          </cell>
          <cell r="J186">
            <v>0</v>
          </cell>
          <cell r="K186">
            <v>0</v>
          </cell>
          <cell r="L186">
            <v>0</v>
          </cell>
          <cell r="M186">
            <v>0</v>
          </cell>
          <cell r="N186">
            <v>0</v>
          </cell>
          <cell r="O186">
            <v>0</v>
          </cell>
          <cell r="P186">
            <v>0</v>
          </cell>
          <cell r="Q186">
            <v>0</v>
          </cell>
          <cell r="R186">
            <v>0</v>
          </cell>
          <cell r="S186" t="str">
            <v>Discretionary</v>
          </cell>
        </row>
        <row r="187">
          <cell r="A187" t="str">
            <v>Repayments</v>
          </cell>
          <cell r="C187">
            <v>-22.619925999999992</v>
          </cell>
          <cell r="D187">
            <v>0</v>
          </cell>
          <cell r="E187">
            <v>0</v>
          </cell>
          <cell r="F187">
            <v>-20.72</v>
          </cell>
          <cell r="G187">
            <v>0</v>
          </cell>
          <cell r="H187">
            <v>-5.429000000000002</v>
          </cell>
          <cell r="I187">
            <v>-43.814</v>
          </cell>
          <cell r="J187">
            <v>-6.9530000000000003</v>
          </cell>
          <cell r="K187">
            <v>-0.08</v>
          </cell>
          <cell r="L187">
            <v>0</v>
          </cell>
          <cell r="M187">
            <v>0</v>
          </cell>
          <cell r="N187">
            <v>0</v>
          </cell>
          <cell r="O187">
            <v>0</v>
          </cell>
          <cell r="P187">
            <v>0</v>
          </cell>
          <cell r="Q187">
            <v>0</v>
          </cell>
          <cell r="R187">
            <v>0</v>
          </cell>
          <cell r="S187" t="str">
            <v>Discretionary</v>
          </cell>
        </row>
        <row r="188">
          <cell r="A188" t="str">
            <v xml:space="preserve">End </v>
          </cell>
          <cell r="B188">
            <v>42.956703999999995</v>
          </cell>
          <cell r="C188">
            <v>20.336778000000002</v>
          </cell>
          <cell r="D188">
            <v>30.997771</v>
          </cell>
          <cell r="E188">
            <v>56.704000000000001</v>
          </cell>
          <cell r="F188">
            <v>35.984000000000002</v>
          </cell>
          <cell r="G188">
            <v>56.289000000000001</v>
          </cell>
          <cell r="H188">
            <v>50.86</v>
          </cell>
          <cell r="I188">
            <v>7.0460000000000003</v>
          </cell>
          <cell r="J188">
            <v>9.2999999999999999E-2</v>
          </cell>
          <cell r="K188">
            <v>1.2999999999999999E-2</v>
          </cell>
          <cell r="L188">
            <v>1.2999999999999999E-2</v>
          </cell>
          <cell r="M188">
            <v>1.2999999999999999E-2</v>
          </cell>
          <cell r="N188">
            <v>1.2999999999999999E-2</v>
          </cell>
          <cell r="O188">
            <v>1.2999999999999999E-2</v>
          </cell>
          <cell r="P188">
            <v>1.2999999999999999E-2</v>
          </cell>
          <cell r="Q188">
            <v>1.2999999999999999E-2</v>
          </cell>
          <cell r="R188">
            <v>1.2999999999999999E-2</v>
          </cell>
        </row>
        <row r="189">
          <cell r="A189" t="str">
            <v>Current Instalments of Loans</v>
          </cell>
        </row>
        <row r="190">
          <cell r="A190" t="str">
            <v>Beginning</v>
          </cell>
          <cell r="C190">
            <v>15.620248</v>
          </cell>
          <cell r="D190">
            <v>24.119711000000002</v>
          </cell>
          <cell r="E190">
            <v>48.260373000000001</v>
          </cell>
          <cell r="F190">
            <v>65.245999999999995</v>
          </cell>
          <cell r="G190">
            <v>57.744</v>
          </cell>
          <cell r="H190">
            <v>73.430999999999997</v>
          </cell>
          <cell r="I190">
            <v>11.667</v>
          </cell>
          <cell r="J190">
            <v>6.6559999999999997</v>
          </cell>
          <cell r="K190">
            <v>15.871</v>
          </cell>
          <cell r="L190">
            <v>9.9350000000000005</v>
          </cell>
          <cell r="M190">
            <v>9.9350000000000005</v>
          </cell>
          <cell r="N190">
            <v>9.9350000000000005</v>
          </cell>
          <cell r="O190">
            <v>9.9350000000000005</v>
          </cell>
          <cell r="P190">
            <v>9.9350000000000005</v>
          </cell>
          <cell r="Q190">
            <v>9.9350000000000005</v>
          </cell>
          <cell r="R190">
            <v>9.9350000000000005</v>
          </cell>
        </row>
        <row r="191">
          <cell r="A191" t="str">
            <v>New Debt</v>
          </cell>
          <cell r="C191">
            <v>8.4994630000000022</v>
          </cell>
          <cell r="D191">
            <v>24.140661999999999</v>
          </cell>
          <cell r="E191">
            <v>16.985626999999994</v>
          </cell>
          <cell r="F191">
            <v>0</v>
          </cell>
          <cell r="G191">
            <v>15.686999999999998</v>
          </cell>
          <cell r="H191">
            <v>0</v>
          </cell>
          <cell r="I191">
            <v>0</v>
          </cell>
          <cell r="J191">
            <v>9.2149999999999999</v>
          </cell>
          <cell r="K191">
            <v>0</v>
          </cell>
          <cell r="L191">
            <v>0</v>
          </cell>
          <cell r="M191">
            <v>0</v>
          </cell>
          <cell r="N191">
            <v>0</v>
          </cell>
          <cell r="O191">
            <v>0</v>
          </cell>
          <cell r="P191">
            <v>0</v>
          </cell>
          <cell r="Q191">
            <v>0</v>
          </cell>
          <cell r="R191">
            <v>0</v>
          </cell>
          <cell r="S191" t="str">
            <v>Discretionary</v>
          </cell>
        </row>
        <row r="192">
          <cell r="A192" t="str">
            <v>Repayments</v>
          </cell>
          <cell r="C192">
            <v>0</v>
          </cell>
          <cell r="D192">
            <v>0</v>
          </cell>
          <cell r="E192">
            <v>0</v>
          </cell>
          <cell r="F192">
            <v>-7.5019999999999953</v>
          </cell>
          <cell r="G192">
            <v>0</v>
          </cell>
          <cell r="H192">
            <v>-61.763999999999996</v>
          </cell>
          <cell r="I192">
            <v>-5.0110000000000001</v>
          </cell>
          <cell r="J192">
            <v>0</v>
          </cell>
          <cell r="K192">
            <v>-5.9359999999999999</v>
          </cell>
          <cell r="L192">
            <v>0</v>
          </cell>
          <cell r="M192">
            <v>0</v>
          </cell>
          <cell r="N192">
            <v>0</v>
          </cell>
          <cell r="O192">
            <v>0</v>
          </cell>
          <cell r="P192">
            <v>0</v>
          </cell>
          <cell r="Q192">
            <v>0</v>
          </cell>
          <cell r="R192">
            <v>0</v>
          </cell>
          <cell r="S192" t="str">
            <v>Discretionary</v>
          </cell>
        </row>
        <row r="193">
          <cell r="A193" t="str">
            <v xml:space="preserve">End </v>
          </cell>
          <cell r="B193">
            <v>15.620248</v>
          </cell>
          <cell r="C193">
            <v>24.119711000000002</v>
          </cell>
          <cell r="D193">
            <v>48.260373000000001</v>
          </cell>
          <cell r="E193">
            <v>65.245999999999995</v>
          </cell>
          <cell r="F193">
            <v>57.744</v>
          </cell>
          <cell r="G193">
            <v>73.430999999999997</v>
          </cell>
          <cell r="H193">
            <v>11.667</v>
          </cell>
          <cell r="I193">
            <v>6.6559999999999997</v>
          </cell>
          <cell r="J193">
            <v>15.871</v>
          </cell>
          <cell r="K193">
            <v>9.9350000000000005</v>
          </cell>
          <cell r="L193">
            <v>9.9350000000000005</v>
          </cell>
          <cell r="M193">
            <v>9.9350000000000005</v>
          </cell>
          <cell r="N193">
            <v>9.9350000000000005</v>
          </cell>
          <cell r="O193">
            <v>9.9350000000000005</v>
          </cell>
          <cell r="P193">
            <v>9.9350000000000005</v>
          </cell>
          <cell r="Q193">
            <v>9.9350000000000005</v>
          </cell>
          <cell r="R193">
            <v>9.9350000000000005</v>
          </cell>
        </row>
        <row r="194">
          <cell r="A194" t="str">
            <v>Long Term Debt</v>
          </cell>
        </row>
        <row r="195">
          <cell r="A195" t="str">
            <v>Beginning</v>
          </cell>
          <cell r="C195">
            <v>99.895901000000009</v>
          </cell>
          <cell r="D195">
            <v>74.156320000000008</v>
          </cell>
          <cell r="E195">
            <v>80.400739999999999</v>
          </cell>
          <cell r="F195">
            <v>51.9</v>
          </cell>
          <cell r="G195">
            <v>34.481000000000002</v>
          </cell>
          <cell r="H195">
            <v>45.155000000000001</v>
          </cell>
          <cell r="I195">
            <v>83.778999999999996</v>
          </cell>
          <cell r="J195">
            <v>63.167999999999999</v>
          </cell>
          <cell r="K195">
            <v>47.344000000000001</v>
          </cell>
          <cell r="L195">
            <v>12.803000000000001</v>
          </cell>
          <cell r="M195">
            <v>12.803000000000001</v>
          </cell>
          <cell r="N195">
            <v>12.803000000000001</v>
          </cell>
          <cell r="O195">
            <v>12.803000000000001</v>
          </cell>
          <cell r="P195">
            <v>12.803000000000001</v>
          </cell>
          <cell r="Q195">
            <v>12.803000000000001</v>
          </cell>
          <cell r="R195">
            <v>12.803000000000001</v>
          </cell>
        </row>
        <row r="196">
          <cell r="A196" t="str">
            <v>New Debt</v>
          </cell>
          <cell r="C196">
            <v>0</v>
          </cell>
          <cell r="D196">
            <v>6.244419999999991</v>
          </cell>
          <cell r="E196">
            <v>0</v>
          </cell>
          <cell r="F196">
            <v>0</v>
          </cell>
          <cell r="G196">
            <v>10.673999999999999</v>
          </cell>
          <cell r="H196">
            <v>38.623999999999995</v>
          </cell>
          <cell r="I196">
            <v>0</v>
          </cell>
          <cell r="J196">
            <v>0</v>
          </cell>
          <cell r="K196">
            <v>0</v>
          </cell>
          <cell r="N196">
            <v>0</v>
          </cell>
          <cell r="O196">
            <v>0</v>
          </cell>
          <cell r="P196">
            <v>0</v>
          </cell>
          <cell r="Q196">
            <v>0</v>
          </cell>
          <cell r="R196">
            <v>0</v>
          </cell>
          <cell r="S196" t="str">
            <v>Discretionary</v>
          </cell>
        </row>
        <row r="197">
          <cell r="A197" t="str">
            <v>Repayments</v>
          </cell>
          <cell r="C197">
            <v>-25.739581000000001</v>
          </cell>
          <cell r="D197">
            <v>0</v>
          </cell>
          <cell r="E197">
            <v>-28.50074</v>
          </cell>
          <cell r="F197">
            <v>-17.418999999999997</v>
          </cell>
          <cell r="G197">
            <v>0</v>
          </cell>
          <cell r="H197">
            <v>0</v>
          </cell>
          <cell r="I197">
            <v>-20.610999999999997</v>
          </cell>
          <cell r="J197">
            <v>-15.823999999999998</v>
          </cell>
          <cell r="K197">
            <v>-34.540999999999997</v>
          </cell>
          <cell r="L197">
            <v>0</v>
          </cell>
          <cell r="M197">
            <v>0</v>
          </cell>
          <cell r="P197">
            <v>0</v>
          </cell>
          <cell r="Q197">
            <v>0</v>
          </cell>
          <cell r="R197">
            <v>0</v>
          </cell>
          <cell r="S197" t="str">
            <v>Discretionary</v>
          </cell>
        </row>
        <row r="198">
          <cell r="A198" t="str">
            <v xml:space="preserve">End </v>
          </cell>
          <cell r="B198">
            <v>99.895901000000009</v>
          </cell>
          <cell r="C198">
            <v>74.156320000000008</v>
          </cell>
          <cell r="D198">
            <v>80.400739999999999</v>
          </cell>
          <cell r="E198">
            <v>51.9</v>
          </cell>
          <cell r="F198">
            <v>34.481000000000002</v>
          </cell>
          <cell r="G198">
            <v>45.155000000000001</v>
          </cell>
          <cell r="H198">
            <v>83.778999999999996</v>
          </cell>
          <cell r="I198">
            <v>63.167999999999999</v>
          </cell>
          <cell r="J198">
            <v>47.344000000000001</v>
          </cell>
          <cell r="K198">
            <v>12.803000000000001</v>
          </cell>
          <cell r="L198">
            <v>12.803000000000001</v>
          </cell>
          <cell r="M198">
            <v>12.803000000000001</v>
          </cell>
          <cell r="N198">
            <v>12.803000000000001</v>
          </cell>
          <cell r="O198">
            <v>12.803000000000001</v>
          </cell>
          <cell r="P198">
            <v>12.803000000000001</v>
          </cell>
          <cell r="Q198">
            <v>12.803000000000001</v>
          </cell>
          <cell r="R198">
            <v>12.803000000000001</v>
          </cell>
        </row>
        <row r="200">
          <cell r="A200" t="str">
            <v>Cash</v>
          </cell>
        </row>
        <row r="201">
          <cell r="A201" t="str">
            <v>Beginning</v>
          </cell>
          <cell r="C201">
            <v>18.779761000000001</v>
          </cell>
          <cell r="D201">
            <v>27.828037999999999</v>
          </cell>
          <cell r="E201">
            <v>26.517834000000001</v>
          </cell>
          <cell r="F201">
            <v>35.603000000000002</v>
          </cell>
          <cell r="G201">
            <v>23.992999999999999</v>
          </cell>
          <cell r="H201">
            <v>32.281999999999996</v>
          </cell>
          <cell r="I201">
            <v>161.32400000000001</v>
          </cell>
          <cell r="J201">
            <v>207.714</v>
          </cell>
          <cell r="K201">
            <v>184.42400000000001</v>
          </cell>
          <cell r="L201">
            <v>206.00899999999999</v>
          </cell>
          <cell r="M201">
            <v>272.05131606121063</v>
          </cell>
          <cell r="N201">
            <v>355.3521812913674</v>
          </cell>
          <cell r="O201">
            <v>483.64225340484387</v>
          </cell>
          <cell r="P201">
            <v>603.50744522715627</v>
          </cell>
          <cell r="Q201">
            <v>895.37073172753958</v>
          </cell>
          <cell r="R201">
            <v>1090.4314164320103</v>
          </cell>
        </row>
        <row r="202">
          <cell r="A202" t="str">
            <v>End</v>
          </cell>
          <cell r="B202">
            <v>18.779761000000001</v>
          </cell>
          <cell r="C202">
            <v>27.828037999999999</v>
          </cell>
          <cell r="D202">
            <v>26.517834000000001</v>
          </cell>
          <cell r="E202">
            <v>35.603000000000002</v>
          </cell>
          <cell r="F202">
            <v>23.992999999999999</v>
          </cell>
          <cell r="G202">
            <v>32.281999999999996</v>
          </cell>
          <cell r="H202">
            <v>161.32400000000001</v>
          </cell>
          <cell r="I202">
            <v>207.714</v>
          </cell>
          <cell r="J202">
            <v>184.42400000000001</v>
          </cell>
          <cell r="K202">
            <v>206.00899999999999</v>
          </cell>
          <cell r="L202">
            <v>272.05131606121063</v>
          </cell>
          <cell r="M202">
            <v>355.3521812913674</v>
          </cell>
          <cell r="N202">
            <v>483.64225340484387</v>
          </cell>
          <cell r="O202">
            <v>603.50744522715627</v>
          </cell>
          <cell r="P202">
            <v>895.37073172753958</v>
          </cell>
          <cell r="Q202">
            <v>1090.4314164320103</v>
          </cell>
          <cell r="R202">
            <v>1305.8233330598719</v>
          </cell>
        </row>
        <row r="203">
          <cell r="A203" t="str">
            <v>Securities</v>
          </cell>
        </row>
        <row r="204">
          <cell r="A204" t="str">
            <v>Beginning</v>
          </cell>
          <cell r="C204">
            <v>5.8652579999999999</v>
          </cell>
          <cell r="D204">
            <v>1.731268</v>
          </cell>
          <cell r="E204">
            <v>0.82168800000000008</v>
          </cell>
          <cell r="F204">
            <v>2.831</v>
          </cell>
          <cell r="G204">
            <v>0</v>
          </cell>
          <cell r="H204">
            <v>12.013</v>
          </cell>
          <cell r="I204">
            <v>3.7120000000000002</v>
          </cell>
          <cell r="J204">
            <v>4.87</v>
          </cell>
          <cell r="K204">
            <v>0</v>
          </cell>
          <cell r="L204">
            <v>0</v>
          </cell>
          <cell r="M204">
            <v>0</v>
          </cell>
          <cell r="N204">
            <v>0</v>
          </cell>
          <cell r="O204">
            <v>0</v>
          </cell>
          <cell r="P204">
            <v>0</v>
          </cell>
          <cell r="Q204">
            <v>0</v>
          </cell>
          <cell r="R204">
            <v>0</v>
          </cell>
        </row>
        <row r="205">
          <cell r="A205" t="str">
            <v>Additions</v>
          </cell>
          <cell r="C205">
            <v>0</v>
          </cell>
          <cell r="D205">
            <v>0</v>
          </cell>
          <cell r="E205">
            <v>2.009312</v>
          </cell>
          <cell r="F205">
            <v>0</v>
          </cell>
          <cell r="G205">
            <v>12.013</v>
          </cell>
          <cell r="H205">
            <v>0</v>
          </cell>
          <cell r="I205">
            <v>1.1579999999999999</v>
          </cell>
          <cell r="J205">
            <v>0</v>
          </cell>
          <cell r="K205">
            <v>0</v>
          </cell>
          <cell r="L205">
            <v>0</v>
          </cell>
          <cell r="M205">
            <v>0</v>
          </cell>
          <cell r="N205">
            <v>0</v>
          </cell>
          <cell r="O205">
            <v>0</v>
          </cell>
          <cell r="P205">
            <v>0</v>
          </cell>
          <cell r="Q205">
            <v>0</v>
          </cell>
          <cell r="R205">
            <v>0</v>
          </cell>
        </row>
        <row r="206">
          <cell r="A206" t="str">
            <v>Disposals</v>
          </cell>
          <cell r="C206">
            <v>-4.1339899999999998</v>
          </cell>
          <cell r="D206">
            <v>-0.90957999999999994</v>
          </cell>
          <cell r="E206">
            <v>0</v>
          </cell>
          <cell r="F206">
            <v>-2.831</v>
          </cell>
          <cell r="G206">
            <v>0</v>
          </cell>
          <cell r="H206">
            <v>-8.3010000000000002</v>
          </cell>
          <cell r="I206">
            <v>0</v>
          </cell>
          <cell r="J206">
            <v>-4.87</v>
          </cell>
          <cell r="M206">
            <v>0</v>
          </cell>
          <cell r="N206">
            <v>0</v>
          </cell>
          <cell r="O206">
            <v>0</v>
          </cell>
          <cell r="P206">
            <v>0</v>
          </cell>
          <cell r="Q206">
            <v>0</v>
          </cell>
          <cell r="R206">
            <v>0</v>
          </cell>
        </row>
        <row r="207">
          <cell r="A207" t="str">
            <v>End</v>
          </cell>
          <cell r="B207">
            <v>5.8652579999999999</v>
          </cell>
          <cell r="C207">
            <v>1.731268</v>
          </cell>
          <cell r="D207">
            <v>0.82168800000000008</v>
          </cell>
          <cell r="E207">
            <v>2.831</v>
          </cell>
          <cell r="F207">
            <v>0</v>
          </cell>
          <cell r="G207">
            <v>12.013</v>
          </cell>
          <cell r="H207">
            <v>3.7120000000000002</v>
          </cell>
          <cell r="I207">
            <v>4.87</v>
          </cell>
          <cell r="J207">
            <v>0</v>
          </cell>
          <cell r="K207">
            <v>0</v>
          </cell>
          <cell r="L207">
            <v>0</v>
          </cell>
          <cell r="M207">
            <v>0</v>
          </cell>
          <cell r="N207">
            <v>0</v>
          </cell>
          <cell r="O207">
            <v>0</v>
          </cell>
          <cell r="P207">
            <v>0</v>
          </cell>
          <cell r="Q207">
            <v>0</v>
          </cell>
          <cell r="R207">
            <v>0</v>
          </cell>
        </row>
        <row r="210">
          <cell r="A210" t="str">
            <v>Short Term Debt Interest Rate</v>
          </cell>
          <cell r="B210">
            <v>4.7E-2</v>
          </cell>
          <cell r="C210">
            <v>5.2999999999999999E-2</v>
          </cell>
          <cell r="D210">
            <v>5.3999999999999999E-2</v>
          </cell>
          <cell r="E210">
            <v>5.3999999999999999E-2</v>
          </cell>
          <cell r="F210">
            <v>5.6000000000000001E-2</v>
          </cell>
          <cell r="G210">
            <v>4.7E-2</v>
          </cell>
          <cell r="H210">
            <v>4.4999999999999998E-2</v>
          </cell>
          <cell r="I210">
            <v>4.4999999999999998E-2</v>
          </cell>
          <cell r="J210">
            <v>4.4999999999999998E-2</v>
          </cell>
          <cell r="K210">
            <v>4.4999999999999998E-2</v>
          </cell>
          <cell r="L210">
            <v>4.4999999999999998E-2</v>
          </cell>
          <cell r="M210">
            <v>4.4999999999999998E-2</v>
          </cell>
          <cell r="N210">
            <v>4.4999999999999998E-2</v>
          </cell>
          <cell r="O210">
            <v>4.4999999999999998E-2</v>
          </cell>
          <cell r="P210">
            <v>4.4999999999999998E-2</v>
          </cell>
          <cell r="Q210">
            <v>4.4999999999999998E-2</v>
          </cell>
          <cell r="R210">
            <v>4.4999999999999998E-2</v>
          </cell>
        </row>
        <row r="211">
          <cell r="A211" t="str">
            <v>Long Term Debt Interest Rate</v>
          </cell>
          <cell r="D211">
            <v>5.6312500000000001E-2</v>
          </cell>
          <cell r="E211">
            <v>5.6687500000000002E-2</v>
          </cell>
          <cell r="F211">
            <v>5.7250000000000002E-2</v>
          </cell>
          <cell r="G211">
            <v>4.6200000000000005E-2</v>
          </cell>
          <cell r="H211">
            <v>5.5250000000000007E-2</v>
          </cell>
          <cell r="I211">
            <v>5.8500000000000003E-2</v>
          </cell>
          <cell r="J211">
            <v>6.0999999999999999E-2</v>
          </cell>
          <cell r="K211">
            <v>5.6000000000000001E-2</v>
          </cell>
          <cell r="L211">
            <v>5.6000000000000001E-2</v>
          </cell>
          <cell r="M211">
            <v>5.6000000000000001E-2</v>
          </cell>
          <cell r="N211">
            <v>5.6000000000000001E-2</v>
          </cell>
          <cell r="O211">
            <v>5.6000000000000001E-2</v>
          </cell>
          <cell r="P211">
            <v>5.6000000000000001E-2</v>
          </cell>
          <cell r="Q211">
            <v>5.6000000000000001E-2</v>
          </cell>
          <cell r="R211">
            <v>5.6000000000000001E-2</v>
          </cell>
        </row>
        <row r="212">
          <cell r="A212" t="str">
            <v>Cash/Securities Interest Received</v>
          </cell>
          <cell r="B212">
            <v>9.9400775467042637E-2</v>
          </cell>
          <cell r="C212">
            <v>7.1690350240293202E-2</v>
          </cell>
          <cell r="D212">
            <v>0.10685581847407571</v>
          </cell>
          <cell r="E212">
            <v>0.10810740490190976</v>
          </cell>
          <cell r="F212">
            <v>0.64639686575251121</v>
          </cell>
          <cell r="G212">
            <v>8.1566768258268432E-2</v>
          </cell>
          <cell r="H212">
            <v>1.5142150803461063E-2</v>
          </cell>
          <cell r="I212">
            <v>2.3910548300906935E-2</v>
          </cell>
          <cell r="J212">
            <v>2.9486400902268683E-2</v>
          </cell>
          <cell r="K212">
            <v>3.0673417180802784E-2</v>
          </cell>
          <cell r="L212">
            <v>3.0673417180802784E-2</v>
          </cell>
          <cell r="M212">
            <v>3.0673417180802784E-2</v>
          </cell>
          <cell r="N212">
            <v>3.0673417180802784E-2</v>
          </cell>
          <cell r="O212">
            <v>3.0673417180802784E-2</v>
          </cell>
          <cell r="P212">
            <v>3.0673417180802784E-2</v>
          </cell>
          <cell r="Q212">
            <v>3.0673417180802784E-2</v>
          </cell>
          <cell r="R212">
            <v>3.0673417180802784E-2</v>
          </cell>
        </row>
        <row r="214">
          <cell r="A214" t="str">
            <v>Interest Paid</v>
          </cell>
          <cell r="B214">
            <v>-9.5224850000000014</v>
          </cell>
          <cell r="C214">
            <v>-8.2056380000000004</v>
          </cell>
          <cell r="D214">
            <v>-6.6184719999999997</v>
          </cell>
          <cell r="E214">
            <v>-8.4060000000000006</v>
          </cell>
          <cell r="F214">
            <v>-8.9390000000000001</v>
          </cell>
          <cell r="G214">
            <v>-8.0359999999999996</v>
          </cell>
          <cell r="H214">
            <v>-11.637</v>
          </cell>
          <cell r="I214">
            <v>-9.7690000000000001</v>
          </cell>
          <cell r="J214">
            <v>-7.774</v>
          </cell>
          <cell r="K214">
            <v>-7.45</v>
          </cell>
          <cell r="L214">
            <v>-1.164628</v>
          </cell>
          <cell r="M214">
            <v>-1.164628</v>
          </cell>
          <cell r="N214">
            <v>-1.164628</v>
          </cell>
          <cell r="O214">
            <v>-1.164628</v>
          </cell>
          <cell r="P214">
            <v>-1.164628</v>
          </cell>
          <cell r="Q214">
            <v>-1.164628</v>
          </cell>
          <cell r="R214">
            <v>-1.164628</v>
          </cell>
        </row>
        <row r="215">
          <cell r="A215" t="str">
            <v>Interest Received</v>
          </cell>
          <cell r="B215">
            <v>2.4497339999999999</v>
          </cell>
          <cell r="C215">
            <v>2.1191170000000001</v>
          </cell>
          <cell r="D215">
            <v>2.9213869999999997</v>
          </cell>
          <cell r="E215">
            <v>4.1550000000000002</v>
          </cell>
          <cell r="F215">
            <v>15.509</v>
          </cell>
          <cell r="G215">
            <v>3.613</v>
          </cell>
          <cell r="H215">
            <v>2.4990000000000001</v>
          </cell>
          <cell r="I215">
            <v>5.0830000000000002</v>
          </cell>
          <cell r="J215">
            <v>5.4379999999999997</v>
          </cell>
          <cell r="K215">
            <v>6.319</v>
          </cell>
          <cell r="L215">
            <v>7.3318717560659739</v>
          </cell>
          <cell r="M215">
            <v>9.6223046074951597</v>
          </cell>
          <cell r="N215">
            <v>12.867413153904344</v>
          </cell>
          <cell r="O215">
            <v>16.673298122061681</v>
          </cell>
          <cell r="P215">
            <v>22.987857812466263</v>
          </cell>
          <cell r="Q215">
            <v>30.455668864516106</v>
          </cell>
          <cell r="R215">
            <v>36.750660801322283</v>
          </cell>
        </row>
        <row r="216">
          <cell r="A216" t="str">
            <v>Net Interest Income (Expense)</v>
          </cell>
          <cell r="B216">
            <v>-7.072751000000002</v>
          </cell>
          <cell r="C216">
            <v>-6.0865210000000003</v>
          </cell>
          <cell r="D216">
            <v>-3.697085</v>
          </cell>
          <cell r="E216">
            <v>-4.2510000000000003</v>
          </cell>
          <cell r="F216">
            <v>6.57</v>
          </cell>
          <cell r="G216">
            <v>-4.423</v>
          </cell>
          <cell r="H216">
            <v>-9.1379999999999999</v>
          </cell>
          <cell r="I216">
            <v>-4.6859999999999999</v>
          </cell>
          <cell r="J216">
            <v>-2.3360000000000003</v>
          </cell>
          <cell r="K216">
            <v>-1.1310000000000002</v>
          </cell>
          <cell r="L216">
            <v>6.1672437560659734</v>
          </cell>
          <cell r="M216">
            <v>8.4576766074951593</v>
          </cell>
          <cell r="N216">
            <v>11.702785153904344</v>
          </cell>
          <cell r="O216">
            <v>15.50867012206168</v>
          </cell>
          <cell r="P216">
            <v>21.823229812466263</v>
          </cell>
          <cell r="Q216">
            <v>29.291040864516106</v>
          </cell>
          <cell r="R216">
            <v>35.586032801322283</v>
          </cell>
        </row>
        <row r="217">
          <cell r="A217" t="str">
            <v>Interest Paid</v>
          </cell>
          <cell r="B217">
            <v>-9.5224850000000014</v>
          </cell>
          <cell r="C217">
            <v>-8.2056380000000004</v>
          </cell>
          <cell r="D217">
            <v>-6.6184719999999997</v>
          </cell>
          <cell r="E217">
            <v>-8.4060000000000006</v>
          </cell>
          <cell r="F217">
            <v>-8.9390000000000001</v>
          </cell>
          <cell r="G217">
            <v>-8.0359999999999996</v>
          </cell>
          <cell r="H217">
            <v>-11.637</v>
          </cell>
          <cell r="I217">
            <v>-9.7690000000000001</v>
          </cell>
          <cell r="J217">
            <v>-7.774</v>
          </cell>
          <cell r="K217">
            <v>-7.45</v>
          </cell>
          <cell r="L217">
            <v>-1.164628</v>
          </cell>
          <cell r="M217">
            <v>-1.164628</v>
          </cell>
          <cell r="N217">
            <v>-1.164628</v>
          </cell>
          <cell r="O217">
            <v>-1.164628</v>
          </cell>
          <cell r="P217">
            <v>-1.164628</v>
          </cell>
          <cell r="Q217">
            <v>-1.164628</v>
          </cell>
          <cell r="R217">
            <v>-1.164628</v>
          </cell>
          <cell r="S217" t="str">
            <v>Feeds P&amp;L</v>
          </cell>
        </row>
        <row r="218">
          <cell r="A218" t="str">
            <v>Interest Received</v>
          </cell>
          <cell r="B218">
            <v>2.4497339999999999</v>
          </cell>
          <cell r="C218">
            <v>2.1191170000000001</v>
          </cell>
          <cell r="D218">
            <v>2.9213869999999997</v>
          </cell>
          <cell r="E218">
            <v>4.1550000000000002</v>
          </cell>
          <cell r="F218">
            <v>15.509</v>
          </cell>
          <cell r="G218">
            <v>3.613</v>
          </cell>
          <cell r="H218">
            <v>2.4990000000000001</v>
          </cell>
          <cell r="I218">
            <v>5.0830000000000002</v>
          </cell>
          <cell r="J218">
            <v>5.4379999999999997</v>
          </cell>
          <cell r="K218">
            <v>6.319</v>
          </cell>
          <cell r="L218">
            <v>7.331866326228309</v>
          </cell>
          <cell r="M218">
            <v>9.6222838529251735</v>
          </cell>
          <cell r="N218">
            <v>12.867510210101116</v>
          </cell>
          <cell r="O218">
            <v>16.67397604910478</v>
          </cell>
          <cell r="P218">
            <v>22.98999151117404</v>
          </cell>
          <cell r="Q218">
            <v>30.460442710643409</v>
          </cell>
          <cell r="R218">
            <v>36.759474431834334</v>
          </cell>
          <cell r="S218" t="str">
            <v>Feeds P&amp;L</v>
          </cell>
        </row>
        <row r="219">
          <cell r="A219" t="str">
            <v>Net Interest Income (Expense)</v>
          </cell>
          <cell r="B219">
            <v>-7.072751000000002</v>
          </cell>
          <cell r="C219">
            <v>-6.0865210000000003</v>
          </cell>
          <cell r="D219">
            <v>-3.697085</v>
          </cell>
          <cell r="E219">
            <v>-4.2510000000000003</v>
          </cell>
          <cell r="F219">
            <v>6.57</v>
          </cell>
          <cell r="G219">
            <v>-4.423</v>
          </cell>
          <cell r="H219">
            <v>-9.1379999999999999</v>
          </cell>
          <cell r="I219">
            <v>-4.6859999999999999</v>
          </cell>
          <cell r="J219">
            <v>-2.3360000000000003</v>
          </cell>
          <cell r="K219">
            <v>-1.1310000000000002</v>
          </cell>
          <cell r="L219">
            <v>6.1672383262283095</v>
          </cell>
          <cell r="M219">
            <v>8.4576558529251731</v>
          </cell>
          <cell r="N219">
            <v>11.702882210101116</v>
          </cell>
          <cell r="O219">
            <v>15.50934804910478</v>
          </cell>
          <cell r="P219">
            <v>21.825363511174039</v>
          </cell>
          <cell r="Q219">
            <v>29.295814710643409</v>
          </cell>
          <cell r="R219">
            <v>35.594846431834334</v>
          </cell>
        </row>
        <row r="221">
          <cell r="A221" t="str">
            <v>6) PENSIONS</v>
          </cell>
        </row>
        <row r="223">
          <cell r="A223" t="str">
            <v>7) SHARE REPURCHASE</v>
          </cell>
        </row>
        <row r="224">
          <cell r="A224" t="str">
            <v>Operating cashflow</v>
          </cell>
          <cell r="B224">
            <v>78.103284000000016</v>
          </cell>
          <cell r="C224">
            <v>109.87879699999984</v>
          </cell>
          <cell r="D224">
            <v>87.891488999999893</v>
          </cell>
          <cell r="E224">
            <v>39.021999999999821</v>
          </cell>
          <cell r="F224">
            <v>103.22700000000005</v>
          </cell>
          <cell r="G224">
            <v>71.176000000000101</v>
          </cell>
          <cell r="H224">
            <v>190.39400000000006</v>
          </cell>
          <cell r="I224">
            <v>174.24400000000014</v>
          </cell>
          <cell r="J224">
            <v>46.719000000000158</v>
          </cell>
          <cell r="K224">
            <v>66.956000000000017</v>
          </cell>
          <cell r="L224">
            <v>115.19839906121062</v>
          </cell>
          <cell r="M224">
            <v>134.83335853015677</v>
          </cell>
          <cell r="N224">
            <v>182.35730723447648</v>
          </cell>
          <cell r="O224">
            <v>176.63642314778241</v>
          </cell>
          <cell r="P224">
            <v>351.51945266975622</v>
          </cell>
          <cell r="Q224">
            <v>257.79522324004211</v>
          </cell>
          <cell r="R224">
            <v>281.41163552015212</v>
          </cell>
          <cell r="S224" t="str">
            <v>From CF</v>
          </cell>
        </row>
        <row r="225">
          <cell r="A225" t="str">
            <v>Cash used in Share repurchase</v>
          </cell>
          <cell r="B225">
            <v>0</v>
          </cell>
          <cell r="C225">
            <v>-0.46756500000000001</v>
          </cell>
          <cell r="D225">
            <v>0</v>
          </cell>
          <cell r="E225">
            <v>-17.457000000000001</v>
          </cell>
          <cell r="F225">
            <v>-1.4999999999999999E-2</v>
          </cell>
          <cell r="G225">
            <v>0</v>
          </cell>
          <cell r="H225">
            <v>0</v>
          </cell>
          <cell r="I225">
            <v>0</v>
          </cell>
          <cell r="J225">
            <v>0</v>
          </cell>
          <cell r="K225">
            <v>0</v>
          </cell>
          <cell r="L225">
            <v>0</v>
          </cell>
          <cell r="M225">
            <v>0</v>
          </cell>
          <cell r="N225">
            <v>0</v>
          </cell>
          <cell r="O225">
            <v>0</v>
          </cell>
          <cell r="P225">
            <v>0</v>
          </cell>
          <cell r="Q225">
            <v>0</v>
          </cell>
          <cell r="R225">
            <v>0</v>
          </cell>
          <cell r="S225" t="str">
            <v>Feed to Cash Flow</v>
          </cell>
        </row>
        <row r="226">
          <cell r="A226" t="str">
            <v>% of Operating Cashflow used for repurchase</v>
          </cell>
          <cell r="B226">
            <v>0</v>
          </cell>
          <cell r="C226">
            <v>-4.2552795695424356E-3</v>
          </cell>
          <cell r="D226">
            <v>0</v>
          </cell>
          <cell r="E226">
            <v>-0.44736302598534367</v>
          </cell>
          <cell r="F226">
            <v>-1.4531081984364548E-4</v>
          </cell>
          <cell r="G226">
            <v>0</v>
          </cell>
          <cell r="H226">
            <v>0</v>
          </cell>
          <cell r="I226">
            <v>0</v>
          </cell>
          <cell r="J226">
            <v>0</v>
          </cell>
          <cell r="K226">
            <v>0</v>
          </cell>
        </row>
        <row r="227">
          <cell r="A227" t="str">
            <v>Average Stock Repurchase Price ($)</v>
          </cell>
          <cell r="J227">
            <v>0</v>
          </cell>
          <cell r="L227">
            <v>70</v>
          </cell>
          <cell r="M227">
            <v>76.300000000000011</v>
          </cell>
          <cell r="N227">
            <v>83.167000000000016</v>
          </cell>
          <cell r="O227">
            <v>90.652030000000025</v>
          </cell>
          <cell r="P227">
            <v>98.810712700000039</v>
          </cell>
          <cell r="Q227">
            <v>107.70367684300005</v>
          </cell>
          <cell r="R227">
            <v>117.39700775887006</v>
          </cell>
        </row>
        <row r="228">
          <cell r="A228" t="str">
            <v>Theoretical Cost of equity (%)</v>
          </cell>
          <cell r="L228">
            <v>0.09</v>
          </cell>
          <cell r="M228">
            <v>0.09</v>
          </cell>
          <cell r="N228">
            <v>0.09</v>
          </cell>
          <cell r="O228">
            <v>0.09</v>
          </cell>
          <cell r="P228">
            <v>0.09</v>
          </cell>
          <cell r="Q228">
            <v>0.09</v>
          </cell>
          <cell r="R228">
            <v>0.09</v>
          </cell>
        </row>
        <row r="229">
          <cell r="A229" t="str">
            <v>No. Shares Repurchase</v>
          </cell>
          <cell r="C229" t="e">
            <v>#DIV/0!</v>
          </cell>
          <cell r="D229" t="e">
            <v>#DIV/0!</v>
          </cell>
          <cell r="E229" t="e">
            <v>#DIV/0!</v>
          </cell>
          <cell r="F229" t="e">
            <v>#DIV/0!</v>
          </cell>
          <cell r="G229" t="e">
            <v>#DIV/0!</v>
          </cell>
          <cell r="H229" t="e">
            <v>#DIV/0!</v>
          </cell>
          <cell r="I229" t="e">
            <v>#DIV/0!</v>
          </cell>
          <cell r="J229">
            <v>0</v>
          </cell>
          <cell r="K229">
            <v>0</v>
          </cell>
          <cell r="L229">
            <v>0</v>
          </cell>
          <cell r="M229">
            <v>0</v>
          </cell>
          <cell r="N229">
            <v>0</v>
          </cell>
          <cell r="O229">
            <v>0</v>
          </cell>
          <cell r="P229">
            <v>0</v>
          </cell>
          <cell r="Q229">
            <v>0</v>
          </cell>
          <cell r="R229">
            <v>0</v>
          </cell>
        </row>
        <row r="231">
          <cell r="A231" t="str">
            <v>Opening Share Count</v>
          </cell>
          <cell r="C231">
            <v>45.072676000000001</v>
          </cell>
          <cell r="D231">
            <v>45.064489999999999</v>
          </cell>
          <cell r="E231">
            <v>45.06617</v>
          </cell>
          <cell r="F231">
            <v>43.988230000000001</v>
          </cell>
          <cell r="G231">
            <v>43.986999999999995</v>
          </cell>
          <cell r="H231">
            <v>43.988</v>
          </cell>
          <cell r="I231">
            <v>44.724579999999996</v>
          </cell>
          <cell r="J231">
            <v>45.351700000000001</v>
          </cell>
          <cell r="K231">
            <v>45.863030999999999</v>
          </cell>
          <cell r="L231">
            <v>46.403964999999999</v>
          </cell>
          <cell r="M231">
            <v>46.403964999999999</v>
          </cell>
          <cell r="N231">
            <v>46.403964999999999</v>
          </cell>
          <cell r="O231">
            <v>46.403964999999999</v>
          </cell>
          <cell r="P231">
            <v>46.403964999999999</v>
          </cell>
          <cell r="Q231">
            <v>46.403964999999999</v>
          </cell>
          <cell r="R231">
            <v>46.403964999999999</v>
          </cell>
        </row>
        <row r="232">
          <cell r="A232" t="str">
            <v>Issued shares (mn)</v>
          </cell>
          <cell r="E232">
            <v>0</v>
          </cell>
          <cell r="F232">
            <v>0</v>
          </cell>
          <cell r="G232">
            <v>0</v>
          </cell>
          <cell r="H232">
            <v>0.73799999999999999</v>
          </cell>
          <cell r="I232">
            <v>0.627</v>
          </cell>
          <cell r="J232">
            <v>0.51133099999999998</v>
          </cell>
          <cell r="K232">
            <v>0.54093400000000003</v>
          </cell>
          <cell r="L232">
            <v>0</v>
          </cell>
          <cell r="M232">
            <v>0</v>
          </cell>
          <cell r="N232">
            <v>0</v>
          </cell>
          <cell r="O232">
            <v>0</v>
          </cell>
          <cell r="P232">
            <v>0</v>
          </cell>
          <cell r="Q232">
            <v>0</v>
          </cell>
          <cell r="R232">
            <v>0</v>
          </cell>
          <cell r="S232" t="str">
            <v>Stays Constant</v>
          </cell>
        </row>
        <row r="233">
          <cell r="A233" t="str">
            <v>Repurchased shares (mn)</v>
          </cell>
          <cell r="L233">
            <v>0</v>
          </cell>
          <cell r="M233">
            <v>0</v>
          </cell>
          <cell r="N233">
            <v>0</v>
          </cell>
          <cell r="O233">
            <v>0</v>
          </cell>
          <cell r="P233">
            <v>0</v>
          </cell>
          <cell r="Q233">
            <v>0</v>
          </cell>
          <cell r="R233">
            <v>0</v>
          </cell>
        </row>
        <row r="234">
          <cell r="A234" t="str">
            <v>Closing Share Count</v>
          </cell>
          <cell r="B234">
            <v>45.072676000000001</v>
          </cell>
          <cell r="C234">
            <v>45.064489999999999</v>
          </cell>
          <cell r="D234">
            <v>45.06617</v>
          </cell>
          <cell r="E234">
            <v>43.988230000000001</v>
          </cell>
          <cell r="F234">
            <v>43.986999999999995</v>
          </cell>
          <cell r="G234">
            <v>43.988</v>
          </cell>
          <cell r="H234">
            <v>44.724579999999996</v>
          </cell>
          <cell r="I234">
            <v>45.351700000000001</v>
          </cell>
          <cell r="J234">
            <v>45.863030999999999</v>
          </cell>
          <cell r="K234">
            <v>46.403964999999999</v>
          </cell>
          <cell r="L234">
            <v>46.403964999999999</v>
          </cell>
          <cell r="M234">
            <v>46.403964999999999</v>
          </cell>
          <cell r="N234">
            <v>46.403964999999999</v>
          </cell>
          <cell r="O234">
            <v>46.403964999999999</v>
          </cell>
          <cell r="P234">
            <v>46.403964999999999</v>
          </cell>
          <cell r="Q234">
            <v>46.403964999999999</v>
          </cell>
          <cell r="R234">
            <v>46.403964999999999</v>
          </cell>
          <cell r="W234" t="str">
            <v>mstag:periodEndBasicSharesOutstanding</v>
          </cell>
          <cell r="X234">
            <v>6</v>
          </cell>
          <cell r="Y234" t="str">
            <v>ms_eqr_gcim_Decimal:ms_eqr_gcim_decimal</v>
          </cell>
          <cell r="Z234" t="b">
            <v>0</v>
          </cell>
          <cell r="AA234" t="b">
            <v>0</v>
          </cell>
        </row>
        <row r="235">
          <cell r="A235" t="str">
            <v>Average share count</v>
          </cell>
          <cell r="B235">
            <v>45.03576158940399</v>
          </cell>
          <cell r="C235">
            <v>45.097485493230039</v>
          </cell>
          <cell r="D235">
            <v>45.08</v>
          </cell>
          <cell r="E235">
            <v>44.963999999999999</v>
          </cell>
          <cell r="F235">
            <v>43.985999999999997</v>
          </cell>
          <cell r="G235">
            <v>43.985999999999997</v>
          </cell>
          <cell r="H235">
            <v>44.171999999999997</v>
          </cell>
          <cell r="I235">
            <v>45.05</v>
          </cell>
          <cell r="J235">
            <v>45.53</v>
          </cell>
          <cell r="K235">
            <v>46.18</v>
          </cell>
          <cell r="L235">
            <v>46.403964999999999</v>
          </cell>
          <cell r="M235">
            <v>46.403964999999999</v>
          </cell>
          <cell r="N235">
            <v>46.403964999999999</v>
          </cell>
          <cell r="O235">
            <v>46.403964999999999</v>
          </cell>
          <cell r="P235">
            <v>46.403964999999999</v>
          </cell>
          <cell r="Q235">
            <v>46.403964999999999</v>
          </cell>
          <cell r="R235">
            <v>46.403964999999999</v>
          </cell>
          <cell r="S235" t="str">
            <v>Feed to Profit and Loss</v>
          </cell>
          <cell r="W235" t="str">
            <v>mstag:averageBasicSharesOutstanding</v>
          </cell>
          <cell r="X235">
            <v>6</v>
          </cell>
          <cell r="Y235" t="str">
            <v>ms_eqr_gcim_Decimal:ms_eqr_gcim_decimal</v>
          </cell>
          <cell r="Z235" t="b">
            <v>0</v>
          </cell>
          <cell r="AA235" t="b">
            <v>0</v>
          </cell>
        </row>
        <row r="237">
          <cell r="A237" t="str">
            <v>Diluted Average Share Count</v>
          </cell>
          <cell r="B237">
            <v>45.03576158940399</v>
          </cell>
          <cell r="C237">
            <v>45.097485493230039</v>
          </cell>
          <cell r="D237">
            <v>45.08</v>
          </cell>
          <cell r="E237">
            <v>44.963999999999999</v>
          </cell>
          <cell r="F237">
            <v>43.985999999999997</v>
          </cell>
          <cell r="G237">
            <v>43.985999999999997</v>
          </cell>
          <cell r="H237">
            <v>44.448999999999998</v>
          </cell>
          <cell r="I237">
            <v>46.17</v>
          </cell>
          <cell r="J237">
            <v>47.301000000000002</v>
          </cell>
          <cell r="K237">
            <v>47.366999999999997</v>
          </cell>
          <cell r="L237">
            <v>47.403964999999999</v>
          </cell>
          <cell r="M237">
            <v>47.403964999999999</v>
          </cell>
          <cell r="N237">
            <v>47.403964999999999</v>
          </cell>
          <cell r="O237">
            <v>47.403964999999999</v>
          </cell>
          <cell r="P237">
            <v>47.403964999999999</v>
          </cell>
          <cell r="Q237">
            <v>47.403964999999999</v>
          </cell>
          <cell r="R237">
            <v>47.403964999999999</v>
          </cell>
          <cell r="W237" t="str">
            <v>mstag:averageDilutedSharesOutstanding</v>
          </cell>
          <cell r="X237">
            <v>6</v>
          </cell>
          <cell r="Y237" t="str">
            <v>ms_eqr_gcim_Decimal:ms_eqr_gcim_decimal</v>
          </cell>
          <cell r="Z237" t="b">
            <v>0</v>
          </cell>
          <cell r="AA237" t="b">
            <v>0</v>
          </cell>
        </row>
        <row r="241">
          <cell r="A241" t="str">
            <v>Shareholders Equity Statement</v>
          </cell>
        </row>
        <row r="242">
          <cell r="A242" t="str">
            <v>Opening Balance</v>
          </cell>
          <cell r="C242">
            <v>406.69059200000004</v>
          </cell>
          <cell r="D242">
            <v>477.22034500000007</v>
          </cell>
          <cell r="E242">
            <v>495.12323000000004</v>
          </cell>
          <cell r="F242">
            <v>490.09100000000001</v>
          </cell>
          <cell r="G242">
            <v>499.27600000000001</v>
          </cell>
          <cell r="H242">
            <v>543.70100000000002</v>
          </cell>
          <cell r="I242">
            <v>530.77499999999998</v>
          </cell>
          <cell r="J242">
            <v>577.72900000000004</v>
          </cell>
          <cell r="K242">
            <v>528.21100000000001</v>
          </cell>
          <cell r="L242">
            <v>540.41600000000005</v>
          </cell>
          <cell r="M242">
            <v>562.84164979643197</v>
          </cell>
          <cell r="N242">
            <v>623.09443157609644</v>
          </cell>
          <cell r="O242">
            <v>702.92100241749245</v>
          </cell>
          <cell r="P242">
            <v>811.98739051386292</v>
          </cell>
          <cell r="Q242">
            <v>1087.0891306704893</v>
          </cell>
          <cell r="R242">
            <v>1276.8775619029066</v>
          </cell>
        </row>
        <row r="243">
          <cell r="A243" t="str">
            <v>Capital Issued</v>
          </cell>
          <cell r="C243">
            <v>0</v>
          </cell>
          <cell r="D243">
            <v>0.2273949999999999</v>
          </cell>
          <cell r="E243">
            <v>1.0952789999999766</v>
          </cell>
          <cell r="F243">
            <v>0</v>
          </cell>
          <cell r="G243">
            <v>0</v>
          </cell>
          <cell r="H243">
            <v>12.667000000000023</v>
          </cell>
          <cell r="I243">
            <v>8.9629999999999868</v>
          </cell>
          <cell r="J243">
            <v>11.118</v>
          </cell>
          <cell r="K243">
            <v>13.865999999999966</v>
          </cell>
          <cell r="L243">
            <v>0</v>
          </cell>
          <cell r="M243">
            <v>0</v>
          </cell>
          <cell r="N243">
            <v>0</v>
          </cell>
          <cell r="O243">
            <v>0</v>
          </cell>
          <cell r="P243">
            <v>0</v>
          </cell>
          <cell r="Q243">
            <v>0</v>
          </cell>
          <cell r="R243">
            <v>0</v>
          </cell>
          <cell r="W243" t="str">
            <v>mstag:issuanceOfCommonStock</v>
          </cell>
          <cell r="X243">
            <v>6</v>
          </cell>
          <cell r="Y243" t="str">
            <v>ISO4217:EUR</v>
          </cell>
          <cell r="Z243" t="b">
            <v>0</v>
          </cell>
          <cell r="AA243" t="b">
            <v>0</v>
          </cell>
        </row>
        <row r="244">
          <cell r="A244" t="str">
            <v xml:space="preserve">Net Income </v>
          </cell>
          <cell r="B244">
            <v>52.125066000000025</v>
          </cell>
          <cell r="C244">
            <v>59.570846999999823</v>
          </cell>
          <cell r="D244">
            <v>60.343989999999913</v>
          </cell>
          <cell r="E244">
            <v>8.253999999999813</v>
          </cell>
          <cell r="F244">
            <v>13.624000000000029</v>
          </cell>
          <cell r="G244">
            <v>40.505000000000088</v>
          </cell>
          <cell r="H244">
            <v>48.39200000000006</v>
          </cell>
          <cell r="I244">
            <v>132.51800000000014</v>
          </cell>
          <cell r="J244">
            <v>-0.72299999999983555</v>
          </cell>
          <cell r="K244">
            <v>-54.082999999999991</v>
          </cell>
          <cell r="L244">
            <v>31.906442796432</v>
          </cell>
          <cell r="M244">
            <v>69.733574779664394</v>
          </cell>
          <cell r="N244">
            <v>89.307363841396082</v>
          </cell>
          <cell r="O244">
            <v>118.54718109637048</v>
          </cell>
          <cell r="P244">
            <v>284.58253315662637</v>
          </cell>
          <cell r="Q244">
            <v>199.26922423241714</v>
          </cell>
          <cell r="R244">
            <v>227.84415766581517</v>
          </cell>
        </row>
        <row r="245">
          <cell r="A245" t="str">
            <v>Changes in Reserves</v>
          </cell>
          <cell r="C245">
            <v>28.703381000000206</v>
          </cell>
          <cell r="D245">
            <v>-19.640284999999892</v>
          </cell>
          <cell r="E245">
            <v>31.863350000000167</v>
          </cell>
          <cell r="F245">
            <v>18.065999999999974</v>
          </cell>
          <cell r="G245">
            <v>16.23</v>
          </cell>
          <cell r="H245">
            <v>-47.570999999999998</v>
          </cell>
          <cell r="I245">
            <v>-68.00500000000001</v>
          </cell>
          <cell r="J245">
            <v>-32.702000000000005</v>
          </cell>
          <cell r="K245">
            <v>61.594000000000001</v>
          </cell>
          <cell r="L245">
            <v>0</v>
          </cell>
          <cell r="M245">
            <v>0</v>
          </cell>
          <cell r="N245">
            <v>0</v>
          </cell>
          <cell r="O245">
            <v>0</v>
          </cell>
          <cell r="P245">
            <v>0</v>
          </cell>
          <cell r="Q245">
            <v>0</v>
          </cell>
          <cell r="R245">
            <v>0</v>
          </cell>
          <cell r="W245" t="str">
            <v>mstag:changeInAccumulatedOtherComprehensiveIncomeLossOrOtherReserves</v>
          </cell>
          <cell r="X245">
            <v>6</v>
          </cell>
          <cell r="Y245" t="str">
            <v>ISO4217:EUR</v>
          </cell>
          <cell r="Z245" t="b">
            <v>0</v>
          </cell>
          <cell r="AA245" t="b">
            <v>0</v>
          </cell>
        </row>
        <row r="246">
          <cell r="A246" t="str">
            <v>Dividends</v>
          </cell>
          <cell r="B246">
            <v>-14.381584</v>
          </cell>
          <cell r="C246">
            <v>-17.276910000000001</v>
          </cell>
          <cell r="D246">
            <v>-23.028214999999999</v>
          </cell>
          <cell r="E246">
            <v>-28.786162999999998</v>
          </cell>
          <cell r="F246">
            <v>-22.49</v>
          </cell>
          <cell r="G246">
            <v>-12.097</v>
          </cell>
          <cell r="H246">
            <v>-26.391999999999999</v>
          </cell>
          <cell r="I246">
            <v>-26.834</v>
          </cell>
          <cell r="J246">
            <v>-27.210999999999999</v>
          </cell>
          <cell r="K246">
            <v>-9.1720000000000006</v>
          </cell>
          <cell r="L246">
            <v>-9.4807930000000002</v>
          </cell>
          <cell r="M246">
            <v>-9.4807930000000002</v>
          </cell>
          <cell r="N246">
            <v>-9.4807930000000002</v>
          </cell>
          <cell r="O246">
            <v>-9.4807930000000002</v>
          </cell>
          <cell r="P246">
            <v>-9.4807930000000002</v>
          </cell>
          <cell r="Q246">
            <v>-9.4807930000000002</v>
          </cell>
          <cell r="R246">
            <v>-9.4807930000000002</v>
          </cell>
          <cell r="W246" t="str">
            <v>mstag:commonDividends</v>
          </cell>
          <cell r="X246">
            <v>6</v>
          </cell>
          <cell r="Y246" t="str">
            <v>ISO4217:EUR</v>
          </cell>
          <cell r="Z246" t="b">
            <v>1</v>
          </cell>
          <cell r="AA246" t="b">
            <v>0</v>
          </cell>
        </row>
        <row r="247">
          <cell r="A247" t="str">
            <v>Share Repurchase</v>
          </cell>
          <cell r="B247">
            <v>0</v>
          </cell>
          <cell r="C247">
            <v>-0.46756499999999995</v>
          </cell>
          <cell r="E247">
            <v>-17.458696</v>
          </cell>
          <cell r="F247">
            <v>-1.5000000000000568E-2</v>
          </cell>
          <cell r="G247">
            <v>0</v>
          </cell>
          <cell r="H247">
            <v>0</v>
          </cell>
          <cell r="I247">
            <v>0</v>
          </cell>
          <cell r="J247">
            <v>0</v>
          </cell>
          <cell r="K247">
            <v>0</v>
          </cell>
          <cell r="L247">
            <v>0</v>
          </cell>
          <cell r="M247">
            <v>0</v>
          </cell>
          <cell r="N247">
            <v>0</v>
          </cell>
          <cell r="O247">
            <v>0</v>
          </cell>
          <cell r="P247">
            <v>0</v>
          </cell>
          <cell r="Q247">
            <v>0</v>
          </cell>
          <cell r="R247">
            <v>0</v>
          </cell>
          <cell r="U247">
            <v>0</v>
          </cell>
          <cell r="V247">
            <v>0</v>
          </cell>
          <cell r="W247" t="str">
            <v>mstag:repurchaseOfCommonStock</v>
          </cell>
          <cell r="X247">
            <v>6</v>
          </cell>
          <cell r="Y247" t="str">
            <v>ISO4217:EUR</v>
          </cell>
          <cell r="Z247" t="b">
            <v>1</v>
          </cell>
          <cell r="AA247" t="b">
            <v>0</v>
          </cell>
        </row>
        <row r="250">
          <cell r="A250" t="str">
            <v>Closing Balance</v>
          </cell>
          <cell r="B250">
            <v>406.69059200000004</v>
          </cell>
          <cell r="C250">
            <v>477.22034500000007</v>
          </cell>
          <cell r="D250">
            <v>495.12323000000004</v>
          </cell>
          <cell r="E250">
            <v>490.09100000000001</v>
          </cell>
          <cell r="F250">
            <v>499.27600000000001</v>
          </cell>
          <cell r="G250">
            <v>543.70100000000002</v>
          </cell>
          <cell r="H250">
            <v>530.77499999999998</v>
          </cell>
          <cell r="I250">
            <v>577.72900000000004</v>
          </cell>
          <cell r="J250">
            <v>528.21100000000001</v>
          </cell>
          <cell r="K250">
            <v>540.41600000000005</v>
          </cell>
          <cell r="L250">
            <v>562.84164979643197</v>
          </cell>
          <cell r="M250">
            <v>623.09443157609644</v>
          </cell>
          <cell r="N250">
            <v>702.92100241749245</v>
          </cell>
          <cell r="O250">
            <v>811.98739051386292</v>
          </cell>
          <cell r="P250">
            <v>1087.0891306704893</v>
          </cell>
          <cell r="Q250">
            <v>1276.8775619029066</v>
          </cell>
          <cell r="R250">
            <v>1495.2409265687218</v>
          </cell>
        </row>
        <row r="252">
          <cell r="A252" t="str">
            <v>Check</v>
          </cell>
          <cell r="B252">
            <v>368.94711000000001</v>
          </cell>
          <cell r="C252">
            <v>0</v>
          </cell>
          <cell r="D252">
            <v>0</v>
          </cell>
          <cell r="E252">
            <v>0</v>
          </cell>
          <cell r="F252">
            <v>0</v>
          </cell>
          <cell r="G252">
            <v>-0.21300000000007913</v>
          </cell>
          <cell r="H252">
            <v>-2.2000000000048203E-2</v>
          </cell>
          <cell r="I252">
            <v>0.31199999999989814</v>
          </cell>
          <cell r="J252">
            <v>0</v>
          </cell>
          <cell r="K252">
            <v>0</v>
          </cell>
        </row>
        <row r="254">
          <cell r="B254" t="str">
            <v>1996-FY</v>
          </cell>
          <cell r="C254" t="str">
            <v>1997-FY</v>
          </cell>
          <cell r="D254" t="str">
            <v>1998-FY</v>
          </cell>
          <cell r="E254" t="str">
            <v>1999-FY</v>
          </cell>
          <cell r="F254" t="str">
            <v>2000-FY</v>
          </cell>
          <cell r="G254" t="str">
            <v>2001-FY</v>
          </cell>
          <cell r="H254" t="str">
            <v>2002-FY</v>
          </cell>
          <cell r="I254" t="str">
            <v>2003-FY</v>
          </cell>
          <cell r="J254" t="str">
            <v>2004-FY</v>
          </cell>
          <cell r="K254" t="str">
            <v>2005-FY</v>
          </cell>
          <cell r="L254" t="str">
            <v>2006-FY</v>
          </cell>
          <cell r="M254" t="str">
            <v>2007-FY</v>
          </cell>
          <cell r="N254" t="str">
            <v>2008-FY</v>
          </cell>
          <cell r="O254" t="str">
            <v>2009-FY</v>
          </cell>
          <cell r="P254" t="str">
            <v>2010-FY</v>
          </cell>
          <cell r="Q254" t="str">
            <v>2011-FY</v>
          </cell>
          <cell r="R254" t="str">
            <v>2012-FY</v>
          </cell>
        </row>
      </sheetData>
      <sheetData sheetId="16" refreshError="1"/>
      <sheetData sheetId="17" refreshError="1">
        <row r="1">
          <cell r="N1" t="str">
            <v>Return to contents</v>
          </cell>
          <cell r="W1" t="str">
            <v>ElementName</v>
          </cell>
          <cell r="X1" t="str">
            <v>ScaleOverride</v>
          </cell>
          <cell r="Y1" t="str">
            <v>UnitOverride</v>
          </cell>
          <cell r="Z1" t="str">
            <v>ReverseSign</v>
          </cell>
          <cell r="AA1" t="str">
            <v>IsDrivingAssumption</v>
          </cell>
          <cell r="AB1" t="str">
            <v>SegmentID</v>
          </cell>
        </row>
        <row r="2">
          <cell r="A2" t="str">
            <v>Schwarz Pharma</v>
          </cell>
        </row>
        <row r="3">
          <cell r="A3" t="str">
            <v>Cash flow Statement</v>
          </cell>
          <cell r="C3">
            <v>1</v>
          </cell>
          <cell r="D3" t="str">
            <v>DM</v>
          </cell>
          <cell r="E3" t="str">
            <v>=</v>
          </cell>
          <cell r="F3">
            <v>0.51100000000000001</v>
          </cell>
          <cell r="G3" t="str">
            <v>Euro</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Net Income</v>
          </cell>
          <cell r="B7">
            <v>52.125066000000025</v>
          </cell>
          <cell r="C7">
            <v>59.570846999999823</v>
          </cell>
          <cell r="D7">
            <v>60.343989999999913</v>
          </cell>
          <cell r="E7">
            <v>8.253999999999813</v>
          </cell>
          <cell r="F7">
            <v>13.624000000000029</v>
          </cell>
          <cell r="G7">
            <v>40.505000000000088</v>
          </cell>
          <cell r="H7">
            <v>48.39200000000006</v>
          </cell>
          <cell r="I7">
            <v>132.51800000000014</v>
          </cell>
          <cell r="J7">
            <v>-0.83499999999983554</v>
          </cell>
          <cell r="K7">
            <v>-54.082999999999991</v>
          </cell>
          <cell r="L7">
            <v>31.906442796432</v>
          </cell>
          <cell r="M7">
            <v>69.733574779664394</v>
          </cell>
          <cell r="N7">
            <v>89.307363841396082</v>
          </cell>
          <cell r="O7">
            <v>118.54718109637048</v>
          </cell>
          <cell r="P7">
            <v>284.58253315662637</v>
          </cell>
          <cell r="Q7">
            <v>199.26922423241714</v>
          </cell>
          <cell r="R7">
            <v>227.84415766581517</v>
          </cell>
          <cell r="S7" t="str">
            <v>Linked to P&amp;L</v>
          </cell>
          <cell r="W7" t="str">
            <v>mstag:netIncomeReported</v>
          </cell>
          <cell r="X7">
            <v>6</v>
          </cell>
          <cell r="Y7" t="str">
            <v>ISO4217:EUR</v>
          </cell>
          <cell r="Z7" t="b">
            <v>0</v>
          </cell>
          <cell r="AA7" t="b">
            <v>0</v>
          </cell>
        </row>
        <row r="8">
          <cell r="A8" t="str">
            <v>Depreciation</v>
          </cell>
          <cell r="B8">
            <v>48.22307</v>
          </cell>
          <cell r="C8">
            <v>61.494762000000001</v>
          </cell>
          <cell r="D8">
            <v>0</v>
          </cell>
          <cell r="E8">
            <v>18.538057999999999</v>
          </cell>
          <cell r="F8">
            <v>23.832999999999998</v>
          </cell>
          <cell r="G8">
            <v>22.678000000000001</v>
          </cell>
          <cell r="H8">
            <v>24.236999999999998</v>
          </cell>
          <cell r="I8">
            <v>23.504000000000001</v>
          </cell>
          <cell r="J8">
            <v>52.872</v>
          </cell>
          <cell r="K8">
            <v>23.331</v>
          </cell>
          <cell r="L8">
            <v>25.209866784404383</v>
          </cell>
          <cell r="M8">
            <v>27.215340308028988</v>
          </cell>
          <cell r="N8">
            <v>29.356381321332986</v>
          </cell>
          <cell r="O8">
            <v>31.642575861733427</v>
          </cell>
          <cell r="P8">
            <v>34.084179063003752</v>
          </cell>
          <cell r="Q8">
            <v>36.692162030544026</v>
          </cell>
          <cell r="R8">
            <v>39.478261997149517</v>
          </cell>
          <cell r="S8" t="str">
            <v>Linked to BS</v>
          </cell>
          <cell r="W8" t="str">
            <v>mstag:depreciation</v>
          </cell>
          <cell r="X8">
            <v>6</v>
          </cell>
          <cell r="Y8" t="str">
            <v>ISO4217:EUR</v>
          </cell>
          <cell r="Z8" t="b">
            <v>0</v>
          </cell>
          <cell r="AA8" t="b">
            <v>0</v>
          </cell>
        </row>
        <row r="9">
          <cell r="A9" t="str">
            <v>Goodwill Amortisation</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t="str">
            <v>Linked to BS</v>
          </cell>
          <cell r="W9" t="str">
            <v>mstag:amortizationOfGoodwillCashFlowStatement</v>
          </cell>
          <cell r="X9">
            <v>6</v>
          </cell>
          <cell r="Y9" t="str">
            <v>ISO4217:EUR</v>
          </cell>
          <cell r="Z9" t="b">
            <v>0</v>
          </cell>
          <cell r="AA9" t="b">
            <v>0</v>
          </cell>
        </row>
        <row r="10">
          <cell r="A10" t="str">
            <v>Amortisation of Other Intangibles</v>
          </cell>
          <cell r="B10">
            <v>0</v>
          </cell>
          <cell r="C10">
            <v>0</v>
          </cell>
          <cell r="D10">
            <v>61.351681999999997</v>
          </cell>
          <cell r="E10">
            <v>44.195942000000002</v>
          </cell>
          <cell r="F10">
            <v>46.677000000000007</v>
          </cell>
          <cell r="G10">
            <v>38.414000000000001</v>
          </cell>
          <cell r="H10">
            <v>34.236000000000004</v>
          </cell>
          <cell r="I10">
            <v>31.27</v>
          </cell>
          <cell r="J10">
            <v>0</v>
          </cell>
          <cell r="K10">
            <v>26.476000000000003</v>
          </cell>
          <cell r="L10">
            <v>32.503737929065771</v>
          </cell>
          <cell r="M10">
            <v>32.484490258131544</v>
          </cell>
          <cell r="N10">
            <v>32.478244082368946</v>
          </cell>
          <cell r="O10">
            <v>32.4849917027096</v>
          </cell>
          <cell r="P10">
            <v>32.504730620683198</v>
          </cell>
          <cell r="Q10">
            <v>26.683272793208129</v>
          </cell>
          <cell r="R10">
            <v>9.0286693477233477</v>
          </cell>
          <cell r="S10" t="str">
            <v>Linked to BS</v>
          </cell>
          <cell r="W10" t="str">
            <v>mstag:amortizationOfOtherIntangibles</v>
          </cell>
          <cell r="X10">
            <v>6</v>
          </cell>
          <cell r="Y10" t="str">
            <v>ISO4217:EUR</v>
          </cell>
          <cell r="Z10" t="b">
            <v>0</v>
          </cell>
          <cell r="AA10" t="b">
            <v>0</v>
          </cell>
        </row>
        <row r="11">
          <cell r="A11" t="str">
            <v>Impairment of Assets</v>
          </cell>
          <cell r="B11">
            <v>0</v>
          </cell>
          <cell r="C11">
            <v>0</v>
          </cell>
          <cell r="D11">
            <v>0</v>
          </cell>
          <cell r="E11">
            <v>43.652999999999999</v>
          </cell>
          <cell r="F11">
            <v>2.3260000000000001</v>
          </cell>
          <cell r="G11">
            <v>1.329</v>
          </cell>
          <cell r="H11">
            <v>3.0619999999999998</v>
          </cell>
          <cell r="I11">
            <v>25.588999999999999</v>
          </cell>
          <cell r="J11">
            <v>0</v>
          </cell>
          <cell r="K11">
            <v>6.06</v>
          </cell>
          <cell r="L11">
            <v>0</v>
          </cell>
          <cell r="M11">
            <v>0</v>
          </cell>
          <cell r="N11">
            <v>0</v>
          </cell>
          <cell r="O11">
            <v>0</v>
          </cell>
          <cell r="P11">
            <v>0</v>
          </cell>
          <cell r="Q11">
            <v>0</v>
          </cell>
          <cell r="R11">
            <v>0</v>
          </cell>
          <cell r="W11" t="str">
            <v>mstag:assetImpairmentNonGoodwillOneTime</v>
          </cell>
          <cell r="X11">
            <v>6</v>
          </cell>
          <cell r="Y11" t="str">
            <v>ISO4217:EUR</v>
          </cell>
          <cell r="Z11" t="b">
            <v>0</v>
          </cell>
          <cell r="AA11" t="b">
            <v>0</v>
          </cell>
        </row>
        <row r="12">
          <cell r="A12" t="str">
            <v>Loss (Gain) on sale of tangible or intangible assets</v>
          </cell>
          <cell r="B12">
            <v>0.77620899999999993</v>
          </cell>
          <cell r="C12">
            <v>0.52428600000000003</v>
          </cell>
          <cell r="D12">
            <v>-4.6327260000000008</v>
          </cell>
          <cell r="E12">
            <v>-2.8220000000000001</v>
          </cell>
          <cell r="F12">
            <v>-0.60499999999999998</v>
          </cell>
          <cell r="G12">
            <v>1.153</v>
          </cell>
          <cell r="H12">
            <v>-8.2840000000000007</v>
          </cell>
          <cell r="I12">
            <v>-4.1189999999999998</v>
          </cell>
          <cell r="J12">
            <v>1.988</v>
          </cell>
          <cell r="K12">
            <v>-7.8049999999999997</v>
          </cell>
          <cell r="L12">
            <v>0</v>
          </cell>
          <cell r="M12">
            <v>0</v>
          </cell>
          <cell r="N12">
            <v>0</v>
          </cell>
          <cell r="O12">
            <v>0</v>
          </cell>
          <cell r="P12">
            <v>0</v>
          </cell>
          <cell r="Q12">
            <v>0</v>
          </cell>
          <cell r="R12">
            <v>0</v>
          </cell>
          <cell r="W12" t="str">
            <v>mstag:gainsLossesFromSaleOfOperatingAssetsOneTime</v>
          </cell>
          <cell r="X12">
            <v>6</v>
          </cell>
          <cell r="Y12" t="str">
            <v>ISO4217:EUR</v>
          </cell>
          <cell r="Z12" t="b">
            <v>1</v>
          </cell>
          <cell r="AA12" t="b">
            <v>0</v>
          </cell>
        </row>
        <row r="13">
          <cell r="A13" t="str">
            <v>Loss (Gain) on sale of long term investments and marketable securities</v>
          </cell>
          <cell r="B13">
            <v>0</v>
          </cell>
          <cell r="C13">
            <v>0</v>
          </cell>
          <cell r="D13">
            <v>1.3480179999999999</v>
          </cell>
          <cell r="E13">
            <v>-83.722999999999999</v>
          </cell>
          <cell r="F13">
            <v>-8.5090000000000003</v>
          </cell>
          <cell r="G13">
            <v>0</v>
          </cell>
          <cell r="H13">
            <v>-2.0529999999999999</v>
          </cell>
          <cell r="I13">
            <v>0</v>
          </cell>
          <cell r="J13">
            <v>-2.637</v>
          </cell>
          <cell r="K13">
            <v>7.452</v>
          </cell>
          <cell r="L13">
            <v>0</v>
          </cell>
          <cell r="M13">
            <v>0</v>
          </cell>
          <cell r="N13">
            <v>0</v>
          </cell>
          <cell r="O13">
            <v>0</v>
          </cell>
          <cell r="P13">
            <v>0</v>
          </cell>
          <cell r="Q13">
            <v>0</v>
          </cell>
          <cell r="R13">
            <v>0</v>
          </cell>
          <cell r="W13" t="str">
            <v>mstag:gainsLossesFromSaleOfSecuritiesAndOtherInvestments</v>
          </cell>
          <cell r="X13">
            <v>6</v>
          </cell>
          <cell r="Y13" t="str">
            <v>ISO4217:EUR</v>
          </cell>
          <cell r="Z13" t="b">
            <v>1</v>
          </cell>
          <cell r="AA13" t="b">
            <v>0</v>
          </cell>
        </row>
        <row r="14">
          <cell r="A14" t="str">
            <v>Undistributed earnings of affiliates and repayment of capital</v>
          </cell>
          <cell r="B14">
            <v>0</v>
          </cell>
          <cell r="C14">
            <v>0</v>
          </cell>
          <cell r="D14">
            <v>0</v>
          </cell>
          <cell r="E14">
            <v>2.3580000000000001</v>
          </cell>
          <cell r="F14">
            <v>6.8620000000000001</v>
          </cell>
          <cell r="G14">
            <v>3.3849999999999998</v>
          </cell>
          <cell r="H14">
            <v>-1.2390000000000001</v>
          </cell>
          <cell r="I14">
            <v>4.9409999999999998</v>
          </cell>
          <cell r="J14">
            <v>2.9910000000000001</v>
          </cell>
          <cell r="K14">
            <v>0.60899999999999999</v>
          </cell>
          <cell r="L14">
            <v>0</v>
          </cell>
          <cell r="M14">
            <v>0</v>
          </cell>
          <cell r="N14">
            <v>0</v>
          </cell>
          <cell r="O14">
            <v>0</v>
          </cell>
          <cell r="P14">
            <v>0</v>
          </cell>
          <cell r="Q14">
            <v>0</v>
          </cell>
          <cell r="R14">
            <v>0</v>
          </cell>
          <cell r="W14" t="str">
            <v>mstag:incomeLossFromInvestmentsAccountedForUnderTheEquityMethodOperating</v>
          </cell>
          <cell r="X14">
            <v>6</v>
          </cell>
          <cell r="Y14" t="str">
            <v>ISO4217:EUR</v>
          </cell>
          <cell r="Z14" t="b">
            <v>1</v>
          </cell>
          <cell r="AA14" t="b">
            <v>0</v>
          </cell>
        </row>
        <row r="15">
          <cell r="A15" t="str">
            <v>Minority Interests</v>
          </cell>
          <cell r="B15">
            <v>0</v>
          </cell>
          <cell r="C15">
            <v>-0.11753000000000001</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t="str">
            <v>Linked to BS</v>
          </cell>
          <cell r="W15" t="str">
            <v>mstag:minorityInterestCashFlowStatement</v>
          </cell>
          <cell r="X15">
            <v>6</v>
          </cell>
          <cell r="Y15" t="str">
            <v>ISO4217:EUR</v>
          </cell>
          <cell r="Z15" t="b">
            <v>1</v>
          </cell>
          <cell r="AA15" t="b">
            <v>0</v>
          </cell>
        </row>
        <row r="16">
          <cell r="A16" t="str">
            <v>Deferred taxes</v>
          </cell>
          <cell r="B16">
            <v>-0.21257599999999999</v>
          </cell>
          <cell r="C16">
            <v>-3.5136360000000004</v>
          </cell>
          <cell r="D16">
            <v>-15.347885</v>
          </cell>
          <cell r="E16">
            <v>-11.102</v>
          </cell>
          <cell r="F16">
            <v>-5.5010000000000003</v>
          </cell>
          <cell r="G16">
            <v>-7.1079999999999997</v>
          </cell>
          <cell r="H16">
            <v>-15.284000000000001</v>
          </cell>
          <cell r="I16">
            <v>-66.850999999999999</v>
          </cell>
          <cell r="J16">
            <v>58.649000000000001</v>
          </cell>
          <cell r="K16">
            <v>-30.260999999999999</v>
          </cell>
          <cell r="L16">
            <v>0</v>
          </cell>
          <cell r="M16">
            <v>0</v>
          </cell>
          <cell r="N16">
            <v>0</v>
          </cell>
          <cell r="O16">
            <v>0</v>
          </cell>
          <cell r="P16">
            <v>0</v>
          </cell>
          <cell r="Q16">
            <v>0</v>
          </cell>
          <cell r="R16">
            <v>0</v>
          </cell>
          <cell r="W16" t="str">
            <v>mstag:deferredTax</v>
          </cell>
          <cell r="X16">
            <v>6</v>
          </cell>
          <cell r="Y16" t="str">
            <v>ISO4217:EUR</v>
          </cell>
          <cell r="Z16" t="b">
            <v>0</v>
          </cell>
          <cell r="AA16" t="b">
            <v>0</v>
          </cell>
        </row>
        <row r="17">
          <cell r="A17" t="str">
            <v>Increase/(Decrease) in Inventories</v>
          </cell>
          <cell r="B17">
            <v>1.489565</v>
          </cell>
          <cell r="C17">
            <v>-6.328735</v>
          </cell>
          <cell r="D17">
            <v>-17.867115000000002</v>
          </cell>
          <cell r="E17">
            <v>-21.382999999999999</v>
          </cell>
          <cell r="F17">
            <v>48.353000000000002</v>
          </cell>
          <cell r="G17">
            <v>-4.6689999999999996</v>
          </cell>
          <cell r="H17">
            <v>-13.475</v>
          </cell>
          <cell r="I17">
            <v>-31.594000000000001</v>
          </cell>
          <cell r="J17">
            <v>30.263000000000002</v>
          </cell>
          <cell r="K17">
            <v>1.2589999999999999</v>
          </cell>
          <cell r="L17">
            <v>4.9530798901043767</v>
          </cell>
          <cell r="M17">
            <v>2.3006983803256986</v>
          </cell>
          <cell r="N17">
            <v>-7.8870757549147328</v>
          </cell>
          <cell r="O17">
            <v>-3.3228829187354165</v>
          </cell>
          <cell r="P17">
            <v>-1.6974320211701155</v>
          </cell>
          <cell r="Q17">
            <v>1.773630763222954</v>
          </cell>
          <cell r="R17">
            <v>2.2941843836331088</v>
          </cell>
          <cell r="S17" t="str">
            <v>Linked to BS</v>
          </cell>
          <cell r="W17" t="str">
            <v>mstag:netDecreaseInInventories</v>
          </cell>
          <cell r="X17">
            <v>6</v>
          </cell>
          <cell r="Y17" t="str">
            <v>ISO4217:EUR</v>
          </cell>
          <cell r="Z17" t="b">
            <v>0</v>
          </cell>
          <cell r="AA17" t="b">
            <v>0</v>
          </cell>
        </row>
        <row r="18">
          <cell r="A18" t="str">
            <v>Increase/(Decrease) in Trade Receivables</v>
          </cell>
          <cell r="B18">
            <v>-7.0737730000000001</v>
          </cell>
          <cell r="C18">
            <v>-3.7011730000000003</v>
          </cell>
          <cell r="D18">
            <v>-35.730653000000004</v>
          </cell>
          <cell r="E18">
            <v>15.327999999999999</v>
          </cell>
          <cell r="F18">
            <v>-4.2300000000000004</v>
          </cell>
          <cell r="G18">
            <v>-15.138999999999999</v>
          </cell>
          <cell r="H18">
            <v>-29.163</v>
          </cell>
          <cell r="I18">
            <v>-8.0220000000000002</v>
          </cell>
          <cell r="J18">
            <v>-7.21</v>
          </cell>
          <cell r="K18">
            <v>-7.3730000000000002</v>
          </cell>
          <cell r="L18">
            <v>7.517129026461447</v>
          </cell>
          <cell r="M18">
            <v>0</v>
          </cell>
          <cell r="N18">
            <v>1.102832652669349</v>
          </cell>
          <cell r="O18">
            <v>-23.061257298063055</v>
          </cell>
          <cell r="P18">
            <v>-14.303945959155584</v>
          </cell>
          <cell r="Q18">
            <v>-12.624712134023923</v>
          </cell>
          <cell r="R18">
            <v>-7.261504108123944</v>
          </cell>
          <cell r="S18" t="str">
            <v>Linked to BS</v>
          </cell>
          <cell r="W18" t="str">
            <v>mstag:netDecreaseInTradeReceivables</v>
          </cell>
          <cell r="X18">
            <v>6</v>
          </cell>
          <cell r="Y18" t="str">
            <v>ISO4217:EUR</v>
          </cell>
          <cell r="Z18" t="b">
            <v>0</v>
          </cell>
          <cell r="AA18" t="b">
            <v>0</v>
          </cell>
        </row>
        <row r="19">
          <cell r="A19" t="str">
            <v>Increase/(Decrease) in Other Assets</v>
          </cell>
          <cell r="B19">
            <v>-1.8937660000000001</v>
          </cell>
          <cell r="C19">
            <v>-0.47267500000000001</v>
          </cell>
          <cell r="D19">
            <v>0.19264700000000001</v>
          </cell>
          <cell r="E19">
            <v>-8.23</v>
          </cell>
          <cell r="F19">
            <v>-2.3029999999999999</v>
          </cell>
          <cell r="G19">
            <v>-2.8580000000000001</v>
          </cell>
          <cell r="H19">
            <v>-25.919</v>
          </cell>
          <cell r="I19">
            <v>10.396000000000001</v>
          </cell>
          <cell r="J19">
            <v>-56.325000000000003</v>
          </cell>
          <cell r="K19">
            <v>80.655000000000001</v>
          </cell>
          <cell r="L19">
            <v>0.79546659303917266</v>
          </cell>
          <cell r="M19">
            <v>0.11670233806325925</v>
          </cell>
          <cell r="N19">
            <v>-2.4403545169325369</v>
          </cell>
          <cell r="O19">
            <v>-1.513651171756198</v>
          </cell>
          <cell r="P19">
            <v>-1.3359537549509923</v>
          </cell>
          <cell r="Q19">
            <v>-0.76841622817646282</v>
          </cell>
          <cell r="R19">
            <v>-0.59943368323621371</v>
          </cell>
          <cell r="W19" t="str">
            <v>mstag:netDecreaseInOtherAssets</v>
          </cell>
          <cell r="X19">
            <v>6</v>
          </cell>
          <cell r="Y19" t="str">
            <v>ISO4217:EUR</v>
          </cell>
          <cell r="Z19" t="b">
            <v>0</v>
          </cell>
          <cell r="AA19" t="b">
            <v>0</v>
          </cell>
        </row>
        <row r="20">
          <cell r="A20" t="str">
            <v>Increase/(Decrease) in Other Receivables</v>
          </cell>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W20" t="str">
            <v>mstag:netDecreaseInOtherReceivables</v>
          </cell>
          <cell r="X20">
            <v>6</v>
          </cell>
          <cell r="Y20" t="str">
            <v>ISO4217:EUR</v>
          </cell>
          <cell r="Z20" t="b">
            <v>0</v>
          </cell>
          <cell r="AA20" t="b">
            <v>0</v>
          </cell>
        </row>
        <row r="21">
          <cell r="A21" t="str">
            <v>Increase/(Decrease) in Payables</v>
          </cell>
          <cell r="B21">
            <v>-3.162579</v>
          </cell>
          <cell r="C21">
            <v>1.3291109999999999</v>
          </cell>
          <cell r="D21">
            <v>3.4119470000000001</v>
          </cell>
          <cell r="E21">
            <v>18.135999999999999</v>
          </cell>
          <cell r="F21">
            <v>-1.6060000000000001</v>
          </cell>
          <cell r="G21">
            <v>-0.68100000000000005</v>
          </cell>
          <cell r="H21">
            <v>0.48499999999999999</v>
          </cell>
          <cell r="I21">
            <v>2.641</v>
          </cell>
          <cell r="J21">
            <v>7.0019999999999998</v>
          </cell>
          <cell r="K21">
            <v>18.475000000000001</v>
          </cell>
          <cell r="L21">
            <v>12.312676041703483</v>
          </cell>
          <cell r="M21">
            <v>2.9825524659429021</v>
          </cell>
          <cell r="N21">
            <v>40.439915608556376</v>
          </cell>
          <cell r="O21">
            <v>21.859465875523583</v>
          </cell>
          <cell r="P21">
            <v>17.685341564719593</v>
          </cell>
          <cell r="Q21">
            <v>6.7700617828502203</v>
          </cell>
          <cell r="R21">
            <v>10.627299917191124</v>
          </cell>
          <cell r="S21" t="str">
            <v>Linked to BS</v>
          </cell>
          <cell r="W21" t="str">
            <v>mstag:netIncreaseInTradeAndOtherPayables</v>
          </cell>
          <cell r="X21">
            <v>6</v>
          </cell>
          <cell r="Y21" t="str">
            <v>ISO4217:EUR</v>
          </cell>
          <cell r="Z21" t="b">
            <v>0</v>
          </cell>
          <cell r="AA21" t="b">
            <v>0</v>
          </cell>
        </row>
        <row r="22">
          <cell r="A22" t="str">
            <v>Increase/(Decrease) in tax provisions</v>
          </cell>
          <cell r="B22">
            <v>-1.3245120000000001</v>
          </cell>
          <cell r="C22">
            <v>-7.2091880000000002</v>
          </cell>
          <cell r="D22">
            <v>7.3057670000000003</v>
          </cell>
          <cell r="E22">
            <v>-6.0720000000000001</v>
          </cell>
          <cell r="F22">
            <v>-4.5730000000000004</v>
          </cell>
          <cell r="G22">
            <v>-4.4080000000000004</v>
          </cell>
          <cell r="H22">
            <v>37.595999999999997</v>
          </cell>
          <cell r="I22">
            <v>-8.0730000000000004</v>
          </cell>
          <cell r="J22">
            <v>-17.213999999999999</v>
          </cell>
          <cell r="K22">
            <v>30.355</v>
          </cell>
          <cell r="L22">
            <v>0</v>
          </cell>
          <cell r="M22">
            <v>0</v>
          </cell>
          <cell r="N22">
            <v>0</v>
          </cell>
          <cell r="O22">
            <v>0</v>
          </cell>
          <cell r="P22">
            <v>0</v>
          </cell>
          <cell r="Q22">
            <v>0</v>
          </cell>
          <cell r="R22">
            <v>0</v>
          </cell>
          <cell r="W22" t="str">
            <v>mstag:netIncreaseInIncomeTaxPayableReceivable</v>
          </cell>
          <cell r="X22">
            <v>6</v>
          </cell>
          <cell r="Y22" t="str">
            <v>ISO4217:EUR</v>
          </cell>
          <cell r="Z22" t="b">
            <v>0</v>
          </cell>
          <cell r="AA22" t="b">
            <v>0</v>
          </cell>
        </row>
        <row r="23">
          <cell r="A23" t="str">
            <v>Employee benefits</v>
          </cell>
          <cell r="B23">
            <v>0.86001300000000003</v>
          </cell>
          <cell r="C23">
            <v>0.82117700000000005</v>
          </cell>
          <cell r="D23">
            <v>1.077188</v>
          </cell>
          <cell r="E23">
            <v>2.3460000000000001</v>
          </cell>
          <cell r="F23">
            <v>-4.282</v>
          </cell>
          <cell r="G23">
            <v>0.55400000000000005</v>
          </cell>
          <cell r="H23">
            <v>0.93899999999999995</v>
          </cell>
          <cell r="I23">
            <v>-0.93300000000000005</v>
          </cell>
          <cell r="J23">
            <v>-0.17799999999999999</v>
          </cell>
          <cell r="K23">
            <v>0.50800000000000001</v>
          </cell>
          <cell r="L23">
            <v>0</v>
          </cell>
          <cell r="M23">
            <v>0</v>
          </cell>
          <cell r="N23">
            <v>0</v>
          </cell>
          <cell r="O23">
            <v>0</v>
          </cell>
          <cell r="P23">
            <v>0</v>
          </cell>
          <cell r="Q23">
            <v>0</v>
          </cell>
          <cell r="R23">
            <v>0</v>
          </cell>
          <cell r="W23" t="str">
            <v>mstag:netIncreaseInAccruedExpenses</v>
          </cell>
          <cell r="X23">
            <v>6</v>
          </cell>
          <cell r="Y23" t="str">
            <v>ISO4217:EUR</v>
          </cell>
          <cell r="Z23" t="b">
            <v>0</v>
          </cell>
          <cell r="AA23" t="b">
            <v>0</v>
          </cell>
        </row>
        <row r="24">
          <cell r="A24" t="str">
            <v>Other provisions</v>
          </cell>
          <cell r="B24">
            <v>-11.703433</v>
          </cell>
          <cell r="C24">
            <v>7.4815510000000005</v>
          </cell>
          <cell r="D24">
            <v>26.438628999999999</v>
          </cell>
          <cell r="E24">
            <v>19.545000000000002</v>
          </cell>
          <cell r="F24">
            <v>-6.8390000000000004</v>
          </cell>
          <cell r="G24">
            <v>-1.9790000000000001</v>
          </cell>
          <cell r="H24">
            <v>136.864</v>
          </cell>
          <cell r="I24">
            <v>62.976999999999997</v>
          </cell>
          <cell r="J24">
            <v>-22.646999999999998</v>
          </cell>
          <cell r="K24">
            <v>-28.702000000000002</v>
          </cell>
          <cell r="L24">
            <v>0</v>
          </cell>
          <cell r="M24">
            <v>0</v>
          </cell>
          <cell r="N24">
            <v>0</v>
          </cell>
          <cell r="O24">
            <v>0</v>
          </cell>
          <cell r="P24">
            <v>0</v>
          </cell>
          <cell r="Q24">
            <v>0</v>
          </cell>
          <cell r="R24">
            <v>0</v>
          </cell>
          <cell r="W24" t="str">
            <v>mstag:netIncreaseInOtherLiabilitiesOperating</v>
          </cell>
          <cell r="X24">
            <v>6</v>
          </cell>
          <cell r="Y24" t="str">
            <v>ISO4217:EUR</v>
          </cell>
          <cell r="Z24" t="b">
            <v>0</v>
          </cell>
          <cell r="AA24" t="b">
            <v>0</v>
          </cell>
        </row>
        <row r="25">
          <cell r="A25" t="str">
            <v>Operating cash flows</v>
          </cell>
          <cell r="B25">
            <v>78.103284000000016</v>
          </cell>
          <cell r="C25">
            <v>109.87879699999984</v>
          </cell>
          <cell r="D25">
            <v>87.891488999999893</v>
          </cell>
          <cell r="E25">
            <v>39.021999999999821</v>
          </cell>
          <cell r="F25">
            <v>103.22700000000005</v>
          </cell>
          <cell r="G25">
            <v>71.176000000000101</v>
          </cell>
          <cell r="H25">
            <v>190.39400000000006</v>
          </cell>
          <cell r="I25">
            <v>174.24400000000014</v>
          </cell>
          <cell r="J25">
            <v>46.719000000000158</v>
          </cell>
          <cell r="K25">
            <v>66.956000000000017</v>
          </cell>
          <cell r="L25">
            <v>115.19839906121062</v>
          </cell>
          <cell r="M25">
            <v>134.83335853015677</v>
          </cell>
          <cell r="N25">
            <v>182.35730723447648</v>
          </cell>
          <cell r="O25">
            <v>176.63642314778241</v>
          </cell>
          <cell r="P25">
            <v>351.51945266975622</v>
          </cell>
          <cell r="Q25">
            <v>257.79522324004211</v>
          </cell>
          <cell r="R25">
            <v>281.41163552015212</v>
          </cell>
        </row>
        <row r="27">
          <cell r="A27" t="str">
            <v>Acquisitions of business and intangible assets</v>
          </cell>
          <cell r="B27">
            <v>-120.32925800000001</v>
          </cell>
          <cell r="C27">
            <v>-5.7707229999999994</v>
          </cell>
          <cell r="D27">
            <v>-98.55452600000001</v>
          </cell>
          <cell r="E27">
            <v>-74.498000000000005</v>
          </cell>
          <cell r="F27">
            <v>-18.143000000000001</v>
          </cell>
          <cell r="G27">
            <v>-60.679000000000002</v>
          </cell>
          <cell r="H27">
            <v>-8.2050000000000001</v>
          </cell>
          <cell r="I27">
            <v>-7.0759999999999996</v>
          </cell>
          <cell r="J27">
            <v>-6.3890000000000002</v>
          </cell>
          <cell r="K27">
            <v>-7.835</v>
          </cell>
          <cell r="L27">
            <v>0</v>
          </cell>
          <cell r="M27">
            <v>0</v>
          </cell>
          <cell r="N27">
            <v>0</v>
          </cell>
          <cell r="O27">
            <v>0</v>
          </cell>
          <cell r="P27">
            <v>0</v>
          </cell>
          <cell r="Q27">
            <v>0</v>
          </cell>
          <cell r="R27">
            <v>0</v>
          </cell>
          <cell r="S27" t="str">
            <v>Zero</v>
          </cell>
          <cell r="W27" t="str">
            <v>mstag:netDisposalsAcquisitions</v>
          </cell>
          <cell r="X27">
            <v>6</v>
          </cell>
          <cell r="Y27" t="str">
            <v>ISO4217:EUR</v>
          </cell>
          <cell r="Z27" t="b">
            <v>0</v>
          </cell>
          <cell r="AA27" t="b">
            <v>0</v>
          </cell>
        </row>
        <row r="28">
          <cell r="A28" t="str">
            <v>Purchases of PPE</v>
          </cell>
          <cell r="B28">
            <v>-24.934245000000001</v>
          </cell>
          <cell r="C28">
            <v>-26.509147000000002</v>
          </cell>
          <cell r="D28">
            <v>-27.92615</v>
          </cell>
          <cell r="E28">
            <v>-39.579000000000001</v>
          </cell>
          <cell r="F28">
            <v>-40.883000000000003</v>
          </cell>
          <cell r="G28">
            <v>-32.851999999999997</v>
          </cell>
          <cell r="H28">
            <v>-21.937999999999999</v>
          </cell>
          <cell r="I28">
            <v>-28.497</v>
          </cell>
          <cell r="J28">
            <v>-19.138999999999999</v>
          </cell>
          <cell r="K28">
            <v>-29.1</v>
          </cell>
          <cell r="L28">
            <v>-31.658090000000001</v>
          </cell>
          <cell r="M28">
            <v>-33.874156300000003</v>
          </cell>
          <cell r="N28">
            <v>-36.245347241000005</v>
          </cell>
          <cell r="O28">
            <v>-38.782521547870004</v>
          </cell>
          <cell r="P28">
            <v>-41.497298056220906</v>
          </cell>
          <cell r="Q28">
            <v>-44.402108920156373</v>
          </cell>
          <cell r="R28">
            <v>-47.510256544567319</v>
          </cell>
          <cell r="S28" t="str">
            <v>Linked to BS</v>
          </cell>
          <cell r="W28" t="str">
            <v>mstag:capitalExpenditures</v>
          </cell>
          <cell r="X28">
            <v>6</v>
          </cell>
          <cell r="Y28" t="str">
            <v>ISO4217:EUR</v>
          </cell>
          <cell r="Z28" t="b">
            <v>1</v>
          </cell>
          <cell r="AA28" t="b">
            <v>0</v>
          </cell>
        </row>
        <row r="29">
          <cell r="A29" t="str">
            <v>Investments in intangible assets</v>
          </cell>
          <cell r="B29">
            <v>0</v>
          </cell>
          <cell r="C29">
            <v>0</v>
          </cell>
          <cell r="D29">
            <v>0</v>
          </cell>
          <cell r="E29">
            <v>0</v>
          </cell>
          <cell r="F29">
            <v>0</v>
          </cell>
          <cell r="G29">
            <v>0</v>
          </cell>
          <cell r="H29">
            <v>0</v>
          </cell>
          <cell r="I29">
            <v>0</v>
          </cell>
          <cell r="J29">
            <v>0</v>
          </cell>
          <cell r="K29">
            <v>0</v>
          </cell>
          <cell r="L29">
            <v>-8.0172000000000008</v>
          </cell>
          <cell r="M29">
            <v>-8.177544000000001</v>
          </cell>
          <cell r="N29">
            <v>-8.3410948800000018</v>
          </cell>
          <cell r="O29">
            <v>-8.507916777600002</v>
          </cell>
          <cell r="P29">
            <v>-8.6780751131520013</v>
          </cell>
          <cell r="Q29">
            <v>-8.8516366154150408</v>
          </cell>
          <cell r="R29">
            <v>-9.0286693477233424</v>
          </cell>
          <cell r="W29" t="str">
            <v>mstag:investmentInIntangibleAssets</v>
          </cell>
          <cell r="X29">
            <v>6</v>
          </cell>
          <cell r="Y29" t="str">
            <v>ISO4217:EUR</v>
          </cell>
          <cell r="Z29" t="b">
            <v>1</v>
          </cell>
          <cell r="AA29" t="b">
            <v>0</v>
          </cell>
        </row>
        <row r="30">
          <cell r="A30" t="str">
            <v>Disposition of Business</v>
          </cell>
          <cell r="B30">
            <v>0</v>
          </cell>
          <cell r="C30">
            <v>0</v>
          </cell>
          <cell r="D30">
            <v>11.627805</v>
          </cell>
          <cell r="E30">
            <v>126.77200000000001</v>
          </cell>
          <cell r="F30">
            <v>0</v>
          </cell>
          <cell r="G30">
            <v>0</v>
          </cell>
          <cell r="H30">
            <v>0</v>
          </cell>
          <cell r="I30">
            <v>0</v>
          </cell>
          <cell r="J30">
            <v>0</v>
          </cell>
          <cell r="K30">
            <v>0</v>
          </cell>
          <cell r="L30">
            <v>0</v>
          </cell>
          <cell r="M30">
            <v>0</v>
          </cell>
          <cell r="N30">
            <v>0</v>
          </cell>
          <cell r="O30">
            <v>0</v>
          </cell>
          <cell r="P30">
            <v>0</v>
          </cell>
          <cell r="Q30">
            <v>0</v>
          </cell>
          <cell r="R30">
            <v>0</v>
          </cell>
          <cell r="S30" t="str">
            <v>Zero</v>
          </cell>
          <cell r="W30" t="str">
            <v>mstag:netDisposalsAcquisitions</v>
          </cell>
          <cell r="X30">
            <v>6</v>
          </cell>
          <cell r="Y30" t="str">
            <v>ISO4217:EUR</v>
          </cell>
          <cell r="Z30" t="b">
            <v>0</v>
          </cell>
          <cell r="AA30" t="b">
            <v>0</v>
          </cell>
        </row>
        <row r="31">
          <cell r="A31" t="str">
            <v>Proceeds from Sale of PPE &amp; intangible assets</v>
          </cell>
          <cell r="B31">
            <v>5.8335759999999999</v>
          </cell>
          <cell r="C31">
            <v>0.6351730000000001</v>
          </cell>
          <cell r="D31">
            <v>10.102981</v>
          </cell>
          <cell r="E31">
            <v>1.3160000000000001</v>
          </cell>
          <cell r="F31">
            <v>11.285</v>
          </cell>
          <cell r="G31">
            <v>1.5089999999999999</v>
          </cell>
          <cell r="H31">
            <v>12.736000000000001</v>
          </cell>
          <cell r="I31">
            <v>22.742000000000001</v>
          </cell>
          <cell r="J31">
            <v>1.3759999999999999</v>
          </cell>
          <cell r="K31">
            <v>10.079000000000001</v>
          </cell>
          <cell r="L31">
            <v>0</v>
          </cell>
          <cell r="M31">
            <v>0</v>
          </cell>
          <cell r="N31">
            <v>0</v>
          </cell>
          <cell r="O31">
            <v>0</v>
          </cell>
          <cell r="P31">
            <v>0</v>
          </cell>
          <cell r="Q31">
            <v>0</v>
          </cell>
          <cell r="R31">
            <v>0</v>
          </cell>
          <cell r="S31" t="str">
            <v>Zero</v>
          </cell>
          <cell r="W31" t="str">
            <v>mstag:proceedsFromSaleOfPpeAndIntangibleAssets</v>
          </cell>
          <cell r="X31">
            <v>6</v>
          </cell>
          <cell r="Y31" t="str">
            <v>ISO4217:EUR</v>
          </cell>
          <cell r="Z31" t="b">
            <v>0</v>
          </cell>
          <cell r="AA31" t="b">
            <v>0</v>
          </cell>
        </row>
        <row r="32">
          <cell r="A32" t="str">
            <v>Purchases of Investments, financial assets</v>
          </cell>
          <cell r="B32">
            <v>-2.4527999999999999</v>
          </cell>
          <cell r="C32">
            <v>-13.115837000000001</v>
          </cell>
          <cell r="D32">
            <v>-7.877065</v>
          </cell>
          <cell r="E32">
            <v>-1.8859999999999999</v>
          </cell>
          <cell r="F32">
            <v>-4.9800000000000004</v>
          </cell>
          <cell r="G32">
            <v>-3.589</v>
          </cell>
          <cell r="H32">
            <v>-0.04</v>
          </cell>
          <cell r="I32">
            <v>0</v>
          </cell>
          <cell r="J32">
            <v>-8.6649999999999991</v>
          </cell>
          <cell r="K32">
            <v>-0.33500000000000002</v>
          </cell>
          <cell r="L32">
            <v>0</v>
          </cell>
          <cell r="M32">
            <v>0</v>
          </cell>
          <cell r="N32">
            <v>0</v>
          </cell>
          <cell r="O32">
            <v>0</v>
          </cell>
          <cell r="P32">
            <v>0</v>
          </cell>
          <cell r="Q32">
            <v>0</v>
          </cell>
          <cell r="R32">
            <v>0</v>
          </cell>
          <cell r="S32" t="str">
            <v>Linked to BS</v>
          </cell>
          <cell r="W32" t="str">
            <v>mstag:proceedsFromSaleOfFundsUsedTopurchaseSecuritiesAndOtherInvestments</v>
          </cell>
          <cell r="X32">
            <v>6</v>
          </cell>
          <cell r="Y32" t="str">
            <v>ISO4217:EUR</v>
          </cell>
          <cell r="Z32" t="b">
            <v>0</v>
          </cell>
          <cell r="AA32" t="b">
            <v>0</v>
          </cell>
        </row>
        <row r="33">
          <cell r="A33" t="str">
            <v>Sales of Investments, financial assets</v>
          </cell>
          <cell r="B33">
            <v>2.6311390000000001</v>
          </cell>
          <cell r="C33">
            <v>5.2724979999999997</v>
          </cell>
          <cell r="D33">
            <v>0</v>
          </cell>
          <cell r="E33">
            <v>0</v>
          </cell>
          <cell r="F33">
            <v>11.316000000000001</v>
          </cell>
          <cell r="H33">
            <v>6.3419999999999996</v>
          </cell>
          <cell r="I33">
            <v>0</v>
          </cell>
          <cell r="J33">
            <v>5.0110000000000001</v>
          </cell>
          <cell r="K33">
            <v>0</v>
          </cell>
          <cell r="L33">
            <v>0</v>
          </cell>
          <cell r="M33">
            <v>0</v>
          </cell>
          <cell r="N33">
            <v>0</v>
          </cell>
          <cell r="O33">
            <v>0</v>
          </cell>
          <cell r="P33">
            <v>0</v>
          </cell>
          <cell r="Q33">
            <v>0</v>
          </cell>
          <cell r="R33">
            <v>0</v>
          </cell>
          <cell r="S33" t="str">
            <v>Zero</v>
          </cell>
          <cell r="W33" t="str">
            <v>mstag:proceedsFromSaleOfFundsUsedTopurchaseSecuritiesAndOtherInvestments</v>
          </cell>
          <cell r="X33">
            <v>6</v>
          </cell>
          <cell r="Y33" t="str">
            <v>ISO4217:EUR</v>
          </cell>
          <cell r="Z33" t="b">
            <v>0</v>
          </cell>
          <cell r="AA33" t="b">
            <v>0</v>
          </cell>
        </row>
        <row r="34">
          <cell r="A34" t="str">
            <v>Cash flows from investing activities</v>
          </cell>
          <cell r="B34">
            <v>-139.25158800000003</v>
          </cell>
          <cell r="C34">
            <v>-39.488036000000001</v>
          </cell>
          <cell r="D34">
            <v>-112.62695500000002</v>
          </cell>
          <cell r="E34">
            <v>12.125000000000009</v>
          </cell>
          <cell r="F34">
            <v>-41.405000000000001</v>
          </cell>
          <cell r="G34">
            <v>-95.611000000000004</v>
          </cell>
          <cell r="H34">
            <v>-11.105</v>
          </cell>
          <cell r="I34">
            <v>-12.831</v>
          </cell>
          <cell r="J34">
            <v>-27.805999999999994</v>
          </cell>
          <cell r="K34">
            <v>-27.191000000000003</v>
          </cell>
          <cell r="L34">
            <v>-39.675290000000004</v>
          </cell>
          <cell r="M34">
            <v>-42.051700300000007</v>
          </cell>
          <cell r="N34">
            <v>-44.586442121000005</v>
          </cell>
          <cell r="O34">
            <v>-47.290438325470006</v>
          </cell>
          <cell r="P34">
            <v>-50.175373169372904</v>
          </cell>
          <cell r="Q34">
            <v>-53.253745535571412</v>
          </cell>
          <cell r="R34">
            <v>-56.538925892290663</v>
          </cell>
        </row>
        <row r="36">
          <cell r="A36" t="str">
            <v>Increase in common stock and capital reserves</v>
          </cell>
          <cell r="B36">
            <v>0</v>
          </cell>
          <cell r="C36">
            <v>0</v>
          </cell>
          <cell r="D36">
            <v>0.22739500000000001</v>
          </cell>
          <cell r="E36">
            <v>0</v>
          </cell>
          <cell r="F36">
            <v>0</v>
          </cell>
          <cell r="G36">
            <v>0</v>
          </cell>
          <cell r="H36">
            <v>12.666</v>
          </cell>
          <cell r="I36">
            <v>8.9640000000000004</v>
          </cell>
          <cell r="J36">
            <v>8.0150000000000006</v>
          </cell>
          <cell r="K36">
            <v>10.469000000000001</v>
          </cell>
          <cell r="L36">
            <v>0</v>
          </cell>
          <cell r="M36">
            <v>0</v>
          </cell>
          <cell r="N36">
            <v>0</v>
          </cell>
          <cell r="O36">
            <v>0</v>
          </cell>
          <cell r="P36">
            <v>0</v>
          </cell>
          <cell r="Q36">
            <v>0</v>
          </cell>
          <cell r="R36">
            <v>0</v>
          </cell>
          <cell r="S36" t="str">
            <v>Linked to BS</v>
          </cell>
          <cell r="W36" t="str">
            <v>mstag:proceedsFromIssuanceOfCommonStock</v>
          </cell>
          <cell r="X36">
            <v>6</v>
          </cell>
          <cell r="Y36" t="str">
            <v>ISO4217:EUR</v>
          </cell>
          <cell r="Z36" t="b">
            <v>0</v>
          </cell>
          <cell r="AA36" t="b">
            <v>0</v>
          </cell>
        </row>
        <row r="37">
          <cell r="A37" t="str">
            <v>Net change in short term debt</v>
          </cell>
          <cell r="B37">
            <v>1.2534830000000001</v>
          </cell>
          <cell r="C37">
            <v>-42.415554999999998</v>
          </cell>
          <cell r="D37">
            <v>10.740197999999999</v>
          </cell>
          <cell r="E37">
            <v>25.53</v>
          </cell>
          <cell r="F37">
            <v>-20.736000000000001</v>
          </cell>
          <cell r="G37">
            <v>19.564</v>
          </cell>
          <cell r="H37">
            <v>-5.43</v>
          </cell>
          <cell r="I37">
            <v>-43.813000000000002</v>
          </cell>
          <cell r="J37">
            <v>-6.9530000000000003</v>
          </cell>
          <cell r="K37">
            <v>-0.08</v>
          </cell>
          <cell r="L37">
            <v>0</v>
          </cell>
          <cell r="M37">
            <v>0</v>
          </cell>
          <cell r="N37">
            <v>0</v>
          </cell>
          <cell r="O37">
            <v>0</v>
          </cell>
          <cell r="P37">
            <v>0</v>
          </cell>
          <cell r="Q37">
            <v>0</v>
          </cell>
          <cell r="R37">
            <v>0</v>
          </cell>
          <cell r="W37" t="str">
            <v>mstag:proceedsFromIssuanceAndCashUsedToRepayShortTermBorrowings</v>
          </cell>
          <cell r="X37">
            <v>6</v>
          </cell>
          <cell r="Y37" t="str">
            <v>ISO4217:EUR</v>
          </cell>
          <cell r="Z37" t="b">
            <v>0</v>
          </cell>
          <cell r="AA37" t="b">
            <v>0</v>
          </cell>
        </row>
        <row r="38">
          <cell r="A38" t="str">
            <v>Proceeds from long term debt</v>
          </cell>
          <cell r="B38">
            <v>31.642142</v>
          </cell>
          <cell r="C38">
            <v>16.470552000000001</v>
          </cell>
          <cell r="D38">
            <v>70.206289999999996</v>
          </cell>
          <cell r="E38">
            <v>43.637</v>
          </cell>
          <cell r="F38">
            <v>27.503</v>
          </cell>
          <cell r="G38">
            <v>53.956000000000003</v>
          </cell>
          <cell r="H38">
            <v>58.518000000000001</v>
          </cell>
          <cell r="I38">
            <v>1.089</v>
          </cell>
          <cell r="J38">
            <v>0.32900000000000001</v>
          </cell>
          <cell r="K38">
            <v>0.251</v>
          </cell>
          <cell r="L38">
            <v>0</v>
          </cell>
          <cell r="M38">
            <v>0</v>
          </cell>
          <cell r="N38">
            <v>0</v>
          </cell>
          <cell r="O38">
            <v>0</v>
          </cell>
          <cell r="P38">
            <v>0</v>
          </cell>
          <cell r="Q38">
            <v>0</v>
          </cell>
          <cell r="R38">
            <v>0</v>
          </cell>
          <cell r="S38" t="str">
            <v>Linked to BS</v>
          </cell>
          <cell r="W38" t="str">
            <v>mstag:proceedsFromIssuanceAndCashUsedToRepayLongTermDebt</v>
          </cell>
          <cell r="X38">
            <v>6</v>
          </cell>
          <cell r="Y38" t="str">
            <v>ISO4217:EUR</v>
          </cell>
          <cell r="Z38" t="b">
            <v>0</v>
          </cell>
          <cell r="AA38" t="b">
            <v>0</v>
          </cell>
        </row>
        <row r="39">
          <cell r="A39" t="str">
            <v>Repayment of long term debt</v>
          </cell>
          <cell r="B39">
            <v>-0.98929599999999995</v>
          </cell>
          <cell r="C39">
            <v>-22.935724</v>
          </cell>
          <cell r="D39">
            <v>-34.153707000000004</v>
          </cell>
          <cell r="E39">
            <v>-65.543999999999997</v>
          </cell>
          <cell r="F39">
            <v>-58.625999999999998</v>
          </cell>
          <cell r="G39">
            <v>-29.579000000000001</v>
          </cell>
          <cell r="H39">
            <v>-74.927999999999997</v>
          </cell>
          <cell r="I39">
            <v>-23.715</v>
          </cell>
          <cell r="J39">
            <v>-6.7439999999999998</v>
          </cell>
          <cell r="K39">
            <v>-41.040999999999997</v>
          </cell>
          <cell r="L39">
            <v>0</v>
          </cell>
          <cell r="M39">
            <v>0</v>
          </cell>
          <cell r="N39">
            <v>0</v>
          </cell>
          <cell r="O39">
            <v>0</v>
          </cell>
          <cell r="P39">
            <v>0</v>
          </cell>
          <cell r="Q39">
            <v>0</v>
          </cell>
          <cell r="R39">
            <v>0</v>
          </cell>
          <cell r="S39" t="str">
            <v>Zero</v>
          </cell>
          <cell r="W39" t="str">
            <v>mstag:proceedsFromIssuanceAndCashUsedToRepayLongTermDebt</v>
          </cell>
          <cell r="X39">
            <v>6</v>
          </cell>
          <cell r="Y39" t="str">
            <v>ISO4217:EUR</v>
          </cell>
          <cell r="Z39" t="b">
            <v>0</v>
          </cell>
          <cell r="AA39" t="b">
            <v>0</v>
          </cell>
        </row>
        <row r="40">
          <cell r="A40" t="str">
            <v>Change in treasury stock</v>
          </cell>
          <cell r="B40">
            <v>0</v>
          </cell>
          <cell r="C40">
            <v>-0.46756500000000001</v>
          </cell>
          <cell r="D40">
            <v>0</v>
          </cell>
          <cell r="E40">
            <v>-17.457000000000001</v>
          </cell>
          <cell r="F40">
            <v>-1.4999999999999999E-2</v>
          </cell>
          <cell r="G40">
            <v>0</v>
          </cell>
          <cell r="H40">
            <v>0</v>
          </cell>
          <cell r="I40">
            <v>0</v>
          </cell>
          <cell r="J40">
            <v>0</v>
          </cell>
          <cell r="K40">
            <v>0</v>
          </cell>
          <cell r="L40">
            <v>0</v>
          </cell>
          <cell r="M40">
            <v>0</v>
          </cell>
          <cell r="N40">
            <v>0</v>
          </cell>
          <cell r="O40">
            <v>0</v>
          </cell>
          <cell r="P40">
            <v>0</v>
          </cell>
          <cell r="Q40">
            <v>0</v>
          </cell>
          <cell r="R40">
            <v>0</v>
          </cell>
          <cell r="S40" t="str">
            <v>Linked to BS</v>
          </cell>
          <cell r="W40" t="str">
            <v>mstag:fundsUsedToRepurchaseCommonStock</v>
          </cell>
          <cell r="X40">
            <v>6</v>
          </cell>
          <cell r="Y40" t="str">
            <v>ISO4217:EUR</v>
          </cell>
          <cell r="Z40" t="b">
            <v>1</v>
          </cell>
          <cell r="AA40" t="b">
            <v>0</v>
          </cell>
        </row>
        <row r="41">
          <cell r="A41" t="str">
            <v>Minority interests</v>
          </cell>
          <cell r="B41">
            <v>0</v>
          </cell>
          <cell r="C41">
            <v>0</v>
          </cell>
          <cell r="D41">
            <v>0</v>
          </cell>
          <cell r="E41">
            <v>0</v>
          </cell>
          <cell r="F41">
            <v>0</v>
          </cell>
          <cell r="G41">
            <v>0</v>
          </cell>
          <cell r="H41">
            <v>0</v>
          </cell>
          <cell r="I41">
            <v>0</v>
          </cell>
          <cell r="J41">
            <v>0</v>
          </cell>
          <cell r="K41">
            <v>0</v>
          </cell>
        </row>
        <row r="42">
          <cell r="A42" t="str">
            <v>Dividend payout</v>
          </cell>
          <cell r="B42">
            <v>-14.381584</v>
          </cell>
          <cell r="C42">
            <v>-17.276910000000001</v>
          </cell>
          <cell r="D42">
            <v>-23.027704</v>
          </cell>
          <cell r="E42">
            <v>-28.803000000000001</v>
          </cell>
          <cell r="F42">
            <v>-22.49</v>
          </cell>
          <cell r="G42">
            <v>-12.097</v>
          </cell>
          <cell r="H42">
            <v>-26.391999999999999</v>
          </cell>
          <cell r="I42">
            <v>-26.835000000000001</v>
          </cell>
          <cell r="J42">
            <v>-27.210999999999999</v>
          </cell>
          <cell r="K42">
            <v>-9.1720000000000006</v>
          </cell>
          <cell r="L42">
            <v>-9.4807930000000002</v>
          </cell>
          <cell r="M42">
            <v>-9.4807930000000002</v>
          </cell>
          <cell r="N42">
            <v>-9.4807930000000002</v>
          </cell>
          <cell r="O42">
            <v>-9.4807930000000002</v>
          </cell>
          <cell r="P42">
            <v>-9.4807930000000002</v>
          </cell>
          <cell r="Q42">
            <v>-9.4807930000000002</v>
          </cell>
          <cell r="R42">
            <v>-9.4807930000000002</v>
          </cell>
          <cell r="S42" t="str">
            <v>Linked to P&amp;L</v>
          </cell>
          <cell r="W42" t="str">
            <v>mstag:cashDividendsPaid</v>
          </cell>
          <cell r="X42">
            <v>6</v>
          </cell>
          <cell r="Y42" t="str">
            <v>ISO4217:EUR</v>
          </cell>
          <cell r="Z42" t="b">
            <v>1</v>
          </cell>
          <cell r="AA42" t="b">
            <v>0</v>
          </cell>
        </row>
        <row r="43">
          <cell r="A43" t="str">
            <v>Cash flows from financing activities</v>
          </cell>
          <cell r="B43">
            <v>17.524745000000003</v>
          </cell>
          <cell r="C43">
            <v>-66.625202000000002</v>
          </cell>
          <cell r="D43">
            <v>23.992471999999985</v>
          </cell>
          <cell r="E43">
            <v>-42.637</v>
          </cell>
          <cell r="F43">
            <v>-74.36399999999999</v>
          </cell>
          <cell r="G43">
            <v>31.844000000000008</v>
          </cell>
          <cell r="H43">
            <v>-35.565999999999988</v>
          </cell>
          <cell r="I43">
            <v>-84.31</v>
          </cell>
          <cell r="J43">
            <v>-32.564</v>
          </cell>
          <cell r="K43">
            <v>-39.572999999999993</v>
          </cell>
          <cell r="L43">
            <v>-9.4807930000000002</v>
          </cell>
          <cell r="M43">
            <v>-9.4807930000000002</v>
          </cell>
          <cell r="N43">
            <v>-9.4807930000000002</v>
          </cell>
          <cell r="O43">
            <v>-9.4807930000000002</v>
          </cell>
          <cell r="P43">
            <v>-9.4807930000000002</v>
          </cell>
          <cell r="Q43">
            <v>-9.4807930000000002</v>
          </cell>
          <cell r="R43">
            <v>-9.4807930000000002</v>
          </cell>
        </row>
        <row r="45">
          <cell r="A45" t="str">
            <v>Increase/(decrease) in cash/ cash equivalents</v>
          </cell>
          <cell r="B45">
            <v>-43.623559000000007</v>
          </cell>
          <cell r="C45">
            <v>3.7655589999998256</v>
          </cell>
          <cell r="D45">
            <v>-0.74299400000014515</v>
          </cell>
          <cell r="E45">
            <v>8.5099999999998275</v>
          </cell>
          <cell r="F45">
            <v>-12.541999999999945</v>
          </cell>
          <cell r="G45">
            <v>7.4090000000001055</v>
          </cell>
          <cell r="H45">
            <v>143.72300000000007</v>
          </cell>
          <cell r="I45">
            <v>77.103000000000151</v>
          </cell>
          <cell r="J45">
            <v>-13.650999999999836</v>
          </cell>
          <cell r="K45">
            <v>0.19200000000002149</v>
          </cell>
          <cell r="L45">
            <v>66.042316061210613</v>
          </cell>
          <cell r="M45">
            <v>83.300865230156759</v>
          </cell>
          <cell r="N45">
            <v>128.29007211347647</v>
          </cell>
          <cell r="O45">
            <v>119.8651918223124</v>
          </cell>
          <cell r="P45">
            <v>291.86328650038331</v>
          </cell>
          <cell r="Q45">
            <v>195.0606847044707</v>
          </cell>
          <cell r="R45">
            <v>215.39191662786146</v>
          </cell>
        </row>
        <row r="47">
          <cell r="A47" t="str">
            <v>Cash at Jan 1</v>
          </cell>
          <cell r="B47">
            <v>61.040993999999998</v>
          </cell>
          <cell r="C47">
            <v>18.779760999999993</v>
          </cell>
          <cell r="D47">
            <v>27.828037999999999</v>
          </cell>
          <cell r="E47">
            <v>26.533000000000001</v>
          </cell>
          <cell r="F47">
            <v>35.603000000000002</v>
          </cell>
          <cell r="G47">
            <v>23.993000000000059</v>
          </cell>
          <cell r="H47">
            <v>32.282000000000167</v>
          </cell>
          <cell r="I47">
            <v>161.32300000000023</v>
          </cell>
          <cell r="J47">
            <v>207.714</v>
          </cell>
          <cell r="K47">
            <v>184.42400000000015</v>
          </cell>
          <cell r="L47">
            <v>206.00900000000019</v>
          </cell>
          <cell r="M47">
            <v>272.0513160612108</v>
          </cell>
          <cell r="N47">
            <v>355.35218129136757</v>
          </cell>
          <cell r="O47">
            <v>483.64225340484404</v>
          </cell>
          <cell r="P47">
            <v>603.5074452271565</v>
          </cell>
          <cell r="Q47">
            <v>895.37073172753981</v>
          </cell>
          <cell r="R47">
            <v>1090.4314164320106</v>
          </cell>
        </row>
        <row r="48">
          <cell r="A48" t="str">
            <v>Unrealised exchange rate changes for the year</v>
          </cell>
          <cell r="B48">
            <v>1.3623259999999999</v>
          </cell>
          <cell r="C48">
            <v>5.1191980000000008</v>
          </cell>
          <cell r="D48">
            <v>-0.53757200000000005</v>
          </cell>
          <cell r="E48">
            <v>0.56000000000000005</v>
          </cell>
          <cell r="F48">
            <v>0.93200000000000005</v>
          </cell>
          <cell r="G48">
            <v>0.88</v>
          </cell>
          <cell r="H48">
            <v>-14.682</v>
          </cell>
          <cell r="I48">
            <v>-30.713000000000001</v>
          </cell>
          <cell r="J48">
            <v>-9.6389999999999993</v>
          </cell>
          <cell r="K48">
            <v>21.393000000000001</v>
          </cell>
          <cell r="L48">
            <v>0</v>
          </cell>
          <cell r="M48">
            <v>0</v>
          </cell>
          <cell r="N48">
            <v>0</v>
          </cell>
          <cell r="O48">
            <v>0</v>
          </cell>
          <cell r="P48">
            <v>0</v>
          </cell>
          <cell r="Q48">
            <v>0</v>
          </cell>
          <cell r="R48">
            <v>0</v>
          </cell>
          <cell r="W48" t="str">
            <v>mstag:effectOfForeignExchangeRatesOnCash</v>
          </cell>
          <cell r="X48">
            <v>6</v>
          </cell>
          <cell r="Y48" t="str">
            <v>ISO4217:EUR</v>
          </cell>
          <cell r="Z48" t="b">
            <v>0</v>
          </cell>
          <cell r="AA48" t="b">
            <v>0</v>
          </cell>
        </row>
        <row r="49">
          <cell r="A49" t="str">
            <v>Increase/(decrease) in cash</v>
          </cell>
          <cell r="B49">
            <v>-43.623559000000007</v>
          </cell>
          <cell r="C49">
            <v>3.7655589999998256</v>
          </cell>
          <cell r="D49">
            <v>-0.74299400000014515</v>
          </cell>
          <cell r="E49">
            <v>8.5099999999998275</v>
          </cell>
          <cell r="F49">
            <v>-12.541999999999945</v>
          </cell>
          <cell r="G49">
            <v>7.4090000000001055</v>
          </cell>
          <cell r="H49">
            <v>143.72300000000007</v>
          </cell>
          <cell r="I49">
            <v>77.103000000000151</v>
          </cell>
          <cell r="J49">
            <v>-13.650999999999836</v>
          </cell>
          <cell r="K49">
            <v>0.19200000000002149</v>
          </cell>
          <cell r="L49">
            <v>66.042316061210613</v>
          </cell>
          <cell r="M49">
            <v>83.300865230156759</v>
          </cell>
          <cell r="N49">
            <v>128.29007211347647</v>
          </cell>
          <cell r="O49">
            <v>119.8651918223124</v>
          </cell>
          <cell r="P49">
            <v>291.86328650038331</v>
          </cell>
          <cell r="Q49">
            <v>195.0606847044707</v>
          </cell>
          <cell r="R49">
            <v>215.39191662786146</v>
          </cell>
        </row>
        <row r="50">
          <cell r="A50" t="str">
            <v>Cash and cash equivalents at Dec 31</v>
          </cell>
          <cell r="B50">
            <v>18.779760999999993</v>
          </cell>
          <cell r="C50">
            <v>27.66451799999982</v>
          </cell>
          <cell r="D50">
            <v>26.547471999999853</v>
          </cell>
          <cell r="E50">
            <v>35.602999999999824</v>
          </cell>
          <cell r="F50">
            <v>23.993000000000059</v>
          </cell>
          <cell r="G50">
            <v>32.282000000000167</v>
          </cell>
          <cell r="H50">
            <v>161.32300000000023</v>
          </cell>
          <cell r="I50">
            <v>207.71300000000039</v>
          </cell>
          <cell r="J50">
            <v>184.42400000000015</v>
          </cell>
          <cell r="K50">
            <v>206.00900000000019</v>
          </cell>
          <cell r="L50">
            <v>272.0513160612108</v>
          </cell>
          <cell r="M50">
            <v>355.35218129136757</v>
          </cell>
          <cell r="N50">
            <v>483.64225340484404</v>
          </cell>
          <cell r="O50">
            <v>603.5074452271565</v>
          </cell>
          <cell r="P50">
            <v>895.37073172753981</v>
          </cell>
          <cell r="Q50">
            <v>1090.4314164320106</v>
          </cell>
          <cell r="R50">
            <v>1305.8233330598721</v>
          </cell>
        </row>
        <row r="53">
          <cell r="A53" t="str">
            <v>Notes:</v>
          </cell>
        </row>
        <row r="54">
          <cell r="A54" t="str">
            <v>E= Morgan Stanley Research Estimates</v>
          </cell>
        </row>
        <row r="55">
          <cell r="A55" t="str">
            <v>Source: Morgan Stanley Research</v>
          </cell>
        </row>
        <row r="59">
          <cell r="B59" t="str">
            <v>1996-FY</v>
          </cell>
          <cell r="C59" t="str">
            <v>1997-FY</v>
          </cell>
          <cell r="D59" t="str">
            <v>1998-FY</v>
          </cell>
          <cell r="E59" t="str">
            <v>1999-FY</v>
          </cell>
          <cell r="F59" t="str">
            <v>2000-FY</v>
          </cell>
          <cell r="G59" t="str">
            <v>2001-FY</v>
          </cell>
          <cell r="H59" t="str">
            <v>2002-FY</v>
          </cell>
          <cell r="I59" t="str">
            <v>2003-FY</v>
          </cell>
          <cell r="J59" t="str">
            <v>2004-FY</v>
          </cell>
          <cell r="K59" t="str">
            <v>2005-FY</v>
          </cell>
          <cell r="L59" t="str">
            <v>2006-FY</v>
          </cell>
          <cell r="M59" t="str">
            <v>2007-FY</v>
          </cell>
          <cell r="N59" t="str">
            <v>2008-FY</v>
          </cell>
          <cell r="O59" t="str">
            <v>2009-FY</v>
          </cell>
          <cell r="P59" t="str">
            <v>2010-FY</v>
          </cell>
          <cell r="Q59" t="str">
            <v>2011-FY</v>
          </cell>
          <cell r="R59" t="str">
            <v>2012-FY</v>
          </cell>
        </row>
        <row r="61">
          <cell r="A61" t="str">
            <v>Free Cash flow to Equity Calculation</v>
          </cell>
        </row>
        <row r="62">
          <cell r="A62" t="str">
            <v>Operating Cash flow</v>
          </cell>
          <cell r="B62">
            <v>78.103284000000016</v>
          </cell>
          <cell r="C62">
            <v>109.87879699999984</v>
          </cell>
          <cell r="D62">
            <v>87.891488999999893</v>
          </cell>
          <cell r="E62">
            <v>39.021999999999821</v>
          </cell>
          <cell r="F62">
            <v>103.22700000000005</v>
          </cell>
          <cell r="G62">
            <v>71.176000000000101</v>
          </cell>
          <cell r="H62">
            <v>190.39400000000006</v>
          </cell>
          <cell r="I62">
            <v>174.24400000000014</v>
          </cell>
          <cell r="J62">
            <v>46.719000000000158</v>
          </cell>
          <cell r="K62">
            <v>66.956000000000017</v>
          </cell>
          <cell r="L62">
            <v>115.19839906121062</v>
          </cell>
          <cell r="M62">
            <v>134.83335853015677</v>
          </cell>
          <cell r="N62">
            <v>182.35730723447648</v>
          </cell>
          <cell r="O62">
            <v>176.63642314778241</v>
          </cell>
          <cell r="P62">
            <v>351.51945266975622</v>
          </cell>
          <cell r="Q62">
            <v>257.79522324004211</v>
          </cell>
          <cell r="R62">
            <v>281.41163552015212</v>
          </cell>
        </row>
        <row r="63">
          <cell r="A63" t="str">
            <v>CAPEX</v>
          </cell>
          <cell r="B63">
            <v>-24.934245000000001</v>
          </cell>
          <cell r="C63">
            <v>-26.509147000000002</v>
          </cell>
          <cell r="D63">
            <v>-27.92615</v>
          </cell>
          <cell r="E63">
            <v>-39.579000000000001</v>
          </cell>
          <cell r="F63">
            <v>-40.883000000000003</v>
          </cell>
          <cell r="G63">
            <v>-32.851999999999997</v>
          </cell>
          <cell r="H63">
            <v>-21.937999999999999</v>
          </cell>
          <cell r="I63">
            <v>-28.497</v>
          </cell>
          <cell r="J63">
            <v>-19.138999999999999</v>
          </cell>
          <cell r="K63">
            <v>-29.1</v>
          </cell>
          <cell r="L63">
            <v>-39.675290000000004</v>
          </cell>
          <cell r="M63">
            <v>-42.051700300000007</v>
          </cell>
          <cell r="N63">
            <v>-44.586442121000005</v>
          </cell>
          <cell r="O63">
            <v>-47.290438325470006</v>
          </cell>
          <cell r="P63">
            <v>-50.175373169372904</v>
          </cell>
          <cell r="Q63">
            <v>-53.253745535571412</v>
          </cell>
          <cell r="R63">
            <v>-56.538925892290663</v>
          </cell>
        </row>
        <row r="64">
          <cell r="A64" t="str">
            <v>Changes in Debt</v>
          </cell>
          <cell r="B64">
            <v>31.906329000000003</v>
          </cell>
          <cell r="C64">
            <v>0</v>
          </cell>
          <cell r="D64">
            <v>46.792780999999984</v>
          </cell>
          <cell r="E64">
            <v>3.6230000000000047</v>
          </cell>
          <cell r="F64">
            <v>-51.858999999999995</v>
          </cell>
          <cell r="G64">
            <v>43.94100000000001</v>
          </cell>
          <cell r="H64">
            <v>-21.839999999999996</v>
          </cell>
          <cell r="I64">
            <v>-66.439000000000007</v>
          </cell>
          <cell r="J64">
            <v>-13.368</v>
          </cell>
          <cell r="K64">
            <v>-40.869999999999997</v>
          </cell>
          <cell r="L64">
            <v>0</v>
          </cell>
          <cell r="M64">
            <v>0</v>
          </cell>
          <cell r="N64">
            <v>0</v>
          </cell>
          <cell r="O64">
            <v>0</v>
          </cell>
          <cell r="P64">
            <v>0</v>
          </cell>
          <cell r="Q64">
            <v>0</v>
          </cell>
          <cell r="R64">
            <v>0</v>
          </cell>
        </row>
        <row r="65">
          <cell r="A65" t="str">
            <v>Preference dividends paid</v>
          </cell>
          <cell r="B65">
            <v>0</v>
          </cell>
          <cell r="C65">
            <v>0.6351730000000001</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row>
        <row r="66">
          <cell r="A66" t="str">
            <v>Free Cash flow to Equity</v>
          </cell>
          <cell r="B66">
            <v>85.075368000000012</v>
          </cell>
          <cell r="C66">
            <v>-12.480664000000001</v>
          </cell>
          <cell r="D66">
            <v>106.75811999999988</v>
          </cell>
          <cell r="E66">
            <v>3.0659999999998249</v>
          </cell>
          <cell r="F66">
            <v>10.485000000000049</v>
          </cell>
          <cell r="G66">
            <v>82.265000000000114</v>
          </cell>
          <cell r="H66">
            <v>146.61600000000007</v>
          </cell>
          <cell r="I66">
            <v>79.308000000000121</v>
          </cell>
          <cell r="J66">
            <v>14.212000000000158</v>
          </cell>
          <cell r="K66">
            <v>-3.0139999999999816</v>
          </cell>
          <cell r="L66">
            <v>75.523109061210619</v>
          </cell>
          <cell r="M66">
            <v>92.781658230156765</v>
          </cell>
          <cell r="N66">
            <v>137.77086511347648</v>
          </cell>
          <cell r="O66">
            <v>129.3459848223124</v>
          </cell>
          <cell r="P66">
            <v>301.34407950038332</v>
          </cell>
          <cell r="Q66">
            <v>204.54147770447071</v>
          </cell>
          <cell r="R66">
            <v>224.87270962786147</v>
          </cell>
        </row>
        <row r="69">
          <cell r="A69" t="str">
            <v>Free cashflow to Firm calculation</v>
          </cell>
        </row>
        <row r="70">
          <cell r="A70" t="str">
            <v>EBIT</v>
          </cell>
          <cell r="B70">
            <v>101.23421000000002</v>
          </cell>
          <cell r="C70">
            <v>102.40286699999983</v>
          </cell>
          <cell r="D70">
            <v>103.89498699999992</v>
          </cell>
          <cell r="E70">
            <v>-29.820000000000178</v>
          </cell>
          <cell r="F70">
            <v>-3.6129999999999725</v>
          </cell>
          <cell r="G70">
            <v>16.552000000000096</v>
          </cell>
          <cell r="H70">
            <v>74.936000000000064</v>
          </cell>
          <cell r="I70">
            <v>260.50100000000015</v>
          </cell>
          <cell r="J70">
            <v>15.800000000000164</v>
          </cell>
          <cell r="K70">
            <v>-16.957999999999995</v>
          </cell>
          <cell r="L70">
            <v>76.356535168145612</v>
          </cell>
          <cell r="M70">
            <v>103.13376334737862</v>
          </cell>
          <cell r="N70">
            <v>124.10273135166111</v>
          </cell>
          <cell r="O70">
            <v>164.75991500294703</v>
          </cell>
          <cell r="P70">
            <v>368.58684616003967</v>
          </cell>
          <cell r="Q70">
            <v>252.07950311545787</v>
          </cell>
          <cell r="R70">
            <v>277.19252401784183</v>
          </cell>
        </row>
        <row r="71">
          <cell r="A71" t="str">
            <v>Depreciation and amortization</v>
          </cell>
          <cell r="B71">
            <v>48.22307</v>
          </cell>
          <cell r="C71">
            <v>61.494762000000001</v>
          </cell>
          <cell r="D71">
            <v>61.351681999999997</v>
          </cell>
          <cell r="E71">
            <v>62.734000000000002</v>
          </cell>
          <cell r="F71">
            <v>70.510000000000005</v>
          </cell>
          <cell r="G71">
            <v>61.091999999999999</v>
          </cell>
          <cell r="H71">
            <v>58.472999999999999</v>
          </cell>
          <cell r="I71">
            <v>54.774000000000001</v>
          </cell>
          <cell r="J71">
            <v>52.872</v>
          </cell>
          <cell r="K71">
            <v>49.807000000000002</v>
          </cell>
          <cell r="L71">
            <v>57.713604713470154</v>
          </cell>
          <cell r="M71">
            <v>59.699830566160529</v>
          </cell>
          <cell r="N71">
            <v>61.834625403701935</v>
          </cell>
          <cell r="O71">
            <v>64.127567564443027</v>
          </cell>
          <cell r="P71">
            <v>66.58890968368695</v>
          </cell>
          <cell r="Q71">
            <v>63.375434823752158</v>
          </cell>
          <cell r="R71">
            <v>48.506931344872868</v>
          </cell>
        </row>
        <row r="72">
          <cell r="A72" t="str">
            <v>EBITDA</v>
          </cell>
          <cell r="B72">
            <v>149.45728000000003</v>
          </cell>
          <cell r="C72">
            <v>163.89762899999982</v>
          </cell>
          <cell r="D72">
            <v>165.24666899999991</v>
          </cell>
          <cell r="E72">
            <v>32.913999999999824</v>
          </cell>
          <cell r="F72">
            <v>66.897000000000034</v>
          </cell>
          <cell r="G72">
            <v>77.644000000000091</v>
          </cell>
          <cell r="H72">
            <v>133.40900000000005</v>
          </cell>
          <cell r="I72">
            <v>315.27500000000015</v>
          </cell>
          <cell r="J72">
            <v>68.672000000000168</v>
          </cell>
          <cell r="K72">
            <v>32.849000000000004</v>
          </cell>
          <cell r="L72">
            <v>134.07013988161577</v>
          </cell>
          <cell r="M72">
            <v>162.83359391353915</v>
          </cell>
          <cell r="N72">
            <v>185.93735675536306</v>
          </cell>
          <cell r="O72">
            <v>228.88748256739007</v>
          </cell>
          <cell r="P72">
            <v>435.17575584372662</v>
          </cell>
          <cell r="Q72">
            <v>315.45493793921003</v>
          </cell>
          <cell r="R72">
            <v>325.69945536271473</v>
          </cell>
        </row>
        <row r="74">
          <cell r="A74" t="str">
            <v>Tax rate</v>
          </cell>
          <cell r="B74">
            <v>0.44552012045638612</v>
          </cell>
          <cell r="C74">
            <v>0.42513180064133999</v>
          </cell>
          <cell r="D74">
            <v>0.36934018428928517</v>
          </cell>
          <cell r="E74">
            <v>0.87199891178671296</v>
          </cell>
          <cell r="F74">
            <v>0.24576700230635048</v>
          </cell>
          <cell r="G74">
            <v>0.3812083422919797</v>
          </cell>
          <cell r="H74">
            <v>0.3983980497997559</v>
          </cell>
          <cell r="I74">
            <v>0.50900810988637257</v>
          </cell>
          <cell r="J74">
            <v>1.0481037924151582</v>
          </cell>
          <cell r="K74">
            <v>2.0625608708106569</v>
          </cell>
          <cell r="L74">
            <v>0.61784185680188042</v>
          </cell>
          <cell r="M74">
            <v>0.38233223509348629</v>
          </cell>
          <cell r="N74">
            <v>0.35</v>
          </cell>
          <cell r="O74">
            <v>0.35</v>
          </cell>
          <cell r="P74">
            <v>0.27950883757775608</v>
          </cell>
          <cell r="Q74">
            <v>0.3</v>
          </cell>
          <cell r="R74">
            <v>0.28000000000000003</v>
          </cell>
        </row>
        <row r="75">
          <cell r="A75" t="str">
            <v>NOPLAT</v>
          </cell>
          <cell r="B75">
            <v>82.871054611316183</v>
          </cell>
          <cell r="C75">
            <v>94.219534862383583</v>
          </cell>
          <cell r="D75">
            <v>104.21443381834943</v>
          </cell>
          <cell r="E75">
            <v>4.2130278174521072</v>
          </cell>
          <cell r="F75">
            <v>50.455924846712094</v>
          </cell>
          <cell r="G75">
            <v>48.045459471081585</v>
          </cell>
          <cell r="H75">
            <v>80.259114574264387</v>
          </cell>
          <cell r="I75">
            <v>154.79746815557397</v>
          </cell>
          <cell r="J75">
            <v>-3.3033836327337496</v>
          </cell>
          <cell r="K75">
            <v>-34.904062045259273</v>
          </cell>
          <cell r="L75">
            <v>51.235995715470445</v>
          </cell>
          <cell r="M75">
            <v>100.57706200427062</v>
          </cell>
          <cell r="N75">
            <v>120.85928189098598</v>
          </cell>
          <cell r="O75">
            <v>148.77686366880354</v>
          </cell>
          <cell r="P75">
            <v>313.54028618582515</v>
          </cell>
          <cell r="Q75">
            <v>220.81845655744701</v>
          </cell>
          <cell r="R75">
            <v>234.50360786115459</v>
          </cell>
        </row>
        <row r="77">
          <cell r="A77" t="str">
            <v>Increase in working capital</v>
          </cell>
          <cell r="B77">
            <v>-11.965065000000001</v>
          </cell>
          <cell r="C77">
            <v>-16.382660000000001</v>
          </cell>
          <cell r="D77">
            <v>-42.687407</v>
          </cell>
          <cell r="E77">
            <v>-2.221000000000001</v>
          </cell>
          <cell r="F77">
            <v>35.641000000000005</v>
          </cell>
          <cell r="G77">
            <v>-27.755000000000003</v>
          </cell>
          <cell r="H77">
            <v>-30.476000000000006</v>
          </cell>
          <cell r="I77">
            <v>-34.652000000000001</v>
          </cell>
          <cell r="J77">
            <v>-43.484000000000009</v>
          </cell>
          <cell r="K77">
            <v>123.371</v>
          </cell>
          <cell r="L77">
            <v>25.578351551308479</v>
          </cell>
          <cell r="M77">
            <v>5.39995318433186</v>
          </cell>
          <cell r="N77">
            <v>31.215317989378455</v>
          </cell>
          <cell r="O77">
            <v>-6.0383255130310864</v>
          </cell>
          <cell r="P77">
            <v>0.34800982944290126</v>
          </cell>
          <cell r="Q77">
            <v>-4.8494358161272118</v>
          </cell>
          <cell r="R77">
            <v>5.0605465094640749</v>
          </cell>
        </row>
        <row r="78">
          <cell r="A78" t="str">
            <v>CAPEX</v>
          </cell>
          <cell r="B78">
            <v>-24.934245000000001</v>
          </cell>
          <cell r="C78">
            <v>-26.509147000000002</v>
          </cell>
          <cell r="D78">
            <v>-27.92615</v>
          </cell>
          <cell r="E78">
            <v>-39.579000000000001</v>
          </cell>
          <cell r="F78">
            <v>-40.883000000000003</v>
          </cell>
          <cell r="G78">
            <v>-32.851999999999997</v>
          </cell>
          <cell r="H78">
            <v>-21.937999999999999</v>
          </cell>
          <cell r="I78">
            <v>-28.497</v>
          </cell>
          <cell r="J78">
            <v>-19.138999999999999</v>
          </cell>
          <cell r="K78">
            <v>-29.1</v>
          </cell>
          <cell r="L78">
            <v>-39.675290000000004</v>
          </cell>
          <cell r="M78">
            <v>-42.051700300000007</v>
          </cell>
          <cell r="N78">
            <v>-44.586442121000005</v>
          </cell>
          <cell r="O78">
            <v>-47.290438325470006</v>
          </cell>
          <cell r="P78">
            <v>-50.175373169372904</v>
          </cell>
          <cell r="Q78">
            <v>-53.253745535571412</v>
          </cell>
          <cell r="R78">
            <v>-56.538925892290663</v>
          </cell>
        </row>
        <row r="80">
          <cell r="A80" t="str">
            <v>Free Cash flow to Firm</v>
          </cell>
          <cell r="B80">
            <v>45.971744611316183</v>
          </cell>
          <cell r="C80">
            <v>51.327727862383583</v>
          </cell>
          <cell r="D80">
            <v>33.600876818349434</v>
          </cell>
          <cell r="E80">
            <v>-37.586972182547896</v>
          </cell>
          <cell r="F80">
            <v>45.213924846712096</v>
          </cell>
          <cell r="G80">
            <v>-12.561540528918414</v>
          </cell>
          <cell r="H80">
            <v>27.845114574264382</v>
          </cell>
          <cell r="I80">
            <v>91.648468155573966</v>
          </cell>
          <cell r="J80">
            <v>-65.92638363273376</v>
          </cell>
          <cell r="K80">
            <v>59.366937954740727</v>
          </cell>
          <cell r="L80">
            <v>37.13905726677892</v>
          </cell>
          <cell r="M80">
            <v>63.925314888602472</v>
          </cell>
          <cell r="N80">
            <v>107.48815775936444</v>
          </cell>
          <cell r="O80">
            <v>95.448099830302453</v>
          </cell>
          <cell r="P80">
            <v>263.71292284589515</v>
          </cell>
          <cell r="Q80">
            <v>162.71527520574841</v>
          </cell>
          <cell r="R80">
            <v>183.02522847832802</v>
          </cell>
        </row>
      </sheetData>
      <sheetData sheetId="18" refreshError="1"/>
      <sheetData sheetId="19" refreshError="1"/>
      <sheetData sheetId="20" refreshError="1"/>
      <sheetData sheetId="21" refreshError="1"/>
      <sheetData sheetId="22" refreshError="1">
        <row r="1">
          <cell r="A1" t="str">
            <v>Model data for companies: LUN.CO</v>
          </cell>
        </row>
        <row r="2">
          <cell r="A2" t="str">
            <v xml:space="preserve">Model Snapshot type:  </v>
          </cell>
          <cell r="G2" t="str">
            <v>1997-FY</v>
          </cell>
          <cell r="H2" t="str">
            <v>1998-FY</v>
          </cell>
          <cell r="I2" t="str">
            <v>1999-FY</v>
          </cell>
          <cell r="J2" t="str">
            <v>2000-FY</v>
          </cell>
          <cell r="K2" t="str">
            <v>2001-FY</v>
          </cell>
        </row>
        <row r="3">
          <cell r="A3" t="str">
            <v>Default Currency: DKK million</v>
          </cell>
        </row>
        <row r="4">
          <cell r="B4">
            <v>38405.849171296293</v>
          </cell>
        </row>
        <row r="5">
          <cell r="A5" t="str">
            <v>Template v1.0</v>
          </cell>
        </row>
        <row r="6">
          <cell r="G6" t="str">
            <v>1997-FY</v>
          </cell>
          <cell r="H6" t="str">
            <v>1998-FY</v>
          </cell>
          <cell r="I6" t="str">
            <v>1999-FY</v>
          </cell>
          <cell r="J6" t="str">
            <v>2000-FY</v>
          </cell>
          <cell r="K6" t="str">
            <v>2001-FY</v>
          </cell>
          <cell r="L6" t="str">
            <v>2002 (A)_x000D_
2002-1-1_x000D_
2002-12-31</v>
          </cell>
          <cell r="M6" t="str">
            <v>2003 (A)_x000D_
2003-1-1_x000D_
2003-12-31</v>
          </cell>
        </row>
        <row r="7">
          <cell r="A7" t="str">
            <v>Validation Formulas</v>
          </cell>
        </row>
        <row r="18">
          <cell r="B18" t="str">
            <v>Balance Sheet Validation</v>
          </cell>
          <cell r="G18" t="b">
            <v>1</v>
          </cell>
          <cell r="H18" t="b">
            <v>1</v>
          </cell>
          <cell r="I18" t="b">
            <v>1</v>
          </cell>
          <cell r="J18" t="b">
            <v>1</v>
          </cell>
          <cell r="K18" t="b">
            <v>1</v>
          </cell>
          <cell r="L18" t="b">
            <v>1</v>
          </cell>
          <cell r="M18" t="b">
            <v>1</v>
          </cell>
        </row>
        <row r="29">
          <cell r="C29" t="str">
            <v>Assets</v>
          </cell>
          <cell r="G29">
            <v>2755.7999999999997</v>
          </cell>
          <cell r="H29">
            <v>2981.2</v>
          </cell>
          <cell r="I29">
            <v>4638.6000000000004</v>
          </cell>
          <cell r="J29">
            <v>6782.6</v>
          </cell>
          <cell r="K29">
            <v>7965.9</v>
          </cell>
          <cell r="L29">
            <v>9269.2999999999993</v>
          </cell>
          <cell r="M29">
            <v>11055.300000000003</v>
          </cell>
        </row>
        <row r="40">
          <cell r="C40" t="str">
            <v>Liabilities and Equity</v>
          </cell>
          <cell r="G40">
            <v>2755.8</v>
          </cell>
          <cell r="H40">
            <v>2981.2</v>
          </cell>
          <cell r="I40">
            <v>4638.8</v>
          </cell>
          <cell r="J40">
            <v>6782.6</v>
          </cell>
          <cell r="K40">
            <v>7965.9</v>
          </cell>
          <cell r="L40">
            <v>9269.2999999999993</v>
          </cell>
          <cell r="M40">
            <v>11055.3</v>
          </cell>
        </row>
        <row r="51">
          <cell r="B51" t="str">
            <v>Changes in Shareholders Equity Validation</v>
          </cell>
          <cell r="G51" t="b">
            <v>1</v>
          </cell>
          <cell r="H51" t="b">
            <v>1</v>
          </cell>
          <cell r="I51" t="b">
            <v>1</v>
          </cell>
          <cell r="J51" t="b">
            <v>1</v>
          </cell>
          <cell r="K51" t="b">
            <v>1</v>
          </cell>
          <cell r="L51" t="b">
            <v>1</v>
          </cell>
          <cell r="M51" t="b">
            <v>1</v>
          </cell>
        </row>
        <row r="62">
          <cell r="C62" t="str">
            <v>Changes in Shareholders Equity</v>
          </cell>
          <cell r="G62">
            <v>398.80000000000018</v>
          </cell>
          <cell r="H62">
            <v>272</v>
          </cell>
          <cell r="I62">
            <v>1093.0000000000005</v>
          </cell>
          <cell r="J62">
            <v>846.09999999999911</v>
          </cell>
          <cell r="K62">
            <v>984.30000000000086</v>
          </cell>
          <cell r="L62">
            <v>1079.4000000000003</v>
          </cell>
          <cell r="M62">
            <v>1093.2</v>
          </cell>
        </row>
        <row r="73">
          <cell r="D73" t="str">
            <v>Net Income (Reported) Less Preferred Dividends</v>
          </cell>
          <cell r="G73">
            <v>293.9000000000002</v>
          </cell>
          <cell r="H73">
            <v>307</v>
          </cell>
          <cell r="I73">
            <v>655.30000000000041</v>
          </cell>
          <cell r="J73">
            <v>984.79999999999916</v>
          </cell>
          <cell r="K73">
            <v>1311.400000000001</v>
          </cell>
          <cell r="L73">
            <v>1269.3000000000004</v>
          </cell>
          <cell r="M73">
            <v>1377</v>
          </cell>
        </row>
        <row r="74">
          <cell r="G74">
            <v>437.80000000000018</v>
          </cell>
          <cell r="H74">
            <v>445.9</v>
          </cell>
          <cell r="I74">
            <v>902.20000000000039</v>
          </cell>
          <cell r="J74">
            <v>1390.1999999999991</v>
          </cell>
          <cell r="K74">
            <v>1904.8000000000009</v>
          </cell>
          <cell r="L74">
            <v>2074.5000000000005</v>
          </cell>
          <cell r="M74">
            <v>2052.5</v>
          </cell>
        </row>
        <row r="75">
          <cell r="G75">
            <v>-143.89999999999998</v>
          </cell>
          <cell r="H75">
            <v>-138.9</v>
          </cell>
          <cell r="I75">
            <v>-246.9</v>
          </cell>
          <cell r="J75">
            <v>-405.4</v>
          </cell>
          <cell r="K75">
            <v>-593.4</v>
          </cell>
          <cell r="L75">
            <v>-805.2</v>
          </cell>
          <cell r="M75">
            <v>-675.5</v>
          </cell>
        </row>
        <row r="84">
          <cell r="D84" t="str">
            <v>Change in Accumulated Other Comprehensive Income (Loss) or Other Reserves</v>
          </cell>
          <cell r="G84">
            <v>0</v>
          </cell>
          <cell r="H84">
            <v>-35</v>
          </cell>
          <cell r="I84">
            <v>0</v>
          </cell>
          <cell r="J84">
            <v>0</v>
          </cell>
          <cell r="K84">
            <v>-41.2</v>
          </cell>
          <cell r="L84">
            <v>186.3</v>
          </cell>
          <cell r="M84">
            <v>133.4</v>
          </cell>
        </row>
        <row r="95">
          <cell r="D95" t="str">
            <v>Change in Investment in Own Shares (Asset)</v>
          </cell>
          <cell r="G95">
            <v>0</v>
          </cell>
          <cell r="H95">
            <v>0</v>
          </cell>
          <cell r="I95">
            <v>0</v>
          </cell>
          <cell r="J95">
            <v>0</v>
          </cell>
          <cell r="K95">
            <v>0</v>
          </cell>
          <cell r="L95">
            <v>0</v>
          </cell>
          <cell r="M95">
            <v>0</v>
          </cell>
        </row>
        <row r="106">
          <cell r="B106" t="str">
            <v>Cash Flow Validation</v>
          </cell>
          <cell r="G106" t="b">
            <v>1</v>
          </cell>
          <cell r="H106" t="b">
            <v>1</v>
          </cell>
          <cell r="I106" t="b">
            <v>1</v>
          </cell>
          <cell r="J106" t="b">
            <v>1</v>
          </cell>
          <cell r="K106" t="b">
            <v>1</v>
          </cell>
          <cell r="L106" t="b">
            <v>1</v>
          </cell>
          <cell r="M106" t="b">
            <v>1</v>
          </cell>
        </row>
        <row r="117">
          <cell r="C117" t="str">
            <v>Aggregate Cash and Cash Equivalents for Validation</v>
          </cell>
          <cell r="F117">
            <v>655.29999999999995</v>
          </cell>
          <cell r="G117">
            <v>800.3</v>
          </cell>
          <cell r="H117">
            <v>816.6</v>
          </cell>
          <cell r="I117">
            <v>1439.1</v>
          </cell>
          <cell r="J117">
            <v>1502.9</v>
          </cell>
          <cell r="K117">
            <v>1031.4000000000001</v>
          </cell>
          <cell r="L117">
            <v>861.4</v>
          </cell>
          <cell r="M117">
            <v>1333.9</v>
          </cell>
        </row>
        <row r="128">
          <cell r="C128" t="str">
            <v>Changes in Cash and Cash Equivalents</v>
          </cell>
          <cell r="G128">
            <v>144.99999999999994</v>
          </cell>
          <cell r="H128">
            <v>16.300000000000068</v>
          </cell>
          <cell r="I128">
            <v>622.50000000000011</v>
          </cell>
          <cell r="J128">
            <v>63.800000000000011</v>
          </cell>
          <cell r="K128">
            <v>-471.49999999999966</v>
          </cell>
          <cell r="L128">
            <v>-170.00000000000023</v>
          </cell>
          <cell r="M128">
            <v>472.20000000000022</v>
          </cell>
        </row>
        <row r="129">
          <cell r="G129">
            <v>370.2</v>
          </cell>
          <cell r="H129">
            <v>298.20000000000005</v>
          </cell>
          <cell r="I129">
            <v>498</v>
          </cell>
          <cell r="J129">
            <v>552.10000000000014</v>
          </cell>
          <cell r="K129">
            <v>236.50000000000031</v>
          </cell>
          <cell r="L129">
            <v>1718.5999999999997</v>
          </cell>
          <cell r="M129">
            <v>185.4000000000002</v>
          </cell>
        </row>
        <row r="130">
          <cell r="G130">
            <v>-225.20000000000005</v>
          </cell>
          <cell r="H130">
            <v>-281.89999999999998</v>
          </cell>
          <cell r="I130">
            <v>124.50000000000009</v>
          </cell>
          <cell r="J130">
            <v>-488.30000000000013</v>
          </cell>
          <cell r="K130">
            <v>-708</v>
          </cell>
          <cell r="L130">
            <v>-1888.6</v>
          </cell>
          <cell r="M130">
            <v>286.8</v>
          </cell>
        </row>
        <row r="139">
          <cell r="B139" t="str">
            <v>Tax Rate Validation (must be between 0% and 100%)</v>
          </cell>
          <cell r="G139">
            <v>0.34</v>
          </cell>
          <cell r="H139">
            <v>0.29500000000000004</v>
          </cell>
          <cell r="I139">
            <v>0.31</v>
          </cell>
          <cell r="J139">
            <v>0.308</v>
          </cell>
          <cell r="K139">
            <v>0.29399999999999998</v>
          </cell>
          <cell r="L139">
            <v>0.30299999999999999</v>
          </cell>
          <cell r="M139">
            <v>0.316</v>
          </cell>
        </row>
        <row r="140">
          <cell r="A140" t="str">
            <v>Tagged metrics</v>
          </cell>
        </row>
        <row r="141">
          <cell r="B141" t="str">
            <v>Income statement</v>
          </cell>
        </row>
        <row r="142">
          <cell r="C142" t="str">
            <v>Revenue, Net</v>
          </cell>
          <cell r="F142">
            <v>0</v>
          </cell>
          <cell r="G142">
            <v>2635.6</v>
          </cell>
          <cell r="H142">
            <v>3121.9</v>
          </cell>
          <cell r="I142">
            <v>3825.9</v>
          </cell>
          <cell r="J142">
            <v>5305.7999999999993</v>
          </cell>
          <cell r="K142">
            <v>7104.6</v>
          </cell>
          <cell r="L142">
            <v>8639.2000000000007</v>
          </cell>
          <cell r="M142">
            <v>9940.7999999999993</v>
          </cell>
        </row>
        <row r="143">
          <cell r="D143" t="str">
            <v>Revenue, Net of Discounts and Allowances</v>
          </cell>
          <cell r="G143">
            <v>2635.6</v>
          </cell>
          <cell r="H143">
            <v>3121.9</v>
          </cell>
          <cell r="I143">
            <v>3825.9</v>
          </cell>
          <cell r="J143">
            <v>5305.7999999999993</v>
          </cell>
          <cell r="K143">
            <v>7104.6</v>
          </cell>
          <cell r="L143">
            <v>8639.2000000000007</v>
          </cell>
          <cell r="M143" t="str">
            <v/>
          </cell>
        </row>
        <row r="144">
          <cell r="E144" t="str">
            <v>Revenue, Gross</v>
          </cell>
        </row>
        <row r="145">
          <cell r="E145" t="str">
            <v>Sales Discounts</v>
          </cell>
        </row>
        <row r="146">
          <cell r="E146" t="str">
            <v>Change in Allowance for Doubtful Accounts (recurring)</v>
          </cell>
        </row>
        <row r="147">
          <cell r="E147" t="str">
            <v>Change in Allowance for Doubtful Accounts (one time)</v>
          </cell>
        </row>
        <row r="148">
          <cell r="C148" t="str">
            <v>Revenue (Region)</v>
          </cell>
        </row>
        <row r="149">
          <cell r="D149" t="str">
            <v>Americas Revenues</v>
          </cell>
          <cell r="G149" t="str">
            <v/>
          </cell>
          <cell r="H149" t="str">
            <v/>
          </cell>
          <cell r="I149" t="str">
            <v/>
          </cell>
          <cell r="J149" t="str">
            <v/>
          </cell>
          <cell r="K149" t="str">
            <v/>
          </cell>
          <cell r="L149" t="str">
            <v/>
          </cell>
          <cell r="M149" t="str">
            <v/>
          </cell>
        </row>
        <row r="150">
          <cell r="E150" t="str">
            <v>North America Revenues</v>
          </cell>
        </row>
        <row r="151">
          <cell r="E151" t="str">
            <v>Latin America Revenues</v>
          </cell>
        </row>
        <row r="152">
          <cell r="D152" t="str">
            <v>Europe, Middle East and Africa (EMEA) Revenues</v>
          </cell>
          <cell r="G152" t="str">
            <v/>
          </cell>
          <cell r="H152" t="str">
            <v/>
          </cell>
          <cell r="I152" t="str">
            <v/>
          </cell>
          <cell r="J152" t="str">
            <v/>
          </cell>
          <cell r="K152" t="str">
            <v/>
          </cell>
          <cell r="L152" t="str">
            <v/>
          </cell>
          <cell r="M152" t="str">
            <v/>
          </cell>
        </row>
        <row r="153">
          <cell r="E153" t="str">
            <v>Europe Revenues</v>
          </cell>
        </row>
        <row r="154">
          <cell r="E154" t="str">
            <v>Africa and Middle East Revenues</v>
          </cell>
        </row>
        <row r="155">
          <cell r="D155" t="str">
            <v>Asia Revenues</v>
          </cell>
          <cell r="G155" t="str">
            <v/>
          </cell>
          <cell r="H155" t="str">
            <v/>
          </cell>
          <cell r="I155" t="str">
            <v/>
          </cell>
          <cell r="J155" t="str">
            <v/>
          </cell>
          <cell r="K155" t="str">
            <v/>
          </cell>
          <cell r="L155" t="str">
            <v/>
          </cell>
          <cell r="M155" t="str">
            <v/>
          </cell>
        </row>
        <row r="156">
          <cell r="E156" t="str">
            <v>Japan Revenues</v>
          </cell>
        </row>
        <row r="157">
          <cell r="E157" t="str">
            <v>Non Japan Asia Revenues</v>
          </cell>
        </row>
        <row r="158">
          <cell r="D158" t="str">
            <v>Other Revenue (region)</v>
          </cell>
        </row>
        <row r="159">
          <cell r="D159" t="str">
            <v>Intercompany Eliminations</v>
          </cell>
        </row>
        <row r="160">
          <cell r="C160" t="str">
            <v>Royalty, Licensee Income</v>
          </cell>
          <cell r="G160">
            <v>26.3</v>
          </cell>
          <cell r="H160">
            <v>54.1</v>
          </cell>
          <cell r="I160">
            <v>141.6</v>
          </cell>
          <cell r="J160">
            <v>304.10000000000002</v>
          </cell>
          <cell r="K160">
            <v>495.5</v>
          </cell>
          <cell r="L160">
            <v>805.3</v>
          </cell>
        </row>
        <row r="161">
          <cell r="C161" t="str">
            <v>Cost of Sales (with depreciation)</v>
          </cell>
          <cell r="G161">
            <v>529.5</v>
          </cell>
          <cell r="H161">
            <v>555.5</v>
          </cell>
          <cell r="I161">
            <v>533.70000000000005</v>
          </cell>
          <cell r="J161">
            <v>818.80000000000007</v>
          </cell>
          <cell r="K161">
            <v>1012.1999999999999</v>
          </cell>
          <cell r="L161">
            <v>1378</v>
          </cell>
          <cell r="M161">
            <v>1759.2</v>
          </cell>
        </row>
        <row r="162">
          <cell r="C162" t="str">
            <v>Cost of Sales (without depreciation)</v>
          </cell>
        </row>
        <row r="163">
          <cell r="C163" t="str">
            <v>Cost of Materials</v>
          </cell>
        </row>
        <row r="164">
          <cell r="C164" t="str">
            <v>Cost of Services Sold</v>
          </cell>
        </row>
        <row r="165">
          <cell r="C165" t="str">
            <v>Selling General and Administrative Expenses</v>
          </cell>
          <cell r="G165">
            <v>760.19999999999993</v>
          </cell>
          <cell r="H165">
            <v>991.5</v>
          </cell>
          <cell r="I165">
            <v>1086.5999999999999</v>
          </cell>
          <cell r="J165">
            <v>1304</v>
          </cell>
          <cell r="K165">
            <v>2073.6999999999998</v>
          </cell>
          <cell r="L165">
            <v>2601.8999999999996</v>
          </cell>
          <cell r="M165">
            <v>4102.3</v>
          </cell>
        </row>
        <row r="166">
          <cell r="D166" t="str">
            <v>Marketing and Distribution Costs</v>
          </cell>
          <cell r="G166">
            <v>484.29999999999995</v>
          </cell>
          <cell r="H166">
            <v>665</v>
          </cell>
          <cell r="I166">
            <v>710.7</v>
          </cell>
          <cell r="J166">
            <v>867.19999999999993</v>
          </cell>
          <cell r="K166">
            <v>1438.1</v>
          </cell>
          <cell r="L166">
            <v>1784.7999999999997</v>
          </cell>
          <cell r="M166">
            <v>2485.5</v>
          </cell>
        </row>
        <row r="167">
          <cell r="E167" t="str">
            <v>Advertising Costs</v>
          </cell>
        </row>
        <row r="168">
          <cell r="D168" t="str">
            <v>General and Administrative Expenses</v>
          </cell>
          <cell r="G168">
            <v>275.89999999999998</v>
          </cell>
          <cell r="H168">
            <v>326.5</v>
          </cell>
          <cell r="I168">
            <v>375.9</v>
          </cell>
          <cell r="J168">
            <v>436.8</v>
          </cell>
          <cell r="K168">
            <v>635.59999999999991</v>
          </cell>
          <cell r="L168">
            <v>817.10000000000014</v>
          </cell>
          <cell r="M168">
            <v>1616.8</v>
          </cell>
        </row>
        <row r="169">
          <cell r="C169" t="str">
            <v>Stock Compensation</v>
          </cell>
        </row>
        <row r="170">
          <cell r="C170" t="str">
            <v>Employee Expenses</v>
          </cell>
          <cell r="G170">
            <v>737.90000000000009</v>
          </cell>
          <cell r="H170">
            <v>906.90000000000009</v>
          </cell>
          <cell r="I170">
            <v>1123.3999999999999</v>
          </cell>
          <cell r="J170">
            <v>1350.4</v>
          </cell>
          <cell r="K170">
            <v>1528.6999999999998</v>
          </cell>
          <cell r="L170">
            <v>2019.7</v>
          </cell>
        </row>
        <row r="171">
          <cell r="C171" t="str">
            <v>Marketing Costs</v>
          </cell>
        </row>
        <row r="172">
          <cell r="C172" t="str">
            <v>Research and Development</v>
          </cell>
          <cell r="F172">
            <v>0</v>
          </cell>
          <cell r="G172">
            <v>276.5</v>
          </cell>
          <cell r="H172">
            <v>352.59999999999997</v>
          </cell>
          <cell r="I172">
            <v>564.4</v>
          </cell>
          <cell r="J172">
            <v>1108.3000000000002</v>
          </cell>
          <cell r="K172">
            <v>1147.0999999999999</v>
          </cell>
          <cell r="L172">
            <v>1115.0999999999999</v>
          </cell>
          <cell r="M172">
            <v>1932.7</v>
          </cell>
        </row>
        <row r="173">
          <cell r="C173" t="str">
            <v>Acquired In Process R and D (recurring)</v>
          </cell>
        </row>
        <row r="174">
          <cell r="C174" t="str">
            <v>Acquired In Process R and D (one time)</v>
          </cell>
          <cell r="G174" t="str">
            <v/>
          </cell>
          <cell r="H174" t="str">
            <v/>
          </cell>
          <cell r="I174" t="str">
            <v/>
          </cell>
          <cell r="J174" t="str">
            <v/>
          </cell>
          <cell r="K174" t="str">
            <v/>
          </cell>
          <cell r="L174" t="str">
            <v/>
          </cell>
          <cell r="M174" t="str">
            <v/>
          </cell>
        </row>
        <row r="175">
          <cell r="D175" t="str">
            <v>Acquired In Process R and D (one time), gross of tax</v>
          </cell>
        </row>
        <row r="176">
          <cell r="D176" t="str">
            <v>Tax on Acquired In Process R and D (one time)</v>
          </cell>
        </row>
        <row r="177">
          <cell r="C177" t="str">
            <v>Depreciation (in Income Statement)</v>
          </cell>
        </row>
        <row r="178">
          <cell r="C178" t="str">
            <v>Amortization of Goodwill (in Income Statement)</v>
          </cell>
          <cell r="G178" t="str">
            <v/>
          </cell>
          <cell r="H178" t="str">
            <v/>
          </cell>
          <cell r="I178" t="str">
            <v/>
          </cell>
          <cell r="J178" t="str">
            <v/>
          </cell>
          <cell r="K178" t="str">
            <v/>
          </cell>
          <cell r="L178" t="str">
            <v/>
          </cell>
          <cell r="M178" t="str">
            <v/>
          </cell>
        </row>
        <row r="179">
          <cell r="D179" t="str">
            <v>Amortization of Goodwill (Operating) (in Income Statement)</v>
          </cell>
        </row>
        <row r="180">
          <cell r="D180" t="str">
            <v>Amortization of Goodwill (Non Operating) (in Income Statement)</v>
          </cell>
        </row>
        <row r="181">
          <cell r="C181" t="str">
            <v>Amortization of Intangibles Assumed to Have Indefinite Life (in Income Statement)</v>
          </cell>
        </row>
        <row r="182">
          <cell r="C182" t="str">
            <v>Amortization of Other Intangibles (in Income Statement)</v>
          </cell>
          <cell r="G182" t="str">
            <v/>
          </cell>
          <cell r="H182" t="str">
            <v/>
          </cell>
          <cell r="I182" t="str">
            <v/>
          </cell>
          <cell r="J182" t="str">
            <v/>
          </cell>
          <cell r="K182" t="str">
            <v/>
          </cell>
          <cell r="L182" t="str">
            <v/>
          </cell>
          <cell r="M182" t="str">
            <v/>
          </cell>
        </row>
        <row r="183">
          <cell r="D183" t="str">
            <v>Amortization of Taxable Other Intangibles (in Income Statement)</v>
          </cell>
        </row>
        <row r="184">
          <cell r="D184" t="str">
            <v>Amortization of Non-Taxable Other Intangibles (in Income Statement)</v>
          </cell>
        </row>
        <row r="185">
          <cell r="C185" t="str">
            <v>Goodwill Impairment</v>
          </cell>
        </row>
        <row r="186">
          <cell r="C186" t="str">
            <v>Indefinite Life Intangible Impairment</v>
          </cell>
        </row>
        <row r="187">
          <cell r="C187" t="str">
            <v>Asset Impairment (Non Goodwill) (One Time)</v>
          </cell>
          <cell r="G187" t="str">
            <v/>
          </cell>
          <cell r="H187" t="str">
            <v/>
          </cell>
          <cell r="I187" t="str">
            <v/>
          </cell>
          <cell r="J187" t="str">
            <v/>
          </cell>
          <cell r="K187" t="str">
            <v/>
          </cell>
          <cell r="L187" t="str">
            <v/>
          </cell>
          <cell r="M187" t="str">
            <v/>
          </cell>
        </row>
        <row r="188">
          <cell r="D188" t="str">
            <v>Asset Impairment (Non Goodwill) (One Time), gross of tax</v>
          </cell>
        </row>
        <row r="189">
          <cell r="D189" t="str">
            <v>Tax on Asset Impairment (Non Goodwill) (One Time)</v>
          </cell>
        </row>
        <row r="190">
          <cell r="C190" t="str">
            <v>Other Operating Expense (Income)</v>
          </cell>
          <cell r="G190">
            <v>-5.4</v>
          </cell>
          <cell r="H190">
            <v>-11.3</v>
          </cell>
          <cell r="I190">
            <v>-4.0999999999999996</v>
          </cell>
          <cell r="J190">
            <v>24.4</v>
          </cell>
          <cell r="K190">
            <v>12.5</v>
          </cell>
          <cell r="L190">
            <v>-31.4</v>
          </cell>
          <cell r="M190">
            <v>14.7</v>
          </cell>
        </row>
        <row r="191">
          <cell r="C191" t="str">
            <v>Interest and Dividend Income</v>
          </cell>
          <cell r="G191">
            <v>39.299999999999997</v>
          </cell>
          <cell r="H191">
            <v>54.6</v>
          </cell>
          <cell r="I191">
            <v>46.5</v>
          </cell>
          <cell r="J191">
            <v>82</v>
          </cell>
          <cell r="K191">
            <v>51.1</v>
          </cell>
          <cell r="L191">
            <v>44.8</v>
          </cell>
          <cell r="M191">
            <v>32.929499999999997</v>
          </cell>
        </row>
        <row r="192">
          <cell r="D192" t="str">
            <v>Interest Income</v>
          </cell>
          <cell r="G192">
            <v>39.299999999999997</v>
          </cell>
          <cell r="H192">
            <v>54.6</v>
          </cell>
          <cell r="I192">
            <v>46.5</v>
          </cell>
          <cell r="J192">
            <v>82</v>
          </cell>
          <cell r="K192">
            <v>51.1</v>
          </cell>
          <cell r="L192">
            <v>44.8</v>
          </cell>
        </row>
        <row r="193">
          <cell r="D193" t="str">
            <v>Dividend Income</v>
          </cell>
        </row>
        <row r="194">
          <cell r="C194" t="str">
            <v>Interest Expense</v>
          </cell>
          <cell r="G194">
            <v>26.2</v>
          </cell>
          <cell r="H194">
            <v>24.5</v>
          </cell>
          <cell r="I194">
            <v>8.5</v>
          </cell>
          <cell r="J194">
            <v>6</v>
          </cell>
          <cell r="K194">
            <v>22.3</v>
          </cell>
          <cell r="L194">
            <v>8.1999999999999993</v>
          </cell>
          <cell r="M194">
            <v>12.085000000000001</v>
          </cell>
        </row>
        <row r="195">
          <cell r="D195" t="str">
            <v>Interest Paid or Payable</v>
          </cell>
          <cell r="G195">
            <v>26.2</v>
          </cell>
          <cell r="H195">
            <v>24.5</v>
          </cell>
          <cell r="I195">
            <v>8.5</v>
          </cell>
          <cell r="J195">
            <v>6</v>
          </cell>
          <cell r="K195">
            <v>22.3</v>
          </cell>
          <cell r="L195">
            <v>8.1999999999999993</v>
          </cell>
        </row>
        <row r="196">
          <cell r="D196" t="str">
            <v>Interest Capitalized</v>
          </cell>
        </row>
        <row r="197">
          <cell r="D197" t="str">
            <v>Net interest cost, FRS 17</v>
          </cell>
        </row>
        <row r="198">
          <cell r="C198" t="str">
            <v>Income (Losses) from Investments (Non Operating)</v>
          </cell>
          <cell r="G198">
            <v>-11.799999999999999</v>
          </cell>
          <cell r="H198">
            <v>6</v>
          </cell>
          <cell r="I198">
            <v>159.29999999999998</v>
          </cell>
          <cell r="J198">
            <v>271.39999999999998</v>
          </cell>
          <cell r="K198">
            <v>59.59999999999998</v>
          </cell>
          <cell r="L198">
            <v>-163.20000000000007</v>
          </cell>
          <cell r="M198">
            <v>10.568</v>
          </cell>
        </row>
        <row r="199">
          <cell r="C199" t="str">
            <v>Income (Loss) from Investments Under the Equity Method (Operating)</v>
          </cell>
          <cell r="G199" t="str">
            <v/>
          </cell>
          <cell r="H199" t="str">
            <v/>
          </cell>
          <cell r="I199" t="str">
            <v/>
          </cell>
          <cell r="J199" t="str">
            <v/>
          </cell>
          <cell r="K199" t="str">
            <v/>
          </cell>
          <cell r="L199" t="str">
            <v/>
          </cell>
          <cell r="M199" t="str">
            <v/>
          </cell>
        </row>
        <row r="200">
          <cell r="D200" t="str">
            <v>Share of Associate Company's or Joint Venture's Operating Profit (Pre-goodwill, Pre-tax and Pre-interest)</v>
          </cell>
        </row>
        <row r="201">
          <cell r="D201" t="str">
            <v>Share of Associate Company's or Joint Venture's Operating Profit (Post-goodwill, Pre-tax and Pre-interest)</v>
          </cell>
        </row>
        <row r="202">
          <cell r="D202" t="str">
            <v>Share of Associate Company's or Joint Venture's Amortization of Goodwill</v>
          </cell>
        </row>
        <row r="203">
          <cell r="D203" t="str">
            <v>Share of Associate Company's or Joint Venture's Interest Expense</v>
          </cell>
        </row>
        <row r="204">
          <cell r="D204" t="str">
            <v>Share of Associate Company's or Joint Venture's Tax</v>
          </cell>
        </row>
        <row r="205">
          <cell r="D205" t="str">
            <v>Other Associate Company or Joint Venture Net Income</v>
          </cell>
        </row>
        <row r="206">
          <cell r="C206" t="str">
            <v>Income (Loss) from Investments Under the Equity Method (Operating), Pre tax</v>
          </cell>
        </row>
        <row r="207">
          <cell r="C207" t="str">
            <v>Income (Loss) from Investments Under the Equity Method (Non Operating)</v>
          </cell>
          <cell r="G207">
            <v>0</v>
          </cell>
          <cell r="H207">
            <v>0</v>
          </cell>
          <cell r="I207">
            <v>0</v>
          </cell>
          <cell r="J207">
            <v>0</v>
          </cell>
          <cell r="K207">
            <v>0</v>
          </cell>
          <cell r="L207">
            <v>-0.8</v>
          </cell>
          <cell r="M207">
            <v>-3.9</v>
          </cell>
        </row>
        <row r="208">
          <cell r="C208" t="str">
            <v>Income (Loss) from Investments Under the Equity Method (Non Operating), Pre tax</v>
          </cell>
        </row>
        <row r="209">
          <cell r="C209" t="str">
            <v>Gains (Losses) from Sale of PPE and Intangibles (Recurring)</v>
          </cell>
          <cell r="G209">
            <v>77.3</v>
          </cell>
          <cell r="H209">
            <v>3.5</v>
          </cell>
          <cell r="I209">
            <v>0</v>
          </cell>
          <cell r="J209">
            <v>0</v>
          </cell>
          <cell r="K209">
            <v>0</v>
          </cell>
          <cell r="L209">
            <v>0</v>
          </cell>
        </row>
        <row r="210">
          <cell r="C210" t="str">
            <v>Gains (Losses) from Sale of PPE and Intangibles (One Time)</v>
          </cell>
          <cell r="G210" t="str">
            <v/>
          </cell>
          <cell r="H210" t="str">
            <v/>
          </cell>
          <cell r="I210" t="str">
            <v/>
          </cell>
          <cell r="J210" t="str">
            <v/>
          </cell>
          <cell r="K210" t="str">
            <v/>
          </cell>
          <cell r="L210" t="str">
            <v/>
          </cell>
          <cell r="M210" t="str">
            <v/>
          </cell>
        </row>
        <row r="211">
          <cell r="D211" t="str">
            <v>Gains (Losses) from Sale of PPE and Intangibles (One Time), gross of tax</v>
          </cell>
        </row>
        <row r="212">
          <cell r="D212" t="str">
            <v>Tax on Gains (Losses) from Sale of PPE and Intangibles (One Time)</v>
          </cell>
        </row>
        <row r="213">
          <cell r="C213" t="str">
            <v>Net Monetary Gains (Losses) from Inflationary Accounting</v>
          </cell>
        </row>
        <row r="214">
          <cell r="C214" t="str">
            <v>Gain (Loss) on Redemption and Extinguishment of Debt</v>
          </cell>
        </row>
        <row r="215">
          <cell r="C215" t="str">
            <v>Foreign Currency Exchange Gains (Losses)</v>
          </cell>
          <cell r="G215">
            <v>-4</v>
          </cell>
          <cell r="H215">
            <v>25.5</v>
          </cell>
          <cell r="I215">
            <v>41.4</v>
          </cell>
          <cell r="J215">
            <v>38.800000000000004</v>
          </cell>
          <cell r="K215">
            <v>-9.5</v>
          </cell>
          <cell r="L215">
            <v>-159.29999999999998</v>
          </cell>
          <cell r="M215">
            <v>-106.91249999999999</v>
          </cell>
        </row>
        <row r="216">
          <cell r="D216" t="str">
            <v>Foreign Currency Exchange Gains (Losses) (Operating)</v>
          </cell>
          <cell r="G216" t="str">
            <v/>
          </cell>
          <cell r="H216" t="str">
            <v/>
          </cell>
          <cell r="I216" t="str">
            <v/>
          </cell>
          <cell r="J216" t="str">
            <v/>
          </cell>
          <cell r="K216" t="str">
            <v/>
          </cell>
          <cell r="L216" t="str">
            <v/>
          </cell>
          <cell r="M216" t="str">
            <v/>
          </cell>
        </row>
        <row r="217">
          <cell r="E217" t="str">
            <v>Realized Foreign Currency Exchange Gains (Losses) in Net Operating Assets</v>
          </cell>
        </row>
        <row r="218">
          <cell r="E218" t="str">
            <v>Unrealized Foreign Currency Exchange Gains (Losses) in Net Operating Assets</v>
          </cell>
        </row>
        <row r="219">
          <cell r="D219" t="str">
            <v>Foreign Currency Exchange Gains (Losses) (Financing)</v>
          </cell>
          <cell r="G219" t="str">
            <v/>
          </cell>
          <cell r="H219" t="str">
            <v/>
          </cell>
          <cell r="I219" t="str">
            <v/>
          </cell>
          <cell r="J219" t="str">
            <v/>
          </cell>
          <cell r="K219" t="str">
            <v/>
          </cell>
          <cell r="L219" t="str">
            <v/>
          </cell>
          <cell r="M219" t="str">
            <v/>
          </cell>
        </row>
        <row r="220">
          <cell r="E220" t="str">
            <v>Realized Foreign Currency Exchange Gains (Losses) in Net Financing Obligations</v>
          </cell>
        </row>
        <row r="221">
          <cell r="E221" t="str">
            <v>Unrealized Foreign Currency Exchange Gains (Losses) in Net Financing Obligations</v>
          </cell>
        </row>
        <row r="222">
          <cell r="C222" t="str">
            <v>Restructuring Costs (Recurring)</v>
          </cell>
        </row>
        <row r="223">
          <cell r="C223" t="str">
            <v>Restructuring Costs  (One Time)</v>
          </cell>
          <cell r="G223" t="str">
            <v/>
          </cell>
          <cell r="H223" t="str">
            <v/>
          </cell>
          <cell r="I223" t="str">
            <v/>
          </cell>
          <cell r="J223" t="str">
            <v/>
          </cell>
          <cell r="K223" t="str">
            <v/>
          </cell>
          <cell r="L223" t="str">
            <v/>
          </cell>
          <cell r="M223" t="str">
            <v/>
          </cell>
        </row>
        <row r="224">
          <cell r="D224" t="str">
            <v>Restructuring Costs (One Time), gross of tax</v>
          </cell>
        </row>
        <row r="225">
          <cell r="D225" t="str">
            <v>Tax on Restructuring Costs (One Time)</v>
          </cell>
        </row>
        <row r="226">
          <cell r="C226" t="str">
            <v>Legal Provision (Recurring)</v>
          </cell>
        </row>
        <row r="227">
          <cell r="C227" t="str">
            <v>Legal Provision (One Time)</v>
          </cell>
          <cell r="G227" t="str">
            <v/>
          </cell>
          <cell r="H227" t="str">
            <v/>
          </cell>
          <cell r="I227" t="str">
            <v/>
          </cell>
          <cell r="J227" t="str">
            <v/>
          </cell>
          <cell r="K227" t="str">
            <v/>
          </cell>
          <cell r="L227" t="str">
            <v/>
          </cell>
          <cell r="M227" t="str">
            <v/>
          </cell>
        </row>
        <row r="228">
          <cell r="D228" t="str">
            <v>Legal Provision (One Time), gross of tax</v>
          </cell>
        </row>
        <row r="229">
          <cell r="D229" t="str">
            <v>Tax on Legal Provision (One Time)</v>
          </cell>
        </row>
        <row r="230">
          <cell r="C230" t="str">
            <v>Environmental Provision (Recurring)</v>
          </cell>
        </row>
        <row r="231">
          <cell r="C231" t="str">
            <v>Environmental Provision (One Time)</v>
          </cell>
          <cell r="G231" t="str">
            <v/>
          </cell>
          <cell r="H231" t="str">
            <v/>
          </cell>
          <cell r="I231" t="str">
            <v/>
          </cell>
          <cell r="J231" t="str">
            <v/>
          </cell>
          <cell r="K231" t="str">
            <v/>
          </cell>
          <cell r="L231" t="str">
            <v/>
          </cell>
          <cell r="M231" t="str">
            <v/>
          </cell>
        </row>
        <row r="232">
          <cell r="D232" t="str">
            <v>Environmental Provision (One Time), Gross of Tax</v>
          </cell>
        </row>
        <row r="233">
          <cell r="D233" t="str">
            <v>Tax on Environmental Provision (One Time)</v>
          </cell>
        </row>
        <row r="234">
          <cell r="C234" t="str">
            <v>Other Provisions (Recurring)</v>
          </cell>
        </row>
        <row r="235">
          <cell r="C235" t="str">
            <v>Other Provisions (One Time)</v>
          </cell>
          <cell r="G235" t="str">
            <v/>
          </cell>
          <cell r="H235" t="str">
            <v/>
          </cell>
          <cell r="I235" t="str">
            <v/>
          </cell>
          <cell r="J235" t="str">
            <v/>
          </cell>
          <cell r="K235" t="str">
            <v/>
          </cell>
          <cell r="L235" t="str">
            <v/>
          </cell>
          <cell r="M235" t="str">
            <v/>
          </cell>
        </row>
        <row r="236">
          <cell r="D236" t="str">
            <v>Other Provisions (One Time), Gross of Tax</v>
          </cell>
        </row>
        <row r="237">
          <cell r="D237" t="str">
            <v>Tax on Other Provisions (One Time)</v>
          </cell>
        </row>
        <row r="238">
          <cell r="C238" t="str">
            <v>Pension Settlement and Curtailment Gains (Losses) (One Time)</v>
          </cell>
          <cell r="G238" t="str">
            <v/>
          </cell>
          <cell r="H238" t="str">
            <v/>
          </cell>
          <cell r="I238" t="str">
            <v/>
          </cell>
          <cell r="J238" t="str">
            <v/>
          </cell>
          <cell r="K238" t="str">
            <v/>
          </cell>
          <cell r="L238" t="str">
            <v/>
          </cell>
          <cell r="M238" t="str">
            <v/>
          </cell>
        </row>
        <row r="239">
          <cell r="D239" t="str">
            <v>Daiko Henjo: Special Settlement Gain (Loss) (Japan)</v>
          </cell>
        </row>
        <row r="240">
          <cell r="D240" t="str">
            <v>Other Pension Settlement and Curtailment Gains (Losses) (One Time)</v>
          </cell>
        </row>
        <row r="241">
          <cell r="C241" t="str">
            <v>Other Non Operating Income (Expense)</v>
          </cell>
        </row>
        <row r="242">
          <cell r="C242" t="str">
            <v>Tax Expense (Income)</v>
          </cell>
          <cell r="F242">
            <v>0</v>
          </cell>
          <cell r="G242">
            <v>141.19999999999999</v>
          </cell>
          <cell r="H242">
            <v>133.30000000000001</v>
          </cell>
          <cell r="I242">
            <v>246.9</v>
          </cell>
          <cell r="J242">
            <v>394</v>
          </cell>
          <cell r="K242">
            <v>581.5</v>
          </cell>
          <cell r="L242">
            <v>805.1</v>
          </cell>
          <cell r="M242">
            <v>678.6</v>
          </cell>
        </row>
        <row r="243">
          <cell r="D243" t="str">
            <v>Current Income Tax</v>
          </cell>
        </row>
        <row r="244">
          <cell r="D244" t="str">
            <v>Deferred Income Tax</v>
          </cell>
          <cell r="G244" t="str">
            <v/>
          </cell>
          <cell r="H244" t="str">
            <v/>
          </cell>
          <cell r="I244" t="str">
            <v/>
          </cell>
          <cell r="J244" t="str">
            <v/>
          </cell>
          <cell r="K244" t="str">
            <v/>
          </cell>
          <cell r="L244" t="str">
            <v/>
          </cell>
          <cell r="M244" t="str">
            <v/>
          </cell>
        </row>
        <row r="245">
          <cell r="E245" t="str">
            <v>Deferred Income Tax, Benefit for NOLs</v>
          </cell>
        </row>
        <row r="246">
          <cell r="E246" t="str">
            <v>Other Deferred Income Tax</v>
          </cell>
        </row>
        <row r="247">
          <cell r="C247" t="str">
            <v>Minority Interests in Net Income</v>
          </cell>
          <cell r="G247">
            <v>2.7</v>
          </cell>
          <cell r="H247">
            <v>5.6</v>
          </cell>
          <cell r="I247">
            <v>0</v>
          </cell>
          <cell r="J247">
            <v>11.4</v>
          </cell>
          <cell r="K247">
            <v>11.9</v>
          </cell>
          <cell r="L247">
            <v>0.1</v>
          </cell>
          <cell r="M247">
            <v>-3.1</v>
          </cell>
        </row>
        <row r="248">
          <cell r="C248" t="str">
            <v>Cumulative Effect of Change in Accounting Principle (Net of Tax)</v>
          </cell>
        </row>
        <row r="249">
          <cell r="C249" t="str">
            <v>Income (Loss) from Extraordinary Items (net of tax)</v>
          </cell>
          <cell r="G249" t="str">
            <v/>
          </cell>
          <cell r="H249" t="str">
            <v/>
          </cell>
          <cell r="I249" t="str">
            <v/>
          </cell>
          <cell r="J249" t="str">
            <v/>
          </cell>
          <cell r="K249" t="str">
            <v/>
          </cell>
          <cell r="L249" t="str">
            <v/>
          </cell>
          <cell r="M249" t="str">
            <v/>
          </cell>
        </row>
        <row r="250">
          <cell r="D250" t="str">
            <v>Income (Loss) from Extraordinary Items (pretax)</v>
          </cell>
        </row>
        <row r="251">
          <cell r="D251" t="str">
            <v>Tax on Income (Loss) from Extraordinary Items</v>
          </cell>
        </row>
        <row r="252">
          <cell r="C252" t="str">
            <v>Income (Loss) from Discontinued Operations (net of tax)</v>
          </cell>
          <cell r="G252" t="str">
            <v/>
          </cell>
          <cell r="H252" t="str">
            <v/>
          </cell>
          <cell r="I252" t="str">
            <v/>
          </cell>
          <cell r="J252" t="str">
            <v/>
          </cell>
          <cell r="K252" t="str">
            <v/>
          </cell>
          <cell r="L252" t="str">
            <v/>
          </cell>
          <cell r="M252" t="str">
            <v/>
          </cell>
        </row>
        <row r="253">
          <cell r="D253" t="str">
            <v>Income (Loss) from Discontinued Operations (pretax)</v>
          </cell>
        </row>
        <row r="254">
          <cell r="D254" t="str">
            <v>Tax on Income (Loss) from Discontinued Operations</v>
          </cell>
        </row>
        <row r="255">
          <cell r="C255" t="str">
            <v>Preferred Dividends Paid</v>
          </cell>
        </row>
        <row r="256">
          <cell r="C256" t="str">
            <v>Preferred Dividends Attributable to Current Period Earnings</v>
          </cell>
        </row>
        <row r="257">
          <cell r="C257" t="str">
            <v>Adjustment to Net Income for Dilutive Items</v>
          </cell>
          <cell r="G257" t="str">
            <v/>
          </cell>
          <cell r="H257" t="str">
            <v/>
          </cell>
          <cell r="I257" t="str">
            <v/>
          </cell>
          <cell r="J257" t="str">
            <v/>
          </cell>
          <cell r="K257" t="str">
            <v/>
          </cell>
          <cell r="L257" t="str">
            <v/>
          </cell>
          <cell r="M257" t="str">
            <v/>
          </cell>
        </row>
        <row r="258">
          <cell r="D258" t="str">
            <v>Impact of Assumed Conversion of Preferred Stock</v>
          </cell>
        </row>
        <row r="259">
          <cell r="D259" t="str">
            <v>Impact of Assumed Conversion of Convertible Bonds</v>
          </cell>
        </row>
        <row r="260">
          <cell r="D260" t="str">
            <v>Impact of Stock Options Compensation</v>
          </cell>
        </row>
        <row r="261">
          <cell r="C261" t="str">
            <v>Company Reported Revenue</v>
          </cell>
        </row>
        <row r="262">
          <cell r="C262" t="str">
            <v>Japan-Specific Operating Metrics</v>
          </cell>
        </row>
        <row r="263">
          <cell r="D263" t="str">
            <v>Operating Income (Expense) Classified by Company as Non Operating (Japan)</v>
          </cell>
        </row>
        <row r="264">
          <cell r="D264" t="str">
            <v>Operating Income (Expense) Classified by Company as Extraordinary (Japan)</v>
          </cell>
        </row>
        <row r="265">
          <cell r="D265" t="str">
            <v>Non-Operating Income (Expense) Classified by Company as Operating (Japan)</v>
          </cell>
        </row>
        <row r="266">
          <cell r="D266" t="str">
            <v>Non-Operating Income (Expense) Classified by Company as Extraordinary (Japan)</v>
          </cell>
        </row>
        <row r="267">
          <cell r="D267" t="str">
            <v>One-Time Income (Expense) (Gross of Tax) Classified by Company as Operating (Japan)</v>
          </cell>
        </row>
        <row r="268">
          <cell r="D268" t="str">
            <v>One-Time Income (Expense) (Gross of Tax) Classified by Company as Non Operating (Japan)</v>
          </cell>
        </row>
        <row r="269">
          <cell r="D269" t="str">
            <v>Recurring Profit (Japan)</v>
          </cell>
        </row>
        <row r="270">
          <cell r="C270" t="str">
            <v>EPS Adjusted for Consensus</v>
          </cell>
        </row>
        <row r="271">
          <cell r="C271" t="str">
            <v>Period End Diluted Shares Outstanding</v>
          </cell>
        </row>
        <row r="272">
          <cell r="C272" t="str">
            <v>Period End Basic Shares Outstanding</v>
          </cell>
          <cell r="F272">
            <v>0</v>
          </cell>
          <cell r="G272">
            <v>0</v>
          </cell>
          <cell r="H272">
            <v>0</v>
          </cell>
          <cell r="I272">
            <v>230.36069999999998</v>
          </cell>
          <cell r="J272">
            <v>230.74732799999998</v>
          </cell>
          <cell r="K272">
            <v>230.70263199999999</v>
          </cell>
          <cell r="L272">
            <v>231.37754899999999</v>
          </cell>
          <cell r="M272">
            <v>231</v>
          </cell>
        </row>
        <row r="273">
          <cell r="C273" t="str">
            <v>Current Diluted Shares Outstanding</v>
          </cell>
        </row>
        <row r="274">
          <cell r="C274" t="str">
            <v>Current Basic Shares Outstanding</v>
          </cell>
        </row>
        <row r="275">
          <cell r="C275" t="str">
            <v>Average Diluted Shares Outstanding</v>
          </cell>
          <cell r="F275">
            <v>0</v>
          </cell>
          <cell r="G275">
            <v>220</v>
          </cell>
          <cell r="H275">
            <v>220</v>
          </cell>
          <cell r="I275">
            <v>227.4</v>
          </cell>
          <cell r="J275">
            <v>233.1</v>
          </cell>
          <cell r="K275">
            <v>233.2</v>
          </cell>
          <cell r="L275">
            <v>233.5</v>
          </cell>
          <cell r="M275">
            <v>231.5</v>
          </cell>
        </row>
        <row r="276">
          <cell r="C276" t="str">
            <v>Average Basic Shares Outstanding</v>
          </cell>
          <cell r="F276">
            <v>0</v>
          </cell>
          <cell r="G276">
            <v>220</v>
          </cell>
          <cell r="H276">
            <v>220</v>
          </cell>
          <cell r="I276">
            <v>227.4</v>
          </cell>
          <cell r="J276">
            <v>233.1</v>
          </cell>
          <cell r="K276">
            <v>233.2</v>
          </cell>
          <cell r="L276">
            <v>233.5</v>
          </cell>
          <cell r="M276">
            <v>231.5</v>
          </cell>
        </row>
        <row r="277">
          <cell r="C277" t="str">
            <v>ADR Ratio</v>
          </cell>
        </row>
        <row r="278">
          <cell r="C278" t="str">
            <v>Current ADR Ratio</v>
          </cell>
        </row>
        <row r="279">
          <cell r="C279" t="str">
            <v>Analyst's Average FX Rate</v>
          </cell>
        </row>
        <row r="280">
          <cell r="C280" t="str">
            <v>Analyst's Period End FX Rate</v>
          </cell>
        </row>
        <row r="281">
          <cell r="C281" t="str">
            <v>Percent Ownership</v>
          </cell>
        </row>
        <row r="282">
          <cell r="C282" t="str">
            <v>Statutory Tax Rate</v>
          </cell>
          <cell r="F282">
            <v>0</v>
          </cell>
          <cell r="G282">
            <v>0.34</v>
          </cell>
          <cell r="H282">
            <v>0.29500000000000004</v>
          </cell>
          <cell r="I282">
            <v>0.31</v>
          </cell>
          <cell r="J282">
            <v>0.308</v>
          </cell>
          <cell r="K282">
            <v>0.29399999999999998</v>
          </cell>
          <cell r="L282">
            <v>0.30299999999999999</v>
          </cell>
          <cell r="M282">
            <v>0.316</v>
          </cell>
        </row>
        <row r="283">
          <cell r="C283" t="str">
            <v>Dividends Per Share</v>
          </cell>
          <cell r="F283">
            <v>0</v>
          </cell>
          <cell r="G283">
            <v>0.63</v>
          </cell>
          <cell r="H283">
            <v>0.82</v>
          </cell>
          <cell r="I283">
            <v>2.25</v>
          </cell>
          <cell r="J283">
            <v>0.86</v>
          </cell>
          <cell r="K283">
            <v>1.1399999999999999</v>
          </cell>
          <cell r="L283">
            <v>1.1399999999999999</v>
          </cell>
        </row>
        <row r="284">
          <cell r="B284" t="str">
            <v>Balance sheet</v>
          </cell>
        </row>
        <row r="285">
          <cell r="C285" t="str">
            <v>Assets</v>
          </cell>
          <cell r="M285">
            <v>11055.3</v>
          </cell>
        </row>
        <row r="286">
          <cell r="D286" t="str">
            <v>Cash and Cash Equivalents</v>
          </cell>
          <cell r="F286">
            <v>655.29999999999995</v>
          </cell>
          <cell r="G286">
            <v>800.3</v>
          </cell>
          <cell r="H286">
            <v>816.6</v>
          </cell>
          <cell r="I286">
            <v>1439.1</v>
          </cell>
          <cell r="J286">
            <v>1502.9</v>
          </cell>
          <cell r="K286">
            <v>1031.4000000000001</v>
          </cell>
          <cell r="L286">
            <v>861.4</v>
          </cell>
          <cell r="M286">
            <v>1333.9</v>
          </cell>
        </row>
        <row r="287">
          <cell r="D287" t="str">
            <v>Restricted Cash Required for Operations</v>
          </cell>
        </row>
        <row r="288">
          <cell r="D288" t="str">
            <v>Trade Receivables</v>
          </cell>
          <cell r="F288">
            <v>0</v>
          </cell>
          <cell r="G288">
            <v>506.4</v>
          </cell>
          <cell r="H288">
            <v>502.6</v>
          </cell>
          <cell r="I288">
            <v>680.4</v>
          </cell>
          <cell r="J288">
            <v>1148.2</v>
          </cell>
          <cell r="K288">
            <v>1268.4000000000001</v>
          </cell>
          <cell r="L288">
            <v>1548.4</v>
          </cell>
          <cell r="M288">
            <v>1708.9</v>
          </cell>
        </row>
        <row r="289">
          <cell r="E289" t="str">
            <v>Trade Receivables, Current</v>
          </cell>
          <cell r="G289" t="str">
            <v/>
          </cell>
          <cell r="H289" t="str">
            <v/>
          </cell>
          <cell r="I289" t="str">
            <v/>
          </cell>
          <cell r="J289" t="str">
            <v/>
          </cell>
          <cell r="K289" t="str">
            <v/>
          </cell>
          <cell r="L289" t="str">
            <v/>
          </cell>
          <cell r="M289" t="str">
            <v/>
          </cell>
        </row>
        <row r="290">
          <cell r="F290" t="str">
            <v>Trade Receivables, Gross, Current</v>
          </cell>
        </row>
        <row r="291">
          <cell r="F291" t="str">
            <v>Allowance for Doubtful Accounts, Current</v>
          </cell>
        </row>
        <row r="292">
          <cell r="E292" t="str">
            <v>Trade Receivables, Non Current</v>
          </cell>
          <cell r="G292" t="str">
            <v/>
          </cell>
          <cell r="H292" t="str">
            <v/>
          </cell>
          <cell r="I292" t="str">
            <v/>
          </cell>
          <cell r="J292" t="str">
            <v/>
          </cell>
          <cell r="K292" t="str">
            <v/>
          </cell>
          <cell r="L292" t="str">
            <v/>
          </cell>
          <cell r="M292" t="str">
            <v/>
          </cell>
        </row>
        <row r="293">
          <cell r="F293" t="str">
            <v>Trade Receivables, Gross, Non Current</v>
          </cell>
        </row>
        <row r="294">
          <cell r="F294" t="str">
            <v>Allowance for Doubtful Accounts, Non Current</v>
          </cell>
        </row>
        <row r="295">
          <cell r="D295" t="str">
            <v>Finance Lease Receivables</v>
          </cell>
          <cell r="G295" t="str">
            <v/>
          </cell>
          <cell r="H295" t="str">
            <v/>
          </cell>
          <cell r="I295" t="str">
            <v/>
          </cell>
          <cell r="J295" t="str">
            <v/>
          </cell>
          <cell r="K295" t="str">
            <v/>
          </cell>
          <cell r="L295" t="str">
            <v/>
          </cell>
          <cell r="M295" t="str">
            <v/>
          </cell>
        </row>
        <row r="296">
          <cell r="E296" t="str">
            <v>Finance Lease Receivables, Current</v>
          </cell>
        </row>
        <row r="297">
          <cell r="E297" t="str">
            <v>Finance Lease Receivables, Non Current</v>
          </cell>
        </row>
        <row r="298">
          <cell r="D298" t="str">
            <v>Notes Receivable</v>
          </cell>
          <cell r="G298" t="str">
            <v/>
          </cell>
          <cell r="H298" t="str">
            <v/>
          </cell>
          <cell r="I298" t="str">
            <v/>
          </cell>
          <cell r="J298" t="str">
            <v/>
          </cell>
          <cell r="K298" t="str">
            <v/>
          </cell>
          <cell r="L298" t="str">
            <v/>
          </cell>
          <cell r="M298" t="str">
            <v/>
          </cell>
        </row>
        <row r="299">
          <cell r="E299" t="str">
            <v>Notes Receivable, Current</v>
          </cell>
        </row>
        <row r="300">
          <cell r="E300" t="str">
            <v>Notes Receivable, Non Current</v>
          </cell>
        </row>
        <row r="301">
          <cell r="D301" t="str">
            <v>Unbilled Receivables</v>
          </cell>
          <cell r="G301" t="str">
            <v/>
          </cell>
          <cell r="H301" t="str">
            <v/>
          </cell>
          <cell r="I301" t="str">
            <v/>
          </cell>
          <cell r="J301" t="str">
            <v/>
          </cell>
          <cell r="K301" t="str">
            <v/>
          </cell>
          <cell r="L301" t="str">
            <v/>
          </cell>
          <cell r="M301" t="str">
            <v/>
          </cell>
        </row>
        <row r="302">
          <cell r="E302" t="str">
            <v>Unbilled Receivables, Current</v>
          </cell>
        </row>
        <row r="303">
          <cell r="E303" t="str">
            <v>Unbilled Receivables, Non Current</v>
          </cell>
        </row>
        <row r="304">
          <cell r="D304" t="str">
            <v>Other Receivables</v>
          </cell>
          <cell r="G304">
            <v>44</v>
          </cell>
          <cell r="H304">
            <v>84.2</v>
          </cell>
          <cell r="I304">
            <v>150.60000000000002</v>
          </cell>
          <cell r="J304">
            <v>260.2</v>
          </cell>
          <cell r="K304">
            <v>173.6</v>
          </cell>
          <cell r="L304">
            <v>630.69999999999993</v>
          </cell>
          <cell r="M304">
            <v>772.9</v>
          </cell>
        </row>
        <row r="305">
          <cell r="E305" t="str">
            <v>Other Receivables, Current</v>
          </cell>
          <cell r="G305">
            <v>35.700000000000003</v>
          </cell>
          <cell r="H305">
            <v>72.7</v>
          </cell>
          <cell r="I305">
            <v>136.80000000000001</v>
          </cell>
          <cell r="J305">
            <v>249.4</v>
          </cell>
          <cell r="K305">
            <v>159.9</v>
          </cell>
          <cell r="L305">
            <v>594.4</v>
          </cell>
          <cell r="M305">
            <v>721.4</v>
          </cell>
        </row>
        <row r="306">
          <cell r="E306" t="str">
            <v>Other Receivables, Non Current</v>
          </cell>
          <cell r="G306">
            <v>8.3000000000000007</v>
          </cell>
          <cell r="H306">
            <v>11.5</v>
          </cell>
          <cell r="I306">
            <v>13.8</v>
          </cell>
          <cell r="J306">
            <v>10.8</v>
          </cell>
          <cell r="K306">
            <v>13.7</v>
          </cell>
          <cell r="L306">
            <v>36.299999999999997</v>
          </cell>
          <cell r="M306">
            <v>51.5</v>
          </cell>
        </row>
        <row r="307">
          <cell r="D307" t="str">
            <v>Prepaid Expenses</v>
          </cell>
          <cell r="G307">
            <v>26.5</v>
          </cell>
          <cell r="H307">
            <v>54.9</v>
          </cell>
          <cell r="I307">
            <v>65.599999999999994</v>
          </cell>
          <cell r="J307">
            <v>65.400000000000006</v>
          </cell>
          <cell r="K307">
            <v>59.5</v>
          </cell>
          <cell r="L307">
            <v>109.9</v>
          </cell>
          <cell r="M307" t="str">
            <v/>
          </cell>
        </row>
        <row r="308">
          <cell r="E308" t="str">
            <v>Prepaid Expenses, Current</v>
          </cell>
          <cell r="G308">
            <v>26.5</v>
          </cell>
          <cell r="H308">
            <v>54.9</v>
          </cell>
          <cell r="I308">
            <v>65.599999999999994</v>
          </cell>
          <cell r="J308">
            <v>65.400000000000006</v>
          </cell>
          <cell r="K308">
            <v>59.5</v>
          </cell>
          <cell r="L308">
            <v>109.9</v>
          </cell>
        </row>
        <row r="309">
          <cell r="E309" t="str">
            <v>Prepaid Expenses, Non Current</v>
          </cell>
        </row>
        <row r="310">
          <cell r="D310" t="str">
            <v>Income Tax Receivable</v>
          </cell>
          <cell r="G310">
            <v>11</v>
          </cell>
          <cell r="H310">
            <v>13.2</v>
          </cell>
          <cell r="I310">
            <v>11.1</v>
          </cell>
          <cell r="J310">
            <v>16</v>
          </cell>
          <cell r="K310">
            <v>128.30000000000001</v>
          </cell>
          <cell r="L310">
            <v>52.2</v>
          </cell>
          <cell r="M310" t="str">
            <v/>
          </cell>
        </row>
        <row r="311">
          <cell r="E311" t="str">
            <v>Income Tax Receivable (Operating)</v>
          </cell>
        </row>
        <row r="312">
          <cell r="E312" t="str">
            <v>Income Tax Receivable (Financing)</v>
          </cell>
        </row>
        <row r="313">
          <cell r="E313" t="str">
            <v>Income Tax Receivable (Other)</v>
          </cell>
        </row>
        <row r="314">
          <cell r="D314" t="str">
            <v>Inventories</v>
          </cell>
          <cell r="F314">
            <v>0</v>
          </cell>
          <cell r="G314">
            <v>347.70000000000005</v>
          </cell>
          <cell r="H314">
            <v>356.4</v>
          </cell>
          <cell r="I314">
            <v>426.5</v>
          </cell>
          <cell r="J314">
            <v>488</v>
          </cell>
          <cell r="K314">
            <v>683.3</v>
          </cell>
          <cell r="L314">
            <v>1052.3</v>
          </cell>
          <cell r="M314">
            <v>1334.5</v>
          </cell>
        </row>
        <row r="315">
          <cell r="E315" t="str">
            <v>Raw Materials</v>
          </cell>
          <cell r="G315">
            <v>103.4</v>
          </cell>
          <cell r="H315">
            <v>109.3</v>
          </cell>
          <cell r="I315">
            <v>82.5</v>
          </cell>
          <cell r="J315">
            <v>139.4</v>
          </cell>
          <cell r="K315">
            <v>291.5</v>
          </cell>
          <cell r="L315">
            <v>374.8</v>
          </cell>
        </row>
        <row r="316">
          <cell r="E316" t="str">
            <v>Production Supplies</v>
          </cell>
        </row>
        <row r="317">
          <cell r="E317" t="str">
            <v>Work In Progress</v>
          </cell>
          <cell r="G317">
            <v>133.30000000000001</v>
          </cell>
          <cell r="H317">
            <v>157.19999999999999</v>
          </cell>
          <cell r="I317">
            <v>207.8</v>
          </cell>
          <cell r="J317">
            <v>165</v>
          </cell>
          <cell r="K317">
            <v>177.6</v>
          </cell>
          <cell r="L317">
            <v>484.5</v>
          </cell>
        </row>
        <row r="318">
          <cell r="E318" t="str">
            <v>Finished Goods</v>
          </cell>
          <cell r="G318">
            <v>111</v>
          </cell>
          <cell r="H318">
            <v>89.9</v>
          </cell>
          <cell r="I318">
            <v>136.19999999999999</v>
          </cell>
          <cell r="J318">
            <v>183.6</v>
          </cell>
          <cell r="K318">
            <v>214.2</v>
          </cell>
          <cell r="L318">
            <v>193</v>
          </cell>
        </row>
        <row r="319">
          <cell r="E319" t="str">
            <v>Other Inventories</v>
          </cell>
        </row>
        <row r="320">
          <cell r="D320" t="str">
            <v>Property, Plant and Equipment, Net</v>
          </cell>
          <cell r="F320">
            <v>0</v>
          </cell>
          <cell r="G320">
            <v>960.09999999999991</v>
          </cell>
          <cell r="H320">
            <v>1094.5</v>
          </cell>
          <cell r="I320">
            <v>1328.3000000000002</v>
          </cell>
          <cell r="J320">
            <v>1893.9</v>
          </cell>
          <cell r="K320">
            <v>2683.9</v>
          </cell>
          <cell r="L320">
            <v>3124.2</v>
          </cell>
          <cell r="M320">
            <v>3620.7</v>
          </cell>
        </row>
        <row r="321">
          <cell r="E321" t="str">
            <v>Property Plant and Equipment, Gross</v>
          </cell>
          <cell r="G321">
            <v>1418.6</v>
          </cell>
          <cell r="H321">
            <v>1645.7</v>
          </cell>
          <cell r="I321">
            <v>1987.5</v>
          </cell>
          <cell r="J321">
            <v>2771.8</v>
          </cell>
          <cell r="K321">
            <v>3737.4</v>
          </cell>
          <cell r="L321">
            <v>4379.5</v>
          </cell>
          <cell r="M321" t="str">
            <v/>
          </cell>
        </row>
        <row r="322">
          <cell r="F322" t="str">
            <v>Property</v>
          </cell>
        </row>
        <row r="323">
          <cell r="F323" t="str">
            <v>Plant and Equipment</v>
          </cell>
          <cell r="G323">
            <v>700.09999999999991</v>
          </cell>
          <cell r="H323">
            <v>766.7</v>
          </cell>
          <cell r="I323">
            <v>969</v>
          </cell>
          <cell r="J323">
            <v>1255</v>
          </cell>
          <cell r="K323">
            <v>1474.3</v>
          </cell>
          <cell r="L323">
            <v>2127.6</v>
          </cell>
        </row>
        <row r="324">
          <cell r="F324" t="str">
            <v>Land</v>
          </cell>
          <cell r="G324">
            <v>656.1</v>
          </cell>
          <cell r="H324">
            <v>687.8</v>
          </cell>
          <cell r="I324">
            <v>878.2</v>
          </cell>
          <cell r="J324">
            <v>1188</v>
          </cell>
          <cell r="K324">
            <v>1311</v>
          </cell>
          <cell r="L324">
            <v>1864.1</v>
          </cell>
        </row>
        <row r="325">
          <cell r="F325" t="str">
            <v>Construction in Progress</v>
          </cell>
          <cell r="G325">
            <v>62.4</v>
          </cell>
          <cell r="H325">
            <v>191.2</v>
          </cell>
          <cell r="I325">
            <v>140.30000000000001</v>
          </cell>
          <cell r="J325">
            <v>328.8</v>
          </cell>
          <cell r="K325">
            <v>952.1</v>
          </cell>
          <cell r="L325">
            <v>387.8</v>
          </cell>
        </row>
        <row r="326">
          <cell r="E326" t="str">
            <v>Accumulated Depreciation</v>
          </cell>
          <cell r="G326">
            <v>458.5</v>
          </cell>
          <cell r="H326">
            <v>551.20000000000005</v>
          </cell>
          <cell r="I326">
            <v>659.19999999999993</v>
          </cell>
          <cell r="J326">
            <v>877.9</v>
          </cell>
          <cell r="K326">
            <v>1053.5</v>
          </cell>
          <cell r="L326">
            <v>1255.3</v>
          </cell>
        </row>
        <row r="327">
          <cell r="D327" t="str">
            <v>Goodwill</v>
          </cell>
          <cell r="G327">
            <v>0</v>
          </cell>
          <cell r="H327">
            <v>0</v>
          </cell>
          <cell r="I327">
            <v>0</v>
          </cell>
          <cell r="J327">
            <v>179.60000000000002</v>
          </cell>
          <cell r="K327">
            <v>747.7</v>
          </cell>
          <cell r="L327">
            <v>711.4</v>
          </cell>
          <cell r="M327">
            <v>937</v>
          </cell>
        </row>
        <row r="328">
          <cell r="E328" t="str">
            <v>Gross Goodwill</v>
          </cell>
          <cell r="G328">
            <v>0</v>
          </cell>
          <cell r="H328">
            <v>0</v>
          </cell>
          <cell r="I328">
            <v>0</v>
          </cell>
          <cell r="J328">
            <v>184.3</v>
          </cell>
          <cell r="K328">
            <v>788.6</v>
          </cell>
          <cell r="L328">
            <v>796.4</v>
          </cell>
        </row>
        <row r="329">
          <cell r="E329" t="str">
            <v>Accumulated Amortization of Goodwill</v>
          </cell>
          <cell r="G329">
            <v>0</v>
          </cell>
          <cell r="H329">
            <v>0</v>
          </cell>
          <cell r="I329">
            <v>0</v>
          </cell>
          <cell r="J329">
            <v>4.7</v>
          </cell>
          <cell r="K329">
            <v>40.9</v>
          </cell>
          <cell r="L329">
            <v>85</v>
          </cell>
        </row>
        <row r="330">
          <cell r="D330" t="str">
            <v>Other Intangible Assets</v>
          </cell>
          <cell r="G330">
            <v>23.7</v>
          </cell>
          <cell r="H330">
            <v>21.2</v>
          </cell>
          <cell r="I330">
            <v>14.7</v>
          </cell>
          <cell r="J330">
            <v>27.2</v>
          </cell>
          <cell r="K330">
            <v>225.8</v>
          </cell>
          <cell r="L330">
            <v>457.6</v>
          </cell>
          <cell r="M330">
            <v>953</v>
          </cell>
        </row>
        <row r="331">
          <cell r="E331" t="str">
            <v>Other Finite Life Intangible Assets</v>
          </cell>
          <cell r="G331">
            <v>23.7</v>
          </cell>
          <cell r="H331">
            <v>21.2</v>
          </cell>
          <cell r="I331">
            <v>14.7</v>
          </cell>
          <cell r="J331">
            <v>27.2</v>
          </cell>
          <cell r="K331">
            <v>225.8</v>
          </cell>
          <cell r="L331">
            <v>457.6</v>
          </cell>
        </row>
        <row r="332">
          <cell r="E332" t="str">
            <v>Other Indefinite Life Intangible Assets</v>
          </cell>
        </row>
        <row r="333">
          <cell r="D333" t="str">
            <v>Investments (Non Operating)</v>
          </cell>
          <cell r="G333">
            <v>9.9</v>
          </cell>
          <cell r="H333">
            <v>9.6999999999999993</v>
          </cell>
          <cell r="I333">
            <v>284.3</v>
          </cell>
          <cell r="J333">
            <v>622.79999999999995</v>
          </cell>
          <cell r="K333">
            <v>875</v>
          </cell>
          <cell r="L333">
            <v>527.20000000000005</v>
          </cell>
          <cell r="M333">
            <v>132.1</v>
          </cell>
        </row>
        <row r="334">
          <cell r="E334" t="str">
            <v>Short Term Investments</v>
          </cell>
        </row>
        <row r="335">
          <cell r="E335" t="str">
            <v>Long Term Investments (Non Operating)</v>
          </cell>
          <cell r="G335">
            <v>9.9</v>
          </cell>
          <cell r="H335">
            <v>9.6999999999999993</v>
          </cell>
          <cell r="I335">
            <v>284.3</v>
          </cell>
          <cell r="J335">
            <v>622.79999999999995</v>
          </cell>
          <cell r="K335">
            <v>875</v>
          </cell>
          <cell r="L335">
            <v>527.20000000000005</v>
          </cell>
          <cell r="M335">
            <v>132.1</v>
          </cell>
        </row>
        <row r="336">
          <cell r="D336" t="str">
            <v>Investments Under the Equity Method (Operating)</v>
          </cell>
          <cell r="G336" t="str">
            <v/>
          </cell>
          <cell r="H336" t="str">
            <v/>
          </cell>
          <cell r="I336" t="str">
            <v/>
          </cell>
          <cell r="J336" t="str">
            <v/>
          </cell>
          <cell r="K336" t="str">
            <v/>
          </cell>
          <cell r="L336" t="str">
            <v/>
          </cell>
          <cell r="M336" t="str">
            <v/>
          </cell>
        </row>
        <row r="337">
          <cell r="E337" t="str">
            <v>Investments in Subsidiaries</v>
          </cell>
        </row>
        <row r="338">
          <cell r="E338" t="str">
            <v>Investments in Associates</v>
          </cell>
        </row>
        <row r="339">
          <cell r="E339" t="str">
            <v>Investments in Joint Ventures</v>
          </cell>
        </row>
        <row r="340">
          <cell r="D340" t="str">
            <v>Investments Under the Equity Method (Non Operating)</v>
          </cell>
          <cell r="L340">
            <v>114.2</v>
          </cell>
          <cell r="M340">
            <v>99.2</v>
          </cell>
        </row>
        <row r="341">
          <cell r="D341" t="str">
            <v>Deferred Tax Assets</v>
          </cell>
          <cell r="G341">
            <v>26.2</v>
          </cell>
          <cell r="H341">
            <v>27.9</v>
          </cell>
          <cell r="I341">
            <v>35.200000000000003</v>
          </cell>
          <cell r="J341">
            <v>118.5</v>
          </cell>
          <cell r="K341">
            <v>89</v>
          </cell>
          <cell r="L341">
            <v>79.8</v>
          </cell>
          <cell r="M341">
            <v>163.1</v>
          </cell>
        </row>
        <row r="342">
          <cell r="E342" t="str">
            <v>Deferred Tax Assets, Current</v>
          </cell>
        </row>
        <row r="343">
          <cell r="E343" t="str">
            <v>Deferred Tax Assets, Non Current</v>
          </cell>
          <cell r="G343">
            <v>26.2</v>
          </cell>
          <cell r="H343">
            <v>27.9</v>
          </cell>
          <cell r="I343">
            <v>35.200000000000003</v>
          </cell>
          <cell r="J343">
            <v>118.5</v>
          </cell>
          <cell r="K343">
            <v>89</v>
          </cell>
          <cell r="L343">
            <v>79.8</v>
          </cell>
          <cell r="M343">
            <v>163.1</v>
          </cell>
        </row>
        <row r="344">
          <cell r="D344" t="str">
            <v>Pension and Other Post Retirement Assets</v>
          </cell>
        </row>
        <row r="345">
          <cell r="D345" t="str">
            <v>Investment in Own Shares (Asset)</v>
          </cell>
          <cell r="G345" t="str">
            <v/>
          </cell>
          <cell r="H345" t="str">
            <v/>
          </cell>
          <cell r="I345" t="str">
            <v/>
          </cell>
          <cell r="J345" t="str">
            <v/>
          </cell>
          <cell r="K345" t="str">
            <v/>
          </cell>
          <cell r="L345" t="str">
            <v/>
          </cell>
          <cell r="M345" t="str">
            <v/>
          </cell>
        </row>
        <row r="346">
          <cell r="E346" t="str">
            <v>Investment in ESOP Trusts</v>
          </cell>
        </row>
        <row r="347">
          <cell r="D347" t="str">
            <v>Other Assets (Operating)</v>
          </cell>
          <cell r="G347" t="str">
            <v/>
          </cell>
          <cell r="H347" t="str">
            <v/>
          </cell>
          <cell r="I347" t="str">
            <v/>
          </cell>
          <cell r="J347" t="str">
            <v/>
          </cell>
          <cell r="K347" t="str">
            <v/>
          </cell>
          <cell r="L347" t="str">
            <v/>
          </cell>
          <cell r="M347" t="str">
            <v/>
          </cell>
        </row>
        <row r="348">
          <cell r="E348" t="str">
            <v>Other Assets (Operating), Current</v>
          </cell>
        </row>
        <row r="349">
          <cell r="E349" t="str">
            <v>Other Assets (Operating), Non Current</v>
          </cell>
        </row>
        <row r="350">
          <cell r="D350" t="str">
            <v>Other Assets (Non Operating)</v>
          </cell>
          <cell r="G350">
            <v>0</v>
          </cell>
          <cell r="H350">
            <v>0</v>
          </cell>
          <cell r="I350">
            <v>202.8</v>
          </cell>
          <cell r="J350">
            <v>459.9</v>
          </cell>
          <cell r="K350">
            <v>0</v>
          </cell>
          <cell r="L350">
            <v>0</v>
          </cell>
          <cell r="M350" t="str">
            <v/>
          </cell>
        </row>
        <row r="351">
          <cell r="E351" t="str">
            <v>Other Assets (Non Operating), Current</v>
          </cell>
          <cell r="G351">
            <v>0</v>
          </cell>
          <cell r="H351">
            <v>0</v>
          </cell>
          <cell r="I351">
            <v>202.8</v>
          </cell>
          <cell r="J351">
            <v>459.9</v>
          </cell>
          <cell r="K351">
            <v>0</v>
          </cell>
          <cell r="L351">
            <v>0</v>
          </cell>
        </row>
        <row r="352">
          <cell r="E352" t="str">
            <v>Other Assets (Non Operating), Non Current</v>
          </cell>
        </row>
        <row r="353">
          <cell r="D353" t="str">
            <v>Assets of Discontinued Operations</v>
          </cell>
        </row>
        <row r="354">
          <cell r="C354" t="str">
            <v>Liabilities and Equity</v>
          </cell>
          <cell r="M354">
            <v>11055.3</v>
          </cell>
        </row>
        <row r="355">
          <cell r="D355" t="str">
            <v>Trade and Other Payables</v>
          </cell>
          <cell r="F355">
            <v>0</v>
          </cell>
          <cell r="G355">
            <v>286.5</v>
          </cell>
          <cell r="H355">
            <v>404.8</v>
          </cell>
          <cell r="I355">
            <v>674.3</v>
          </cell>
          <cell r="J355">
            <v>1199</v>
          </cell>
          <cell r="K355">
            <v>1539.5</v>
          </cell>
          <cell r="L355">
            <v>1491.6</v>
          </cell>
          <cell r="M355">
            <v>3243.2</v>
          </cell>
        </row>
        <row r="356">
          <cell r="E356" t="str">
            <v>Trade and Other Payables, Current</v>
          </cell>
          <cell r="G356">
            <v>286.5</v>
          </cell>
          <cell r="H356">
            <v>404.8</v>
          </cell>
          <cell r="I356">
            <v>674.3</v>
          </cell>
          <cell r="J356">
            <v>1199</v>
          </cell>
          <cell r="K356">
            <v>1539.5</v>
          </cell>
          <cell r="L356">
            <v>1491.6</v>
          </cell>
          <cell r="M356">
            <v>3243.2</v>
          </cell>
        </row>
        <row r="357">
          <cell r="F357" t="str">
            <v>Trade Payables, Current</v>
          </cell>
          <cell r="G357">
            <v>177.4</v>
          </cell>
          <cell r="H357">
            <v>247.8</v>
          </cell>
          <cell r="I357">
            <v>390.2</v>
          </cell>
          <cell r="J357">
            <v>563.4</v>
          </cell>
          <cell r="K357">
            <v>1053</v>
          </cell>
          <cell r="L357">
            <v>934.3</v>
          </cell>
          <cell r="M357">
            <v>671.3</v>
          </cell>
        </row>
        <row r="358">
          <cell r="F358" t="str">
            <v>Other Payables, Current</v>
          </cell>
          <cell r="G358">
            <v>109.1</v>
          </cell>
          <cell r="H358">
            <v>157</v>
          </cell>
          <cell r="I358">
            <v>284.10000000000002</v>
          </cell>
          <cell r="J358">
            <v>635.6</v>
          </cell>
          <cell r="K358">
            <v>486.5</v>
          </cell>
          <cell r="L358">
            <v>557.29999999999995</v>
          </cell>
          <cell r="M358">
            <v>2571.9</v>
          </cell>
        </row>
        <row r="359">
          <cell r="E359" t="str">
            <v>Trade and Other Payables, Non Current</v>
          </cell>
          <cell r="G359" t="str">
            <v/>
          </cell>
          <cell r="H359" t="str">
            <v/>
          </cell>
          <cell r="I359" t="str">
            <v/>
          </cell>
          <cell r="J359" t="str">
            <v/>
          </cell>
          <cell r="K359" t="str">
            <v/>
          </cell>
          <cell r="L359" t="str">
            <v/>
          </cell>
          <cell r="M359" t="str">
            <v/>
          </cell>
        </row>
        <row r="360">
          <cell r="F360" t="str">
            <v>Trade Payables, Non Current</v>
          </cell>
        </row>
        <row r="361">
          <cell r="F361" t="str">
            <v>Other Payables, Non Current</v>
          </cell>
        </row>
        <row r="362">
          <cell r="D362" t="str">
            <v>Dividends Payable</v>
          </cell>
          <cell r="G362">
            <v>2.7</v>
          </cell>
          <cell r="H362">
            <v>0</v>
          </cell>
          <cell r="I362">
            <v>0</v>
          </cell>
          <cell r="J362">
            <v>0</v>
          </cell>
          <cell r="K362">
            <v>0</v>
          </cell>
          <cell r="L362">
            <v>0</v>
          </cell>
        </row>
        <row r="363">
          <cell r="D363" t="str">
            <v>Short Term Borrowings, Up to 1 Year</v>
          </cell>
          <cell r="G363">
            <v>376.1</v>
          </cell>
          <cell r="H363">
            <v>74.199999999999989</v>
          </cell>
          <cell r="I363">
            <v>2.9000000000000004</v>
          </cell>
          <cell r="J363">
            <v>13.4</v>
          </cell>
          <cell r="K363">
            <v>105.10000000000001</v>
          </cell>
          <cell r="L363">
            <v>196.7</v>
          </cell>
          <cell r="M363">
            <v>165.6</v>
          </cell>
        </row>
        <row r="364">
          <cell r="D364" t="str">
            <v>Other Interest Bearing Liabilities</v>
          </cell>
          <cell r="G364" t="str">
            <v/>
          </cell>
          <cell r="H364" t="str">
            <v/>
          </cell>
          <cell r="I364" t="str">
            <v/>
          </cell>
          <cell r="J364" t="str">
            <v/>
          </cell>
          <cell r="K364" t="str">
            <v/>
          </cell>
          <cell r="L364" t="str">
            <v/>
          </cell>
          <cell r="M364" t="str">
            <v/>
          </cell>
        </row>
        <row r="365">
          <cell r="E365" t="str">
            <v>Asset Retirement Obligations</v>
          </cell>
        </row>
        <row r="366">
          <cell r="E366" t="str">
            <v>Decommissioning, Restoration and Similar Liabilities</v>
          </cell>
        </row>
        <row r="367">
          <cell r="E367" t="str">
            <v>Environmental Liabilities, Interest Bearing</v>
          </cell>
        </row>
        <row r="368">
          <cell r="E368" t="str">
            <v>Other Interest Bearing Provisions</v>
          </cell>
        </row>
        <row r="369">
          <cell r="D369" t="str">
            <v>Income Tax Payable</v>
          </cell>
          <cell r="G369">
            <v>29</v>
          </cell>
          <cell r="H369">
            <v>47</v>
          </cell>
          <cell r="I369">
            <v>69.099999999999994</v>
          </cell>
          <cell r="J369">
            <v>61</v>
          </cell>
          <cell r="K369">
            <v>46.2</v>
          </cell>
          <cell r="L369">
            <v>110.5</v>
          </cell>
          <cell r="M369" t="str">
            <v/>
          </cell>
        </row>
        <row r="370">
          <cell r="E370" t="str">
            <v>Income Tax Payable (Operating)</v>
          </cell>
        </row>
        <row r="371">
          <cell r="E371" t="str">
            <v>Income Tax Payable (Financing)</v>
          </cell>
        </row>
        <row r="372">
          <cell r="E372" t="str">
            <v>Income Tax Payable (Other)</v>
          </cell>
        </row>
        <row r="373">
          <cell r="D373" t="str">
            <v>Accrued Expenses</v>
          </cell>
          <cell r="G373">
            <v>169.6</v>
          </cell>
          <cell r="H373">
            <v>164.5</v>
          </cell>
          <cell r="I373">
            <v>277.3</v>
          </cell>
          <cell r="J373">
            <v>292.89999999999998</v>
          </cell>
          <cell r="K373">
            <v>261.39999999999998</v>
          </cell>
          <cell r="L373">
            <v>260.3</v>
          </cell>
          <cell r="M373" t="str">
            <v/>
          </cell>
        </row>
        <row r="374">
          <cell r="E374" t="str">
            <v>Payroll and Benefits Related Liabilities</v>
          </cell>
        </row>
        <row r="375">
          <cell r="E375" t="str">
            <v>Accrued Taxes (Other than Income Tax)</v>
          </cell>
          <cell r="G375">
            <v>169.6</v>
          </cell>
          <cell r="H375">
            <v>164.5</v>
          </cell>
          <cell r="I375">
            <v>277.3</v>
          </cell>
          <cell r="J375">
            <v>292.89999999999998</v>
          </cell>
          <cell r="K375">
            <v>261.39999999999998</v>
          </cell>
          <cell r="L375">
            <v>260.3</v>
          </cell>
        </row>
        <row r="376">
          <cell r="E376" t="str">
            <v>Other Accrued Expenses</v>
          </cell>
        </row>
        <row r="377">
          <cell r="D377" t="str">
            <v>Long term Debt, Greater than 1 Year</v>
          </cell>
          <cell r="G377">
            <v>92.2</v>
          </cell>
          <cell r="H377">
            <v>28.6</v>
          </cell>
          <cell r="I377">
            <v>24.4</v>
          </cell>
          <cell r="J377">
            <v>62.7</v>
          </cell>
          <cell r="K377">
            <v>51</v>
          </cell>
          <cell r="L377">
            <v>42.7</v>
          </cell>
          <cell r="M377">
            <v>380.4</v>
          </cell>
        </row>
        <row r="378">
          <cell r="E378" t="str">
            <v>Senior Debt</v>
          </cell>
        </row>
        <row r="379">
          <cell r="E379" t="str">
            <v>Subordinated Debt</v>
          </cell>
        </row>
        <row r="380">
          <cell r="E380" t="str">
            <v>Capital Lease Obligations</v>
          </cell>
        </row>
        <row r="381">
          <cell r="E381" t="str">
            <v>Other Long Term Debt</v>
          </cell>
          <cell r="G381">
            <v>92.2</v>
          </cell>
          <cell r="H381">
            <v>28.6</v>
          </cell>
          <cell r="I381">
            <v>24.4</v>
          </cell>
          <cell r="J381">
            <v>62.7</v>
          </cell>
          <cell r="K381">
            <v>51</v>
          </cell>
          <cell r="L381">
            <v>42.7</v>
          </cell>
        </row>
        <row r="382">
          <cell r="D382" t="str">
            <v>Provisions and Reserves</v>
          </cell>
          <cell r="G382">
            <v>0</v>
          </cell>
          <cell r="H382">
            <v>50.9</v>
          </cell>
          <cell r="I382">
            <v>104.8</v>
          </cell>
          <cell r="J382">
            <v>374.7</v>
          </cell>
          <cell r="K382">
            <v>0</v>
          </cell>
          <cell r="L382">
            <v>0</v>
          </cell>
          <cell r="M382">
            <v>222</v>
          </cell>
        </row>
        <row r="383">
          <cell r="E383" t="str">
            <v>Warranty Provision</v>
          </cell>
        </row>
        <row r="384">
          <cell r="E384" t="str">
            <v>Restructuring Provision</v>
          </cell>
        </row>
        <row r="385">
          <cell r="E385" t="str">
            <v>Legal Proceedings Provision</v>
          </cell>
        </row>
        <row r="386">
          <cell r="E386" t="str">
            <v>Onerous Contracts Provision</v>
          </cell>
        </row>
        <row r="387">
          <cell r="E387" t="str">
            <v>Environmental Liability</v>
          </cell>
        </row>
        <row r="388">
          <cell r="E388" t="str">
            <v>Asset Retirement Obligation</v>
          </cell>
        </row>
        <row r="389">
          <cell r="E389" t="str">
            <v>Other Provisions</v>
          </cell>
          <cell r="G389">
            <v>0</v>
          </cell>
          <cell r="H389">
            <v>50.9</v>
          </cell>
          <cell r="I389">
            <v>104.8</v>
          </cell>
          <cell r="J389">
            <v>374.7</v>
          </cell>
          <cell r="K389">
            <v>0</v>
          </cell>
          <cell r="L389">
            <v>0</v>
          </cell>
        </row>
        <row r="390">
          <cell r="D390" t="str">
            <v>Deferred Tax Liabilities</v>
          </cell>
          <cell r="G390">
            <v>211.8</v>
          </cell>
          <cell r="H390">
            <v>174.5</v>
          </cell>
          <cell r="I390">
            <v>164</v>
          </cell>
          <cell r="J390">
            <v>39.1</v>
          </cell>
          <cell r="K390">
            <v>58.2</v>
          </cell>
          <cell r="L390">
            <v>165.9</v>
          </cell>
          <cell r="M390">
            <v>19.3</v>
          </cell>
        </row>
        <row r="391">
          <cell r="E391" t="str">
            <v>Deferred Tax Liabilities, Current</v>
          </cell>
        </row>
        <row r="392">
          <cell r="E392" t="str">
            <v>Deferred Tax Liabilities, Non Current</v>
          </cell>
          <cell r="G392">
            <v>211.8</v>
          </cell>
          <cell r="H392">
            <v>174.5</v>
          </cell>
          <cell r="I392">
            <v>164</v>
          </cell>
          <cell r="J392">
            <v>39.1</v>
          </cell>
          <cell r="K392">
            <v>58.2</v>
          </cell>
          <cell r="L392">
            <v>165.9</v>
          </cell>
          <cell r="M392">
            <v>19.3</v>
          </cell>
        </row>
        <row r="393">
          <cell r="D393" t="str">
            <v>Deferred Revenue</v>
          </cell>
          <cell r="G393">
            <v>4</v>
          </cell>
          <cell r="H393">
            <v>160.1</v>
          </cell>
          <cell r="I393">
            <v>90.6</v>
          </cell>
          <cell r="J393">
            <v>32.5</v>
          </cell>
          <cell r="K393">
            <v>33.4</v>
          </cell>
          <cell r="L393">
            <v>26.5</v>
          </cell>
          <cell r="M393" t="str">
            <v/>
          </cell>
        </row>
        <row r="394">
          <cell r="E394" t="str">
            <v>Deferred Revenue, Current</v>
          </cell>
          <cell r="G394">
            <v>4</v>
          </cell>
          <cell r="H394">
            <v>160.1</v>
          </cell>
          <cell r="I394">
            <v>90.6</v>
          </cell>
          <cell r="J394">
            <v>32.5</v>
          </cell>
          <cell r="K394">
            <v>33.4</v>
          </cell>
          <cell r="L394">
            <v>26.5</v>
          </cell>
        </row>
        <row r="395">
          <cell r="E395" t="str">
            <v>Deferred Revenue, Non Current</v>
          </cell>
        </row>
        <row r="396">
          <cell r="D396" t="str">
            <v>Pension and Other Post Retirement Obligations</v>
          </cell>
          <cell r="G396">
            <v>33.700000000000003</v>
          </cell>
          <cell r="H396">
            <v>48.8</v>
          </cell>
          <cell r="I396">
            <v>62.5</v>
          </cell>
          <cell r="J396">
            <v>87.3</v>
          </cell>
          <cell r="K396">
            <v>82.9</v>
          </cell>
          <cell r="L396">
            <v>103.5</v>
          </cell>
          <cell r="M396">
            <v>103</v>
          </cell>
        </row>
        <row r="397">
          <cell r="D397" t="str">
            <v>Deferred Compensation</v>
          </cell>
        </row>
        <row r="398">
          <cell r="D398" t="str">
            <v>Other Liabilities (Operating)</v>
          </cell>
          <cell r="G398">
            <v>0</v>
          </cell>
          <cell r="H398">
            <v>0</v>
          </cell>
          <cell r="I398">
            <v>253.7</v>
          </cell>
          <cell r="J398">
            <v>828.8</v>
          </cell>
          <cell r="K398">
            <v>1041.0999999999999</v>
          </cell>
          <cell r="L398">
            <v>1050.2</v>
          </cell>
          <cell r="M398" t="str">
            <v/>
          </cell>
        </row>
        <row r="399">
          <cell r="E399" t="str">
            <v>Other Liabilities (Operating), Current</v>
          </cell>
          <cell r="G399">
            <v>0</v>
          </cell>
          <cell r="H399">
            <v>0</v>
          </cell>
          <cell r="I399">
            <v>253.7</v>
          </cell>
          <cell r="J399">
            <v>828.8</v>
          </cell>
          <cell r="K399">
            <v>1041.0999999999999</v>
          </cell>
          <cell r="L399">
            <v>1050.2</v>
          </cell>
        </row>
        <row r="400">
          <cell r="E400" t="str">
            <v>Other Liabilities (Operating), Non Current</v>
          </cell>
        </row>
        <row r="401">
          <cell r="D401" t="str">
            <v>Other Liabilities (Non Operating)</v>
          </cell>
          <cell r="G401">
            <v>0</v>
          </cell>
          <cell r="H401">
            <v>5.6</v>
          </cell>
          <cell r="I401">
            <v>0</v>
          </cell>
          <cell r="J401">
            <v>8.6</v>
          </cell>
          <cell r="K401">
            <v>0</v>
          </cell>
          <cell r="L401">
            <v>0</v>
          </cell>
          <cell r="M401" t="str">
            <v/>
          </cell>
        </row>
        <row r="402">
          <cell r="E402" t="str">
            <v>Other Liabilities (Non Operating), Current</v>
          </cell>
          <cell r="G402">
            <v>0</v>
          </cell>
          <cell r="H402">
            <v>5.6</v>
          </cell>
          <cell r="I402">
            <v>0</v>
          </cell>
          <cell r="J402">
            <v>8.6</v>
          </cell>
          <cell r="K402">
            <v>0</v>
          </cell>
          <cell r="L402">
            <v>0</v>
          </cell>
        </row>
        <row r="403">
          <cell r="E403" t="str">
            <v>Other Liabilities (Non Operating), Non Current</v>
          </cell>
        </row>
        <row r="404">
          <cell r="D404" t="str">
            <v>Liabilities of Discontinued Operations</v>
          </cell>
        </row>
        <row r="405">
          <cell r="D405" t="str">
            <v>Minority Interests in Shareholders Equity</v>
          </cell>
          <cell r="G405">
            <v>4</v>
          </cell>
          <cell r="H405">
            <v>4</v>
          </cell>
          <cell r="I405">
            <v>4</v>
          </cell>
          <cell r="J405">
            <v>25.3</v>
          </cell>
          <cell r="K405">
            <v>5.5</v>
          </cell>
          <cell r="L405">
            <v>0.4</v>
          </cell>
          <cell r="M405">
            <v>7.4</v>
          </cell>
        </row>
        <row r="406">
          <cell r="D406" t="str">
            <v>Preferred Equity</v>
          </cell>
        </row>
        <row r="407">
          <cell r="D407" t="str">
            <v>Common Equity</v>
          </cell>
          <cell r="F407">
            <v>1147.4000000000001</v>
          </cell>
          <cell r="G407">
            <v>1546.2</v>
          </cell>
          <cell r="H407">
            <v>1818.2</v>
          </cell>
          <cell r="I407">
            <v>2911.2000000000003</v>
          </cell>
          <cell r="J407">
            <v>3757.3</v>
          </cell>
          <cell r="K407">
            <v>4741.5999999999995</v>
          </cell>
          <cell r="L407">
            <v>5821</v>
          </cell>
          <cell r="M407">
            <v>6914.4</v>
          </cell>
        </row>
        <row r="408">
          <cell r="E408" t="str">
            <v>Total Share Capital</v>
          </cell>
          <cell r="G408">
            <v>110</v>
          </cell>
          <cell r="H408">
            <v>110</v>
          </cell>
          <cell r="I408">
            <v>1613.7</v>
          </cell>
          <cell r="J408">
            <v>1613.7</v>
          </cell>
          <cell r="K408">
            <v>1165.5</v>
          </cell>
          <cell r="L408">
            <v>1217.4000000000001</v>
          </cell>
          <cell r="M408">
            <v>1168.7</v>
          </cell>
        </row>
        <row r="409">
          <cell r="F409" t="str">
            <v>Common Stock</v>
          </cell>
          <cell r="G409">
            <v>110</v>
          </cell>
          <cell r="H409">
            <v>110</v>
          </cell>
          <cell r="I409">
            <v>1165.5</v>
          </cell>
          <cell r="J409">
            <v>1165.5</v>
          </cell>
          <cell r="K409">
            <v>1165.5</v>
          </cell>
          <cell r="L409">
            <v>1168.7</v>
          </cell>
          <cell r="M409">
            <v>1168.7</v>
          </cell>
        </row>
        <row r="410">
          <cell r="F410" t="str">
            <v>Additional Paid in Capital</v>
          </cell>
          <cell r="G410">
            <v>0</v>
          </cell>
          <cell r="H410">
            <v>0</v>
          </cell>
          <cell r="I410">
            <v>448.2</v>
          </cell>
          <cell r="J410">
            <v>448.2</v>
          </cell>
          <cell r="K410">
            <v>0</v>
          </cell>
          <cell r="L410">
            <v>48.7</v>
          </cell>
          <cell r="M410">
            <v>0</v>
          </cell>
        </row>
        <row r="411">
          <cell r="E411" t="str">
            <v>Retained Earnings</v>
          </cell>
          <cell r="G411">
            <v>1401.2</v>
          </cell>
          <cell r="H411">
            <v>1663.2</v>
          </cell>
          <cell r="I411">
            <v>1167.9000000000001</v>
          </cell>
          <cell r="J411">
            <v>1946.4</v>
          </cell>
          <cell r="K411">
            <v>3310.4</v>
          </cell>
          <cell r="L411">
            <v>4337.1000000000004</v>
          </cell>
          <cell r="M411">
            <v>5745.7</v>
          </cell>
        </row>
        <row r="412">
          <cell r="E412" t="str">
            <v>Accumulated Other Comprehensive Income (Loss) and Reserves</v>
          </cell>
          <cell r="G412">
            <v>35</v>
          </cell>
          <cell r="H412">
            <v>45</v>
          </cell>
          <cell r="I412">
            <v>129.6</v>
          </cell>
          <cell r="J412">
            <v>197.2</v>
          </cell>
          <cell r="K412">
            <v>265.7</v>
          </cell>
          <cell r="L412">
            <v>266.5</v>
          </cell>
          <cell r="M412">
            <v>0</v>
          </cell>
        </row>
        <row r="413">
          <cell r="F413" t="str">
            <v>Cumulative Translation Adjustment</v>
          </cell>
        </row>
        <row r="414">
          <cell r="F414" t="str">
            <v>Unrealized Gains and Losses on Securities and Other Financial Instruments</v>
          </cell>
        </row>
        <row r="415">
          <cell r="F415" t="str">
            <v>Minimum Pension Liability</v>
          </cell>
        </row>
        <row r="416">
          <cell r="F416" t="str">
            <v>Cash Flow Hedges</v>
          </cell>
        </row>
        <row r="417">
          <cell r="F417" t="str">
            <v>Other Accumulated OCI and Reserves</v>
          </cell>
          <cell r="G417">
            <v>35</v>
          </cell>
          <cell r="H417">
            <v>45</v>
          </cell>
          <cell r="I417">
            <v>129.6</v>
          </cell>
          <cell r="J417">
            <v>197.2</v>
          </cell>
          <cell r="K417">
            <v>265.7</v>
          </cell>
          <cell r="L417">
            <v>266.5</v>
          </cell>
          <cell r="M417">
            <v>0</v>
          </cell>
        </row>
        <row r="418">
          <cell r="F418" t="str">
            <v>Revaluation Reserves</v>
          </cell>
        </row>
        <row r="419">
          <cell r="F419" t="str">
            <v>Unearned Compensation Reserve</v>
          </cell>
        </row>
        <row r="420">
          <cell r="E420" t="str">
            <v>Treasury Stock and Investment in Own Shares</v>
          </cell>
          <cell r="G420">
            <v>0</v>
          </cell>
          <cell r="H420">
            <v>0</v>
          </cell>
          <cell r="I420">
            <v>0</v>
          </cell>
          <cell r="J420">
            <v>0</v>
          </cell>
          <cell r="K420">
            <v>0</v>
          </cell>
          <cell r="L420">
            <v>0</v>
          </cell>
          <cell r="M420">
            <v>0</v>
          </cell>
        </row>
        <row r="421">
          <cell r="E421" t="str">
            <v>Warrants and Rights Outstanding (Equity)</v>
          </cell>
        </row>
        <row r="422">
          <cell r="E422" t="str">
            <v>Other Equity Items</v>
          </cell>
        </row>
        <row r="423">
          <cell r="B423" t="str">
            <v>Cash flow</v>
          </cell>
        </row>
        <row r="424">
          <cell r="C424" t="str">
            <v>Net Income (Reported) (Cash Flow Statement)</v>
          </cell>
          <cell r="G424">
            <v>440.5</v>
          </cell>
          <cell r="H424">
            <v>384.3</v>
          </cell>
          <cell r="I424">
            <v>663.5</v>
          </cell>
          <cell r="J424">
            <v>1004</v>
          </cell>
          <cell r="K424">
            <v>1825.9</v>
          </cell>
          <cell r="L424">
            <v>2361.1999999999998</v>
          </cell>
          <cell r="M424">
            <v>1377</v>
          </cell>
        </row>
        <row r="425">
          <cell r="C425" t="str">
            <v>Depreciation (Cash Flow Statement)</v>
          </cell>
          <cell r="F425">
            <v>0</v>
          </cell>
          <cell r="G425">
            <v>107.4</v>
          </cell>
          <cell r="H425">
            <v>123.9</v>
          </cell>
          <cell r="I425">
            <v>146.4</v>
          </cell>
          <cell r="J425">
            <v>179.7</v>
          </cell>
          <cell r="K425">
            <v>315.39999999999998</v>
          </cell>
          <cell r="L425">
            <v>405.1</v>
          </cell>
          <cell r="M425">
            <v>369.4</v>
          </cell>
        </row>
        <row r="426">
          <cell r="C426" t="str">
            <v>Amortization of Goodwill (Cash Flow Statement)</v>
          </cell>
          <cell r="M426">
            <v>54.7</v>
          </cell>
        </row>
        <row r="427">
          <cell r="C427" t="str">
            <v>Amortization of Intangibles Assumed to Have Indefinite Life (Cash Flow Statement)</v>
          </cell>
        </row>
        <row r="428">
          <cell r="C428" t="str">
            <v>Amortization of Other Intangibles (Cash Flow Statement)</v>
          </cell>
          <cell r="G428">
            <v>0</v>
          </cell>
          <cell r="H428">
            <v>0</v>
          </cell>
          <cell r="I428">
            <v>0</v>
          </cell>
          <cell r="J428">
            <v>0</v>
          </cell>
          <cell r="K428">
            <v>0</v>
          </cell>
          <cell r="L428">
            <v>0</v>
          </cell>
          <cell r="M428">
            <v>137.4</v>
          </cell>
        </row>
        <row r="429">
          <cell r="D429" t="str">
            <v>Amortization of Taxable Other Intangibles (Cash Flow Statement)</v>
          </cell>
          <cell r="G429" t="str">
            <v xml:space="preserve"> </v>
          </cell>
        </row>
        <row r="430">
          <cell r="D430" t="str">
            <v>Amortization of Non-Taxable Other Intangibles (Cash Flow Statement)</v>
          </cell>
        </row>
        <row r="431">
          <cell r="C431" t="str">
            <v>Restructuring Costs (Recurring) (Cash Flow Statement)</v>
          </cell>
        </row>
        <row r="432">
          <cell r="C432" t="str">
            <v>Restructuring Costs (One Time) (Cash Flow Statement)</v>
          </cell>
        </row>
        <row r="433">
          <cell r="C433" t="str">
            <v>Legal Provision (Recurring) (Cash Flow Statement)</v>
          </cell>
        </row>
        <row r="434">
          <cell r="C434" t="str">
            <v>Legal Provision (One Time) (Cash Flow Statement)</v>
          </cell>
        </row>
        <row r="435">
          <cell r="C435" t="str">
            <v>Environmental Provision (Recurring) (Cash Flow Statement)</v>
          </cell>
        </row>
        <row r="436">
          <cell r="C436" t="str">
            <v>Environmental Provision (One Time) (Cash Flow Statement)</v>
          </cell>
        </row>
        <row r="437">
          <cell r="C437" t="str">
            <v>Other Provisions (Recurring) (Cash Flow Statement)</v>
          </cell>
        </row>
        <row r="438">
          <cell r="C438" t="str">
            <v>Other Provisions (One Time) (Cash Flow Statement)</v>
          </cell>
          <cell r="G438">
            <v>0</v>
          </cell>
          <cell r="H438">
            <v>50.9</v>
          </cell>
          <cell r="I438">
            <v>53</v>
          </cell>
          <cell r="J438">
            <v>264.2</v>
          </cell>
          <cell r="K438">
            <v>0</v>
          </cell>
          <cell r="L438">
            <v>0</v>
          </cell>
        </row>
        <row r="439">
          <cell r="C439" t="str">
            <v>Goodwill Impairment (Cash Flow Statement)</v>
          </cell>
        </row>
        <row r="440">
          <cell r="C440" t="str">
            <v>Indefinite Life Intangible Impairment (Cash Flow Statement)</v>
          </cell>
        </row>
        <row r="441">
          <cell r="C441" t="str">
            <v>Asset Impairment (Non Goodwill) (One Time) (Cash Flow Statement)</v>
          </cell>
        </row>
        <row r="442">
          <cell r="C442" t="str">
            <v>Gains (Losses) from Sale of PPE and Intangibles (Recurring) (Cash Flow Statement)</v>
          </cell>
        </row>
        <row r="443">
          <cell r="C443" t="str">
            <v>Gains (Losses) from Sale of PPE and Intangibles (One Time) (Cash Flow Statement)</v>
          </cell>
        </row>
        <row r="444">
          <cell r="C444" t="str">
            <v>Bonus Paid to Directors and Corporate Auditors (Japan)</v>
          </cell>
        </row>
        <row r="445">
          <cell r="C445" t="str">
            <v>Bonus to Directors and Supervisors (Taiwan) (Cash Flow Statement)</v>
          </cell>
        </row>
        <row r="446">
          <cell r="C446" t="str">
            <v>Employee Cash Bonus (Taiwan) (Cash Flow Statement)</v>
          </cell>
        </row>
        <row r="447">
          <cell r="C447" t="str">
            <v>Acquired In Process R and D (Cash Flow Statement)</v>
          </cell>
        </row>
        <row r="448">
          <cell r="C448" t="str">
            <v>Capital Expenditures</v>
          </cell>
          <cell r="F448">
            <v>0</v>
          </cell>
          <cell r="G448">
            <v>187.9</v>
          </cell>
          <cell r="H448">
            <v>272</v>
          </cell>
          <cell r="I448">
            <v>375.2</v>
          </cell>
          <cell r="J448">
            <v>694.9</v>
          </cell>
          <cell r="K448">
            <v>1026.5999999999999</v>
          </cell>
          <cell r="L448">
            <v>1047.3</v>
          </cell>
          <cell r="M448">
            <v>1078.7</v>
          </cell>
        </row>
        <row r="449">
          <cell r="D449" t="str">
            <v>Capital Expenditures (Sustaining)</v>
          </cell>
          <cell r="G449">
            <v>187.9</v>
          </cell>
          <cell r="H449">
            <v>272</v>
          </cell>
          <cell r="I449">
            <v>375.2</v>
          </cell>
          <cell r="J449">
            <v>694.9</v>
          </cell>
          <cell r="K449">
            <v>1026.5999999999999</v>
          </cell>
          <cell r="L449">
            <v>1047.3</v>
          </cell>
        </row>
        <row r="450">
          <cell r="D450" t="str">
            <v>Capital Expenditures (Growth)</v>
          </cell>
        </row>
        <row r="451">
          <cell r="C451" t="str">
            <v>Capital Expenditures (related to lessor financing)</v>
          </cell>
        </row>
        <row r="452">
          <cell r="C452" t="str">
            <v>Unrealized Foreign Currency Exchange Gain (Loss) (Cash Flow Statement)</v>
          </cell>
        </row>
        <row r="453">
          <cell r="C453" t="str">
            <v>Proceeds from Sale of PPE and Intangible Assets</v>
          </cell>
          <cell r="G453">
            <v>10.199999999999999</v>
          </cell>
          <cell r="H453">
            <v>11.1</v>
          </cell>
          <cell r="I453">
            <v>10.3</v>
          </cell>
          <cell r="J453">
            <v>15.5</v>
          </cell>
          <cell r="K453">
            <v>8.6</v>
          </cell>
          <cell r="L453">
            <v>11.6</v>
          </cell>
        </row>
        <row r="454">
          <cell r="C454" t="str">
            <v>Amortization of discount (premium) on debt</v>
          </cell>
        </row>
        <row r="455">
          <cell r="C455" t="str">
            <v>Net Pension and OPEB Expense (Cash Flow Statement)</v>
          </cell>
        </row>
        <row r="456">
          <cell r="C456" t="str">
            <v>Net Disposals (Acquisitions)</v>
          </cell>
          <cell r="F456">
            <v>0</v>
          </cell>
          <cell r="G456">
            <v>0</v>
          </cell>
          <cell r="H456">
            <v>0</v>
          </cell>
          <cell r="I456">
            <v>0</v>
          </cell>
          <cell r="J456">
            <v>-216.4</v>
          </cell>
          <cell r="K456">
            <v>-886.8</v>
          </cell>
          <cell r="L456">
            <v>-12</v>
          </cell>
          <cell r="M456">
            <v>-674.4</v>
          </cell>
        </row>
        <row r="457">
          <cell r="D457" t="str">
            <v>Capital Expenditures Reflected in Cost of Acquisitions</v>
          </cell>
          <cell r="G457" t="str">
            <v/>
          </cell>
          <cell r="H457" t="str">
            <v/>
          </cell>
          <cell r="I457" t="str">
            <v/>
          </cell>
          <cell r="J457" t="str">
            <v/>
          </cell>
          <cell r="K457" t="str">
            <v/>
          </cell>
          <cell r="L457" t="str">
            <v/>
          </cell>
          <cell r="M457" t="str">
            <v/>
          </cell>
        </row>
        <row r="458">
          <cell r="E458" t="str">
            <v>Capital Expenditures Reflected in Cost of Acquisitions (Sustaining)</v>
          </cell>
        </row>
        <row r="459">
          <cell r="E459" t="str">
            <v>Capital Expenditures Reflected in Cost of Acquisitions (Growth)</v>
          </cell>
        </row>
        <row r="460">
          <cell r="D460" t="str">
            <v>Investment in Intangible Assets Reflected in Cost of Acquisitions</v>
          </cell>
          <cell r="G460" t="str">
            <v/>
          </cell>
          <cell r="H460" t="str">
            <v/>
          </cell>
          <cell r="I460" t="str">
            <v/>
          </cell>
          <cell r="J460" t="str">
            <v/>
          </cell>
          <cell r="K460" t="str">
            <v/>
          </cell>
          <cell r="L460" t="str">
            <v/>
          </cell>
          <cell r="M460" t="str">
            <v/>
          </cell>
        </row>
        <row r="461">
          <cell r="E461" t="str">
            <v>Investment in Intangible Assets Reflected in Cost of Acquisitions (Sustaining)</v>
          </cell>
        </row>
        <row r="462">
          <cell r="E462" t="str">
            <v>Investment in Intangible Assets Reflected in Cost of Acquisitions (Growth)</v>
          </cell>
        </row>
        <row r="463">
          <cell r="D463" t="str">
            <v>Premium (Goodwill) on Acquisitions</v>
          </cell>
          <cell r="G463" t="str">
            <v/>
          </cell>
          <cell r="H463" t="str">
            <v/>
          </cell>
          <cell r="I463" t="str">
            <v/>
          </cell>
          <cell r="J463" t="str">
            <v/>
          </cell>
          <cell r="K463" t="str">
            <v/>
          </cell>
          <cell r="L463" t="str">
            <v/>
          </cell>
          <cell r="M463" t="str">
            <v/>
          </cell>
        </row>
        <row r="464">
          <cell r="E464" t="str">
            <v>Premium [Goodwill] on Acquisitions (Sustaining)</v>
          </cell>
        </row>
        <row r="465">
          <cell r="E465" t="str">
            <v>Premium [Goodwill] on Acquisitions (Growth)</v>
          </cell>
        </row>
        <row r="466">
          <cell r="D466" t="str">
            <v>Other Assets (Liabilities) Acquired Included in Ending Balance Sheet Totals</v>
          </cell>
        </row>
        <row r="467">
          <cell r="D467" t="str">
            <v>Acquired In Process R and D (Acquisitions)</v>
          </cell>
        </row>
        <row r="468">
          <cell r="D468" t="str">
            <v>Principal Debt Acquired</v>
          </cell>
        </row>
        <row r="469">
          <cell r="D469" t="str">
            <v>Equity Issued on Acquisition</v>
          </cell>
        </row>
        <row r="470">
          <cell r="C470" t="str">
            <v>Investment in Intangible Assets</v>
          </cell>
          <cell r="G470" t="str">
            <v/>
          </cell>
          <cell r="H470" t="str">
            <v/>
          </cell>
          <cell r="I470" t="str">
            <v/>
          </cell>
          <cell r="J470" t="str">
            <v/>
          </cell>
          <cell r="K470" t="str">
            <v/>
          </cell>
          <cell r="L470" t="str">
            <v/>
          </cell>
          <cell r="M470" t="str">
            <v/>
          </cell>
        </row>
        <row r="471">
          <cell r="D471" t="str">
            <v>Investment in Indefinite Life Intangibles</v>
          </cell>
          <cell r="G471" t="str">
            <v/>
          </cell>
          <cell r="H471" t="str">
            <v/>
          </cell>
          <cell r="I471" t="str">
            <v/>
          </cell>
          <cell r="J471" t="str">
            <v/>
          </cell>
          <cell r="K471" t="str">
            <v/>
          </cell>
          <cell r="L471" t="str">
            <v/>
          </cell>
          <cell r="M471" t="str">
            <v/>
          </cell>
        </row>
        <row r="472">
          <cell r="E472" t="str">
            <v>Investment in Indefinite Life Intangibles (Sustaining)</v>
          </cell>
        </row>
        <row r="473">
          <cell r="E473" t="str">
            <v>Investment in Indefinite Life Intangibles (Growth)</v>
          </cell>
        </row>
        <row r="474">
          <cell r="D474" t="str">
            <v>Investment in Definite Life Intangibles</v>
          </cell>
          <cell r="G474" t="str">
            <v/>
          </cell>
          <cell r="H474" t="str">
            <v/>
          </cell>
          <cell r="I474" t="str">
            <v/>
          </cell>
          <cell r="J474" t="str">
            <v/>
          </cell>
          <cell r="K474" t="str">
            <v/>
          </cell>
          <cell r="L474" t="str">
            <v/>
          </cell>
          <cell r="M474" t="str">
            <v/>
          </cell>
        </row>
        <row r="475">
          <cell r="E475" t="str">
            <v>Investment in Definite Life Intangibles (Sustaining)</v>
          </cell>
        </row>
        <row r="476">
          <cell r="E476" t="str">
            <v>Investment in Definite Life Intangibles (Growth)</v>
          </cell>
        </row>
        <row r="477">
          <cell r="C477" t="str">
            <v>Income (Loss) from Investments Under the Equity Method (Operating) (Cash Flow Statement)</v>
          </cell>
        </row>
        <row r="478">
          <cell r="C478" t="str">
            <v>Income (Loss) from Investments Under the Equity Method (Non Operating) (Cash Flow Statement)</v>
          </cell>
        </row>
        <row r="479">
          <cell r="C479" t="str">
            <v>Dividends from Investments Under the Equity Method (Operating) (Cash Flow Statement)</v>
          </cell>
        </row>
        <row r="480">
          <cell r="C480" t="str">
            <v>Dividends from Investments Under the Equity Method (Non Operating) (Cash Flow Statement)</v>
          </cell>
        </row>
        <row r="481">
          <cell r="C481" t="str">
            <v>Net Increase in Deferred Tax Liabilities (Assets)</v>
          </cell>
        </row>
        <row r="482">
          <cell r="D482" t="str">
            <v>Net Decrease in Deferred Tax Asset from Exercise of ESOs in the Period</v>
          </cell>
        </row>
        <row r="483">
          <cell r="C483" t="str">
            <v>Net Increase in Income Tax Payable (Receivable)</v>
          </cell>
        </row>
        <row r="484">
          <cell r="D484" t="str">
            <v>Net Decrease in Income Tax Payable Due to Tax Benefit from Exercise of ESOs</v>
          </cell>
        </row>
        <row r="485">
          <cell r="C485" t="str">
            <v>Stock-Based Compensation Charge (Pre Tax)</v>
          </cell>
        </row>
        <row r="486">
          <cell r="C486" t="str">
            <v>Tax Benefit from Exercise of ESOs</v>
          </cell>
        </row>
        <row r="487">
          <cell r="C487" t="str">
            <v>Net Decrease in Other Assets (Operating)</v>
          </cell>
        </row>
        <row r="488">
          <cell r="C488" t="str">
            <v>Net Decrease in Trade Receivables</v>
          </cell>
          <cell r="G488">
            <v>-79.5</v>
          </cell>
          <cell r="H488">
            <v>-47</v>
          </cell>
          <cell r="I488">
            <v>-242</v>
          </cell>
          <cell r="J488">
            <v>-541.4</v>
          </cell>
          <cell r="K488">
            <v>-32.6</v>
          </cell>
          <cell r="L488">
            <v>-510.6</v>
          </cell>
          <cell r="M488">
            <v>-86.5</v>
          </cell>
        </row>
        <row r="489">
          <cell r="C489" t="str">
            <v>Net Decrease in Finance Lease Receivables</v>
          </cell>
        </row>
        <row r="490">
          <cell r="C490" t="str">
            <v>Net Decrease in Unbilled Receivables</v>
          </cell>
        </row>
        <row r="491">
          <cell r="C491" t="str">
            <v>Net Decrease in Other Receivables</v>
          </cell>
          <cell r="G491">
            <v>0</v>
          </cell>
          <cell r="H491">
            <v>0</v>
          </cell>
          <cell r="I491">
            <v>0</v>
          </cell>
          <cell r="J491">
            <v>0</v>
          </cell>
          <cell r="K491">
            <v>0</v>
          </cell>
          <cell r="L491">
            <v>0</v>
          </cell>
          <cell r="M491">
            <v>0</v>
          </cell>
        </row>
        <row r="492">
          <cell r="C492" t="str">
            <v>Net Decrease in Prepaid Expenses</v>
          </cell>
        </row>
        <row r="493">
          <cell r="C493" t="str">
            <v>Net Decrease in Inventories</v>
          </cell>
          <cell r="G493">
            <v>25.6</v>
          </cell>
          <cell r="H493">
            <v>-9.9</v>
          </cell>
          <cell r="I493">
            <v>-68.7</v>
          </cell>
          <cell r="J493">
            <v>0.1</v>
          </cell>
          <cell r="K493">
            <v>-191.9</v>
          </cell>
          <cell r="L493">
            <v>-372.5</v>
          </cell>
          <cell r="M493">
            <v>-291.39999999999998</v>
          </cell>
        </row>
        <row r="494">
          <cell r="C494" t="str">
            <v>Net Increase in Trade and Other Payables</v>
          </cell>
          <cell r="M494">
            <v>288.10000000000002</v>
          </cell>
        </row>
        <row r="495">
          <cell r="C495" t="str">
            <v>Net Increase in Deferred Revenue</v>
          </cell>
        </row>
        <row r="496">
          <cell r="C496" t="str">
            <v>Net Increase in Accrued Expenses</v>
          </cell>
        </row>
        <row r="497">
          <cell r="C497" t="str">
            <v>Net Increase in Deferred Compensation</v>
          </cell>
        </row>
        <row r="498">
          <cell r="C498" t="str">
            <v>Proceeds from Issuance and Cash Used to Repay Short term Borrowings</v>
          </cell>
        </row>
        <row r="499">
          <cell r="C499" t="str">
            <v>Proceeds from Issuance and Cash Used to Repay Long term Debt</v>
          </cell>
          <cell r="G499">
            <v>-79.100000000000023</v>
          </cell>
          <cell r="H499">
            <v>-362.8</v>
          </cell>
          <cell r="I499">
            <v>-81.8</v>
          </cell>
          <cell r="J499">
            <v>-21.2</v>
          </cell>
          <cell r="K499">
            <v>80.8</v>
          </cell>
          <cell r="L499">
            <v>88.9</v>
          </cell>
          <cell r="M499">
            <v>322.3</v>
          </cell>
        </row>
        <row r="500">
          <cell r="C500" t="str">
            <v>Net Increase in Other Liabilities (Operating)</v>
          </cell>
          <cell r="G500">
            <v>45.2</v>
          </cell>
          <cell r="H500">
            <v>284.39999999999998</v>
          </cell>
          <cell r="I500">
            <v>505.5</v>
          </cell>
          <cell r="J500">
            <v>996.7</v>
          </cell>
          <cell r="K500">
            <v>508.6</v>
          </cell>
          <cell r="L500">
            <v>-47.6</v>
          </cell>
        </row>
        <row r="501">
          <cell r="C501" t="str">
            <v>Net Increase in Minority Interests in Shareholders' Equity</v>
          </cell>
        </row>
        <row r="502">
          <cell r="C502" t="str">
            <v>Net Issuance of Preferred Stock</v>
          </cell>
          <cell r="G502" t="str">
            <v/>
          </cell>
          <cell r="H502" t="str">
            <v/>
          </cell>
          <cell r="I502" t="str">
            <v/>
          </cell>
          <cell r="J502" t="str">
            <v/>
          </cell>
          <cell r="K502" t="str">
            <v/>
          </cell>
          <cell r="L502" t="str">
            <v/>
          </cell>
          <cell r="M502" t="str">
            <v/>
          </cell>
        </row>
        <row r="503">
          <cell r="D503" t="str">
            <v>Issuances of Preferred Stock</v>
          </cell>
        </row>
        <row r="504">
          <cell r="D504" t="str">
            <v>Redemptions, Retirements and Repurchases of Preferred Stock</v>
          </cell>
        </row>
        <row r="505">
          <cell r="C505" t="str">
            <v>Proceeds from Issuance/(Funds Used to Repurchase) Common Stock</v>
          </cell>
          <cell r="G505">
            <v>0</v>
          </cell>
          <cell r="H505">
            <v>0</v>
          </cell>
          <cell r="I505">
            <v>375.80000000000007</v>
          </cell>
          <cell r="J505">
            <v>30.4</v>
          </cell>
          <cell r="K505">
            <v>6.2</v>
          </cell>
          <cell r="L505">
            <v>-78</v>
          </cell>
          <cell r="M505">
            <v>-3.5</v>
          </cell>
        </row>
        <row r="506">
          <cell r="D506" t="str">
            <v>Proceeds from Issuance of Common Stock</v>
          </cell>
          <cell r="G506">
            <v>0</v>
          </cell>
          <cell r="H506">
            <v>0</v>
          </cell>
          <cell r="I506">
            <v>513.70000000000005</v>
          </cell>
          <cell r="J506">
            <v>30.4</v>
          </cell>
          <cell r="K506">
            <v>6.2</v>
          </cell>
          <cell r="L506">
            <v>51.9</v>
          </cell>
          <cell r="M506">
            <v>0</v>
          </cell>
        </row>
        <row r="507">
          <cell r="D507" t="str">
            <v>Funds Used to Repurchase Common Stock</v>
          </cell>
          <cell r="G507">
            <v>0</v>
          </cell>
          <cell r="H507">
            <v>0</v>
          </cell>
          <cell r="I507">
            <v>137.9</v>
          </cell>
          <cell r="L507">
            <v>129.9</v>
          </cell>
          <cell r="M507">
            <v>3.5</v>
          </cell>
        </row>
        <row r="508">
          <cell r="C508" t="str">
            <v>Cash Dividends Paid</v>
          </cell>
          <cell r="G508">
            <v>1.2</v>
          </cell>
          <cell r="H508">
            <v>35</v>
          </cell>
          <cell r="I508">
            <v>45</v>
          </cell>
          <cell r="J508">
            <v>129.6</v>
          </cell>
          <cell r="K508">
            <v>197.2</v>
          </cell>
          <cell r="L508">
            <v>263.2</v>
          </cell>
          <cell r="M508">
            <v>263.8</v>
          </cell>
        </row>
        <row r="509">
          <cell r="C509" t="str">
            <v>Net Decrease in Notes Receivable</v>
          </cell>
        </row>
        <row r="510">
          <cell r="C510" t="str">
            <v>Net Decrease in Other Assets (Non Operating)</v>
          </cell>
          <cell r="G510">
            <v>-3.9</v>
          </cell>
          <cell r="H510">
            <v>-5.7</v>
          </cell>
          <cell r="I510">
            <v>-96.4</v>
          </cell>
          <cell r="J510">
            <v>-87.4</v>
          </cell>
          <cell r="K510">
            <v>-140.4</v>
          </cell>
          <cell r="L510">
            <v>-138.80000000000001</v>
          </cell>
        </row>
        <row r="511">
          <cell r="C511" t="str">
            <v>Net Increase in Dividends Payable</v>
          </cell>
        </row>
        <row r="512">
          <cell r="C512" t="str">
            <v>Net Increase in Other Liabilities (Non Operating)</v>
          </cell>
          <cell r="G512">
            <v>2.4</v>
          </cell>
          <cell r="H512">
            <v>15.1</v>
          </cell>
          <cell r="I512">
            <v>13.7</v>
          </cell>
          <cell r="J512">
            <v>23.1</v>
          </cell>
          <cell r="K512">
            <v>-7.8</v>
          </cell>
          <cell r="L512">
            <v>21.2</v>
          </cell>
        </row>
        <row r="513">
          <cell r="C513" t="str">
            <v>Contribution to Pension and Other Post Retirement Plan Assets</v>
          </cell>
        </row>
        <row r="514">
          <cell r="C514" t="str">
            <v>Net Increase in Securitized Assets (Cash Flow Statement)</v>
          </cell>
        </row>
        <row r="515">
          <cell r="C515" t="str">
            <v>Net Cash Flow from Discontinued Operations</v>
          </cell>
        </row>
        <row r="516">
          <cell r="C516" t="str">
            <v>Other Cash Flow</v>
          </cell>
          <cell r="G516">
            <v>-134.20000000000002</v>
          </cell>
          <cell r="H516">
            <v>-123.5</v>
          </cell>
          <cell r="I516">
            <v>-240.7</v>
          </cell>
          <cell r="J516">
            <v>-773.40000000000009</v>
          </cell>
          <cell r="K516">
            <v>-722.2</v>
          </cell>
          <cell r="L516">
            <v>-581.5</v>
          </cell>
          <cell r="M516">
            <v>325.2</v>
          </cell>
        </row>
        <row r="517">
          <cell r="C517" t="str">
            <v>Effect of Foreign Exchange Rates on Cash</v>
          </cell>
          <cell r="G517">
            <v>-0.5</v>
          </cell>
          <cell r="H517">
            <v>2.5</v>
          </cell>
          <cell r="I517">
            <v>4.0999999999999996</v>
          </cell>
          <cell r="J517">
            <v>14.4</v>
          </cell>
          <cell r="K517">
            <v>-11.5</v>
          </cell>
          <cell r="L517">
            <v>-6.5</v>
          </cell>
          <cell r="M517">
            <v>-3.6</v>
          </cell>
        </row>
        <row r="518">
          <cell r="B518" t="str">
            <v>Changes in shareholders equity</v>
          </cell>
        </row>
        <row r="519">
          <cell r="C519" t="str">
            <v>Common Dividends</v>
          </cell>
          <cell r="F519">
            <v>0</v>
          </cell>
          <cell r="G519">
            <v>0</v>
          </cell>
          <cell r="H519">
            <v>35</v>
          </cell>
          <cell r="I519">
            <v>45</v>
          </cell>
          <cell r="J519">
            <v>129.6</v>
          </cell>
          <cell r="K519">
            <v>197.20000000000002</v>
          </cell>
          <cell r="L519">
            <v>263.2</v>
          </cell>
          <cell r="M519">
            <v>413.7</v>
          </cell>
        </row>
        <row r="520">
          <cell r="C520" t="str">
            <v>Common Dividends Attributable to Current Period Earnings</v>
          </cell>
        </row>
        <row r="521">
          <cell r="C521" t="str">
            <v>Net Issuance (Repurchase) of Common Stock</v>
          </cell>
          <cell r="F521">
            <v>0</v>
          </cell>
          <cell r="G521">
            <v>104.9</v>
          </cell>
          <cell r="H521">
            <v>35</v>
          </cell>
          <cell r="I521">
            <v>482.70000000000005</v>
          </cell>
          <cell r="J521">
            <v>-9.1</v>
          </cell>
          <cell r="K521">
            <v>-88.699999999999989</v>
          </cell>
          <cell r="L521">
            <v>-113</v>
          </cell>
          <cell r="M521">
            <v>-3.5</v>
          </cell>
        </row>
        <row r="522">
          <cell r="D522" t="str">
            <v>Issuance of Common Stock</v>
          </cell>
          <cell r="G522">
            <v>104.9</v>
          </cell>
          <cell r="H522">
            <v>35</v>
          </cell>
          <cell r="I522">
            <v>482.70000000000005</v>
          </cell>
          <cell r="J522">
            <v>0</v>
          </cell>
          <cell r="K522">
            <v>33.6</v>
          </cell>
          <cell r="L522">
            <v>-88.1</v>
          </cell>
          <cell r="M522" t="str">
            <v/>
          </cell>
        </row>
        <row r="523">
          <cell r="E523" t="str">
            <v>Share Issuance Related to Employee Stock Purchase and Option Plans</v>
          </cell>
          <cell r="G523">
            <v>0</v>
          </cell>
          <cell r="H523">
            <v>0</v>
          </cell>
          <cell r="I523">
            <v>14.4</v>
          </cell>
          <cell r="J523">
            <v>0</v>
          </cell>
          <cell r="K523">
            <v>0</v>
          </cell>
          <cell r="L523">
            <v>51.9</v>
          </cell>
        </row>
        <row r="524">
          <cell r="E524" t="str">
            <v>Other Share Issuance</v>
          </cell>
          <cell r="G524">
            <v>0</v>
          </cell>
          <cell r="H524">
            <v>0</v>
          </cell>
          <cell r="I524">
            <v>499.3</v>
          </cell>
          <cell r="J524">
            <v>0</v>
          </cell>
          <cell r="K524">
            <v>6.2</v>
          </cell>
          <cell r="L524">
            <v>0</v>
          </cell>
        </row>
        <row r="525">
          <cell r="E525" t="str">
            <v>Amortization of Deferred Compensation Expense</v>
          </cell>
        </row>
        <row r="526">
          <cell r="E526" t="str">
            <v>Tax Benefit from Exercise of Employee Stock Options</v>
          </cell>
        </row>
        <row r="527">
          <cell r="E527" t="str">
            <v>Other Changes in Share Capital</v>
          </cell>
          <cell r="G527">
            <v>104.9</v>
          </cell>
          <cell r="H527">
            <v>35</v>
          </cell>
          <cell r="I527">
            <v>-31</v>
          </cell>
          <cell r="J527">
            <v>0</v>
          </cell>
          <cell r="K527">
            <v>27.4</v>
          </cell>
          <cell r="L527">
            <v>-140</v>
          </cell>
        </row>
        <row r="528">
          <cell r="D528" t="str">
            <v>Repurchase of Common Stock</v>
          </cell>
          <cell r="G528">
            <v>0</v>
          </cell>
          <cell r="H528">
            <v>0</v>
          </cell>
          <cell r="I528">
            <v>0</v>
          </cell>
          <cell r="J528">
            <v>9.1</v>
          </cell>
          <cell r="K528">
            <v>122.3</v>
          </cell>
          <cell r="L528">
            <v>24.9</v>
          </cell>
        </row>
        <row r="529">
          <cell r="C529" t="str">
            <v>Bonus to Directors and Corporate Auditors (Japan)</v>
          </cell>
        </row>
        <row r="530">
          <cell r="C530" t="str">
            <v>Bonus to Directors and Supervisors (Taiwan)</v>
          </cell>
        </row>
        <row r="531">
          <cell r="C531" t="str">
            <v>Employee Cash Bonus (Taiwan)</v>
          </cell>
        </row>
        <row r="532">
          <cell r="C532" t="str">
            <v>Employee Stock Bonus (Taiwan)</v>
          </cell>
        </row>
        <row r="533">
          <cell r="C533" t="str">
            <v>Change in Accumulated Other Comprehensive Income (Loss) or Other Reserves</v>
          </cell>
          <cell r="G533">
            <v>0</v>
          </cell>
          <cell r="H533">
            <v>-35</v>
          </cell>
          <cell r="I533">
            <v>0</v>
          </cell>
          <cell r="J533">
            <v>0</v>
          </cell>
          <cell r="K533">
            <v>-41.2</v>
          </cell>
          <cell r="L533">
            <v>186.3</v>
          </cell>
          <cell r="M533">
            <v>133.4</v>
          </cell>
        </row>
        <row r="534">
          <cell r="D534" t="str">
            <v>Change in Unrealized Gains (Losses) on AFS Securities</v>
          </cell>
        </row>
        <row r="535">
          <cell r="D535" t="str">
            <v>Change in Foreign Currency Translation</v>
          </cell>
        </row>
        <row r="536">
          <cell r="D536" t="str">
            <v>Change in Minimum Pension Liability</v>
          </cell>
        </row>
        <row r="537">
          <cell r="D537" t="str">
            <v>Change in Cash Flow Hedges</v>
          </cell>
          <cell r="G537">
            <v>0</v>
          </cell>
          <cell r="H537">
            <v>0</v>
          </cell>
          <cell r="I537">
            <v>0</v>
          </cell>
          <cell r="J537">
            <v>0</v>
          </cell>
          <cell r="K537">
            <v>-6.5</v>
          </cell>
          <cell r="L537">
            <v>340.8</v>
          </cell>
        </row>
        <row r="538">
          <cell r="D538" t="str">
            <v>Other Change in Accumulated Other Comprehensive Income (Loss)</v>
          </cell>
          <cell r="G538">
            <v>0</v>
          </cell>
          <cell r="H538">
            <v>-35</v>
          </cell>
          <cell r="I538">
            <v>0</v>
          </cell>
          <cell r="J538">
            <v>0</v>
          </cell>
          <cell r="K538">
            <v>-34.700000000000003</v>
          </cell>
          <cell r="L538">
            <v>-154.5</v>
          </cell>
        </row>
        <row r="539">
          <cell r="D539" t="str">
            <v>Change in Revaluation Reserves</v>
          </cell>
        </row>
        <row r="540">
          <cell r="D540" t="str">
            <v>Change in Unearned Compensation Reserve</v>
          </cell>
        </row>
        <row r="541">
          <cell r="B541" t="str">
            <v>Operating metrics</v>
          </cell>
        </row>
        <row r="542">
          <cell r="C542" t="str">
            <v>Cumulative Unrecognized Gain (Loss) on Other Investments (Gross of Tax) (Operating)</v>
          </cell>
        </row>
        <row r="543">
          <cell r="C543" t="str">
            <v>Cumulative Unrecognized Gain (Loss) on Other Investments (Gross of Tax) (Non Operating)</v>
          </cell>
        </row>
        <row r="544">
          <cell r="C544" t="str">
            <v>Current Period Unrecognized Gain (Loss) on Other Investments (Gross of Tax) (Operating)</v>
          </cell>
          <cell r="G544" t="str">
            <v/>
          </cell>
          <cell r="H544" t="str">
            <v/>
          </cell>
          <cell r="I544" t="str">
            <v/>
          </cell>
          <cell r="J544" t="str">
            <v/>
          </cell>
          <cell r="K544" t="str">
            <v/>
          </cell>
          <cell r="L544" t="str">
            <v/>
          </cell>
          <cell r="M544" t="str">
            <v/>
          </cell>
        </row>
        <row r="545">
          <cell r="D545" t="str">
            <v>Current Period Unrecognized Gain (Loss) on Other Investments (Gross of Tax) (Operating) (Recurring)</v>
          </cell>
        </row>
        <row r="546">
          <cell r="D546" t="str">
            <v>Current Period Unrecognized Gain (Loss) on Other Investments (Gross of Tax) (Operating) (One Time)</v>
          </cell>
        </row>
        <row r="547">
          <cell r="C547" t="str">
            <v>Current Period Unrecognized Gain (Loss) on Other Investments (Gross of Tax) (Non Operating)</v>
          </cell>
          <cell r="G547" t="str">
            <v/>
          </cell>
          <cell r="H547" t="str">
            <v/>
          </cell>
          <cell r="I547" t="str">
            <v/>
          </cell>
          <cell r="J547" t="str">
            <v/>
          </cell>
          <cell r="K547" t="str">
            <v/>
          </cell>
          <cell r="L547" t="str">
            <v/>
          </cell>
          <cell r="M547" t="str">
            <v/>
          </cell>
        </row>
        <row r="548">
          <cell r="D548" t="str">
            <v>Current Period Unrecognized Gain (Loss) on Other Investments (Gross of Tax) (Non Operating) (Recurring)</v>
          </cell>
        </row>
        <row r="549">
          <cell r="D549" t="str">
            <v>Current Period Unrecognized Gain (Loss) on Other Investments (Gross of Tax) (Non Operating) (One Time)</v>
          </cell>
        </row>
        <row r="550">
          <cell r="C550" t="str">
            <v>Distribution Metrics</v>
          </cell>
        </row>
        <row r="551">
          <cell r="D551" t="str">
            <v>Number of Gas Customers, Average</v>
          </cell>
        </row>
        <row r="552">
          <cell r="D552" t="str">
            <v>Number of Gas Customers, End of Period</v>
          </cell>
        </row>
        <row r="553">
          <cell r="C553" t="str">
            <v>Heating Degree Days</v>
          </cell>
        </row>
        <row r="554">
          <cell r="C554" t="str">
            <v>Revenue Concentration Metrics</v>
          </cell>
        </row>
        <row r="555">
          <cell r="D555" t="str">
            <v>Top 3 Drugs as Percent of Total Sales</v>
          </cell>
          <cell r="G555">
            <v>0.6</v>
          </cell>
          <cell r="H555">
            <v>0.68</v>
          </cell>
          <cell r="I555">
            <v>0.78</v>
          </cell>
          <cell r="J555">
            <v>0.82</v>
          </cell>
          <cell r="K555">
            <v>0.88</v>
          </cell>
          <cell r="L555">
            <v>0.88</v>
          </cell>
        </row>
        <row r="556">
          <cell r="D556" t="str">
            <v>Top 10 Drugs as Percent of Total Sales</v>
          </cell>
        </row>
        <row r="557">
          <cell r="D557" t="str">
            <v>Generic Products as Percent of Total Sales</v>
          </cell>
        </row>
        <row r="558">
          <cell r="D558" t="str">
            <v>Non Generic (patented) Products as Percent of Total Sales</v>
          </cell>
        </row>
        <row r="559">
          <cell r="D559" t="str">
            <v>Hospital Products as Percent of Total Sales</v>
          </cell>
        </row>
        <row r="560">
          <cell r="D560" t="str">
            <v>Primary Care Products as Percent of Total Sales</v>
          </cell>
        </row>
        <row r="561">
          <cell r="D561" t="str">
            <v>Pills/Tablets/Capsules as Percent of Total Sales</v>
          </cell>
        </row>
        <row r="562">
          <cell r="D562" t="str">
            <v>Biological Products as Percent of Total Sales</v>
          </cell>
        </row>
        <row r="563">
          <cell r="D563" t="str">
            <v>Chemical Products as Percent of Total Sales</v>
          </cell>
        </row>
        <row r="564">
          <cell r="D564" t="str">
            <v>Other Products as a Percent of Total Sales</v>
          </cell>
        </row>
        <row r="565">
          <cell r="C565" t="str">
            <v>Pipeline Segmentation</v>
          </cell>
        </row>
        <row r="566">
          <cell r="D566" t="str">
            <v>Total Number of Drugs in Phase 1 Trials</v>
          </cell>
          <cell r="G566">
            <v>2</v>
          </cell>
          <cell r="H566">
            <v>2</v>
          </cell>
          <cell r="I566">
            <v>2</v>
          </cell>
          <cell r="J566">
            <v>2</v>
          </cell>
          <cell r="K566">
            <v>2</v>
          </cell>
          <cell r="L566">
            <v>2</v>
          </cell>
        </row>
        <row r="567">
          <cell r="D567" t="str">
            <v>Total Number of Drugs in Phase 2 Trials</v>
          </cell>
          <cell r="G567">
            <v>1</v>
          </cell>
          <cell r="H567">
            <v>0</v>
          </cell>
          <cell r="I567">
            <v>1</v>
          </cell>
          <cell r="J567">
            <v>3</v>
          </cell>
          <cell r="K567">
            <v>1</v>
          </cell>
          <cell r="L567">
            <v>0</v>
          </cell>
        </row>
        <row r="568">
          <cell r="D568" t="str">
            <v>Total Number of Drugs in Phase 3 Trials</v>
          </cell>
          <cell r="G568">
            <v>0</v>
          </cell>
          <cell r="H568">
            <v>0</v>
          </cell>
          <cell r="I568">
            <v>2</v>
          </cell>
          <cell r="J568">
            <v>3</v>
          </cell>
          <cell r="K568">
            <v>3</v>
          </cell>
          <cell r="L568">
            <v>4</v>
          </cell>
        </row>
        <row r="569">
          <cell r="D569" t="str">
            <v>Total Number of Drugs in Phase 2 or 3 Trials</v>
          </cell>
          <cell r="G569">
            <v>0</v>
          </cell>
          <cell r="H569">
            <v>0</v>
          </cell>
          <cell r="I569">
            <v>0</v>
          </cell>
          <cell r="J569">
            <v>0</v>
          </cell>
          <cell r="K569">
            <v>1</v>
          </cell>
          <cell r="L569">
            <v>1</v>
          </cell>
        </row>
        <row r="570">
          <cell r="D570" t="str">
            <v>Total Number of Marketed Products</v>
          </cell>
        </row>
        <row r="571">
          <cell r="D571" t="str">
            <v>Percent Phase 2</v>
          </cell>
        </row>
        <row r="572">
          <cell r="D572" t="str">
            <v>Percent Phase 3</v>
          </cell>
        </row>
        <row r="573">
          <cell r="C573" t="str">
            <v>Estimated Net Option Expense if Reported</v>
          </cell>
        </row>
        <row r="574">
          <cell r="C574" t="str">
            <v>Unrecorded Goodwill from Poolings, Write offs and Cumulative Amortization</v>
          </cell>
          <cell r="G574">
            <v>0</v>
          </cell>
          <cell r="H574">
            <v>0</v>
          </cell>
          <cell r="I574">
            <v>0</v>
          </cell>
          <cell r="J574">
            <v>4.7</v>
          </cell>
          <cell r="K574">
            <v>36.1</v>
          </cell>
          <cell r="L574">
            <v>44.3</v>
          </cell>
          <cell r="M574">
            <v>54.7</v>
          </cell>
        </row>
        <row r="575">
          <cell r="D575" t="str">
            <v>Unrecorded Goodwill from Poolings</v>
          </cell>
        </row>
        <row r="576">
          <cell r="D576" t="str">
            <v>Non Impairment Write offs</v>
          </cell>
        </row>
        <row r="577">
          <cell r="D577" t="str">
            <v>Cumulative Goodwill Impairments Reported</v>
          </cell>
        </row>
        <row r="578">
          <cell r="D578" t="str">
            <v>Cumulative Amortization</v>
          </cell>
        </row>
        <row r="579">
          <cell r="C579" t="str">
            <v>Analyst Estimated Goodwill Impairments</v>
          </cell>
        </row>
        <row r="580">
          <cell r="C580" t="str">
            <v>Cumulative Indefinite Life Intangible Amortization and Impairments Reported</v>
          </cell>
          <cell r="G580" t="str">
            <v/>
          </cell>
          <cell r="H580" t="str">
            <v/>
          </cell>
          <cell r="I580" t="str">
            <v/>
          </cell>
          <cell r="J580" t="str">
            <v/>
          </cell>
          <cell r="K580" t="str">
            <v/>
          </cell>
          <cell r="L580" t="str">
            <v/>
          </cell>
          <cell r="M580" t="str">
            <v/>
          </cell>
        </row>
        <row r="581">
          <cell r="D581" t="str">
            <v>Cumulative Indefinite Life Intangible Amortization</v>
          </cell>
        </row>
        <row r="582">
          <cell r="D582" t="str">
            <v>Cumulative Indefinite Life Intangible Impairments Reported</v>
          </cell>
        </row>
        <row r="583">
          <cell r="C583" t="str">
            <v>Adjustment for Cash Taxes Paid</v>
          </cell>
        </row>
        <row r="584">
          <cell r="C584" t="str">
            <v>Net Cash Used (From) One Time Items</v>
          </cell>
        </row>
        <row r="585">
          <cell r="C585" t="str">
            <v>Net Increase in Beginning Net Operating Assets from Change in Consolidation of Investments</v>
          </cell>
        </row>
        <row r="586">
          <cell r="C586" t="str">
            <v>Net Increase In Beginning Net Deferred Tax Assets (Operating) from Change in Consolidation of Investments</v>
          </cell>
        </row>
        <row r="587">
          <cell r="C587" t="str">
            <v>Net Increase In Beginning Net Deferred Tax Assets (Financing) from Change in Consolidation of Investments</v>
          </cell>
        </row>
        <row r="588">
          <cell r="C588" t="str">
            <v>Net Increase in Beginning Net Debt from Change In Consolidation of Investments</v>
          </cell>
        </row>
        <row r="589">
          <cell r="C589" t="str">
            <v>Net Decrease In Beginning Net Operating Assets from Discontinued Operations</v>
          </cell>
        </row>
        <row r="590">
          <cell r="C590" t="str">
            <v>Net Decrease In Beginning Net Deferred Tax Assets (Operating) from Discontinued Operations</v>
          </cell>
        </row>
        <row r="591">
          <cell r="C591" t="str">
            <v>Net Decrease In Beginning Net Deferred Tax Assets (Financing) from Discontinued Operations</v>
          </cell>
        </row>
        <row r="592">
          <cell r="C592" t="str">
            <v>Net Decrease In Beginning Net Debt from Discontinued Operations</v>
          </cell>
        </row>
        <row r="593">
          <cell r="C593" t="str">
            <v>Risk Free Rate</v>
          </cell>
        </row>
        <row r="594">
          <cell r="C594" t="str">
            <v>Beta</v>
          </cell>
        </row>
        <row r="595">
          <cell r="C595" t="str">
            <v>Equity Risk Premium</v>
          </cell>
        </row>
        <row r="596">
          <cell r="C596" t="str">
            <v>Weighted Average Cost of Capital (WACC)</v>
          </cell>
        </row>
        <row r="597">
          <cell r="C597" t="str">
            <v>Market Value of Investments (Non Operating)</v>
          </cell>
        </row>
        <row r="598">
          <cell r="C598" t="str">
            <v>Market Value of Short and Long Term Debt</v>
          </cell>
          <cell r="G598" t="str">
            <v/>
          </cell>
          <cell r="H598" t="str">
            <v/>
          </cell>
          <cell r="I598" t="str">
            <v/>
          </cell>
          <cell r="J598" t="str">
            <v/>
          </cell>
          <cell r="K598" t="str">
            <v/>
          </cell>
          <cell r="L598" t="str">
            <v/>
          </cell>
          <cell r="M598" t="str">
            <v/>
          </cell>
        </row>
        <row r="599">
          <cell r="D599" t="str">
            <v>Market Value of Short term Borrowings</v>
          </cell>
        </row>
        <row r="600">
          <cell r="D600" t="str">
            <v>Market Value of Long term Debt</v>
          </cell>
        </row>
        <row r="601">
          <cell r="C601" t="str">
            <v>Market Value of Preferred Equity</v>
          </cell>
        </row>
        <row r="602">
          <cell r="C602" t="str">
            <v>Market Value of Trust Preferred Securities</v>
          </cell>
        </row>
        <row r="603">
          <cell r="C603" t="str">
            <v>Market Value of Minority Interests in Shareholders Equity</v>
          </cell>
        </row>
        <row r="604">
          <cell r="C604" t="str">
            <v>Share of Market Value of Associates Accounted for Under the Equity Method (Operating)</v>
          </cell>
        </row>
        <row r="605">
          <cell r="C605" t="str">
            <v>Share of Market Value of Associates Accounted for Under the Equity Method (Non Operating)</v>
          </cell>
        </row>
        <row r="606">
          <cell r="C606" t="str">
            <v>Equity Share of Market Value of Excluded Significant Investments</v>
          </cell>
        </row>
        <row r="607">
          <cell r="C607" t="str">
            <v>Equity Share of Book Value of Excluded Significant Investments</v>
          </cell>
        </row>
        <row r="608">
          <cell r="C608" t="str">
            <v>After Tax Earnings from Excluded Significant Investments</v>
          </cell>
        </row>
        <row r="609">
          <cell r="C609" t="str">
            <v>Current Market Value of Investments (Non Operating)</v>
          </cell>
        </row>
        <row r="610">
          <cell r="C610" t="str">
            <v>Current Market Value of Short and Long Term Debt</v>
          </cell>
          <cell r="G610" t="str">
            <v/>
          </cell>
          <cell r="H610" t="str">
            <v/>
          </cell>
          <cell r="I610" t="str">
            <v/>
          </cell>
          <cell r="J610" t="str">
            <v/>
          </cell>
          <cell r="K610" t="str">
            <v/>
          </cell>
          <cell r="L610" t="str">
            <v/>
          </cell>
          <cell r="M610" t="str">
            <v/>
          </cell>
        </row>
        <row r="611">
          <cell r="D611" t="str">
            <v>Current Market Value of Short term Borrowings</v>
          </cell>
        </row>
        <row r="612">
          <cell r="D612" t="str">
            <v>Current Market Value of Long term Debt</v>
          </cell>
        </row>
        <row r="613">
          <cell r="C613" t="str">
            <v>Current Market Value of Preferred Equity</v>
          </cell>
        </row>
        <row r="614">
          <cell r="C614" t="str">
            <v>Current Market Value of Trust Preferred Securities</v>
          </cell>
        </row>
        <row r="615">
          <cell r="C615" t="str">
            <v>Current Market Value of Minority Interests in Shareholders Equity</v>
          </cell>
        </row>
        <row r="616">
          <cell r="C616" t="str">
            <v>Current Share of Market Value of Associates Accounted for Under the Equity Method (Operating)</v>
          </cell>
        </row>
        <row r="617">
          <cell r="C617" t="str">
            <v>Current Share of Market Value of Associates Accounted for Under the Equity Method (Non Operating)</v>
          </cell>
        </row>
        <row r="618">
          <cell r="C618" t="str">
            <v>Market Value of Convertible Debt Included in Dilutive Securities</v>
          </cell>
        </row>
        <row r="619">
          <cell r="C619" t="str">
            <v>Market Value of Convertible Preferred Equity Included in Dilutive Securities</v>
          </cell>
        </row>
        <row r="620">
          <cell r="C620" t="str">
            <v>Book Value of Convertible Debt Included in Dilutive Securities</v>
          </cell>
        </row>
        <row r="621">
          <cell r="C621" t="str">
            <v>Book Value of Convertible Preferred Equity Included in Dilutive Securities</v>
          </cell>
        </row>
        <row r="622">
          <cell r="C622" t="str">
            <v>Market Value of Excluded Minority Interests in Shareholders Equity</v>
          </cell>
        </row>
        <row r="623">
          <cell r="C623" t="str">
            <v>Book Value of Excluded Minority Interests in Shareholders Equity</v>
          </cell>
        </row>
        <row r="624">
          <cell r="C624" t="str">
            <v>Percentage of EBITDA Attributable to Entities With Excluded Minority Interest</v>
          </cell>
        </row>
        <row r="625">
          <cell r="C625" t="str">
            <v>Minority Share in Entities with Excluded Minority Interest (%)</v>
          </cell>
        </row>
        <row r="626">
          <cell r="C626" t="str">
            <v>Net Financial Obligations of Entities with Excluded Minority Interest</v>
          </cell>
        </row>
        <row r="627">
          <cell r="C627" t="str">
            <v>Net Financial Obligations of Entities Consolidated using the Equity Method Included in Majority EV</v>
          </cell>
        </row>
        <row r="628">
          <cell r="C628" t="str">
            <v>Majority Share of Entities Consolidated using the Equity Method Included in Majority EV (%)</v>
          </cell>
        </row>
        <row r="629">
          <cell r="C629" t="str">
            <v>EBITDA of Entities Consolidated using the Equity Method Included in Majority EBITDA</v>
          </cell>
        </row>
        <row r="630">
          <cell r="C630" t="str">
            <v>Market Value of Investments Accounted for using the Equity Method Excluded from Majority EV</v>
          </cell>
        </row>
        <row r="631">
          <cell r="C631" t="str">
            <v>Book Value of Investments Accounted for using the Equity Method Excluded from Majority EV</v>
          </cell>
        </row>
        <row r="632">
          <cell r="C632" t="str">
            <v>Current Market Value of Investments Accounted for using the Equity Method Excluded from Majority EV</v>
          </cell>
        </row>
        <row r="633">
          <cell r="C633" t="str">
            <v>Current Market Value of Excluded Minority Interests in Shareholders Equity</v>
          </cell>
        </row>
        <row r="634">
          <cell r="C634" t="str">
            <v>LIFO Reserve</v>
          </cell>
        </row>
        <row r="635">
          <cell r="C635" t="str">
            <v>Change in LIFO Reserve</v>
          </cell>
        </row>
        <row r="636">
          <cell r="C636" t="str">
            <v>Inventory Obsolescence Reserve</v>
          </cell>
        </row>
        <row r="637">
          <cell r="C637" t="str">
            <v>Taxes</v>
          </cell>
        </row>
        <row r="638">
          <cell r="D638" t="str">
            <v>Deferred Tax Assets (Operating)</v>
          </cell>
          <cell r="G638">
            <v>26.2</v>
          </cell>
          <cell r="H638">
            <v>27.9</v>
          </cell>
          <cell r="I638">
            <v>35.200000000000003</v>
          </cell>
          <cell r="J638">
            <v>118.5</v>
          </cell>
          <cell r="K638">
            <v>89</v>
          </cell>
          <cell r="L638">
            <v>79.8</v>
          </cell>
        </row>
        <row r="639">
          <cell r="D639" t="str">
            <v>Deferred Tax Assets (Financing)</v>
          </cell>
        </row>
        <row r="640">
          <cell r="D640" t="str">
            <v>Deferred Tax Assets (Other)</v>
          </cell>
        </row>
        <row r="641">
          <cell r="D641" t="str">
            <v>Valuation Allowance in Deferred Taxes</v>
          </cell>
        </row>
        <row r="642">
          <cell r="D642" t="str">
            <v>Deferred Tax Liabilities (Operating)</v>
          </cell>
          <cell r="G642">
            <v>211.8</v>
          </cell>
          <cell r="H642">
            <v>174.5</v>
          </cell>
          <cell r="I642">
            <v>164</v>
          </cell>
          <cell r="J642">
            <v>39.1</v>
          </cell>
          <cell r="K642">
            <v>58.2</v>
          </cell>
          <cell r="L642">
            <v>165.9</v>
          </cell>
        </row>
        <row r="643">
          <cell r="D643" t="str">
            <v>Deferred Tax Liabilities (Financing)</v>
          </cell>
        </row>
        <row r="644">
          <cell r="D644" t="str">
            <v>Deferred Tax Liabilities (Other)</v>
          </cell>
        </row>
        <row r="645">
          <cell r="D645" t="str">
            <v>Cash Taxes Paid</v>
          </cell>
          <cell r="G645">
            <v>128.9</v>
          </cell>
          <cell r="H645">
            <v>150.9</v>
          </cell>
          <cell r="I645">
            <v>226</v>
          </cell>
          <cell r="J645">
            <v>622.20000000000005</v>
          </cell>
          <cell r="K645">
            <v>679.9</v>
          </cell>
          <cell r="L645">
            <v>571.6</v>
          </cell>
        </row>
        <row r="646">
          <cell r="D646" t="str">
            <v>Fair Value of NOL</v>
          </cell>
        </row>
        <row r="647">
          <cell r="D647" t="str">
            <v>Dividend Tax Credit (%)</v>
          </cell>
        </row>
        <row r="648">
          <cell r="C648" t="str">
            <v>Dividend Franking Percentage</v>
          </cell>
        </row>
        <row r="649">
          <cell r="C649" t="str">
            <v>Tax Withheld on Dividends Paid</v>
          </cell>
        </row>
        <row r="650">
          <cell r="C650" t="str">
            <v>Special Dividends Paid</v>
          </cell>
        </row>
        <row r="651">
          <cell r="C651" t="str">
            <v>Off Balance Sheet</v>
          </cell>
        </row>
        <row r="652">
          <cell r="D652" t="str">
            <v>Securitized Assets</v>
          </cell>
          <cell r="G652" t="str">
            <v/>
          </cell>
          <cell r="H652" t="str">
            <v/>
          </cell>
          <cell r="I652" t="str">
            <v/>
          </cell>
          <cell r="J652" t="str">
            <v/>
          </cell>
          <cell r="K652" t="str">
            <v/>
          </cell>
          <cell r="L652" t="str">
            <v/>
          </cell>
          <cell r="M652" t="str">
            <v/>
          </cell>
        </row>
        <row r="653">
          <cell r="E653" t="str">
            <v>Securitized Receivables</v>
          </cell>
        </row>
        <row r="654">
          <cell r="D654" t="str">
            <v>Commitments and Contingencies</v>
          </cell>
        </row>
        <row r="655">
          <cell r="D655" t="str">
            <v>Unguaranteed Residual Value in Sales Financed Leases</v>
          </cell>
        </row>
        <row r="656">
          <cell r="C656" t="str">
            <v>Total Number of Employees</v>
          </cell>
          <cell r="G656">
            <v>2090</v>
          </cell>
          <cell r="H656">
            <v>2483</v>
          </cell>
          <cell r="I656">
            <v>2823</v>
          </cell>
          <cell r="J656">
            <v>3180</v>
          </cell>
          <cell r="K656">
            <v>3939</v>
          </cell>
          <cell r="L656">
            <v>5129</v>
          </cell>
        </row>
        <row r="657">
          <cell r="C657" t="str">
            <v>Average Number of Employees</v>
          </cell>
          <cell r="G657">
            <v>2003</v>
          </cell>
          <cell r="H657">
            <v>2286</v>
          </cell>
          <cell r="I657">
            <v>2653</v>
          </cell>
          <cell r="J657">
            <v>3002</v>
          </cell>
          <cell r="K657">
            <v>3560</v>
          </cell>
          <cell r="L657">
            <v>4534</v>
          </cell>
        </row>
        <row r="658">
          <cell r="C658" t="str">
            <v>Net effect of revaluation reserves on book value</v>
          </cell>
        </row>
        <row r="659">
          <cell r="C659" t="str">
            <v>Interest on Other Interest Bearing Liabilities</v>
          </cell>
          <cell r="G659" t="str">
            <v/>
          </cell>
          <cell r="H659" t="str">
            <v/>
          </cell>
          <cell r="I659" t="str">
            <v/>
          </cell>
          <cell r="J659" t="str">
            <v/>
          </cell>
          <cell r="K659" t="str">
            <v/>
          </cell>
          <cell r="L659" t="str">
            <v/>
          </cell>
          <cell r="M659" t="str">
            <v/>
          </cell>
        </row>
        <row r="660">
          <cell r="D660" t="str">
            <v>Interest on Other Interest Bearing Liabilities Reported as Finance Costs</v>
          </cell>
        </row>
        <row r="661">
          <cell r="D661" t="str">
            <v>Interest on Other Interest Bearing Liabilities Reported as Operating Costs</v>
          </cell>
        </row>
        <row r="662">
          <cell r="B662" t="str">
            <v>Pensions and other postretirement benefit plans</v>
          </cell>
        </row>
        <row r="663">
          <cell r="C663" t="str">
            <v>Pensions (Interest and Returns Classified by Company as Operating)</v>
          </cell>
        </row>
        <row r="664">
          <cell r="D664" t="str">
            <v>Net Periodic Pension Expense (Pensions)</v>
          </cell>
          <cell r="G664">
            <v>0</v>
          </cell>
          <cell r="H664">
            <v>0</v>
          </cell>
          <cell r="I664">
            <v>14.399999999999999</v>
          </cell>
          <cell r="J664">
            <v>34.199999999999996</v>
          </cell>
          <cell r="K664">
            <v>-9.1000000000000014</v>
          </cell>
          <cell r="L664">
            <v>18.899999999999999</v>
          </cell>
          <cell r="M664" t="str">
            <v/>
          </cell>
        </row>
        <row r="665">
          <cell r="E665" t="str">
            <v>Service Cost (Pensions)</v>
          </cell>
          <cell r="G665">
            <v>0</v>
          </cell>
          <cell r="H665">
            <v>0</v>
          </cell>
          <cell r="I665">
            <v>0</v>
          </cell>
          <cell r="J665">
            <v>0</v>
          </cell>
          <cell r="K665">
            <v>6.3</v>
          </cell>
          <cell r="L665">
            <v>6</v>
          </cell>
        </row>
        <row r="666">
          <cell r="E666" t="str">
            <v>Interest Cost (Pensions)</v>
          </cell>
          <cell r="G666">
            <v>0</v>
          </cell>
          <cell r="H666">
            <v>0</v>
          </cell>
          <cell r="I666">
            <v>0</v>
          </cell>
          <cell r="J666">
            <v>0</v>
          </cell>
          <cell r="K666">
            <v>9</v>
          </cell>
          <cell r="L666">
            <v>9.5</v>
          </cell>
        </row>
        <row r="667">
          <cell r="E667" t="str">
            <v>Expected Return on Plan Assets (Pensions)</v>
          </cell>
          <cell r="G667">
            <v>0</v>
          </cell>
          <cell r="H667">
            <v>0</v>
          </cell>
          <cell r="I667">
            <v>0</v>
          </cell>
          <cell r="J667">
            <v>0</v>
          </cell>
          <cell r="K667">
            <v>6.8</v>
          </cell>
          <cell r="L667">
            <v>6.9</v>
          </cell>
        </row>
        <row r="668">
          <cell r="E668" t="str">
            <v>Amortization of Prior Service Cost (Pensions)</v>
          </cell>
        </row>
        <row r="669">
          <cell r="E669" t="str">
            <v>Net Actuarial Gain (Loss) Recognized (Pensions)</v>
          </cell>
          <cell r="G669">
            <v>0</v>
          </cell>
          <cell r="H669">
            <v>0</v>
          </cell>
          <cell r="I669">
            <v>0</v>
          </cell>
          <cell r="J669">
            <v>0</v>
          </cell>
          <cell r="K669">
            <v>17.600000000000001</v>
          </cell>
          <cell r="L669">
            <v>-10.3</v>
          </cell>
        </row>
        <row r="670">
          <cell r="E670" t="str">
            <v>Non Recurring Pension Items</v>
          </cell>
        </row>
        <row r="671">
          <cell r="E671" t="str">
            <v>Other Net Pension Expense</v>
          </cell>
        </row>
        <row r="672">
          <cell r="D672" t="str">
            <v>Net Benefits Paid to Retirees (Pensions)</v>
          </cell>
          <cell r="G672" t="str">
            <v/>
          </cell>
          <cell r="H672" t="str">
            <v/>
          </cell>
          <cell r="I672" t="str">
            <v/>
          </cell>
          <cell r="J672" t="str">
            <v/>
          </cell>
          <cell r="K672" t="str">
            <v/>
          </cell>
          <cell r="L672" t="str">
            <v/>
          </cell>
          <cell r="M672" t="str">
            <v/>
          </cell>
        </row>
        <row r="673">
          <cell r="E673" t="str">
            <v>Benefits Paid to Retirees (in Obligation) (Pensions)</v>
          </cell>
        </row>
        <row r="674">
          <cell r="E674" t="str">
            <v>Benefits Paid to Retirees (In Assets) (Pensions)</v>
          </cell>
        </row>
        <row r="675">
          <cell r="D675" t="str">
            <v>Actual Return on Plan Assets (Pensions)</v>
          </cell>
        </row>
        <row r="676">
          <cell r="D676" t="str">
            <v>Contribution to Plan Assets (Pensions)</v>
          </cell>
          <cell r="G676">
            <v>0</v>
          </cell>
          <cell r="H676">
            <v>0</v>
          </cell>
          <cell r="I676">
            <v>0</v>
          </cell>
          <cell r="J676">
            <v>0</v>
          </cell>
          <cell r="K676">
            <v>0.3</v>
          </cell>
          <cell r="L676">
            <v>1.8</v>
          </cell>
        </row>
        <row r="677">
          <cell r="D677" t="str">
            <v>Projected Benefit Obligation (Pensions)</v>
          </cell>
          <cell r="G677">
            <v>0</v>
          </cell>
          <cell r="H677">
            <v>108.30000000000001</v>
          </cell>
          <cell r="I677">
            <v>120.60000000000001</v>
          </cell>
          <cell r="J677">
            <v>188</v>
          </cell>
          <cell r="K677">
            <v>182.2</v>
          </cell>
          <cell r="L677">
            <v>184.3</v>
          </cell>
        </row>
        <row r="678">
          <cell r="D678" t="str">
            <v>Plan Assets at Fair Value (Pensions)</v>
          </cell>
          <cell r="G678">
            <v>76.900000000000006</v>
          </cell>
          <cell r="H678">
            <v>86.8</v>
          </cell>
          <cell r="I678">
            <v>86.8</v>
          </cell>
          <cell r="J678">
            <v>115.2</v>
          </cell>
          <cell r="K678">
            <v>115.2</v>
          </cell>
          <cell r="L678">
            <v>100.2</v>
          </cell>
        </row>
        <row r="679">
          <cell r="D679" t="str">
            <v>Net Pension Prepaid Asset (Accrued Liability)</v>
          </cell>
        </row>
        <row r="680">
          <cell r="D680" t="str">
            <v>Intangible Asset (Pensions)</v>
          </cell>
        </row>
        <row r="681">
          <cell r="D681" t="str">
            <v>Accumulated Other Comprehensive Income (Pensions)</v>
          </cell>
        </row>
        <row r="682">
          <cell r="D682" t="str">
            <v>Weighted Average Discount Rate (Pensions)</v>
          </cell>
        </row>
        <row r="683">
          <cell r="D683" t="str">
            <v>Expected Long Term Rate of Return on Plan Assets (Pensions)</v>
          </cell>
        </row>
        <row r="684">
          <cell r="D684" t="str">
            <v>Rate of Increase in Future Compensation Levels</v>
          </cell>
        </row>
        <row r="685">
          <cell r="C685" t="str">
            <v>Pensions (Interest and Returns Classified by Company as Financing)</v>
          </cell>
        </row>
        <row r="686">
          <cell r="D686" t="str">
            <v>Net Periodic Pension Expense (Pensions)</v>
          </cell>
          <cell r="G686" t="str">
            <v/>
          </cell>
          <cell r="H686" t="str">
            <v/>
          </cell>
          <cell r="I686" t="str">
            <v/>
          </cell>
          <cell r="J686" t="str">
            <v/>
          </cell>
          <cell r="K686" t="str">
            <v/>
          </cell>
          <cell r="L686" t="str">
            <v/>
          </cell>
          <cell r="M686" t="str">
            <v/>
          </cell>
        </row>
        <row r="687">
          <cell r="E687" t="str">
            <v>Service Cost (Pensions)</v>
          </cell>
        </row>
        <row r="688">
          <cell r="E688" t="str">
            <v>Interest Cost (Pensions)</v>
          </cell>
        </row>
        <row r="689">
          <cell r="E689" t="str">
            <v>Expected Return on Plan Assets (Pensions)</v>
          </cell>
        </row>
        <row r="690">
          <cell r="E690" t="str">
            <v>Amortization of Prior Service Cost (Pensions)</v>
          </cell>
        </row>
        <row r="691">
          <cell r="E691" t="str">
            <v>Net Actuarial Gain (Loss) Recognized (Pensions)</v>
          </cell>
        </row>
        <row r="692">
          <cell r="E692" t="str">
            <v>Non Recurring Pension Items</v>
          </cell>
        </row>
        <row r="693">
          <cell r="E693" t="str">
            <v>Other Net Pension Expense</v>
          </cell>
        </row>
        <row r="694">
          <cell r="D694" t="str">
            <v>Net Benefits Paid to Retirees (Pensions)</v>
          </cell>
          <cell r="G694" t="str">
            <v/>
          </cell>
          <cell r="H694" t="str">
            <v/>
          </cell>
          <cell r="I694" t="str">
            <v/>
          </cell>
          <cell r="J694" t="str">
            <v/>
          </cell>
          <cell r="K694" t="str">
            <v/>
          </cell>
          <cell r="L694" t="str">
            <v/>
          </cell>
          <cell r="M694" t="str">
            <v/>
          </cell>
        </row>
        <row r="695">
          <cell r="E695" t="str">
            <v>Benefits Paid to Retirees (In Obligation) (Pensions)</v>
          </cell>
        </row>
        <row r="696">
          <cell r="E696" t="str">
            <v>Benefits Paid to Retirees (In Assets) (Pensions)</v>
          </cell>
        </row>
        <row r="697">
          <cell r="D697" t="str">
            <v>Actual Return on Plan Assets (Pensions)</v>
          </cell>
        </row>
        <row r="698">
          <cell r="D698" t="str">
            <v>Contribution to Plan Assets (Pensions)</v>
          </cell>
        </row>
        <row r="699">
          <cell r="D699" t="str">
            <v>Projected Benefit Obligation (Pensions)</v>
          </cell>
        </row>
        <row r="700">
          <cell r="D700" t="str">
            <v>Plan Assets at Fair Value (Pensions)</v>
          </cell>
        </row>
        <row r="701">
          <cell r="D701" t="str">
            <v>Net Pension Prepaid Asset (Accrued Liability)</v>
          </cell>
        </row>
        <row r="702">
          <cell r="D702" t="str">
            <v>Intangible Asset (Pensions)</v>
          </cell>
        </row>
        <row r="703">
          <cell r="D703" t="str">
            <v>Accumulated Other Comprehensive Income (Pensions)</v>
          </cell>
        </row>
        <row r="704">
          <cell r="D704" t="str">
            <v>Weighted Average Discount Rate (Pensions)</v>
          </cell>
        </row>
        <row r="705">
          <cell r="D705" t="str">
            <v>Expected Long Term Rate of Return on Plan Assets (Pensions)</v>
          </cell>
        </row>
        <row r="706">
          <cell r="D706" t="str">
            <v>Rate of Increase in Future Compensation Levels</v>
          </cell>
        </row>
        <row r="707">
          <cell r="C707" t="str">
            <v>Pensions (Companies Reporting Under SSAP 24)</v>
          </cell>
        </row>
        <row r="708">
          <cell r="D708" t="str">
            <v>Net Periodic Pension Expense (Pensions)</v>
          </cell>
        </row>
        <row r="709">
          <cell r="D709" t="str">
            <v>Service Cost (Pensions)</v>
          </cell>
        </row>
        <row r="710">
          <cell r="D710" t="str">
            <v>Prior Service Cost (Pensions)</v>
          </cell>
        </row>
        <row r="711">
          <cell r="D711" t="str">
            <v>Interest Cost (Pensions)</v>
          </cell>
        </row>
        <row r="712">
          <cell r="D712" t="str">
            <v>Expected Return on Plan Assets (Pensions)</v>
          </cell>
        </row>
        <row r="713">
          <cell r="C713" t="str">
            <v>Other Post Employment Benefits</v>
          </cell>
        </row>
        <row r="714">
          <cell r="D714" t="str">
            <v>Net Periodic Expense (OPEB)</v>
          </cell>
          <cell r="G714" t="str">
            <v/>
          </cell>
          <cell r="H714" t="str">
            <v/>
          </cell>
          <cell r="I714" t="str">
            <v/>
          </cell>
          <cell r="J714" t="str">
            <v/>
          </cell>
          <cell r="K714" t="str">
            <v/>
          </cell>
          <cell r="L714" t="str">
            <v/>
          </cell>
          <cell r="M714" t="str">
            <v/>
          </cell>
        </row>
        <row r="715">
          <cell r="E715" t="str">
            <v>Service Cost (OPEB)</v>
          </cell>
        </row>
        <row r="716">
          <cell r="E716" t="str">
            <v>Interest Cost (OPEB)</v>
          </cell>
        </row>
        <row r="717">
          <cell r="E717" t="str">
            <v>Expected Return on Plan Assets (OPEB)</v>
          </cell>
        </row>
        <row r="718">
          <cell r="E718" t="str">
            <v>Amortization of Prior Service Cost (OPEB)</v>
          </cell>
        </row>
        <row r="719">
          <cell r="E719" t="str">
            <v>Net Actuarial Gain (Loss) Recognized (OPEB)</v>
          </cell>
        </row>
        <row r="720">
          <cell r="E720" t="str">
            <v>Non Recurring OPEB Items</v>
          </cell>
        </row>
        <row r="721">
          <cell r="E721" t="str">
            <v>Other Net Expense (OPEB)</v>
          </cell>
        </row>
        <row r="722">
          <cell r="D722" t="str">
            <v>Net Benefits Paid to Retirees (OPEB)</v>
          </cell>
          <cell r="G722" t="str">
            <v/>
          </cell>
          <cell r="H722" t="str">
            <v/>
          </cell>
          <cell r="I722" t="str">
            <v/>
          </cell>
          <cell r="J722" t="str">
            <v/>
          </cell>
          <cell r="K722" t="str">
            <v/>
          </cell>
          <cell r="L722" t="str">
            <v/>
          </cell>
          <cell r="M722" t="str">
            <v/>
          </cell>
        </row>
        <row r="723">
          <cell r="E723" t="str">
            <v>Benefits Paid to Retirees (In Obligation) (OPEB)</v>
          </cell>
        </row>
        <row r="724">
          <cell r="E724" t="str">
            <v>Benefits Paid to Retirees (in Assets) (OPEB)</v>
          </cell>
        </row>
        <row r="725">
          <cell r="D725" t="str">
            <v>Actual Return on Plan Assets (OPEB)</v>
          </cell>
        </row>
        <row r="726">
          <cell r="D726" t="str">
            <v>Contribution to Plan Assets (OPEB)</v>
          </cell>
        </row>
        <row r="727">
          <cell r="D727" t="str">
            <v>Projected Benefit Obligation (OPEB)</v>
          </cell>
          <cell r="G727">
            <v>4.3</v>
          </cell>
          <cell r="H727">
            <v>6.9</v>
          </cell>
          <cell r="I727">
            <v>8.1999999999999993</v>
          </cell>
          <cell r="J727">
            <v>13.2</v>
          </cell>
          <cell r="K727">
            <v>15.9</v>
          </cell>
          <cell r="L727">
            <v>19.399999999999999</v>
          </cell>
        </row>
        <row r="728">
          <cell r="D728" t="str">
            <v>Plan Assets at Fair Value (OPEB)</v>
          </cell>
        </row>
        <row r="729">
          <cell r="D729" t="str">
            <v>Net OPEB Assets (Liabilities) recognized in the Balance Sheet</v>
          </cell>
        </row>
        <row r="730">
          <cell r="D730" t="str">
            <v>Weighted Average Discount Rate (OPEB)</v>
          </cell>
        </row>
        <row r="731">
          <cell r="D731" t="str">
            <v>Expected Long Term Rate of Return on Plan Assets (OPEB)</v>
          </cell>
        </row>
        <row r="732">
          <cell r="D732" t="str">
            <v>Expected Rate of Health Care Cost Increase (Short term)</v>
          </cell>
        </row>
        <row r="733">
          <cell r="D733" t="str">
            <v>Expected Rate of Health Care Cost Increase (Long term)</v>
          </cell>
        </row>
        <row r="735">
          <cell r="M735" t="str">
            <v>Values in the System :</v>
          </cell>
        </row>
        <row r="736">
          <cell r="M736">
            <v>73</v>
          </cell>
        </row>
        <row r="739">
          <cell r="A739" t="str">
            <v>Additional Data Items to be collected (these items are not in the taxonomy)</v>
          </cell>
        </row>
        <row r="740">
          <cell r="B740" t="str">
            <v>Leases</v>
          </cell>
        </row>
        <row r="741">
          <cell r="C741" t="str">
            <v>Year 1 Minimum Rental Payment</v>
          </cell>
          <cell r="G741">
            <v>45.7</v>
          </cell>
          <cell r="H741">
            <v>64.5</v>
          </cell>
          <cell r="I741">
            <v>78.599999999999994</v>
          </cell>
          <cell r="J741">
            <v>64.2</v>
          </cell>
          <cell r="K741">
            <v>130.30000000000001</v>
          </cell>
          <cell r="L741">
            <v>155.6</v>
          </cell>
        </row>
        <row r="742">
          <cell r="C742" t="str">
            <v>Year 2 Minimum Rental Payment</v>
          </cell>
        </row>
        <row r="743">
          <cell r="C743" t="str">
            <v>Year 3 Minimum Rental Payment</v>
          </cell>
        </row>
        <row r="744">
          <cell r="C744" t="str">
            <v>Year 4 Minimum Rental Payment</v>
          </cell>
        </row>
        <row r="745">
          <cell r="C745" t="str">
            <v>Year 5 Minimum Rental Payment</v>
          </cell>
          <cell r="G745">
            <v>92.4</v>
          </cell>
          <cell r="H745">
            <v>120.7</v>
          </cell>
          <cell r="I745">
            <v>122.4</v>
          </cell>
          <cell r="J745">
            <v>98.6</v>
          </cell>
          <cell r="K745">
            <v>219.8</v>
          </cell>
          <cell r="L745">
            <v>233</v>
          </cell>
        </row>
        <row r="746">
          <cell r="C746" t="str">
            <v>Reported Cummulative Payments beyond Year 5</v>
          </cell>
          <cell r="G746">
            <v>35.4</v>
          </cell>
          <cell r="H746">
            <v>32.9</v>
          </cell>
          <cell r="I746">
            <v>47.3</v>
          </cell>
          <cell r="J746">
            <v>57.4</v>
          </cell>
          <cell r="K746">
            <v>52.7</v>
          </cell>
          <cell r="L746">
            <v>68.8</v>
          </cell>
        </row>
        <row r="747">
          <cell r="C747" t="str">
            <v>Current year minmum rental payment</v>
          </cell>
          <cell r="G747">
            <v>53.4</v>
          </cell>
          <cell r="H747">
            <v>67.2</v>
          </cell>
          <cell r="I747">
            <v>84.3</v>
          </cell>
          <cell r="J747">
            <v>98.1</v>
          </cell>
          <cell r="K747">
            <v>110</v>
          </cell>
          <cell r="L747">
            <v>138.9</v>
          </cell>
        </row>
        <row r="750">
          <cell r="A750" t="str">
            <v>Income Statement</v>
          </cell>
        </row>
        <row r="751">
          <cell r="B751" t="str">
            <v>Research and development expenditure</v>
          </cell>
          <cell r="G751">
            <v>432.8</v>
          </cell>
          <cell r="H751">
            <v>619.4</v>
          </cell>
          <cell r="I751">
            <v>824.3</v>
          </cell>
          <cell r="J751">
            <v>1415.5</v>
          </cell>
          <cell r="K751">
            <v>1540.6</v>
          </cell>
          <cell r="L751">
            <v>1573.3</v>
          </cell>
        </row>
        <row r="752">
          <cell r="B752" t="str">
            <v>Income from shared research</v>
          </cell>
          <cell r="G752">
            <v>0</v>
          </cell>
          <cell r="H752">
            <v>55.1</v>
          </cell>
          <cell r="I752">
            <v>23</v>
          </cell>
          <cell r="J752">
            <v>12.8</v>
          </cell>
          <cell r="K752">
            <v>55.4</v>
          </cell>
          <cell r="L752">
            <v>43.5</v>
          </cell>
        </row>
        <row r="754">
          <cell r="B754" t="str">
            <v>Revenue</v>
          </cell>
          <cell r="G754">
            <v>2661.9</v>
          </cell>
          <cell r="H754">
            <v>3231.1</v>
          </cell>
          <cell r="I754">
            <v>3990.5</v>
          </cell>
          <cell r="J754">
            <v>5622.7</v>
          </cell>
          <cell r="K754">
            <v>7655.5</v>
          </cell>
          <cell r="L754">
            <v>9488</v>
          </cell>
        </row>
        <row r="756">
          <cell r="B756" t="str">
            <v>Other operating expenses</v>
          </cell>
          <cell r="G756">
            <v>3.1</v>
          </cell>
          <cell r="H756">
            <v>4.0999999999999996</v>
          </cell>
          <cell r="I756">
            <v>10.1</v>
          </cell>
          <cell r="J756">
            <v>43.8</v>
          </cell>
          <cell r="K756">
            <v>34.5</v>
          </cell>
          <cell r="L756">
            <v>47.4</v>
          </cell>
        </row>
        <row r="757">
          <cell r="B757" t="str">
            <v>Other operating income</v>
          </cell>
          <cell r="G757">
            <v>-8.5</v>
          </cell>
          <cell r="H757">
            <v>-15.4</v>
          </cell>
          <cell r="I757">
            <v>-14.2</v>
          </cell>
          <cell r="J757">
            <v>-19.399999999999999</v>
          </cell>
          <cell r="K757">
            <v>-22</v>
          </cell>
          <cell r="L757">
            <v>-78.8</v>
          </cell>
        </row>
        <row r="759">
          <cell r="B759" t="str">
            <v>Exchange gains</v>
          </cell>
          <cell r="G759">
            <v>30.6</v>
          </cell>
          <cell r="H759">
            <v>58</v>
          </cell>
          <cell r="I759">
            <v>67.5</v>
          </cell>
          <cell r="J759">
            <v>94.9</v>
          </cell>
          <cell r="K759">
            <v>49.7</v>
          </cell>
          <cell r="L759">
            <v>84.4</v>
          </cell>
        </row>
        <row r="760">
          <cell r="B760" t="str">
            <v>Exchange losses</v>
          </cell>
          <cell r="G760">
            <v>34.6</v>
          </cell>
          <cell r="H760">
            <v>32.5</v>
          </cell>
          <cell r="I760">
            <v>26.1</v>
          </cell>
          <cell r="J760">
            <v>56.1</v>
          </cell>
          <cell r="K760">
            <v>59.2</v>
          </cell>
          <cell r="L760">
            <v>243.7</v>
          </cell>
        </row>
        <row r="762">
          <cell r="B762" t="str">
            <v>Realized and unrealized gains on:</v>
          </cell>
          <cell r="G762">
            <v>12.1</v>
          </cell>
          <cell r="H762">
            <v>12.9</v>
          </cell>
          <cell r="I762">
            <v>184.99999999999997</v>
          </cell>
          <cell r="J762">
            <v>279.89999999999998</v>
          </cell>
          <cell r="K762">
            <v>169.29999999999998</v>
          </cell>
          <cell r="L762">
            <v>151.29999999999998</v>
          </cell>
        </row>
        <row r="763">
          <cell r="C763" t="str">
            <v>Bonds</v>
          </cell>
          <cell r="G763">
            <v>12.1</v>
          </cell>
          <cell r="H763">
            <v>12.9</v>
          </cell>
          <cell r="I763">
            <v>3.2</v>
          </cell>
          <cell r="J763">
            <v>16.600000000000001</v>
          </cell>
          <cell r="K763">
            <v>11</v>
          </cell>
          <cell r="L763">
            <v>5.8</v>
          </cell>
        </row>
        <row r="764">
          <cell r="C764" t="str">
            <v>Equity investments</v>
          </cell>
          <cell r="I764">
            <v>174.7</v>
          </cell>
          <cell r="J764">
            <v>254.9</v>
          </cell>
          <cell r="K764">
            <v>124</v>
          </cell>
          <cell r="L764">
            <v>10.9</v>
          </cell>
        </row>
        <row r="765">
          <cell r="C765" t="str">
            <v>Derivative financial instruments,trading</v>
          </cell>
          <cell r="K765">
            <v>33.700000000000003</v>
          </cell>
          <cell r="L765">
            <v>134.6</v>
          </cell>
        </row>
        <row r="766">
          <cell r="C766" t="str">
            <v>Treasury shares</v>
          </cell>
          <cell r="I766">
            <v>4.7</v>
          </cell>
          <cell r="J766">
            <v>8.4</v>
          </cell>
        </row>
        <row r="767">
          <cell r="C767" t="str">
            <v>Mortgage debt</v>
          </cell>
          <cell r="I767">
            <v>2.4</v>
          </cell>
          <cell r="K767">
            <v>0.6</v>
          </cell>
        </row>
        <row r="768">
          <cell r="B768" t="str">
            <v>Realized and unrealized losses on:</v>
          </cell>
          <cell r="G768">
            <v>23.9</v>
          </cell>
          <cell r="H768">
            <v>6.9</v>
          </cell>
          <cell r="I768">
            <v>25.7</v>
          </cell>
          <cell r="J768">
            <v>8.5</v>
          </cell>
          <cell r="K768">
            <v>109.7</v>
          </cell>
          <cell r="L768">
            <v>314.50000000000006</v>
          </cell>
        </row>
        <row r="769">
          <cell r="C769" t="str">
            <v>Bonds</v>
          </cell>
          <cell r="G769">
            <v>23.2</v>
          </cell>
          <cell r="H769">
            <v>4.9000000000000004</v>
          </cell>
          <cell r="I769">
            <v>25.2</v>
          </cell>
          <cell r="J769">
            <v>4.0999999999999996</v>
          </cell>
          <cell r="K769">
            <v>10</v>
          </cell>
          <cell r="L769">
            <v>0.1</v>
          </cell>
        </row>
        <row r="770">
          <cell r="C770" t="str">
            <v>Partnership shares</v>
          </cell>
          <cell r="K770">
            <v>6.1</v>
          </cell>
        </row>
        <row r="771">
          <cell r="C771" t="str">
            <v>Equity investments</v>
          </cell>
          <cell r="I771">
            <v>0.5</v>
          </cell>
          <cell r="J771">
            <v>3.9</v>
          </cell>
          <cell r="K771">
            <v>15.7</v>
          </cell>
          <cell r="L771">
            <v>309.5</v>
          </cell>
        </row>
        <row r="772">
          <cell r="C772" t="str">
            <v>Derivative financial instruments,trading</v>
          </cell>
          <cell r="K772">
            <v>77.900000000000006</v>
          </cell>
          <cell r="L772">
            <v>4.0999999999999996</v>
          </cell>
        </row>
        <row r="773">
          <cell r="C773" t="str">
            <v>Mortgage debt</v>
          </cell>
          <cell r="G773">
            <v>0.7</v>
          </cell>
          <cell r="H773">
            <v>2</v>
          </cell>
          <cell r="J773">
            <v>0.5</v>
          </cell>
          <cell r="L773">
            <v>0.8</v>
          </cell>
        </row>
        <row r="775">
          <cell r="B775" t="str">
            <v>Employee Cost</v>
          </cell>
          <cell r="G775">
            <v>737.90000000000009</v>
          </cell>
          <cell r="H775">
            <v>906.90000000000009</v>
          </cell>
          <cell r="I775">
            <v>1123.3999999999999</v>
          </cell>
          <cell r="J775">
            <v>1350.4</v>
          </cell>
          <cell r="K775">
            <v>1528.6999999999998</v>
          </cell>
          <cell r="L775">
            <v>2019.7</v>
          </cell>
        </row>
        <row r="776">
          <cell r="C776" t="str">
            <v>Cost of sales</v>
          </cell>
          <cell r="G776">
            <v>184.8</v>
          </cell>
          <cell r="H776">
            <v>209</v>
          </cell>
          <cell r="I776">
            <v>260.39999999999998</v>
          </cell>
          <cell r="J776">
            <v>297.60000000000002</v>
          </cell>
          <cell r="K776">
            <v>357.4</v>
          </cell>
          <cell r="L776">
            <v>440.3</v>
          </cell>
        </row>
        <row r="777">
          <cell r="C777" t="str">
            <v>Distribution cost</v>
          </cell>
          <cell r="G777">
            <v>199.5</v>
          </cell>
          <cell r="H777">
            <v>241.8</v>
          </cell>
          <cell r="I777">
            <v>327.2</v>
          </cell>
          <cell r="J777">
            <v>411.1</v>
          </cell>
          <cell r="K777">
            <v>473.5</v>
          </cell>
          <cell r="L777">
            <v>663.9</v>
          </cell>
        </row>
        <row r="778">
          <cell r="C778" t="str">
            <v>Administrative expenses</v>
          </cell>
          <cell r="G778">
            <v>197.3</v>
          </cell>
          <cell r="H778">
            <v>244.4</v>
          </cell>
          <cell r="I778">
            <v>298.89999999999998</v>
          </cell>
          <cell r="J778">
            <v>347.3</v>
          </cell>
          <cell r="K778">
            <v>359.7</v>
          </cell>
          <cell r="L778">
            <v>500.8</v>
          </cell>
        </row>
        <row r="779">
          <cell r="C779" t="str">
            <v>Research and development cost</v>
          </cell>
          <cell r="G779">
            <v>156.30000000000001</v>
          </cell>
          <cell r="H779">
            <v>211.7</v>
          </cell>
          <cell r="I779">
            <v>236.9</v>
          </cell>
          <cell r="J779">
            <v>294.39999999999998</v>
          </cell>
          <cell r="K779">
            <v>338.1</v>
          </cell>
          <cell r="L779">
            <v>414.7</v>
          </cell>
        </row>
        <row r="781">
          <cell r="B781" t="str">
            <v>Cost of sales</v>
          </cell>
          <cell r="G781">
            <v>714.3</v>
          </cell>
          <cell r="H781">
            <v>764.5</v>
          </cell>
          <cell r="I781">
            <v>794.1</v>
          </cell>
          <cell r="J781">
            <v>1116.4000000000001</v>
          </cell>
          <cell r="K781">
            <v>1369.6</v>
          </cell>
          <cell r="L781">
            <v>1818.3</v>
          </cell>
        </row>
        <row r="782">
          <cell r="B782" t="str">
            <v>Distribution cost</v>
          </cell>
          <cell r="G782">
            <v>683.8</v>
          </cell>
          <cell r="H782">
            <v>906.8</v>
          </cell>
          <cell r="I782">
            <v>1037.9000000000001</v>
          </cell>
          <cell r="J782">
            <v>1278.3</v>
          </cell>
          <cell r="K782">
            <v>1911.6</v>
          </cell>
          <cell r="L782">
            <v>2448.6999999999998</v>
          </cell>
        </row>
        <row r="783">
          <cell r="B783" t="str">
            <v>Administrative expenses</v>
          </cell>
          <cell r="G783">
            <v>473.2</v>
          </cell>
          <cell r="H783">
            <v>570.9</v>
          </cell>
          <cell r="I783">
            <v>674.8</v>
          </cell>
          <cell r="J783">
            <v>784.1</v>
          </cell>
          <cell r="K783">
            <v>995.3</v>
          </cell>
          <cell r="L783">
            <v>1317.9</v>
          </cell>
        </row>
        <row r="785">
          <cell r="B785" t="str">
            <v>Income tax as reported in income statement</v>
          </cell>
          <cell r="G785">
            <v>141.19999999999999</v>
          </cell>
          <cell r="H785">
            <v>133.30000000000001</v>
          </cell>
          <cell r="I785">
            <v>246.9</v>
          </cell>
          <cell r="J785">
            <v>394</v>
          </cell>
          <cell r="K785">
            <v>581.5</v>
          </cell>
          <cell r="L785">
            <v>805.1</v>
          </cell>
        </row>
        <row r="787">
          <cell r="B787" t="str">
            <v>Tax on pre tax profit</v>
          </cell>
          <cell r="G787">
            <v>0.34</v>
          </cell>
          <cell r="H787">
            <v>0.34</v>
          </cell>
          <cell r="I787">
            <v>0.32</v>
          </cell>
          <cell r="J787">
            <v>0.32</v>
          </cell>
          <cell r="K787">
            <v>0.3</v>
          </cell>
          <cell r="L787">
            <v>0.3</v>
          </cell>
        </row>
        <row r="788">
          <cell r="B788" t="str">
            <v>Effect of foreign tax rate</v>
          </cell>
          <cell r="H788">
            <v>-4.4999999999999998E-2</v>
          </cell>
          <cell r="I788">
            <v>-0.01</v>
          </cell>
          <cell r="J788">
            <v>-1.2E-2</v>
          </cell>
          <cell r="K788">
            <v>-6.0000000000000001E-3</v>
          </cell>
          <cell r="L788">
            <v>3.0000000000000001E-3</v>
          </cell>
        </row>
        <row r="790">
          <cell r="B790" t="str">
            <v>Retained earnings</v>
          </cell>
          <cell r="I790">
            <v>965.1</v>
          </cell>
          <cell r="J790">
            <v>1486.5</v>
          </cell>
        </row>
        <row r="791">
          <cell r="B791" t="str">
            <v>Reserve for treasury shares</v>
          </cell>
          <cell r="I791">
            <v>202.8</v>
          </cell>
          <cell r="J791">
            <v>459.9</v>
          </cell>
        </row>
        <row r="793">
          <cell r="A793" t="str">
            <v>Balance Sheet</v>
          </cell>
        </row>
        <row r="795">
          <cell r="C795" t="str">
            <v>Securities included in cash and cash equivalent</v>
          </cell>
          <cell r="G795">
            <v>366.3</v>
          </cell>
          <cell r="H795">
            <v>594</v>
          </cell>
          <cell r="I795">
            <v>570.79999999999995</v>
          </cell>
          <cell r="J795">
            <v>832</v>
          </cell>
          <cell r="K795">
            <v>343.3</v>
          </cell>
          <cell r="L795">
            <v>473.2</v>
          </cell>
        </row>
        <row r="796">
          <cell r="C796" t="str">
            <v>Cash</v>
          </cell>
          <cell r="G796">
            <v>434</v>
          </cell>
          <cell r="H796">
            <v>222.6</v>
          </cell>
          <cell r="I796">
            <v>868.3</v>
          </cell>
          <cell r="J796">
            <v>670.9</v>
          </cell>
          <cell r="K796">
            <v>688.1</v>
          </cell>
          <cell r="L796">
            <v>388.2</v>
          </cell>
        </row>
        <row r="798">
          <cell r="C798" t="str">
            <v>Dividend for the financial year</v>
          </cell>
          <cell r="G798">
            <v>35</v>
          </cell>
        </row>
        <row r="799">
          <cell r="C799" t="str">
            <v>Dividend to the minority interests</v>
          </cell>
          <cell r="G799">
            <v>2.7</v>
          </cell>
        </row>
        <row r="802">
          <cell r="C802" t="str">
            <v>Plant and machinery</v>
          </cell>
          <cell r="G802">
            <v>341.3</v>
          </cell>
          <cell r="H802">
            <v>372.5</v>
          </cell>
          <cell r="I802">
            <v>477.5</v>
          </cell>
          <cell r="J802">
            <v>682.5</v>
          </cell>
          <cell r="K802">
            <v>748.9</v>
          </cell>
          <cell r="L802">
            <v>1309.7</v>
          </cell>
        </row>
        <row r="803">
          <cell r="C803" t="str">
            <v xml:space="preserve">Other fixtures, fittings, tools and equipments </v>
          </cell>
          <cell r="G803">
            <v>324</v>
          </cell>
          <cell r="H803">
            <v>350.5</v>
          </cell>
          <cell r="I803">
            <v>411</v>
          </cell>
          <cell r="J803">
            <v>484.9</v>
          </cell>
          <cell r="K803">
            <v>725.4</v>
          </cell>
          <cell r="L803">
            <v>817.9</v>
          </cell>
        </row>
        <row r="804">
          <cell r="C804" t="str">
            <v>Leasehold improvements</v>
          </cell>
          <cell r="G804">
            <v>34.799999999999997</v>
          </cell>
          <cell r="H804">
            <v>43.7</v>
          </cell>
          <cell r="I804">
            <v>80.5</v>
          </cell>
          <cell r="J804">
            <v>87.6</v>
          </cell>
        </row>
        <row r="806">
          <cell r="C806" t="str">
            <v>Product rights</v>
          </cell>
          <cell r="H806">
            <v>15.7</v>
          </cell>
          <cell r="I806">
            <v>8.1999999999999993</v>
          </cell>
          <cell r="J806">
            <v>19.399999999999999</v>
          </cell>
          <cell r="K806">
            <v>126.3</v>
          </cell>
          <cell r="L806">
            <v>215</v>
          </cell>
        </row>
        <row r="807">
          <cell r="C807" t="str">
            <v>Other rights</v>
          </cell>
          <cell r="H807">
            <v>5.5</v>
          </cell>
          <cell r="I807">
            <v>6.5</v>
          </cell>
          <cell r="J807">
            <v>7.8</v>
          </cell>
          <cell r="K807">
            <v>99.5</v>
          </cell>
          <cell r="L807">
            <v>242.60000000000002</v>
          </cell>
        </row>
        <row r="810">
          <cell r="C810" t="str">
            <v>Long term mortgage debt</v>
          </cell>
          <cell r="G810">
            <v>28.7</v>
          </cell>
        </row>
        <row r="811">
          <cell r="C811" t="str">
            <v>Other debt</v>
          </cell>
          <cell r="G811">
            <v>63.5</v>
          </cell>
        </row>
        <row r="815">
          <cell r="C815" t="str">
            <v>Bank debt</v>
          </cell>
          <cell r="G815">
            <v>374</v>
          </cell>
          <cell r="H815">
            <v>72.099999999999994</v>
          </cell>
          <cell r="I815">
            <v>0.8</v>
          </cell>
          <cell r="J815">
            <v>4.9000000000000004</v>
          </cell>
          <cell r="K815">
            <v>94.4</v>
          </cell>
          <cell r="L815">
            <v>187</v>
          </cell>
        </row>
        <row r="816">
          <cell r="C816" t="str">
            <v>Mortgage debt</v>
          </cell>
          <cell r="G816">
            <v>2.1</v>
          </cell>
          <cell r="H816">
            <v>2.1</v>
          </cell>
          <cell r="I816">
            <v>2.1</v>
          </cell>
          <cell r="J816">
            <v>8.5</v>
          </cell>
          <cell r="K816">
            <v>10.7</v>
          </cell>
          <cell r="L816">
            <v>9.6999999999999993</v>
          </cell>
        </row>
        <row r="818">
          <cell r="C818" t="str">
            <v>Accumulated depreciation on Plant, Property and Equipment</v>
          </cell>
          <cell r="G818">
            <v>448.9</v>
          </cell>
          <cell r="H818">
            <v>537.5</v>
          </cell>
          <cell r="I818">
            <v>641.29999999999995</v>
          </cell>
          <cell r="J818">
            <v>860.6</v>
          </cell>
        </row>
        <row r="819">
          <cell r="C819" t="str">
            <v>Accumulated amortization</v>
          </cell>
          <cell r="G819">
            <v>9.6</v>
          </cell>
          <cell r="H819">
            <v>13.7</v>
          </cell>
          <cell r="I819">
            <v>17.899999999999999</v>
          </cell>
          <cell r="J819">
            <v>17.3</v>
          </cell>
        </row>
        <row r="821">
          <cell r="C821" t="str">
            <v>Proposed dividend</v>
          </cell>
          <cell r="I821">
            <v>129.6</v>
          </cell>
          <cell r="J821">
            <v>197.2</v>
          </cell>
          <cell r="K821">
            <v>265.7</v>
          </cell>
        </row>
        <row r="822">
          <cell r="C822" t="str">
            <v>Reserve for treasury shares</v>
          </cell>
        </row>
        <row r="830">
          <cell r="A830" t="str">
            <v>Cash Flow</v>
          </cell>
        </row>
        <row r="831">
          <cell r="C831" t="str">
            <v>Loan proceeds</v>
          </cell>
          <cell r="G831">
            <v>274.89999999999998</v>
          </cell>
          <cell r="H831">
            <v>6.7</v>
          </cell>
          <cell r="J831">
            <v>4.2</v>
          </cell>
          <cell r="K831">
            <v>89.3</v>
          </cell>
          <cell r="L831">
            <v>175.8</v>
          </cell>
        </row>
        <row r="832">
          <cell r="C832" t="str">
            <v>Repayment of borrowings</v>
          </cell>
          <cell r="G832">
            <v>-354</v>
          </cell>
          <cell r="H832">
            <v>-369.5</v>
          </cell>
          <cell r="I832">
            <v>-81.8</v>
          </cell>
          <cell r="J832">
            <v>-25.4</v>
          </cell>
          <cell r="K832">
            <v>-8.5</v>
          </cell>
          <cell r="L832">
            <v>-86.9</v>
          </cell>
        </row>
        <row r="834">
          <cell r="C834" t="str">
            <v>Other cash flow</v>
          </cell>
          <cell r="G834">
            <v>-134.20000000000002</v>
          </cell>
          <cell r="H834">
            <v>-123.5</v>
          </cell>
          <cell r="I834">
            <v>-240.7</v>
          </cell>
          <cell r="J834">
            <v>-773.40000000000009</v>
          </cell>
          <cell r="K834">
            <v>-722.2</v>
          </cell>
          <cell r="L834">
            <v>-581.5</v>
          </cell>
        </row>
        <row r="835">
          <cell r="D835" t="str">
            <v>Payments under share options plan</v>
          </cell>
          <cell r="K835">
            <v>-56.2</v>
          </cell>
          <cell r="L835">
            <v>-17.8</v>
          </cell>
        </row>
        <row r="836">
          <cell r="D836" t="str">
            <v>Financial Receipts</v>
          </cell>
          <cell r="G836">
            <v>48.8</v>
          </cell>
          <cell r="H836">
            <v>71.400000000000006</v>
          </cell>
          <cell r="I836">
            <v>93.7</v>
          </cell>
          <cell r="J836">
            <v>165</v>
          </cell>
          <cell r="K836">
            <v>102.8</v>
          </cell>
          <cell r="L836">
            <v>72.8</v>
          </cell>
        </row>
        <row r="837">
          <cell r="D837" t="str">
            <v>Financial Payments</v>
          </cell>
          <cell r="G837">
            <v>-54.1</v>
          </cell>
          <cell r="H837">
            <v>-41.3</v>
          </cell>
          <cell r="I837">
            <v>-42.7</v>
          </cell>
          <cell r="J837">
            <v>-38.9</v>
          </cell>
          <cell r="K837">
            <v>-80.3</v>
          </cell>
          <cell r="L837">
            <v>-64.900000000000006</v>
          </cell>
        </row>
        <row r="838">
          <cell r="D838" t="str">
            <v>Income tax paid for the year</v>
          </cell>
          <cell r="G838">
            <v>-128.9</v>
          </cell>
          <cell r="H838">
            <v>-150.9</v>
          </cell>
          <cell r="I838">
            <v>-226</v>
          </cell>
          <cell r="J838">
            <v>-622.20000000000005</v>
          </cell>
          <cell r="K838">
            <v>-611.1</v>
          </cell>
          <cell r="L838">
            <v>-631.6</v>
          </cell>
        </row>
        <row r="839">
          <cell r="D839" t="str">
            <v>income tax paid for the previous year</v>
          </cell>
          <cell r="K839">
            <v>-68.8</v>
          </cell>
          <cell r="L839">
            <v>60</v>
          </cell>
        </row>
        <row r="840">
          <cell r="D840" t="str">
            <v>Unrealized value adjustment of treasury shares</v>
          </cell>
          <cell r="I840">
            <v>-60.1</v>
          </cell>
          <cell r="J840">
            <v>-277.3</v>
          </cell>
        </row>
        <row r="841">
          <cell r="D841" t="str">
            <v>Shares of profit distributed to minority interest</v>
          </cell>
          <cell r="H841">
            <v>-2.7</v>
          </cell>
          <cell r="I841">
            <v>-5.6</v>
          </cell>
          <cell r="K841">
            <v>-8.6</v>
          </cell>
        </row>
      </sheetData>
      <sheetData sheetId="23" refreshError="1"/>
      <sheetData sheetId="24" refreshError="1"/>
      <sheetData sheetId="25" refreshError="1"/>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__FDSCACHE__"/>
      <sheetName val="Summary New"/>
      <sheetName val=" Qrtly P&amp;L"/>
      <sheetName val="Annual P&amp;L"/>
      <sheetName val="Cash Flow"/>
      <sheetName val="Balance Sheet"/>
      <sheetName val="Qrtly Sales"/>
      <sheetName val="Yrly Sales"/>
      <sheetName val="Div P&amp;L - Serono"/>
      <sheetName val="Div P&amp;L - Performance Materials"/>
      <sheetName val="Div P&amp;L - Consumer Health"/>
      <sheetName val="Div P&amp;L - Millipore"/>
      <sheetName val="Tables"/>
      <sheetName val="Changes"/>
      <sheetName val="Guidance"/>
      <sheetName val="Pipeline_Patents Chart"/>
      <sheetName val="Pipeline_new"/>
      <sheetName val="R3020"/>
      <sheetName val="Bull bear"/>
      <sheetName val="Overview"/>
      <sheetName val="Pensions"/>
      <sheetName val="DCF new"/>
      <sheetName val="SOTP"/>
      <sheetName val="Gross Margin"/>
      <sheetName val="By division"/>
      <sheetName val="MW-Cache"/>
      <sheetName val="mwareDates"/>
      <sheetName val="MWA RR"/>
      <sheetName val="Rolling Valuation"/>
      <sheetName val="mwareSettings"/>
    </sheetNames>
    <sheetDataSet>
      <sheetData sheetId="0"/>
      <sheetData sheetId="1" refreshError="1">
        <row r="1">
          <cell r="L1" t="str">
            <v>Return to contents</v>
          </cell>
        </row>
        <row r="2">
          <cell r="A2" t="str">
            <v>Merck KGaA</v>
          </cell>
        </row>
        <row r="3">
          <cell r="A3" t="str">
            <v xml:space="preserve">  Valuation Summary (€)</v>
          </cell>
          <cell r="S3" t="str">
            <v xml:space="preserve">Morgan Stanley Equity Research- Pharmaceuticals  </v>
          </cell>
        </row>
        <row r="5">
          <cell r="A5" t="str">
            <v>Price</v>
          </cell>
          <cell r="B5">
            <v>76.3</v>
          </cell>
          <cell r="C5" t="str">
            <v>€</v>
          </cell>
        </row>
        <row r="6">
          <cell r="A6" t="str">
            <v>MS Price Target</v>
          </cell>
          <cell r="B6">
            <v>63</v>
          </cell>
          <cell r="C6" t="str">
            <v>€</v>
          </cell>
        </row>
        <row r="7">
          <cell r="A7" t="str">
            <v>Upside Potential (%)</v>
          </cell>
          <cell r="B7">
            <v>-0.17431192660550454</v>
          </cell>
        </row>
        <row r="8">
          <cell r="A8" t="str">
            <v>MS Rating</v>
          </cell>
          <cell r="B8" t="str">
            <v>Underweight</v>
          </cell>
        </row>
        <row r="9">
          <cell r="A9" t="str">
            <v>Market Capitalisation</v>
          </cell>
          <cell r="B9">
            <v>16586.7760457</v>
          </cell>
          <cell r="C9" t="str">
            <v>€</v>
          </cell>
        </row>
        <row r="10">
          <cell r="A10" t="str">
            <v>Enterprise Value</v>
          </cell>
          <cell r="B10">
            <v>16902.976045700001</v>
          </cell>
          <cell r="C10" t="str">
            <v>€</v>
          </cell>
        </row>
        <row r="11">
          <cell r="R11" t="str">
            <v>Growth Rates</v>
          </cell>
          <cell r="T11" t="str">
            <v xml:space="preserve"> </v>
          </cell>
          <cell r="U11" t="str">
            <v>Calculations used for PEG ratios</v>
          </cell>
        </row>
        <row r="12">
          <cell r="A12" t="str">
            <v>Summary Earnings Estimates (€ millions, except per share data)</v>
          </cell>
          <cell r="B12">
            <v>2006</v>
          </cell>
          <cell r="C12">
            <v>2007</v>
          </cell>
          <cell r="D12">
            <v>2008</v>
          </cell>
          <cell r="E12">
            <v>2009</v>
          </cell>
          <cell r="F12">
            <v>2010</v>
          </cell>
          <cell r="G12">
            <v>2011</v>
          </cell>
          <cell r="H12">
            <v>2012</v>
          </cell>
          <cell r="I12" t="str">
            <v>2013e</v>
          </cell>
          <cell r="J12" t="str">
            <v>2014e</v>
          </cell>
          <cell r="K12" t="str">
            <v>2015e</v>
          </cell>
          <cell r="L12" t="str">
            <v>2016e</v>
          </cell>
          <cell r="M12" t="str">
            <v>2017e</v>
          </cell>
          <cell r="N12" t="str">
            <v>2018e</v>
          </cell>
          <cell r="O12" t="str">
            <v>2019e</v>
          </cell>
          <cell r="P12" t="str">
            <v>2020e</v>
          </cell>
          <cell r="R12" t="str">
            <v>3 Year        12-15 (%)</v>
          </cell>
          <cell r="S12" t="str">
            <v>5 Year     12-17 (%)</v>
          </cell>
          <cell r="T12" t="str">
            <v xml:space="preserve"> </v>
          </cell>
          <cell r="U12" t="str">
            <v>06-11 (%)</v>
          </cell>
          <cell r="V12" t="str">
            <v>07-12 (%)</v>
          </cell>
          <cell r="W12" t="str">
            <v>08-13 (%)</v>
          </cell>
          <cell r="X12" t="str">
            <v>09-14 (%)</v>
          </cell>
          <cell r="Y12" t="str">
            <v>10 -15 (%)</v>
          </cell>
          <cell r="Z12" t="str">
            <v>11-16 (%)</v>
          </cell>
          <cell r="AA12" t="str">
            <v>12-17 (%)</v>
          </cell>
        </row>
        <row r="13">
          <cell r="A13" t="str">
            <v>Total Revenue</v>
          </cell>
          <cell r="B13">
            <v>4459.7999999999993</v>
          </cell>
          <cell r="C13">
            <v>7057.3</v>
          </cell>
          <cell r="D13">
            <v>7589.5</v>
          </cell>
          <cell r="E13">
            <v>7746.9627483999902</v>
          </cell>
          <cell r="F13">
            <v>9290.5957817500075</v>
          </cell>
          <cell r="G13">
            <v>10276.481710120002</v>
          </cell>
          <cell r="H13">
            <v>11172.7</v>
          </cell>
          <cell r="I13">
            <v>11095.1</v>
          </cell>
          <cell r="J13">
            <v>11190.663411536307</v>
          </cell>
          <cell r="K13">
            <v>11447.203938008563</v>
          </cell>
          <cell r="L13">
            <v>11587.314006160859</v>
          </cell>
          <cell r="M13">
            <v>11700.293463749167</v>
          </cell>
          <cell r="N13">
            <v>11781.405304705513</v>
          </cell>
          <cell r="O13">
            <v>11872.702344209405</v>
          </cell>
          <cell r="P13">
            <v>11949.579107907359</v>
          </cell>
          <cell r="R13">
            <v>0.81235517191338147</v>
          </cell>
          <cell r="S13">
            <v>0.92708346360608207</v>
          </cell>
          <cell r="T13" t="str">
            <v xml:space="preserve"> </v>
          </cell>
          <cell r="U13">
            <v>18.169613231613834</v>
          </cell>
          <cell r="V13">
            <v>9.623562543790797</v>
          </cell>
          <cell r="W13">
            <v>7.8906006997965461</v>
          </cell>
          <cell r="X13">
            <v>7.6328581981069288</v>
          </cell>
          <cell r="Y13">
            <v>4.2632290569406317</v>
          </cell>
          <cell r="Z13">
            <v>2.4301159889901891</v>
          </cell>
          <cell r="AA13">
            <v>0.92708346360608207</v>
          </cell>
        </row>
        <row r="14">
          <cell r="A14" t="str">
            <v>Sales Growth (%)</v>
          </cell>
          <cell r="C14">
            <v>0.58242522086192228</v>
          </cell>
          <cell r="D14">
            <v>7.5411276267127736E-2</v>
          </cell>
          <cell r="E14">
            <v>2.0747446920085677E-2</v>
          </cell>
          <cell r="F14">
            <v>0.19925654524011094</v>
          </cell>
          <cell r="G14">
            <v>0.10611654532496417</v>
          </cell>
          <cell r="H14">
            <v>8.721061499067595E-2</v>
          </cell>
          <cell r="I14">
            <v>-6.9455010874721612E-3</v>
          </cell>
          <cell r="J14">
            <v>8.6131185420867951E-3</v>
          </cell>
          <cell r="K14">
            <v>2.2924514574157451E-2</v>
          </cell>
          <cell r="L14">
            <v>1.2239676073830141E-2</v>
          </cell>
          <cell r="M14">
            <v>9.7502715062556256E-3</v>
          </cell>
          <cell r="N14">
            <v>6.9324620965836026E-3</v>
          </cell>
          <cell r="O14">
            <v>7.7492486798180771E-3</v>
          </cell>
          <cell r="P14">
            <v>6.4750855760691284E-3</v>
          </cell>
        </row>
        <row r="15">
          <cell r="A15" t="str">
            <v xml:space="preserve">Operating Results (post intang) </v>
          </cell>
          <cell r="B15">
            <v>798.89999999999884</v>
          </cell>
          <cell r="C15">
            <v>976.35</v>
          </cell>
          <cell r="D15">
            <v>1131.4000000000001</v>
          </cell>
          <cell r="E15">
            <v>620.57611030999033</v>
          </cell>
          <cell r="F15">
            <v>1112.6046984000072</v>
          </cell>
          <cell r="G15">
            <v>1138.6926633000014</v>
          </cell>
          <cell r="H15">
            <v>985.70000000000118</v>
          </cell>
          <cell r="I15">
            <v>1627.2000000000003</v>
          </cell>
          <cell r="J15">
            <v>1775.8507569763824</v>
          </cell>
          <cell r="K15">
            <v>2079.0754428155346</v>
          </cell>
          <cell r="L15">
            <v>2280.9823323829228</v>
          </cell>
          <cell r="M15">
            <v>2236.2396555604987</v>
          </cell>
          <cell r="N15">
            <v>2458.7923338583214</v>
          </cell>
          <cell r="O15">
            <v>2403.791216238983</v>
          </cell>
          <cell r="P15">
            <v>2349.050143026177</v>
          </cell>
          <cell r="R15">
            <v>28.24541011597017</v>
          </cell>
          <cell r="S15">
            <v>17.802557093421022</v>
          </cell>
          <cell r="U15">
            <v>7.3452471533776764</v>
          </cell>
          <cell r="V15">
            <v>0.19080019206083598</v>
          </cell>
          <cell r="W15">
            <v>7.5387421209678118</v>
          </cell>
          <cell r="X15">
            <v>23.40202384084078</v>
          </cell>
          <cell r="Y15">
            <v>13.319818910828939</v>
          </cell>
          <cell r="Z15">
            <v>14.906098723326288</v>
          </cell>
          <cell r="AA15">
            <v>17.802557093421022</v>
          </cell>
        </row>
        <row r="16">
          <cell r="A16" t="str">
            <v>EBIT Growth (%)</v>
          </cell>
          <cell r="C16">
            <v>0.22211791212917942</v>
          </cell>
          <cell r="D16">
            <v>0.15880575613253445</v>
          </cell>
          <cell r="E16">
            <v>-0.45149716253315342</v>
          </cell>
          <cell r="F16">
            <v>0.79285776541452524</v>
          </cell>
          <cell r="G16">
            <v>2.3447649409992888E-2</v>
          </cell>
          <cell r="H16">
            <v>-0.13435817076103584</v>
          </cell>
          <cell r="I16">
            <v>0.65080653342801909</v>
          </cell>
          <cell r="J16">
            <v>9.1353710039566272E-2</v>
          </cell>
          <cell r="K16">
            <v>0.17074896899299796</v>
          </cell>
          <cell r="L16">
            <v>9.7113786931156687E-2</v>
          </cell>
          <cell r="M16">
            <v>-1.9615529759795081E-2</v>
          </cell>
          <cell r="N16">
            <v>9.9520942553914749E-2</v>
          </cell>
          <cell r="O16">
            <v>-2.2369159388516136E-2</v>
          </cell>
          <cell r="P16">
            <v>-2.2772806907271681E-2</v>
          </cell>
        </row>
        <row r="17">
          <cell r="A17" t="str">
            <v>EBITDA</v>
          </cell>
          <cell r="B17">
            <v>1334.6999999999987</v>
          </cell>
          <cell r="C17">
            <v>1858.25</v>
          </cell>
          <cell r="D17">
            <v>1946.7</v>
          </cell>
          <cell r="E17">
            <v>0</v>
          </cell>
          <cell r="F17">
            <v>0</v>
          </cell>
          <cell r="G17">
            <v>0</v>
          </cell>
          <cell r="H17">
            <v>0</v>
          </cell>
          <cell r="I17">
            <v>0</v>
          </cell>
          <cell r="J17">
            <v>0</v>
          </cell>
          <cell r="K17">
            <v>0</v>
          </cell>
          <cell r="L17">
            <v>0</v>
          </cell>
          <cell r="M17">
            <v>0</v>
          </cell>
          <cell r="N17">
            <v>0</v>
          </cell>
          <cell r="O17">
            <v>0</v>
          </cell>
          <cell r="P17">
            <v>0</v>
          </cell>
          <cell r="R17" t="e">
            <v>#DIV/0!</v>
          </cell>
          <cell r="S17" t="e">
            <v>#DIV/0!</v>
          </cell>
          <cell r="U17">
            <v>-100</v>
          </cell>
          <cell r="V17">
            <v>-100</v>
          </cell>
          <cell r="W17">
            <v>-100</v>
          </cell>
          <cell r="X17" t="e">
            <v>#DIV/0!</v>
          </cell>
          <cell r="Y17" t="e">
            <v>#DIV/0!</v>
          </cell>
          <cell r="Z17" t="e">
            <v>#DIV/0!</v>
          </cell>
          <cell r="AA17" t="e">
            <v>#DIV/0!</v>
          </cell>
        </row>
        <row r="18">
          <cell r="A18" t="str">
            <v>EBITDA Growth (%)</v>
          </cell>
          <cell r="C18">
            <v>0.3922604330561188</v>
          </cell>
          <cell r="D18">
            <v>4.7598547020045734E-2</v>
          </cell>
          <cell r="E18">
            <v>-1</v>
          </cell>
          <cell r="F18" t="str">
            <v>nm</v>
          </cell>
          <cell r="G18" t="str">
            <v>nm</v>
          </cell>
          <cell r="H18" t="str">
            <v>nm</v>
          </cell>
          <cell r="I18" t="str">
            <v>nm</v>
          </cell>
          <cell r="J18" t="str">
            <v>nm</v>
          </cell>
          <cell r="K18" t="str">
            <v>nm</v>
          </cell>
          <cell r="L18" t="str">
            <v>nm</v>
          </cell>
          <cell r="M18" t="str">
            <v>nm</v>
          </cell>
          <cell r="N18" t="str">
            <v>nm</v>
          </cell>
          <cell r="O18" t="str">
            <v>nm</v>
          </cell>
          <cell r="P18" t="str">
            <v>nm</v>
          </cell>
        </row>
        <row r="19">
          <cell r="A19" t="str">
            <v>Core EPS</v>
          </cell>
          <cell r="B19">
            <v>2.82</v>
          </cell>
          <cell r="C19">
            <v>5.2099696535031574</v>
          </cell>
          <cell r="D19">
            <v>5.7245316599356038</v>
          </cell>
          <cell r="E19">
            <v>4.1137544071181571</v>
          </cell>
          <cell r="F19">
            <v>7.0466883441112316</v>
          </cell>
          <cell r="G19">
            <v>0</v>
          </cell>
          <cell r="H19">
            <v>0</v>
          </cell>
          <cell r="I19">
            <v>0</v>
          </cell>
          <cell r="J19">
            <v>0</v>
          </cell>
          <cell r="K19">
            <v>0</v>
          </cell>
          <cell r="L19">
            <v>0</v>
          </cell>
          <cell r="M19">
            <v>0</v>
          </cell>
          <cell r="N19">
            <v>0</v>
          </cell>
          <cell r="O19">
            <v>0</v>
          </cell>
          <cell r="P19">
            <v>0</v>
          </cell>
          <cell r="R19" t="e">
            <v>#DIV/0!</v>
          </cell>
          <cell r="S19" t="e">
            <v>#DIV/0!</v>
          </cell>
          <cell r="U19">
            <v>-100</v>
          </cell>
          <cell r="V19">
            <v>-100</v>
          </cell>
          <cell r="W19">
            <v>-100</v>
          </cell>
          <cell r="X19">
            <v>-100</v>
          </cell>
          <cell r="Y19">
            <v>-100</v>
          </cell>
          <cell r="Z19" t="e">
            <v>#DIV/0!</v>
          </cell>
          <cell r="AA19" t="e">
            <v>#DIV/0!</v>
          </cell>
        </row>
        <row r="20">
          <cell r="A20" t="str">
            <v>EPS Growth (%)</v>
          </cell>
          <cell r="C20">
            <v>0.84750696932736092</v>
          </cell>
          <cell r="D20">
            <v>9.8764875930986928E-2</v>
          </cell>
          <cell r="E20">
            <v>-0.28138149083720265</v>
          </cell>
          <cell r="F20">
            <v>0.71295795682846985</v>
          </cell>
          <cell r="G20">
            <v>-1</v>
          </cell>
          <cell r="H20" t="str">
            <v>nm</v>
          </cell>
          <cell r="I20" t="str">
            <v>nm</v>
          </cell>
          <cell r="J20" t="str">
            <v>nm</v>
          </cell>
          <cell r="K20" t="str">
            <v>nm</v>
          </cell>
          <cell r="L20" t="str">
            <v>nm</v>
          </cell>
          <cell r="M20" t="str">
            <v>nm</v>
          </cell>
          <cell r="N20" t="str">
            <v>nm</v>
          </cell>
          <cell r="O20" t="str">
            <v>nm</v>
          </cell>
          <cell r="P20" t="str">
            <v>nm</v>
          </cell>
        </row>
        <row r="21">
          <cell r="A21" t="str">
            <v>EPS Reported (MW EPS)</v>
          </cell>
          <cell r="B21">
            <v>5.0701030927834996</v>
          </cell>
          <cell r="C21">
            <v>16.213133415683483</v>
          </cell>
          <cell r="D21">
            <v>1.6881931134774615</v>
          </cell>
          <cell r="E21">
            <v>1.6860194793535024</v>
          </cell>
          <cell r="F21">
            <v>2.9068473865177071</v>
          </cell>
          <cell r="G21">
            <v>6.786160684958606</v>
          </cell>
          <cell r="H21">
            <v>7.6030358785648566</v>
          </cell>
          <cell r="I21">
            <v>8.7838086476540944</v>
          </cell>
          <cell r="J21">
            <v>9.1953089919781483</v>
          </cell>
          <cell r="K21">
            <v>9.5898235331755863</v>
          </cell>
          <cell r="L21">
            <v>10.397294721129629</v>
          </cell>
          <cell r="M21">
            <v>10.313210352151952</v>
          </cell>
          <cell r="N21">
            <v>10.139966468108295</v>
          </cell>
          <cell r="O21">
            <v>10.092897449124894</v>
          </cell>
          <cell r="P21">
            <v>10.038678200376106</v>
          </cell>
          <cell r="R21">
            <v>8.0457923075898385</v>
          </cell>
          <cell r="S21">
            <v>6.2872981191197663</v>
          </cell>
          <cell r="U21">
            <v>6.0038087136088159</v>
          </cell>
          <cell r="V21">
            <v>-14.054326999723788</v>
          </cell>
          <cell r="W21">
            <v>39.075986243349512</v>
          </cell>
          <cell r="X21">
            <v>40.391478560372505</v>
          </cell>
          <cell r="Y21">
            <v>26.963146485274446</v>
          </cell>
          <cell r="Z21">
            <v>8.9078647068660644</v>
          </cell>
          <cell r="AA21">
            <v>6.2872981191197663</v>
          </cell>
        </row>
        <row r="22">
          <cell r="A22" t="str">
            <v>EPS Growth (%)</v>
          </cell>
          <cell r="C22">
            <v>2.1977916659644157</v>
          </cell>
          <cell r="D22">
            <v>-0.89587496320455751</v>
          </cell>
          <cell r="E22">
            <v>-1.2875506401526238E-3</v>
          </cell>
          <cell r="F22">
            <v>0.72408885076009111</v>
          </cell>
          <cell r="G22">
            <v>1.3345431605503615</v>
          </cell>
          <cell r="H22">
            <v>0.12037368867743425</v>
          </cell>
          <cell r="I22">
            <v>0.15530280113739514</v>
          </cell>
          <cell r="J22">
            <v>4.684759889822443E-2</v>
          </cell>
          <cell r="K22">
            <v>4.2903891706260966E-2</v>
          </cell>
          <cell r="L22">
            <v>8.4200839062432253E-2</v>
          </cell>
          <cell r="M22">
            <v>-8.0871391292582917E-3</v>
          </cell>
          <cell r="N22">
            <v>-1.6798249829890088E-2</v>
          </cell>
          <cell r="O22">
            <v>-4.6419304374860637E-3</v>
          </cell>
          <cell r="P22">
            <v>-5.3720201777627263E-3</v>
          </cell>
        </row>
        <row r="23">
          <cell r="A23" t="str">
            <v>DPS</v>
          </cell>
          <cell r="B23">
            <v>0.9</v>
          </cell>
          <cell r="C23">
            <v>1.2</v>
          </cell>
          <cell r="D23">
            <v>1.5</v>
          </cell>
          <cell r="E23">
            <v>1</v>
          </cell>
          <cell r="F23">
            <v>1.25</v>
          </cell>
          <cell r="G23">
            <v>1.5</v>
          </cell>
          <cell r="H23">
            <v>1.7</v>
          </cell>
          <cell r="I23">
            <v>1.9</v>
          </cell>
          <cell r="J23">
            <v>1.9949999999999999</v>
          </cell>
          <cell r="K23">
            <v>2.0947499999999999</v>
          </cell>
          <cell r="L23">
            <v>2.1994875</v>
          </cell>
          <cell r="M23">
            <v>2.3094618750000002</v>
          </cell>
          <cell r="N23">
            <v>2.4249349687500001</v>
          </cell>
          <cell r="O23">
            <v>2.5461817171875003</v>
          </cell>
          <cell r="P23">
            <v>2.6734908030468754</v>
          </cell>
          <cell r="R23">
            <v>7.2081394869751181</v>
          </cell>
          <cell r="S23">
            <v>6.3193652651890808</v>
          </cell>
          <cell r="U23">
            <v>10.756634324828983</v>
          </cell>
          <cell r="V23">
            <v>7.2145025900850923</v>
          </cell>
          <cell r="W23">
            <v>4.8413171284721557</v>
          </cell>
          <cell r="X23">
            <v>14.81234306073247</v>
          </cell>
          <cell r="Y23">
            <v>10.877758382312752</v>
          </cell>
          <cell r="Z23">
            <v>7.9558168418686348</v>
          </cell>
          <cell r="AA23">
            <v>6.3193652651890808</v>
          </cell>
        </row>
        <row r="24">
          <cell r="A24" t="str">
            <v>Free Cash Flow per Share</v>
          </cell>
          <cell r="B24">
            <v>-3.40289396552039</v>
          </cell>
          <cell r="C24">
            <v>-4.6522018197740849</v>
          </cell>
          <cell r="D24">
            <v>4.3346271633443116</v>
          </cell>
          <cell r="E24">
            <v>0.8588293445785683</v>
          </cell>
          <cell r="F24">
            <v>4.9767941505064357</v>
          </cell>
          <cell r="G24">
            <v>1.630257738182344</v>
          </cell>
          <cell r="H24">
            <v>1.4457957311250307</v>
          </cell>
          <cell r="I24">
            <v>3.357116527442086</v>
          </cell>
          <cell r="J24">
            <v>-1.4342860158348794</v>
          </cell>
          <cell r="K24">
            <v>7.5750142580989666</v>
          </cell>
          <cell r="L24">
            <v>9.8011395699151205</v>
          </cell>
          <cell r="M24">
            <v>9.7305856174872396</v>
          </cell>
          <cell r="N24">
            <v>9.612923286003225</v>
          </cell>
          <cell r="O24">
            <v>9.55877982021976</v>
          </cell>
          <cell r="P24">
            <v>9.5454727316663757</v>
          </cell>
          <cell r="R24">
            <v>73.683610609074208</v>
          </cell>
          <cell r="S24">
            <v>46.422024740543137</v>
          </cell>
          <cell r="U24" t="str">
            <v>nm</v>
          </cell>
          <cell r="V24" t="str">
            <v>nm</v>
          </cell>
          <cell r="W24">
            <v>-4.9826457012584928</v>
          </cell>
          <cell r="X24">
            <v>-210.80153521347444</v>
          </cell>
          <cell r="Y24">
            <v>8.7643967315417459</v>
          </cell>
          <cell r="Z24">
            <v>43.154188913078428</v>
          </cell>
          <cell r="AA24">
            <v>46.422024740543137</v>
          </cell>
        </row>
        <row r="26">
          <cell r="A26" t="str">
            <v>Valuation Multiples</v>
          </cell>
          <cell r="B26">
            <v>2006</v>
          </cell>
          <cell r="C26">
            <v>2007</v>
          </cell>
          <cell r="D26">
            <v>2008</v>
          </cell>
          <cell r="E26">
            <v>2009</v>
          </cell>
          <cell r="F26">
            <v>2010</v>
          </cell>
          <cell r="G26">
            <v>2011</v>
          </cell>
          <cell r="H26">
            <v>2012</v>
          </cell>
          <cell r="I26" t="str">
            <v>2013e</v>
          </cell>
          <cell r="J26" t="str">
            <v>2014e</v>
          </cell>
          <cell r="K26" t="str">
            <v>2015e</v>
          </cell>
          <cell r="L26" t="str">
            <v>2016e</v>
          </cell>
          <cell r="M26" t="str">
            <v>2017e</v>
          </cell>
          <cell r="N26" t="str">
            <v>2018e</v>
          </cell>
          <cell r="O26" t="str">
            <v>2019e</v>
          </cell>
          <cell r="P26" t="str">
            <v>2020e</v>
          </cell>
          <cell r="S26" t="str">
            <v xml:space="preserve"> </v>
          </cell>
        </row>
        <row r="27">
          <cell r="A27" t="str">
            <v>P/E (x)</v>
          </cell>
          <cell r="B27">
            <v>27.056737588652481</v>
          </cell>
          <cell r="C27">
            <v>14.644998929829899</v>
          </cell>
          <cell r="D27">
            <v>13.32860127824995</v>
          </cell>
          <cell r="E27">
            <v>18.547534064740407</v>
          </cell>
          <cell r="F27">
            <v>10.82778126036499</v>
          </cell>
          <cell r="G27" t="e">
            <v>#DIV/0!</v>
          </cell>
          <cell r="H27" t="e">
            <v>#DIV/0!</v>
          </cell>
          <cell r="I27" t="e">
            <v>#DIV/0!</v>
          </cell>
          <cell r="J27" t="e">
            <v>#DIV/0!</v>
          </cell>
          <cell r="K27" t="e">
            <v>#DIV/0!</v>
          </cell>
          <cell r="L27" t="e">
            <v>#DIV/0!</v>
          </cell>
          <cell r="M27" t="e">
            <v>#DIV/0!</v>
          </cell>
          <cell r="N27" t="e">
            <v>#DIV/0!</v>
          </cell>
          <cell r="O27" t="e">
            <v>#DIV/0!</v>
          </cell>
          <cell r="P27" t="e">
            <v>#DIV/0!</v>
          </cell>
        </row>
        <row r="28">
          <cell r="A28" t="str">
            <v>PEG (x)</v>
          </cell>
          <cell r="B28">
            <v>-0.2705673758865248</v>
          </cell>
          <cell r="C28">
            <v>-0.146449989298299</v>
          </cell>
          <cell r="D28">
            <v>-0.13328601278249949</v>
          </cell>
          <cell r="E28">
            <v>-0.18547534064740406</v>
          </cell>
          <cell r="F28">
            <v>-0.1082778126036499</v>
          </cell>
          <cell r="G28" t="e">
            <v>#DIV/0!</v>
          </cell>
          <cell r="H28" t="e">
            <v>#DIV/0!</v>
          </cell>
          <cell r="I28" t="e">
            <v>#DIV/0!</v>
          </cell>
          <cell r="J28" t="e">
            <v>#DIV/0!</v>
          </cell>
          <cell r="K28" t="e">
            <v>#DIV/0!</v>
          </cell>
          <cell r="L28" t="e">
            <v>#DIV/0!</v>
          </cell>
          <cell r="M28" t="e">
            <v>#DIV/0!</v>
          </cell>
          <cell r="N28" t="e">
            <v>#DIV/0!</v>
          </cell>
          <cell r="O28" t="e">
            <v>#DIV/0!</v>
          </cell>
          <cell r="P28" t="e">
            <v>#DIV/0!</v>
          </cell>
        </row>
        <row r="29">
          <cell r="A29" t="str">
            <v>EV/EBITDA (x)</v>
          </cell>
          <cell r="B29">
            <v>12.664251176818775</v>
          </cell>
          <cell r="C29">
            <v>9.0961797635947814</v>
          </cell>
          <cell r="D29">
            <v>8.6828869603431453</v>
          </cell>
          <cell r="E29" t="e">
            <v>#DIV/0!</v>
          </cell>
          <cell r="F29" t="e">
            <v>#DIV/0!</v>
          </cell>
          <cell r="G29" t="e">
            <v>#DIV/0!</v>
          </cell>
          <cell r="H29" t="e">
            <v>#DIV/0!</v>
          </cell>
          <cell r="I29" t="e">
            <v>#DIV/0!</v>
          </cell>
          <cell r="J29" t="e">
            <v>#DIV/0!</v>
          </cell>
          <cell r="K29" t="e">
            <v>#DIV/0!</v>
          </cell>
          <cell r="L29" t="e">
            <v>#DIV/0!</v>
          </cell>
          <cell r="M29" t="e">
            <v>#DIV/0!</v>
          </cell>
          <cell r="N29" t="e">
            <v>#DIV/0!</v>
          </cell>
          <cell r="O29" t="e">
            <v>#DIV/0!</v>
          </cell>
          <cell r="P29" t="e">
            <v>#DIV/0!</v>
          </cell>
        </row>
        <row r="30">
          <cell r="A30" t="str">
            <v>EV/EBITDA per Unit of Growth (x)</v>
          </cell>
          <cell r="B30">
            <v>-0.12664251176818775</v>
          </cell>
          <cell r="C30">
            <v>-9.0961797635947819E-2</v>
          </cell>
          <cell r="D30">
            <v>-8.6828869603431447E-2</v>
          </cell>
          <cell r="E30" t="e">
            <v>#DIV/0!</v>
          </cell>
          <cell r="F30" t="e">
            <v>#DIV/0!</v>
          </cell>
          <cell r="G30" t="e">
            <v>#DIV/0!</v>
          </cell>
          <cell r="H30" t="e">
            <v>#DIV/0!</v>
          </cell>
          <cell r="I30" t="e">
            <v>#DIV/0!</v>
          </cell>
          <cell r="J30" t="e">
            <v>#DIV/0!</v>
          </cell>
          <cell r="K30" t="e">
            <v>#DIV/0!</v>
          </cell>
          <cell r="L30" t="e">
            <v>#DIV/0!</v>
          </cell>
          <cell r="M30" t="e">
            <v>#DIV/0!</v>
          </cell>
          <cell r="N30" t="e">
            <v>#DIV/0!</v>
          </cell>
          <cell r="O30" t="e">
            <v>#DIV/0!</v>
          </cell>
          <cell r="P30" t="e">
            <v>#DIV/0!</v>
          </cell>
        </row>
        <row r="31">
          <cell r="A31" t="str">
            <v>EV/Sales (x)</v>
          </cell>
          <cell r="B31">
            <v>3.7900749014978259</v>
          </cell>
          <cell r="C31">
            <v>2.3951052166834343</v>
          </cell>
          <cell r="D31">
            <v>2.2271527828842483</v>
          </cell>
          <cell r="E31">
            <v>2.1818842551154694</v>
          </cell>
          <cell r="F31">
            <v>1.8193640583204989</v>
          </cell>
          <cell r="G31">
            <v>1.6448213038762485</v>
          </cell>
          <cell r="H31">
            <v>1.5128819395222284</v>
          </cell>
          <cell r="I31">
            <v>1.5234631545186614</v>
          </cell>
          <cell r="J31">
            <v>1.5104534399877443</v>
          </cell>
          <cell r="K31">
            <v>1.4766030322545789</v>
          </cell>
          <cell r="L31">
            <v>1.4587484240707429</v>
          </cell>
          <cell r="M31">
            <v>1.4446625717611463</v>
          </cell>
          <cell r="N31">
            <v>1.4347164543222126</v>
          </cell>
          <cell r="O31">
            <v>1.4236839731726263</v>
          </cell>
          <cell r="P31">
            <v>1.4145248040171428</v>
          </cell>
        </row>
        <row r="32">
          <cell r="A32" t="str">
            <v>EV/Free Cash Flow (x)</v>
          </cell>
          <cell r="B32">
            <v>31.42223043201437</v>
          </cell>
          <cell r="C32">
            <v>63.738981226344066</v>
          </cell>
          <cell r="D32">
            <v>31.64133354398291</v>
          </cell>
          <cell r="E32">
            <v>16.765913813224149</v>
          </cell>
          <cell r="F32">
            <v>12.886658868247851</v>
          </cell>
          <cell r="G32">
            <v>17.420049188673239</v>
          </cell>
          <cell r="H32">
            <v>7.72136337098779</v>
          </cell>
          <cell r="I32">
            <v>10.618594674232693</v>
          </cell>
          <cell r="J32">
            <v>9.159496660980551</v>
          </cell>
          <cell r="K32">
            <v>8.6542285735876892</v>
          </cell>
          <cell r="L32">
            <v>7.956070800331978</v>
          </cell>
          <cell r="M32">
            <v>8.1793398543126479</v>
          </cell>
          <cell r="N32">
            <v>8.4576053224661223</v>
          </cell>
          <cell r="O32">
            <v>8.6898580185117886</v>
          </cell>
          <cell r="P32">
            <v>8.8899672882758995</v>
          </cell>
          <cell r="S32" t="str">
            <v xml:space="preserve"> </v>
          </cell>
        </row>
        <row r="33">
          <cell r="A33" t="str">
            <v>Dividend Yield (%)</v>
          </cell>
          <cell r="B33">
            <v>1.179554390563565</v>
          </cell>
          <cell r="C33">
            <v>1.5727391874180863</v>
          </cell>
          <cell r="D33">
            <v>1.9659239842726082</v>
          </cell>
          <cell r="E33">
            <v>1.3106159895150722</v>
          </cell>
          <cell r="F33">
            <v>1.6382699868938402</v>
          </cell>
          <cell r="G33">
            <v>1.9659239842726082</v>
          </cell>
          <cell r="H33">
            <v>2.2280471821756227</v>
          </cell>
          <cell r="I33">
            <v>2.490170380078637</v>
          </cell>
          <cell r="J33">
            <v>2.6146788990825685</v>
          </cell>
          <cell r="K33">
            <v>2.7454128440366974</v>
          </cell>
          <cell r="L33">
            <v>2.8826834862385322</v>
          </cell>
          <cell r="M33">
            <v>3.0268176605504591</v>
          </cell>
          <cell r="N33">
            <v>3.1781585435779816</v>
          </cell>
          <cell r="O33">
            <v>3.3370664707568811</v>
          </cell>
          <cell r="P33">
            <v>3.5039197942947258</v>
          </cell>
        </row>
        <row r="35">
          <cell r="A35" t="str">
            <v>Key Financial Ratios</v>
          </cell>
          <cell r="B35">
            <v>2006</v>
          </cell>
          <cell r="C35">
            <v>2007</v>
          </cell>
          <cell r="D35">
            <v>2008</v>
          </cell>
          <cell r="E35">
            <v>2009</v>
          </cell>
          <cell r="F35">
            <v>2010</v>
          </cell>
          <cell r="G35">
            <v>2011</v>
          </cell>
          <cell r="H35">
            <v>2012</v>
          </cell>
          <cell r="I35" t="str">
            <v>2013e</v>
          </cell>
          <cell r="J35" t="str">
            <v>2014e</v>
          </cell>
          <cell r="K35" t="str">
            <v>2015e</v>
          </cell>
          <cell r="L35" t="str">
            <v>2016e</v>
          </cell>
          <cell r="M35" t="str">
            <v>2017e</v>
          </cell>
          <cell r="N35" t="str">
            <v>2018e</v>
          </cell>
          <cell r="O35" t="str">
            <v>2019e</v>
          </cell>
          <cell r="P35" t="str">
            <v>2020e</v>
          </cell>
        </row>
        <row r="36">
          <cell r="A36" t="str">
            <v>Underlying Gross Margin (%)</v>
          </cell>
          <cell r="B36">
            <v>64.857168482891609</v>
          </cell>
          <cell r="C36">
            <v>74.782140478653318</v>
          </cell>
          <cell r="D36">
            <v>74.887673759799739</v>
          </cell>
          <cell r="E36">
            <v>73.803927217551944</v>
          </cell>
          <cell r="F36">
            <v>74.324574483309632</v>
          </cell>
          <cell r="G36">
            <v>72.8944197189889</v>
          </cell>
          <cell r="H36">
            <v>71.737359814547958</v>
          </cell>
          <cell r="I36">
            <v>73.029535560743028</v>
          </cell>
          <cell r="J36">
            <v>72.29544271634262</v>
          </cell>
          <cell r="K36">
            <v>71.133395155674023</v>
          </cell>
          <cell r="L36">
            <v>70.860922447998149</v>
          </cell>
          <cell r="M36">
            <v>70.381591833329949</v>
          </cell>
          <cell r="N36">
            <v>69.933878370571051</v>
          </cell>
          <cell r="O36">
            <v>69.633625911568402</v>
          </cell>
          <cell r="P36">
            <v>69.307943118738507</v>
          </cell>
        </row>
        <row r="37">
          <cell r="A37" t="str">
            <v>EBIT Margin (%)</v>
          </cell>
          <cell r="B37">
            <v>17.913359343468294</v>
          </cell>
          <cell r="C37">
            <v>13.834610970201069</v>
          </cell>
          <cell r="D37">
            <v>14.907437907635551</v>
          </cell>
          <cell r="E37">
            <v>8.010573052492866</v>
          </cell>
          <cell r="F37">
            <v>11.975601183570525</v>
          </cell>
          <cell r="G37">
            <v>11.080569161901465</v>
          </cell>
          <cell r="H37">
            <v>8.8223974509295076</v>
          </cell>
          <cell r="I37">
            <v>14.665933610332491</v>
          </cell>
          <cell r="J37">
            <v>15.869039141555104</v>
          </cell>
          <cell r="K37">
            <v>18.162299318458945</v>
          </cell>
          <cell r="L37">
            <v>19.685168893931305</v>
          </cell>
          <cell r="M37">
            <v>19.112680057889182</v>
          </cell>
          <cell r="N37">
            <v>20.870110740322936</v>
          </cell>
          <cell r="O37">
            <v>20.246369752639914</v>
          </cell>
          <cell r="P37">
            <v>19.658015749456371</v>
          </cell>
          <cell r="Q37" t="str">
            <v xml:space="preserve"> </v>
          </cell>
        </row>
        <row r="38">
          <cell r="A38" t="str">
            <v>R&amp;D as (%) Sales</v>
          </cell>
          <cell r="B38">
            <v>13.79658280640388</v>
          </cell>
          <cell r="C38">
            <v>14.562226347186602</v>
          </cell>
          <cell r="D38">
            <v>16.264576059028922</v>
          </cell>
          <cell r="E38">
            <v>17.353897826314764</v>
          </cell>
          <cell r="F38">
            <v>15.037786949512913</v>
          </cell>
          <cell r="G38">
            <v>14.731695561810342</v>
          </cell>
          <cell r="H38">
            <v>13.525826344572037</v>
          </cell>
          <cell r="I38">
            <v>13.557336121350867</v>
          </cell>
          <cell r="J38">
            <v>13.832019352360419</v>
          </cell>
          <cell r="K38">
            <v>13.982433177550869</v>
          </cell>
          <cell r="L38">
            <v>14.15173934121497</v>
          </cell>
          <cell r="M38">
            <v>14.342760340855381</v>
          </cell>
          <cell r="N38">
            <v>14.570922743129003</v>
          </cell>
          <cell r="O38">
            <v>14.5758981013342</v>
          </cell>
          <cell r="P38">
            <v>14.602945229337791</v>
          </cell>
        </row>
        <row r="39">
          <cell r="A39" t="str">
            <v>ROCE (%)</v>
          </cell>
          <cell r="C39">
            <v>4.9798171303340615</v>
          </cell>
          <cell r="D39">
            <v>5.5555934160879703</v>
          </cell>
          <cell r="E39">
            <v>1.8021481420086254</v>
          </cell>
          <cell r="F39">
            <v>3.3954447705112676</v>
          </cell>
          <cell r="G39">
            <v>8.0205899892084709</v>
          </cell>
          <cell r="H39">
            <v>9.4881376752943307</v>
          </cell>
          <cell r="I39">
            <v>11.232445627398789</v>
          </cell>
          <cell r="J39">
            <v>11.702048321182335</v>
          </cell>
          <cell r="K39">
            <v>11.916680074480897</v>
          </cell>
          <cell r="L39">
            <v>12.410998787364278</v>
          </cell>
          <cell r="M39">
            <v>11.715391897961348</v>
          </cell>
          <cell r="N39">
            <v>10.923747239997168</v>
          </cell>
          <cell r="O39">
            <v>10.2858401802277</v>
          </cell>
          <cell r="P39">
            <v>9.7218016734403392</v>
          </cell>
        </row>
        <row r="40">
          <cell r="A40" t="str">
            <v>ROE (%)</v>
          </cell>
          <cell r="C40">
            <v>7.3974763089102513</v>
          </cell>
          <cell r="D40">
            <v>7.849641586776313</v>
          </cell>
          <cell r="E40">
            <v>2.5807050261790119</v>
          </cell>
          <cell r="F40">
            <v>5.6484083946862507</v>
          </cell>
          <cell r="G40">
            <v>14.200842561868926</v>
          </cell>
          <cell r="H40">
            <v>15.88608994012321</v>
          </cell>
          <cell r="I40">
            <v>17.862254108711312</v>
          </cell>
          <cell r="J40">
            <v>17.849815109954584</v>
          </cell>
          <cell r="K40">
            <v>17.688664818136207</v>
          </cell>
          <cell r="L40">
            <v>17.821728782167717</v>
          </cell>
          <cell r="M40">
            <v>16.427599695336035</v>
          </cell>
          <cell r="N40">
            <v>14.9698958158971</v>
          </cell>
          <cell r="O40">
            <v>13.792704552399265</v>
          </cell>
          <cell r="P40">
            <v>12.799731933524999</v>
          </cell>
        </row>
        <row r="41">
          <cell r="A41" t="str">
            <v>Capex as (%) Sales</v>
          </cell>
          <cell r="B41">
            <v>5.6773846360823361</v>
          </cell>
          <cell r="C41">
            <v>4.007198220282544</v>
          </cell>
          <cell r="D41">
            <v>5.2006061005336317</v>
          </cell>
          <cell r="E41">
            <v>6.032041397081886</v>
          </cell>
          <cell r="F41">
            <v>4.2645273705511535</v>
          </cell>
          <cell r="G41">
            <v>3.5644494909116378</v>
          </cell>
          <cell r="H41">
            <v>2.9455726905761361</v>
          </cell>
          <cell r="I41">
            <v>3.6682860001261814</v>
          </cell>
          <cell r="J41">
            <v>4</v>
          </cell>
          <cell r="K41">
            <v>4</v>
          </cell>
          <cell r="L41">
            <v>4</v>
          </cell>
          <cell r="M41">
            <v>4</v>
          </cell>
          <cell r="N41">
            <v>4</v>
          </cell>
          <cell r="O41">
            <v>4</v>
          </cell>
          <cell r="P41">
            <v>4</v>
          </cell>
        </row>
        <row r="42">
          <cell r="A42" t="str">
            <v>FCF as (%) Market Capitalisation</v>
          </cell>
          <cell r="B42">
            <v>3.2431287184293263</v>
          </cell>
          <cell r="C42">
            <v>1.598807134197662</v>
          </cell>
          <cell r="D42">
            <v>3.2206713970988372</v>
          </cell>
          <cell r="E42">
            <v>6.0781857193367479</v>
          </cell>
          <cell r="F42">
            <v>7.9078944319898454</v>
          </cell>
          <cell r="G42">
            <v>5.8499454741741301</v>
          </cell>
          <cell r="H42">
            <v>13.197972043910285</v>
          </cell>
          <cell r="I42">
            <v>9.5969703183471005</v>
          </cell>
          <cell r="J42">
            <v>11.125757416921246</v>
          </cell>
          <cell r="K42">
            <v>11.775323131882978</v>
          </cell>
          <cell r="L42">
            <v>12.808626326819208</v>
          </cell>
          <cell r="M42">
            <v>12.45899299042312</v>
          </cell>
          <cell r="N42">
            <v>12.049077017163913</v>
          </cell>
          <cell r="O42">
            <v>11.727042915325107</v>
          </cell>
          <cell r="P42">
            <v>11.463072315863744</v>
          </cell>
        </row>
        <row r="43">
          <cell r="A43" t="str">
            <v>Net Cash Inflow/(Outflow) for Year (m)</v>
          </cell>
          <cell r="B43">
            <v>-861.5999999999998</v>
          </cell>
          <cell r="C43">
            <v>-33.499999999999183</v>
          </cell>
          <cell r="D43">
            <v>266.09999999999968</v>
          </cell>
          <cell r="E43">
            <v>-151.29999999999981</v>
          </cell>
          <cell r="F43">
            <v>402.30000000000052</v>
          </cell>
          <cell r="G43">
            <v>-5.9000000000003183</v>
          </cell>
          <cell r="H43">
            <v>-208.10000000000036</v>
          </cell>
          <cell r="I43">
            <v>251.09999999999928</v>
          </cell>
          <cell r="J43">
            <v>-740.09981931076436</v>
          </cell>
          <cell r="K43">
            <v>1178.0146661080066</v>
          </cell>
          <cell r="L43">
            <v>1638.5142034062644</v>
          </cell>
          <cell r="M43">
            <v>1598.5692981112861</v>
          </cell>
          <cell r="N43">
            <v>1547.1531894535638</v>
          </cell>
          <cell r="O43">
            <v>1508.25349865416</v>
          </cell>
          <cell r="P43">
            <v>1476.874709562459</v>
          </cell>
        </row>
        <row r="44">
          <cell r="A44" t="str">
            <v>Net Debt/(Cash) on B/S (m)</v>
          </cell>
          <cell r="B44">
            <v>518.79999999999995</v>
          </cell>
          <cell r="C44">
            <v>355.1</v>
          </cell>
          <cell r="D44">
            <v>476.7999999999999</v>
          </cell>
          <cell r="E44">
            <v>262.70000000000005</v>
          </cell>
          <cell r="F44">
            <v>4484.2</v>
          </cell>
          <cell r="G44">
            <v>3484.4</v>
          </cell>
          <cell r="H44">
            <v>1925.900000000001</v>
          </cell>
          <cell r="I44">
            <v>306.60000000000036</v>
          </cell>
          <cell r="J44">
            <v>932.28805460488184</v>
          </cell>
          <cell r="K44">
            <v>-650.72661150312456</v>
          </cell>
          <cell r="L44">
            <v>-2424.240814909389</v>
          </cell>
          <cell r="M44">
            <v>-4157.8101130206751</v>
          </cell>
          <cell r="N44">
            <v>-5839.9633024742388</v>
          </cell>
          <cell r="O44">
            <v>-7483.2168011283993</v>
          </cell>
          <cell r="P44">
            <v>-9095.0915106908578</v>
          </cell>
        </row>
        <row r="45">
          <cell r="A45" t="str">
            <v>Price/Book Value</v>
          </cell>
          <cell r="B45">
            <v>4.4192513376761786</v>
          </cell>
          <cell r="C45">
            <v>1.9229484036889759</v>
          </cell>
          <cell r="D45">
            <v>1.7449845399141539</v>
          </cell>
          <cell r="E45">
            <v>1.753340455777423</v>
          </cell>
          <cell r="F45">
            <v>1.6057209283529206</v>
          </cell>
          <cell r="G45">
            <v>1.5875551345424959</v>
          </cell>
          <cell r="H45">
            <v>1.6008238313065803</v>
          </cell>
          <cell r="I45">
            <v>1.5051520912613428</v>
          </cell>
          <cell r="J45">
            <v>1.4578544093732284</v>
          </cell>
          <cell r="K45">
            <v>1.3602691895273118</v>
          </cell>
          <cell r="L45">
            <v>1.2592990334309127</v>
          </cell>
          <cell r="M45">
            <v>1.1743829370155856</v>
          </cell>
          <cell r="N45">
            <v>1.0822519003970112</v>
          </cell>
          <cell r="O45">
            <v>1.0059314520025979</v>
          </cell>
          <cell r="P45">
            <v>0.9418877116607175</v>
          </cell>
        </row>
        <row r="47">
          <cell r="A47" t="str">
            <v>Notes:</v>
          </cell>
        </row>
        <row r="48">
          <cell r="A48" t="str">
            <v>E= Morgan Stanley Research Estimates</v>
          </cell>
        </row>
        <row r="49">
          <cell r="A49" t="str">
            <v>Source: Morgan Stanley Research</v>
          </cell>
        </row>
        <row r="51">
          <cell r="A51" t="str">
            <v>Other Items (EUR m)</v>
          </cell>
        </row>
        <row r="52">
          <cell r="A52" t="str">
            <v>Goodwill Impairment</v>
          </cell>
          <cell r="B52">
            <v>0.1</v>
          </cell>
          <cell r="C52">
            <v>0</v>
          </cell>
          <cell r="D52">
            <v>41.7</v>
          </cell>
          <cell r="E52">
            <v>0</v>
          </cell>
          <cell r="F52">
            <v>0</v>
          </cell>
          <cell r="G52">
            <v>0</v>
          </cell>
          <cell r="H52">
            <v>0</v>
          </cell>
          <cell r="I52">
            <v>0</v>
          </cell>
          <cell r="J52">
            <v>0</v>
          </cell>
          <cell r="K52">
            <v>0</v>
          </cell>
          <cell r="L52">
            <v>0</v>
          </cell>
          <cell r="M52">
            <v>0</v>
          </cell>
          <cell r="N52">
            <v>0</v>
          </cell>
          <cell r="O52">
            <v>0</v>
          </cell>
          <cell r="P52">
            <v>0</v>
          </cell>
        </row>
        <row r="53">
          <cell r="A53" t="str">
            <v>No. of Shares Outstanding</v>
          </cell>
          <cell r="B53">
            <v>194</v>
          </cell>
          <cell r="C53">
            <v>215.89699575</v>
          </cell>
          <cell r="D53">
            <v>217.4</v>
          </cell>
          <cell r="E53">
            <v>217.38893899999999</v>
          </cell>
          <cell r="F53">
            <v>217.38893899999999</v>
          </cell>
          <cell r="G53">
            <v>217.4</v>
          </cell>
          <cell r="H53">
            <v>217.4</v>
          </cell>
          <cell r="I53">
            <v>217.4</v>
          </cell>
          <cell r="J53">
            <v>217.38893900000002</v>
          </cell>
          <cell r="K53">
            <v>217.38893900000002</v>
          </cell>
          <cell r="L53">
            <v>217.38893900000002</v>
          </cell>
          <cell r="M53">
            <v>217.38893900000002</v>
          </cell>
          <cell r="N53">
            <v>217.38893900000002</v>
          </cell>
          <cell r="O53">
            <v>217.38893900000002</v>
          </cell>
          <cell r="P53">
            <v>217.38893900000002</v>
          </cell>
        </row>
        <row r="54">
          <cell r="A54" t="str">
            <v>R&amp;D</v>
          </cell>
          <cell r="B54">
            <v>-615.30000000000007</v>
          </cell>
          <cell r="C54">
            <v>-1027.7</v>
          </cell>
          <cell r="D54">
            <v>-1234.4000000000001</v>
          </cell>
          <cell r="E54">
            <v>-1344.4000000000003</v>
          </cell>
          <cell r="F54">
            <v>-1397.1</v>
          </cell>
          <cell r="G54">
            <v>-1513.9</v>
          </cell>
          <cell r="H54">
            <v>-1511.2</v>
          </cell>
          <cell r="I54">
            <v>-1504.1999999999998</v>
          </cell>
          <cell r="J54">
            <v>-1547.8947287412186</v>
          </cell>
          <cell r="K54">
            <v>-1600.5976413300189</v>
          </cell>
          <cell r="L54">
            <v>-1639.8064747999786</v>
          </cell>
          <cell r="M54">
            <v>-1678.1450506823098</v>
          </cell>
          <cell r="N54">
            <v>-1716.6594650035424</v>
          </cell>
          <cell r="O54">
            <v>-1730.5529955666798</v>
          </cell>
          <cell r="P54">
            <v>-1744.9904922641031</v>
          </cell>
        </row>
        <row r="55">
          <cell r="A55" t="str">
            <v xml:space="preserve">Net Capital Employed </v>
          </cell>
          <cell r="B55">
            <v>6037.3</v>
          </cell>
          <cell r="C55">
            <v>12351.599999999999</v>
          </cell>
          <cell r="D55">
            <v>13266.3</v>
          </cell>
          <cell r="E55">
            <v>13892.599999999999</v>
          </cell>
          <cell r="F55">
            <v>19028.400000000001</v>
          </cell>
          <cell r="G55">
            <v>17759.7</v>
          </cell>
          <cell r="H55">
            <v>17081.700000000004</v>
          </cell>
          <cell r="I55">
            <v>16919.800000000007</v>
          </cell>
          <cell r="J55">
            <v>17244.449038775481</v>
          </cell>
          <cell r="K55">
            <v>17743.845520522478</v>
          </cell>
          <cell r="L55">
            <v>18679.602851704491</v>
          </cell>
          <cell r="M55">
            <v>19594.453631685821</v>
          </cell>
          <cell r="N55">
            <v>20763.795301913844</v>
          </cell>
          <cell r="O55">
            <v>21898.432176959868</v>
          </cell>
          <cell r="P55">
            <v>22996.489078308288</v>
          </cell>
        </row>
        <row r="56">
          <cell r="A56" t="str">
            <v>MW Net Income</v>
          </cell>
          <cell r="B56">
            <v>538.19999999999891</v>
          </cell>
          <cell r="C56">
            <v>457.86679614000002</v>
          </cell>
          <cell r="D56">
            <v>711.61318287000006</v>
          </cell>
          <cell r="E56">
            <v>244.72180586999025</v>
          </cell>
          <cell r="F56">
            <v>558.9071864500072</v>
          </cell>
          <cell r="G56">
            <v>1475.3113329100011</v>
          </cell>
          <cell r="H56">
            <v>1652.8999999999999</v>
          </cell>
          <cell r="I56">
            <v>1909.6000000000004</v>
          </cell>
          <cell r="J56">
            <v>1998.9584655432893</v>
          </cell>
          <cell r="K56">
            <v>2084.7215630742721</v>
          </cell>
          <cell r="L56">
            <v>2260.2568678966713</v>
          </cell>
          <cell r="M56">
            <v>2241.9778561381295</v>
          </cell>
          <cell r="N56">
            <v>2204.3165519976396</v>
          </cell>
          <cell r="O56">
            <v>2194.0842679010675</v>
          </cell>
          <cell r="P56">
            <v>2182.2976029421911</v>
          </cell>
        </row>
        <row r="57">
          <cell r="A57" t="str">
            <v>Shareholder Equity</v>
          </cell>
          <cell r="B57">
            <v>3753.2999999999997</v>
          </cell>
          <cell r="C57">
            <v>8625.7000000000007</v>
          </cell>
          <cell r="D57">
            <v>9505.4000000000015</v>
          </cell>
          <cell r="E57">
            <v>9460.1</v>
          </cell>
          <cell r="F57">
            <v>10329.800000000001</v>
          </cell>
          <cell r="G57">
            <v>10448.000000000002</v>
          </cell>
          <cell r="H57">
            <v>10361.4</v>
          </cell>
          <cell r="I57">
            <v>11020.000000000002</v>
          </cell>
          <cell r="J57">
            <v>11377.525724829484</v>
          </cell>
          <cell r="K57">
            <v>12193.745306738763</v>
          </cell>
          <cell r="L57">
            <v>13171.435541016779</v>
          </cell>
          <cell r="M57">
            <v>14123.822411666963</v>
          </cell>
          <cell r="N57">
            <v>15326.169480150915</v>
          </cell>
          <cell r="O57">
            <v>16488.97249676329</v>
          </cell>
          <cell r="P57">
            <v>17610.141676500407</v>
          </cell>
        </row>
        <row r="58">
          <cell r="A58" t="str">
            <v>CAPEX</v>
          </cell>
          <cell r="B58">
            <v>-253.2</v>
          </cell>
          <cell r="C58">
            <v>-282.8</v>
          </cell>
          <cell r="D58">
            <v>-394.7</v>
          </cell>
          <cell r="E58">
            <v>-467.3</v>
          </cell>
          <cell r="F58">
            <v>-396.2</v>
          </cell>
          <cell r="G58">
            <v>-366.3</v>
          </cell>
          <cell r="H58">
            <v>-329.1</v>
          </cell>
          <cell r="I58">
            <v>-407</v>
          </cell>
          <cell r="J58">
            <v>-447.6265364614523</v>
          </cell>
          <cell r="K58">
            <v>-457.88815752034253</v>
          </cell>
          <cell r="L58">
            <v>-463.49256024643438</v>
          </cell>
          <cell r="M58">
            <v>-468.01173854996671</v>
          </cell>
          <cell r="N58">
            <v>-471.25621218822056</v>
          </cell>
          <cell r="O58">
            <v>-474.9080937683762</v>
          </cell>
          <cell r="P58">
            <v>-477.98316431629434</v>
          </cell>
        </row>
        <row r="59">
          <cell r="A59" t="str">
            <v>FCF</v>
          </cell>
          <cell r="B59">
            <v>537.93049739965295</v>
          </cell>
          <cell r="C59">
            <v>265.19055875204049</v>
          </cell>
          <cell r="D59">
            <v>534.20555180470149</v>
          </cell>
          <cell r="E59">
            <v>1008.1750529081061</v>
          </cell>
          <cell r="F59">
            <v>1311.6647393645358</v>
          </cell>
          <cell r="G59">
            <v>970.31735459682591</v>
          </cell>
          <cell r="H59">
            <v>2189.1180654974942</v>
          </cell>
          <cell r="I59">
            <v>1591.8279738765359</v>
          </cell>
          <cell r="J59">
            <v>1845.4044661325843</v>
          </cell>
          <cell r="K59">
            <v>1953.1464765429369</v>
          </cell>
          <cell r="L59">
            <v>2124.5381633600723</v>
          </cell>
          <cell r="M59">
            <v>2066.5452648709443</v>
          </cell>
          <cell r="N59">
            <v>1998.5534204108881</v>
          </cell>
          <cell r="O59">
            <v>1945.1383451481038</v>
          </cell>
          <cell r="P59">
            <v>1901.3541329889558</v>
          </cell>
        </row>
        <row r="62">
          <cell r="A62" t="str">
            <v>Recent Changes to Our Forecasts</v>
          </cell>
        </row>
        <row r="63">
          <cell r="B63" t="str">
            <v>2010e</v>
          </cell>
          <cell r="C63" t="str">
            <v>2011e</v>
          </cell>
          <cell r="D63" t="str">
            <v>2012e</v>
          </cell>
          <cell r="E63" t="str">
            <v>2013e</v>
          </cell>
          <cell r="F63" t="str">
            <v>2014e</v>
          </cell>
          <cell r="G63" t="str">
            <v>2015e</v>
          </cell>
          <cell r="H63" t="str">
            <v>2016e</v>
          </cell>
          <cell r="I63" t="str">
            <v>2017e</v>
          </cell>
          <cell r="J63" t="str">
            <v>2018e</v>
          </cell>
          <cell r="K63" t="str">
            <v>2019e</v>
          </cell>
          <cell r="L63" t="str">
            <v>2020e</v>
          </cell>
          <cell r="M63" t="str">
            <v>CAGR 
(11-16)</v>
          </cell>
        </row>
        <row r="64">
          <cell r="A64" t="str">
            <v>Revenue</v>
          </cell>
          <cell r="B64">
            <v>9290.5957817500075</v>
          </cell>
          <cell r="C64">
            <v>10276.481710120002</v>
          </cell>
          <cell r="D64">
            <v>11172.7</v>
          </cell>
          <cell r="E64">
            <v>11095.1</v>
          </cell>
          <cell r="F64">
            <v>11190.663411536307</v>
          </cell>
          <cell r="G64">
            <v>11447.203938008563</v>
          </cell>
          <cell r="H64">
            <v>11587.314006160859</v>
          </cell>
          <cell r="I64">
            <v>11700.293463749167</v>
          </cell>
          <cell r="J64">
            <v>11781.405304705513</v>
          </cell>
          <cell r="K64">
            <v>11872.702344209405</v>
          </cell>
          <cell r="L64">
            <v>11949.579107907359</v>
          </cell>
          <cell r="M64">
            <v>2.4301159889901891E-2</v>
          </cell>
        </row>
        <row r="65">
          <cell r="B65">
            <v>9404.4206264669119</v>
          </cell>
          <cell r="C65">
            <v>9886.1088232211314</v>
          </cell>
          <cell r="D65">
            <v>10500.582546289979</v>
          </cell>
          <cell r="E65">
            <v>11201.506004214716</v>
          </cell>
          <cell r="F65">
            <v>11807.603565388934</v>
          </cell>
          <cell r="G65">
            <v>12350.689757714717</v>
          </cell>
          <cell r="H65">
            <v>12897.979503946259</v>
          </cell>
          <cell r="I65">
            <v>13335.468900691434</v>
          </cell>
          <cell r="J65">
            <v>13798.365029884613</v>
          </cell>
          <cell r="K65">
            <v>14287.754827386889</v>
          </cell>
          <cell r="L65">
            <v>14804.787386204283</v>
          </cell>
          <cell r="M65">
            <v>5.4627906834319617E-2</v>
          </cell>
        </row>
        <row r="66">
          <cell r="B66">
            <v>-1.2103334084884138E-2</v>
          </cell>
          <cell r="C66">
            <v>3.948701090381869E-2</v>
          </cell>
          <cell r="D66">
            <v>6.4007634885694137E-2</v>
          </cell>
          <cell r="E66">
            <v>-9.4992587759787882E-3</v>
          </cell>
          <cell r="F66">
            <v>-5.224939594525637E-2</v>
          </cell>
          <cell r="G66">
            <v>-7.3152660898295405E-2</v>
          </cell>
          <cell r="H66">
            <v>-0.10161789273927666</v>
          </cell>
          <cell r="I66">
            <v>-0.12261851826278747</v>
          </cell>
          <cell r="J66">
            <v>-0.14617381992799525</v>
          </cell>
          <cell r="K66">
            <v>-0.16902952999643378</v>
          </cell>
          <cell r="L66">
            <v>-0.19285709438539633</v>
          </cell>
        </row>
        <row r="68">
          <cell r="A68" t="str">
            <v>Liquid Crystal sales</v>
          </cell>
          <cell r="B68">
            <v>1005.5525954000001</v>
          </cell>
          <cell r="C68">
            <v>1094.0999999999999</v>
          </cell>
          <cell r="D68">
            <v>1238.9080000000001</v>
          </cell>
          <cell r="E68">
            <v>1206.9434999999999</v>
          </cell>
          <cell r="F68">
            <v>1200.66032071115</v>
          </cell>
          <cell r="G68">
            <v>1224.6735271253731</v>
          </cell>
          <cell r="H68">
            <v>1249.1669976678807</v>
          </cell>
          <cell r="I68">
            <v>1274.1503376212384</v>
          </cell>
          <cell r="J68">
            <v>1299.6333443736632</v>
          </cell>
          <cell r="K68">
            <v>1325.6260112611365</v>
          </cell>
          <cell r="L68">
            <v>1352.1385314863592</v>
          </cell>
          <cell r="M68">
            <v>2.6863451984051823E-2</v>
          </cell>
        </row>
        <row r="69">
          <cell r="B69">
            <v>1091.5004833228211</v>
          </cell>
          <cell r="C69">
            <v>1146.0755074889623</v>
          </cell>
          <cell r="D69">
            <v>1203.3792828634105</v>
          </cell>
          <cell r="E69">
            <v>1263.5482470065811</v>
          </cell>
          <cell r="F69">
            <v>1326.7256593569102</v>
          </cell>
          <cell r="G69">
            <v>1393.0619423247556</v>
          </cell>
          <cell r="H69">
            <v>1462.7150394409935</v>
          </cell>
          <cell r="I69">
            <v>1535.8507914130432</v>
          </cell>
          <cell r="J69">
            <v>1612.6433309836953</v>
          </cell>
          <cell r="K69">
            <v>1693.2754975328801</v>
          </cell>
          <cell r="L69">
            <v>1777.9392724095244</v>
          </cell>
          <cell r="M69">
            <v>5.0000000000000044E-2</v>
          </cell>
        </row>
        <row r="70">
          <cell r="B70">
            <v>-7.87428766510231E-2</v>
          </cell>
          <cell r="C70">
            <v>-4.5350857905374957E-2</v>
          </cell>
          <cell r="D70">
            <v>2.9524122313332474E-2</v>
          </cell>
          <cell r="E70">
            <v>-4.4798247427972074E-2</v>
          </cell>
          <cell r="F70">
            <v>-9.501989937156001E-2</v>
          </cell>
          <cell r="G70">
            <v>-0.12087647367522958</v>
          </cell>
          <cell r="H70">
            <v>-0.14599428871308015</v>
          </cell>
          <cell r="I70">
            <v>-0.17039445189270641</v>
          </cell>
          <cell r="J70">
            <v>-0.19409746755291465</v>
          </cell>
          <cell r="K70">
            <v>-0.21712325419426001</v>
          </cell>
          <cell r="L70">
            <v>-0.23949116121728131</v>
          </cell>
        </row>
        <row r="72">
          <cell r="A72" t="str">
            <v>Erbitux sales</v>
          </cell>
          <cell r="B72">
            <v>819.8625262999999</v>
          </cell>
          <cell r="C72">
            <v>855.40147690000038</v>
          </cell>
          <cell r="D72">
            <v>887.4</v>
          </cell>
          <cell r="E72">
            <v>882.2</v>
          </cell>
          <cell r="F72">
            <v>894.26350125552358</v>
          </cell>
          <cell r="G72">
            <v>876.38451128063411</v>
          </cell>
          <cell r="H72">
            <v>859.93615450624679</v>
          </cell>
          <cell r="I72">
            <v>816.93934678093444</v>
          </cell>
          <cell r="J72">
            <v>754.18996342938772</v>
          </cell>
          <cell r="K72">
            <v>696.76829084666838</v>
          </cell>
          <cell r="L72">
            <v>627.09146176200147</v>
          </cell>
          <cell r="M72">
            <v>1.0580043308259235E-3</v>
          </cell>
        </row>
        <row r="73">
          <cell r="B73">
            <v>793.05895738041841</v>
          </cell>
          <cell r="C73">
            <v>832.71190524943938</v>
          </cell>
          <cell r="D73">
            <v>874.34750051191133</v>
          </cell>
          <cell r="E73">
            <v>918.06487553750696</v>
          </cell>
          <cell r="F73">
            <v>963.96811931438231</v>
          </cell>
          <cell r="G73">
            <v>1012.1665252801015</v>
          </cell>
          <cell r="H73">
            <v>1062.7748515441067</v>
          </cell>
          <cell r="I73">
            <v>1062.7748515441067</v>
          </cell>
          <cell r="J73">
            <v>1062.7748515441067</v>
          </cell>
          <cell r="K73">
            <v>1062.7748515441067</v>
          </cell>
          <cell r="L73">
            <v>1062.7748515441067</v>
          </cell>
          <cell r="M73">
            <v>5.0000000000000044E-2</v>
          </cell>
        </row>
        <row r="74">
          <cell r="B74">
            <v>3.379770024679795E-2</v>
          </cell>
          <cell r="C74">
            <v>2.7247805042206426E-2</v>
          </cell>
          <cell r="D74">
            <v>1.4928274490916585E-2</v>
          </cell>
          <cell r="E74">
            <v>-3.9065731075387036E-2</v>
          </cell>
          <cell r="F74">
            <v>-7.2310086466797055E-2</v>
          </cell>
          <cell r="G74">
            <v>-0.13414987614008653</v>
          </cell>
          <cell r="H74">
            <v>-0.19085763719677348</v>
          </cell>
          <cell r="I74">
            <v>-0.2313147553369348</v>
          </cell>
          <cell r="J74">
            <v>-0.29035772503120078</v>
          </cell>
          <cell r="K74">
            <v>-0.34438767549464216</v>
          </cell>
          <cell r="L74">
            <v>-0.40994890794517802</v>
          </cell>
        </row>
        <row r="75">
          <cell r="A75" t="str">
            <v>Consensus</v>
          </cell>
          <cell r="B75">
            <v>870</v>
          </cell>
        </row>
        <row r="76">
          <cell r="B76">
            <v>-5.7629280114942616E-2</v>
          </cell>
        </row>
        <row r="78">
          <cell r="A78" t="str">
            <v>Rebif sales</v>
          </cell>
          <cell r="B78">
            <v>1668.4152830200007</v>
          </cell>
          <cell r="C78">
            <v>1691.1697708600009</v>
          </cell>
          <cell r="D78">
            <v>1892.6</v>
          </cell>
          <cell r="E78">
            <v>1864.7</v>
          </cell>
          <cell r="F78">
            <v>1662.7279584623782</v>
          </cell>
          <cell r="G78">
            <v>1496.4551626161403</v>
          </cell>
          <cell r="H78">
            <v>1346.8096463545262</v>
          </cell>
          <cell r="I78">
            <v>1212.1286817190737</v>
          </cell>
          <cell r="J78">
            <v>1090.9158135471664</v>
          </cell>
          <cell r="K78">
            <v>981.8242321924497</v>
          </cell>
          <cell r="L78">
            <v>883.64180897320477</v>
          </cell>
          <cell r="M78">
            <v>-4.451515685919416E-2</v>
          </cell>
        </row>
        <row r="79">
          <cell r="B79">
            <v>1663.765658279659</v>
          </cell>
          <cell r="C79">
            <v>1700.0511101424554</v>
          </cell>
          <cell r="D79">
            <v>1785.0536656495781</v>
          </cell>
          <cell r="E79">
            <v>1874.3063489320571</v>
          </cell>
          <cell r="F79">
            <v>1968.02166637866</v>
          </cell>
          <cell r="G79">
            <v>2066.4227496975932</v>
          </cell>
          <cell r="H79">
            <v>2169.7438871824729</v>
          </cell>
          <cell r="I79">
            <v>2278.2310815415967</v>
          </cell>
          <cell r="J79">
            <v>2392.1426356186766</v>
          </cell>
          <cell r="K79">
            <v>2511.7497673996104</v>
          </cell>
          <cell r="L79">
            <v>2637.3372557695911</v>
          </cell>
          <cell r="M79">
            <v>5.0000000000000044E-2</v>
          </cell>
        </row>
        <row r="80">
          <cell r="B80">
            <v>2.7946392072724416E-3</v>
          </cell>
          <cell r="C80">
            <v>-5.2241601616967327E-3</v>
          </cell>
          <cell r="D80">
            <v>6.0248235904597242E-2</v>
          </cell>
          <cell r="E80">
            <v>-5.1252821810748956E-3</v>
          </cell>
          <cell r="F80">
            <v>-0.1551272087761362</v>
          </cell>
          <cell r="G80">
            <v>-0.27582332180811681</v>
          </cell>
          <cell r="H80">
            <v>-0.37927713297838589</v>
          </cell>
          <cell r="I80">
            <v>-0.4679518282671879</v>
          </cell>
          <cell r="J80">
            <v>-0.54395870994330386</v>
          </cell>
          <cell r="K80">
            <v>-0.60910746566568907</v>
          </cell>
          <cell r="L80">
            <v>-0.66494925628487644</v>
          </cell>
        </row>
        <row r="82">
          <cell r="A82" t="str">
            <v>Royalties</v>
          </cell>
          <cell r="B82">
            <v>361.68350795999999</v>
          </cell>
          <cell r="C82">
            <v>370.5</v>
          </cell>
          <cell r="D82">
            <v>432.09999999999997</v>
          </cell>
          <cell r="E82">
            <v>395</v>
          </cell>
          <cell r="F82">
            <v>298.92893741125067</v>
          </cell>
          <cell r="G82">
            <v>152.55756541125066</v>
          </cell>
          <cell r="H82">
            <v>182.41180185125066</v>
          </cell>
          <cell r="I82">
            <v>214.34285473925064</v>
          </cell>
          <cell r="J82">
            <v>214.34285473925064</v>
          </cell>
          <cell r="K82">
            <v>214.34285473925064</v>
          </cell>
          <cell r="L82">
            <v>214.34285473925064</v>
          </cell>
          <cell r="M82">
            <v>-0.13213346113487268</v>
          </cell>
        </row>
        <row r="83">
          <cell r="B83">
            <v>360.52983741056329</v>
          </cell>
          <cell r="C83">
            <v>374.56132928109145</v>
          </cell>
          <cell r="D83">
            <v>393.17939574514605</v>
          </cell>
          <cell r="E83">
            <v>412.72836553240336</v>
          </cell>
          <cell r="F83">
            <v>433.25478380902354</v>
          </cell>
          <cell r="G83">
            <v>454.80752299947471</v>
          </cell>
          <cell r="H83">
            <v>477.43789914944847</v>
          </cell>
          <cell r="I83">
            <v>501.19979410692088</v>
          </cell>
          <cell r="J83">
            <v>526.14978381226706</v>
          </cell>
          <cell r="K83">
            <v>552.34727300288046</v>
          </cell>
          <cell r="L83">
            <v>579.85463665302439</v>
          </cell>
          <cell r="M83">
            <v>4.9732855993549485E-2</v>
          </cell>
        </row>
        <row r="84">
          <cell r="B84">
            <v>3.1999308510017241E-3</v>
          </cell>
          <cell r="C84">
            <v>-1.0842895311393987E-2</v>
          </cell>
          <cell r="D84">
            <v>9.8989429954975977E-2</v>
          </cell>
          <cell r="E84">
            <v>-4.2954075883624973E-2</v>
          </cell>
          <cell r="F84">
            <v>-0.31003892263306898</v>
          </cell>
          <cell r="G84">
            <v>-0.66456675033621448</v>
          </cell>
          <cell r="H84">
            <v>-0.61793606629005415</v>
          </cell>
          <cell r="I84">
            <v>-0.57234049722389768</v>
          </cell>
          <cell r="J84">
            <v>-0.59262008398785304</v>
          </cell>
          <cell r="K84">
            <v>-0.61194186118823679</v>
          </cell>
          <cell r="L84">
            <v>-0.63035071000473875</v>
          </cell>
        </row>
        <row r="86">
          <cell r="A86" t="str">
            <v>Gross profit</v>
          </cell>
          <cell r="B86">
            <v>6905.1957817500079</v>
          </cell>
          <cell r="C86">
            <v>7490.9817101200024</v>
          </cell>
          <cell r="D86">
            <v>8015.0000000000009</v>
          </cell>
          <cell r="E86">
            <v>8102.7000000000007</v>
          </cell>
          <cell r="F86">
            <v>8090.3396562659427</v>
          </cell>
          <cell r="G86">
            <v>8142.7848114995077</v>
          </cell>
          <cell r="H86">
            <v>8210.8775917116745</v>
          </cell>
          <cell r="I86">
            <v>8234.8527889577217</v>
          </cell>
          <cell r="J86">
            <v>8239.1936561367584</v>
          </cell>
          <cell r="K86">
            <v>8267.3931359607886</v>
          </cell>
          <cell r="L86">
            <v>8282.0074910370931</v>
          </cell>
          <cell r="M86">
            <v>1.8521423144084448E-2</v>
          </cell>
        </row>
        <row r="87">
          <cell r="B87">
            <v>7291.1803558610018</v>
          </cell>
          <cell r="C87">
            <v>7526.4435873898201</v>
          </cell>
          <cell r="D87">
            <v>8005.4211872255119</v>
          </cell>
          <cell r="E87">
            <v>8555.6559343675744</v>
          </cell>
          <cell r="F87">
            <v>9023.2405260834494</v>
          </cell>
          <cell r="G87">
            <v>9435.0594842784703</v>
          </cell>
          <cell r="H87">
            <v>9848.0275122495514</v>
          </cell>
          <cell r="I87">
            <v>10165.298030313565</v>
          </cell>
          <cell r="J87">
            <v>10501.4622984052</v>
          </cell>
          <cell r="K87">
            <v>10857.310727758737</v>
          </cell>
          <cell r="L87">
            <v>11233.67993011084</v>
          </cell>
          <cell r="M87">
            <v>5.5241562903267427E-2</v>
          </cell>
        </row>
        <row r="88">
          <cell r="B88">
            <v>-5.2938557993661602E-2</v>
          </cell>
          <cell r="C88">
            <v>-4.7116379546419916E-3</v>
          </cell>
          <cell r="D88">
            <v>1.1965407628738195E-3</v>
          </cell>
          <cell r="E88">
            <v>-5.2942280269602238E-2</v>
          </cell>
          <cell r="F88">
            <v>-0.10338867362792485</v>
          </cell>
          <cell r="G88">
            <v>-0.13696518553298628</v>
          </cell>
          <cell r="H88">
            <v>-0.16624140402750645</v>
          </cell>
          <cell r="I88">
            <v>-0.18990542486793133</v>
          </cell>
          <cell r="J88">
            <v>-0.21542415503524689</v>
          </cell>
          <cell r="K88">
            <v>-0.23854135307892971</v>
          </cell>
          <cell r="L88">
            <v>-0.26275205074715208</v>
          </cell>
        </row>
        <row r="90">
          <cell r="A90" t="str">
            <v>SG&amp;A</v>
          </cell>
          <cell r="B90">
            <v>-3580.9000000000005</v>
          </cell>
          <cell r="C90">
            <v>-3838.5000000000009</v>
          </cell>
          <cell r="D90">
            <v>-4669.3999999999996</v>
          </cell>
          <cell r="E90">
            <v>-4175.4000000000005</v>
          </cell>
          <cell r="F90">
            <v>-4010.8910070440252</v>
          </cell>
          <cell r="G90">
            <v>-3824.924933508215</v>
          </cell>
          <cell r="H90">
            <v>-3659.8294435192665</v>
          </cell>
          <cell r="I90">
            <v>-3700.8993936193679</v>
          </cell>
          <cell r="J90">
            <v>-3762.0322279251177</v>
          </cell>
          <cell r="K90">
            <v>-3833.9680736056298</v>
          </cell>
          <cell r="L90">
            <v>-3891.9863844227898</v>
          </cell>
          <cell r="M90">
            <v>-9.4877285941382672E-3</v>
          </cell>
        </row>
        <row r="91">
          <cell r="B91">
            <v>-3261.0863670877102</v>
          </cell>
          <cell r="C91">
            <v>-3361.0142775136424</v>
          </cell>
          <cell r="D91">
            <v>-3577.0568894191442</v>
          </cell>
          <cell r="E91">
            <v>-3826.5398759574909</v>
          </cell>
          <cell r="F91">
            <v>-4035.6185756180671</v>
          </cell>
          <cell r="G91">
            <v>-4217.1449625121613</v>
          </cell>
          <cell r="H91">
            <v>-4398.3698657158129</v>
          </cell>
          <cell r="I91">
            <v>-4532.8057476260956</v>
          </cell>
          <cell r="J91">
            <v>-4675.3576631456108</v>
          </cell>
          <cell r="K91">
            <v>-4826.355074717575</v>
          </cell>
          <cell r="L91">
            <v>-4986.1470270249365</v>
          </cell>
          <cell r="M91">
            <v>5.5271667054643592E-2</v>
          </cell>
        </row>
        <row r="92">
          <cell r="B92">
            <v>9.8069660509450915E-2</v>
          </cell>
          <cell r="C92">
            <v>0.14206596076693412</v>
          </cell>
          <cell r="D92">
            <v>0.30537482191350729</v>
          </cell>
          <cell r="E92">
            <v>9.1168558371606284E-2</v>
          </cell>
          <cell r="F92">
            <v>-6.1273304477876293E-3</v>
          </cell>
          <cell r="G92">
            <v>-9.3006058006196712E-2</v>
          </cell>
          <cell r="H92">
            <v>-0.16791230495490689</v>
          </cell>
          <cell r="I92">
            <v>-0.18353011364813299</v>
          </cell>
          <cell r="J92">
            <v>-0.19534878420531401</v>
          </cell>
          <cell r="K92">
            <v>-0.20561831563335961</v>
          </cell>
          <cell r="L92">
            <v>-0.21944010809785425</v>
          </cell>
        </row>
        <row r="94">
          <cell r="A94" t="str">
            <v>R&amp;D</v>
          </cell>
          <cell r="B94">
            <v>-1397.1</v>
          </cell>
          <cell r="C94">
            <v>-1513.9</v>
          </cell>
          <cell r="D94">
            <v>-1511.2</v>
          </cell>
          <cell r="E94">
            <v>-1504.1999999999998</v>
          </cell>
          <cell r="F94">
            <v>-1547.8947287412186</v>
          </cell>
          <cell r="G94">
            <v>-1600.5976413300189</v>
          </cell>
          <cell r="H94">
            <v>-1639.8064747999786</v>
          </cell>
          <cell r="I94">
            <v>-1678.1450506823098</v>
          </cell>
          <cell r="J94">
            <v>-1716.6594650035424</v>
          </cell>
          <cell r="K94">
            <v>-1730.5529955666798</v>
          </cell>
          <cell r="L94">
            <v>-1744.9904922641031</v>
          </cell>
          <cell r="M94">
            <v>1.6106153828773673E-2</v>
          </cell>
        </row>
        <row r="95">
          <cell r="B95">
            <v>-1342.0610087928162</v>
          </cell>
          <cell r="C95">
            <v>-1455.8339044368074</v>
          </cell>
          <cell r="D95">
            <v>-1553.1150237358379</v>
          </cell>
          <cell r="E95">
            <v>-1666.2900133399437</v>
          </cell>
          <cell r="F95">
            <v>-1759.5198387849791</v>
          </cell>
          <cell r="G95">
            <v>-1839.0241942600189</v>
          </cell>
          <cell r="H95">
            <v>-1918.0074483899296</v>
          </cell>
          <cell r="I95">
            <v>-1973.9003563369247</v>
          </cell>
          <cell r="J95">
            <v>-2033.3217996156227</v>
          </cell>
          <cell r="K95">
            <v>-2096.4134702695928</v>
          </cell>
          <cell r="L95">
            <v>-2163.3257452772782</v>
          </cell>
          <cell r="M95">
            <v>5.6690229987225838E-2</v>
          </cell>
        </row>
        <row r="96">
          <cell r="B96">
            <v>4.1010796712357564E-2</v>
          </cell>
          <cell r="C96">
            <v>3.9885110098226262E-2</v>
          </cell>
          <cell r="D96">
            <v>-2.6987713785046084E-2</v>
          </cell>
          <cell r="E96">
            <v>-9.727599159947406E-2</v>
          </cell>
          <cell r="F96">
            <v>-0.12027435291090345</v>
          </cell>
          <cell r="G96">
            <v>-0.12964840466709435</v>
          </cell>
          <cell r="H96">
            <v>-0.14504686820871665</v>
          </cell>
          <cell r="I96">
            <v>-0.14983294607812131</v>
          </cell>
          <cell r="J96">
            <v>-0.15573645778643685</v>
          </cell>
          <cell r="K96">
            <v>-0.17451732680188534</v>
          </cell>
          <cell r="L96">
            <v>-0.19337598784022061</v>
          </cell>
        </row>
        <row r="98">
          <cell r="A98" t="str">
            <v>EBIT</v>
          </cell>
          <cell r="B98">
            <v>1043.2047811400073</v>
          </cell>
          <cell r="C98">
            <v>1121.3926633000015</v>
          </cell>
          <cell r="D98">
            <v>968.40000000000123</v>
          </cell>
          <cell r="E98">
            <v>1609.9000000000003</v>
          </cell>
          <cell r="F98">
            <v>1758.5507569763824</v>
          </cell>
          <cell r="G98">
            <v>2061.7754428155345</v>
          </cell>
          <cell r="H98">
            <v>2263.6823323829226</v>
          </cell>
          <cell r="I98">
            <v>2218.9396555604985</v>
          </cell>
          <cell r="J98">
            <v>2441.4923338583212</v>
          </cell>
          <cell r="K98">
            <v>2386.4912162389828</v>
          </cell>
          <cell r="L98">
            <v>2331.7501430261768</v>
          </cell>
          <cell r="M98">
            <v>0.15083100578433939</v>
          </cell>
        </row>
        <row r="99">
          <cell r="B99">
            <v>2111.6329799804753</v>
          </cell>
          <cell r="C99">
            <v>2132.1954054393696</v>
          </cell>
          <cell r="D99">
            <v>2297.8492740705292</v>
          </cell>
          <cell r="E99">
            <v>2485.4260450701399</v>
          </cell>
          <cell r="F99">
            <v>2650.7021116804026</v>
          </cell>
          <cell r="G99">
            <v>2801.4903275062902</v>
          </cell>
          <cell r="H99">
            <v>2954.2501981438086</v>
          </cell>
          <cell r="I99">
            <v>3081.1919263505442</v>
          </cell>
          <cell r="J99">
            <v>3215.3828356439667</v>
          </cell>
          <cell r="K99">
            <v>3357.142182771569</v>
          </cell>
          <cell r="L99">
            <v>3506.8071578086256</v>
          </cell>
          <cell r="M99">
            <v>6.7392271695968953E-2</v>
          </cell>
        </row>
        <row r="100">
          <cell r="B100">
            <v>-0.50597249094411612</v>
          </cell>
          <cell r="C100">
            <v>-0.47406665428541134</v>
          </cell>
          <cell r="D100">
            <v>-0.57856243621909664</v>
          </cell>
          <cell r="E100">
            <v>-0.35226396971527346</v>
          </cell>
          <cell r="F100">
            <v>-0.33657171463089985</v>
          </cell>
          <cell r="G100">
            <v>-0.26404334772385357</v>
          </cell>
          <cell r="H100">
            <v>-0.23375402198323561</v>
          </cell>
          <cell r="I100">
            <v>-0.27984373950094144</v>
          </cell>
          <cell r="J100">
            <v>-0.24068378210106764</v>
          </cell>
          <cell r="K100">
            <v>-0.2891301332168309</v>
          </cell>
          <cell r="L100">
            <v>-0.335078879990861</v>
          </cell>
        </row>
        <row r="102">
          <cell r="A102" t="str">
            <v>Core operating result</v>
          </cell>
          <cell r="B102">
            <v>1112.6046984000072</v>
          </cell>
          <cell r="C102">
            <v>1138.6926633000014</v>
          </cell>
          <cell r="D102">
            <v>985.70000000000118</v>
          </cell>
          <cell r="E102">
            <v>1627.2000000000003</v>
          </cell>
          <cell r="F102">
            <v>1775.8507569763824</v>
          </cell>
          <cell r="G102">
            <v>2079.0754428155346</v>
          </cell>
          <cell r="H102">
            <v>2280.9823323829228</v>
          </cell>
          <cell r="I102">
            <v>2236.2396555604987</v>
          </cell>
          <cell r="J102">
            <v>2458.7923338583214</v>
          </cell>
          <cell r="K102">
            <v>2403.791216238983</v>
          </cell>
          <cell r="L102">
            <v>2349.050143026177</v>
          </cell>
          <cell r="M102">
            <v>0.14906098723326289</v>
          </cell>
        </row>
        <row r="103">
          <cell r="B103">
            <v>2112.8329799804751</v>
          </cell>
          <cell r="C103">
            <v>2132.1954054393696</v>
          </cell>
          <cell r="D103">
            <v>2297.8492740705292</v>
          </cell>
          <cell r="E103">
            <v>2485.4260450701399</v>
          </cell>
          <cell r="F103">
            <v>2650.7021116804026</v>
          </cell>
          <cell r="G103">
            <v>2801.4903275062902</v>
          </cell>
          <cell r="H103">
            <v>2954.2501981438086</v>
          </cell>
          <cell r="I103">
            <v>3081.1919263505442</v>
          </cell>
          <cell r="J103">
            <v>3215.3828356439667</v>
          </cell>
          <cell r="K103">
            <v>3357.142182771569</v>
          </cell>
          <cell r="L103">
            <v>3506.8071578086256</v>
          </cell>
          <cell r="M103">
            <v>6.7392271695968953E-2</v>
          </cell>
        </row>
        <row r="104">
          <cell r="B104">
            <v>-0.47340622333039833</v>
          </cell>
          <cell r="C104">
            <v>-0.46595295140627252</v>
          </cell>
          <cell r="D104">
            <v>-0.5710336569404828</v>
          </cell>
          <cell r="E104">
            <v>-0.34530339245958941</v>
          </cell>
          <cell r="F104">
            <v>-0.33004514194520768</v>
          </cell>
          <cell r="G104">
            <v>-0.25786806315115984</v>
          </cell>
          <cell r="H104">
            <v>-0.22789805216359407</v>
          </cell>
          <cell r="I104">
            <v>-0.27422902921559716</v>
          </cell>
          <cell r="J104">
            <v>-0.23530339634786218</v>
          </cell>
          <cell r="K104">
            <v>-0.28397694069231355</v>
          </cell>
          <cell r="L104">
            <v>-0.33014561756110972</v>
          </cell>
        </row>
        <row r="106">
          <cell r="A106" t="str">
            <v>Liquid Crystal operating margins</v>
          </cell>
          <cell r="B106">
            <v>0</v>
          </cell>
          <cell r="C106">
            <v>0</v>
          </cell>
          <cell r="D106">
            <v>0</v>
          </cell>
          <cell r="E106">
            <v>0</v>
          </cell>
          <cell r="F106">
            <v>0</v>
          </cell>
          <cell r="G106">
            <v>0</v>
          </cell>
          <cell r="H106">
            <v>0</v>
          </cell>
          <cell r="I106">
            <v>0</v>
          </cell>
          <cell r="J106">
            <v>0</v>
          </cell>
          <cell r="K106">
            <v>0</v>
          </cell>
          <cell r="L106">
            <v>0</v>
          </cell>
          <cell r="M106" t="e">
            <v>#DIV/0!</v>
          </cell>
        </row>
        <row r="107">
          <cell r="B107">
            <v>0.53787237708877955</v>
          </cell>
          <cell r="C107">
            <v>0.5393382490919959</v>
          </cell>
          <cell r="D107">
            <v>0.5393382490919959</v>
          </cell>
          <cell r="E107">
            <v>0.5393382490919959</v>
          </cell>
          <cell r="F107">
            <v>0.5393382490919959</v>
          </cell>
          <cell r="G107">
            <v>0.5393382490919959</v>
          </cell>
          <cell r="H107">
            <v>0.5393382490919959</v>
          </cell>
          <cell r="I107">
            <v>0.5393382490919959</v>
          </cell>
          <cell r="J107">
            <v>0.5393382490919959</v>
          </cell>
          <cell r="K107">
            <v>0.5393382490919959</v>
          </cell>
          <cell r="L107">
            <v>0.53933824909199601</v>
          </cell>
          <cell r="M107">
            <v>0</v>
          </cell>
        </row>
        <row r="108">
          <cell r="B108">
            <v>-0.53787237708877955</v>
          </cell>
          <cell r="C108">
            <v>-0.5393382490919959</v>
          </cell>
          <cell r="D108">
            <v>-0.5393382490919959</v>
          </cell>
          <cell r="E108">
            <v>-0.5393382490919959</v>
          </cell>
          <cell r="F108">
            <v>-0.5393382490919959</v>
          </cell>
          <cell r="G108">
            <v>-0.5393382490919959</v>
          </cell>
          <cell r="H108">
            <v>-0.5393382490919959</v>
          </cell>
          <cell r="I108">
            <v>-0.5393382490919959</v>
          </cell>
          <cell r="J108">
            <v>-0.5393382490919959</v>
          </cell>
          <cell r="K108">
            <v>-0.5393382490919959</v>
          </cell>
          <cell r="L108">
            <v>-0.53933824909199601</v>
          </cell>
        </row>
        <row r="110">
          <cell r="A110" t="str">
            <v>Core EPS</v>
          </cell>
          <cell r="B110">
            <v>7.0466883441112316</v>
          </cell>
          <cell r="C110">
            <v>0</v>
          </cell>
          <cell r="D110">
            <v>0</v>
          </cell>
          <cell r="E110">
            <v>0</v>
          </cell>
          <cell r="F110">
            <v>0</v>
          </cell>
          <cell r="G110">
            <v>0</v>
          </cell>
          <cell r="H110">
            <v>0</v>
          </cell>
          <cell r="I110">
            <v>0</v>
          </cell>
          <cell r="J110">
            <v>0</v>
          </cell>
          <cell r="K110">
            <v>0</v>
          </cell>
          <cell r="L110">
            <v>0</v>
          </cell>
          <cell r="M110" t="e">
            <v>#DIV/0!</v>
          </cell>
        </row>
        <row r="111">
          <cell r="B111">
            <v>7.220338378239016</v>
          </cell>
          <cell r="C111">
            <v>6.5319611555176902</v>
          </cell>
          <cell r="D111">
            <v>7.3022979015949261</v>
          </cell>
          <cell r="E111">
            <v>8.1444083590967793</v>
          </cell>
          <cell r="F111">
            <v>8.9450860528822407</v>
          </cell>
          <cell r="G111">
            <v>9.7202753352147315</v>
          </cell>
          <cell r="H111">
            <v>10.502045151512712</v>
          </cell>
          <cell r="I111">
            <v>11.234771249388935</v>
          </cell>
          <cell r="J111">
            <v>12.015474736583375</v>
          </cell>
          <cell r="K111">
            <v>12.841481129523327</v>
          </cell>
          <cell r="L111">
            <v>13.715024983381754</v>
          </cell>
          <cell r="M111">
            <v>9.9628677874645799E-2</v>
          </cell>
        </row>
        <row r="112">
          <cell r="B112">
            <v>-2.4050124112069155E-2</v>
          </cell>
          <cell r="C112">
            <v>-1</v>
          </cell>
          <cell r="D112">
            <v>-1</v>
          </cell>
          <cell r="E112">
            <v>-1</v>
          </cell>
          <cell r="F112">
            <v>-1</v>
          </cell>
          <cell r="G112">
            <v>-1</v>
          </cell>
          <cell r="H112">
            <v>-1</v>
          </cell>
          <cell r="I112">
            <v>-1</v>
          </cell>
          <cell r="J112">
            <v>-1</v>
          </cell>
          <cell r="K112">
            <v>-1</v>
          </cell>
          <cell r="L112">
            <v>-1</v>
          </cell>
        </row>
        <row r="114">
          <cell r="A114" t="str">
            <v>ModelWare EPS</v>
          </cell>
          <cell r="B114">
            <v>6.9856888592202031</v>
          </cell>
          <cell r="C114">
            <v>6.786160684958606</v>
          </cell>
          <cell r="D114">
            <v>7.6030358785648566</v>
          </cell>
          <cell r="E114">
            <v>8.7838086476540944</v>
          </cell>
          <cell r="F114">
            <v>9.1953089919781483</v>
          </cell>
          <cell r="G114">
            <v>9.5898235331755863</v>
          </cell>
          <cell r="H114">
            <v>10.397294721129629</v>
          </cell>
          <cell r="I114">
            <v>10.313210352151952</v>
          </cell>
          <cell r="J114">
            <v>10.139966468108295</v>
          </cell>
          <cell r="K114">
            <v>10.092897449124894</v>
          </cell>
          <cell r="L114">
            <v>10.038678200376106</v>
          </cell>
          <cell r="M114">
            <v>8.9078647068660644E-2</v>
          </cell>
        </row>
        <row r="115">
          <cell r="B115">
            <v>6.3209910532458755</v>
          </cell>
          <cell r="C115">
            <v>6.8109075901967344</v>
          </cell>
          <cell r="D115">
            <v>7.5812443362739703</v>
          </cell>
          <cell r="E115">
            <v>8.4233547937758235</v>
          </cell>
          <cell r="F115">
            <v>9.2240324875612849</v>
          </cell>
          <cell r="G115">
            <v>9.9992217698937758</v>
          </cell>
          <cell r="H115">
            <v>10.780991586191758</v>
          </cell>
          <cell r="I115">
            <v>11.513717684067979</v>
          </cell>
          <cell r="J115">
            <v>12.294421171262421</v>
          </cell>
          <cell r="K115">
            <v>13.120427564202373</v>
          </cell>
          <cell r="L115">
            <v>13.993971418060799</v>
          </cell>
          <cell r="M115">
            <v>9.6202388083070911E-2</v>
          </cell>
        </row>
        <row r="116">
          <cell r="B116">
            <v>0.10515721354058877</v>
          </cell>
          <cell r="C116">
            <v>-3.633422552046925E-3</v>
          </cell>
          <cell r="D116">
            <v>2.8744017900360166E-3</v>
          </cell>
          <cell r="E116">
            <v>4.2792196542002135E-2</v>
          </cell>
          <cell r="F116">
            <v>-3.1139846506254777E-3</v>
          </cell>
          <cell r="G116">
            <v>-4.0943009980119537E-2</v>
          </cell>
          <cell r="H116">
            <v>-3.5590127493798078E-2</v>
          </cell>
          <cell r="I116">
            <v>-0.10426756716270889</v>
          </cell>
          <cell r="J116">
            <v>-0.17523840066501495</v>
          </cell>
          <cell r="K116">
            <v>-0.23074934869788527</v>
          </cell>
          <cell r="L116">
            <v>-0.28264265372015412</v>
          </cell>
        </row>
        <row r="131">
          <cell r="A131" t="str">
            <v>`</v>
          </cell>
        </row>
      </sheetData>
      <sheetData sheetId="2"/>
      <sheetData sheetId="3"/>
      <sheetData sheetId="4"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J1">
            <v>30</v>
          </cell>
          <cell r="AQ1">
            <v>31</v>
          </cell>
          <cell r="AX1">
            <v>32</v>
          </cell>
          <cell r="BJ1">
            <v>33</v>
          </cell>
          <cell r="BQ1">
            <v>34</v>
          </cell>
          <cell r="BR1">
            <v>35</v>
          </cell>
          <cell r="BS1">
            <v>36</v>
          </cell>
          <cell r="BT1">
            <v>37</v>
          </cell>
          <cell r="BU1">
            <v>38</v>
          </cell>
          <cell r="BV1">
            <v>39</v>
          </cell>
          <cell r="BW1">
            <v>40</v>
          </cell>
          <cell r="BX1">
            <v>41</v>
          </cell>
          <cell r="BY1">
            <v>42</v>
          </cell>
          <cell r="BZ1">
            <v>43</v>
          </cell>
          <cell r="CA1">
            <v>44</v>
          </cell>
          <cell r="CC1" t="str">
            <v>Return to contents</v>
          </cell>
        </row>
        <row r="3">
          <cell r="A3" t="str">
            <v xml:space="preserve"> Merck KGaA</v>
          </cell>
          <cell r="AQ3">
            <v>0</v>
          </cell>
          <cell r="AX3">
            <v>0</v>
          </cell>
          <cell r="BJ3">
            <v>0</v>
          </cell>
          <cell r="BQ3">
            <v>0</v>
          </cell>
          <cell r="BR3">
            <v>0</v>
          </cell>
          <cell r="BS3">
            <v>0</v>
          </cell>
          <cell r="BT3">
            <v>0</v>
          </cell>
          <cell r="BU3">
            <v>0</v>
          </cell>
          <cell r="BV3">
            <v>0</v>
          </cell>
          <cell r="BW3">
            <v>0</v>
          </cell>
          <cell r="BX3">
            <v>0</v>
          </cell>
          <cell r="BY3">
            <v>0</v>
          </cell>
          <cell r="BZ3">
            <v>0</v>
          </cell>
          <cell r="CA3">
            <v>0</v>
          </cell>
          <cell r="CF3" t="str">
            <v>ElementName</v>
          </cell>
          <cell r="CG3" t="str">
            <v>ScaleOverride</v>
          </cell>
          <cell r="CH3" t="str">
            <v>UnitOverride</v>
          </cell>
          <cell r="CI3" t="str">
            <v>ReverseSign</v>
          </cell>
          <cell r="CJ3" t="str">
            <v>IsDrivingAssumption</v>
          </cell>
          <cell r="CK3" t="str">
            <v>SegmentID</v>
          </cell>
        </row>
        <row r="4">
          <cell r="A4" t="str">
            <v xml:space="preserve">  Quarterly Profit and Loss Statement</v>
          </cell>
          <cell r="BQ4" t="str">
            <v xml:space="preserve">Morgan Stanley Equity Research- Pharmaceuticals  </v>
          </cell>
        </row>
        <row r="5">
          <cell r="A5" t="str">
            <v>in € millions except per share data</v>
          </cell>
        </row>
        <row r="6">
          <cell r="B6" t="str">
            <v>Q106A</v>
          </cell>
          <cell r="C6" t="str">
            <v>Q206A</v>
          </cell>
          <cell r="D6" t="str">
            <v>H106A</v>
          </cell>
          <cell r="E6" t="str">
            <v>Q306A</v>
          </cell>
          <cell r="F6" t="str">
            <v>9M06A</v>
          </cell>
          <cell r="G6" t="str">
            <v>Q406A</v>
          </cell>
          <cell r="H6" t="str">
            <v>2006A</v>
          </cell>
          <cell r="I6" t="str">
            <v>Q107A</v>
          </cell>
          <cell r="J6" t="str">
            <v>Q207A</v>
          </cell>
          <cell r="K6" t="str">
            <v>H107A</v>
          </cell>
          <cell r="L6" t="str">
            <v>Q307A</v>
          </cell>
          <cell r="M6" t="str">
            <v>9M07A</v>
          </cell>
          <cell r="N6" t="str">
            <v>Q407A</v>
          </cell>
          <cell r="O6" t="str">
            <v>2007A</v>
          </cell>
          <cell r="P6" t="str">
            <v>Q108A</v>
          </cell>
          <cell r="Q6" t="str">
            <v>Q208A</v>
          </cell>
          <cell r="R6" t="str">
            <v>H108A</v>
          </cell>
          <cell r="S6" t="str">
            <v>Q308A</v>
          </cell>
          <cell r="T6" t="str">
            <v>9M08A</v>
          </cell>
          <cell r="U6" t="str">
            <v>Q408A</v>
          </cell>
          <cell r="V6" t="str">
            <v>2008A</v>
          </cell>
          <cell r="W6" t="str">
            <v>Q109A</v>
          </cell>
          <cell r="X6" t="str">
            <v>Q209A</v>
          </cell>
          <cell r="Y6" t="str">
            <v>H109A</v>
          </cell>
          <cell r="Z6" t="str">
            <v>Q309A</v>
          </cell>
          <cell r="AA6" t="str">
            <v>9M09A</v>
          </cell>
          <cell r="AB6" t="str">
            <v>Q409A</v>
          </cell>
          <cell r="AC6" t="str">
            <v>2009A</v>
          </cell>
          <cell r="AD6" t="str">
            <v>Q110A</v>
          </cell>
          <cell r="AE6" t="str">
            <v>Q210A</v>
          </cell>
          <cell r="AF6" t="str">
            <v>H110A</v>
          </cell>
          <cell r="AG6" t="str">
            <v>Q310A</v>
          </cell>
          <cell r="AH6" t="str">
            <v>9M10A</v>
          </cell>
          <cell r="AI6" t="str">
            <v>Q410A</v>
          </cell>
          <cell r="AJ6" t="str">
            <v>2010A</v>
          </cell>
          <cell r="AK6" t="str">
            <v>Q111A</v>
          </cell>
          <cell r="AL6" t="str">
            <v>Q211A</v>
          </cell>
          <cell r="AM6" t="str">
            <v>H111A</v>
          </cell>
          <cell r="AN6" t="str">
            <v>Q311A</v>
          </cell>
          <cell r="AO6" t="str">
            <v>9M11A</v>
          </cell>
          <cell r="AP6" t="str">
            <v>Q411A</v>
          </cell>
          <cell r="AQ6" t="str">
            <v>2011A</v>
          </cell>
          <cell r="AR6" t="str">
            <v>Q112A</v>
          </cell>
          <cell r="AS6" t="str">
            <v>Q212A</v>
          </cell>
          <cell r="AT6" t="str">
            <v>H112A</v>
          </cell>
          <cell r="AU6" t="str">
            <v>Q312A</v>
          </cell>
          <cell r="AV6" t="str">
            <v>9M12A</v>
          </cell>
          <cell r="AW6" t="str">
            <v>Q412A</v>
          </cell>
          <cell r="AX6" t="str">
            <v>2012A</v>
          </cell>
          <cell r="AY6" t="str">
            <v>Q112A-Restated</v>
          </cell>
          <cell r="AZ6" t="str">
            <v>Q212A-Restated</v>
          </cell>
          <cell r="BA6" t="str">
            <v>Q312A-Restated</v>
          </cell>
          <cell r="BB6" t="str">
            <v>Q412A-Restated</v>
          </cell>
          <cell r="BC6" t="str">
            <v>2012A Restated</v>
          </cell>
          <cell r="BD6" t="str">
            <v>Q113A</v>
          </cell>
          <cell r="BE6" t="str">
            <v>Q213A</v>
          </cell>
          <cell r="BF6" t="str">
            <v>H113A</v>
          </cell>
          <cell r="BG6" t="str">
            <v>Q313A</v>
          </cell>
          <cell r="BH6" t="str">
            <v>9M13A</v>
          </cell>
          <cell r="BI6" t="str">
            <v>Q413A</v>
          </cell>
          <cell r="BJ6" t="str">
            <v>2013A</v>
          </cell>
          <cell r="BK6" t="str">
            <v>Q114E</v>
          </cell>
          <cell r="BL6" t="str">
            <v>Q214E</v>
          </cell>
          <cell r="BM6" t="str">
            <v>H114e</v>
          </cell>
          <cell r="BN6" t="str">
            <v>Q314E</v>
          </cell>
          <cell r="BO6" t="str">
            <v>9M14E</v>
          </cell>
          <cell r="BP6" t="str">
            <v>Q414E</v>
          </cell>
          <cell r="BQ6" t="str">
            <v>2014E</v>
          </cell>
          <cell r="BR6" t="str">
            <v>2015E</v>
          </cell>
          <cell r="BS6" t="str">
            <v>2016E</v>
          </cell>
          <cell r="BT6" t="str">
            <v>2017E</v>
          </cell>
          <cell r="BU6" t="str">
            <v>2018E</v>
          </cell>
          <cell r="BV6" t="str">
            <v>2019E</v>
          </cell>
          <cell r="BW6" t="str">
            <v>2020E</v>
          </cell>
          <cell r="BX6" t="str">
            <v>2021E</v>
          </cell>
          <cell r="BY6" t="str">
            <v>2022E</v>
          </cell>
          <cell r="BZ6" t="str">
            <v>2023E</v>
          </cell>
          <cell r="CA6" t="str">
            <v>2024E</v>
          </cell>
        </row>
        <row r="8">
          <cell r="A8" t="str">
            <v>Pharmaceuticals</v>
          </cell>
          <cell r="B8">
            <v>572.5</v>
          </cell>
          <cell r="C8">
            <v>561.4</v>
          </cell>
          <cell r="D8">
            <v>1133.9000000000001</v>
          </cell>
          <cell r="E8">
            <v>575.5</v>
          </cell>
          <cell r="F8">
            <v>1709.4</v>
          </cell>
          <cell r="G8">
            <v>591.29999999999995</v>
          </cell>
          <cell r="H8">
            <v>2300.6999999999998</v>
          </cell>
          <cell r="I8">
            <v>1116.1000000000001</v>
          </cell>
          <cell r="J8">
            <v>1176.1000000000001</v>
          </cell>
          <cell r="K8">
            <v>2292.2000000000003</v>
          </cell>
          <cell r="L8">
            <v>1130</v>
          </cell>
          <cell r="M8">
            <v>3422.2000000000003</v>
          </cell>
          <cell r="N8">
            <v>1183.0999999999999</v>
          </cell>
          <cell r="O8">
            <v>4605.3</v>
          </cell>
          <cell r="P8">
            <v>1224.5</v>
          </cell>
          <cell r="Q8">
            <v>1260.8</v>
          </cell>
          <cell r="R8">
            <v>2485.3000000000002</v>
          </cell>
          <cell r="S8">
            <v>1265.6000000000001</v>
          </cell>
          <cell r="T8">
            <v>3750.9000000000005</v>
          </cell>
          <cell r="U8">
            <v>1338.6</v>
          </cell>
          <cell r="V8">
            <v>5089.5</v>
          </cell>
          <cell r="W8">
            <v>1325.9582476899996</v>
          </cell>
          <cell r="X8">
            <v>1343.9266726400001</v>
          </cell>
          <cell r="Y8">
            <v>2669.8849203299997</v>
          </cell>
          <cell r="Z8">
            <v>1358.6433273099985</v>
          </cell>
          <cell r="AA8">
            <v>4028.528247639998</v>
          </cell>
          <cell r="AB8">
            <v>1430.2298517499914</v>
          </cell>
          <cell r="AC8">
            <v>5458.7580993899892</v>
          </cell>
          <cell r="AD8">
            <v>1443.1521584</v>
          </cell>
          <cell r="AE8">
            <v>1462.4583552700005</v>
          </cell>
          <cell r="AF8">
            <v>2905.6105136700007</v>
          </cell>
          <cell r="AG8">
            <v>1430.5797248800031</v>
          </cell>
          <cell r="AH8">
            <v>4336.1902385500034</v>
          </cell>
          <cell r="AI8">
            <v>1542.5220352400031</v>
          </cell>
          <cell r="AJ8">
            <v>5878.7122737900063</v>
          </cell>
          <cell r="AK8">
            <v>1461.1668438199995</v>
          </cell>
          <cell r="AL8">
            <v>1513.0703772100012</v>
          </cell>
          <cell r="AM8">
            <v>2974.2372210300009</v>
          </cell>
          <cell r="AN8">
            <v>1507.4434466600028</v>
          </cell>
          <cell r="AO8">
            <v>4481.6806676900032</v>
          </cell>
          <cell r="AP8">
            <v>1577.0010424299985</v>
          </cell>
          <cell r="AQ8">
            <v>6058.6817101200022</v>
          </cell>
          <cell r="AX8">
            <v>6468.2999999999993</v>
          </cell>
          <cell r="BJ8">
            <v>6430.5</v>
          </cell>
          <cell r="BQ8">
            <v>0</v>
          </cell>
          <cell r="BR8">
            <v>0</v>
          </cell>
          <cell r="BS8">
            <v>0</v>
          </cell>
          <cell r="BT8">
            <v>0</v>
          </cell>
          <cell r="BU8">
            <v>0</v>
          </cell>
          <cell r="BV8">
            <v>5916.2494444940585</v>
          </cell>
          <cell r="BW8">
            <v>5798.3187599011972</v>
          </cell>
          <cell r="BX8">
            <v>5705.1572021396159</v>
          </cell>
          <cell r="BY8">
            <v>5605.5905447876485</v>
          </cell>
          <cell r="BZ8">
            <v>5529.9057455568773</v>
          </cell>
          <cell r="CA8">
            <v>5541.5642525193562</v>
          </cell>
        </row>
        <row r="9">
          <cell r="A9" t="str">
            <v>Chemicals</v>
          </cell>
          <cell r="B9">
            <v>560.09999999999991</v>
          </cell>
          <cell r="C9">
            <v>503.1</v>
          </cell>
          <cell r="D9">
            <v>1063.1999999999998</v>
          </cell>
          <cell r="E9">
            <v>496.3</v>
          </cell>
          <cell r="F9">
            <v>1559.4999999999998</v>
          </cell>
          <cell r="G9">
            <v>546.4</v>
          </cell>
          <cell r="H9">
            <v>2105.8999999999996</v>
          </cell>
          <cell r="I9">
            <v>526.79999999999995</v>
          </cell>
          <cell r="J9">
            <v>536.70000000000005</v>
          </cell>
          <cell r="K9">
            <v>1063.5</v>
          </cell>
          <cell r="L9">
            <v>535.70000000000005</v>
          </cell>
          <cell r="M9">
            <v>1599.2</v>
          </cell>
          <cell r="N9">
            <v>541.5</v>
          </cell>
          <cell r="O9">
            <v>2140.6999999999998</v>
          </cell>
          <cell r="P9">
            <v>552.70000000000005</v>
          </cell>
          <cell r="Q9">
            <v>555.29999999999995</v>
          </cell>
          <cell r="R9">
            <v>1108</v>
          </cell>
          <cell r="S9">
            <v>537</v>
          </cell>
          <cell r="T9">
            <v>1645</v>
          </cell>
          <cell r="U9">
            <v>460.5</v>
          </cell>
          <cell r="V9">
            <v>2105.5</v>
          </cell>
          <cell r="W9">
            <v>430.96688975000001</v>
          </cell>
          <cell r="X9">
            <v>482.44703170999998</v>
          </cell>
          <cell r="Y9">
            <v>913.41392145999998</v>
          </cell>
          <cell r="Z9">
            <v>503.69535460000009</v>
          </cell>
          <cell r="AA9">
            <v>1417.10927606</v>
          </cell>
          <cell r="AB9">
            <v>501.87856901999976</v>
          </cell>
          <cell r="AC9">
            <v>1918.9878450799997</v>
          </cell>
          <cell r="AD9">
            <v>579.59999999999991</v>
          </cell>
          <cell r="AE9">
            <v>640.4</v>
          </cell>
          <cell r="AF9">
            <v>1220</v>
          </cell>
          <cell r="AG9">
            <v>916.40000000000009</v>
          </cell>
          <cell r="AH9">
            <v>2136.4</v>
          </cell>
          <cell r="AI9">
            <v>913.8</v>
          </cell>
          <cell r="AJ9">
            <v>3050.2</v>
          </cell>
          <cell r="AK9">
            <v>1016.47463939</v>
          </cell>
          <cell r="AL9">
            <v>956.47428910999997</v>
          </cell>
          <cell r="AM9">
            <v>1972.9489285</v>
          </cell>
          <cell r="AN9">
            <v>926.84435615000007</v>
          </cell>
          <cell r="AO9">
            <v>2899.7932846499998</v>
          </cell>
          <cell r="AP9">
            <v>947.50671535000015</v>
          </cell>
          <cell r="AQ9">
            <v>3847.3</v>
          </cell>
          <cell r="AX9">
            <v>4272.3</v>
          </cell>
          <cell r="BJ9">
            <v>4269.6000000000004</v>
          </cell>
          <cell r="BQ9">
            <v>4565.6063404090019</v>
          </cell>
          <cell r="BR9">
            <v>5015.9810909057651</v>
          </cell>
          <cell r="BS9">
            <v>5193.6268687261836</v>
          </cell>
          <cell r="BT9">
            <v>5375.3370794324164</v>
          </cell>
          <cell r="BU9">
            <v>5555.0358699589106</v>
          </cell>
          <cell r="BV9">
            <v>5742.1100449760961</v>
          </cell>
          <cell r="BW9">
            <v>5936.9174932669121</v>
          </cell>
          <cell r="BX9">
            <v>6139.835389152714</v>
          </cell>
          <cell r="BY9">
            <v>6351.2612910167245</v>
          </cell>
          <cell r="BZ9">
            <v>6571.6143041211126</v>
          </cell>
          <cell r="CA9">
            <v>6801.3363115296224</v>
          </cell>
        </row>
        <row r="10">
          <cell r="A10" t="str">
            <v>Serono</v>
          </cell>
          <cell r="W10">
            <v>1218.5371073199997</v>
          </cell>
          <cell r="X10">
            <v>1241.1097158700002</v>
          </cell>
          <cell r="Y10">
            <v>2459.6468231899999</v>
          </cell>
          <cell r="Z10">
            <v>1235.8599069999987</v>
          </cell>
          <cell r="AA10">
            <v>3695.5067301899985</v>
          </cell>
          <cell r="AB10">
            <v>1298.3402645499914</v>
          </cell>
          <cell r="AC10">
            <v>4993.8469947399899</v>
          </cell>
          <cell r="AD10">
            <v>1336.26079665</v>
          </cell>
          <cell r="AE10">
            <v>1349.0965101800005</v>
          </cell>
          <cell r="AF10">
            <v>2685.3573068300002</v>
          </cell>
          <cell r="AG10">
            <v>1305.8992658600032</v>
          </cell>
          <cell r="AH10">
            <v>3991.2565726900034</v>
          </cell>
          <cell r="AI10">
            <v>1417.788610650003</v>
          </cell>
          <cell r="AJ10">
            <v>5409.0451833400075</v>
          </cell>
          <cell r="AK10">
            <v>1344.9360681599994</v>
          </cell>
          <cell r="AL10">
            <v>1395.4703772100013</v>
          </cell>
          <cell r="AM10">
            <v>2740.4064453700007</v>
          </cell>
          <cell r="AN10">
            <v>1374.9292768200028</v>
          </cell>
          <cell r="AO10">
            <v>4115.3357221900033</v>
          </cell>
          <cell r="AP10">
            <v>1449.1459879299985</v>
          </cell>
          <cell r="AQ10">
            <v>5564.4817101200015</v>
          </cell>
          <cell r="AR10">
            <v>1417.3</v>
          </cell>
          <cell r="AS10">
            <v>1546.5</v>
          </cell>
          <cell r="AT10">
            <v>2963.8</v>
          </cell>
          <cell r="AU10">
            <v>1510.6000000000001</v>
          </cell>
          <cell r="AV10">
            <v>4474.4000000000005</v>
          </cell>
          <cell r="AW10">
            <v>1521.3999999999999</v>
          </cell>
          <cell r="AX10">
            <v>5995.8</v>
          </cell>
          <cell r="AY10">
            <v>1417.3</v>
          </cell>
          <cell r="AZ10">
            <v>1546.5</v>
          </cell>
          <cell r="BA10">
            <v>1510.6000000000001</v>
          </cell>
          <cell r="BB10">
            <v>1521.3999999999999</v>
          </cell>
          <cell r="BC10">
            <v>5995.8</v>
          </cell>
          <cell r="BD10">
            <v>1454.4</v>
          </cell>
          <cell r="BE10">
            <v>1530.8</v>
          </cell>
          <cell r="BF10">
            <v>2985.2</v>
          </cell>
          <cell r="BG10">
            <v>1483</v>
          </cell>
          <cell r="BH10">
            <v>4468.2</v>
          </cell>
          <cell r="BI10">
            <v>1485.4000000000005</v>
          </cell>
          <cell r="BJ10">
            <v>5953.6</v>
          </cell>
          <cell r="BK10">
            <v>1360.4507817519327</v>
          </cell>
          <cell r="BL10">
            <v>1410.9355005986397</v>
          </cell>
          <cell r="BM10">
            <v>2771.3862823505724</v>
          </cell>
          <cell r="BN10">
            <v>1387.3048243535497</v>
          </cell>
          <cell r="BO10">
            <v>4158.6911067041219</v>
          </cell>
          <cell r="BP10">
            <v>1405.3405283390468</v>
          </cell>
          <cell r="BQ10">
            <v>5564.0316350431685</v>
          </cell>
          <cell r="BR10">
            <v>5486.084923071744</v>
          </cell>
          <cell r="BS10">
            <v>5386.9917626188326</v>
          </cell>
          <cell r="BT10">
            <v>5253.358613694324</v>
          </cell>
          <cell r="BU10">
            <v>5120.4814674888466</v>
          </cell>
          <cell r="BV10">
            <v>4989.0425274748141</v>
          </cell>
          <cell r="BW10">
            <v>4834.0235662011828</v>
          </cell>
          <cell r="BX10">
            <v>4702.2902006916011</v>
          </cell>
          <cell r="BY10">
            <v>4562.6088632817127</v>
          </cell>
          <cell r="BZ10">
            <v>4445.2047967907038</v>
          </cell>
          <cell r="CA10">
            <v>4413.4752658025354</v>
          </cell>
        </row>
        <row r="11">
          <cell r="A11" t="str">
            <v>Consumer Health</v>
          </cell>
          <cell r="W11">
            <v>107.42114036999999</v>
          </cell>
          <cell r="X11">
            <v>102.81695677</v>
          </cell>
          <cell r="Y11">
            <v>210.23809713999998</v>
          </cell>
          <cell r="Z11">
            <v>122.78342030999997</v>
          </cell>
          <cell r="AA11">
            <v>333.02151744999992</v>
          </cell>
          <cell r="AB11">
            <v>131.88958719999999</v>
          </cell>
          <cell r="AC11">
            <v>464.91110464999991</v>
          </cell>
          <cell r="AD11">
            <v>106.89136175</v>
          </cell>
          <cell r="AE11">
            <v>113.36184509000003</v>
          </cell>
          <cell r="AF11">
            <v>220.25320684000002</v>
          </cell>
          <cell r="AG11">
            <v>124.68045901999997</v>
          </cell>
          <cell r="AH11">
            <v>344.93366586000002</v>
          </cell>
          <cell r="AI11">
            <v>124.73342459000007</v>
          </cell>
          <cell r="AJ11">
            <v>469.6670904500001</v>
          </cell>
          <cell r="AK11">
            <v>116.23077566000001</v>
          </cell>
          <cell r="AL11">
            <v>117.6</v>
          </cell>
          <cell r="AM11">
            <v>233.83077566</v>
          </cell>
          <cell r="AN11">
            <v>132.51416983999997</v>
          </cell>
          <cell r="AO11">
            <v>366.34494549999999</v>
          </cell>
          <cell r="AP11">
            <v>127.85505449999999</v>
          </cell>
          <cell r="AQ11">
            <v>494.2</v>
          </cell>
          <cell r="AR11">
            <v>107.6</v>
          </cell>
          <cell r="AS11">
            <v>121.1</v>
          </cell>
          <cell r="AT11">
            <v>228.7</v>
          </cell>
          <cell r="AU11">
            <v>122.4</v>
          </cell>
          <cell r="AV11">
            <v>351.1</v>
          </cell>
          <cell r="AW11">
            <v>121.39999999999998</v>
          </cell>
          <cell r="AX11">
            <v>472.5</v>
          </cell>
          <cell r="AY11">
            <v>107.6</v>
          </cell>
          <cell r="AZ11">
            <v>121.1</v>
          </cell>
          <cell r="BA11">
            <v>122.4</v>
          </cell>
          <cell r="BB11">
            <v>121.39999999999998</v>
          </cell>
          <cell r="BC11">
            <v>472.5</v>
          </cell>
          <cell r="BD11">
            <v>116.1</v>
          </cell>
          <cell r="BE11">
            <v>115.6</v>
          </cell>
          <cell r="BF11">
            <v>231.7</v>
          </cell>
          <cell r="BG11">
            <v>131</v>
          </cell>
          <cell r="BH11">
            <v>362.7</v>
          </cell>
          <cell r="BI11">
            <v>114.19999999999999</v>
          </cell>
          <cell r="BJ11">
            <v>476.9</v>
          </cell>
          <cell r="BK11">
            <v>186.2017174572469</v>
          </cell>
          <cell r="BL11">
            <v>182.92390287925667</v>
          </cell>
          <cell r="BM11">
            <v>369.12562033650357</v>
          </cell>
          <cell r="BN11">
            <v>206.36608078380209</v>
          </cell>
          <cell r="BO11">
            <v>575.49170112030561</v>
          </cell>
          <cell r="BP11">
            <v>186.60479755258041</v>
          </cell>
          <cell r="BQ11">
            <v>762.09649867288601</v>
          </cell>
          <cell r="BR11">
            <v>792.58035861980147</v>
          </cell>
          <cell r="BS11">
            <v>824.28357296459353</v>
          </cell>
          <cell r="BT11">
            <v>857.25491588317732</v>
          </cell>
          <cell r="BU11">
            <v>891.54511251850442</v>
          </cell>
          <cell r="BV11">
            <v>927.20691701924466</v>
          </cell>
          <cell r="BW11">
            <v>964.29519370001447</v>
          </cell>
          <cell r="BX11">
            <v>1002.8670014480151</v>
          </cell>
          <cell r="BY11">
            <v>1042.9816815059357</v>
          </cell>
          <cell r="BZ11">
            <v>1084.7009487661733</v>
          </cell>
          <cell r="CA11">
            <v>1128.0889867168203</v>
          </cell>
        </row>
        <row r="12">
          <cell r="A12" t="str">
            <v>Performance Materials</v>
          </cell>
          <cell r="W12">
            <v>193.55536401000001</v>
          </cell>
          <cell r="X12">
            <v>255.23472840999997</v>
          </cell>
          <cell r="Y12">
            <v>448.79009241999995</v>
          </cell>
          <cell r="Z12">
            <v>279.47848769000012</v>
          </cell>
          <cell r="AA12">
            <v>728.26858011000013</v>
          </cell>
          <cell r="AB12">
            <v>269.52610196999979</v>
          </cell>
          <cell r="AC12">
            <v>997.7946820799998</v>
          </cell>
          <cell r="AD12">
            <v>351.4</v>
          </cell>
          <cell r="AE12">
            <v>398.3</v>
          </cell>
          <cell r="AF12">
            <v>749.7</v>
          </cell>
          <cell r="AG12">
            <v>359.3</v>
          </cell>
          <cell r="AH12">
            <v>1109</v>
          </cell>
          <cell r="AI12">
            <v>335.8</v>
          </cell>
          <cell r="AJ12">
            <v>1444.8000000000002</v>
          </cell>
          <cell r="AK12">
            <v>408</v>
          </cell>
          <cell r="AL12">
            <v>373.5</v>
          </cell>
          <cell r="AM12">
            <v>781.5</v>
          </cell>
          <cell r="AN12">
            <v>340.12977343</v>
          </cell>
          <cell r="AO12">
            <v>1121.6297734300001</v>
          </cell>
          <cell r="AP12">
            <v>343.07022657000016</v>
          </cell>
          <cell r="AQ12">
            <v>1464.7000000000003</v>
          </cell>
          <cell r="AR12">
            <v>386.4</v>
          </cell>
          <cell r="AS12">
            <v>426.1</v>
          </cell>
          <cell r="AT12">
            <v>812.5</v>
          </cell>
          <cell r="AU12">
            <v>446</v>
          </cell>
          <cell r="AV12">
            <v>1258.5</v>
          </cell>
          <cell r="AW12">
            <v>415.70000000000005</v>
          </cell>
          <cell r="AX12">
            <v>1674.2</v>
          </cell>
          <cell r="AY12">
            <v>386.4</v>
          </cell>
          <cell r="AZ12">
            <v>426.1</v>
          </cell>
          <cell r="BA12">
            <v>446</v>
          </cell>
          <cell r="BB12">
            <v>415.70000000000005</v>
          </cell>
          <cell r="BC12">
            <v>1674.2</v>
          </cell>
          <cell r="BD12">
            <v>421.3</v>
          </cell>
          <cell r="BE12">
            <v>431.1</v>
          </cell>
          <cell r="BF12">
            <v>852.40000000000009</v>
          </cell>
          <cell r="BG12">
            <v>406.5</v>
          </cell>
          <cell r="BH12">
            <v>1258.9000000000001</v>
          </cell>
          <cell r="BI12">
            <v>383.19999999999993</v>
          </cell>
          <cell r="BJ12">
            <v>1642.1</v>
          </cell>
          <cell r="BK12">
            <v>417.94420715854199</v>
          </cell>
          <cell r="BL12">
            <v>424.74446728442069</v>
          </cell>
          <cell r="BM12">
            <v>842.68867444296268</v>
          </cell>
          <cell r="BN12">
            <v>542.19802933822371</v>
          </cell>
          <cell r="BO12">
            <v>1384.8867037811865</v>
          </cell>
          <cell r="BP12">
            <v>528.08810819060693</v>
          </cell>
          <cell r="BQ12">
            <v>1912.9748119717931</v>
          </cell>
          <cell r="BR12">
            <v>2254.1446676875316</v>
          </cell>
          <cell r="BS12">
            <v>2317.3603563511429</v>
          </cell>
          <cell r="BT12">
            <v>2379.1381550296378</v>
          </cell>
          <cell r="BU12">
            <v>2433.1094773513901</v>
          </cell>
          <cell r="BV12">
            <v>2488.3518828962115</v>
          </cell>
          <cell r="BW12">
            <v>2544.8965430318635</v>
          </cell>
          <cell r="BX12">
            <v>2602.7754250445601</v>
          </cell>
          <cell r="BY12">
            <v>2662.0213132320728</v>
          </cell>
          <cell r="BZ12">
            <v>2722.6678305739338</v>
          </cell>
          <cell r="CA12">
            <v>2784.749460994949</v>
          </cell>
        </row>
        <row r="13">
          <cell r="A13" t="str">
            <v>Millipore</v>
          </cell>
          <cell r="W13">
            <v>237.41152574</v>
          </cell>
          <cell r="X13">
            <v>227.2123033</v>
          </cell>
          <cell r="Y13">
            <v>464.62382904000003</v>
          </cell>
          <cell r="Z13">
            <v>224.21686690999999</v>
          </cell>
          <cell r="AA13">
            <v>688.84069595000005</v>
          </cell>
          <cell r="AB13">
            <v>232.35246705</v>
          </cell>
          <cell r="AC13">
            <v>921.19316300000003</v>
          </cell>
          <cell r="AD13">
            <v>228.2</v>
          </cell>
          <cell r="AE13">
            <v>242.1</v>
          </cell>
          <cell r="AF13">
            <v>470.29999999999995</v>
          </cell>
          <cell r="AG13">
            <v>557.1</v>
          </cell>
          <cell r="AH13">
            <v>1027.4000000000001</v>
          </cell>
          <cell r="AI13">
            <v>578</v>
          </cell>
          <cell r="AJ13">
            <v>1605.3999999999999</v>
          </cell>
          <cell r="AK13">
            <v>608.47463938999999</v>
          </cell>
          <cell r="AL13">
            <v>582.97428910999997</v>
          </cell>
          <cell r="AM13">
            <v>1191.4489285</v>
          </cell>
          <cell r="AN13">
            <v>586.71458272000007</v>
          </cell>
          <cell r="AO13">
            <v>1778.1635112200001</v>
          </cell>
          <cell r="AP13">
            <v>604.43648877999999</v>
          </cell>
          <cell r="AQ13">
            <v>2382.6</v>
          </cell>
          <cell r="AR13">
            <v>652.5</v>
          </cell>
          <cell r="AS13">
            <v>649.5</v>
          </cell>
          <cell r="AT13">
            <v>1302</v>
          </cell>
          <cell r="AU13">
            <v>642.70000000000005</v>
          </cell>
          <cell r="AV13">
            <v>1944.7</v>
          </cell>
          <cell r="AW13">
            <v>653.39999999999986</v>
          </cell>
          <cell r="AX13">
            <v>2598.1000000000004</v>
          </cell>
          <cell r="AY13">
            <v>652.5</v>
          </cell>
          <cell r="AZ13">
            <v>649.5</v>
          </cell>
          <cell r="BA13">
            <v>642.70000000000005</v>
          </cell>
          <cell r="BB13">
            <v>653.39999999999986</v>
          </cell>
          <cell r="BC13">
            <v>2598.1000000000004</v>
          </cell>
          <cell r="BD13">
            <v>668.7</v>
          </cell>
          <cell r="BE13">
            <v>666.3</v>
          </cell>
          <cell r="BF13">
            <v>1335</v>
          </cell>
          <cell r="BG13">
            <v>639</v>
          </cell>
          <cell r="BH13">
            <v>1974</v>
          </cell>
          <cell r="BI13">
            <v>653.50000000000023</v>
          </cell>
          <cell r="BJ13">
            <v>2627.5</v>
          </cell>
          <cell r="BK13">
            <v>668.27594101174316</v>
          </cell>
          <cell r="BL13">
            <v>662.98794872648011</v>
          </cell>
          <cell r="BM13">
            <v>1331.2638897382233</v>
          </cell>
          <cell r="BN13">
            <v>644.45478292404118</v>
          </cell>
          <cell r="BO13">
            <v>1975.7186726622645</v>
          </cell>
          <cell r="BP13">
            <v>676.91285577494386</v>
          </cell>
          <cell r="BQ13">
            <v>2652.6315284372085</v>
          </cell>
          <cell r="BR13">
            <v>2761.836423218233</v>
          </cell>
          <cell r="BS13">
            <v>2876.2665123750403</v>
          </cell>
          <cell r="BT13">
            <v>2996.1989244027782</v>
          </cell>
          <cell r="BU13">
            <v>3121.9263926075209</v>
          </cell>
          <cell r="BV13">
            <v>3253.7581620798842</v>
          </cell>
          <cell r="BW13">
            <v>3392.0209502350481</v>
          </cell>
          <cell r="BX13">
            <v>3537.059964108154</v>
          </cell>
          <cell r="BY13">
            <v>3689.2399777846513</v>
          </cell>
          <cell r="BZ13">
            <v>3848.9464735471793</v>
          </cell>
          <cell r="CA13">
            <v>4016.5868505346734</v>
          </cell>
        </row>
        <row r="14">
          <cell r="A14" t="str">
            <v>Corporate and others</v>
          </cell>
          <cell r="B14">
            <v>8.6</v>
          </cell>
          <cell r="C14">
            <v>8.4</v>
          </cell>
          <cell r="D14">
            <v>17</v>
          </cell>
          <cell r="E14">
            <v>8.4</v>
          </cell>
          <cell r="F14">
            <v>25.4</v>
          </cell>
          <cell r="G14">
            <v>8.3000000000000043</v>
          </cell>
          <cell r="H14">
            <v>33.700000000000003</v>
          </cell>
          <cell r="I14">
            <v>7.6</v>
          </cell>
          <cell r="J14">
            <v>7.3</v>
          </cell>
          <cell r="K14">
            <v>14.899999999999999</v>
          </cell>
          <cell r="L14">
            <v>7</v>
          </cell>
          <cell r="M14">
            <v>21.9</v>
          </cell>
          <cell r="N14">
            <v>7.3000000000000007</v>
          </cell>
          <cell r="O14">
            <v>29.2</v>
          </cell>
          <cell r="P14">
            <v>6.5</v>
          </cell>
          <cell r="Q14">
            <v>0.1</v>
          </cell>
          <cell r="R14">
            <v>6.6</v>
          </cell>
          <cell r="S14">
            <v>0</v>
          </cell>
          <cell r="T14">
            <v>6.6</v>
          </cell>
          <cell r="U14">
            <v>0</v>
          </cell>
          <cell r="V14">
            <v>6.6</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row>
        <row r="15">
          <cell r="A15" t="str">
            <v>Sales</v>
          </cell>
          <cell r="B15">
            <v>1141.1999999999998</v>
          </cell>
          <cell r="C15">
            <v>1072.9000000000001</v>
          </cell>
          <cell r="D15">
            <v>2214.1</v>
          </cell>
          <cell r="E15">
            <v>1080.2</v>
          </cell>
          <cell r="F15">
            <v>3294.2999999999997</v>
          </cell>
          <cell r="G15">
            <v>1145.9999999999998</v>
          </cell>
          <cell r="H15">
            <v>4440.2999999999993</v>
          </cell>
          <cell r="I15">
            <v>1650.5</v>
          </cell>
          <cell r="J15">
            <v>1720.1000000000001</v>
          </cell>
          <cell r="K15">
            <v>3370.6000000000004</v>
          </cell>
          <cell r="L15">
            <v>1672.7</v>
          </cell>
          <cell r="M15">
            <v>5043.3</v>
          </cell>
          <cell r="N15">
            <v>1731.8999999999999</v>
          </cell>
          <cell r="O15">
            <v>6775.2</v>
          </cell>
          <cell r="P15">
            <v>1783.7</v>
          </cell>
          <cell r="Q15">
            <v>1816.1999999999998</v>
          </cell>
          <cell r="R15">
            <v>3599.9</v>
          </cell>
          <cell r="S15">
            <v>1802.6000000000001</v>
          </cell>
          <cell r="T15">
            <v>5395.9000000000005</v>
          </cell>
          <cell r="U15">
            <v>1799.1</v>
          </cell>
          <cell r="V15">
            <v>7201.6</v>
          </cell>
          <cell r="W15">
            <v>1756.9251374399996</v>
          </cell>
          <cell r="X15">
            <v>1826.37370435</v>
          </cell>
          <cell r="Y15">
            <v>3583.2988417899996</v>
          </cell>
          <cell r="Z15">
            <v>1862.3386819099985</v>
          </cell>
          <cell r="AA15">
            <v>5445.6375236999984</v>
          </cell>
          <cell r="AB15">
            <v>1932.1084207699914</v>
          </cell>
          <cell r="AC15">
            <v>7377.7459444699898</v>
          </cell>
          <cell r="AD15">
            <v>2022.7521583999999</v>
          </cell>
          <cell r="AE15">
            <v>2102.8583552700006</v>
          </cell>
          <cell r="AF15">
            <v>4125.6105136700007</v>
          </cell>
          <cell r="AG15">
            <v>2346.9797248800032</v>
          </cell>
          <cell r="AH15">
            <v>6472.5902385500031</v>
          </cell>
          <cell r="AI15">
            <v>2456.3220352400031</v>
          </cell>
          <cell r="AJ15">
            <v>8928.912273790007</v>
          </cell>
          <cell r="AK15">
            <v>2477.6414832099995</v>
          </cell>
          <cell r="AL15">
            <v>2469.5446663200009</v>
          </cell>
          <cell r="AM15">
            <v>4947.1861495300009</v>
          </cell>
          <cell r="AN15">
            <v>2434.2878028100031</v>
          </cell>
          <cell r="AO15">
            <v>7381.473952340004</v>
          </cell>
          <cell r="AP15">
            <v>2524.5077577799984</v>
          </cell>
          <cell r="AQ15">
            <v>9905.9817101200024</v>
          </cell>
          <cell r="AR15">
            <v>2563.7999999999997</v>
          </cell>
          <cell r="AS15">
            <v>2743.2</v>
          </cell>
          <cell r="AT15">
            <v>5307</v>
          </cell>
          <cell r="AU15">
            <v>2721.7</v>
          </cell>
          <cell r="AV15">
            <v>8028.7000000000007</v>
          </cell>
          <cell r="AW15">
            <v>2711.8999999999996</v>
          </cell>
          <cell r="AX15">
            <v>10740.6</v>
          </cell>
          <cell r="AY15">
            <v>2563.7999999999997</v>
          </cell>
          <cell r="AZ15">
            <v>2743.2</v>
          </cell>
          <cell r="BA15">
            <v>2721.7</v>
          </cell>
          <cell r="BB15">
            <v>2711.8999999999996</v>
          </cell>
          <cell r="BC15">
            <v>10740.6</v>
          </cell>
          <cell r="BD15">
            <v>2660.5</v>
          </cell>
          <cell r="BE15">
            <v>2743.8</v>
          </cell>
          <cell r="BF15">
            <v>5404.2999999999993</v>
          </cell>
          <cell r="BG15">
            <v>2659.5</v>
          </cell>
          <cell r="BH15">
            <v>8063.7999999999993</v>
          </cell>
          <cell r="BI15">
            <v>2636.3000000000011</v>
          </cell>
          <cell r="BJ15">
            <v>10700.1</v>
          </cell>
          <cell r="BK15">
            <v>2632.8726473794645</v>
          </cell>
          <cell r="BL15">
            <v>2681.5918194887972</v>
          </cell>
          <cell r="BM15">
            <v>5314.4644668682622</v>
          </cell>
          <cell r="BN15">
            <v>2780.3237173996167</v>
          </cell>
          <cell r="BO15">
            <v>8094.788184267878</v>
          </cell>
          <cell r="BP15">
            <v>2796.9462898571783</v>
          </cell>
          <cell r="BQ15">
            <v>10891.734474125056</v>
          </cell>
          <cell r="BR15">
            <v>11294.646372597312</v>
          </cell>
          <cell r="BS15">
            <v>11404.902204309608</v>
          </cell>
          <cell r="BT15">
            <v>11485.950609009917</v>
          </cell>
          <cell r="BU15">
            <v>11567.062449966263</v>
          </cell>
          <cell r="BV15">
            <v>11658.359489470155</v>
          </cell>
          <cell r="BW15">
            <v>11735.236253168108</v>
          </cell>
          <cell r="BX15">
            <v>11844.99259129233</v>
          </cell>
          <cell r="BY15">
            <v>11956.851835804373</v>
          </cell>
          <cell r="BZ15">
            <v>12101.520049677991</v>
          </cell>
          <cell r="CA15">
            <v>12342.900564048978</v>
          </cell>
          <cell r="CF15" t="str">
            <v>mstag:revenueNet</v>
          </cell>
          <cell r="CG15">
            <v>6</v>
          </cell>
          <cell r="CH15" t="str">
            <v>ISO4217:EUR</v>
          </cell>
          <cell r="CI15" t="b">
            <v>0</v>
          </cell>
          <cell r="CJ15" t="b">
            <v>0</v>
          </cell>
        </row>
        <row r="16">
          <cell r="A16" t="str">
            <v xml:space="preserve">     year-on-year growth</v>
          </cell>
          <cell r="I16">
            <v>0.44628461268839842</v>
          </cell>
          <cell r="J16">
            <v>0.60322490446453536</v>
          </cell>
          <cell r="K16">
            <v>0.52233413124971795</v>
          </cell>
          <cell r="L16">
            <v>0.54850953527124602</v>
          </cell>
          <cell r="M16">
            <v>0.53091703852108207</v>
          </cell>
          <cell r="N16">
            <v>0.51125654450261793</v>
          </cell>
          <cell r="O16">
            <v>0.52584284845618556</v>
          </cell>
          <cell r="P16">
            <v>8.0702817328082432E-2</v>
          </cell>
          <cell r="Q16">
            <v>5.586884483460245E-2</v>
          </cell>
          <cell r="R16">
            <v>6.8029430961846465E-2</v>
          </cell>
          <cell r="S16">
            <v>7.7658874872959943E-2</v>
          </cell>
          <cell r="T16">
            <v>6.9914540082882309E-2</v>
          </cell>
          <cell r="U16">
            <v>3.8801316473237514E-2</v>
          </cell>
          <cell r="V16">
            <v>6.2935411500767591E-2</v>
          </cell>
          <cell r="W16">
            <v>-1.5010855278354223E-2</v>
          </cell>
          <cell r="X16">
            <v>5.6016431835702058E-3</v>
          </cell>
          <cell r="Y16">
            <v>-4.6115609350260971E-3</v>
          </cell>
          <cell r="Z16">
            <v>3.3140287312769537E-2</v>
          </cell>
          <cell r="AA16">
            <v>9.2176511240011551E-3</v>
          </cell>
          <cell r="AB16">
            <v>7.3930532360620041E-2</v>
          </cell>
          <cell r="AC16">
            <v>2.4459279114362006E-2</v>
          </cell>
          <cell r="AD16">
            <v>0.15130241767007471</v>
          </cell>
          <cell r="AE16">
            <v>0.15138448952778835</v>
          </cell>
          <cell r="AF16">
            <v>0.15134424892373613</v>
          </cell>
          <cell r="AG16">
            <v>0.26023249566666418</v>
          </cell>
          <cell r="AH16">
            <v>0.18858264259796881</v>
          </cell>
          <cell r="AI16">
            <v>0.27131687271519678</v>
          </cell>
          <cell r="AJ16">
            <v>0.21024935542578532</v>
          </cell>
          <cell r="AK16">
            <v>0.22488633761726784</v>
          </cell>
          <cell r="AL16">
            <v>0.17437518325047571</v>
          </cell>
          <cell r="AM16">
            <v>0.19914037768173973</v>
          </cell>
          <cell r="AN16">
            <v>3.7200184136428255E-2</v>
          </cell>
          <cell r="AO16">
            <v>0.14042040053405422</v>
          </cell>
          <cell r="AP16">
            <v>2.7759276496224183E-2</v>
          </cell>
          <cell r="AQ16">
            <v>0.10942759950706336</v>
          </cell>
          <cell r="AR16">
            <v>3.4774408393572105E-2</v>
          </cell>
          <cell r="AS16">
            <v>0.11081206078681183</v>
          </cell>
          <cell r="AT16">
            <v>7.2731011042344265E-2</v>
          </cell>
          <cell r="AU16">
            <v>0.11806828956634646</v>
          </cell>
          <cell r="AV16">
            <v>8.7682494287583221E-2</v>
          </cell>
          <cell r="AW16">
            <v>7.4229220188568645E-2</v>
          </cell>
          <cell r="AX16">
            <v>8.4253970409348483E-2</v>
          </cell>
          <cell r="AY16">
            <v>3.4774408393572105E-2</v>
          </cell>
          <cell r="AZ16">
            <v>0.11081206078681183</v>
          </cell>
          <cell r="BA16">
            <v>0.11806828956634646</v>
          </cell>
          <cell r="BB16">
            <v>7.4229220188568645E-2</v>
          </cell>
          <cell r="BC16">
            <v>8.4253970409348483E-2</v>
          </cell>
          <cell r="BD16">
            <v>3.7717450659177892E-2</v>
          </cell>
          <cell r="BE16">
            <v>2.1872265966767419E-4</v>
          </cell>
          <cell r="BF16">
            <v>1.8334275485208079E-2</v>
          </cell>
          <cell r="BG16">
            <v>-2.2853363706506896E-2</v>
          </cell>
          <cell r="BH16">
            <v>4.3718161097062464E-3</v>
          </cell>
          <cell r="BI16">
            <v>-2.7877134112614239E-2</v>
          </cell>
          <cell r="BJ16">
            <v>-3.770739064856712E-3</v>
          </cell>
          <cell r="BK16">
            <v>-1.0384270859062385E-2</v>
          </cell>
          <cell r="BL16">
            <v>-2.2672272217801208E-2</v>
          </cell>
          <cell r="BM16">
            <v>-1.6622973027355454E-2</v>
          </cell>
          <cell r="BN16">
            <v>4.5430989809970568E-2</v>
          </cell>
          <cell r="BO16">
            <v>3.8428760966143448E-3</v>
          </cell>
          <cell r="BP16">
            <v>6.0936270476492478E-2</v>
          </cell>
          <cell r="BQ16">
            <v>1.7909596557514035E-2</v>
          </cell>
          <cell r="BR16">
            <v>3.6992445916619883E-2</v>
          </cell>
          <cell r="BS16">
            <v>9.7617781092992524E-3</v>
          </cell>
          <cell r="BT16">
            <v>7.1064532819652129E-3</v>
          </cell>
          <cell r="BU16">
            <v>7.0618309025915083E-3</v>
          </cell>
          <cell r="BV16">
            <v>7.8928457332015367E-3</v>
          </cell>
          <cell r="BW16">
            <v>6.594132199079031E-3</v>
          </cell>
          <cell r="BX16">
            <v>9.3527165330473203E-3</v>
          </cell>
          <cell r="BY16">
            <v>9.4435892340088649E-3</v>
          </cell>
          <cell r="BZ16">
            <v>1.2099189306704788E-2</v>
          </cell>
          <cell r="CA16">
            <v>1.9946297108139718E-2</v>
          </cell>
        </row>
        <row r="17">
          <cell r="A17" t="str">
            <v>Royalties</v>
          </cell>
          <cell r="B17">
            <v>4.5999999999999996</v>
          </cell>
          <cell r="C17">
            <v>4.7</v>
          </cell>
          <cell r="D17">
            <v>9.3000000000000007</v>
          </cell>
          <cell r="E17">
            <v>4.5</v>
          </cell>
          <cell r="F17">
            <v>13.8</v>
          </cell>
          <cell r="G17">
            <v>5.7</v>
          </cell>
          <cell r="H17">
            <v>19.5</v>
          </cell>
          <cell r="I17">
            <v>64.8</v>
          </cell>
          <cell r="J17">
            <v>74.600000000000009</v>
          </cell>
          <cell r="K17">
            <v>139.4</v>
          </cell>
          <cell r="L17">
            <v>68.8</v>
          </cell>
          <cell r="M17">
            <v>208.2</v>
          </cell>
          <cell r="N17">
            <v>73.900000000000006</v>
          </cell>
          <cell r="O17">
            <v>282.09999999999997</v>
          </cell>
          <cell r="P17">
            <v>81.8</v>
          </cell>
          <cell r="Q17">
            <v>94</v>
          </cell>
          <cell r="R17">
            <v>175.8</v>
          </cell>
          <cell r="S17">
            <v>95.8</v>
          </cell>
          <cell r="T17">
            <v>271.60000000000002</v>
          </cell>
          <cell r="U17">
            <v>116.3</v>
          </cell>
          <cell r="V17">
            <v>387.9</v>
          </cell>
          <cell r="W17">
            <v>101.54834848</v>
          </cell>
          <cell r="X17">
            <v>83.333225559999988</v>
          </cell>
          <cell r="Y17">
            <v>184.88157403999998</v>
          </cell>
          <cell r="Z17">
            <v>87.678767899999983</v>
          </cell>
          <cell r="AA17">
            <v>272.56034193999994</v>
          </cell>
          <cell r="AB17">
            <v>96.656461990000011</v>
          </cell>
          <cell r="AC17">
            <v>369.21680393000003</v>
          </cell>
          <cell r="AD17">
            <v>76.098955800000013</v>
          </cell>
          <cell r="AE17">
            <v>105.19788858999999</v>
          </cell>
          <cell r="AF17">
            <v>181.29684438999999</v>
          </cell>
          <cell r="AG17">
            <v>90.798465449999981</v>
          </cell>
          <cell r="AH17">
            <v>272.09530983999997</v>
          </cell>
          <cell r="AI17">
            <v>89.588198120000044</v>
          </cell>
          <cell r="AJ17">
            <v>361.68350795999999</v>
          </cell>
          <cell r="AK17">
            <v>86.191358310000012</v>
          </cell>
          <cell r="AL17">
            <v>85.7</v>
          </cell>
          <cell r="AM17">
            <v>171.89135831000002</v>
          </cell>
          <cell r="AN17">
            <v>97.313268499999978</v>
          </cell>
          <cell r="AO17">
            <v>269.20462680999998</v>
          </cell>
          <cell r="AP17">
            <v>101.29537319000008</v>
          </cell>
          <cell r="AQ17">
            <v>370.5</v>
          </cell>
          <cell r="AR17">
            <v>81.099999999999994</v>
          </cell>
          <cell r="AS17">
            <v>108.89999999999999</v>
          </cell>
          <cell r="AT17">
            <v>190</v>
          </cell>
          <cell r="AU17">
            <v>119.3</v>
          </cell>
          <cell r="AV17">
            <v>309.3</v>
          </cell>
          <cell r="AW17">
            <v>122.79999999999993</v>
          </cell>
          <cell r="AX17">
            <v>432.09999999999997</v>
          </cell>
          <cell r="AY17">
            <v>81.099999999999994</v>
          </cell>
          <cell r="AZ17">
            <v>108.89999999999999</v>
          </cell>
          <cell r="BA17">
            <v>119.3</v>
          </cell>
          <cell r="BB17">
            <v>122.79999999999993</v>
          </cell>
          <cell r="BC17">
            <v>432.09999999999997</v>
          </cell>
          <cell r="BD17">
            <v>99.999999999999986</v>
          </cell>
          <cell r="BE17">
            <v>97.3</v>
          </cell>
          <cell r="BF17">
            <v>197.29999999999998</v>
          </cell>
          <cell r="BG17">
            <v>92.2</v>
          </cell>
          <cell r="BH17">
            <v>289.5</v>
          </cell>
          <cell r="BI17">
            <v>105.50000000000003</v>
          </cell>
          <cell r="BJ17">
            <v>395</v>
          </cell>
          <cell r="BK17">
            <v>111.17738722009831</v>
          </cell>
          <cell r="BL17">
            <v>110.29951458219553</v>
          </cell>
          <cell r="BM17">
            <v>221.47690180229384</v>
          </cell>
          <cell r="BN17">
            <v>38.095823921354466</v>
          </cell>
          <cell r="BO17">
            <v>259.57272572364832</v>
          </cell>
          <cell r="BP17">
            <v>39.356211687602368</v>
          </cell>
          <cell r="BQ17">
            <v>298.92893741125067</v>
          </cell>
          <cell r="BR17">
            <v>152.55756541125066</v>
          </cell>
          <cell r="BS17">
            <v>182.41180185125066</v>
          </cell>
          <cell r="BT17">
            <v>214.34285473925064</v>
          </cell>
          <cell r="BU17">
            <v>214.34285473925064</v>
          </cell>
          <cell r="BV17">
            <v>214.34285473925064</v>
          </cell>
          <cell r="BW17">
            <v>214.34285473925064</v>
          </cell>
          <cell r="BX17">
            <v>214.34285473925064</v>
          </cell>
          <cell r="BY17">
            <v>214.34285473925064</v>
          </cell>
          <cell r="BZ17">
            <v>214.34285473925064</v>
          </cell>
          <cell r="CA17">
            <v>214.34285473925064</v>
          </cell>
          <cell r="CF17" t="str">
            <v>mstag:royaltyLicenseeIncome</v>
          </cell>
          <cell r="CG17">
            <v>6</v>
          </cell>
          <cell r="CH17" t="str">
            <v>ISO4217:EUR</v>
          </cell>
          <cell r="CI17" t="b">
            <v>0</v>
          </cell>
        </row>
        <row r="18">
          <cell r="A18" t="str">
            <v>Total Revenue</v>
          </cell>
          <cell r="B18">
            <v>1145.7999999999997</v>
          </cell>
          <cell r="C18">
            <v>1077.6000000000001</v>
          </cell>
          <cell r="D18">
            <v>2223.4</v>
          </cell>
          <cell r="E18">
            <v>1084.7</v>
          </cell>
          <cell r="F18">
            <v>3308.1</v>
          </cell>
          <cell r="G18">
            <v>1151.6999999999998</v>
          </cell>
          <cell r="H18">
            <v>4459.7999999999993</v>
          </cell>
          <cell r="I18">
            <v>1715.3</v>
          </cell>
          <cell r="J18">
            <v>1794.7</v>
          </cell>
          <cell r="K18">
            <v>3510.0000000000005</v>
          </cell>
          <cell r="L18">
            <v>1741.5</v>
          </cell>
          <cell r="M18">
            <v>5251.5</v>
          </cell>
          <cell r="N18">
            <v>1805.8</v>
          </cell>
          <cell r="O18">
            <v>7057.3</v>
          </cell>
          <cell r="P18">
            <v>1865.5</v>
          </cell>
          <cell r="Q18">
            <v>1910.1999999999998</v>
          </cell>
          <cell r="R18">
            <v>3775.7000000000003</v>
          </cell>
          <cell r="S18">
            <v>1898.4</v>
          </cell>
          <cell r="T18">
            <v>5667.5000000000009</v>
          </cell>
          <cell r="U18">
            <v>1915.3999999999999</v>
          </cell>
          <cell r="V18">
            <v>7589.5</v>
          </cell>
          <cell r="W18">
            <v>1858.4734859199996</v>
          </cell>
          <cell r="X18">
            <v>1909.7069299100001</v>
          </cell>
          <cell r="Y18">
            <v>3768.1804158299997</v>
          </cell>
          <cell r="Z18">
            <v>1950.0174498099984</v>
          </cell>
          <cell r="AA18">
            <v>5718.1978656399988</v>
          </cell>
          <cell r="AB18">
            <v>2028.7648827599915</v>
          </cell>
          <cell r="AC18">
            <v>7746.9627483999902</v>
          </cell>
          <cell r="AD18">
            <v>2098.8511141999998</v>
          </cell>
          <cell r="AE18">
            <v>2208.0562438600004</v>
          </cell>
          <cell r="AF18">
            <v>4306.9073580600007</v>
          </cell>
          <cell r="AG18">
            <v>2437.7781903300033</v>
          </cell>
          <cell r="AH18">
            <v>6744.6855483900026</v>
          </cell>
          <cell r="AI18">
            <v>2545.9102333600031</v>
          </cell>
          <cell r="AJ18">
            <v>9290.5957817500075</v>
          </cell>
          <cell r="AK18">
            <v>2563.8328415199994</v>
          </cell>
          <cell r="AL18">
            <v>2555.2446663200008</v>
          </cell>
          <cell r="AM18">
            <v>5119.0775078400011</v>
          </cell>
          <cell r="AN18">
            <v>2531.6010713100031</v>
          </cell>
          <cell r="AO18">
            <v>7650.6785791500042</v>
          </cell>
          <cell r="AP18">
            <v>2625.8031309699986</v>
          </cell>
          <cell r="AQ18">
            <v>10276.481710120002</v>
          </cell>
          <cell r="AR18">
            <v>2644.8999999999996</v>
          </cell>
          <cell r="AS18">
            <v>2852.1</v>
          </cell>
          <cell r="AT18">
            <v>5497</v>
          </cell>
          <cell r="AU18">
            <v>2841</v>
          </cell>
          <cell r="AV18">
            <v>8338</v>
          </cell>
          <cell r="AW18">
            <v>2834.6999999999994</v>
          </cell>
          <cell r="AX18">
            <v>11172.7</v>
          </cell>
          <cell r="AY18">
            <v>2644.8999999999996</v>
          </cell>
          <cell r="AZ18">
            <v>2852.1</v>
          </cell>
          <cell r="BA18">
            <v>2841</v>
          </cell>
          <cell r="BB18">
            <v>2834.6999999999994</v>
          </cell>
          <cell r="BC18">
            <v>11172.7</v>
          </cell>
          <cell r="BD18">
            <v>2760.5</v>
          </cell>
          <cell r="BE18">
            <v>2841.1000000000004</v>
          </cell>
          <cell r="BF18">
            <v>5601.5999999999995</v>
          </cell>
          <cell r="BG18">
            <v>2751.7</v>
          </cell>
          <cell r="BH18">
            <v>8353.2999999999993</v>
          </cell>
          <cell r="BI18">
            <v>2741.8000000000011</v>
          </cell>
          <cell r="BJ18">
            <v>11095.1</v>
          </cell>
          <cell r="BK18">
            <v>2744.0500345995629</v>
          </cell>
          <cell r="BL18">
            <v>2791.8913340709928</v>
          </cell>
          <cell r="BM18">
            <v>5535.9413686705557</v>
          </cell>
          <cell r="BN18">
            <v>2818.4195413209713</v>
          </cell>
          <cell r="BO18">
            <v>8354.3609099915266</v>
          </cell>
          <cell r="BP18">
            <v>2836.3025015447806</v>
          </cell>
          <cell r="BQ18">
            <v>11190.663411536307</v>
          </cell>
          <cell r="BR18">
            <v>11447.203938008563</v>
          </cell>
          <cell r="BS18">
            <v>11587.314006160859</v>
          </cell>
          <cell r="BT18">
            <v>11700.293463749167</v>
          </cell>
          <cell r="BU18">
            <v>11781.405304705513</v>
          </cell>
          <cell r="BV18">
            <v>11872.702344209405</v>
          </cell>
          <cell r="BW18">
            <v>11949.579107907359</v>
          </cell>
          <cell r="BX18">
            <v>12059.33544603158</v>
          </cell>
          <cell r="BY18">
            <v>12171.194690543623</v>
          </cell>
          <cell r="BZ18">
            <v>12315.862904417241</v>
          </cell>
          <cell r="CA18">
            <v>12557.243418788228</v>
          </cell>
        </row>
        <row r="19">
          <cell r="A19" t="str">
            <v xml:space="preserve">     year-on-year growth</v>
          </cell>
          <cell r="O19">
            <v>0.58242522086192228</v>
          </cell>
          <cell r="P19">
            <v>8.756485745933662E-2</v>
          </cell>
          <cell r="Q19">
            <v>6.4356159803866886E-2</v>
          </cell>
          <cell r="R19">
            <v>7.5698005698005666E-2</v>
          </cell>
          <cell r="S19">
            <v>9.009474590869937E-2</v>
          </cell>
          <cell r="T19">
            <v>7.921546224888143E-2</v>
          </cell>
          <cell r="U19">
            <v>6.0693321519547982E-2</v>
          </cell>
          <cell r="V19">
            <v>7.5411276267127736E-2</v>
          </cell>
          <cell r="W19">
            <v>-3.7665580702226364E-3</v>
          </cell>
          <cell r="X19">
            <v>-2.581248508007894E-4</v>
          </cell>
          <cell r="Y19">
            <v>-1.9915735280876534E-3</v>
          </cell>
          <cell r="Z19">
            <v>2.7189975668983513E-2</v>
          </cell>
          <cell r="AA19">
            <v>8.9453666766647899E-3</v>
          </cell>
          <cell r="AB19">
            <v>5.918600958546083E-2</v>
          </cell>
          <cell r="AC19">
            <v>2.0747446920085677E-2</v>
          </cell>
          <cell r="AD19">
            <v>0.12934143537754372</v>
          </cell>
          <cell r="AE19">
            <v>0.15622780086160182</v>
          </cell>
          <cell r="AF19">
            <v>0.1429673961381539</v>
          </cell>
          <cell r="AG19">
            <v>0.25013147475553632</v>
          </cell>
          <cell r="AH19">
            <v>0.17951244550631085</v>
          </cell>
          <cell r="AI19">
            <v>0.25490649754173189</v>
          </cell>
          <cell r="AJ19">
            <v>0.19925654524011094</v>
          </cell>
          <cell r="AK19">
            <v>0.22154107272026891</v>
          </cell>
          <cell r="AL19">
            <v>0.15723712809645862</v>
          </cell>
          <cell r="AM19">
            <v>0.18857386106996121</v>
          </cell>
          <cell r="AN19">
            <v>3.8487045848621282E-2</v>
          </cell>
          <cell r="AO19">
            <v>0.13432694886365271</v>
          </cell>
          <cell r="AP19">
            <v>3.1380877677118946E-2</v>
          </cell>
          <cell r="AQ19">
            <v>0.10611654532496417</v>
          </cell>
          <cell r="AR19">
            <v>3.1619517921433138E-2</v>
          </cell>
          <cell r="AS19">
            <v>0.1161749156911549</v>
          </cell>
          <cell r="AT19">
            <v>7.3826288346132918E-2</v>
          </cell>
          <cell r="AU19">
            <v>0.12221472498030472</v>
          </cell>
          <cell r="AV19">
            <v>8.9837968454604455E-2</v>
          </cell>
          <cell r="AW19">
            <v>7.9555419279598416E-2</v>
          </cell>
          <cell r="AX19">
            <v>8.721061499067595E-2</v>
          </cell>
          <cell r="AY19">
            <v>3.1619517921433138E-2</v>
          </cell>
          <cell r="AZ19">
            <v>0.1161749156911549</v>
          </cell>
          <cell r="BA19">
            <v>0.12221472498030472</v>
          </cell>
          <cell r="BB19">
            <v>7.9555419279598416E-2</v>
          </cell>
          <cell r="BC19">
            <v>8.721061499067595E-2</v>
          </cell>
          <cell r="BD19">
            <v>4.3706756399107816E-2</v>
          </cell>
          <cell r="BE19">
            <v>-3.8568072648222929E-3</v>
          </cell>
          <cell r="BF19">
            <v>1.9028561033290758E-2</v>
          </cell>
          <cell r="BG19">
            <v>-3.143259415698707E-2</v>
          </cell>
          <cell r="BH19">
            <v>1.8349724154471669E-3</v>
          </cell>
          <cell r="BI19">
            <v>-3.2772427417362748E-2</v>
          </cell>
          <cell r="BJ19">
            <v>-6.9455010874721612E-3</v>
          </cell>
          <cell r="BK19">
            <v>-5.9590528529024356E-3</v>
          </cell>
          <cell r="BL19">
            <v>-1.732028648375894E-2</v>
          </cell>
          <cell r="BM19">
            <v>-1.1721406621223229E-2</v>
          </cell>
          <cell r="BN19">
            <v>2.4246662543508268E-2</v>
          </cell>
          <cell r="BO19">
            <v>1.2700489525419023E-4</v>
          </cell>
          <cell r="BP19">
            <v>3.4467321301619114E-2</v>
          </cell>
          <cell r="BQ19">
            <v>8.6131185420867951E-3</v>
          </cell>
          <cell r="BR19">
            <v>2.2924514574157451E-2</v>
          </cell>
          <cell r="BS19">
            <v>1.2239676073830141E-2</v>
          </cell>
          <cell r="BT19">
            <v>9.7502715062556256E-3</v>
          </cell>
          <cell r="BU19">
            <v>6.9324620965836026E-3</v>
          </cell>
          <cell r="BV19">
            <v>7.7492486798180771E-3</v>
          </cell>
          <cell r="BW19">
            <v>6.4750855760691284E-3</v>
          </cell>
          <cell r="BX19">
            <v>9.1849543095281483E-3</v>
          </cell>
          <cell r="BY19">
            <v>9.2757387015760528E-3</v>
          </cell>
          <cell r="BZ19">
            <v>1.1886114514791046E-2</v>
          </cell>
          <cell r="CA19">
            <v>1.9599155677870739E-2</v>
          </cell>
        </row>
        <row r="20">
          <cell r="A20" t="str">
            <v>Cost of Sales</v>
          </cell>
          <cell r="B20">
            <v>-397.2999999999999</v>
          </cell>
          <cell r="C20">
            <v>-382.30000000000007</v>
          </cell>
          <cell r="D20">
            <v>-779.59999999999991</v>
          </cell>
          <cell r="E20">
            <v>-389.9</v>
          </cell>
          <cell r="F20">
            <v>-1169.5</v>
          </cell>
          <cell r="G20">
            <v>-397.80000000000007</v>
          </cell>
          <cell r="H20">
            <v>-1567.3</v>
          </cell>
          <cell r="I20">
            <v>-436.4</v>
          </cell>
          <cell r="J20">
            <v>-445.2</v>
          </cell>
          <cell r="K20">
            <v>-881.59999999999991</v>
          </cell>
          <cell r="L20">
            <v>-441.50000000000006</v>
          </cell>
          <cell r="M20">
            <v>-1323.1</v>
          </cell>
          <cell r="N20">
            <v>-456.59999999999997</v>
          </cell>
          <cell r="O20">
            <v>-1779.7</v>
          </cell>
          <cell r="P20">
            <v>-451.20000000000005</v>
          </cell>
          <cell r="Q20">
            <v>-489.4</v>
          </cell>
          <cell r="R20">
            <v>-940.6</v>
          </cell>
          <cell r="S20">
            <v>-471.8</v>
          </cell>
          <cell r="T20">
            <v>-1412.4</v>
          </cell>
          <cell r="U20">
            <v>-493.50000000000006</v>
          </cell>
          <cell r="V20">
            <v>-1905.8999999999999</v>
          </cell>
          <cell r="W20">
            <v>-456.8</v>
          </cell>
          <cell r="X20">
            <v>-517.70000000000005</v>
          </cell>
          <cell r="Y20">
            <v>-974.5</v>
          </cell>
          <cell r="Z20">
            <v>-521.9</v>
          </cell>
          <cell r="AA20">
            <v>-1496.4</v>
          </cell>
          <cell r="AB20">
            <v>-533</v>
          </cell>
          <cell r="AC20">
            <v>-2029.4</v>
          </cell>
          <cell r="AD20">
            <v>-486.59999999999997</v>
          </cell>
          <cell r="AE20">
            <v>-517.19999999999993</v>
          </cell>
          <cell r="AF20">
            <v>-1003.8</v>
          </cell>
          <cell r="AG20">
            <v>-619.69999999999993</v>
          </cell>
          <cell r="AH20">
            <v>-1623.5</v>
          </cell>
          <cell r="AI20">
            <v>-761.90000000000009</v>
          </cell>
          <cell r="AJ20">
            <v>-2385.3999999999996</v>
          </cell>
          <cell r="AK20">
            <v>-638.9</v>
          </cell>
          <cell r="AL20">
            <v>-759.80000000000007</v>
          </cell>
          <cell r="AM20">
            <v>-1398.7</v>
          </cell>
          <cell r="AN20">
            <v>-679</v>
          </cell>
          <cell r="AO20">
            <v>-2077.6999999999998</v>
          </cell>
          <cell r="AP20">
            <v>-707.8</v>
          </cell>
          <cell r="AQ20">
            <v>-2785.5</v>
          </cell>
          <cell r="AR20">
            <v>-748.69999999999993</v>
          </cell>
          <cell r="AS20">
            <v>-807.7</v>
          </cell>
          <cell r="AT20">
            <v>-1556.4</v>
          </cell>
          <cell r="AU20">
            <v>-787.6</v>
          </cell>
          <cell r="AV20">
            <v>-2344</v>
          </cell>
          <cell r="AW20">
            <v>-813.69999999999993</v>
          </cell>
          <cell r="AX20">
            <v>-3157.7</v>
          </cell>
          <cell r="AY20">
            <v>-748.69999999999993</v>
          </cell>
          <cell r="AZ20">
            <v>-807.7</v>
          </cell>
          <cell r="BA20">
            <v>-787.6</v>
          </cell>
          <cell r="BB20">
            <v>-813.69999999999993</v>
          </cell>
          <cell r="BC20">
            <v>-3157.7</v>
          </cell>
          <cell r="BD20">
            <v>-724</v>
          </cell>
          <cell r="BE20">
            <v>-768</v>
          </cell>
          <cell r="BF20">
            <v>-1492</v>
          </cell>
          <cell r="BG20">
            <v>-723.2</v>
          </cell>
          <cell r="BH20">
            <v>-2215.1999999999998</v>
          </cell>
          <cell r="BI20">
            <v>-777.2</v>
          </cell>
          <cell r="BJ20">
            <v>-2992.4</v>
          </cell>
          <cell r="BK20">
            <v>-747.13709230029554</v>
          </cell>
          <cell r="BL20">
            <v>-755.44327681840298</v>
          </cell>
          <cell r="BM20">
            <v>-1502.5803691186984</v>
          </cell>
          <cell r="BN20">
            <v>-795.60794080863627</v>
          </cell>
          <cell r="BO20">
            <v>-2298.1883099273346</v>
          </cell>
          <cell r="BP20">
            <v>-802.13544534302923</v>
          </cell>
          <cell r="BQ20">
            <v>-3100.323755270364</v>
          </cell>
          <cell r="BR20">
            <v>-3304.4191265090549</v>
          </cell>
          <cell r="BS20">
            <v>-3376.4364144491842</v>
          </cell>
          <cell r="BT20">
            <v>-3465.4406747914454</v>
          </cell>
          <cell r="BU20">
            <v>-3542.2116485687552</v>
          </cell>
          <cell r="BV20">
            <v>-3605.3092082486164</v>
          </cell>
          <cell r="BW20">
            <v>-3667.5716168702666</v>
          </cell>
          <cell r="BX20">
            <v>-3756.9384098577707</v>
          </cell>
          <cell r="BY20">
            <v>-3830.3164870242299</v>
          </cell>
          <cell r="BZ20">
            <v>-3912.133584289687</v>
          </cell>
          <cell r="CA20">
            <v>-4014.639897977213</v>
          </cell>
          <cell r="CF20" t="str">
            <v>mstag:costOfSalesWithoutDepreciation</v>
          </cell>
          <cell r="CG20">
            <v>6</v>
          </cell>
          <cell r="CH20" t="str">
            <v>ISO4217:EUR</v>
          </cell>
          <cell r="CI20" t="b">
            <v>1</v>
          </cell>
        </row>
        <row r="21">
          <cell r="A21" t="str">
            <v xml:space="preserve">     % of total revenue</v>
          </cell>
          <cell r="B21">
            <v>0.34674463257112931</v>
          </cell>
          <cell r="C21">
            <v>0.35476985894580554</v>
          </cell>
          <cell r="D21">
            <v>0.35063416389313656</v>
          </cell>
          <cell r="E21">
            <v>0.35945422697520046</v>
          </cell>
          <cell r="F21">
            <v>0.35352619328315349</v>
          </cell>
          <cell r="G21">
            <v>0.34540244855431113</v>
          </cell>
          <cell r="H21">
            <v>0.35142831517108397</v>
          </cell>
          <cell r="I21">
            <v>0.25441613711887134</v>
          </cell>
          <cell r="J21">
            <v>0.24806374324399619</v>
          </cell>
          <cell r="K21">
            <v>0.25116809116809113</v>
          </cell>
          <cell r="L21">
            <v>0.25351708297444736</v>
          </cell>
          <cell r="M21">
            <v>0.25194706274397788</v>
          </cell>
          <cell r="N21">
            <v>0.25285192158600067</v>
          </cell>
          <cell r="O21">
            <v>0.25217859521346692</v>
          </cell>
          <cell r="P21">
            <v>0.24186545162154921</v>
          </cell>
          <cell r="Q21">
            <v>0.25620353889645064</v>
          </cell>
          <cell r="R21">
            <v>0.2491193685939031</v>
          </cell>
          <cell r="S21">
            <v>0.24852507374631269</v>
          </cell>
          <cell r="T21">
            <v>0.24921041023378912</v>
          </cell>
          <cell r="U21">
            <v>0.25764853294351053</v>
          </cell>
          <cell r="V21">
            <v>0.25112326240200272</v>
          </cell>
          <cell r="W21">
            <v>0.24579312186090749</v>
          </cell>
          <cell r="X21">
            <v>0.27108871622746744</v>
          </cell>
          <cell r="Y21">
            <v>0.25861288273410638</v>
          </cell>
          <cell r="Z21">
            <v>0.26763863064448562</v>
          </cell>
          <cell r="AA21">
            <v>0.2616908395198595</v>
          </cell>
          <cell r="AB21">
            <v>0.26272142451267744</v>
          </cell>
          <cell r="AC21">
            <v>0.2619607278244806</v>
          </cell>
          <cell r="AD21">
            <v>0.23184112332116177</v>
          </cell>
          <cell r="AE21">
            <v>0.23423316386898724</v>
          </cell>
          <cell r="AF21">
            <v>0.23306746965928488</v>
          </cell>
          <cell r="AG21">
            <v>0.25420688496524402</v>
          </cell>
          <cell r="AH21">
            <v>0.24070803425187692</v>
          </cell>
          <cell r="AI21">
            <v>0.29926428277656558</v>
          </cell>
          <cell r="AJ21">
            <v>0.25675425516690359</v>
          </cell>
          <cell r="AK21">
            <v>0.24919721350523788</v>
          </cell>
          <cell r="AL21">
            <v>0.29734921669721942</v>
          </cell>
          <cell r="AM21">
            <v>0.27323282326900783</v>
          </cell>
          <cell r="AN21">
            <v>0.26820971427723578</v>
          </cell>
          <cell r="AO21">
            <v>0.27157068206501933</v>
          </cell>
          <cell r="AP21">
            <v>0.26955562344025819</v>
          </cell>
          <cell r="AQ21">
            <v>0.27105580281011105</v>
          </cell>
          <cell r="AR21">
            <v>0.28307308404854625</v>
          </cell>
          <cell r="AS21">
            <v>0.28319483889064201</v>
          </cell>
          <cell r="AT21">
            <v>0.28313625613971261</v>
          </cell>
          <cell r="AU21">
            <v>0.27722632875747977</v>
          </cell>
          <cell r="AV21">
            <v>0.28112257136003838</v>
          </cell>
          <cell r="AW21">
            <v>0.28704977599040465</v>
          </cell>
          <cell r="AX21">
            <v>0.28262640185452037</v>
          </cell>
          <cell r="AY21">
            <v>0.28307308404854625</v>
          </cell>
          <cell r="AZ21">
            <v>0.28319483889064201</v>
          </cell>
          <cell r="BA21">
            <v>0.27722632875747977</v>
          </cell>
          <cell r="BB21">
            <v>0.28704977599040465</v>
          </cell>
          <cell r="BC21">
            <v>0.28262640185452037</v>
          </cell>
          <cell r="BD21">
            <v>0.26227132765803296</v>
          </cell>
          <cell r="BE21">
            <v>0.27031783464151204</v>
          </cell>
          <cell r="BF21">
            <v>0.26635247072265072</v>
          </cell>
          <cell r="BG21">
            <v>0.26281934803939389</v>
          </cell>
          <cell r="BH21">
            <v>0.26518860809500439</v>
          </cell>
          <cell r="BI21">
            <v>0.28346341819242826</v>
          </cell>
          <cell r="BJ21">
            <v>0.26970464439256969</v>
          </cell>
          <cell r="BK21">
            <v>0.27227531673245337</v>
          </cell>
          <cell r="BL21">
            <v>0.27058477083234267</v>
          </cell>
          <cell r="BM21">
            <v>0.27142273898026126</v>
          </cell>
          <cell r="BN21">
            <v>0.2822886831233582</v>
          </cell>
          <cell r="BO21">
            <v>0.275088463939687</v>
          </cell>
          <cell r="BP21">
            <v>0.28281025909829766</v>
          </cell>
          <cell r="BQ21">
            <v>0.27704557283657388</v>
          </cell>
          <cell r="BR21">
            <v>0.28866604844325988</v>
          </cell>
          <cell r="BS21">
            <v>0.29139077552001841</v>
          </cell>
          <cell r="BT21">
            <v>0.29618408166670052</v>
          </cell>
          <cell r="BU21">
            <v>0.3006612162942896</v>
          </cell>
          <cell r="BV21">
            <v>0.30366374088431602</v>
          </cell>
          <cell r="BW21">
            <v>0.30692056881261498</v>
          </cell>
          <cell r="BX21">
            <v>0.31153776480229539</v>
          </cell>
          <cell r="BY21">
            <v>0.3147034111614519</v>
          </cell>
          <cell r="BZ21">
            <v>0.31764997829640912</v>
          </cell>
          <cell r="CA21">
            <v>0.31970710163748861</v>
          </cell>
        </row>
        <row r="22">
          <cell r="A22" t="str">
            <v>Gross Profit</v>
          </cell>
          <cell r="B22">
            <v>748.49999999999977</v>
          </cell>
          <cell r="C22">
            <v>695.30000000000007</v>
          </cell>
          <cell r="D22">
            <v>1443.8000000000002</v>
          </cell>
          <cell r="E22">
            <v>694.80000000000007</v>
          </cell>
          <cell r="F22">
            <v>2138.6</v>
          </cell>
          <cell r="G22">
            <v>753.89999999999975</v>
          </cell>
          <cell r="H22">
            <v>2892.4999999999991</v>
          </cell>
          <cell r="I22">
            <v>1278.9000000000001</v>
          </cell>
          <cell r="J22">
            <v>1349.5</v>
          </cell>
          <cell r="K22">
            <v>2628.4000000000005</v>
          </cell>
          <cell r="L22">
            <v>1300</v>
          </cell>
          <cell r="M22">
            <v>3928.4</v>
          </cell>
          <cell r="N22">
            <v>1349.2</v>
          </cell>
          <cell r="O22">
            <v>5277.6</v>
          </cell>
          <cell r="P22">
            <v>1414.3</v>
          </cell>
          <cell r="Q22">
            <v>1420.7999999999997</v>
          </cell>
          <cell r="R22">
            <v>2835.1000000000004</v>
          </cell>
          <cell r="S22">
            <v>1426.6000000000001</v>
          </cell>
          <cell r="T22">
            <v>4255.1000000000004</v>
          </cell>
          <cell r="U22">
            <v>1421.8999999999999</v>
          </cell>
          <cell r="V22">
            <v>5683.6</v>
          </cell>
          <cell r="W22">
            <v>1401.6734859199996</v>
          </cell>
          <cell r="X22">
            <v>1392.0069299100001</v>
          </cell>
          <cell r="Y22">
            <v>2793.6804158299997</v>
          </cell>
          <cell r="Z22">
            <v>1428.1174498099986</v>
          </cell>
          <cell r="AA22">
            <v>4221.7978656399991</v>
          </cell>
          <cell r="AB22">
            <v>1495.7648827599915</v>
          </cell>
          <cell r="AC22">
            <v>5717.5627483999906</v>
          </cell>
          <cell r="AD22">
            <v>1612.2511141999998</v>
          </cell>
          <cell r="AE22">
            <v>1690.8562438600006</v>
          </cell>
          <cell r="AF22">
            <v>3303.1073580600005</v>
          </cell>
          <cell r="AG22">
            <v>1818.0781903300035</v>
          </cell>
          <cell r="AH22">
            <v>5121.1855483900026</v>
          </cell>
          <cell r="AI22">
            <v>1784.010233360003</v>
          </cell>
          <cell r="AJ22">
            <v>6905.1957817500079</v>
          </cell>
          <cell r="AK22">
            <v>1924.9328415199993</v>
          </cell>
          <cell r="AL22">
            <v>1795.4446663200006</v>
          </cell>
          <cell r="AM22">
            <v>3720.3775078400013</v>
          </cell>
          <cell r="AN22">
            <v>1852.6010713100031</v>
          </cell>
          <cell r="AO22">
            <v>5572.9785791500044</v>
          </cell>
          <cell r="AP22">
            <v>1918.0031309699987</v>
          </cell>
          <cell r="AQ22">
            <v>7490.9817101200024</v>
          </cell>
          <cell r="AR22">
            <v>1896.1999999999998</v>
          </cell>
          <cell r="AS22">
            <v>2044.3999999999999</v>
          </cell>
          <cell r="AT22">
            <v>3940.6</v>
          </cell>
          <cell r="AU22">
            <v>2053.4</v>
          </cell>
          <cell r="AV22">
            <v>5994</v>
          </cell>
          <cell r="AW22">
            <v>2020.9999999999995</v>
          </cell>
          <cell r="AX22">
            <v>8015.0000000000009</v>
          </cell>
          <cell r="AY22">
            <v>1896.1999999999998</v>
          </cell>
          <cell r="AZ22">
            <v>2044.3999999999999</v>
          </cell>
          <cell r="BA22">
            <v>2053.4</v>
          </cell>
          <cell r="BB22">
            <v>2020.9999999999995</v>
          </cell>
          <cell r="BC22">
            <v>8015.0000000000009</v>
          </cell>
          <cell r="BD22">
            <v>2036.5</v>
          </cell>
          <cell r="BE22">
            <v>2073.1000000000004</v>
          </cell>
          <cell r="BF22">
            <v>4109.5999999999995</v>
          </cell>
          <cell r="BG22">
            <v>2028.4999999999998</v>
          </cell>
          <cell r="BH22">
            <v>6138.0999999999995</v>
          </cell>
          <cell r="BI22">
            <v>1964.600000000001</v>
          </cell>
          <cell r="BJ22">
            <v>8102.7000000000007</v>
          </cell>
          <cell r="BK22">
            <v>1996.9129422992673</v>
          </cell>
          <cell r="BL22">
            <v>2036.4480572525899</v>
          </cell>
          <cell r="BM22">
            <v>4033.3609995518573</v>
          </cell>
          <cell r="BN22">
            <v>2022.8116005123352</v>
          </cell>
          <cell r="BO22">
            <v>6056.172600064192</v>
          </cell>
          <cell r="BP22">
            <v>2034.1670562017514</v>
          </cell>
          <cell r="BQ22">
            <v>8090.3396562659427</v>
          </cell>
          <cell r="BR22">
            <v>8142.7848114995077</v>
          </cell>
          <cell r="BS22">
            <v>8210.8775917116745</v>
          </cell>
          <cell r="BT22">
            <v>8234.8527889577217</v>
          </cell>
          <cell r="BU22">
            <v>8239.1936561367584</v>
          </cell>
          <cell r="BV22">
            <v>8267.3931359607886</v>
          </cell>
          <cell r="BW22">
            <v>8282.0074910370931</v>
          </cell>
          <cell r="BX22">
            <v>8302.3970361738102</v>
          </cell>
          <cell r="BY22">
            <v>8340.8782035193944</v>
          </cell>
          <cell r="BZ22">
            <v>8403.7293201275534</v>
          </cell>
          <cell r="CA22">
            <v>8542.6035208110152</v>
          </cell>
        </row>
        <row r="23">
          <cell r="A23" t="str">
            <v xml:space="preserve">     Gross Margin (%)</v>
          </cell>
          <cell r="B23">
            <v>0.65325536742887058</v>
          </cell>
          <cell r="C23">
            <v>0.64523014105419452</v>
          </cell>
          <cell r="D23">
            <v>0.64936583610686338</v>
          </cell>
          <cell r="E23">
            <v>0.64054577302479954</v>
          </cell>
          <cell r="F23">
            <v>0.64647380671684651</v>
          </cell>
          <cell r="G23">
            <v>0.65459755144568887</v>
          </cell>
          <cell r="H23">
            <v>0.64857168482891603</v>
          </cell>
          <cell r="I23">
            <v>0.74558386288112877</v>
          </cell>
          <cell r="J23">
            <v>0.75193625675600373</v>
          </cell>
          <cell r="K23">
            <v>0.74883190883190887</v>
          </cell>
          <cell r="L23">
            <v>0.74648291702555269</v>
          </cell>
          <cell r="M23">
            <v>0.74805293725602207</v>
          </cell>
          <cell r="N23">
            <v>0.74714807841399933</v>
          </cell>
          <cell r="O23">
            <v>0.74782140478653314</v>
          </cell>
          <cell r="P23">
            <v>0.75813454837845085</v>
          </cell>
          <cell r="Q23">
            <v>0.74379646110354924</v>
          </cell>
          <cell r="R23">
            <v>0.75088063140609695</v>
          </cell>
          <cell r="S23">
            <v>0.75147492625368739</v>
          </cell>
          <cell r="T23">
            <v>0.7507895897662108</v>
          </cell>
          <cell r="U23">
            <v>0.74235146705648947</v>
          </cell>
          <cell r="V23">
            <v>0.74887673759799733</v>
          </cell>
          <cell r="W23">
            <v>0.75420687813909248</v>
          </cell>
          <cell r="X23">
            <v>0.72891128377253256</v>
          </cell>
          <cell r="Y23">
            <v>0.74138711726589357</v>
          </cell>
          <cell r="Z23">
            <v>0.73236136935551444</v>
          </cell>
          <cell r="AA23">
            <v>0.73830916048014061</v>
          </cell>
          <cell r="AB23">
            <v>0.73727857548732256</v>
          </cell>
          <cell r="AC23">
            <v>0.73803927217551946</v>
          </cell>
          <cell r="AD23">
            <v>0.7681588766788382</v>
          </cell>
          <cell r="AE23">
            <v>0.76576683613101282</v>
          </cell>
          <cell r="AF23">
            <v>0.76693253034071507</v>
          </cell>
          <cell r="AG23">
            <v>0.74579311503475598</v>
          </cell>
          <cell r="AH23">
            <v>0.75929196574812308</v>
          </cell>
          <cell r="AI23">
            <v>0.70073571722343442</v>
          </cell>
          <cell r="AJ23">
            <v>0.74324574483309636</v>
          </cell>
          <cell r="AK23">
            <v>0.75080278649476206</v>
          </cell>
          <cell r="AL23">
            <v>0.70265078330278052</v>
          </cell>
          <cell r="AM23">
            <v>0.72676717673099223</v>
          </cell>
          <cell r="AN23">
            <v>0.73179028572276417</v>
          </cell>
          <cell r="AO23">
            <v>0.72842931793498067</v>
          </cell>
          <cell r="AP23">
            <v>0.73044437655974181</v>
          </cell>
          <cell r="AQ23">
            <v>0.72894419718988901</v>
          </cell>
          <cell r="AR23">
            <v>0.71692691595145375</v>
          </cell>
          <cell r="AS23">
            <v>0.71680516110935799</v>
          </cell>
          <cell r="AT23">
            <v>0.71686374386028739</v>
          </cell>
          <cell r="AU23">
            <v>0.72277367124252023</v>
          </cell>
          <cell r="AV23">
            <v>0.71887742863996162</v>
          </cell>
          <cell r="AW23">
            <v>0.7129502240095954</v>
          </cell>
          <cell r="AX23">
            <v>0.71737359814547963</v>
          </cell>
          <cell r="AY23">
            <v>0.71692691595145375</v>
          </cell>
          <cell r="AZ23">
            <v>0.71680516110935799</v>
          </cell>
          <cell r="BA23">
            <v>0.72277367124252023</v>
          </cell>
          <cell r="BB23">
            <v>0.7129502240095954</v>
          </cell>
          <cell r="BC23">
            <v>0.71737359814547963</v>
          </cell>
          <cell r="BD23">
            <v>0.73772867234196704</v>
          </cell>
          <cell r="BE23">
            <v>0.72968216535848796</v>
          </cell>
          <cell r="BF23">
            <v>0.73364752927734933</v>
          </cell>
          <cell r="BG23">
            <v>0.73718065196060611</v>
          </cell>
          <cell r="BH23">
            <v>0.73481139190499567</v>
          </cell>
          <cell r="BI23">
            <v>0.71653658180757174</v>
          </cell>
          <cell r="BJ23">
            <v>0.73029535560743031</v>
          </cell>
          <cell r="BK23">
            <v>0.72772468326754669</v>
          </cell>
          <cell r="BL23">
            <v>0.72941522916765744</v>
          </cell>
          <cell r="BM23">
            <v>0.72857726101973874</v>
          </cell>
          <cell r="BN23">
            <v>0.7177113168766418</v>
          </cell>
          <cell r="BO23">
            <v>0.724911536060313</v>
          </cell>
          <cell r="BP23">
            <v>0.71718974090170229</v>
          </cell>
          <cell r="BQ23">
            <v>0.72295442716342617</v>
          </cell>
          <cell r="BR23">
            <v>0.71133395155674017</v>
          </cell>
          <cell r="BS23">
            <v>0.70860922447998154</v>
          </cell>
          <cell r="BT23">
            <v>0.70381591833329948</v>
          </cell>
          <cell r="BU23">
            <v>0.69933878370571045</v>
          </cell>
          <cell r="BV23">
            <v>0.69633625911568398</v>
          </cell>
          <cell r="BW23">
            <v>0.69307943118738513</v>
          </cell>
          <cell r="BX23">
            <v>0.68846223519770466</v>
          </cell>
          <cell r="BY23">
            <v>0.68529658883854816</v>
          </cell>
          <cell r="BZ23">
            <v>0.68235002170359083</v>
          </cell>
          <cell r="CA23">
            <v>0.68029289836251139</v>
          </cell>
        </row>
        <row r="24">
          <cell r="A24" t="str">
            <v>Operating Expenses</v>
          </cell>
        </row>
        <row r="25">
          <cell r="A25" t="str">
            <v>Marketing &amp; Selling Expenses</v>
          </cell>
          <cell r="B25">
            <v>-269.19999999999993</v>
          </cell>
          <cell r="C25">
            <v>-276.10000000000002</v>
          </cell>
          <cell r="D25">
            <v>-545.29999999999995</v>
          </cell>
          <cell r="E25">
            <v>-271.8</v>
          </cell>
          <cell r="F25">
            <v>-817.09999999999991</v>
          </cell>
          <cell r="G25">
            <v>-300.20000000000005</v>
          </cell>
          <cell r="H25">
            <v>-1117.3</v>
          </cell>
          <cell r="I25">
            <v>-448.7</v>
          </cell>
          <cell r="J25">
            <v>-480.9</v>
          </cell>
          <cell r="K25">
            <v>-929.59999999999991</v>
          </cell>
          <cell r="L25">
            <v>-441.6</v>
          </cell>
          <cell r="M25">
            <v>-1371.1999999999998</v>
          </cell>
          <cell r="N25">
            <v>-561.6</v>
          </cell>
          <cell r="O25">
            <v>-1932.7</v>
          </cell>
          <cell r="P25">
            <v>-418.4</v>
          </cell>
          <cell r="Q25">
            <v>-472.19999999999993</v>
          </cell>
          <cell r="R25">
            <v>-890.59999999999991</v>
          </cell>
          <cell r="S25">
            <v>-432.4</v>
          </cell>
          <cell r="T25">
            <v>-1323</v>
          </cell>
          <cell r="U25">
            <v>-467.8</v>
          </cell>
          <cell r="V25">
            <v>-1790.8</v>
          </cell>
          <cell r="W25">
            <v>-453.9</v>
          </cell>
          <cell r="X25">
            <v>-466.7</v>
          </cell>
          <cell r="Y25">
            <v>-920.59999999999991</v>
          </cell>
          <cell r="Z25">
            <v>-446.2</v>
          </cell>
          <cell r="AA25">
            <v>-1366.8</v>
          </cell>
          <cell r="AB25">
            <v>-492.6</v>
          </cell>
          <cell r="AC25">
            <v>-1859.3999999999999</v>
          </cell>
          <cell r="AD25">
            <v>-468.2</v>
          </cell>
          <cell r="AE25">
            <v>-540.20000000000005</v>
          </cell>
          <cell r="AF25">
            <v>-1008.4000000000001</v>
          </cell>
          <cell r="AG25">
            <v>-573.29999999999995</v>
          </cell>
          <cell r="AH25">
            <v>-1581.7</v>
          </cell>
          <cell r="AI25">
            <v>-652.79999999999995</v>
          </cell>
          <cell r="AJ25">
            <v>-2234.5</v>
          </cell>
          <cell r="AK25">
            <v>-590</v>
          </cell>
          <cell r="AL25">
            <v>-603.69999999999993</v>
          </cell>
          <cell r="AM25">
            <v>-1193.6999999999998</v>
          </cell>
          <cell r="AN25">
            <v>-584.59999999999991</v>
          </cell>
          <cell r="AO25">
            <v>-1778.2999999999997</v>
          </cell>
          <cell r="AP25">
            <v>-607.29999999999995</v>
          </cell>
          <cell r="AQ25">
            <v>-2385.6000000000004</v>
          </cell>
          <cell r="AR25">
            <v>-586.6</v>
          </cell>
          <cell r="AS25">
            <v>-617.30000000000007</v>
          </cell>
          <cell r="AT25">
            <v>-1203.9000000000001</v>
          </cell>
          <cell r="AU25">
            <v>-598.00000000000011</v>
          </cell>
          <cell r="AV25">
            <v>-1801.9</v>
          </cell>
          <cell r="AW25">
            <v>-609</v>
          </cell>
          <cell r="AX25">
            <v>-2410.9</v>
          </cell>
          <cell r="AY25">
            <v>-586.6</v>
          </cell>
          <cell r="AZ25">
            <v>-617.30000000000007</v>
          </cell>
          <cell r="BA25">
            <v>-598.00000000000011</v>
          </cell>
          <cell r="BB25">
            <v>-609</v>
          </cell>
          <cell r="BC25">
            <v>-2410.9</v>
          </cell>
          <cell r="BD25">
            <v>-568.29999999999995</v>
          </cell>
          <cell r="BE25">
            <v>-616.30000000000007</v>
          </cell>
          <cell r="BF25">
            <v>-1184.5999999999999</v>
          </cell>
          <cell r="BG25">
            <v>-559.9</v>
          </cell>
          <cell r="BH25">
            <v>-1744.5</v>
          </cell>
          <cell r="BI25">
            <v>-581.79999999999995</v>
          </cell>
          <cell r="BJ25">
            <v>-2326.3000000000002</v>
          </cell>
          <cell r="BK25">
            <v>-557.8476363999406</v>
          </cell>
          <cell r="BL25">
            <v>-566.53980918617822</v>
          </cell>
          <cell r="BM25">
            <v>-1124.3874455861187</v>
          </cell>
          <cell r="BN25">
            <v>-577.36557879150712</v>
          </cell>
          <cell r="BO25">
            <v>-1701.7530243776259</v>
          </cell>
          <cell r="BP25">
            <v>-580.49221010937504</v>
          </cell>
          <cell r="BQ25">
            <v>-2282.2452344870012</v>
          </cell>
          <cell r="BR25">
            <v>-2296.373956260009</v>
          </cell>
          <cell r="BS25">
            <v>-2392.5699154579293</v>
          </cell>
          <cell r="BT25">
            <v>-2452.5804370526107</v>
          </cell>
          <cell r="BU25">
            <v>-2520.8192075826805</v>
          </cell>
          <cell r="BV25">
            <v>-2599.1845725393664</v>
          </cell>
          <cell r="BW25">
            <v>-2666.3343874958077</v>
          </cell>
          <cell r="BX25">
            <v>-2738.7435206561868</v>
          </cell>
          <cell r="BY25">
            <v>-2808.9504292796173</v>
          </cell>
          <cell r="BZ25">
            <v>-2885.1514413428586</v>
          </cell>
          <cell r="CA25">
            <v>-2964.1449131457598</v>
          </cell>
        </row>
        <row r="26">
          <cell r="A26" t="str">
            <v>Royalty and Commission Expenses</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-79.8</v>
          </cell>
          <cell r="Q26">
            <v>-82.2</v>
          </cell>
          <cell r="R26">
            <v>-162</v>
          </cell>
          <cell r="S26">
            <v>-87.5</v>
          </cell>
          <cell r="T26">
            <v>-249.5</v>
          </cell>
          <cell r="U26">
            <v>-87.9</v>
          </cell>
          <cell r="V26">
            <v>-337.4</v>
          </cell>
          <cell r="W26">
            <v>-97.3</v>
          </cell>
          <cell r="X26">
            <v>-101.20000000000002</v>
          </cell>
          <cell r="Y26">
            <v>-198.5</v>
          </cell>
          <cell r="Z26">
            <v>-105.19999999999999</v>
          </cell>
          <cell r="AA26">
            <v>-303.7</v>
          </cell>
          <cell r="AB26">
            <v>-109.2</v>
          </cell>
          <cell r="AC26">
            <v>-412.90000000000003</v>
          </cell>
          <cell r="AD26">
            <v>-122.2</v>
          </cell>
          <cell r="AE26">
            <v>-117.3</v>
          </cell>
          <cell r="AF26">
            <v>-239.5</v>
          </cell>
          <cell r="AG26">
            <v>-115.8</v>
          </cell>
          <cell r="AH26">
            <v>-355.3</v>
          </cell>
          <cell r="AI26">
            <v>-121.6</v>
          </cell>
          <cell r="AJ26">
            <v>-476.9</v>
          </cell>
          <cell r="AK26">
            <v>-111.3</v>
          </cell>
          <cell r="AL26">
            <v>-118.4</v>
          </cell>
          <cell r="AM26">
            <v>-229.7</v>
          </cell>
          <cell r="AN26">
            <v>-133.89999999999998</v>
          </cell>
          <cell r="AO26">
            <v>-363.59999999999997</v>
          </cell>
          <cell r="AP26">
            <v>-136.69999999999999</v>
          </cell>
          <cell r="AQ26">
            <v>-500.29999999999995</v>
          </cell>
          <cell r="AR26">
            <v>-120</v>
          </cell>
          <cell r="AS26">
            <v>-151.70000000000002</v>
          </cell>
          <cell r="AT26">
            <v>-271.70000000000005</v>
          </cell>
          <cell r="AU26">
            <v>-161.49999999999997</v>
          </cell>
          <cell r="AV26">
            <v>-433.20000000000005</v>
          </cell>
          <cell r="AW26">
            <v>-146.49999999999997</v>
          </cell>
          <cell r="AX26">
            <v>-579.69999999999993</v>
          </cell>
          <cell r="AY26">
            <v>-120</v>
          </cell>
          <cell r="AZ26">
            <v>-151.70000000000002</v>
          </cell>
          <cell r="BA26">
            <v>-161.49999999999997</v>
          </cell>
          <cell r="BB26">
            <v>-146.49999999999997</v>
          </cell>
          <cell r="BC26">
            <v>-579.69999999999993</v>
          </cell>
          <cell r="BD26">
            <v>-136.29999999999998</v>
          </cell>
          <cell r="BE26">
            <v>-156.6</v>
          </cell>
          <cell r="BF26">
            <v>-292.89999999999998</v>
          </cell>
          <cell r="BG26">
            <v>-144.50000000000003</v>
          </cell>
          <cell r="BH26">
            <v>-437.4</v>
          </cell>
          <cell r="BI26">
            <v>-129.9</v>
          </cell>
          <cell r="BJ26">
            <v>-567.29999999999995</v>
          </cell>
          <cell r="BK26">
            <v>-155.91160491326988</v>
          </cell>
          <cell r="BL26">
            <v>-176.38609495050957</v>
          </cell>
          <cell r="BM26">
            <v>-332.29769986377948</v>
          </cell>
          <cell r="BN26">
            <v>-121.36941639014633</v>
          </cell>
          <cell r="BO26">
            <v>-453.66711625392583</v>
          </cell>
          <cell r="BP26">
            <v>-98.023660951027551</v>
          </cell>
          <cell r="BQ26">
            <v>-551.69077720495329</v>
          </cell>
          <cell r="BR26">
            <v>-442.5115071506483</v>
          </cell>
          <cell r="BS26">
            <v>-199.65767155278905</v>
          </cell>
          <cell r="BT26">
            <v>-197.28349077922149</v>
          </cell>
          <cell r="BU26">
            <v>-193.94262882210239</v>
          </cell>
          <cell r="BV26">
            <v>-190.68980117753455</v>
          </cell>
          <cell r="BW26">
            <v>-186.7265806358873</v>
          </cell>
          <cell r="BX26">
            <v>-183.55494132807598</v>
          </cell>
          <cell r="BY26">
            <v>-180.17780854137985</v>
          </cell>
          <cell r="BZ26">
            <v>-177.5649217073653</v>
          </cell>
          <cell r="CA26">
            <v>-177.74766472194182</v>
          </cell>
        </row>
        <row r="27">
          <cell r="A27" t="str">
            <v>Administration Expenses</v>
          </cell>
          <cell r="B27">
            <v>-72.400000000000006</v>
          </cell>
          <cell r="C27">
            <v>-73.400000000000006</v>
          </cell>
          <cell r="D27">
            <v>-145.80000000000001</v>
          </cell>
          <cell r="E27">
            <v>-74.900000000000006</v>
          </cell>
          <cell r="F27">
            <v>-220.70000000000002</v>
          </cell>
          <cell r="G27">
            <v>-77.900000000000006</v>
          </cell>
          <cell r="H27">
            <v>-298.60000000000002</v>
          </cell>
          <cell r="I27">
            <v>-110.3</v>
          </cell>
          <cell r="J27">
            <v>-115</v>
          </cell>
          <cell r="K27">
            <v>-225.3</v>
          </cell>
          <cell r="L27">
            <v>-105.2</v>
          </cell>
          <cell r="M27">
            <v>-330.5</v>
          </cell>
          <cell r="N27">
            <v>-114.2</v>
          </cell>
          <cell r="O27">
            <v>-444.7</v>
          </cell>
          <cell r="P27">
            <v>-95.4</v>
          </cell>
          <cell r="Q27">
            <v>-86.5</v>
          </cell>
          <cell r="R27">
            <v>-181.9</v>
          </cell>
          <cell r="S27">
            <v>-95</v>
          </cell>
          <cell r="T27">
            <v>-276.89999999999998</v>
          </cell>
          <cell r="U27">
            <v>-169.4</v>
          </cell>
          <cell r="V27">
            <v>-446.30000000000007</v>
          </cell>
          <cell r="W27">
            <v>-178.3</v>
          </cell>
          <cell r="X27">
            <v>-108.20000000000003</v>
          </cell>
          <cell r="Y27">
            <v>-286.50000000000006</v>
          </cell>
          <cell r="Z27">
            <v>-101.80000000000004</v>
          </cell>
          <cell r="AA27">
            <v>-388.30000000000007</v>
          </cell>
          <cell r="AB27">
            <v>-77.600000000000051</v>
          </cell>
          <cell r="AC27">
            <v>-465.90000000000009</v>
          </cell>
          <cell r="AD27">
            <v>-104.30000000000001</v>
          </cell>
          <cell r="AE27">
            <v>-115.08815895000001</v>
          </cell>
          <cell r="AF27">
            <v>-219.38815895000002</v>
          </cell>
          <cell r="AG27">
            <v>-128.01719878999992</v>
          </cell>
          <cell r="AH27">
            <v>-347.40535773999994</v>
          </cell>
          <cell r="AI27">
            <v>-62.224999999999937</v>
          </cell>
          <cell r="AJ27">
            <v>-409.63035773999985</v>
          </cell>
          <cell r="AK27">
            <v>-131</v>
          </cell>
          <cell r="AL27">
            <v>-133.30000000000001</v>
          </cell>
          <cell r="AM27">
            <v>-264.3</v>
          </cell>
          <cell r="AN27">
            <v>-132.6</v>
          </cell>
          <cell r="AO27">
            <v>-396.9</v>
          </cell>
          <cell r="AP27">
            <v>-138.5</v>
          </cell>
          <cell r="AQ27">
            <v>-535.4</v>
          </cell>
          <cell r="AR27">
            <v>-136.4</v>
          </cell>
          <cell r="AS27">
            <v>-142.6</v>
          </cell>
          <cell r="AT27">
            <v>-279</v>
          </cell>
          <cell r="AU27">
            <v>-141.70000000000002</v>
          </cell>
          <cell r="AV27">
            <v>-420.70000000000005</v>
          </cell>
          <cell r="AW27">
            <v>-131.60000000000002</v>
          </cell>
          <cell r="AX27">
            <v>-552.29999999999995</v>
          </cell>
          <cell r="AY27">
            <v>-136.29999999999998</v>
          </cell>
          <cell r="AZ27">
            <v>-142.69999999999999</v>
          </cell>
          <cell r="BA27">
            <v>-141.6</v>
          </cell>
          <cell r="BB27">
            <v>-131.6</v>
          </cell>
          <cell r="BC27">
            <v>-552.20000000000005</v>
          </cell>
          <cell r="BD27">
            <v>-132.69999999999999</v>
          </cell>
          <cell r="BE27">
            <v>-137.5</v>
          </cell>
          <cell r="BF27">
            <v>-270.2</v>
          </cell>
          <cell r="BG27">
            <v>-136.69999999999999</v>
          </cell>
          <cell r="BH27">
            <v>-406.9</v>
          </cell>
          <cell r="BI27">
            <v>-155.4</v>
          </cell>
          <cell r="BJ27">
            <v>-562.29999999999995</v>
          </cell>
          <cell r="BK27">
            <v>-138.27341863703407</v>
          </cell>
          <cell r="BL27">
            <v>-139.75898971559209</v>
          </cell>
          <cell r="BM27">
            <v>-278.03240835262613</v>
          </cell>
          <cell r="BN27">
            <v>-141.02610154760333</v>
          </cell>
          <cell r="BO27">
            <v>-419.05850990022947</v>
          </cell>
          <cell r="BP27">
            <v>-142.09393521948664</v>
          </cell>
          <cell r="BQ27">
            <v>-561.15244511971616</v>
          </cell>
          <cell r="BR27">
            <v>-556.71711184023241</v>
          </cell>
          <cell r="BS27">
            <v>-549.59654575604714</v>
          </cell>
          <cell r="BT27">
            <v>-553.24232279327498</v>
          </cell>
          <cell r="BU27">
            <v>-555.28548072684816</v>
          </cell>
          <cell r="BV27">
            <v>-557.66668471583898</v>
          </cell>
          <cell r="BW27">
            <v>-559.57799371221336</v>
          </cell>
          <cell r="BX27">
            <v>-562.57902894695269</v>
          </cell>
          <cell r="BY27">
            <v>-565.65566107446193</v>
          </cell>
          <cell r="BZ27">
            <v>-569.82243065019293</v>
          </cell>
          <cell r="CA27">
            <v>-577.18910270112815</v>
          </cell>
        </row>
        <row r="28">
          <cell r="A28" t="str">
            <v>Other Operating Income and Expenses</v>
          </cell>
          <cell r="B28">
            <v>-18.799999999999997</v>
          </cell>
          <cell r="C28">
            <v>-12.1</v>
          </cell>
          <cell r="D28">
            <v>-30.9</v>
          </cell>
          <cell r="E28">
            <v>-4.7</v>
          </cell>
          <cell r="F28">
            <v>-35.6</v>
          </cell>
          <cell r="G28">
            <v>-14.600000000000001</v>
          </cell>
          <cell r="H28">
            <v>-50.2</v>
          </cell>
          <cell r="I28">
            <v>-68.599999999999994</v>
          </cell>
          <cell r="J28">
            <v>-56.9</v>
          </cell>
          <cell r="K28">
            <v>-125.5</v>
          </cell>
          <cell r="L28">
            <v>-70.599999999999994</v>
          </cell>
          <cell r="M28">
            <v>-196.1</v>
          </cell>
          <cell r="N28">
            <v>-143.6</v>
          </cell>
          <cell r="O28">
            <v>-339.8</v>
          </cell>
          <cell r="P28">
            <v>-33</v>
          </cell>
          <cell r="Q28">
            <v>-43.8</v>
          </cell>
          <cell r="R28">
            <v>-76.8</v>
          </cell>
          <cell r="S28">
            <v>-77.399999999999991</v>
          </cell>
          <cell r="T28">
            <v>-154.19999999999999</v>
          </cell>
          <cell r="U28">
            <v>-15.800000000000004</v>
          </cell>
          <cell r="V28">
            <v>-170</v>
          </cell>
          <cell r="W28">
            <v>-82.6</v>
          </cell>
          <cell r="X28">
            <v>-44.600000000000072</v>
          </cell>
          <cell r="Y28">
            <v>-127.20000000000007</v>
          </cell>
          <cell r="Z28">
            <v>-77.000000000000099</v>
          </cell>
          <cell r="AA28">
            <v>-204.20000000000016</v>
          </cell>
          <cell r="AB28">
            <v>-155.59999999999988</v>
          </cell>
          <cell r="AC28">
            <v>-359.80000000000013</v>
          </cell>
          <cell r="AD28">
            <v>-135.00000000000003</v>
          </cell>
          <cell r="AE28">
            <v>-110.71184105000005</v>
          </cell>
          <cell r="AF28">
            <v>-245.71184105000009</v>
          </cell>
          <cell r="AG28">
            <v>-91.082801210000383</v>
          </cell>
          <cell r="AH28">
            <v>-336.7946422600005</v>
          </cell>
          <cell r="AI28">
            <v>-123.07500000000016</v>
          </cell>
          <cell r="AJ28">
            <v>-459.8696422600006</v>
          </cell>
          <cell r="AK28">
            <v>62.900000000000006</v>
          </cell>
          <cell r="AL28">
            <v>-278.2</v>
          </cell>
          <cell r="AM28">
            <v>-215.29999999999998</v>
          </cell>
          <cell r="AN28">
            <v>-86.2</v>
          </cell>
          <cell r="AO28">
            <v>-301.5</v>
          </cell>
          <cell r="AP28">
            <v>-115.70000000000002</v>
          </cell>
          <cell r="AQ28">
            <v>-417.20000000000005</v>
          </cell>
          <cell r="AR28">
            <v>-144.60000000000002</v>
          </cell>
          <cell r="AS28">
            <v>-488.6</v>
          </cell>
          <cell r="AT28">
            <v>-633.20000000000005</v>
          </cell>
          <cell r="AU28">
            <v>-245.2</v>
          </cell>
          <cell r="AV28">
            <v>-878.40000000000009</v>
          </cell>
          <cell r="AW28">
            <v>-248.09999999999997</v>
          </cell>
          <cell r="AX28">
            <v>-1126.5</v>
          </cell>
          <cell r="AY28">
            <v>-144.4</v>
          </cell>
          <cell r="AZ28">
            <v>-488.69999999999993</v>
          </cell>
          <cell r="BA28">
            <v>-245.09999999999997</v>
          </cell>
          <cell r="BB28">
            <v>-248.10000000000002</v>
          </cell>
          <cell r="BC28">
            <v>-1126.3</v>
          </cell>
          <cell r="BD28">
            <v>-184.00000000000003</v>
          </cell>
          <cell r="BE28">
            <v>-115.80000000000001</v>
          </cell>
          <cell r="BF28">
            <v>-299.80000000000007</v>
          </cell>
          <cell r="BG28">
            <v>-128.4</v>
          </cell>
          <cell r="BH28">
            <v>-428.20000000000005</v>
          </cell>
          <cell r="BI28">
            <v>-291.3</v>
          </cell>
          <cell r="BJ28">
            <v>-719.50000000000011</v>
          </cell>
          <cell r="BK28">
            <v>-150.3995307403743</v>
          </cell>
          <cell r="BL28">
            <v>-159.22329592002086</v>
          </cell>
          <cell r="BM28">
            <v>-309.62282666039516</v>
          </cell>
          <cell r="BN28">
            <v>-149.91873710723996</v>
          </cell>
          <cell r="BO28">
            <v>-459.54156376763513</v>
          </cell>
          <cell r="BP28">
            <v>-156.26098646471979</v>
          </cell>
          <cell r="BQ28">
            <v>-615.80255023235486</v>
          </cell>
          <cell r="BR28">
            <v>-529.32235825732516</v>
          </cell>
          <cell r="BS28">
            <v>-518.00531075250092</v>
          </cell>
          <cell r="BT28">
            <v>-497.79314299426056</v>
          </cell>
          <cell r="BU28">
            <v>-491.98491079348673</v>
          </cell>
          <cell r="BV28">
            <v>-486.42701517288992</v>
          </cell>
          <cell r="BW28">
            <v>-479.34742257888149</v>
          </cell>
          <cell r="BX28">
            <v>-474.08641961445505</v>
          </cell>
          <cell r="BY28">
            <v>-468.43075673677117</v>
          </cell>
          <cell r="BZ28">
            <v>-464.53818400179813</v>
          </cell>
          <cell r="CA28">
            <v>-466.92589133873179</v>
          </cell>
        </row>
        <row r="29">
          <cell r="A29" t="str">
            <v>of which One-time items</v>
          </cell>
          <cell r="W29">
            <v>69</v>
          </cell>
          <cell r="X29">
            <v>0.1</v>
          </cell>
          <cell r="Y29">
            <v>69.099999999999994</v>
          </cell>
          <cell r="Z29">
            <v>0.4</v>
          </cell>
          <cell r="AA29">
            <v>69.5</v>
          </cell>
          <cell r="AB29">
            <v>-41.6</v>
          </cell>
          <cell r="AC29">
            <v>27.9</v>
          </cell>
          <cell r="AD29">
            <v>0</v>
          </cell>
          <cell r="AE29">
            <v>32.300000000000004</v>
          </cell>
          <cell r="AF29">
            <v>32.300000000000004</v>
          </cell>
          <cell r="AG29">
            <v>21.4</v>
          </cell>
          <cell r="AH29">
            <v>53.7</v>
          </cell>
          <cell r="AI29">
            <v>-33.499999999999993</v>
          </cell>
          <cell r="AJ29">
            <v>20.200000000000017</v>
          </cell>
          <cell r="AK29">
            <v>0</v>
          </cell>
          <cell r="AL29">
            <v>0</v>
          </cell>
          <cell r="AM29">
            <v>0</v>
          </cell>
          <cell r="AN29">
            <v>0</v>
          </cell>
          <cell r="AO29">
            <v>0</v>
          </cell>
          <cell r="AP29">
            <v>0</v>
          </cell>
          <cell r="AQ29">
            <v>0</v>
          </cell>
          <cell r="AR29">
            <v>-21</v>
          </cell>
          <cell r="AS29">
            <v>-371.5</v>
          </cell>
          <cell r="AT29">
            <v>-392.5</v>
          </cell>
          <cell r="AU29">
            <v>-93.3</v>
          </cell>
          <cell r="AV29">
            <v>-485.8</v>
          </cell>
          <cell r="AW29">
            <v>-118.89999999999999</v>
          </cell>
          <cell r="AX29">
            <v>-604.69999999999993</v>
          </cell>
          <cell r="AY29">
            <v>-21</v>
          </cell>
          <cell r="AZ29">
            <v>-371.5</v>
          </cell>
          <cell r="BA29">
            <v>-93.3</v>
          </cell>
          <cell r="BB29">
            <v>-118.89999999999999</v>
          </cell>
          <cell r="BC29">
            <v>-604.69999999999993</v>
          </cell>
          <cell r="BD29">
            <v>-47.199999999999996</v>
          </cell>
          <cell r="BE29">
            <v>-33.300000000000004</v>
          </cell>
          <cell r="BF29">
            <v>-80.5</v>
          </cell>
          <cell r="BG29">
            <v>-34.200000000000003</v>
          </cell>
          <cell r="BH29">
            <v>-114.7</v>
          </cell>
          <cell r="BI29">
            <v>-69.400000000000006</v>
          </cell>
          <cell r="BJ29">
            <v>-184.10000000000002</v>
          </cell>
          <cell r="BK29">
            <v>-26.611051115910726</v>
          </cell>
          <cell r="BL29">
            <v>-26.611051115910726</v>
          </cell>
          <cell r="BM29">
            <v>-53.222102231821452</v>
          </cell>
          <cell r="BN29">
            <v>-26.611051115910726</v>
          </cell>
          <cell r="BO29">
            <v>-79.833153347732178</v>
          </cell>
          <cell r="BP29">
            <v>-26.611051115910726</v>
          </cell>
          <cell r="BQ29">
            <v>-106.4442044636429</v>
          </cell>
          <cell r="BR29">
            <v>-26.666666666666668</v>
          </cell>
          <cell r="BS29">
            <v>-16.666666666666668</v>
          </cell>
          <cell r="BT29">
            <v>0</v>
          </cell>
          <cell r="BU29">
            <v>0</v>
          </cell>
          <cell r="BV29">
            <v>0</v>
          </cell>
          <cell r="BW29">
            <v>0</v>
          </cell>
          <cell r="BX29">
            <v>0</v>
          </cell>
          <cell r="BY29">
            <v>0</v>
          </cell>
          <cell r="BZ29">
            <v>0</v>
          </cell>
          <cell r="CA29">
            <v>0</v>
          </cell>
        </row>
        <row r="30">
          <cell r="A30" t="str">
            <v>of which Impairments</v>
          </cell>
          <cell r="W30">
            <v>0</v>
          </cell>
          <cell r="X30">
            <v>0</v>
          </cell>
          <cell r="Y30">
            <v>0</v>
          </cell>
          <cell r="Z30">
            <v>6.9</v>
          </cell>
          <cell r="AA30">
            <v>6.9</v>
          </cell>
          <cell r="AB30">
            <v>92.6</v>
          </cell>
          <cell r="AC30">
            <v>99.5</v>
          </cell>
          <cell r="AD30">
            <v>26.2</v>
          </cell>
          <cell r="AE30">
            <v>7.4</v>
          </cell>
          <cell r="AF30">
            <v>33.6</v>
          </cell>
          <cell r="AG30">
            <v>42.9</v>
          </cell>
          <cell r="AH30">
            <v>76.5</v>
          </cell>
          <cell r="AI30">
            <v>190.1</v>
          </cell>
          <cell r="AJ30">
            <v>266.59999999999997</v>
          </cell>
          <cell r="AK30">
            <v>0</v>
          </cell>
          <cell r="AL30">
            <v>0</v>
          </cell>
          <cell r="AM30">
            <v>0</v>
          </cell>
          <cell r="AN30">
            <v>0</v>
          </cell>
          <cell r="AO30">
            <v>0</v>
          </cell>
          <cell r="AP30">
            <v>0</v>
          </cell>
          <cell r="AQ30">
            <v>0</v>
          </cell>
          <cell r="AR30">
            <v>-8.6</v>
          </cell>
          <cell r="AS30">
            <v>-22.5</v>
          </cell>
          <cell r="AT30">
            <v>-31.1</v>
          </cell>
          <cell r="AU30">
            <v>-11.1</v>
          </cell>
          <cell r="AV30">
            <v>-42.2</v>
          </cell>
          <cell r="AW30">
            <v>-16.7</v>
          </cell>
          <cell r="AX30">
            <v>-58.899999999999991</v>
          </cell>
          <cell r="AY30">
            <v>-8.6</v>
          </cell>
          <cell r="AZ30">
            <v>-22.5</v>
          </cell>
          <cell r="BA30">
            <v>-11.1</v>
          </cell>
          <cell r="BB30">
            <v>-16.7</v>
          </cell>
          <cell r="BC30">
            <v>-58.899999999999991</v>
          </cell>
          <cell r="BD30">
            <v>-26.6</v>
          </cell>
          <cell r="BE30">
            <v>-4.5</v>
          </cell>
          <cell r="BF30">
            <v>-31.1</v>
          </cell>
          <cell r="BG30">
            <v>-14.899999999999999</v>
          </cell>
          <cell r="BH30">
            <v>-46</v>
          </cell>
          <cell r="BI30">
            <v>-156.80000000000001</v>
          </cell>
          <cell r="BJ30">
            <v>-202.8</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row>
        <row r="31">
          <cell r="A31" t="str">
            <v>SG&amp;A</v>
          </cell>
          <cell r="B31">
            <v>-360.39999999999992</v>
          </cell>
          <cell r="C31">
            <v>-361.6</v>
          </cell>
          <cell r="D31">
            <v>-721.99999999999989</v>
          </cell>
          <cell r="E31">
            <v>-351.40000000000003</v>
          </cell>
          <cell r="F31">
            <v>-1073.3999999999999</v>
          </cell>
          <cell r="G31">
            <v>-392.70000000000005</v>
          </cell>
          <cell r="H31">
            <v>-1466.1000000000001</v>
          </cell>
          <cell r="I31">
            <v>-627.6</v>
          </cell>
          <cell r="J31">
            <v>-652.79999999999995</v>
          </cell>
          <cell r="K31">
            <v>-1280.3999999999999</v>
          </cell>
          <cell r="L31">
            <v>-617.40000000000009</v>
          </cell>
          <cell r="M31">
            <v>-1897.7999999999997</v>
          </cell>
          <cell r="N31">
            <v>-819.40000000000009</v>
          </cell>
          <cell r="O31">
            <v>-2717.2000000000003</v>
          </cell>
          <cell r="P31">
            <v>-626.6</v>
          </cell>
          <cell r="Q31">
            <v>-684.69999999999993</v>
          </cell>
          <cell r="R31">
            <v>-1311.3</v>
          </cell>
          <cell r="S31">
            <v>-692.3</v>
          </cell>
          <cell r="T31">
            <v>-2003.6000000000001</v>
          </cell>
          <cell r="U31">
            <v>-740.9</v>
          </cell>
          <cell r="V31">
            <v>-2744.5</v>
          </cell>
          <cell r="W31">
            <v>-812.1</v>
          </cell>
          <cell r="X31">
            <v>-720.7</v>
          </cell>
          <cell r="Y31">
            <v>-1532.8</v>
          </cell>
          <cell r="Z31">
            <v>-730.20000000000016</v>
          </cell>
          <cell r="AA31">
            <v>-2263.0000000000005</v>
          </cell>
          <cell r="AB31">
            <v>-835</v>
          </cell>
          <cell r="AC31">
            <v>-3098</v>
          </cell>
          <cell r="AD31">
            <v>-829.7</v>
          </cell>
          <cell r="AE31">
            <v>-883.30000000000007</v>
          </cell>
          <cell r="AF31">
            <v>-1713</v>
          </cell>
          <cell r="AG31">
            <v>-908.20000000000027</v>
          </cell>
          <cell r="AH31">
            <v>-2621.2000000000007</v>
          </cell>
          <cell r="AI31">
            <v>-959.7</v>
          </cell>
          <cell r="AJ31">
            <v>-3580.9000000000005</v>
          </cell>
          <cell r="AK31">
            <v>-769.4</v>
          </cell>
          <cell r="AL31">
            <v>-1133.5999999999999</v>
          </cell>
          <cell r="AM31">
            <v>-1902.9999999999998</v>
          </cell>
          <cell r="AN31">
            <v>-937.3</v>
          </cell>
          <cell r="AO31">
            <v>-2840.2999999999997</v>
          </cell>
          <cell r="AP31">
            <v>-998.2</v>
          </cell>
          <cell r="AQ31">
            <v>-3838.5000000000009</v>
          </cell>
          <cell r="AR31">
            <v>-987.6</v>
          </cell>
          <cell r="AS31">
            <v>-1400.2000000000003</v>
          </cell>
          <cell r="AT31">
            <v>-2387.8000000000002</v>
          </cell>
          <cell r="AU31">
            <v>-1146.4000000000001</v>
          </cell>
          <cell r="AV31">
            <v>-3534.2000000000003</v>
          </cell>
          <cell r="AW31">
            <v>-1135.2</v>
          </cell>
          <cell r="AX31">
            <v>-4669.3999999999996</v>
          </cell>
          <cell r="AY31">
            <v>-987.3</v>
          </cell>
          <cell r="AZ31">
            <v>-1400.4</v>
          </cell>
          <cell r="BA31">
            <v>-1146.2</v>
          </cell>
          <cell r="BB31">
            <v>-1135.2</v>
          </cell>
          <cell r="BC31">
            <v>-4669.1000000000004</v>
          </cell>
          <cell r="BD31">
            <v>-1021.3</v>
          </cell>
          <cell r="BE31">
            <v>-1026.2</v>
          </cell>
          <cell r="BF31">
            <v>-2047.5</v>
          </cell>
          <cell r="BG31">
            <v>-969.49999999999989</v>
          </cell>
          <cell r="BH31">
            <v>-3017</v>
          </cell>
          <cell r="BI31">
            <v>-1158.3999999999999</v>
          </cell>
          <cell r="BJ31">
            <v>-4175.4000000000005</v>
          </cell>
          <cell r="BK31">
            <v>-1002.4321906906189</v>
          </cell>
          <cell r="BL31">
            <v>-1041.9081897723008</v>
          </cell>
          <cell r="BM31">
            <v>-2044.3403804629197</v>
          </cell>
          <cell r="BN31">
            <v>-989.67983383649664</v>
          </cell>
          <cell r="BO31">
            <v>-3034.0202142994167</v>
          </cell>
          <cell r="BP31">
            <v>-976.87079274460893</v>
          </cell>
          <cell r="BQ31">
            <v>-4010.8910070440252</v>
          </cell>
          <cell r="BR31">
            <v>-3824.924933508215</v>
          </cell>
          <cell r="BS31">
            <v>-3659.8294435192665</v>
          </cell>
          <cell r="BT31">
            <v>-3700.8993936193679</v>
          </cell>
          <cell r="BU31">
            <v>-3762.0322279251177</v>
          </cell>
          <cell r="BV31">
            <v>-3833.9680736056298</v>
          </cell>
          <cell r="BW31">
            <v>-3891.9863844227898</v>
          </cell>
          <cell r="BX31">
            <v>-3958.9639105456708</v>
          </cell>
          <cell r="BY31">
            <v>-4023.2146556322305</v>
          </cell>
          <cell r="BZ31">
            <v>-4097.0769777022151</v>
          </cell>
          <cell r="CA31">
            <v>-4186.0075719075621</v>
          </cell>
        </row>
        <row r="32">
          <cell r="A32" t="str">
            <v xml:space="preserve">     % of total revenue</v>
          </cell>
          <cell r="B32">
            <v>0.31580792148615489</v>
          </cell>
          <cell r="C32">
            <v>0.3370304781433498</v>
          </cell>
          <cell r="D32">
            <v>0.32609186576938709</v>
          </cell>
          <cell r="E32">
            <v>0.3253101277541196</v>
          </cell>
          <cell r="F32">
            <v>0.32583553410436206</v>
          </cell>
          <cell r="G32">
            <v>0.34267015706806292</v>
          </cell>
          <cell r="H32">
            <v>0.32873671465088128</v>
          </cell>
          <cell r="I32">
            <v>0.36588351891797355</v>
          </cell>
          <cell r="J32">
            <v>0.36373767203432328</v>
          </cell>
          <cell r="K32">
            <v>0.36478632478632472</v>
          </cell>
          <cell r="L32">
            <v>0.35452196382428947</v>
          </cell>
          <cell r="M32">
            <v>0.36138246215367031</v>
          </cell>
          <cell r="N32">
            <v>0.45376010632406694</v>
          </cell>
          <cell r="O32">
            <v>0.3850197667663271</v>
          </cell>
          <cell r="P32">
            <v>0.33588850174216028</v>
          </cell>
          <cell r="Q32">
            <v>0.35844414197466234</v>
          </cell>
          <cell r="R32">
            <v>0.34729983844055401</v>
          </cell>
          <cell r="S32">
            <v>0.36467551622418876</v>
          </cell>
          <cell r="T32">
            <v>0.35352448169386852</v>
          </cell>
          <cell r="U32">
            <v>0.38681215411924402</v>
          </cell>
          <cell r="V32">
            <v>0.3616180249028263</v>
          </cell>
          <cell r="W32">
            <v>0.43697152859729199</v>
          </cell>
          <cell r="X32">
            <v>0.37738774924693019</v>
          </cell>
          <cell r="Y32">
            <v>0.40677457840414394</v>
          </cell>
          <cell r="Z32">
            <v>0.3744581875773203</v>
          </cell>
          <cell r="AA32">
            <v>0.39575405629072585</v>
          </cell>
          <cell r="AB32">
            <v>0.41158046804518889</v>
          </cell>
          <cell r="AC32">
            <v>0.3998986571401601</v>
          </cell>
          <cell r="AD32">
            <v>0.39531150846602542</v>
          </cell>
          <cell r="AE32">
            <v>0.40003509985590963</v>
          </cell>
          <cell r="AF32">
            <v>0.3977331894066099</v>
          </cell>
          <cell r="AG32">
            <v>0.3725523526310065</v>
          </cell>
          <cell r="AH32">
            <v>0.38863190599385278</v>
          </cell>
          <cell r="AI32">
            <v>0.37695751697161045</v>
          </cell>
          <cell r="AJ32">
            <v>0.38543276277654287</v>
          </cell>
          <cell r="AK32">
            <v>0.30009756780549385</v>
          </cell>
          <cell r="AL32">
            <v>0.44363657810998669</v>
          </cell>
          <cell r="AM32">
            <v>0.37174666667685841</v>
          </cell>
          <cell r="AN32">
            <v>0.37024000764661724</v>
          </cell>
          <cell r="AO32">
            <v>0.37124811487186526</v>
          </cell>
          <cell r="AP32">
            <v>0.38015035789497847</v>
          </cell>
          <cell r="AQ32">
            <v>0.37352277834737441</v>
          </cell>
          <cell r="AR32">
            <v>0.37339786003251546</v>
          </cell>
          <cell r="AS32">
            <v>0.49093650292766744</v>
          </cell>
          <cell r="AT32">
            <v>0.43438239039476079</v>
          </cell>
          <cell r="AU32">
            <v>0.40351988736360439</v>
          </cell>
          <cell r="AV32">
            <v>0.42386663468457669</v>
          </cell>
          <cell r="AW32">
            <v>0.40046565774156007</v>
          </cell>
          <cell r="AX32">
            <v>0.4179294172402373</v>
          </cell>
          <cell r="AY32">
            <v>0.37328443419410945</v>
          </cell>
          <cell r="AZ32">
            <v>0.49100662669611872</v>
          </cell>
          <cell r="BA32">
            <v>0.40344948961633231</v>
          </cell>
          <cell r="BB32">
            <v>0.40046565774156007</v>
          </cell>
          <cell r="BC32">
            <v>0.41790256607623943</v>
          </cell>
          <cell r="BD32">
            <v>0.36996920847672521</v>
          </cell>
          <cell r="BE32">
            <v>0.36119812748583291</v>
          </cell>
          <cell r="BF32">
            <v>0.36552056555269924</v>
          </cell>
          <cell r="BG32">
            <v>0.35232765199694732</v>
          </cell>
          <cell r="BH32">
            <v>0.36117462559706948</v>
          </cell>
          <cell r="BI32">
            <v>0.42249617039900772</v>
          </cell>
          <cell r="BJ32">
            <v>0.37632828906454202</v>
          </cell>
          <cell r="BK32">
            <v>0.36531119259889994</v>
          </cell>
          <cell r="BL32">
            <v>0.37319081049370345</v>
          </cell>
          <cell r="BM32">
            <v>0.36928504915756788</v>
          </cell>
          <cell r="BN32">
            <v>0.35114709479080652</v>
          </cell>
          <cell r="BO32">
            <v>0.36316604549258025</v>
          </cell>
          <cell r="BP32">
            <v>0.34441699790927105</v>
          </cell>
          <cell r="BQ32">
            <v>0.35841405103018742</v>
          </cell>
          <cell r="BR32">
            <v>0.33413617458217715</v>
          </cell>
          <cell r="BS32">
            <v>0.31584795592605602</v>
          </cell>
          <cell r="BT32">
            <v>0.3163082537276356</v>
          </cell>
          <cell r="BU32">
            <v>0.31931948104888264</v>
          </cell>
          <cell r="BV32">
            <v>0.32292295068574223</v>
          </cell>
          <cell r="BW32">
            <v>0.32570070872599666</v>
          </cell>
          <cell r="BX32">
            <v>0.3282903878296598</v>
          </cell>
          <cell r="BY32">
            <v>0.3305521567868811</v>
          </cell>
          <cell r="BZ32">
            <v>0.33266666002207174</v>
          </cell>
          <cell r="CA32">
            <v>0.33335401985155683</v>
          </cell>
        </row>
        <row r="33">
          <cell r="A33" t="str">
            <v xml:space="preserve">     year-on-year growth</v>
          </cell>
          <cell r="I33">
            <v>0.74139844617092165</v>
          </cell>
          <cell r="J33">
            <v>0.80530973451327414</v>
          </cell>
          <cell r="K33">
            <v>0.77340720221606662</v>
          </cell>
          <cell r="L33">
            <v>0.75697211155378497</v>
          </cell>
          <cell r="M33">
            <v>0.76802683063163779</v>
          </cell>
          <cell r="N33">
            <v>1.0865800865800865</v>
          </cell>
          <cell r="O33">
            <v>0.85335243162130825</v>
          </cell>
          <cell r="P33">
            <v>-1.5933715742511153E-3</v>
          </cell>
          <cell r="Q33">
            <v>4.8866421568627416E-2</v>
          </cell>
          <cell r="R33">
            <v>2.4133083411434001E-2</v>
          </cell>
          <cell r="S33">
            <v>0.12131519274376393</v>
          </cell>
          <cell r="T33">
            <v>5.5748761724101814E-2</v>
          </cell>
          <cell r="U33">
            <v>-9.5801806199658418E-2</v>
          </cell>
          <cell r="V33">
            <v>1.004710731635497E-2</v>
          </cell>
          <cell r="W33">
            <v>0.29604213214171721</v>
          </cell>
          <cell r="X33">
            <v>5.2577771286695073E-2</v>
          </cell>
          <cell r="Y33">
            <v>0.16891634256081753</v>
          </cell>
          <cell r="Z33">
            <v>5.4745052722808329E-2</v>
          </cell>
          <cell r="AA33">
            <v>0.12946695947294884</v>
          </cell>
          <cell r="AB33">
            <v>0.12700769334593065</v>
          </cell>
          <cell r="AC33">
            <v>0.12880306066678812</v>
          </cell>
          <cell r="AD33">
            <v>2.1672207856175376E-2</v>
          </cell>
          <cell r="AE33">
            <v>0.22561398640210908</v>
          </cell>
          <cell r="AF33">
            <v>0.11756263048016705</v>
          </cell>
          <cell r="AG33">
            <v>0.24376883045740902</v>
          </cell>
          <cell r="AH33">
            <v>2.5897014516570804</v>
          </cell>
          <cell r="AI33">
            <v>0.14934131736526951</v>
          </cell>
          <cell r="AJ33">
            <v>0.15587475790832814</v>
          </cell>
          <cell r="AK33">
            <v>-7.2676871158250042E-2</v>
          </cell>
          <cell r="AL33">
            <v>0.28336918374278253</v>
          </cell>
          <cell r="AM33">
            <v>1.095353446377449</v>
          </cell>
          <cell r="AN33">
            <v>-0.64241568747138722</v>
          </cell>
          <cell r="AO33">
            <v>1.9595706991768256</v>
          </cell>
          <cell r="AP33">
            <v>-0.72124326286687712</v>
          </cell>
          <cell r="AQ33">
            <v>7.1937222485967303E-2</v>
          </cell>
          <cell r="AR33">
            <v>0.28359760852612431</v>
          </cell>
          <cell r="AS33">
            <v>0.23517995765702221</v>
          </cell>
          <cell r="AT33">
            <v>0.2547556489753024</v>
          </cell>
          <cell r="AU33">
            <v>0.22308759201963102</v>
          </cell>
          <cell r="AV33">
            <v>0.24430517903038432</v>
          </cell>
          <cell r="AW33">
            <v>0.13724704468042476</v>
          </cell>
          <cell r="AX33">
            <v>0.21646476488211502</v>
          </cell>
          <cell r="AY33">
            <v>0.2832076943072524</v>
          </cell>
          <cell r="AZ33">
            <v>0.2353563867325337</v>
          </cell>
          <cell r="BA33">
            <v>0.2228742131654754</v>
          </cell>
          <cell r="BB33">
            <v>0.13724704468042476</v>
          </cell>
          <cell r="BC33">
            <v>0.2163866093526115</v>
          </cell>
          <cell r="BD33">
            <v>3.4123126771972385E-2</v>
          </cell>
          <cell r="BE33">
            <v>-0.26710469932866743</v>
          </cell>
          <cell r="BF33">
            <v>-0.14251612362844465</v>
          </cell>
          <cell r="BG33">
            <v>-0.15430914166085152</v>
          </cell>
          <cell r="BH33">
            <v>-0.14634146341463422</v>
          </cell>
          <cell r="BI33">
            <v>2.0436927413671438E-2</v>
          </cell>
          <cell r="BJ33">
            <v>-0.10579517711054935</v>
          </cell>
          <cell r="BK33">
            <v>-1.8474306579243194E-2</v>
          </cell>
          <cell r="BL33">
            <v>1.5307142635257049E-2</v>
          </cell>
          <cell r="BM33">
            <v>-1.5431597250697381E-3</v>
          </cell>
          <cell r="BN33">
            <v>2.0814681626092582E-2</v>
          </cell>
          <cell r="BO33">
            <v>5.6414366255938663E-3</v>
          </cell>
          <cell r="BP33">
            <v>-0.15670684327986098</v>
          </cell>
          <cell r="BQ33">
            <v>-3.9399576796468688E-2</v>
          </cell>
          <cell r="BR33">
            <v>-4.6365277243687754E-2</v>
          </cell>
          <cell r="BS33">
            <v>-4.316306668991883E-2</v>
          </cell>
          <cell r="BT33">
            <v>1.1221820779880045E-2</v>
          </cell>
          <cell r="BU33">
            <v>1.6518372374873927E-2</v>
          </cell>
          <cell r="BV33">
            <v>1.9121538924239106E-2</v>
          </cell>
          <cell r="BW33">
            <v>1.5132705777228099E-2</v>
          </cell>
          <cell r="BX33">
            <v>1.7209085414828424E-2</v>
          </cell>
          <cell r="BY33">
            <v>1.6229181810779331E-2</v>
          </cell>
          <cell r="BZ33">
            <v>1.8359030872633745E-2</v>
          </cell>
          <cell r="CA33">
            <v>2.1705863641161657E-2</v>
          </cell>
          <cell r="CE33" t="str">
            <v xml:space="preserve"> </v>
          </cell>
        </row>
        <row r="34">
          <cell r="A34" t="str">
            <v>Research and Development</v>
          </cell>
          <cell r="B34">
            <v>-159.80000000000001</v>
          </cell>
          <cell r="C34">
            <v>-154.69999999999999</v>
          </cell>
          <cell r="D34">
            <v>-314.5</v>
          </cell>
          <cell r="E34">
            <v>-153.19999999999999</v>
          </cell>
          <cell r="F34">
            <v>-467.7</v>
          </cell>
          <cell r="G34">
            <v>-147.60000000000002</v>
          </cell>
          <cell r="H34">
            <v>-615.30000000000007</v>
          </cell>
          <cell r="I34">
            <v>-270.5</v>
          </cell>
          <cell r="J34">
            <v>-279.10000000000002</v>
          </cell>
          <cell r="K34">
            <v>-549.6</v>
          </cell>
          <cell r="L34">
            <v>-251.1</v>
          </cell>
          <cell r="M34">
            <v>-800.7</v>
          </cell>
          <cell r="N34">
            <v>-227</v>
          </cell>
          <cell r="O34">
            <v>-1027.7</v>
          </cell>
          <cell r="P34">
            <v>-287.59999999999997</v>
          </cell>
          <cell r="Q34">
            <v>-276.2</v>
          </cell>
          <cell r="R34">
            <v>-563.79999999999995</v>
          </cell>
          <cell r="S34">
            <v>-285</v>
          </cell>
          <cell r="T34">
            <v>-848.8</v>
          </cell>
          <cell r="U34">
            <v>-385.6</v>
          </cell>
          <cell r="V34">
            <v>-1234.4000000000001</v>
          </cell>
          <cell r="W34">
            <v>-312.85981214999998</v>
          </cell>
          <cell r="X34">
            <v>-340.7</v>
          </cell>
          <cell r="Y34">
            <v>-653.55981214999997</v>
          </cell>
          <cell r="Z34">
            <v>-332.79999999999995</v>
          </cell>
          <cell r="AA34">
            <v>-986.35981214999993</v>
          </cell>
          <cell r="AB34">
            <v>-358.09999999999997</v>
          </cell>
          <cell r="AC34">
            <v>-1344.4000000000003</v>
          </cell>
          <cell r="AD34">
            <v>-347.2</v>
          </cell>
          <cell r="AE34">
            <v>-338.8</v>
          </cell>
          <cell r="AF34">
            <v>-686</v>
          </cell>
          <cell r="AG34">
            <v>-348.6</v>
          </cell>
          <cell r="AH34">
            <v>-1034.5999999999999</v>
          </cell>
          <cell r="AI34">
            <v>-362.49999999999994</v>
          </cell>
          <cell r="AJ34">
            <v>-1397.1</v>
          </cell>
          <cell r="AK34">
            <v>-378.70000000000005</v>
          </cell>
          <cell r="AL34">
            <v>-368.40000000000003</v>
          </cell>
          <cell r="AM34">
            <v>-747.10000000000014</v>
          </cell>
          <cell r="AN34">
            <v>-370.09999999999997</v>
          </cell>
          <cell r="AO34">
            <v>-1117.2</v>
          </cell>
          <cell r="AP34">
            <v>-396.70000000000005</v>
          </cell>
          <cell r="AQ34">
            <v>-1513.9</v>
          </cell>
          <cell r="AR34">
            <v>-381.70000000000005</v>
          </cell>
          <cell r="AS34">
            <v>-403.99999999999994</v>
          </cell>
          <cell r="AT34">
            <v>-785.7</v>
          </cell>
          <cell r="AU34">
            <v>-370.70000000000005</v>
          </cell>
          <cell r="AV34">
            <v>-1156.4000000000001</v>
          </cell>
          <cell r="AW34">
            <v>-354.8</v>
          </cell>
          <cell r="AX34">
            <v>-1511.2</v>
          </cell>
          <cell r="AY34">
            <v>-381.70000000000005</v>
          </cell>
          <cell r="AZ34">
            <v>-403.99999999999994</v>
          </cell>
          <cell r="BA34">
            <v>-370.70000000000005</v>
          </cell>
          <cell r="BB34">
            <v>-354.8</v>
          </cell>
          <cell r="BC34">
            <v>-1511.2</v>
          </cell>
          <cell r="BD34">
            <v>-406.20000000000005</v>
          </cell>
          <cell r="BE34">
            <v>-373.50000000000006</v>
          </cell>
          <cell r="BF34">
            <v>-779.7</v>
          </cell>
          <cell r="BG34">
            <v>-379.29999999999995</v>
          </cell>
          <cell r="BH34">
            <v>-1159</v>
          </cell>
          <cell r="BI34">
            <v>-345.19999999999993</v>
          </cell>
          <cell r="BJ34">
            <v>-1504.1999999999998</v>
          </cell>
          <cell r="BK34">
            <v>-375.80877183401151</v>
          </cell>
          <cell r="BL34">
            <v>-385.1367030580505</v>
          </cell>
          <cell r="BM34">
            <v>-760.94547489206207</v>
          </cell>
          <cell r="BN34">
            <v>-393.04737538701249</v>
          </cell>
          <cell r="BO34">
            <v>-1153.9928502790744</v>
          </cell>
          <cell r="BP34">
            <v>-393.90187846214428</v>
          </cell>
          <cell r="BQ34">
            <v>-1547.8947287412186</v>
          </cell>
          <cell r="BR34">
            <v>-1600.5976413300189</v>
          </cell>
          <cell r="BS34">
            <v>-1639.8064747999786</v>
          </cell>
          <cell r="BT34">
            <v>-1678.1450506823098</v>
          </cell>
          <cell r="BU34">
            <v>-1716.6594650035424</v>
          </cell>
          <cell r="BV34">
            <v>-1730.5529955666798</v>
          </cell>
          <cell r="BW34">
            <v>-1744.9904922641031</v>
          </cell>
          <cell r="BX34">
            <v>-1759.9972133129206</v>
          </cell>
          <cell r="BY34">
            <v>-1775.5997333716666</v>
          </cell>
          <cell r="BZ34">
            <v>-1791.826016847994</v>
          </cell>
          <cell r="CA34">
            <v>-1808.7054954341654</v>
          </cell>
          <cell r="CF34" t="str">
            <v>mstag:researchAndDevelopment</v>
          </cell>
          <cell r="CG34">
            <v>6</v>
          </cell>
          <cell r="CH34" t="str">
            <v>ISO4217:EUR</v>
          </cell>
          <cell r="CI34" t="b">
            <v>1</v>
          </cell>
          <cell r="CJ34" t="b">
            <v>0</v>
          </cell>
        </row>
        <row r="35">
          <cell r="A35" t="str">
            <v xml:space="preserve">     % of total revenue</v>
          </cell>
          <cell r="B35">
            <v>0.14002804065895552</v>
          </cell>
          <cell r="C35">
            <v>0.14418864759064215</v>
          </cell>
          <cell r="D35">
            <v>0.14204417144663747</v>
          </cell>
          <cell r="E35">
            <v>0.14182558785410107</v>
          </cell>
          <cell r="F35">
            <v>0.1419724979510063</v>
          </cell>
          <cell r="G35">
            <v>0.12879581151832464</v>
          </cell>
          <cell r="H35">
            <v>0.13796582806403879</v>
          </cell>
          <cell r="I35">
            <v>0.15769836180260013</v>
          </cell>
          <cell r="J35">
            <v>0.15551345628795901</v>
          </cell>
          <cell r="K35">
            <v>0.15658119658119657</v>
          </cell>
          <cell r="L35">
            <v>0.14418604651162789</v>
          </cell>
          <cell r="M35">
            <v>0.15247072265067124</v>
          </cell>
          <cell r="N35">
            <v>0.12570605825672831</v>
          </cell>
          <cell r="O35">
            <v>0.14562226347186602</v>
          </cell>
          <cell r="P35">
            <v>0.15416778343607609</v>
          </cell>
          <cell r="Q35">
            <v>0.14459218929954978</v>
          </cell>
          <cell r="R35">
            <v>0.14932330428794657</v>
          </cell>
          <cell r="S35">
            <v>0.15012642225031606</v>
          </cell>
          <cell r="T35">
            <v>0.14976621085134537</v>
          </cell>
          <cell r="U35">
            <v>0.20131565208311583</v>
          </cell>
          <cell r="V35">
            <v>0.16264576059028923</v>
          </cell>
          <cell r="W35">
            <v>0.16834235974861114</v>
          </cell>
          <cell r="X35">
            <v>0.1784043376834038</v>
          </cell>
          <cell r="Y35">
            <v>0.17344175172834536</v>
          </cell>
          <cell r="Z35">
            <v>0.17066513944909908</v>
          </cell>
          <cell r="AA35">
            <v>0.17249487256761853</v>
          </cell>
          <cell r="AB35">
            <v>0.17651133605626601</v>
          </cell>
          <cell r="AC35">
            <v>0.17353897826314763</v>
          </cell>
          <cell r="AD35">
            <v>0.16542383480704351</v>
          </cell>
          <cell r="AE35">
            <v>0.15343812049267766</v>
          </cell>
          <cell r="AF35">
            <v>0.15927902389546666</v>
          </cell>
          <cell r="AG35">
            <v>0.14299906422282407</v>
          </cell>
          <cell r="AH35">
            <v>0.15339484584970239</v>
          </cell>
          <cell r="AI35">
            <v>0.14238522444744062</v>
          </cell>
          <cell r="AJ35">
            <v>0.15037786949512913</v>
          </cell>
          <cell r="AK35">
            <v>0.14770853772802253</v>
          </cell>
          <cell r="AL35">
            <v>0.1441740608466118</v>
          </cell>
          <cell r="AM35">
            <v>0.14594426414833472</v>
          </cell>
          <cell r="AN35">
            <v>0.14619206959352718</v>
          </cell>
          <cell r="AO35">
            <v>0.14602626269578844</v>
          </cell>
          <cell r="AP35">
            <v>0.15107758663287715</v>
          </cell>
          <cell r="AQ35">
            <v>0.14731695561810343</v>
          </cell>
          <cell r="AR35">
            <v>0.14431547506521988</v>
          </cell>
          <cell r="AS35">
            <v>0.14165001227165946</v>
          </cell>
          <cell r="AT35">
            <v>0.14293250864107696</v>
          </cell>
          <cell r="AU35">
            <v>0.13048222456881381</v>
          </cell>
          <cell r="AV35">
            <v>0.13869033341328857</v>
          </cell>
          <cell r="AW35">
            <v>0.12516315659505417</v>
          </cell>
          <cell r="AX35">
            <v>0.13525826344572037</v>
          </cell>
          <cell r="AY35">
            <v>0.14431547506521988</v>
          </cell>
          <cell r="AZ35">
            <v>0.14165001227165946</v>
          </cell>
          <cell r="BA35">
            <v>0.13048222456881381</v>
          </cell>
          <cell r="BB35">
            <v>0.12516315659505417</v>
          </cell>
          <cell r="BC35">
            <v>0.13525826344572037</v>
          </cell>
          <cell r="BD35">
            <v>0.14714725593189643</v>
          </cell>
          <cell r="BE35">
            <v>0.13146316567526661</v>
          </cell>
          <cell r="BF35">
            <v>0.13919237360754072</v>
          </cell>
          <cell r="BG35">
            <v>0.13784206127121415</v>
          </cell>
          <cell r="BH35">
            <v>0.13874756084421727</v>
          </cell>
          <cell r="BI35">
            <v>0.12590269166241147</v>
          </cell>
          <cell r="BJ35">
            <v>0.13557336121350866</v>
          </cell>
          <cell r="BK35">
            <v>0.13695405225686894</v>
          </cell>
          <cell r="BL35">
            <v>0.13794831423344256</v>
          </cell>
          <cell r="BM35">
            <v>0.13745547942369221</v>
          </cell>
          <cell r="BN35">
            <v>0.13945665988492056</v>
          </cell>
          <cell r="BO35">
            <v>0.13813059583036913</v>
          </cell>
          <cell r="BP35">
            <v>0.13887865566088498</v>
          </cell>
          <cell r="BQ35">
            <v>0.1383201935236042</v>
          </cell>
          <cell r="BR35">
            <v>0.13982433177550868</v>
          </cell>
          <cell r="BS35">
            <v>0.14151739341214969</v>
          </cell>
          <cell r="BT35">
            <v>0.14342760340855382</v>
          </cell>
          <cell r="BU35">
            <v>0.14570922743129003</v>
          </cell>
          <cell r="BV35">
            <v>0.145758981013342</v>
          </cell>
          <cell r="BW35">
            <v>0.14602945229337791</v>
          </cell>
          <cell r="BX35">
            <v>0.14594479282787434</v>
          </cell>
          <cell r="BY35">
            <v>0.14588541047258197</v>
          </cell>
          <cell r="BZ35">
            <v>0.14548927921285423</v>
          </cell>
          <cell r="CA35">
            <v>0.14403682680292465</v>
          </cell>
          <cell r="CB35" t="str">
            <v>Decline driven by mix effect</v>
          </cell>
        </row>
        <row r="36">
          <cell r="A36" t="str">
            <v xml:space="preserve">     year-on-year growth</v>
          </cell>
          <cell r="I36">
            <v>0.692740926157697</v>
          </cell>
          <cell r="J36">
            <v>0.80413703943115733</v>
          </cell>
          <cell r="K36">
            <v>0.74753577106518287</v>
          </cell>
          <cell r="L36">
            <v>0.63903394255874679</v>
          </cell>
          <cell r="M36">
            <v>0.71199486850545235</v>
          </cell>
          <cell r="N36">
            <v>0.5379403794037938</v>
          </cell>
          <cell r="O36">
            <v>0.6702421582967657</v>
          </cell>
          <cell r="P36">
            <v>6.3216266173752186E-2</v>
          </cell>
          <cell r="Q36">
            <v>-1.0390541024722443E-2</v>
          </cell>
          <cell r="R36">
            <v>2.5836972343522436E-2</v>
          </cell>
          <cell r="S36">
            <v>0.13500597371565115</v>
          </cell>
          <cell r="T36">
            <v>6.007243661795917E-2</v>
          </cell>
          <cell r="U36">
            <v>0.69867841409691644</v>
          </cell>
          <cell r="V36">
            <v>0.20112873406636181</v>
          </cell>
          <cell r="W36">
            <v>8.7829666724617589E-2</v>
          </cell>
          <cell r="X36">
            <v>0.2335264301230992</v>
          </cell>
          <cell r="Y36">
            <v>0.15920505879744595</v>
          </cell>
          <cell r="Z36">
            <v>0.16771929824561388</v>
          </cell>
          <cell r="AA36">
            <v>0.16206386916823748</v>
          </cell>
          <cell r="AB36">
            <v>-7.1317427385892265E-2</v>
          </cell>
          <cell r="AC36">
            <v>8.9112119248217936E-2</v>
          </cell>
          <cell r="AD36">
            <v>0.10976222102164938</v>
          </cell>
          <cell r="AE36">
            <v>-5.5767537422952082E-3</v>
          </cell>
          <cell r="AF36">
            <v>4.9636142319219909E-2</v>
          </cell>
          <cell r="AG36">
            <v>4.7475961538461751E-2</v>
          </cell>
          <cell r="AH36">
            <v>4.8907292507030783E-2</v>
          </cell>
          <cell r="AI36">
            <v>1.2287070650656179E-2</v>
          </cell>
          <cell r="AJ36">
            <v>3.9199642963403433E-2</v>
          </cell>
          <cell r="AK36">
            <v>9.0725806451613072E-2</v>
          </cell>
          <cell r="AL36">
            <v>8.7367178276269247E-2</v>
          </cell>
          <cell r="AM36">
            <v>8.9067055393586211E-2</v>
          </cell>
          <cell r="AN36">
            <v>6.1675272518645845E-2</v>
          </cell>
          <cell r="AO36">
            <v>7.9837618403247768E-2</v>
          </cell>
          <cell r="AP36">
            <v>9.43448275862072E-2</v>
          </cell>
          <cell r="AQ36">
            <v>8.360174647484088E-2</v>
          </cell>
          <cell r="AR36">
            <v>7.9218378663850012E-3</v>
          </cell>
          <cell r="AS36">
            <v>9.6634093376764124E-2</v>
          </cell>
          <cell r="AT36">
            <v>5.1666443581849686E-2</v>
          </cell>
          <cell r="AU36">
            <v>1.6211834639288832E-3</v>
          </cell>
          <cell r="AV36">
            <v>3.5087719298245654E-2</v>
          </cell>
          <cell r="AW36">
            <v>-0.10562137635492823</v>
          </cell>
          <cell r="AX36">
            <v>-1.783473148820956E-3</v>
          </cell>
          <cell r="AY36">
            <v>7.9218378663850012E-3</v>
          </cell>
          <cell r="AZ36">
            <v>9.6634093376764124E-2</v>
          </cell>
          <cell r="BA36">
            <v>1.6211834639288832E-3</v>
          </cell>
          <cell r="BB36">
            <v>-0.10562137635492823</v>
          </cell>
          <cell r="BC36">
            <v>-1.783473148820956E-3</v>
          </cell>
          <cell r="BD36">
            <v>6.418653392716793E-2</v>
          </cell>
          <cell r="BE36">
            <v>-7.5495049504950229E-2</v>
          </cell>
          <cell r="BF36">
            <v>-7.6365024818633061E-3</v>
          </cell>
          <cell r="BG36">
            <v>2.3199352576206929E-2</v>
          </cell>
          <cell r="BH36">
            <v>2.2483569699065279E-3</v>
          </cell>
          <cell r="BI36">
            <v>-2.7057497181510935E-2</v>
          </cell>
          <cell r="BJ36">
            <v>-4.6320804658551004E-3</v>
          </cell>
          <cell r="BK36">
            <v>-7.4818385440641386E-2</v>
          </cell>
          <cell r="BL36">
            <v>3.1155831480724074E-2</v>
          </cell>
          <cell r="BM36">
            <v>-2.4053514310552748E-2</v>
          </cell>
          <cell r="BN36">
            <v>3.624406904037053E-2</v>
          </cell>
          <cell r="BO36">
            <v>-4.3202327186588037E-3</v>
          </cell>
          <cell r="BP36">
            <v>0.14108307781617718</v>
          </cell>
          <cell r="BQ36">
            <v>2.9048483407272171E-2</v>
          </cell>
          <cell r="BR36">
            <v>3.4048124598020556E-2</v>
          </cell>
          <cell r="BS36">
            <v>2.4496370891424694E-2</v>
          </cell>
          <cell r="BT36">
            <v>2.337993932302759E-2</v>
          </cell>
          <cell r="BU36">
            <v>2.2950587200774569E-2</v>
          </cell>
          <cell r="BV36">
            <v>8.0933527274197493E-3</v>
          </cell>
          <cell r="BW36">
            <v>8.3427070620831472E-3</v>
          </cell>
          <cell r="BX36">
            <v>8.599886999582744E-3</v>
          </cell>
          <cell r="BY36">
            <v>8.8650822516796388E-3</v>
          </cell>
          <cell r="BZ36">
            <v>9.1384804645782657E-3</v>
          </cell>
          <cell r="CA36">
            <v>9.4202664920917823E-3</v>
          </cell>
        </row>
        <row r="37">
          <cell r="A37" t="str">
            <v>Amortization of intangible assets</v>
          </cell>
          <cell r="W37">
            <v>-147.50000000000003</v>
          </cell>
          <cell r="X37">
            <v>-146.30000000000001</v>
          </cell>
          <cell r="Y37">
            <v>-293.80000000000007</v>
          </cell>
          <cell r="Z37">
            <v>-146.90000000000003</v>
          </cell>
          <cell r="AA37">
            <v>-440.7000000000001</v>
          </cell>
          <cell r="AB37">
            <v>-216.9</v>
          </cell>
          <cell r="AC37">
            <v>-657.6</v>
          </cell>
          <cell r="AD37">
            <v>-140.5</v>
          </cell>
          <cell r="AE37">
            <v>-145.9</v>
          </cell>
          <cell r="AF37">
            <v>-286.39999999999998</v>
          </cell>
          <cell r="AG37">
            <v>-198.3</v>
          </cell>
          <cell r="AH37">
            <v>-484.7</v>
          </cell>
          <cell r="AI37">
            <v>-334</v>
          </cell>
          <cell r="AJ37">
            <v>-818.7</v>
          </cell>
          <cell r="AK37">
            <v>-248.2</v>
          </cell>
          <cell r="AL37">
            <v>-319.10000000000002</v>
          </cell>
          <cell r="AM37">
            <v>-567.29999999999995</v>
          </cell>
          <cell r="AN37">
            <v>-212.9</v>
          </cell>
          <cell r="AO37">
            <v>-780.19999999999993</v>
          </cell>
          <cell r="AP37">
            <v>-224.5</v>
          </cell>
          <cell r="AQ37">
            <v>-1004.6999999999999</v>
          </cell>
          <cell r="AR37">
            <v>-216.3</v>
          </cell>
          <cell r="AS37">
            <v>-217.3</v>
          </cell>
          <cell r="AT37">
            <v>-433.6</v>
          </cell>
          <cell r="AU37">
            <v>-218.1</v>
          </cell>
          <cell r="AV37">
            <v>-651.70000000000005</v>
          </cell>
          <cell r="AW37">
            <v>-219.8</v>
          </cell>
          <cell r="AX37">
            <v>-871.5</v>
          </cell>
          <cell r="AY37">
            <v>-216.3</v>
          </cell>
          <cell r="AZ37">
            <v>-217.3</v>
          </cell>
          <cell r="BA37">
            <v>-218.1</v>
          </cell>
          <cell r="BB37">
            <v>-219.8</v>
          </cell>
          <cell r="BC37">
            <v>-871.5</v>
          </cell>
          <cell r="BD37">
            <v>-209.5</v>
          </cell>
          <cell r="BE37">
            <v>-209.5</v>
          </cell>
          <cell r="BF37">
            <v>-419</v>
          </cell>
          <cell r="BG37">
            <v>-197.80000000000004</v>
          </cell>
          <cell r="BH37">
            <v>-616.80000000000007</v>
          </cell>
          <cell r="BI37">
            <v>-196.89999999999998</v>
          </cell>
          <cell r="BJ37">
            <v>-813.7</v>
          </cell>
          <cell r="BK37">
            <v>-180.24163463589787</v>
          </cell>
          <cell r="BL37">
            <v>-185.07282698345279</v>
          </cell>
          <cell r="BM37">
            <v>-365.31446161935065</v>
          </cell>
          <cell r="BN37">
            <v>-181.5977694107975</v>
          </cell>
          <cell r="BO37">
            <v>-546.91223103014818</v>
          </cell>
          <cell r="BP37">
            <v>-185.74882418040133</v>
          </cell>
          <cell r="BQ37">
            <v>-732.66105521054942</v>
          </cell>
          <cell r="BR37">
            <v>-621.69697923883359</v>
          </cell>
          <cell r="BS37">
            <v>-620.63533175200905</v>
          </cell>
          <cell r="BT37">
            <v>-617.14062455971271</v>
          </cell>
          <cell r="BU37">
            <v>-306.82521290622822</v>
          </cell>
          <cell r="BV37">
            <v>-312.10634027428938</v>
          </cell>
          <cell r="BW37">
            <v>-317.30172833812657</v>
          </cell>
          <cell r="BX37">
            <v>-323.36940186032132</v>
          </cell>
          <cell r="BY37">
            <v>-329.70657593271335</v>
          </cell>
          <cell r="BZ37">
            <v>-336.94088434864489</v>
          </cell>
          <cell r="CA37">
            <v>-346.36471634813114</v>
          </cell>
        </row>
        <row r="38">
          <cell r="A38" t="str">
            <v>Investment Result</v>
          </cell>
          <cell r="B38">
            <v>0</v>
          </cell>
          <cell r="C38">
            <v>0</v>
          </cell>
          <cell r="D38">
            <v>0</v>
          </cell>
          <cell r="E38">
            <v>0.2</v>
          </cell>
          <cell r="F38">
            <v>0.2</v>
          </cell>
          <cell r="G38">
            <v>-0.4</v>
          </cell>
          <cell r="H38">
            <v>-0.2</v>
          </cell>
          <cell r="I38">
            <v>0.1</v>
          </cell>
          <cell r="J38">
            <v>0.7</v>
          </cell>
          <cell r="K38">
            <v>0.79999999999999993</v>
          </cell>
          <cell r="L38">
            <v>0</v>
          </cell>
          <cell r="M38">
            <v>0.79999999999999993</v>
          </cell>
          <cell r="N38">
            <v>-0.49999999999999994</v>
          </cell>
          <cell r="O38">
            <v>0.3</v>
          </cell>
          <cell r="P38">
            <v>0</v>
          </cell>
          <cell r="Q38">
            <v>0.2</v>
          </cell>
          <cell r="R38">
            <v>0.2</v>
          </cell>
          <cell r="S38">
            <v>0.6</v>
          </cell>
          <cell r="T38">
            <v>0.8</v>
          </cell>
          <cell r="U38">
            <v>-0.70000000000000007</v>
          </cell>
          <cell r="V38">
            <v>0.1</v>
          </cell>
          <cell r="W38">
            <v>0</v>
          </cell>
          <cell r="X38">
            <v>0.1</v>
          </cell>
          <cell r="Y38">
            <v>0.1</v>
          </cell>
          <cell r="Z38">
            <v>4.0999999999999996</v>
          </cell>
          <cell r="AA38">
            <v>4.1999999999999993</v>
          </cell>
          <cell r="AB38">
            <v>-0.7</v>
          </cell>
          <cell r="AC38">
            <v>3.4999999999999991</v>
          </cell>
          <cell r="AD38">
            <v>0</v>
          </cell>
          <cell r="AE38">
            <v>2.2000000000000002</v>
          </cell>
          <cell r="AF38">
            <v>2.2000000000000002</v>
          </cell>
          <cell r="AG38">
            <v>0.3</v>
          </cell>
          <cell r="AH38">
            <v>2.5</v>
          </cell>
          <cell r="AI38">
            <v>1.6</v>
          </cell>
          <cell r="AJ38">
            <v>4.0999999999999996</v>
          </cell>
          <cell r="AK38">
            <v>0</v>
          </cell>
          <cell r="AL38">
            <v>2</v>
          </cell>
          <cell r="AM38">
            <v>2</v>
          </cell>
          <cell r="AN38">
            <v>-0.1</v>
          </cell>
          <cell r="AO38">
            <v>1.9</v>
          </cell>
          <cell r="AP38">
            <v>-2.9</v>
          </cell>
          <cell r="AQ38">
            <v>-0.99999999999999989</v>
          </cell>
          <cell r="AR38">
            <v>0</v>
          </cell>
          <cell r="AS38">
            <v>0.5</v>
          </cell>
          <cell r="AT38">
            <v>0.5</v>
          </cell>
          <cell r="AU38">
            <v>0</v>
          </cell>
          <cell r="AV38">
            <v>0.5</v>
          </cell>
          <cell r="AW38">
            <v>0.1</v>
          </cell>
          <cell r="AX38">
            <v>0.6</v>
          </cell>
          <cell r="AY38">
            <v>0</v>
          </cell>
          <cell r="AZ38">
            <v>0.5</v>
          </cell>
          <cell r="BA38">
            <v>0</v>
          </cell>
          <cell r="BB38">
            <v>0.1</v>
          </cell>
          <cell r="BC38">
            <v>0.6</v>
          </cell>
          <cell r="BD38">
            <v>0</v>
          </cell>
          <cell r="BE38">
            <v>1.4</v>
          </cell>
          <cell r="BF38">
            <v>1.4</v>
          </cell>
          <cell r="BG38">
            <v>0</v>
          </cell>
          <cell r="BH38">
            <v>1.4</v>
          </cell>
          <cell r="BI38">
            <v>0</v>
          </cell>
          <cell r="BJ38">
            <v>1.4</v>
          </cell>
          <cell r="BK38">
            <v>0</v>
          </cell>
          <cell r="BL38">
            <v>1.4</v>
          </cell>
          <cell r="BM38">
            <v>1.4</v>
          </cell>
          <cell r="BN38">
            <v>0</v>
          </cell>
          <cell r="BO38">
            <v>1.4</v>
          </cell>
          <cell r="BP38">
            <v>0</v>
          </cell>
          <cell r="BQ38">
            <v>1.4</v>
          </cell>
          <cell r="BR38">
            <v>1.4</v>
          </cell>
          <cell r="BS38">
            <v>1.4</v>
          </cell>
          <cell r="BT38">
            <v>1.4</v>
          </cell>
          <cell r="BU38">
            <v>1.4</v>
          </cell>
          <cell r="BV38">
            <v>1.4</v>
          </cell>
          <cell r="BW38">
            <v>1.4</v>
          </cell>
          <cell r="BX38">
            <v>1.4</v>
          </cell>
          <cell r="BY38">
            <v>1.4</v>
          </cell>
          <cell r="BZ38">
            <v>1.4</v>
          </cell>
          <cell r="CA38">
            <v>1.4</v>
          </cell>
          <cell r="CF38" t="str">
            <v>mstag:incomeLossFromInvestmentsUnderTheEquityMethodOperatingPreTax</v>
          </cell>
          <cell r="CG38">
            <v>6</v>
          </cell>
          <cell r="CH38" t="str">
            <v>ISO4217:EUR</v>
          </cell>
          <cell r="CI38" t="b">
            <v>0</v>
          </cell>
        </row>
        <row r="40">
          <cell r="A40" t="str">
            <v>Operating Result (pre intangibles/exceptionals)</v>
          </cell>
          <cell r="B40">
            <v>228.29999999999984</v>
          </cell>
          <cell r="C40">
            <v>179.00000000000006</v>
          </cell>
          <cell r="D40">
            <v>407.3000000000003</v>
          </cell>
          <cell r="E40">
            <v>190.40000000000003</v>
          </cell>
          <cell r="F40">
            <v>597.70000000000005</v>
          </cell>
          <cell r="G40">
            <v>213.19999999999968</v>
          </cell>
          <cell r="H40">
            <v>810.89999999999884</v>
          </cell>
          <cell r="I40">
            <v>380.90000000000009</v>
          </cell>
          <cell r="J40">
            <v>418.3</v>
          </cell>
          <cell r="K40">
            <v>799.20000000000061</v>
          </cell>
          <cell r="L40">
            <v>431.49999999999989</v>
          </cell>
          <cell r="M40">
            <v>1230.7000000000003</v>
          </cell>
          <cell r="N40">
            <v>302.29999999999995</v>
          </cell>
          <cell r="O40">
            <v>1533</v>
          </cell>
          <cell r="P40">
            <v>500.09999999999997</v>
          </cell>
          <cell r="Q40">
            <v>460.0999999999998</v>
          </cell>
          <cell r="R40">
            <v>960.2000000000005</v>
          </cell>
          <cell r="S40">
            <v>449.9000000000002</v>
          </cell>
          <cell r="T40">
            <v>1403.5</v>
          </cell>
          <cell r="U40">
            <v>294.69999999999987</v>
          </cell>
          <cell r="V40">
            <v>1704.8000000000002</v>
          </cell>
          <cell r="W40">
            <v>276.71367376999962</v>
          </cell>
          <cell r="X40">
            <v>330.70692991000004</v>
          </cell>
          <cell r="Y40">
            <v>607.42060367999977</v>
          </cell>
          <cell r="Z40">
            <v>369.21744980999847</v>
          </cell>
          <cell r="AA40">
            <v>976.63805348999881</v>
          </cell>
          <cell r="AB40">
            <v>301.9648827599915</v>
          </cell>
          <cell r="AC40">
            <v>1278.6627483999903</v>
          </cell>
          <cell r="AD40">
            <v>435.35111419999981</v>
          </cell>
          <cell r="AE40">
            <v>470.95624386000054</v>
          </cell>
          <cell r="AF40">
            <v>906.30735806000052</v>
          </cell>
          <cell r="AG40">
            <v>561.57819033000317</v>
          </cell>
          <cell r="AH40">
            <v>1467.885548390002</v>
          </cell>
          <cell r="AI40">
            <v>463.41023336000302</v>
          </cell>
          <cell r="AJ40">
            <v>1931.2957817500073</v>
          </cell>
          <cell r="AK40">
            <v>776.83284151999919</v>
          </cell>
          <cell r="AL40">
            <v>295.44466632000064</v>
          </cell>
          <cell r="AM40">
            <v>1072.2775078400014</v>
          </cell>
          <cell r="AN40">
            <v>545.10107131000325</v>
          </cell>
          <cell r="AO40">
            <v>1617.3785791500047</v>
          </cell>
          <cell r="AP40">
            <v>520.2031309699986</v>
          </cell>
          <cell r="AQ40">
            <v>2137.5817101200014</v>
          </cell>
          <cell r="AX40">
            <v>1835.0000000000011</v>
          </cell>
          <cell r="BJ40">
            <v>2424.5000000000005</v>
          </cell>
          <cell r="BQ40">
            <v>2532.9539204806993</v>
          </cell>
          <cell r="BR40">
            <v>2718.6622366612742</v>
          </cell>
          <cell r="BS40">
            <v>2912.6416733924293</v>
          </cell>
          <cell r="BT40">
            <v>2857.2083446560446</v>
          </cell>
          <cell r="BU40">
            <v>2761.9019632080986</v>
          </cell>
          <cell r="BV40">
            <v>2704.2720667884792</v>
          </cell>
          <cell r="BW40">
            <v>2646.4306143502008</v>
          </cell>
          <cell r="BX40">
            <v>2584.835912315219</v>
          </cell>
          <cell r="BY40">
            <v>2543.4638145154972</v>
          </cell>
          <cell r="BZ40">
            <v>2516.2263255773446</v>
          </cell>
          <cell r="CA40">
            <v>2549.2904534692875</v>
          </cell>
        </row>
        <row r="41">
          <cell r="A41" t="str">
            <v>Operating Margin Pre Intangibles</v>
          </cell>
          <cell r="B41">
            <v>0.19924943271076967</v>
          </cell>
          <cell r="C41">
            <v>0.16610987379361547</v>
          </cell>
          <cell r="D41">
            <v>0.18318791040748417</v>
          </cell>
          <cell r="E41">
            <v>0.17553240527334749</v>
          </cell>
          <cell r="F41">
            <v>0.18067773041927393</v>
          </cell>
          <cell r="G41">
            <v>0.18511765216636253</v>
          </cell>
          <cell r="H41">
            <v>0.18182429705367931</v>
          </cell>
          <cell r="I41">
            <v>0.22206028100040814</v>
          </cell>
          <cell r="J41">
            <v>0.23307516576586615</v>
          </cell>
          <cell r="K41">
            <v>0.22769230769230783</v>
          </cell>
          <cell r="L41">
            <v>0.24777490668963531</v>
          </cell>
          <cell r="M41">
            <v>0.23435208987908221</v>
          </cell>
          <cell r="N41">
            <v>0.16740502824233025</v>
          </cell>
          <cell r="O41">
            <v>0.21722188372323692</v>
          </cell>
          <cell r="P41">
            <v>0.26807826320021438</v>
          </cell>
          <cell r="Q41">
            <v>0.24086483090775826</v>
          </cell>
          <cell r="R41">
            <v>0.25431045898773746</v>
          </cell>
          <cell r="S41">
            <v>0.2369890434049727</v>
          </cell>
          <cell r="T41">
            <v>0.24764005293339211</v>
          </cell>
          <cell r="U41">
            <v>0.15385820194215302</v>
          </cell>
          <cell r="V41">
            <v>0.224626128203439</v>
          </cell>
          <cell r="W41">
            <v>0.14889298979318941</v>
          </cell>
          <cell r="X41">
            <v>0.17317156089787319</v>
          </cell>
          <cell r="Y41">
            <v>0.16119732514086804</v>
          </cell>
          <cell r="Z41">
            <v>0.18934058761677927</v>
          </cell>
          <cell r="AA41">
            <v>0.17079472876559693</v>
          </cell>
          <cell r="AB41">
            <v>0.14884173386774596</v>
          </cell>
          <cell r="AC41">
            <v>0.16505342673347401</v>
          </cell>
          <cell r="AD41">
            <v>0.20742353340576933</v>
          </cell>
          <cell r="AE41">
            <v>0.21328996721419613</v>
          </cell>
          <cell r="AF41">
            <v>0.21043112440390099</v>
          </cell>
          <cell r="AG41">
            <v>0.23036476105891407</v>
          </cell>
          <cell r="AH41">
            <v>0.21763587610698845</v>
          </cell>
          <cell r="AI41">
            <v>0.1820214347260824</v>
          </cell>
          <cell r="AJ41">
            <v>0.20787641902834159</v>
          </cell>
          <cell r="AK41">
            <v>0.30299668096124566</v>
          </cell>
          <cell r="AL41">
            <v>0.11562284825957297</v>
          </cell>
          <cell r="AM41">
            <v>0.20946694129904858</v>
          </cell>
          <cell r="AN41">
            <v>0.21531870778832268</v>
          </cell>
          <cell r="AO41">
            <v>0.21140328435150346</v>
          </cell>
          <cell r="AP41">
            <v>0.19811200803078874</v>
          </cell>
          <cell r="AQ41">
            <v>0.20800715365599964</v>
          </cell>
          <cell r="AX41">
            <v>0.16423961978751789</v>
          </cell>
          <cell r="BJ41">
            <v>0.21851988715739384</v>
          </cell>
          <cell r="BQ41">
            <v>0.2263452868995694</v>
          </cell>
          <cell r="BR41">
            <v>0.23749574580692165</v>
          </cell>
          <cell r="BS41">
            <v>0.25136469693009156</v>
          </cell>
          <cell r="BT41">
            <v>0.24419971631553411</v>
          </cell>
          <cell r="BU41">
            <v>0.23442890655030688</v>
          </cell>
          <cell r="BV41">
            <v>0.22777224496893211</v>
          </cell>
          <cell r="BW41">
            <v>0.22146642910619221</v>
          </cell>
          <cell r="BX41">
            <v>0.21434314717282557</v>
          </cell>
          <cell r="BY41">
            <v>0.20897404726354715</v>
          </cell>
          <cell r="BZ41">
            <v>0.20430775700457562</v>
          </cell>
          <cell r="CA41">
            <v>0.20301354114510695</v>
          </cell>
        </row>
        <row r="42">
          <cell r="A42" t="str">
            <v>Amortisation of Intangibles</v>
          </cell>
          <cell r="B42">
            <v>-2.2999999999999998</v>
          </cell>
          <cell r="C42">
            <v>-3</v>
          </cell>
          <cell r="D42">
            <v>-5.3</v>
          </cell>
          <cell r="E42">
            <v>-3</v>
          </cell>
          <cell r="F42">
            <v>-8.3000000000000007</v>
          </cell>
          <cell r="G42">
            <v>-3.6999999999999993</v>
          </cell>
          <cell r="H42">
            <v>-12</v>
          </cell>
          <cell r="I42">
            <v>-140.19999999999999</v>
          </cell>
          <cell r="J42">
            <v>-140.6</v>
          </cell>
          <cell r="K42">
            <v>-280.79999999999995</v>
          </cell>
          <cell r="L42">
            <v>-139.80000000000001</v>
          </cell>
          <cell r="M42">
            <v>-420.59999999999997</v>
          </cell>
          <cell r="N42">
            <v>-136.05000000000001</v>
          </cell>
          <cell r="O42">
            <v>-556.65</v>
          </cell>
          <cell r="P42">
            <v>-140.6</v>
          </cell>
          <cell r="Q42">
            <v>-139.80000000000001</v>
          </cell>
          <cell r="R42">
            <v>-280.39999999999998</v>
          </cell>
          <cell r="S42">
            <v>-140.80000000000001</v>
          </cell>
          <cell r="T42">
            <v>-421.2</v>
          </cell>
          <cell r="U42">
            <v>-152.19999999999999</v>
          </cell>
          <cell r="V42">
            <v>-573.4</v>
          </cell>
          <cell r="W42">
            <v>-147.54254688</v>
          </cell>
          <cell r="X42">
            <v>-146.40499168000002</v>
          </cell>
          <cell r="Y42">
            <v>-293.94753856</v>
          </cell>
          <cell r="Z42">
            <v>-147.00119973</v>
          </cell>
          <cell r="AA42">
            <v>-440.94873828999999</v>
          </cell>
          <cell r="AB42">
            <v>-217.13789979999999</v>
          </cell>
          <cell r="AC42">
            <v>-658.08663808999995</v>
          </cell>
          <cell r="AD42">
            <v>-140.11707300999998</v>
          </cell>
          <cell r="AE42">
            <v>-145.98471673999998</v>
          </cell>
          <cell r="AF42">
            <v>-286.10178974999997</v>
          </cell>
          <cell r="AG42">
            <v>-198.57278180999998</v>
          </cell>
          <cell r="AH42">
            <v>-484.67457155999995</v>
          </cell>
          <cell r="AI42">
            <v>-334.01651179000004</v>
          </cell>
          <cell r="AJ42">
            <v>-818.69108334999999</v>
          </cell>
          <cell r="AK42">
            <v>-248.22653780999997</v>
          </cell>
          <cell r="AL42">
            <v>-319.09999999999997</v>
          </cell>
          <cell r="AM42">
            <v>-567.32653780999999</v>
          </cell>
          <cell r="AN42">
            <v>-210.8</v>
          </cell>
          <cell r="AO42">
            <v>-778.12653780999995</v>
          </cell>
          <cell r="AP42">
            <v>-220.76250901000003</v>
          </cell>
          <cell r="AQ42">
            <v>-998.88904681999998</v>
          </cell>
          <cell r="AX42">
            <v>-849.3</v>
          </cell>
          <cell r="BJ42">
            <v>-797.30000000000007</v>
          </cell>
          <cell r="BQ42">
            <v>-757.10316350431697</v>
          </cell>
          <cell r="BR42">
            <v>-639.58679384573952</v>
          </cell>
          <cell r="BS42">
            <v>-631.65934100950665</v>
          </cell>
          <cell r="BT42">
            <v>-620.96868909554598</v>
          </cell>
          <cell r="BU42">
            <v>-303.10962934977698</v>
          </cell>
          <cell r="BV42">
            <v>-300.48085054949632</v>
          </cell>
          <cell r="BW42">
            <v>-297.38047132402369</v>
          </cell>
          <cell r="BX42">
            <v>-294.74580401383207</v>
          </cell>
          <cell r="BY42">
            <v>-291.9521772656343</v>
          </cell>
          <cell r="BZ42">
            <v>-289.60409593581414</v>
          </cell>
          <cell r="CA42">
            <v>-288.96950531605074</v>
          </cell>
        </row>
        <row r="43">
          <cell r="A43" t="str">
            <v xml:space="preserve">Operating Result </v>
          </cell>
          <cell r="B43">
            <v>225.99999999999983</v>
          </cell>
          <cell r="C43">
            <v>176.00000000000006</v>
          </cell>
          <cell r="D43">
            <v>402.00000000000028</v>
          </cell>
          <cell r="E43">
            <v>187.40000000000003</v>
          </cell>
          <cell r="F43">
            <v>589.40000000000009</v>
          </cell>
          <cell r="G43">
            <v>209.49999999999969</v>
          </cell>
          <cell r="H43">
            <v>798.89999999999884</v>
          </cell>
          <cell r="I43">
            <v>240.7000000000001</v>
          </cell>
          <cell r="J43">
            <v>277.70000000000005</v>
          </cell>
          <cell r="K43">
            <v>518.40000000000066</v>
          </cell>
          <cell r="L43">
            <v>291.69999999999987</v>
          </cell>
          <cell r="M43">
            <v>810.10000000000036</v>
          </cell>
          <cell r="N43">
            <v>166.24999999999994</v>
          </cell>
          <cell r="O43">
            <v>976.35</v>
          </cell>
          <cell r="P43">
            <v>359.5</v>
          </cell>
          <cell r="Q43">
            <v>320.29999999999978</v>
          </cell>
          <cell r="R43">
            <v>679.80000000000052</v>
          </cell>
          <cell r="S43">
            <v>309.10000000000019</v>
          </cell>
          <cell r="T43">
            <v>982.3</v>
          </cell>
          <cell r="U43">
            <v>142.49999999999989</v>
          </cell>
          <cell r="V43">
            <v>1131.4000000000001</v>
          </cell>
          <cell r="W43">
            <v>129.17112688999961</v>
          </cell>
          <cell r="X43">
            <v>184.30193823000002</v>
          </cell>
          <cell r="Y43">
            <v>313.47306511999977</v>
          </cell>
          <cell r="Z43">
            <v>222.21625007999847</v>
          </cell>
          <cell r="AA43">
            <v>535.68931519999887</v>
          </cell>
          <cell r="AB43">
            <v>84.826982959991511</v>
          </cell>
          <cell r="AC43">
            <v>620.57611030999033</v>
          </cell>
          <cell r="AD43">
            <v>295.23404118999986</v>
          </cell>
          <cell r="AE43">
            <v>324.97152712000059</v>
          </cell>
          <cell r="AF43">
            <v>620.20556831000056</v>
          </cell>
          <cell r="AG43">
            <v>363.00540852000319</v>
          </cell>
          <cell r="AH43">
            <v>983.21097683000198</v>
          </cell>
          <cell r="AI43">
            <v>129.39372157000298</v>
          </cell>
          <cell r="AJ43">
            <v>1112.6046984000072</v>
          </cell>
          <cell r="AK43">
            <v>528.60630370999922</v>
          </cell>
          <cell r="AL43">
            <v>-23.65533367999933</v>
          </cell>
          <cell r="AM43">
            <v>504.95097003000137</v>
          </cell>
          <cell r="AN43">
            <v>334.30107131000324</v>
          </cell>
          <cell r="AO43">
            <v>839.25204134000478</v>
          </cell>
          <cell r="AP43">
            <v>299.44062195999857</v>
          </cell>
          <cell r="AQ43">
            <v>1138.6926633000014</v>
          </cell>
          <cell r="AX43">
            <v>985.70000000000118</v>
          </cell>
          <cell r="BJ43">
            <v>1627.2000000000003</v>
          </cell>
          <cell r="BQ43">
            <v>1775.8507569763824</v>
          </cell>
          <cell r="BR43">
            <v>2079.0754428155346</v>
          </cell>
          <cell r="BS43">
            <v>2280.9823323829228</v>
          </cell>
          <cell r="BT43">
            <v>2236.2396555604987</v>
          </cell>
          <cell r="BU43">
            <v>2458.7923338583214</v>
          </cell>
          <cell r="BV43">
            <v>2403.791216238983</v>
          </cell>
          <cell r="BW43">
            <v>2349.050143026177</v>
          </cell>
          <cell r="BX43">
            <v>2290.0901083013869</v>
          </cell>
          <cell r="BY43">
            <v>2251.5116372498628</v>
          </cell>
          <cell r="BZ43">
            <v>2226.6222296415303</v>
          </cell>
          <cell r="CA43">
            <v>2260.3209481532367</v>
          </cell>
        </row>
        <row r="44">
          <cell r="A44" t="str">
            <v>operating margin post intangibles (%)</v>
          </cell>
          <cell r="B44">
            <v>0.19803715387311591</v>
          </cell>
          <cell r="C44">
            <v>0.16404138316711719</v>
          </cell>
          <cell r="D44">
            <v>0.18156361501287219</v>
          </cell>
          <cell r="E44">
            <v>0.17348639140899835</v>
          </cell>
          <cell r="F44">
            <v>0.17891509577148412</v>
          </cell>
          <cell r="G44">
            <v>0.182809773123909</v>
          </cell>
          <cell r="H44">
            <v>0.17913359343468294</v>
          </cell>
          <cell r="I44">
            <v>0.14032530752638028</v>
          </cell>
          <cell r="J44">
            <v>0.1547333816236697</v>
          </cell>
          <cell r="K44">
            <v>0.14769230769230787</v>
          </cell>
          <cell r="L44">
            <v>0.16749928222796431</v>
          </cell>
          <cell r="M44">
            <v>0.15426068742264121</v>
          </cell>
          <cell r="N44">
            <v>9.2064458965555401E-2</v>
          </cell>
          <cell r="O44">
            <v>0.13834610970201069</v>
          </cell>
          <cell r="P44">
            <v>0.19270972929509514</v>
          </cell>
          <cell r="Q44">
            <v>0.16767877709140394</v>
          </cell>
          <cell r="R44">
            <v>0.18004608416982293</v>
          </cell>
          <cell r="S44">
            <v>0.16282132321955339</v>
          </cell>
          <cell r="T44">
            <v>0.17332157035730036</v>
          </cell>
          <cell r="U44">
            <v>7.4396992795238537E-2</v>
          </cell>
          <cell r="V44">
            <v>0.14907437907635551</v>
          </cell>
          <cell r="W44">
            <v>6.950388470355609E-2</v>
          </cell>
          <cell r="X44">
            <v>9.6507969544146616E-2</v>
          </cell>
          <cell r="Y44">
            <v>8.3189505418347257E-2</v>
          </cell>
          <cell r="Z44">
            <v>0.11395603157379453</v>
          </cell>
          <cell r="AA44">
            <v>9.3681493328325538E-2</v>
          </cell>
          <cell r="AB44">
            <v>4.1812130957526429E-2</v>
          </cell>
          <cell r="AC44">
            <v>8.0105730524928656E-2</v>
          </cell>
          <cell r="AD44">
            <v>0.1406645946406406</v>
          </cell>
          <cell r="AE44">
            <v>0.14717538469577365</v>
          </cell>
          <cell r="AF44">
            <v>0.14400253284978143</v>
          </cell>
          <cell r="AG44">
            <v>0.14890830099307065</v>
          </cell>
          <cell r="AH44">
            <v>0.14577565844633045</v>
          </cell>
          <cell r="AI44">
            <v>5.0824149207819351E-2</v>
          </cell>
          <cell r="AJ44">
            <v>0.11975601183570525</v>
          </cell>
          <cell r="AK44">
            <v>0.20617814669875614</v>
          </cell>
          <cell r="AL44">
            <v>-9.257561121952031E-3</v>
          </cell>
          <cell r="AM44">
            <v>9.8641008903783106E-2</v>
          </cell>
          <cell r="AN44">
            <v>0.13205124421005862</v>
          </cell>
          <cell r="AO44">
            <v>0.10969641877612983</v>
          </cell>
          <cell r="AP44">
            <v>0.11403772751591705</v>
          </cell>
          <cell r="AQ44">
            <v>0.11080569161901466</v>
          </cell>
          <cell r="AX44">
            <v>8.8223974509295075E-2</v>
          </cell>
          <cell r="BJ44">
            <v>0.14665933610332491</v>
          </cell>
          <cell r="BQ44">
            <v>0.15869039141555105</v>
          </cell>
          <cell r="BR44">
            <v>0.18162299318458944</v>
          </cell>
          <cell r="BS44">
            <v>0.19685168893931304</v>
          </cell>
          <cell r="BT44">
            <v>0.19112680057889184</v>
          </cell>
          <cell r="BU44">
            <v>0.20870110740322936</v>
          </cell>
          <cell r="BV44">
            <v>0.20246369752639914</v>
          </cell>
          <cell r="BW44">
            <v>0.19658015749456373</v>
          </cell>
          <cell r="BX44">
            <v>0.18990184977854621</v>
          </cell>
          <cell r="BY44">
            <v>0.18498690510629731</v>
          </cell>
          <cell r="BZ44">
            <v>0.18079303471646505</v>
          </cell>
          <cell r="CA44">
            <v>0.18000136437359573</v>
          </cell>
        </row>
        <row r="46">
          <cell r="A46" t="str">
            <v>Exceptional Items</v>
          </cell>
          <cell r="B46">
            <v>-19.399999999999999</v>
          </cell>
          <cell r="C46">
            <v>397.5</v>
          </cell>
          <cell r="D46">
            <v>378.1</v>
          </cell>
          <cell r="E46">
            <v>-34.4</v>
          </cell>
          <cell r="F46">
            <v>343.70000000000005</v>
          </cell>
          <cell r="G46">
            <v>-110.9</v>
          </cell>
          <cell r="H46">
            <v>232.8</v>
          </cell>
          <cell r="I46">
            <v>-195.3</v>
          </cell>
          <cell r="J46">
            <v>-183</v>
          </cell>
          <cell r="K46">
            <v>-378.3</v>
          </cell>
          <cell r="L46">
            <v>-183.4</v>
          </cell>
          <cell r="M46">
            <v>-561.70000000000005</v>
          </cell>
          <cell r="N46">
            <v>-214</v>
          </cell>
          <cell r="O46">
            <v>-775.7</v>
          </cell>
          <cell r="P46">
            <v>0</v>
          </cell>
          <cell r="Q46">
            <v>0</v>
          </cell>
          <cell r="R46">
            <v>0</v>
          </cell>
          <cell r="S46">
            <v>0</v>
          </cell>
          <cell r="T46">
            <v>0</v>
          </cell>
          <cell r="U46">
            <v>-400</v>
          </cell>
          <cell r="V46">
            <v>-400</v>
          </cell>
          <cell r="W46">
            <v>1.2005408099999961</v>
          </cell>
          <cell r="X46">
            <v>8.5770000000555098E-4</v>
          </cell>
          <cell r="Y46">
            <v>1.2013985100000018</v>
          </cell>
          <cell r="Z46">
            <v>-8.350000000684958E-6</v>
          </cell>
          <cell r="AA46">
            <v>1.201390160000001</v>
          </cell>
          <cell r="AB46">
            <v>40.885889719999994</v>
          </cell>
          <cell r="AC46">
            <v>42.087279879999997</v>
          </cell>
          <cell r="AD46">
            <v>0</v>
          </cell>
          <cell r="AE46">
            <v>-1.1999150000000001</v>
          </cell>
          <cell r="AF46">
            <v>-1.1999150000000001</v>
          </cell>
          <cell r="AG46">
            <v>-2.420000000000768E-6</v>
          </cell>
          <cell r="AH46">
            <v>-1.19991742</v>
          </cell>
          <cell r="AI46">
            <v>-68.199999840000004</v>
          </cell>
          <cell r="AJ46">
            <v>-69.399917260000009</v>
          </cell>
          <cell r="AK46">
            <v>0</v>
          </cell>
          <cell r="AL46">
            <v>-17.260000000000002</v>
          </cell>
          <cell r="AM46">
            <v>-17.260000000000002</v>
          </cell>
          <cell r="AN46">
            <v>0</v>
          </cell>
          <cell r="AO46">
            <v>-17.260000000000002</v>
          </cell>
          <cell r="AP46">
            <v>0</v>
          </cell>
          <cell r="AQ46">
            <v>-17.3</v>
          </cell>
          <cell r="AX46">
            <v>-17.3</v>
          </cell>
          <cell r="BJ46">
            <v>-17.3</v>
          </cell>
          <cell r="BQ46">
            <v>-17.3</v>
          </cell>
          <cell r="BR46">
            <v>-17.3</v>
          </cell>
          <cell r="BS46">
            <v>-17.3</v>
          </cell>
          <cell r="BT46">
            <v>-17.3</v>
          </cell>
          <cell r="BU46">
            <v>-17.3</v>
          </cell>
          <cell r="BV46">
            <v>-17.3</v>
          </cell>
          <cell r="BW46">
            <v>-17.3</v>
          </cell>
          <cell r="BX46">
            <v>-17.3</v>
          </cell>
          <cell r="BY46">
            <v>-17.3</v>
          </cell>
          <cell r="BZ46">
            <v>-17.3</v>
          </cell>
          <cell r="CA46">
            <v>-17.3</v>
          </cell>
        </row>
        <row r="47">
          <cell r="A47" t="str">
            <v>EBIT (post intangibles/exceptionals)</v>
          </cell>
          <cell r="B47">
            <v>206.59999999999982</v>
          </cell>
          <cell r="C47">
            <v>573.5</v>
          </cell>
          <cell r="D47">
            <v>780.10000000000036</v>
          </cell>
          <cell r="E47">
            <v>153.00000000000003</v>
          </cell>
          <cell r="F47">
            <v>933.10000000000014</v>
          </cell>
          <cell r="G47">
            <v>98.599999999999682</v>
          </cell>
          <cell r="H47">
            <v>1031.6999999999989</v>
          </cell>
          <cell r="I47">
            <v>45.400000000000091</v>
          </cell>
          <cell r="J47">
            <v>94.700000000000045</v>
          </cell>
          <cell r="K47">
            <v>140.10000000000065</v>
          </cell>
          <cell r="L47">
            <v>108.29999999999987</v>
          </cell>
          <cell r="M47">
            <v>248.40000000000032</v>
          </cell>
          <cell r="N47">
            <v>-47.750000000000057</v>
          </cell>
          <cell r="O47">
            <v>200.64999999999998</v>
          </cell>
          <cell r="P47">
            <v>359.5</v>
          </cell>
          <cell r="Q47">
            <v>320.29999999999978</v>
          </cell>
          <cell r="R47">
            <v>679.80000000000052</v>
          </cell>
          <cell r="S47">
            <v>309.10000000000019</v>
          </cell>
          <cell r="T47">
            <v>982.3</v>
          </cell>
          <cell r="U47">
            <v>-257.50000000000011</v>
          </cell>
          <cell r="V47">
            <v>731.40000000000009</v>
          </cell>
          <cell r="W47">
            <v>130.37166769999962</v>
          </cell>
          <cell r="X47">
            <v>184.30279593000003</v>
          </cell>
          <cell r="Y47">
            <v>314.67446362999976</v>
          </cell>
          <cell r="Z47">
            <v>222.21624172999847</v>
          </cell>
          <cell r="AA47">
            <v>536.89070535999883</v>
          </cell>
          <cell r="AB47">
            <v>125.71287267999151</v>
          </cell>
          <cell r="AC47">
            <v>662.66339018999031</v>
          </cell>
          <cell r="AD47">
            <v>295.23404118999986</v>
          </cell>
          <cell r="AE47">
            <v>323.77161212000061</v>
          </cell>
          <cell r="AF47">
            <v>619.00565331000053</v>
          </cell>
          <cell r="AG47">
            <v>363.0054061000032</v>
          </cell>
          <cell r="AH47">
            <v>982.01105941000196</v>
          </cell>
          <cell r="AI47">
            <v>61.193721730002977</v>
          </cell>
          <cell r="AJ47">
            <v>1043.2047811400073</v>
          </cell>
          <cell r="AK47">
            <v>528.60630370999922</v>
          </cell>
          <cell r="AL47">
            <v>-40.915333679999335</v>
          </cell>
          <cell r="AM47">
            <v>487.69097003000138</v>
          </cell>
          <cell r="AN47">
            <v>334.30107131000324</v>
          </cell>
          <cell r="AO47">
            <v>821.99204134000479</v>
          </cell>
          <cell r="AP47">
            <v>299.44062195999857</v>
          </cell>
          <cell r="AQ47">
            <v>1121.3926633000015</v>
          </cell>
          <cell r="AX47">
            <v>968.40000000000123</v>
          </cell>
          <cell r="BJ47">
            <v>1609.9000000000003</v>
          </cell>
          <cell r="BQ47">
            <v>1758.5507569763824</v>
          </cell>
          <cell r="BR47">
            <v>2061.7754428155345</v>
          </cell>
          <cell r="BS47">
            <v>2263.6823323829226</v>
          </cell>
          <cell r="BT47">
            <v>2218.9396555604985</v>
          </cell>
          <cell r="BU47">
            <v>2441.4923338583212</v>
          </cell>
          <cell r="BV47">
            <v>2386.4912162389828</v>
          </cell>
          <cell r="BW47">
            <v>2331.7501430261768</v>
          </cell>
          <cell r="BX47">
            <v>2272.7901083013867</v>
          </cell>
          <cell r="BY47">
            <v>2234.2116372498626</v>
          </cell>
          <cell r="BZ47">
            <v>2209.3222296415302</v>
          </cell>
          <cell r="CA47">
            <v>2243.0209481532365</v>
          </cell>
        </row>
        <row r="48">
          <cell r="A48" t="str">
            <v xml:space="preserve">     EBIT post exc margin (%)</v>
          </cell>
          <cell r="B48">
            <v>0.18103750438135283</v>
          </cell>
          <cell r="C48">
            <v>0.534532575263305</v>
          </cell>
          <cell r="D48">
            <v>0.35233277629736703</v>
          </cell>
          <cell r="E48">
            <v>0.14164043695611925</v>
          </cell>
          <cell r="F48">
            <v>0.28324682026530679</v>
          </cell>
          <cell r="G48">
            <v>8.6038394415357503E-2</v>
          </cell>
          <cell r="H48">
            <v>0.2313332436432125</v>
          </cell>
          <cell r="I48">
            <v>2.6467673293301516E-2</v>
          </cell>
          <cell r="J48">
            <v>5.2766479077283136E-2</v>
          </cell>
          <cell r="K48">
            <v>3.9914529914530095E-2</v>
          </cell>
          <cell r="L48">
            <v>6.2187769164513275E-2</v>
          </cell>
          <cell r="M48">
            <v>4.7300771208226282E-2</v>
          </cell>
          <cell r="N48">
            <v>-2.6442573928452794E-2</v>
          </cell>
          <cell r="O48">
            <v>2.843155314355348E-2</v>
          </cell>
          <cell r="P48">
            <v>0.19270972929509514</v>
          </cell>
          <cell r="Q48">
            <v>0.16767877709140394</v>
          </cell>
          <cell r="R48">
            <v>0.18004608416982293</v>
          </cell>
          <cell r="S48">
            <v>0.16282132321955339</v>
          </cell>
          <cell r="T48">
            <v>0.17332157035730036</v>
          </cell>
          <cell r="U48">
            <v>-0.13443667119139613</v>
          </cell>
          <cell r="V48">
            <v>9.636998484748667E-2</v>
          </cell>
          <cell r="W48">
            <v>7.0149866913738493E-2</v>
          </cell>
          <cell r="X48">
            <v>9.6508418670652144E-2</v>
          </cell>
          <cell r="Y48">
            <v>8.3508332644600267E-2</v>
          </cell>
          <cell r="Z48">
            <v>0.11395602729178157</v>
          </cell>
          <cell r="AA48">
            <v>9.3891592766685128E-2</v>
          </cell>
          <cell r="AB48">
            <v>6.1965225122079214E-2</v>
          </cell>
          <cell r="AC48">
            <v>8.5538476395391569E-2</v>
          </cell>
          <cell r="AD48">
            <v>0.1406645946406406</v>
          </cell>
          <cell r="AE48">
            <v>0.14663195877384047</v>
          </cell>
          <cell r="AF48">
            <v>0.14372393038628647</v>
          </cell>
          <cell r="AG48">
            <v>0.14890830000036342</v>
          </cell>
          <cell r="AH48">
            <v>0.14559775283288248</v>
          </cell>
          <cell r="AI48">
            <v>2.4036087733243307E-2</v>
          </cell>
          <cell r="AJ48">
            <v>0.11228610152098403</v>
          </cell>
          <cell r="AK48">
            <v>0.20617814669875614</v>
          </cell>
          <cell r="AL48">
            <v>-1.6012295894515874E-2</v>
          </cell>
          <cell r="AM48">
            <v>9.5269307660040298E-2</v>
          </cell>
          <cell r="AN48">
            <v>0.13205124421005862</v>
          </cell>
          <cell r="AO48">
            <v>0.10744040974092636</v>
          </cell>
          <cell r="AP48">
            <v>0.11403772751591705</v>
          </cell>
          <cell r="AQ48">
            <v>0.10912223608549648</v>
          </cell>
          <cell r="AX48">
            <v>8.6675557385412758E-2</v>
          </cell>
          <cell r="BJ48">
            <v>0.14510008922857839</v>
          </cell>
          <cell r="BQ48">
            <v>0.15714445983278486</v>
          </cell>
          <cell r="BR48">
            <v>0.18011170710165714</v>
          </cell>
          <cell r="BS48">
            <v>0.19535867684084035</v>
          </cell>
          <cell r="BT48">
            <v>0.18964820518693859</v>
          </cell>
          <cell r="BU48">
            <v>0.20723269174715389</v>
          </cell>
          <cell r="BV48">
            <v>0.20100657348686338</v>
          </cell>
          <cell r="BW48">
            <v>0.19513240775846197</v>
          </cell>
          <cell r="BX48">
            <v>0.18846727653216611</v>
          </cell>
          <cell r="BY48">
            <v>0.18356551629115975</v>
          </cell>
          <cell r="BZ48">
            <v>0.17938834223699654</v>
          </cell>
          <cell r="CA48">
            <v>0.17862367347257235</v>
          </cell>
        </row>
        <row r="50">
          <cell r="A50" t="str">
            <v>Exceptional items in EBITDA</v>
          </cell>
          <cell r="W50">
            <v>-69.026514080000254</v>
          </cell>
          <cell r="X50">
            <v>-0.19307008999985556</v>
          </cell>
          <cell r="Y50">
            <v>-69.219584170000104</v>
          </cell>
          <cell r="Z50">
            <v>-0.28255019000132509</v>
          </cell>
          <cell r="AA50">
            <v>-69.502134360001435</v>
          </cell>
          <cell r="AB50">
            <v>41.664882759991237</v>
          </cell>
          <cell r="AC50">
            <v>-27.837251600010198</v>
          </cell>
          <cell r="AD50">
            <v>0.15111419999993814</v>
          </cell>
          <cell r="AE50">
            <v>-33.443756139999735</v>
          </cell>
          <cell r="AF50">
            <v>-33.292641939999797</v>
          </cell>
          <cell r="AG50">
            <v>-21.221809669997015</v>
          </cell>
          <cell r="AH50">
            <v>-54.514451609996811</v>
          </cell>
          <cell r="AI50">
            <v>-33.689766639997181</v>
          </cell>
          <cell r="AJ50">
            <v>-88.204218249994</v>
          </cell>
          <cell r="AK50">
            <v>145.80000000000001</v>
          </cell>
          <cell r="AL50">
            <v>-92</v>
          </cell>
          <cell r="AM50">
            <v>53.800000000000011</v>
          </cell>
          <cell r="AN50">
            <v>-6.2</v>
          </cell>
          <cell r="AO50">
            <v>47.600000000000009</v>
          </cell>
          <cell r="AP50">
            <v>-40.5</v>
          </cell>
          <cell r="AQ50">
            <v>7.0999999999999872</v>
          </cell>
          <cell r="AR50">
            <v>-20.9</v>
          </cell>
          <cell r="AS50">
            <v>-371.6</v>
          </cell>
          <cell r="AT50">
            <v>-392.5</v>
          </cell>
          <cell r="AU50">
            <v>-93.199999999999989</v>
          </cell>
          <cell r="AV50">
            <v>-485.7</v>
          </cell>
          <cell r="AW50">
            <v>-118.79999999999998</v>
          </cell>
          <cell r="AX50">
            <v>-604.5</v>
          </cell>
          <cell r="AY50">
            <v>-20.9</v>
          </cell>
          <cell r="AZ50">
            <v>-371.6</v>
          </cell>
          <cell r="BA50">
            <v>-93.199999999999989</v>
          </cell>
          <cell r="BB50">
            <v>-118.79999999999998</v>
          </cell>
          <cell r="BC50">
            <v>-604.5</v>
          </cell>
          <cell r="BD50">
            <v>-47.3</v>
          </cell>
          <cell r="BE50">
            <v>-33.299999999999997</v>
          </cell>
          <cell r="BF50">
            <v>-80.599999999999994</v>
          </cell>
          <cell r="BG50">
            <v>-34.200000000000003</v>
          </cell>
          <cell r="BH50">
            <v>-114.8</v>
          </cell>
          <cell r="BI50">
            <v>-69.8</v>
          </cell>
          <cell r="BJ50">
            <v>-184.6</v>
          </cell>
          <cell r="BK50">
            <v>-26.611051115910726</v>
          </cell>
          <cell r="BL50">
            <v>-26.611051115910726</v>
          </cell>
          <cell r="BM50">
            <v>-53.222102231821452</v>
          </cell>
          <cell r="BN50">
            <v>-26.611051115910726</v>
          </cell>
          <cell r="BO50">
            <v>-79.833153347732178</v>
          </cell>
          <cell r="BP50">
            <v>-26.611051115910726</v>
          </cell>
          <cell r="BQ50">
            <v>-106.4442044636429</v>
          </cell>
          <cell r="BR50">
            <v>-26.666666666666668</v>
          </cell>
          <cell r="BS50">
            <v>-16.666666666666668</v>
          </cell>
          <cell r="BT50">
            <v>0</v>
          </cell>
          <cell r="BU50">
            <v>0</v>
          </cell>
          <cell r="BV50">
            <v>0</v>
          </cell>
          <cell r="BW50">
            <v>0</v>
          </cell>
          <cell r="BX50">
            <v>0</v>
          </cell>
          <cell r="BY50">
            <v>0</v>
          </cell>
          <cell r="BZ50">
            <v>0</v>
          </cell>
          <cell r="CA50">
            <v>0</v>
          </cell>
        </row>
        <row r="51">
          <cell r="A51" t="str">
            <v>Of which restructuring charges</v>
          </cell>
          <cell r="W51">
            <v>0</v>
          </cell>
          <cell r="X51">
            <v>0</v>
          </cell>
          <cell r="Z51">
            <v>0</v>
          </cell>
          <cell r="AB51">
            <v>0</v>
          </cell>
          <cell r="AC51">
            <v>0</v>
          </cell>
          <cell r="AD51">
            <v>0</v>
          </cell>
          <cell r="AE51">
            <v>0</v>
          </cell>
          <cell r="AG51">
            <v>0</v>
          </cell>
          <cell r="AI51">
            <v>0</v>
          </cell>
          <cell r="AJ51">
            <v>0</v>
          </cell>
          <cell r="AK51">
            <v>0</v>
          </cell>
          <cell r="AL51">
            <v>0</v>
          </cell>
          <cell r="AM51">
            <v>0</v>
          </cell>
          <cell r="AN51">
            <v>0</v>
          </cell>
          <cell r="AO51">
            <v>0</v>
          </cell>
          <cell r="AP51">
            <v>0</v>
          </cell>
          <cell r="AQ51">
            <v>0</v>
          </cell>
          <cell r="AR51">
            <v>-10.399999999999999</v>
          </cell>
          <cell r="AS51">
            <v>-355.4</v>
          </cell>
          <cell r="AT51">
            <v>-365.79999999999995</v>
          </cell>
          <cell r="AU51">
            <v>-42.8</v>
          </cell>
          <cell r="AV51">
            <v>-408.59999999999997</v>
          </cell>
          <cell r="AW51">
            <v>-95.1</v>
          </cell>
          <cell r="AX51">
            <v>-503.69999999999993</v>
          </cell>
          <cell r="AY51">
            <v>-10.399999999999999</v>
          </cell>
          <cell r="AZ51">
            <v>-355.4</v>
          </cell>
          <cell r="BA51">
            <v>-42.8</v>
          </cell>
          <cell r="BB51">
            <v>-95.1</v>
          </cell>
          <cell r="BC51">
            <v>-503.69999999999993</v>
          </cell>
          <cell r="BD51">
            <v>-41.800000000000004</v>
          </cell>
          <cell r="BE51">
            <v>-4.9000000000000004</v>
          </cell>
          <cell r="BF51">
            <v>-46.7</v>
          </cell>
          <cell r="BG51">
            <v>-32.799999999999997</v>
          </cell>
          <cell r="BH51">
            <v>-79.5</v>
          </cell>
          <cell r="BI51">
            <v>-51</v>
          </cell>
          <cell r="BJ51">
            <v>-130.5</v>
          </cell>
          <cell r="BK51">
            <v>-26.611051115910726</v>
          </cell>
          <cell r="BL51">
            <v>-26.611051115910726</v>
          </cell>
          <cell r="BM51">
            <v>-53.222102231821452</v>
          </cell>
          <cell r="BN51">
            <v>-26.611051115910726</v>
          </cell>
          <cell r="BO51">
            <v>-79.833153347732178</v>
          </cell>
          <cell r="BP51">
            <v>-26.611051115910726</v>
          </cell>
          <cell r="BQ51">
            <v>-106.4442044636429</v>
          </cell>
          <cell r="BR51">
            <v>-26.666666666666668</v>
          </cell>
          <cell r="BS51">
            <v>-16.666666666666668</v>
          </cell>
          <cell r="BT51">
            <v>0</v>
          </cell>
          <cell r="BU51">
            <v>0</v>
          </cell>
          <cell r="BV51">
            <v>0</v>
          </cell>
          <cell r="BW51">
            <v>0</v>
          </cell>
          <cell r="BX51">
            <v>0</v>
          </cell>
          <cell r="BY51">
            <v>0</v>
          </cell>
          <cell r="BZ51">
            <v>0</v>
          </cell>
          <cell r="CA51">
            <v>0</v>
          </cell>
        </row>
        <row r="52">
          <cell r="A52" t="str">
            <v>EBIT (as reported: post exceptionals and PPA)</v>
          </cell>
          <cell r="W52">
            <v>129.21367376999959</v>
          </cell>
          <cell r="X52">
            <v>184.40692991</v>
          </cell>
          <cell r="Y52">
            <v>313.6206036799997</v>
          </cell>
          <cell r="Z52">
            <v>222.31744980999841</v>
          </cell>
          <cell r="AA52">
            <v>535.93805348999877</v>
          </cell>
          <cell r="AB52">
            <v>85.064882759991477</v>
          </cell>
          <cell r="AC52">
            <v>621.06274839999026</v>
          </cell>
          <cell r="AD52">
            <v>294.85111419999981</v>
          </cell>
          <cell r="AE52">
            <v>325.05624386000051</v>
          </cell>
          <cell r="AF52">
            <v>619.90735806000055</v>
          </cell>
          <cell r="AG52">
            <v>363.27819033000321</v>
          </cell>
          <cell r="AH52">
            <v>983.18554839000194</v>
          </cell>
          <cell r="AI52">
            <v>129.41023336000299</v>
          </cell>
          <cell r="AJ52">
            <v>1112.5957817500073</v>
          </cell>
          <cell r="AK52">
            <v>528.63284151999915</v>
          </cell>
          <cell r="AL52">
            <v>-23.655333679999387</v>
          </cell>
          <cell r="AM52">
            <v>504.97750784000141</v>
          </cell>
          <cell r="AN52">
            <v>332.20107131000327</v>
          </cell>
          <cell r="AO52">
            <v>837.17857915000468</v>
          </cell>
          <cell r="AP52">
            <v>295.7031309699986</v>
          </cell>
          <cell r="AQ52">
            <v>1132.8817101200016</v>
          </cell>
          <cell r="AR52">
            <v>310.59999999999974</v>
          </cell>
          <cell r="AS52">
            <v>23.399999999999636</v>
          </cell>
          <cell r="AT52">
            <v>333.99999999999966</v>
          </cell>
          <cell r="AU52">
            <v>318.19999999999993</v>
          </cell>
          <cell r="AV52">
            <v>652.19999999999959</v>
          </cell>
          <cell r="AW52">
            <v>311.29999999999956</v>
          </cell>
          <cell r="AX52">
            <v>963.50000000000125</v>
          </cell>
          <cell r="AY52">
            <v>310.89999999999981</v>
          </cell>
          <cell r="AZ52">
            <v>23.199999999999818</v>
          </cell>
          <cell r="BA52">
            <v>318.39999999999998</v>
          </cell>
          <cell r="BB52">
            <v>311.29999999999956</v>
          </cell>
          <cell r="BC52">
            <v>963.80000000000052</v>
          </cell>
          <cell r="BD52">
            <v>399.5</v>
          </cell>
          <cell r="BE52">
            <v>465.3000000000003</v>
          </cell>
          <cell r="BF52">
            <v>864.79999999999939</v>
          </cell>
          <cell r="BG52">
            <v>481.9</v>
          </cell>
          <cell r="BH52">
            <v>1346.6999999999994</v>
          </cell>
          <cell r="BI52">
            <v>264.10000000000127</v>
          </cell>
          <cell r="BJ52">
            <v>1610.8000000000004</v>
          </cell>
          <cell r="BK52">
            <v>438.43034513873909</v>
          </cell>
          <cell r="BL52">
            <v>425.73033743878585</v>
          </cell>
          <cell r="BM52">
            <v>864.16068257752488</v>
          </cell>
          <cell r="BN52">
            <v>458.4866218780287</v>
          </cell>
          <cell r="BO52">
            <v>1322.6473044555528</v>
          </cell>
          <cell r="BP52">
            <v>477.64556081459682</v>
          </cell>
          <cell r="BQ52">
            <v>1800.2928652701498</v>
          </cell>
          <cell r="BR52">
            <v>2096.9652574224406</v>
          </cell>
          <cell r="BS52">
            <v>2292.0063416404205</v>
          </cell>
          <cell r="BT52">
            <v>2240.0677200963319</v>
          </cell>
          <cell r="BU52">
            <v>2455.0767503018701</v>
          </cell>
          <cell r="BV52">
            <v>2392.1657265141898</v>
          </cell>
          <cell r="BW52">
            <v>2329.1288860120744</v>
          </cell>
          <cell r="BX52">
            <v>2261.4665104548976</v>
          </cell>
          <cell r="BY52">
            <v>2213.7572385827839</v>
          </cell>
          <cell r="BZ52">
            <v>2179.2854412286997</v>
          </cell>
          <cell r="CA52">
            <v>2202.9257371211565</v>
          </cell>
        </row>
        <row r="53">
          <cell r="A53" t="str">
            <v>EBIT (pre exceptional items and PPA)</v>
          </cell>
          <cell r="W53">
            <v>343.29999999999995</v>
          </cell>
          <cell r="X53">
            <v>327.90000000000003</v>
          </cell>
          <cell r="Y53">
            <v>671.19999999999993</v>
          </cell>
          <cell r="Z53">
            <v>373.9</v>
          </cell>
          <cell r="AA53">
            <v>1045.0999999999999</v>
          </cell>
          <cell r="AB53">
            <v>278.59999999999997</v>
          </cell>
          <cell r="AC53">
            <v>1323.7</v>
          </cell>
          <cell r="AD53">
            <v>458.49999999999989</v>
          </cell>
          <cell r="AE53">
            <v>508.99999999999994</v>
          </cell>
          <cell r="AF53">
            <v>967.49999999999977</v>
          </cell>
          <cell r="AG53">
            <v>624.00000000000011</v>
          </cell>
          <cell r="AH53">
            <v>1591.5</v>
          </cell>
          <cell r="AI53">
            <v>551.20000000000005</v>
          </cell>
          <cell r="AJ53">
            <v>2141.7000018500003</v>
          </cell>
          <cell r="AK53">
            <v>629.2328415199994</v>
          </cell>
          <cell r="AL53">
            <v>545.07428911000011</v>
          </cell>
          <cell r="AM53">
            <v>1174.3071306299994</v>
          </cell>
          <cell r="AN53">
            <v>550.70107131000282</v>
          </cell>
          <cell r="AO53">
            <v>1725.0082019400022</v>
          </cell>
          <cell r="AP53">
            <v>564.30313096999873</v>
          </cell>
          <cell r="AQ53">
            <v>2289.3113329100011</v>
          </cell>
          <cell r="AR53">
            <v>554.79999999999984</v>
          </cell>
          <cell r="AS53">
            <v>633.39999999999986</v>
          </cell>
          <cell r="AT53">
            <v>1188.1999999999998</v>
          </cell>
          <cell r="AU53">
            <v>639.10000000000036</v>
          </cell>
          <cell r="AV53">
            <v>1827.3</v>
          </cell>
          <cell r="AW53">
            <v>662.49999999999955</v>
          </cell>
          <cell r="AX53">
            <v>2489.7999999999997</v>
          </cell>
          <cell r="AY53">
            <v>554.99999999999977</v>
          </cell>
          <cell r="AZ53">
            <v>633.29999999999995</v>
          </cell>
          <cell r="BA53">
            <v>639.40000000000032</v>
          </cell>
          <cell r="BB53">
            <v>662.59999999999968</v>
          </cell>
          <cell r="BC53">
            <v>2490.3000000000002</v>
          </cell>
          <cell r="BD53">
            <v>678.8</v>
          </cell>
          <cell r="BE53">
            <v>708.39999999999986</v>
          </cell>
          <cell r="BF53">
            <v>1387.1999999999998</v>
          </cell>
          <cell r="BG53">
            <v>724.40000000000009</v>
          </cell>
          <cell r="BH53">
            <v>2111.5999999999995</v>
          </cell>
          <cell r="BI53">
            <v>683.00000000000091</v>
          </cell>
          <cell r="BJ53">
            <v>2794.6000000000004</v>
          </cell>
          <cell r="BK53">
            <v>686.71401586848594</v>
          </cell>
          <cell r="BL53">
            <v>678.74520051608738</v>
          </cell>
          <cell r="BM53">
            <v>1365.4592163845732</v>
          </cell>
          <cell r="BN53">
            <v>708.02642738267446</v>
          </cell>
          <cell r="BO53">
            <v>2073.4856437672479</v>
          </cell>
          <cell r="BP53">
            <v>730.93642108884671</v>
          </cell>
          <cell r="BQ53">
            <v>2804.4220648560945</v>
          </cell>
          <cell r="BR53">
            <v>2904.3575922174336</v>
          </cell>
          <cell r="BS53">
            <v>3087.1778465705761</v>
          </cell>
          <cell r="BT53">
            <v>3012.9063204613522</v>
          </cell>
          <cell r="BU53">
            <v>2914.456229436485</v>
          </cell>
          <cell r="BV53">
            <v>2853.7274732048554</v>
          </cell>
          <cell r="BW53">
            <v>2792.0518293892255</v>
          </cell>
          <cell r="BX53">
            <v>2727.3490860254678</v>
          </cell>
          <cell r="BY53">
            <v>2682.6210932349913</v>
          </cell>
          <cell r="BZ53">
            <v>2651.7224152317472</v>
          </cell>
          <cell r="CA53">
            <v>2684.797073036611</v>
          </cell>
        </row>
        <row r="54">
          <cell r="A54" t="str">
            <v>Depreciation &amp; Amortisation (total)</v>
          </cell>
          <cell r="W54">
            <v>223.4</v>
          </cell>
          <cell r="X54">
            <v>220</v>
          </cell>
          <cell r="Y54">
            <v>443.4</v>
          </cell>
          <cell r="Z54">
            <v>233.3</v>
          </cell>
          <cell r="AA54">
            <v>676.7</v>
          </cell>
          <cell r="AB54">
            <v>327</v>
          </cell>
          <cell r="AC54">
            <v>1003.6999999999998</v>
          </cell>
          <cell r="AD54">
            <v>246.4</v>
          </cell>
          <cell r="AE54">
            <v>234.8</v>
          </cell>
          <cell r="AF54">
            <v>481.20000000000005</v>
          </cell>
          <cell r="AG54">
            <v>338.2</v>
          </cell>
          <cell r="AH54">
            <v>819.40000000000009</v>
          </cell>
          <cell r="AI54">
            <v>524.79999999999995</v>
          </cell>
          <cell r="AJ54">
            <v>1344.1999999999998</v>
          </cell>
          <cell r="AK54">
            <v>353</v>
          </cell>
          <cell r="AL54">
            <v>587.00000000000011</v>
          </cell>
          <cell r="AM54">
            <v>940.00000000000011</v>
          </cell>
          <cell r="AN54">
            <v>314.5</v>
          </cell>
          <cell r="AO54">
            <v>1254.5</v>
          </cell>
          <cell r="AP54">
            <v>344.5</v>
          </cell>
          <cell r="AQ54">
            <v>1599</v>
          </cell>
          <cell r="AR54">
            <v>342.79999999999995</v>
          </cell>
          <cell r="AS54">
            <v>351.9</v>
          </cell>
          <cell r="AT54">
            <v>694.69999999999993</v>
          </cell>
          <cell r="AU54">
            <v>343</v>
          </cell>
          <cell r="AV54">
            <v>1037.6999999999998</v>
          </cell>
          <cell r="AW54">
            <v>359.2</v>
          </cell>
          <cell r="AX54">
            <v>1396.9</v>
          </cell>
          <cell r="AY54">
            <v>342.79999999999995</v>
          </cell>
          <cell r="AZ54">
            <v>351.9</v>
          </cell>
          <cell r="BA54">
            <v>343</v>
          </cell>
          <cell r="BB54">
            <v>359.2</v>
          </cell>
          <cell r="BC54">
            <v>1396.9</v>
          </cell>
          <cell r="BD54">
            <v>354.2</v>
          </cell>
          <cell r="BE54">
            <v>327.60000000000002</v>
          </cell>
          <cell r="BF54">
            <v>681.8</v>
          </cell>
          <cell r="BG54">
            <v>314.59999999999997</v>
          </cell>
          <cell r="BH54">
            <v>996.39999999999986</v>
          </cell>
          <cell r="BI54">
            <v>461.50000000000006</v>
          </cell>
          <cell r="BJ54">
            <v>1457.8999999999999</v>
          </cell>
          <cell r="BK54">
            <v>341.25270633627179</v>
          </cell>
          <cell r="BL54">
            <v>344.8060612381679</v>
          </cell>
          <cell r="BM54">
            <v>686.05876757443968</v>
          </cell>
          <cell r="BN54">
            <v>352.64285854155315</v>
          </cell>
          <cell r="BO54">
            <v>1038.7016261159929</v>
          </cell>
          <cell r="BP54">
            <v>357.90532541388183</v>
          </cell>
          <cell r="BQ54">
            <v>1396.6069515298746</v>
          </cell>
          <cell r="BR54">
            <v>1308.5708305299859</v>
          </cell>
          <cell r="BS54">
            <v>1311.4100165566877</v>
          </cell>
          <cell r="BT54">
            <v>1309.5843434868625</v>
          </cell>
          <cell r="BU54">
            <v>999.72593755124467</v>
          </cell>
          <cell r="BV54">
            <v>1005.9460953252292</v>
          </cell>
          <cell r="BW54">
            <v>1010.7989037898011</v>
          </cell>
          <cell r="BX54">
            <v>1018.596656880096</v>
          </cell>
          <cell r="BY54">
            <v>1026.5323222143245</v>
          </cell>
          <cell r="BZ54">
            <v>1037.4051896229864</v>
          </cell>
          <cell r="CA54">
            <v>1057.0416812075782</v>
          </cell>
        </row>
        <row r="55">
          <cell r="A55" t="str">
            <v>Depreciation &amp; Amortisation (underlying)</v>
          </cell>
          <cell r="W55">
            <v>78.400000000000006</v>
          </cell>
          <cell r="X55">
            <v>76.700000000000031</v>
          </cell>
          <cell r="Y55">
            <v>155.10000000000002</v>
          </cell>
          <cell r="Z55">
            <v>82.000000000000014</v>
          </cell>
          <cell r="AA55">
            <v>237.10000000000002</v>
          </cell>
          <cell r="AB55">
            <v>91.800000000000011</v>
          </cell>
          <cell r="AC55">
            <v>328.90000000000009</v>
          </cell>
          <cell r="AD55">
            <v>82.600000000000009</v>
          </cell>
          <cell r="AE55">
            <v>84.300000000000011</v>
          </cell>
          <cell r="AF55">
            <v>166.90000000000003</v>
          </cell>
          <cell r="AG55">
            <v>98.699999999999974</v>
          </cell>
          <cell r="AH55">
            <v>265.60000000000002</v>
          </cell>
          <cell r="AI55">
            <v>136.69999999999999</v>
          </cell>
          <cell r="AJ55">
            <v>402.29999999999995</v>
          </cell>
          <cell r="AK55">
            <v>106.60000000000001</v>
          </cell>
          <cell r="AL55">
            <v>109.00000000000001</v>
          </cell>
          <cell r="AM55">
            <v>215.60000000000002</v>
          </cell>
          <cell r="AN55">
            <v>102.19999999999999</v>
          </cell>
          <cell r="AO55">
            <v>317.8</v>
          </cell>
          <cell r="AP55">
            <v>116.39999999999999</v>
          </cell>
          <cell r="AQ55">
            <v>434.2</v>
          </cell>
          <cell r="AR55">
            <v>119.5</v>
          </cell>
          <cell r="AS55">
            <v>113.5</v>
          </cell>
          <cell r="AT55">
            <v>233</v>
          </cell>
          <cell r="AU55">
            <v>115.2</v>
          </cell>
          <cell r="AV55">
            <v>348.2</v>
          </cell>
          <cell r="AW55">
            <v>126.7</v>
          </cell>
          <cell r="AX55">
            <v>474.9</v>
          </cell>
          <cell r="AY55">
            <v>119.5</v>
          </cell>
          <cell r="AZ55">
            <v>113.5</v>
          </cell>
          <cell r="BA55">
            <v>115.2</v>
          </cell>
          <cell r="BB55">
            <v>126.7</v>
          </cell>
          <cell r="BC55">
            <v>474.9</v>
          </cell>
          <cell r="BD55">
            <v>122.2</v>
          </cell>
          <cell r="BE55">
            <v>117.8</v>
          </cell>
          <cell r="BF55">
            <v>240</v>
          </cell>
          <cell r="BG55">
            <v>106.30000000000001</v>
          </cell>
          <cell r="BH55">
            <v>346.3</v>
          </cell>
          <cell r="BI55">
            <v>112.39999999999999</v>
          </cell>
          <cell r="BJ55">
            <v>458.70000000000005</v>
          </cell>
          <cell r="BK55">
            <v>119.58008672243575</v>
          </cell>
          <cell r="BL55">
            <v>118.40224927677704</v>
          </cell>
          <cell r="BM55">
            <v>237.98233599921281</v>
          </cell>
          <cell r="BN55">
            <v>129.71410415281758</v>
          </cell>
          <cell r="BO55">
            <v>367.69644015203039</v>
          </cell>
          <cell r="BP55">
            <v>131.2255162555424</v>
          </cell>
          <cell r="BQ55">
            <v>498.92195640757279</v>
          </cell>
          <cell r="BR55">
            <v>528.84516240165783</v>
          </cell>
          <cell r="BS55">
            <v>534.90517829319981</v>
          </cell>
          <cell r="BT55">
            <v>539.7457431218437</v>
          </cell>
          <cell r="BU55">
            <v>544.34645841662973</v>
          </cell>
          <cell r="BV55">
            <v>549.38434863456359</v>
          </cell>
          <cell r="BW55">
            <v>553.8759604126501</v>
          </cell>
          <cell r="BX55">
            <v>559.71408130952614</v>
          </cell>
          <cell r="BY55">
            <v>565.66846756211726</v>
          </cell>
          <cell r="BZ55">
            <v>572.96821561993931</v>
          </cell>
          <cell r="CA55">
            <v>584.17034529212469</v>
          </cell>
        </row>
        <row r="56">
          <cell r="A56" t="str">
            <v>PPA included in D&amp;A</v>
          </cell>
          <cell r="W56">
            <v>145</v>
          </cell>
          <cell r="X56">
            <v>143.30000000000001</v>
          </cell>
          <cell r="Y56">
            <v>288.3</v>
          </cell>
          <cell r="Z56">
            <v>144.4</v>
          </cell>
          <cell r="AA56">
            <v>432.70000000000005</v>
          </cell>
          <cell r="AB56">
            <v>142.6</v>
          </cell>
          <cell r="AC56">
            <v>575.30000000000007</v>
          </cell>
          <cell r="AD56">
            <v>137.6</v>
          </cell>
          <cell r="AE56">
            <v>143.1</v>
          </cell>
          <cell r="AF56">
            <v>280.7</v>
          </cell>
          <cell r="AG56">
            <v>196.60000000000002</v>
          </cell>
          <cell r="AH56">
            <v>477.3</v>
          </cell>
          <cell r="AI56">
            <v>198</v>
          </cell>
          <cell r="AJ56">
            <v>675.3</v>
          </cell>
          <cell r="AK56">
            <v>195.8</v>
          </cell>
          <cell r="AL56">
            <v>210</v>
          </cell>
          <cell r="AM56">
            <v>405.8</v>
          </cell>
          <cell r="AN56">
            <v>211.4</v>
          </cell>
          <cell r="AO56">
            <v>617.20000000000005</v>
          </cell>
          <cell r="AP56">
            <v>214</v>
          </cell>
          <cell r="AQ56">
            <v>831.19999999999993</v>
          </cell>
          <cell r="AR56">
            <v>214.8</v>
          </cell>
          <cell r="AS56">
            <v>215.8</v>
          </cell>
          <cell r="AT56">
            <v>430.6</v>
          </cell>
          <cell r="AU56">
            <v>216.7</v>
          </cell>
          <cell r="AV56">
            <v>647.29999999999995</v>
          </cell>
          <cell r="AW56">
            <v>215.7</v>
          </cell>
          <cell r="AX56">
            <v>863</v>
          </cell>
          <cell r="AY56">
            <v>214.8</v>
          </cell>
          <cell r="AZ56">
            <v>215.8</v>
          </cell>
          <cell r="BA56">
            <v>216.7</v>
          </cell>
          <cell r="BB56">
            <v>215.7</v>
          </cell>
          <cell r="BC56">
            <v>863</v>
          </cell>
          <cell r="BD56">
            <v>205.4</v>
          </cell>
          <cell r="BE56">
            <v>205.3</v>
          </cell>
          <cell r="BF56">
            <v>410.70000000000005</v>
          </cell>
          <cell r="BG56">
            <v>193.6</v>
          </cell>
          <cell r="BH56">
            <v>604.30000000000007</v>
          </cell>
          <cell r="BI56">
            <v>192.3</v>
          </cell>
          <cell r="BJ56">
            <v>796.6</v>
          </cell>
          <cell r="BK56">
            <v>176.14163463589787</v>
          </cell>
          <cell r="BL56">
            <v>180.8728269834528</v>
          </cell>
          <cell r="BM56">
            <v>357.01446161935064</v>
          </cell>
          <cell r="BN56">
            <v>177.39776941079745</v>
          </cell>
          <cell r="BO56">
            <v>534.41223103014806</v>
          </cell>
          <cell r="BP56">
            <v>181.14882418040133</v>
          </cell>
          <cell r="BQ56">
            <v>715.5610552105494</v>
          </cell>
          <cell r="BR56">
            <v>604.59697923883346</v>
          </cell>
          <cell r="BS56">
            <v>603.53533175200903</v>
          </cell>
          <cell r="BT56">
            <v>600.04062455971257</v>
          </cell>
          <cell r="BU56">
            <v>289.72521290622819</v>
          </cell>
          <cell r="BV56">
            <v>295.0063402742893</v>
          </cell>
          <cell r="BW56">
            <v>300.20172833812654</v>
          </cell>
          <cell r="BX56">
            <v>306.2694018603213</v>
          </cell>
          <cell r="BY56">
            <v>312.60657593271333</v>
          </cell>
          <cell r="BZ56">
            <v>319.84088434864481</v>
          </cell>
          <cell r="CA56">
            <v>329.26471634813112</v>
          </cell>
        </row>
        <row r="57">
          <cell r="A57" t="str">
            <v>EBITDA (post exceptionals and PPA)</v>
          </cell>
          <cell r="W57">
            <v>207.67348591999973</v>
          </cell>
          <cell r="X57">
            <v>261.10692991000019</v>
          </cell>
          <cell r="Y57">
            <v>468.78041582999998</v>
          </cell>
          <cell r="Z57">
            <v>311.2174498099987</v>
          </cell>
          <cell r="AA57">
            <v>779.99786563999874</v>
          </cell>
          <cell r="AB57">
            <v>269.46488275999116</v>
          </cell>
          <cell r="AC57">
            <v>1049.4627483999898</v>
          </cell>
          <cell r="AD57">
            <v>403.65111419999982</v>
          </cell>
          <cell r="AE57">
            <v>416.75624386000027</v>
          </cell>
          <cell r="AF57">
            <v>820.40735805999998</v>
          </cell>
          <cell r="AG57">
            <v>504.87819033000289</v>
          </cell>
          <cell r="AH57">
            <v>1325.285548390003</v>
          </cell>
          <cell r="AI57">
            <v>456.2102333600028</v>
          </cell>
          <cell r="AJ57">
            <v>1780.495783600006</v>
          </cell>
          <cell r="AK57">
            <v>685.83284151999942</v>
          </cell>
          <cell r="AL57">
            <v>352.07428911000022</v>
          </cell>
          <cell r="AM57">
            <v>1037.9071306299995</v>
          </cell>
          <cell r="AN57">
            <v>435.30107131000273</v>
          </cell>
          <cell r="AO57">
            <v>1473.208201940002</v>
          </cell>
          <cell r="AP57">
            <v>426.20313096999871</v>
          </cell>
          <cell r="AQ57">
            <v>1899.411332910001</v>
          </cell>
          <cell r="AR57">
            <v>438.59999999999985</v>
          </cell>
          <cell r="AS57">
            <v>159.50000000000006</v>
          </cell>
          <cell r="AT57">
            <v>598.0999999999998</v>
          </cell>
          <cell r="AU57">
            <v>444.40000000000026</v>
          </cell>
          <cell r="AV57">
            <v>1042.5000000000002</v>
          </cell>
          <cell r="AW57">
            <v>454.69999999999965</v>
          </cell>
          <cell r="AX57">
            <v>1497.2000000000003</v>
          </cell>
          <cell r="AY57">
            <v>438.79999999999978</v>
          </cell>
          <cell r="AZ57">
            <v>159.39999999999992</v>
          </cell>
          <cell r="BA57">
            <v>444.7000000000001</v>
          </cell>
          <cell r="BB57">
            <v>454.79999999999967</v>
          </cell>
          <cell r="BC57">
            <v>1497.7000000000007</v>
          </cell>
          <cell r="BD57">
            <v>548.29999999999984</v>
          </cell>
          <cell r="BE57">
            <v>587.59999999999968</v>
          </cell>
          <cell r="BF57">
            <v>1135.8999999999994</v>
          </cell>
          <cell r="BG57">
            <v>602.90000000000009</v>
          </cell>
          <cell r="BH57">
            <v>1738.7999999999993</v>
          </cell>
          <cell r="BI57">
            <v>533.30000000000086</v>
          </cell>
          <cell r="BJ57">
            <v>2272.1000000000008</v>
          </cell>
          <cell r="BK57">
            <v>603.54141683911325</v>
          </cell>
          <cell r="BL57">
            <v>589.6635716935009</v>
          </cell>
          <cell r="BM57">
            <v>1193.2049885326142</v>
          </cell>
          <cell r="BN57">
            <v>633.73171100878392</v>
          </cell>
          <cell r="BO57">
            <v>1826.936699541398</v>
          </cell>
          <cell r="BP57">
            <v>654.40206204807714</v>
          </cell>
          <cell r="BQ57">
            <v>2481.3387615894749</v>
          </cell>
          <cell r="BR57">
            <v>2801.9391087135909</v>
          </cell>
          <cell r="BS57">
            <v>3001.8810264450999</v>
          </cell>
          <cell r="BT57">
            <v>2952.6114390234834</v>
          </cell>
          <cell r="BU57">
            <v>3169.0774749468869</v>
          </cell>
          <cell r="BV57">
            <v>3108.1054815651296</v>
          </cell>
          <cell r="BW57">
            <v>3045.7260614637489</v>
          </cell>
          <cell r="BX57">
            <v>2980.7937654746729</v>
          </cell>
          <cell r="BY57">
            <v>2935.6829848643952</v>
          </cell>
          <cell r="BZ57">
            <v>2904.8497465030414</v>
          </cell>
          <cell r="CA57">
            <v>2939.7027019806046</v>
          </cell>
        </row>
        <row r="58">
          <cell r="A58" t="str">
            <v>EBITDA (as reported: post exceptionals, pre PPA)</v>
          </cell>
          <cell r="W58">
            <v>352.67348591999973</v>
          </cell>
          <cell r="X58">
            <v>404.4069299100002</v>
          </cell>
          <cell r="Y58">
            <v>757.08041582999999</v>
          </cell>
          <cell r="Z58">
            <v>455.61744980999867</v>
          </cell>
          <cell r="AA58">
            <v>1212.6978656399988</v>
          </cell>
          <cell r="AB58">
            <v>412.06488275999118</v>
          </cell>
          <cell r="AC58">
            <v>1624.76274839999</v>
          </cell>
          <cell r="AD58">
            <v>541.25111419999985</v>
          </cell>
          <cell r="AE58">
            <v>559.85624386000029</v>
          </cell>
          <cell r="AF58">
            <v>1101.10735806</v>
          </cell>
          <cell r="AG58">
            <v>701.47819033000292</v>
          </cell>
          <cell r="AH58">
            <v>1802.5855483900029</v>
          </cell>
          <cell r="AI58">
            <v>654.2102333600028</v>
          </cell>
          <cell r="AJ58">
            <v>2455.795783600006</v>
          </cell>
          <cell r="AK58">
            <v>881.63284151999937</v>
          </cell>
          <cell r="AL58">
            <v>562.07428911000022</v>
          </cell>
          <cell r="AM58">
            <v>1443.7071306299995</v>
          </cell>
          <cell r="AN58">
            <v>646.7010713100027</v>
          </cell>
          <cell r="AO58">
            <v>2090.4082019400021</v>
          </cell>
          <cell r="AP58">
            <v>640.20313096999871</v>
          </cell>
          <cell r="AQ58">
            <v>2730.6113329100008</v>
          </cell>
          <cell r="AR58">
            <v>653.39999999999986</v>
          </cell>
          <cell r="AS58">
            <v>375.30000000000007</v>
          </cell>
          <cell r="AT58">
            <v>1028.6999999999998</v>
          </cell>
          <cell r="AU58">
            <v>661.10000000000025</v>
          </cell>
          <cell r="AV58">
            <v>1689.8000000000002</v>
          </cell>
          <cell r="AW58">
            <v>670.39999999999964</v>
          </cell>
          <cell r="AX58">
            <v>2360.2000000000003</v>
          </cell>
          <cell r="AY58">
            <v>653.5999999999998</v>
          </cell>
          <cell r="AZ58">
            <v>375.19999999999993</v>
          </cell>
          <cell r="BA58">
            <v>661.40000000000009</v>
          </cell>
          <cell r="BB58">
            <v>670.49999999999966</v>
          </cell>
          <cell r="BC58">
            <v>2360.7000000000007</v>
          </cell>
          <cell r="BD58">
            <v>753.69999999999982</v>
          </cell>
          <cell r="BE58">
            <v>792.89999999999964</v>
          </cell>
          <cell r="BF58">
            <v>1546.5999999999995</v>
          </cell>
          <cell r="BG58">
            <v>796.50000000000011</v>
          </cell>
          <cell r="BH58">
            <v>2343.0999999999995</v>
          </cell>
          <cell r="BI58">
            <v>725.60000000000082</v>
          </cell>
          <cell r="BJ58">
            <v>3068.7000000000007</v>
          </cell>
          <cell r="BK58">
            <v>779.6830514750111</v>
          </cell>
          <cell r="BL58">
            <v>770.5363986769537</v>
          </cell>
          <cell r="BM58">
            <v>1550.2194501519648</v>
          </cell>
          <cell r="BN58">
            <v>811.12948041958134</v>
          </cell>
          <cell r="BO58">
            <v>2361.3489305715461</v>
          </cell>
          <cell r="BP58">
            <v>835.55088622847848</v>
          </cell>
          <cell r="BQ58">
            <v>3196.8998168000244</v>
          </cell>
          <cell r="BR58">
            <v>3406.5360879524246</v>
          </cell>
          <cell r="BS58">
            <v>3605.4163581971088</v>
          </cell>
          <cell r="BT58">
            <v>3552.6520635831957</v>
          </cell>
          <cell r="BU58">
            <v>3458.802687853115</v>
          </cell>
          <cell r="BV58">
            <v>3403.111821839419</v>
          </cell>
          <cell r="BW58">
            <v>3345.9277898018754</v>
          </cell>
          <cell r="BX58">
            <v>3287.063167334994</v>
          </cell>
          <cell r="BY58">
            <v>3248.2895607971086</v>
          </cell>
          <cell r="BZ58">
            <v>3224.6906308516864</v>
          </cell>
          <cell r="CA58">
            <v>3268.9674183287357</v>
          </cell>
        </row>
        <row r="59">
          <cell r="A59" t="str">
            <v>EBITDA (pre exceptional items and PPA)</v>
          </cell>
          <cell r="W59">
            <v>421.69999999999993</v>
          </cell>
          <cell r="X59">
            <v>404.60000000000008</v>
          </cell>
          <cell r="Y59">
            <v>826.3</v>
          </cell>
          <cell r="Z59">
            <v>455.9</v>
          </cell>
          <cell r="AA59">
            <v>1282.1999999999998</v>
          </cell>
          <cell r="AB59">
            <v>370.4</v>
          </cell>
          <cell r="AC59">
            <v>1652.6000000000001</v>
          </cell>
          <cell r="AD59">
            <v>541.09999999999991</v>
          </cell>
          <cell r="AE59">
            <v>593.29999999999995</v>
          </cell>
          <cell r="AF59">
            <v>1134.3999999999999</v>
          </cell>
          <cell r="AG59">
            <v>722.7</v>
          </cell>
          <cell r="AH59">
            <v>1857.1</v>
          </cell>
          <cell r="AI59">
            <v>687.9</v>
          </cell>
          <cell r="AJ59">
            <v>2544.0000018500004</v>
          </cell>
          <cell r="AK59">
            <v>735.83284151999942</v>
          </cell>
          <cell r="AL59">
            <v>654.07428911000011</v>
          </cell>
          <cell r="AM59">
            <v>1389.9071306299995</v>
          </cell>
          <cell r="AN59">
            <v>652.90107131000275</v>
          </cell>
          <cell r="AO59">
            <v>2042.8082019400022</v>
          </cell>
          <cell r="AP59">
            <v>680.70313096999871</v>
          </cell>
          <cell r="AQ59">
            <v>2723.5113329100009</v>
          </cell>
          <cell r="AR59">
            <v>674.29999999999984</v>
          </cell>
          <cell r="AS59">
            <v>746.89999999999986</v>
          </cell>
          <cell r="AT59">
            <v>1421.1999999999998</v>
          </cell>
          <cell r="AU59">
            <v>754.30000000000041</v>
          </cell>
          <cell r="AV59">
            <v>2175.5</v>
          </cell>
          <cell r="AW59">
            <v>789.19999999999959</v>
          </cell>
          <cell r="AX59">
            <v>2964.7</v>
          </cell>
          <cell r="AY59">
            <v>674.49999999999977</v>
          </cell>
          <cell r="AZ59">
            <v>746.8</v>
          </cell>
          <cell r="BA59">
            <v>754.60000000000036</v>
          </cell>
          <cell r="BB59">
            <v>789.29999999999973</v>
          </cell>
          <cell r="BC59">
            <v>2965.2000000000003</v>
          </cell>
          <cell r="BD59">
            <v>801</v>
          </cell>
          <cell r="BE59">
            <v>826.19999999999982</v>
          </cell>
          <cell r="BF59">
            <v>1627.1999999999998</v>
          </cell>
          <cell r="BG59">
            <v>830.7</v>
          </cell>
          <cell r="BH59">
            <v>2457.8999999999996</v>
          </cell>
          <cell r="BI59">
            <v>795.40000000000089</v>
          </cell>
          <cell r="BJ59">
            <v>3253.3000000000006</v>
          </cell>
          <cell r="BK59">
            <v>806.29410259092174</v>
          </cell>
          <cell r="BL59">
            <v>797.14744979286445</v>
          </cell>
          <cell r="BM59">
            <v>1603.4415523837861</v>
          </cell>
          <cell r="BN59">
            <v>837.7405315354921</v>
          </cell>
          <cell r="BO59">
            <v>2441.1820839192783</v>
          </cell>
          <cell r="BP59">
            <v>862.16193734438912</v>
          </cell>
          <cell r="BQ59">
            <v>3303.3440212636674</v>
          </cell>
          <cell r="BR59">
            <v>3433.2027546190916</v>
          </cell>
          <cell r="BS59">
            <v>3622.0830248637758</v>
          </cell>
          <cell r="BT59">
            <v>3552.6520635831957</v>
          </cell>
          <cell r="BU59">
            <v>3458.802687853115</v>
          </cell>
          <cell r="BV59">
            <v>3403.111821839419</v>
          </cell>
          <cell r="BW59">
            <v>3345.9277898018754</v>
          </cell>
          <cell r="BX59">
            <v>3287.063167334994</v>
          </cell>
          <cell r="BY59">
            <v>3248.2895607971086</v>
          </cell>
          <cell r="BZ59">
            <v>3224.6906308516864</v>
          </cell>
          <cell r="CA59">
            <v>3268.9674183287357</v>
          </cell>
        </row>
        <row r="61">
          <cell r="A61" t="str">
            <v>Interest Income</v>
          </cell>
          <cell r="H61">
            <v>53.8</v>
          </cell>
          <cell r="I61">
            <v>8</v>
          </cell>
          <cell r="J61">
            <v>8</v>
          </cell>
          <cell r="K61">
            <v>16</v>
          </cell>
          <cell r="L61">
            <v>8</v>
          </cell>
          <cell r="M61">
            <v>24</v>
          </cell>
          <cell r="N61">
            <v>35.1</v>
          </cell>
          <cell r="O61">
            <v>59.1</v>
          </cell>
          <cell r="P61">
            <v>7</v>
          </cell>
          <cell r="Q61">
            <v>7</v>
          </cell>
          <cell r="R61">
            <v>14</v>
          </cell>
          <cell r="S61">
            <v>8</v>
          </cell>
          <cell r="T61">
            <v>22</v>
          </cell>
          <cell r="U61">
            <v>14.600000000000001</v>
          </cell>
          <cell r="V61">
            <v>36.6</v>
          </cell>
          <cell r="W61">
            <v>8.4</v>
          </cell>
          <cell r="X61">
            <v>8.4</v>
          </cell>
          <cell r="Y61">
            <v>16.8</v>
          </cell>
          <cell r="Z61">
            <v>8.4</v>
          </cell>
          <cell r="AA61">
            <v>25.200000000000003</v>
          </cell>
          <cell r="AB61">
            <v>8.3999999999999986</v>
          </cell>
          <cell r="AC61">
            <v>33.6</v>
          </cell>
          <cell r="AD61">
            <v>8.25</v>
          </cell>
          <cell r="AE61">
            <v>8.25</v>
          </cell>
          <cell r="AF61">
            <v>16.5</v>
          </cell>
          <cell r="AG61">
            <v>8.25</v>
          </cell>
          <cell r="AH61">
            <v>24.75</v>
          </cell>
          <cell r="AI61">
            <v>8.25</v>
          </cell>
          <cell r="AJ61">
            <v>33</v>
          </cell>
          <cell r="AK61">
            <v>14.405143000000002</v>
          </cell>
          <cell r="AL61">
            <v>8.703823909999997</v>
          </cell>
          <cell r="AM61">
            <v>23.108966909999999</v>
          </cell>
          <cell r="AN61">
            <v>14.45</v>
          </cell>
          <cell r="AO61">
            <v>37.558966909999995</v>
          </cell>
          <cell r="AP61">
            <v>20.241033090000002</v>
          </cell>
          <cell r="AQ61">
            <v>57.8</v>
          </cell>
          <cell r="AX61">
            <v>35.6</v>
          </cell>
          <cell r="BC61">
            <v>35.6</v>
          </cell>
          <cell r="BD61">
            <v>7.5250000000000004</v>
          </cell>
          <cell r="BE61">
            <v>7.5250000000000004</v>
          </cell>
          <cell r="BF61">
            <v>15.05</v>
          </cell>
          <cell r="BG61">
            <v>7.5250000000000004</v>
          </cell>
          <cell r="BH61">
            <v>22.575000000000003</v>
          </cell>
          <cell r="BI61">
            <v>7.5249999999999986</v>
          </cell>
          <cell r="BJ61">
            <v>30.1</v>
          </cell>
          <cell r="BK61">
            <v>4.4998777354385178</v>
          </cell>
          <cell r="BL61">
            <v>4.4998777354385178</v>
          </cell>
          <cell r="BM61">
            <v>8.9997554708770355</v>
          </cell>
          <cell r="BN61">
            <v>4.4998777354385178</v>
          </cell>
          <cell r="BO61">
            <v>13.499633206315554</v>
          </cell>
          <cell r="BP61">
            <v>4.4998777354385169</v>
          </cell>
          <cell r="BQ61">
            <v>17.999510941754071</v>
          </cell>
          <cell r="BR61">
            <v>24.451970184342692</v>
          </cell>
          <cell r="BS61">
            <v>65.963091350925325</v>
          </cell>
          <cell r="BT61">
            <v>113.68845481755994</v>
          </cell>
          <cell r="BU61">
            <v>160.10763948725301</v>
          </cell>
          <cell r="BV61">
            <v>205.26264772986377</v>
          </cell>
          <cell r="BW61">
            <v>249.48216798673829</v>
          </cell>
          <cell r="BX61">
            <v>292.79451191906418</v>
          </cell>
          <cell r="BY61">
            <v>335.43513242987888</v>
          </cell>
          <cell r="BZ61">
            <v>378.59841126564402</v>
          </cell>
          <cell r="CA61">
            <v>421.64447398320567</v>
          </cell>
          <cell r="CF61" t="str">
            <v>mstag:interestIncome</v>
          </cell>
          <cell r="CG61">
            <v>6</v>
          </cell>
          <cell r="CH61" t="str">
            <v>ISO4217:EUR</v>
          </cell>
          <cell r="CI61" t="b">
            <v>0</v>
          </cell>
        </row>
        <row r="62">
          <cell r="A62" t="str">
            <v>Interest Expense</v>
          </cell>
          <cell r="H62">
            <v>-50.6</v>
          </cell>
          <cell r="I62">
            <v>-80.3</v>
          </cell>
          <cell r="J62">
            <v>-75.7</v>
          </cell>
          <cell r="K62">
            <v>-156</v>
          </cell>
          <cell r="L62">
            <v>-79.3</v>
          </cell>
          <cell r="M62">
            <v>-235.3</v>
          </cell>
          <cell r="N62">
            <v>-86.599999999999966</v>
          </cell>
          <cell r="O62">
            <v>-321.89999999999998</v>
          </cell>
          <cell r="P62">
            <v>-18.700000000000003</v>
          </cell>
          <cell r="Q62">
            <v>-27.7</v>
          </cell>
          <cell r="R62">
            <v>-46.400000000000006</v>
          </cell>
          <cell r="S62">
            <v>-28.900000000000002</v>
          </cell>
          <cell r="T62">
            <v>-75.300000000000011</v>
          </cell>
          <cell r="U62">
            <v>-9.5999999999999943</v>
          </cell>
          <cell r="V62">
            <v>-84.9</v>
          </cell>
          <cell r="W62">
            <v>-22.971163980000004</v>
          </cell>
          <cell r="X62">
            <v>-25.153178190000002</v>
          </cell>
          <cell r="Y62">
            <v>-48.124342170000006</v>
          </cell>
          <cell r="Z62">
            <v>-20.397636240000001</v>
          </cell>
          <cell r="AA62">
            <v>-68.521978410000003</v>
          </cell>
          <cell r="AB62">
            <v>-20.17802159</v>
          </cell>
          <cell r="AC62">
            <v>-88.7</v>
          </cell>
          <cell r="AD62">
            <v>-29.497677240000005</v>
          </cell>
          <cell r="AE62">
            <v>-64.73273442</v>
          </cell>
          <cell r="AF62">
            <v>-94.230411660000001</v>
          </cell>
          <cell r="AG62">
            <v>-58.738471799999999</v>
          </cell>
          <cell r="AH62">
            <v>-152.96888346</v>
          </cell>
          <cell r="AI62">
            <v>-55.931116540000005</v>
          </cell>
          <cell r="AJ62">
            <v>-208.9</v>
          </cell>
          <cell r="AK62">
            <v>-50.5</v>
          </cell>
          <cell r="AL62">
            <v>-56.8</v>
          </cell>
          <cell r="AM62">
            <v>-107.3</v>
          </cell>
          <cell r="AN62">
            <v>-56.8</v>
          </cell>
          <cell r="AO62">
            <v>-164.1</v>
          </cell>
          <cell r="AP62">
            <v>-63.099999999999994</v>
          </cell>
          <cell r="AQ62">
            <v>-227.2</v>
          </cell>
          <cell r="AX62">
            <v>-221.9</v>
          </cell>
          <cell r="BC62">
            <v>-221.9</v>
          </cell>
          <cell r="BD62">
            <v>-44.15</v>
          </cell>
          <cell r="BE62">
            <v>-44.15</v>
          </cell>
          <cell r="BF62">
            <v>-88.3</v>
          </cell>
          <cell r="BG62">
            <v>-44.15</v>
          </cell>
          <cell r="BH62">
            <v>-132.44999999999999</v>
          </cell>
          <cell r="BI62">
            <v>-44.150000000000006</v>
          </cell>
          <cell r="BJ62">
            <v>-176.6</v>
          </cell>
          <cell r="BK62">
            <v>-36.406941176470589</v>
          </cell>
          <cell r="BL62">
            <v>-36.406941176470589</v>
          </cell>
          <cell r="BM62">
            <v>-72.813882352941178</v>
          </cell>
          <cell r="BN62">
            <v>-36.406941176470589</v>
          </cell>
          <cell r="BO62">
            <v>-109.22082352941177</v>
          </cell>
          <cell r="BP62">
            <v>-36.406941176470582</v>
          </cell>
          <cell r="BQ62">
            <v>-145.62776470588236</v>
          </cell>
          <cell r="BR62">
            <v>-135.23952941176472</v>
          </cell>
          <cell r="BS62">
            <v>-124.43952941176471</v>
          </cell>
          <cell r="BT62">
            <v>-119.0395294117647</v>
          </cell>
          <cell r="BU62">
            <v>-113.63952941176471</v>
          </cell>
          <cell r="BV62">
            <v>-108.23952941176471</v>
          </cell>
          <cell r="BW62">
            <v>-102.83952941176472</v>
          </cell>
          <cell r="BX62">
            <v>-97.43952941176471</v>
          </cell>
          <cell r="BY62">
            <v>-92.039529411764704</v>
          </cell>
          <cell r="BZ62">
            <v>-86.639529411764713</v>
          </cell>
          <cell r="CA62">
            <v>-81.239529411764721</v>
          </cell>
          <cell r="CF62" t="str">
            <v>mstag:interestExpense</v>
          </cell>
          <cell r="CG62">
            <v>6</v>
          </cell>
          <cell r="CH62" t="str">
            <v>ISO4217:EUR</v>
          </cell>
          <cell r="CI62" t="b">
            <v>1</v>
          </cell>
        </row>
        <row r="63">
          <cell r="A63" t="str">
            <v>Interest on currency hedging transactions</v>
          </cell>
          <cell r="H63">
            <v>0</v>
          </cell>
          <cell r="I63">
            <v>0</v>
          </cell>
          <cell r="J63">
            <v>0</v>
          </cell>
          <cell r="K63">
            <v>0</v>
          </cell>
          <cell r="L63">
            <v>0</v>
          </cell>
          <cell r="M63">
            <v>0</v>
          </cell>
          <cell r="N63">
            <v>0</v>
          </cell>
          <cell r="O63">
            <v>0</v>
          </cell>
          <cell r="P63">
            <v>-1.4</v>
          </cell>
          <cell r="Q63">
            <v>0.7</v>
          </cell>
          <cell r="R63">
            <v>-0.7</v>
          </cell>
          <cell r="S63">
            <v>1.8</v>
          </cell>
          <cell r="T63">
            <v>1.1000000000000001</v>
          </cell>
          <cell r="U63">
            <v>-24.6</v>
          </cell>
          <cell r="V63">
            <v>-23.5</v>
          </cell>
          <cell r="W63">
            <v>-0.82499999999999996</v>
          </cell>
          <cell r="X63">
            <v>-0.82499999999999996</v>
          </cell>
          <cell r="Y63">
            <v>-1.65</v>
          </cell>
          <cell r="Z63">
            <v>-0.82499999999999996</v>
          </cell>
          <cell r="AA63">
            <v>-2.4749999999999996</v>
          </cell>
          <cell r="AB63">
            <v>-0.82500000000000018</v>
          </cell>
          <cell r="AC63">
            <v>-3.3</v>
          </cell>
          <cell r="AD63">
            <v>-2.95</v>
          </cell>
          <cell r="AE63">
            <v>-2.95</v>
          </cell>
          <cell r="AF63">
            <v>-5.9</v>
          </cell>
          <cell r="AG63">
            <v>-2.95</v>
          </cell>
          <cell r="AH63">
            <v>-8.8500000000000014</v>
          </cell>
          <cell r="AI63">
            <v>-2.9499999999999993</v>
          </cell>
          <cell r="AJ63">
            <v>-11.8</v>
          </cell>
          <cell r="AK63">
            <v>-4.25</v>
          </cell>
          <cell r="AL63">
            <v>-4.25</v>
          </cell>
          <cell r="AM63">
            <v>-8.5</v>
          </cell>
          <cell r="AN63">
            <v>-4.25</v>
          </cell>
          <cell r="AO63">
            <v>-12.75</v>
          </cell>
          <cell r="AP63">
            <v>-4.25</v>
          </cell>
          <cell r="AQ63">
            <v>-17</v>
          </cell>
          <cell r="AX63">
            <v>-19</v>
          </cell>
          <cell r="BC63">
            <v>-19</v>
          </cell>
          <cell r="BD63">
            <v>-4.3</v>
          </cell>
          <cell r="BE63">
            <v>-4.3</v>
          </cell>
          <cell r="BF63">
            <v>-8.6</v>
          </cell>
          <cell r="BG63">
            <v>-4.3</v>
          </cell>
          <cell r="BH63">
            <v>-12.899999999999999</v>
          </cell>
          <cell r="BI63">
            <v>-4.3000000000000007</v>
          </cell>
          <cell r="BJ63">
            <v>-17.2</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F63" t="str">
            <v>mstag:foreignCurrencyExchangeGainsLosses</v>
          </cell>
          <cell r="CG63">
            <v>6</v>
          </cell>
          <cell r="CH63" t="str">
            <v>ISO4217:EUR</v>
          </cell>
          <cell r="CI63" t="b">
            <v>0</v>
          </cell>
        </row>
        <row r="64">
          <cell r="A64" t="str">
            <v>Interest on Pension Provisions</v>
          </cell>
          <cell r="H64">
            <v>-55.1</v>
          </cell>
          <cell r="I64">
            <v>-14.2</v>
          </cell>
          <cell r="J64">
            <v>-14.2</v>
          </cell>
          <cell r="K64">
            <v>-28.4</v>
          </cell>
          <cell r="L64">
            <v>-15</v>
          </cell>
          <cell r="M64">
            <v>-43.4</v>
          </cell>
          <cell r="N64">
            <v>-16.100000000000001</v>
          </cell>
          <cell r="O64">
            <v>-59.5</v>
          </cell>
          <cell r="P64">
            <v>-16.100000000000001</v>
          </cell>
          <cell r="Q64">
            <v>-16.100000000000001</v>
          </cell>
          <cell r="R64">
            <v>-32.200000000000003</v>
          </cell>
          <cell r="S64">
            <v>-16.5</v>
          </cell>
          <cell r="T64">
            <v>-48.7</v>
          </cell>
          <cell r="U64">
            <v>-17.700000000000003</v>
          </cell>
          <cell r="V64">
            <v>-66.400000000000006</v>
          </cell>
          <cell r="W64">
            <v>-17.563112670000002</v>
          </cell>
          <cell r="X64">
            <v>-17.465994570000007</v>
          </cell>
          <cell r="Y64">
            <v>-35.029107240000009</v>
          </cell>
          <cell r="Z64">
            <v>-19.817974490000001</v>
          </cell>
          <cell r="AA64">
            <v>-54.847081730000014</v>
          </cell>
          <cell r="AB64">
            <v>-19.531454910000004</v>
          </cell>
          <cell r="AC64">
            <v>-74.378536640000021</v>
          </cell>
          <cell r="AD64">
            <v>-18.490273349999999</v>
          </cell>
          <cell r="AE64">
            <v>-18.650198270000004</v>
          </cell>
          <cell r="AF64">
            <v>-37.14047162</v>
          </cell>
          <cell r="AG64">
            <v>-19.308484429999996</v>
          </cell>
          <cell r="AH64">
            <v>-56.448956049999993</v>
          </cell>
          <cell r="AI64">
            <v>-15.794990799999999</v>
          </cell>
          <cell r="AJ64">
            <v>-72.243946849999986</v>
          </cell>
          <cell r="AK64">
            <v>-21.399599539999922</v>
          </cell>
          <cell r="AL64">
            <v>-21.792207550000057</v>
          </cell>
          <cell r="AM64">
            <v>-43.191807089999983</v>
          </cell>
          <cell r="AN64">
            <v>-12.09036448999996</v>
          </cell>
          <cell r="AO64">
            <v>-55.28217157999994</v>
          </cell>
          <cell r="AP64">
            <v>-19.617828420000066</v>
          </cell>
          <cell r="AQ64">
            <v>-74.900000000000006</v>
          </cell>
          <cell r="AX64">
            <v>-60.3</v>
          </cell>
          <cell r="BC64">
            <v>-60.3</v>
          </cell>
          <cell r="BD64">
            <v>-13.55</v>
          </cell>
          <cell r="BE64">
            <v>-13.55</v>
          </cell>
          <cell r="BF64">
            <v>-27.1</v>
          </cell>
          <cell r="BG64">
            <v>-13.55</v>
          </cell>
          <cell r="BH64">
            <v>-40.650000000000006</v>
          </cell>
          <cell r="BI64">
            <v>-13.549999999999997</v>
          </cell>
          <cell r="BJ64">
            <v>-54.2</v>
          </cell>
          <cell r="BK64">
            <v>-8.0077587499999829</v>
          </cell>
          <cell r="BL64">
            <v>-8.0077587499999829</v>
          </cell>
          <cell r="BM64">
            <v>-16.015517499999966</v>
          </cell>
          <cell r="BN64">
            <v>-8.0077587499999829</v>
          </cell>
          <cell r="BO64">
            <v>-24.023276249999949</v>
          </cell>
          <cell r="BP64">
            <v>-8.0077587499999829</v>
          </cell>
          <cell r="BQ64">
            <v>-32.031034999999932</v>
          </cell>
          <cell r="BR64">
            <v>-35.336641163845528</v>
          </cell>
          <cell r="BS64">
            <v>-38.222450761788693</v>
          </cell>
          <cell r="BT64">
            <v>-41.260707513626279</v>
          </cell>
          <cell r="BU64">
            <v>-44.458357882753788</v>
          </cell>
          <cell r="BV64">
            <v>-47.822642103751768</v>
          </cell>
          <cell r="BW64">
            <v>-51.361106063868263</v>
          </cell>
          <cell r="BX64">
            <v>-55.081613651117081</v>
          </cell>
          <cell r="BY64">
            <v>-58.992359586943124</v>
          </cell>
          <cell r="BZ64">
            <v>-63.101882762086007</v>
          </cell>
          <cell r="CA64">
            <v>-67.419080094979421</v>
          </cell>
          <cell r="CF64" t="str">
            <v>mstag:interestExpense</v>
          </cell>
          <cell r="CG64">
            <v>6</v>
          </cell>
          <cell r="CH64" t="str">
            <v>ISO4217:EUR</v>
          </cell>
          <cell r="CI64" t="b">
            <v>1</v>
          </cell>
        </row>
        <row r="65">
          <cell r="A65" t="str">
            <v>Currency Gains/Losses</v>
          </cell>
          <cell r="I65">
            <v>5.7907132800000012</v>
          </cell>
          <cell r="J65">
            <v>1.7360782100000005</v>
          </cell>
          <cell r="K65">
            <v>7.5267914900000017</v>
          </cell>
          <cell r="L65">
            <v>-7.7581671200000022</v>
          </cell>
          <cell r="M65">
            <v>-0.2313756300000005</v>
          </cell>
          <cell r="N65">
            <v>8.7481717700000026</v>
          </cell>
          <cell r="O65">
            <v>8.5167961400000021</v>
          </cell>
          <cell r="P65">
            <v>-1.4536636000000007</v>
          </cell>
          <cell r="Q65">
            <v>0.68849033000000159</v>
          </cell>
          <cell r="R65">
            <v>-0.76517326999999913</v>
          </cell>
          <cell r="S65">
            <v>1.8093057699999999</v>
          </cell>
          <cell r="T65">
            <v>1.0441325000000008</v>
          </cell>
          <cell r="U65">
            <v>-19.467163569999993</v>
          </cell>
          <cell r="V65">
            <v>-18.423031069999993</v>
          </cell>
          <cell r="W65">
            <v>-2</v>
          </cell>
          <cell r="X65">
            <v>-1.7433710100000332</v>
          </cell>
          <cell r="Y65">
            <v>-3.7433710100000335</v>
          </cell>
          <cell r="Z65">
            <v>4.1477590000038138E-2</v>
          </cell>
          <cell r="AA65">
            <v>-3.7018934199999953</v>
          </cell>
          <cell r="AB65">
            <v>-5.0424859999997462E-2</v>
          </cell>
          <cell r="AC65">
            <v>-3.7523182799999928</v>
          </cell>
          <cell r="AD65">
            <v>2.6</v>
          </cell>
          <cell r="AE65">
            <v>-1.2993963700000664</v>
          </cell>
          <cell r="AF65">
            <v>1.3006036299999337</v>
          </cell>
          <cell r="AG65">
            <v>-0.68351020999999756</v>
          </cell>
          <cell r="AH65">
            <v>0.61709341999993617</v>
          </cell>
          <cell r="AI65">
            <v>0.31721837999999525</v>
          </cell>
          <cell r="AJ65">
            <v>0.93431179999993141</v>
          </cell>
          <cell r="AK65">
            <v>-6.961950800000011</v>
          </cell>
          <cell r="AL65">
            <v>-2.5603967899999702</v>
          </cell>
          <cell r="AM65">
            <v>-9.5223475899999812</v>
          </cell>
          <cell r="AN65">
            <v>-13.849280840000052</v>
          </cell>
          <cell r="AO65">
            <v>-23.371628430000033</v>
          </cell>
          <cell r="AP65">
            <v>-7.0283715699999654</v>
          </cell>
          <cell r="AQ65">
            <v>-30.4</v>
          </cell>
          <cell r="AX65">
            <v>11.2</v>
          </cell>
          <cell r="BC65">
            <v>11.2</v>
          </cell>
          <cell r="BD65">
            <v>-1.075</v>
          </cell>
          <cell r="BE65">
            <v>-1.075</v>
          </cell>
          <cell r="BF65">
            <v>-2.15</v>
          </cell>
          <cell r="BG65">
            <v>-1.075</v>
          </cell>
          <cell r="BH65">
            <v>-3.2249999999999996</v>
          </cell>
          <cell r="BI65">
            <v>-1.0750000000000002</v>
          </cell>
          <cell r="BJ65">
            <v>-4.3</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F65" t="str">
            <v>mstag:foreignCurrencyExchangeGainsLosses</v>
          </cell>
          <cell r="CG65">
            <v>6</v>
          </cell>
          <cell r="CH65" t="str">
            <v>ISO4217:EUR</v>
          </cell>
          <cell r="CI65" t="b">
            <v>0</v>
          </cell>
        </row>
        <row r="66">
          <cell r="A66" t="str">
            <v xml:space="preserve">Other  </v>
          </cell>
          <cell r="H66">
            <v>2.8999999999999986</v>
          </cell>
          <cell r="I66">
            <v>0.9</v>
          </cell>
          <cell r="J66">
            <v>0.3</v>
          </cell>
          <cell r="K66">
            <v>1.2</v>
          </cell>
          <cell r="L66">
            <v>0.1</v>
          </cell>
          <cell r="M66">
            <v>1.3</v>
          </cell>
          <cell r="N66">
            <v>1.2</v>
          </cell>
          <cell r="O66">
            <v>2.5</v>
          </cell>
          <cell r="P66">
            <v>0.14601797</v>
          </cell>
          <cell r="Q66">
            <v>-6.5382999999999969E-3</v>
          </cell>
          <cell r="R66">
            <v>0.13947967</v>
          </cell>
          <cell r="S66">
            <v>-3.9518570000000003E-2</v>
          </cell>
          <cell r="T66">
            <v>9.9961099999999997E-2</v>
          </cell>
          <cell r="U66">
            <v>3.6252840000000008E-2</v>
          </cell>
          <cell r="V66">
            <v>0.13621394000000001</v>
          </cell>
          <cell r="W66">
            <v>0</v>
          </cell>
          <cell r="X66">
            <v>0.50351077999999994</v>
          </cell>
          <cell r="Y66">
            <v>0.50351077999999994</v>
          </cell>
          <cell r="Z66">
            <v>0.85572806000000012</v>
          </cell>
          <cell r="AA66">
            <v>1.3592388400000002</v>
          </cell>
          <cell r="AB66">
            <v>0.73085342999999992</v>
          </cell>
          <cell r="AC66">
            <v>2.09009227</v>
          </cell>
          <cell r="AD66">
            <v>1.2998231999999998</v>
          </cell>
          <cell r="AE66">
            <v>1.1248193200000001</v>
          </cell>
          <cell r="AF66">
            <v>2.4246425199999999</v>
          </cell>
          <cell r="AG66">
            <v>-0.76901446000000007</v>
          </cell>
          <cell r="AH66">
            <v>1.6556280599999997</v>
          </cell>
          <cell r="AI66">
            <v>5.5746944300000001</v>
          </cell>
          <cell r="AJ66">
            <v>7.2303224899999998</v>
          </cell>
          <cell r="AK66">
            <v>-1.4935926599999996</v>
          </cell>
          <cell r="AL66">
            <v>0.19878042999999962</v>
          </cell>
          <cell r="AM66">
            <v>-1.29481223</v>
          </cell>
          <cell r="AN66">
            <v>0.1396453299999999</v>
          </cell>
          <cell r="AO66">
            <v>-1.1551669000000002</v>
          </cell>
          <cell r="AP66">
            <v>-0.44483309999999987</v>
          </cell>
          <cell r="AQ66">
            <v>-1.6</v>
          </cell>
          <cell r="AX66">
            <v>-0.2</v>
          </cell>
          <cell r="BC66">
            <v>-0.2</v>
          </cell>
          <cell r="BD66">
            <v>-3.1500000000000057</v>
          </cell>
          <cell r="BE66">
            <v>7.0499999999999972</v>
          </cell>
          <cell r="BF66">
            <v>3.8999999999999915</v>
          </cell>
          <cell r="BG66">
            <v>3.6499999999999986</v>
          </cell>
          <cell r="BH66">
            <v>7.5499999999999901</v>
          </cell>
          <cell r="BI66">
            <v>-7.5499999999999901</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F66" t="str">
            <v>mstag:otherInterestIncomeExpense</v>
          </cell>
          <cell r="CG66">
            <v>6</v>
          </cell>
          <cell r="CH66" t="str">
            <v>ISO4217:EUR</v>
          </cell>
          <cell r="CI66" t="b">
            <v>0</v>
          </cell>
        </row>
        <row r="67">
          <cell r="A67" t="str">
            <v>Financial Income/(Expense), Net</v>
          </cell>
          <cell r="B67">
            <v>-9.8999999999999986</v>
          </cell>
          <cell r="C67">
            <v>-6.5</v>
          </cell>
          <cell r="D67">
            <v>-16.399999999999999</v>
          </cell>
          <cell r="E67">
            <v>-7.9</v>
          </cell>
          <cell r="F67">
            <v>-24.299999999999997</v>
          </cell>
          <cell r="G67">
            <v>-24.70000000000001</v>
          </cell>
          <cell r="H67">
            <v>-49.000000000000007</v>
          </cell>
          <cell r="I67">
            <v>-79.809286719999989</v>
          </cell>
          <cell r="J67">
            <v>-79.863921790000006</v>
          </cell>
          <cell r="K67">
            <v>-159.67320851000002</v>
          </cell>
          <cell r="L67">
            <v>-93.958167119999999</v>
          </cell>
          <cell r="M67">
            <v>-253.63137563000001</v>
          </cell>
          <cell r="N67">
            <v>-57.651828229999964</v>
          </cell>
          <cell r="O67">
            <v>-311.28320385999996</v>
          </cell>
          <cell r="P67">
            <v>-30.507645630000006</v>
          </cell>
          <cell r="Q67">
            <v>-35.418047970000003</v>
          </cell>
          <cell r="R67">
            <v>-65.925693600000017</v>
          </cell>
          <cell r="S67">
            <v>-33.830212799999998</v>
          </cell>
          <cell r="T67">
            <v>-99.755906400000001</v>
          </cell>
          <cell r="U67">
            <v>-56.730910729999991</v>
          </cell>
          <cell r="V67">
            <v>-156.48681713000002</v>
          </cell>
          <cell r="W67">
            <v>-34.959276650000007</v>
          </cell>
          <cell r="X67">
            <v>-36.284032990000043</v>
          </cell>
          <cell r="Y67">
            <v>-71.243309640000049</v>
          </cell>
          <cell r="Z67">
            <v>-31.743405079999963</v>
          </cell>
          <cell r="AA67">
            <v>-102.98671472000001</v>
          </cell>
          <cell r="AB67">
            <v>-31.454047930000005</v>
          </cell>
          <cell r="AC67">
            <v>-134.44076265000001</v>
          </cell>
          <cell r="AD67">
            <v>-38.78812739</v>
          </cell>
          <cell r="AE67">
            <v>-78.257509740000074</v>
          </cell>
          <cell r="AF67">
            <v>-117.04563713000006</v>
          </cell>
          <cell r="AG67">
            <v>-74.199480899999983</v>
          </cell>
          <cell r="AH67">
            <v>-191.24511803000004</v>
          </cell>
          <cell r="AI67">
            <v>-60.534194530000001</v>
          </cell>
          <cell r="AJ67">
            <v>-251.77931256000005</v>
          </cell>
          <cell r="AK67">
            <v>-70.199999999999932</v>
          </cell>
          <cell r="AL67">
            <v>-76.500000000000028</v>
          </cell>
          <cell r="AM67">
            <v>-146.69999999999993</v>
          </cell>
          <cell r="AN67">
            <v>-72.400000000000006</v>
          </cell>
          <cell r="AO67">
            <v>-219.1</v>
          </cell>
          <cell r="AP67">
            <v>-74.200000000000017</v>
          </cell>
          <cell r="AQ67">
            <v>-293.29999999999995</v>
          </cell>
          <cell r="AR67">
            <v>-66.099999999999994</v>
          </cell>
          <cell r="AS67">
            <v>-69.7</v>
          </cell>
          <cell r="AT67">
            <v>-135.80000000000001</v>
          </cell>
          <cell r="AU67">
            <v>-58.2</v>
          </cell>
          <cell r="AV67">
            <v>-194</v>
          </cell>
          <cell r="AW67">
            <v>-60.6</v>
          </cell>
          <cell r="AX67">
            <v>-254.60000000000002</v>
          </cell>
          <cell r="AY67">
            <v>-66.099999999999994</v>
          </cell>
          <cell r="AZ67">
            <v>-69.7</v>
          </cell>
          <cell r="BA67">
            <v>-58.2</v>
          </cell>
          <cell r="BB67">
            <v>-60.6</v>
          </cell>
          <cell r="BC67">
            <v>-254.60000000000002</v>
          </cell>
          <cell r="BD67">
            <v>-58.7</v>
          </cell>
          <cell r="BE67">
            <v>-48.5</v>
          </cell>
          <cell r="BF67">
            <v>-107.2</v>
          </cell>
          <cell r="BG67">
            <v>-51.9</v>
          </cell>
          <cell r="BH67">
            <v>-159.1</v>
          </cell>
          <cell r="BI67">
            <v>-63.1</v>
          </cell>
          <cell r="BJ67">
            <v>-222.2</v>
          </cell>
          <cell r="BK67">
            <v>-39.914822191032059</v>
          </cell>
          <cell r="BL67">
            <v>-39.914822191032059</v>
          </cell>
          <cell r="BM67">
            <v>-79.829644382064117</v>
          </cell>
          <cell r="BN67">
            <v>-39.914822191032059</v>
          </cell>
          <cell r="BO67">
            <v>-119.74446657309618</v>
          </cell>
          <cell r="BP67">
            <v>-39.914822191032044</v>
          </cell>
          <cell r="BQ67">
            <v>-159.65928876412823</v>
          </cell>
          <cell r="BR67">
            <v>-146.12420039126755</v>
          </cell>
          <cell r="BS67">
            <v>-96.698888822628078</v>
          </cell>
          <cell r="BT67">
            <v>-46.61178210783104</v>
          </cell>
          <cell r="BU67">
            <v>2.0097521927345099</v>
          </cell>
          <cell r="BV67">
            <v>49.200476214347297</v>
          </cell>
          <cell r="BW67">
            <v>95.281532511105311</v>
          </cell>
          <cell r="BX67">
            <v>140.2733688561824</v>
          </cell>
          <cell r="BY67">
            <v>184.40324343117106</v>
          </cell>
          <cell r="BZ67">
            <v>228.85699909179328</v>
          </cell>
          <cell r="CA67">
            <v>272.98586447646153</v>
          </cell>
        </row>
        <row r="68">
          <cell r="A68" t="str">
            <v>Total Non-Operating Income, Net</v>
          </cell>
          <cell r="B68">
            <v>-9.8999999999999986</v>
          </cell>
          <cell r="C68">
            <v>-6.5</v>
          </cell>
          <cell r="D68">
            <v>-16.399999999999999</v>
          </cell>
          <cell r="E68">
            <v>-7.9</v>
          </cell>
          <cell r="F68">
            <v>-24.299999999999997</v>
          </cell>
          <cell r="G68">
            <v>-24.70000000000001</v>
          </cell>
          <cell r="H68">
            <v>-49.000000000000007</v>
          </cell>
          <cell r="I68">
            <v>-79.809286719999989</v>
          </cell>
          <cell r="J68">
            <v>-79.863921790000006</v>
          </cell>
          <cell r="K68">
            <v>-159.67320851000002</v>
          </cell>
          <cell r="L68">
            <v>-93.958167119999999</v>
          </cell>
          <cell r="M68">
            <v>-253.63137563000001</v>
          </cell>
          <cell r="N68">
            <v>-57.651828229999964</v>
          </cell>
          <cell r="O68">
            <v>-311.28320385999996</v>
          </cell>
          <cell r="P68">
            <v>-30.507645630000006</v>
          </cell>
          <cell r="Q68">
            <v>-35.418047970000003</v>
          </cell>
          <cell r="R68">
            <v>-65.925693600000017</v>
          </cell>
          <cell r="S68">
            <v>-33.830212799999998</v>
          </cell>
          <cell r="T68">
            <v>-99.755906400000001</v>
          </cell>
          <cell r="U68">
            <v>-56.730910729999991</v>
          </cell>
          <cell r="V68">
            <v>-156.48681713000002</v>
          </cell>
          <cell r="W68">
            <v>-34.959276650000007</v>
          </cell>
          <cell r="X68">
            <v>-36.284032990000043</v>
          </cell>
          <cell r="Y68">
            <v>-71.243309640000049</v>
          </cell>
          <cell r="Z68">
            <v>-31.743405079999963</v>
          </cell>
          <cell r="AA68">
            <v>-102.98671472000001</v>
          </cell>
          <cell r="AB68">
            <v>-31.454047930000005</v>
          </cell>
          <cell r="AC68">
            <v>-134.44076265000001</v>
          </cell>
          <cell r="AD68">
            <v>-38.78812739</v>
          </cell>
          <cell r="AE68">
            <v>-78.257509740000074</v>
          </cell>
          <cell r="AF68">
            <v>-117.04563713000006</v>
          </cell>
          <cell r="AG68">
            <v>-74.199480899999983</v>
          </cell>
          <cell r="AH68">
            <v>-191.24511803000004</v>
          </cell>
          <cell r="AI68">
            <v>-60.534194530000001</v>
          </cell>
          <cell r="AJ68">
            <v>-251.77931256000005</v>
          </cell>
          <cell r="AK68">
            <v>-70.199999999999932</v>
          </cell>
          <cell r="AL68">
            <v>-76.500000000000028</v>
          </cell>
          <cell r="AM68">
            <v>-146.69999999999993</v>
          </cell>
          <cell r="AN68">
            <v>-72.400000000000006</v>
          </cell>
          <cell r="AO68">
            <v>-219.1</v>
          </cell>
          <cell r="AP68">
            <v>-74.200000000000017</v>
          </cell>
          <cell r="AQ68">
            <v>-293.29999999999995</v>
          </cell>
          <cell r="AR68">
            <v>-66.099999999999994</v>
          </cell>
          <cell r="AS68">
            <v>-69.7</v>
          </cell>
          <cell r="AT68">
            <v>-135.80000000000001</v>
          </cell>
          <cell r="AU68">
            <v>-58.2</v>
          </cell>
          <cell r="AV68">
            <v>-194</v>
          </cell>
          <cell r="AW68">
            <v>-60.6</v>
          </cell>
          <cell r="AX68">
            <v>-254.60000000000002</v>
          </cell>
          <cell r="AY68">
            <v>-66.099999999999994</v>
          </cell>
          <cell r="AZ68">
            <v>-69.7</v>
          </cell>
          <cell r="BA68">
            <v>-58.2</v>
          </cell>
          <cell r="BB68">
            <v>-60.6</v>
          </cell>
          <cell r="BC68">
            <v>-254.60000000000002</v>
          </cell>
          <cell r="BD68">
            <v>-58.7</v>
          </cell>
          <cell r="BE68">
            <v>-48.5</v>
          </cell>
          <cell r="BF68">
            <v>-107.2</v>
          </cell>
          <cell r="BG68">
            <v>-51.9</v>
          </cell>
          <cell r="BH68">
            <v>-159.1</v>
          </cell>
          <cell r="BI68">
            <v>-63.1</v>
          </cell>
          <cell r="BJ68">
            <v>-222.2</v>
          </cell>
          <cell r="BK68">
            <v>-39.914822191032059</v>
          </cell>
          <cell r="BL68">
            <v>-39.914822191032059</v>
          </cell>
          <cell r="BM68">
            <v>-79.829644382064117</v>
          </cell>
          <cell r="BN68">
            <v>-39.914822191032059</v>
          </cell>
          <cell r="BO68">
            <v>-119.74446657309618</v>
          </cell>
          <cell r="BP68">
            <v>-39.914822191032044</v>
          </cell>
          <cell r="BQ68">
            <v>-159.65928876412823</v>
          </cell>
          <cell r="BR68">
            <v>-146.12420039126755</v>
          </cell>
          <cell r="BS68">
            <v>-96.698888822628078</v>
          </cell>
          <cell r="BT68">
            <v>-46.61178210783104</v>
          </cell>
          <cell r="BU68">
            <v>2.0097521927345099</v>
          </cell>
          <cell r="BV68">
            <v>49.200476214347297</v>
          </cell>
          <cell r="BW68">
            <v>95.281532511105311</v>
          </cell>
          <cell r="BX68">
            <v>140.2733688561824</v>
          </cell>
          <cell r="BY68">
            <v>184.40324343117106</v>
          </cell>
          <cell r="BZ68">
            <v>228.85699909179328</v>
          </cell>
          <cell r="CA68">
            <v>272.98586447646153</v>
          </cell>
        </row>
        <row r="70">
          <cell r="A70" t="str">
            <v>Profit Before Tax (PBT, post exceptionals)</v>
          </cell>
          <cell r="B70">
            <v>196.69999999999982</v>
          </cell>
          <cell r="C70">
            <v>567</v>
          </cell>
          <cell r="D70">
            <v>763.70000000000039</v>
          </cell>
          <cell r="E70">
            <v>145.10000000000002</v>
          </cell>
          <cell r="F70">
            <v>908.80000000000018</v>
          </cell>
          <cell r="G70">
            <v>73.899999999999665</v>
          </cell>
          <cell r="H70">
            <v>982.69999999999891</v>
          </cell>
          <cell r="I70">
            <v>-34.409286719999898</v>
          </cell>
          <cell r="J70">
            <v>14.836078210000039</v>
          </cell>
          <cell r="K70">
            <v>-19.573208509999375</v>
          </cell>
          <cell r="L70">
            <v>14.34183287999987</v>
          </cell>
          <cell r="M70">
            <v>-5.2313756299996896</v>
          </cell>
          <cell r="N70">
            <v>-105.40182823000002</v>
          </cell>
          <cell r="O70">
            <v>-110.63320385999998</v>
          </cell>
          <cell r="P70">
            <v>328.99235436999999</v>
          </cell>
          <cell r="Q70">
            <v>284.88195202999975</v>
          </cell>
          <cell r="R70">
            <v>613.87430640000048</v>
          </cell>
          <cell r="S70">
            <v>275.26978720000022</v>
          </cell>
          <cell r="T70">
            <v>882.5440936</v>
          </cell>
          <cell r="U70">
            <v>-314.23091073000012</v>
          </cell>
          <cell r="V70">
            <v>574.91318287000013</v>
          </cell>
          <cell r="W70">
            <v>94.254397119999581</v>
          </cell>
          <cell r="X70">
            <v>148.12289691999996</v>
          </cell>
          <cell r="Y70">
            <v>242.37729403999964</v>
          </cell>
          <cell r="Z70">
            <v>190.57404472999843</v>
          </cell>
          <cell r="AA70">
            <v>432.95133876999876</v>
          </cell>
          <cell r="AB70">
            <v>53.610834829991475</v>
          </cell>
          <cell r="AC70">
            <v>486.62198574999024</v>
          </cell>
          <cell r="AD70">
            <v>256.06298680999981</v>
          </cell>
          <cell r="AE70">
            <v>246.79873412000043</v>
          </cell>
          <cell r="AF70">
            <v>502.8617209300005</v>
          </cell>
          <cell r="AG70">
            <v>289.07870943000324</v>
          </cell>
          <cell r="AH70">
            <v>791.94043036000187</v>
          </cell>
          <cell r="AI70">
            <v>68.876038830002983</v>
          </cell>
          <cell r="AJ70">
            <v>860.81646919000718</v>
          </cell>
          <cell r="AK70">
            <v>458.43284151999922</v>
          </cell>
          <cell r="AL70">
            <v>-100.15533367999942</v>
          </cell>
          <cell r="AM70">
            <v>358.27750784000148</v>
          </cell>
          <cell r="AN70">
            <v>259.80107131000329</v>
          </cell>
          <cell r="AO70">
            <v>618.07857915000466</v>
          </cell>
          <cell r="AP70">
            <v>221.50313096999858</v>
          </cell>
          <cell r="AQ70">
            <v>839.58171012000162</v>
          </cell>
          <cell r="AR70">
            <v>244.49999999999974</v>
          </cell>
          <cell r="AS70">
            <v>-46.300000000000367</v>
          </cell>
          <cell r="AT70">
            <v>198.19999999999965</v>
          </cell>
          <cell r="AU70">
            <v>259.99999999999994</v>
          </cell>
          <cell r="AV70">
            <v>458.19999999999959</v>
          </cell>
          <cell r="AW70">
            <v>250.69999999999956</v>
          </cell>
          <cell r="AX70">
            <v>708.90000000000123</v>
          </cell>
          <cell r="AY70">
            <v>244.79999999999981</v>
          </cell>
          <cell r="AZ70">
            <v>-46.500000000000185</v>
          </cell>
          <cell r="BA70">
            <v>260.2</v>
          </cell>
          <cell r="BB70">
            <v>250.69999999999956</v>
          </cell>
          <cell r="BC70">
            <v>709.2000000000005</v>
          </cell>
          <cell r="BD70">
            <v>340.8</v>
          </cell>
          <cell r="BE70">
            <v>416.8000000000003</v>
          </cell>
          <cell r="BF70">
            <v>757.59999999999934</v>
          </cell>
          <cell r="BG70">
            <v>430</v>
          </cell>
          <cell r="BH70">
            <v>1187.5999999999995</v>
          </cell>
          <cell r="BI70">
            <v>201.00000000000128</v>
          </cell>
          <cell r="BJ70">
            <v>1388.6000000000004</v>
          </cell>
          <cell r="BK70">
            <v>398.51552294770704</v>
          </cell>
          <cell r="BL70">
            <v>385.81551524775381</v>
          </cell>
          <cell r="BM70">
            <v>784.33103819546079</v>
          </cell>
          <cell r="BN70">
            <v>418.57179968699666</v>
          </cell>
          <cell r="BO70">
            <v>1202.9028378824567</v>
          </cell>
          <cell r="BP70">
            <v>437.73073862356478</v>
          </cell>
          <cell r="BQ70">
            <v>1640.6335765060217</v>
          </cell>
          <cell r="BR70">
            <v>1950.841057031173</v>
          </cell>
          <cell r="BS70">
            <v>2195.3074528177922</v>
          </cell>
          <cell r="BT70">
            <v>2193.4559379885009</v>
          </cell>
          <cell r="BU70">
            <v>2457.0865024946047</v>
          </cell>
          <cell r="BV70">
            <v>2441.3662027285372</v>
          </cell>
          <cell r="BW70">
            <v>2424.4104185231799</v>
          </cell>
          <cell r="BX70">
            <v>2401.7398793110801</v>
          </cell>
          <cell r="BY70">
            <v>2398.1604820139551</v>
          </cell>
          <cell r="BZ70">
            <v>2408.1424403204928</v>
          </cell>
          <cell r="CA70">
            <v>2475.9116015976178</v>
          </cell>
        </row>
        <row r="71">
          <cell r="A71" t="str">
            <v>Profit Before Tax (PBT, pre exceptionals)</v>
          </cell>
          <cell r="W71">
            <v>308.34072334999996</v>
          </cell>
          <cell r="X71">
            <v>291.61596700999996</v>
          </cell>
          <cell r="Y71">
            <v>599.95669035999993</v>
          </cell>
          <cell r="Z71">
            <v>342.15659492000003</v>
          </cell>
          <cell r="AA71">
            <v>942.1132852799999</v>
          </cell>
          <cell r="AB71">
            <v>247.14595206999996</v>
          </cell>
          <cell r="AC71">
            <v>1189.2592373500001</v>
          </cell>
          <cell r="AD71">
            <v>419.71187260999989</v>
          </cell>
          <cell r="AE71">
            <v>430.74249025999984</v>
          </cell>
          <cell r="AF71">
            <v>850.45436286999973</v>
          </cell>
          <cell r="AG71">
            <v>549.80051910000009</v>
          </cell>
          <cell r="AH71">
            <v>1400.25488197</v>
          </cell>
          <cell r="AI71">
            <v>490.66580547000007</v>
          </cell>
          <cell r="AJ71">
            <v>1889.9206892900002</v>
          </cell>
          <cell r="AK71">
            <v>559.03284151999947</v>
          </cell>
          <cell r="AL71">
            <v>468.57428911000011</v>
          </cell>
          <cell r="AM71">
            <v>1027.6071306299996</v>
          </cell>
          <cell r="AN71">
            <v>478.30107131000284</v>
          </cell>
          <cell r="AO71">
            <v>1505.9082019400023</v>
          </cell>
          <cell r="AP71">
            <v>490.10313096999869</v>
          </cell>
          <cell r="AQ71">
            <v>1996.0113329100011</v>
          </cell>
          <cell r="AR71">
            <v>488.69999999999982</v>
          </cell>
          <cell r="AS71">
            <v>563.69999999999982</v>
          </cell>
          <cell r="AT71">
            <v>1052.3999999999999</v>
          </cell>
          <cell r="AU71">
            <v>580.90000000000032</v>
          </cell>
          <cell r="AV71">
            <v>1633.3</v>
          </cell>
          <cell r="AW71">
            <v>601.89999999999952</v>
          </cell>
          <cell r="AX71">
            <v>2235.1999999999998</v>
          </cell>
          <cell r="AY71">
            <v>488.89999999999975</v>
          </cell>
          <cell r="AZ71">
            <v>563.59999999999991</v>
          </cell>
          <cell r="BA71">
            <v>581.20000000000027</v>
          </cell>
          <cell r="BB71">
            <v>601.99999999999966</v>
          </cell>
          <cell r="BC71">
            <v>2235.7000000000003</v>
          </cell>
          <cell r="BD71">
            <v>620.09999999999991</v>
          </cell>
          <cell r="BE71">
            <v>659.89999999999986</v>
          </cell>
          <cell r="BF71">
            <v>1279.9999999999998</v>
          </cell>
          <cell r="BG71">
            <v>672.50000000000011</v>
          </cell>
          <cell r="BH71">
            <v>1952.4999999999995</v>
          </cell>
          <cell r="BI71">
            <v>619.90000000000089</v>
          </cell>
          <cell r="BJ71">
            <v>2572.4000000000005</v>
          </cell>
          <cell r="BK71">
            <v>646.7991936774539</v>
          </cell>
          <cell r="BL71">
            <v>638.83037832505534</v>
          </cell>
          <cell r="BM71">
            <v>1285.6295720025091</v>
          </cell>
          <cell r="BN71">
            <v>668.11160519164241</v>
          </cell>
          <cell r="BO71">
            <v>1953.7411771941518</v>
          </cell>
          <cell r="BP71">
            <v>691.02159889781467</v>
          </cell>
          <cell r="BQ71">
            <v>2644.7627760919663</v>
          </cell>
          <cell r="BR71">
            <v>2758.2333918261661</v>
          </cell>
          <cell r="BS71">
            <v>2990.4789577479478</v>
          </cell>
          <cell r="BT71">
            <v>2966.2945383535211</v>
          </cell>
          <cell r="BU71">
            <v>2916.4659816292196</v>
          </cell>
          <cell r="BV71">
            <v>2902.9279494192028</v>
          </cell>
          <cell r="BW71">
            <v>2887.3333619003311</v>
          </cell>
          <cell r="BX71">
            <v>2867.6224548816504</v>
          </cell>
          <cell r="BY71">
            <v>2867.0243366661625</v>
          </cell>
          <cell r="BZ71">
            <v>2880.5794143235403</v>
          </cell>
          <cell r="CA71">
            <v>2957.7829375130723</v>
          </cell>
        </row>
        <row r="73">
          <cell r="A73" t="str">
            <v>Tax on Underlying Activities</v>
          </cell>
          <cell r="B73">
            <v>-54.29999999999999</v>
          </cell>
          <cell r="C73">
            <v>-68.100000000000009</v>
          </cell>
          <cell r="D73">
            <v>-122.4</v>
          </cell>
          <cell r="E73">
            <v>-35.199999999999996</v>
          </cell>
          <cell r="F73">
            <v>-157.6</v>
          </cell>
          <cell r="G73">
            <v>-35.900000000000006</v>
          </cell>
          <cell r="H73">
            <v>-193.5</v>
          </cell>
          <cell r="I73">
            <v>-46.8</v>
          </cell>
          <cell r="J73">
            <v>-48.4</v>
          </cell>
          <cell r="K73">
            <v>-95.199999999999989</v>
          </cell>
          <cell r="L73">
            <v>-34.200000000000003</v>
          </cell>
          <cell r="M73">
            <v>-129.39999999999998</v>
          </cell>
          <cell r="N73">
            <v>-57.700000000000045</v>
          </cell>
          <cell r="O73">
            <v>-187.10000000000002</v>
          </cell>
          <cell r="P73">
            <v>-86.9</v>
          </cell>
          <cell r="Q73">
            <v>-75.5</v>
          </cell>
          <cell r="R73">
            <v>-162.4</v>
          </cell>
          <cell r="S73">
            <v>-71.8</v>
          </cell>
          <cell r="T73">
            <v>-234.2</v>
          </cell>
          <cell r="U73">
            <v>-17</v>
          </cell>
          <cell r="V73">
            <v>-251.2</v>
          </cell>
          <cell r="W73">
            <v>-55.713999999999999</v>
          </cell>
          <cell r="X73">
            <v>-53.643799999999999</v>
          </cell>
          <cell r="Y73">
            <v>-109.3578</v>
          </cell>
          <cell r="Z73">
            <v>-58.5319</v>
          </cell>
          <cell r="AA73">
            <v>-167.8897</v>
          </cell>
          <cell r="AB73">
            <v>-21.523200000000003</v>
          </cell>
          <cell r="AC73">
            <v>-189.41290000000001</v>
          </cell>
          <cell r="AD73">
            <v>-79.190399999999997</v>
          </cell>
          <cell r="AE73">
            <v>-82.335800000000006</v>
          </cell>
          <cell r="AF73">
            <v>-161.52620000000002</v>
          </cell>
          <cell r="AG73">
            <v>-114.18559999999999</v>
          </cell>
          <cell r="AH73">
            <v>-275.71180000000004</v>
          </cell>
          <cell r="AI73">
            <v>-86.297399999999996</v>
          </cell>
          <cell r="AJ73">
            <v>-362.00920000000002</v>
          </cell>
          <cell r="AK73">
            <v>-142.5</v>
          </cell>
          <cell r="AL73">
            <v>-119.8</v>
          </cell>
          <cell r="AM73">
            <v>-262.3</v>
          </cell>
          <cell r="AN73">
            <v>-121.9</v>
          </cell>
          <cell r="AO73">
            <v>-384.20000000000005</v>
          </cell>
          <cell r="AP73">
            <v>-124.9</v>
          </cell>
          <cell r="AQ73">
            <v>-509.1</v>
          </cell>
          <cell r="AR73">
            <v>-124.7</v>
          </cell>
          <cell r="AS73">
            <v>-143.69999999999999</v>
          </cell>
          <cell r="AT73">
            <v>-268.39999999999998</v>
          </cell>
          <cell r="AU73">
            <v>-148.1</v>
          </cell>
          <cell r="AV73">
            <v>-416.5</v>
          </cell>
          <cell r="AW73">
            <v>-153.6</v>
          </cell>
          <cell r="AX73">
            <v>-570.1</v>
          </cell>
          <cell r="AY73">
            <v>-124.7</v>
          </cell>
          <cell r="AZ73">
            <v>-143.69999999999999</v>
          </cell>
          <cell r="BA73">
            <v>-148.1</v>
          </cell>
          <cell r="BB73">
            <v>-153.6</v>
          </cell>
          <cell r="BC73">
            <v>-570.1</v>
          </cell>
          <cell r="BD73">
            <v>-158.1</v>
          </cell>
          <cell r="BE73">
            <v>-168.3</v>
          </cell>
          <cell r="BF73">
            <v>-326.39999999999998</v>
          </cell>
          <cell r="BG73">
            <v>-171.5</v>
          </cell>
          <cell r="BH73">
            <v>-497.9</v>
          </cell>
          <cell r="BI73">
            <v>-158</v>
          </cell>
          <cell r="BJ73">
            <v>-655.9</v>
          </cell>
          <cell r="BK73">
            <v>-155.23180648258892</v>
          </cell>
          <cell r="BL73">
            <v>-154.59695155466338</v>
          </cell>
          <cell r="BM73">
            <v>-309.82875803725233</v>
          </cell>
          <cell r="BN73">
            <v>-161.68300845637745</v>
          </cell>
          <cell r="BO73">
            <v>-471.51176649362981</v>
          </cell>
          <cell r="BP73">
            <v>-167.19844393258006</v>
          </cell>
          <cell r="BQ73">
            <v>-638.71021042620987</v>
          </cell>
          <cell r="BR73">
            <v>-666.11336412601906</v>
          </cell>
          <cell r="BS73">
            <v>-722.20066829612938</v>
          </cell>
          <cell r="BT73">
            <v>-716.36013101237529</v>
          </cell>
          <cell r="BU73">
            <v>-704.32653456345656</v>
          </cell>
          <cell r="BV73">
            <v>-701.05709978473749</v>
          </cell>
          <cell r="BW73">
            <v>-697.29100689892994</v>
          </cell>
          <cell r="BX73">
            <v>-692.53082285391849</v>
          </cell>
          <cell r="BY73">
            <v>-692.38637730487824</v>
          </cell>
          <cell r="BZ73">
            <v>-695.65992855913498</v>
          </cell>
          <cell r="CA73">
            <v>-714.30457940940698</v>
          </cell>
          <cell r="CF73" t="str">
            <v>mstag:taxExpenseIncome</v>
          </cell>
          <cell r="CG73">
            <v>6</v>
          </cell>
          <cell r="CH73" t="str">
            <v>ISO4217:EUR</v>
          </cell>
          <cell r="CI73" t="b">
            <v>1</v>
          </cell>
          <cell r="CJ73" t="b">
            <v>0</v>
          </cell>
        </row>
        <row r="74">
          <cell r="A74" t="str">
            <v>Tax on Exceptional Items</v>
          </cell>
          <cell r="B74">
            <v>0.6</v>
          </cell>
          <cell r="C74">
            <v>-8.1</v>
          </cell>
          <cell r="D74">
            <v>-7.5</v>
          </cell>
          <cell r="E74">
            <v>2.4</v>
          </cell>
          <cell r="F74">
            <v>-5.0999999999999996</v>
          </cell>
          <cell r="G74">
            <v>22.799999999999997</v>
          </cell>
          <cell r="H74">
            <v>17.7</v>
          </cell>
          <cell r="I74">
            <v>19.2</v>
          </cell>
          <cell r="J74">
            <v>81.5</v>
          </cell>
          <cell r="K74">
            <v>100.7</v>
          </cell>
          <cell r="L74">
            <v>52.6</v>
          </cell>
          <cell r="M74">
            <v>153.30000000000001</v>
          </cell>
          <cell r="N74">
            <v>56.900000000000006</v>
          </cell>
          <cell r="O74">
            <v>210.20000000000002</v>
          </cell>
          <cell r="P74">
            <v>0</v>
          </cell>
          <cell r="Q74">
            <v>0</v>
          </cell>
          <cell r="R74">
            <v>0</v>
          </cell>
          <cell r="S74">
            <v>0</v>
          </cell>
          <cell r="T74">
            <v>0</v>
          </cell>
          <cell r="U74">
            <v>55.4</v>
          </cell>
          <cell r="V74">
            <v>55.4</v>
          </cell>
          <cell r="W74">
            <v>21.614000000000001</v>
          </cell>
          <cell r="X74">
            <v>15.3438</v>
          </cell>
          <cell r="Y74">
            <v>36.957799999999999</v>
          </cell>
          <cell r="Z74">
            <v>16.231900000000003</v>
          </cell>
          <cell r="AA74">
            <v>53.189700000000002</v>
          </cell>
          <cell r="AB74">
            <v>26.523200000000003</v>
          </cell>
          <cell r="AC74">
            <v>79.712900000000005</v>
          </cell>
          <cell r="AD74">
            <v>17.690399999999997</v>
          </cell>
          <cell r="AE74">
            <v>22.4358</v>
          </cell>
          <cell r="AF74">
            <v>40.126199999999997</v>
          </cell>
          <cell r="AG74">
            <v>39.385599999999997</v>
          </cell>
          <cell r="AH74">
            <v>79.511799999999994</v>
          </cell>
          <cell r="AI74">
            <v>62.897399999999998</v>
          </cell>
          <cell r="AJ74">
            <v>142.40920000000003</v>
          </cell>
          <cell r="AK74">
            <v>25.799999999999997</v>
          </cell>
          <cell r="AL74">
            <v>133.1</v>
          </cell>
          <cell r="AM74">
            <v>158.9</v>
          </cell>
          <cell r="AN74">
            <v>89.600000000000009</v>
          </cell>
          <cell r="AO74">
            <v>248.50000000000006</v>
          </cell>
          <cell r="AP74">
            <v>39.800000000000011</v>
          </cell>
          <cell r="AQ74">
            <v>288.30000000000007</v>
          </cell>
          <cell r="AR74">
            <v>55.3</v>
          </cell>
          <cell r="AS74">
            <v>129.6</v>
          </cell>
          <cell r="AT74">
            <v>184.89999999999998</v>
          </cell>
          <cell r="AU74">
            <v>76.8</v>
          </cell>
          <cell r="AV74">
            <v>261.7</v>
          </cell>
          <cell r="AW74">
            <v>178.29999999999998</v>
          </cell>
          <cell r="AX74">
            <v>440</v>
          </cell>
          <cell r="AY74">
            <v>55.3</v>
          </cell>
          <cell r="AZ74">
            <v>129.6</v>
          </cell>
          <cell r="BA74">
            <v>76.8</v>
          </cell>
          <cell r="BB74">
            <v>178.29999999999998</v>
          </cell>
          <cell r="BC74">
            <v>440</v>
          </cell>
          <cell r="BD74">
            <v>86.399999999999991</v>
          </cell>
          <cell r="BE74">
            <v>67.500000000000014</v>
          </cell>
          <cell r="BF74">
            <v>153.9</v>
          </cell>
          <cell r="BG74">
            <v>84.1</v>
          </cell>
          <cell r="BH74">
            <v>238</v>
          </cell>
          <cell r="BI74">
            <v>238.3</v>
          </cell>
          <cell r="BJ74">
            <v>476.3</v>
          </cell>
          <cell r="BK74">
            <v>7.5841495680345563</v>
          </cell>
          <cell r="BL74">
            <v>7.5841495680345563</v>
          </cell>
          <cell r="BM74">
            <v>15.168299136069113</v>
          </cell>
          <cell r="BN74">
            <v>7.5841495680345563</v>
          </cell>
          <cell r="BO74">
            <v>22.752448704103671</v>
          </cell>
          <cell r="BP74">
            <v>7.5841495680345545</v>
          </cell>
          <cell r="BQ74">
            <v>30.336598272138225</v>
          </cell>
          <cell r="BR74">
            <v>7.6</v>
          </cell>
          <cell r="BS74">
            <v>4.75</v>
          </cell>
          <cell r="BT74">
            <v>0</v>
          </cell>
          <cell r="BU74">
            <v>0</v>
          </cell>
          <cell r="BV74">
            <v>0</v>
          </cell>
          <cell r="BW74">
            <v>0</v>
          </cell>
          <cell r="BX74">
            <v>0</v>
          </cell>
          <cell r="BY74">
            <v>0</v>
          </cell>
          <cell r="BZ74">
            <v>0</v>
          </cell>
          <cell r="CA74">
            <v>0</v>
          </cell>
          <cell r="CF74" t="str">
            <v>mstag:taxOnIncomeLossFromExtraordinaryItems</v>
          </cell>
          <cell r="CG74">
            <v>6</v>
          </cell>
          <cell r="CH74" t="str">
            <v>ISO4217:EUR</v>
          </cell>
          <cell r="CI74" t="b">
            <v>1</v>
          </cell>
          <cell r="CJ74" t="b">
            <v>0</v>
          </cell>
        </row>
        <row r="75">
          <cell r="A75" t="str">
            <v>Tax Charge</v>
          </cell>
          <cell r="B75">
            <v>-53.699999999999989</v>
          </cell>
          <cell r="C75">
            <v>-76.2</v>
          </cell>
          <cell r="D75">
            <v>-129.9</v>
          </cell>
          <cell r="E75">
            <v>-32.799999999999997</v>
          </cell>
          <cell r="F75">
            <v>-162.69999999999999</v>
          </cell>
          <cell r="G75">
            <v>-13.100000000000009</v>
          </cell>
          <cell r="H75">
            <v>-175.8</v>
          </cell>
          <cell r="I75">
            <v>-27.6</v>
          </cell>
          <cell r="J75">
            <v>33.1</v>
          </cell>
          <cell r="K75">
            <v>5.5000000000000142</v>
          </cell>
          <cell r="L75">
            <v>18.399999999999999</v>
          </cell>
          <cell r="M75">
            <v>23.900000000000034</v>
          </cell>
          <cell r="N75">
            <v>-0.80000000000003979</v>
          </cell>
          <cell r="O75">
            <v>23.099999999999994</v>
          </cell>
          <cell r="P75">
            <v>-86.9</v>
          </cell>
          <cell r="Q75">
            <v>-75.5</v>
          </cell>
          <cell r="R75">
            <v>-162.4</v>
          </cell>
          <cell r="S75">
            <v>-71.8</v>
          </cell>
          <cell r="T75">
            <v>-234.2</v>
          </cell>
          <cell r="U75">
            <v>38.4</v>
          </cell>
          <cell r="V75">
            <v>-195.79999999999998</v>
          </cell>
          <cell r="W75">
            <v>-34.1</v>
          </cell>
          <cell r="X75">
            <v>-38.299999999999997</v>
          </cell>
          <cell r="Y75">
            <v>-72.400000000000006</v>
          </cell>
          <cell r="Z75">
            <v>-42.3</v>
          </cell>
          <cell r="AA75">
            <v>-114.7</v>
          </cell>
          <cell r="AB75">
            <v>5</v>
          </cell>
          <cell r="AC75">
            <v>-109.7</v>
          </cell>
          <cell r="AD75">
            <v>-61.5</v>
          </cell>
          <cell r="AE75">
            <v>-59.9</v>
          </cell>
          <cell r="AF75">
            <v>-121.4</v>
          </cell>
          <cell r="AG75">
            <v>-74.8</v>
          </cell>
          <cell r="AH75">
            <v>-196.2</v>
          </cell>
          <cell r="AI75">
            <v>-23.4</v>
          </cell>
          <cell r="AJ75">
            <v>-219.6</v>
          </cell>
          <cell r="AK75">
            <v>-116.7</v>
          </cell>
          <cell r="AL75">
            <v>13.3</v>
          </cell>
          <cell r="AM75">
            <v>-103.4</v>
          </cell>
          <cell r="AN75">
            <v>-32.299999999999997</v>
          </cell>
          <cell r="AO75">
            <v>-135.69999999999999</v>
          </cell>
          <cell r="AP75">
            <v>-85.1</v>
          </cell>
          <cell r="AQ75">
            <v>-220.79999999999998</v>
          </cell>
          <cell r="AR75">
            <v>-69.400000000000006</v>
          </cell>
          <cell r="AS75">
            <v>-14.1</v>
          </cell>
          <cell r="AT75">
            <v>-83.5</v>
          </cell>
          <cell r="AU75">
            <v>-71.3</v>
          </cell>
          <cell r="AV75">
            <v>-154.80000000000001</v>
          </cell>
          <cell r="AW75">
            <v>24.7</v>
          </cell>
          <cell r="AX75">
            <v>-130.10000000000002</v>
          </cell>
          <cell r="AY75">
            <v>-69.400000000000006</v>
          </cell>
          <cell r="AZ75">
            <v>-14.1</v>
          </cell>
          <cell r="BA75">
            <v>-71.3</v>
          </cell>
          <cell r="BB75">
            <v>24.7</v>
          </cell>
          <cell r="BC75">
            <v>-130.10000000000002</v>
          </cell>
          <cell r="BD75">
            <v>-71.7</v>
          </cell>
          <cell r="BE75">
            <v>-100.8</v>
          </cell>
          <cell r="BF75">
            <v>-172.49999999999997</v>
          </cell>
          <cell r="BG75">
            <v>-87.4</v>
          </cell>
          <cell r="BH75">
            <v>-259.89999999999998</v>
          </cell>
          <cell r="BI75">
            <v>80.3</v>
          </cell>
          <cell r="BJ75">
            <v>-179.59999999999997</v>
          </cell>
          <cell r="BK75">
            <v>-147.64765691455437</v>
          </cell>
          <cell r="BL75">
            <v>-147.01280198662883</v>
          </cell>
          <cell r="BM75">
            <v>-294.66045890118323</v>
          </cell>
          <cell r="BN75">
            <v>-154.0988588883429</v>
          </cell>
          <cell r="BO75">
            <v>-448.75931778952611</v>
          </cell>
          <cell r="BP75">
            <v>-159.61429436454551</v>
          </cell>
          <cell r="BQ75">
            <v>-608.37361215407168</v>
          </cell>
          <cell r="BR75">
            <v>-658.51336412601904</v>
          </cell>
          <cell r="BS75">
            <v>-717.45066829612938</v>
          </cell>
          <cell r="BT75">
            <v>-716.36013101237529</v>
          </cell>
          <cell r="BU75">
            <v>-704.32653456345656</v>
          </cell>
          <cell r="BV75">
            <v>-701.05709978473749</v>
          </cell>
          <cell r="BW75">
            <v>-697.29100689892994</v>
          </cell>
          <cell r="BX75">
            <v>-692.53082285391849</v>
          </cell>
          <cell r="BY75">
            <v>-692.38637730487824</v>
          </cell>
          <cell r="BZ75">
            <v>-695.65992855913498</v>
          </cell>
          <cell r="CA75">
            <v>-714.30457940940698</v>
          </cell>
        </row>
        <row r="76">
          <cell r="A76" t="str">
            <v>Tax Rate pre-ex (%)</v>
          </cell>
          <cell r="B76">
            <v>0.25127255900046291</v>
          </cell>
          <cell r="C76">
            <v>0.4017699115044247</v>
          </cell>
          <cell r="D76">
            <v>0.31742738589211594</v>
          </cell>
          <cell r="E76">
            <v>0.19610027855153198</v>
          </cell>
          <cell r="F76">
            <v>0.27888869226685536</v>
          </cell>
          <cell r="G76">
            <v>0.19426406926406964</v>
          </cell>
          <cell r="H76">
            <v>0.25803440458727872</v>
          </cell>
          <cell r="I76">
            <v>0.29088067947435459</v>
          </cell>
          <cell r="J76">
            <v>0.24464698470530802</v>
          </cell>
          <cell r="K76">
            <v>0.2653830220056303</v>
          </cell>
          <cell r="L76">
            <v>0.17295278142159407</v>
          </cell>
          <cell r="M76">
            <v>0.23253781854547273</v>
          </cell>
          <cell r="N76">
            <v>0.53131649510824963</v>
          </cell>
          <cell r="O76">
            <v>0.28132512566544443</v>
          </cell>
          <cell r="P76">
            <v>0.26413987694762125</v>
          </cell>
          <cell r="Q76">
            <v>0.26502205373841797</v>
          </cell>
          <cell r="R76">
            <v>0.27</v>
          </cell>
          <cell r="S76">
            <v>0.26083501836630163</v>
          </cell>
          <cell r="T76">
            <v>0.27</v>
          </cell>
          <cell r="U76">
            <v>0.19820660502158577</v>
          </cell>
          <cell r="V76">
            <v>0.25766396886798099</v>
          </cell>
          <cell r="W76">
            <v>0.18068972335113387</v>
          </cell>
          <cell r="X76">
            <v>0.18395357617081534</v>
          </cell>
          <cell r="Y76">
            <v>0.18227615719124757</v>
          </cell>
          <cell r="Z76">
            <v>0.17106757803012798</v>
          </cell>
          <cell r="AA76">
            <v>0.17820542669675071</v>
          </cell>
          <cell r="AB76">
            <v>8.7087001910126027E-2</v>
          </cell>
          <cell r="AC76">
            <v>0.15926964790457676</v>
          </cell>
          <cell r="AD76">
            <v>0.18867800786179914</v>
          </cell>
          <cell r="AE76">
            <v>0.19114854434328366</v>
          </cell>
          <cell r="AF76">
            <v>0.18992929785779802</v>
          </cell>
          <cell r="AG76">
            <v>0.2076855078036611</v>
          </cell>
          <cell r="AH76">
            <v>0.19690115246168952</v>
          </cell>
          <cell r="AI76">
            <v>0.17587816195452471</v>
          </cell>
          <cell r="AJ76">
            <v>0.19154729722335523</v>
          </cell>
          <cell r="AK76">
            <v>0.25490452334167929</v>
          </cell>
          <cell r="AL76">
            <v>0.25566917089613589</v>
          </cell>
          <cell r="AM76">
            <v>0.25525319179051492</v>
          </cell>
          <cell r="AN76">
            <v>0.25486039507737701</v>
          </cell>
          <cell r="AO76">
            <v>0.25512843313095068</v>
          </cell>
          <cell r="AP76">
            <v>0.25484432175081467</v>
          </cell>
          <cell r="AQ76">
            <v>0.25505867206564353</v>
          </cell>
          <cell r="AR76">
            <v>0.25516676897892376</v>
          </cell>
          <cell r="AS76">
            <v>0.25492283129324117</v>
          </cell>
          <cell r="AT76">
            <v>0.25503610794374765</v>
          </cell>
          <cell r="AU76">
            <v>0.25494921673265608</v>
          </cell>
          <cell r="AV76">
            <v>0.25500520418784056</v>
          </cell>
          <cell r="AW76">
            <v>0.2551918923409206</v>
          </cell>
          <cell r="AX76">
            <v>0.25505547602004297</v>
          </cell>
          <cell r="AY76">
            <v>0.25506238494579681</v>
          </cell>
          <cell r="AZ76">
            <v>0.2549680624556423</v>
          </cell>
          <cell r="BA76">
            <v>0.25481761871988973</v>
          </cell>
          <cell r="BB76">
            <v>0.25514950166112971</v>
          </cell>
          <cell r="BC76">
            <v>0.25499843449478909</v>
          </cell>
          <cell r="BD76">
            <v>0.25495887760038705</v>
          </cell>
          <cell r="BE76">
            <v>0.25503864221851802</v>
          </cell>
          <cell r="BF76">
            <v>0.255</v>
          </cell>
          <cell r="BG76">
            <v>0.25501858736059474</v>
          </cell>
          <cell r="BH76">
            <v>0.2550064020486556</v>
          </cell>
          <cell r="BI76">
            <v>0.25487981932569731</v>
          </cell>
          <cell r="BJ76">
            <v>0.25497589799409104</v>
          </cell>
          <cell r="BK76">
            <v>0.24</v>
          </cell>
          <cell r="BL76">
            <v>0.24199999999999999</v>
          </cell>
          <cell r="BM76">
            <v>0.24099380162410239</v>
          </cell>
          <cell r="BN76">
            <v>0.24199999999999999</v>
          </cell>
          <cell r="BO76">
            <v>0.24133788651104099</v>
          </cell>
          <cell r="BP76">
            <v>0.24195834717650361</v>
          </cell>
          <cell r="BQ76">
            <v>0.24149999999999999</v>
          </cell>
          <cell r="BR76">
            <v>0.24149999999999999</v>
          </cell>
          <cell r="BS76">
            <v>0.24149999999999999</v>
          </cell>
          <cell r="BT76">
            <v>0.24149999999999999</v>
          </cell>
          <cell r="BU76">
            <v>0.24149999999999999</v>
          </cell>
          <cell r="BV76">
            <v>0.24149999999999999</v>
          </cell>
          <cell r="BW76">
            <v>0.24149999999999999</v>
          </cell>
          <cell r="BX76">
            <v>0.24149999999999999</v>
          </cell>
          <cell r="BY76">
            <v>0.24149999999999999</v>
          </cell>
          <cell r="BZ76">
            <v>0.24149999999999999</v>
          </cell>
          <cell r="CA76">
            <v>0.24149999999999999</v>
          </cell>
        </row>
        <row r="77">
          <cell r="A77" t="str">
            <v>Tax Rate</v>
          </cell>
          <cell r="H77">
            <v>0.17889488144906909</v>
          </cell>
          <cell r="I77">
            <v>-0.8021090417999831</v>
          </cell>
          <cell r="J77">
            <v>-2.2310478235204663</v>
          </cell>
          <cell r="K77">
            <v>0.28099634238250853</v>
          </cell>
          <cell r="L77">
            <v>-1.2829601456072861</v>
          </cell>
          <cell r="M77">
            <v>4.5685880140098929</v>
          </cell>
          <cell r="N77">
            <v>-7.590001173929729E-3</v>
          </cell>
          <cell r="O77">
            <v>0.20879807502665954</v>
          </cell>
          <cell r="P77">
            <v>0.26413987694762125</v>
          </cell>
          <cell r="Q77">
            <v>0.26502205373841797</v>
          </cell>
          <cell r="R77">
            <v>0.26454927060293054</v>
          </cell>
          <cell r="S77">
            <v>0.26083501836630163</v>
          </cell>
          <cell r="T77">
            <v>0.26536917724379183</v>
          </cell>
          <cell r="U77">
            <v>0.12220312734603894</v>
          </cell>
          <cell r="V77">
            <v>0.34057316101633811</v>
          </cell>
          <cell r="W77">
            <v>0.3617868347997148</v>
          </cell>
          <cell r="X77">
            <v>0.25856907200974832</v>
          </cell>
          <cell r="Y77">
            <v>0.29870784838472453</v>
          </cell>
          <cell r="Z77">
            <v>0.22196097091778583</v>
          </cell>
          <cell r="AA77">
            <v>0.26492584669182251</v>
          </cell>
          <cell r="AB77">
            <v>-9.3264729337936988E-2</v>
          </cell>
          <cell r="AC77">
            <v>0.22543165580759458</v>
          </cell>
          <cell r="AD77">
            <v>0.24017528173891586</v>
          </cell>
          <cell r="AE77">
            <v>0.24270788994758355</v>
          </cell>
          <cell r="AF77">
            <v>0.24141825664415439</v>
          </cell>
          <cell r="AG77">
            <v>0.25875305776578428</v>
          </cell>
          <cell r="AH77">
            <v>0.24774590673544852</v>
          </cell>
          <cell r="AI77">
            <v>0.33974079226238491</v>
          </cell>
          <cell r="AJ77">
            <v>0.25510664335527239</v>
          </cell>
          <cell r="AK77">
            <v>0.25456291397680975</v>
          </cell>
          <cell r="AL77">
            <v>0.13279372661763647</v>
          </cell>
          <cell r="AM77">
            <v>0.28860310161076613</v>
          </cell>
          <cell r="AN77">
            <v>0.12432589225722845</v>
          </cell>
          <cell r="AO77">
            <v>0.21955137190908255</v>
          </cell>
          <cell r="AP77">
            <v>0.38419321491002462</v>
          </cell>
          <cell r="AQ77">
            <v>0.26298810150168822</v>
          </cell>
          <cell r="AR77">
            <v>0.28384458077709646</v>
          </cell>
          <cell r="AS77">
            <v>-0.30453563714902565</v>
          </cell>
          <cell r="AT77">
            <v>0.42129162462159508</v>
          </cell>
          <cell r="AU77">
            <v>0.27423076923076928</v>
          </cell>
          <cell r="AV77">
            <v>0.33784373635966858</v>
          </cell>
          <cell r="AW77">
            <v>-9.8524132429198413E-2</v>
          </cell>
          <cell r="AX77">
            <v>0.18352376921991789</v>
          </cell>
          <cell r="AY77">
            <v>0.283496732026144</v>
          </cell>
          <cell r="AZ77">
            <v>-0.30322580645161168</v>
          </cell>
          <cell r="BA77">
            <v>0.27401998462720983</v>
          </cell>
          <cell r="BB77">
            <v>-9.8524132429198413E-2</v>
          </cell>
          <cell r="BC77">
            <v>0.18344613649182168</v>
          </cell>
          <cell r="BD77">
            <v>0.21038732394366197</v>
          </cell>
          <cell r="BE77">
            <v>0.24184261036468313</v>
          </cell>
          <cell r="BF77">
            <v>0.22769271383315751</v>
          </cell>
          <cell r="BG77">
            <v>0.20325581395348838</v>
          </cell>
          <cell r="BH77">
            <v>0.21884472886493778</v>
          </cell>
          <cell r="BI77">
            <v>-0.39950248756218648</v>
          </cell>
          <cell r="BJ77">
            <v>0.12933890249171823</v>
          </cell>
          <cell r="BK77">
            <v>0.37049411732432969</v>
          </cell>
          <cell r="BL77">
            <v>0.38104429753744778</v>
          </cell>
          <cell r="BM77">
            <v>0.37568379236797689</v>
          </cell>
          <cell r="BN77">
            <v>0.36815394396750167</v>
          </cell>
          <cell r="BO77">
            <v>0.37306364542252185</v>
          </cell>
          <cell r="BP77">
            <v>0.36464036057063148</v>
          </cell>
          <cell r="BQ77">
            <v>0.37081626322051486</v>
          </cell>
          <cell r="BR77">
            <v>0.33755357042165046</v>
          </cell>
          <cell r="BS77">
            <v>0.32681102019457176</v>
          </cell>
          <cell r="BT77">
            <v>0.32658970650183666</v>
          </cell>
          <cell r="BU77">
            <v>0.28665109423228502</v>
          </cell>
          <cell r="BV77">
            <v>0.2871576984236191</v>
          </cell>
          <cell r="BW77">
            <v>0.2876126094705046</v>
          </cell>
          <cell r="BX77">
            <v>0.2883454735541825</v>
          </cell>
          <cell r="BY77">
            <v>0.2887156145294405</v>
          </cell>
          <cell r="BZ77">
            <v>0.28887823116748507</v>
          </cell>
          <cell r="CA77">
            <v>0.28850164882643292</v>
          </cell>
        </row>
        <row r="78">
          <cell r="A78" t="str">
            <v>Tax Adj. for Core EPS</v>
          </cell>
          <cell r="H78">
            <v>-20.819999999999027</v>
          </cell>
          <cell r="I78">
            <v>-36</v>
          </cell>
          <cell r="J78">
            <v>-106.7</v>
          </cell>
          <cell r="K78">
            <v>-142.69999999999999</v>
          </cell>
          <cell r="L78">
            <v>-76.5</v>
          </cell>
          <cell r="M78">
            <v>-219.2</v>
          </cell>
          <cell r="N78">
            <v>-100.1</v>
          </cell>
          <cell r="O78">
            <v>-319.29999999999995</v>
          </cell>
          <cell r="P78">
            <v>-16.100000000000001</v>
          </cell>
          <cell r="Q78">
            <v>-16</v>
          </cell>
          <cell r="R78">
            <v>-32.1</v>
          </cell>
          <cell r="S78">
            <v>-19.100000000000001</v>
          </cell>
          <cell r="T78">
            <v>-51.2</v>
          </cell>
          <cell r="U78">
            <v>-74.599999999999994</v>
          </cell>
          <cell r="V78">
            <v>-125.8</v>
          </cell>
          <cell r="W78">
            <v>-21.65</v>
          </cell>
          <cell r="X78">
            <v>-15.4</v>
          </cell>
          <cell r="Y78">
            <v>-37.049999999999997</v>
          </cell>
          <cell r="Z78">
            <v>-15.5</v>
          </cell>
          <cell r="AA78">
            <v>-52.55</v>
          </cell>
          <cell r="AB78">
            <v>-24.45</v>
          </cell>
          <cell r="AC78">
            <v>-77</v>
          </cell>
          <cell r="AD78">
            <v>-14.9</v>
          </cell>
          <cell r="AE78">
            <v>-21.49</v>
          </cell>
          <cell r="AF78">
            <v>-36.39</v>
          </cell>
          <cell r="AG78">
            <v>-47.167999999999999</v>
          </cell>
          <cell r="AH78">
            <v>-83.557999999999993</v>
          </cell>
          <cell r="AI78">
            <v>-68</v>
          </cell>
          <cell r="AJ78">
            <v>-151.55799999999999</v>
          </cell>
        </row>
        <row r="79">
          <cell r="A79" t="str">
            <v>Tax Rate for Core EPS (Estimated)</v>
          </cell>
          <cell r="I79">
            <v>0.25677603423680456</v>
          </cell>
          <cell r="J79">
            <v>0.75889046941678528</v>
          </cell>
          <cell r="K79">
            <v>0.50819088319088324</v>
          </cell>
          <cell r="L79">
            <v>0.5472103004291845</v>
          </cell>
          <cell r="M79">
            <v>0.52116024726581078</v>
          </cell>
          <cell r="N79">
            <v>0.73575891216464528</v>
          </cell>
          <cell r="O79">
            <v>0.57360998832300358</v>
          </cell>
          <cell r="P79">
            <v>0.11450924608819348</v>
          </cell>
          <cell r="Q79">
            <v>0.1144492131616595</v>
          </cell>
          <cell r="R79">
            <v>0.11447931526390871</v>
          </cell>
          <cell r="S79">
            <v>0.13565340909090909</v>
          </cell>
          <cell r="T79">
            <v>0.12155745489078823</v>
          </cell>
          <cell r="U79">
            <v>0.49014454664914586</v>
          </cell>
          <cell r="V79">
            <v>0.21939309382629926</v>
          </cell>
          <cell r="W79">
            <v>0.14673733413053036</v>
          </cell>
          <cell r="X79">
            <v>0.10518767033339992</v>
          </cell>
          <cell r="Y79">
            <v>0.12604289929251244</v>
          </cell>
          <cell r="Z79">
            <v>0.10544131631897669</v>
          </cell>
          <cell r="AA79">
            <v>0.11917485058192703</v>
          </cell>
          <cell r="AB79">
            <v>0.11260125488235934</v>
          </cell>
          <cell r="AC79">
            <v>0.11700587056968854</v>
          </cell>
          <cell r="AD79">
            <v>0.10633964641080253</v>
          </cell>
          <cell r="AE79">
            <v>0.1472071904504488</v>
          </cell>
          <cell r="AF79">
            <v>0.2492726691713277</v>
          </cell>
          <cell r="AG79">
            <v>0.23753507187672712</v>
          </cell>
          <cell r="AH79">
            <v>0.1724002142944196</v>
          </cell>
          <cell r="AI79">
            <v>0.20358274995324893</v>
          </cell>
          <cell r="AJ79">
            <v>0.18512232890071331</v>
          </cell>
        </row>
        <row r="80">
          <cell r="A80" t="str">
            <v>Profit after tax (post exceptionals)</v>
          </cell>
          <cell r="B80">
            <v>142.99999999999983</v>
          </cell>
          <cell r="C80">
            <v>490.8</v>
          </cell>
          <cell r="D80">
            <v>633.80000000000041</v>
          </cell>
          <cell r="E80">
            <v>112.30000000000003</v>
          </cell>
          <cell r="F80">
            <v>746.10000000000014</v>
          </cell>
          <cell r="G80">
            <v>60.799999999999656</v>
          </cell>
          <cell r="H80">
            <v>806.89999999999895</v>
          </cell>
          <cell r="I80">
            <v>-62.009286719999899</v>
          </cell>
          <cell r="J80">
            <v>47.936078210000041</v>
          </cell>
          <cell r="K80">
            <v>-14.073208509999361</v>
          </cell>
          <cell r="L80">
            <v>32.741832879999869</v>
          </cell>
          <cell r="M80">
            <v>18.668624370000344</v>
          </cell>
          <cell r="N80">
            <v>-106.20182823000006</v>
          </cell>
          <cell r="O80">
            <v>-87.533203859999986</v>
          </cell>
          <cell r="P80">
            <v>242.09235436999998</v>
          </cell>
          <cell r="Q80">
            <v>209.38195202999975</v>
          </cell>
          <cell r="R80">
            <v>451.4743064000005</v>
          </cell>
          <cell r="S80">
            <v>203.46978720000021</v>
          </cell>
          <cell r="T80">
            <v>648.34409359999995</v>
          </cell>
          <cell r="U80">
            <v>-275.83091073000014</v>
          </cell>
          <cell r="V80">
            <v>379.11318287000017</v>
          </cell>
          <cell r="W80">
            <v>60.15439711999958</v>
          </cell>
          <cell r="X80">
            <v>109.82289691999996</v>
          </cell>
          <cell r="Y80">
            <v>169.97729403999963</v>
          </cell>
          <cell r="Z80">
            <v>148.27404472999842</v>
          </cell>
          <cell r="AA80">
            <v>318.25133876999877</v>
          </cell>
          <cell r="AB80">
            <v>58.610834829991475</v>
          </cell>
          <cell r="AC80">
            <v>376.92198574999026</v>
          </cell>
          <cell r="AD80">
            <v>194.56298680999981</v>
          </cell>
          <cell r="AE80">
            <v>186.89873412000043</v>
          </cell>
          <cell r="AF80">
            <v>381.46172093000052</v>
          </cell>
          <cell r="AG80">
            <v>214.27870943000323</v>
          </cell>
          <cell r="AH80">
            <v>595.74043036000194</v>
          </cell>
          <cell r="AI80">
            <v>45.476038830002985</v>
          </cell>
          <cell r="AJ80">
            <v>641.21646919000716</v>
          </cell>
          <cell r="AK80">
            <v>341.73284151999923</v>
          </cell>
          <cell r="AL80">
            <v>-86.855333679999418</v>
          </cell>
          <cell r="AM80">
            <v>254.87750784000147</v>
          </cell>
          <cell r="AN80">
            <v>227.50107131000328</v>
          </cell>
          <cell r="AO80">
            <v>482.37857915000467</v>
          </cell>
          <cell r="AP80">
            <v>136.40313096999859</v>
          </cell>
          <cell r="AQ80">
            <v>618.78171012000166</v>
          </cell>
          <cell r="AR80">
            <v>175.09999999999974</v>
          </cell>
          <cell r="AS80">
            <v>-60.400000000000368</v>
          </cell>
          <cell r="AT80">
            <v>114.69999999999965</v>
          </cell>
          <cell r="AU80">
            <v>188.69999999999993</v>
          </cell>
          <cell r="AV80">
            <v>303.39999999999958</v>
          </cell>
          <cell r="AW80">
            <v>275.39999999999958</v>
          </cell>
          <cell r="AX80">
            <v>578.80000000000121</v>
          </cell>
          <cell r="AY80">
            <v>175.39999999999981</v>
          </cell>
          <cell r="AZ80">
            <v>-60.600000000000186</v>
          </cell>
          <cell r="BA80">
            <v>188.89999999999998</v>
          </cell>
          <cell r="BB80">
            <v>275.39999999999958</v>
          </cell>
          <cell r="BC80">
            <v>579.10000000000048</v>
          </cell>
          <cell r="BD80">
            <v>269.10000000000002</v>
          </cell>
          <cell r="BE80">
            <v>316.00000000000028</v>
          </cell>
          <cell r="BF80">
            <v>585.09999999999934</v>
          </cell>
          <cell r="BG80">
            <v>342.6</v>
          </cell>
          <cell r="BH80">
            <v>927.69999999999948</v>
          </cell>
          <cell r="BI80">
            <v>281.30000000000126</v>
          </cell>
          <cell r="BJ80">
            <v>1209.0000000000005</v>
          </cell>
          <cell r="BK80">
            <v>250.86786603315267</v>
          </cell>
          <cell r="BL80">
            <v>238.80271326112498</v>
          </cell>
          <cell r="BM80">
            <v>489.67057929427756</v>
          </cell>
          <cell r="BN80">
            <v>264.47294079865378</v>
          </cell>
          <cell r="BO80">
            <v>754.14352009293054</v>
          </cell>
          <cell r="BP80">
            <v>278.11644425901926</v>
          </cell>
          <cell r="BQ80">
            <v>1032.25996435195</v>
          </cell>
          <cell r="BR80">
            <v>1292.327692905154</v>
          </cell>
          <cell r="BS80">
            <v>1477.8567845216628</v>
          </cell>
          <cell r="BT80">
            <v>1477.0958069761255</v>
          </cell>
          <cell r="BU80">
            <v>1752.7599679311481</v>
          </cell>
          <cell r="BV80">
            <v>1740.3091029437996</v>
          </cell>
          <cell r="BW80">
            <v>1727.11941162425</v>
          </cell>
          <cell r="BX80">
            <v>1709.2090564571618</v>
          </cell>
          <cell r="BY80">
            <v>1705.7741047090767</v>
          </cell>
          <cell r="BZ80">
            <v>1712.4825117613577</v>
          </cell>
          <cell r="CA80">
            <v>1761.607022188211</v>
          </cell>
        </row>
        <row r="81">
          <cell r="A81" t="str">
            <v>Minority Interest</v>
          </cell>
          <cell r="B81">
            <v>-3.5</v>
          </cell>
          <cell r="C81">
            <v>-9.5</v>
          </cell>
          <cell r="D81">
            <v>-13</v>
          </cell>
          <cell r="E81">
            <v>-4</v>
          </cell>
          <cell r="F81">
            <v>-17</v>
          </cell>
          <cell r="G81">
            <v>-1.2</v>
          </cell>
          <cell r="H81">
            <v>-18.2</v>
          </cell>
          <cell r="I81">
            <v>-2.2999999999999998</v>
          </cell>
          <cell r="J81">
            <v>-4.8</v>
          </cell>
          <cell r="K81">
            <v>-7.1</v>
          </cell>
          <cell r="L81">
            <v>-4.5999999999999996</v>
          </cell>
          <cell r="M81">
            <v>-11.7</v>
          </cell>
          <cell r="N81">
            <v>-8.4</v>
          </cell>
          <cell r="O81">
            <v>-20.100000000000001</v>
          </cell>
          <cell r="P81">
            <v>-3.9</v>
          </cell>
          <cell r="Q81">
            <v>-3.8</v>
          </cell>
          <cell r="R81">
            <v>-7.6999999999999993</v>
          </cell>
          <cell r="S81">
            <v>-2.4</v>
          </cell>
          <cell r="T81">
            <v>-10.1</v>
          </cell>
          <cell r="U81">
            <v>-2</v>
          </cell>
          <cell r="V81">
            <v>-12.1</v>
          </cell>
          <cell r="W81">
            <v>-3.6</v>
          </cell>
          <cell r="X81">
            <v>-1.4</v>
          </cell>
          <cell r="Y81">
            <v>-5</v>
          </cell>
          <cell r="Z81">
            <v>-3.7</v>
          </cell>
          <cell r="AA81">
            <v>-8.6999999999999993</v>
          </cell>
          <cell r="AB81">
            <v>-1.7</v>
          </cell>
          <cell r="AC81">
            <v>-10.399999999999999</v>
          </cell>
          <cell r="AD81">
            <v>-3.1</v>
          </cell>
          <cell r="AE81">
            <v>-3.5</v>
          </cell>
          <cell r="AF81">
            <v>-6.6</v>
          </cell>
          <cell r="AG81">
            <v>-3.7</v>
          </cell>
          <cell r="AH81">
            <v>-10.3</v>
          </cell>
          <cell r="AI81">
            <v>1</v>
          </cell>
          <cell r="AJ81">
            <v>-9.3000000000000007</v>
          </cell>
          <cell r="AK81">
            <v>-3.1</v>
          </cell>
          <cell r="AL81">
            <v>-1.9</v>
          </cell>
          <cell r="AM81">
            <v>-5</v>
          </cell>
          <cell r="AN81">
            <v>-3.3</v>
          </cell>
          <cell r="AO81">
            <v>-8.3000000000000007</v>
          </cell>
          <cell r="AP81">
            <v>-3.3</v>
          </cell>
          <cell r="AQ81">
            <v>-11.600000000000001</v>
          </cell>
          <cell r="AR81">
            <v>-2.4</v>
          </cell>
          <cell r="AS81">
            <v>-2.7</v>
          </cell>
          <cell r="AT81">
            <v>-5.0999999999999996</v>
          </cell>
          <cell r="AU81">
            <v>-3.2</v>
          </cell>
          <cell r="AV81">
            <v>-8.3000000000000007</v>
          </cell>
          <cell r="AW81">
            <v>-3.9</v>
          </cell>
          <cell r="AX81">
            <v>-12.200000000000001</v>
          </cell>
          <cell r="AY81">
            <v>-2.4</v>
          </cell>
          <cell r="AZ81">
            <v>-2.7</v>
          </cell>
          <cell r="BA81">
            <v>-3.2</v>
          </cell>
          <cell r="BB81">
            <v>-3.9</v>
          </cell>
          <cell r="BC81">
            <v>-12.200000000000001</v>
          </cell>
          <cell r="BD81">
            <v>-3</v>
          </cell>
          <cell r="BE81">
            <v>-0.1</v>
          </cell>
          <cell r="BF81">
            <v>-3.1</v>
          </cell>
          <cell r="BG81">
            <v>-3</v>
          </cell>
          <cell r="BH81">
            <v>-6.1</v>
          </cell>
          <cell r="BI81">
            <v>-0.8</v>
          </cell>
          <cell r="BJ81">
            <v>-6.8999999999999995</v>
          </cell>
          <cell r="BK81">
            <v>-1.773525030616794</v>
          </cell>
          <cell r="BL81">
            <v>-1.773525030616794</v>
          </cell>
          <cell r="BM81">
            <v>-3.547050061233588</v>
          </cell>
          <cell r="BN81">
            <v>-1.773525030616794</v>
          </cell>
          <cell r="BO81">
            <v>-5.3205750918503822</v>
          </cell>
          <cell r="BP81">
            <v>-1.7735250306167938</v>
          </cell>
          <cell r="BQ81">
            <v>-7.094100122467176</v>
          </cell>
          <cell r="BR81">
            <v>-7.3984646258748796</v>
          </cell>
          <cell r="BS81">
            <v>-8.0214215551472687</v>
          </cell>
          <cell r="BT81">
            <v>-7.9565512030163621</v>
          </cell>
          <cell r="BU81">
            <v>-7.8228950681237794</v>
          </cell>
          <cell r="BV81">
            <v>-7.7865817333977976</v>
          </cell>
          <cell r="BW81">
            <v>-7.7447520592101844</v>
          </cell>
          <cell r="BX81">
            <v>-7.6918810988506383</v>
          </cell>
          <cell r="BY81">
            <v>-7.690276754391431</v>
          </cell>
          <cell r="BZ81">
            <v>-7.7266358104619899</v>
          </cell>
          <cell r="CA81">
            <v>-7.9337203657441275</v>
          </cell>
          <cell r="CF81" t="str">
            <v>mstag:netIncomeAttributableToNoncontrollingInterest</v>
          </cell>
          <cell r="CG81">
            <v>6</v>
          </cell>
          <cell r="CH81" t="str">
            <v>ISO4217:EUR</v>
          </cell>
          <cell r="CI81" t="b">
            <v>1</v>
          </cell>
        </row>
        <row r="82">
          <cell r="A82" t="str">
            <v>Income from Discontinued Operations</v>
          </cell>
          <cell r="B82">
            <v>41.4</v>
          </cell>
          <cell r="C82">
            <v>47.1</v>
          </cell>
          <cell r="D82">
            <v>88.5</v>
          </cell>
          <cell r="E82">
            <v>36.200000000000003</v>
          </cell>
          <cell r="F82">
            <v>124.7</v>
          </cell>
          <cell r="G82">
            <v>70.2</v>
          </cell>
          <cell r="H82">
            <v>194.9</v>
          </cell>
          <cell r="I82">
            <v>56.2</v>
          </cell>
          <cell r="J82">
            <v>42.6</v>
          </cell>
          <cell r="K82">
            <v>98.800000000000011</v>
          </cell>
          <cell r="L82">
            <v>8.1999999999999993</v>
          </cell>
          <cell r="M82">
            <v>107.00000000000001</v>
          </cell>
          <cell r="N82">
            <v>3501</v>
          </cell>
          <cell r="O82">
            <v>3608</v>
          </cell>
          <cell r="P82">
            <v>0.8</v>
          </cell>
          <cell r="Q82">
            <v>1.6</v>
          </cell>
          <cell r="R82">
            <v>2.4000000000000004</v>
          </cell>
          <cell r="S82">
            <v>-1.2</v>
          </cell>
          <cell r="T82">
            <v>1.2000000000000004</v>
          </cell>
          <cell r="U82">
            <v>-1.2</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X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F82" t="str">
            <v>mstag:incomeLossFromDiscontinuedOperationsNetOfTax</v>
          </cell>
          <cell r="CG82">
            <v>6</v>
          </cell>
          <cell r="CH82" t="str">
            <v>ISO4217:EUR</v>
          </cell>
          <cell r="CI82" t="b">
            <v>0</v>
          </cell>
        </row>
        <row r="83">
          <cell r="A83" t="str">
            <v>Net Income, post exceptionals</v>
          </cell>
          <cell r="B83">
            <v>180.89999999999984</v>
          </cell>
          <cell r="C83">
            <v>528.4</v>
          </cell>
          <cell r="D83">
            <v>709.30000000000041</v>
          </cell>
          <cell r="E83">
            <v>144.50000000000003</v>
          </cell>
          <cell r="F83">
            <v>853.80000000000018</v>
          </cell>
          <cell r="G83">
            <v>129.79999999999967</v>
          </cell>
          <cell r="H83">
            <v>983.59999999999889</v>
          </cell>
          <cell r="I83">
            <v>-8.1092867199999006</v>
          </cell>
          <cell r="J83">
            <v>85.736078210000045</v>
          </cell>
          <cell r="K83">
            <v>77.626791490000642</v>
          </cell>
          <cell r="L83">
            <v>36.34183287999987</v>
          </cell>
          <cell r="M83">
            <v>113.96862437000036</v>
          </cell>
          <cell r="N83">
            <v>3386.3981717699999</v>
          </cell>
          <cell r="O83">
            <v>3500.3667961400001</v>
          </cell>
          <cell r="P83">
            <v>238.99235436999999</v>
          </cell>
          <cell r="Q83">
            <v>207.18195202999974</v>
          </cell>
          <cell r="R83">
            <v>446.17430640000049</v>
          </cell>
          <cell r="S83">
            <v>199.86978720000022</v>
          </cell>
          <cell r="T83">
            <v>639.44409359999997</v>
          </cell>
          <cell r="U83">
            <v>-279.03091073000013</v>
          </cell>
          <cell r="V83">
            <v>367.01318287000015</v>
          </cell>
          <cell r="W83">
            <v>56.554397119999578</v>
          </cell>
          <cell r="X83">
            <v>108.42289691999996</v>
          </cell>
          <cell r="Y83">
            <v>164.97729403999963</v>
          </cell>
          <cell r="Z83">
            <v>144.57404472999843</v>
          </cell>
          <cell r="AA83">
            <v>309.55133876999878</v>
          </cell>
          <cell r="AB83">
            <v>56.910834829991472</v>
          </cell>
          <cell r="AC83">
            <v>366.52198574999028</v>
          </cell>
          <cell r="AD83">
            <v>191.46298680999982</v>
          </cell>
          <cell r="AE83">
            <v>183.39873412000043</v>
          </cell>
          <cell r="AF83">
            <v>374.8617209300005</v>
          </cell>
          <cell r="AG83">
            <v>210.57870943000324</v>
          </cell>
          <cell r="AH83">
            <v>585.44043036000198</v>
          </cell>
          <cell r="AI83">
            <v>46.476038830002985</v>
          </cell>
          <cell r="AJ83">
            <v>631.91646919000721</v>
          </cell>
          <cell r="AK83">
            <v>338.6328415199992</v>
          </cell>
          <cell r="AL83">
            <v>-88.755333679999424</v>
          </cell>
          <cell r="AM83">
            <v>249.87750784000147</v>
          </cell>
          <cell r="AN83">
            <v>224.20107131000327</v>
          </cell>
          <cell r="AO83">
            <v>474.07857915000466</v>
          </cell>
          <cell r="AP83">
            <v>133.10313096999857</v>
          </cell>
          <cell r="AQ83">
            <v>607.18171012000164</v>
          </cell>
          <cell r="AR83">
            <v>172.69999999999973</v>
          </cell>
          <cell r="AS83">
            <v>-63.100000000000371</v>
          </cell>
          <cell r="AT83">
            <v>109.59999999999965</v>
          </cell>
          <cell r="AU83">
            <v>185.49999999999994</v>
          </cell>
          <cell r="AV83">
            <v>295.09999999999957</v>
          </cell>
          <cell r="AW83">
            <v>271.4999999999996</v>
          </cell>
          <cell r="AX83">
            <v>566.60000000000116</v>
          </cell>
          <cell r="AY83">
            <v>172.9999999999998</v>
          </cell>
          <cell r="AZ83">
            <v>-63.300000000000189</v>
          </cell>
          <cell r="BA83">
            <v>185.7</v>
          </cell>
          <cell r="BB83">
            <v>271.4999999999996</v>
          </cell>
          <cell r="BC83">
            <v>566.90000000000043</v>
          </cell>
          <cell r="BD83">
            <v>266.10000000000002</v>
          </cell>
          <cell r="BE83">
            <v>315.90000000000026</v>
          </cell>
          <cell r="BF83">
            <v>581.99999999999932</v>
          </cell>
          <cell r="BG83">
            <v>339.6</v>
          </cell>
          <cell r="BH83">
            <v>921.59999999999945</v>
          </cell>
          <cell r="BI83">
            <v>280.50000000000125</v>
          </cell>
          <cell r="BJ83">
            <v>1202.1000000000004</v>
          </cell>
          <cell r="BK83">
            <v>249.09434100253588</v>
          </cell>
          <cell r="BL83">
            <v>237.0291882305082</v>
          </cell>
          <cell r="BM83">
            <v>486.123529233044</v>
          </cell>
          <cell r="BN83">
            <v>262.699415768037</v>
          </cell>
          <cell r="BO83">
            <v>748.82294500108014</v>
          </cell>
          <cell r="BP83">
            <v>276.34291922840248</v>
          </cell>
          <cell r="BQ83">
            <v>1025.1658642294828</v>
          </cell>
          <cell r="BR83">
            <v>1284.9292282792792</v>
          </cell>
          <cell r="BS83">
            <v>1469.8353629665155</v>
          </cell>
          <cell r="BT83">
            <v>1469.1392557731092</v>
          </cell>
          <cell r="BU83">
            <v>1744.9370728630245</v>
          </cell>
          <cell r="BV83">
            <v>1732.5225212104019</v>
          </cell>
          <cell r="BW83">
            <v>1719.3746595650398</v>
          </cell>
          <cell r="BX83">
            <v>1701.5171753583111</v>
          </cell>
          <cell r="BY83">
            <v>1698.0838279546854</v>
          </cell>
          <cell r="BZ83">
            <v>1704.7558759508956</v>
          </cell>
          <cell r="CA83">
            <v>1753.6733018224668</v>
          </cell>
        </row>
        <row r="84">
          <cell r="A84" t="str">
            <v>Net income, pre exceptionals</v>
          </cell>
          <cell r="W84">
            <v>249.02672334999997</v>
          </cell>
          <cell r="X84">
            <v>236.57216700999996</v>
          </cell>
          <cell r="Y84">
            <v>485.59889035999993</v>
          </cell>
          <cell r="Z84">
            <v>279.92469492000004</v>
          </cell>
          <cell r="AA84">
            <v>765.52358527999991</v>
          </cell>
          <cell r="AB84">
            <v>223.92275206999997</v>
          </cell>
          <cell r="AC84">
            <v>989.44633735000014</v>
          </cell>
          <cell r="AD84">
            <v>337.42147260999985</v>
          </cell>
          <cell r="AE84">
            <v>344.90669025999983</v>
          </cell>
          <cell r="AF84">
            <v>682.32816286999969</v>
          </cell>
          <cell r="AG84">
            <v>431.91491910000008</v>
          </cell>
          <cell r="AH84">
            <v>1114.24308197</v>
          </cell>
          <cell r="AI84">
            <v>405.36840547000008</v>
          </cell>
          <cell r="AJ84">
            <v>1518.6114892900002</v>
          </cell>
          <cell r="AK84">
            <v>413.43284151999944</v>
          </cell>
          <cell r="AL84">
            <v>346.87428911000012</v>
          </cell>
          <cell r="AM84">
            <v>760.30713062999962</v>
          </cell>
          <cell r="AN84">
            <v>353.10107131000285</v>
          </cell>
          <cell r="AO84">
            <v>1113.4082019400023</v>
          </cell>
          <cell r="AP84">
            <v>361.9031309699987</v>
          </cell>
          <cell r="AQ84">
            <v>1475.3113329100011</v>
          </cell>
          <cell r="AR84">
            <v>361.59999999999985</v>
          </cell>
          <cell r="AS84">
            <v>417.29999999999984</v>
          </cell>
          <cell r="AT84">
            <v>778.89999999999986</v>
          </cell>
          <cell r="AU84">
            <v>429.60000000000031</v>
          </cell>
          <cell r="AV84">
            <v>1208.5</v>
          </cell>
          <cell r="AW84">
            <v>444.39999999999952</v>
          </cell>
          <cell r="AX84">
            <v>1652.8999999999999</v>
          </cell>
          <cell r="AY84">
            <v>361.79999999999978</v>
          </cell>
          <cell r="AZ84">
            <v>417.19999999999993</v>
          </cell>
          <cell r="BA84">
            <v>429.90000000000026</v>
          </cell>
          <cell r="BB84">
            <v>444.49999999999966</v>
          </cell>
          <cell r="BC84">
            <v>1653.4000000000003</v>
          </cell>
          <cell r="BD84">
            <v>458.99999999999989</v>
          </cell>
          <cell r="BE84">
            <v>491.49999999999983</v>
          </cell>
          <cell r="BF84">
            <v>950.49999999999977</v>
          </cell>
          <cell r="BG84">
            <v>498.00000000000011</v>
          </cell>
          <cell r="BH84">
            <v>1448.4999999999995</v>
          </cell>
          <cell r="BI84">
            <v>461.10000000000088</v>
          </cell>
          <cell r="BJ84">
            <v>1909.6000000000004</v>
          </cell>
          <cell r="BK84">
            <v>489.7938621642482</v>
          </cell>
          <cell r="BL84">
            <v>482.45990173977515</v>
          </cell>
          <cell r="BM84">
            <v>972.25376390402323</v>
          </cell>
          <cell r="BN84">
            <v>504.65507170464815</v>
          </cell>
          <cell r="BO84">
            <v>1476.9088356086716</v>
          </cell>
          <cell r="BP84">
            <v>522.04962993461777</v>
          </cell>
          <cell r="BQ84">
            <v>1998.9584655432893</v>
          </cell>
          <cell r="BR84">
            <v>2084.7215630742721</v>
          </cell>
          <cell r="BS84">
            <v>2260.2568678966713</v>
          </cell>
          <cell r="BT84">
            <v>2241.9778561381295</v>
          </cell>
          <cell r="BU84">
            <v>2204.3165519976396</v>
          </cell>
          <cell r="BV84">
            <v>2194.0842679010675</v>
          </cell>
          <cell r="BW84">
            <v>2182.2976029421911</v>
          </cell>
          <cell r="BX84">
            <v>2167.3997509288815</v>
          </cell>
          <cell r="BY84">
            <v>2166.9476826068926</v>
          </cell>
          <cell r="BZ84">
            <v>2177.1928499539431</v>
          </cell>
          <cell r="CA84">
            <v>2235.5446377379212</v>
          </cell>
          <cell r="CF84" t="str">
            <v>mstag:netIncomeAdjustedForConsensus</v>
          </cell>
          <cell r="CG84">
            <v>6</v>
          </cell>
          <cell r="CH84" t="str">
            <v>ISO4217:EUR</v>
          </cell>
          <cell r="CI84" t="b">
            <v>0</v>
          </cell>
        </row>
        <row r="85">
          <cell r="A85" t="str">
            <v>Net Income, Continuing</v>
          </cell>
          <cell r="B85">
            <v>139.49999999999983</v>
          </cell>
          <cell r="C85">
            <v>481.3</v>
          </cell>
          <cell r="D85">
            <v>620.80000000000041</v>
          </cell>
          <cell r="E85">
            <v>108.30000000000003</v>
          </cell>
          <cell r="F85">
            <v>729.10000000000014</v>
          </cell>
          <cell r="G85">
            <v>59.599999999999653</v>
          </cell>
          <cell r="H85">
            <v>788.69999999999891</v>
          </cell>
          <cell r="I85">
            <v>-64.309286719999903</v>
          </cell>
          <cell r="J85">
            <v>43.136078210000043</v>
          </cell>
          <cell r="K85">
            <v>-21.173208509999363</v>
          </cell>
          <cell r="L85">
            <v>28.141832879999868</v>
          </cell>
          <cell r="M85">
            <v>6.9686243700003452</v>
          </cell>
          <cell r="N85">
            <v>-114.60182823000007</v>
          </cell>
          <cell r="O85">
            <v>-107.63320385999998</v>
          </cell>
          <cell r="P85">
            <v>238.19235436999998</v>
          </cell>
          <cell r="Q85">
            <v>205.58195202999974</v>
          </cell>
          <cell r="R85">
            <v>443.77430640000051</v>
          </cell>
          <cell r="S85">
            <v>201.06978720000021</v>
          </cell>
          <cell r="T85">
            <v>638.24409359999993</v>
          </cell>
          <cell r="U85">
            <v>-277.83091073000014</v>
          </cell>
          <cell r="V85">
            <v>367.01318287000015</v>
          </cell>
          <cell r="W85">
            <v>56.554397119999578</v>
          </cell>
          <cell r="X85">
            <v>108.42289691999996</v>
          </cell>
          <cell r="Y85">
            <v>164.97729403999963</v>
          </cell>
          <cell r="Z85">
            <v>144.57404472999843</v>
          </cell>
          <cell r="AA85">
            <v>309.55133876999878</v>
          </cell>
          <cell r="AB85">
            <v>56.910834829991472</v>
          </cell>
          <cell r="AC85">
            <v>366.52198574999028</v>
          </cell>
          <cell r="AD85">
            <v>191.46298680999982</v>
          </cell>
          <cell r="AE85">
            <v>183.39873412000043</v>
          </cell>
          <cell r="AF85">
            <v>374.8617209300005</v>
          </cell>
          <cell r="AG85">
            <v>210.57870943000324</v>
          </cell>
          <cell r="AH85">
            <v>585.44043036000198</v>
          </cell>
          <cell r="AI85">
            <v>46.476038830002985</v>
          </cell>
          <cell r="AJ85">
            <v>631.91646919000721</v>
          </cell>
          <cell r="AK85">
            <v>338.6328415199992</v>
          </cell>
          <cell r="AL85">
            <v>-88.755333679999424</v>
          </cell>
          <cell r="AM85">
            <v>249.87750784000147</v>
          </cell>
          <cell r="AN85">
            <v>224.20107131000327</v>
          </cell>
          <cell r="AO85">
            <v>474.07857915000466</v>
          </cell>
          <cell r="AP85">
            <v>133.10313096999857</v>
          </cell>
          <cell r="AQ85">
            <v>607.18171012000164</v>
          </cell>
          <cell r="AX85">
            <v>566.60000000000116</v>
          </cell>
          <cell r="BJ85">
            <v>1202.1000000000004</v>
          </cell>
          <cell r="BQ85">
            <v>1025.1658642294828</v>
          </cell>
          <cell r="BR85">
            <v>1284.9292282792792</v>
          </cell>
          <cell r="BS85">
            <v>1469.8353629665155</v>
          </cell>
          <cell r="BT85">
            <v>1469.1392557731092</v>
          </cell>
          <cell r="BU85">
            <v>1744.9370728630245</v>
          </cell>
          <cell r="BV85">
            <v>1732.5225212104019</v>
          </cell>
          <cell r="BW85">
            <v>1719.3746595650398</v>
          </cell>
          <cell r="BX85">
            <v>1701.5171753583111</v>
          </cell>
          <cell r="BY85">
            <v>1698.0838279546854</v>
          </cell>
          <cell r="BZ85">
            <v>1704.7558759508956</v>
          </cell>
          <cell r="CA85">
            <v>1753.6733018224668</v>
          </cell>
        </row>
        <row r="86">
          <cell r="A86" t="str">
            <v>Thereof from Generics</v>
          </cell>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-1.6</v>
          </cell>
          <cell r="V86">
            <v>-1.6</v>
          </cell>
          <cell r="W86">
            <v>0.15004601000000001</v>
          </cell>
          <cell r="X86">
            <v>-1.6677287099999991</v>
          </cell>
          <cell r="Y86">
            <v>-1.5176826999999991</v>
          </cell>
          <cell r="Z86">
            <v>-0.84475081999999968</v>
          </cell>
          <cell r="AA86">
            <v>-2.3624335199999988</v>
          </cell>
          <cell r="AB86">
            <v>0</v>
          </cell>
          <cell r="AC86">
            <v>-2.3624335199999988</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X86">
            <v>0</v>
          </cell>
          <cell r="BJ86">
            <v>0</v>
          </cell>
          <cell r="BQ86">
            <v>0</v>
          </cell>
          <cell r="BR86">
            <v>0</v>
          </cell>
          <cell r="BS86">
            <v>0</v>
          </cell>
          <cell r="BT86">
            <v>0</v>
          </cell>
          <cell r="BU86">
            <v>0</v>
          </cell>
          <cell r="BV86">
            <v>0</v>
          </cell>
          <cell r="BW86">
            <v>0</v>
          </cell>
          <cell r="BX86">
            <v>0</v>
          </cell>
          <cell r="BY86">
            <v>0</v>
          </cell>
          <cell r="BZ86">
            <v>0</v>
          </cell>
          <cell r="CA86">
            <v>0</v>
          </cell>
        </row>
        <row r="87">
          <cell r="A87" t="str">
            <v>Core Net Income CORE (Pre-Excep/intang/Restructuring)</v>
          </cell>
          <cell r="B87" t="str">
            <v>nm</v>
          </cell>
          <cell r="C87" t="str">
            <v>nm</v>
          </cell>
          <cell r="D87" t="str">
            <v>nm</v>
          </cell>
          <cell r="E87">
            <v>187.20000000000002</v>
          </cell>
          <cell r="F87" t="str">
            <v>nm</v>
          </cell>
          <cell r="G87">
            <v>135.79999999999998</v>
          </cell>
          <cell r="H87">
            <v>547.07999999999993</v>
          </cell>
          <cell r="I87">
            <v>247.29071328000009</v>
          </cell>
          <cell r="J87">
            <v>294.33607821000004</v>
          </cell>
          <cell r="K87">
            <v>541.62679149000019</v>
          </cell>
          <cell r="L87">
            <v>319.24183287999983</v>
          </cell>
          <cell r="M87">
            <v>860.86862437000002</v>
          </cell>
          <cell r="N87">
            <v>263.94817176999993</v>
          </cell>
          <cell r="O87">
            <v>1124.8167961400002</v>
          </cell>
          <cell r="P87">
            <v>365.89235436999996</v>
          </cell>
          <cell r="Q87">
            <v>332.98195202999977</v>
          </cell>
          <cell r="R87">
            <v>698.8743063999998</v>
          </cell>
          <cell r="S87">
            <v>334.36978720000019</v>
          </cell>
          <cell r="T87">
            <v>1033.2440936</v>
          </cell>
          <cell r="U87">
            <v>211.26908926999985</v>
          </cell>
          <cell r="V87">
            <v>1244.5131828700003</v>
          </cell>
          <cell r="W87">
            <v>178.90385630999955</v>
          </cell>
          <cell r="X87">
            <v>236.52203921999993</v>
          </cell>
          <cell r="Y87">
            <v>415.42589552999959</v>
          </cell>
          <cell r="Z87">
            <v>273.82405307999846</v>
          </cell>
          <cell r="AA87">
            <v>689.2499486099988</v>
          </cell>
          <cell r="AB87">
            <v>204.97494510999152</v>
          </cell>
          <cell r="AC87">
            <v>894.28470586999026</v>
          </cell>
          <cell r="AD87">
            <v>314.16298680999984</v>
          </cell>
          <cell r="AE87">
            <v>338.74984303000042</v>
          </cell>
          <cell r="AF87">
            <v>652.91282984000065</v>
          </cell>
          <cell r="AG87">
            <v>423.32824357000322</v>
          </cell>
          <cell r="AH87">
            <v>1076.2410734100019</v>
          </cell>
          <cell r="AI87">
            <v>455.631029180003</v>
          </cell>
          <cell r="AJ87">
            <v>1531.8721025900074</v>
          </cell>
          <cell r="AK87">
            <v>597.19033250999917</v>
          </cell>
          <cell r="AL87">
            <v>236.50466632000058</v>
          </cell>
          <cell r="AM87">
            <v>833.6949988300014</v>
          </cell>
          <cell r="AN87">
            <v>434.60107131000325</v>
          </cell>
          <cell r="AO87">
            <v>1268.2960701400045</v>
          </cell>
          <cell r="AP87">
            <v>353.46563997999857</v>
          </cell>
          <cell r="AQ87">
            <v>1621.8017101200016</v>
          </cell>
          <cell r="AX87">
            <v>1441.0200000000011</v>
          </cell>
          <cell r="BJ87">
            <v>2014.2200000000003</v>
          </cell>
          <cell r="BQ87">
            <v>1797.0890277337999</v>
          </cell>
          <cell r="BR87">
            <v>1939.3360221250186</v>
          </cell>
          <cell r="BS87">
            <v>2116.314703976022</v>
          </cell>
          <cell r="BT87">
            <v>2104.9279448686552</v>
          </cell>
          <cell r="BU87">
            <v>2062.8667022128011</v>
          </cell>
          <cell r="BV87">
            <v>2047.8233717598982</v>
          </cell>
          <cell r="BW87">
            <v>2031.5751308890635</v>
          </cell>
          <cell r="BX87">
            <v>2011.0829793721432</v>
          </cell>
          <cell r="BY87">
            <v>2004.8560052203197</v>
          </cell>
          <cell r="BZ87">
            <v>2009.1799718867096</v>
          </cell>
          <cell r="CA87">
            <v>2057.4628071385173</v>
          </cell>
        </row>
        <row r="88">
          <cell r="A88" t="str">
            <v>Profit after tax from continuing operations after minoritites</v>
          </cell>
          <cell r="B88">
            <v>139.49999999999983</v>
          </cell>
          <cell r="C88">
            <v>481.3</v>
          </cell>
          <cell r="D88">
            <v>620.80000000000041</v>
          </cell>
          <cell r="E88">
            <v>108.30000000000003</v>
          </cell>
          <cell r="F88">
            <v>729.10000000000014</v>
          </cell>
          <cell r="G88">
            <v>59.599999999999653</v>
          </cell>
          <cell r="W88">
            <v>56.554397119999578</v>
          </cell>
          <cell r="X88">
            <v>108.42289691999996</v>
          </cell>
          <cell r="Y88">
            <v>164.97729403999963</v>
          </cell>
          <cell r="Z88">
            <v>144.57404472999843</v>
          </cell>
          <cell r="AA88">
            <v>309.55133876999878</v>
          </cell>
          <cell r="AB88">
            <v>56.910834829991472</v>
          </cell>
          <cell r="AC88">
            <v>366.52198574999028</v>
          </cell>
          <cell r="AD88">
            <v>191.46298680999982</v>
          </cell>
          <cell r="AE88">
            <v>183.39873412000043</v>
          </cell>
          <cell r="AF88">
            <v>374.8617209300005</v>
          </cell>
          <cell r="AG88">
            <v>210.57870943000324</v>
          </cell>
          <cell r="AH88">
            <v>585.44043036000198</v>
          </cell>
          <cell r="AI88">
            <v>46.476038830002985</v>
          </cell>
          <cell r="AJ88">
            <v>631.91646919000721</v>
          </cell>
          <cell r="AK88">
            <v>338.6328415199992</v>
          </cell>
          <cell r="AL88">
            <v>-88.755333679999424</v>
          </cell>
          <cell r="AM88">
            <v>249.87750784000147</v>
          </cell>
          <cell r="AN88">
            <v>224.20107131000327</v>
          </cell>
          <cell r="AO88">
            <v>474.07857915000466</v>
          </cell>
          <cell r="AP88">
            <v>133.10313096999857</v>
          </cell>
          <cell r="AQ88">
            <v>607.18171012000164</v>
          </cell>
          <cell r="AX88">
            <v>566.60000000000116</v>
          </cell>
          <cell r="BJ88">
            <v>1202.1000000000004</v>
          </cell>
          <cell r="BQ88">
            <v>1025.1658642294828</v>
          </cell>
          <cell r="BR88">
            <v>1284.9292282792792</v>
          </cell>
          <cell r="BS88">
            <v>1469.8353629665155</v>
          </cell>
          <cell r="BT88">
            <v>1469.1392557731092</v>
          </cell>
          <cell r="BU88">
            <v>1744.9370728630245</v>
          </cell>
          <cell r="BV88">
            <v>1732.5225212104019</v>
          </cell>
          <cell r="BW88">
            <v>1719.3746595650398</v>
          </cell>
          <cell r="BX88">
            <v>1701.5171753583111</v>
          </cell>
          <cell r="BY88">
            <v>1698.0838279546854</v>
          </cell>
          <cell r="BZ88">
            <v>1704.7558759508956</v>
          </cell>
          <cell r="CA88">
            <v>1753.6733018224668</v>
          </cell>
        </row>
        <row r="89">
          <cell r="A89" t="str">
            <v>thereof from Generics</v>
          </cell>
          <cell r="B89">
            <v>0</v>
          </cell>
          <cell r="C89">
            <v>0</v>
          </cell>
          <cell r="D89">
            <v>0</v>
          </cell>
          <cell r="E89">
            <v>0</v>
          </cell>
          <cell r="F89">
            <v>0</v>
          </cell>
          <cell r="G89">
            <v>0</v>
          </cell>
          <cell r="W89">
            <v>0.15004601000000001</v>
          </cell>
          <cell r="X89">
            <v>-1.6677287099999991</v>
          </cell>
          <cell r="Y89">
            <v>-1.5176826999999991</v>
          </cell>
          <cell r="Z89">
            <v>-0.84475081999999968</v>
          </cell>
          <cell r="AA89">
            <v>-2.3624335199999988</v>
          </cell>
          <cell r="AB89">
            <v>0</v>
          </cell>
          <cell r="AC89">
            <v>-2.3624335199999988</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X89">
            <v>0</v>
          </cell>
          <cell r="BJ89">
            <v>0</v>
          </cell>
          <cell r="BQ89">
            <v>0</v>
          </cell>
          <cell r="BR89">
            <v>0</v>
          </cell>
          <cell r="BS89">
            <v>0</v>
          </cell>
          <cell r="BT89">
            <v>0</v>
          </cell>
          <cell r="BU89">
            <v>0</v>
          </cell>
          <cell r="BV89">
            <v>0</v>
          </cell>
          <cell r="BW89">
            <v>0</v>
          </cell>
          <cell r="BX89">
            <v>0</v>
          </cell>
          <cell r="BY89">
            <v>0</v>
          </cell>
          <cell r="BZ89">
            <v>0</v>
          </cell>
          <cell r="CA89">
            <v>0</v>
          </cell>
        </row>
        <row r="90">
          <cell r="A90" t="str">
            <v>Amortization of intangible assets Merck Serono</v>
          </cell>
          <cell r="B90">
            <v>-0.8</v>
          </cell>
          <cell r="C90">
            <v>-0.9</v>
          </cell>
          <cell r="D90">
            <v>-1.7000000000000002</v>
          </cell>
          <cell r="E90">
            <v>-0.9</v>
          </cell>
          <cell r="F90">
            <v>-2.6</v>
          </cell>
          <cell r="G90">
            <v>-1.8000000000000007</v>
          </cell>
          <cell r="W90">
            <v>145</v>
          </cell>
          <cell r="X90">
            <v>143.4</v>
          </cell>
          <cell r="Y90">
            <v>288.39999999999998</v>
          </cell>
          <cell r="Z90">
            <v>144.4</v>
          </cell>
          <cell r="AA90">
            <v>432.79999999999995</v>
          </cell>
          <cell r="AB90">
            <v>214.1</v>
          </cell>
          <cell r="AC90">
            <v>646.9</v>
          </cell>
          <cell r="AD90">
            <v>137.6</v>
          </cell>
          <cell r="AE90">
            <v>143.1</v>
          </cell>
          <cell r="AF90">
            <v>280.7</v>
          </cell>
          <cell r="AG90">
            <v>148.30000000000001</v>
          </cell>
          <cell r="AH90">
            <v>429</v>
          </cell>
          <cell r="AI90">
            <v>284.5</v>
          </cell>
          <cell r="AJ90">
            <v>713.5</v>
          </cell>
          <cell r="AK90">
            <v>199.1</v>
          </cell>
          <cell r="AL90">
            <v>262.7</v>
          </cell>
          <cell r="AM90">
            <v>461.79999999999995</v>
          </cell>
          <cell r="AN90">
            <v>163.9</v>
          </cell>
          <cell r="AO90">
            <v>625.69999999999993</v>
          </cell>
          <cell r="AP90">
            <v>173.4</v>
          </cell>
          <cell r="AQ90">
            <v>799.09999999999991</v>
          </cell>
          <cell r="AX90">
            <v>658.9</v>
          </cell>
          <cell r="BJ90">
            <v>596.6</v>
          </cell>
          <cell r="BQ90">
            <v>556.40316350431692</v>
          </cell>
          <cell r="BR90">
            <v>438.88679384573953</v>
          </cell>
          <cell r="BS90">
            <v>430.9593410095066</v>
          </cell>
          <cell r="BT90">
            <v>420.26868909554594</v>
          </cell>
          <cell r="BU90">
            <v>102.40962934977694</v>
          </cell>
          <cell r="BV90">
            <v>99.780850549496279</v>
          </cell>
          <cell r="BW90">
            <v>96.680471324023657</v>
          </cell>
          <cell r="BX90">
            <v>94.045804013832026</v>
          </cell>
          <cell r="BY90">
            <v>91.252177265634259</v>
          </cell>
          <cell r="BZ90">
            <v>88.904095935814084</v>
          </cell>
          <cell r="CA90">
            <v>88.269505316050711</v>
          </cell>
        </row>
        <row r="91">
          <cell r="A91" t="str">
            <v>Restructuring/special integration costs Serono</v>
          </cell>
          <cell r="B91">
            <v>0</v>
          </cell>
          <cell r="C91">
            <v>0</v>
          </cell>
          <cell r="D91">
            <v>0</v>
          </cell>
          <cell r="E91">
            <v>0</v>
          </cell>
          <cell r="F91">
            <v>0</v>
          </cell>
          <cell r="G91">
            <v>0</v>
          </cell>
          <cell r="W91">
            <v>0.2</v>
          </cell>
          <cell r="X91">
            <v>0.1</v>
          </cell>
          <cell r="Y91">
            <v>0.30000000000000004</v>
          </cell>
          <cell r="Z91">
            <v>0.35</v>
          </cell>
          <cell r="AA91">
            <v>0.65</v>
          </cell>
          <cell r="AB91">
            <v>-0.7</v>
          </cell>
          <cell r="AC91">
            <v>-4.9999999999999933E-2</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X91">
            <v>0</v>
          </cell>
          <cell r="BJ91">
            <v>0</v>
          </cell>
          <cell r="BQ91">
            <v>0</v>
          </cell>
          <cell r="BR91">
            <v>0</v>
          </cell>
          <cell r="BS91">
            <v>0</v>
          </cell>
          <cell r="BT91">
            <v>0</v>
          </cell>
          <cell r="BU91">
            <v>0</v>
          </cell>
          <cell r="BV91">
            <v>0</v>
          </cell>
          <cell r="BW91">
            <v>0</v>
          </cell>
          <cell r="BX91">
            <v>0</v>
          </cell>
          <cell r="BY91">
            <v>0</v>
          </cell>
          <cell r="BZ91">
            <v>0</v>
          </cell>
          <cell r="CA91">
            <v>0</v>
          </cell>
        </row>
        <row r="92">
          <cell r="A92" t="str">
            <v>Exceptionals</v>
          </cell>
          <cell r="B92">
            <v>0</v>
          </cell>
          <cell r="C92">
            <v>0</v>
          </cell>
          <cell r="D92">
            <v>0</v>
          </cell>
          <cell r="E92">
            <v>-34.299999999999997</v>
          </cell>
          <cell r="F92">
            <v>-34.299999999999997</v>
          </cell>
          <cell r="G92">
            <v>-21.9</v>
          </cell>
          <cell r="W92">
            <v>-1.2005408099999961</v>
          </cell>
          <cell r="X92">
            <v>-8.5770000000555098E-4</v>
          </cell>
          <cell r="Y92">
            <v>-1.2013985100000018</v>
          </cell>
          <cell r="Z92">
            <v>8.350000000684958E-6</v>
          </cell>
          <cell r="AA92">
            <v>-1.201390160000001</v>
          </cell>
          <cell r="AB92">
            <v>-40.885889719999994</v>
          </cell>
          <cell r="AC92">
            <v>-42.087279879999997</v>
          </cell>
          <cell r="AD92">
            <v>0</v>
          </cell>
          <cell r="AE92">
            <v>1.1999150000000001</v>
          </cell>
          <cell r="AF92">
            <v>1.1999150000000001</v>
          </cell>
          <cell r="AG92">
            <v>2.420000000000768E-6</v>
          </cell>
          <cell r="AH92">
            <v>1.19991742</v>
          </cell>
          <cell r="AI92">
            <v>68.199999840000004</v>
          </cell>
          <cell r="AJ92">
            <v>69.399917260000009</v>
          </cell>
          <cell r="AK92">
            <v>0</v>
          </cell>
          <cell r="AL92">
            <v>17.260000000000002</v>
          </cell>
          <cell r="AM92">
            <v>17.260000000000002</v>
          </cell>
          <cell r="AN92">
            <v>0</v>
          </cell>
          <cell r="AO92">
            <v>17.260000000000002</v>
          </cell>
          <cell r="AP92">
            <v>0</v>
          </cell>
          <cell r="AQ92">
            <v>17.3</v>
          </cell>
          <cell r="AX92">
            <v>17.3</v>
          </cell>
          <cell r="BJ92">
            <v>17.3</v>
          </cell>
          <cell r="BQ92">
            <v>17.3</v>
          </cell>
          <cell r="BR92">
            <v>17.3</v>
          </cell>
          <cell r="BS92">
            <v>17.3</v>
          </cell>
          <cell r="BT92">
            <v>17.3</v>
          </cell>
          <cell r="BU92">
            <v>17.3</v>
          </cell>
          <cell r="BV92">
            <v>17.3</v>
          </cell>
          <cell r="BW92">
            <v>17.3</v>
          </cell>
          <cell r="BX92">
            <v>17.3</v>
          </cell>
          <cell r="BY92">
            <v>17.3</v>
          </cell>
          <cell r="BZ92">
            <v>17.3</v>
          </cell>
          <cell r="CA92">
            <v>17.3</v>
          </cell>
        </row>
        <row r="93">
          <cell r="A93" t="str">
            <v>Amortization of intangible assets Merck Millipore</v>
          </cell>
          <cell r="W93">
            <v>0</v>
          </cell>
          <cell r="X93">
            <v>0</v>
          </cell>
          <cell r="Y93">
            <v>0</v>
          </cell>
          <cell r="Z93">
            <v>0</v>
          </cell>
          <cell r="AA93">
            <v>0</v>
          </cell>
          <cell r="AB93">
            <v>0</v>
          </cell>
          <cell r="AC93">
            <v>0</v>
          </cell>
          <cell r="AD93">
            <v>0</v>
          </cell>
          <cell r="AE93">
            <v>0.34119391000000004</v>
          </cell>
          <cell r="AF93">
            <v>0.34119391000000004</v>
          </cell>
          <cell r="AG93">
            <v>47.686531719999991</v>
          </cell>
          <cell r="AH93">
            <v>48.027725629999992</v>
          </cell>
          <cell r="AI93">
            <v>47.454990510000002</v>
          </cell>
          <cell r="AJ93">
            <v>95.482716139999994</v>
          </cell>
          <cell r="AK93">
            <v>47.237490989999991</v>
          </cell>
          <cell r="AL93">
            <v>45.3</v>
          </cell>
          <cell r="AM93">
            <v>92.537490989999981</v>
          </cell>
          <cell r="AN93">
            <v>46.5</v>
          </cell>
          <cell r="AO93">
            <v>139.03749098999998</v>
          </cell>
          <cell r="AP93">
            <v>46.962509010000019</v>
          </cell>
          <cell r="AQ93">
            <v>186</v>
          </cell>
          <cell r="AX93">
            <v>186</v>
          </cell>
          <cell r="BJ93">
            <v>186</v>
          </cell>
          <cell r="BQ93">
            <v>186</v>
          </cell>
          <cell r="BR93">
            <v>186</v>
          </cell>
          <cell r="BS93">
            <v>186</v>
          </cell>
          <cell r="BT93">
            <v>186</v>
          </cell>
          <cell r="BU93">
            <v>186</v>
          </cell>
          <cell r="BV93">
            <v>186</v>
          </cell>
          <cell r="BW93">
            <v>186</v>
          </cell>
          <cell r="BX93">
            <v>186</v>
          </cell>
          <cell r="BY93">
            <v>186</v>
          </cell>
          <cell r="BZ93">
            <v>186</v>
          </cell>
          <cell r="CA93">
            <v>186</v>
          </cell>
        </row>
        <row r="94">
          <cell r="A94" t="str">
            <v>Amortization inventory step-up Millipore</v>
          </cell>
          <cell r="W94">
            <v>0</v>
          </cell>
          <cell r="X94">
            <v>0</v>
          </cell>
          <cell r="Y94">
            <v>0</v>
          </cell>
          <cell r="Z94">
            <v>0</v>
          </cell>
          <cell r="AA94">
            <v>0</v>
          </cell>
          <cell r="AB94">
            <v>0</v>
          </cell>
          <cell r="AC94">
            <v>0</v>
          </cell>
          <cell r="AD94">
            <v>0</v>
          </cell>
          <cell r="AE94">
            <v>0</v>
          </cell>
          <cell r="AF94">
            <v>0</v>
          </cell>
          <cell r="AG94">
            <v>42.906999999999996</v>
          </cell>
          <cell r="AH94">
            <v>42.906999999999996</v>
          </cell>
          <cell r="AI94">
            <v>42.9</v>
          </cell>
          <cell r="AJ94">
            <v>85.806999999999988</v>
          </cell>
          <cell r="AK94">
            <v>0</v>
          </cell>
          <cell r="AL94">
            <v>0</v>
          </cell>
          <cell r="AM94">
            <v>0</v>
          </cell>
          <cell r="AN94">
            <v>0</v>
          </cell>
          <cell r="AO94">
            <v>0</v>
          </cell>
          <cell r="AP94">
            <v>0</v>
          </cell>
          <cell r="AQ94">
            <v>0</v>
          </cell>
          <cell r="AX94">
            <v>0</v>
          </cell>
          <cell r="BJ94">
            <v>0</v>
          </cell>
          <cell r="BQ94">
            <v>0</v>
          </cell>
          <cell r="BR94">
            <v>0</v>
          </cell>
          <cell r="BS94">
            <v>0</v>
          </cell>
          <cell r="BT94">
            <v>0</v>
          </cell>
          <cell r="BU94">
            <v>0</v>
          </cell>
          <cell r="BV94">
            <v>0</v>
          </cell>
          <cell r="BW94">
            <v>0</v>
          </cell>
          <cell r="BX94">
            <v>0</v>
          </cell>
          <cell r="BY94">
            <v>0</v>
          </cell>
          <cell r="BZ94">
            <v>0</v>
          </cell>
          <cell r="CA94">
            <v>0</v>
          </cell>
        </row>
        <row r="95">
          <cell r="A95" t="str">
            <v>Transaction/integration costs Millipore</v>
          </cell>
          <cell r="W95">
            <v>0</v>
          </cell>
          <cell r="X95">
            <v>0</v>
          </cell>
          <cell r="Y95">
            <v>0</v>
          </cell>
          <cell r="Z95">
            <v>0</v>
          </cell>
          <cell r="AA95">
            <v>0</v>
          </cell>
          <cell r="AB95">
            <v>0</v>
          </cell>
          <cell r="AC95">
            <v>0</v>
          </cell>
          <cell r="AD95">
            <v>0</v>
          </cell>
          <cell r="AE95">
            <v>32.200000000000003</v>
          </cell>
          <cell r="AF95">
            <v>32.200000000000003</v>
          </cell>
          <cell r="AG95">
            <v>21.024000000000001</v>
          </cell>
          <cell r="AH95">
            <v>53.224000000000004</v>
          </cell>
          <cell r="AI95">
            <v>34.1</v>
          </cell>
          <cell r="AJ95">
            <v>87.324000000000012</v>
          </cell>
          <cell r="AK95">
            <v>12.22</v>
          </cell>
          <cell r="AL95">
            <v>0</v>
          </cell>
          <cell r="AM95">
            <v>12.22</v>
          </cell>
          <cell r="AN95">
            <v>0</v>
          </cell>
          <cell r="AO95">
            <v>12.22</v>
          </cell>
          <cell r="AP95">
            <v>0</v>
          </cell>
          <cell r="AQ95">
            <v>12.22</v>
          </cell>
          <cell r="AX95">
            <v>12.22</v>
          </cell>
          <cell r="BJ95">
            <v>12.22</v>
          </cell>
          <cell r="BQ95">
            <v>12.22</v>
          </cell>
          <cell r="BR95">
            <v>12.22</v>
          </cell>
          <cell r="BS95">
            <v>12.22</v>
          </cell>
          <cell r="BT95">
            <v>12.22</v>
          </cell>
          <cell r="BU95">
            <v>12.22</v>
          </cell>
          <cell r="BV95">
            <v>12.22</v>
          </cell>
          <cell r="BW95">
            <v>12.22</v>
          </cell>
          <cell r="BX95">
            <v>12.22</v>
          </cell>
          <cell r="BY95">
            <v>12.22</v>
          </cell>
          <cell r="BZ95">
            <v>12.22</v>
          </cell>
          <cell r="CA95">
            <v>12.22</v>
          </cell>
        </row>
        <row r="96">
          <cell r="A96" t="str">
            <v>Tax adjustments</v>
          </cell>
          <cell r="W96">
            <v>-21.65</v>
          </cell>
          <cell r="X96">
            <v>-15.4</v>
          </cell>
          <cell r="Y96">
            <v>-37.049999999999997</v>
          </cell>
          <cell r="Z96">
            <v>-15.5</v>
          </cell>
          <cell r="AA96">
            <v>-52.55</v>
          </cell>
          <cell r="AB96">
            <v>-24.45</v>
          </cell>
          <cell r="AC96">
            <v>-77</v>
          </cell>
          <cell r="AD96">
            <v>-14.9</v>
          </cell>
          <cell r="AE96">
            <v>-21.49</v>
          </cell>
          <cell r="AF96">
            <v>-36.39</v>
          </cell>
          <cell r="AG96">
            <v>-47.167999999999999</v>
          </cell>
          <cell r="AH96">
            <v>-83.557999999999993</v>
          </cell>
          <cell r="AI96">
            <v>-68</v>
          </cell>
          <cell r="AJ96">
            <v>-151.55799999999999</v>
          </cell>
          <cell r="AK96">
            <v>0</v>
          </cell>
          <cell r="AL96">
            <v>0</v>
          </cell>
          <cell r="AM96">
            <v>0</v>
          </cell>
          <cell r="AN96">
            <v>0</v>
          </cell>
          <cell r="AO96">
            <v>0</v>
          </cell>
          <cell r="AP96">
            <v>0</v>
          </cell>
          <cell r="AQ96">
            <v>0</v>
          </cell>
          <cell r="AX96">
            <v>0</v>
          </cell>
          <cell r="BJ96">
            <v>0</v>
          </cell>
          <cell r="BQ96">
            <v>0</v>
          </cell>
          <cell r="BR96">
            <v>0</v>
          </cell>
          <cell r="BS96">
            <v>0</v>
          </cell>
          <cell r="BT96">
            <v>0</v>
          </cell>
          <cell r="BU96">
            <v>0</v>
          </cell>
          <cell r="BV96">
            <v>0</v>
          </cell>
          <cell r="BW96">
            <v>0</v>
          </cell>
          <cell r="BX96">
            <v>0</v>
          </cell>
          <cell r="BY96">
            <v>0</v>
          </cell>
          <cell r="BZ96">
            <v>0</v>
          </cell>
          <cell r="CA96">
            <v>0</v>
          </cell>
        </row>
        <row r="97">
          <cell r="A97" t="str">
            <v xml:space="preserve">     Net income margin (%)</v>
          </cell>
          <cell r="B97" t="str">
            <v>nm</v>
          </cell>
          <cell r="C97" t="str">
            <v>nm</v>
          </cell>
          <cell r="D97" t="str">
            <v>nm</v>
          </cell>
          <cell r="E97">
            <v>0.1725822808149719</v>
          </cell>
          <cell r="F97" t="str">
            <v>nm</v>
          </cell>
          <cell r="G97">
            <v>0.11791265086394026</v>
          </cell>
          <cell r="W97">
            <v>9.626387336994309E-2</v>
          </cell>
          <cell r="X97">
            <v>0.12385253229988888</v>
          </cell>
          <cell r="Y97">
            <v>0.11024575516204302</v>
          </cell>
          <cell r="Z97">
            <v>0.1404213347458397</v>
          </cell>
          <cell r="AA97">
            <v>0.12053621871877211</v>
          </cell>
          <cell r="AB97">
            <v>0.10103435191126611</v>
          </cell>
          <cell r="AC97">
            <v>0.11543681503498779</v>
          </cell>
          <cell r="AD97">
            <v>0.1496833123057166</v>
          </cell>
          <cell r="AE97">
            <v>0.15341540505228113</v>
          </cell>
          <cell r="AF97">
            <v>0.15159667379845804</v>
          </cell>
          <cell r="AG97">
            <v>0.17365330662536491</v>
          </cell>
          <cell r="AH97">
            <v>0.15956875464222453</v>
          </cell>
          <cell r="AI97">
            <v>0.17896586580693269</v>
          </cell>
          <cell r="AJ97">
            <v>0.16488416228366562</v>
          </cell>
          <cell r="AK97">
            <v>0.23292873187315427</v>
          </cell>
          <cell r="AL97">
            <v>9.2556563931941851E-2</v>
          </cell>
          <cell r="AM97">
            <v>0.16286039770899655</v>
          </cell>
          <cell r="AN97">
            <v>0.17167044059003911</v>
          </cell>
          <cell r="AO97">
            <v>0.16577563114420016</v>
          </cell>
          <cell r="AP97">
            <v>0.1346123918472992</v>
          </cell>
          <cell r="AQ97">
            <v>0.15781682446073883</v>
          </cell>
          <cell r="AX97">
            <v>0.12897688114779784</v>
          </cell>
          <cell r="BJ97">
            <v>0.18154140115907025</v>
          </cell>
          <cell r="BQ97">
            <v>0.16058824768880142</v>
          </cell>
          <cell r="BR97">
            <v>0.16941569597495959</v>
          </cell>
          <cell r="BS97">
            <v>0.18264066226657866</v>
          </cell>
          <cell r="BT97">
            <v>0.17990385894083083</v>
          </cell>
          <cell r="BU97">
            <v>0.1750951307471689</v>
          </cell>
          <cell r="BV97">
            <v>0.17248165686211023</v>
          </cell>
          <cell r="BW97">
            <v>0.17001227512228573</v>
          </cell>
          <cell r="BX97">
            <v>0.16676565540217553</v>
          </cell>
          <cell r="BY97">
            <v>0.16472138160586547</v>
          </cell>
          <cell r="BZ97">
            <v>0.16313757204670504</v>
          </cell>
          <cell r="CA97">
            <v>0.16384669298200658</v>
          </cell>
        </row>
        <row r="98">
          <cell r="A98" t="str">
            <v xml:space="preserve">     Net income growth (%)</v>
          </cell>
          <cell r="W98">
            <v>-0.51104784187677432</v>
          </cell>
          <cell r="X98">
            <v>-0.28968510822265037</v>
          </cell>
          <cell r="Y98">
            <v>-0.40557852574389663</v>
          </cell>
          <cell r="Z98">
            <v>-0.18107417726646113</v>
          </cell>
          <cell r="AA98">
            <v>-0.33292631152767249</v>
          </cell>
          <cell r="AB98">
            <v>-2.9792073141208464E-2</v>
          </cell>
          <cell r="AC98">
            <v>-0.28141805311562884</v>
          </cell>
          <cell r="AD98">
            <v>0.75604368340516426</v>
          </cell>
          <cell r="AE98">
            <v>0.43221259273396395</v>
          </cell>
          <cell r="AF98">
            <v>0.57167099322736159</v>
          </cell>
          <cell r="AG98">
            <v>0.54598633249478157</v>
          </cell>
          <cell r="AH98">
            <v>0.56146703468087744</v>
          </cell>
          <cell r="AI98">
            <v>1.222862062168169</v>
          </cell>
          <cell r="AJ98">
            <v>0.71295795682846963</v>
          </cell>
          <cell r="AK98">
            <v>0.90089335021241457</v>
          </cell>
          <cell r="AL98">
            <v>-0.30183091981815258</v>
          </cell>
          <cell r="AM98">
            <v>0.27688561279198987</v>
          </cell>
          <cell r="AN98">
            <v>2.6629047107592507E-2</v>
          </cell>
          <cell r="AO98">
            <v>0.17844979296458963</v>
          </cell>
          <cell r="AP98">
            <v>-0.22422833972451572</v>
          </cell>
          <cell r="AQ98">
            <v>5.8705689187724008E-2</v>
          </cell>
          <cell r="AX98">
            <v>-0.1114696753566895</v>
          </cell>
          <cell r="BJ98">
            <v>0.39777379911451516</v>
          </cell>
          <cell r="BQ98">
            <v>-0.10779903499429078</v>
          </cell>
          <cell r="BR98">
            <v>7.9154116571841682E-2</v>
          </cell>
          <cell r="BS98">
            <v>9.1257358101913599E-2</v>
          </cell>
          <cell r="BT98">
            <v>-5.3804659042314684E-3</v>
          </cell>
          <cell r="BU98">
            <v>-1.9982271962510678E-2</v>
          </cell>
          <cell r="BV98">
            <v>-7.2924394178093266E-3</v>
          </cell>
          <cell r="BW98">
            <v>-7.9343956587774045E-3</v>
          </cell>
          <cell r="BX98">
            <v>-1.0086829281057641E-2</v>
          </cell>
          <cell r="BY98">
            <v>-3.0963288017918922E-3</v>
          </cell>
          <cell r="BZ98">
            <v>2.1567467464651546E-3</v>
          </cell>
          <cell r="CA98">
            <v>2.4031115145184412E-2</v>
          </cell>
        </row>
        <row r="99">
          <cell r="A99" t="str">
            <v>Net Income Pre-Exceptionals, Post Minorities</v>
          </cell>
          <cell r="B99">
            <v>158.29999999999984</v>
          </cell>
          <cell r="C99">
            <v>91.899999999999991</v>
          </cell>
          <cell r="D99">
            <v>250.20000000000039</v>
          </cell>
          <cell r="E99">
            <v>140.30000000000004</v>
          </cell>
          <cell r="F99">
            <v>390.50000000000011</v>
          </cell>
          <cell r="G99">
            <v>147.69999999999968</v>
          </cell>
          <cell r="H99">
            <v>538.19999999999891</v>
          </cell>
          <cell r="I99">
            <v>111.79071328000012</v>
          </cell>
          <cell r="J99">
            <v>144.63607821000002</v>
          </cell>
          <cell r="K99">
            <v>256.42679149000065</v>
          </cell>
          <cell r="L99">
            <v>158.94183287999991</v>
          </cell>
          <cell r="M99">
            <v>415.36862437000042</v>
          </cell>
          <cell r="N99">
            <v>42.498171769999935</v>
          </cell>
          <cell r="O99">
            <v>457.86679614000002</v>
          </cell>
          <cell r="P99">
            <v>238.19235436999998</v>
          </cell>
          <cell r="Q99">
            <v>205.58195202999974</v>
          </cell>
          <cell r="R99">
            <v>443.77430640000051</v>
          </cell>
          <cell r="S99">
            <v>201.06978720000021</v>
          </cell>
          <cell r="T99">
            <v>638.24409359999993</v>
          </cell>
          <cell r="U99">
            <v>66.769089269999881</v>
          </cell>
          <cell r="V99">
            <v>711.61318287000006</v>
          </cell>
          <cell r="W99">
            <v>33.739856309999588</v>
          </cell>
          <cell r="X99">
            <v>93.078239219999944</v>
          </cell>
          <cell r="Y99">
            <v>126.81809552999965</v>
          </cell>
          <cell r="Z99">
            <v>128.34215307999844</v>
          </cell>
          <cell r="AA99">
            <v>255.16024860999875</v>
          </cell>
          <cell r="AB99">
            <v>-10.498254890008521</v>
          </cell>
          <cell r="AC99">
            <v>244.72180586999025</v>
          </cell>
          <cell r="AD99">
            <v>173.77258680999981</v>
          </cell>
          <cell r="AE99">
            <v>162.16284912000043</v>
          </cell>
          <cell r="AF99">
            <v>335.93543593000044</v>
          </cell>
          <cell r="AG99">
            <v>171.19311185000325</v>
          </cell>
          <cell r="AH99">
            <v>507.12854778000184</v>
          </cell>
          <cell r="AI99">
            <v>51.778638670002991</v>
          </cell>
          <cell r="AJ99">
            <v>558.9071864500072</v>
          </cell>
          <cell r="AK99">
            <v>312.83284151999919</v>
          </cell>
          <cell r="AL99">
            <v>-204.59533367999941</v>
          </cell>
          <cell r="AM99">
            <v>108.23750784000146</v>
          </cell>
          <cell r="AN99">
            <v>134.60107131000328</v>
          </cell>
          <cell r="AO99">
            <v>242.83857915000459</v>
          </cell>
          <cell r="AP99">
            <v>93.303130969998577</v>
          </cell>
          <cell r="AQ99">
            <v>336.18171012000153</v>
          </cell>
          <cell r="AX99">
            <v>143.90000000000117</v>
          </cell>
          <cell r="BJ99">
            <v>743.10000000000036</v>
          </cell>
          <cell r="BQ99">
            <v>1012.1292659573446</v>
          </cell>
          <cell r="BR99">
            <v>1294.629228279279</v>
          </cell>
          <cell r="BS99">
            <v>1482.3853629665157</v>
          </cell>
          <cell r="BT99">
            <v>1486.4392557731094</v>
          </cell>
          <cell r="BU99">
            <v>1762.2370728630247</v>
          </cell>
          <cell r="BV99">
            <v>1749.8225212104021</v>
          </cell>
          <cell r="BW99">
            <v>1736.67465956504</v>
          </cell>
          <cell r="BX99">
            <v>1718.8171753583113</v>
          </cell>
          <cell r="BY99">
            <v>1715.3838279546856</v>
          </cell>
          <cell r="BZ99">
            <v>1722.0558759508958</v>
          </cell>
          <cell r="CA99">
            <v>1770.973301822467</v>
          </cell>
        </row>
        <row r="101">
          <cell r="A101" t="str">
            <v>Basic Number of Shares (m)</v>
          </cell>
          <cell r="B101">
            <v>194.40860215053763</v>
          </cell>
          <cell r="C101">
            <v>194.30147058823528</v>
          </cell>
          <cell r="D101">
            <v>194.35503636938645</v>
          </cell>
          <cell r="E101">
            <v>195.00000000000003</v>
          </cell>
          <cell r="F101">
            <v>194.67751818469324</v>
          </cell>
          <cell r="G101">
            <v>194</v>
          </cell>
          <cell r="H101">
            <v>194</v>
          </cell>
          <cell r="I101">
            <v>211.414941</v>
          </cell>
          <cell r="J101">
            <v>217.38973300000001</v>
          </cell>
          <cell r="K101">
            <v>214.40233699999999</v>
          </cell>
          <cell r="L101">
            <v>217.390615</v>
          </cell>
          <cell r="M101">
            <v>215.89647600000001</v>
          </cell>
          <cell r="N101">
            <v>217.39269400000001</v>
          </cell>
          <cell r="O101">
            <v>215.89699575</v>
          </cell>
          <cell r="P101">
            <v>217.4</v>
          </cell>
          <cell r="Q101">
            <v>217.4</v>
          </cell>
          <cell r="R101">
            <v>217.4</v>
          </cell>
          <cell r="S101">
            <v>217.4</v>
          </cell>
          <cell r="T101">
            <v>217.4</v>
          </cell>
          <cell r="U101">
            <v>217.4</v>
          </cell>
          <cell r="V101">
            <v>217.4</v>
          </cell>
          <cell r="W101">
            <v>217.38893899999999</v>
          </cell>
          <cell r="X101">
            <v>217.38893899999999</v>
          </cell>
          <cell r="Y101">
            <v>217.38893899999999</v>
          </cell>
          <cell r="Z101">
            <v>217.38893899999999</v>
          </cell>
          <cell r="AA101">
            <v>217.38893899999999</v>
          </cell>
          <cell r="AB101">
            <v>217.38893899999999</v>
          </cell>
          <cell r="AC101">
            <v>217.38893899999999</v>
          </cell>
          <cell r="AD101">
            <v>217.38893899999999</v>
          </cell>
          <cell r="AE101">
            <v>217.38893899999999</v>
          </cell>
          <cell r="AF101">
            <v>217.38893899999999</v>
          </cell>
          <cell r="AG101">
            <v>217.38893899999999</v>
          </cell>
          <cell r="AH101">
            <v>217.38893899999999</v>
          </cell>
          <cell r="AI101">
            <v>217.38893899999999</v>
          </cell>
          <cell r="AJ101">
            <v>217.38893899999999</v>
          </cell>
          <cell r="AK101">
            <v>217.4</v>
          </cell>
          <cell r="AL101">
            <v>217.4</v>
          </cell>
          <cell r="AM101">
            <v>217.4</v>
          </cell>
          <cell r="AN101">
            <v>217.4</v>
          </cell>
          <cell r="AO101">
            <v>217.4</v>
          </cell>
          <cell r="AP101">
            <v>217.4</v>
          </cell>
          <cell r="AQ101">
            <v>217.4</v>
          </cell>
          <cell r="AR101">
            <v>217.4</v>
          </cell>
          <cell r="AS101">
            <v>217.4</v>
          </cell>
          <cell r="AT101">
            <v>217.4</v>
          </cell>
          <cell r="AU101">
            <v>217.4</v>
          </cell>
          <cell r="AV101">
            <v>217.4</v>
          </cell>
          <cell r="AW101">
            <v>217.4</v>
          </cell>
          <cell r="AX101">
            <v>217.4</v>
          </cell>
          <cell r="AY101">
            <v>217.4</v>
          </cell>
          <cell r="AZ101">
            <v>217.4</v>
          </cell>
          <cell r="BA101">
            <v>217.4</v>
          </cell>
          <cell r="BB101">
            <v>217.4</v>
          </cell>
          <cell r="BC101">
            <v>217.4</v>
          </cell>
          <cell r="BD101">
            <v>217.4</v>
          </cell>
          <cell r="BE101">
            <v>217.4</v>
          </cell>
          <cell r="BF101">
            <v>217.4</v>
          </cell>
          <cell r="BG101">
            <v>217.4</v>
          </cell>
          <cell r="BH101">
            <v>217.4</v>
          </cell>
          <cell r="BI101">
            <v>217.4</v>
          </cell>
          <cell r="BJ101">
            <v>217.4</v>
          </cell>
          <cell r="BK101">
            <v>217.4</v>
          </cell>
          <cell r="BL101">
            <v>217.4</v>
          </cell>
          <cell r="BM101">
            <v>217.4</v>
          </cell>
          <cell r="BN101">
            <v>217.4</v>
          </cell>
          <cell r="BO101">
            <v>217.4</v>
          </cell>
          <cell r="BP101">
            <v>217.4</v>
          </cell>
          <cell r="BQ101">
            <v>217.38893900000002</v>
          </cell>
          <cell r="BR101">
            <v>217.38893900000002</v>
          </cell>
          <cell r="BS101">
            <v>217.38893900000002</v>
          </cell>
          <cell r="BT101">
            <v>217.38893900000002</v>
          </cell>
          <cell r="BU101">
            <v>217.38893900000002</v>
          </cell>
          <cell r="BV101">
            <v>217.38893900000002</v>
          </cell>
          <cell r="BW101">
            <v>217.38893900000002</v>
          </cell>
          <cell r="BX101">
            <v>217.38893900000002</v>
          </cell>
          <cell r="BY101">
            <v>217.38893900000002</v>
          </cell>
          <cell r="BZ101">
            <v>217.38893900000002</v>
          </cell>
          <cell r="CA101">
            <v>217.38893900000002</v>
          </cell>
        </row>
        <row r="102">
          <cell r="A102" t="str">
            <v>Diluted Number of Shares (m)</v>
          </cell>
          <cell r="B102">
            <v>194.40860215053763</v>
          </cell>
          <cell r="C102">
            <v>194.30147058823528</v>
          </cell>
          <cell r="D102">
            <v>194.35503636938645</v>
          </cell>
          <cell r="E102">
            <v>195.00000000000003</v>
          </cell>
          <cell r="F102">
            <v>194.67751818469324</v>
          </cell>
          <cell r="G102">
            <v>194</v>
          </cell>
          <cell r="H102">
            <v>194</v>
          </cell>
          <cell r="I102">
            <v>211.414941</v>
          </cell>
          <cell r="J102">
            <v>217.38973300000001</v>
          </cell>
          <cell r="K102">
            <v>214.40233699999999</v>
          </cell>
          <cell r="L102">
            <v>217.390615</v>
          </cell>
          <cell r="M102">
            <v>215.89647600000001</v>
          </cell>
          <cell r="N102">
            <v>217.39269400000001</v>
          </cell>
          <cell r="O102">
            <v>215.89699575</v>
          </cell>
          <cell r="P102">
            <v>217.4</v>
          </cell>
          <cell r="Q102">
            <v>217.4</v>
          </cell>
          <cell r="R102">
            <v>217.4</v>
          </cell>
          <cell r="S102">
            <v>217.4</v>
          </cell>
          <cell r="T102">
            <v>217.4</v>
          </cell>
          <cell r="U102">
            <v>217.4</v>
          </cell>
          <cell r="V102">
            <v>217.4</v>
          </cell>
          <cell r="W102">
            <v>217.38893899999999</v>
          </cell>
          <cell r="X102">
            <v>217.38893899999999</v>
          </cell>
          <cell r="Y102">
            <v>217.38893899999999</v>
          </cell>
          <cell r="Z102">
            <v>217.38893899999999</v>
          </cell>
          <cell r="AA102">
            <v>217.38893899999999</v>
          </cell>
          <cell r="AB102">
            <v>217.38893899999999</v>
          </cell>
          <cell r="AC102">
            <v>217.38893899999999</v>
          </cell>
          <cell r="AD102">
            <v>217.38893899999999</v>
          </cell>
          <cell r="AE102">
            <v>217.38893899999999</v>
          </cell>
          <cell r="AF102">
            <v>217.38893899999999</v>
          </cell>
          <cell r="AG102">
            <v>217.38893899999999</v>
          </cell>
          <cell r="AH102">
            <v>217.38893899999999</v>
          </cell>
          <cell r="AI102">
            <v>217.38893899999999</v>
          </cell>
          <cell r="AJ102">
            <v>217.38893899999999</v>
          </cell>
          <cell r="AK102">
            <v>217.4</v>
          </cell>
          <cell r="AL102">
            <v>217.4</v>
          </cell>
          <cell r="AM102">
            <v>217.4</v>
          </cell>
          <cell r="AN102">
            <v>217.4</v>
          </cell>
          <cell r="AO102">
            <v>217.4</v>
          </cell>
          <cell r="AP102">
            <v>217.4</v>
          </cell>
          <cell r="AQ102">
            <v>217.4</v>
          </cell>
          <cell r="AR102">
            <v>217.4</v>
          </cell>
          <cell r="AS102">
            <v>217.4</v>
          </cell>
          <cell r="AT102">
            <v>217.4</v>
          </cell>
          <cell r="AU102">
            <v>217.4</v>
          </cell>
          <cell r="AV102">
            <v>217.4</v>
          </cell>
          <cell r="AW102">
            <v>217.4</v>
          </cell>
          <cell r="AX102">
            <v>217.4</v>
          </cell>
          <cell r="AY102">
            <v>217.4</v>
          </cell>
          <cell r="AZ102">
            <v>217.4</v>
          </cell>
          <cell r="BA102">
            <v>217.4</v>
          </cell>
          <cell r="BB102">
            <v>217.4</v>
          </cell>
          <cell r="BC102">
            <v>217.4</v>
          </cell>
          <cell r="BD102">
            <v>217.4</v>
          </cell>
          <cell r="BE102">
            <v>217.4</v>
          </cell>
          <cell r="BF102">
            <v>217.4</v>
          </cell>
          <cell r="BG102">
            <v>217.4</v>
          </cell>
          <cell r="BH102">
            <v>217.4</v>
          </cell>
          <cell r="BI102">
            <v>217.4</v>
          </cell>
          <cell r="BJ102">
            <v>217.4</v>
          </cell>
          <cell r="BK102">
            <v>217.4</v>
          </cell>
          <cell r="BL102">
            <v>217.4</v>
          </cell>
          <cell r="BM102">
            <v>217.4</v>
          </cell>
          <cell r="BN102">
            <v>217.4</v>
          </cell>
          <cell r="BO102">
            <v>217.4</v>
          </cell>
          <cell r="BP102">
            <v>217.4</v>
          </cell>
          <cell r="BQ102">
            <v>217.38893900000002</v>
          </cell>
          <cell r="BR102">
            <v>217.38893900000002</v>
          </cell>
          <cell r="BS102">
            <v>217.38893900000002</v>
          </cell>
          <cell r="BT102">
            <v>217.38893900000002</v>
          </cell>
          <cell r="BU102">
            <v>217.38893900000002</v>
          </cell>
          <cell r="BV102">
            <v>217.38893900000002</v>
          </cell>
          <cell r="BW102">
            <v>217.38893900000002</v>
          </cell>
          <cell r="BX102">
            <v>217.38893900000002</v>
          </cell>
          <cell r="BY102">
            <v>217.38893900000002</v>
          </cell>
          <cell r="BZ102">
            <v>217.38893900000002</v>
          </cell>
          <cell r="CA102">
            <v>217.38893900000002</v>
          </cell>
        </row>
        <row r="104">
          <cell r="A104" t="str">
            <v>EPS, Continuing (€)</v>
          </cell>
          <cell r="B104">
            <v>0.71756084070796378</v>
          </cell>
          <cell r="C104">
            <v>2.4770785241248818</v>
          </cell>
          <cell r="D104">
            <v>3.1941544278797234</v>
          </cell>
          <cell r="E104">
            <v>0.55538461538461548</v>
          </cell>
          <cell r="F104">
            <v>3.7451679413145844</v>
          </cell>
          <cell r="G104">
            <v>0.30721649484535901</v>
          </cell>
          <cell r="H104">
            <v>4.0654639175257676</v>
          </cell>
          <cell r="I104">
            <v>-0.30418515557989773</v>
          </cell>
          <cell r="J104">
            <v>0.19842739403888979</v>
          </cell>
          <cell r="K104">
            <v>-9.8754560263955349E-2</v>
          </cell>
          <cell r="L104">
            <v>0.12945284174296057</v>
          </cell>
          <cell r="M104">
            <v>3.2277619807005768E-2</v>
          </cell>
          <cell r="N104">
            <v>-0.52716504000819853</v>
          </cell>
          <cell r="O104">
            <v>-0.49853960906725575</v>
          </cell>
          <cell r="P104">
            <v>1.0956410044618214</v>
          </cell>
          <cell r="Q104">
            <v>0.94563915377184793</v>
          </cell>
          <cell r="R104">
            <v>2.0412801582336728</v>
          </cell>
          <cell r="S104">
            <v>0.92488402575897055</v>
          </cell>
          <cell r="T104">
            <v>2.935805398344066</v>
          </cell>
          <cell r="U104">
            <v>-1.2779710705151801</v>
          </cell>
          <cell r="V104">
            <v>1.6881931134774615</v>
          </cell>
          <cell r="W104">
            <v>0.26015305737335415</v>
          </cell>
          <cell r="X104">
            <v>0.4987507525394379</v>
          </cell>
          <cell r="Y104">
            <v>0.75890380991279249</v>
          </cell>
          <cell r="Z104">
            <v>0.66504784187754118</v>
          </cell>
          <cell r="AA104">
            <v>1.423951651790337</v>
          </cell>
          <cell r="AB104">
            <v>0.26179268867948924</v>
          </cell>
          <cell r="AC104">
            <v>1.6860194793535024</v>
          </cell>
          <cell r="AD104">
            <v>0.88073932229826934</v>
          </cell>
          <cell r="AE104">
            <v>0.84364335629790455</v>
          </cell>
          <cell r="AF104">
            <v>1.7243826785961751</v>
          </cell>
          <cell r="AG104">
            <v>0.96867260311714043</v>
          </cell>
          <cell r="AH104">
            <v>2.6930552817133075</v>
          </cell>
          <cell r="AI104">
            <v>0.21379210480438926</v>
          </cell>
          <cell r="AJ104">
            <v>2.9068473865177071</v>
          </cell>
        </row>
        <row r="105">
          <cell r="A105" t="str">
            <v>EPS, post exceptionals (€)</v>
          </cell>
          <cell r="B105">
            <v>0.93051438053097257</v>
          </cell>
          <cell r="C105">
            <v>2.7194853358561968</v>
          </cell>
          <cell r="D105">
            <v>3.6495066618799736</v>
          </cell>
          <cell r="E105">
            <v>0.74102564102564106</v>
          </cell>
          <cell r="F105">
            <v>4.3857144264084384</v>
          </cell>
          <cell r="G105">
            <v>0.6690721649484519</v>
          </cell>
          <cell r="H105">
            <v>5.0701030927834996</v>
          </cell>
          <cell r="I105">
            <v>-3.8357207308256897E-2</v>
          </cell>
          <cell r="J105">
            <v>0.39438881048720015</v>
          </cell>
          <cell r="K105">
            <v>0.36206131227944893</v>
          </cell>
          <cell r="L105">
            <v>0.16717296135345985</v>
          </cell>
          <cell r="M105">
            <v>0.52788552403236244</v>
          </cell>
          <cell r="N105">
            <v>15.577332013604835</v>
          </cell>
          <cell r="O105">
            <v>16.213133415683483</v>
          </cell>
          <cell r="P105">
            <v>1.0993208572677091</v>
          </cell>
          <cell r="Q105">
            <v>0.95299885938362339</v>
          </cell>
          <cell r="R105">
            <v>2.0523197166513363</v>
          </cell>
          <cell r="S105">
            <v>0.91936424655013893</v>
          </cell>
          <cell r="T105">
            <v>2.9413251775528977</v>
          </cell>
          <cell r="U105">
            <v>-1.2834908497240116</v>
          </cell>
          <cell r="V105">
            <v>1.6881931134774615</v>
          </cell>
          <cell r="W105">
            <v>0.26015305737335415</v>
          </cell>
          <cell r="X105">
            <v>0.4987507525394379</v>
          </cell>
          <cell r="Y105">
            <v>0.75890380991279249</v>
          </cell>
          <cell r="Z105">
            <v>0.66504784187754118</v>
          </cell>
          <cell r="AA105">
            <v>1.423951651790337</v>
          </cell>
          <cell r="AB105">
            <v>0.26179268867948924</v>
          </cell>
          <cell r="AC105">
            <v>1.6860194793535024</v>
          </cell>
          <cell r="AD105">
            <v>0.88073932229826934</v>
          </cell>
          <cell r="AE105">
            <v>0.84364335629790455</v>
          </cell>
          <cell r="AF105">
            <v>1.7243826785961751</v>
          </cell>
          <cell r="AG105">
            <v>0.96867260311714043</v>
          </cell>
          <cell r="AH105">
            <v>2.6930552817133075</v>
          </cell>
          <cell r="AI105">
            <v>0.21379210480438926</v>
          </cell>
          <cell r="AJ105">
            <v>2.9068473865177071</v>
          </cell>
          <cell r="AK105">
            <v>1.5576487650413946</v>
          </cell>
          <cell r="AL105">
            <v>-0.40825820459981332</v>
          </cell>
          <cell r="AM105">
            <v>1.149390560441589</v>
          </cell>
          <cell r="AN105">
            <v>1.0312836766789479</v>
          </cell>
          <cell r="AO105">
            <v>2.1806742371205368</v>
          </cell>
          <cell r="AP105">
            <v>0.61224991246549476</v>
          </cell>
          <cell r="AQ105">
            <v>2.7929241495860242</v>
          </cell>
          <cell r="AR105">
            <v>0.79438822447101987</v>
          </cell>
          <cell r="AS105">
            <v>-0.29024839006439912</v>
          </cell>
          <cell r="AT105">
            <v>0.50413983440662213</v>
          </cell>
          <cell r="AU105">
            <v>0.85326586936522508</v>
          </cell>
          <cell r="AV105">
            <v>1.357405703771847</v>
          </cell>
          <cell r="AW105">
            <v>1.2488500459981582</v>
          </cell>
          <cell r="AX105">
            <v>2.6062557497700145</v>
          </cell>
          <cell r="AY105">
            <v>0.79576816927322813</v>
          </cell>
          <cell r="AZ105">
            <v>-0.29116835326587021</v>
          </cell>
          <cell r="BA105">
            <v>0.85418583256669722</v>
          </cell>
          <cell r="BB105">
            <v>1.2488500459981582</v>
          </cell>
          <cell r="BC105">
            <v>2.607635694572219</v>
          </cell>
          <cell r="BD105">
            <v>1.2240110395584178</v>
          </cell>
          <cell r="BE105">
            <v>1.4530818767249323</v>
          </cell>
          <cell r="BF105">
            <v>2.6770929162833457</v>
          </cell>
          <cell r="BG105">
            <v>1.562097516099356</v>
          </cell>
          <cell r="BH105">
            <v>4.2391904323827019</v>
          </cell>
          <cell r="BI105">
            <v>1.2902483900644031</v>
          </cell>
          <cell r="BJ105">
            <v>5.5294388224471041</v>
          </cell>
          <cell r="BK105">
            <v>1.1457881370861815</v>
          </cell>
          <cell r="BL105">
            <v>1.0902906542341684</v>
          </cell>
          <cell r="BM105">
            <v>2.2360787913203497</v>
          </cell>
          <cell r="BN105">
            <v>1.2083689777738593</v>
          </cell>
          <cell r="BO105">
            <v>3.4444477690942046</v>
          </cell>
          <cell r="BP105">
            <v>1.271126583387316</v>
          </cell>
          <cell r="BQ105">
            <v>4.7158142863445445</v>
          </cell>
          <cell r="BR105">
            <v>5.9107387624688625</v>
          </cell>
          <cell r="BS105">
            <v>6.7613162368234168</v>
          </cell>
          <cell r="BT105">
            <v>6.7581141088926753</v>
          </cell>
          <cell r="BU105">
            <v>8.0267978715468331</v>
          </cell>
          <cell r="BV105">
            <v>7.9696903125802629</v>
          </cell>
          <cell r="BW105">
            <v>7.9092094909439696</v>
          </cell>
          <cell r="BX105">
            <v>7.827064169802636</v>
          </cell>
          <cell r="BY105">
            <v>7.811270599902441</v>
          </cell>
          <cell r="BZ105">
            <v>7.8419623546297146</v>
          </cell>
          <cell r="CA105">
            <v>8.0669849620199248</v>
          </cell>
        </row>
        <row r="106">
          <cell r="A106" t="str">
            <v>EPS, pre exceptionals (€)</v>
          </cell>
          <cell r="W106">
            <v>1.1455353915223809</v>
          </cell>
          <cell r="X106">
            <v>1.088243808991588</v>
          </cell>
          <cell r="Y106">
            <v>2.2337792005139687</v>
          </cell>
          <cell r="Z106">
            <v>1.2876676072281674</v>
          </cell>
          <cell r="AA106">
            <v>3.5214468077421359</v>
          </cell>
          <cell r="AB106">
            <v>1.0300558671478679</v>
          </cell>
          <cell r="AC106">
            <v>4.5515026748900054</v>
          </cell>
          <cell r="AD106">
            <v>1.5521556623908996</v>
          </cell>
          <cell r="AE106">
            <v>1.586588038225808</v>
          </cell>
          <cell r="AF106">
            <v>3.1387437006167076</v>
          </cell>
          <cell r="AG106">
            <v>1.9868302457651725</v>
          </cell>
          <cell r="AH106">
            <v>5.1255739463818815</v>
          </cell>
          <cell r="AI106">
            <v>1.8647149543795332</v>
          </cell>
          <cell r="AJ106">
            <v>6.9856888592202031</v>
          </cell>
          <cell r="AK106">
            <v>1.9017150023919016</v>
          </cell>
          <cell r="AL106">
            <v>1.5955579075896968</v>
          </cell>
          <cell r="AM106">
            <v>3.4972729099815987</v>
          </cell>
          <cell r="AN106">
            <v>1.624199960027612</v>
          </cell>
          <cell r="AO106">
            <v>5.1214728700092103</v>
          </cell>
          <cell r="AP106">
            <v>1.664687814949396</v>
          </cell>
          <cell r="AQ106">
            <v>6.786160684958606</v>
          </cell>
          <cell r="AR106">
            <v>1.6632934682612688</v>
          </cell>
          <cell r="AS106">
            <v>1.9195032198712043</v>
          </cell>
          <cell r="AT106">
            <v>3.5827966881324738</v>
          </cell>
          <cell r="AU106">
            <v>1.9760809567617308</v>
          </cell>
          <cell r="AV106">
            <v>5.5588776448942037</v>
          </cell>
          <cell r="AW106">
            <v>2.0441582336706507</v>
          </cell>
          <cell r="AX106">
            <v>7.6030358785648566</v>
          </cell>
          <cell r="AY106">
            <v>1.6642134314627404</v>
          </cell>
          <cell r="AZ106">
            <v>1.9190432382704687</v>
          </cell>
          <cell r="BA106">
            <v>1.9774609015639386</v>
          </cell>
          <cell r="BB106">
            <v>2.0446182152713877</v>
          </cell>
          <cell r="BC106">
            <v>7.6053357865685385</v>
          </cell>
          <cell r="BD106">
            <v>2.1113155473781045</v>
          </cell>
          <cell r="BE106">
            <v>2.2608095676172946</v>
          </cell>
          <cell r="BF106">
            <v>4.3721251149953995</v>
          </cell>
          <cell r="BG106">
            <v>2.2907083716651337</v>
          </cell>
          <cell r="BH106">
            <v>6.6628334866605314</v>
          </cell>
          <cell r="BI106">
            <v>2.1209751609935643</v>
          </cell>
          <cell r="BJ106">
            <v>8.7838086476540944</v>
          </cell>
          <cell r="BK106">
            <v>2.2529616474896419</v>
          </cell>
          <cell r="BL106">
            <v>2.2192267789318083</v>
          </cell>
          <cell r="BM106">
            <v>4.4721884264214502</v>
          </cell>
          <cell r="BN106">
            <v>2.3213204770223004</v>
          </cell>
          <cell r="BO106">
            <v>6.793508903443751</v>
          </cell>
          <cell r="BP106">
            <v>2.4013322444094651</v>
          </cell>
          <cell r="BQ106">
            <v>9.1953089919781483</v>
          </cell>
          <cell r="BR106">
            <v>9.5898235331755863</v>
          </cell>
          <cell r="BS106">
            <v>10.397294721129629</v>
          </cell>
          <cell r="BT106">
            <v>10.313210352151952</v>
          </cell>
          <cell r="BU106">
            <v>10.139966468108295</v>
          </cell>
          <cell r="BV106">
            <v>10.092897449124894</v>
          </cell>
          <cell r="BW106">
            <v>10.038678200376106</v>
          </cell>
          <cell r="BX106">
            <v>9.970147335457952</v>
          </cell>
          <cell r="BY106">
            <v>9.9680677985501944</v>
          </cell>
          <cell r="BZ106">
            <v>10.015196081130618</v>
          </cell>
          <cell r="CA106">
            <v>10.28361722552002</v>
          </cell>
          <cell r="CF106" t="str">
            <v>mstag:adjEpsForConsensus</v>
          </cell>
          <cell r="CG106">
            <v>0</v>
          </cell>
          <cell r="CH106" t="str">
            <v>ISO4217:EUR</v>
          </cell>
          <cell r="CI106" t="b">
            <v>0</v>
          </cell>
        </row>
        <row r="107">
          <cell r="A107" t="str">
            <v>growth</v>
          </cell>
          <cell r="AD107">
            <v>0.354960897653396</v>
          </cell>
          <cell r="AE107">
            <v>0.45793435727974097</v>
          </cell>
          <cell r="AF107">
            <v>0.40512710472660696</v>
          </cell>
          <cell r="AG107">
            <v>0.54296825874343635</v>
          </cell>
          <cell r="AH107">
            <v>0.45553070263988227</v>
          </cell>
          <cell r="AI107">
            <v>0.81030467749556268</v>
          </cell>
          <cell r="AJ107">
            <v>0.534809349395587</v>
          </cell>
          <cell r="AK107">
            <v>0.22520894551423409</v>
          </cell>
          <cell r="AL107">
            <v>5.6535591771631477E-3</v>
          </cell>
          <cell r="AM107">
            <v>0.11422697855019082</v>
          </cell>
          <cell r="AN107">
            <v>-0.18251699485171846</v>
          </cell>
          <cell r="AO107">
            <v>-8.0012041881982743E-4</v>
          </cell>
          <cell r="AP107">
            <v>-0.10726955289351148</v>
          </cell>
          <cell r="AQ107">
            <v>-2.8562419295019903E-2</v>
          </cell>
          <cell r="AR107">
            <v>-0.12537185321184074</v>
          </cell>
          <cell r="AS107">
            <v>0.20302949253084157</v>
          </cell>
          <cell r="AT107">
            <v>2.445441930104475E-2</v>
          </cell>
          <cell r="AU107">
            <v>0.21664881504376887</v>
          </cell>
          <cell r="AV107">
            <v>8.5406051342454381E-2</v>
          </cell>
          <cell r="AW107">
            <v>0.22795290222797115</v>
          </cell>
          <cell r="AX107">
            <v>0.12037368867743425</v>
          </cell>
          <cell r="AY107">
            <v>-0.12488809870587403</v>
          </cell>
          <cell r="AZ107">
            <v>0.20274120365173065</v>
          </cell>
          <cell r="BA107">
            <v>0.21749843013807313</v>
          </cell>
          <cell r="BB107">
            <v>0.22822921926267647</v>
          </cell>
          <cell r="BC107">
            <v>0.12071260019315755</v>
          </cell>
          <cell r="BD107">
            <v>0.26935840707964642</v>
          </cell>
          <cell r="BE107">
            <v>0.17780972921159854</v>
          </cell>
          <cell r="BF107">
            <v>0.22031069456926455</v>
          </cell>
          <cell r="BG107">
            <v>0.15840893230983899</v>
          </cell>
          <cell r="BH107">
            <v>0.19859329747620991</v>
          </cell>
          <cell r="BJ107">
            <v>0.15530280113739514</v>
          </cell>
          <cell r="BK107">
            <v>6.7089024322980917E-2</v>
          </cell>
          <cell r="BL107">
            <v>-1.8392875402288289E-2</v>
          </cell>
          <cell r="BM107">
            <v>2.2886653239372334E-2</v>
          </cell>
          <cell r="BN107">
            <v>1.3363597800498006E-2</v>
          </cell>
          <cell r="BO107">
            <v>1.9612589305261885E-2</v>
          </cell>
          <cell r="BP107">
            <v>0.13218310547520429</v>
          </cell>
          <cell r="BQ107">
            <v>4.684759889822443E-2</v>
          </cell>
          <cell r="BR107">
            <v>4.2903891706260966E-2</v>
          </cell>
          <cell r="BS107">
            <v>8.4200839062432253E-2</v>
          </cell>
          <cell r="BT107">
            <v>-8.0871391292582917E-3</v>
          </cell>
          <cell r="BU107">
            <v>-1.6798249829890088E-2</v>
          </cell>
          <cell r="BV107">
            <v>-4.6419304374860637E-3</v>
          </cell>
          <cell r="BW107">
            <v>-5.3720201777627263E-3</v>
          </cell>
          <cell r="BX107">
            <v>-6.8266821139446598E-3</v>
          </cell>
          <cell r="BY107">
            <v>-2.0857634674686931E-4</v>
          </cell>
          <cell r="BZ107">
            <v>4.7279255652010743E-3</v>
          </cell>
          <cell r="CA107">
            <v>2.6801386834065744E-2</v>
          </cell>
        </row>
        <row r="108">
          <cell r="A108" t="str">
            <v>Core EPS (€)</v>
          </cell>
          <cell r="B108" t="str">
            <v>ND</v>
          </cell>
          <cell r="C108" t="str">
            <v>ND</v>
          </cell>
          <cell r="D108" t="str">
            <v>nm</v>
          </cell>
          <cell r="E108">
            <v>0.96</v>
          </cell>
          <cell r="F108" t="str">
            <v>nm</v>
          </cell>
          <cell r="G108">
            <v>0.7</v>
          </cell>
          <cell r="H108">
            <v>2.82</v>
          </cell>
          <cell r="I108">
            <v>1.1696936465810148</v>
          </cell>
          <cell r="J108">
            <v>1.3539557464289265</v>
          </cell>
          <cell r="K108">
            <v>2.5262168270581875</v>
          </cell>
          <cell r="L108">
            <v>1.468517087915685</v>
          </cell>
          <cell r="M108">
            <v>3.9874139695082378</v>
          </cell>
          <cell r="N108">
            <v>1.2141538287850646</v>
          </cell>
          <cell r="O108">
            <v>5.2099696535031574</v>
          </cell>
          <cell r="P108">
            <v>1.6830375086016558</v>
          </cell>
          <cell r="Q108">
            <v>1.5316557131094746</v>
          </cell>
          <cell r="R108">
            <v>3.2146932217111304</v>
          </cell>
          <cell r="S108">
            <v>1.5380394995400193</v>
          </cell>
          <cell r="T108">
            <v>4.7527327212511503</v>
          </cell>
          <cell r="U108">
            <v>0.97179893868445189</v>
          </cell>
          <cell r="V108">
            <v>5.7245316599356038</v>
          </cell>
          <cell r="W108">
            <v>0.82296669339740214</v>
          </cell>
          <cell r="X108">
            <v>1.0880132186486264</v>
          </cell>
          <cell r="Y108">
            <v>1.9109799120460291</v>
          </cell>
          <cell r="Z108">
            <v>1.2596043494190772</v>
          </cell>
          <cell r="AA108">
            <v>3.1705842614651099</v>
          </cell>
          <cell r="AB108">
            <v>0.94289500676937166</v>
          </cell>
          <cell r="AC108">
            <v>4.1137544071181571</v>
          </cell>
          <cell r="AD108">
            <v>1.4451654635933424</v>
          </cell>
          <cell r="AE108">
            <v>1.5582662328095747</v>
          </cell>
          <cell r="AF108">
            <v>3.0034316964029188</v>
          </cell>
          <cell r="AG108">
            <v>1.9473311085528746</v>
          </cell>
          <cell r="AH108">
            <v>4.9507628049557848</v>
          </cell>
          <cell r="AI108">
            <v>2.0959255391554352</v>
          </cell>
          <cell r="AJ108">
            <v>7.0466883441112316</v>
          </cell>
        </row>
        <row r="109">
          <cell r="A109" t="str">
            <v xml:space="preserve">Modelware EPS (€) </v>
          </cell>
          <cell r="B109">
            <v>0.81426438053097261</v>
          </cell>
          <cell r="C109">
            <v>0.4729763481551561</v>
          </cell>
          <cell r="D109">
            <v>1.2873347903600314</v>
          </cell>
          <cell r="E109">
            <v>0.71948717948717955</v>
          </cell>
          <cell r="F109">
            <v>2.0058813346363262</v>
          </cell>
          <cell r="G109">
            <v>0.7613402061855653</v>
          </cell>
          <cell r="H109">
            <v>2.7742268041237059</v>
          </cell>
          <cell r="I109">
            <v>0.52877394923568866</v>
          </cell>
          <cell r="J109">
            <v>0.66533076890986387</v>
          </cell>
          <cell r="K109">
            <v>1.1960074459916017</v>
          </cell>
          <cell r="L109">
            <v>0.73113474967629077</v>
          </cell>
          <cell r="M109">
            <v>1.9239249850933204</v>
          </cell>
          <cell r="N109">
            <v>0.19549034048954714</v>
          </cell>
          <cell r="O109">
            <v>2.1207650182876621</v>
          </cell>
          <cell r="P109">
            <v>1.0956410044618214</v>
          </cell>
          <cell r="Q109">
            <v>0.94563915377184793</v>
          </cell>
          <cell r="R109">
            <v>2.0412801582336728</v>
          </cell>
          <cell r="S109">
            <v>0.92488402575897055</v>
          </cell>
          <cell r="T109">
            <v>2.935805398344066</v>
          </cell>
          <cell r="U109">
            <v>0.30712552562097462</v>
          </cell>
          <cell r="V109">
            <v>3.2732897096136155</v>
          </cell>
          <cell r="W109">
            <v>1.1455353915223809</v>
          </cell>
          <cell r="X109">
            <v>1.088243808991588</v>
          </cell>
          <cell r="Y109">
            <v>2.2337792005139687</v>
          </cell>
          <cell r="Z109">
            <v>1.2876676072281674</v>
          </cell>
          <cell r="AA109">
            <v>3.5214468077421359</v>
          </cell>
          <cell r="AB109">
            <v>1.0300558671478679</v>
          </cell>
          <cell r="AC109">
            <v>4.5515026748900054</v>
          </cell>
          <cell r="AD109">
            <v>1.5521556623908996</v>
          </cell>
          <cell r="AE109">
            <v>1.586588038225808</v>
          </cell>
          <cell r="AF109">
            <v>3.1387437006167076</v>
          </cell>
          <cell r="AG109">
            <v>1.9868302457651725</v>
          </cell>
          <cell r="AH109">
            <v>5.1255739463818815</v>
          </cell>
          <cell r="AI109">
            <v>1.8647149543795332</v>
          </cell>
          <cell r="AJ109">
            <v>6.9856888592202031</v>
          </cell>
          <cell r="AK109">
            <v>1.9017150023919016</v>
          </cell>
          <cell r="AL109">
            <v>1.5955579075896968</v>
          </cell>
          <cell r="AM109">
            <v>3.4972729099815987</v>
          </cell>
          <cell r="AN109">
            <v>1.624199960027612</v>
          </cell>
          <cell r="AO109">
            <v>5.1214728700092103</v>
          </cell>
          <cell r="AP109">
            <v>1.664687814949396</v>
          </cell>
          <cell r="AQ109">
            <v>6.786160684958606</v>
          </cell>
          <cell r="AR109">
            <v>1.6632934682612688</v>
          </cell>
          <cell r="AS109">
            <v>1.9195032198712043</v>
          </cell>
          <cell r="AT109">
            <v>3.5827966881324738</v>
          </cell>
          <cell r="AU109">
            <v>1.9760809567617308</v>
          </cell>
          <cell r="AV109">
            <v>5.5588776448942037</v>
          </cell>
          <cell r="AW109">
            <v>2.0441582336706507</v>
          </cell>
          <cell r="AX109">
            <v>7.6030358785648566</v>
          </cell>
          <cell r="AY109">
            <v>1.6642134314627404</v>
          </cell>
          <cell r="AZ109">
            <v>1.9190432382704687</v>
          </cell>
          <cell r="BA109">
            <v>1.9774609015639386</v>
          </cell>
          <cell r="BB109">
            <v>2.0446182152713877</v>
          </cell>
          <cell r="BC109">
            <v>7.6053357865685385</v>
          </cell>
          <cell r="BD109">
            <v>2.1113155473781045</v>
          </cell>
          <cell r="BE109">
            <v>2.2608095676172946</v>
          </cell>
          <cell r="BF109">
            <v>4.3721251149953995</v>
          </cell>
          <cell r="BG109">
            <v>2.2907083716651337</v>
          </cell>
          <cell r="BH109">
            <v>6.6628334866605314</v>
          </cell>
          <cell r="BI109">
            <v>2.1209751609935643</v>
          </cell>
          <cell r="BJ109">
            <v>8.7838086476540944</v>
          </cell>
          <cell r="BK109">
            <v>2.2529616474896419</v>
          </cell>
          <cell r="BL109">
            <v>2.2192267789318083</v>
          </cell>
          <cell r="BM109">
            <v>4.4721884264214502</v>
          </cell>
          <cell r="BN109">
            <v>2.3213204770223004</v>
          </cell>
          <cell r="BO109">
            <v>6.793508903443751</v>
          </cell>
          <cell r="BP109">
            <v>2.4013322444094651</v>
          </cell>
          <cell r="BQ109">
            <v>9.1953089919781483</v>
          </cell>
          <cell r="BR109">
            <v>9.5898235331755863</v>
          </cell>
          <cell r="BS109">
            <v>10.397294721129629</v>
          </cell>
          <cell r="BT109">
            <v>10.313210352151952</v>
          </cell>
          <cell r="BU109">
            <v>10.139966468108295</v>
          </cell>
          <cell r="BV109">
            <v>10.092897449124894</v>
          </cell>
          <cell r="BW109">
            <v>10.038678200376106</v>
          </cell>
          <cell r="BX109">
            <v>9.970147335457952</v>
          </cell>
          <cell r="BY109">
            <v>9.9680677985501944</v>
          </cell>
          <cell r="BZ109">
            <v>10.015196081130618</v>
          </cell>
          <cell r="CA109">
            <v>10.28361722552002</v>
          </cell>
          <cell r="CC109" t="str">
            <v>Foots with MW EPS on MW Bench</v>
          </cell>
        </row>
        <row r="111">
          <cell r="A111" t="str">
            <v>Dividend Per Share (€)</v>
          </cell>
          <cell r="H111">
            <v>0.9</v>
          </cell>
          <cell r="O111">
            <v>1.2</v>
          </cell>
          <cell r="V111">
            <v>1.5</v>
          </cell>
          <cell r="AC111">
            <v>1</v>
          </cell>
          <cell r="AJ111">
            <v>1.25</v>
          </cell>
          <cell r="AQ111">
            <v>1.5</v>
          </cell>
          <cell r="AX111">
            <v>1.7</v>
          </cell>
          <cell r="BJ111">
            <v>1.9</v>
          </cell>
          <cell r="BQ111">
            <v>1.9949999999999999</v>
          </cell>
          <cell r="BR111">
            <v>2.0947499999999999</v>
          </cell>
          <cell r="BS111">
            <v>2.1994875</v>
          </cell>
          <cell r="BT111">
            <v>2.3094618750000002</v>
          </cell>
          <cell r="BU111">
            <v>2.4249349687500001</v>
          </cell>
          <cell r="BV111">
            <v>2.5461817171875003</v>
          </cell>
          <cell r="BW111">
            <v>2.6734908030468754</v>
          </cell>
          <cell r="BX111">
            <v>2.8071653431992192</v>
          </cell>
          <cell r="BY111">
            <v>2.9475236103591804</v>
          </cell>
          <cell r="BZ111">
            <v>3.0948997908771396</v>
          </cell>
          <cell r="CA111">
            <v>3.2496447804209967</v>
          </cell>
          <cell r="CC111" t="str">
            <v>Divi policy: target payout ratio 35-40% for 2013/14 (adjusted net basis) keeping in the range of 1.7</v>
          </cell>
          <cell r="CF111" t="str">
            <v>mstag:dividendsPerShare</v>
          </cell>
          <cell r="CG111">
            <v>0</v>
          </cell>
          <cell r="CH111" t="str">
            <v>ISO4217:EUR</v>
          </cell>
          <cell r="CI111" t="b">
            <v>0</v>
          </cell>
          <cell r="CJ111" t="b">
            <v>0</v>
          </cell>
        </row>
        <row r="112">
          <cell r="A112" t="str">
            <v>Special Dividend Per Share (€)</v>
          </cell>
          <cell r="H112">
            <v>0.15</v>
          </cell>
          <cell r="O112">
            <v>2</v>
          </cell>
          <cell r="V112">
            <v>0</v>
          </cell>
          <cell r="AC112">
            <v>0</v>
          </cell>
          <cell r="AJ112">
            <v>0</v>
          </cell>
          <cell r="AQ112">
            <v>0</v>
          </cell>
          <cell r="AX112">
            <v>0</v>
          </cell>
          <cell r="BJ112">
            <v>0</v>
          </cell>
          <cell r="BQ112">
            <v>0</v>
          </cell>
          <cell r="BR112">
            <v>0</v>
          </cell>
          <cell r="BS112">
            <v>0</v>
          </cell>
          <cell r="BT112">
            <v>0</v>
          </cell>
          <cell r="BU112">
            <v>0</v>
          </cell>
          <cell r="BV112">
            <v>0</v>
          </cell>
          <cell r="BW112">
            <v>0</v>
          </cell>
          <cell r="BX112">
            <v>0</v>
          </cell>
          <cell r="BY112">
            <v>0</v>
          </cell>
          <cell r="BZ112">
            <v>0</v>
          </cell>
          <cell r="CA112">
            <v>0</v>
          </cell>
          <cell r="CF112" t="str">
            <v>mstag:specialDividendsPershare</v>
          </cell>
          <cell r="CG112">
            <v>0</v>
          </cell>
          <cell r="CH112" t="str">
            <v>ISO4217:EUR</v>
          </cell>
          <cell r="CI112" t="b">
            <v>0</v>
          </cell>
        </row>
        <row r="113">
          <cell r="A113" t="str">
            <v>Actual Number of Shares (m)</v>
          </cell>
          <cell r="H113">
            <v>51.313889000000003</v>
          </cell>
          <cell r="O113">
            <v>64.613125999999994</v>
          </cell>
          <cell r="V113">
            <v>64.621126000000004</v>
          </cell>
          <cell r="AC113">
            <v>64.621126000000004</v>
          </cell>
          <cell r="AJ113">
            <v>64.621126000000004</v>
          </cell>
          <cell r="AQ113">
            <v>64.599999999999994</v>
          </cell>
          <cell r="AX113">
            <v>64.621126000000004</v>
          </cell>
          <cell r="BJ113">
            <v>64.621126000000004</v>
          </cell>
          <cell r="BQ113">
            <v>64.621126000000004</v>
          </cell>
          <cell r="BR113">
            <v>64.621126000000004</v>
          </cell>
          <cell r="BS113">
            <v>64.621126000000004</v>
          </cell>
          <cell r="BT113">
            <v>64.621126000000004</v>
          </cell>
          <cell r="BU113">
            <v>64.621126000000004</v>
          </cell>
          <cell r="BV113">
            <v>64.621126000000004</v>
          </cell>
          <cell r="BW113">
            <v>64.621126000000004</v>
          </cell>
          <cell r="BX113">
            <v>64.621126000000004</v>
          </cell>
          <cell r="BY113">
            <v>64.621126000000004</v>
          </cell>
          <cell r="BZ113">
            <v>64.621126000000004</v>
          </cell>
          <cell r="CA113">
            <v>64.621126000000004</v>
          </cell>
        </row>
        <row r="114">
          <cell r="A114" t="str">
            <v>Common Dividends in CF following yr</v>
          </cell>
          <cell r="H114">
            <v>53.879583450000005</v>
          </cell>
          <cell r="O114">
            <v>206.76200319999998</v>
          </cell>
          <cell r="V114">
            <v>96.931689000000006</v>
          </cell>
          <cell r="AC114">
            <v>64.621126000000004</v>
          </cell>
          <cell r="AJ114">
            <v>80.776407500000005</v>
          </cell>
          <cell r="AQ114">
            <v>96.899999999999991</v>
          </cell>
          <cell r="AX114">
            <v>109.8559142</v>
          </cell>
          <cell r="BJ114">
            <v>122.7801394</v>
          </cell>
          <cell r="BQ114">
            <v>128.91914636999999</v>
          </cell>
          <cell r="BR114">
            <v>135.3651036885</v>
          </cell>
          <cell r="BS114">
            <v>142.13335887292502</v>
          </cell>
          <cell r="BT114">
            <v>149.24002681657126</v>
          </cell>
          <cell r="BU114">
            <v>156.70202815739984</v>
          </cell>
          <cell r="BV114">
            <v>164.53712956526982</v>
          </cell>
          <cell r="BW114">
            <v>172.76398604353332</v>
          </cell>
          <cell r="BX114">
            <v>181.40218534571</v>
          </cell>
          <cell r="BY114">
            <v>190.47229461299551</v>
          </cell>
          <cell r="BZ114">
            <v>199.99590934364531</v>
          </cell>
          <cell r="CA114">
            <v>209.99570481082756</v>
          </cell>
        </row>
        <row r="115">
          <cell r="A115" t="str">
            <v>Payout Ratio (%)</v>
          </cell>
          <cell r="H115">
            <v>0.22137694941042252</v>
          </cell>
          <cell r="O115" t="str">
            <v>nm</v>
          </cell>
          <cell r="V115">
            <v>0.88852394197379003</v>
          </cell>
          <cell r="AC115">
            <v>0.59311295761745653</v>
          </cell>
          <cell r="AJ115">
            <v>0.43001913543780934</v>
          </cell>
          <cell r="AQ115">
            <v>0.22103809055460785</v>
          </cell>
          <cell r="AX115">
            <v>0.22359489382297781</v>
          </cell>
          <cell r="BJ115">
            <v>0.21630708001675741</v>
          </cell>
          <cell r="BQ115">
            <v>0.21695845150395798</v>
          </cell>
          <cell r="BR115">
            <v>0.21843467637890326</v>
          </cell>
          <cell r="BS115">
            <v>0.21154421020019268</v>
          </cell>
          <cell r="BT115">
            <v>0.22393239312898416</v>
          </cell>
          <cell r="BU115">
            <v>0.23914625125998018</v>
          </cell>
          <cell r="BV115">
            <v>0.25227460499048937</v>
          </cell>
          <cell r="BW115">
            <v>0.2663190063156633</v>
          </cell>
          <cell r="BX115">
            <v>0.2815570571575991</v>
          </cell>
          <cell r="BY115">
            <v>0.29569658532899257</v>
          </cell>
          <cell r="BZ115">
            <v>0.30902038919718838</v>
          </cell>
          <cell r="CA115">
            <v>0.31600211376563264</v>
          </cell>
        </row>
        <row r="117">
          <cell r="A117" t="str">
            <v>Depreciation</v>
          </cell>
          <cell r="H117">
            <v>255.8</v>
          </cell>
          <cell r="O117">
            <v>287.5</v>
          </cell>
          <cell r="V117">
            <v>278</v>
          </cell>
        </row>
        <row r="118">
          <cell r="A118" t="str">
            <v>Amortisation of Goodwill</v>
          </cell>
          <cell r="H118">
            <v>0.1</v>
          </cell>
          <cell r="O118">
            <v>0</v>
          </cell>
          <cell r="V118">
            <v>41.7</v>
          </cell>
        </row>
        <row r="119">
          <cell r="A119" t="str">
            <v>Amortisation of Intangible Fixed Assets</v>
          </cell>
          <cell r="H119">
            <v>47.1</v>
          </cell>
          <cell r="O119">
            <v>1370.1</v>
          </cell>
          <cell r="V119">
            <v>895.59999999999991</v>
          </cell>
        </row>
        <row r="120">
          <cell r="A120" t="str">
            <v>EBITDA, company reported</v>
          </cell>
          <cell r="H120">
            <v>1334.6999999999987</v>
          </cell>
          <cell r="O120">
            <v>1858.25</v>
          </cell>
          <cell r="V120">
            <v>1946.7</v>
          </cell>
        </row>
        <row r="121">
          <cell r="A121" t="str">
            <v xml:space="preserve">     EBITDA Margin (%)</v>
          </cell>
          <cell r="H121">
            <v>0.29927351002287073</v>
          </cell>
          <cell r="O121">
            <v>0.26330891417397589</v>
          </cell>
          <cell r="V121">
            <v>0.2564991106133474</v>
          </cell>
        </row>
        <row r="122">
          <cell r="A122" t="str">
            <v>MW EBITDA</v>
          </cell>
          <cell r="H122">
            <v>1066.6999999999989</v>
          </cell>
          <cell r="O122">
            <v>1820.5</v>
          </cell>
          <cell r="V122">
            <v>1982.8000000000002</v>
          </cell>
          <cell r="CC122" t="str">
            <v>Abishek: can we get rid of this,do we need it?</v>
          </cell>
        </row>
        <row r="123">
          <cell r="A123" t="str">
            <v xml:space="preserve">     EBITDA Margin (%)</v>
          </cell>
          <cell r="H123">
            <v>0.23918112919861856</v>
          </cell>
          <cell r="O123">
            <v>0.25795984299944735</v>
          </cell>
          <cell r="V123">
            <v>0.26125568219250284</v>
          </cell>
          <cell r="CC123" t="str">
            <v>Abishek: can we get rid of this,do we need it?</v>
          </cell>
        </row>
        <row r="125">
          <cell r="A125" t="str">
            <v>Statutory Tax Rate (%)</v>
          </cell>
          <cell r="H125">
            <v>0.26900000000000002</v>
          </cell>
          <cell r="O125">
            <v>0.309</v>
          </cell>
          <cell r="V125">
            <v>0.29599999999999999</v>
          </cell>
          <cell r="AC125">
            <v>0.26500000000000001</v>
          </cell>
          <cell r="AJ125">
            <v>0.25</v>
          </cell>
          <cell r="AQ125">
            <v>0.25</v>
          </cell>
          <cell r="AX125">
            <v>0.25</v>
          </cell>
          <cell r="BJ125">
            <v>0.25</v>
          </cell>
          <cell r="BQ125">
            <v>0.25</v>
          </cell>
          <cell r="BR125">
            <v>0.25</v>
          </cell>
          <cell r="BS125">
            <v>0.25</v>
          </cell>
          <cell r="BT125">
            <v>0.25</v>
          </cell>
          <cell r="BU125">
            <v>0.25</v>
          </cell>
          <cell r="BV125">
            <v>0.25</v>
          </cell>
          <cell r="BW125">
            <v>0.25</v>
          </cell>
          <cell r="BX125">
            <v>0.25</v>
          </cell>
          <cell r="BY125">
            <v>0.25</v>
          </cell>
          <cell r="BZ125">
            <v>0.25</v>
          </cell>
          <cell r="CA125">
            <v>0.25</v>
          </cell>
          <cell r="CF125" t="str">
            <v>mstag:statutoryTaxRate</v>
          </cell>
          <cell r="CG125">
            <v>0</v>
          </cell>
          <cell r="CH125" t="str">
            <v>ms_eqr_gcim_Decimal:ms_eqr_gcim_decimal</v>
          </cell>
          <cell r="CI125" t="b">
            <v>0</v>
          </cell>
          <cell r="CJ125" t="b">
            <v>0</v>
          </cell>
        </row>
        <row r="129">
          <cell r="A129" t="str">
            <v>For MW purpose:</v>
          </cell>
        </row>
        <row r="130">
          <cell r="A130" t="str">
            <v>Net Income, Reported, for tagging</v>
          </cell>
          <cell r="B130">
            <v>184.39999999999984</v>
          </cell>
          <cell r="C130">
            <v>537.9</v>
          </cell>
          <cell r="D130">
            <v>722.30000000000041</v>
          </cell>
          <cell r="E130">
            <v>148.50000000000003</v>
          </cell>
          <cell r="F130">
            <v>870.80000000000018</v>
          </cell>
          <cell r="G130">
            <v>130.99999999999966</v>
          </cell>
          <cell r="H130">
            <v>1001.7999999999989</v>
          </cell>
          <cell r="I130">
            <v>-5.8092867199999008</v>
          </cell>
          <cell r="J130">
            <v>90.536078210000042</v>
          </cell>
          <cell r="K130">
            <v>84.726791490000636</v>
          </cell>
          <cell r="L130">
            <v>40.941832879999872</v>
          </cell>
          <cell r="M130">
            <v>125.66862437000036</v>
          </cell>
          <cell r="N130">
            <v>3394.79817177</v>
          </cell>
          <cell r="O130">
            <v>3520.46679614</v>
          </cell>
          <cell r="P130">
            <v>242.89235436999999</v>
          </cell>
          <cell r="Q130">
            <v>210.98195202999975</v>
          </cell>
          <cell r="R130">
            <v>453.87430640000048</v>
          </cell>
          <cell r="S130">
            <v>202.26978720000022</v>
          </cell>
          <cell r="T130">
            <v>649.5440936</v>
          </cell>
          <cell r="U130">
            <v>-277.03091073000013</v>
          </cell>
          <cell r="V130">
            <v>379.11318287000017</v>
          </cell>
          <cell r="W130">
            <v>60.15439711999958</v>
          </cell>
          <cell r="X130">
            <v>109.82289691999996</v>
          </cell>
          <cell r="Y130">
            <v>169.97729403999963</v>
          </cell>
          <cell r="Z130">
            <v>148.27404472999842</v>
          </cell>
          <cell r="AA130">
            <v>318.25133876999877</v>
          </cell>
          <cell r="AB130">
            <v>58.610834829991475</v>
          </cell>
          <cell r="AC130">
            <v>376.92198574999026</v>
          </cell>
          <cell r="AD130">
            <v>194.56298680999981</v>
          </cell>
          <cell r="AE130">
            <v>186.89873412000043</v>
          </cell>
          <cell r="AF130">
            <v>381.46172093000052</v>
          </cell>
          <cell r="AG130">
            <v>214.27870943000323</v>
          </cell>
          <cell r="AH130">
            <v>595.74043036000194</v>
          </cell>
          <cell r="AI130">
            <v>45.476038830002985</v>
          </cell>
          <cell r="AJ130">
            <v>641.21646919000716</v>
          </cell>
          <cell r="AK130">
            <v>341.73284151999923</v>
          </cell>
          <cell r="AL130">
            <v>-86.855333679999418</v>
          </cell>
          <cell r="AM130">
            <v>254.87750784000147</v>
          </cell>
          <cell r="AN130">
            <v>227.50107131000328</v>
          </cell>
          <cell r="AO130">
            <v>482.37857915000467</v>
          </cell>
          <cell r="AP130">
            <v>136.40313096999859</v>
          </cell>
          <cell r="AQ130">
            <v>618.78171012000166</v>
          </cell>
          <cell r="AR130">
            <v>175.09999999999974</v>
          </cell>
          <cell r="AS130">
            <v>-60.400000000000368</v>
          </cell>
          <cell r="AT130">
            <v>114.69999999999965</v>
          </cell>
          <cell r="AU130">
            <v>188.69999999999993</v>
          </cell>
          <cell r="AV130">
            <v>303.39999999999958</v>
          </cell>
          <cell r="AW130">
            <v>275.39999999999958</v>
          </cell>
          <cell r="AX130">
            <v>578.80000000000121</v>
          </cell>
          <cell r="AY130">
            <v>175.39999999999981</v>
          </cell>
          <cell r="AZ130">
            <v>-60.600000000000186</v>
          </cell>
          <cell r="BA130">
            <v>188.89999999999998</v>
          </cell>
          <cell r="BB130">
            <v>275.39999999999958</v>
          </cell>
          <cell r="BC130">
            <v>579.10000000000048</v>
          </cell>
          <cell r="BD130">
            <v>269.10000000000002</v>
          </cell>
          <cell r="BE130">
            <v>316.00000000000028</v>
          </cell>
          <cell r="BF130">
            <v>585.09999999999934</v>
          </cell>
          <cell r="BG130">
            <v>342.6</v>
          </cell>
          <cell r="BH130">
            <v>927.69999999999948</v>
          </cell>
          <cell r="BI130">
            <v>281.30000000000126</v>
          </cell>
          <cell r="BJ130">
            <v>1209.0000000000005</v>
          </cell>
          <cell r="BK130">
            <v>250.86786603315267</v>
          </cell>
          <cell r="BL130">
            <v>238.80271326112498</v>
          </cell>
          <cell r="BM130">
            <v>489.67057929427756</v>
          </cell>
          <cell r="BN130">
            <v>264.47294079865378</v>
          </cell>
          <cell r="BO130">
            <v>754.14352009293054</v>
          </cell>
          <cell r="BP130">
            <v>278.11644425901926</v>
          </cell>
          <cell r="BQ130">
            <v>1032.25996435195</v>
          </cell>
          <cell r="BR130">
            <v>1292.327692905154</v>
          </cell>
          <cell r="BS130">
            <v>1477.8567845216628</v>
          </cell>
          <cell r="BT130">
            <v>1477.0958069761255</v>
          </cell>
          <cell r="BU130">
            <v>1752.7599679311481</v>
          </cell>
          <cell r="BV130">
            <v>1740.3091029437996</v>
          </cell>
          <cell r="BW130">
            <v>1727.11941162425</v>
          </cell>
          <cell r="BX130">
            <v>1709.2090564571618</v>
          </cell>
          <cell r="BY130">
            <v>1705.7741047090767</v>
          </cell>
          <cell r="BZ130">
            <v>1712.4825117613577</v>
          </cell>
          <cell r="CA130">
            <v>1761.607022188211</v>
          </cell>
          <cell r="CC130" t="str">
            <v>Abishek: can we get rid of this,do we need it?</v>
          </cell>
          <cell r="CF130" t="str">
            <v>mstag:netIncomeAsReported</v>
          </cell>
          <cell r="CG130">
            <v>6</v>
          </cell>
          <cell r="CH130" t="str">
            <v>ISO4217:EUR</v>
          </cell>
          <cell r="CI130" t="b">
            <v>0</v>
          </cell>
          <cell r="CJ130" t="b">
            <v>0</v>
          </cell>
        </row>
        <row r="133">
          <cell r="A133" t="str">
            <v>SG&amp;A</v>
          </cell>
          <cell r="W133">
            <v>-664.67348591999973</v>
          </cell>
          <cell r="X133">
            <v>-643.80692991000012</v>
          </cell>
          <cell r="Y133">
            <v>-1308.4804158299999</v>
          </cell>
          <cell r="Z133">
            <v>-641.01744980999888</v>
          </cell>
          <cell r="AA133">
            <v>-1949.497865639999</v>
          </cell>
          <cell r="AB133">
            <v>-692.26488275999122</v>
          </cell>
          <cell r="AC133">
            <v>-2641.7627483999895</v>
          </cell>
          <cell r="AD133">
            <v>-721.05111419999992</v>
          </cell>
          <cell r="AE133">
            <v>-758.15624386000036</v>
          </cell>
          <cell r="AF133">
            <v>-1479.2073580600002</v>
          </cell>
          <cell r="AG133">
            <v>-745.37819033000335</v>
          </cell>
          <cell r="AH133">
            <v>-2224.5855483900041</v>
          </cell>
          <cell r="AI133">
            <v>-599.2102333600028</v>
          </cell>
          <cell r="AJ133">
            <v>-2823.7957817500064</v>
          </cell>
          <cell r="AK133">
            <v>-758.2</v>
          </cell>
          <cell r="AL133">
            <v>-664.49999999999989</v>
          </cell>
          <cell r="AM133">
            <v>-1422.6999999999998</v>
          </cell>
          <cell r="AN133">
            <v>-828</v>
          </cell>
          <cell r="AO133">
            <v>-2250.6999999999994</v>
          </cell>
          <cell r="AP133">
            <v>-827.30000000000007</v>
          </cell>
          <cell r="AQ133">
            <v>-3078.0000000000009</v>
          </cell>
          <cell r="AR133">
            <v>-838.6</v>
          </cell>
          <cell r="AS133">
            <v>-892.60000000000036</v>
          </cell>
          <cell r="AT133">
            <v>-1731.2000000000003</v>
          </cell>
          <cell r="AU133">
            <v>-926.90000000000009</v>
          </cell>
          <cell r="AV133">
            <v>-2658.1000000000008</v>
          </cell>
          <cell r="AW133">
            <v>-873</v>
          </cell>
          <cell r="AX133">
            <v>-3539.5999999999995</v>
          </cell>
          <cell r="AY133">
            <v>-838.3</v>
          </cell>
          <cell r="AZ133">
            <v>-892.80000000000018</v>
          </cell>
          <cell r="BA133">
            <v>-926.7</v>
          </cell>
          <cell r="BB133">
            <v>-873</v>
          </cell>
          <cell r="BC133">
            <v>-3539.3</v>
          </cell>
          <cell r="BD133">
            <v>-825.19999999999993</v>
          </cell>
          <cell r="BE133">
            <v>-870.60000000000014</v>
          </cell>
          <cell r="BF133">
            <v>-1695.8000000000002</v>
          </cell>
          <cell r="BG133">
            <v>-814.29999999999973</v>
          </cell>
          <cell r="BH133">
            <v>-2510.0999999999995</v>
          </cell>
          <cell r="BI133">
            <v>-819.4</v>
          </cell>
          <cell r="BJ133">
            <v>-3329.5000000000009</v>
          </cell>
          <cell r="BK133">
            <v>-656.25210396818318</v>
          </cell>
          <cell r="BL133">
            <v>-536.30594049552371</v>
          </cell>
          <cell r="BM133">
            <v>-1734.2160083698579</v>
          </cell>
          <cell r="BN133">
            <v>-787.8236935898301</v>
          </cell>
          <cell r="BO133">
            <v>-2594.1817380535372</v>
          </cell>
          <cell r="BP133">
            <v>-773.50324039521763</v>
          </cell>
          <cell r="BQ133">
            <v>-3223.4009062610567</v>
          </cell>
          <cell r="BR133">
            <v>-3094.2844155503958</v>
          </cell>
          <cell r="BS133">
            <v>-2935.2880920479215</v>
          </cell>
          <cell r="BT133">
            <v>-2991.3556746922181</v>
          </cell>
          <cell r="BU133">
            <v>-3052.0315032801009</v>
          </cell>
          <cell r="BV133">
            <v>-3123.02831855469</v>
          </cell>
          <cell r="BW133">
            <v>-3181.3892089711153</v>
          </cell>
          <cell r="BX133">
            <v>-3246.636655525896</v>
          </cell>
          <cell r="BY133">
            <v>-3309.2889093506196</v>
          </cell>
          <cell r="BZ133">
            <v>-3379.5126724278739</v>
          </cell>
          <cell r="CA133">
            <v>-3458.230607048115</v>
          </cell>
          <cell r="CF133" t="str">
            <v>mstag:sellingGeneralAndAdministrativeExpenses</v>
          </cell>
          <cell r="CG133">
            <v>6</v>
          </cell>
          <cell r="CH133" t="str">
            <v>ISO4217:EUR</v>
          </cell>
          <cell r="CI133" t="b">
            <v>1</v>
          </cell>
        </row>
        <row r="134">
          <cell r="A134" t="str">
            <v>One time items</v>
          </cell>
          <cell r="W134">
            <v>69.026514080000254</v>
          </cell>
          <cell r="X134">
            <v>0.19307008999985556</v>
          </cell>
          <cell r="Y134">
            <v>69.219584170000104</v>
          </cell>
          <cell r="Z134">
            <v>0.28255019000132509</v>
          </cell>
          <cell r="AA134">
            <v>69.502134360001435</v>
          </cell>
          <cell r="AB134">
            <v>-41.664882759991237</v>
          </cell>
          <cell r="AC134">
            <v>27.837251600010198</v>
          </cell>
          <cell r="AD134">
            <v>-0.15111419999993814</v>
          </cell>
          <cell r="AE134">
            <v>33.443756139999735</v>
          </cell>
          <cell r="AF134">
            <v>33.292641939999797</v>
          </cell>
          <cell r="AG134">
            <v>21.221809669997015</v>
          </cell>
          <cell r="AH134">
            <v>54.514451609996811</v>
          </cell>
          <cell r="AI134">
            <v>33.689766639997181</v>
          </cell>
          <cell r="AJ134">
            <v>88.204218249994</v>
          </cell>
          <cell r="AK134">
            <v>-145.80000000000001</v>
          </cell>
          <cell r="AL134">
            <v>92</v>
          </cell>
          <cell r="AM134">
            <v>-53.800000000000011</v>
          </cell>
          <cell r="AN134">
            <v>6.2</v>
          </cell>
          <cell r="AO134">
            <v>-47.600000000000009</v>
          </cell>
          <cell r="AP134">
            <v>40.5</v>
          </cell>
          <cell r="AQ134">
            <v>-7.0999999999999872</v>
          </cell>
          <cell r="AR134">
            <v>20.9</v>
          </cell>
          <cell r="AS134">
            <v>371.6</v>
          </cell>
          <cell r="AT134">
            <v>392.5</v>
          </cell>
          <cell r="AU134">
            <v>93.199999999999989</v>
          </cell>
          <cell r="AV134">
            <v>485.7</v>
          </cell>
          <cell r="AW134">
            <v>118.79999999999998</v>
          </cell>
          <cell r="AX134">
            <v>604.5</v>
          </cell>
          <cell r="AY134">
            <v>20.9</v>
          </cell>
          <cell r="AZ134">
            <v>371.6</v>
          </cell>
          <cell r="BA134">
            <v>93.199999999999989</v>
          </cell>
          <cell r="BB134">
            <v>118.79999999999998</v>
          </cell>
          <cell r="BC134">
            <v>604.5</v>
          </cell>
          <cell r="BD134">
            <v>47.3</v>
          </cell>
          <cell r="BE134">
            <v>33.299999999999997</v>
          </cell>
          <cell r="BF134">
            <v>80.599999999999994</v>
          </cell>
          <cell r="BG134">
            <v>34.200000000000003</v>
          </cell>
          <cell r="BH134">
            <v>114.8</v>
          </cell>
          <cell r="BI134">
            <v>69.8</v>
          </cell>
          <cell r="BJ134">
            <v>184.6</v>
          </cell>
          <cell r="BK134">
            <v>69.8</v>
          </cell>
          <cell r="BL134">
            <v>184.6</v>
          </cell>
          <cell r="BM134">
            <v>26.611051115910726</v>
          </cell>
          <cell r="BN134">
            <v>26.611051115910726</v>
          </cell>
          <cell r="BO134">
            <v>26.611051115910726</v>
          </cell>
          <cell r="BP134">
            <v>26.611051115910726</v>
          </cell>
          <cell r="BQ134">
            <v>106.4442044636429</v>
          </cell>
          <cell r="BR134">
            <v>26.666666666666668</v>
          </cell>
          <cell r="BS134">
            <v>16.666666666666668</v>
          </cell>
          <cell r="BT134">
            <v>0</v>
          </cell>
          <cell r="BU134">
            <v>0</v>
          </cell>
          <cell r="BV134">
            <v>0</v>
          </cell>
          <cell r="BW134">
            <v>0</v>
          </cell>
          <cell r="BX134">
            <v>0</v>
          </cell>
          <cell r="BY134">
            <v>0</v>
          </cell>
          <cell r="BZ134">
            <v>0</v>
          </cell>
          <cell r="CA134">
            <v>0</v>
          </cell>
          <cell r="CF134" t="str">
            <v>mstag:incomeLossFromExtraordinaryItemsPretax</v>
          </cell>
          <cell r="CG134">
            <v>6</v>
          </cell>
          <cell r="CH134" t="str">
            <v>ISO4217:EUR</v>
          </cell>
          <cell r="CI134" t="b">
            <v>1</v>
          </cell>
        </row>
        <row r="135">
          <cell r="A135" t="str">
            <v>Impairments</v>
          </cell>
          <cell r="W135">
            <v>0</v>
          </cell>
          <cell r="X135">
            <v>0</v>
          </cell>
          <cell r="Y135">
            <v>0</v>
          </cell>
          <cell r="Z135">
            <v>6.9</v>
          </cell>
          <cell r="AA135">
            <v>6.9</v>
          </cell>
          <cell r="AB135">
            <v>92.6</v>
          </cell>
          <cell r="AC135">
            <v>99.5</v>
          </cell>
          <cell r="AD135">
            <v>26.2</v>
          </cell>
          <cell r="AE135">
            <v>7.4</v>
          </cell>
          <cell r="AF135">
            <v>33.6</v>
          </cell>
          <cell r="AG135">
            <v>42.9</v>
          </cell>
          <cell r="AH135">
            <v>76.5</v>
          </cell>
          <cell r="AI135">
            <v>190.1</v>
          </cell>
          <cell r="AJ135">
            <v>266.59999999999997</v>
          </cell>
          <cell r="AK135">
            <v>50.4</v>
          </cell>
          <cell r="AL135">
            <v>268.10000000000002</v>
          </cell>
          <cell r="AM135">
            <v>318.5</v>
          </cell>
          <cell r="AN135">
            <v>0.9</v>
          </cell>
          <cell r="AO135">
            <v>319.39999999999998</v>
          </cell>
          <cell r="AP135">
            <v>14</v>
          </cell>
          <cell r="AQ135">
            <v>333.4</v>
          </cell>
          <cell r="AR135">
            <v>8.6</v>
          </cell>
          <cell r="AS135">
            <v>22.5</v>
          </cell>
          <cell r="AT135">
            <v>31.1</v>
          </cell>
          <cell r="AU135">
            <v>11.1</v>
          </cell>
          <cell r="AV135">
            <v>42.2</v>
          </cell>
          <cell r="AW135">
            <v>16.7</v>
          </cell>
          <cell r="AX135">
            <v>58.899999999999991</v>
          </cell>
          <cell r="AY135">
            <v>8.6</v>
          </cell>
          <cell r="AZ135">
            <v>22.5</v>
          </cell>
          <cell r="BA135">
            <v>11.1</v>
          </cell>
          <cell r="BB135">
            <v>16.7</v>
          </cell>
          <cell r="BC135">
            <v>58.899999999999991</v>
          </cell>
          <cell r="BD135">
            <v>26.6</v>
          </cell>
          <cell r="BE135">
            <v>4.5</v>
          </cell>
          <cell r="BF135">
            <v>31.1</v>
          </cell>
          <cell r="BG135">
            <v>14.7</v>
          </cell>
          <cell r="BH135">
            <v>45.8</v>
          </cell>
          <cell r="BI135">
            <v>156.80000000000001</v>
          </cell>
          <cell r="BJ135">
            <v>202.60000000000002</v>
          </cell>
          <cell r="BK135">
            <v>156.80000000000001</v>
          </cell>
          <cell r="BL135">
            <v>202.60000000000002</v>
          </cell>
          <cell r="BM135">
            <v>45.530984977938154</v>
          </cell>
          <cell r="BN135">
            <v>45.530984977938154</v>
          </cell>
          <cell r="BO135">
            <v>45.530984977938154</v>
          </cell>
          <cell r="BP135">
            <v>45.530984977938147</v>
          </cell>
          <cell r="BQ135">
            <v>182.12393991175261</v>
          </cell>
          <cell r="BR135">
            <v>175.12868888949458</v>
          </cell>
          <cell r="BS135">
            <v>172.96950651147878</v>
          </cell>
          <cell r="BT135">
            <v>169.79797580530624</v>
          </cell>
          <cell r="BU135">
            <v>165.65426622838686</v>
          </cell>
          <cell r="BV135">
            <v>161.55540641637631</v>
          </cell>
          <cell r="BW135">
            <v>156.72121503902449</v>
          </cell>
          <cell r="BX135">
            <v>152.61317371024873</v>
          </cell>
          <cell r="BY135">
            <v>148.25727871949374</v>
          </cell>
          <cell r="BZ135">
            <v>144.59608965440211</v>
          </cell>
          <cell r="CA135">
            <v>143.60661956732241</v>
          </cell>
          <cell r="CF135" t="str">
            <v>mstag:assetImpairmentNonGoodwillOneTimeIncomeStatement</v>
          </cell>
          <cell r="CG135">
            <v>6</v>
          </cell>
          <cell r="CH135" t="str">
            <v>ISO4217:EUR</v>
          </cell>
          <cell r="CI135" t="b">
            <v>0</v>
          </cell>
        </row>
        <row r="137">
          <cell r="A137" t="str">
            <v>PPA included in D&amp;A</v>
          </cell>
          <cell r="W137">
            <v>145</v>
          </cell>
          <cell r="X137">
            <v>143.30000000000001</v>
          </cell>
          <cell r="Y137">
            <v>288.3</v>
          </cell>
          <cell r="Z137">
            <v>144.4</v>
          </cell>
          <cell r="AA137">
            <v>432.70000000000005</v>
          </cell>
          <cell r="AB137">
            <v>142.6</v>
          </cell>
          <cell r="AC137">
            <v>575.30000000000007</v>
          </cell>
          <cell r="AD137">
            <v>137.6</v>
          </cell>
          <cell r="AE137">
            <v>143.1</v>
          </cell>
          <cell r="AF137">
            <v>280.7</v>
          </cell>
          <cell r="AG137">
            <v>196.60000000000002</v>
          </cell>
          <cell r="AH137">
            <v>477.3</v>
          </cell>
          <cell r="AI137">
            <v>198</v>
          </cell>
          <cell r="AJ137">
            <v>675.3</v>
          </cell>
          <cell r="AK137">
            <v>195.8</v>
          </cell>
          <cell r="AL137">
            <v>210</v>
          </cell>
          <cell r="AM137">
            <v>405.8</v>
          </cell>
          <cell r="AN137">
            <v>211.4</v>
          </cell>
          <cell r="AO137">
            <v>617.20000000000005</v>
          </cell>
          <cell r="AP137">
            <v>214</v>
          </cell>
          <cell r="AQ137">
            <v>831.19999999999993</v>
          </cell>
          <cell r="AR137">
            <v>214.8</v>
          </cell>
          <cell r="AS137">
            <v>215.8</v>
          </cell>
          <cell r="AT137">
            <v>430.6</v>
          </cell>
          <cell r="AU137">
            <v>216.7</v>
          </cell>
          <cell r="AV137">
            <v>647.29999999999995</v>
          </cell>
          <cell r="AW137">
            <v>215.7</v>
          </cell>
          <cell r="AX137">
            <v>863</v>
          </cell>
          <cell r="AY137">
            <v>214.8</v>
          </cell>
          <cell r="AZ137">
            <v>215.8</v>
          </cell>
          <cell r="BA137">
            <v>216.7</v>
          </cell>
          <cell r="BB137">
            <v>215.7</v>
          </cell>
          <cell r="BC137">
            <v>863</v>
          </cell>
          <cell r="BD137">
            <v>205.4</v>
          </cell>
          <cell r="BE137">
            <v>205.3</v>
          </cell>
          <cell r="BF137">
            <v>410.70000000000005</v>
          </cell>
          <cell r="BG137">
            <v>193.6</v>
          </cell>
          <cell r="BH137">
            <v>604.30000000000007</v>
          </cell>
          <cell r="BI137">
            <v>192.3</v>
          </cell>
          <cell r="BJ137">
            <v>796.6</v>
          </cell>
          <cell r="BK137">
            <v>176.14163463589787</v>
          </cell>
          <cell r="BL137">
            <v>180.8728269834528</v>
          </cell>
          <cell r="BM137">
            <v>357.01446161935064</v>
          </cell>
          <cell r="BN137">
            <v>177.39776941079745</v>
          </cell>
          <cell r="BO137">
            <v>534.41223103014806</v>
          </cell>
          <cell r="BP137">
            <v>181.14882418040133</v>
          </cell>
          <cell r="BQ137">
            <v>715.5610552105494</v>
          </cell>
          <cell r="BR137">
            <v>604.59697923883346</v>
          </cell>
          <cell r="BS137">
            <v>603.53533175200903</v>
          </cell>
          <cell r="BT137">
            <v>600.04062455971257</v>
          </cell>
          <cell r="BU137">
            <v>289.72521290622819</v>
          </cell>
          <cell r="BV137">
            <v>295.0063402742893</v>
          </cell>
          <cell r="BW137">
            <v>300.20172833812654</v>
          </cell>
          <cell r="BX137">
            <v>306.2694018603213</v>
          </cell>
          <cell r="BY137">
            <v>312.60657593271333</v>
          </cell>
          <cell r="BZ137">
            <v>319.84088434864481</v>
          </cell>
          <cell r="CA137">
            <v>329.26471634813112</v>
          </cell>
          <cell r="CF137" t="str">
            <v>mstag:amortizationOfIntangiblesAssumedToHaveIndefiniteLifeIncomeStatement</v>
          </cell>
          <cell r="CG137">
            <v>6</v>
          </cell>
          <cell r="CH137" t="str">
            <v>ISO4217:EUR</v>
          </cell>
          <cell r="CI137" t="b">
            <v>0</v>
          </cell>
        </row>
        <row r="138">
          <cell r="A138" t="str">
            <v>Amortization of intangible assets</v>
          </cell>
          <cell r="W138">
            <v>2.5000000000000284</v>
          </cell>
          <cell r="X138">
            <v>3</v>
          </cell>
          <cell r="Y138">
            <v>5.5000000000000568</v>
          </cell>
          <cell r="Z138">
            <v>2.5000000000000284</v>
          </cell>
          <cell r="AA138">
            <v>8.0000000000000568</v>
          </cell>
          <cell r="AB138">
            <v>74.300000000000011</v>
          </cell>
          <cell r="AC138">
            <v>82.299999999999955</v>
          </cell>
          <cell r="AD138">
            <v>2.9000000000000057</v>
          </cell>
          <cell r="AE138">
            <v>2.8000000000000114</v>
          </cell>
          <cell r="AF138">
            <v>5.6999999999999886</v>
          </cell>
          <cell r="AG138">
            <v>1.6999999999999886</v>
          </cell>
          <cell r="AH138">
            <v>7.3999999999999773</v>
          </cell>
          <cell r="AI138">
            <v>136</v>
          </cell>
          <cell r="AJ138">
            <v>143.40000000000009</v>
          </cell>
          <cell r="AK138">
            <v>52.399999999999977</v>
          </cell>
          <cell r="AL138">
            <v>109.10000000000002</v>
          </cell>
          <cell r="AM138">
            <v>161.49999999999994</v>
          </cell>
          <cell r="AN138">
            <v>1.5</v>
          </cell>
          <cell r="AO138">
            <v>162.99999999999989</v>
          </cell>
          <cell r="AP138">
            <v>10.5</v>
          </cell>
          <cell r="AQ138">
            <v>173.5</v>
          </cell>
          <cell r="AR138">
            <v>1.5</v>
          </cell>
          <cell r="AS138">
            <v>1.5</v>
          </cell>
          <cell r="AT138">
            <v>3</v>
          </cell>
          <cell r="AU138">
            <v>1.4000000000000057</v>
          </cell>
          <cell r="AV138">
            <v>4.4000000000000909</v>
          </cell>
          <cell r="AW138">
            <v>4.1000000000000227</v>
          </cell>
          <cell r="AX138">
            <v>8.5</v>
          </cell>
          <cell r="AY138">
            <v>1.5</v>
          </cell>
          <cell r="AZ138">
            <v>1.5</v>
          </cell>
          <cell r="BA138">
            <v>1.4000000000000057</v>
          </cell>
          <cell r="BB138">
            <v>4.1000000000000227</v>
          </cell>
          <cell r="BC138">
            <v>8.5</v>
          </cell>
          <cell r="BD138">
            <v>4.0999999999999943</v>
          </cell>
          <cell r="BE138">
            <v>4.1999999999999886</v>
          </cell>
          <cell r="BF138">
            <v>8.2999999999999545</v>
          </cell>
          <cell r="BG138">
            <v>4.2000000000000455</v>
          </cell>
          <cell r="BH138">
            <v>12.5</v>
          </cell>
          <cell r="BI138">
            <v>4.5999999999999659</v>
          </cell>
          <cell r="BJ138">
            <v>17.100000000000023</v>
          </cell>
          <cell r="BK138">
            <v>4.0999999999999943</v>
          </cell>
          <cell r="BL138">
            <v>4.1999999999999886</v>
          </cell>
          <cell r="BM138">
            <v>8.3000000000000114</v>
          </cell>
          <cell r="BN138">
            <v>4.2000000000000455</v>
          </cell>
          <cell r="BO138">
            <v>12.500000000000114</v>
          </cell>
          <cell r="BP138">
            <v>4.5999999999999943</v>
          </cell>
          <cell r="BQ138">
            <v>17.100000000000023</v>
          </cell>
          <cell r="BR138">
            <v>17.100000000000136</v>
          </cell>
          <cell r="BS138">
            <v>17.100000000000023</v>
          </cell>
          <cell r="BT138">
            <v>17.100000000000136</v>
          </cell>
          <cell r="BU138">
            <v>17.100000000000023</v>
          </cell>
          <cell r="BV138">
            <v>17.10000000000008</v>
          </cell>
          <cell r="BW138">
            <v>17.100000000000023</v>
          </cell>
          <cell r="BX138">
            <v>17.100000000000023</v>
          </cell>
          <cell r="BY138">
            <v>17.100000000000023</v>
          </cell>
          <cell r="BZ138">
            <v>17.10000000000008</v>
          </cell>
          <cell r="CA138">
            <v>17.100000000000023</v>
          </cell>
          <cell r="CF138" t="str">
            <v>mstag:amortizationOfOtherIntangiblesInIncomeStatement</v>
          </cell>
          <cell r="CG138">
            <v>6</v>
          </cell>
          <cell r="CH138" t="str">
            <v>ISO4217:EUR</v>
          </cell>
          <cell r="CI138" t="b">
            <v>0</v>
          </cell>
        </row>
        <row r="139">
          <cell r="A139" t="str">
            <v>Depreciation</v>
          </cell>
          <cell r="W139">
            <v>78.400000000000006</v>
          </cell>
          <cell r="X139">
            <v>76.700000000000031</v>
          </cell>
          <cell r="Y139">
            <v>155.10000000000002</v>
          </cell>
          <cell r="Z139">
            <v>82.000000000000014</v>
          </cell>
          <cell r="AA139">
            <v>237.10000000000002</v>
          </cell>
          <cell r="AB139">
            <v>91.800000000000011</v>
          </cell>
          <cell r="AC139">
            <v>328.90000000000009</v>
          </cell>
          <cell r="AD139">
            <v>82.600000000000009</v>
          </cell>
          <cell r="AE139">
            <v>84.300000000000011</v>
          </cell>
          <cell r="AF139">
            <v>166.90000000000003</v>
          </cell>
          <cell r="AG139">
            <v>98.699999999999974</v>
          </cell>
          <cell r="AH139">
            <v>265.60000000000002</v>
          </cell>
          <cell r="AI139">
            <v>136.69999999999999</v>
          </cell>
          <cell r="AJ139">
            <v>402.29999999999995</v>
          </cell>
          <cell r="AK139">
            <v>106.60000000000001</v>
          </cell>
          <cell r="AL139">
            <v>109.00000000000001</v>
          </cell>
          <cell r="AM139">
            <v>215.60000000000002</v>
          </cell>
          <cell r="AN139">
            <v>102.19999999999999</v>
          </cell>
          <cell r="AO139">
            <v>317.8</v>
          </cell>
          <cell r="AP139">
            <v>116.39999999999999</v>
          </cell>
          <cell r="AQ139">
            <v>434.2</v>
          </cell>
          <cell r="AR139">
            <v>119.5</v>
          </cell>
          <cell r="AS139">
            <v>113.5</v>
          </cell>
          <cell r="AT139">
            <v>233</v>
          </cell>
          <cell r="AU139">
            <v>115.2</v>
          </cell>
          <cell r="AV139">
            <v>348.2</v>
          </cell>
          <cell r="AW139">
            <v>126.7</v>
          </cell>
          <cell r="AX139">
            <v>466.4</v>
          </cell>
          <cell r="AY139">
            <v>119.5</v>
          </cell>
          <cell r="AZ139">
            <v>113.5</v>
          </cell>
          <cell r="BA139">
            <v>115.2</v>
          </cell>
          <cell r="BB139">
            <v>126.7</v>
          </cell>
          <cell r="BC139">
            <v>466.4</v>
          </cell>
          <cell r="BD139">
            <v>122.2</v>
          </cell>
          <cell r="BE139">
            <v>117.8</v>
          </cell>
          <cell r="BF139">
            <v>240</v>
          </cell>
          <cell r="BG139">
            <v>106.30000000000001</v>
          </cell>
          <cell r="BH139">
            <v>346.3</v>
          </cell>
          <cell r="BI139">
            <v>112.39999999999999</v>
          </cell>
          <cell r="BJ139">
            <v>458.70000000000005</v>
          </cell>
          <cell r="BK139">
            <v>119.58008672243575</v>
          </cell>
          <cell r="BL139">
            <v>118.40224927677704</v>
          </cell>
          <cell r="BM139">
            <v>237.98233599921281</v>
          </cell>
          <cell r="BN139">
            <v>129.71410415281758</v>
          </cell>
          <cell r="BO139">
            <v>367.69644015203039</v>
          </cell>
          <cell r="BP139">
            <v>131.2255162555424</v>
          </cell>
          <cell r="BQ139">
            <v>498.92195640757279</v>
          </cell>
          <cell r="BR139">
            <v>528.84516240165783</v>
          </cell>
          <cell r="BS139">
            <v>534.90517829319981</v>
          </cell>
          <cell r="BT139">
            <v>539.7457431218437</v>
          </cell>
          <cell r="BU139">
            <v>544.34645841662973</v>
          </cell>
          <cell r="BV139">
            <v>549.38434863456359</v>
          </cell>
          <cell r="BW139">
            <v>553.8759604126501</v>
          </cell>
          <cell r="BX139">
            <v>559.71408130952614</v>
          </cell>
          <cell r="BY139">
            <v>565.66846756211726</v>
          </cell>
          <cell r="BZ139">
            <v>572.96821561993931</v>
          </cell>
          <cell r="CA139">
            <v>584.17034529212469</v>
          </cell>
          <cell r="CF139" t="str">
            <v>mstag:depreciationInIncomeStatement</v>
          </cell>
          <cell r="CG139">
            <v>6</v>
          </cell>
          <cell r="CH139" t="str">
            <v>ISO4217:EUR</v>
          </cell>
          <cell r="CI139" t="b">
            <v>0</v>
          </cell>
        </row>
        <row r="141">
          <cell r="A141" t="str">
            <v>MW Net income</v>
          </cell>
          <cell r="W141">
            <v>249.02672334999997</v>
          </cell>
          <cell r="X141">
            <v>236.57216700999996</v>
          </cell>
          <cell r="Y141">
            <v>485.59889035999993</v>
          </cell>
          <cell r="Z141">
            <v>279.92469492000004</v>
          </cell>
          <cell r="AA141">
            <v>765.52358527999991</v>
          </cell>
          <cell r="AB141">
            <v>223.92275206999997</v>
          </cell>
          <cell r="AC141">
            <v>989.44633735000014</v>
          </cell>
          <cell r="AD141">
            <v>337.42147260999985</v>
          </cell>
          <cell r="AE141">
            <v>344.90669025999983</v>
          </cell>
          <cell r="AF141">
            <v>682.32816286999969</v>
          </cell>
          <cell r="AG141">
            <v>431.91491910000008</v>
          </cell>
          <cell r="AH141">
            <v>1114.24308197</v>
          </cell>
          <cell r="AI141">
            <v>405.36840547000008</v>
          </cell>
          <cell r="AJ141">
            <v>1518.6114892900002</v>
          </cell>
          <cell r="AK141">
            <v>413.43284151999944</v>
          </cell>
          <cell r="AL141">
            <v>346.87428911000012</v>
          </cell>
          <cell r="AM141">
            <v>760.30713062999962</v>
          </cell>
          <cell r="AN141">
            <v>353.10107131000285</v>
          </cell>
          <cell r="AO141">
            <v>1113.4082019400023</v>
          </cell>
          <cell r="AP141">
            <v>361.9031309699987</v>
          </cell>
          <cell r="AQ141">
            <v>1475.3113329100011</v>
          </cell>
          <cell r="AR141">
            <v>361.59999999999985</v>
          </cell>
          <cell r="AS141">
            <v>417.29999999999984</v>
          </cell>
          <cell r="AT141">
            <v>778.89999999999986</v>
          </cell>
          <cell r="AU141">
            <v>429.60000000000031</v>
          </cell>
          <cell r="AV141">
            <v>1208.5</v>
          </cell>
          <cell r="AW141">
            <v>444.39999999999952</v>
          </cell>
          <cell r="AX141">
            <v>1652.8999999999999</v>
          </cell>
          <cell r="AY141">
            <v>361.79999999999978</v>
          </cell>
          <cell r="AZ141">
            <v>417.19999999999993</v>
          </cell>
          <cell r="BA141">
            <v>429.90000000000026</v>
          </cell>
          <cell r="BB141">
            <v>444.49999999999966</v>
          </cell>
          <cell r="BC141">
            <v>1653.4000000000003</v>
          </cell>
          <cell r="BD141">
            <v>458.99999999999989</v>
          </cell>
          <cell r="BE141">
            <v>491.49999999999983</v>
          </cell>
          <cell r="BF141">
            <v>950.49999999999977</v>
          </cell>
          <cell r="BG141">
            <v>498.00000000000011</v>
          </cell>
          <cell r="BH141">
            <v>1448.4999999999995</v>
          </cell>
          <cell r="BI141">
            <v>461.10000000000088</v>
          </cell>
          <cell r="BJ141">
            <v>1909.6000000000004</v>
          </cell>
          <cell r="BK141">
            <v>489.7938621642482</v>
          </cell>
          <cell r="BL141">
            <v>482.45990173977515</v>
          </cell>
          <cell r="BM141">
            <v>972.25376390402323</v>
          </cell>
          <cell r="BN141">
            <v>504.65507170464815</v>
          </cell>
          <cell r="BO141">
            <v>1476.9088356086716</v>
          </cell>
          <cell r="BP141">
            <v>522.04962993461777</v>
          </cell>
          <cell r="BQ141">
            <v>1998.9584655432893</v>
          </cell>
          <cell r="BR141">
            <v>2084.7215630742721</v>
          </cell>
          <cell r="BS141">
            <v>2260.2568678966713</v>
          </cell>
          <cell r="BT141">
            <v>2241.9778561381295</v>
          </cell>
          <cell r="BU141">
            <v>2204.3165519976396</v>
          </cell>
          <cell r="BV141">
            <v>2194.0842679010675</v>
          </cell>
          <cell r="BW141">
            <v>2182.2976029421911</v>
          </cell>
          <cell r="BX141">
            <v>2167.3997509288815</v>
          </cell>
          <cell r="BY141">
            <v>2166.9476826068926</v>
          </cell>
          <cell r="BZ141">
            <v>2177.1928499539431</v>
          </cell>
          <cell r="CA141">
            <v>2235.5446377379212</v>
          </cell>
        </row>
        <row r="150">
          <cell r="A150" t="str">
            <v xml:space="preserve"> </v>
          </cell>
        </row>
        <row r="151">
          <cell r="A151" t="str">
            <v>e = Morgan Stanley Research estimates; Source: Company Data, Morgan Stanley Research</v>
          </cell>
        </row>
        <row r="153">
          <cell r="A153" t="str">
            <v>Check</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Q153">
            <v>0</v>
          </cell>
          <cell r="AX153">
            <v>0</v>
          </cell>
          <cell r="BJ153">
            <v>0</v>
          </cell>
          <cell r="BQ153">
            <v>0</v>
          </cell>
          <cell r="BR153">
            <v>0</v>
          </cell>
          <cell r="BS153">
            <v>0</v>
          </cell>
          <cell r="BT153">
            <v>0</v>
          </cell>
        </row>
        <row r="156">
          <cell r="AC156" t="str">
            <v>2009-FY</v>
          </cell>
          <cell r="AJ156" t="str">
            <v>2010-FY</v>
          </cell>
          <cell r="AQ156" t="str">
            <v>2011-FY</v>
          </cell>
          <cell r="AX156" t="str">
            <v>2012-FY</v>
          </cell>
          <cell r="BJ156" t="str">
            <v>2013-FY</v>
          </cell>
          <cell r="BQ156" t="str">
            <v>2014-FY</v>
          </cell>
          <cell r="BR156" t="str">
            <v>2015-FY</v>
          </cell>
          <cell r="BS156" t="str">
            <v>2016-FY</v>
          </cell>
          <cell r="BT156" t="str">
            <v>2017-FY</v>
          </cell>
          <cell r="BU156" t="str">
            <v>2018-FY</v>
          </cell>
          <cell r="BV156" t="str">
            <v>2019-FY</v>
          </cell>
          <cell r="BW156" t="str">
            <v>2020-FY</v>
          </cell>
          <cell r="BX156" t="str">
            <v>2021-FY</v>
          </cell>
          <cell r="BY156" t="str">
            <v>2022-FY</v>
          </cell>
          <cell r="BZ156" t="str">
            <v>2023-FY</v>
          </cell>
          <cell r="CA156" t="str">
            <v>2024-FY</v>
          </cell>
        </row>
      </sheetData>
      <sheetData sheetId="5" refreshError="1">
        <row r="1">
          <cell r="H1" t="str">
            <v>Return to contents</v>
          </cell>
        </row>
        <row r="2">
          <cell r="A2" t="str">
            <v xml:space="preserve"> Merck KGaA</v>
          </cell>
        </row>
        <row r="3">
          <cell r="A3" t="str">
            <v>Annual Income Statement</v>
          </cell>
          <cell r="L3" t="str">
            <v>Morgan Stanley Equity Research: Pharmaceuticals</v>
          </cell>
        </row>
        <row r="4">
          <cell r="A4" t="str">
            <v>in € millions except per share data</v>
          </cell>
          <cell r="B4" t="str">
            <v>2006A</v>
          </cell>
          <cell r="C4" t="str">
            <v>2007A</v>
          </cell>
          <cell r="D4" t="str">
            <v>2008A</v>
          </cell>
          <cell r="E4" t="str">
            <v>2009A</v>
          </cell>
          <cell r="F4" t="str">
            <v>2010A</v>
          </cell>
          <cell r="G4" t="str">
            <v>2011A</v>
          </cell>
          <cell r="H4" t="str">
            <v>2012A</v>
          </cell>
          <cell r="I4" t="str">
            <v>2012A-R</v>
          </cell>
          <cell r="J4" t="str">
            <v>2013A</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row>
        <row r="5">
          <cell r="A5" t="str">
            <v>Sales</v>
          </cell>
          <cell r="B5">
            <v>4440.2999999999993</v>
          </cell>
          <cell r="C5">
            <v>6775.2</v>
          </cell>
          <cell r="D5">
            <v>7201.6</v>
          </cell>
          <cell r="E5">
            <v>7377.7459444699898</v>
          </cell>
          <cell r="F5">
            <v>8928.912273790007</v>
          </cell>
          <cell r="G5">
            <v>9905.9817101200024</v>
          </cell>
          <cell r="H5">
            <v>10740.6</v>
          </cell>
          <cell r="I5">
            <v>10740.6</v>
          </cell>
          <cell r="J5">
            <v>10700.1</v>
          </cell>
          <cell r="K5">
            <v>10891.734474125056</v>
          </cell>
          <cell r="L5">
            <v>11294.646372597312</v>
          </cell>
          <cell r="M5">
            <v>11404.902204309608</v>
          </cell>
          <cell r="N5">
            <v>11485.950609009917</v>
          </cell>
          <cell r="O5">
            <v>11567.062449966263</v>
          </cell>
          <cell r="P5">
            <v>11658.359489470155</v>
          </cell>
          <cell r="Q5">
            <v>11735.236253168108</v>
          </cell>
          <cell r="R5">
            <v>11844.99259129233</v>
          </cell>
          <cell r="S5">
            <v>11956.851835804373</v>
          </cell>
          <cell r="T5">
            <v>12101.520049677991</v>
          </cell>
          <cell r="U5">
            <v>12342.900564048978</v>
          </cell>
          <cell r="V5" t="str">
            <v>Company guidance €10.7-10.9bn in 2013</v>
          </cell>
        </row>
        <row r="6">
          <cell r="A6" t="str">
            <v>Royalties</v>
          </cell>
          <cell r="B6">
            <v>19.5</v>
          </cell>
          <cell r="C6">
            <v>282.09999999999997</v>
          </cell>
          <cell r="D6">
            <v>387.9</v>
          </cell>
          <cell r="E6">
            <v>369.21680393000003</v>
          </cell>
          <cell r="F6">
            <v>361.68350795999999</v>
          </cell>
          <cell r="G6">
            <v>370.5</v>
          </cell>
          <cell r="H6">
            <v>432.09999999999997</v>
          </cell>
          <cell r="I6">
            <v>432.09999999999997</v>
          </cell>
          <cell r="J6">
            <v>395</v>
          </cell>
          <cell r="K6">
            <v>298.92893741125067</v>
          </cell>
          <cell r="L6">
            <v>152.55756541125066</v>
          </cell>
          <cell r="M6">
            <v>182.41180185125066</v>
          </cell>
          <cell r="N6">
            <v>214.34285473925064</v>
          </cell>
          <cell r="O6">
            <v>214.34285473925064</v>
          </cell>
          <cell r="P6">
            <v>214.34285473925064</v>
          </cell>
          <cell r="Q6">
            <v>214.34285473925064</v>
          </cell>
          <cell r="R6">
            <v>214.34285473925064</v>
          </cell>
          <cell r="S6">
            <v>214.34285473925064</v>
          </cell>
          <cell r="T6">
            <v>214.34285473925064</v>
          </cell>
          <cell r="U6">
            <v>214.34285473925064</v>
          </cell>
        </row>
        <row r="7">
          <cell r="A7" t="str">
            <v>Total Revenue</v>
          </cell>
          <cell r="B7">
            <v>4459.7999999999993</v>
          </cell>
          <cell r="C7">
            <v>7057.3</v>
          </cell>
          <cell r="D7">
            <v>7589.5</v>
          </cell>
          <cell r="E7">
            <v>7746.9627483999902</v>
          </cell>
          <cell r="F7">
            <v>9290.5957817500075</v>
          </cell>
          <cell r="G7">
            <v>10276.481710120002</v>
          </cell>
          <cell r="H7">
            <v>11172.7</v>
          </cell>
          <cell r="I7">
            <v>11172.7</v>
          </cell>
          <cell r="J7">
            <v>11095.1</v>
          </cell>
          <cell r="K7">
            <v>11190.663411536307</v>
          </cell>
          <cell r="L7">
            <v>11447.203938008563</v>
          </cell>
          <cell r="M7">
            <v>11587.314006160859</v>
          </cell>
          <cell r="N7">
            <v>11700.293463749167</v>
          </cell>
          <cell r="O7">
            <v>11781.405304705513</v>
          </cell>
          <cell r="P7">
            <v>11872.702344209405</v>
          </cell>
          <cell r="Q7">
            <v>11949.579107907359</v>
          </cell>
          <cell r="R7">
            <v>12059.33544603158</v>
          </cell>
          <cell r="S7">
            <v>12171.194690543623</v>
          </cell>
          <cell r="T7">
            <v>12315.862904417241</v>
          </cell>
          <cell r="U7">
            <v>12557.243418788228</v>
          </cell>
        </row>
        <row r="8">
          <cell r="A8" t="str">
            <v>Growth</v>
          </cell>
          <cell r="C8">
            <v>0.58242522086192228</v>
          </cell>
          <cell r="D8">
            <v>7.5411276267127736E-2</v>
          </cell>
          <cell r="E8">
            <v>2.0747446920085677E-2</v>
          </cell>
          <cell r="F8">
            <v>0.19925654524011094</v>
          </cell>
          <cell r="G8">
            <v>0.10611654532496417</v>
          </cell>
          <cell r="H8">
            <v>8.721061499067595E-2</v>
          </cell>
          <cell r="I8">
            <v>8.721061499067595E-2</v>
          </cell>
          <cell r="J8">
            <v>-6.9455010874721612E-3</v>
          </cell>
          <cell r="K8">
            <v>8.6131185420867951E-3</v>
          </cell>
          <cell r="L8">
            <v>2.2924514574157451E-2</v>
          </cell>
          <cell r="M8">
            <v>1.2239676073830141E-2</v>
          </cell>
          <cell r="N8">
            <v>9.7502715062556256E-3</v>
          </cell>
          <cell r="O8">
            <v>6.9324620965836026E-3</v>
          </cell>
          <cell r="P8">
            <v>7.7492486798180771E-3</v>
          </cell>
          <cell r="Q8">
            <v>6.4750855760691284E-3</v>
          </cell>
          <cell r="R8">
            <v>9.1849543095281483E-3</v>
          </cell>
          <cell r="S8">
            <v>9.2757387015760528E-3</v>
          </cell>
          <cell r="T8">
            <v>1.1886114514791046E-2</v>
          </cell>
          <cell r="U8">
            <v>1.9599155677870739E-2</v>
          </cell>
        </row>
        <row r="10">
          <cell r="A10" t="str">
            <v>Cost of Sales</v>
          </cell>
          <cell r="B10">
            <v>-1567.3</v>
          </cell>
          <cell r="C10">
            <v>-1779.7</v>
          </cell>
          <cell r="D10">
            <v>-1905.8999999999999</v>
          </cell>
          <cell r="E10">
            <v>-2029.4</v>
          </cell>
          <cell r="F10">
            <v>-2385.3999999999996</v>
          </cell>
          <cell r="G10">
            <v>-2785.5</v>
          </cell>
          <cell r="H10">
            <v>-3157.7</v>
          </cell>
          <cell r="I10">
            <v>-3157.7</v>
          </cell>
          <cell r="J10">
            <v>-2992.4</v>
          </cell>
          <cell r="K10">
            <v>-3100.323755270364</v>
          </cell>
          <cell r="L10">
            <v>-3304.4191265090549</v>
          </cell>
          <cell r="M10">
            <v>-3376.4364144491842</v>
          </cell>
          <cell r="N10">
            <v>-3465.4406747914454</v>
          </cell>
          <cell r="O10">
            <v>-3542.2116485687552</v>
          </cell>
          <cell r="P10">
            <v>-3605.3092082486164</v>
          </cell>
          <cell r="Q10">
            <v>-3667.5716168702666</v>
          </cell>
          <cell r="R10">
            <v>-3756.9384098577707</v>
          </cell>
          <cell r="S10">
            <v>-3830.3164870242299</v>
          </cell>
          <cell r="T10">
            <v>-3912.133584289687</v>
          </cell>
          <cell r="U10">
            <v>-4014.639897977213</v>
          </cell>
        </row>
        <row r="12">
          <cell r="A12" t="str">
            <v>Gross Profit</v>
          </cell>
          <cell r="B12">
            <v>2892.4999999999991</v>
          </cell>
          <cell r="C12">
            <v>5277.6</v>
          </cell>
          <cell r="D12">
            <v>5683.6</v>
          </cell>
          <cell r="E12">
            <v>5717.5627483999906</v>
          </cell>
          <cell r="F12">
            <v>6905.1957817500079</v>
          </cell>
          <cell r="G12">
            <v>7490.9817101200024</v>
          </cell>
          <cell r="H12">
            <v>8015.0000000000009</v>
          </cell>
          <cell r="I12">
            <v>8015.0000000000009</v>
          </cell>
          <cell r="J12">
            <v>8102.7000000000007</v>
          </cell>
          <cell r="K12">
            <v>8090.3396562659427</v>
          </cell>
          <cell r="L12">
            <v>8142.7848114995077</v>
          </cell>
          <cell r="M12">
            <v>8210.8775917116745</v>
          </cell>
          <cell r="N12">
            <v>8234.8527889577217</v>
          </cell>
          <cell r="O12">
            <v>8239.1936561367584</v>
          </cell>
          <cell r="P12">
            <v>8267.3931359607886</v>
          </cell>
          <cell r="Q12">
            <v>8282.0074910370931</v>
          </cell>
          <cell r="R12">
            <v>8302.3970361738102</v>
          </cell>
          <cell r="S12">
            <v>8340.8782035193944</v>
          </cell>
          <cell r="T12">
            <v>8403.7293201275534</v>
          </cell>
          <cell r="U12">
            <v>8542.6035208110152</v>
          </cell>
        </row>
        <row r="13">
          <cell r="A13" t="str">
            <v xml:space="preserve">     Gross Margin (%)</v>
          </cell>
          <cell r="B13">
            <v>0.64857168482891603</v>
          </cell>
          <cell r="C13">
            <v>0.74782140478653314</v>
          </cell>
          <cell r="D13">
            <v>0.74887673759799733</v>
          </cell>
          <cell r="E13">
            <v>0.73803927217551946</v>
          </cell>
          <cell r="F13">
            <v>0.74324574483309636</v>
          </cell>
          <cell r="G13">
            <v>0.72894419718988901</v>
          </cell>
          <cell r="H13">
            <v>0.71737359814547963</v>
          </cell>
          <cell r="I13">
            <v>0.71737359814547963</v>
          </cell>
          <cell r="J13">
            <v>0.73029535560743031</v>
          </cell>
          <cell r="K13">
            <v>0.72295442716342617</v>
          </cell>
          <cell r="L13">
            <v>0.71133395155674017</v>
          </cell>
          <cell r="M13">
            <v>0.70860922447998154</v>
          </cell>
          <cell r="N13">
            <v>0.70381591833329948</v>
          </cell>
          <cell r="O13">
            <v>0.69933878370571045</v>
          </cell>
          <cell r="P13">
            <v>0.69633625911568398</v>
          </cell>
          <cell r="Q13">
            <v>0.69307943118738513</v>
          </cell>
          <cell r="R13">
            <v>0.68846223519770466</v>
          </cell>
          <cell r="S13">
            <v>0.68529658883854816</v>
          </cell>
          <cell r="T13">
            <v>0.68235002170359083</v>
          </cell>
          <cell r="U13">
            <v>0.68029289836251139</v>
          </cell>
        </row>
        <row r="15">
          <cell r="A15" t="str">
            <v>SG&amp;A</v>
          </cell>
          <cell r="B15">
            <v>-1466.1000000000001</v>
          </cell>
          <cell r="C15">
            <v>-2717.2000000000003</v>
          </cell>
          <cell r="D15">
            <v>-2744.5</v>
          </cell>
          <cell r="E15">
            <v>-3098</v>
          </cell>
          <cell r="F15">
            <v>-3580.9000000000005</v>
          </cell>
          <cell r="G15">
            <v>-3838.5000000000009</v>
          </cell>
          <cell r="H15">
            <v>-4669.3999999999996</v>
          </cell>
          <cell r="I15">
            <v>-4669.1000000000004</v>
          </cell>
          <cell r="J15">
            <v>-4175.4000000000005</v>
          </cell>
          <cell r="K15">
            <v>-4010.8910070440252</v>
          </cell>
          <cell r="L15">
            <v>-3824.924933508215</v>
          </cell>
          <cell r="M15">
            <v>-3659.8294435192665</v>
          </cell>
          <cell r="N15">
            <v>-3700.8993936193679</v>
          </cell>
          <cell r="O15">
            <v>-3762.0322279251177</v>
          </cell>
          <cell r="P15">
            <v>-3833.9680736056298</v>
          </cell>
          <cell r="Q15">
            <v>-3891.9863844227898</v>
          </cell>
          <cell r="R15">
            <v>-3958.9639105456708</v>
          </cell>
          <cell r="S15">
            <v>-4023.2146556322305</v>
          </cell>
          <cell r="T15">
            <v>-4097.0769777022151</v>
          </cell>
          <cell r="U15">
            <v>-4186.0075719075621</v>
          </cell>
        </row>
        <row r="16">
          <cell r="A16" t="str">
            <v xml:space="preserve">     % of total revenue</v>
          </cell>
          <cell r="B16">
            <v>0.32873671465088128</v>
          </cell>
          <cell r="C16">
            <v>0.3850197667663271</v>
          </cell>
          <cell r="D16">
            <v>0.3616180249028263</v>
          </cell>
          <cell r="E16">
            <v>0.3998986571401601</v>
          </cell>
          <cell r="F16">
            <v>0.38543276277654287</v>
          </cell>
          <cell r="G16">
            <v>0.37352277834737441</v>
          </cell>
          <cell r="H16">
            <v>0.4179294172402373</v>
          </cell>
          <cell r="I16">
            <v>0.41790256607623943</v>
          </cell>
          <cell r="J16">
            <v>0.37632828906454202</v>
          </cell>
          <cell r="K16">
            <v>0.35841405103018742</v>
          </cell>
          <cell r="L16">
            <v>0.33413617458217715</v>
          </cell>
          <cell r="M16">
            <v>0.31584795592605602</v>
          </cell>
          <cell r="N16">
            <v>0.3163082537276356</v>
          </cell>
          <cell r="O16">
            <v>0.31931948104888264</v>
          </cell>
          <cell r="P16">
            <v>0.32292295068574223</v>
          </cell>
          <cell r="Q16">
            <v>0.32570070872599666</v>
          </cell>
          <cell r="R16">
            <v>0.3282903878296598</v>
          </cell>
          <cell r="S16">
            <v>0.3305521567868811</v>
          </cell>
          <cell r="T16">
            <v>0.33266666002207174</v>
          </cell>
          <cell r="U16">
            <v>0.33335401985155683</v>
          </cell>
        </row>
        <row r="17">
          <cell r="A17" t="str">
            <v>Research and Development</v>
          </cell>
          <cell r="B17">
            <v>-615.30000000000007</v>
          </cell>
          <cell r="C17">
            <v>-1027.7</v>
          </cell>
          <cell r="D17">
            <v>-1234.4000000000001</v>
          </cell>
          <cell r="E17">
            <v>-1344.4000000000003</v>
          </cell>
          <cell r="F17">
            <v>-1397.1</v>
          </cell>
          <cell r="G17">
            <v>-1513.9</v>
          </cell>
          <cell r="H17">
            <v>-1511.2</v>
          </cell>
          <cell r="I17">
            <v>-1511.2</v>
          </cell>
          <cell r="J17">
            <v>-1504.1999999999998</v>
          </cell>
          <cell r="K17">
            <v>-1547.8947287412186</v>
          </cell>
          <cell r="L17">
            <v>-1600.5976413300189</v>
          </cell>
          <cell r="M17">
            <v>-1639.8064747999786</v>
          </cell>
          <cell r="N17">
            <v>-1678.1450506823098</v>
          </cell>
          <cell r="O17">
            <v>-1716.6594650035424</v>
          </cell>
          <cell r="P17">
            <v>-1730.5529955666798</v>
          </cell>
          <cell r="Q17">
            <v>-1744.9904922641031</v>
          </cell>
          <cell r="R17">
            <v>-1759.9972133129206</v>
          </cell>
          <cell r="S17">
            <v>-1775.5997333716666</v>
          </cell>
          <cell r="T17">
            <v>-1791.826016847994</v>
          </cell>
          <cell r="U17">
            <v>-1808.7054954341654</v>
          </cell>
        </row>
        <row r="18">
          <cell r="A18" t="str">
            <v xml:space="preserve">     % of total revenue</v>
          </cell>
          <cell r="B18">
            <v>0.13796582806403879</v>
          </cell>
          <cell r="C18">
            <v>0.14562226347186602</v>
          </cell>
          <cell r="D18">
            <v>0.16264576059028923</v>
          </cell>
          <cell r="E18">
            <v>0.17353897826314763</v>
          </cell>
          <cell r="F18">
            <v>0.15037786949512913</v>
          </cell>
          <cell r="G18">
            <v>0.14731695561810343</v>
          </cell>
          <cell r="H18">
            <v>0.13525826344572037</v>
          </cell>
          <cell r="I18">
            <v>0.13525826344572037</v>
          </cell>
          <cell r="J18">
            <v>0.13557336121350866</v>
          </cell>
          <cell r="K18">
            <v>0.1383201935236042</v>
          </cell>
          <cell r="L18">
            <v>0.13982433177550868</v>
          </cell>
          <cell r="M18">
            <v>0.14151739341214969</v>
          </cell>
          <cell r="N18">
            <v>0.14342760340855382</v>
          </cell>
          <cell r="O18">
            <v>0.14570922743129003</v>
          </cell>
          <cell r="P18">
            <v>0.145758981013342</v>
          </cell>
          <cell r="Q18">
            <v>0.14602945229337791</v>
          </cell>
          <cell r="R18">
            <v>0.14594479282787434</v>
          </cell>
          <cell r="S18">
            <v>0.14588541047258197</v>
          </cell>
          <cell r="T18">
            <v>0.14548927921285423</v>
          </cell>
          <cell r="U18">
            <v>0.14403682680292465</v>
          </cell>
        </row>
        <row r="20">
          <cell r="A20" t="str">
            <v>Operating Result (pre intangibles/exceptionals)</v>
          </cell>
          <cell r="B20">
            <v>810.89999999999884</v>
          </cell>
          <cell r="C20">
            <v>1533</v>
          </cell>
          <cell r="D20">
            <v>1704.8000000000002</v>
          </cell>
          <cell r="E20">
            <v>1278.6627483999903</v>
          </cell>
          <cell r="F20">
            <v>1931.2957817500073</v>
          </cell>
          <cell r="G20">
            <v>2137.5817101200014</v>
          </cell>
          <cell r="H20">
            <v>1835.0000000000011</v>
          </cell>
          <cell r="J20">
            <v>2424.5000000000005</v>
          </cell>
          <cell r="K20">
            <v>2532.9539204806993</v>
          </cell>
          <cell r="L20">
            <v>2718.6622366612742</v>
          </cell>
          <cell r="M20">
            <v>2912.6416733924293</v>
          </cell>
          <cell r="N20">
            <v>2857.2083446560446</v>
          </cell>
          <cell r="O20">
            <v>2761.9019632080986</v>
          </cell>
          <cell r="P20">
            <v>2704.2720667884792</v>
          </cell>
          <cell r="Q20">
            <v>2646.4306143502008</v>
          </cell>
          <cell r="R20">
            <v>2584.835912315219</v>
          </cell>
          <cell r="S20">
            <v>2543.4638145154972</v>
          </cell>
          <cell r="T20">
            <v>2516.2263255773446</v>
          </cell>
          <cell r="U20">
            <v>2549.2904534692875</v>
          </cell>
        </row>
        <row r="22">
          <cell r="A22" t="str">
            <v>Amortisation of Intangibles</v>
          </cell>
          <cell r="B22">
            <v>-12</v>
          </cell>
          <cell r="C22">
            <v>-556.65</v>
          </cell>
          <cell r="D22">
            <v>-573.4</v>
          </cell>
          <cell r="E22">
            <v>-658.08663808999995</v>
          </cell>
          <cell r="F22">
            <v>-818.69108334999999</v>
          </cell>
          <cell r="G22">
            <v>-998.88904681999998</v>
          </cell>
          <cell r="H22">
            <v>-849.3</v>
          </cell>
          <cell r="J22">
            <v>-797.30000000000007</v>
          </cell>
          <cell r="K22">
            <v>-757.10316350431697</v>
          </cell>
          <cell r="L22">
            <v>-639.58679384573952</v>
          </cell>
          <cell r="M22">
            <v>-631.65934100950665</v>
          </cell>
          <cell r="N22">
            <v>-620.96868909554598</v>
          </cell>
          <cell r="O22">
            <v>-303.10962934977698</v>
          </cell>
          <cell r="P22">
            <v>-300.48085054949632</v>
          </cell>
          <cell r="Q22">
            <v>-297.38047132402369</v>
          </cell>
          <cell r="R22">
            <v>-294.74580401383207</v>
          </cell>
          <cell r="S22">
            <v>-291.9521772656343</v>
          </cell>
          <cell r="T22">
            <v>-289.60409593581414</v>
          </cell>
          <cell r="U22">
            <v>-288.96950531605074</v>
          </cell>
        </row>
        <row r="23">
          <cell r="A23" t="str">
            <v>Investment Result</v>
          </cell>
          <cell r="B23">
            <v>-0.2</v>
          </cell>
          <cell r="C23">
            <v>0.3</v>
          </cell>
          <cell r="D23">
            <v>0.1</v>
          </cell>
          <cell r="E23">
            <v>3.4999999999999991</v>
          </cell>
          <cell r="F23">
            <v>4.0999999999999996</v>
          </cell>
          <cell r="G23">
            <v>-0.99999999999999989</v>
          </cell>
          <cell r="H23">
            <v>0.6</v>
          </cell>
          <cell r="J23">
            <v>1.4</v>
          </cell>
          <cell r="K23">
            <v>1.4</v>
          </cell>
          <cell r="L23">
            <v>1.4</v>
          </cell>
          <cell r="M23">
            <v>1.4</v>
          </cell>
          <cell r="N23">
            <v>1.4</v>
          </cell>
          <cell r="O23">
            <v>1.4</v>
          </cell>
          <cell r="P23">
            <v>1.4</v>
          </cell>
          <cell r="Q23">
            <v>1.4</v>
          </cell>
          <cell r="R23">
            <v>1.4</v>
          </cell>
          <cell r="S23">
            <v>1.4</v>
          </cell>
          <cell r="T23">
            <v>1.4</v>
          </cell>
          <cell r="U23">
            <v>1.4</v>
          </cell>
        </row>
        <row r="24">
          <cell r="A24" t="str">
            <v xml:space="preserve">Operating Result </v>
          </cell>
          <cell r="B24">
            <v>798.89999999999884</v>
          </cell>
          <cell r="C24">
            <v>976.35</v>
          </cell>
          <cell r="D24">
            <v>1131.4000000000001</v>
          </cell>
          <cell r="E24">
            <v>620.57611030999033</v>
          </cell>
          <cell r="F24">
            <v>1112.6046984000072</v>
          </cell>
          <cell r="G24">
            <v>1138.6926633000014</v>
          </cell>
          <cell r="H24">
            <v>985.70000000000118</v>
          </cell>
          <cell r="J24">
            <v>1627.2000000000003</v>
          </cell>
          <cell r="K24">
            <v>1775.8507569763824</v>
          </cell>
          <cell r="L24">
            <v>2079.0754428155346</v>
          </cell>
          <cell r="M24">
            <v>2280.9823323829228</v>
          </cell>
          <cell r="N24">
            <v>2236.2396555604987</v>
          </cell>
          <cell r="O24">
            <v>2458.7923338583214</v>
          </cell>
          <cell r="P24">
            <v>2403.791216238983</v>
          </cell>
          <cell r="Q24">
            <v>2349.050143026177</v>
          </cell>
          <cell r="R24">
            <v>2290.0901083013869</v>
          </cell>
          <cell r="S24">
            <v>2251.5116372498628</v>
          </cell>
          <cell r="T24">
            <v>2226.6222296415303</v>
          </cell>
          <cell r="U24">
            <v>2260.3209481532367</v>
          </cell>
        </row>
        <row r="26">
          <cell r="A26" t="str">
            <v>Exceptional Items</v>
          </cell>
          <cell r="B26">
            <v>232.8</v>
          </cell>
          <cell r="C26">
            <v>-775.7</v>
          </cell>
          <cell r="D26">
            <v>-400</v>
          </cell>
          <cell r="E26">
            <v>42.087279879999997</v>
          </cell>
          <cell r="F26">
            <v>-69.399917260000009</v>
          </cell>
          <cell r="G26">
            <v>-17.3</v>
          </cell>
          <cell r="H26">
            <v>-17.3</v>
          </cell>
          <cell r="J26">
            <v>-17.3</v>
          </cell>
          <cell r="K26">
            <v>-17.3</v>
          </cell>
          <cell r="L26">
            <v>-17.3</v>
          </cell>
          <cell r="M26">
            <v>-17.3</v>
          </cell>
          <cell r="N26">
            <v>-17.3</v>
          </cell>
          <cell r="O26">
            <v>-17.3</v>
          </cell>
          <cell r="P26">
            <v>-17.3</v>
          </cell>
          <cell r="Q26">
            <v>-17.3</v>
          </cell>
          <cell r="R26">
            <v>-17.3</v>
          </cell>
          <cell r="S26">
            <v>-17.3</v>
          </cell>
          <cell r="T26">
            <v>-17.3</v>
          </cell>
          <cell r="U26">
            <v>-17.3</v>
          </cell>
        </row>
        <row r="28">
          <cell r="A28" t="str">
            <v>EBIT (post intangibles/exceptionals)</v>
          </cell>
          <cell r="B28">
            <v>1031.6999999999989</v>
          </cell>
          <cell r="C28">
            <v>200.64999999999998</v>
          </cell>
          <cell r="D28">
            <v>731.40000000000009</v>
          </cell>
          <cell r="E28">
            <v>662.66339018999031</v>
          </cell>
          <cell r="F28">
            <v>1043.2047811400073</v>
          </cell>
          <cell r="G28">
            <v>1121.3926633000015</v>
          </cell>
          <cell r="H28">
            <v>968.40000000000123</v>
          </cell>
          <cell r="J28">
            <v>1609.9000000000003</v>
          </cell>
          <cell r="K28">
            <v>1758.5507569763824</v>
          </cell>
          <cell r="L28">
            <v>2061.7754428155345</v>
          </cell>
          <cell r="M28">
            <v>2263.6823323829226</v>
          </cell>
          <cell r="N28">
            <v>2218.9396555604985</v>
          </cell>
          <cell r="O28">
            <v>2441.4923338583212</v>
          </cell>
          <cell r="P28">
            <v>2386.4912162389828</v>
          </cell>
          <cell r="Q28">
            <v>2331.7501430261768</v>
          </cell>
          <cell r="R28">
            <v>2272.7901083013867</v>
          </cell>
          <cell r="S28">
            <v>2234.2116372498626</v>
          </cell>
          <cell r="T28">
            <v>2209.3222296415302</v>
          </cell>
          <cell r="U28">
            <v>2243.0209481532365</v>
          </cell>
        </row>
        <row r="29">
          <cell r="A29" t="str">
            <v xml:space="preserve">     EBIT post exc margin (%)</v>
          </cell>
          <cell r="B29">
            <v>0.2313332436432125</v>
          </cell>
          <cell r="C29">
            <v>2.843155314355348E-2</v>
          </cell>
          <cell r="D29">
            <v>9.636998484748667E-2</v>
          </cell>
          <cell r="E29">
            <v>8.5538476395391569E-2</v>
          </cell>
          <cell r="F29">
            <v>0.11228610152098403</v>
          </cell>
          <cell r="G29">
            <v>0.10912223608549648</v>
          </cell>
          <cell r="H29">
            <v>8.6675557385412758E-2</v>
          </cell>
          <cell r="J29">
            <v>0.14510008922857839</v>
          </cell>
          <cell r="K29">
            <v>0.15714445983278486</v>
          </cell>
          <cell r="L29">
            <v>0.18011170710165714</v>
          </cell>
          <cell r="M29">
            <v>0.19535867684084035</v>
          </cell>
          <cell r="N29">
            <v>0.18964820518693859</v>
          </cell>
          <cell r="O29">
            <v>0.20723269174715389</v>
          </cell>
          <cell r="P29">
            <v>0.20100657348686338</v>
          </cell>
          <cell r="Q29">
            <v>0.19513240775846197</v>
          </cell>
          <cell r="R29">
            <v>0.18846727653216611</v>
          </cell>
          <cell r="S29">
            <v>0.18356551629115975</v>
          </cell>
          <cell r="T29">
            <v>0.17938834223699654</v>
          </cell>
          <cell r="U29">
            <v>0.17862367347257235</v>
          </cell>
        </row>
        <row r="31">
          <cell r="A31" t="str">
            <v>Amortization of intangible assets</v>
          </cell>
          <cell r="E31">
            <v>-657.6</v>
          </cell>
          <cell r="F31">
            <v>-818.7</v>
          </cell>
          <cell r="G31">
            <v>-1004.6999999999999</v>
          </cell>
          <cell r="H31">
            <v>-871.5</v>
          </cell>
          <cell r="I31">
            <v>-871.5</v>
          </cell>
          <cell r="J31">
            <v>-813.7</v>
          </cell>
          <cell r="K31">
            <v>-732.66105521054942</v>
          </cell>
          <cell r="L31">
            <v>-621.69697923883359</v>
          </cell>
          <cell r="M31">
            <v>-620.63533175200905</v>
          </cell>
          <cell r="N31">
            <v>-617.14062455971271</v>
          </cell>
          <cell r="O31">
            <v>-306.82521290622822</v>
          </cell>
          <cell r="P31">
            <v>-312.10634027428938</v>
          </cell>
          <cell r="Q31">
            <v>-317.30172833812657</v>
          </cell>
          <cell r="R31">
            <v>-323.36940186032132</v>
          </cell>
          <cell r="S31">
            <v>-329.70657593271335</v>
          </cell>
          <cell r="T31">
            <v>-336.94088434864489</v>
          </cell>
          <cell r="U31">
            <v>-346.36471634813114</v>
          </cell>
        </row>
        <row r="32">
          <cell r="A32" t="str">
            <v>Investment result</v>
          </cell>
          <cell r="E32">
            <v>3.4999999999999991</v>
          </cell>
          <cell r="F32">
            <v>4.0999999999999996</v>
          </cell>
          <cell r="G32">
            <v>-0.99999999999999989</v>
          </cell>
          <cell r="H32">
            <v>0.6</v>
          </cell>
          <cell r="I32">
            <v>0.6</v>
          </cell>
          <cell r="J32">
            <v>1.4</v>
          </cell>
          <cell r="K32">
            <v>1.4</v>
          </cell>
          <cell r="L32">
            <v>1.4</v>
          </cell>
          <cell r="M32">
            <v>1.4</v>
          </cell>
          <cell r="N32">
            <v>1.4</v>
          </cell>
          <cell r="O32">
            <v>1.4</v>
          </cell>
          <cell r="P32">
            <v>1.4</v>
          </cell>
          <cell r="Q32">
            <v>1.4</v>
          </cell>
          <cell r="R32">
            <v>1.4</v>
          </cell>
          <cell r="S32">
            <v>1.4</v>
          </cell>
          <cell r="T32">
            <v>1.4</v>
          </cell>
          <cell r="U32">
            <v>1.4</v>
          </cell>
        </row>
        <row r="33">
          <cell r="A33" t="str">
            <v>Exceptional items in EBITDA</v>
          </cell>
          <cell r="E33">
            <v>-27.837251600010198</v>
          </cell>
          <cell r="F33">
            <v>-88.204218249994</v>
          </cell>
          <cell r="G33">
            <v>7.0999999999999872</v>
          </cell>
          <cell r="H33">
            <v>-604.5</v>
          </cell>
          <cell r="I33">
            <v>-604.5</v>
          </cell>
          <cell r="J33">
            <v>-184.6</v>
          </cell>
          <cell r="K33">
            <v>-106.4442044636429</v>
          </cell>
          <cell r="L33">
            <v>-26.666666666666668</v>
          </cell>
          <cell r="M33">
            <v>-16.666666666666668</v>
          </cell>
          <cell r="N33">
            <v>0</v>
          </cell>
          <cell r="O33">
            <v>0</v>
          </cell>
          <cell r="P33">
            <v>0</v>
          </cell>
          <cell r="Q33">
            <v>0</v>
          </cell>
          <cell r="R33">
            <v>0</v>
          </cell>
          <cell r="S33">
            <v>0</v>
          </cell>
          <cell r="T33">
            <v>0</v>
          </cell>
          <cell r="U33">
            <v>0</v>
          </cell>
        </row>
        <row r="35">
          <cell r="A35" t="str">
            <v>EBIT (post exceptionals and PPA)</v>
          </cell>
          <cell r="E35">
            <v>621.06274839999026</v>
          </cell>
          <cell r="F35">
            <v>1112.5957817500073</v>
          </cell>
          <cell r="G35">
            <v>1132.8817101200016</v>
          </cell>
          <cell r="H35">
            <v>963.50000000000125</v>
          </cell>
          <cell r="I35">
            <v>963.80000000000052</v>
          </cell>
          <cell r="J35">
            <v>1610.8000000000004</v>
          </cell>
          <cell r="K35">
            <v>1800.2928652701498</v>
          </cell>
          <cell r="L35">
            <v>2096.9652574224406</v>
          </cell>
          <cell r="M35">
            <v>2292.0063416404205</v>
          </cell>
          <cell r="N35">
            <v>2240.0677200963319</v>
          </cell>
          <cell r="O35">
            <v>2455.0767503018701</v>
          </cell>
          <cell r="P35">
            <v>2392.1657265141898</v>
          </cell>
          <cell r="Q35">
            <v>2329.1288860120744</v>
          </cell>
          <cell r="R35">
            <v>2261.4665104548976</v>
          </cell>
          <cell r="S35">
            <v>2213.7572385827839</v>
          </cell>
          <cell r="T35">
            <v>2179.2854412286997</v>
          </cell>
          <cell r="U35">
            <v>2202.9257371211565</v>
          </cell>
        </row>
        <row r="36">
          <cell r="A36" t="str">
            <v>EBIT (pre exceptionals and PPA)</v>
          </cell>
          <cell r="E36">
            <v>1323.7</v>
          </cell>
          <cell r="F36">
            <v>2141.7000018500003</v>
          </cell>
          <cell r="G36">
            <v>2289.3113329100011</v>
          </cell>
          <cell r="H36">
            <v>2489.7999999999997</v>
          </cell>
          <cell r="I36">
            <v>2490.3000000000002</v>
          </cell>
          <cell r="J36">
            <v>2794.6000000000004</v>
          </cell>
          <cell r="K36">
            <v>2804.4220648560945</v>
          </cell>
          <cell r="L36">
            <v>2904.3575922174336</v>
          </cell>
          <cell r="M36">
            <v>3087.1778465705761</v>
          </cell>
          <cell r="N36">
            <v>3012.9063204613522</v>
          </cell>
          <cell r="O36">
            <v>2914.456229436485</v>
          </cell>
          <cell r="P36">
            <v>2853.7274732048554</v>
          </cell>
          <cell r="Q36">
            <v>2792.0518293892255</v>
          </cell>
          <cell r="R36">
            <v>2727.3490860254678</v>
          </cell>
          <cell r="S36">
            <v>2682.6210932349913</v>
          </cell>
          <cell r="T36">
            <v>2651.7224152317472</v>
          </cell>
          <cell r="U36">
            <v>2684.797073036611</v>
          </cell>
        </row>
        <row r="37">
          <cell r="A37" t="str">
            <v>EBIT margin (pre-ex)</v>
          </cell>
          <cell r="E37">
            <v>0.17086696334939636</v>
          </cell>
          <cell r="F37">
            <v>0.23052342951536553</v>
          </cell>
          <cell r="G37">
            <v>0.22277189776492756</v>
          </cell>
          <cell r="H37">
            <v>0.22284676040706361</v>
          </cell>
          <cell r="I37">
            <v>0.22289151234706026</v>
          </cell>
          <cell r="J37">
            <v>0.25187695469171079</v>
          </cell>
          <cell r="K37">
            <v>0.25060373650100609</v>
          </cell>
          <cell r="L37">
            <v>0.25371764213739484</v>
          </cell>
          <cell r="M37">
            <v>0.26642739162235135</v>
          </cell>
          <cell r="N37">
            <v>0.25750690183935915</v>
          </cell>
          <cell r="O37">
            <v>0.24737763908966329</v>
          </cell>
          <cell r="P37">
            <v>0.24036039904568862</v>
          </cell>
          <cell r="Q37">
            <v>0.23365273405668735</v>
          </cell>
          <cell r="R37">
            <v>0.22616081111857361</v>
          </cell>
          <cell r="S37">
            <v>0.22040737671538904</v>
          </cell>
          <cell r="T37">
            <v>0.21530951065399348</v>
          </cell>
          <cell r="U37">
            <v>0.21380465309923039</v>
          </cell>
        </row>
        <row r="39">
          <cell r="A39" t="str">
            <v>Depreciation &amp; Ammortisation (total)</v>
          </cell>
          <cell r="E39">
            <v>1003.6999999999998</v>
          </cell>
          <cell r="F39">
            <v>1344.1999999999998</v>
          </cell>
          <cell r="G39">
            <v>1599</v>
          </cell>
          <cell r="H39">
            <v>1396.9</v>
          </cell>
          <cell r="I39">
            <v>1396.9</v>
          </cell>
          <cell r="J39">
            <v>1457.8999999999999</v>
          </cell>
          <cell r="K39">
            <v>1396.6069515298746</v>
          </cell>
          <cell r="L39">
            <v>1308.5708305299859</v>
          </cell>
          <cell r="M39">
            <v>1311.4100165566877</v>
          </cell>
          <cell r="N39">
            <v>1309.5843434868625</v>
          </cell>
          <cell r="O39">
            <v>999.72593755124467</v>
          </cell>
          <cell r="P39">
            <v>1005.9460953252292</v>
          </cell>
          <cell r="Q39">
            <v>1010.7989037898011</v>
          </cell>
          <cell r="R39">
            <v>1018.596656880096</v>
          </cell>
          <cell r="S39">
            <v>1026.5323222143245</v>
          </cell>
          <cell r="T39">
            <v>1037.4051896229864</v>
          </cell>
          <cell r="U39">
            <v>1057.0416812075782</v>
          </cell>
        </row>
        <row r="40">
          <cell r="A40" t="str">
            <v>Depreciation &amp; Ammortisation (underlying)</v>
          </cell>
          <cell r="E40">
            <v>328.90000000000009</v>
          </cell>
          <cell r="F40">
            <v>402.29999999999995</v>
          </cell>
          <cell r="G40">
            <v>434.2</v>
          </cell>
          <cell r="H40">
            <v>474.9</v>
          </cell>
          <cell r="I40">
            <v>474.9</v>
          </cell>
          <cell r="J40">
            <v>458.70000000000005</v>
          </cell>
          <cell r="K40">
            <v>498.92195640757279</v>
          </cell>
          <cell r="L40">
            <v>528.84516240165783</v>
          </cell>
          <cell r="M40">
            <v>534.90517829319981</v>
          </cell>
          <cell r="N40">
            <v>539.7457431218437</v>
          </cell>
          <cell r="O40">
            <v>544.34645841662973</v>
          </cell>
          <cell r="P40">
            <v>549.38434863456359</v>
          </cell>
          <cell r="Q40">
            <v>553.8759604126501</v>
          </cell>
          <cell r="R40">
            <v>559.71408130952614</v>
          </cell>
          <cell r="S40">
            <v>565.66846756211726</v>
          </cell>
          <cell r="T40">
            <v>572.96821561993931</v>
          </cell>
          <cell r="U40">
            <v>584.17034529212469</v>
          </cell>
        </row>
        <row r="41">
          <cell r="A41" t="str">
            <v>PPA included in D&amp;A</v>
          </cell>
          <cell r="E41">
            <v>575.30000000000007</v>
          </cell>
          <cell r="F41">
            <v>675.3</v>
          </cell>
          <cell r="G41">
            <v>831.19999999999993</v>
          </cell>
          <cell r="H41">
            <v>863</v>
          </cell>
          <cell r="I41">
            <v>863</v>
          </cell>
          <cell r="J41">
            <v>796.6</v>
          </cell>
          <cell r="K41">
            <v>715.5610552105494</v>
          </cell>
          <cell r="L41">
            <v>604.59697923883346</v>
          </cell>
          <cell r="M41">
            <v>603.53533175200903</v>
          </cell>
          <cell r="N41">
            <v>600.04062455971257</v>
          </cell>
          <cell r="O41">
            <v>289.72521290622819</v>
          </cell>
          <cell r="P41">
            <v>295.0063402742893</v>
          </cell>
          <cell r="Q41">
            <v>300.20172833812654</v>
          </cell>
          <cell r="R41">
            <v>306.2694018603213</v>
          </cell>
          <cell r="S41">
            <v>312.60657593271333</v>
          </cell>
          <cell r="T41">
            <v>319.84088434864481</v>
          </cell>
          <cell r="U41">
            <v>329.26471634813112</v>
          </cell>
        </row>
        <row r="43">
          <cell r="A43" t="str">
            <v>EBITDA (post exceptionals and PPA)</v>
          </cell>
          <cell r="E43">
            <v>1049.4627483999898</v>
          </cell>
          <cell r="F43">
            <v>1780.495783600006</v>
          </cell>
          <cell r="G43">
            <v>1899.411332910001</v>
          </cell>
          <cell r="H43">
            <v>1497.2000000000003</v>
          </cell>
          <cell r="I43">
            <v>1497.7000000000007</v>
          </cell>
          <cell r="J43">
            <v>2272.1000000000008</v>
          </cell>
          <cell r="K43">
            <v>2481.3387615894749</v>
          </cell>
          <cell r="L43">
            <v>2801.9391087135909</v>
          </cell>
          <cell r="M43">
            <v>3001.8810264450999</v>
          </cell>
          <cell r="N43">
            <v>2952.6114390234834</v>
          </cell>
          <cell r="O43">
            <v>3169.0774749468869</v>
          </cell>
          <cell r="P43">
            <v>3108.1054815651296</v>
          </cell>
          <cell r="Q43">
            <v>3045.7260614637489</v>
          </cell>
          <cell r="R43">
            <v>2980.7937654746729</v>
          </cell>
          <cell r="S43">
            <v>2935.6829848643952</v>
          </cell>
          <cell r="T43">
            <v>2904.8497465030414</v>
          </cell>
          <cell r="U43">
            <v>2939.7027019806046</v>
          </cell>
        </row>
        <row r="44">
          <cell r="A44" t="str">
            <v>EBITDA (pre exceptionals and PPA)</v>
          </cell>
          <cell r="E44">
            <v>1652.6000000000001</v>
          </cell>
          <cell r="F44">
            <v>2544.0000018500004</v>
          </cell>
          <cell r="G44">
            <v>2723.5113329100009</v>
          </cell>
          <cell r="H44">
            <v>2964.7</v>
          </cell>
          <cell r="I44">
            <v>2965.2000000000003</v>
          </cell>
          <cell r="J44">
            <v>3253.3000000000006</v>
          </cell>
          <cell r="K44">
            <v>3303.3440212636674</v>
          </cell>
          <cell r="L44">
            <v>3433.2027546190916</v>
          </cell>
          <cell r="M44">
            <v>3622.0830248637758</v>
          </cell>
          <cell r="N44">
            <v>3552.6520635831957</v>
          </cell>
          <cell r="O44">
            <v>3458.802687853115</v>
          </cell>
          <cell r="P44">
            <v>3403.111821839419</v>
          </cell>
          <cell r="Q44">
            <v>3345.9277898018754</v>
          </cell>
          <cell r="R44">
            <v>3287.063167334994</v>
          </cell>
          <cell r="S44">
            <v>3248.2895607971086</v>
          </cell>
          <cell r="T44">
            <v>3224.6906308516864</v>
          </cell>
          <cell r="U44">
            <v>3268.9674183287357</v>
          </cell>
          <cell r="V44" t="str">
            <v>Company guidance €3.1-3.2bn in 2013</v>
          </cell>
        </row>
        <row r="45">
          <cell r="A45" t="str">
            <v>EBITDA margin (pre-ex)</v>
          </cell>
          <cell r="E45">
            <v>0.21332231142344371</v>
          </cell>
          <cell r="F45">
            <v>0.27382528113507099</v>
          </cell>
          <cell r="G45">
            <v>0.26502371236918176</v>
          </cell>
          <cell r="H45">
            <v>0.2653521530158332</v>
          </cell>
          <cell r="I45">
            <v>0.26539690495582985</v>
          </cell>
          <cell r="J45">
            <v>0.29321952934178158</v>
          </cell>
          <cell r="K45">
            <v>0.2951875058504837</v>
          </cell>
          <cell r="L45">
            <v>0.29991627415841743</v>
          </cell>
          <cell r="M45">
            <v>0.31259039178000619</v>
          </cell>
          <cell r="N45">
            <v>0.30363785956226835</v>
          </cell>
          <cell r="O45">
            <v>0.29358150393753651</v>
          </cell>
          <cell r="P45">
            <v>0.28663329738904775</v>
          </cell>
          <cell r="Q45">
            <v>0.28000381934689106</v>
          </cell>
          <cell r="R45">
            <v>0.27257415485665776</v>
          </cell>
          <cell r="S45">
            <v>0.26688337861531852</v>
          </cell>
          <cell r="T45">
            <v>0.26183229351271115</v>
          </cell>
          <cell r="U45">
            <v>0.26032524092331327</v>
          </cell>
        </row>
        <row r="47">
          <cell r="A47" t="str">
            <v>Financial Income/(Expense), Net</v>
          </cell>
          <cell r="B47">
            <v>-49.000000000000007</v>
          </cell>
          <cell r="C47">
            <v>-311.28320385999996</v>
          </cell>
          <cell r="D47">
            <v>-156.48681713000002</v>
          </cell>
          <cell r="E47">
            <v>-134.44076265000001</v>
          </cell>
          <cell r="F47">
            <v>-251.77931256000005</v>
          </cell>
          <cell r="G47">
            <v>-293.29999999999995</v>
          </cell>
          <cell r="H47">
            <v>-254.60000000000002</v>
          </cell>
          <cell r="I47">
            <v>-254.60000000000002</v>
          </cell>
          <cell r="J47">
            <v>-222.2</v>
          </cell>
          <cell r="K47">
            <v>-159.65928876412823</v>
          </cell>
          <cell r="L47">
            <v>-146.12420039126755</v>
          </cell>
          <cell r="M47">
            <v>-96.698888822628078</v>
          </cell>
          <cell r="N47">
            <v>-46.61178210783104</v>
          </cell>
          <cell r="O47">
            <v>2.0097521927345099</v>
          </cell>
          <cell r="P47">
            <v>49.200476214347297</v>
          </cell>
          <cell r="Q47">
            <v>95.281532511105311</v>
          </cell>
          <cell r="R47">
            <v>140.2733688561824</v>
          </cell>
          <cell r="S47">
            <v>184.40324343117106</v>
          </cell>
          <cell r="T47">
            <v>228.85699909179328</v>
          </cell>
          <cell r="U47">
            <v>272.98586447646153</v>
          </cell>
        </row>
        <row r="49">
          <cell r="A49" t="str">
            <v>Profit Before Tax (PBT, post exceptionals)</v>
          </cell>
          <cell r="B49">
            <v>982.69999999999891</v>
          </cell>
          <cell r="C49">
            <v>-110.63320385999998</v>
          </cell>
          <cell r="D49">
            <v>574.91318287000013</v>
          </cell>
          <cell r="E49">
            <v>486.62198574999024</v>
          </cell>
          <cell r="F49">
            <v>860.81646919000718</v>
          </cell>
          <cell r="G49">
            <v>839.58171012000162</v>
          </cell>
          <cell r="H49">
            <v>708.90000000000123</v>
          </cell>
          <cell r="I49">
            <v>709.2000000000005</v>
          </cell>
          <cell r="J49">
            <v>1388.6000000000004</v>
          </cell>
          <cell r="K49">
            <v>1640.6335765060217</v>
          </cell>
          <cell r="L49">
            <v>1950.841057031173</v>
          </cell>
          <cell r="M49">
            <v>2195.3074528177922</v>
          </cell>
          <cell r="N49">
            <v>2193.4559379885009</v>
          </cell>
          <cell r="O49">
            <v>2457.0865024946047</v>
          </cell>
          <cell r="P49">
            <v>2441.3662027285372</v>
          </cell>
          <cell r="Q49">
            <v>2424.4104185231799</v>
          </cell>
          <cell r="R49">
            <v>2401.7398793110801</v>
          </cell>
          <cell r="S49">
            <v>2398.1604820139551</v>
          </cell>
          <cell r="T49">
            <v>2408.1424403204928</v>
          </cell>
          <cell r="U49">
            <v>2475.9116015976178</v>
          </cell>
        </row>
        <row r="50">
          <cell r="A50" t="str">
            <v>Profit Before Tax (PBT, pre exceptionals)</v>
          </cell>
          <cell r="E50">
            <v>1189.2592373500001</v>
          </cell>
          <cell r="F50">
            <v>1889.9206892900002</v>
          </cell>
          <cell r="G50">
            <v>1996.0113329100011</v>
          </cell>
          <cell r="H50">
            <v>2235.1999999999998</v>
          </cell>
          <cell r="I50">
            <v>2235.7000000000003</v>
          </cell>
          <cell r="J50">
            <v>2572.4000000000005</v>
          </cell>
          <cell r="K50">
            <v>2644.7627760919663</v>
          </cell>
          <cell r="L50">
            <v>2758.2333918261661</v>
          </cell>
          <cell r="M50">
            <v>2990.4789577479478</v>
          </cell>
          <cell r="N50">
            <v>2966.2945383535211</v>
          </cell>
          <cell r="O50">
            <v>2916.4659816292196</v>
          </cell>
          <cell r="P50">
            <v>2902.9279494192028</v>
          </cell>
          <cell r="Q50">
            <v>2887.3333619003311</v>
          </cell>
          <cell r="R50">
            <v>2867.6224548816504</v>
          </cell>
          <cell r="S50">
            <v>2867.0243366661625</v>
          </cell>
          <cell r="T50">
            <v>2880.5794143235403</v>
          </cell>
          <cell r="U50">
            <v>2957.7829375130723</v>
          </cell>
        </row>
        <row r="52">
          <cell r="A52" t="str">
            <v>Tax Charge</v>
          </cell>
          <cell r="B52">
            <v>-175.8</v>
          </cell>
          <cell r="C52">
            <v>23.099999999999994</v>
          </cell>
          <cell r="D52">
            <v>-195.79999999999998</v>
          </cell>
          <cell r="E52">
            <v>-109.7</v>
          </cell>
          <cell r="F52">
            <v>-219.6</v>
          </cell>
          <cell r="G52">
            <v>-220.79999999999998</v>
          </cell>
          <cell r="H52">
            <v>-130.10000000000002</v>
          </cell>
          <cell r="I52">
            <v>-130.10000000000002</v>
          </cell>
          <cell r="J52">
            <v>-179.59999999999997</v>
          </cell>
          <cell r="K52">
            <v>-608.37361215407168</v>
          </cell>
          <cell r="L52">
            <v>-658.51336412601904</v>
          </cell>
          <cell r="M52">
            <v>-717.45066829612938</v>
          </cell>
          <cell r="N52">
            <v>-716.36013101237529</v>
          </cell>
          <cell r="O52">
            <v>-704.32653456345656</v>
          </cell>
          <cell r="P52">
            <v>-701.05709978473749</v>
          </cell>
          <cell r="Q52">
            <v>-697.29100689892994</v>
          </cell>
          <cell r="R52">
            <v>-692.53082285391849</v>
          </cell>
          <cell r="S52">
            <v>-692.38637730487824</v>
          </cell>
          <cell r="T52">
            <v>-695.65992855913498</v>
          </cell>
          <cell r="U52">
            <v>-714.30457940940698</v>
          </cell>
        </row>
        <row r="53">
          <cell r="A53" t="str">
            <v>Tax Rate</v>
          </cell>
          <cell r="B53">
            <v>0.17889488144906909</v>
          </cell>
          <cell r="C53">
            <v>0.20879807502665954</v>
          </cell>
          <cell r="D53">
            <v>0.34057316101633811</v>
          </cell>
          <cell r="E53">
            <v>0.22543165580759458</v>
          </cell>
          <cell r="F53">
            <v>0.25510664335527239</v>
          </cell>
          <cell r="G53">
            <v>0.26298810150168822</v>
          </cell>
          <cell r="H53">
            <v>0.18352376921991789</v>
          </cell>
          <cell r="I53">
            <v>0.18344613649182168</v>
          </cell>
          <cell r="J53">
            <v>0.12933890249171823</v>
          </cell>
          <cell r="K53">
            <v>0.37081626322051486</v>
          </cell>
          <cell r="L53">
            <v>0.33755357042165046</v>
          </cell>
          <cell r="M53">
            <v>0.32681102019457176</v>
          </cell>
          <cell r="N53">
            <v>0.32658970650183666</v>
          </cell>
          <cell r="O53">
            <v>0.28665109423228502</v>
          </cell>
          <cell r="P53">
            <v>0.2871576984236191</v>
          </cell>
          <cell r="Q53">
            <v>0.2876126094705046</v>
          </cell>
          <cell r="R53">
            <v>0.2883454735541825</v>
          </cell>
          <cell r="S53">
            <v>0.2887156145294405</v>
          </cell>
          <cell r="T53">
            <v>0.28887823116748507</v>
          </cell>
          <cell r="U53">
            <v>0.28850164882643292</v>
          </cell>
        </row>
        <row r="54">
          <cell r="A54" t="str">
            <v>Tax charge underlying</v>
          </cell>
          <cell r="E54">
            <v>-189.41290000000001</v>
          </cell>
          <cell r="F54">
            <v>-362.00920000000002</v>
          </cell>
          <cell r="G54">
            <v>-509.1</v>
          </cell>
          <cell r="H54">
            <v>-570.1</v>
          </cell>
          <cell r="I54">
            <v>-570.1</v>
          </cell>
          <cell r="J54">
            <v>-655.9</v>
          </cell>
          <cell r="K54">
            <v>-638.71021042620987</v>
          </cell>
          <cell r="L54">
            <v>-666.11336412601906</v>
          </cell>
          <cell r="M54">
            <v>-722.20066829612938</v>
          </cell>
          <cell r="N54">
            <v>-716.36013101237529</v>
          </cell>
          <cell r="O54">
            <v>-704.32653456345656</v>
          </cell>
          <cell r="P54">
            <v>-701.05709978473749</v>
          </cell>
          <cell r="Q54">
            <v>-697.29100689892994</v>
          </cell>
          <cell r="R54">
            <v>-692.53082285391849</v>
          </cell>
          <cell r="S54">
            <v>-692.38637730487824</v>
          </cell>
          <cell r="T54">
            <v>-695.65992855913498</v>
          </cell>
          <cell r="U54">
            <v>-714.30457940940698</v>
          </cell>
        </row>
        <row r="55">
          <cell r="A55" t="str">
            <v>Tax rate underlying</v>
          </cell>
          <cell r="E55">
            <v>0.15926964790457676</v>
          </cell>
          <cell r="F55">
            <v>0.19154729722335523</v>
          </cell>
          <cell r="G55">
            <v>0.25505867206564353</v>
          </cell>
          <cell r="H55">
            <v>0.25505547602004297</v>
          </cell>
          <cell r="I55">
            <v>0.25499843449478909</v>
          </cell>
          <cell r="J55">
            <v>0.25497589799409104</v>
          </cell>
          <cell r="K55">
            <v>0.24149999999999999</v>
          </cell>
          <cell r="L55">
            <v>0.24149999999999999</v>
          </cell>
          <cell r="M55">
            <v>0.24149999999999999</v>
          </cell>
          <cell r="N55">
            <v>0.24149999999999999</v>
          </cell>
          <cell r="O55">
            <v>0.24149999999999999</v>
          </cell>
          <cell r="P55">
            <v>0.24149999999999999</v>
          </cell>
          <cell r="Q55">
            <v>0.24149999999999999</v>
          </cell>
          <cell r="R55">
            <v>0.24149999999999999</v>
          </cell>
          <cell r="S55">
            <v>0.24149999999999999</v>
          </cell>
          <cell r="T55">
            <v>0.24149999999999999</v>
          </cell>
          <cell r="U55">
            <v>0.24149999999999999</v>
          </cell>
        </row>
        <row r="57">
          <cell r="A57" t="str">
            <v>Profit after tax (post exceptionals)</v>
          </cell>
          <cell r="B57">
            <v>806.89999999999895</v>
          </cell>
          <cell r="C57">
            <v>-87.533203859999986</v>
          </cell>
          <cell r="D57">
            <v>379.11318287000017</v>
          </cell>
          <cell r="E57">
            <v>376.92198574999026</v>
          </cell>
          <cell r="F57">
            <v>641.21646919000716</v>
          </cell>
          <cell r="G57">
            <v>618.78171012000166</v>
          </cell>
          <cell r="H57">
            <v>578.80000000000121</v>
          </cell>
          <cell r="I57">
            <v>579.10000000000048</v>
          </cell>
          <cell r="J57">
            <v>1209.0000000000005</v>
          </cell>
          <cell r="K57">
            <v>1032.25996435195</v>
          </cell>
          <cell r="L57">
            <v>1292.327692905154</v>
          </cell>
          <cell r="M57">
            <v>1477.8567845216628</v>
          </cell>
          <cell r="N57">
            <v>1477.0958069761255</v>
          </cell>
          <cell r="O57">
            <v>1752.7599679311481</v>
          </cell>
          <cell r="P57">
            <v>1740.3091029437996</v>
          </cell>
          <cell r="Q57">
            <v>1727.11941162425</v>
          </cell>
          <cell r="R57">
            <v>1709.2090564571618</v>
          </cell>
          <cell r="S57">
            <v>1705.7741047090767</v>
          </cell>
          <cell r="T57">
            <v>1712.4825117613577</v>
          </cell>
          <cell r="U57">
            <v>1761.607022188211</v>
          </cell>
        </row>
        <row r="59">
          <cell r="A59" t="str">
            <v>Minority Interest</v>
          </cell>
          <cell r="B59">
            <v>-18.2</v>
          </cell>
          <cell r="C59">
            <v>-20.100000000000001</v>
          </cell>
          <cell r="D59">
            <v>-12.1</v>
          </cell>
          <cell r="E59">
            <v>-10.399999999999999</v>
          </cell>
          <cell r="F59">
            <v>-9.3000000000000007</v>
          </cell>
          <cell r="G59">
            <v>-11.600000000000001</v>
          </cell>
          <cell r="H59">
            <v>-12.200000000000001</v>
          </cell>
          <cell r="I59">
            <v>-12.200000000000001</v>
          </cell>
          <cell r="J59">
            <v>-6.8999999999999995</v>
          </cell>
          <cell r="K59">
            <v>-7.094100122467176</v>
          </cell>
          <cell r="L59">
            <v>-7.3984646258748796</v>
          </cell>
          <cell r="M59">
            <v>-8.0214215551472687</v>
          </cell>
          <cell r="N59">
            <v>-7.9565512030163621</v>
          </cell>
          <cell r="O59">
            <v>-7.8228950681237794</v>
          </cell>
          <cell r="P59">
            <v>-7.7865817333977976</v>
          </cell>
          <cell r="Q59">
            <v>-7.7447520592101844</v>
          </cell>
          <cell r="R59">
            <v>-7.6918810988506383</v>
          </cell>
          <cell r="S59">
            <v>-7.690276754391431</v>
          </cell>
          <cell r="T59">
            <v>-7.7266358104619899</v>
          </cell>
          <cell r="U59">
            <v>-7.9337203657441275</v>
          </cell>
        </row>
        <row r="60">
          <cell r="A60" t="str">
            <v>Income from Discontinued Operations</v>
          </cell>
          <cell r="B60">
            <v>194.9</v>
          </cell>
          <cell r="C60">
            <v>3608</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row>
        <row r="61">
          <cell r="A61" t="str">
            <v>Net Income, post exceptionals</v>
          </cell>
          <cell r="B61">
            <v>983.59999999999889</v>
          </cell>
          <cell r="C61">
            <v>3500.3667961400001</v>
          </cell>
          <cell r="D61">
            <v>367.01318287000015</v>
          </cell>
          <cell r="E61">
            <v>366.52198574999028</v>
          </cell>
          <cell r="F61">
            <v>631.91646919000721</v>
          </cell>
          <cell r="G61">
            <v>607.18171012000164</v>
          </cell>
          <cell r="H61">
            <v>566.60000000000116</v>
          </cell>
          <cell r="I61">
            <v>566.90000000000043</v>
          </cell>
          <cell r="J61">
            <v>1202.1000000000004</v>
          </cell>
          <cell r="K61">
            <v>1025.1658642294828</v>
          </cell>
          <cell r="L61">
            <v>1284.9292282792792</v>
          </cell>
          <cell r="M61">
            <v>1469.8353629665155</v>
          </cell>
          <cell r="N61">
            <v>1469.1392557731092</v>
          </cell>
          <cell r="O61">
            <v>1744.9370728630245</v>
          </cell>
          <cell r="P61">
            <v>1732.5225212104019</v>
          </cell>
          <cell r="Q61">
            <v>1719.3746595650398</v>
          </cell>
          <cell r="R61">
            <v>1701.5171753583111</v>
          </cell>
          <cell r="S61">
            <v>1698.0838279546854</v>
          </cell>
          <cell r="T61">
            <v>1704.7558759508956</v>
          </cell>
          <cell r="U61">
            <v>1753.6733018224668</v>
          </cell>
        </row>
        <row r="62">
          <cell r="A62" t="str">
            <v>Net income, pre exceptionals</v>
          </cell>
          <cell r="E62">
            <v>989.44633735000014</v>
          </cell>
          <cell r="F62">
            <v>1518.6114892900002</v>
          </cell>
          <cell r="G62">
            <v>1475.3113329100011</v>
          </cell>
          <cell r="H62">
            <v>1652.8999999999999</v>
          </cell>
          <cell r="I62">
            <v>1653.4000000000003</v>
          </cell>
          <cell r="J62">
            <v>1909.6000000000004</v>
          </cell>
          <cell r="K62">
            <v>1998.9584655432893</v>
          </cell>
          <cell r="L62">
            <v>2084.7215630742721</v>
          </cell>
          <cell r="M62">
            <v>2260.2568678966713</v>
          </cell>
          <cell r="N62">
            <v>2241.9778561381295</v>
          </cell>
          <cell r="O62">
            <v>2204.3165519976396</v>
          </cell>
          <cell r="P62">
            <v>2194.0842679010675</v>
          </cell>
          <cell r="Q62">
            <v>2182.2976029421911</v>
          </cell>
          <cell r="R62">
            <v>2167.3997509288815</v>
          </cell>
          <cell r="S62">
            <v>2166.9476826068926</v>
          </cell>
          <cell r="T62">
            <v>2177.1928499539431</v>
          </cell>
          <cell r="U62">
            <v>2235.5446377379212</v>
          </cell>
        </row>
        <row r="63">
          <cell r="A63" t="str">
            <v>check</v>
          </cell>
          <cell r="B63">
            <v>0</v>
          </cell>
          <cell r="C63">
            <v>0</v>
          </cell>
          <cell r="D63">
            <v>0</v>
          </cell>
          <cell r="E63">
            <v>0</v>
          </cell>
          <cell r="F63">
            <v>0.9999981500013746</v>
          </cell>
          <cell r="G63">
            <v>1.2703772100007882</v>
          </cell>
          <cell r="H63">
            <v>0.20000000000163709</v>
          </cell>
          <cell r="I63">
            <v>0</v>
          </cell>
          <cell r="J63">
            <v>0</v>
          </cell>
          <cell r="K63">
            <v>0</v>
          </cell>
          <cell r="L63">
            <v>-0.99999999999863576</v>
          </cell>
          <cell r="M63">
            <v>-2.0000000000009095</v>
          </cell>
          <cell r="N63">
            <v>-3.0000000000013642</v>
          </cell>
          <cell r="O63">
            <v>-4</v>
          </cell>
          <cell r="P63">
            <v>-5</v>
          </cell>
          <cell r="Q63">
            <v>-6</v>
          </cell>
          <cell r="R63">
            <v>-7.0000000000004547</v>
          </cell>
          <cell r="S63">
            <v>-8</v>
          </cell>
          <cell r="T63">
            <v>-8</v>
          </cell>
          <cell r="U63">
            <v>-9.0000000000009095</v>
          </cell>
        </row>
        <row r="65">
          <cell r="A65" t="str">
            <v>Net Income, Continuing</v>
          </cell>
          <cell r="B65">
            <v>788.69999999999891</v>
          </cell>
          <cell r="C65">
            <v>-107.63320385999998</v>
          </cell>
          <cell r="D65">
            <v>367.01318287000015</v>
          </cell>
          <cell r="E65">
            <v>366.52198574999028</v>
          </cell>
          <cell r="F65">
            <v>631.91646919000721</v>
          </cell>
          <cell r="G65">
            <v>607.18171012000164</v>
          </cell>
          <cell r="H65">
            <v>566.60000000000116</v>
          </cell>
          <cell r="J65">
            <v>1202.1000000000004</v>
          </cell>
          <cell r="K65">
            <v>1025.1658642294828</v>
          </cell>
          <cell r="L65">
            <v>1284.9292282792792</v>
          </cell>
          <cell r="M65">
            <v>1469.8353629665155</v>
          </cell>
          <cell r="N65">
            <v>1469.1392557731092</v>
          </cell>
          <cell r="O65">
            <v>1744.9370728630245</v>
          </cell>
          <cell r="P65">
            <v>1732.5225212104019</v>
          </cell>
          <cell r="Q65">
            <v>1719.3746595650398</v>
          </cell>
          <cell r="R65">
            <v>1701.5171753583111</v>
          </cell>
          <cell r="S65">
            <v>1698.0838279546854</v>
          </cell>
          <cell r="T65">
            <v>1704.7558759508956</v>
          </cell>
          <cell r="U65">
            <v>1753.6733018224668</v>
          </cell>
        </row>
        <row r="66">
          <cell r="A66" t="str">
            <v>check</v>
          </cell>
          <cell r="B66">
            <v>0</v>
          </cell>
          <cell r="C66">
            <v>1.1368683772161603E-13</v>
          </cell>
          <cell r="D66">
            <v>0</v>
          </cell>
          <cell r="E66">
            <v>0</v>
          </cell>
          <cell r="F66">
            <v>0</v>
          </cell>
          <cell r="G66">
            <v>0</v>
          </cell>
          <cell r="H66">
            <v>0</v>
          </cell>
          <cell r="J66">
            <v>0</v>
          </cell>
          <cell r="K66">
            <v>0</v>
          </cell>
          <cell r="L66">
            <v>0</v>
          </cell>
          <cell r="M66">
            <v>0</v>
          </cell>
          <cell r="N66">
            <v>0</v>
          </cell>
          <cell r="O66">
            <v>0</v>
          </cell>
          <cell r="P66">
            <v>0</v>
          </cell>
          <cell r="Q66">
            <v>0</v>
          </cell>
          <cell r="R66">
            <v>0</v>
          </cell>
          <cell r="S66">
            <v>0</v>
          </cell>
          <cell r="T66">
            <v>0</v>
          </cell>
          <cell r="U66">
            <v>0</v>
          </cell>
        </row>
        <row r="68">
          <cell r="A68" t="str">
            <v>Core Net Income CORE (Pre-Excep/intang/Restructuring)</v>
          </cell>
          <cell r="B68">
            <v>547.07999999999993</v>
          </cell>
          <cell r="C68">
            <v>1124.8167961400002</v>
          </cell>
          <cell r="D68">
            <v>1244.5131828700003</v>
          </cell>
          <cell r="E68">
            <v>894.28470586999026</v>
          </cell>
          <cell r="F68">
            <v>1531.8721025900074</v>
          </cell>
          <cell r="G68">
            <v>1475.3113329100011</v>
          </cell>
          <cell r="H68">
            <v>1652.8999999999999</v>
          </cell>
          <cell r="J68">
            <v>1909.6000000000004</v>
          </cell>
          <cell r="K68">
            <v>1998.9584655432893</v>
          </cell>
          <cell r="L68">
            <v>2084.7215630742721</v>
          </cell>
          <cell r="M68">
            <v>2260.2568678966713</v>
          </cell>
          <cell r="N68">
            <v>2241.9778561381295</v>
          </cell>
          <cell r="O68">
            <v>2204.3165519976396</v>
          </cell>
          <cell r="P68">
            <v>2194.0842679010675</v>
          </cell>
          <cell r="Q68">
            <v>2182.2976029421911</v>
          </cell>
          <cell r="R68">
            <v>2167.3997509288815</v>
          </cell>
          <cell r="S68">
            <v>2166.9476826068926</v>
          </cell>
          <cell r="T68">
            <v>2177.1928499539431</v>
          </cell>
          <cell r="U68">
            <v>2235.5446377379212</v>
          </cell>
        </row>
        <row r="70">
          <cell r="A70" t="str">
            <v>Basic Number of Shares (m)</v>
          </cell>
          <cell r="B70">
            <v>194</v>
          </cell>
          <cell r="C70">
            <v>215.89699575</v>
          </cell>
          <cell r="D70">
            <v>217.4</v>
          </cell>
          <cell r="E70">
            <v>217.38893899999999</v>
          </cell>
          <cell r="F70">
            <v>217.38893899999999</v>
          </cell>
          <cell r="G70">
            <v>217.4</v>
          </cell>
          <cell r="H70">
            <v>217.4</v>
          </cell>
          <cell r="I70">
            <v>217.4</v>
          </cell>
          <cell r="J70">
            <v>217.4</v>
          </cell>
          <cell r="K70">
            <v>217.38893900000002</v>
          </cell>
          <cell r="L70">
            <v>217.38893900000002</v>
          </cell>
          <cell r="M70">
            <v>217.38893900000002</v>
          </cell>
          <cell r="N70">
            <v>217.38893900000002</v>
          </cell>
          <cell r="O70">
            <v>217.38893900000002</v>
          </cell>
          <cell r="P70">
            <v>217.38893900000002</v>
          </cell>
          <cell r="Q70">
            <v>217.38893900000002</v>
          </cell>
          <cell r="R70">
            <v>217.38893900000002</v>
          </cell>
          <cell r="S70">
            <v>217.38893900000002</v>
          </cell>
          <cell r="T70">
            <v>217.38893900000002</v>
          </cell>
          <cell r="U70">
            <v>217.38893900000002</v>
          </cell>
        </row>
        <row r="71">
          <cell r="A71" t="str">
            <v>Diluted Number of Shares (m)</v>
          </cell>
          <cell r="B71">
            <v>194</v>
          </cell>
          <cell r="C71">
            <v>215.89699575</v>
          </cell>
          <cell r="D71">
            <v>217.4</v>
          </cell>
          <cell r="E71">
            <v>217.38893899999999</v>
          </cell>
          <cell r="F71">
            <v>217.38893899999999</v>
          </cell>
          <cell r="G71">
            <v>217.4</v>
          </cell>
          <cell r="H71">
            <v>217.4</v>
          </cell>
          <cell r="I71">
            <v>217.4</v>
          </cell>
          <cell r="J71">
            <v>217.4</v>
          </cell>
          <cell r="K71">
            <v>217.38893900000002</v>
          </cell>
          <cell r="L71">
            <v>217.38893900000002</v>
          </cell>
          <cell r="M71">
            <v>217.38893900000002</v>
          </cell>
          <cell r="N71">
            <v>217.38893900000002</v>
          </cell>
          <cell r="O71">
            <v>217.38893900000002</v>
          </cell>
          <cell r="P71">
            <v>217.38893900000002</v>
          </cell>
          <cell r="Q71">
            <v>217.38893900000002</v>
          </cell>
          <cell r="R71">
            <v>217.38893900000002</v>
          </cell>
          <cell r="S71">
            <v>217.38893900000002</v>
          </cell>
          <cell r="T71">
            <v>217.38893900000002</v>
          </cell>
          <cell r="U71">
            <v>217.38893900000002</v>
          </cell>
        </row>
        <row r="73">
          <cell r="A73" t="str">
            <v>EPS, Continuing (€)</v>
          </cell>
          <cell r="B73">
            <v>4.0654639175257676</v>
          </cell>
          <cell r="C73">
            <v>-0.49853960906725575</v>
          </cell>
          <cell r="D73">
            <v>1.6881931134774615</v>
          </cell>
          <cell r="E73">
            <v>1.6860194793535024</v>
          </cell>
          <cell r="F73">
            <v>2.9068473865177071</v>
          </cell>
        </row>
        <row r="74">
          <cell r="A74" t="str">
            <v>check</v>
          </cell>
          <cell r="B74">
            <v>0</v>
          </cell>
          <cell r="C74">
            <v>0</v>
          </cell>
          <cell r="D74">
            <v>0</v>
          </cell>
          <cell r="E74">
            <v>0</v>
          </cell>
          <cell r="F74">
            <v>0</v>
          </cell>
        </row>
        <row r="75">
          <cell r="A75" t="str">
            <v>EPS, post exceptionals (€)</v>
          </cell>
          <cell r="B75">
            <v>5.0701030927834996</v>
          </cell>
          <cell r="C75">
            <v>16.213133415683483</v>
          </cell>
          <cell r="D75">
            <v>1.6881931134774615</v>
          </cell>
          <cell r="E75">
            <v>1.6860194793535024</v>
          </cell>
          <cell r="F75">
            <v>2.9068473865177071</v>
          </cell>
          <cell r="G75">
            <v>2.7929241495860242</v>
          </cell>
          <cell r="H75">
            <v>2.6062557497700145</v>
          </cell>
          <cell r="I75">
            <v>2.607635694572219</v>
          </cell>
          <cell r="J75">
            <v>5.5294388224471041</v>
          </cell>
          <cell r="K75">
            <v>4.7158142863445445</v>
          </cell>
          <cell r="L75">
            <v>5.9107387624688625</v>
          </cell>
          <cell r="M75">
            <v>6.7613162368234168</v>
          </cell>
          <cell r="N75">
            <v>6.7581141088926753</v>
          </cell>
          <cell r="O75">
            <v>8.0267978715468331</v>
          </cell>
          <cell r="P75">
            <v>7.9696903125802629</v>
          </cell>
          <cell r="Q75">
            <v>7.9092094909439696</v>
          </cell>
          <cell r="R75">
            <v>7.827064169802636</v>
          </cell>
          <cell r="S75">
            <v>7.811270599902441</v>
          </cell>
          <cell r="T75">
            <v>7.8419623546297146</v>
          </cell>
          <cell r="U75">
            <v>8.0669849620199248</v>
          </cell>
        </row>
        <row r="76">
          <cell r="A76" t="str">
            <v>EPS, pre exceptionals (€)</v>
          </cell>
          <cell r="E76">
            <v>4.5515026748900054</v>
          </cell>
          <cell r="F76">
            <v>6.9856888592202031</v>
          </cell>
          <cell r="G76">
            <v>6.786160684958606</v>
          </cell>
          <cell r="H76">
            <v>7.6030358785648566</v>
          </cell>
          <cell r="I76">
            <v>7.6053357865685385</v>
          </cell>
          <cell r="J76">
            <v>8.7838086476540944</v>
          </cell>
          <cell r="K76">
            <v>9.1953089919781483</v>
          </cell>
          <cell r="L76">
            <v>9.5898235331755863</v>
          </cell>
          <cell r="M76">
            <v>10.397294721129629</v>
          </cell>
          <cell r="N76">
            <v>10.313210352151952</v>
          </cell>
          <cell r="O76">
            <v>10.139966468108295</v>
          </cell>
          <cell r="P76">
            <v>10.092897449124894</v>
          </cell>
          <cell r="Q76">
            <v>10.038678200376106</v>
          </cell>
          <cell r="R76">
            <v>9.970147335457952</v>
          </cell>
          <cell r="S76">
            <v>9.9680677985501944</v>
          </cell>
          <cell r="T76">
            <v>10.015196081130618</v>
          </cell>
          <cell r="U76">
            <v>10.28361722552002</v>
          </cell>
          <cell r="V76" t="str">
            <v>Company guidance €8.5-9.0 in 2013</v>
          </cell>
        </row>
        <row r="77">
          <cell r="A77" t="str">
            <v>EPS Growth</v>
          </cell>
          <cell r="F77">
            <v>0.534809349395587</v>
          </cell>
          <cell r="G77">
            <v>-2.8562419295019903E-2</v>
          </cell>
          <cell r="H77">
            <v>0.12037368867743425</v>
          </cell>
          <cell r="I77">
            <v>0.12071260019315755</v>
          </cell>
          <cell r="J77">
            <v>0.15530280113739514</v>
          </cell>
          <cell r="K77">
            <v>4.684759889822443E-2</v>
          </cell>
          <cell r="L77">
            <v>4.2903891706260966E-2</v>
          </cell>
          <cell r="M77">
            <v>8.4200839062432253E-2</v>
          </cell>
          <cell r="N77">
            <v>-8.0871391292582917E-3</v>
          </cell>
          <cell r="O77">
            <v>-1.6798249829890088E-2</v>
          </cell>
          <cell r="P77">
            <v>-4.6419304374860637E-3</v>
          </cell>
          <cell r="Q77">
            <v>-5.3720201777627263E-3</v>
          </cell>
          <cell r="R77">
            <v>-6.8266821139446598E-3</v>
          </cell>
          <cell r="S77">
            <v>-2.0857634674686931E-4</v>
          </cell>
          <cell r="T77">
            <v>4.7279255652010743E-3</v>
          </cell>
          <cell r="U77">
            <v>2.6801386834065744E-2</v>
          </cell>
        </row>
        <row r="79">
          <cell r="A79" t="str">
            <v>DPS (€)</v>
          </cell>
          <cell r="E79">
            <v>1</v>
          </cell>
          <cell r="F79">
            <v>1.25</v>
          </cell>
          <cell r="G79">
            <v>1.5</v>
          </cell>
          <cell r="H79">
            <v>1.7</v>
          </cell>
          <cell r="J79">
            <v>1.9</v>
          </cell>
          <cell r="K79">
            <v>1.9949999999999999</v>
          </cell>
          <cell r="L79">
            <v>2.0947499999999999</v>
          </cell>
          <cell r="M79">
            <v>2.1994875</v>
          </cell>
          <cell r="N79">
            <v>2.3094618750000002</v>
          </cell>
          <cell r="O79">
            <v>2.4249349687500001</v>
          </cell>
          <cell r="P79">
            <v>2.5461817171875003</v>
          </cell>
          <cell r="Q79">
            <v>2.6734908030468754</v>
          </cell>
          <cell r="R79">
            <v>2.8071653431992192</v>
          </cell>
          <cell r="S79">
            <v>2.9475236103591804</v>
          </cell>
          <cell r="T79">
            <v>3.0948997908771396</v>
          </cell>
          <cell r="U79">
            <v>3.2496447804209967</v>
          </cell>
        </row>
        <row r="80">
          <cell r="A80" t="str">
            <v>Dividend growth</v>
          </cell>
          <cell r="F80">
            <v>0.25</v>
          </cell>
          <cell r="G80">
            <v>0.19999999999999996</v>
          </cell>
          <cell r="H80">
            <v>0.1333333333333333</v>
          </cell>
          <cell r="J80">
            <v>0.11764705882352944</v>
          </cell>
          <cell r="K80">
            <v>5.0000000000000044E-2</v>
          </cell>
          <cell r="L80">
            <v>5.0000000000000044E-2</v>
          </cell>
          <cell r="M80">
            <v>5.0000000000000044E-2</v>
          </cell>
          <cell r="N80">
            <v>5.0000000000000044E-2</v>
          </cell>
          <cell r="O80">
            <v>5.0000000000000044E-2</v>
          </cell>
          <cell r="P80">
            <v>5.0000000000000044E-2</v>
          </cell>
          <cell r="Q80">
            <v>5.0000000000000044E-2</v>
          </cell>
          <cell r="R80">
            <v>5.0000000000000044E-2</v>
          </cell>
          <cell r="S80">
            <v>5.0000000000000044E-2</v>
          </cell>
          <cell r="T80">
            <v>5.0000000000000044E-2</v>
          </cell>
          <cell r="U80">
            <v>5.0000000000000044E-2</v>
          </cell>
        </row>
        <row r="81">
          <cell r="A81" t="str">
            <v>Dividend yield</v>
          </cell>
          <cell r="E81">
            <v>7.5329566854990581E-3</v>
          </cell>
          <cell r="F81">
            <v>9.4161958568738224E-3</v>
          </cell>
          <cell r="G81">
            <v>1.1299435028248588E-2</v>
          </cell>
          <cell r="H81">
            <v>1.2806026365348399E-2</v>
          </cell>
          <cell r="J81">
            <v>1.431261770244821E-2</v>
          </cell>
          <cell r="K81">
            <v>1.502824858757062E-2</v>
          </cell>
          <cell r="L81">
            <v>1.5779661016949151E-2</v>
          </cell>
          <cell r="M81">
            <v>1.6568644067796609E-2</v>
          </cell>
          <cell r="N81">
            <v>1.7397076271186442E-2</v>
          </cell>
          <cell r="O81">
            <v>1.8266930084745763E-2</v>
          </cell>
          <cell r="P81">
            <v>1.9180276588983053E-2</v>
          </cell>
          <cell r="Q81">
            <v>2.0139290418432206E-2</v>
          </cell>
          <cell r="R81">
            <v>2.1146254939353817E-2</v>
          </cell>
          <cell r="S81">
            <v>2.220356768632151E-2</v>
          </cell>
          <cell r="T81">
            <v>2.3313746070637586E-2</v>
          </cell>
          <cell r="U81">
            <v>2.4479433374169468E-2</v>
          </cell>
          <cell r="V81" t="str">
            <v>Check price link!</v>
          </cell>
        </row>
        <row r="82">
          <cell r="A82" t="str">
            <v>check</v>
          </cell>
          <cell r="B82">
            <v>0</v>
          </cell>
          <cell r="C82">
            <v>0</v>
          </cell>
          <cell r="D82">
            <v>0</v>
          </cell>
          <cell r="E82">
            <v>0</v>
          </cell>
          <cell r="F82">
            <v>0</v>
          </cell>
          <cell r="G82">
            <v>0</v>
          </cell>
          <cell r="H82">
            <v>0</v>
          </cell>
          <cell r="J82">
            <v>0</v>
          </cell>
          <cell r="K82">
            <v>0</v>
          </cell>
          <cell r="L82">
            <v>0</v>
          </cell>
          <cell r="M82">
            <v>0</v>
          </cell>
          <cell r="N82">
            <v>0</v>
          </cell>
          <cell r="O82">
            <v>0</v>
          </cell>
          <cell r="P82">
            <v>0</v>
          </cell>
          <cell r="Q82">
            <v>0</v>
          </cell>
          <cell r="R82">
            <v>0</v>
          </cell>
          <cell r="S82">
            <v>0</v>
          </cell>
          <cell r="T82">
            <v>0</v>
          </cell>
          <cell r="U82">
            <v>0</v>
          </cell>
        </row>
        <row r="83">
          <cell r="A83" t="str">
            <v>Core EPS (€)</v>
          </cell>
          <cell r="B83">
            <v>2.82</v>
          </cell>
          <cell r="C83">
            <v>5.2099696535031574</v>
          </cell>
          <cell r="D83">
            <v>5.7245316599356038</v>
          </cell>
          <cell r="E83">
            <v>4.1137544071181571</v>
          </cell>
          <cell r="F83">
            <v>7.0466883441112316</v>
          </cell>
          <cell r="G83">
            <v>6.786160684958606</v>
          </cell>
          <cell r="H83">
            <v>7.6030358785648566</v>
          </cell>
          <cell r="J83">
            <v>8.7838086476540944</v>
          </cell>
          <cell r="K83">
            <v>9.1953089919781483</v>
          </cell>
          <cell r="L83">
            <v>9.5898235331755863</v>
          </cell>
          <cell r="M83">
            <v>10.397294721129629</v>
          </cell>
          <cell r="N83">
            <v>10.313210352151952</v>
          </cell>
          <cell r="O83">
            <v>10.139966468108295</v>
          </cell>
          <cell r="P83">
            <v>10.092897449124894</v>
          </cell>
          <cell r="Q83">
            <v>10.038678200376106</v>
          </cell>
          <cell r="R83">
            <v>9.970147335457952</v>
          </cell>
          <cell r="S83">
            <v>9.9680677985501944</v>
          </cell>
          <cell r="T83">
            <v>10.015196081130618</v>
          </cell>
          <cell r="U83">
            <v>10.28361722552002</v>
          </cell>
          <cell r="V83" t="str">
            <v>Do we need any of these rows?</v>
          </cell>
        </row>
        <row r="84">
          <cell r="A84" t="str">
            <v>check</v>
          </cell>
          <cell r="B84">
            <v>0</v>
          </cell>
          <cell r="C84">
            <v>0</v>
          </cell>
          <cell r="D84">
            <v>0</v>
          </cell>
          <cell r="E84">
            <v>0</v>
          </cell>
          <cell r="F84">
            <v>0</v>
          </cell>
          <cell r="G84">
            <v>0</v>
          </cell>
          <cell r="H84">
            <v>0</v>
          </cell>
          <cell r="J84">
            <v>0</v>
          </cell>
          <cell r="K84">
            <v>0</v>
          </cell>
          <cell r="L84">
            <v>0</v>
          </cell>
          <cell r="M84">
            <v>0</v>
          </cell>
          <cell r="N84">
            <v>0</v>
          </cell>
          <cell r="O84">
            <v>0</v>
          </cell>
          <cell r="P84">
            <v>0</v>
          </cell>
          <cell r="Q84">
            <v>0</v>
          </cell>
          <cell r="R84">
            <v>0</v>
          </cell>
          <cell r="S84">
            <v>0</v>
          </cell>
          <cell r="T84">
            <v>0</v>
          </cell>
          <cell r="U84">
            <v>0</v>
          </cell>
        </row>
        <row r="86">
          <cell r="A86" t="str">
            <v>EBITDA, company reported</v>
          </cell>
          <cell r="B86">
            <v>1334.6999999999987</v>
          </cell>
          <cell r="C86">
            <v>1858.25</v>
          </cell>
          <cell r="D86">
            <v>1946.7</v>
          </cell>
        </row>
        <row r="87">
          <cell r="A87" t="str">
            <v xml:space="preserve">     EBITDA Margin (%)</v>
          </cell>
          <cell r="B87">
            <v>0.29927351002287073</v>
          </cell>
          <cell r="C87">
            <v>0.26330891417397589</v>
          </cell>
          <cell r="D87">
            <v>0.2564991106133474</v>
          </cell>
        </row>
        <row r="89">
          <cell r="A89" t="str">
            <v>MW EBITDA</v>
          </cell>
          <cell r="B89">
            <v>1066.6999999999989</v>
          </cell>
          <cell r="C89">
            <v>1820.5</v>
          </cell>
          <cell r="D89">
            <v>1982.8000000000002</v>
          </cell>
        </row>
        <row r="90">
          <cell r="A90" t="str">
            <v xml:space="preserve">     EBITDA Margin (%)</v>
          </cell>
          <cell r="B90">
            <v>0.23918112919861856</v>
          </cell>
          <cell r="C90">
            <v>0.25795984299944735</v>
          </cell>
          <cell r="D90">
            <v>0.26125568219250284</v>
          </cell>
        </row>
        <row r="93">
          <cell r="A93" t="str">
            <v>Notes:</v>
          </cell>
        </row>
        <row r="94">
          <cell r="A94" t="str">
            <v>E= Morgan Stanley Research Estimate</v>
          </cell>
        </row>
        <row r="95">
          <cell r="A95" t="str">
            <v>Source: Morgan Stanley Research</v>
          </cell>
        </row>
      </sheetData>
      <sheetData sheetId="6" refreshError="1">
        <row r="1">
          <cell r="F1">
            <v>0</v>
          </cell>
          <cell r="G1">
            <v>0</v>
          </cell>
          <cell r="H1">
            <v>0</v>
          </cell>
          <cell r="I1">
            <v>0</v>
          </cell>
          <cell r="J1">
            <v>0</v>
          </cell>
          <cell r="K1">
            <v>0</v>
          </cell>
          <cell r="L1">
            <v>0</v>
          </cell>
          <cell r="M1">
            <v>0</v>
          </cell>
          <cell r="N1">
            <v>0</v>
          </cell>
          <cell r="O1">
            <v>0</v>
          </cell>
          <cell r="P1">
            <v>0</v>
          </cell>
          <cell r="Q1">
            <v>0</v>
          </cell>
          <cell r="R1">
            <v>0</v>
          </cell>
          <cell r="S1">
            <v>0</v>
          </cell>
          <cell r="T1">
            <v>0</v>
          </cell>
          <cell r="Y1" t="str">
            <v>Return to contents</v>
          </cell>
        </row>
        <row r="2">
          <cell r="A2" t="str">
            <v xml:space="preserve"> Merck KGaA</v>
          </cell>
          <cell r="AB2" t="str">
            <v>ElementName</v>
          </cell>
          <cell r="AC2" t="str">
            <v>ScaleOverride</v>
          </cell>
          <cell r="AD2" t="str">
            <v>UnitOverride</v>
          </cell>
          <cell r="AE2" t="str">
            <v>ReverseSign</v>
          </cell>
          <cell r="AF2" t="str">
            <v>IsDrivingAssumption</v>
          </cell>
          <cell r="AG2" t="str">
            <v>SegmentID</v>
          </cell>
        </row>
        <row r="3">
          <cell r="A3" t="str">
            <v xml:space="preserve">  Annual Cashflow Statement</v>
          </cell>
          <cell r="G3" t="str">
            <v xml:space="preserve">Morgan Stanley Equity Research- Pharmaceuticals  </v>
          </cell>
        </row>
        <row r="5">
          <cell r="A5" t="str">
            <v>in € millions except per share data</v>
          </cell>
          <cell r="B5" t="str">
            <v>2006A</v>
          </cell>
          <cell r="C5" t="str">
            <v>2007A</v>
          </cell>
          <cell r="D5" t="str">
            <v>2008A</v>
          </cell>
          <cell r="E5" t="str">
            <v>2009A</v>
          </cell>
          <cell r="F5" t="str">
            <v>2010A</v>
          </cell>
          <cell r="G5" t="str">
            <v>2011A</v>
          </cell>
          <cell r="H5" t="str">
            <v>2012A</v>
          </cell>
          <cell r="I5" t="str">
            <v>2013A</v>
          </cell>
          <cell r="J5" t="str">
            <v>2014E</v>
          </cell>
          <cell r="K5" t="str">
            <v>2015E</v>
          </cell>
          <cell r="L5" t="str">
            <v>2016E</v>
          </cell>
          <cell r="M5" t="str">
            <v>2017E</v>
          </cell>
          <cell r="N5" t="str">
            <v>2018E</v>
          </cell>
          <cell r="O5" t="str">
            <v>2019E</v>
          </cell>
          <cell r="P5" t="str">
            <v>2020E</v>
          </cell>
          <cell r="Q5" t="str">
            <v>2021E</v>
          </cell>
          <cell r="R5" t="str">
            <v>2022E</v>
          </cell>
          <cell r="S5" t="str">
            <v>2023E</v>
          </cell>
          <cell r="T5" t="str">
            <v>2024E</v>
          </cell>
          <cell r="V5" t="str">
            <v>1Q13</v>
          </cell>
          <cell r="W5" t="str">
            <v>2Q13</v>
          </cell>
          <cell r="X5" t="str">
            <v>3Q13</v>
          </cell>
        </row>
        <row r="7">
          <cell r="A7" t="str">
            <v>Operating Profit</v>
          </cell>
          <cell r="B7">
            <v>1031.2</v>
          </cell>
          <cell r="C7">
            <v>200.4</v>
          </cell>
          <cell r="D7">
            <v>731.4</v>
          </cell>
          <cell r="E7">
            <v>648.9</v>
          </cell>
          <cell r="F7">
            <v>1113.5</v>
          </cell>
          <cell r="G7">
            <v>1132.0999999999999</v>
          </cell>
          <cell r="H7">
            <v>963.6</v>
          </cell>
          <cell r="I7">
            <v>1610.8</v>
          </cell>
          <cell r="J7">
            <v>1800.2928652701498</v>
          </cell>
          <cell r="K7">
            <v>2096.9652574224406</v>
          </cell>
          <cell r="L7">
            <v>2292.0063416404205</v>
          </cell>
          <cell r="M7">
            <v>2240.0677200963319</v>
          </cell>
          <cell r="N7">
            <v>2455.0767503018701</v>
          </cell>
          <cell r="O7">
            <v>2392.1657265141898</v>
          </cell>
          <cell r="P7">
            <v>2329.1288860120744</v>
          </cell>
          <cell r="Q7">
            <v>2261.4665104548976</v>
          </cell>
          <cell r="R7">
            <v>2213.7572385827839</v>
          </cell>
          <cell r="S7">
            <v>2179.2854412286997</v>
          </cell>
          <cell r="T7">
            <v>2202.9257371211565</v>
          </cell>
          <cell r="V7">
            <v>399.5</v>
          </cell>
          <cell r="W7">
            <v>465.3000000000003</v>
          </cell>
          <cell r="X7">
            <v>481.9</v>
          </cell>
          <cell r="AB7" t="str">
            <v>mstag:pretaxOperatingprofitExcludingAssociatesCashFlowStatement</v>
          </cell>
          <cell r="AC7">
            <v>6</v>
          </cell>
          <cell r="AD7" t="str">
            <v>ISO4217:EUR</v>
          </cell>
          <cell r="AE7" t="b">
            <v>0</v>
          </cell>
        </row>
        <row r="8">
          <cell r="A8" t="str">
            <v>Interest Income</v>
          </cell>
          <cell r="B8">
            <v>53.8</v>
          </cell>
          <cell r="C8">
            <v>59.1</v>
          </cell>
          <cell r="D8">
            <v>36.6</v>
          </cell>
          <cell r="E8">
            <v>33.6</v>
          </cell>
          <cell r="F8">
            <v>33</v>
          </cell>
          <cell r="G8">
            <v>57.8</v>
          </cell>
          <cell r="H8">
            <v>35.6</v>
          </cell>
          <cell r="I8">
            <v>30.1</v>
          </cell>
          <cell r="J8">
            <v>17.999510941754071</v>
          </cell>
          <cell r="K8">
            <v>24.451970184342692</v>
          </cell>
          <cell r="L8">
            <v>65.963091350925325</v>
          </cell>
          <cell r="M8">
            <v>113.68845481755994</v>
          </cell>
          <cell r="N8">
            <v>160.10763948725301</v>
          </cell>
          <cell r="O8">
            <v>205.26264772986377</v>
          </cell>
          <cell r="P8">
            <v>249.48216798673829</v>
          </cell>
          <cell r="Q8">
            <v>292.79451191906418</v>
          </cell>
          <cell r="R8">
            <v>335.43513242987888</v>
          </cell>
          <cell r="S8">
            <v>378.59841126564402</v>
          </cell>
          <cell r="T8">
            <v>421.64447398320567</v>
          </cell>
          <cell r="AB8" t="str">
            <v>mstag:interestReceivedCashFlowStatement</v>
          </cell>
          <cell r="AC8">
            <v>6</v>
          </cell>
          <cell r="AD8" t="str">
            <v>ISO4217:EUR</v>
          </cell>
          <cell r="AE8" t="b">
            <v>0</v>
          </cell>
        </row>
        <row r="9">
          <cell r="A9" t="str">
            <v>Interest Expense</v>
          </cell>
          <cell r="B9">
            <v>-50.6</v>
          </cell>
          <cell r="C9">
            <v>-321.89999999999998</v>
          </cell>
          <cell r="D9">
            <v>-84.9</v>
          </cell>
          <cell r="E9">
            <v>-88.7</v>
          </cell>
          <cell r="F9">
            <v>-208.9</v>
          </cell>
          <cell r="G9">
            <v>-227.2</v>
          </cell>
          <cell r="H9">
            <v>-221.9</v>
          </cell>
          <cell r="I9">
            <v>-176.6</v>
          </cell>
          <cell r="J9">
            <v>-145.62776470588236</v>
          </cell>
          <cell r="K9">
            <v>-135.23952941176472</v>
          </cell>
          <cell r="L9">
            <v>-124.43952941176471</v>
          </cell>
          <cell r="M9">
            <v>-119.0395294117647</v>
          </cell>
          <cell r="N9">
            <v>-113.63952941176471</v>
          </cell>
          <cell r="O9">
            <v>-108.23952941176471</v>
          </cell>
          <cell r="P9">
            <v>-102.83952941176472</v>
          </cell>
          <cell r="Q9">
            <v>-97.43952941176471</v>
          </cell>
          <cell r="R9">
            <v>-92.039529411764704</v>
          </cell>
          <cell r="S9">
            <v>-86.639529411764713</v>
          </cell>
          <cell r="T9">
            <v>-81.239529411764721</v>
          </cell>
          <cell r="AB9" t="str">
            <v>mstag:interestPaidCashFlowStatement</v>
          </cell>
          <cell r="AC9">
            <v>6</v>
          </cell>
          <cell r="AD9" t="str">
            <v>ISO4217:EUR</v>
          </cell>
          <cell r="AE9" t="b">
            <v>1</v>
          </cell>
        </row>
        <row r="10">
          <cell r="A10" t="str">
            <v>Other Financial Expenses</v>
          </cell>
          <cell r="B10">
            <v>142.70000000000002</v>
          </cell>
          <cell r="C10">
            <v>3559.5</v>
          </cell>
          <cell r="D10">
            <v>-108.20000000000002</v>
          </cell>
          <cell r="E10">
            <v>-107.4</v>
          </cell>
          <cell r="F10">
            <v>-76.5</v>
          </cell>
          <cell r="G10">
            <v>-123.9</v>
          </cell>
          <cell r="H10">
            <v>-68.3</v>
          </cell>
          <cell r="I10">
            <v>-75.7</v>
          </cell>
          <cell r="J10">
            <v>-32.031034999999932</v>
          </cell>
          <cell r="K10">
            <v>-35.336641163845528</v>
          </cell>
          <cell r="L10">
            <v>-38.222450761788693</v>
          </cell>
          <cell r="M10">
            <v>-41.260707513626279</v>
          </cell>
          <cell r="N10">
            <v>-44.458357882753788</v>
          </cell>
          <cell r="O10">
            <v>-47.822642103751768</v>
          </cell>
          <cell r="P10">
            <v>-51.361106063868263</v>
          </cell>
          <cell r="Q10">
            <v>-55.081613651117081</v>
          </cell>
          <cell r="R10">
            <v>-58.992359586943124</v>
          </cell>
          <cell r="S10">
            <v>-63.101882762086007</v>
          </cell>
          <cell r="T10">
            <v>-67.419080094979421</v>
          </cell>
          <cell r="AB10" t="str">
            <v>mstag:netPensionAndOpebExpenseCashFlowStatement</v>
          </cell>
          <cell r="AC10">
            <v>6</v>
          </cell>
          <cell r="AD10" t="str">
            <v>ISO4217:EUR</v>
          </cell>
          <cell r="AE10" t="b">
            <v>0</v>
          </cell>
        </row>
        <row r="11">
          <cell r="A11" t="str">
            <v>Income Taxes</v>
          </cell>
          <cell r="B11">
            <v>-175.8</v>
          </cell>
          <cell r="C11">
            <v>23.1</v>
          </cell>
          <cell r="D11">
            <v>-195.8</v>
          </cell>
          <cell r="E11">
            <v>-109.7</v>
          </cell>
          <cell r="F11">
            <v>-219.6</v>
          </cell>
          <cell r="G11">
            <v>-220.8</v>
          </cell>
          <cell r="H11">
            <v>-130</v>
          </cell>
          <cell r="I11">
            <v>-179.5</v>
          </cell>
          <cell r="J11">
            <v>-608.37361215407168</v>
          </cell>
          <cell r="K11">
            <v>-658.51336412601904</v>
          </cell>
          <cell r="L11">
            <v>-717.45066829612938</v>
          </cell>
          <cell r="M11">
            <v>-716.36013101237529</v>
          </cell>
          <cell r="N11">
            <v>-704.32653456345656</v>
          </cell>
          <cell r="O11">
            <v>-701.05709978473749</v>
          </cell>
          <cell r="P11">
            <v>-697.29100689892994</v>
          </cell>
          <cell r="Q11">
            <v>-692.53082285391849</v>
          </cell>
          <cell r="R11">
            <v>-692.38637730487824</v>
          </cell>
          <cell r="S11">
            <v>-695.65992855913498</v>
          </cell>
          <cell r="T11">
            <v>-714.30457940940698</v>
          </cell>
          <cell r="AB11" t="str">
            <v>mstag:taxPaidCashFlowStatement</v>
          </cell>
          <cell r="AC11">
            <v>6</v>
          </cell>
          <cell r="AD11" t="str">
            <v>ISO4217:EUR</v>
          </cell>
          <cell r="AE11" t="b">
            <v>1</v>
          </cell>
        </row>
        <row r="12">
          <cell r="A12" t="str">
            <v>Profit after tax</v>
          </cell>
          <cell r="B12">
            <v>1001.3000000000002</v>
          </cell>
          <cell r="C12">
            <v>3520.2</v>
          </cell>
          <cell r="D12">
            <v>379.09999999999997</v>
          </cell>
          <cell r="E12">
            <v>376.7</v>
          </cell>
          <cell r="F12">
            <v>641.5</v>
          </cell>
          <cell r="G12">
            <v>617.99999999999977</v>
          </cell>
          <cell r="H12">
            <v>579.00000000000011</v>
          </cell>
          <cell r="I12">
            <v>1209.0999999999999</v>
          </cell>
          <cell r="J12">
            <v>1032.25996435195</v>
          </cell>
          <cell r="K12">
            <v>1292.327692905154</v>
          </cell>
          <cell r="L12">
            <v>1477.8567845216628</v>
          </cell>
          <cell r="M12">
            <v>1477.0958069761255</v>
          </cell>
          <cell r="N12">
            <v>1752.7599679311481</v>
          </cell>
          <cell r="O12">
            <v>1740.3091029437996</v>
          </cell>
          <cell r="P12">
            <v>1727.1194116242496</v>
          </cell>
          <cell r="Q12">
            <v>1709.2090564571613</v>
          </cell>
          <cell r="R12">
            <v>1705.7741047090767</v>
          </cell>
          <cell r="S12">
            <v>1712.4825117613582</v>
          </cell>
          <cell r="T12">
            <v>1761.607022188211</v>
          </cell>
          <cell r="V12">
            <v>269</v>
          </cell>
          <cell r="W12">
            <v>316.10000000000002</v>
          </cell>
          <cell r="X12">
            <v>342.5</v>
          </cell>
        </row>
        <row r="13">
          <cell r="A13" t="str">
            <v>Depreciation</v>
          </cell>
          <cell r="B13">
            <v>255.8</v>
          </cell>
          <cell r="C13">
            <v>287.5</v>
          </cell>
          <cell r="D13">
            <v>278</v>
          </cell>
          <cell r="E13">
            <v>288</v>
          </cell>
          <cell r="F13">
            <v>351.70000000000005</v>
          </cell>
          <cell r="G13">
            <v>536.40000000000009</v>
          </cell>
          <cell r="H13">
            <v>444.19999999999993</v>
          </cell>
          <cell r="I13">
            <v>424</v>
          </cell>
          <cell r="J13">
            <v>436.24836183406347</v>
          </cell>
          <cell r="K13">
            <v>450.93501195664936</v>
          </cell>
          <cell r="L13">
            <v>453.43371613981844</v>
          </cell>
          <cell r="M13">
            <v>454.50282676174322</v>
          </cell>
          <cell r="N13">
            <v>454.79556473556488</v>
          </cell>
          <cell r="O13">
            <v>455.39706674667804</v>
          </cell>
          <cell r="P13">
            <v>455.17762516456884</v>
          </cell>
          <cell r="Q13">
            <v>456.28583884224503</v>
          </cell>
          <cell r="R13">
            <v>457.30976277769628</v>
          </cell>
          <cell r="S13">
            <v>459.64046531711961</v>
          </cell>
          <cell r="T13">
            <v>466.18225058893375</v>
          </cell>
          <cell r="V13">
            <v>132.80000000000001</v>
          </cell>
          <cell r="W13">
            <v>104.8</v>
          </cell>
          <cell r="X13">
            <v>91.1</v>
          </cell>
          <cell r="AB13" t="str">
            <v>mstag:depreciation</v>
          </cell>
          <cell r="AC13">
            <v>6</v>
          </cell>
          <cell r="AD13" t="str">
            <v>ISO4217:EUR</v>
          </cell>
          <cell r="AE13" t="b">
            <v>0</v>
          </cell>
          <cell r="AF13" t="b">
            <v>0</v>
          </cell>
        </row>
        <row r="14">
          <cell r="A14" t="str">
            <v>Goodwill Impairment</v>
          </cell>
          <cell r="B14">
            <v>0.1</v>
          </cell>
          <cell r="C14">
            <v>0</v>
          </cell>
          <cell r="D14">
            <v>41.7</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V14">
            <v>1.2</v>
          </cell>
          <cell r="W14">
            <v>0</v>
          </cell>
          <cell r="X14">
            <v>0</v>
          </cell>
          <cell r="AB14" t="str">
            <v>mstag:goodwillImpairmentCashFlowStatement</v>
          </cell>
          <cell r="AC14">
            <v>6</v>
          </cell>
          <cell r="AD14" t="str">
            <v>ISO4217:EUR</v>
          </cell>
          <cell r="AE14" t="b">
            <v>0</v>
          </cell>
          <cell r="AF14" t="b">
            <v>0</v>
          </cell>
        </row>
        <row r="15">
          <cell r="A15" t="str">
            <v>Other Intangibles Amortisation</v>
          </cell>
          <cell r="B15">
            <v>47.1</v>
          </cell>
          <cell r="C15">
            <v>636.1</v>
          </cell>
          <cell r="D15">
            <v>895.59999999999991</v>
          </cell>
          <cell r="E15">
            <v>715.8</v>
          </cell>
          <cell r="F15">
            <v>906.2</v>
          </cell>
          <cell r="G15">
            <v>1061</v>
          </cell>
          <cell r="H15">
            <v>952.4</v>
          </cell>
          <cell r="I15">
            <v>1034.4000000000001</v>
          </cell>
          <cell r="J15">
            <v>960.35858969581113</v>
          </cell>
          <cell r="K15">
            <v>857.63581857333656</v>
          </cell>
          <cell r="L15">
            <v>857.97630041686921</v>
          </cell>
          <cell r="M15">
            <v>855.08151672511929</v>
          </cell>
          <cell r="N15">
            <v>544.93037281567979</v>
          </cell>
          <cell r="O15">
            <v>550.54902857855109</v>
          </cell>
          <cell r="P15">
            <v>555.62127862523221</v>
          </cell>
          <cell r="Q15">
            <v>562.31081803785105</v>
          </cell>
          <cell r="R15">
            <v>569.22255943662822</v>
          </cell>
          <cell r="S15">
            <v>577.76472430586682</v>
          </cell>
          <cell r="T15">
            <v>590.85943061864441</v>
          </cell>
          <cell r="V15">
            <v>220.3</v>
          </cell>
          <cell r="W15">
            <v>222.9</v>
          </cell>
          <cell r="X15">
            <v>223.6</v>
          </cell>
          <cell r="AB15" t="str">
            <v>mstag:amortizationOfOtherIntangibles</v>
          </cell>
          <cell r="AC15">
            <v>6</v>
          </cell>
          <cell r="AD15" t="str">
            <v>ISO4217:EUR</v>
          </cell>
          <cell r="AE15" t="b">
            <v>0</v>
          </cell>
          <cell r="AF15" t="b">
            <v>0</v>
          </cell>
        </row>
        <row r="16">
          <cell r="A16" t="str">
            <v xml:space="preserve">Others </v>
          </cell>
          <cell r="B16">
            <v>-350.4</v>
          </cell>
          <cell r="C16">
            <v>-3086.8</v>
          </cell>
          <cell r="D16">
            <v>-195.10000000000002</v>
          </cell>
          <cell r="E16">
            <v>-191.79999999999998</v>
          </cell>
          <cell r="F16">
            <v>-11.700000000000003</v>
          </cell>
          <cell r="G16">
            <v>-327.20000000000005</v>
          </cell>
          <cell r="H16">
            <v>-407.6</v>
          </cell>
          <cell r="I16">
            <v>-263.79999999999995</v>
          </cell>
          <cell r="J16">
            <v>0</v>
          </cell>
          <cell r="K16">
            <v>0</v>
          </cell>
          <cell r="L16">
            <v>0</v>
          </cell>
          <cell r="M16">
            <v>0</v>
          </cell>
          <cell r="N16">
            <v>0</v>
          </cell>
          <cell r="O16">
            <v>0</v>
          </cell>
          <cell r="P16">
            <v>0</v>
          </cell>
          <cell r="Q16">
            <v>0</v>
          </cell>
          <cell r="R16">
            <v>0</v>
          </cell>
          <cell r="S16">
            <v>0</v>
          </cell>
          <cell r="T16">
            <v>0</v>
          </cell>
          <cell r="V16">
            <v>87.100000000000009</v>
          </cell>
          <cell r="W16">
            <v>-255.1</v>
          </cell>
          <cell r="X16">
            <v>100.30000000000001</v>
          </cell>
          <cell r="AB16" t="str">
            <v>mstag:otherCashFlow</v>
          </cell>
          <cell r="AC16">
            <v>6</v>
          </cell>
          <cell r="AD16" t="str">
            <v>ISO4217:EUR</v>
          </cell>
          <cell r="AE16" t="b">
            <v>0</v>
          </cell>
          <cell r="AF16" t="b">
            <v>0</v>
          </cell>
        </row>
        <row r="17">
          <cell r="A17" t="str">
            <v>Cash Flow Before Change in Working Capital</v>
          </cell>
          <cell r="B17">
            <v>953.9</v>
          </cell>
          <cell r="C17">
            <v>1357</v>
          </cell>
          <cell r="D17">
            <v>1399.2999999999997</v>
          </cell>
          <cell r="E17">
            <v>1188.7</v>
          </cell>
          <cell r="F17">
            <v>1887.7</v>
          </cell>
          <cell r="G17">
            <v>1888.1999999999996</v>
          </cell>
          <cell r="H17">
            <v>1568</v>
          </cell>
          <cell r="I17">
            <v>2403.6999999999998</v>
          </cell>
          <cell r="J17">
            <v>2428.8669158818248</v>
          </cell>
          <cell r="K17">
            <v>2600.8985234351399</v>
          </cell>
          <cell r="L17">
            <v>2789.2668010783505</v>
          </cell>
          <cell r="M17">
            <v>2786.680150462988</v>
          </cell>
          <cell r="N17">
            <v>2752.4859054823928</v>
          </cell>
          <cell r="O17">
            <v>2746.2551982690284</v>
          </cell>
          <cell r="P17">
            <v>2737.9183154140505</v>
          </cell>
          <cell r="Q17">
            <v>2727.8057133372577</v>
          </cell>
          <cell r="R17">
            <v>2732.306426923401</v>
          </cell>
          <cell r="S17">
            <v>2749.8877013843444</v>
          </cell>
          <cell r="T17">
            <v>2818.6487033957892</v>
          </cell>
          <cell r="V17">
            <v>710.4</v>
          </cell>
          <cell r="W17">
            <v>388.70000000000005</v>
          </cell>
          <cell r="X17">
            <v>757.5</v>
          </cell>
        </row>
        <row r="18">
          <cell r="A18" t="str">
            <v>(Increase)/Decrease in Inventories</v>
          </cell>
          <cell r="B18">
            <v>-139.5</v>
          </cell>
          <cell r="C18">
            <v>-170.5</v>
          </cell>
          <cell r="D18">
            <v>-225.5</v>
          </cell>
          <cell r="E18">
            <v>51.7</v>
          </cell>
          <cell r="F18">
            <v>38</v>
          </cell>
          <cell r="G18">
            <v>-75.3</v>
          </cell>
          <cell r="H18">
            <v>140.6</v>
          </cell>
          <cell r="I18">
            <v>-58.4</v>
          </cell>
          <cell r="J18">
            <v>-9.926752327213535</v>
          </cell>
          <cell r="K18">
            <v>-97.700570776383529</v>
          </cell>
          <cell r="L18">
            <v>-30.058591075701315</v>
          </cell>
          <cell r="M18">
            <v>-47.022516050868262</v>
          </cell>
          <cell r="N18">
            <v>-36.750308993191084</v>
          </cell>
          <cell r="O18">
            <v>-30.204837855483675</v>
          </cell>
          <cell r="P18">
            <v>-25.008141748235857</v>
          </cell>
          <cell r="Q18">
            <v>-47.576843661630619</v>
          </cell>
          <cell r="R18">
            <v>-30.116360535406557</v>
          </cell>
          <cell r="S18">
            <v>34.29331881706139</v>
          </cell>
          <cell r="T18">
            <v>-47.01377494880785</v>
          </cell>
          <cell r="V18">
            <v>-21</v>
          </cell>
          <cell r="W18">
            <v>-22.4</v>
          </cell>
          <cell r="X18">
            <v>-73.599999999999994</v>
          </cell>
          <cell r="AB18" t="str">
            <v>mstag:netDecreaseInInventories</v>
          </cell>
          <cell r="AC18">
            <v>6</v>
          </cell>
          <cell r="AD18" t="str">
            <v>ISO4217:EUR</v>
          </cell>
          <cell r="AE18" t="b">
            <v>0</v>
          </cell>
          <cell r="AF18" t="b">
            <v>0</v>
          </cell>
        </row>
        <row r="19">
          <cell r="A19" t="str">
            <v>(Increase)/Decrease in Receivables</v>
          </cell>
          <cell r="B19">
            <v>-152.5</v>
          </cell>
          <cell r="C19">
            <v>-152.6</v>
          </cell>
          <cell r="D19">
            <v>-268.10000000000002</v>
          </cell>
          <cell r="E19">
            <v>-118.7</v>
          </cell>
          <cell r="F19">
            <v>-187</v>
          </cell>
          <cell r="G19">
            <v>-3.7</v>
          </cell>
          <cell r="H19">
            <v>186.2</v>
          </cell>
          <cell r="I19">
            <v>-45</v>
          </cell>
          <cell r="J19">
            <v>-28.909631635909591</v>
          </cell>
          <cell r="K19">
            <v>-47.002353031973144</v>
          </cell>
          <cell r="L19">
            <v>-19.869920946549883</v>
          </cell>
          <cell r="M19">
            <v>-26.500153213413341</v>
          </cell>
          <cell r="N19">
            <v>-14.860994619950361</v>
          </cell>
          <cell r="O19">
            <v>-16.727086907260855</v>
          </cell>
          <cell r="P19">
            <v>-8.1032154993072254</v>
          </cell>
          <cell r="Q19">
            <v>-26.090972295995471</v>
          </cell>
          <cell r="R19">
            <v>-14.401630330482931</v>
          </cell>
          <cell r="S19">
            <v>-32.598328417717312</v>
          </cell>
          <cell r="T19">
            <v>-44.224794840480627</v>
          </cell>
          <cell r="V19">
            <v>-134.19999999999999</v>
          </cell>
          <cell r="W19">
            <v>-1.2</v>
          </cell>
          <cell r="X19">
            <v>103.5</v>
          </cell>
          <cell r="AB19" t="str">
            <v>mstag:netDecreaseInTradeReceivables</v>
          </cell>
          <cell r="AC19">
            <v>6</v>
          </cell>
          <cell r="AD19" t="str">
            <v>ISO4217:EUR</v>
          </cell>
          <cell r="AE19" t="b">
            <v>0</v>
          </cell>
          <cell r="AF19" t="b">
            <v>0</v>
          </cell>
        </row>
        <row r="20">
          <cell r="A20" t="str">
            <v>Increase/(Decrease) in Short-Term Liabilities</v>
          </cell>
          <cell r="B20">
            <v>149.80000000000001</v>
          </cell>
          <cell r="C20">
            <v>184.39999999999998</v>
          </cell>
          <cell r="D20">
            <v>118.30000000000001</v>
          </cell>
          <cell r="E20">
            <v>249.60000000000002</v>
          </cell>
          <cell r="F20">
            <v>43.900000000000006</v>
          </cell>
          <cell r="G20">
            <v>-538</v>
          </cell>
          <cell r="H20">
            <v>577.40000000000009</v>
          </cell>
          <cell r="I20">
            <v>-74.800000000000011</v>
          </cell>
          <cell r="J20">
            <v>21.00287551434144</v>
          </cell>
          <cell r="K20">
            <v>91.181795159720423</v>
          </cell>
          <cell r="L20">
            <v>28.053022336251615</v>
          </cell>
          <cell r="M20">
            <v>43.885080633340067</v>
          </cell>
          <cell r="N20">
            <v>34.29825557870322</v>
          </cell>
          <cell r="O20">
            <v>28.18951124118712</v>
          </cell>
          <cell r="P20">
            <v>23.339548992318896</v>
          </cell>
          <cell r="Q20">
            <v>44.402422407848235</v>
          </cell>
          <cell r="R20">
            <v>28.106937303169843</v>
          </cell>
          <cell r="S20">
            <v>41.228170685528312</v>
          </cell>
          <cell r="T20">
            <v>45.79579458616422</v>
          </cell>
          <cell r="V20">
            <v>-39.5</v>
          </cell>
          <cell r="W20">
            <v>77.400000000000006</v>
          </cell>
          <cell r="X20">
            <v>39.4</v>
          </cell>
          <cell r="AB20" t="str">
            <v>mstag:netIncreaseInTradeAndOtherPayables</v>
          </cell>
          <cell r="AC20">
            <v>6</v>
          </cell>
          <cell r="AD20" t="str">
            <v>ISO4217:EUR</v>
          </cell>
          <cell r="AE20" t="b">
            <v>0</v>
          </cell>
          <cell r="AF20" t="b">
            <v>0</v>
          </cell>
        </row>
        <row r="21">
          <cell r="A21" t="str">
            <v>Cash Flow from Operating Activities</v>
          </cell>
          <cell r="B21">
            <v>811.7</v>
          </cell>
          <cell r="C21">
            <v>1218.3000000000002</v>
          </cell>
          <cell r="D21">
            <v>1023.9999999999998</v>
          </cell>
          <cell r="E21">
            <v>1371.3000000000002</v>
          </cell>
          <cell r="F21">
            <v>1782.6000000000001</v>
          </cell>
          <cell r="G21">
            <v>1271.1999999999996</v>
          </cell>
          <cell r="H21">
            <v>2472.1999999999998</v>
          </cell>
          <cell r="I21">
            <v>2225.4999999999995</v>
          </cell>
          <cell r="J21">
            <v>2411.0334074330431</v>
          </cell>
          <cell r="K21">
            <v>2547.3773947865038</v>
          </cell>
          <cell r="L21">
            <v>2767.3913113923509</v>
          </cell>
          <cell r="M21">
            <v>2757.042561832046</v>
          </cell>
          <cell r="N21">
            <v>2735.1728574479548</v>
          </cell>
          <cell r="O21">
            <v>2727.512784747471</v>
          </cell>
          <cell r="P21">
            <v>2728.1465071588264</v>
          </cell>
          <cell r="Q21">
            <v>2698.5403197874793</v>
          </cell>
          <cell r="R21">
            <v>2715.8953733606813</v>
          </cell>
          <cell r="S21">
            <v>2792.8108624692168</v>
          </cell>
          <cell r="T21">
            <v>2773.2059281926649</v>
          </cell>
          <cell r="V21">
            <v>515.70000000000005</v>
          </cell>
          <cell r="W21">
            <v>442.50000000000011</v>
          </cell>
          <cell r="X21">
            <v>826.8</v>
          </cell>
        </row>
        <row r="22">
          <cell r="AA22" t="str">
            <v xml:space="preserve"> </v>
          </cell>
        </row>
        <row r="23">
          <cell r="A23" t="str">
            <v>Investments:</v>
          </cell>
        </row>
        <row r="24">
          <cell r="A24" t="str">
            <v>Purchase of Intangible Assets</v>
          </cell>
          <cell r="B24">
            <v>-56.6</v>
          </cell>
          <cell r="C24">
            <v>-121.1</v>
          </cell>
          <cell r="D24">
            <v>-140.9</v>
          </cell>
          <cell r="E24">
            <v>-96.6</v>
          </cell>
          <cell r="F24">
            <v>-104.2</v>
          </cell>
          <cell r="G24">
            <v>-79.7</v>
          </cell>
          <cell r="H24">
            <v>-144.19999999999999</v>
          </cell>
          <cell r="I24">
            <v>-109.6</v>
          </cell>
          <cell r="J24">
            <v>-113.98399999999999</v>
          </cell>
          <cell r="K24">
            <v>-118.54335999999999</v>
          </cell>
          <cell r="L24">
            <v>-123.28509439999999</v>
          </cell>
          <cell r="M24">
            <v>-128.21649817599999</v>
          </cell>
          <cell r="N24">
            <v>-133.34515810303998</v>
          </cell>
          <cell r="O24">
            <v>-138.67896442716159</v>
          </cell>
          <cell r="P24">
            <v>-144.22612300424805</v>
          </cell>
          <cell r="Q24">
            <v>-149.70671567840949</v>
          </cell>
          <cell r="R24">
            <v>-155.39557087418905</v>
          </cell>
          <cell r="S24">
            <v>-161.30060256740825</v>
          </cell>
          <cell r="T24">
            <v>-167.43002546496976</v>
          </cell>
          <cell r="V24">
            <v>-28.9</v>
          </cell>
          <cell r="W24">
            <v>-21.2</v>
          </cell>
          <cell r="X24">
            <v>-16.2</v>
          </cell>
          <cell r="AB24" t="str">
            <v>mstag:investmentInIntangibleAssets</v>
          </cell>
          <cell r="AC24">
            <v>6</v>
          </cell>
          <cell r="AD24" t="str">
            <v>ISO4217:EUR</v>
          </cell>
          <cell r="AE24" t="b">
            <v>1</v>
          </cell>
        </row>
        <row r="25">
          <cell r="A25" t="str">
            <v>Purchase of Tangible Fixed Assets</v>
          </cell>
          <cell r="B25">
            <v>-253.2</v>
          </cell>
          <cell r="C25">
            <v>-282.8</v>
          </cell>
          <cell r="D25">
            <v>-394.7</v>
          </cell>
          <cell r="E25">
            <v>-467.3</v>
          </cell>
          <cell r="F25">
            <v>-396.2</v>
          </cell>
          <cell r="G25">
            <v>-366.3</v>
          </cell>
          <cell r="H25">
            <v>-329.1</v>
          </cell>
          <cell r="I25">
            <v>-407</v>
          </cell>
          <cell r="J25">
            <v>-447.6265364614523</v>
          </cell>
          <cell r="K25">
            <v>-457.88815752034253</v>
          </cell>
          <cell r="L25">
            <v>-463.49256024643438</v>
          </cell>
          <cell r="M25">
            <v>-468.01173854996671</v>
          </cell>
          <cell r="N25">
            <v>-471.25621218822056</v>
          </cell>
          <cell r="O25">
            <v>-474.9080937683762</v>
          </cell>
          <cell r="P25">
            <v>-477.98316431629434</v>
          </cell>
          <cell r="Q25">
            <v>-458.25474694920007</v>
          </cell>
          <cell r="R25">
            <v>-462.50539824065766</v>
          </cell>
          <cell r="S25">
            <v>-468.00279036785514</v>
          </cell>
          <cell r="T25">
            <v>-477.17524991395265</v>
          </cell>
          <cell r="V25">
            <v>-37.5</v>
          </cell>
          <cell r="W25">
            <v>-119.7</v>
          </cell>
          <cell r="X25">
            <v>-78.099999999999994</v>
          </cell>
          <cell r="AB25" t="str">
            <v>mstag:capitalExpenditures</v>
          </cell>
          <cell r="AC25">
            <v>6</v>
          </cell>
          <cell r="AD25" t="str">
            <v>ISO4217:EUR</v>
          </cell>
          <cell r="AE25" t="b">
            <v>1</v>
          </cell>
          <cell r="AF25" t="b">
            <v>0</v>
          </cell>
        </row>
        <row r="26">
          <cell r="A26" t="str">
            <v>Acquisitions and Investments of Non-Current Financial Assets</v>
          </cell>
          <cell r="B26">
            <v>-1651.1</v>
          </cell>
          <cell r="C26">
            <v>-7318</v>
          </cell>
          <cell r="D26">
            <v>-78.2</v>
          </cell>
          <cell r="E26">
            <v>-40</v>
          </cell>
          <cell r="F26">
            <v>-4859.7</v>
          </cell>
          <cell r="G26">
            <v>-171.5</v>
          </cell>
          <cell r="H26">
            <v>-63</v>
          </cell>
          <cell r="I26">
            <v>-15.1</v>
          </cell>
          <cell r="J26">
            <v>-1830.6617647058824</v>
          </cell>
          <cell r="K26">
            <v>0</v>
          </cell>
          <cell r="L26">
            <v>0</v>
          </cell>
          <cell r="M26">
            <v>0</v>
          </cell>
          <cell r="N26">
            <v>0</v>
          </cell>
          <cell r="O26">
            <v>0</v>
          </cell>
          <cell r="P26">
            <v>0</v>
          </cell>
          <cell r="Q26">
            <v>0</v>
          </cell>
          <cell r="R26">
            <v>0</v>
          </cell>
          <cell r="S26">
            <v>0</v>
          </cell>
          <cell r="T26">
            <v>0</v>
          </cell>
          <cell r="V26">
            <v>-19.399999999999999</v>
          </cell>
          <cell r="W26">
            <v>-3.6</v>
          </cell>
          <cell r="X26">
            <v>-0.5</v>
          </cell>
          <cell r="AB26" t="str">
            <v>mstag:netDisposalsAcquisitions</v>
          </cell>
          <cell r="AC26">
            <v>6</v>
          </cell>
          <cell r="AD26" t="str">
            <v>ISO4217:EUR</v>
          </cell>
          <cell r="AE26" t="b">
            <v>0</v>
          </cell>
        </row>
        <row r="27">
          <cell r="A27" t="str">
            <v>Disposal of Non-Current Assets</v>
          </cell>
          <cell r="B27">
            <v>72.099999999999994</v>
          </cell>
          <cell r="C27">
            <v>4995.8</v>
          </cell>
          <cell r="D27">
            <v>35.700000000000003</v>
          </cell>
          <cell r="E27">
            <v>45.4</v>
          </cell>
          <cell r="F27">
            <v>54.8</v>
          </cell>
          <cell r="G27">
            <v>787.4</v>
          </cell>
          <cell r="H27">
            <v>93.6</v>
          </cell>
          <cell r="I27">
            <v>297.8</v>
          </cell>
          <cell r="J27">
            <v>0</v>
          </cell>
          <cell r="K27">
            <v>0</v>
          </cell>
          <cell r="L27">
            <v>0</v>
          </cell>
          <cell r="M27">
            <v>0</v>
          </cell>
          <cell r="N27">
            <v>0</v>
          </cell>
          <cell r="O27">
            <v>0</v>
          </cell>
          <cell r="P27">
            <v>0</v>
          </cell>
          <cell r="Q27">
            <v>0</v>
          </cell>
          <cell r="R27">
            <v>0</v>
          </cell>
          <cell r="S27">
            <v>0</v>
          </cell>
          <cell r="T27">
            <v>0</v>
          </cell>
          <cell r="V27">
            <v>8.6999999999999993</v>
          </cell>
          <cell r="W27">
            <v>251.7</v>
          </cell>
          <cell r="X27">
            <v>11.7</v>
          </cell>
          <cell r="AB27" t="str">
            <v>mstag:netDisposalsAcquisitions</v>
          </cell>
          <cell r="AC27">
            <v>6</v>
          </cell>
          <cell r="AD27" t="str">
            <v>ISO4217:EUR</v>
          </cell>
          <cell r="AE27" t="b">
            <v>0</v>
          </cell>
        </row>
        <row r="28">
          <cell r="A28" t="str">
            <v>Purchase/Sale of Marketable Securities</v>
          </cell>
          <cell r="B28">
            <v>3.7</v>
          </cell>
          <cell r="C28">
            <v>34.700000000000003</v>
          </cell>
          <cell r="D28">
            <v>-7.5</v>
          </cell>
          <cell r="E28">
            <v>-0.4</v>
          </cell>
          <cell r="F28">
            <v>0.2</v>
          </cell>
          <cell r="G28">
            <v>-4.7</v>
          </cell>
          <cell r="H28">
            <v>10.4</v>
          </cell>
          <cell r="I28">
            <v>-625.6</v>
          </cell>
          <cell r="J28">
            <v>0</v>
          </cell>
          <cell r="K28">
            <v>0</v>
          </cell>
          <cell r="L28">
            <v>0</v>
          </cell>
          <cell r="M28">
            <v>0</v>
          </cell>
          <cell r="N28">
            <v>0</v>
          </cell>
          <cell r="O28">
            <v>0</v>
          </cell>
          <cell r="P28">
            <v>0</v>
          </cell>
          <cell r="Q28">
            <v>0</v>
          </cell>
          <cell r="R28">
            <v>0</v>
          </cell>
          <cell r="S28">
            <v>0</v>
          </cell>
          <cell r="T28">
            <v>0</v>
          </cell>
          <cell r="V28">
            <v>0</v>
          </cell>
          <cell r="W28">
            <v>0</v>
          </cell>
          <cell r="X28">
            <v>0</v>
          </cell>
          <cell r="AB28" t="str">
            <v>mstag:proceedsFromSaleOfFundsUsedTopurchaseSecuritiesAndOtherInvestments</v>
          </cell>
          <cell r="AC28">
            <v>6</v>
          </cell>
          <cell r="AD28" t="str">
            <v>ISO4217:EUR</v>
          </cell>
          <cell r="AE28" t="b">
            <v>0</v>
          </cell>
        </row>
        <row r="29">
          <cell r="A29" t="str">
            <v>Changes in Financial Assets Covering Pensions</v>
          </cell>
          <cell r="B29">
            <v>0</v>
          </cell>
          <cell r="C29">
            <v>0</v>
          </cell>
          <cell r="D29">
            <v>0</v>
          </cell>
          <cell r="E29">
            <v>-201.3</v>
          </cell>
          <cell r="F29">
            <v>-8.6</v>
          </cell>
          <cell r="G29">
            <v>0</v>
          </cell>
          <cell r="H29">
            <v>0</v>
          </cell>
          <cell r="I29">
            <v>0</v>
          </cell>
          <cell r="J29">
            <v>92.529213823527471</v>
          </cell>
          <cell r="K29">
            <v>80.778435211845249</v>
          </cell>
          <cell r="L29">
            <v>85.045675348847908</v>
          </cell>
          <cell r="M29">
            <v>89.507358128131727</v>
          </cell>
          <cell r="N29">
            <v>94.171706675940641</v>
          </cell>
          <cell r="O29">
            <v>99.047276700251814</v>
          </cell>
          <cell r="P29">
            <v>104.14296955210125</v>
          </cell>
          <cell r="Q29">
            <v>109.46804578939214</v>
          </cell>
          <cell r="R29">
            <v>115.0321392622227</v>
          </cell>
          <cell r="S29">
            <v>120.84527173949346</v>
          </cell>
          <cell r="T29">
            <v>126.91786809729933</v>
          </cell>
          <cell r="V29">
            <v>0</v>
          </cell>
          <cell r="W29">
            <v>0</v>
          </cell>
          <cell r="X29">
            <v>0</v>
          </cell>
          <cell r="AB29" t="str">
            <v>mstag:netDecreaseInInvestmentsNonOperating</v>
          </cell>
          <cell r="AC29">
            <v>6</v>
          </cell>
          <cell r="AD29" t="str">
            <v>ISO4217:EUR</v>
          </cell>
          <cell r="AE29" t="b">
            <v>0</v>
          </cell>
          <cell r="AF29" t="b">
            <v>0</v>
          </cell>
        </row>
        <row r="30">
          <cell r="A30" t="str">
            <v>Changes in Other Financial Assets</v>
          </cell>
          <cell r="B30">
            <v>423.4</v>
          </cell>
          <cell r="C30">
            <v>-36.1</v>
          </cell>
          <cell r="D30">
            <v>503.9</v>
          </cell>
          <cell r="E30">
            <v>-1400.5</v>
          </cell>
          <cell r="F30">
            <v>1431.3</v>
          </cell>
          <cell r="G30">
            <v>-1061.2</v>
          </cell>
          <cell r="H30">
            <v>-725.6</v>
          </cell>
          <cell r="I30">
            <v>-15</v>
          </cell>
          <cell r="J30">
            <v>0</v>
          </cell>
          <cell r="K30">
            <v>0</v>
          </cell>
          <cell r="L30">
            <v>0</v>
          </cell>
          <cell r="M30">
            <v>0</v>
          </cell>
          <cell r="N30">
            <v>0</v>
          </cell>
          <cell r="O30">
            <v>0</v>
          </cell>
          <cell r="P30">
            <v>0</v>
          </cell>
          <cell r="Q30">
            <v>0</v>
          </cell>
          <cell r="R30">
            <v>0</v>
          </cell>
          <cell r="S30">
            <v>0</v>
          </cell>
          <cell r="T30">
            <v>0</v>
          </cell>
          <cell r="V30">
            <v>-247.2</v>
          </cell>
          <cell r="W30">
            <v>-374.8</v>
          </cell>
          <cell r="X30">
            <v>63.4</v>
          </cell>
          <cell r="AA30" t="str">
            <v xml:space="preserve"> </v>
          </cell>
          <cell r="AB30" t="str">
            <v>mstag:netDecreaseInInvestmentsNonOperating</v>
          </cell>
          <cell r="AC30">
            <v>6</v>
          </cell>
          <cell r="AD30" t="str">
            <v>ISO4217:EUR</v>
          </cell>
          <cell r="AE30" t="b">
            <v>0</v>
          </cell>
          <cell r="AF30" t="b">
            <v>0</v>
          </cell>
        </row>
        <row r="31">
          <cell r="A31" t="str">
            <v>Cash Flow from Investing Activities</v>
          </cell>
          <cell r="B31">
            <v>-1461.6999999999998</v>
          </cell>
          <cell r="C31">
            <v>-2727.4999999999995</v>
          </cell>
          <cell r="D31">
            <v>-81.700000000000045</v>
          </cell>
          <cell r="E31">
            <v>-2160.6999999999998</v>
          </cell>
          <cell r="F31">
            <v>-3882.3999999999996</v>
          </cell>
          <cell r="G31">
            <v>-896</v>
          </cell>
          <cell r="H31">
            <v>-1157.9000000000001</v>
          </cell>
          <cell r="I31">
            <v>-874.5</v>
          </cell>
          <cell r="J31">
            <v>-2299.743087343807</v>
          </cell>
          <cell r="K31">
            <v>-495.65308230849723</v>
          </cell>
          <cell r="L31">
            <v>-501.73197929758646</v>
          </cell>
          <cell r="M31">
            <v>-506.72087859783494</v>
          </cell>
          <cell r="N31">
            <v>-510.4296636153199</v>
          </cell>
          <cell r="O31">
            <v>-514.53978149528598</v>
          </cell>
          <cell r="P31">
            <v>-518.06631776844119</v>
          </cell>
          <cell r="Q31">
            <v>-498.4934168382174</v>
          </cell>
          <cell r="R31">
            <v>-502.868829852624</v>
          </cell>
          <cell r="S31">
            <v>-508.45812119576999</v>
          </cell>
          <cell r="T31">
            <v>-517.68740728162311</v>
          </cell>
          <cell r="V31">
            <v>-324.3</v>
          </cell>
          <cell r="W31">
            <v>-267.60000000000002</v>
          </cell>
          <cell r="X31">
            <v>-19.699999999999996</v>
          </cell>
        </row>
        <row r="33">
          <cell r="A33" t="str">
            <v>Financing:</v>
          </cell>
        </row>
        <row r="34">
          <cell r="A34" t="str">
            <v>Dividend Payments</v>
          </cell>
          <cell r="B34">
            <v>-49.7</v>
          </cell>
          <cell r="C34">
            <v>-77</v>
          </cell>
          <cell r="D34">
            <v>-212.5</v>
          </cell>
          <cell r="E34">
            <v>-104.8</v>
          </cell>
          <cell r="F34">
            <v>-86.1</v>
          </cell>
          <cell r="G34">
            <v>-86.8</v>
          </cell>
          <cell r="H34">
            <v>-102.6</v>
          </cell>
          <cell r="I34">
            <v>-109.9</v>
          </cell>
          <cell r="J34">
            <v>-122.7801394</v>
          </cell>
          <cell r="K34">
            <v>-128.91914636999999</v>
          </cell>
          <cell r="L34">
            <v>-135.3651036885</v>
          </cell>
          <cell r="M34">
            <v>-142.13335887292502</v>
          </cell>
          <cell r="N34">
            <v>-149.24002681657126</v>
          </cell>
          <cell r="O34">
            <v>-156.70202815739984</v>
          </cell>
          <cell r="P34">
            <v>-164.53712956526982</v>
          </cell>
          <cell r="Q34">
            <v>-172.76398604353332</v>
          </cell>
          <cell r="R34">
            <v>-181.40218534571</v>
          </cell>
          <cell r="S34">
            <v>-190.47229461299551</v>
          </cell>
          <cell r="T34">
            <v>-199.99590934364531</v>
          </cell>
          <cell r="V34">
            <v>-1.9</v>
          </cell>
          <cell r="W34">
            <v>-111</v>
          </cell>
          <cell r="X34">
            <v>-0.2</v>
          </cell>
          <cell r="AB34" t="str">
            <v>mstag:cashDividendsPaid</v>
          </cell>
          <cell r="AC34">
            <v>6</v>
          </cell>
          <cell r="AD34" t="str">
            <v>ISO4217:EUR</v>
          </cell>
          <cell r="AE34" t="b">
            <v>1</v>
          </cell>
          <cell r="AF34" t="b">
            <v>0</v>
          </cell>
        </row>
        <row r="35">
          <cell r="A35" t="str">
            <v>Issue of Ordinary Share Capital</v>
          </cell>
          <cell r="B35">
            <v>2.4</v>
          </cell>
          <cell r="C35">
            <v>2038.4</v>
          </cell>
          <cell r="D35">
            <v>0.2</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V35">
            <v>0</v>
          </cell>
          <cell r="W35">
            <v>0</v>
          </cell>
          <cell r="X35">
            <v>0</v>
          </cell>
          <cell r="AB35" t="str">
            <v>mstag:proceedsFromIssuanceOfCommonStock</v>
          </cell>
          <cell r="AC35">
            <v>6</v>
          </cell>
          <cell r="AD35" t="str">
            <v>ISO4217:EUR</v>
          </cell>
          <cell r="AE35" t="b">
            <v>0</v>
          </cell>
          <cell r="AF35" t="b">
            <v>0</v>
          </cell>
        </row>
        <row r="36">
          <cell r="A36" t="str">
            <v>Repurchase of Ordinary Share Capital</v>
          </cell>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V36">
            <v>0</v>
          </cell>
          <cell r="W36">
            <v>0</v>
          </cell>
          <cell r="X36">
            <v>0</v>
          </cell>
          <cell r="AA36" t="str">
            <v xml:space="preserve"> </v>
          </cell>
          <cell r="AB36" t="str">
            <v>mstag:fundsUsedToRepurchaseCommonStock</v>
          </cell>
          <cell r="AC36">
            <v>6</v>
          </cell>
          <cell r="AD36" t="str">
            <v>ISO4217:EUR</v>
          </cell>
          <cell r="AE36" t="b">
            <v>0</v>
          </cell>
          <cell r="AF36" t="b">
            <v>0</v>
          </cell>
        </row>
        <row r="37">
          <cell r="A37" t="str">
            <v>Profit Transfers to E. Merck KG and Changes in Reserves</v>
          </cell>
          <cell r="B37">
            <v>-229.4</v>
          </cell>
          <cell r="C37">
            <v>-535.79999999999995</v>
          </cell>
          <cell r="D37">
            <v>-239.9</v>
          </cell>
          <cell r="E37">
            <v>-177.8</v>
          </cell>
          <cell r="F37">
            <v>-261.10000000000002</v>
          </cell>
          <cell r="G37">
            <v>-326.5</v>
          </cell>
          <cell r="H37">
            <v>-304.5</v>
          </cell>
          <cell r="I37">
            <v>-308.2</v>
          </cell>
          <cell r="J37">
            <v>-323.61</v>
          </cell>
          <cell r="K37">
            <v>-339.79050000000001</v>
          </cell>
          <cell r="L37">
            <v>-356.78002500000002</v>
          </cell>
          <cell r="M37">
            <v>-374.61902625000005</v>
          </cell>
          <cell r="N37">
            <v>-393.34997756250004</v>
          </cell>
          <cell r="O37">
            <v>-413.01747644062505</v>
          </cell>
          <cell r="P37">
            <v>-433.6683502626563</v>
          </cell>
          <cell r="Q37">
            <v>-455.35176777578914</v>
          </cell>
          <cell r="R37">
            <v>-478.11935616457862</v>
          </cell>
          <cell r="S37">
            <v>-502.0253239728076</v>
          </cell>
          <cell r="T37">
            <v>-527.12659017144802</v>
          </cell>
          <cell r="V37">
            <v>-98.7</v>
          </cell>
          <cell r="W37">
            <v>-163.19999999999999</v>
          </cell>
          <cell r="X37">
            <v>-77.5</v>
          </cell>
          <cell r="AB37" t="str">
            <v>mstag:cashDividendsPaid</v>
          </cell>
          <cell r="AC37">
            <v>6</v>
          </cell>
          <cell r="AD37" t="str">
            <v>ISO4217:EUR</v>
          </cell>
          <cell r="AE37" t="b">
            <v>1</v>
          </cell>
          <cell r="AF37" t="b">
            <v>0</v>
          </cell>
        </row>
        <row r="38">
          <cell r="A38" t="str">
            <v>Changes in Liabilities to E. Merck KG</v>
          </cell>
          <cell r="B38">
            <v>-146.1</v>
          </cell>
          <cell r="C38">
            <v>396.4</v>
          </cell>
          <cell r="D38">
            <v>-291</v>
          </cell>
          <cell r="E38">
            <v>-32.6</v>
          </cell>
          <cell r="F38">
            <v>150.6</v>
          </cell>
          <cell r="G38">
            <v>77.3</v>
          </cell>
          <cell r="H38">
            <v>10.6</v>
          </cell>
          <cell r="I38">
            <v>0</v>
          </cell>
          <cell r="J38">
            <v>0</v>
          </cell>
          <cell r="K38">
            <v>0</v>
          </cell>
          <cell r="L38">
            <v>0</v>
          </cell>
          <cell r="M38">
            <v>0</v>
          </cell>
          <cell r="N38">
            <v>0</v>
          </cell>
          <cell r="O38">
            <v>0</v>
          </cell>
          <cell r="P38">
            <v>0</v>
          </cell>
          <cell r="Q38">
            <v>0</v>
          </cell>
          <cell r="R38">
            <v>0</v>
          </cell>
          <cell r="S38">
            <v>0</v>
          </cell>
          <cell r="T38">
            <v>0</v>
          </cell>
          <cell r="V38">
            <v>52.5</v>
          </cell>
          <cell r="W38">
            <v>118.5</v>
          </cell>
          <cell r="X38">
            <v>60.7</v>
          </cell>
          <cell r="AB38" t="str">
            <v>mstag:otherCashFlowsFromUsedInFinancingActivities</v>
          </cell>
          <cell r="AC38">
            <v>6</v>
          </cell>
          <cell r="AD38" t="str">
            <v>ISO4217:EUR</v>
          </cell>
          <cell r="AE38" t="b">
            <v>0</v>
          </cell>
          <cell r="AF38" t="b">
            <v>0</v>
          </cell>
        </row>
        <row r="39">
          <cell r="A39" t="str">
            <v>Bonds Issued</v>
          </cell>
          <cell r="B39">
            <v>0</v>
          </cell>
          <cell r="C39">
            <v>497.9</v>
          </cell>
          <cell r="D39">
            <v>0</v>
          </cell>
          <cell r="E39">
            <v>976.1</v>
          </cell>
          <cell r="F39">
            <v>3181.7</v>
          </cell>
          <cell r="G39">
            <v>-20.8</v>
          </cell>
          <cell r="H39">
            <v>-1000</v>
          </cell>
          <cell r="I39">
            <v>-621.20000000000005</v>
          </cell>
          <cell r="J39">
            <v>-423.08823529411768</v>
          </cell>
          <cell r="K39">
            <v>-405</v>
          </cell>
          <cell r="L39">
            <v>-135</v>
          </cell>
          <cell r="M39">
            <v>-135</v>
          </cell>
          <cell r="N39">
            <v>-135</v>
          </cell>
          <cell r="O39">
            <v>-135</v>
          </cell>
          <cell r="P39">
            <v>-135</v>
          </cell>
          <cell r="Q39">
            <v>-135</v>
          </cell>
          <cell r="R39">
            <v>-135</v>
          </cell>
          <cell r="S39">
            <v>-135</v>
          </cell>
          <cell r="T39">
            <v>-135</v>
          </cell>
          <cell r="V39">
            <v>0</v>
          </cell>
          <cell r="W39">
            <v>0</v>
          </cell>
          <cell r="X39">
            <v>0</v>
          </cell>
          <cell r="AB39" t="str">
            <v>mstag:proceedsFromIssuanceAndCashUsedToRepayLongTermDebt</v>
          </cell>
          <cell r="AC39">
            <v>6</v>
          </cell>
          <cell r="AD39" t="str">
            <v>ISO4217:EUR</v>
          </cell>
          <cell r="AE39" t="b">
            <v>0</v>
          </cell>
          <cell r="AF39" t="b">
            <v>0</v>
          </cell>
        </row>
        <row r="40">
          <cell r="A40" t="str">
            <v>Changes in Current and Non-Current Financial Liabilities</v>
          </cell>
          <cell r="B40">
            <v>227.3</v>
          </cell>
          <cell r="C40">
            <v>-827.1</v>
          </cell>
          <cell r="D40">
            <v>76.5</v>
          </cell>
          <cell r="E40">
            <v>-23.7</v>
          </cell>
          <cell r="F40">
            <v>-447.6</v>
          </cell>
          <cell r="G40">
            <v>-27.3</v>
          </cell>
          <cell r="H40">
            <v>-122.9</v>
          </cell>
          <cell r="I40">
            <v>-33.400000000000006</v>
          </cell>
          <cell r="J40">
            <v>18.088235294117624</v>
          </cell>
          <cell r="K40">
            <v>0</v>
          </cell>
          <cell r="L40">
            <v>0</v>
          </cell>
          <cell r="M40">
            <v>0</v>
          </cell>
          <cell r="N40">
            <v>0</v>
          </cell>
          <cell r="O40">
            <v>0</v>
          </cell>
          <cell r="P40">
            <v>0</v>
          </cell>
          <cell r="Q40">
            <v>0</v>
          </cell>
          <cell r="R40">
            <v>0</v>
          </cell>
          <cell r="S40">
            <v>0</v>
          </cell>
          <cell r="T40">
            <v>0</v>
          </cell>
          <cell r="V40">
            <v>-58.6</v>
          </cell>
          <cell r="W40">
            <v>40.700000000000003</v>
          </cell>
          <cell r="X40">
            <v>-727.7</v>
          </cell>
          <cell r="AB40" t="str">
            <v>mstag:proceedsFromIssuanceAndCashUsedToRepayShortTermBorrowings</v>
          </cell>
          <cell r="AC40">
            <v>6</v>
          </cell>
          <cell r="AD40" t="str">
            <v>ISO4217:EUR</v>
          </cell>
          <cell r="AE40" t="b">
            <v>0</v>
          </cell>
          <cell r="AF40" t="b">
            <v>0</v>
          </cell>
        </row>
        <row r="41">
          <cell r="A41" t="str">
            <v>Cash Flow from Financing Activities</v>
          </cell>
          <cell r="B41">
            <v>-195.49999999999994</v>
          </cell>
          <cell r="C41">
            <v>1492.8000000000002</v>
          </cell>
          <cell r="D41">
            <v>-666.7</v>
          </cell>
          <cell r="E41">
            <v>637.19999999999993</v>
          </cell>
          <cell r="F41">
            <v>2537.5</v>
          </cell>
          <cell r="G41">
            <v>-384.1</v>
          </cell>
          <cell r="H41">
            <v>-1519.4</v>
          </cell>
          <cell r="I41">
            <v>-1072.7000000000003</v>
          </cell>
          <cell r="J41">
            <v>-851.39013940000018</v>
          </cell>
          <cell r="K41">
            <v>-873.70964636999997</v>
          </cell>
          <cell r="L41">
            <v>-627.14512868849999</v>
          </cell>
          <cell r="M41">
            <v>-651.75238512292503</v>
          </cell>
          <cell r="N41">
            <v>-677.59000437907127</v>
          </cell>
          <cell r="O41">
            <v>-704.71950459802486</v>
          </cell>
          <cell r="P41">
            <v>-733.20547982792618</v>
          </cell>
          <cell r="Q41">
            <v>-763.11575381932244</v>
          </cell>
          <cell r="R41">
            <v>-794.52154151028867</v>
          </cell>
          <cell r="S41">
            <v>-827.49761858580314</v>
          </cell>
          <cell r="T41">
            <v>-862.1224995150933</v>
          </cell>
          <cell r="V41">
            <v>-106.70000000000002</v>
          </cell>
          <cell r="W41">
            <v>-114.99999999999999</v>
          </cell>
          <cell r="X41">
            <v>-744.7</v>
          </cell>
        </row>
        <row r="42">
          <cell r="A42" t="str">
            <v xml:space="preserve"> </v>
          </cell>
        </row>
        <row r="43">
          <cell r="A43" t="str">
            <v>Net Cash Flow</v>
          </cell>
          <cell r="B43">
            <v>-845.49999999999977</v>
          </cell>
          <cell r="C43">
            <v>-16.399999999999181</v>
          </cell>
          <cell r="D43">
            <v>275.59999999999968</v>
          </cell>
          <cell r="E43">
            <v>-152.19999999999982</v>
          </cell>
          <cell r="F43">
            <v>437.7000000000005</v>
          </cell>
          <cell r="G43">
            <v>-8.9000000000003183</v>
          </cell>
          <cell r="H43">
            <v>-205.10000000000036</v>
          </cell>
          <cell r="I43">
            <v>278.29999999999927</v>
          </cell>
          <cell r="J43">
            <v>-740.09981931076436</v>
          </cell>
          <cell r="K43">
            <v>1178.0146661080066</v>
          </cell>
          <cell r="L43">
            <v>1638.5142034062644</v>
          </cell>
          <cell r="M43">
            <v>1598.5692981112861</v>
          </cell>
          <cell r="N43">
            <v>1547.1531894535638</v>
          </cell>
          <cell r="O43">
            <v>1508.25349865416</v>
          </cell>
          <cell r="P43">
            <v>1476.874709562459</v>
          </cell>
          <cell r="Q43">
            <v>1436.9311491299395</v>
          </cell>
          <cell r="R43">
            <v>1418.5050019977687</v>
          </cell>
          <cell r="S43">
            <v>1456.8551226876436</v>
          </cell>
          <cell r="T43">
            <v>1393.3960213959485</v>
          </cell>
          <cell r="V43">
            <v>84.700000000000045</v>
          </cell>
          <cell r="W43">
            <v>59.900000000000091</v>
          </cell>
          <cell r="X43">
            <v>62.399999999999864</v>
          </cell>
        </row>
        <row r="44">
          <cell r="A44" t="str">
            <v>Changes in Cash and Cash Equivalents due to Currency Translation</v>
          </cell>
          <cell r="B44">
            <v>-16.100000000000001</v>
          </cell>
          <cell r="C44">
            <v>-17.100000000000001</v>
          </cell>
          <cell r="D44">
            <v>-9.5</v>
          </cell>
          <cell r="E44">
            <v>0.9</v>
          </cell>
          <cell r="F44">
            <v>-35.400000000000006</v>
          </cell>
          <cell r="G44">
            <v>3</v>
          </cell>
          <cell r="H44">
            <v>-3</v>
          </cell>
          <cell r="I44">
            <v>-27.2</v>
          </cell>
          <cell r="J44">
            <v>0</v>
          </cell>
          <cell r="K44">
            <v>0</v>
          </cell>
          <cell r="L44">
            <v>0</v>
          </cell>
          <cell r="M44">
            <v>0</v>
          </cell>
          <cell r="N44">
            <v>0</v>
          </cell>
          <cell r="O44">
            <v>0</v>
          </cell>
          <cell r="P44">
            <v>0</v>
          </cell>
          <cell r="Q44">
            <v>0</v>
          </cell>
          <cell r="R44">
            <v>0</v>
          </cell>
          <cell r="S44">
            <v>0</v>
          </cell>
          <cell r="T44">
            <v>0</v>
          </cell>
          <cell r="V44">
            <v>-0.4</v>
          </cell>
          <cell r="W44">
            <v>-9.4</v>
          </cell>
          <cell r="X44">
            <v>-11.6</v>
          </cell>
          <cell r="AB44" t="str">
            <v>mstag:effectOfForeignExchangeRatesOnCash</v>
          </cell>
          <cell r="AC44">
            <v>6</v>
          </cell>
          <cell r="AD44" t="str">
            <v>ISO4217:EUR</v>
          </cell>
          <cell r="AE44" t="b">
            <v>0</v>
          </cell>
          <cell r="AF44" t="b">
            <v>0</v>
          </cell>
        </row>
        <row r="45">
          <cell r="A45" t="str">
            <v>Net Cash Flow for the Year</v>
          </cell>
          <cell r="B45">
            <v>-861.5999999999998</v>
          </cell>
          <cell r="C45">
            <v>-33.499999999999183</v>
          </cell>
          <cell r="D45">
            <v>266.09999999999968</v>
          </cell>
          <cell r="E45">
            <v>-151.29999999999981</v>
          </cell>
          <cell r="F45">
            <v>402.30000000000052</v>
          </cell>
          <cell r="G45">
            <v>-5.9000000000003183</v>
          </cell>
          <cell r="H45">
            <v>-208.10000000000036</v>
          </cell>
          <cell r="I45">
            <v>251.09999999999928</v>
          </cell>
          <cell r="J45">
            <v>-740.09981931076436</v>
          </cell>
          <cell r="K45">
            <v>1178.0146661080066</v>
          </cell>
          <cell r="L45">
            <v>1638.5142034062644</v>
          </cell>
          <cell r="M45">
            <v>1598.5692981112861</v>
          </cell>
          <cell r="N45">
            <v>1547.1531894535638</v>
          </cell>
          <cell r="O45">
            <v>1508.25349865416</v>
          </cell>
          <cell r="P45">
            <v>1476.874709562459</v>
          </cell>
          <cell r="Q45">
            <v>1436.9311491299395</v>
          </cell>
          <cell r="R45">
            <v>1418.5050019977687</v>
          </cell>
          <cell r="S45">
            <v>1456.8551226876436</v>
          </cell>
          <cell r="T45">
            <v>1393.3960213959485</v>
          </cell>
          <cell r="V45">
            <v>84.30000000000004</v>
          </cell>
          <cell r="W45">
            <v>50.500000000000092</v>
          </cell>
          <cell r="X45">
            <v>50.799999999999862</v>
          </cell>
        </row>
        <row r="46">
          <cell r="A46" t="str">
            <v xml:space="preserve">     Cash Conversion (as percentage of Net Income)</v>
          </cell>
          <cell r="B46">
            <v>-0.87596583977226594</v>
          </cell>
          <cell r="C46">
            <v>-9.570425601380125E-3</v>
          </cell>
          <cell r="D46">
            <v>0.72504207592525372</v>
          </cell>
          <cell r="E46">
            <v>-0.41279924774609195</v>
          </cell>
          <cell r="F46">
            <v>0.63663477629514875</v>
          </cell>
          <cell r="G46">
            <v>-9.7170252358791554E-3</v>
          </cell>
          <cell r="H46">
            <v>-0.36727850335333556</v>
          </cell>
          <cell r="I46">
            <v>0.20888445220863422</v>
          </cell>
          <cell r="J46">
            <v>-0.72193178209949971</v>
          </cell>
          <cell r="K46">
            <v>0.91679342346780623</v>
          </cell>
          <cell r="L46">
            <v>1.1147603634323442</v>
          </cell>
          <cell r="M46">
            <v>1.0880992334998676</v>
          </cell>
          <cell r="N46">
            <v>0.88665271287694936</v>
          </cell>
          <cell r="O46">
            <v>0.87055347344081879</v>
          </cell>
          <cell r="P46">
            <v>0.85896037919744184</v>
          </cell>
          <cell r="Q46">
            <v>0.84449993801992962</v>
          </cell>
          <cell r="R46">
            <v>0.83535628727254008</v>
          </cell>
          <cell r="S46">
            <v>0.85458284276335139</v>
          </cell>
          <cell r="T46">
            <v>0.79455849612803708</v>
          </cell>
          <cell r="V46">
            <v>4.902945354639919E-2</v>
          </cell>
          <cell r="W46">
            <v>2.9679394796215113E-2</v>
          </cell>
          <cell r="X46">
            <v>0.14958775029446367</v>
          </cell>
        </row>
        <row r="49">
          <cell r="A49" t="str">
            <v>Cash, Beginning of Year</v>
          </cell>
          <cell r="B49">
            <v>1321.7</v>
          </cell>
          <cell r="C49">
            <v>460.10000000000025</v>
          </cell>
          <cell r="D49">
            <v>426.60000000000105</v>
          </cell>
          <cell r="E49">
            <v>692.70000000000073</v>
          </cell>
          <cell r="F49">
            <v>541.40000000000089</v>
          </cell>
          <cell r="G49">
            <v>943.70000000000141</v>
          </cell>
          <cell r="H49">
            <v>937.80000000000109</v>
          </cell>
          <cell r="I49">
            <v>729.70000000000073</v>
          </cell>
          <cell r="J49">
            <v>980.8</v>
          </cell>
          <cell r="K49">
            <v>240.70018068923559</v>
          </cell>
          <cell r="L49">
            <v>1418.7148467972422</v>
          </cell>
          <cell r="M49">
            <v>3057.2290502035066</v>
          </cell>
          <cell r="N49">
            <v>4655.7983483147927</v>
          </cell>
          <cell r="O49">
            <v>6202.9515377683565</v>
          </cell>
          <cell r="P49">
            <v>7711.2050364225161</v>
          </cell>
          <cell r="Q49">
            <v>9188.0797459849746</v>
          </cell>
          <cell r="R49">
            <v>10625.010895114914</v>
          </cell>
          <cell r="S49">
            <v>12043.515897112682</v>
          </cell>
          <cell r="T49">
            <v>13500.371019800326</v>
          </cell>
          <cell r="V49">
            <v>729.7</v>
          </cell>
          <cell r="W49">
            <v>0</v>
          </cell>
        </row>
        <row r="50">
          <cell r="A50" t="str">
            <v>Cash, End of Year</v>
          </cell>
          <cell r="B50">
            <v>460.10000000000025</v>
          </cell>
          <cell r="C50">
            <v>426.60000000000105</v>
          </cell>
          <cell r="D50">
            <v>692.70000000000073</v>
          </cell>
          <cell r="E50">
            <v>541.40000000000089</v>
          </cell>
          <cell r="F50">
            <v>943.70000000000141</v>
          </cell>
          <cell r="G50">
            <v>937.80000000000109</v>
          </cell>
          <cell r="H50">
            <v>729.70000000000073</v>
          </cell>
          <cell r="I50">
            <v>980.8</v>
          </cell>
          <cell r="J50">
            <v>240.70018068923559</v>
          </cell>
          <cell r="K50">
            <v>1418.7148467972422</v>
          </cell>
          <cell r="L50">
            <v>3057.2290502035066</v>
          </cell>
          <cell r="M50">
            <v>4655.7983483147927</v>
          </cell>
          <cell r="N50">
            <v>6202.9515377683565</v>
          </cell>
          <cell r="O50">
            <v>7711.2050364225161</v>
          </cell>
          <cell r="P50">
            <v>9188.0797459849746</v>
          </cell>
          <cell r="Q50">
            <v>10625.010895114914</v>
          </cell>
          <cell r="R50">
            <v>12043.515897112682</v>
          </cell>
          <cell r="S50">
            <v>13500.371019800326</v>
          </cell>
          <cell r="T50">
            <v>14893.767041196275</v>
          </cell>
          <cell r="V50">
            <v>814.00000000000011</v>
          </cell>
          <cell r="W50">
            <v>50.500000000000092</v>
          </cell>
        </row>
        <row r="51">
          <cell r="A51" t="str">
            <v>Check</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3">
          <cell r="A53" t="str">
            <v>Notes:</v>
          </cell>
        </row>
        <row r="54">
          <cell r="A54" t="str">
            <v>E= Morgan Stanley Research Estimates</v>
          </cell>
        </row>
        <row r="55">
          <cell r="A55" t="str">
            <v>Source: Morgan Stanley Research</v>
          </cell>
        </row>
        <row r="57">
          <cell r="A57" t="str">
            <v>Common Dividends</v>
          </cell>
          <cell r="B57">
            <v>-279.10000000000002</v>
          </cell>
          <cell r="C57">
            <v>-612.79999999999995</v>
          </cell>
          <cell r="D57">
            <v>-452.4</v>
          </cell>
          <cell r="E57">
            <v>-282.60000000000002</v>
          </cell>
          <cell r="F57">
            <v>-347.20000000000005</v>
          </cell>
          <cell r="G57">
            <v>-413.3</v>
          </cell>
          <cell r="H57">
            <v>-407.1</v>
          </cell>
          <cell r="I57">
            <v>-418.1</v>
          </cell>
          <cell r="J57">
            <v>-446.39013940000001</v>
          </cell>
          <cell r="K57">
            <v>-468.70964636999997</v>
          </cell>
          <cell r="L57">
            <v>-492.14512868849999</v>
          </cell>
          <cell r="M57">
            <v>-516.75238512292503</v>
          </cell>
          <cell r="N57">
            <v>-542.59000437907127</v>
          </cell>
          <cell r="O57">
            <v>-569.71950459802486</v>
          </cell>
          <cell r="P57">
            <v>-598.20547982792618</v>
          </cell>
          <cell r="Q57">
            <v>-628.11575381932244</v>
          </cell>
          <cell r="R57">
            <v>-659.52154151028867</v>
          </cell>
          <cell r="S57">
            <v>-692.49761858580314</v>
          </cell>
          <cell r="T57">
            <v>-727.1224995150933</v>
          </cell>
          <cell r="V57">
            <v>-100.60000000000001</v>
          </cell>
          <cell r="W57">
            <v>-274.2</v>
          </cell>
          <cell r="X57">
            <v>-77.7</v>
          </cell>
          <cell r="AB57" t="str">
            <v>mstag:commonDividends</v>
          </cell>
          <cell r="AC57">
            <v>6</v>
          </cell>
          <cell r="AD57" t="str">
            <v>ISO4217:EUR</v>
          </cell>
          <cell r="AE57" t="b">
            <v>1</v>
          </cell>
          <cell r="AF57" t="b">
            <v>0</v>
          </cell>
        </row>
        <row r="58">
          <cell r="A58" t="str">
            <v>Cash Flow from Discont ops</v>
          </cell>
          <cell r="B58">
            <v>117.80000000000001</v>
          </cell>
          <cell r="C58">
            <v>4826.9999999999991</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V58">
            <v>0</v>
          </cell>
          <cell r="W58">
            <v>0</v>
          </cell>
          <cell r="X58">
            <v>0</v>
          </cell>
        </row>
        <row r="61">
          <cell r="A61" t="str">
            <v>Company reported</v>
          </cell>
        </row>
        <row r="63">
          <cell r="A63" t="str">
            <v>Free cash flow</v>
          </cell>
          <cell r="B63">
            <v>-1073.3999999999999</v>
          </cell>
          <cell r="C63">
            <v>-1473.0999999999992</v>
          </cell>
          <cell r="D63">
            <v>438.39999999999981</v>
          </cell>
          <cell r="E63">
            <v>812.40000000000032</v>
          </cell>
          <cell r="F63">
            <v>-3522.5</v>
          </cell>
          <cell r="G63">
            <v>1436.3999999999994</v>
          </cell>
          <cell r="H63">
            <v>2039.9</v>
          </cell>
          <cell r="I63">
            <v>1365.9999999999995</v>
          </cell>
          <cell r="J63">
            <v>18.761106265708349</v>
          </cell>
          <cell r="K63">
            <v>1970.9458772661612</v>
          </cell>
          <cell r="L63">
            <v>2180.6136567459162</v>
          </cell>
          <cell r="M63">
            <v>2160.8143251060792</v>
          </cell>
          <cell r="N63">
            <v>2130.5714871566943</v>
          </cell>
          <cell r="O63">
            <v>2113.9257265519332</v>
          </cell>
          <cell r="P63">
            <v>2105.9372198382839</v>
          </cell>
          <cell r="Q63">
            <v>2090.5788571598696</v>
          </cell>
          <cell r="R63">
            <v>2097.9944042458346</v>
          </cell>
          <cell r="S63">
            <v>2163.5074695339536</v>
          </cell>
          <cell r="T63">
            <v>2128.6006528137427</v>
          </cell>
          <cell r="V63">
            <v>438.60000000000008</v>
          </cell>
          <cell r="W63">
            <v>549.70000000000005</v>
          </cell>
          <cell r="X63">
            <v>743.69999999999993</v>
          </cell>
        </row>
        <row r="64">
          <cell r="A64" t="str">
            <v>Acquisitions</v>
          </cell>
          <cell r="B64">
            <v>1650</v>
          </cell>
          <cell r="C64">
            <v>2450.7999999999993</v>
          </cell>
          <cell r="D64">
            <v>51.9</v>
          </cell>
          <cell r="E64">
            <v>23.5</v>
          </cell>
          <cell r="F64">
            <v>4941.8999999999996</v>
          </cell>
          <cell r="G64">
            <v>168.1</v>
          </cell>
          <cell r="H64">
            <v>20.6</v>
          </cell>
          <cell r="I64">
            <v>0</v>
          </cell>
          <cell r="J64">
            <v>0</v>
          </cell>
          <cell r="K64">
            <v>0</v>
          </cell>
          <cell r="L64">
            <v>0</v>
          </cell>
          <cell r="M64">
            <v>0</v>
          </cell>
          <cell r="N64">
            <v>0</v>
          </cell>
          <cell r="O64">
            <v>0</v>
          </cell>
          <cell r="P64">
            <v>0</v>
          </cell>
          <cell r="Q64">
            <v>0</v>
          </cell>
          <cell r="R64">
            <v>0</v>
          </cell>
          <cell r="S64">
            <v>0</v>
          </cell>
          <cell r="T64">
            <v>0</v>
          </cell>
          <cell r="V64">
            <v>0</v>
          </cell>
          <cell r="W64">
            <v>0</v>
          </cell>
          <cell r="X64">
            <v>0</v>
          </cell>
        </row>
        <row r="65">
          <cell r="A65" t="str">
            <v>Payments related to divestments</v>
          </cell>
          <cell r="B65">
            <v>0</v>
          </cell>
          <cell r="C65">
            <v>0</v>
          </cell>
          <cell r="D65">
            <v>111</v>
          </cell>
          <cell r="E65">
            <v>15.7</v>
          </cell>
          <cell r="F65">
            <v>250.4</v>
          </cell>
          <cell r="G65">
            <v>-209.90000000000003</v>
          </cell>
          <cell r="H65">
            <v>0</v>
          </cell>
          <cell r="I65">
            <v>0</v>
          </cell>
          <cell r="J65">
            <v>0</v>
          </cell>
          <cell r="K65">
            <v>0</v>
          </cell>
          <cell r="L65">
            <v>0</v>
          </cell>
          <cell r="M65">
            <v>0</v>
          </cell>
          <cell r="N65">
            <v>0</v>
          </cell>
          <cell r="O65">
            <v>0</v>
          </cell>
          <cell r="P65">
            <v>0</v>
          </cell>
          <cell r="Q65">
            <v>0</v>
          </cell>
          <cell r="R65">
            <v>0</v>
          </cell>
          <cell r="S65">
            <v>0</v>
          </cell>
          <cell r="T65">
            <v>0</v>
          </cell>
          <cell r="V65">
            <v>0</v>
          </cell>
          <cell r="W65">
            <v>0</v>
          </cell>
          <cell r="X65">
            <v>0</v>
          </cell>
        </row>
        <row r="66">
          <cell r="A66" t="str">
            <v>Underlying free cash flow</v>
          </cell>
          <cell r="B66">
            <v>576.6</v>
          </cell>
          <cell r="C66">
            <v>977.7</v>
          </cell>
          <cell r="D66">
            <v>601.29999999999973</v>
          </cell>
          <cell r="E66">
            <v>851.60000000000036</v>
          </cell>
          <cell r="F66">
            <v>1669.7999999999997</v>
          </cell>
          <cell r="G66">
            <v>1394.5999999999992</v>
          </cell>
          <cell r="H66">
            <v>2060.5</v>
          </cell>
          <cell r="I66">
            <v>1365.9999999999995</v>
          </cell>
          <cell r="J66">
            <v>18.761106265708349</v>
          </cell>
          <cell r="K66">
            <v>1970.9458772661612</v>
          </cell>
          <cell r="L66">
            <v>2180.6136567459162</v>
          </cell>
          <cell r="M66">
            <v>2160.8143251060792</v>
          </cell>
          <cell r="N66">
            <v>2130.5714871566943</v>
          </cell>
          <cell r="O66">
            <v>2113.9257265519332</v>
          </cell>
          <cell r="P66">
            <v>2105.9372198382839</v>
          </cell>
          <cell r="Q66">
            <v>2090.5788571598696</v>
          </cell>
          <cell r="R66">
            <v>2097.9944042458346</v>
          </cell>
          <cell r="S66">
            <v>2163.5074695339536</v>
          </cell>
          <cell r="T66">
            <v>2128.6006528137427</v>
          </cell>
          <cell r="V66">
            <v>438.60000000000008</v>
          </cell>
          <cell r="W66">
            <v>549.70000000000005</v>
          </cell>
          <cell r="X66">
            <v>743.69999999999993</v>
          </cell>
        </row>
        <row r="68">
          <cell r="A68" t="str">
            <v>Free Cash Flow to Firm Calculation</v>
          </cell>
        </row>
        <row r="69">
          <cell r="A69" t="str">
            <v>EBIT</v>
          </cell>
          <cell r="B69">
            <v>1031.2</v>
          </cell>
          <cell r="C69">
            <v>200.4</v>
          </cell>
          <cell r="D69">
            <v>731.4</v>
          </cell>
          <cell r="E69">
            <v>648.9</v>
          </cell>
          <cell r="F69">
            <v>1113.5</v>
          </cell>
          <cell r="G69">
            <v>1132.0999999999999</v>
          </cell>
          <cell r="H69">
            <v>963.6</v>
          </cell>
          <cell r="I69">
            <v>1610.8</v>
          </cell>
          <cell r="J69">
            <v>1800.2928652701498</v>
          </cell>
          <cell r="K69">
            <v>2096.9652574224406</v>
          </cell>
          <cell r="L69">
            <v>2292.0063416404205</v>
          </cell>
          <cell r="M69">
            <v>2240.0677200963319</v>
          </cell>
          <cell r="N69">
            <v>2455.0767503018701</v>
          </cell>
          <cell r="O69">
            <v>2392.1657265141898</v>
          </cell>
          <cell r="P69">
            <v>2329.1288860120744</v>
          </cell>
          <cell r="Q69">
            <v>2261.4665104548976</v>
          </cell>
          <cell r="R69">
            <v>2213.7572385827839</v>
          </cell>
          <cell r="S69">
            <v>2179.2854412286997</v>
          </cell>
          <cell r="T69">
            <v>2202.9257371211565</v>
          </cell>
          <cell r="V69">
            <v>399.5</v>
          </cell>
          <cell r="W69">
            <v>465.3000000000003</v>
          </cell>
        </row>
        <row r="70">
          <cell r="A70" t="str">
            <v>Depreciation and Amortization</v>
          </cell>
          <cell r="B70">
            <v>303</v>
          </cell>
          <cell r="C70">
            <v>923.6</v>
          </cell>
          <cell r="D70">
            <v>1215.3</v>
          </cell>
          <cell r="E70">
            <v>1003.8</v>
          </cell>
          <cell r="F70">
            <v>1257.9000000000001</v>
          </cell>
          <cell r="G70">
            <v>1597.4</v>
          </cell>
          <cell r="H70">
            <v>1396.6</v>
          </cell>
          <cell r="I70">
            <v>1458.4</v>
          </cell>
          <cell r="J70">
            <v>1396.6069515298746</v>
          </cell>
          <cell r="K70">
            <v>1308.5708305299859</v>
          </cell>
          <cell r="L70">
            <v>1311.4100165566877</v>
          </cell>
          <cell r="M70">
            <v>1309.5843434868625</v>
          </cell>
          <cell r="N70">
            <v>999.72593755124467</v>
          </cell>
          <cell r="O70">
            <v>1005.9460953252292</v>
          </cell>
          <cell r="P70">
            <v>1010.798903789801</v>
          </cell>
          <cell r="Q70">
            <v>1018.5966568800961</v>
          </cell>
          <cell r="R70">
            <v>1026.5323222143245</v>
          </cell>
          <cell r="S70">
            <v>1037.4051896229864</v>
          </cell>
          <cell r="T70">
            <v>1057.0416812075782</v>
          </cell>
          <cell r="V70">
            <v>354.3</v>
          </cell>
          <cell r="W70">
            <v>327.7</v>
          </cell>
        </row>
        <row r="71">
          <cell r="A71" t="str">
            <v>EBITDA</v>
          </cell>
          <cell r="B71">
            <v>1334.2</v>
          </cell>
          <cell r="C71">
            <v>1124</v>
          </cell>
          <cell r="D71">
            <v>1946.6999999999998</v>
          </cell>
          <cell r="E71">
            <v>1652.6999999999998</v>
          </cell>
          <cell r="F71">
            <v>2371.4</v>
          </cell>
          <cell r="G71">
            <v>2729.5</v>
          </cell>
          <cell r="H71">
            <v>2360.1999999999998</v>
          </cell>
          <cell r="I71">
            <v>3069.2</v>
          </cell>
          <cell r="J71">
            <v>3196.8998168000244</v>
          </cell>
          <cell r="K71">
            <v>3405.5360879524264</v>
          </cell>
          <cell r="L71">
            <v>3603.4163581971079</v>
          </cell>
          <cell r="M71">
            <v>3549.6520635831944</v>
          </cell>
          <cell r="N71">
            <v>3454.8026878531145</v>
          </cell>
          <cell r="O71">
            <v>3398.111821839419</v>
          </cell>
          <cell r="P71">
            <v>3339.9277898018754</v>
          </cell>
          <cell r="Q71">
            <v>3280.0631673349935</v>
          </cell>
          <cell r="R71">
            <v>3240.2895607971086</v>
          </cell>
          <cell r="S71">
            <v>3216.6906308516864</v>
          </cell>
          <cell r="T71">
            <v>3259.9674183287348</v>
          </cell>
          <cell r="V71">
            <v>753.8</v>
          </cell>
          <cell r="W71">
            <v>793.00000000000023</v>
          </cell>
        </row>
        <row r="72">
          <cell r="A72" t="str">
            <v>Tax Rate</v>
          </cell>
          <cell r="B72">
            <v>0.25803440458727872</v>
          </cell>
          <cell r="C72">
            <v>0.28132512566544443</v>
          </cell>
          <cell r="D72">
            <v>0.25766396886798099</v>
          </cell>
          <cell r="E72">
            <v>0.15926964790457676</v>
          </cell>
          <cell r="F72">
            <v>0.19154729722335523</v>
          </cell>
          <cell r="G72">
            <v>0.25505867206564353</v>
          </cell>
          <cell r="H72">
            <v>0.25505547602004297</v>
          </cell>
          <cell r="I72">
            <v>0.25497589799409104</v>
          </cell>
          <cell r="J72">
            <v>0.24149999999999999</v>
          </cell>
          <cell r="K72">
            <v>0.24149999999999999</v>
          </cell>
          <cell r="L72">
            <v>0.24149999999999999</v>
          </cell>
          <cell r="M72">
            <v>0.24149999999999999</v>
          </cell>
          <cell r="N72">
            <v>0.24149999999999999</v>
          </cell>
          <cell r="O72">
            <v>0.24149999999999999</v>
          </cell>
          <cell r="P72">
            <v>0.24149999999999999</v>
          </cell>
          <cell r="Q72">
            <v>0.24149999999999999</v>
          </cell>
          <cell r="R72">
            <v>0.24149999999999999</v>
          </cell>
          <cell r="S72">
            <v>0.24149999999999999</v>
          </cell>
          <cell r="T72">
            <v>0.24149999999999999</v>
          </cell>
          <cell r="V72">
            <v>0.25495887760038705</v>
          </cell>
          <cell r="W72">
            <v>0.25503864221851802</v>
          </cell>
        </row>
        <row r="73">
          <cell r="A73" t="str">
            <v>NOPLAT</v>
          </cell>
          <cell r="B73">
            <v>989.93049739965284</v>
          </cell>
          <cell r="C73">
            <v>807.79055875204051</v>
          </cell>
          <cell r="D73">
            <v>1445.1055518047015</v>
          </cell>
          <cell r="E73">
            <v>1389.4750529081059</v>
          </cell>
          <cell r="F73">
            <v>1917.1647393645355</v>
          </cell>
          <cell r="G73">
            <v>2033.3173545968259</v>
          </cell>
          <cell r="H73">
            <v>1758.2180654974945</v>
          </cell>
          <cell r="I73">
            <v>2286.6279738765356</v>
          </cell>
          <cell r="J73">
            <v>2424.8485110428182</v>
          </cell>
          <cell r="K73">
            <v>2583.0991227119152</v>
          </cell>
          <cell r="L73">
            <v>2733.1913076925061</v>
          </cell>
          <cell r="M73">
            <v>2692.4110902278526</v>
          </cell>
          <cell r="N73">
            <v>2620.4678387365871</v>
          </cell>
          <cell r="O73">
            <v>2577.467816865199</v>
          </cell>
          <cell r="P73">
            <v>2533.3352285647225</v>
          </cell>
          <cell r="Q73">
            <v>2487.9279124235923</v>
          </cell>
          <cell r="R73">
            <v>2457.7596318646069</v>
          </cell>
          <cell r="S73">
            <v>2439.859843501004</v>
          </cell>
          <cell r="T73">
            <v>2472.6852868023452</v>
          </cell>
          <cell r="V73">
            <v>561.61199806482819</v>
          </cell>
          <cell r="W73">
            <v>590.75435672071535</v>
          </cell>
        </row>
        <row r="74">
          <cell r="A74" t="str">
            <v>Increase in Working Capital</v>
          </cell>
          <cell r="B74">
            <v>-142.19999999999999</v>
          </cell>
          <cell r="C74">
            <v>-138.70000000000005</v>
          </cell>
          <cell r="D74">
            <v>-375.3</v>
          </cell>
          <cell r="E74">
            <v>182.60000000000002</v>
          </cell>
          <cell r="F74">
            <v>-105.1</v>
          </cell>
          <cell r="G74">
            <v>-617</v>
          </cell>
          <cell r="H74">
            <v>904.2</v>
          </cell>
          <cell r="I74">
            <v>-178.20000000000002</v>
          </cell>
          <cell r="J74">
            <v>-17.833508448781686</v>
          </cell>
          <cell r="K74">
            <v>-53.52112864863625</v>
          </cell>
          <cell r="L74">
            <v>-21.875489685999582</v>
          </cell>
          <cell r="M74">
            <v>-29.637588630941536</v>
          </cell>
          <cell r="N74">
            <v>-17.313048034438225</v>
          </cell>
          <cell r="O74">
            <v>-18.74241352155741</v>
          </cell>
          <cell r="P74">
            <v>-9.7718082552241867</v>
          </cell>
          <cell r="Q74">
            <v>-29.265393549777855</v>
          </cell>
          <cell r="R74">
            <v>-16.411053562719644</v>
          </cell>
          <cell r="S74">
            <v>42.92316108487239</v>
          </cell>
          <cell r="T74">
            <v>-45.442775203124256</v>
          </cell>
          <cell r="V74">
            <v>-194.7</v>
          </cell>
          <cell r="W74">
            <v>53.800000000000011</v>
          </cell>
        </row>
        <row r="75">
          <cell r="A75" t="str">
            <v>CAPEX</v>
          </cell>
          <cell r="B75">
            <v>-309.8</v>
          </cell>
          <cell r="C75">
            <v>-403.9</v>
          </cell>
          <cell r="D75">
            <v>-535.6</v>
          </cell>
          <cell r="E75">
            <v>-563.9</v>
          </cell>
          <cell r="F75">
            <v>-500.4</v>
          </cell>
          <cell r="G75">
            <v>-446</v>
          </cell>
          <cell r="H75">
            <v>-473.3</v>
          </cell>
          <cell r="I75">
            <v>-516.6</v>
          </cell>
          <cell r="J75">
            <v>-561.61053646145228</v>
          </cell>
          <cell r="K75">
            <v>-576.43151752034248</v>
          </cell>
          <cell r="L75">
            <v>-586.77765464643437</v>
          </cell>
          <cell r="M75">
            <v>-596.22823672596667</v>
          </cell>
          <cell r="N75">
            <v>-604.60137029126054</v>
          </cell>
          <cell r="O75">
            <v>-613.58705819553779</v>
          </cell>
          <cell r="P75">
            <v>-622.20928732054244</v>
          </cell>
          <cell r="Q75">
            <v>-607.96146262760954</v>
          </cell>
          <cell r="R75">
            <v>-617.9009691148467</v>
          </cell>
          <cell r="S75">
            <v>-629.30339293526345</v>
          </cell>
          <cell r="T75">
            <v>-644.60527537892244</v>
          </cell>
          <cell r="V75">
            <v>-66.400000000000006</v>
          </cell>
          <cell r="W75">
            <v>-140.9</v>
          </cell>
        </row>
        <row r="76">
          <cell r="A76" t="str">
            <v>Free Cash Flow to Firm</v>
          </cell>
          <cell r="B76">
            <v>537.93049739965295</v>
          </cell>
          <cell r="C76">
            <v>265.19055875204049</v>
          </cell>
          <cell r="D76">
            <v>534.20555180470149</v>
          </cell>
          <cell r="E76">
            <v>1008.1750529081061</v>
          </cell>
          <cell r="F76">
            <v>1311.6647393645358</v>
          </cell>
          <cell r="G76">
            <v>970.31735459682591</v>
          </cell>
          <cell r="H76">
            <v>2189.1180654974942</v>
          </cell>
          <cell r="I76">
            <v>1591.8279738765359</v>
          </cell>
          <cell r="J76">
            <v>1845.4044661325843</v>
          </cell>
          <cell r="K76">
            <v>1953.1464765429369</v>
          </cell>
          <cell r="L76">
            <v>2124.5381633600723</v>
          </cell>
          <cell r="M76">
            <v>2066.5452648709443</v>
          </cell>
          <cell r="N76">
            <v>1998.5534204108881</v>
          </cell>
          <cell r="O76">
            <v>1945.1383451481038</v>
          </cell>
          <cell r="P76">
            <v>1901.3541329889558</v>
          </cell>
          <cell r="Q76">
            <v>1850.7010562462049</v>
          </cell>
          <cell r="R76">
            <v>1823.4476091870406</v>
          </cell>
          <cell r="S76">
            <v>1853.4796116506129</v>
          </cell>
          <cell r="T76">
            <v>1782.6372362202985</v>
          </cell>
          <cell r="V76">
            <v>300.51199806482816</v>
          </cell>
          <cell r="W76">
            <v>503.65435672071533</v>
          </cell>
        </row>
        <row r="79">
          <cell r="A79" t="str">
            <v>Free Cash Flow to Equity Calculation</v>
          </cell>
        </row>
        <row r="80">
          <cell r="A80" t="str">
            <v>Operating Cash flow</v>
          </cell>
          <cell r="B80">
            <v>811.7</v>
          </cell>
          <cell r="C80">
            <v>1218.3000000000002</v>
          </cell>
          <cell r="D80">
            <v>1023.9999999999998</v>
          </cell>
          <cell r="E80">
            <v>1371.3000000000002</v>
          </cell>
          <cell r="F80">
            <v>1782.6000000000001</v>
          </cell>
          <cell r="G80">
            <v>1271.1999999999996</v>
          </cell>
          <cell r="H80">
            <v>2472.1999999999998</v>
          </cell>
          <cell r="I80">
            <v>2225.4999999999995</v>
          </cell>
          <cell r="J80">
            <v>2411.0334074330431</v>
          </cell>
          <cell r="K80">
            <v>2547.3773947865038</v>
          </cell>
          <cell r="L80">
            <v>2767.3913113923509</v>
          </cell>
          <cell r="M80">
            <v>2757.042561832046</v>
          </cell>
          <cell r="N80">
            <v>2735.1728574479548</v>
          </cell>
          <cell r="O80">
            <v>2727.512784747471</v>
          </cell>
          <cell r="P80">
            <v>2728.1465071588264</v>
          </cell>
          <cell r="Q80">
            <v>2698.5403197874793</v>
          </cell>
          <cell r="R80">
            <v>2715.8953733606813</v>
          </cell>
          <cell r="S80">
            <v>2792.8108624692168</v>
          </cell>
          <cell r="T80">
            <v>2773.2059281926649</v>
          </cell>
          <cell r="V80">
            <v>515.70000000000005</v>
          </cell>
          <cell r="W80">
            <v>442.50000000000011</v>
          </cell>
        </row>
        <row r="81">
          <cell r="A81" t="str">
            <v>Investing Cash flow</v>
          </cell>
          <cell r="B81">
            <v>-1461.6999999999998</v>
          </cell>
          <cell r="C81">
            <v>-2727.4999999999995</v>
          </cell>
          <cell r="D81">
            <v>-81.700000000000045</v>
          </cell>
          <cell r="E81">
            <v>-2160.6999999999998</v>
          </cell>
          <cell r="F81">
            <v>-3882.3999999999996</v>
          </cell>
          <cell r="G81">
            <v>-896</v>
          </cell>
          <cell r="H81">
            <v>-1157.9000000000001</v>
          </cell>
          <cell r="I81">
            <v>-874.5</v>
          </cell>
          <cell r="J81">
            <v>-2299.743087343807</v>
          </cell>
          <cell r="K81">
            <v>-495.65308230849723</v>
          </cell>
          <cell r="L81">
            <v>-501.73197929758646</v>
          </cell>
          <cell r="M81">
            <v>-506.72087859783494</v>
          </cell>
          <cell r="N81">
            <v>-510.4296636153199</v>
          </cell>
          <cell r="O81">
            <v>-514.53978149528598</v>
          </cell>
          <cell r="P81">
            <v>-518.06631776844119</v>
          </cell>
          <cell r="Q81">
            <v>-498.4934168382174</v>
          </cell>
          <cell r="R81">
            <v>-502.868829852624</v>
          </cell>
          <cell r="S81">
            <v>-508.45812119576999</v>
          </cell>
          <cell r="T81">
            <v>-517.68740728162311</v>
          </cell>
          <cell r="V81">
            <v>-324.3</v>
          </cell>
          <cell r="W81">
            <v>-267.60000000000002</v>
          </cell>
        </row>
        <row r="82">
          <cell r="A82" t="str">
            <v>Changes in Net Debt</v>
          </cell>
          <cell r="B82">
            <v>0</v>
          </cell>
          <cell r="C82">
            <v>497.9</v>
          </cell>
          <cell r="D82">
            <v>0</v>
          </cell>
          <cell r="E82">
            <v>976.1</v>
          </cell>
          <cell r="F82">
            <v>3181.7</v>
          </cell>
          <cell r="G82">
            <v>-20.8</v>
          </cell>
          <cell r="H82">
            <v>-1000</v>
          </cell>
          <cell r="I82">
            <v>-621.20000000000005</v>
          </cell>
          <cell r="J82">
            <v>-423.08823529411768</v>
          </cell>
          <cell r="K82">
            <v>-405</v>
          </cell>
          <cell r="L82">
            <v>-135</v>
          </cell>
          <cell r="M82">
            <v>-135</v>
          </cell>
          <cell r="N82">
            <v>-135</v>
          </cell>
          <cell r="O82">
            <v>-135</v>
          </cell>
          <cell r="P82">
            <v>-135</v>
          </cell>
          <cell r="Q82">
            <v>-135</v>
          </cell>
          <cell r="R82">
            <v>-135</v>
          </cell>
          <cell r="S82">
            <v>-135</v>
          </cell>
          <cell r="T82">
            <v>-135</v>
          </cell>
          <cell r="V82">
            <v>0</v>
          </cell>
          <cell r="W82">
            <v>0</v>
          </cell>
        </row>
        <row r="83">
          <cell r="A83" t="str">
            <v>Preference Dividends Paid</v>
          </cell>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V83">
            <v>0</v>
          </cell>
          <cell r="W83">
            <v>0</v>
          </cell>
        </row>
        <row r="84">
          <cell r="A84" t="str">
            <v>Free Cash Flow</v>
          </cell>
          <cell r="B84">
            <v>-649.99999999999977</v>
          </cell>
          <cell r="C84">
            <v>-1011.2999999999994</v>
          </cell>
          <cell r="D84">
            <v>942.29999999999973</v>
          </cell>
          <cell r="E84">
            <v>186.70000000000039</v>
          </cell>
          <cell r="F84">
            <v>1081.9000000000005</v>
          </cell>
          <cell r="G84">
            <v>354.39999999999958</v>
          </cell>
          <cell r="H84">
            <v>314.29999999999973</v>
          </cell>
          <cell r="I84">
            <v>729.7999999999995</v>
          </cell>
          <cell r="J84">
            <v>-311.79791520488163</v>
          </cell>
          <cell r="K84">
            <v>1646.7243124780066</v>
          </cell>
          <cell r="L84">
            <v>2130.6593320947645</v>
          </cell>
          <cell r="M84">
            <v>2115.3216832342109</v>
          </cell>
          <cell r="N84">
            <v>2089.7431938326349</v>
          </cell>
          <cell r="O84">
            <v>2077.9730032521848</v>
          </cell>
          <cell r="P84">
            <v>2075.0801893903854</v>
          </cell>
          <cell r="Q84">
            <v>2065.0469029492619</v>
          </cell>
          <cell r="R84">
            <v>2078.0265435080573</v>
          </cell>
          <cell r="S84">
            <v>2149.3527412734466</v>
          </cell>
          <cell r="T84">
            <v>2120.5185209110418</v>
          </cell>
          <cell r="V84">
            <v>191.40000000000003</v>
          </cell>
          <cell r="W84">
            <v>174.90000000000009</v>
          </cell>
        </row>
        <row r="85">
          <cell r="A85" t="str">
            <v>Free Cash Flow Per Share</v>
          </cell>
          <cell r="B85">
            <v>-3.40289396552039</v>
          </cell>
          <cell r="C85">
            <v>-4.6522018197740849</v>
          </cell>
          <cell r="D85">
            <v>4.3346271633443116</v>
          </cell>
          <cell r="E85">
            <v>0.8588293445785683</v>
          </cell>
          <cell r="F85">
            <v>4.9767941505064357</v>
          </cell>
          <cell r="G85">
            <v>1.630257738182344</v>
          </cell>
          <cell r="H85">
            <v>1.4457957311250307</v>
          </cell>
          <cell r="I85">
            <v>3.357116527442086</v>
          </cell>
          <cell r="J85">
            <v>-1.4342860158348794</v>
          </cell>
          <cell r="K85">
            <v>7.5750142580989666</v>
          </cell>
          <cell r="L85">
            <v>9.8011395699151205</v>
          </cell>
          <cell r="M85">
            <v>9.7305856174872396</v>
          </cell>
          <cell r="N85">
            <v>9.612923286003225</v>
          </cell>
          <cell r="O85">
            <v>9.55877982021976</v>
          </cell>
          <cell r="P85">
            <v>9.5454727316663757</v>
          </cell>
          <cell r="Q85">
            <v>9.4993191118581333</v>
          </cell>
          <cell r="R85">
            <v>9.5590261080765337</v>
          </cell>
          <cell r="S85">
            <v>9.8871301877665747</v>
          </cell>
          <cell r="T85">
            <v>9.7544913309091665</v>
          </cell>
        </row>
        <row r="87">
          <cell r="D87">
            <v>358.39999999999992</v>
          </cell>
          <cell r="E87">
            <v>479.95500000000004</v>
          </cell>
          <cell r="F87">
            <v>623.91</v>
          </cell>
          <cell r="G87">
            <v>444.91999999999985</v>
          </cell>
          <cell r="H87">
            <v>865.26999999999987</v>
          </cell>
          <cell r="I87">
            <v>778.92499999999984</v>
          </cell>
          <cell r="J87">
            <v>843.86169260156498</v>
          </cell>
          <cell r="K87">
            <v>891.58208817527634</v>
          </cell>
          <cell r="L87">
            <v>968.58695898732276</v>
          </cell>
          <cell r="M87">
            <v>964.964896641216</v>
          </cell>
          <cell r="N87">
            <v>957.31050010678416</v>
          </cell>
          <cell r="O87">
            <v>954.62947466161472</v>
          </cell>
          <cell r="P87">
            <v>954.85127750558911</v>
          </cell>
          <cell r="Q87">
            <v>944.48911192561775</v>
          </cell>
          <cell r="R87">
            <v>950.56338067623835</v>
          </cell>
          <cell r="S87">
            <v>977.48380186422582</v>
          </cell>
          <cell r="T87">
            <v>970.62207486743262</v>
          </cell>
          <cell r="V87">
            <v>180.495</v>
          </cell>
          <cell r="W87">
            <v>154.87500000000003</v>
          </cell>
        </row>
        <row r="90">
          <cell r="E90" t="str">
            <v>2009-FY</v>
          </cell>
          <cell r="F90" t="str">
            <v>2010-FY</v>
          </cell>
          <cell r="G90" t="str">
            <v>2011-FY</v>
          </cell>
          <cell r="H90" t="str">
            <v>2012-FY</v>
          </cell>
          <cell r="I90" t="str">
            <v>2013-FY</v>
          </cell>
          <cell r="J90" t="str">
            <v>2014-FY</v>
          </cell>
          <cell r="K90" t="str">
            <v>2015-FY</v>
          </cell>
          <cell r="L90" t="str">
            <v>2016-FY</v>
          </cell>
          <cell r="M90" t="str">
            <v>2017-FY</v>
          </cell>
          <cell r="N90" t="str">
            <v>2018-FY</v>
          </cell>
          <cell r="O90" t="str">
            <v>2019-FY</v>
          </cell>
          <cell r="P90" t="str">
            <v>2020-FY</v>
          </cell>
          <cell r="Q90" t="str">
            <v>2021-FY</v>
          </cell>
          <cell r="R90" t="str">
            <v>2022-FY</v>
          </cell>
          <cell r="S90" t="str">
            <v>2023-FY</v>
          </cell>
          <cell r="T90" t="str">
            <v>2024-FY</v>
          </cell>
        </row>
      </sheetData>
      <sheetData sheetId="7" refreshError="1">
        <row r="1">
          <cell r="H1">
            <v>0</v>
          </cell>
          <cell r="I1">
            <v>0</v>
          </cell>
          <cell r="J1">
            <v>0</v>
          </cell>
          <cell r="K1">
            <v>0</v>
          </cell>
          <cell r="L1">
            <v>0</v>
          </cell>
          <cell r="M1">
            <v>0</v>
          </cell>
          <cell r="N1">
            <v>0</v>
          </cell>
          <cell r="O1">
            <v>0</v>
          </cell>
          <cell r="P1">
            <v>0</v>
          </cell>
          <cell r="Q1">
            <v>0</v>
          </cell>
          <cell r="R1">
            <v>0</v>
          </cell>
          <cell r="S1">
            <v>0</v>
          </cell>
          <cell r="T1">
            <v>0</v>
          </cell>
          <cell r="U1">
            <v>0</v>
          </cell>
          <cell r="V1">
            <v>0</v>
          </cell>
          <cell r="AA1" t="str">
            <v>Return to contents</v>
          </cell>
        </row>
        <row r="2">
          <cell r="A2" t="str">
            <v xml:space="preserve"> Merck KGaA</v>
          </cell>
          <cell r="AE2" t="str">
            <v>ElementName</v>
          </cell>
          <cell r="AF2" t="str">
            <v>ScaleOverride</v>
          </cell>
          <cell r="AG2" t="str">
            <v>UnitOverride</v>
          </cell>
          <cell r="AH2" t="str">
            <v>ReverseSign</v>
          </cell>
          <cell r="AI2" t="str">
            <v>IsDrivingAssumption</v>
          </cell>
          <cell r="AJ2" t="str">
            <v>SegmentID</v>
          </cell>
        </row>
        <row r="3">
          <cell r="A3" t="str">
            <v xml:space="preserve">  Annual Balance Sheet</v>
          </cell>
          <cell r="I3" t="str">
            <v xml:space="preserve">Morgan Stanley Equity Research- Pharmaceuticals  </v>
          </cell>
        </row>
        <row r="5">
          <cell r="A5" t="str">
            <v>in € millions except per share data</v>
          </cell>
          <cell r="B5" t="str">
            <v>2004A</v>
          </cell>
          <cell r="C5" t="str">
            <v>2005A</v>
          </cell>
          <cell r="D5" t="str">
            <v>2006A</v>
          </cell>
          <cell r="E5" t="str">
            <v>2007A</v>
          </cell>
          <cell r="F5" t="str">
            <v>2008A</v>
          </cell>
          <cell r="G5" t="str">
            <v>2009A</v>
          </cell>
          <cell r="H5" t="str">
            <v>2010A</v>
          </cell>
          <cell r="I5" t="str">
            <v>2011A</v>
          </cell>
          <cell r="J5" t="str">
            <v>2012A</v>
          </cell>
          <cell r="K5" t="str">
            <v>2013A</v>
          </cell>
          <cell r="L5" t="str">
            <v>2014E</v>
          </cell>
          <cell r="M5" t="str">
            <v>2015E</v>
          </cell>
          <cell r="N5" t="str">
            <v>2016E</v>
          </cell>
          <cell r="O5" t="str">
            <v>2017E</v>
          </cell>
          <cell r="P5" t="str">
            <v>2018E</v>
          </cell>
          <cell r="Q5" t="str">
            <v>2019E</v>
          </cell>
          <cell r="R5" t="str">
            <v>2020E</v>
          </cell>
          <cell r="S5" t="str">
            <v>2021E</v>
          </cell>
          <cell r="T5" t="str">
            <v>2022E</v>
          </cell>
          <cell r="U5" t="str">
            <v>2023E</v>
          </cell>
          <cell r="V5" t="str">
            <v>2024E</v>
          </cell>
          <cell r="X5" t="str">
            <v>1Q13</v>
          </cell>
          <cell r="Y5" t="str">
            <v>2Q13</v>
          </cell>
          <cell r="Z5" t="str">
            <v>3Q13</v>
          </cell>
        </row>
        <row r="7">
          <cell r="A7" t="str">
            <v>ASSETS</v>
          </cell>
        </row>
        <row r="8">
          <cell r="A8" t="str">
            <v>Goodwill</v>
          </cell>
          <cell r="D8">
            <v>853.60000000000014</v>
          </cell>
          <cell r="E8">
            <v>1792.3000000000002</v>
          </cell>
          <cell r="F8">
            <v>1929.1000000000001</v>
          </cell>
          <cell r="G8">
            <v>1943.9</v>
          </cell>
          <cell r="H8">
            <v>4580.1000000000004</v>
          </cell>
          <cell r="I8">
            <v>4716.4000000000005</v>
          </cell>
          <cell r="J8">
            <v>4695.7</v>
          </cell>
          <cell r="K8">
            <v>4583.2</v>
          </cell>
          <cell r="L8">
            <v>5567.8691176470584</v>
          </cell>
          <cell r="M8">
            <v>5567.8691176470584</v>
          </cell>
          <cell r="N8">
            <v>5567.8691176470584</v>
          </cell>
          <cell r="O8">
            <v>5567.8691176470584</v>
          </cell>
          <cell r="P8">
            <v>5567.8691176470584</v>
          </cell>
          <cell r="Q8">
            <v>5567.8691176470584</v>
          </cell>
          <cell r="R8">
            <v>5567.8691176470584</v>
          </cell>
          <cell r="S8">
            <v>5567.8691176470584</v>
          </cell>
          <cell r="T8">
            <v>5567.8691176470584</v>
          </cell>
          <cell r="U8">
            <v>5567.8691176470584</v>
          </cell>
          <cell r="V8">
            <v>5567.8691176470584</v>
          </cell>
          <cell r="X8">
            <v>4738.2</v>
          </cell>
          <cell r="Y8">
            <v>4710.7</v>
          </cell>
          <cell r="Z8">
            <v>4663</v>
          </cell>
          <cell r="AE8" t="str">
            <v>mstag:goodwill</v>
          </cell>
          <cell r="AF8">
            <v>6</v>
          </cell>
          <cell r="AG8" t="str">
            <v>ISO4217:EUR</v>
          </cell>
          <cell r="AH8" t="b">
            <v>0</v>
          </cell>
          <cell r="AI8" t="b">
            <v>0</v>
          </cell>
        </row>
        <row r="9">
          <cell r="A9" t="str">
            <v>Intangible Assets</v>
          </cell>
          <cell r="D9">
            <v>209.90000000000003</v>
          </cell>
          <cell r="E9">
            <v>6372.2999999999993</v>
          </cell>
          <cell r="F9">
            <v>6274.2999999999993</v>
          </cell>
          <cell r="G9">
            <v>5654.4999999999991</v>
          </cell>
          <cell r="H9">
            <v>7904</v>
          </cell>
          <cell r="I9">
            <v>7047.9000000000024</v>
          </cell>
          <cell r="J9">
            <v>6248.8000000000047</v>
          </cell>
          <cell r="K9">
            <v>5284.0000000000045</v>
          </cell>
          <cell r="L9">
            <v>4437.6254103041938</v>
          </cell>
          <cell r="M9">
            <v>3698.5329517308564</v>
          </cell>
          <cell r="N9">
            <v>2963.8417457139876</v>
          </cell>
          <cell r="O9">
            <v>2236.9767271648689</v>
          </cell>
          <cell r="P9">
            <v>1825.39151245223</v>
          </cell>
          <cell r="Q9">
            <v>1413.5214483008403</v>
          </cell>
          <cell r="R9">
            <v>1002.1262926798554</v>
          </cell>
          <cell r="S9">
            <v>589.52219032041285</v>
          </cell>
          <cell r="T9">
            <v>175.69520175797334</v>
          </cell>
          <cell r="U9">
            <v>-240.76891998048632</v>
          </cell>
          <cell r="V9">
            <v>-664.19832513416077</v>
          </cell>
          <cell r="X9">
            <v>6087.2</v>
          </cell>
          <cell r="Y9">
            <v>5859.5000000000009</v>
          </cell>
          <cell r="Z9">
            <v>5618.4</v>
          </cell>
          <cell r="AE9" t="str">
            <v>mstag:otherIntangibleAssets</v>
          </cell>
          <cell r="AF9">
            <v>6</v>
          </cell>
          <cell r="AG9" t="str">
            <v>ISO4217:EUR</v>
          </cell>
          <cell r="AH9" t="b">
            <v>0</v>
          </cell>
          <cell r="AI9" t="b">
            <v>0</v>
          </cell>
        </row>
        <row r="10">
          <cell r="A10" t="str">
            <v>Property, Plant and Equipment</v>
          </cell>
          <cell r="D10">
            <v>1779.7999999999993</v>
          </cell>
          <cell r="E10">
            <v>2274.4999999999991</v>
          </cell>
          <cell r="F10">
            <v>2440.099999999999</v>
          </cell>
          <cell r="G10">
            <v>2607.599999999999</v>
          </cell>
          <cell r="H10">
            <v>3241.4999999999991</v>
          </cell>
          <cell r="I10">
            <v>3113.3999999999987</v>
          </cell>
          <cell r="J10">
            <v>2953.5999999999995</v>
          </cell>
          <cell r="K10">
            <v>2647.2</v>
          </cell>
          <cell r="L10">
            <v>3573.9090569803293</v>
          </cell>
          <cell r="M10">
            <v>3580.8622025440227</v>
          </cell>
          <cell r="N10">
            <v>3590.9210466506374</v>
          </cell>
          <cell r="O10">
            <v>3604.4299584388609</v>
          </cell>
          <cell r="P10">
            <v>3620.8906058915163</v>
          </cell>
          <cell r="Q10">
            <v>3640.4016329132137</v>
          </cell>
          <cell r="R10">
            <v>3663.2071720649392</v>
          </cell>
          <cell r="S10">
            <v>3665.1760801718947</v>
          </cell>
          <cell r="T10">
            <v>3670.3717156348557</v>
          </cell>
          <cell r="U10">
            <v>3678.734040685591</v>
          </cell>
          <cell r="V10">
            <v>3689.7270400106099</v>
          </cell>
          <cell r="X10">
            <v>2863.6</v>
          </cell>
          <cell r="Y10">
            <v>2624.3</v>
          </cell>
          <cell r="Z10">
            <v>2591.9</v>
          </cell>
          <cell r="AE10" t="str">
            <v>mstag:propertyPlantAndEquipmentNet</v>
          </cell>
          <cell r="AF10">
            <v>6</v>
          </cell>
          <cell r="AG10" t="str">
            <v>ISO4217:EUR</v>
          </cell>
          <cell r="AH10" t="b">
            <v>0</v>
          </cell>
          <cell r="AI10" t="b">
            <v>0</v>
          </cell>
        </row>
        <row r="11">
          <cell r="A11" t="str">
            <v>Financial Assets Covering Pensions</v>
          </cell>
          <cell r="D11">
            <v>0</v>
          </cell>
          <cell r="E11">
            <v>0</v>
          </cell>
          <cell r="F11">
            <v>0</v>
          </cell>
          <cell r="G11">
            <v>209.6</v>
          </cell>
          <cell r="H11">
            <v>216.9</v>
          </cell>
          <cell r="I11">
            <v>0</v>
          </cell>
          <cell r="J11">
            <v>0</v>
          </cell>
          <cell r="K11">
            <v>0</v>
          </cell>
          <cell r="L11">
            <v>0</v>
          </cell>
          <cell r="M11">
            <v>0</v>
          </cell>
          <cell r="N11">
            <v>0</v>
          </cell>
          <cell r="O11">
            <v>0</v>
          </cell>
          <cell r="P11">
            <v>0</v>
          </cell>
          <cell r="Q11">
            <v>0</v>
          </cell>
          <cell r="R11">
            <v>0</v>
          </cell>
          <cell r="S11">
            <v>0</v>
          </cell>
          <cell r="T11">
            <v>0</v>
          </cell>
          <cell r="U11">
            <v>0</v>
          </cell>
          <cell r="V11">
            <v>0</v>
          </cell>
          <cell r="X11">
            <v>0</v>
          </cell>
          <cell r="Y11">
            <v>0</v>
          </cell>
          <cell r="Z11">
            <v>0</v>
          </cell>
          <cell r="AE11" t="str">
            <v>mstag:pensionAndOtherPostRetirementAssets</v>
          </cell>
          <cell r="AF11">
            <v>6</v>
          </cell>
          <cell r="AG11" t="str">
            <v>ISO4217:EUR</v>
          </cell>
          <cell r="AH11" t="b">
            <v>0</v>
          </cell>
        </row>
        <row r="12">
          <cell r="A12" t="str">
            <v>Other Long-Term Assets</v>
          </cell>
          <cell r="D12">
            <v>1676.1000000000001</v>
          </cell>
          <cell r="E12">
            <v>193.5</v>
          </cell>
          <cell r="F12">
            <v>162.4</v>
          </cell>
          <cell r="G12">
            <v>219.5</v>
          </cell>
          <cell r="H12">
            <v>188.20000000000002</v>
          </cell>
          <cell r="I12">
            <v>115.19999999999999</v>
          </cell>
          <cell r="J12">
            <v>172.5</v>
          </cell>
          <cell r="K12">
            <v>183.3</v>
          </cell>
          <cell r="L12">
            <v>183.3</v>
          </cell>
          <cell r="M12">
            <v>183.3</v>
          </cell>
          <cell r="N12">
            <v>183.3</v>
          </cell>
          <cell r="O12">
            <v>183.3</v>
          </cell>
          <cell r="P12">
            <v>183.3</v>
          </cell>
          <cell r="Q12">
            <v>183.3</v>
          </cell>
          <cell r="R12">
            <v>183.3</v>
          </cell>
          <cell r="S12">
            <v>183.3</v>
          </cell>
          <cell r="T12">
            <v>183.3</v>
          </cell>
          <cell r="U12">
            <v>183.3</v>
          </cell>
          <cell r="V12">
            <v>183.3</v>
          </cell>
          <cell r="X12">
            <v>136.69999999999999</v>
          </cell>
          <cell r="Y12">
            <v>153.30000000000001</v>
          </cell>
          <cell r="Z12">
            <v>170</v>
          </cell>
          <cell r="AE12" t="str">
            <v>mstag:otherAssetsNonOperatingNonCurrent</v>
          </cell>
          <cell r="AF12">
            <v>6</v>
          </cell>
          <cell r="AG12" t="str">
            <v>ISO4217:EUR</v>
          </cell>
          <cell r="AH12" t="b">
            <v>0</v>
          </cell>
        </row>
        <row r="13">
          <cell r="A13" t="str">
            <v>Deferred Tax Assets</v>
          </cell>
          <cell r="D13">
            <v>269.10000000000002</v>
          </cell>
          <cell r="E13">
            <v>464.2</v>
          </cell>
          <cell r="F13">
            <v>480.1</v>
          </cell>
          <cell r="G13">
            <v>545.4</v>
          </cell>
          <cell r="H13">
            <v>593.1</v>
          </cell>
          <cell r="I13">
            <v>730</v>
          </cell>
          <cell r="J13">
            <v>946.6</v>
          </cell>
          <cell r="K13">
            <v>736.4</v>
          </cell>
          <cell r="L13">
            <v>736.4</v>
          </cell>
          <cell r="M13">
            <v>736.4</v>
          </cell>
          <cell r="N13">
            <v>736.4</v>
          </cell>
          <cell r="O13">
            <v>736.4</v>
          </cell>
          <cell r="P13">
            <v>736.4</v>
          </cell>
          <cell r="Q13">
            <v>736.4</v>
          </cell>
          <cell r="R13">
            <v>736.4</v>
          </cell>
          <cell r="S13">
            <v>736.4</v>
          </cell>
          <cell r="T13">
            <v>736.4</v>
          </cell>
          <cell r="U13">
            <v>736.4</v>
          </cell>
          <cell r="V13">
            <v>736.4</v>
          </cell>
          <cell r="X13">
            <v>1011.2</v>
          </cell>
          <cell r="Y13">
            <v>960.5</v>
          </cell>
          <cell r="Z13">
            <v>909.5</v>
          </cell>
          <cell r="AE13" t="str">
            <v>mstag:deferredTaxAssetsNonCurrent</v>
          </cell>
          <cell r="AF13">
            <v>6</v>
          </cell>
          <cell r="AG13" t="str">
            <v>ISO4217:EUR</v>
          </cell>
          <cell r="AH13" t="b">
            <v>0</v>
          </cell>
          <cell r="AI13" t="b">
            <v>0</v>
          </cell>
        </row>
        <row r="14">
          <cell r="A14" t="str">
            <v>Total Non-Current Assets</v>
          </cell>
          <cell r="D14">
            <v>4788.5</v>
          </cell>
          <cell r="E14">
            <v>11096.8</v>
          </cell>
          <cell r="F14">
            <v>11285.999999999998</v>
          </cell>
          <cell r="G14">
            <v>11180.499999999998</v>
          </cell>
          <cell r="H14">
            <v>16723.8</v>
          </cell>
          <cell r="I14">
            <v>15722.900000000001</v>
          </cell>
          <cell r="J14">
            <v>15017.200000000003</v>
          </cell>
          <cell r="K14">
            <v>13434.100000000004</v>
          </cell>
          <cell r="L14">
            <v>14499.103584931579</v>
          </cell>
          <cell r="M14">
            <v>13766.964271921936</v>
          </cell>
          <cell r="N14">
            <v>13042.331910011682</v>
          </cell>
          <cell r="O14">
            <v>12328.975803250787</v>
          </cell>
          <cell r="P14">
            <v>11933.851235990804</v>
          </cell>
          <cell r="Q14">
            <v>11541.492198861111</v>
          </cell>
          <cell r="R14">
            <v>11152.902582391851</v>
          </cell>
          <cell r="S14">
            <v>10742.267388139366</v>
          </cell>
          <cell r="T14">
            <v>10333.636035039886</v>
          </cell>
          <cell r="U14">
            <v>9925.534238352162</v>
          </cell>
          <cell r="V14">
            <v>9513.0978325235064</v>
          </cell>
          <cell r="X14">
            <v>14836.900000000001</v>
          </cell>
          <cell r="Y14">
            <v>14308.3</v>
          </cell>
          <cell r="Z14">
            <v>13952.8</v>
          </cell>
        </row>
        <row r="16">
          <cell r="A16" t="str">
            <v>Current Assets</v>
          </cell>
          <cell r="G16" t="str">
            <v xml:space="preserve"> </v>
          </cell>
        </row>
        <row r="17">
          <cell r="A17" t="str">
            <v>Inventories</v>
          </cell>
          <cell r="D17">
            <v>1218.3</v>
          </cell>
          <cell r="E17">
            <v>1158.5</v>
          </cell>
          <cell r="F17">
            <v>1407.4</v>
          </cell>
          <cell r="G17">
            <v>1367.9</v>
          </cell>
          <cell r="H17">
            <v>1673.5</v>
          </cell>
          <cell r="I17">
            <v>1691.1</v>
          </cell>
          <cell r="J17">
            <v>1533.9</v>
          </cell>
          <cell r="K17">
            <v>1474.2</v>
          </cell>
          <cell r="L17">
            <v>1484.1267523272136</v>
          </cell>
          <cell r="M17">
            <v>1581.8273231035971</v>
          </cell>
          <cell r="N17">
            <v>1611.8859141792984</v>
          </cell>
          <cell r="O17">
            <v>1658.9084302301667</v>
          </cell>
          <cell r="P17">
            <v>1695.6587392233578</v>
          </cell>
          <cell r="Q17">
            <v>1725.8635770788414</v>
          </cell>
          <cell r="R17">
            <v>1750.8717188270773</v>
          </cell>
          <cell r="S17">
            <v>1798.4485624887079</v>
          </cell>
          <cell r="T17">
            <v>1828.5649230241145</v>
          </cell>
          <cell r="U17">
            <v>1794.2716042070531</v>
          </cell>
          <cell r="V17">
            <v>1841.2853791558609</v>
          </cell>
          <cell r="X17">
            <v>1559.4</v>
          </cell>
          <cell r="Y17">
            <v>1533</v>
          </cell>
          <cell r="Z17">
            <v>1565.6</v>
          </cell>
          <cell r="AE17" t="str">
            <v>mstag:inventories</v>
          </cell>
          <cell r="AF17">
            <v>6</v>
          </cell>
          <cell r="AG17" t="str">
            <v>ISO4217:EUR</v>
          </cell>
          <cell r="AH17" t="b">
            <v>0</v>
          </cell>
          <cell r="AI17" t="b">
            <v>0</v>
          </cell>
        </row>
        <row r="18">
          <cell r="A18" t="str">
            <v>Trade Debtors</v>
          </cell>
          <cell r="D18">
            <v>1252.9000000000001</v>
          </cell>
          <cell r="E18">
            <v>1378.3</v>
          </cell>
          <cell r="F18">
            <v>1659.4</v>
          </cell>
          <cell r="G18">
            <v>1788.7</v>
          </cell>
          <cell r="H18">
            <v>2296.3000000000002</v>
          </cell>
          <cell r="I18">
            <v>2328.3000000000002</v>
          </cell>
          <cell r="J18">
            <v>2114.6</v>
          </cell>
          <cell r="K18">
            <v>2021.4</v>
          </cell>
          <cell r="L18">
            <v>2050.3096316359097</v>
          </cell>
          <cell r="M18">
            <v>2097.3119846678828</v>
          </cell>
          <cell r="N18">
            <v>2117.1819056144327</v>
          </cell>
          <cell r="O18">
            <v>2143.682058827846</v>
          </cell>
          <cell r="P18">
            <v>2158.5430534477964</v>
          </cell>
          <cell r="Q18">
            <v>2175.2701403550573</v>
          </cell>
          <cell r="R18">
            <v>2183.3733558543645</v>
          </cell>
          <cell r="S18">
            <v>2209.46432815036</v>
          </cell>
          <cell r="T18">
            <v>2223.8659584808429</v>
          </cell>
          <cell r="U18">
            <v>2256.4642868985602</v>
          </cell>
          <cell r="V18">
            <v>2300.6890817390408</v>
          </cell>
          <cell r="X18">
            <v>2254.8000000000002</v>
          </cell>
          <cell r="Y18">
            <v>2196.5</v>
          </cell>
          <cell r="Z18">
            <v>2052.8000000000002</v>
          </cell>
          <cell r="AE18" t="str">
            <v>mstag:tradeReceivablesCurrent</v>
          </cell>
          <cell r="AF18">
            <v>6</v>
          </cell>
          <cell r="AG18" t="str">
            <v>ISO4217:EUR</v>
          </cell>
          <cell r="AH18" t="b">
            <v>0</v>
          </cell>
          <cell r="AI18" t="b">
            <v>0</v>
          </cell>
        </row>
        <row r="19">
          <cell r="A19" t="str">
            <v>Other Current Assets</v>
          </cell>
          <cell r="D19">
            <v>172.1</v>
          </cell>
          <cell r="E19">
            <v>253.3</v>
          </cell>
          <cell r="F19">
            <v>283.3</v>
          </cell>
          <cell r="G19">
            <v>275.60000000000002</v>
          </cell>
          <cell r="H19">
            <v>601.40000000000009</v>
          </cell>
          <cell r="I19">
            <v>252</v>
          </cell>
          <cell r="J19">
            <v>271.5</v>
          </cell>
          <cell r="K19">
            <v>387.8</v>
          </cell>
          <cell r="L19">
            <v>387.8</v>
          </cell>
          <cell r="M19">
            <v>387.8</v>
          </cell>
          <cell r="N19">
            <v>387.8</v>
          </cell>
          <cell r="O19">
            <v>387.8</v>
          </cell>
          <cell r="P19">
            <v>387.8</v>
          </cell>
          <cell r="Q19">
            <v>387.8</v>
          </cell>
          <cell r="R19">
            <v>387.8</v>
          </cell>
          <cell r="S19">
            <v>387.8</v>
          </cell>
          <cell r="T19">
            <v>387.8</v>
          </cell>
          <cell r="U19">
            <v>387.8</v>
          </cell>
          <cell r="V19">
            <v>387.8</v>
          </cell>
          <cell r="X19">
            <v>319.8</v>
          </cell>
          <cell r="Y19">
            <v>333.2</v>
          </cell>
          <cell r="Z19">
            <v>361.1</v>
          </cell>
          <cell r="AE19" t="str">
            <v>mstag:otherAssetsOperatingCurrent</v>
          </cell>
          <cell r="AF19">
            <v>6</v>
          </cell>
          <cell r="AG19" t="str">
            <v>ISO4217:EUR</v>
          </cell>
          <cell r="AH19" t="b">
            <v>0</v>
          </cell>
          <cell r="AI19" t="b">
            <v>0</v>
          </cell>
        </row>
        <row r="20">
          <cell r="A20" t="str">
            <v>Tax Receivables</v>
          </cell>
          <cell r="D20">
            <v>77.5</v>
          </cell>
          <cell r="E20">
            <v>43.5</v>
          </cell>
          <cell r="F20">
            <v>139.1</v>
          </cell>
          <cell r="G20">
            <v>55.3</v>
          </cell>
          <cell r="H20">
            <v>93.7</v>
          </cell>
          <cell r="I20">
            <v>72.7</v>
          </cell>
          <cell r="J20">
            <v>178.5</v>
          </cell>
          <cell r="K20">
            <v>109.8</v>
          </cell>
          <cell r="L20">
            <v>109.8</v>
          </cell>
          <cell r="M20">
            <v>109.8</v>
          </cell>
          <cell r="N20">
            <v>109.8</v>
          </cell>
          <cell r="O20">
            <v>109.8</v>
          </cell>
          <cell r="P20">
            <v>109.8</v>
          </cell>
          <cell r="Q20">
            <v>109.8</v>
          </cell>
          <cell r="R20">
            <v>109.8</v>
          </cell>
          <cell r="S20">
            <v>109.8</v>
          </cell>
          <cell r="T20">
            <v>109.8</v>
          </cell>
          <cell r="U20">
            <v>109.8</v>
          </cell>
          <cell r="V20">
            <v>109.8</v>
          </cell>
          <cell r="X20">
            <v>81.8</v>
          </cell>
          <cell r="Y20">
            <v>92.9</v>
          </cell>
          <cell r="Z20">
            <v>86.9</v>
          </cell>
          <cell r="AE20" t="str">
            <v>mstag:incomeTaxReceivable</v>
          </cell>
          <cell r="AF20">
            <v>6</v>
          </cell>
          <cell r="AG20" t="str">
            <v>ISO4217:EUR</v>
          </cell>
          <cell r="AH20" t="b">
            <v>0</v>
          </cell>
        </row>
        <row r="21">
          <cell r="A21" t="str">
            <v>Marketable Securities</v>
          </cell>
          <cell r="D21">
            <v>133.1</v>
          </cell>
          <cell r="E21">
            <v>565.29999999999995</v>
          </cell>
          <cell r="F21">
            <v>176.8</v>
          </cell>
          <cell r="G21">
            <v>1503.2</v>
          </cell>
          <cell r="H21">
            <v>55.6</v>
          </cell>
          <cell r="I21">
            <v>1117.0999999999999</v>
          </cell>
          <cell r="J21">
            <v>1797.9</v>
          </cell>
          <cell r="K21">
            <v>2410.5</v>
          </cell>
          <cell r="L21">
            <v>2410.5</v>
          </cell>
          <cell r="M21">
            <v>2410.5</v>
          </cell>
          <cell r="N21">
            <v>2410.5</v>
          </cell>
          <cell r="O21">
            <v>2410.5</v>
          </cell>
          <cell r="P21">
            <v>2410.5</v>
          </cell>
          <cell r="Q21">
            <v>2410.5</v>
          </cell>
          <cell r="R21">
            <v>2410.5</v>
          </cell>
          <cell r="S21">
            <v>2410.5</v>
          </cell>
          <cell r="T21">
            <v>2410.5</v>
          </cell>
          <cell r="U21">
            <v>2410.5</v>
          </cell>
          <cell r="V21">
            <v>2410.5</v>
          </cell>
          <cell r="X21">
            <v>2087.3000000000002</v>
          </cell>
          <cell r="Y21">
            <v>2461.9</v>
          </cell>
          <cell r="Z21">
            <v>2391.9</v>
          </cell>
          <cell r="AE21" t="str">
            <v>mstag:shortTermInvestments</v>
          </cell>
          <cell r="AF21">
            <v>6</v>
          </cell>
          <cell r="AG21" t="str">
            <v>ISO4217:EUR</v>
          </cell>
          <cell r="AH21" t="b">
            <v>0</v>
          </cell>
        </row>
        <row r="22">
          <cell r="A22" t="str">
            <v>Cash &amp; Cash Equivalents</v>
          </cell>
          <cell r="D22">
            <v>460.1</v>
          </cell>
          <cell r="E22">
            <v>426.6</v>
          </cell>
          <cell r="F22">
            <v>692.7</v>
          </cell>
          <cell r="G22">
            <v>541.4</v>
          </cell>
          <cell r="H22">
            <v>943.7</v>
          </cell>
          <cell r="I22">
            <v>937.8</v>
          </cell>
          <cell r="J22">
            <v>729.7</v>
          </cell>
          <cell r="K22">
            <v>980.8</v>
          </cell>
          <cell r="L22">
            <v>240.70018068923559</v>
          </cell>
          <cell r="M22">
            <v>1418.7148467972422</v>
          </cell>
          <cell r="N22">
            <v>3057.2290502035066</v>
          </cell>
          <cell r="O22">
            <v>4655.7983483147927</v>
          </cell>
          <cell r="P22">
            <v>6202.9515377683565</v>
          </cell>
          <cell r="Q22">
            <v>7711.205036422517</v>
          </cell>
          <cell r="R22">
            <v>9188.0797459849746</v>
          </cell>
          <cell r="S22">
            <v>10625.010895114914</v>
          </cell>
          <cell r="T22">
            <v>12043.515897112682</v>
          </cell>
          <cell r="U22">
            <v>13500.371019800326</v>
          </cell>
          <cell r="V22">
            <v>14893.767041196275</v>
          </cell>
          <cell r="X22">
            <v>814</v>
          </cell>
          <cell r="Y22">
            <v>864.4</v>
          </cell>
          <cell r="Z22">
            <v>915.3</v>
          </cell>
          <cell r="AE22" t="str">
            <v>mstag:cashAndCashEquivalents</v>
          </cell>
          <cell r="AF22">
            <v>6</v>
          </cell>
          <cell r="AG22" t="str">
            <v>ISO4217:EUR</v>
          </cell>
          <cell r="AH22" t="b">
            <v>0</v>
          </cell>
          <cell r="AI22" t="b">
            <v>0</v>
          </cell>
        </row>
        <row r="23">
          <cell r="A23" t="str">
            <v>Total Current Assets</v>
          </cell>
          <cell r="D23">
            <v>3313.9999999999995</v>
          </cell>
          <cell r="E23">
            <v>3825.5000000000005</v>
          </cell>
          <cell r="F23">
            <v>4358.7000000000007</v>
          </cell>
          <cell r="G23">
            <v>5532.1</v>
          </cell>
          <cell r="H23">
            <v>5664.2000000000007</v>
          </cell>
          <cell r="I23">
            <v>6398.9999999999991</v>
          </cell>
          <cell r="J23">
            <v>6626.0999999999995</v>
          </cell>
          <cell r="K23">
            <v>7384.5000000000009</v>
          </cell>
          <cell r="L23">
            <v>6683.2365646523594</v>
          </cell>
          <cell r="M23">
            <v>8005.9541545687225</v>
          </cell>
          <cell r="N23">
            <v>9694.3968699972393</v>
          </cell>
          <cell r="O23">
            <v>11366.488837372806</v>
          </cell>
          <cell r="P23">
            <v>12965.253330439511</v>
          </cell>
          <cell r="Q23">
            <v>14520.438753856415</v>
          </cell>
          <cell r="R23">
            <v>16030.424820666416</v>
          </cell>
          <cell r="S23">
            <v>17541.023785753983</v>
          </cell>
          <cell r="T23">
            <v>19004.046778617638</v>
          </cell>
          <cell r="U23">
            <v>20459.206910905941</v>
          </cell>
          <cell r="V23">
            <v>21943.841502091178</v>
          </cell>
          <cell r="X23">
            <v>7117.1</v>
          </cell>
          <cell r="Y23">
            <v>7481.9</v>
          </cell>
          <cell r="Z23">
            <v>7373.6</v>
          </cell>
        </row>
        <row r="25">
          <cell r="A25" t="str">
            <v>Total Assets</v>
          </cell>
          <cell r="D25">
            <v>8102.5</v>
          </cell>
          <cell r="E25">
            <v>14922.3</v>
          </cell>
          <cell r="F25">
            <v>15644.699999999999</v>
          </cell>
          <cell r="G25">
            <v>16712.599999999999</v>
          </cell>
          <cell r="H25">
            <v>22388</v>
          </cell>
          <cell r="I25">
            <v>22121.9</v>
          </cell>
          <cell r="J25">
            <v>21643.300000000003</v>
          </cell>
          <cell r="K25">
            <v>20818.600000000006</v>
          </cell>
          <cell r="L25">
            <v>21182.340149583939</v>
          </cell>
          <cell r="M25">
            <v>21772.918426490658</v>
          </cell>
          <cell r="N25">
            <v>22736.728780008922</v>
          </cell>
          <cell r="O25">
            <v>23695.464640623592</v>
          </cell>
          <cell r="P25">
            <v>24899.104566430316</v>
          </cell>
          <cell r="Q25">
            <v>26061.930952717528</v>
          </cell>
          <cell r="R25">
            <v>27183.327403058269</v>
          </cell>
          <cell r="S25">
            <v>28283.291173893347</v>
          </cell>
          <cell r="T25">
            <v>29337.682813657524</v>
          </cell>
          <cell r="U25">
            <v>30384.741149258101</v>
          </cell>
          <cell r="V25">
            <v>31456.939334614683</v>
          </cell>
          <cell r="X25">
            <v>21954</v>
          </cell>
          <cell r="Y25">
            <v>21790.199999999997</v>
          </cell>
          <cell r="Z25">
            <v>21326.400000000001</v>
          </cell>
        </row>
        <row r="27">
          <cell r="A27" t="str">
            <v>Shareholders' Equity</v>
          </cell>
        </row>
        <row r="28">
          <cell r="A28" t="str">
            <v>Share Capital</v>
          </cell>
          <cell r="D28">
            <v>496.6</v>
          </cell>
          <cell r="E28">
            <v>565.20000000000005</v>
          </cell>
          <cell r="F28">
            <v>565.20000000000005</v>
          </cell>
          <cell r="G28">
            <v>565.20000000000005</v>
          </cell>
          <cell r="H28">
            <v>565.20000000000005</v>
          </cell>
          <cell r="I28">
            <v>565.20000000000005</v>
          </cell>
          <cell r="J28">
            <v>565.20000000000005</v>
          </cell>
          <cell r="K28">
            <v>565.20000000000005</v>
          </cell>
          <cell r="L28">
            <v>565.20000000000005</v>
          </cell>
          <cell r="M28">
            <v>565.20000000000005</v>
          </cell>
          <cell r="N28">
            <v>565.20000000000005</v>
          </cell>
          <cell r="O28">
            <v>565.20000000000005</v>
          </cell>
          <cell r="P28">
            <v>565.20000000000005</v>
          </cell>
          <cell r="Q28">
            <v>565.20000000000005</v>
          </cell>
          <cell r="R28">
            <v>565.20000000000005</v>
          </cell>
          <cell r="S28">
            <v>565.20000000000005</v>
          </cell>
          <cell r="T28">
            <v>565.20000000000005</v>
          </cell>
          <cell r="U28">
            <v>565.20000000000005</v>
          </cell>
          <cell r="V28">
            <v>565.20000000000005</v>
          </cell>
          <cell r="X28">
            <v>565.20000000000005</v>
          </cell>
          <cell r="Y28">
            <v>565.20000000000005</v>
          </cell>
          <cell r="Z28">
            <v>565.20000000000005</v>
          </cell>
          <cell r="AE28" t="str">
            <v>mstag:totalShareCapital</v>
          </cell>
          <cell r="AF28">
            <v>6</v>
          </cell>
          <cell r="AG28" t="str">
            <v>ISO4217:EUR</v>
          </cell>
          <cell r="AH28" t="b">
            <v>0</v>
          </cell>
          <cell r="AI28" t="b">
            <v>0</v>
          </cell>
        </row>
        <row r="29">
          <cell r="A29" t="str">
            <v>Reserves</v>
          </cell>
          <cell r="D29">
            <v>3256.7</v>
          </cell>
          <cell r="E29">
            <v>8060.5</v>
          </cell>
          <cell r="F29">
            <v>8940.2000000000007</v>
          </cell>
          <cell r="G29">
            <v>8894.9</v>
          </cell>
          <cell r="H29">
            <v>9764.6</v>
          </cell>
          <cell r="I29">
            <v>9882.8000000000011</v>
          </cell>
          <cell r="J29">
            <v>9796.1999999999989</v>
          </cell>
          <cell r="K29">
            <v>10454.800000000001</v>
          </cell>
          <cell r="L29">
            <v>10812.325724829483</v>
          </cell>
          <cell r="M29">
            <v>11628.545306738763</v>
          </cell>
          <cell r="N29">
            <v>12606.235541016778</v>
          </cell>
          <cell r="O29">
            <v>13558.622411666962</v>
          </cell>
          <cell r="P29">
            <v>14760.969480150914</v>
          </cell>
          <cell r="Q29">
            <v>15923.772496763291</v>
          </cell>
          <cell r="R29">
            <v>17044.941676500406</v>
          </cell>
          <cell r="S29">
            <v>18118.343098039393</v>
          </cell>
          <cell r="T29">
            <v>19156.905384483791</v>
          </cell>
          <cell r="U29">
            <v>20169.163641848885</v>
          </cell>
          <cell r="V29">
            <v>21195.71444415626</v>
          </cell>
          <cell r="X29">
            <v>9895.2000000000007</v>
          </cell>
          <cell r="Y29">
            <v>9920.5</v>
          </cell>
          <cell r="Z29">
            <v>10167.9</v>
          </cell>
          <cell r="AE29" t="str">
            <v>mstag:retainedEarnings</v>
          </cell>
          <cell r="AF29">
            <v>6</v>
          </cell>
          <cell r="AG29" t="str">
            <v>ISO4217:EUR</v>
          </cell>
          <cell r="AH29" t="b">
            <v>0</v>
          </cell>
          <cell r="AI29" t="b">
            <v>0</v>
          </cell>
        </row>
        <row r="30">
          <cell r="A30" t="str">
            <v>Total Shareholders' Equity</v>
          </cell>
          <cell r="D30">
            <v>3753.2999999999997</v>
          </cell>
          <cell r="E30">
            <v>8625.7000000000007</v>
          </cell>
          <cell r="F30">
            <v>9505.4000000000015</v>
          </cell>
          <cell r="G30">
            <v>9460.1</v>
          </cell>
          <cell r="H30">
            <v>10329.800000000001</v>
          </cell>
          <cell r="I30">
            <v>10448.000000000002</v>
          </cell>
          <cell r="J30">
            <v>10361.4</v>
          </cell>
          <cell r="K30">
            <v>11020.000000000002</v>
          </cell>
          <cell r="L30">
            <v>11377.525724829484</v>
          </cell>
          <cell r="M30">
            <v>12193.745306738763</v>
          </cell>
          <cell r="N30">
            <v>13171.435541016779</v>
          </cell>
          <cell r="O30">
            <v>14123.822411666963</v>
          </cell>
          <cell r="P30">
            <v>15326.169480150915</v>
          </cell>
          <cell r="Q30">
            <v>16488.97249676329</v>
          </cell>
          <cell r="R30">
            <v>17610.141676500407</v>
          </cell>
          <cell r="S30">
            <v>18683.543098039394</v>
          </cell>
          <cell r="T30">
            <v>19722.105384483792</v>
          </cell>
          <cell r="U30">
            <v>20734.363641848886</v>
          </cell>
          <cell r="V30">
            <v>21760.91444415626</v>
          </cell>
          <cell r="X30">
            <v>10460.400000000001</v>
          </cell>
          <cell r="Y30">
            <v>10485.700000000001</v>
          </cell>
          <cell r="Z30">
            <v>10733.1</v>
          </cell>
        </row>
        <row r="32">
          <cell r="A32" t="str">
            <v>EQUITY AND LIABILITIES</v>
          </cell>
        </row>
        <row r="33">
          <cell r="A33" t="str">
            <v>Liabilities</v>
          </cell>
        </row>
        <row r="34">
          <cell r="A34" t="str">
            <v>Accounts Payable</v>
          </cell>
          <cell r="D34">
            <v>608</v>
          </cell>
          <cell r="E34">
            <v>646.9</v>
          </cell>
          <cell r="F34">
            <v>843.7</v>
          </cell>
          <cell r="G34">
            <v>935.7</v>
          </cell>
          <cell r="H34">
            <v>1200.0999999999999</v>
          </cell>
          <cell r="I34">
            <v>1100.8</v>
          </cell>
          <cell r="J34">
            <v>1288.3</v>
          </cell>
          <cell r="K34">
            <v>1364.1</v>
          </cell>
          <cell r="L34">
            <v>1385.1028755143413</v>
          </cell>
          <cell r="M34">
            <v>1476.2846706740618</v>
          </cell>
          <cell r="N34">
            <v>1504.3376930103134</v>
          </cell>
          <cell r="O34">
            <v>1548.2227736436535</v>
          </cell>
          <cell r="P34">
            <v>1582.5210292223567</v>
          </cell>
          <cell r="Q34">
            <v>1610.7105404635438</v>
          </cell>
          <cell r="R34">
            <v>1634.0500894558627</v>
          </cell>
          <cell r="S34">
            <v>1678.4525118637109</v>
          </cell>
          <cell r="T34">
            <v>1706.5594491668808</v>
          </cell>
          <cell r="U34">
            <v>1747.7876198524091</v>
          </cell>
          <cell r="V34">
            <v>1793.5834144385733</v>
          </cell>
          <cell r="X34">
            <v>1252.3</v>
          </cell>
          <cell r="Y34">
            <v>1311.5</v>
          </cell>
          <cell r="Z34">
            <v>1328.5</v>
          </cell>
          <cell r="AE34" t="str">
            <v>mstag:tradePayablesCurrent</v>
          </cell>
          <cell r="AF34">
            <v>6</v>
          </cell>
          <cell r="AG34" t="str">
            <v>ISO4217:EUR</v>
          </cell>
          <cell r="AH34" t="b">
            <v>0</v>
          </cell>
          <cell r="AI34" t="b">
            <v>0</v>
          </cell>
        </row>
        <row r="35">
          <cell r="A35" t="str">
            <v>Short term Debt</v>
          </cell>
          <cell r="D35">
            <v>498.4</v>
          </cell>
          <cell r="E35">
            <v>300.39999999999998</v>
          </cell>
          <cell r="F35">
            <v>266.2</v>
          </cell>
          <cell r="G35">
            <v>705.2</v>
          </cell>
          <cell r="H35">
            <v>356.10000000000008</v>
          </cell>
          <cell r="I35">
            <v>1394.4000000000003</v>
          </cell>
          <cell r="J35">
            <v>1091.4000000000003</v>
          </cell>
          <cell r="K35">
            <v>440.4000000000002</v>
          </cell>
          <cell r="L35">
            <v>458.48823529411783</v>
          </cell>
          <cell r="M35">
            <v>458.48823529411783</v>
          </cell>
          <cell r="N35">
            <v>458.48823529411783</v>
          </cell>
          <cell r="O35">
            <v>458.48823529411783</v>
          </cell>
          <cell r="P35">
            <v>458.48823529411783</v>
          </cell>
          <cell r="Q35">
            <v>458.48823529411783</v>
          </cell>
          <cell r="R35">
            <v>458.48823529411783</v>
          </cell>
          <cell r="S35">
            <v>458.48823529411783</v>
          </cell>
          <cell r="T35">
            <v>458.48823529411783</v>
          </cell>
          <cell r="U35">
            <v>458.48823529411783</v>
          </cell>
          <cell r="V35">
            <v>458.48823529411783</v>
          </cell>
          <cell r="X35">
            <v>1103.0999999999999</v>
          </cell>
          <cell r="Y35">
            <v>1339.1</v>
          </cell>
          <cell r="Z35">
            <v>568.4</v>
          </cell>
          <cell r="AE35" t="str">
            <v>mstag:shortTermBorrowings</v>
          </cell>
          <cell r="AF35">
            <v>6</v>
          </cell>
          <cell r="AG35" t="str">
            <v>ISO4217:EUR</v>
          </cell>
          <cell r="AH35" t="b">
            <v>0</v>
          </cell>
          <cell r="AI35" t="b">
            <v>0</v>
          </cell>
        </row>
        <row r="36">
          <cell r="A36" t="str">
            <v>Other Current Liabilities</v>
          </cell>
          <cell r="D36">
            <v>552.29999999999995</v>
          </cell>
          <cell r="E36">
            <v>989.3</v>
          </cell>
          <cell r="F36">
            <v>694.2</v>
          </cell>
          <cell r="G36">
            <v>638.20000000000005</v>
          </cell>
          <cell r="H36">
            <v>1060.5</v>
          </cell>
          <cell r="I36">
            <v>1102.0999999999999</v>
          </cell>
          <cell r="J36">
            <v>1096.2</v>
          </cell>
          <cell r="K36">
            <v>1134.5</v>
          </cell>
          <cell r="L36">
            <v>1134.5</v>
          </cell>
          <cell r="M36">
            <v>1134.5</v>
          </cell>
          <cell r="N36">
            <v>1134.5</v>
          </cell>
          <cell r="O36">
            <v>1134.5</v>
          </cell>
          <cell r="P36">
            <v>1134.5</v>
          </cell>
          <cell r="Q36">
            <v>1134.5</v>
          </cell>
          <cell r="R36">
            <v>1134.5</v>
          </cell>
          <cell r="S36">
            <v>1134.5</v>
          </cell>
          <cell r="T36">
            <v>1134.5</v>
          </cell>
          <cell r="U36">
            <v>1134.5</v>
          </cell>
          <cell r="V36">
            <v>1134.5</v>
          </cell>
          <cell r="X36">
            <v>1173.9000000000001</v>
          </cell>
          <cell r="Y36">
            <v>955.6</v>
          </cell>
          <cell r="Z36">
            <v>1072</v>
          </cell>
          <cell r="AE36" t="str">
            <v>mstag:otherLiabilitiesOperatingCurrent</v>
          </cell>
          <cell r="AF36">
            <v>6</v>
          </cell>
          <cell r="AG36" t="str">
            <v>ISO4217:EUR</v>
          </cell>
          <cell r="AH36" t="b">
            <v>0</v>
          </cell>
          <cell r="AI36" t="b">
            <v>0</v>
          </cell>
        </row>
        <row r="37">
          <cell r="A37" t="str">
            <v>Tax Liabilities</v>
          </cell>
          <cell r="D37">
            <v>205.5</v>
          </cell>
          <cell r="E37">
            <v>337.1</v>
          </cell>
          <cell r="F37">
            <v>347.2</v>
          </cell>
          <cell r="G37">
            <v>274.5</v>
          </cell>
          <cell r="H37">
            <v>368.4</v>
          </cell>
          <cell r="I37">
            <v>399.4</v>
          </cell>
          <cell r="J37">
            <v>401.4</v>
          </cell>
          <cell r="K37">
            <v>465.1</v>
          </cell>
          <cell r="L37">
            <v>465.1</v>
          </cell>
          <cell r="M37">
            <v>465.1</v>
          </cell>
          <cell r="N37">
            <v>465.1</v>
          </cell>
          <cell r="O37">
            <v>465.1</v>
          </cell>
          <cell r="P37">
            <v>465.1</v>
          </cell>
          <cell r="Q37">
            <v>465.1</v>
          </cell>
          <cell r="R37">
            <v>465.1</v>
          </cell>
          <cell r="S37">
            <v>465.1</v>
          </cell>
          <cell r="T37">
            <v>465.1</v>
          </cell>
          <cell r="U37">
            <v>465.1</v>
          </cell>
          <cell r="V37">
            <v>465.1</v>
          </cell>
          <cell r="X37">
            <v>448.3</v>
          </cell>
          <cell r="Y37">
            <v>373.8</v>
          </cell>
          <cell r="Z37">
            <v>534.70000000000005</v>
          </cell>
          <cell r="AE37" t="str">
            <v>mstag:incomeTaxPayable</v>
          </cell>
          <cell r="AF37">
            <v>6</v>
          </cell>
          <cell r="AG37" t="str">
            <v>ISO4217:EUR</v>
          </cell>
          <cell r="AH37" t="b">
            <v>0</v>
          </cell>
        </row>
        <row r="38">
          <cell r="A38" t="str">
            <v>Current Provisions</v>
          </cell>
          <cell r="D38">
            <v>201</v>
          </cell>
          <cell r="E38">
            <v>297</v>
          </cell>
          <cell r="F38">
            <v>227.1</v>
          </cell>
          <cell r="G38">
            <v>266.39999999999998</v>
          </cell>
          <cell r="H38">
            <v>374.5</v>
          </cell>
          <cell r="I38">
            <v>365.5</v>
          </cell>
          <cell r="J38">
            <v>684.3</v>
          </cell>
          <cell r="K38">
            <v>494.7</v>
          </cell>
          <cell r="L38">
            <v>494.7</v>
          </cell>
          <cell r="M38">
            <v>494.7</v>
          </cell>
          <cell r="N38">
            <v>494.7</v>
          </cell>
          <cell r="O38">
            <v>494.7</v>
          </cell>
          <cell r="P38">
            <v>494.7</v>
          </cell>
          <cell r="Q38">
            <v>494.7</v>
          </cell>
          <cell r="R38">
            <v>494.7</v>
          </cell>
          <cell r="S38">
            <v>494.7</v>
          </cell>
          <cell r="T38">
            <v>494.7</v>
          </cell>
          <cell r="U38">
            <v>494.7</v>
          </cell>
          <cell r="V38">
            <v>494.7</v>
          </cell>
          <cell r="X38">
            <v>642.9</v>
          </cell>
          <cell r="Y38">
            <v>514.4</v>
          </cell>
          <cell r="Z38">
            <v>576.1</v>
          </cell>
          <cell r="AE38" t="str">
            <v>mstag:provisionsAndReserves</v>
          </cell>
          <cell r="AF38">
            <v>6</v>
          </cell>
          <cell r="AG38" t="str">
            <v>ISO4217:EUR</v>
          </cell>
          <cell r="AH38" t="b">
            <v>0</v>
          </cell>
        </row>
        <row r="39">
          <cell r="A39" t="str">
            <v>Total Current Liabilities</v>
          </cell>
          <cell r="D39">
            <v>2065.1999999999998</v>
          </cell>
          <cell r="E39">
            <v>2570.6999999999998</v>
          </cell>
          <cell r="F39">
            <v>2378.4</v>
          </cell>
          <cell r="G39">
            <v>2820.0000000000005</v>
          </cell>
          <cell r="H39">
            <v>3359.6</v>
          </cell>
          <cell r="I39">
            <v>4362.2000000000007</v>
          </cell>
          <cell r="J39">
            <v>4561.6000000000004</v>
          </cell>
          <cell r="K39">
            <v>3898.7999999999997</v>
          </cell>
          <cell r="L39">
            <v>3937.891110808459</v>
          </cell>
          <cell r="M39">
            <v>4029.0729059681794</v>
          </cell>
          <cell r="N39">
            <v>4057.125928304431</v>
          </cell>
          <cell r="O39">
            <v>4101.0110089377713</v>
          </cell>
          <cell r="P39">
            <v>4135.3092645164743</v>
          </cell>
          <cell r="Q39">
            <v>4163.4987757576619</v>
          </cell>
          <cell r="R39">
            <v>4186.8383247499805</v>
          </cell>
          <cell r="S39">
            <v>4231.240747157829</v>
          </cell>
          <cell r="T39">
            <v>4259.3476844609986</v>
          </cell>
          <cell r="U39">
            <v>4300.5758551465269</v>
          </cell>
          <cell r="V39">
            <v>4346.3716497326914</v>
          </cell>
          <cell r="X39">
            <v>4620.5</v>
          </cell>
          <cell r="Y39">
            <v>4494.3999999999996</v>
          </cell>
          <cell r="Z39">
            <v>4079.7000000000003</v>
          </cell>
        </row>
        <row r="41">
          <cell r="A41" t="str">
            <v>Long Term Liabilities</v>
          </cell>
          <cell r="D41">
            <v>613.6</v>
          </cell>
          <cell r="E41">
            <v>1046.5999999999999</v>
          </cell>
          <cell r="F41">
            <v>1080.0999999999999</v>
          </cell>
          <cell r="G41">
            <v>1602.1</v>
          </cell>
          <cell r="H41">
            <v>5127.3999999999996</v>
          </cell>
          <cell r="I41">
            <v>4144.8999999999996</v>
          </cell>
          <cell r="J41">
            <v>3362.1000000000004</v>
          </cell>
          <cell r="K41">
            <v>3257.5</v>
          </cell>
          <cell r="L41">
            <v>3125</v>
          </cell>
          <cell r="M41">
            <v>2720</v>
          </cell>
          <cell r="N41">
            <v>2585</v>
          </cell>
          <cell r="O41">
            <v>2450</v>
          </cell>
          <cell r="P41">
            <v>2315</v>
          </cell>
          <cell r="Q41">
            <v>2180</v>
          </cell>
          <cell r="R41">
            <v>2045</v>
          </cell>
          <cell r="S41">
            <v>1910</v>
          </cell>
          <cell r="T41">
            <v>1775</v>
          </cell>
          <cell r="U41">
            <v>1640</v>
          </cell>
          <cell r="V41">
            <v>1505</v>
          </cell>
          <cell r="X41">
            <v>3365.3</v>
          </cell>
          <cell r="Y41">
            <v>3303.2</v>
          </cell>
          <cell r="Z41">
            <v>3274.4</v>
          </cell>
          <cell r="AE41" t="str">
            <v>mstag:longTermDebt</v>
          </cell>
          <cell r="AF41">
            <v>6</v>
          </cell>
          <cell r="AG41" t="str">
            <v>ISO4217:EUR</v>
          </cell>
          <cell r="AH41" t="b">
            <v>0</v>
          </cell>
          <cell r="AI41" t="b">
            <v>0</v>
          </cell>
        </row>
        <row r="42">
          <cell r="A42" t="str">
            <v>Provisions for Pensions and Other Post-Employment Benefits</v>
          </cell>
          <cell r="D42">
            <v>1282.3</v>
          </cell>
          <cell r="E42">
            <v>1185.5</v>
          </cell>
          <cell r="F42">
            <v>1144</v>
          </cell>
          <cell r="G42">
            <v>1311.5</v>
          </cell>
          <cell r="H42">
            <v>1581.6</v>
          </cell>
          <cell r="I42">
            <v>1140.3</v>
          </cell>
          <cell r="J42">
            <v>1211.7</v>
          </cell>
          <cell r="K42">
            <v>910.9</v>
          </cell>
          <cell r="L42">
            <v>1003.4292138235274</v>
          </cell>
          <cell r="M42">
            <v>1084.2076490353727</v>
          </cell>
          <cell r="N42">
            <v>1169.2533243842206</v>
          </cell>
          <cell r="O42">
            <v>1258.7606825123523</v>
          </cell>
          <cell r="P42">
            <v>1352.932389188293</v>
          </cell>
          <cell r="Q42">
            <v>1451.9796658885448</v>
          </cell>
          <cell r="R42">
            <v>1556.122635440646</v>
          </cell>
          <cell r="S42">
            <v>1665.5906812300382</v>
          </cell>
          <cell r="T42">
            <v>1780.6228204922609</v>
          </cell>
          <cell r="U42">
            <v>1901.4680922317543</v>
          </cell>
          <cell r="V42">
            <v>2028.3859603290537</v>
          </cell>
          <cell r="X42">
            <v>1308.3</v>
          </cell>
          <cell r="Y42">
            <v>1268.5</v>
          </cell>
          <cell r="Z42">
            <v>1240.2</v>
          </cell>
          <cell r="AE42" t="str">
            <v>mstag:pensionAndOtherPostRetirementObligations</v>
          </cell>
          <cell r="AF42">
            <v>6</v>
          </cell>
          <cell r="AG42" t="str">
            <v>ISO4217:EUR</v>
          </cell>
          <cell r="AH42" t="b">
            <v>0</v>
          </cell>
          <cell r="AI42" t="b">
            <v>0</v>
          </cell>
        </row>
        <row r="43">
          <cell r="A43" t="str">
            <v>Other Non-Current Liabilities</v>
          </cell>
          <cell r="D43">
            <v>0</v>
          </cell>
          <cell r="E43">
            <v>39.5</v>
          </cell>
          <cell r="F43">
            <v>19.600000000000001</v>
          </cell>
          <cell r="G43">
            <v>16.899999999999999</v>
          </cell>
          <cell r="H43">
            <v>42.9</v>
          </cell>
          <cell r="I43">
            <v>43.6</v>
          </cell>
          <cell r="J43">
            <v>9.4</v>
          </cell>
          <cell r="K43">
            <v>5.6</v>
          </cell>
          <cell r="L43">
            <v>5.6</v>
          </cell>
          <cell r="M43">
            <v>5.6</v>
          </cell>
          <cell r="N43">
            <v>5.6</v>
          </cell>
          <cell r="O43">
            <v>5.6</v>
          </cell>
          <cell r="P43">
            <v>5.6</v>
          </cell>
          <cell r="Q43">
            <v>5.6</v>
          </cell>
          <cell r="R43">
            <v>5.6</v>
          </cell>
          <cell r="S43">
            <v>5.6</v>
          </cell>
          <cell r="T43">
            <v>5.6</v>
          </cell>
          <cell r="U43">
            <v>5.6</v>
          </cell>
          <cell r="V43">
            <v>5.6</v>
          </cell>
          <cell r="X43">
            <v>16.600000000000001</v>
          </cell>
          <cell r="Y43">
            <v>7.9</v>
          </cell>
          <cell r="Z43">
            <v>6.5</v>
          </cell>
          <cell r="AE43" t="str">
            <v>mstag:otherLiabilitiesOperatingNonCurrent</v>
          </cell>
          <cell r="AF43">
            <v>6</v>
          </cell>
          <cell r="AG43" t="str">
            <v>ISO4217:EUR</v>
          </cell>
          <cell r="AH43" t="b">
            <v>0</v>
          </cell>
        </row>
        <row r="44">
          <cell r="A44" t="str">
            <v>Non-Current Provisions</v>
          </cell>
          <cell r="D44">
            <v>284.60000000000002</v>
          </cell>
          <cell r="E44">
            <v>570</v>
          </cell>
          <cell r="F44">
            <v>563.4</v>
          </cell>
          <cell r="G44">
            <v>685</v>
          </cell>
          <cell r="H44">
            <v>524.20000000000005</v>
          </cell>
          <cell r="I44">
            <v>617</v>
          </cell>
          <cell r="J44">
            <v>891.7</v>
          </cell>
          <cell r="K44">
            <v>1011.1</v>
          </cell>
          <cell r="L44">
            <v>1011.1</v>
          </cell>
          <cell r="M44">
            <v>1011.1</v>
          </cell>
          <cell r="N44">
            <v>1011.1</v>
          </cell>
          <cell r="O44">
            <v>1011.1</v>
          </cell>
          <cell r="P44">
            <v>1011.1</v>
          </cell>
          <cell r="Q44">
            <v>1011.1</v>
          </cell>
          <cell r="R44">
            <v>1011.1</v>
          </cell>
          <cell r="S44">
            <v>1011.1</v>
          </cell>
          <cell r="T44">
            <v>1011.1</v>
          </cell>
          <cell r="U44">
            <v>1011.1</v>
          </cell>
          <cell r="V44">
            <v>1011.1</v>
          </cell>
          <cell r="X44">
            <v>947.1</v>
          </cell>
          <cell r="Y44">
            <v>1029.8</v>
          </cell>
          <cell r="Z44">
            <v>1001.5</v>
          </cell>
          <cell r="AE44" t="str">
            <v>mstag:provisionsAndReserves</v>
          </cell>
          <cell r="AF44">
            <v>6</v>
          </cell>
          <cell r="AG44" t="str">
            <v>ISO4217:EUR</v>
          </cell>
          <cell r="AH44" t="b">
            <v>0</v>
          </cell>
          <cell r="AI44" t="b">
            <v>0</v>
          </cell>
        </row>
        <row r="45">
          <cell r="A45" t="str">
            <v>Deferred Tax Liabilities</v>
          </cell>
          <cell r="D45">
            <v>49.4</v>
          </cell>
          <cell r="E45">
            <v>822.4</v>
          </cell>
          <cell r="F45">
            <v>896.2</v>
          </cell>
          <cell r="G45">
            <v>763.5</v>
          </cell>
          <cell r="H45">
            <v>1380.5</v>
          </cell>
          <cell r="I45">
            <v>1319.6</v>
          </cell>
          <cell r="J45">
            <v>1192</v>
          </cell>
          <cell r="K45">
            <v>665.5</v>
          </cell>
          <cell r="L45">
            <v>665.5</v>
          </cell>
          <cell r="M45">
            <v>665.5</v>
          </cell>
          <cell r="N45">
            <v>665.5</v>
          </cell>
          <cell r="O45">
            <v>665.5</v>
          </cell>
          <cell r="P45">
            <v>665.5</v>
          </cell>
          <cell r="Q45">
            <v>665.5</v>
          </cell>
          <cell r="R45">
            <v>665.5</v>
          </cell>
          <cell r="S45">
            <v>665.5</v>
          </cell>
          <cell r="T45">
            <v>665.5</v>
          </cell>
          <cell r="U45">
            <v>665.5</v>
          </cell>
          <cell r="V45">
            <v>665.5</v>
          </cell>
          <cell r="X45">
            <v>1181.7</v>
          </cell>
          <cell r="Y45">
            <v>1151.3</v>
          </cell>
          <cell r="Z45">
            <v>942.9</v>
          </cell>
          <cell r="AE45" t="str">
            <v>mstag:deferredTaxLiabilitiesNonCurrent</v>
          </cell>
          <cell r="AF45">
            <v>6</v>
          </cell>
          <cell r="AG45" t="str">
            <v>ISO4217:EUR</v>
          </cell>
          <cell r="AH45" t="b">
            <v>0</v>
          </cell>
          <cell r="AI45" t="b">
            <v>0</v>
          </cell>
        </row>
        <row r="46">
          <cell r="A46" t="str">
            <v>Total Non-Current Liabilities</v>
          </cell>
          <cell r="D46">
            <v>2229.9</v>
          </cell>
          <cell r="E46">
            <v>3664</v>
          </cell>
          <cell r="F46">
            <v>3703.3</v>
          </cell>
          <cell r="G46">
            <v>4379</v>
          </cell>
          <cell r="H46">
            <v>8656.5999999999985</v>
          </cell>
          <cell r="I46">
            <v>7265.4</v>
          </cell>
          <cell r="J46">
            <v>6666.9</v>
          </cell>
          <cell r="K46">
            <v>5850.6</v>
          </cell>
          <cell r="L46">
            <v>5810.6292138235285</v>
          </cell>
          <cell r="M46">
            <v>5486.4076490353727</v>
          </cell>
          <cell r="N46">
            <v>5436.4533243842207</v>
          </cell>
          <cell r="O46">
            <v>5390.9606825123519</v>
          </cell>
          <cell r="P46">
            <v>5350.132389188293</v>
          </cell>
          <cell r="Q46">
            <v>5314.1796658885451</v>
          </cell>
          <cell r="R46">
            <v>5283.3226354406461</v>
          </cell>
          <cell r="S46">
            <v>5257.790681230038</v>
          </cell>
          <cell r="T46">
            <v>5237.8228204922607</v>
          </cell>
          <cell r="U46">
            <v>5223.6680922317546</v>
          </cell>
          <cell r="V46">
            <v>5215.5859603290537</v>
          </cell>
          <cell r="X46">
            <v>6819.0000000000009</v>
          </cell>
          <cell r="Y46">
            <v>6760.7</v>
          </cell>
          <cell r="Z46">
            <v>6465.5</v>
          </cell>
        </row>
        <row r="48">
          <cell r="A48" t="str">
            <v>Total Liabilities</v>
          </cell>
          <cell r="D48">
            <v>4295.1000000000004</v>
          </cell>
          <cell r="E48">
            <v>6234.7</v>
          </cell>
          <cell r="F48">
            <v>6081.7000000000007</v>
          </cell>
          <cell r="G48">
            <v>7199</v>
          </cell>
          <cell r="H48">
            <v>12016.199999999999</v>
          </cell>
          <cell r="I48">
            <v>11627.6</v>
          </cell>
          <cell r="J48">
            <v>11228.5</v>
          </cell>
          <cell r="K48">
            <v>9749.4</v>
          </cell>
          <cell r="L48">
            <v>9748.520324631987</v>
          </cell>
          <cell r="M48">
            <v>9515.4805550035526</v>
          </cell>
          <cell r="N48">
            <v>9493.5792526886507</v>
          </cell>
          <cell r="O48">
            <v>9491.9716914501223</v>
          </cell>
          <cell r="P48">
            <v>9485.4416537047673</v>
          </cell>
          <cell r="Q48">
            <v>9477.6784416462069</v>
          </cell>
          <cell r="R48">
            <v>9470.1609601906275</v>
          </cell>
          <cell r="S48">
            <v>9489.031428387867</v>
          </cell>
          <cell r="T48">
            <v>9497.1705049532593</v>
          </cell>
          <cell r="U48">
            <v>9524.2439473782815</v>
          </cell>
          <cell r="V48">
            <v>9561.9576100617451</v>
          </cell>
          <cell r="X48">
            <v>11439.5</v>
          </cell>
          <cell r="Y48">
            <v>11255.099999999999</v>
          </cell>
          <cell r="Z48">
            <v>10545.2</v>
          </cell>
        </row>
        <row r="49">
          <cell r="A49" t="str">
            <v>Minority Interests</v>
          </cell>
          <cell r="D49">
            <v>54.1</v>
          </cell>
          <cell r="E49">
            <v>61.9</v>
          </cell>
          <cell r="F49">
            <v>57.6</v>
          </cell>
          <cell r="G49">
            <v>53.5</v>
          </cell>
          <cell r="H49">
            <v>42</v>
          </cell>
          <cell r="I49">
            <v>46.3</v>
          </cell>
          <cell r="J49">
            <v>53.4</v>
          </cell>
          <cell r="K49">
            <v>49.2</v>
          </cell>
          <cell r="L49">
            <v>56.294100122467178</v>
          </cell>
          <cell r="M49">
            <v>63.692564748342058</v>
          </cell>
          <cell r="N49">
            <v>71.713986303489321</v>
          </cell>
          <cell r="O49">
            <v>79.670537506505681</v>
          </cell>
          <cell r="P49">
            <v>87.493432574629466</v>
          </cell>
          <cell r="Q49">
            <v>95.280014308027262</v>
          </cell>
          <cell r="R49">
            <v>103.02476636723745</v>
          </cell>
          <cell r="S49">
            <v>110.71664746608809</v>
          </cell>
          <cell r="T49">
            <v>118.40692422047952</v>
          </cell>
          <cell r="U49">
            <v>126.13356003094151</v>
          </cell>
          <cell r="V49">
            <v>134.06728039668565</v>
          </cell>
          <cell r="X49">
            <v>54</v>
          </cell>
          <cell r="Y49">
            <v>49.5</v>
          </cell>
          <cell r="Z49">
            <v>48.1</v>
          </cell>
          <cell r="AE49" t="str">
            <v>mstag:minorityInterestsInShareholdersEquity</v>
          </cell>
          <cell r="AF49">
            <v>6</v>
          </cell>
          <cell r="AG49" t="str">
            <v>ISO4217:EUR</v>
          </cell>
          <cell r="AH49" t="b">
            <v>0</v>
          </cell>
          <cell r="AI49" t="b">
            <v>0</v>
          </cell>
        </row>
        <row r="51">
          <cell r="A51" t="str">
            <v>Total Liabilities and Stockholders’ Equity</v>
          </cell>
          <cell r="D51">
            <v>8102.5</v>
          </cell>
          <cell r="E51">
            <v>14922.3</v>
          </cell>
          <cell r="F51">
            <v>15644.700000000003</v>
          </cell>
          <cell r="G51">
            <v>16712.599999999999</v>
          </cell>
          <cell r="H51">
            <v>22388</v>
          </cell>
          <cell r="I51">
            <v>22121.9</v>
          </cell>
          <cell r="J51">
            <v>21643.3</v>
          </cell>
          <cell r="K51">
            <v>20818.600000000002</v>
          </cell>
          <cell r="L51">
            <v>21182.340149583939</v>
          </cell>
          <cell r="M51">
            <v>21772.918426490658</v>
          </cell>
          <cell r="N51">
            <v>22736.728780008918</v>
          </cell>
          <cell r="O51">
            <v>23695.464640623592</v>
          </cell>
          <cell r="P51">
            <v>24899.104566430309</v>
          </cell>
          <cell r="Q51">
            <v>26061.930952717525</v>
          </cell>
          <cell r="R51">
            <v>27183.327403058272</v>
          </cell>
          <cell r="S51">
            <v>28283.291173893347</v>
          </cell>
          <cell r="T51">
            <v>29337.682813657528</v>
          </cell>
          <cell r="U51">
            <v>30384.741149258109</v>
          </cell>
          <cell r="V51">
            <v>31456.93933461469</v>
          </cell>
          <cell r="X51">
            <v>21953.9</v>
          </cell>
          <cell r="Y51">
            <v>21790.3</v>
          </cell>
          <cell r="Z51">
            <v>21326.400000000001</v>
          </cell>
          <cell r="AE51" t="str">
            <v xml:space="preserve"> </v>
          </cell>
        </row>
        <row r="56">
          <cell r="A56" t="str">
            <v>Balancing Check</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X56">
            <v>9.9999999998544808E-2</v>
          </cell>
          <cell r="Y56">
            <v>-0.10000000000218279</v>
          </cell>
          <cell r="Z56">
            <v>0</v>
          </cell>
        </row>
        <row r="57">
          <cell r="A57" t="str">
            <v>e = Morgan Stanley Research estimates; Source: Company Data, Morgan Stanley Research</v>
          </cell>
        </row>
        <row r="58">
          <cell r="A58" t="str">
            <v>Book Value</v>
          </cell>
          <cell r="D58">
            <v>3753.2999999999997</v>
          </cell>
          <cell r="E58">
            <v>8625.6999999999989</v>
          </cell>
          <cell r="F58">
            <v>9505.3999999999978</v>
          </cell>
          <cell r="G58">
            <v>9460.0999999999985</v>
          </cell>
          <cell r="H58">
            <v>10329.800000000001</v>
          </cell>
          <cell r="I58">
            <v>10448.000000000002</v>
          </cell>
          <cell r="J58">
            <v>10361.400000000003</v>
          </cell>
          <cell r="K58">
            <v>11020.000000000005</v>
          </cell>
          <cell r="L58">
            <v>11377.525724829484</v>
          </cell>
          <cell r="M58">
            <v>12193.745306738763</v>
          </cell>
          <cell r="N58">
            <v>13171.435541016781</v>
          </cell>
          <cell r="O58">
            <v>14123.822411666964</v>
          </cell>
          <cell r="P58">
            <v>15326.16948015092</v>
          </cell>
          <cell r="Q58">
            <v>16488.972496763294</v>
          </cell>
          <cell r="R58">
            <v>17610.141676500403</v>
          </cell>
          <cell r="S58">
            <v>18683.54309803939</v>
          </cell>
          <cell r="T58">
            <v>19722.105384483788</v>
          </cell>
          <cell r="U58">
            <v>20734.363641848879</v>
          </cell>
          <cell r="V58">
            <v>21760.914444156253</v>
          </cell>
        </row>
        <row r="59">
          <cell r="A59" t="str">
            <v>Book Value per Share (€)</v>
          </cell>
          <cell r="D59">
            <v>19.346907216494845</v>
          </cell>
          <cell r="E59">
            <v>39.952848672281718</v>
          </cell>
          <cell r="F59">
            <v>43.723091076356937</v>
          </cell>
          <cell r="G59">
            <v>43.516933490346531</v>
          </cell>
          <cell r="H59">
            <v>47.517597019966139</v>
          </cell>
          <cell r="I59">
            <v>48.05887764489421</v>
          </cell>
          <cell r="J59">
            <v>47.660533578656867</v>
          </cell>
          <cell r="K59">
            <v>50.689972401103979</v>
          </cell>
          <cell r="L59">
            <v>52.337187794221137</v>
          </cell>
          <cell r="M59">
            <v>56.091838723858721</v>
          </cell>
          <cell r="N59">
            <v>60.589262736209314</v>
          </cell>
          <cell r="O59">
            <v>64.970290009405502</v>
          </cell>
          <cell r="P59">
            <v>70.501146703471051</v>
          </cell>
          <cell r="Q59">
            <v>75.850098779695927</v>
          </cell>
          <cell r="R59">
            <v>81.007533122466739</v>
          </cell>
          <cell r="S59">
            <v>85.945233386687576</v>
          </cell>
          <cell r="T59">
            <v>90.722671885729142</v>
          </cell>
          <cell r="U59">
            <v>95.379110534454909</v>
          </cell>
          <cell r="V59">
            <v>100.10129560527572</v>
          </cell>
        </row>
        <row r="60">
          <cell r="A60" t="str">
            <v>Net financial debt (Merck KGaA definition)</v>
          </cell>
          <cell r="D60">
            <v>518.79999999999995</v>
          </cell>
          <cell r="E60">
            <v>355.1</v>
          </cell>
          <cell r="F60">
            <v>476.7999999999999</v>
          </cell>
          <cell r="G60">
            <v>262.70000000000005</v>
          </cell>
          <cell r="H60">
            <v>4484.2</v>
          </cell>
          <cell r="I60">
            <v>3484.4</v>
          </cell>
          <cell r="J60">
            <v>1925.900000000001</v>
          </cell>
          <cell r="K60">
            <v>306.60000000000036</v>
          </cell>
          <cell r="L60">
            <v>932.28805460488184</v>
          </cell>
          <cell r="M60">
            <v>-650.72661150312456</v>
          </cell>
          <cell r="N60">
            <v>-2424.240814909389</v>
          </cell>
          <cell r="O60">
            <v>-4157.8101130206751</v>
          </cell>
          <cell r="P60">
            <v>-5839.9633024742388</v>
          </cell>
          <cell r="Q60">
            <v>-7483.2168011283993</v>
          </cell>
          <cell r="R60">
            <v>-9095.0915106908578</v>
          </cell>
          <cell r="S60">
            <v>-10667.022659820796</v>
          </cell>
          <cell r="T60">
            <v>-12220.527661818564</v>
          </cell>
          <cell r="U60">
            <v>-13812.382784506208</v>
          </cell>
          <cell r="V60">
            <v>-15340.778805902157</v>
          </cell>
        </row>
        <row r="61">
          <cell r="A61" t="str">
            <v>Net debt (incl pensions)</v>
          </cell>
          <cell r="D61">
            <v>1801.1</v>
          </cell>
          <cell r="E61">
            <v>1540.6</v>
          </cell>
          <cell r="F61">
            <v>1620.8</v>
          </cell>
          <cell r="G61">
            <v>1574.2</v>
          </cell>
          <cell r="H61">
            <v>6065.7999999999993</v>
          </cell>
          <cell r="I61">
            <v>4624.7</v>
          </cell>
          <cell r="J61">
            <v>3137.6000000000013</v>
          </cell>
          <cell r="K61">
            <v>1217.5000000000005</v>
          </cell>
          <cell r="L61">
            <v>1935.7172684284092</v>
          </cell>
          <cell r="M61">
            <v>433.48103753224814</v>
          </cell>
          <cell r="N61">
            <v>-1254.9874905251684</v>
          </cell>
          <cell r="O61">
            <v>-2899.049430508323</v>
          </cell>
          <cell r="P61">
            <v>-4487.0309132859456</v>
          </cell>
          <cell r="Q61">
            <v>-6031.237135239855</v>
          </cell>
          <cell r="R61">
            <v>-7538.9688752502116</v>
          </cell>
          <cell r="S61">
            <v>-9001.4319785907574</v>
          </cell>
          <cell r="T61">
            <v>-10439.904841326303</v>
          </cell>
          <cell r="U61">
            <v>-11910.914692274453</v>
          </cell>
          <cell r="V61">
            <v>-13312.392845573104</v>
          </cell>
        </row>
        <row r="62">
          <cell r="A62" t="str">
            <v>Capital Employed</v>
          </cell>
          <cell r="D62">
            <v>6037.3</v>
          </cell>
          <cell r="E62">
            <v>12351.599999999999</v>
          </cell>
          <cell r="F62">
            <v>13266.3</v>
          </cell>
          <cell r="G62">
            <v>13892.599999999999</v>
          </cell>
          <cell r="H62">
            <v>19028.400000000001</v>
          </cell>
          <cell r="I62">
            <v>17759.7</v>
          </cell>
          <cell r="J62">
            <v>17081.700000000004</v>
          </cell>
          <cell r="K62">
            <v>16919.800000000007</v>
          </cell>
          <cell r="L62">
            <v>17244.449038775481</v>
          </cell>
          <cell r="M62">
            <v>17743.845520522478</v>
          </cell>
          <cell r="N62">
            <v>18679.602851704491</v>
          </cell>
          <cell r="O62">
            <v>19594.453631685821</v>
          </cell>
          <cell r="P62">
            <v>20763.795301913844</v>
          </cell>
          <cell r="Q62">
            <v>21898.432176959868</v>
          </cell>
          <cell r="R62">
            <v>22996.489078308288</v>
          </cell>
          <cell r="S62">
            <v>24052.050426735517</v>
          </cell>
          <cell r="T62">
            <v>25078.335129196526</v>
          </cell>
          <cell r="U62">
            <v>26084.165294111575</v>
          </cell>
          <cell r="V62">
            <v>27110.567684881993</v>
          </cell>
        </row>
        <row r="63">
          <cell r="A63" t="str">
            <v>Total Interest Bearing Debt</v>
          </cell>
          <cell r="D63">
            <v>1112</v>
          </cell>
          <cell r="E63">
            <v>1347</v>
          </cell>
          <cell r="F63">
            <v>1346.3</v>
          </cell>
          <cell r="G63">
            <v>2307.3000000000002</v>
          </cell>
          <cell r="H63">
            <v>5483.5</v>
          </cell>
          <cell r="I63">
            <v>5539.3</v>
          </cell>
          <cell r="J63">
            <v>4453.5000000000009</v>
          </cell>
          <cell r="K63">
            <v>3697.9</v>
          </cell>
          <cell r="L63">
            <v>3583.4882352941177</v>
          </cell>
          <cell r="M63">
            <v>3178.4882352941177</v>
          </cell>
          <cell r="N63">
            <v>3043.4882352941177</v>
          </cell>
          <cell r="O63">
            <v>2908.4882352941177</v>
          </cell>
          <cell r="P63">
            <v>2773.4882352941177</v>
          </cell>
          <cell r="Q63">
            <v>2638.4882352941177</v>
          </cell>
          <cell r="R63">
            <v>2503.4882352941177</v>
          </cell>
          <cell r="S63">
            <v>2368.4882352941177</v>
          </cell>
          <cell r="T63">
            <v>2233.4882352941177</v>
          </cell>
          <cell r="U63">
            <v>2098.4882352941177</v>
          </cell>
          <cell r="V63">
            <v>1963.4882352941179</v>
          </cell>
        </row>
        <row r="67">
          <cell r="A67" t="str">
            <v>FIGURES FOR WORKINGS</v>
          </cell>
        </row>
        <row r="68">
          <cell r="A68" t="str">
            <v>Sales</v>
          </cell>
          <cell r="D68">
            <v>4459.7999999999993</v>
          </cell>
          <cell r="E68">
            <v>7057.3</v>
          </cell>
          <cell r="F68">
            <v>7589.5</v>
          </cell>
          <cell r="G68">
            <v>7746.9627483999902</v>
          </cell>
          <cell r="H68">
            <v>9290.5957817500075</v>
          </cell>
          <cell r="I68">
            <v>10276.481710120002</v>
          </cell>
          <cell r="J68">
            <v>11172.7</v>
          </cell>
          <cell r="K68">
            <v>11095.1</v>
          </cell>
          <cell r="L68">
            <v>11190.663411536307</v>
          </cell>
          <cell r="M68">
            <v>11447.203938008563</v>
          </cell>
          <cell r="N68">
            <v>11587.314006160859</v>
          </cell>
          <cell r="O68">
            <v>11700.293463749167</v>
          </cell>
          <cell r="P68">
            <v>11781.405304705513</v>
          </cell>
          <cell r="Q68">
            <v>11872.702344209405</v>
          </cell>
          <cell r="R68">
            <v>11949.579107907359</v>
          </cell>
          <cell r="S68">
            <v>12059.33544603158</v>
          </cell>
          <cell r="T68">
            <v>12171.194690543623</v>
          </cell>
          <cell r="U68">
            <v>12315.862904417241</v>
          </cell>
          <cell r="V68">
            <v>12557.243418788228</v>
          </cell>
        </row>
        <row r="69">
          <cell r="A69" t="str">
            <v>Sales Growth</v>
          </cell>
          <cell r="E69">
            <v>0.58242522086192228</v>
          </cell>
          <cell r="F69">
            <v>7.5411276267127736E-2</v>
          </cell>
          <cell r="G69">
            <v>2.0747446920085677E-2</v>
          </cell>
          <cell r="H69">
            <v>0.19925654524011094</v>
          </cell>
          <cell r="I69">
            <v>0.10611654532496417</v>
          </cell>
          <cell r="J69">
            <v>8.721061499067595E-2</v>
          </cell>
          <cell r="K69">
            <v>-6.9455010874721612E-3</v>
          </cell>
          <cell r="L69">
            <v>8.6131185420867951E-3</v>
          </cell>
          <cell r="M69">
            <v>2.2924514574157451E-2</v>
          </cell>
          <cell r="N69">
            <v>1.2239676073830141E-2</v>
          </cell>
          <cell r="O69">
            <v>9.7502715062556256E-3</v>
          </cell>
          <cell r="P69">
            <v>6.9324620965836026E-3</v>
          </cell>
          <cell r="Q69">
            <v>7.7492486798180771E-3</v>
          </cell>
          <cell r="R69">
            <v>6.4750855760691284E-3</v>
          </cell>
          <cell r="S69">
            <v>9.1849543095281483E-3</v>
          </cell>
          <cell r="T69">
            <v>9.2757387015760528E-3</v>
          </cell>
          <cell r="U69">
            <v>1.1886114514791046E-2</v>
          </cell>
          <cell r="V69">
            <v>1.9599155677870739E-2</v>
          </cell>
        </row>
        <row r="70">
          <cell r="A70" t="str">
            <v>Cost of Sales</v>
          </cell>
          <cell r="D70">
            <v>-1567.3</v>
          </cell>
          <cell r="E70">
            <v>-1779.7</v>
          </cell>
          <cell r="F70">
            <v>-1905.8999999999999</v>
          </cell>
          <cell r="G70">
            <v>-2029.4</v>
          </cell>
          <cell r="H70">
            <v>-2385.3999999999996</v>
          </cell>
          <cell r="I70">
            <v>-2785.5</v>
          </cell>
          <cell r="J70">
            <v>-3157.7</v>
          </cell>
          <cell r="K70">
            <v>-2992.4</v>
          </cell>
          <cell r="L70">
            <v>-3100.323755270364</v>
          </cell>
          <cell r="M70">
            <v>-3304.4191265090549</v>
          </cell>
          <cell r="N70">
            <v>-3376.4364144491842</v>
          </cell>
          <cell r="O70">
            <v>-3465.4406747914454</v>
          </cell>
          <cell r="P70">
            <v>-3542.2116485687552</v>
          </cell>
          <cell r="Q70">
            <v>-3605.3092082486164</v>
          </cell>
          <cell r="R70">
            <v>-3667.5716168702666</v>
          </cell>
          <cell r="S70">
            <v>-3756.9384098577707</v>
          </cell>
          <cell r="T70">
            <v>-3830.3164870242299</v>
          </cell>
          <cell r="U70">
            <v>-3912.133584289687</v>
          </cell>
          <cell r="V70">
            <v>-4014.639897977213</v>
          </cell>
        </row>
        <row r="71">
          <cell r="A71" t="str">
            <v>Net Income</v>
          </cell>
          <cell r="D71">
            <v>788.69999999999891</v>
          </cell>
          <cell r="E71">
            <v>-107.63320385999987</v>
          </cell>
          <cell r="F71">
            <v>367.01318287000015</v>
          </cell>
          <cell r="G71">
            <v>366.52198574999028</v>
          </cell>
          <cell r="H71">
            <v>631.91646919000721</v>
          </cell>
          <cell r="I71">
            <v>607.18171012000164</v>
          </cell>
          <cell r="J71">
            <v>566.60000000000116</v>
          </cell>
          <cell r="K71">
            <v>1202.1000000000004</v>
          </cell>
          <cell r="L71">
            <v>1025.1658642294828</v>
          </cell>
          <cell r="M71">
            <v>1284.9292282792792</v>
          </cell>
          <cell r="N71">
            <v>1469.8353629665155</v>
          </cell>
          <cell r="O71">
            <v>1469.1392557731092</v>
          </cell>
          <cell r="P71">
            <v>1744.9370728630245</v>
          </cell>
          <cell r="Q71">
            <v>1732.5225212104019</v>
          </cell>
          <cell r="R71">
            <v>1719.3746595650398</v>
          </cell>
          <cell r="S71">
            <v>1701.5171753583111</v>
          </cell>
          <cell r="T71">
            <v>1698.0838279546854</v>
          </cell>
          <cell r="U71">
            <v>1704.7558759508956</v>
          </cell>
          <cell r="V71">
            <v>1753.6733018224668</v>
          </cell>
        </row>
        <row r="72">
          <cell r="A72" t="str">
            <v>Dividends</v>
          </cell>
          <cell r="D72">
            <v>-279.10000000000002</v>
          </cell>
          <cell r="E72">
            <v>-612.79999999999995</v>
          </cell>
          <cell r="F72">
            <v>-452.4</v>
          </cell>
          <cell r="G72">
            <v>-282.60000000000002</v>
          </cell>
          <cell r="H72">
            <v>-347.20000000000005</v>
          </cell>
          <cell r="I72">
            <v>-413.3</v>
          </cell>
          <cell r="J72">
            <v>-407.1</v>
          </cell>
          <cell r="K72">
            <v>-418.1</v>
          </cell>
          <cell r="L72">
            <v>-446.39013940000001</v>
          </cell>
          <cell r="M72">
            <v>-468.70964636999997</v>
          </cell>
          <cell r="N72">
            <v>-492.14512868849999</v>
          </cell>
          <cell r="O72">
            <v>-516.75238512292503</v>
          </cell>
          <cell r="P72">
            <v>-542.59000437907127</v>
          </cell>
          <cell r="Q72">
            <v>-569.71950459802486</v>
          </cell>
          <cell r="R72">
            <v>-598.20547982792618</v>
          </cell>
          <cell r="S72">
            <v>-628.11575381932244</v>
          </cell>
          <cell r="T72">
            <v>-659.52154151028867</v>
          </cell>
          <cell r="U72">
            <v>-692.49761858580314</v>
          </cell>
          <cell r="V72">
            <v>-727.1224995150933</v>
          </cell>
        </row>
        <row r="73">
          <cell r="A73" t="str">
            <v>Retained Earnings</v>
          </cell>
          <cell r="D73">
            <v>509.59999999999889</v>
          </cell>
          <cell r="E73">
            <v>-720.43320385999982</v>
          </cell>
          <cell r="F73">
            <v>-85.386817129999827</v>
          </cell>
          <cell r="G73">
            <v>83.921985749990256</v>
          </cell>
          <cell r="H73">
            <v>284.71646919000716</v>
          </cell>
          <cell r="I73">
            <v>193.88171012000163</v>
          </cell>
          <cell r="J73">
            <v>159.50000000000114</v>
          </cell>
          <cell r="K73">
            <v>784.00000000000034</v>
          </cell>
          <cell r="L73">
            <v>578.7757248294829</v>
          </cell>
          <cell r="M73">
            <v>816.21958190927921</v>
          </cell>
          <cell r="N73">
            <v>977.69023427801551</v>
          </cell>
          <cell r="O73">
            <v>952.38687065018416</v>
          </cell>
          <cell r="P73">
            <v>1202.3470684839531</v>
          </cell>
          <cell r="Q73">
            <v>1162.8030166123772</v>
          </cell>
          <cell r="R73">
            <v>1121.1691797371136</v>
          </cell>
          <cell r="S73">
            <v>1073.4014215389886</v>
          </cell>
          <cell r="T73">
            <v>1038.5622864443967</v>
          </cell>
          <cell r="U73">
            <v>1012.2582573650925</v>
          </cell>
          <cell r="V73">
            <v>1026.5508023073735</v>
          </cell>
        </row>
        <row r="74">
          <cell r="A74" t="str">
            <v>Cumulative Amortisation on Goodwill</v>
          </cell>
          <cell r="D74">
            <v>0.4</v>
          </cell>
          <cell r="E74">
            <v>0.10000000000000003</v>
          </cell>
          <cell r="F74">
            <v>42.2</v>
          </cell>
          <cell r="G74">
            <v>38.800000000000004</v>
          </cell>
          <cell r="H74">
            <v>42.2</v>
          </cell>
          <cell r="I74">
            <v>42.400000000000006</v>
          </cell>
          <cell r="J74">
            <v>0</v>
          </cell>
          <cell r="K74">
            <v>0</v>
          </cell>
          <cell r="L74">
            <v>0</v>
          </cell>
          <cell r="M74">
            <v>0</v>
          </cell>
          <cell r="N74">
            <v>0</v>
          </cell>
          <cell r="O74">
            <v>0</v>
          </cell>
          <cell r="P74">
            <v>0</v>
          </cell>
          <cell r="Q74">
            <v>0</v>
          </cell>
          <cell r="R74">
            <v>0</v>
          </cell>
          <cell r="S74">
            <v>0</v>
          </cell>
          <cell r="T74">
            <v>0</v>
          </cell>
          <cell r="U74">
            <v>0</v>
          </cell>
          <cell r="V74">
            <v>0</v>
          </cell>
        </row>
        <row r="76">
          <cell r="A76" t="str">
            <v>INPUTS</v>
          </cell>
        </row>
        <row r="77">
          <cell r="A77" t="str">
            <v>1) WORKING CAPITAL</v>
          </cell>
        </row>
        <row r="78">
          <cell r="A78" t="str">
            <v>Inventories</v>
          </cell>
          <cell r="D78">
            <v>1218.3</v>
          </cell>
          <cell r="E78">
            <v>1158.5</v>
          </cell>
          <cell r="F78">
            <v>1407.4</v>
          </cell>
          <cell r="G78">
            <v>1367.9</v>
          </cell>
          <cell r="H78">
            <v>1673.5</v>
          </cell>
          <cell r="I78">
            <v>1691.1</v>
          </cell>
          <cell r="J78">
            <v>1533.9</v>
          </cell>
          <cell r="K78">
            <v>1474.2</v>
          </cell>
          <cell r="L78">
            <v>1484.1267523272136</v>
          </cell>
          <cell r="M78">
            <v>1581.8273231035971</v>
          </cell>
          <cell r="N78">
            <v>1611.8859141792984</v>
          </cell>
          <cell r="O78">
            <v>1658.9084302301667</v>
          </cell>
          <cell r="P78">
            <v>1695.6587392233578</v>
          </cell>
          <cell r="Q78">
            <v>1725.8635770788414</v>
          </cell>
          <cell r="R78">
            <v>1750.8717188270773</v>
          </cell>
          <cell r="S78">
            <v>1798.4485624887079</v>
          </cell>
          <cell r="T78">
            <v>1828.5649230241145</v>
          </cell>
          <cell r="U78">
            <v>1794.2716042070531</v>
          </cell>
          <cell r="V78">
            <v>1841.2853791558609</v>
          </cell>
        </row>
        <row r="79">
          <cell r="A79" t="str">
            <v>Change in Inventories</v>
          </cell>
          <cell r="E79">
            <v>-59.799999999999955</v>
          </cell>
          <cell r="F79">
            <v>248.90000000000009</v>
          </cell>
          <cell r="G79">
            <v>-39.5</v>
          </cell>
          <cell r="H79">
            <v>305.59999999999991</v>
          </cell>
          <cell r="I79">
            <v>17.599999999999909</v>
          </cell>
          <cell r="J79">
            <v>-157.19999999999982</v>
          </cell>
          <cell r="K79">
            <v>-59.700000000000045</v>
          </cell>
          <cell r="L79">
            <v>9.926752327213535</v>
          </cell>
          <cell r="M79">
            <v>97.700570776383529</v>
          </cell>
          <cell r="N79">
            <v>30.058591075701315</v>
          </cell>
          <cell r="O79">
            <v>47.022516050868262</v>
          </cell>
          <cell r="P79">
            <v>36.750308993191084</v>
          </cell>
          <cell r="Q79">
            <v>30.204837855483675</v>
          </cell>
          <cell r="R79">
            <v>25.008141748235857</v>
          </cell>
          <cell r="S79">
            <v>47.576843661630619</v>
          </cell>
          <cell r="T79">
            <v>30.116360535406557</v>
          </cell>
          <cell r="U79">
            <v>-34.29331881706139</v>
          </cell>
          <cell r="V79">
            <v>47.01377494880785</v>
          </cell>
        </row>
        <row r="80">
          <cell r="A80" t="str">
            <v>Inventory Days</v>
          </cell>
          <cell r="D80">
            <v>283.72328207745807</v>
          </cell>
          <cell r="E80">
            <v>237.59762881384503</v>
          </cell>
          <cell r="F80">
            <v>270.27042342200536</v>
          </cell>
          <cell r="G80">
            <v>246.02517985611513</v>
          </cell>
          <cell r="H80">
            <v>256.06921271065653</v>
          </cell>
          <cell r="I80">
            <v>221.59450726978997</v>
          </cell>
          <cell r="J80">
            <v>177.30420875954019</v>
          </cell>
          <cell r="K80">
            <v>179.81653522256383</v>
          </cell>
          <cell r="L80">
            <v>174.72570846143563</v>
          </cell>
          <cell r="M80">
            <v>174.72570846143563</v>
          </cell>
          <cell r="N80">
            <v>174.72570846143563</v>
          </cell>
          <cell r="O80">
            <v>174.72570846143563</v>
          </cell>
          <cell r="P80">
            <v>174.72570846143563</v>
          </cell>
          <cell r="Q80">
            <v>174.72570846143563</v>
          </cell>
          <cell r="R80">
            <v>174.72570846143563</v>
          </cell>
          <cell r="S80">
            <v>174.72570846143563</v>
          </cell>
          <cell r="T80">
            <v>174.72570846143563</v>
          </cell>
          <cell r="U80">
            <v>167.40459430259563</v>
          </cell>
          <cell r="V80">
            <v>167.40459430259563</v>
          </cell>
        </row>
        <row r="82">
          <cell r="A82" t="str">
            <v>Trade Receivables</v>
          </cell>
          <cell r="D82">
            <v>1252.9000000000001</v>
          </cell>
          <cell r="E82">
            <v>1378.3</v>
          </cell>
          <cell r="F82">
            <v>1659.4</v>
          </cell>
          <cell r="G82">
            <v>1788.7</v>
          </cell>
          <cell r="H82">
            <v>2296.3000000000002</v>
          </cell>
          <cell r="I82">
            <v>2328.3000000000002</v>
          </cell>
          <cell r="J82">
            <v>2114.6</v>
          </cell>
          <cell r="K82">
            <v>2021.4</v>
          </cell>
          <cell r="L82">
            <v>2050.3096316359097</v>
          </cell>
          <cell r="M82">
            <v>2097.3119846678828</v>
          </cell>
          <cell r="N82">
            <v>2117.1819056144327</v>
          </cell>
          <cell r="O82">
            <v>2143.682058827846</v>
          </cell>
          <cell r="P82">
            <v>2158.5430534477964</v>
          </cell>
          <cell r="Q82">
            <v>2175.2701403550573</v>
          </cell>
          <cell r="R82">
            <v>2183.3733558543645</v>
          </cell>
          <cell r="S82">
            <v>2209.46432815036</v>
          </cell>
          <cell r="T82">
            <v>2223.8659584808429</v>
          </cell>
          <cell r="U82">
            <v>2256.4642868985602</v>
          </cell>
          <cell r="V82">
            <v>2300.6890817390408</v>
          </cell>
        </row>
        <row r="83">
          <cell r="A83" t="str">
            <v>Change in Trade Receivables</v>
          </cell>
          <cell r="E83">
            <v>125.39999999999986</v>
          </cell>
          <cell r="F83">
            <v>281.10000000000014</v>
          </cell>
          <cell r="G83">
            <v>129.29999999999995</v>
          </cell>
          <cell r="H83">
            <v>507.60000000000014</v>
          </cell>
          <cell r="I83">
            <v>32</v>
          </cell>
          <cell r="J83">
            <v>-213.70000000000027</v>
          </cell>
          <cell r="K83">
            <v>-93.199999999999818</v>
          </cell>
          <cell r="L83">
            <v>28.909631635909591</v>
          </cell>
          <cell r="M83">
            <v>47.002353031973144</v>
          </cell>
          <cell r="N83">
            <v>19.869920946549883</v>
          </cell>
          <cell r="O83">
            <v>26.500153213413341</v>
          </cell>
          <cell r="P83">
            <v>14.860994619950361</v>
          </cell>
          <cell r="Q83">
            <v>16.727086907260855</v>
          </cell>
          <cell r="R83">
            <v>8.1032154993072254</v>
          </cell>
          <cell r="S83">
            <v>26.090972295995471</v>
          </cell>
          <cell r="T83">
            <v>14.401630330482931</v>
          </cell>
          <cell r="U83">
            <v>32.598328417717312</v>
          </cell>
          <cell r="V83">
            <v>44.224794840480627</v>
          </cell>
        </row>
        <row r="84">
          <cell r="A84" t="str">
            <v>Trade Receivable Days</v>
          </cell>
          <cell r="D84">
            <v>102.54013632898339</v>
          </cell>
          <cell r="E84">
            <v>71.28498150850892</v>
          </cell>
          <cell r="F84">
            <v>80.023769681797219</v>
          </cell>
          <cell r="G84">
            <v>84.27502767259864</v>
          </cell>
          <cell r="H84">
            <v>90.214827949615469</v>
          </cell>
          <cell r="I84">
            <v>82.696541868323564</v>
          </cell>
          <cell r="J84">
            <v>69.081690191269786</v>
          </cell>
          <cell r="K84">
            <v>66.498814792115439</v>
          </cell>
          <cell r="L84">
            <v>66.873874052509663</v>
          </cell>
          <cell r="M84">
            <v>66.873874052509663</v>
          </cell>
          <cell r="N84">
            <v>66.873874052509663</v>
          </cell>
          <cell r="O84">
            <v>66.873874052509663</v>
          </cell>
          <cell r="P84">
            <v>66.873874052509663</v>
          </cell>
          <cell r="Q84">
            <v>66.873874052509663</v>
          </cell>
          <cell r="R84">
            <v>66.873874052509663</v>
          </cell>
          <cell r="S84">
            <v>66.873874052509663</v>
          </cell>
          <cell r="T84">
            <v>66.873874052509663</v>
          </cell>
          <cell r="U84">
            <v>66.873874052509663</v>
          </cell>
          <cell r="V84">
            <v>66.873874052509663</v>
          </cell>
        </row>
        <row r="86">
          <cell r="A86" t="str">
            <v>Trade Creditors</v>
          </cell>
          <cell r="D86">
            <v>608</v>
          </cell>
          <cell r="E86">
            <v>646.9</v>
          </cell>
          <cell r="F86">
            <v>843.7</v>
          </cell>
          <cell r="G86">
            <v>935.7</v>
          </cell>
          <cell r="H86">
            <v>1200.0999999999999</v>
          </cell>
          <cell r="I86">
            <v>1100.8</v>
          </cell>
          <cell r="J86">
            <v>1288.3</v>
          </cell>
          <cell r="K86">
            <v>1364.1</v>
          </cell>
          <cell r="L86">
            <v>1385.1028755143413</v>
          </cell>
          <cell r="M86">
            <v>1476.2846706740618</v>
          </cell>
          <cell r="N86">
            <v>1504.3376930103134</v>
          </cell>
          <cell r="O86">
            <v>1548.2227736436535</v>
          </cell>
          <cell r="P86">
            <v>1582.5210292223567</v>
          </cell>
          <cell r="Q86">
            <v>1610.7105404635438</v>
          </cell>
          <cell r="R86">
            <v>1634.0500894558627</v>
          </cell>
          <cell r="S86">
            <v>1678.4525118637109</v>
          </cell>
          <cell r="T86">
            <v>1706.5594491668808</v>
          </cell>
          <cell r="U86">
            <v>1747.7876198524091</v>
          </cell>
          <cell r="V86">
            <v>1793.5834144385733</v>
          </cell>
        </row>
        <row r="87">
          <cell r="A87" t="str">
            <v>Change in Trade Creditors</v>
          </cell>
          <cell r="E87">
            <v>38.899999999999977</v>
          </cell>
          <cell r="F87">
            <v>196.80000000000007</v>
          </cell>
          <cell r="G87">
            <v>92</v>
          </cell>
          <cell r="H87">
            <v>264.39999999999986</v>
          </cell>
          <cell r="I87">
            <v>-99.299999999999955</v>
          </cell>
          <cell r="J87">
            <v>187.5</v>
          </cell>
          <cell r="K87">
            <v>75.799999999999955</v>
          </cell>
          <cell r="L87">
            <v>21.00287551434144</v>
          </cell>
          <cell r="M87">
            <v>91.181795159720423</v>
          </cell>
          <cell r="N87">
            <v>28.053022336251615</v>
          </cell>
          <cell r="O87">
            <v>43.885080633340067</v>
          </cell>
          <cell r="P87">
            <v>34.29825557870322</v>
          </cell>
          <cell r="Q87">
            <v>28.18951124118712</v>
          </cell>
          <cell r="R87">
            <v>23.339548992318896</v>
          </cell>
          <cell r="S87">
            <v>44.402422407848235</v>
          </cell>
          <cell r="T87">
            <v>28.106937303169843</v>
          </cell>
          <cell r="U87">
            <v>41.228170685528312</v>
          </cell>
          <cell r="V87">
            <v>45.79579458616422</v>
          </cell>
        </row>
        <row r="88">
          <cell r="A88" t="str">
            <v>Trade Creditor Days</v>
          </cell>
          <cell r="D88">
            <v>141.59382377336823</v>
          </cell>
          <cell r="E88">
            <v>132.67320334887901</v>
          </cell>
          <cell r="F88">
            <v>162.02014796159295</v>
          </cell>
          <cell r="G88">
            <v>168.29136690647482</v>
          </cell>
          <cell r="H88">
            <v>183.63230485453172</v>
          </cell>
          <cell r="I88">
            <v>144.2441213426674</v>
          </cell>
          <cell r="J88">
            <v>148.91519143680529</v>
          </cell>
          <cell r="K88">
            <v>166.38701376821277</v>
          </cell>
          <cell r="L88">
            <v>163.06766307980212</v>
          </cell>
          <cell r="M88">
            <v>163.06766307980212</v>
          </cell>
          <cell r="N88">
            <v>163.06766307980212</v>
          </cell>
          <cell r="O88">
            <v>163.06766307980212</v>
          </cell>
          <cell r="P88">
            <v>163.06766307980212</v>
          </cell>
          <cell r="Q88">
            <v>163.06766307980212</v>
          </cell>
          <cell r="R88">
            <v>163.06766307980212</v>
          </cell>
          <cell r="S88">
            <v>163.06766307980212</v>
          </cell>
          <cell r="T88">
            <v>163.06766307980212</v>
          </cell>
          <cell r="U88">
            <v>163.06766307980212</v>
          </cell>
          <cell r="V88">
            <v>163.06766307980212</v>
          </cell>
        </row>
        <row r="90">
          <cell r="A90" t="str">
            <v>2) TANGIBLE FIXED ASSETS</v>
          </cell>
        </row>
        <row r="91">
          <cell r="A91" t="str">
            <v>Cost</v>
          </cell>
        </row>
        <row r="92">
          <cell r="A92" t="str">
            <v>Cost at Start of Year</v>
          </cell>
          <cell r="D92">
            <v>4137.5</v>
          </cell>
          <cell r="E92">
            <v>4125.5999999999995</v>
          </cell>
          <cell r="F92">
            <v>5027.7999999999993</v>
          </cell>
          <cell r="G92">
            <v>5367.7999999999993</v>
          </cell>
          <cell r="H92">
            <v>5663.7999999999993</v>
          </cell>
          <cell r="I92">
            <v>6610.0999999999995</v>
          </cell>
          <cell r="J92">
            <v>6945.4</v>
          </cell>
          <cell r="K92">
            <v>7031.7</v>
          </cell>
          <cell r="L92">
            <v>6801.8</v>
          </cell>
          <cell r="M92">
            <v>8164.7574188143935</v>
          </cell>
          <cell r="N92">
            <v>8622.6455763347367</v>
          </cell>
          <cell r="O92">
            <v>9086.1381365811703</v>
          </cell>
          <cell r="P92">
            <v>9554.1498751311374</v>
          </cell>
          <cell r="Q92">
            <v>10025.406087319358</v>
          </cell>
          <cell r="R92">
            <v>10500.314181087733</v>
          </cell>
          <cell r="S92">
            <v>10978.297345404028</v>
          </cell>
          <cell r="T92">
            <v>11436.552092353228</v>
          </cell>
          <cell r="U92">
            <v>11899.057490593885</v>
          </cell>
          <cell r="V92">
            <v>12367.060280961739</v>
          </cell>
        </row>
        <row r="93">
          <cell r="A93" t="str">
            <v>Exchange Adjustments</v>
          </cell>
          <cell r="D93">
            <v>-92.3</v>
          </cell>
          <cell r="E93">
            <v>-30</v>
          </cell>
          <cell r="F93">
            <v>119.5</v>
          </cell>
          <cell r="G93">
            <v>7.9</v>
          </cell>
          <cell r="H93">
            <v>270.7</v>
          </cell>
          <cell r="I93">
            <v>33.799999999999997</v>
          </cell>
          <cell r="J93">
            <v>-39.6</v>
          </cell>
          <cell r="K93">
            <v>-124.7</v>
          </cell>
          <cell r="L93">
            <v>0</v>
          </cell>
          <cell r="M93">
            <v>0</v>
          </cell>
          <cell r="N93">
            <v>0</v>
          </cell>
          <cell r="O93">
            <v>0</v>
          </cell>
          <cell r="P93">
            <v>0</v>
          </cell>
          <cell r="Q93">
            <v>0</v>
          </cell>
          <cell r="R93">
            <v>0</v>
          </cell>
          <cell r="S93">
            <v>0</v>
          </cell>
          <cell r="T93">
            <v>0</v>
          </cell>
          <cell r="U93">
            <v>0</v>
          </cell>
          <cell r="V93">
            <v>0</v>
          </cell>
        </row>
        <row r="94">
          <cell r="A94" t="str">
            <v>Additions on Acquisitions</v>
          </cell>
          <cell r="D94">
            <v>3</v>
          </cell>
          <cell r="E94">
            <v>810.4</v>
          </cell>
          <cell r="F94">
            <v>-0.8</v>
          </cell>
          <cell r="G94">
            <v>8.6</v>
          </cell>
          <cell r="H94">
            <v>440.3</v>
          </cell>
          <cell r="I94">
            <v>9.3000000000000007</v>
          </cell>
          <cell r="J94">
            <v>6.3</v>
          </cell>
          <cell r="K94">
            <v>0</v>
          </cell>
          <cell r="L94">
            <v>915.33088235294122</v>
          </cell>
          <cell r="M94">
            <v>0</v>
          </cell>
          <cell r="N94">
            <v>0</v>
          </cell>
          <cell r="O94">
            <v>0</v>
          </cell>
          <cell r="P94">
            <v>0</v>
          </cell>
          <cell r="Q94">
            <v>0</v>
          </cell>
          <cell r="R94">
            <v>0</v>
          </cell>
          <cell r="S94">
            <v>0</v>
          </cell>
          <cell r="T94">
            <v>0</v>
          </cell>
          <cell r="U94">
            <v>0</v>
          </cell>
          <cell r="V94">
            <v>0</v>
          </cell>
        </row>
        <row r="95">
          <cell r="A95" t="str">
            <v>CAPEX</v>
          </cell>
          <cell r="D95">
            <v>253.2</v>
          </cell>
          <cell r="E95">
            <v>282.8</v>
          </cell>
          <cell r="F95">
            <v>394.7</v>
          </cell>
          <cell r="G95">
            <v>467.3</v>
          </cell>
          <cell r="H95">
            <v>396.2</v>
          </cell>
          <cell r="I95">
            <v>371.9</v>
          </cell>
          <cell r="J95">
            <v>330.3</v>
          </cell>
          <cell r="K95">
            <v>408.5</v>
          </cell>
          <cell r="L95">
            <v>447.6265364614523</v>
          </cell>
          <cell r="M95">
            <v>457.88815752034253</v>
          </cell>
          <cell r="N95">
            <v>463.49256024643438</v>
          </cell>
          <cell r="O95">
            <v>468.01173854996671</v>
          </cell>
          <cell r="P95">
            <v>471.25621218822056</v>
          </cell>
          <cell r="Q95">
            <v>474.9080937683762</v>
          </cell>
          <cell r="R95">
            <v>477.98316431629434</v>
          </cell>
          <cell r="S95">
            <v>458.25474694920007</v>
          </cell>
          <cell r="T95">
            <v>462.50539824065766</v>
          </cell>
          <cell r="U95">
            <v>468.00279036785514</v>
          </cell>
          <cell r="V95">
            <v>477.17524991395265</v>
          </cell>
        </row>
        <row r="96">
          <cell r="A96" t="str">
            <v>Disposals</v>
          </cell>
          <cell r="D96">
            <v>-175.8</v>
          </cell>
          <cell r="E96">
            <v>-161</v>
          </cell>
          <cell r="F96">
            <v>-173.4</v>
          </cell>
          <cell r="G96">
            <v>-187.79999999999998</v>
          </cell>
          <cell r="H96">
            <v>-160.9</v>
          </cell>
          <cell r="I96">
            <v>-79.7</v>
          </cell>
          <cell r="J96">
            <v>-210.70000000000002</v>
          </cell>
          <cell r="K96">
            <v>-513.70000000000005</v>
          </cell>
          <cell r="L96">
            <v>0</v>
          </cell>
          <cell r="M96">
            <v>0</v>
          </cell>
          <cell r="N96">
            <v>0</v>
          </cell>
          <cell r="O96">
            <v>0</v>
          </cell>
          <cell r="P96">
            <v>0</v>
          </cell>
          <cell r="Q96">
            <v>0</v>
          </cell>
          <cell r="R96">
            <v>0</v>
          </cell>
          <cell r="S96">
            <v>0</v>
          </cell>
          <cell r="T96">
            <v>0</v>
          </cell>
          <cell r="U96">
            <v>0</v>
          </cell>
          <cell r="V96">
            <v>0</v>
          </cell>
        </row>
        <row r="97">
          <cell r="A97" t="str">
            <v>Cost at End of Year</v>
          </cell>
          <cell r="D97">
            <v>4125.5999999999995</v>
          </cell>
          <cell r="E97">
            <v>5027.7999999999993</v>
          </cell>
          <cell r="F97">
            <v>5367.7999999999993</v>
          </cell>
          <cell r="G97">
            <v>5663.7999999999993</v>
          </cell>
          <cell r="H97">
            <v>6610.0999999999995</v>
          </cell>
          <cell r="I97">
            <v>6945.4</v>
          </cell>
          <cell r="J97">
            <v>7031.7</v>
          </cell>
          <cell r="K97">
            <v>6801.8</v>
          </cell>
          <cell r="L97">
            <v>8164.7574188143935</v>
          </cell>
          <cell r="M97">
            <v>8622.6455763347367</v>
          </cell>
          <cell r="N97">
            <v>9086.1381365811703</v>
          </cell>
          <cell r="O97">
            <v>9554.1498751311374</v>
          </cell>
          <cell r="P97">
            <v>10025.406087319358</v>
          </cell>
          <cell r="Q97">
            <v>10500.314181087733</v>
          </cell>
          <cell r="R97">
            <v>10978.297345404028</v>
          </cell>
          <cell r="S97">
            <v>11436.552092353228</v>
          </cell>
          <cell r="T97">
            <v>11899.057490593885</v>
          </cell>
          <cell r="U97">
            <v>12367.060280961739</v>
          </cell>
          <cell r="V97">
            <v>12844.235530875692</v>
          </cell>
        </row>
        <row r="98">
          <cell r="A98" t="str">
            <v>Depreciation</v>
          </cell>
        </row>
        <row r="99">
          <cell r="A99" t="str">
            <v>At Start of Year</v>
          </cell>
          <cell r="D99">
            <v>2279.5</v>
          </cell>
          <cell r="E99">
            <v>2345.8000000000002</v>
          </cell>
          <cell r="F99">
            <v>2753.3</v>
          </cell>
          <cell r="G99">
            <v>2927.7000000000003</v>
          </cell>
          <cell r="H99">
            <v>3056.2000000000003</v>
          </cell>
          <cell r="I99">
            <v>3368.6000000000004</v>
          </cell>
          <cell r="J99">
            <v>3832.0000000000009</v>
          </cell>
          <cell r="K99">
            <v>4078.1000000000004</v>
          </cell>
          <cell r="L99">
            <v>4154.6000000000004</v>
          </cell>
          <cell r="M99">
            <v>4590.8483618340642</v>
          </cell>
          <cell r="N99">
            <v>5041.783373790714</v>
          </cell>
          <cell r="O99">
            <v>5495.2170899305329</v>
          </cell>
          <cell r="P99">
            <v>5949.7199166922765</v>
          </cell>
          <cell r="Q99">
            <v>6404.5154814278412</v>
          </cell>
          <cell r="R99">
            <v>6859.9125481745195</v>
          </cell>
          <cell r="S99">
            <v>7315.0901733390883</v>
          </cell>
          <cell r="T99">
            <v>7771.376012181333</v>
          </cell>
          <cell r="U99">
            <v>8228.685774959029</v>
          </cell>
          <cell r="V99">
            <v>8688.3262402761484</v>
          </cell>
        </row>
        <row r="100">
          <cell r="A100" t="str">
            <v>Exchange Adjustments</v>
          </cell>
          <cell r="D100">
            <v>-47.8</v>
          </cell>
          <cell r="E100">
            <v>-13.2</v>
          </cell>
          <cell r="F100">
            <v>56.3</v>
          </cell>
          <cell r="G100">
            <v>4.3</v>
          </cell>
          <cell r="H100">
            <v>124.8</v>
          </cell>
          <cell r="I100">
            <v>7.9</v>
          </cell>
          <cell r="J100">
            <v>-21.4</v>
          </cell>
          <cell r="K100">
            <v>-69.2</v>
          </cell>
          <cell r="L100">
            <v>0</v>
          </cell>
          <cell r="M100">
            <v>0</v>
          </cell>
          <cell r="N100">
            <v>0</v>
          </cell>
          <cell r="O100">
            <v>0</v>
          </cell>
          <cell r="P100">
            <v>0</v>
          </cell>
          <cell r="Q100">
            <v>0</v>
          </cell>
          <cell r="R100">
            <v>0</v>
          </cell>
          <cell r="S100">
            <v>0</v>
          </cell>
          <cell r="T100">
            <v>0</v>
          </cell>
          <cell r="U100">
            <v>0</v>
          </cell>
          <cell r="V100">
            <v>0</v>
          </cell>
        </row>
        <row r="101">
          <cell r="A101" t="str">
            <v>Depreciation Charge (P&amp;L)</v>
          </cell>
          <cell r="D101">
            <v>254.3</v>
          </cell>
          <cell r="E101">
            <v>287.5</v>
          </cell>
          <cell r="F101">
            <v>278</v>
          </cell>
          <cell r="G101">
            <v>285.60000000000002</v>
          </cell>
          <cell r="H101">
            <v>351.7</v>
          </cell>
          <cell r="I101">
            <v>522.20000000000005</v>
          </cell>
          <cell r="J101">
            <v>440.5</v>
          </cell>
          <cell r="K101">
            <v>423.59999999999997</v>
          </cell>
          <cell r="L101">
            <v>436.24836183406347</v>
          </cell>
          <cell r="M101">
            <v>450.93501195664936</v>
          </cell>
          <cell r="N101">
            <v>453.43371613981844</v>
          </cell>
          <cell r="O101">
            <v>454.50282676174322</v>
          </cell>
          <cell r="P101">
            <v>454.79556473556488</v>
          </cell>
          <cell r="Q101">
            <v>455.39706674667804</v>
          </cell>
          <cell r="R101">
            <v>455.17762516456884</v>
          </cell>
          <cell r="S101">
            <v>456.28583884224503</v>
          </cell>
          <cell r="T101">
            <v>457.30976277769628</v>
          </cell>
          <cell r="U101">
            <v>459.64046531711961</v>
          </cell>
          <cell r="V101">
            <v>466.18225058893375</v>
          </cell>
          <cell r="W101" t="str">
            <v>Adjusts for PPA</v>
          </cell>
        </row>
        <row r="102">
          <cell r="A102" t="str">
            <v>Depreciation (Exceptional)</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row>
        <row r="103">
          <cell r="A103" t="str">
            <v>Disposals</v>
          </cell>
          <cell r="D103">
            <v>-140.19999999999999</v>
          </cell>
          <cell r="E103">
            <v>-148.9</v>
          </cell>
          <cell r="F103">
            <v>-160.4</v>
          </cell>
          <cell r="G103">
            <v>-161.39999999999998</v>
          </cell>
          <cell r="H103">
            <v>-164.09999999999997</v>
          </cell>
          <cell r="I103">
            <v>-66.700000000000017</v>
          </cell>
          <cell r="J103">
            <v>-173</v>
          </cell>
          <cell r="K103">
            <v>-277.90000000000009</v>
          </cell>
          <cell r="L103">
            <v>0</v>
          </cell>
          <cell r="M103">
            <v>0</v>
          </cell>
          <cell r="N103">
            <v>0</v>
          </cell>
          <cell r="O103">
            <v>0</v>
          </cell>
          <cell r="P103">
            <v>0</v>
          </cell>
          <cell r="Q103">
            <v>0</v>
          </cell>
          <cell r="R103">
            <v>0</v>
          </cell>
          <cell r="S103">
            <v>0</v>
          </cell>
          <cell r="T103">
            <v>0</v>
          </cell>
          <cell r="U103">
            <v>0</v>
          </cell>
          <cell r="V103">
            <v>0</v>
          </cell>
        </row>
        <row r="104">
          <cell r="A104" t="str">
            <v>Changes in Companies Consolidated</v>
          </cell>
          <cell r="D104">
            <v>0</v>
          </cell>
          <cell r="E104">
            <v>282.10000000000002</v>
          </cell>
          <cell r="F104">
            <v>0.5</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row>
        <row r="105">
          <cell r="A105" t="str">
            <v>At End of Year</v>
          </cell>
          <cell r="D105">
            <v>2345.8000000000002</v>
          </cell>
          <cell r="E105">
            <v>2753.3</v>
          </cell>
          <cell r="F105">
            <v>2927.7000000000003</v>
          </cell>
          <cell r="G105">
            <v>3056.2000000000003</v>
          </cell>
          <cell r="H105">
            <v>3368.6000000000004</v>
          </cell>
          <cell r="I105">
            <v>3832.0000000000009</v>
          </cell>
          <cell r="J105">
            <v>4078.1000000000004</v>
          </cell>
          <cell r="K105">
            <v>4154.6000000000004</v>
          </cell>
          <cell r="L105">
            <v>4590.8483618340642</v>
          </cell>
          <cell r="M105">
            <v>5041.783373790714</v>
          </cell>
          <cell r="N105">
            <v>5495.2170899305329</v>
          </cell>
          <cell r="O105">
            <v>5949.7199166922765</v>
          </cell>
          <cell r="P105">
            <v>6404.5154814278412</v>
          </cell>
          <cell r="Q105">
            <v>6859.9125481745195</v>
          </cell>
          <cell r="R105">
            <v>7315.0901733390883</v>
          </cell>
          <cell r="S105">
            <v>7771.376012181333</v>
          </cell>
          <cell r="T105">
            <v>8228.685774959029</v>
          </cell>
          <cell r="U105">
            <v>8688.3262402761484</v>
          </cell>
          <cell r="V105">
            <v>9154.5084908650824</v>
          </cell>
        </row>
        <row r="107">
          <cell r="A107" t="str">
            <v>Net Book Value (at start)</v>
          </cell>
          <cell r="D107">
            <v>1858</v>
          </cell>
          <cell r="E107">
            <v>1779.7999999999993</v>
          </cell>
          <cell r="F107">
            <v>2274.4999999999991</v>
          </cell>
          <cell r="G107">
            <v>2440.099999999999</v>
          </cell>
          <cell r="H107">
            <v>2607.599999999999</v>
          </cell>
          <cell r="I107">
            <v>3241.4999999999991</v>
          </cell>
          <cell r="J107">
            <v>3113.3999999999987</v>
          </cell>
          <cell r="K107">
            <v>2953.5999999999995</v>
          </cell>
          <cell r="L107">
            <v>2647.2</v>
          </cell>
          <cell r="M107">
            <v>3573.9090569803293</v>
          </cell>
          <cell r="N107">
            <v>3580.8622025440227</v>
          </cell>
          <cell r="O107">
            <v>3590.9210466506374</v>
          </cell>
          <cell r="P107">
            <v>3604.4299584388609</v>
          </cell>
          <cell r="Q107">
            <v>3620.8906058915163</v>
          </cell>
          <cell r="R107">
            <v>3640.4016329132137</v>
          </cell>
          <cell r="S107">
            <v>3663.2071720649392</v>
          </cell>
          <cell r="T107">
            <v>3665.1760801718947</v>
          </cell>
          <cell r="U107">
            <v>3670.3717156348557</v>
          </cell>
          <cell r="V107">
            <v>3678.734040685591</v>
          </cell>
        </row>
        <row r="108">
          <cell r="A108" t="str">
            <v>Net Book Value (at end)</v>
          </cell>
          <cell r="D108">
            <v>1779.7999999999993</v>
          </cell>
          <cell r="E108">
            <v>2274.4999999999991</v>
          </cell>
          <cell r="F108">
            <v>2440.099999999999</v>
          </cell>
          <cell r="G108">
            <v>2607.599999999999</v>
          </cell>
          <cell r="H108">
            <v>3241.4999999999991</v>
          </cell>
          <cell r="I108">
            <v>3113.3999999999987</v>
          </cell>
          <cell r="J108">
            <v>2953.5999999999995</v>
          </cell>
          <cell r="K108">
            <v>2647.2</v>
          </cell>
          <cell r="L108">
            <v>3573.9090569803293</v>
          </cell>
          <cell r="M108">
            <v>3580.8622025440227</v>
          </cell>
          <cell r="N108">
            <v>3590.9210466506374</v>
          </cell>
          <cell r="O108">
            <v>3604.4299584388609</v>
          </cell>
          <cell r="P108">
            <v>3620.8906058915163</v>
          </cell>
          <cell r="Q108">
            <v>3640.4016329132137</v>
          </cell>
          <cell r="R108">
            <v>3663.2071720649392</v>
          </cell>
          <cell r="S108">
            <v>3665.1760801718947</v>
          </cell>
          <cell r="T108">
            <v>3670.3717156348557</v>
          </cell>
          <cell r="U108">
            <v>3678.734040685591</v>
          </cell>
          <cell r="V108">
            <v>3689.7270400106099</v>
          </cell>
        </row>
        <row r="110">
          <cell r="A110" t="str">
            <v>CAPEX / Sales</v>
          </cell>
          <cell r="D110">
            <v>5.677384636082336E-2</v>
          </cell>
          <cell r="E110">
            <v>4.0071982202825443E-2</v>
          </cell>
          <cell r="F110">
            <v>5.2006061005336321E-2</v>
          </cell>
          <cell r="G110">
            <v>6.0320413970818859E-2</v>
          </cell>
          <cell r="H110">
            <v>4.2645273705511536E-2</v>
          </cell>
          <cell r="I110">
            <v>3.6189428492220531E-2</v>
          </cell>
          <cell r="J110">
            <v>2.9563131561753202E-2</v>
          </cell>
          <cell r="K110">
            <v>3.6818054816991283E-2</v>
          </cell>
          <cell r="L110">
            <v>0.04</v>
          </cell>
          <cell r="M110">
            <v>0.04</v>
          </cell>
          <cell r="N110">
            <v>0.04</v>
          </cell>
          <cell r="O110">
            <v>0.04</v>
          </cell>
          <cell r="P110">
            <v>0.04</v>
          </cell>
          <cell r="Q110">
            <v>0.04</v>
          </cell>
          <cell r="R110">
            <v>0.04</v>
          </cell>
          <cell r="S110">
            <v>3.7999999999999999E-2</v>
          </cell>
          <cell r="T110">
            <v>3.7999999999999999E-2</v>
          </cell>
          <cell r="U110">
            <v>3.7999999999999999E-2</v>
          </cell>
          <cell r="V110">
            <v>3.7999999999999999E-2</v>
          </cell>
        </row>
        <row r="111">
          <cell r="A111" t="str">
            <v>CAPEX / Depreciation (Tangible Fixed)</v>
          </cell>
          <cell r="D111">
            <v>0.99567440031458898</v>
          </cell>
          <cell r="E111">
            <v>0.98365217391304349</v>
          </cell>
          <cell r="F111">
            <v>1.4197841726618705</v>
          </cell>
          <cell r="G111">
            <v>1.636204481792717</v>
          </cell>
          <cell r="H111">
            <v>1.1265282911572363</v>
          </cell>
          <cell r="I111">
            <v>0.71217924166985813</v>
          </cell>
          <cell r="J111">
            <v>0.74982973893303062</v>
          </cell>
          <cell r="K111">
            <v>0.96435316336166199</v>
          </cell>
          <cell r="L111">
            <v>1.0260818735904313</v>
          </cell>
          <cell r="M111">
            <v>1.0154193960977278</v>
          </cell>
          <cell r="N111">
            <v>1.0221837145068282</v>
          </cell>
          <cell r="O111">
            <v>1.0297223933335513</v>
          </cell>
          <cell r="P111">
            <v>1.0361935091918202</v>
          </cell>
          <cell r="Q111">
            <v>1.0428439892269914</v>
          </cell>
          <cell r="R111">
            <v>1.0501025048045369</v>
          </cell>
          <cell r="S111">
            <v>1.0043150760758888</v>
          </cell>
          <cell r="T111">
            <v>1.0113613044939236</v>
          </cell>
          <cell r="U111">
            <v>1.0181931872446568</v>
          </cell>
          <cell r="V111">
            <v>1.0235809049167601</v>
          </cell>
        </row>
        <row r="112">
          <cell r="A112" t="str">
            <v>Average Useful Life</v>
          </cell>
          <cell r="D112">
            <v>16.246755800235938</v>
          </cell>
          <cell r="E112">
            <v>15.918956521739126</v>
          </cell>
          <cell r="F112">
            <v>18.69712230215827</v>
          </cell>
          <cell r="G112">
            <v>19.313025210084028</v>
          </cell>
          <cell r="H112">
            <v>17.449388683537101</v>
          </cell>
          <cell r="I112">
            <v>12.979222520107237</v>
          </cell>
          <cell r="J112">
            <v>15.865039727582291</v>
          </cell>
          <cell r="K112">
            <v>16.328493862134088</v>
          </cell>
          <cell r="L112">
            <v>17.153711885464052</v>
          </cell>
          <cell r="M112">
            <v>18.61399375744524</v>
          </cell>
          <cell r="N112">
            <v>19.527422733001313</v>
          </cell>
          <cell r="O112">
            <v>20.506239911114797</v>
          </cell>
          <cell r="P112">
            <v>21.525667223508194</v>
          </cell>
          <cell r="Q112">
            <v>22.536069912616338</v>
          </cell>
          <cell r="R112">
            <v>23.593659199226014</v>
          </cell>
          <cell r="S112">
            <v>24.562289172321766</v>
          </cell>
          <cell r="T112">
            <v>25.514007662122481</v>
          </cell>
          <cell r="U112">
            <v>26.396846668856398</v>
          </cell>
          <cell r="V112">
            <v>27.040171284929542</v>
          </cell>
        </row>
        <row r="114">
          <cell r="A114" t="str">
            <v>3) GOODWILL</v>
          </cell>
        </row>
        <row r="115">
          <cell r="A115" t="str">
            <v>Cost</v>
          </cell>
        </row>
        <row r="116">
          <cell r="A116" t="str">
            <v>Cost at Start of Year</v>
          </cell>
          <cell r="D116">
            <v>839.2</v>
          </cell>
          <cell r="E116">
            <v>854.00000000000011</v>
          </cell>
          <cell r="F116">
            <v>1792.4</v>
          </cell>
          <cell r="G116">
            <v>1971.3000000000002</v>
          </cell>
          <cell r="H116">
            <v>1982.7</v>
          </cell>
          <cell r="I116">
            <v>4622.3</v>
          </cell>
          <cell r="J116">
            <v>4758.8</v>
          </cell>
          <cell r="K116">
            <v>4695.7</v>
          </cell>
          <cell r="L116">
            <v>4583.2</v>
          </cell>
          <cell r="M116">
            <v>5567.8691176470584</v>
          </cell>
          <cell r="N116">
            <v>5567.8691176470584</v>
          </cell>
          <cell r="O116">
            <v>5567.8691176470584</v>
          </cell>
          <cell r="P116">
            <v>5567.8691176470584</v>
          </cell>
          <cell r="Q116">
            <v>5567.8691176470584</v>
          </cell>
          <cell r="R116">
            <v>5567.8691176470584</v>
          </cell>
          <cell r="S116">
            <v>5567.8691176470584</v>
          </cell>
          <cell r="T116">
            <v>5567.8691176470584</v>
          </cell>
          <cell r="U116">
            <v>5567.8691176470584</v>
          </cell>
          <cell r="V116">
            <v>5567.8691176470584</v>
          </cell>
        </row>
        <row r="117">
          <cell r="A117" t="str">
            <v>Exchange Adjustments</v>
          </cell>
          <cell r="D117">
            <v>0.7</v>
          </cell>
          <cell r="E117">
            <v>-35.9</v>
          </cell>
          <cell r="F117">
            <v>152.69999999999999</v>
          </cell>
          <cell r="G117">
            <v>-0.7</v>
          </cell>
          <cell r="H117">
            <v>89.4</v>
          </cell>
          <cell r="I117">
            <v>45.1</v>
          </cell>
          <cell r="J117">
            <v>-28.6</v>
          </cell>
          <cell r="K117">
            <v>-65.900000000000006</v>
          </cell>
          <cell r="L117">
            <v>0</v>
          </cell>
          <cell r="M117">
            <v>0</v>
          </cell>
          <cell r="N117">
            <v>0</v>
          </cell>
          <cell r="O117">
            <v>0</v>
          </cell>
          <cell r="P117">
            <v>0</v>
          </cell>
          <cell r="Q117">
            <v>0</v>
          </cell>
          <cell r="R117">
            <v>0</v>
          </cell>
          <cell r="S117">
            <v>0</v>
          </cell>
          <cell r="T117">
            <v>0</v>
          </cell>
          <cell r="U117">
            <v>0</v>
          </cell>
          <cell r="V117">
            <v>0</v>
          </cell>
        </row>
        <row r="118">
          <cell r="A118" t="str">
            <v>Additions</v>
          </cell>
          <cell r="D118">
            <v>0</v>
          </cell>
          <cell r="E118">
            <v>0</v>
          </cell>
          <cell r="F118">
            <v>0</v>
          </cell>
          <cell r="G118">
            <v>0</v>
          </cell>
          <cell r="H118">
            <v>0</v>
          </cell>
          <cell r="I118">
            <v>0</v>
          </cell>
          <cell r="J118">
            <v>0</v>
          </cell>
          <cell r="K118">
            <v>0</v>
          </cell>
          <cell r="L118">
            <v>984.6691176470589</v>
          </cell>
          <cell r="M118">
            <v>0</v>
          </cell>
          <cell r="N118">
            <v>0</v>
          </cell>
          <cell r="O118">
            <v>0</v>
          </cell>
          <cell r="P118">
            <v>0</v>
          </cell>
          <cell r="Q118">
            <v>0</v>
          </cell>
          <cell r="R118">
            <v>0</v>
          </cell>
          <cell r="S118">
            <v>0</v>
          </cell>
          <cell r="T118">
            <v>0</v>
          </cell>
          <cell r="U118">
            <v>0</v>
          </cell>
          <cell r="V118">
            <v>0</v>
          </cell>
        </row>
        <row r="119">
          <cell r="A119" t="str">
            <v>Disposals/ Other movements</v>
          </cell>
          <cell r="D119">
            <v>14.1</v>
          </cell>
          <cell r="E119">
            <v>974.3</v>
          </cell>
          <cell r="F119">
            <v>26.2</v>
          </cell>
          <cell r="G119">
            <v>12.1</v>
          </cell>
          <cell r="H119">
            <v>2550.2000000000003</v>
          </cell>
          <cell r="I119">
            <v>91.4</v>
          </cell>
          <cell r="J119">
            <v>-34.5</v>
          </cell>
          <cell r="K119">
            <v>-46.6</v>
          </cell>
          <cell r="L119">
            <v>0</v>
          </cell>
          <cell r="M119">
            <v>0</v>
          </cell>
          <cell r="N119">
            <v>0</v>
          </cell>
          <cell r="O119">
            <v>0</v>
          </cell>
          <cell r="P119">
            <v>0</v>
          </cell>
          <cell r="Q119">
            <v>0</v>
          </cell>
          <cell r="R119">
            <v>0</v>
          </cell>
          <cell r="S119">
            <v>0</v>
          </cell>
          <cell r="T119">
            <v>0</v>
          </cell>
          <cell r="U119">
            <v>0</v>
          </cell>
          <cell r="V119">
            <v>0</v>
          </cell>
        </row>
        <row r="120">
          <cell r="A120" t="str">
            <v>Cost at End of Year</v>
          </cell>
          <cell r="D120">
            <v>854.00000000000011</v>
          </cell>
          <cell r="E120">
            <v>1792.4</v>
          </cell>
          <cell r="F120">
            <v>1971.3000000000002</v>
          </cell>
          <cell r="G120">
            <v>1982.7</v>
          </cell>
          <cell r="H120">
            <v>4622.3</v>
          </cell>
          <cell r="I120">
            <v>4758.8</v>
          </cell>
          <cell r="J120">
            <v>4695.7</v>
          </cell>
          <cell r="K120">
            <v>4583.2</v>
          </cell>
          <cell r="L120">
            <v>5567.8691176470584</v>
          </cell>
          <cell r="M120">
            <v>5567.8691176470584</v>
          </cell>
          <cell r="N120">
            <v>5567.8691176470584</v>
          </cell>
          <cell r="O120">
            <v>5567.8691176470584</v>
          </cell>
          <cell r="P120">
            <v>5567.8691176470584</v>
          </cell>
          <cell r="Q120">
            <v>5567.8691176470584</v>
          </cell>
          <cell r="R120">
            <v>5567.8691176470584</v>
          </cell>
          <cell r="S120">
            <v>5567.8691176470584</v>
          </cell>
          <cell r="T120">
            <v>5567.8691176470584</v>
          </cell>
          <cell r="U120">
            <v>5567.8691176470584</v>
          </cell>
          <cell r="V120">
            <v>5567.8691176470584</v>
          </cell>
        </row>
        <row r="121">
          <cell r="A121" t="str">
            <v>Amortization</v>
          </cell>
        </row>
        <row r="122">
          <cell r="A122" t="str">
            <v>At Start of Year</v>
          </cell>
          <cell r="D122">
            <v>0.3</v>
          </cell>
          <cell r="E122">
            <v>0.4</v>
          </cell>
          <cell r="F122">
            <v>0.10000000000000003</v>
          </cell>
          <cell r="G122">
            <v>42.2</v>
          </cell>
          <cell r="H122">
            <v>38.800000000000004</v>
          </cell>
          <cell r="I122">
            <v>42.2</v>
          </cell>
          <cell r="J122">
            <v>42.400000000000006</v>
          </cell>
          <cell r="K122">
            <v>0</v>
          </cell>
          <cell r="L122">
            <v>0</v>
          </cell>
          <cell r="M122">
            <v>0</v>
          </cell>
          <cell r="N122">
            <v>0</v>
          </cell>
          <cell r="O122">
            <v>0</v>
          </cell>
          <cell r="P122">
            <v>0</v>
          </cell>
          <cell r="Q122">
            <v>0</v>
          </cell>
          <cell r="R122">
            <v>0</v>
          </cell>
          <cell r="S122">
            <v>0</v>
          </cell>
          <cell r="T122">
            <v>0</v>
          </cell>
          <cell r="U122">
            <v>0</v>
          </cell>
          <cell r="V122">
            <v>0</v>
          </cell>
        </row>
        <row r="123">
          <cell r="A123" t="str">
            <v>Exchange Adjustment</v>
          </cell>
          <cell r="D123">
            <v>0</v>
          </cell>
          <cell r="E123">
            <v>-0.1</v>
          </cell>
          <cell r="F123">
            <v>0.4</v>
          </cell>
          <cell r="G123">
            <v>0.2</v>
          </cell>
          <cell r="H123">
            <v>-0.2</v>
          </cell>
          <cell r="I123">
            <v>0.2</v>
          </cell>
          <cell r="J123">
            <v>0.1</v>
          </cell>
          <cell r="K123">
            <v>0</v>
          </cell>
          <cell r="L123">
            <v>0</v>
          </cell>
          <cell r="M123">
            <v>0</v>
          </cell>
          <cell r="N123">
            <v>0</v>
          </cell>
          <cell r="O123">
            <v>0</v>
          </cell>
          <cell r="P123">
            <v>0</v>
          </cell>
          <cell r="Q123">
            <v>0</v>
          </cell>
          <cell r="R123">
            <v>0</v>
          </cell>
          <cell r="S123">
            <v>0</v>
          </cell>
          <cell r="T123">
            <v>0</v>
          </cell>
          <cell r="U123">
            <v>0</v>
          </cell>
          <cell r="V123">
            <v>0</v>
          </cell>
        </row>
        <row r="124">
          <cell r="A124" t="str">
            <v>Amortization Charge</v>
          </cell>
          <cell r="D124">
            <v>0.1</v>
          </cell>
          <cell r="E124">
            <v>0</v>
          </cell>
          <cell r="F124">
            <v>41.7</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row>
        <row r="125">
          <cell r="A125" t="str">
            <v>Disposals / Other</v>
          </cell>
          <cell r="D125">
            <v>0</v>
          </cell>
          <cell r="E125">
            <v>-0.2</v>
          </cell>
          <cell r="F125">
            <v>0</v>
          </cell>
          <cell r="G125">
            <v>-3.6</v>
          </cell>
          <cell r="H125">
            <v>3.6</v>
          </cell>
          <cell r="I125">
            <v>0</v>
          </cell>
          <cell r="J125">
            <v>-42.5</v>
          </cell>
          <cell r="K125">
            <v>0</v>
          </cell>
          <cell r="L125">
            <v>0</v>
          </cell>
          <cell r="M125">
            <v>0</v>
          </cell>
          <cell r="N125">
            <v>0</v>
          </cell>
          <cell r="O125">
            <v>0</v>
          </cell>
          <cell r="P125">
            <v>0</v>
          </cell>
          <cell r="Q125">
            <v>0</v>
          </cell>
          <cell r="R125">
            <v>0</v>
          </cell>
          <cell r="S125">
            <v>0</v>
          </cell>
          <cell r="T125">
            <v>0</v>
          </cell>
          <cell r="U125">
            <v>0</v>
          </cell>
          <cell r="V125">
            <v>0</v>
          </cell>
        </row>
        <row r="126">
          <cell r="A126" t="str">
            <v>At End of Year</v>
          </cell>
          <cell r="D126">
            <v>0.4</v>
          </cell>
          <cell r="E126">
            <v>0.10000000000000003</v>
          </cell>
          <cell r="F126">
            <v>42.2</v>
          </cell>
          <cell r="G126">
            <v>38.800000000000004</v>
          </cell>
          <cell r="H126">
            <v>42.2</v>
          </cell>
          <cell r="I126">
            <v>42.400000000000006</v>
          </cell>
          <cell r="J126">
            <v>0</v>
          </cell>
          <cell r="K126">
            <v>0</v>
          </cell>
          <cell r="L126">
            <v>0</v>
          </cell>
          <cell r="M126">
            <v>0</v>
          </cell>
          <cell r="N126">
            <v>0</v>
          </cell>
          <cell r="O126">
            <v>0</v>
          </cell>
          <cell r="P126">
            <v>0</v>
          </cell>
          <cell r="Q126">
            <v>0</v>
          </cell>
          <cell r="R126">
            <v>0</v>
          </cell>
          <cell r="S126">
            <v>0</v>
          </cell>
          <cell r="T126">
            <v>0</v>
          </cell>
          <cell r="U126">
            <v>0</v>
          </cell>
          <cell r="V126">
            <v>0</v>
          </cell>
        </row>
        <row r="128">
          <cell r="A128" t="str">
            <v>Net Book Value (at start)</v>
          </cell>
          <cell r="D128">
            <v>838.90000000000009</v>
          </cell>
          <cell r="E128">
            <v>853.60000000000014</v>
          </cell>
          <cell r="F128">
            <v>1792.3000000000002</v>
          </cell>
          <cell r="G128">
            <v>1929.1000000000001</v>
          </cell>
          <cell r="H128">
            <v>1943.9</v>
          </cell>
          <cell r="I128">
            <v>4580.1000000000004</v>
          </cell>
          <cell r="J128">
            <v>4716.4000000000005</v>
          </cell>
          <cell r="K128">
            <v>4695.7</v>
          </cell>
          <cell r="L128">
            <v>4583.2</v>
          </cell>
          <cell r="M128">
            <v>5567.8691176470584</v>
          </cell>
          <cell r="N128">
            <v>5567.8691176470584</v>
          </cell>
          <cell r="O128">
            <v>5567.8691176470584</v>
          </cell>
          <cell r="P128">
            <v>5567.8691176470584</v>
          </cell>
          <cell r="Q128">
            <v>5567.8691176470584</v>
          </cell>
          <cell r="R128">
            <v>5567.8691176470584</v>
          </cell>
          <cell r="S128">
            <v>5567.8691176470584</v>
          </cell>
          <cell r="T128">
            <v>5567.8691176470584</v>
          </cell>
          <cell r="U128">
            <v>5567.8691176470584</v>
          </cell>
          <cell r="V128">
            <v>5567.8691176470584</v>
          </cell>
        </row>
        <row r="129">
          <cell r="A129" t="str">
            <v>Net Book Value (at end)</v>
          </cell>
          <cell r="D129">
            <v>853.60000000000014</v>
          </cell>
          <cell r="E129">
            <v>1792.3000000000002</v>
          </cell>
          <cell r="F129">
            <v>1929.1000000000001</v>
          </cell>
          <cell r="G129">
            <v>1943.9</v>
          </cell>
          <cell r="H129">
            <v>4580.1000000000004</v>
          </cell>
          <cell r="I129">
            <v>4716.4000000000005</v>
          </cell>
          <cell r="J129">
            <v>4695.7</v>
          </cell>
          <cell r="K129">
            <v>4583.2</v>
          </cell>
          <cell r="L129">
            <v>5567.8691176470584</v>
          </cell>
          <cell r="M129">
            <v>5567.8691176470584</v>
          </cell>
          <cell r="N129">
            <v>5567.8691176470584</v>
          </cell>
          <cell r="O129">
            <v>5567.8691176470584</v>
          </cell>
          <cell r="P129">
            <v>5567.8691176470584</v>
          </cell>
          <cell r="Q129">
            <v>5567.8691176470584</v>
          </cell>
          <cell r="R129">
            <v>5567.8691176470584</v>
          </cell>
          <cell r="S129">
            <v>5567.8691176470584</v>
          </cell>
          <cell r="T129">
            <v>5567.8691176470584</v>
          </cell>
          <cell r="U129">
            <v>5567.8691176470584</v>
          </cell>
          <cell r="V129">
            <v>5567.8691176470584</v>
          </cell>
        </row>
        <row r="131">
          <cell r="A131" t="str">
            <v>CAPEX/ Goodwill Charge</v>
          </cell>
          <cell r="D131">
            <v>0</v>
          </cell>
          <cell r="E131" t="str">
            <v>nm</v>
          </cell>
          <cell r="F131">
            <v>0</v>
          </cell>
          <cell r="G131" t="str">
            <v>nm</v>
          </cell>
          <cell r="H131" t="str">
            <v>nm</v>
          </cell>
          <cell r="I131" t="str">
            <v>nm</v>
          </cell>
          <cell r="J131" t="str">
            <v>nm</v>
          </cell>
          <cell r="K131" t="str">
            <v>nm</v>
          </cell>
          <cell r="L131" t="str">
            <v>nm</v>
          </cell>
          <cell r="M131" t="str">
            <v>nm</v>
          </cell>
          <cell r="N131" t="str">
            <v>nm</v>
          </cell>
          <cell r="O131" t="str">
            <v>nm</v>
          </cell>
          <cell r="P131" t="str">
            <v>nm</v>
          </cell>
          <cell r="Q131" t="str">
            <v>nm</v>
          </cell>
          <cell r="R131" t="str">
            <v>nm</v>
          </cell>
          <cell r="S131" t="str">
            <v>nm</v>
          </cell>
          <cell r="T131" t="str">
            <v>nm</v>
          </cell>
          <cell r="U131" t="str">
            <v>nm</v>
          </cell>
          <cell r="V131" t="str">
            <v>nm</v>
          </cell>
        </row>
        <row r="132">
          <cell r="A132" t="str">
            <v>Average Useful Life</v>
          </cell>
          <cell r="D132">
            <v>8466</v>
          </cell>
          <cell r="E132" t="str">
            <v>nm</v>
          </cell>
          <cell r="F132">
            <v>45.12829736211031</v>
          </cell>
          <cell r="G132" t="str">
            <v>nm</v>
          </cell>
          <cell r="H132" t="str">
            <v>nm</v>
          </cell>
          <cell r="I132" t="str">
            <v>nm</v>
          </cell>
          <cell r="J132" t="str">
            <v>nm</v>
          </cell>
          <cell r="K132" t="str">
            <v>nm</v>
          </cell>
          <cell r="L132" t="str">
            <v>nm</v>
          </cell>
          <cell r="M132" t="str">
            <v>nm</v>
          </cell>
          <cell r="N132" t="str">
            <v>nm</v>
          </cell>
          <cell r="O132" t="str">
            <v>nm</v>
          </cell>
          <cell r="P132" t="str">
            <v>nm</v>
          </cell>
          <cell r="Q132" t="str">
            <v>nm</v>
          </cell>
          <cell r="R132" t="str">
            <v>nm</v>
          </cell>
          <cell r="S132" t="str">
            <v>nm</v>
          </cell>
          <cell r="T132" t="str">
            <v>nm</v>
          </cell>
          <cell r="U132" t="str">
            <v>nm</v>
          </cell>
          <cell r="V132" t="str">
            <v>nm</v>
          </cell>
        </row>
        <row r="134">
          <cell r="A134" t="str">
            <v>4) OTHER INTANGIBLE ASSETS</v>
          </cell>
        </row>
        <row r="135">
          <cell r="A135" t="str">
            <v>Cost</v>
          </cell>
        </row>
        <row r="136">
          <cell r="A136" t="str">
            <v>Cost at Start of Year</v>
          </cell>
          <cell r="D136">
            <v>391.2</v>
          </cell>
          <cell r="E136">
            <v>479.90000000000003</v>
          </cell>
          <cell r="F136">
            <v>7435.2</v>
          </cell>
          <cell r="G136">
            <v>8278.6999999999989</v>
          </cell>
          <cell r="H136">
            <v>8345.6999999999989</v>
          </cell>
          <cell r="I136">
            <v>11708</v>
          </cell>
          <cell r="J136">
            <v>11928.500000000002</v>
          </cell>
          <cell r="K136">
            <v>11988.500000000004</v>
          </cell>
          <cell r="L136">
            <v>11935.300000000003</v>
          </cell>
          <cell r="M136">
            <v>12049.284000000003</v>
          </cell>
          <cell r="N136">
            <v>12167.827360000003</v>
          </cell>
          <cell r="O136">
            <v>12291.112454400003</v>
          </cell>
          <cell r="P136">
            <v>12419.328952576003</v>
          </cell>
          <cell r="Q136">
            <v>12552.674110679043</v>
          </cell>
          <cell r="R136">
            <v>12691.353075106204</v>
          </cell>
          <cell r="S136">
            <v>12835.579198110452</v>
          </cell>
          <cell r="T136">
            <v>12985.285913788861</v>
          </cell>
          <cell r="U136">
            <v>13140.68148466305</v>
          </cell>
          <cell r="V136">
            <v>13301.982087230457</v>
          </cell>
        </row>
        <row r="137">
          <cell r="A137" t="str">
            <v>Exchange Adjustments</v>
          </cell>
          <cell r="D137">
            <v>-3.9</v>
          </cell>
          <cell r="E137">
            <v>-0.1</v>
          </cell>
          <cell r="F137">
            <v>719.3</v>
          </cell>
          <cell r="G137">
            <v>-5.2</v>
          </cell>
          <cell r="H137">
            <v>757.7</v>
          </cell>
          <cell r="I137">
            <v>62.1</v>
          </cell>
          <cell r="J137">
            <v>-34.9</v>
          </cell>
          <cell r="K137">
            <v>-97.199999999999989</v>
          </cell>
          <cell r="L137">
            <v>0</v>
          </cell>
          <cell r="M137">
            <v>0</v>
          </cell>
          <cell r="N137">
            <v>0</v>
          </cell>
          <cell r="O137">
            <v>0</v>
          </cell>
          <cell r="P137">
            <v>0</v>
          </cell>
          <cell r="Q137">
            <v>0</v>
          </cell>
          <cell r="R137">
            <v>0</v>
          </cell>
          <cell r="S137">
            <v>0</v>
          </cell>
          <cell r="T137">
            <v>0</v>
          </cell>
          <cell r="U137">
            <v>0</v>
          </cell>
          <cell r="V137">
            <v>0</v>
          </cell>
        </row>
        <row r="138">
          <cell r="A138" t="str">
            <v>Additions</v>
          </cell>
          <cell r="D138">
            <v>56.6</v>
          </cell>
          <cell r="E138">
            <v>121.1</v>
          </cell>
          <cell r="F138">
            <v>140.9</v>
          </cell>
          <cell r="G138">
            <v>96.6</v>
          </cell>
          <cell r="H138">
            <v>104.2</v>
          </cell>
          <cell r="I138">
            <v>79.7</v>
          </cell>
          <cell r="J138">
            <v>161.19999999999999</v>
          </cell>
          <cell r="K138">
            <v>109.6</v>
          </cell>
          <cell r="L138">
            <v>113.98399999999999</v>
          </cell>
          <cell r="M138">
            <v>118.54335999999999</v>
          </cell>
          <cell r="N138">
            <v>123.28509439999999</v>
          </cell>
          <cell r="O138">
            <v>128.21649817599999</v>
          </cell>
          <cell r="P138">
            <v>133.34515810303998</v>
          </cell>
          <cell r="Q138">
            <v>138.67896442716159</v>
          </cell>
          <cell r="R138">
            <v>144.22612300424805</v>
          </cell>
          <cell r="S138">
            <v>149.70671567840949</v>
          </cell>
          <cell r="T138">
            <v>155.39557087418905</v>
          </cell>
          <cell r="U138">
            <v>161.30060256740825</v>
          </cell>
          <cell r="V138">
            <v>167.43002546496976</v>
          </cell>
        </row>
        <row r="139">
          <cell r="A139" t="str">
            <v>Disposals/ Other Movements</v>
          </cell>
          <cell r="D139">
            <v>36</v>
          </cell>
          <cell r="E139">
            <v>6834.3</v>
          </cell>
          <cell r="F139">
            <v>-16.7</v>
          </cell>
          <cell r="G139">
            <v>-24.4</v>
          </cell>
          <cell r="H139">
            <v>2500.4</v>
          </cell>
          <cell r="I139">
            <v>78.699999999999989</v>
          </cell>
          <cell r="J139">
            <v>-66.3</v>
          </cell>
          <cell r="K139">
            <v>-65.599999999999994</v>
          </cell>
          <cell r="L139">
            <v>0</v>
          </cell>
          <cell r="M139">
            <v>0</v>
          </cell>
          <cell r="N139">
            <v>0</v>
          </cell>
          <cell r="O139">
            <v>0</v>
          </cell>
          <cell r="P139">
            <v>0</v>
          </cell>
          <cell r="Q139">
            <v>0</v>
          </cell>
          <cell r="R139">
            <v>0</v>
          </cell>
          <cell r="S139">
            <v>0</v>
          </cell>
          <cell r="T139">
            <v>0</v>
          </cell>
          <cell r="U139">
            <v>0</v>
          </cell>
          <cell r="V139">
            <v>0</v>
          </cell>
        </row>
        <row r="140">
          <cell r="A140" t="str">
            <v>Cost at End of Year</v>
          </cell>
          <cell r="D140">
            <v>479.90000000000003</v>
          </cell>
          <cell r="E140">
            <v>7435.2</v>
          </cell>
          <cell r="F140">
            <v>8278.6999999999989</v>
          </cell>
          <cell r="G140">
            <v>8345.6999999999989</v>
          </cell>
          <cell r="H140">
            <v>11708</v>
          </cell>
          <cell r="I140">
            <v>11928.500000000002</v>
          </cell>
          <cell r="J140">
            <v>11988.500000000004</v>
          </cell>
          <cell r="K140">
            <v>11935.300000000003</v>
          </cell>
          <cell r="L140">
            <v>12049.284000000003</v>
          </cell>
          <cell r="M140">
            <v>12167.827360000003</v>
          </cell>
          <cell r="N140">
            <v>12291.112454400003</v>
          </cell>
          <cell r="O140">
            <v>12419.328952576003</v>
          </cell>
          <cell r="P140">
            <v>12552.674110679043</v>
          </cell>
          <cell r="Q140">
            <v>12691.353075106204</v>
          </cell>
          <cell r="R140">
            <v>12835.579198110452</v>
          </cell>
          <cell r="S140">
            <v>12985.285913788861</v>
          </cell>
          <cell r="T140">
            <v>13140.68148466305</v>
          </cell>
          <cell r="U140">
            <v>13301.982087230457</v>
          </cell>
          <cell r="V140">
            <v>13469.412112695427</v>
          </cell>
        </row>
        <row r="141">
          <cell r="A141" t="str">
            <v>Amortization</v>
          </cell>
        </row>
        <row r="142">
          <cell r="A142" t="str">
            <v>At Start of Year</v>
          </cell>
          <cell r="D142">
            <v>243.7</v>
          </cell>
          <cell r="E142">
            <v>270</v>
          </cell>
          <cell r="F142">
            <v>1062.9000000000001</v>
          </cell>
          <cell r="G142">
            <v>2004.3999999999999</v>
          </cell>
          <cell r="H142">
            <v>2691.2</v>
          </cell>
          <cell r="I142">
            <v>3804</v>
          </cell>
          <cell r="J142">
            <v>4880.5999999999995</v>
          </cell>
          <cell r="K142">
            <v>5739.6999999999989</v>
          </cell>
          <cell r="L142">
            <v>6651.2999999999984</v>
          </cell>
          <cell r="M142">
            <v>7611.6585896958095</v>
          </cell>
          <cell r="N142">
            <v>8469.2944082691465</v>
          </cell>
          <cell r="O142">
            <v>9327.2707086860155</v>
          </cell>
          <cell r="P142">
            <v>10182.352225411134</v>
          </cell>
          <cell r="Q142">
            <v>10727.282598226813</v>
          </cell>
          <cell r="R142">
            <v>11277.831626805364</v>
          </cell>
          <cell r="S142">
            <v>11833.452905430597</v>
          </cell>
          <cell r="T142">
            <v>12395.763723468448</v>
          </cell>
          <cell r="U142">
            <v>12964.986282905076</v>
          </cell>
          <cell r="V142">
            <v>13542.751007210943</v>
          </cell>
        </row>
        <row r="143">
          <cell r="A143" t="str">
            <v>Exchange Adjustment</v>
          </cell>
          <cell r="D143">
            <v>-3.2</v>
          </cell>
          <cell r="E143">
            <v>-1</v>
          </cell>
          <cell r="F143">
            <v>117.3</v>
          </cell>
          <cell r="G143">
            <v>4.8999999999999995</v>
          </cell>
          <cell r="H143">
            <v>256.3</v>
          </cell>
          <cell r="I143">
            <v>18.2</v>
          </cell>
          <cell r="J143">
            <v>-13.2</v>
          </cell>
          <cell r="K143">
            <v>-40</v>
          </cell>
          <cell r="L143">
            <v>0</v>
          </cell>
          <cell r="M143">
            <v>0</v>
          </cell>
          <cell r="N143">
            <v>0</v>
          </cell>
          <cell r="O143">
            <v>0</v>
          </cell>
          <cell r="P143">
            <v>0</v>
          </cell>
          <cell r="Q143">
            <v>0</v>
          </cell>
          <cell r="R143">
            <v>0</v>
          </cell>
          <cell r="S143">
            <v>0</v>
          </cell>
          <cell r="T143">
            <v>0</v>
          </cell>
          <cell r="U143">
            <v>0</v>
          </cell>
          <cell r="V143">
            <v>0</v>
          </cell>
        </row>
        <row r="144">
          <cell r="A144" t="str">
            <v>Amortization Charge</v>
          </cell>
          <cell r="D144">
            <v>47.1</v>
          </cell>
          <cell r="E144">
            <v>636.1</v>
          </cell>
          <cell r="F144">
            <v>865.9</v>
          </cell>
          <cell r="G144">
            <v>715.8</v>
          </cell>
          <cell r="H144">
            <v>906.2</v>
          </cell>
          <cell r="I144">
            <v>1061</v>
          </cell>
          <cell r="J144">
            <v>952.4</v>
          </cell>
          <cell r="K144">
            <v>1034.4000000000001</v>
          </cell>
          <cell r="L144">
            <v>960.35858969581113</v>
          </cell>
          <cell r="M144">
            <v>857.63581857333656</v>
          </cell>
          <cell r="N144">
            <v>857.97630041686921</v>
          </cell>
          <cell r="O144">
            <v>855.08151672511929</v>
          </cell>
          <cell r="P144">
            <v>544.93037281567979</v>
          </cell>
          <cell r="Q144">
            <v>550.54902857855109</v>
          </cell>
          <cell r="R144">
            <v>555.62127862523221</v>
          </cell>
          <cell r="S144">
            <v>562.31081803785105</v>
          </cell>
          <cell r="T144">
            <v>569.22255943662822</v>
          </cell>
          <cell r="U144">
            <v>577.76472430586682</v>
          </cell>
          <cell r="V144">
            <v>590.85943061864441</v>
          </cell>
          <cell r="W144" t="str">
            <v>Drop-off in 2018 reflects end of Serono PPA</v>
          </cell>
          <cell r="AA144" t="str">
            <v>Balancing item for D&amp;A for the forecast periods.</v>
          </cell>
        </row>
        <row r="145">
          <cell r="A145" t="str">
            <v>Disposals / Other</v>
          </cell>
          <cell r="D145">
            <v>-17.600000000000001</v>
          </cell>
          <cell r="E145">
            <v>157.80000000000001</v>
          </cell>
          <cell r="F145">
            <v>-41.7</v>
          </cell>
          <cell r="G145">
            <v>-33.9</v>
          </cell>
          <cell r="H145">
            <v>-49.699999999999996</v>
          </cell>
          <cell r="I145">
            <v>-2.5999999999999996</v>
          </cell>
          <cell r="J145">
            <v>-80.099999999999994</v>
          </cell>
          <cell r="K145">
            <v>-82.8</v>
          </cell>
          <cell r="L145">
            <v>0</v>
          </cell>
          <cell r="M145">
            <v>0</v>
          </cell>
          <cell r="N145">
            <v>0</v>
          </cell>
          <cell r="O145">
            <v>0</v>
          </cell>
          <cell r="P145">
            <v>0</v>
          </cell>
          <cell r="Q145">
            <v>0</v>
          </cell>
          <cell r="R145">
            <v>0</v>
          </cell>
          <cell r="S145">
            <v>0</v>
          </cell>
          <cell r="T145">
            <v>0</v>
          </cell>
          <cell r="U145">
            <v>0</v>
          </cell>
          <cell r="V145">
            <v>0</v>
          </cell>
        </row>
        <row r="146">
          <cell r="A146" t="str">
            <v>At End of Year</v>
          </cell>
          <cell r="D146">
            <v>270</v>
          </cell>
          <cell r="E146">
            <v>1062.9000000000001</v>
          </cell>
          <cell r="F146">
            <v>2004.3999999999999</v>
          </cell>
          <cell r="G146">
            <v>2691.2</v>
          </cell>
          <cell r="H146">
            <v>3804</v>
          </cell>
          <cell r="I146">
            <v>4880.5999999999995</v>
          </cell>
          <cell r="J146">
            <v>5739.6999999999989</v>
          </cell>
          <cell r="K146">
            <v>6651.2999999999984</v>
          </cell>
          <cell r="L146">
            <v>7611.6585896958095</v>
          </cell>
          <cell r="M146">
            <v>8469.2944082691465</v>
          </cell>
          <cell r="N146">
            <v>9327.2707086860155</v>
          </cell>
          <cell r="O146">
            <v>10182.352225411134</v>
          </cell>
          <cell r="P146">
            <v>10727.282598226813</v>
          </cell>
          <cell r="Q146">
            <v>11277.831626805364</v>
          </cell>
          <cell r="R146">
            <v>11833.452905430597</v>
          </cell>
          <cell r="S146">
            <v>12395.763723468448</v>
          </cell>
          <cell r="T146">
            <v>12964.986282905076</v>
          </cell>
          <cell r="U146">
            <v>13542.751007210943</v>
          </cell>
          <cell r="V146">
            <v>14133.610437829588</v>
          </cell>
        </row>
        <row r="148">
          <cell r="A148" t="str">
            <v>Net Book Value (at start)</v>
          </cell>
          <cell r="D148">
            <v>147.5</v>
          </cell>
          <cell r="E148">
            <v>209.90000000000003</v>
          </cell>
          <cell r="F148">
            <v>6372.2999999999993</v>
          </cell>
          <cell r="G148">
            <v>6274.2999999999993</v>
          </cell>
          <cell r="H148">
            <v>5654.4999999999991</v>
          </cell>
          <cell r="I148">
            <v>7904</v>
          </cell>
          <cell r="J148">
            <v>7047.9000000000024</v>
          </cell>
          <cell r="K148">
            <v>6248.8000000000047</v>
          </cell>
          <cell r="L148">
            <v>5284.0000000000045</v>
          </cell>
          <cell r="M148">
            <v>4437.6254103041938</v>
          </cell>
          <cell r="N148">
            <v>3698.5329517308564</v>
          </cell>
          <cell r="O148">
            <v>2963.8417457139876</v>
          </cell>
          <cell r="P148">
            <v>2236.9767271648689</v>
          </cell>
          <cell r="Q148">
            <v>1825.39151245223</v>
          </cell>
          <cell r="R148">
            <v>1413.5214483008403</v>
          </cell>
          <cell r="S148">
            <v>1002.1262926798554</v>
          </cell>
          <cell r="T148">
            <v>589.52219032041285</v>
          </cell>
          <cell r="U148">
            <v>175.69520175797334</v>
          </cell>
          <cell r="V148">
            <v>-240.76891998048632</v>
          </cell>
        </row>
        <row r="149">
          <cell r="A149" t="str">
            <v>Net Book Value (at end)</v>
          </cell>
          <cell r="D149">
            <v>209.90000000000003</v>
          </cell>
          <cell r="E149">
            <v>6372.2999999999993</v>
          </cell>
          <cell r="F149">
            <v>6274.2999999999993</v>
          </cell>
          <cell r="G149">
            <v>5654.4999999999991</v>
          </cell>
          <cell r="H149">
            <v>7904</v>
          </cell>
          <cell r="I149">
            <v>7047.9000000000024</v>
          </cell>
          <cell r="J149">
            <v>6248.8000000000047</v>
          </cell>
          <cell r="K149">
            <v>5284.0000000000045</v>
          </cell>
          <cell r="L149">
            <v>4437.6254103041938</v>
          </cell>
          <cell r="M149">
            <v>3698.5329517308564</v>
          </cell>
          <cell r="N149">
            <v>2963.8417457139876</v>
          </cell>
          <cell r="O149">
            <v>2236.9767271648689</v>
          </cell>
          <cell r="P149">
            <v>1825.39151245223</v>
          </cell>
          <cell r="Q149">
            <v>1413.5214483008403</v>
          </cell>
          <cell r="R149">
            <v>1002.1262926798554</v>
          </cell>
          <cell r="S149">
            <v>589.52219032041285</v>
          </cell>
          <cell r="T149">
            <v>175.69520175797334</v>
          </cell>
          <cell r="U149">
            <v>-240.76891998048632</v>
          </cell>
          <cell r="V149">
            <v>-664.19832513416077</v>
          </cell>
        </row>
        <row r="151">
          <cell r="A151" t="str">
            <v>CAPEX/ Amortization Charge</v>
          </cell>
          <cell r="D151">
            <v>1.2016985138004246</v>
          </cell>
          <cell r="E151">
            <v>0.19037887124665931</v>
          </cell>
          <cell r="F151">
            <v>0.16272086846056127</v>
          </cell>
          <cell r="G151">
            <v>0.134953897736798</v>
          </cell>
          <cell r="H151">
            <v>0.11498565438093136</v>
          </cell>
          <cell r="I151">
            <v>7.5117813383600379E-2</v>
          </cell>
          <cell r="J151">
            <v>0.16925661486770263</v>
          </cell>
          <cell r="K151">
            <v>0.10595514307811291</v>
          </cell>
          <cell r="L151">
            <v>0.11868899932066403</v>
          </cell>
          <cell r="M151">
            <v>0.13822109272114472</v>
          </cell>
          <cell r="N151">
            <v>0.14369289028158336</v>
          </cell>
          <cell r="O151">
            <v>0.1499465204990712</v>
          </cell>
          <cell r="P151">
            <v>0.24470127699808608</v>
          </cell>
          <cell r="Q151">
            <v>0.25189212445840359</v>
          </cell>
          <cell r="R151">
            <v>0.25957631313384039</v>
          </cell>
          <cell r="S151">
            <v>0.26623481333829191</v>
          </cell>
          <cell r="T151">
            <v>0.27299615642076341</v>
          </cell>
          <cell r="U151">
            <v>0.27918042722528041</v>
          </cell>
          <cell r="V151">
            <v>0.28336693431408277</v>
          </cell>
        </row>
        <row r="152">
          <cell r="A152" t="str">
            <v>Average Useful Life</v>
          </cell>
          <cell r="D152">
            <v>9.2473460721868364</v>
          </cell>
          <cell r="E152">
            <v>6.2215846565005499</v>
          </cell>
          <cell r="F152">
            <v>9.0737383069638522</v>
          </cell>
          <cell r="G152">
            <v>11.612461581447331</v>
          </cell>
          <cell r="H152">
            <v>11.064720812182738</v>
          </cell>
          <cell r="I152">
            <v>11.138784165881244</v>
          </cell>
          <cell r="J152">
            <v>12.556173876522474</v>
          </cell>
          <cell r="K152">
            <v>11.56409512761021</v>
          </cell>
          <cell r="L152">
            <v>12.487306438107147</v>
          </cell>
          <cell r="M152">
            <v>14.118528421705138</v>
          </cell>
          <cell r="N152">
            <v>14.253855148747128</v>
          </cell>
          <cell r="O152">
            <v>14.449172928924158</v>
          </cell>
          <cell r="P152">
            <v>22.913021836371115</v>
          </cell>
          <cell r="Q152">
            <v>22.926229886339257</v>
          </cell>
          <cell r="R152">
            <v>22.971521479862751</v>
          </cell>
          <cell r="S152">
            <v>22.959601952884022</v>
          </cell>
          <cell r="T152">
            <v>22.948815858870159</v>
          </cell>
          <cell r="U152">
            <v>22.883591243530855</v>
          </cell>
          <cell r="V152">
            <v>22.654622074742527</v>
          </cell>
        </row>
        <row r="154">
          <cell r="A154" t="str">
            <v>5) CASH AND DEBT</v>
          </cell>
        </row>
        <row r="155">
          <cell r="A155" t="str">
            <v>Short Term Debt</v>
          </cell>
        </row>
        <row r="156">
          <cell r="A156" t="str">
            <v>Beginning</v>
          </cell>
          <cell r="D156">
            <v>291.3</v>
          </cell>
          <cell r="E156">
            <v>498.4</v>
          </cell>
          <cell r="F156">
            <v>300.39999999999998</v>
          </cell>
          <cell r="G156">
            <v>266.2</v>
          </cell>
          <cell r="H156">
            <v>705.2</v>
          </cell>
          <cell r="I156">
            <v>356.10000000000008</v>
          </cell>
          <cell r="J156">
            <v>1394.4000000000003</v>
          </cell>
          <cell r="K156">
            <v>1091.4000000000003</v>
          </cell>
          <cell r="L156">
            <v>440.4000000000002</v>
          </cell>
          <cell r="M156">
            <v>458.48823529411783</v>
          </cell>
          <cell r="N156">
            <v>458.48823529411783</v>
          </cell>
          <cell r="O156">
            <v>458.48823529411783</v>
          </cell>
          <cell r="P156">
            <v>458.48823529411783</v>
          </cell>
          <cell r="Q156">
            <v>458.48823529411783</v>
          </cell>
          <cell r="R156">
            <v>458.48823529411783</v>
          </cell>
          <cell r="S156">
            <v>458.48823529411783</v>
          </cell>
          <cell r="T156">
            <v>458.48823529411783</v>
          </cell>
          <cell r="U156">
            <v>458.48823529411783</v>
          </cell>
          <cell r="V156">
            <v>458.48823529411783</v>
          </cell>
        </row>
        <row r="157">
          <cell r="A157" t="str">
            <v>New Debt</v>
          </cell>
          <cell r="D157">
            <v>207.1</v>
          </cell>
          <cell r="E157">
            <v>0</v>
          </cell>
          <cell r="F157">
            <v>0</v>
          </cell>
          <cell r="G157">
            <v>439</v>
          </cell>
          <cell r="H157">
            <v>125.00000000000003</v>
          </cell>
          <cell r="I157">
            <v>1048.3000000000002</v>
          </cell>
          <cell r="J157">
            <v>38.200000000000003</v>
          </cell>
          <cell r="K157">
            <v>131.29999999999998</v>
          </cell>
          <cell r="L157">
            <v>18.088235294117649</v>
          </cell>
          <cell r="M157">
            <v>0</v>
          </cell>
          <cell r="N157">
            <v>0</v>
          </cell>
          <cell r="O157">
            <v>0</v>
          </cell>
          <cell r="P157">
            <v>0</v>
          </cell>
          <cell r="Q157">
            <v>0</v>
          </cell>
          <cell r="R157">
            <v>0</v>
          </cell>
          <cell r="S157">
            <v>0</v>
          </cell>
          <cell r="T157">
            <v>0</v>
          </cell>
          <cell r="U157">
            <v>0</v>
          </cell>
          <cell r="V157">
            <v>0</v>
          </cell>
        </row>
        <row r="158">
          <cell r="A158" t="str">
            <v>Repayments</v>
          </cell>
          <cell r="D158">
            <v>0</v>
          </cell>
          <cell r="E158">
            <v>-198</v>
          </cell>
          <cell r="F158">
            <v>-34.200000000000003</v>
          </cell>
          <cell r="G158">
            <v>0</v>
          </cell>
          <cell r="H158">
            <v>-474.09999999999997</v>
          </cell>
          <cell r="I158">
            <v>-10</v>
          </cell>
          <cell r="J158">
            <v>-341.20000000000005</v>
          </cell>
          <cell r="K158">
            <v>-782.30000000000007</v>
          </cell>
          <cell r="L158">
            <v>0</v>
          </cell>
          <cell r="M158">
            <v>0</v>
          </cell>
          <cell r="N158">
            <v>0</v>
          </cell>
          <cell r="O158">
            <v>0</v>
          </cell>
          <cell r="P158">
            <v>0</v>
          </cell>
          <cell r="Q158">
            <v>0</v>
          </cell>
          <cell r="R158">
            <v>0</v>
          </cell>
          <cell r="S158">
            <v>0</v>
          </cell>
          <cell r="T158">
            <v>0</v>
          </cell>
          <cell r="U158">
            <v>0</v>
          </cell>
          <cell r="V158">
            <v>0</v>
          </cell>
        </row>
        <row r="159">
          <cell r="A159" t="str">
            <v xml:space="preserve">End </v>
          </cell>
          <cell r="D159">
            <v>498.4</v>
          </cell>
          <cell r="E159">
            <v>300.39999999999998</v>
          </cell>
          <cell r="F159">
            <v>266.2</v>
          </cell>
          <cell r="G159">
            <v>705.2</v>
          </cell>
          <cell r="H159">
            <v>356.10000000000008</v>
          </cell>
          <cell r="I159">
            <v>1394.4000000000003</v>
          </cell>
          <cell r="J159">
            <v>1091.4000000000003</v>
          </cell>
          <cell r="K159">
            <v>440.4000000000002</v>
          </cell>
          <cell r="L159">
            <v>458.48823529411783</v>
          </cell>
          <cell r="M159">
            <v>458.48823529411783</v>
          </cell>
          <cell r="N159">
            <v>458.48823529411783</v>
          </cell>
          <cell r="O159">
            <v>458.48823529411783</v>
          </cell>
          <cell r="P159">
            <v>458.48823529411783</v>
          </cell>
          <cell r="Q159">
            <v>458.48823529411783</v>
          </cell>
          <cell r="R159">
            <v>458.48823529411783</v>
          </cell>
          <cell r="S159">
            <v>458.48823529411783</v>
          </cell>
          <cell r="T159">
            <v>458.48823529411783</v>
          </cell>
          <cell r="U159">
            <v>458.48823529411783</v>
          </cell>
          <cell r="V159">
            <v>458.48823529411783</v>
          </cell>
        </row>
        <row r="160">
          <cell r="A160" t="str">
            <v>Long Term Debt</v>
          </cell>
        </row>
        <row r="161">
          <cell r="A161" t="str">
            <v>Beginning</v>
          </cell>
          <cell r="D161">
            <v>654</v>
          </cell>
          <cell r="E161">
            <v>613.6</v>
          </cell>
          <cell r="F161">
            <v>1046.5999999999999</v>
          </cell>
          <cell r="G161">
            <v>1080.0999999999999</v>
          </cell>
          <cell r="H161">
            <v>1602.1</v>
          </cell>
          <cell r="I161">
            <v>5127.3999999999996</v>
          </cell>
          <cell r="J161">
            <v>4144.8999999999996</v>
          </cell>
          <cell r="K161">
            <v>3362.1000000000004</v>
          </cell>
          <cell r="L161">
            <v>3257.5</v>
          </cell>
          <cell r="M161">
            <v>3125</v>
          </cell>
          <cell r="N161">
            <v>2720</v>
          </cell>
          <cell r="O161">
            <v>2585</v>
          </cell>
          <cell r="P161">
            <v>2450</v>
          </cell>
          <cell r="Q161">
            <v>2315</v>
          </cell>
          <cell r="R161">
            <v>2180</v>
          </cell>
          <cell r="S161">
            <v>2045</v>
          </cell>
          <cell r="T161">
            <v>1910</v>
          </cell>
          <cell r="U161">
            <v>1775</v>
          </cell>
          <cell r="V161">
            <v>1640</v>
          </cell>
        </row>
        <row r="162">
          <cell r="A162" t="str">
            <v>New Debt</v>
          </cell>
          <cell r="D162">
            <v>0</v>
          </cell>
          <cell r="E162">
            <v>433</v>
          </cell>
          <cell r="F162">
            <v>33.5</v>
          </cell>
          <cell r="G162">
            <v>522</v>
          </cell>
          <cell r="H162">
            <v>3535.9</v>
          </cell>
          <cell r="I162">
            <v>81.8</v>
          </cell>
          <cell r="J162">
            <v>0.59999999999999432</v>
          </cell>
          <cell r="K162">
            <v>0</v>
          </cell>
          <cell r="L162">
            <v>272.5</v>
          </cell>
          <cell r="M162">
            <v>0</v>
          </cell>
          <cell r="N162">
            <v>0</v>
          </cell>
          <cell r="O162">
            <v>0</v>
          </cell>
          <cell r="P162">
            <v>0</v>
          </cell>
          <cell r="Q162">
            <v>0</v>
          </cell>
          <cell r="R162">
            <v>0</v>
          </cell>
          <cell r="S162">
            <v>0</v>
          </cell>
          <cell r="T162">
            <v>0</v>
          </cell>
          <cell r="U162">
            <v>0</v>
          </cell>
          <cell r="V162">
            <v>0</v>
          </cell>
        </row>
        <row r="163">
          <cell r="A163" t="str">
            <v>Repayments</v>
          </cell>
          <cell r="D163">
            <v>-40.4</v>
          </cell>
          <cell r="E163">
            <v>0</v>
          </cell>
          <cell r="F163">
            <v>0</v>
          </cell>
          <cell r="G163">
            <v>0</v>
          </cell>
          <cell r="H163">
            <v>-10.600000000000005</v>
          </cell>
          <cell r="I163">
            <v>-1064.3000000000004</v>
          </cell>
          <cell r="J163">
            <v>-783.39999999999964</v>
          </cell>
          <cell r="K163">
            <v>-104.60000000000028</v>
          </cell>
          <cell r="L163">
            <v>-405</v>
          </cell>
          <cell r="M163">
            <v>-405</v>
          </cell>
          <cell r="N163">
            <v>-135</v>
          </cell>
          <cell r="O163">
            <v>-135</v>
          </cell>
          <cell r="P163">
            <v>-135</v>
          </cell>
          <cell r="Q163">
            <v>-135</v>
          </cell>
          <cell r="R163">
            <v>-135</v>
          </cell>
          <cell r="S163">
            <v>-135</v>
          </cell>
          <cell r="T163">
            <v>-135</v>
          </cell>
          <cell r="U163">
            <v>-135</v>
          </cell>
          <cell r="V163">
            <v>-135</v>
          </cell>
        </row>
        <row r="164">
          <cell r="A164" t="str">
            <v xml:space="preserve">End </v>
          </cell>
          <cell r="D164">
            <v>613.6</v>
          </cell>
          <cell r="E164">
            <v>1046.5999999999999</v>
          </cell>
          <cell r="F164">
            <v>1080.0999999999999</v>
          </cell>
          <cell r="G164">
            <v>1602.1</v>
          </cell>
          <cell r="H164">
            <v>5127.3999999999996</v>
          </cell>
          <cell r="I164">
            <v>4144.8999999999996</v>
          </cell>
          <cell r="J164">
            <v>3362.1000000000004</v>
          </cell>
          <cell r="K164">
            <v>3257.5</v>
          </cell>
          <cell r="L164">
            <v>3125</v>
          </cell>
          <cell r="M164">
            <v>2720</v>
          </cell>
          <cell r="N164">
            <v>2585</v>
          </cell>
          <cell r="O164">
            <v>2450</v>
          </cell>
          <cell r="P164">
            <v>2315</v>
          </cell>
          <cell r="Q164">
            <v>2180</v>
          </cell>
          <cell r="R164">
            <v>2045</v>
          </cell>
          <cell r="S164">
            <v>1910</v>
          </cell>
          <cell r="T164">
            <v>1775</v>
          </cell>
          <cell r="U164">
            <v>1640</v>
          </cell>
          <cell r="V164">
            <v>1505</v>
          </cell>
        </row>
        <row r="166">
          <cell r="A166" t="str">
            <v>Cash</v>
          </cell>
        </row>
        <row r="167">
          <cell r="A167" t="str">
            <v>Beginning</v>
          </cell>
          <cell r="D167">
            <v>228.1</v>
          </cell>
          <cell r="E167">
            <v>264.2</v>
          </cell>
          <cell r="F167">
            <v>292.60000000000002</v>
          </cell>
          <cell r="G167">
            <v>329.1</v>
          </cell>
          <cell r="H167">
            <v>282.89999999999998</v>
          </cell>
          <cell r="I167">
            <v>233.6</v>
          </cell>
          <cell r="J167">
            <v>187.7</v>
          </cell>
          <cell r="K167">
            <v>349.1</v>
          </cell>
          <cell r="L167">
            <v>332</v>
          </cell>
          <cell r="M167">
            <v>-408.09981931076436</v>
          </cell>
          <cell r="N167">
            <v>769.91484679724226</v>
          </cell>
          <cell r="O167">
            <v>2408.4290502035064</v>
          </cell>
          <cell r="P167">
            <v>4006.9983483147926</v>
          </cell>
          <cell r="Q167">
            <v>5554.1515377683563</v>
          </cell>
          <cell r="R167">
            <v>7062.4050364225168</v>
          </cell>
          <cell r="S167">
            <v>8539.2797459849753</v>
          </cell>
          <cell r="T167">
            <v>9976.2108951149148</v>
          </cell>
          <cell r="U167">
            <v>11394.715897112683</v>
          </cell>
          <cell r="V167">
            <v>12851.571019800327</v>
          </cell>
        </row>
        <row r="168">
          <cell r="A168" t="str">
            <v>End</v>
          </cell>
          <cell r="D168">
            <v>264.2</v>
          </cell>
          <cell r="E168">
            <v>292.60000000000002</v>
          </cell>
          <cell r="F168">
            <v>329.1</v>
          </cell>
          <cell r="G168">
            <v>282.89999999999998</v>
          </cell>
          <cell r="H168">
            <v>233.6</v>
          </cell>
          <cell r="I168">
            <v>187.7</v>
          </cell>
          <cell r="J168">
            <v>349.1</v>
          </cell>
          <cell r="K168">
            <v>332</v>
          </cell>
          <cell r="L168">
            <v>-408.09981931076436</v>
          </cell>
          <cell r="M168">
            <v>769.91484679724226</v>
          </cell>
          <cell r="N168">
            <v>2408.4290502035064</v>
          </cell>
          <cell r="O168">
            <v>4006.9983483147926</v>
          </cell>
          <cell r="P168">
            <v>5554.1515377683563</v>
          </cell>
          <cell r="Q168">
            <v>7062.4050364225168</v>
          </cell>
          <cell r="R168">
            <v>8539.2797459849753</v>
          </cell>
          <cell r="S168">
            <v>9976.2108951149148</v>
          </cell>
          <cell r="T168">
            <v>11394.715897112683</v>
          </cell>
          <cell r="U168">
            <v>12851.571019800327</v>
          </cell>
          <cell r="V168">
            <v>14244.967041196276</v>
          </cell>
        </row>
        <row r="170">
          <cell r="A170" t="str">
            <v>6) SHORT TERM INVESTMENT</v>
          </cell>
        </row>
        <row r="171">
          <cell r="A171" t="str">
            <v>Short Term Cash Investment</v>
          </cell>
          <cell r="D171">
            <v>195.9</v>
          </cell>
          <cell r="E171">
            <v>134</v>
          </cell>
          <cell r="F171">
            <v>363.6</v>
          </cell>
          <cell r="G171">
            <v>258.5</v>
          </cell>
          <cell r="H171">
            <v>710.1</v>
          </cell>
          <cell r="I171">
            <v>750.1</v>
          </cell>
          <cell r="J171">
            <v>380.6</v>
          </cell>
          <cell r="K171">
            <v>648.79999999999995</v>
          </cell>
          <cell r="L171">
            <v>648.79999999999995</v>
          </cell>
          <cell r="M171">
            <v>648.79999999999995</v>
          </cell>
          <cell r="N171">
            <v>648.79999999999995</v>
          </cell>
          <cell r="O171">
            <v>648.79999999999995</v>
          </cell>
          <cell r="P171">
            <v>648.79999999999995</v>
          </cell>
          <cell r="Q171">
            <v>648.79999999999995</v>
          </cell>
          <cell r="R171">
            <v>648.79999999999995</v>
          </cell>
          <cell r="S171">
            <v>648.79999999999995</v>
          </cell>
          <cell r="T171">
            <v>648.79999999999995</v>
          </cell>
          <cell r="U171">
            <v>648.79999999999995</v>
          </cell>
          <cell r="V171">
            <v>648.79999999999995</v>
          </cell>
        </row>
        <row r="173">
          <cell r="A173" t="str">
            <v>Short Term Investments</v>
          </cell>
        </row>
        <row r="174">
          <cell r="A174" t="str">
            <v>Beginning</v>
          </cell>
          <cell r="D174">
            <v>1093.5999999999999</v>
          </cell>
          <cell r="E174">
            <v>195.9</v>
          </cell>
          <cell r="F174">
            <v>134</v>
          </cell>
          <cell r="G174">
            <v>363.6</v>
          </cell>
          <cell r="H174">
            <v>258.5</v>
          </cell>
          <cell r="I174">
            <v>710.1</v>
          </cell>
          <cell r="J174">
            <v>750.1</v>
          </cell>
          <cell r="K174">
            <v>380.6</v>
          </cell>
          <cell r="L174">
            <v>648.79999999999995</v>
          </cell>
          <cell r="M174">
            <v>648.79999999999995</v>
          </cell>
          <cell r="N174">
            <v>648.79999999999995</v>
          </cell>
          <cell r="O174">
            <v>648.79999999999995</v>
          </cell>
          <cell r="P174">
            <v>648.79999999999995</v>
          </cell>
          <cell r="Q174">
            <v>648.79999999999995</v>
          </cell>
          <cell r="R174">
            <v>648.79999999999995</v>
          </cell>
          <cell r="S174">
            <v>648.79999999999995</v>
          </cell>
          <cell r="T174">
            <v>648.79999999999995</v>
          </cell>
          <cell r="U174">
            <v>648.79999999999995</v>
          </cell>
          <cell r="V174">
            <v>648.79999999999995</v>
          </cell>
        </row>
        <row r="175">
          <cell r="A175" t="str">
            <v>Additions</v>
          </cell>
          <cell r="D175">
            <v>0</v>
          </cell>
          <cell r="E175">
            <v>0</v>
          </cell>
          <cell r="F175">
            <v>229.60000000000002</v>
          </cell>
          <cell r="G175">
            <v>0</v>
          </cell>
          <cell r="H175">
            <v>451.6</v>
          </cell>
          <cell r="I175">
            <v>40</v>
          </cell>
          <cell r="J175">
            <v>0</v>
          </cell>
          <cell r="K175">
            <v>268.19999999999993</v>
          </cell>
          <cell r="L175">
            <v>0</v>
          </cell>
          <cell r="M175">
            <v>0</v>
          </cell>
          <cell r="N175">
            <v>0</v>
          </cell>
          <cell r="O175">
            <v>0</v>
          </cell>
          <cell r="P175">
            <v>0</v>
          </cell>
          <cell r="Q175">
            <v>0</v>
          </cell>
          <cell r="R175">
            <v>0</v>
          </cell>
          <cell r="S175">
            <v>0</v>
          </cell>
          <cell r="T175">
            <v>0</v>
          </cell>
          <cell r="U175">
            <v>0</v>
          </cell>
          <cell r="V175">
            <v>0</v>
          </cell>
        </row>
        <row r="176">
          <cell r="A176" t="str">
            <v>Disposals</v>
          </cell>
          <cell r="D176">
            <v>-897.69999999999993</v>
          </cell>
          <cell r="E176">
            <v>-61.900000000000006</v>
          </cell>
          <cell r="F176">
            <v>0</v>
          </cell>
          <cell r="G176">
            <v>-105.10000000000002</v>
          </cell>
          <cell r="H176">
            <v>0</v>
          </cell>
          <cell r="I176">
            <v>0</v>
          </cell>
          <cell r="J176">
            <v>-369.5</v>
          </cell>
          <cell r="K176">
            <v>0</v>
          </cell>
          <cell r="L176">
            <v>0</v>
          </cell>
          <cell r="M176">
            <v>0</v>
          </cell>
          <cell r="N176">
            <v>0</v>
          </cell>
          <cell r="O176">
            <v>0</v>
          </cell>
          <cell r="P176">
            <v>0</v>
          </cell>
          <cell r="Q176">
            <v>0</v>
          </cell>
          <cell r="R176">
            <v>0</v>
          </cell>
          <cell r="S176">
            <v>0</v>
          </cell>
          <cell r="T176">
            <v>0</v>
          </cell>
          <cell r="U176">
            <v>0</v>
          </cell>
          <cell r="V176">
            <v>0</v>
          </cell>
        </row>
        <row r="177">
          <cell r="A177" t="str">
            <v>End</v>
          </cell>
          <cell r="D177">
            <v>195.9</v>
          </cell>
          <cell r="E177">
            <v>134</v>
          </cell>
          <cell r="F177">
            <v>363.6</v>
          </cell>
          <cell r="G177">
            <v>258.5</v>
          </cell>
          <cell r="H177">
            <v>710.1</v>
          </cell>
          <cell r="I177">
            <v>750.1</v>
          </cell>
          <cell r="J177">
            <v>380.6</v>
          </cell>
          <cell r="K177">
            <v>648.79999999999995</v>
          </cell>
          <cell r="L177">
            <v>648.79999999999995</v>
          </cell>
          <cell r="M177">
            <v>648.79999999999995</v>
          </cell>
          <cell r="N177">
            <v>648.79999999999995</v>
          </cell>
          <cell r="O177">
            <v>648.79999999999995</v>
          </cell>
          <cell r="P177">
            <v>648.79999999999995</v>
          </cell>
          <cell r="Q177">
            <v>648.79999999999995</v>
          </cell>
          <cell r="R177">
            <v>648.79999999999995</v>
          </cell>
          <cell r="S177">
            <v>648.79999999999995</v>
          </cell>
          <cell r="T177">
            <v>648.79999999999995</v>
          </cell>
          <cell r="U177">
            <v>648.79999999999995</v>
          </cell>
          <cell r="V177">
            <v>648.79999999999995</v>
          </cell>
        </row>
        <row r="178">
          <cell r="A178" t="str">
            <v xml:space="preserve"> Cash &amp; Cash Equivalents</v>
          </cell>
          <cell r="D178">
            <v>460.1</v>
          </cell>
          <cell r="E178">
            <v>426.6</v>
          </cell>
          <cell r="F178">
            <v>692.7</v>
          </cell>
          <cell r="G178">
            <v>541.4</v>
          </cell>
          <cell r="H178">
            <v>943.7</v>
          </cell>
          <cell r="I178">
            <v>937.8</v>
          </cell>
          <cell r="J178">
            <v>729.7</v>
          </cell>
          <cell r="K178">
            <v>980.8</v>
          </cell>
          <cell r="L178">
            <v>240.70018068923559</v>
          </cell>
          <cell r="M178">
            <v>1418.7148467972422</v>
          </cell>
          <cell r="N178">
            <v>3057.2290502035066</v>
          </cell>
          <cell r="O178">
            <v>4655.7983483147927</v>
          </cell>
          <cell r="P178">
            <v>6202.9515377683565</v>
          </cell>
          <cell r="Q178">
            <v>7711.205036422517</v>
          </cell>
          <cell r="R178">
            <v>9188.0797459849746</v>
          </cell>
          <cell r="S178">
            <v>10625.010895114914</v>
          </cell>
          <cell r="T178">
            <v>12043.515897112682</v>
          </cell>
          <cell r="U178">
            <v>13500.371019800326</v>
          </cell>
          <cell r="V178">
            <v>14893.767041196275</v>
          </cell>
        </row>
        <row r="181">
          <cell r="A181" t="str">
            <v>Debt Interest Rate</v>
          </cell>
          <cell r="D181">
            <v>4.9190686822534385E-2</v>
          </cell>
          <cell r="E181">
            <v>0.26181374542496949</v>
          </cell>
          <cell r="F181">
            <v>6.3045334719489116E-2</v>
          </cell>
          <cell r="G181">
            <v>4.8554850010948107E-2</v>
          </cell>
          <cell r="H181">
            <v>5.3627355342198493E-2</v>
          </cell>
          <cell r="I181">
            <v>4.1223645534709877E-2</v>
          </cell>
          <cell r="J181">
            <v>4.4411976623168675E-2</v>
          </cell>
          <cell r="K181">
            <v>4.3329980126113297E-2</v>
          </cell>
          <cell r="L181">
            <v>0.04</v>
          </cell>
          <cell r="M181">
            <v>0.04</v>
          </cell>
          <cell r="N181">
            <v>0.04</v>
          </cell>
          <cell r="O181">
            <v>0.04</v>
          </cell>
          <cell r="P181">
            <v>0.04</v>
          </cell>
          <cell r="Q181">
            <v>0.04</v>
          </cell>
          <cell r="R181">
            <v>0.04</v>
          </cell>
          <cell r="S181">
            <v>0.04</v>
          </cell>
          <cell r="T181">
            <v>0.04</v>
          </cell>
          <cell r="U181">
            <v>0.04</v>
          </cell>
          <cell r="V181">
            <v>0.04</v>
          </cell>
        </row>
        <row r="182">
          <cell r="A182" t="str">
            <v>Cash Interest Received</v>
          </cell>
          <cell r="D182">
            <v>5.2590420332355822E-2</v>
          </cell>
          <cell r="E182">
            <v>0.10022894937674892</v>
          </cell>
          <cell r="F182">
            <v>5.0538525269262634E-2</v>
          </cell>
          <cell r="G182">
            <v>4.4297956493078446E-2</v>
          </cell>
          <cell r="H182">
            <v>3.8401117123407227E-2</v>
          </cell>
          <cell r="I182">
            <v>5.5867001739802823E-2</v>
          </cell>
          <cell r="J182">
            <v>3.5306952295943668E-2</v>
          </cell>
          <cell r="K182">
            <v>2.9473684210526319E-2</v>
          </cell>
          <cell r="L182">
            <v>2.9473684210526319E-2</v>
          </cell>
          <cell r="M182">
            <v>2.9473684210526319E-2</v>
          </cell>
          <cell r="N182">
            <v>2.9473684210526319E-2</v>
          </cell>
          <cell r="O182">
            <v>2.9473684210526319E-2</v>
          </cell>
          <cell r="P182">
            <v>2.9473684210526319E-2</v>
          </cell>
          <cell r="Q182">
            <v>2.9473684210526319E-2</v>
          </cell>
          <cell r="R182">
            <v>2.9473684210526319E-2</v>
          </cell>
          <cell r="S182">
            <v>2.9473684210526319E-2</v>
          </cell>
          <cell r="T182">
            <v>2.9473684210526319E-2</v>
          </cell>
          <cell r="U182">
            <v>2.9473684210526319E-2</v>
          </cell>
          <cell r="V182">
            <v>2.9473684210526319E-2</v>
          </cell>
        </row>
        <row r="184">
          <cell r="A184" t="str">
            <v>Interest Received</v>
          </cell>
          <cell r="D184">
            <v>53.8</v>
          </cell>
          <cell r="E184">
            <v>59.1</v>
          </cell>
          <cell r="F184">
            <v>36.6</v>
          </cell>
          <cell r="G184">
            <v>33.6</v>
          </cell>
          <cell r="H184">
            <v>33</v>
          </cell>
          <cell r="I184">
            <v>57.8</v>
          </cell>
          <cell r="J184">
            <v>35.6</v>
          </cell>
          <cell r="K184">
            <v>30.1</v>
          </cell>
          <cell r="L184">
            <v>18.001055294367685</v>
          </cell>
          <cell r="M184">
            <v>24.454537247169149</v>
          </cell>
          <cell r="N184">
            <v>65.961278482116299</v>
          </cell>
          <cell r="O184">
            <v>113.66566692553285</v>
          </cell>
          <cell r="P184">
            <v>160.02368253175169</v>
          </cell>
          <cell r="Q184">
            <v>205.05072846176026</v>
          </cell>
          <cell r="R184">
            <v>249.04209153021571</v>
          </cell>
          <cell r="S184">
            <v>291.98238839515625</v>
          </cell>
          <cell r="T184">
            <v>334.06250009598568</v>
          </cell>
          <cell r="U184">
            <v>376.43622824924438</v>
          </cell>
          <cell r="V184">
            <v>418.43992931994995</v>
          </cell>
        </row>
        <row r="185">
          <cell r="A185" t="str">
            <v>Interest Paid</v>
          </cell>
          <cell r="D185">
            <v>-50.6</v>
          </cell>
          <cell r="E185">
            <v>-321.89999999999998</v>
          </cell>
          <cell r="F185">
            <v>-84.9</v>
          </cell>
          <cell r="G185">
            <v>-88.7</v>
          </cell>
          <cell r="H185">
            <v>-208.9</v>
          </cell>
          <cell r="I185">
            <v>-227.2</v>
          </cell>
          <cell r="J185">
            <v>-221.9</v>
          </cell>
          <cell r="K185">
            <v>-176.6</v>
          </cell>
          <cell r="L185">
            <v>-145.62776470588236</v>
          </cell>
          <cell r="M185">
            <v>-135.23952941176472</v>
          </cell>
          <cell r="N185">
            <v>-124.43952941176471</v>
          </cell>
          <cell r="O185">
            <v>-119.0395294117647</v>
          </cell>
          <cell r="P185">
            <v>-113.63952941176471</v>
          </cell>
          <cell r="Q185">
            <v>-108.23952941176471</v>
          </cell>
          <cell r="R185">
            <v>-102.83952941176472</v>
          </cell>
          <cell r="S185">
            <v>-97.43952941176471</v>
          </cell>
          <cell r="T185">
            <v>-92.039529411764704</v>
          </cell>
          <cell r="U185">
            <v>-86.639529411764713</v>
          </cell>
          <cell r="V185">
            <v>-81.239529411764721</v>
          </cell>
        </row>
        <row r="186">
          <cell r="A186" t="str">
            <v>Pension Interest</v>
          </cell>
          <cell r="D186">
            <v>-55.1</v>
          </cell>
          <cell r="E186">
            <v>-59.5</v>
          </cell>
          <cell r="F186">
            <v>-66.400000000000006</v>
          </cell>
          <cell r="G186">
            <v>-74.378536640000021</v>
          </cell>
          <cell r="H186">
            <v>-72.243946849999986</v>
          </cell>
          <cell r="I186">
            <v>-74.900000000000006</v>
          </cell>
          <cell r="J186">
            <v>-60.3</v>
          </cell>
          <cell r="K186">
            <v>-54.2</v>
          </cell>
          <cell r="L186">
            <v>-32.031034999999932</v>
          </cell>
          <cell r="M186">
            <v>-35.336641163845528</v>
          </cell>
          <cell r="N186">
            <v>-38.222450761788693</v>
          </cell>
          <cell r="O186">
            <v>-41.260707513626279</v>
          </cell>
          <cell r="P186">
            <v>-44.458357882753788</v>
          </cell>
          <cell r="Q186">
            <v>-47.822642103751768</v>
          </cell>
          <cell r="R186">
            <v>-51.361106063868263</v>
          </cell>
          <cell r="S186">
            <v>-55.081613651117081</v>
          </cell>
          <cell r="T186">
            <v>-58.992359586943124</v>
          </cell>
          <cell r="U186">
            <v>-63.101882762086007</v>
          </cell>
          <cell r="V186">
            <v>-67.419080094979421</v>
          </cell>
        </row>
        <row r="187">
          <cell r="A187" t="str">
            <v>Interest on currency hedging transactions</v>
          </cell>
          <cell r="G187">
            <v>-74.378536640000021</v>
          </cell>
          <cell r="H187">
            <v>-72.243946849999986</v>
          </cell>
          <cell r="I187">
            <v>-74.900000000000006</v>
          </cell>
          <cell r="J187">
            <v>-60.3</v>
          </cell>
          <cell r="K187">
            <v>-54.2</v>
          </cell>
          <cell r="L187">
            <v>0</v>
          </cell>
          <cell r="M187">
            <v>0</v>
          </cell>
          <cell r="N187">
            <v>0</v>
          </cell>
          <cell r="O187">
            <v>0</v>
          </cell>
          <cell r="P187">
            <v>0</v>
          </cell>
          <cell r="Q187">
            <v>0</v>
          </cell>
          <cell r="R187">
            <v>0</v>
          </cell>
          <cell r="S187">
            <v>0</v>
          </cell>
          <cell r="T187">
            <v>0</v>
          </cell>
          <cell r="U187">
            <v>0</v>
          </cell>
          <cell r="V187">
            <v>0</v>
          </cell>
        </row>
        <row r="188">
          <cell r="A188" t="str">
            <v>Currency Gains/Losses</v>
          </cell>
          <cell r="D188">
            <v>0</v>
          </cell>
          <cell r="E188">
            <v>0</v>
          </cell>
          <cell r="F188">
            <v>-23.5</v>
          </cell>
          <cell r="G188">
            <v>-3.3</v>
          </cell>
          <cell r="H188">
            <v>-11.8</v>
          </cell>
          <cell r="I188">
            <v>-17</v>
          </cell>
          <cell r="J188">
            <v>-19</v>
          </cell>
          <cell r="K188">
            <v>-17.2</v>
          </cell>
          <cell r="L188">
            <v>0</v>
          </cell>
          <cell r="M188">
            <v>0</v>
          </cell>
          <cell r="N188">
            <v>0</v>
          </cell>
          <cell r="O188">
            <v>0</v>
          </cell>
          <cell r="P188">
            <v>0</v>
          </cell>
          <cell r="Q188">
            <v>0</v>
          </cell>
          <cell r="R188">
            <v>0</v>
          </cell>
          <cell r="S188">
            <v>0</v>
          </cell>
          <cell r="T188">
            <v>0</v>
          </cell>
          <cell r="U188">
            <v>0</v>
          </cell>
          <cell r="V188">
            <v>0</v>
          </cell>
        </row>
        <row r="189">
          <cell r="A189" t="str">
            <v xml:space="preserve">Other  </v>
          </cell>
          <cell r="D189">
            <v>2.8999999999999986</v>
          </cell>
          <cell r="E189">
            <v>2.5</v>
          </cell>
          <cell r="F189">
            <v>0.13621394000000001</v>
          </cell>
          <cell r="G189">
            <v>2.09009227</v>
          </cell>
          <cell r="H189">
            <v>7.2303224899999998</v>
          </cell>
          <cell r="I189">
            <v>-1.6</v>
          </cell>
          <cell r="J189">
            <v>-0.2</v>
          </cell>
          <cell r="K189">
            <v>0</v>
          </cell>
          <cell r="L189">
            <v>0</v>
          </cell>
          <cell r="M189">
            <v>0</v>
          </cell>
          <cell r="N189">
            <v>0</v>
          </cell>
          <cell r="O189">
            <v>0</v>
          </cell>
          <cell r="P189">
            <v>0</v>
          </cell>
          <cell r="Q189">
            <v>0</v>
          </cell>
          <cell r="R189">
            <v>0</v>
          </cell>
          <cell r="S189">
            <v>0</v>
          </cell>
          <cell r="T189">
            <v>0</v>
          </cell>
          <cell r="U189">
            <v>0</v>
          </cell>
          <cell r="V189">
            <v>0</v>
          </cell>
        </row>
        <row r="190">
          <cell r="A190" t="str">
            <v>Net Interest Income (Expense)</v>
          </cell>
          <cell r="D190">
            <v>-49.000000000000007</v>
          </cell>
          <cell r="E190">
            <v>-319.79999999999995</v>
          </cell>
          <cell r="F190">
            <v>-138.06378606000001</v>
          </cell>
          <cell r="G190">
            <v>-205.06698101000003</v>
          </cell>
          <cell r="H190">
            <v>-324.95757120999997</v>
          </cell>
          <cell r="I190">
            <v>-337.8</v>
          </cell>
          <cell r="J190">
            <v>-326.10000000000002</v>
          </cell>
          <cell r="K190">
            <v>-272.09999999999997</v>
          </cell>
          <cell r="L190">
            <v>-159.65774441151461</v>
          </cell>
          <cell r="M190">
            <v>-146.12163332844108</v>
          </cell>
          <cell r="N190">
            <v>-96.700701691437104</v>
          </cell>
          <cell r="O190">
            <v>-46.634569999858137</v>
          </cell>
          <cell r="P190">
            <v>1.9257952372331886</v>
          </cell>
          <cell r="Q190">
            <v>48.988556946243783</v>
          </cell>
          <cell r="R190">
            <v>94.841456054582736</v>
          </cell>
          <cell r="S190">
            <v>139.46124533227447</v>
          </cell>
          <cell r="T190">
            <v>183.03061109727787</v>
          </cell>
          <cell r="U190">
            <v>226.69481607539365</v>
          </cell>
          <cell r="V190">
            <v>269.78131981320576</v>
          </cell>
        </row>
        <row r="192">
          <cell r="A192" t="str">
            <v>Interest Received</v>
          </cell>
          <cell r="D192">
            <v>53.8</v>
          </cell>
          <cell r="E192">
            <v>59.1</v>
          </cell>
          <cell r="F192">
            <v>36.6</v>
          </cell>
          <cell r="G192">
            <v>33.6</v>
          </cell>
          <cell r="H192">
            <v>33</v>
          </cell>
          <cell r="I192">
            <v>57.8</v>
          </cell>
          <cell r="J192">
            <v>35.6</v>
          </cell>
          <cell r="K192">
            <v>30.1</v>
          </cell>
          <cell r="L192">
            <v>17.999510941754071</v>
          </cell>
          <cell r="M192">
            <v>24.451970184342692</v>
          </cell>
          <cell r="N192">
            <v>65.963091350925325</v>
          </cell>
          <cell r="O192">
            <v>113.68845481755994</v>
          </cell>
          <cell r="P192">
            <v>160.10763948725301</v>
          </cell>
          <cell r="Q192">
            <v>205.26264772986377</v>
          </cell>
          <cell r="R192">
            <v>249.48216798673829</v>
          </cell>
          <cell r="S192">
            <v>292.79451191906418</v>
          </cell>
          <cell r="T192">
            <v>335.43513242987888</v>
          </cell>
          <cell r="U192">
            <v>378.59841126564402</v>
          </cell>
          <cell r="V192">
            <v>421.64447398320567</v>
          </cell>
        </row>
        <row r="193">
          <cell r="A193" t="str">
            <v>Interest Paid</v>
          </cell>
          <cell r="D193">
            <v>-50.6</v>
          </cell>
          <cell r="E193">
            <v>-321.89999999999998</v>
          </cell>
          <cell r="F193">
            <v>-84.9</v>
          </cell>
          <cell r="G193">
            <v>-88.7</v>
          </cell>
          <cell r="H193">
            <v>-208.9</v>
          </cell>
          <cell r="I193">
            <v>-227.2</v>
          </cell>
          <cell r="J193">
            <v>-221.9</v>
          </cell>
          <cell r="K193">
            <v>-176.6</v>
          </cell>
          <cell r="L193">
            <v>-145.62776470588236</v>
          </cell>
          <cell r="M193">
            <v>-135.23952941176472</v>
          </cell>
          <cell r="N193">
            <v>-124.43952941176471</v>
          </cell>
          <cell r="O193">
            <v>-119.0395294117647</v>
          </cell>
          <cell r="P193">
            <v>-113.63952941176471</v>
          </cell>
          <cell r="Q193">
            <v>-108.23952941176471</v>
          </cell>
          <cell r="R193">
            <v>-102.83952941176472</v>
          </cell>
          <cell r="S193">
            <v>-97.43952941176471</v>
          </cell>
          <cell r="T193">
            <v>-92.039529411764704</v>
          </cell>
          <cell r="U193">
            <v>-86.639529411764713</v>
          </cell>
          <cell r="V193">
            <v>-81.239529411764721</v>
          </cell>
        </row>
        <row r="195">
          <cell r="A195" t="str">
            <v>7) SHARE REPURCHASE</v>
          </cell>
        </row>
        <row r="196">
          <cell r="A196" t="str">
            <v>Opening Share Count</v>
          </cell>
          <cell r="E196">
            <v>191.01388600000001</v>
          </cell>
          <cell r="F196">
            <v>217.38093900000001</v>
          </cell>
          <cell r="G196">
            <v>217.38893900000002</v>
          </cell>
          <cell r="H196">
            <v>217.38893900000002</v>
          </cell>
          <cell r="I196">
            <v>217.38893900000002</v>
          </cell>
          <cell r="J196">
            <v>217.38893900000002</v>
          </cell>
          <cell r="K196">
            <v>217.38893900000002</v>
          </cell>
          <cell r="L196">
            <v>217.38893900000002</v>
          </cell>
          <cell r="M196">
            <v>217.38893900000002</v>
          </cell>
          <cell r="N196">
            <v>217.38893900000002</v>
          </cell>
          <cell r="O196">
            <v>217.38893900000002</v>
          </cell>
          <cell r="P196">
            <v>217.38893900000002</v>
          </cell>
          <cell r="Q196">
            <v>217.38893900000002</v>
          </cell>
          <cell r="R196">
            <v>217.38893900000002</v>
          </cell>
          <cell r="S196">
            <v>217.38893900000002</v>
          </cell>
          <cell r="T196">
            <v>217.38893900000002</v>
          </cell>
          <cell r="U196">
            <v>217.38893900000002</v>
          </cell>
          <cell r="V196">
            <v>217.38893900000002</v>
          </cell>
        </row>
        <row r="197">
          <cell r="A197" t="str">
            <v>Issued Shares (mn)</v>
          </cell>
          <cell r="E197">
            <v>26.367052999999999</v>
          </cell>
          <cell r="F197">
            <v>8.0000000000000002E-3</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row>
        <row r="198">
          <cell r="A198" t="str">
            <v>Repurchased Shares (mn)</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row>
        <row r="199">
          <cell r="A199" t="str">
            <v>Closing Share Count</v>
          </cell>
          <cell r="D199">
            <v>191.01388600000001</v>
          </cell>
          <cell r="E199">
            <v>217.38093900000001</v>
          </cell>
          <cell r="F199">
            <v>217.38893900000002</v>
          </cell>
          <cell r="G199">
            <v>217.38893900000002</v>
          </cell>
          <cell r="H199">
            <v>217.38893900000002</v>
          </cell>
          <cell r="I199">
            <v>217.38893900000002</v>
          </cell>
          <cell r="J199">
            <v>217.38893900000002</v>
          </cell>
          <cell r="K199">
            <v>217.38893900000002</v>
          </cell>
          <cell r="L199">
            <v>217.38893900000002</v>
          </cell>
          <cell r="M199">
            <v>217.38893900000002</v>
          </cell>
          <cell r="N199">
            <v>217.38893900000002</v>
          </cell>
          <cell r="O199">
            <v>217.38893900000002</v>
          </cell>
          <cell r="P199">
            <v>217.38893900000002</v>
          </cell>
          <cell r="Q199">
            <v>217.38893900000002</v>
          </cell>
          <cell r="R199">
            <v>217.38893900000002</v>
          </cell>
          <cell r="S199">
            <v>217.38893900000002</v>
          </cell>
          <cell r="T199">
            <v>217.38893900000002</v>
          </cell>
          <cell r="U199">
            <v>217.38893900000002</v>
          </cell>
          <cell r="V199">
            <v>217.38893900000002</v>
          </cell>
        </row>
        <row r="200">
          <cell r="A200" t="str">
            <v>Period End Basic Share Count</v>
          </cell>
          <cell r="D200">
            <v>191.01388600000001</v>
          </cell>
          <cell r="E200">
            <v>217.38093900000001</v>
          </cell>
          <cell r="F200">
            <v>217.38893900000002</v>
          </cell>
          <cell r="G200">
            <v>217.38893900000002</v>
          </cell>
          <cell r="H200">
            <v>217.38893900000002</v>
          </cell>
          <cell r="I200">
            <v>217.38893900000002</v>
          </cell>
          <cell r="J200">
            <v>217.38893900000002</v>
          </cell>
          <cell r="K200">
            <v>217.38893900000002</v>
          </cell>
          <cell r="L200">
            <v>217.38893900000002</v>
          </cell>
          <cell r="M200">
            <v>217.38893900000002</v>
          </cell>
          <cell r="N200">
            <v>217.38893900000002</v>
          </cell>
          <cell r="O200">
            <v>217.38893900000002</v>
          </cell>
          <cell r="P200">
            <v>217.38893900000002</v>
          </cell>
          <cell r="Q200">
            <v>217.38893900000002</v>
          </cell>
          <cell r="R200">
            <v>217.38893900000002</v>
          </cell>
          <cell r="S200">
            <v>217.38893900000002</v>
          </cell>
          <cell r="T200">
            <v>217.38893900000002</v>
          </cell>
          <cell r="U200">
            <v>217.38893900000002</v>
          </cell>
          <cell r="V200">
            <v>217.38893900000002</v>
          </cell>
          <cell r="AE200" t="str">
            <v>mstag:periodEndBasicSharesOutstanding</v>
          </cell>
          <cell r="AF200">
            <v>6</v>
          </cell>
          <cell r="AG200" t="str">
            <v>ms_eqr_gcim_Decimal:ms_eqr_gcim_decimal</v>
          </cell>
          <cell r="AH200" t="b">
            <v>0</v>
          </cell>
          <cell r="AI200" t="b">
            <v>0</v>
          </cell>
        </row>
        <row r="201">
          <cell r="A201" t="str">
            <v>Period End Diluted Share Count</v>
          </cell>
          <cell r="D201">
            <v>191.01388600000001</v>
          </cell>
          <cell r="E201">
            <v>217.38093900000001</v>
          </cell>
          <cell r="F201">
            <v>217.38893900000002</v>
          </cell>
          <cell r="G201">
            <v>217.38893900000002</v>
          </cell>
          <cell r="H201">
            <v>217.38893900000002</v>
          </cell>
          <cell r="I201">
            <v>217.38893900000002</v>
          </cell>
          <cell r="J201">
            <v>217.38893900000002</v>
          </cell>
          <cell r="K201">
            <v>217.38893900000002</v>
          </cell>
          <cell r="L201">
            <v>217.38893900000002</v>
          </cell>
          <cell r="M201">
            <v>217.38893900000002</v>
          </cell>
          <cell r="N201">
            <v>217.38893900000002</v>
          </cell>
          <cell r="O201">
            <v>217.38893900000002</v>
          </cell>
          <cell r="P201">
            <v>217.38893900000002</v>
          </cell>
          <cell r="Q201">
            <v>217.38893900000002</v>
          </cell>
          <cell r="R201">
            <v>217.38893900000002</v>
          </cell>
          <cell r="S201">
            <v>217.38893900000002</v>
          </cell>
          <cell r="T201">
            <v>217.38893900000002</v>
          </cell>
          <cell r="U201">
            <v>217.38893900000002</v>
          </cell>
          <cell r="V201">
            <v>217.38893900000002</v>
          </cell>
          <cell r="AE201" t="str">
            <v>mstag:periodEndDilutedSharesOutstanding</v>
          </cell>
          <cell r="AF201">
            <v>6</v>
          </cell>
          <cell r="AG201" t="str">
            <v>ms_eqr_gcim_Decimal:ms_eqr_gcim_decimal</v>
          </cell>
          <cell r="AH201" t="b">
            <v>0</v>
          </cell>
          <cell r="AI201" t="b">
            <v>0</v>
          </cell>
        </row>
        <row r="202">
          <cell r="A202" t="str">
            <v>Average Basic Shares Outstanding</v>
          </cell>
          <cell r="D202">
            <v>194</v>
          </cell>
          <cell r="E202">
            <v>215.89699575</v>
          </cell>
          <cell r="F202">
            <v>217.4</v>
          </cell>
          <cell r="G202">
            <v>217.38893899999999</v>
          </cell>
          <cell r="H202">
            <v>217.38893899999999</v>
          </cell>
          <cell r="I202">
            <v>217.4</v>
          </cell>
          <cell r="J202">
            <v>217.4</v>
          </cell>
          <cell r="K202">
            <v>217.4</v>
          </cell>
          <cell r="L202">
            <v>217.38893900000002</v>
          </cell>
          <cell r="M202">
            <v>217.38893900000002</v>
          </cell>
          <cell r="N202">
            <v>217.38893900000002</v>
          </cell>
          <cell r="O202">
            <v>217.38893900000002</v>
          </cell>
          <cell r="P202">
            <v>217.38893900000002</v>
          </cell>
          <cell r="Q202">
            <v>217.38893900000002</v>
          </cell>
          <cell r="R202">
            <v>217.38893900000002</v>
          </cell>
          <cell r="S202">
            <v>217.38893900000002</v>
          </cell>
          <cell r="T202">
            <v>217.38893900000002</v>
          </cell>
          <cell r="U202">
            <v>217.38893900000002</v>
          </cell>
          <cell r="V202">
            <v>217.38893900000002</v>
          </cell>
          <cell r="AE202" t="str">
            <v>mstag:averageBasicSharesOutstanding</v>
          </cell>
          <cell r="AF202">
            <v>6</v>
          </cell>
          <cell r="AG202" t="str">
            <v>ms_eqr_gcim_Decimal:ms_eqr_gcim_decimal</v>
          </cell>
          <cell r="AH202" t="b">
            <v>0</v>
          </cell>
          <cell r="AI202" t="b">
            <v>0</v>
          </cell>
        </row>
        <row r="203">
          <cell r="A203" t="str">
            <v>Diluted Weighted Average Shares Outstanding</v>
          </cell>
          <cell r="D203">
            <v>194</v>
          </cell>
          <cell r="E203">
            <v>215.89699575</v>
          </cell>
          <cell r="F203">
            <v>217.4</v>
          </cell>
          <cell r="G203">
            <v>217.38893899999999</v>
          </cell>
          <cell r="H203">
            <v>217.38893899999999</v>
          </cell>
          <cell r="I203">
            <v>217.4</v>
          </cell>
          <cell r="J203">
            <v>217.4</v>
          </cell>
          <cell r="K203">
            <v>217.4</v>
          </cell>
          <cell r="L203">
            <v>217.38893900000002</v>
          </cell>
          <cell r="M203">
            <v>217.38893900000002</v>
          </cell>
          <cell r="N203">
            <v>217.38893900000002</v>
          </cell>
          <cell r="O203">
            <v>217.38893900000002</v>
          </cell>
          <cell r="P203">
            <v>217.38893900000002</v>
          </cell>
          <cell r="Q203">
            <v>217.38893900000002</v>
          </cell>
          <cell r="R203">
            <v>217.38893900000002</v>
          </cell>
          <cell r="S203">
            <v>217.38893900000002</v>
          </cell>
          <cell r="T203">
            <v>217.38893900000002</v>
          </cell>
          <cell r="U203">
            <v>217.38893900000002</v>
          </cell>
          <cell r="V203">
            <v>217.38893900000002</v>
          </cell>
          <cell r="AE203" t="str">
            <v>mstag:averageDilutedSharesOutstanding</v>
          </cell>
          <cell r="AF203">
            <v>6</v>
          </cell>
          <cell r="AG203" t="str">
            <v>ms_eqr_gcim_Decimal:ms_eqr_gcim_decimal</v>
          </cell>
          <cell r="AH203" t="b">
            <v>0</v>
          </cell>
        </row>
        <row r="206">
          <cell r="A206" t="str">
            <v>Share Count</v>
          </cell>
          <cell r="D206" t="str">
            <v xml:space="preserve"> </v>
          </cell>
        </row>
        <row r="207">
          <cell r="A207" t="str">
            <v>Proceeds from Sale of Common/Treasury Shares (€ million)</v>
          </cell>
          <cell r="D207">
            <v>2.4</v>
          </cell>
          <cell r="E207">
            <v>2038.4</v>
          </cell>
          <cell r="F207">
            <v>0.2</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row>
        <row r="208">
          <cell r="A208" t="str">
            <v>Purchase of Common/Treasury Shares (€ million)</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row>
        <row r="209">
          <cell r="A209" t="str">
            <v>Average Stock Issuance Price (€)</v>
          </cell>
          <cell r="D209" t="str">
            <v>nm</v>
          </cell>
          <cell r="E209">
            <v>77.308601761448287</v>
          </cell>
          <cell r="F209">
            <v>25</v>
          </cell>
          <cell r="G209" t="str">
            <v>nm</v>
          </cell>
          <cell r="H209" t="str">
            <v>nm</v>
          </cell>
          <cell r="I209" t="str">
            <v>nm</v>
          </cell>
          <cell r="J209" t="str">
            <v>nm</v>
          </cell>
          <cell r="K209" t="str">
            <v>nm</v>
          </cell>
        </row>
        <row r="210">
          <cell r="A210" t="str">
            <v>Average Stock Repurchase Price (€)</v>
          </cell>
          <cell r="D210" t="str">
            <v>nm</v>
          </cell>
          <cell r="E210" t="str">
            <v>nm</v>
          </cell>
          <cell r="F210" t="str">
            <v>nm</v>
          </cell>
          <cell r="G210" t="str">
            <v>nm</v>
          </cell>
          <cell r="H210" t="str">
            <v>nm</v>
          </cell>
          <cell r="I210" t="str">
            <v>nm</v>
          </cell>
          <cell r="J210" t="str">
            <v>nm</v>
          </cell>
          <cell r="K210" t="str">
            <v>nm</v>
          </cell>
        </row>
        <row r="211">
          <cell r="A211" t="str">
            <v>Current Stock Price</v>
          </cell>
          <cell r="K211">
            <v>132.75</v>
          </cell>
          <cell r="L211">
            <v>139.38750000000002</v>
          </cell>
          <cell r="M211">
            <v>146.35687500000003</v>
          </cell>
          <cell r="N211">
            <v>153.67471875000004</v>
          </cell>
          <cell r="O211">
            <v>161.35845468750006</v>
          </cell>
          <cell r="P211">
            <v>169.42637742187506</v>
          </cell>
          <cell r="Q211">
            <v>177.89769629296882</v>
          </cell>
          <cell r="R211">
            <v>186.79258110761725</v>
          </cell>
          <cell r="S211">
            <v>196.13221016299812</v>
          </cell>
          <cell r="T211">
            <v>205.93882067114802</v>
          </cell>
          <cell r="U211">
            <v>216.23576170470542</v>
          </cell>
          <cell r="V211">
            <v>227.04754978994072</v>
          </cell>
        </row>
        <row r="212">
          <cell r="A212" t="str">
            <v>Theoretical Cost of Equity (%)</v>
          </cell>
          <cell r="L212">
            <v>0.05</v>
          </cell>
          <cell r="M212">
            <v>0.05</v>
          </cell>
          <cell r="N212">
            <v>0.05</v>
          </cell>
          <cell r="O212">
            <v>0.05</v>
          </cell>
          <cell r="P212">
            <v>0.05</v>
          </cell>
          <cell r="Q212">
            <v>0.05</v>
          </cell>
          <cell r="R212">
            <v>0.05</v>
          </cell>
          <cell r="S212">
            <v>0.05</v>
          </cell>
          <cell r="T212">
            <v>0.05</v>
          </cell>
          <cell r="U212">
            <v>0.05</v>
          </cell>
          <cell r="V212">
            <v>0.05</v>
          </cell>
        </row>
        <row r="213">
          <cell r="F213" t="str">
            <v xml:space="preserve"> </v>
          </cell>
        </row>
        <row r="214">
          <cell r="A214" t="str">
            <v>Net Issuance/Repurchase of Stock (€m)</v>
          </cell>
          <cell r="D214">
            <v>2.4</v>
          </cell>
          <cell r="E214">
            <v>2038.4</v>
          </cell>
          <cell r="F214">
            <v>0.2</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AE214" t="str">
            <v>mstag:netIssuanceRepurchaseOfCommonStock</v>
          </cell>
          <cell r="AF214">
            <v>6</v>
          </cell>
          <cell r="AG214" t="str">
            <v>ISO4217:EUR</v>
          </cell>
          <cell r="AH214" t="b">
            <v>0</v>
          </cell>
          <cell r="AI214" t="b">
            <v>0</v>
          </cell>
        </row>
        <row r="215">
          <cell r="A215" t="str">
            <v>Net Issuance/Repurchase of Stock (m)</v>
          </cell>
          <cell r="D215">
            <v>0</v>
          </cell>
          <cell r="E215">
            <v>26.367052999999999</v>
          </cell>
          <cell r="F215">
            <v>8.0000000000000002E-3</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row>
        <row r="216">
          <cell r="A216" t="str">
            <v>Unrecorded goodwill</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AE216" t="str">
            <v>mstag:unrecordedGoodwillFromPoolingAndAmortizedOrWrittenOffGoodwill</v>
          </cell>
          <cell r="AF216">
            <v>6</v>
          </cell>
          <cell r="AG216" t="str">
            <v>ISO4217:EUR</v>
          </cell>
          <cell r="AH216" t="b">
            <v>0</v>
          </cell>
          <cell r="AI216" t="b">
            <v>0</v>
          </cell>
        </row>
        <row r="218">
          <cell r="A218" t="str">
            <v>Acquisition</v>
          </cell>
        </row>
        <row r="219">
          <cell r="A219" t="str">
            <v>Goodwill</v>
          </cell>
          <cell r="L219">
            <v>0.5</v>
          </cell>
          <cell r="M219">
            <v>0.5</v>
          </cell>
          <cell r="N219">
            <v>0.5</v>
          </cell>
          <cell r="O219">
            <v>0.5</v>
          </cell>
          <cell r="P219">
            <v>0.5</v>
          </cell>
          <cell r="Q219">
            <v>0.5</v>
          </cell>
          <cell r="R219">
            <v>0.5</v>
          </cell>
          <cell r="S219">
            <v>0.5</v>
          </cell>
          <cell r="T219">
            <v>0.5</v>
          </cell>
          <cell r="U219">
            <v>0.5</v>
          </cell>
          <cell r="V219">
            <v>0.5</v>
          </cell>
        </row>
        <row r="220">
          <cell r="A220" t="str">
            <v>Fixed Assets</v>
          </cell>
          <cell r="L220">
            <v>0.5</v>
          </cell>
          <cell r="M220">
            <v>0.5</v>
          </cell>
          <cell r="N220">
            <v>0.5</v>
          </cell>
          <cell r="O220">
            <v>0.5</v>
          </cell>
          <cell r="P220">
            <v>0.5</v>
          </cell>
          <cell r="Q220">
            <v>0.5</v>
          </cell>
          <cell r="R220">
            <v>0.5</v>
          </cell>
          <cell r="S220">
            <v>0.5</v>
          </cell>
          <cell r="T220">
            <v>0.5</v>
          </cell>
          <cell r="U220">
            <v>0.5</v>
          </cell>
          <cell r="V220">
            <v>0.5</v>
          </cell>
        </row>
        <row r="224">
          <cell r="G224" t="str">
            <v>2009-FY</v>
          </cell>
          <cell r="H224" t="str">
            <v>2010-FY</v>
          </cell>
          <cell r="I224" t="str">
            <v>2011-FY</v>
          </cell>
          <cell r="J224" t="str">
            <v>2012-FY</v>
          </cell>
          <cell r="K224" t="str">
            <v>2013-FY</v>
          </cell>
          <cell r="L224" t="str">
            <v>2014-FY</v>
          </cell>
          <cell r="M224" t="str">
            <v>2015-FY</v>
          </cell>
          <cell r="N224" t="str">
            <v>2016-FY</v>
          </cell>
          <cell r="O224" t="str">
            <v>2017-FY</v>
          </cell>
          <cell r="P224" t="str">
            <v>2018-FY</v>
          </cell>
          <cell r="Q224" t="str">
            <v>2019-FY</v>
          </cell>
          <cell r="R224" t="str">
            <v>2020-FY</v>
          </cell>
          <cell r="S224" t="str">
            <v>2021-FY</v>
          </cell>
          <cell r="T224" t="str">
            <v>2022-FY</v>
          </cell>
          <cell r="U224" t="str">
            <v>2023-FY</v>
          </cell>
          <cell r="V224" t="str">
            <v>2024-FY</v>
          </cell>
        </row>
        <row r="228">
          <cell r="A228" t="str">
            <v>RNOA by division</v>
          </cell>
        </row>
        <row r="230">
          <cell r="A230" t="str">
            <v>EBIT</v>
          </cell>
        </row>
        <row r="231">
          <cell r="A231" t="str">
            <v>Ethicals</v>
          </cell>
          <cell r="B231">
            <v>166.7</v>
          </cell>
          <cell r="C231">
            <v>166.7</v>
          </cell>
          <cell r="D231">
            <v>141</v>
          </cell>
        </row>
        <row r="232">
          <cell r="A232" t="str">
            <v>Generics</v>
          </cell>
          <cell r="B232">
            <v>206</v>
          </cell>
          <cell r="C232">
            <v>237.6</v>
          </cell>
          <cell r="D232">
            <v>293.60000000000002</v>
          </cell>
          <cell r="E232">
            <v>3750.2</v>
          </cell>
        </row>
        <row r="233">
          <cell r="A233" t="str">
            <v>Serono</v>
          </cell>
          <cell r="D233">
            <v>141</v>
          </cell>
          <cell r="E233">
            <v>-386.7</v>
          </cell>
          <cell r="F233">
            <v>239.7</v>
          </cell>
          <cell r="G233">
            <v>314.89999999999998</v>
          </cell>
          <cell r="H233">
            <v>633.70000000000005</v>
          </cell>
          <cell r="I233">
            <v>342.2</v>
          </cell>
          <cell r="J233">
            <v>508.2</v>
          </cell>
        </row>
        <row r="234">
          <cell r="A234" t="str">
            <v>Consumer Health Care</v>
          </cell>
          <cell r="B234">
            <v>39.6</v>
          </cell>
          <cell r="C234">
            <v>50</v>
          </cell>
          <cell r="D234">
            <v>54.5</v>
          </cell>
          <cell r="E234">
            <v>59.6</v>
          </cell>
          <cell r="F234">
            <v>61.3</v>
          </cell>
          <cell r="G234">
            <v>48.3</v>
          </cell>
          <cell r="H234">
            <v>13.9</v>
          </cell>
          <cell r="I234">
            <v>46.9</v>
          </cell>
          <cell r="J234">
            <v>4.3</v>
          </cell>
        </row>
        <row r="235">
          <cell r="A235" t="str">
            <v>Liquid Crystals</v>
          </cell>
          <cell r="B235">
            <v>299.39999999999998</v>
          </cell>
          <cell r="C235">
            <v>336</v>
          </cell>
          <cell r="D235">
            <v>486.1</v>
          </cell>
          <cell r="E235">
            <v>486.6</v>
          </cell>
          <cell r="F235">
            <v>391.2</v>
          </cell>
          <cell r="G235">
            <v>227.5</v>
          </cell>
        </row>
        <row r="236">
          <cell r="A236" t="str">
            <v>Pigments</v>
          </cell>
          <cell r="B236">
            <v>48.3</v>
          </cell>
          <cell r="C236">
            <v>43.8</v>
          </cell>
        </row>
        <row r="237">
          <cell r="A237" t="str">
            <v>Performance Materials</v>
          </cell>
          <cell r="G237">
            <v>219</v>
          </cell>
          <cell r="H237">
            <v>575.1</v>
          </cell>
          <cell r="I237">
            <v>691</v>
          </cell>
          <cell r="J237">
            <v>598.5</v>
          </cell>
        </row>
        <row r="238">
          <cell r="A238" t="str">
            <v>Performance &amp; Life Science Chemicals</v>
          </cell>
          <cell r="B238">
            <v>72.400000000000006</v>
          </cell>
          <cell r="C238">
            <v>146.1</v>
          </cell>
          <cell r="D238">
            <v>120.9</v>
          </cell>
          <cell r="E238">
            <v>144.4</v>
          </cell>
          <cell r="F238">
            <v>120.5</v>
          </cell>
          <cell r="G238">
            <v>108.6</v>
          </cell>
        </row>
        <row r="239">
          <cell r="A239" t="str">
            <v>Millipore</v>
          </cell>
          <cell r="G239">
            <v>117.1</v>
          </cell>
          <cell r="H239">
            <v>47.9</v>
          </cell>
          <cell r="I239">
            <v>235.4</v>
          </cell>
          <cell r="J239">
            <v>233.2</v>
          </cell>
        </row>
        <row r="240">
          <cell r="A240" t="str">
            <v>Other</v>
          </cell>
          <cell r="B240">
            <v>189.9</v>
          </cell>
          <cell r="C240">
            <v>19.2</v>
          </cell>
          <cell r="D240">
            <v>228.7</v>
          </cell>
          <cell r="E240">
            <v>-103.5</v>
          </cell>
          <cell r="F240">
            <v>-81.3</v>
          </cell>
          <cell r="G240">
            <v>-78.400000000000006</v>
          </cell>
          <cell r="H240">
            <v>-157.9</v>
          </cell>
          <cell r="I240">
            <v>-183.4</v>
          </cell>
          <cell r="J240">
            <v>-380.7</v>
          </cell>
        </row>
        <row r="242">
          <cell r="A242" t="str">
            <v>Exceptionals</v>
          </cell>
        </row>
        <row r="243">
          <cell r="A243" t="str">
            <v>Ethicals</v>
          </cell>
          <cell r="B243">
            <v>-29.6</v>
          </cell>
          <cell r="C243">
            <v>0</v>
          </cell>
          <cell r="D243">
            <v>21.9</v>
          </cell>
        </row>
        <row r="244">
          <cell r="A244" t="str">
            <v>Generics</v>
          </cell>
          <cell r="B244">
            <v>8.1</v>
          </cell>
          <cell r="C244">
            <v>0</v>
          </cell>
          <cell r="D244">
            <v>13.2</v>
          </cell>
          <cell r="E244">
            <v>-3561.5</v>
          </cell>
        </row>
        <row r="245">
          <cell r="A245" t="str">
            <v>Serono</v>
          </cell>
          <cell r="D245">
            <v>21.9</v>
          </cell>
          <cell r="E245">
            <v>743.6</v>
          </cell>
          <cell r="F245">
            <v>354</v>
          </cell>
          <cell r="G245">
            <v>39.799999999999997</v>
          </cell>
          <cell r="H245">
            <v>-68.599999999999994</v>
          </cell>
          <cell r="I245">
            <v>42.1</v>
          </cell>
          <cell r="J245">
            <v>344.7</v>
          </cell>
        </row>
        <row r="246">
          <cell r="A246" t="str">
            <v>Consumer Health Care</v>
          </cell>
          <cell r="B246">
            <v>0</v>
          </cell>
          <cell r="C246">
            <v>0</v>
          </cell>
          <cell r="D246">
            <v>0</v>
          </cell>
          <cell r="E246">
            <v>0</v>
          </cell>
          <cell r="F246">
            <v>0</v>
          </cell>
          <cell r="G246">
            <v>0</v>
          </cell>
          <cell r="H246">
            <v>0</v>
          </cell>
          <cell r="I246">
            <v>0</v>
          </cell>
          <cell r="J246">
            <v>37</v>
          </cell>
        </row>
        <row r="247">
          <cell r="A247" t="str">
            <v>Liquid Crystals</v>
          </cell>
          <cell r="B247">
            <v>0</v>
          </cell>
          <cell r="C247">
            <v>10</v>
          </cell>
          <cell r="D247">
            <v>0</v>
          </cell>
          <cell r="E247">
            <v>0</v>
          </cell>
          <cell r="F247">
            <v>0</v>
          </cell>
          <cell r="G247">
            <v>0</v>
          </cell>
        </row>
        <row r="248">
          <cell r="A248" t="str">
            <v>Pigments</v>
          </cell>
          <cell r="B248">
            <v>0</v>
          </cell>
          <cell r="C248">
            <v>0</v>
          </cell>
        </row>
        <row r="249">
          <cell r="A249" t="str">
            <v>Performance Materials</v>
          </cell>
          <cell r="G249">
            <v>-1.2</v>
          </cell>
          <cell r="H249">
            <v>1</v>
          </cell>
          <cell r="I249">
            <v>-118.4</v>
          </cell>
          <cell r="J249">
            <v>7.3</v>
          </cell>
        </row>
        <row r="250">
          <cell r="A250" t="str">
            <v>Performance &amp; Life Science Chemicals</v>
          </cell>
          <cell r="B250">
            <v>0</v>
          </cell>
          <cell r="C250">
            <v>0</v>
          </cell>
          <cell r="D250">
            <v>34.5</v>
          </cell>
          <cell r="E250">
            <v>0</v>
          </cell>
          <cell r="F250">
            <v>46</v>
          </cell>
          <cell r="G250">
            <v>-11.8</v>
          </cell>
        </row>
        <row r="251">
          <cell r="A251" t="str">
            <v>Millipore</v>
          </cell>
          <cell r="G251">
            <v>-10.6</v>
          </cell>
          <cell r="H251">
            <v>0</v>
          </cell>
          <cell r="I251">
            <v>38.700000000000003</v>
          </cell>
          <cell r="J251">
            <v>53.5</v>
          </cell>
        </row>
        <row r="252">
          <cell r="A252" t="str">
            <v>Other</v>
          </cell>
          <cell r="B252">
            <v>-245.8</v>
          </cell>
          <cell r="C252">
            <v>-82.3</v>
          </cell>
          <cell r="D252">
            <v>-289</v>
          </cell>
          <cell r="E252">
            <v>32</v>
          </cell>
          <cell r="F252">
            <v>0</v>
          </cell>
          <cell r="G252">
            <v>0</v>
          </cell>
          <cell r="H252">
            <v>68.400000000000006</v>
          </cell>
          <cell r="I252">
            <v>30.5</v>
          </cell>
          <cell r="J252">
            <v>162.19999999999999</v>
          </cell>
        </row>
        <row r="254">
          <cell r="A254" t="str">
            <v>PPA</v>
          </cell>
        </row>
        <row r="255">
          <cell r="A255" t="str">
            <v>Ethicals</v>
          </cell>
        </row>
        <row r="256">
          <cell r="A256" t="str">
            <v>Generics</v>
          </cell>
        </row>
        <row r="257">
          <cell r="A257" t="str">
            <v>Serono</v>
          </cell>
          <cell r="E257">
            <v>548</v>
          </cell>
          <cell r="F257">
            <v>573</v>
          </cell>
          <cell r="G257">
            <v>575.29999999999995</v>
          </cell>
          <cell r="H257">
            <v>579.5</v>
          </cell>
          <cell r="I257">
            <v>640.79999999999995</v>
          </cell>
          <cell r="J257">
            <v>658.9</v>
          </cell>
        </row>
        <row r="258">
          <cell r="A258" t="str">
            <v>Consumer Health Care</v>
          </cell>
          <cell r="I258">
            <v>0</v>
          </cell>
          <cell r="J258">
            <v>0</v>
          </cell>
        </row>
        <row r="259">
          <cell r="A259" t="str">
            <v>Liquid Crystals</v>
          </cell>
        </row>
        <row r="260">
          <cell r="A260" t="str">
            <v>Pigments</v>
          </cell>
        </row>
        <row r="261">
          <cell r="A261" t="str">
            <v>Performance Materials</v>
          </cell>
          <cell r="I261">
            <v>0</v>
          </cell>
          <cell r="J261">
            <v>0</v>
          </cell>
        </row>
        <row r="262">
          <cell r="A262" t="str">
            <v>Performance &amp; Life Science Chemicals</v>
          </cell>
        </row>
        <row r="263">
          <cell r="A263" t="str">
            <v>Millipore</v>
          </cell>
          <cell r="G263">
            <v>0</v>
          </cell>
          <cell r="H263">
            <v>95.8</v>
          </cell>
          <cell r="I263">
            <v>190.4</v>
          </cell>
          <cell r="J263">
            <v>204</v>
          </cell>
        </row>
        <row r="264">
          <cell r="A264" t="str">
            <v>Other</v>
          </cell>
          <cell r="I264">
            <v>0</v>
          </cell>
          <cell r="J264">
            <v>0</v>
          </cell>
        </row>
        <row r="266">
          <cell r="A266" t="str">
            <v>Pre-ex EBIT before PPA</v>
          </cell>
        </row>
        <row r="267">
          <cell r="A267" t="str">
            <v>Ethicals</v>
          </cell>
          <cell r="B267">
            <v>137.1</v>
          </cell>
          <cell r="C267">
            <v>166.7</v>
          </cell>
          <cell r="D267">
            <v>162.9</v>
          </cell>
          <cell r="E267">
            <v>0</v>
          </cell>
          <cell r="F267">
            <v>0</v>
          </cell>
          <cell r="G267">
            <v>0</v>
          </cell>
          <cell r="H267">
            <v>0</v>
          </cell>
          <cell r="I267">
            <v>0</v>
          </cell>
          <cell r="J267">
            <v>0</v>
          </cell>
        </row>
        <row r="268">
          <cell r="A268" t="str">
            <v>Generics</v>
          </cell>
          <cell r="B268">
            <v>214.1</v>
          </cell>
          <cell r="C268">
            <v>237.6</v>
          </cell>
          <cell r="D268">
            <v>306.8</v>
          </cell>
          <cell r="E268">
            <v>188.69999999999982</v>
          </cell>
          <cell r="F268">
            <v>0</v>
          </cell>
          <cell r="G268">
            <v>0</v>
          </cell>
          <cell r="H268">
            <v>0</v>
          </cell>
          <cell r="I268">
            <v>0</v>
          </cell>
          <cell r="J268">
            <v>0</v>
          </cell>
        </row>
        <row r="269">
          <cell r="A269" t="str">
            <v>Serono</v>
          </cell>
          <cell r="B269">
            <v>0</v>
          </cell>
          <cell r="C269">
            <v>0</v>
          </cell>
          <cell r="D269">
            <v>162.9</v>
          </cell>
          <cell r="E269">
            <v>904.90000000000009</v>
          </cell>
          <cell r="F269">
            <v>1166.7</v>
          </cell>
          <cell r="G269">
            <v>930</v>
          </cell>
          <cell r="H269">
            <v>1144.5999999999999</v>
          </cell>
          <cell r="I269">
            <v>1025.0999999999999</v>
          </cell>
          <cell r="J269">
            <v>1511.8</v>
          </cell>
        </row>
        <row r="270">
          <cell r="A270" t="str">
            <v>Consumer Health Care</v>
          </cell>
          <cell r="B270">
            <v>39.6</v>
          </cell>
          <cell r="C270">
            <v>50</v>
          </cell>
          <cell r="D270">
            <v>54.5</v>
          </cell>
          <cell r="E270">
            <v>59.6</v>
          </cell>
          <cell r="F270">
            <v>61.3</v>
          </cell>
          <cell r="G270">
            <v>48.3</v>
          </cell>
          <cell r="H270">
            <v>13.9</v>
          </cell>
          <cell r="I270">
            <v>46.9</v>
          </cell>
          <cell r="J270">
            <v>41.3</v>
          </cell>
        </row>
        <row r="271">
          <cell r="A271" t="str">
            <v>Liquid Crystals</v>
          </cell>
          <cell r="B271">
            <v>299.39999999999998</v>
          </cell>
          <cell r="C271">
            <v>346</v>
          </cell>
          <cell r="D271">
            <v>486.1</v>
          </cell>
          <cell r="E271">
            <v>486.6</v>
          </cell>
          <cell r="F271">
            <v>391.2</v>
          </cell>
          <cell r="G271">
            <v>227.5</v>
          </cell>
          <cell r="H271">
            <v>0</v>
          </cell>
          <cell r="I271">
            <v>0</v>
          </cell>
          <cell r="J271">
            <v>0</v>
          </cell>
        </row>
        <row r="272">
          <cell r="A272" t="str">
            <v>Pigments</v>
          </cell>
          <cell r="B272">
            <v>48.3</v>
          </cell>
          <cell r="C272">
            <v>43.8</v>
          </cell>
          <cell r="D272">
            <v>0</v>
          </cell>
          <cell r="E272">
            <v>0</v>
          </cell>
          <cell r="F272">
            <v>0</v>
          </cell>
          <cell r="G272">
            <v>0</v>
          </cell>
          <cell r="H272">
            <v>0</v>
          </cell>
          <cell r="I272">
            <v>0</v>
          </cell>
          <cell r="J272">
            <v>0</v>
          </cell>
        </row>
        <row r="273">
          <cell r="A273" t="str">
            <v>Performance Materials</v>
          </cell>
          <cell r="B273">
            <v>0</v>
          </cell>
          <cell r="C273">
            <v>0</v>
          </cell>
          <cell r="D273">
            <v>0</v>
          </cell>
          <cell r="E273">
            <v>0</v>
          </cell>
          <cell r="F273">
            <v>0</v>
          </cell>
          <cell r="G273">
            <v>217.8</v>
          </cell>
          <cell r="H273">
            <v>576.1</v>
          </cell>
          <cell r="I273">
            <v>572.6</v>
          </cell>
          <cell r="J273">
            <v>605.79999999999995</v>
          </cell>
        </row>
        <row r="274">
          <cell r="A274" t="str">
            <v>Performance &amp; Life Science Chemicals</v>
          </cell>
          <cell r="B274">
            <v>72.400000000000006</v>
          </cell>
          <cell r="C274">
            <v>146.1</v>
          </cell>
          <cell r="D274">
            <v>155.4</v>
          </cell>
          <cell r="E274">
            <v>144.4</v>
          </cell>
          <cell r="F274">
            <v>166.5</v>
          </cell>
          <cell r="G274">
            <v>96.8</v>
          </cell>
          <cell r="H274">
            <v>0</v>
          </cell>
          <cell r="I274">
            <v>0</v>
          </cell>
          <cell r="J274">
            <v>0</v>
          </cell>
        </row>
        <row r="275">
          <cell r="A275" t="str">
            <v>Millipore</v>
          </cell>
          <cell r="B275">
            <v>0</v>
          </cell>
          <cell r="C275">
            <v>0</v>
          </cell>
          <cell r="D275">
            <v>0</v>
          </cell>
          <cell r="E275">
            <v>0</v>
          </cell>
          <cell r="F275">
            <v>0</v>
          </cell>
          <cell r="G275">
            <v>106.5</v>
          </cell>
          <cell r="H275">
            <v>143.69999999999999</v>
          </cell>
          <cell r="I275">
            <v>464.5</v>
          </cell>
          <cell r="J275">
            <v>490.7</v>
          </cell>
        </row>
        <row r="276">
          <cell r="A276" t="str">
            <v>Other</v>
          </cell>
          <cell r="B276">
            <v>-55.900000000000006</v>
          </cell>
          <cell r="C276">
            <v>-63.099999999999994</v>
          </cell>
          <cell r="D276">
            <v>-60.300000000000011</v>
          </cell>
          <cell r="E276">
            <v>-71.5</v>
          </cell>
          <cell r="F276">
            <v>-81.3</v>
          </cell>
          <cell r="G276">
            <v>-78.400000000000006</v>
          </cell>
          <cell r="H276">
            <v>-89.5</v>
          </cell>
          <cell r="I276">
            <v>-152.9</v>
          </cell>
          <cell r="J276">
            <v>-218.5</v>
          </cell>
        </row>
        <row r="278">
          <cell r="A278" t="str">
            <v>Pre-ex EBIT - other allocated</v>
          </cell>
        </row>
        <row r="279">
          <cell r="A279" t="str">
            <v>Ethicals</v>
          </cell>
          <cell r="B279">
            <v>127.64890862005178</v>
          </cell>
          <cell r="C279">
            <v>156.07712583316501</v>
          </cell>
          <cell r="D279">
            <v>155.50660093331328</v>
          </cell>
          <cell r="E279">
            <v>0</v>
          </cell>
          <cell r="F279">
            <v>0</v>
          </cell>
          <cell r="G279">
            <v>0</v>
          </cell>
          <cell r="H279">
            <v>0</v>
          </cell>
          <cell r="I279">
            <v>0</v>
          </cell>
          <cell r="J279">
            <v>0</v>
          </cell>
        </row>
        <row r="280">
          <cell r="A280" t="str">
            <v>Generics</v>
          </cell>
          <cell r="B280">
            <v>199.34085583919102</v>
          </cell>
          <cell r="C280">
            <v>222.45905877600484</v>
          </cell>
          <cell r="D280">
            <v>292.87553816046966</v>
          </cell>
          <cell r="E280">
            <v>181.13803945745974</v>
          </cell>
          <cell r="F280">
            <v>0</v>
          </cell>
          <cell r="G280">
            <v>0</v>
          </cell>
          <cell r="H280">
            <v>0</v>
          </cell>
          <cell r="I280">
            <v>0</v>
          </cell>
          <cell r="J280">
            <v>0</v>
          </cell>
        </row>
        <row r="281">
          <cell r="A281" t="str">
            <v>Serono</v>
          </cell>
          <cell r="B281">
            <v>0</v>
          </cell>
          <cell r="C281">
            <v>0</v>
          </cell>
          <cell r="D281">
            <v>155.50660093331328</v>
          </cell>
          <cell r="E281">
            <v>868.63705302096184</v>
          </cell>
          <cell r="F281">
            <v>1113.5820574564598</v>
          </cell>
          <cell r="G281">
            <v>885.18347777982672</v>
          </cell>
          <cell r="H281">
            <v>1090.060416333919</v>
          </cell>
          <cell r="I281">
            <v>950.78498885780652</v>
          </cell>
          <cell r="J281">
            <v>1387.1289930555554</v>
          </cell>
        </row>
        <row r="282">
          <cell r="A282" t="str">
            <v>Consumer Health Care</v>
          </cell>
          <cell r="B282">
            <v>36.870144284128749</v>
          </cell>
          <cell r="C282">
            <v>46.813774994950514</v>
          </cell>
          <cell r="D282">
            <v>52.026456420292035</v>
          </cell>
          <cell r="E282">
            <v>57.211590628853266</v>
          </cell>
          <cell r="F282">
            <v>58.509111272890181</v>
          </cell>
          <cell r="G282">
            <v>45.972432233081321</v>
          </cell>
          <cell r="H282">
            <v>13.237672363307246</v>
          </cell>
          <cell r="I282">
            <v>43.499966810487884</v>
          </cell>
          <cell r="J282">
            <v>37.894184027777776</v>
          </cell>
        </row>
        <row r="283">
          <cell r="A283" t="str">
            <v>Liquid Crystals</v>
          </cell>
          <cell r="B283">
            <v>278.76063633000365</v>
          </cell>
          <cell r="C283">
            <v>323.95132296505756</v>
          </cell>
          <cell r="D283">
            <v>464.03780671383413</v>
          </cell>
          <cell r="E283">
            <v>467.1</v>
          </cell>
          <cell r="F283">
            <v>373.38930391443131</v>
          </cell>
          <cell r="G283">
            <v>216.53681848915116</v>
          </cell>
          <cell r="H283">
            <v>0</v>
          </cell>
          <cell r="I283">
            <v>0</v>
          </cell>
          <cell r="J283">
            <v>0</v>
          </cell>
        </row>
        <row r="284">
          <cell r="A284" t="str">
            <v>Pigments</v>
          </cell>
          <cell r="B284">
            <v>44.970403255641877</v>
          </cell>
          <cell r="C284">
            <v>41.008866895576645</v>
          </cell>
          <cell r="D284">
            <v>0</v>
          </cell>
          <cell r="E284">
            <v>0</v>
          </cell>
          <cell r="F284">
            <v>0</v>
          </cell>
          <cell r="G284">
            <v>0</v>
          </cell>
          <cell r="H284">
            <v>0</v>
          </cell>
          <cell r="I284">
            <v>0</v>
          </cell>
          <cell r="J284">
            <v>0</v>
          </cell>
        </row>
        <row r="285">
          <cell r="A285" t="str">
            <v>Performance Materials</v>
          </cell>
          <cell r="B285">
            <v>0</v>
          </cell>
          <cell r="C285">
            <v>0</v>
          </cell>
          <cell r="D285">
            <v>0</v>
          </cell>
          <cell r="E285">
            <v>0</v>
          </cell>
          <cell r="F285">
            <v>0</v>
          </cell>
          <cell r="G285">
            <v>207.30425963488844</v>
          </cell>
          <cell r="H285">
            <v>548.64914017995</v>
          </cell>
          <cell r="I285">
            <v>531.08914702953871</v>
          </cell>
          <cell r="J285">
            <v>555.84253472222213</v>
          </cell>
        </row>
        <row r="286">
          <cell r="A286" t="str">
            <v>Performance &amp; Life Science Chemicals</v>
          </cell>
          <cell r="B286">
            <v>67.409051670982862</v>
          </cell>
          <cell r="C286">
            <v>136.78985053524539</v>
          </cell>
          <cell r="D286">
            <v>148.34699683877767</v>
          </cell>
          <cell r="E286">
            <v>138.61331689272504</v>
          </cell>
          <cell r="F286">
            <v>158.91952735621885</v>
          </cell>
          <cell r="G286">
            <v>92.135226504394865</v>
          </cell>
          <cell r="H286">
            <v>0</v>
          </cell>
          <cell r="I286">
            <v>0</v>
          </cell>
          <cell r="J286">
            <v>0</v>
          </cell>
        </row>
        <row r="287">
          <cell r="A287" t="str">
            <v>Millipore</v>
          </cell>
          <cell r="B287">
            <v>0</v>
          </cell>
          <cell r="C287">
            <v>0</v>
          </cell>
          <cell r="D287">
            <v>0</v>
          </cell>
          <cell r="E287">
            <v>0</v>
          </cell>
          <cell r="F287">
            <v>0</v>
          </cell>
          <cell r="G287">
            <v>101.36778535865757</v>
          </cell>
          <cell r="H287">
            <v>136.85277112282381</v>
          </cell>
          <cell r="I287">
            <v>430.82589730216682</v>
          </cell>
          <cell r="J287">
            <v>450.23428819444445</v>
          </cell>
        </row>
        <row r="289">
          <cell r="A289" t="str">
            <v>Pre-ex NOPAT - other allocated</v>
          </cell>
        </row>
        <row r="290">
          <cell r="A290" t="str">
            <v>Ethicals</v>
          </cell>
          <cell r="B290">
            <v>86.290662227154996</v>
          </cell>
          <cell r="C290">
            <v>111.43906784487982</v>
          </cell>
          <cell r="D290">
            <v>127.68726599480051</v>
          </cell>
          <cell r="E290">
            <v>0</v>
          </cell>
          <cell r="F290">
            <v>0</v>
          </cell>
          <cell r="G290">
            <v>0</v>
          </cell>
          <cell r="H290">
            <v>0</v>
          </cell>
          <cell r="I290">
            <v>0</v>
          </cell>
          <cell r="J290">
            <v>0</v>
          </cell>
        </row>
        <row r="291">
          <cell r="A291" t="str">
            <v>Generics</v>
          </cell>
          <cell r="B291">
            <v>134.75441854729311</v>
          </cell>
          <cell r="C291">
            <v>158.83576796606744</v>
          </cell>
          <cell r="D291">
            <v>240.48160348192013</v>
          </cell>
          <cell r="E291">
            <v>143.31676550463902</v>
          </cell>
          <cell r="F291">
            <v>0</v>
          </cell>
          <cell r="G291">
            <v>0</v>
          </cell>
          <cell r="H291">
            <v>0</v>
          </cell>
          <cell r="I291">
            <v>0</v>
          </cell>
          <cell r="J291">
            <v>0</v>
          </cell>
        </row>
        <row r="292">
          <cell r="A292" t="str">
            <v>Serono</v>
          </cell>
          <cell r="B292">
            <v>0</v>
          </cell>
          <cell r="C292">
            <v>0</v>
          </cell>
          <cell r="D292">
            <v>127.68726599480051</v>
          </cell>
          <cell r="E292">
            <v>687.26730845335453</v>
          </cell>
          <cell r="F292">
            <v>734.32589609743593</v>
          </cell>
          <cell r="G292">
            <v>685.63510069039523</v>
          </cell>
          <cell r="H292">
            <v>811.97876246852206</v>
          </cell>
          <cell r="I292">
            <v>700.73984970178822</v>
          </cell>
          <cell r="J292">
            <v>1132.5578518557707</v>
          </cell>
        </row>
        <row r="293">
          <cell r="A293" t="str">
            <v>Consumer Health Care</v>
          </cell>
          <cell r="B293">
            <v>24.924217536071033</v>
          </cell>
          <cell r="C293">
            <v>33.425035346394665</v>
          </cell>
          <cell r="D293">
            <v>42.719189666768735</v>
          </cell>
          <cell r="E293">
            <v>45.26592063633543</v>
          </cell>
          <cell r="F293">
            <v>38.582478298425315</v>
          </cell>
          <cell r="G293">
            <v>35.608790713275361</v>
          </cell>
          <cell r="H293">
            <v>9.8606542008670779</v>
          </cell>
          <cell r="I293">
            <v>32.059993123611228</v>
          </cell>
          <cell r="J293">
            <v>30.93970054348679</v>
          </cell>
        </row>
        <row r="294">
          <cell r="A294" t="str">
            <v>Liquid Crystals</v>
          </cell>
          <cell r="B294">
            <v>188.44219015908246</v>
          </cell>
          <cell r="C294">
            <v>231.3012445970511</v>
          </cell>
          <cell r="D294">
            <v>381.02381829387673</v>
          </cell>
          <cell r="E294">
            <v>369.57041915504732</v>
          </cell>
          <cell r="F294">
            <v>246.2229283906033</v>
          </cell>
          <cell r="G294">
            <v>167.72256495383326</v>
          </cell>
          <cell r="H294">
            <v>0</v>
          </cell>
          <cell r="I294">
            <v>0</v>
          </cell>
          <cell r="J294">
            <v>0</v>
          </cell>
        </row>
        <row r="295">
          <cell r="A295" t="str">
            <v>Pigments</v>
          </cell>
          <cell r="B295">
            <v>30.399992600813906</v>
          </cell>
          <cell r="C295">
            <v>29.280330963441724</v>
          </cell>
          <cell r="D295">
            <v>0</v>
          </cell>
          <cell r="E295">
            <v>0</v>
          </cell>
          <cell r="F295">
            <v>0</v>
          </cell>
          <cell r="G295">
            <v>0</v>
          </cell>
          <cell r="H295">
            <v>0</v>
          </cell>
          <cell r="I295">
            <v>0</v>
          </cell>
          <cell r="J295">
            <v>0</v>
          </cell>
        </row>
        <row r="296">
          <cell r="A296" t="str">
            <v>Performance Materials</v>
          </cell>
          <cell r="B296">
            <v>0</v>
          </cell>
          <cell r="C296">
            <v>0</v>
          </cell>
          <cell r="D296">
            <v>0</v>
          </cell>
          <cell r="E296">
            <v>0</v>
          </cell>
          <cell r="F296">
            <v>0</v>
          </cell>
          <cell r="G296">
            <v>160.57131712942805</v>
          </cell>
          <cell r="H296">
            <v>408.68509964888659</v>
          </cell>
          <cell r="I296">
            <v>391.41902052408938</v>
          </cell>
          <cell r="J296">
            <v>453.83221765724687</v>
          </cell>
        </row>
        <row r="297">
          <cell r="A297" t="str">
            <v>Performance &amp; Life Science Chemicals</v>
          </cell>
          <cell r="B297">
            <v>45.568518929584407</v>
          </cell>
          <cell r="C297">
            <v>97.6679532821652</v>
          </cell>
          <cell r="D297">
            <v>121.80847842597912</v>
          </cell>
          <cell r="E297">
            <v>109.67112315246369</v>
          </cell>
          <cell r="F297">
            <v>104.79580157728898</v>
          </cell>
          <cell r="G297">
            <v>71.365029835301357</v>
          </cell>
          <cell r="H297">
            <v>0</v>
          </cell>
          <cell r="I297">
            <v>0</v>
          </cell>
          <cell r="J297">
            <v>0</v>
          </cell>
        </row>
        <row r="298">
          <cell r="A298" t="str">
            <v>Millipore</v>
          </cell>
          <cell r="B298">
            <v>0</v>
          </cell>
          <cell r="C298">
            <v>0</v>
          </cell>
          <cell r="D298">
            <v>0</v>
          </cell>
          <cell r="E298">
            <v>0</v>
          </cell>
          <cell r="F298">
            <v>0</v>
          </cell>
          <cell r="G298">
            <v>78.516277659706546</v>
          </cell>
          <cell r="H298">
            <v>101.94072004781287</v>
          </cell>
          <cell r="I298">
            <v>317.52381249290869</v>
          </cell>
          <cell r="J298">
            <v>367.60559459295325</v>
          </cell>
        </row>
        <row r="300">
          <cell r="A300" t="str">
            <v>NOA</v>
          </cell>
        </row>
        <row r="301">
          <cell r="A301" t="str">
            <v>Ethicals</v>
          </cell>
          <cell r="B301">
            <v>1096.0999999999999</v>
          </cell>
          <cell r="C301">
            <v>1138.7</v>
          </cell>
          <cell r="D301">
            <v>2841.5</v>
          </cell>
        </row>
        <row r="302">
          <cell r="A302" t="str">
            <v>Generics</v>
          </cell>
          <cell r="B302">
            <v>994.8</v>
          </cell>
          <cell r="C302">
            <v>997.9</v>
          </cell>
          <cell r="D302">
            <v>1042.3</v>
          </cell>
        </row>
        <row r="303">
          <cell r="A303" t="str">
            <v>Serono</v>
          </cell>
          <cell r="D303">
            <v>2841.5</v>
          </cell>
          <cell r="E303">
            <v>9884.7999999999993</v>
          </cell>
          <cell r="F303">
            <v>10355.9</v>
          </cell>
          <cell r="G303">
            <v>10015.9</v>
          </cell>
          <cell r="H303">
            <v>10359.700000000001</v>
          </cell>
          <cell r="I303">
            <v>9207.2000000000007</v>
          </cell>
          <cell r="J303">
            <v>8020.6</v>
          </cell>
        </row>
        <row r="304">
          <cell r="A304" t="str">
            <v>Consumer Health Care</v>
          </cell>
          <cell r="B304">
            <v>275.10000000000002</v>
          </cell>
          <cell r="C304">
            <v>280.3</v>
          </cell>
          <cell r="D304">
            <v>276</v>
          </cell>
          <cell r="E304">
            <v>281</v>
          </cell>
          <cell r="F304">
            <v>325.89999999999998</v>
          </cell>
          <cell r="G304">
            <v>336</v>
          </cell>
          <cell r="H304">
            <v>310.8</v>
          </cell>
          <cell r="I304">
            <v>321.10000000000002</v>
          </cell>
          <cell r="J304">
            <v>283.8</v>
          </cell>
        </row>
        <row r="305">
          <cell r="A305" t="str">
            <v>Liquid Crystals</v>
          </cell>
          <cell r="B305">
            <v>574</v>
          </cell>
          <cell r="C305">
            <v>802.4</v>
          </cell>
          <cell r="D305">
            <v>897.2</v>
          </cell>
          <cell r="E305">
            <v>915.1</v>
          </cell>
          <cell r="F305">
            <v>944.3</v>
          </cell>
          <cell r="G305">
            <v>837.4</v>
          </cell>
        </row>
        <row r="306">
          <cell r="A306" t="str">
            <v>Pigments</v>
          </cell>
          <cell r="B306">
            <v>432.2</v>
          </cell>
          <cell r="C306">
            <v>433</v>
          </cell>
        </row>
        <row r="307">
          <cell r="A307" t="str">
            <v>Performance Materials</v>
          </cell>
          <cell r="G307">
            <v>1176.2</v>
          </cell>
          <cell r="H307">
            <v>1289.7</v>
          </cell>
          <cell r="I307">
            <v>1331</v>
          </cell>
          <cell r="J307">
            <v>1187.7</v>
          </cell>
        </row>
        <row r="308">
          <cell r="A308" t="str">
            <v>Performance &amp; Life Science Chemicals</v>
          </cell>
          <cell r="B308">
            <v>702.7</v>
          </cell>
          <cell r="C308">
            <v>1110.2</v>
          </cell>
          <cell r="D308">
            <v>1074.4000000000001</v>
          </cell>
          <cell r="E308">
            <v>1053</v>
          </cell>
          <cell r="F308">
            <v>1127.7</v>
          </cell>
          <cell r="G308">
            <v>1120</v>
          </cell>
        </row>
        <row r="309">
          <cell r="A309" t="str">
            <v>Millipore</v>
          </cell>
          <cell r="G309">
            <v>781.2</v>
          </cell>
          <cell r="H309">
            <v>6435.6</v>
          </cell>
          <cell r="I309">
            <v>6608.6</v>
          </cell>
          <cell r="J309">
            <v>6328.9</v>
          </cell>
        </row>
        <row r="310">
          <cell r="A310" t="str">
            <v>Other</v>
          </cell>
          <cell r="B310">
            <v>157.4</v>
          </cell>
          <cell r="C310">
            <v>55.7</v>
          </cell>
          <cell r="D310">
            <v>34</v>
          </cell>
          <cell r="E310">
            <v>46</v>
          </cell>
          <cell r="F310">
            <v>14.4</v>
          </cell>
          <cell r="G310">
            <v>37.4</v>
          </cell>
          <cell r="H310">
            <v>74.7</v>
          </cell>
          <cell r="I310">
            <v>-1.3</v>
          </cell>
          <cell r="J310">
            <v>25.1</v>
          </cell>
        </row>
        <row r="312">
          <cell r="A312" t="str">
            <v>NOA - other allocated</v>
          </cell>
        </row>
        <row r="313">
          <cell r="A313" t="str">
            <v>Ethicals</v>
          </cell>
          <cell r="B313">
            <v>1138.4387420550197</v>
          </cell>
          <cell r="C313">
            <v>1152.0177091863518</v>
          </cell>
          <cell r="D313">
            <v>2852.2669761169745</v>
          </cell>
          <cell r="E313">
            <v>0</v>
          </cell>
          <cell r="F313">
            <v>0</v>
          </cell>
          <cell r="G313">
            <v>0</v>
          </cell>
          <cell r="H313">
            <v>0</v>
          </cell>
          <cell r="I313">
            <v>0</v>
          </cell>
          <cell r="J313">
            <v>0</v>
          </cell>
        </row>
        <row r="314">
          <cell r="A314" t="str">
            <v>Generics</v>
          </cell>
          <cell r="B314">
            <v>1033.2258558492233</v>
          </cell>
          <cell r="C314">
            <v>1009.5709774278215</v>
          </cell>
          <cell r="D314">
            <v>1046.2494700709915</v>
          </cell>
          <cell r="E314">
            <v>0</v>
          </cell>
          <cell r="F314">
            <v>0</v>
          </cell>
          <cell r="G314">
            <v>0</v>
          </cell>
          <cell r="H314">
            <v>0</v>
          </cell>
          <cell r="I314">
            <v>0</v>
          </cell>
          <cell r="J314">
            <v>0</v>
          </cell>
        </row>
        <row r="315">
          <cell r="A315" t="str">
            <v>Serono</v>
          </cell>
          <cell r="B315">
            <v>0</v>
          </cell>
          <cell r="C315">
            <v>0</v>
          </cell>
          <cell r="D315">
            <v>2852.2669761169745</v>
          </cell>
          <cell r="E315">
            <v>9922.2735905191239</v>
          </cell>
          <cell r="F315">
            <v>10367.592590443632</v>
          </cell>
          <cell r="G315">
            <v>10042.156573699594</v>
          </cell>
          <cell r="H315">
            <v>10401.767732308463</v>
          </cell>
          <cell r="I315">
            <v>9206.5147796815872</v>
          </cell>
          <cell r="J315">
            <v>8033.324673535175</v>
          </cell>
        </row>
        <row r="316">
          <cell r="A316" t="str">
            <v>Consumer Health Care</v>
          </cell>
          <cell r="B316">
            <v>285.72620923212844</v>
          </cell>
          <cell r="C316">
            <v>283.57825931758532</v>
          </cell>
          <cell r="D316">
            <v>277.04581573404363</v>
          </cell>
          <cell r="E316">
            <v>282.06527991824555</v>
          </cell>
          <cell r="F316">
            <v>326.26796562593108</v>
          </cell>
          <cell r="G316">
            <v>336.88082037191504</v>
          </cell>
          <cell r="H316">
            <v>312.06206851563945</v>
          </cell>
          <cell r="I316">
            <v>321.0761030232598</v>
          </cell>
          <cell r="J316">
            <v>284.25024840402</v>
          </cell>
        </row>
        <row r="317">
          <cell r="A317" t="str">
            <v>Liquid Crystals</v>
          </cell>
          <cell r="B317">
            <v>596.17173427568775</v>
          </cell>
          <cell r="C317">
            <v>811.78449973753277</v>
          </cell>
          <cell r="D317">
            <v>900.5996589731302</v>
          </cell>
          <cell r="E317">
            <v>918.56917314301256</v>
          </cell>
          <cell r="F317">
            <v>945.3661857642428</v>
          </cell>
          <cell r="G317">
            <v>839.59523505786194</v>
          </cell>
          <cell r="H317">
            <v>0</v>
          </cell>
          <cell r="I317">
            <v>0</v>
          </cell>
          <cell r="J317">
            <v>0</v>
          </cell>
        </row>
        <row r="318">
          <cell r="A318" t="str">
            <v>Pigments</v>
          </cell>
          <cell r="B318">
            <v>448.89446612186799</v>
          </cell>
          <cell r="C318">
            <v>438.0641679790026</v>
          </cell>
          <cell r="D318">
            <v>0</v>
          </cell>
          <cell r="E318">
            <v>0</v>
          </cell>
          <cell r="F318">
            <v>0</v>
          </cell>
          <cell r="G318">
            <v>0</v>
          </cell>
          <cell r="H318">
            <v>0</v>
          </cell>
          <cell r="I318">
            <v>0</v>
          </cell>
          <cell r="J318">
            <v>0</v>
          </cell>
        </row>
        <row r="319">
          <cell r="A319" t="str">
            <v>Performance Materials</v>
          </cell>
          <cell r="B319">
            <v>0</v>
          </cell>
          <cell r="C319">
            <v>0</v>
          </cell>
          <cell r="D319">
            <v>0</v>
          </cell>
          <cell r="E319">
            <v>0</v>
          </cell>
          <cell r="F319">
            <v>0</v>
          </cell>
          <cell r="G319">
            <v>1179.2833955995429</v>
          </cell>
          <cell r="H319">
            <v>1294.9370970547625</v>
          </cell>
          <cell r="I319">
            <v>1330.9009440173118</v>
          </cell>
          <cell r="J319">
            <v>1189.5842848113268</v>
          </cell>
        </row>
        <row r="320">
          <cell r="A320" t="str">
            <v>Performance &amp; Life Science Chemicals</v>
          </cell>
          <cell r="B320">
            <v>729.84299246607281</v>
          </cell>
          <cell r="C320">
            <v>1123.1843863517061</v>
          </cell>
          <cell r="D320">
            <v>1078.4711029878858</v>
          </cell>
          <cell r="E320">
            <v>1056.9919564196177</v>
          </cell>
          <cell r="F320">
            <v>1128.9732581661935</v>
          </cell>
          <cell r="G320">
            <v>1122.9360679063834</v>
          </cell>
          <cell r="H320">
            <v>0</v>
          </cell>
          <cell r="I320">
            <v>0</v>
          </cell>
          <cell r="J320">
            <v>0</v>
          </cell>
        </row>
        <row r="321">
          <cell r="A321" t="str">
            <v>Millipore</v>
          </cell>
          <cell r="B321">
            <v>0</v>
          </cell>
          <cell r="C321">
            <v>0</v>
          </cell>
          <cell r="D321">
            <v>0</v>
          </cell>
          <cell r="E321">
            <v>0</v>
          </cell>
          <cell r="F321">
            <v>0</v>
          </cell>
          <cell r="G321">
            <v>783.24790736470243</v>
          </cell>
          <cell r="H321">
            <v>6461.7331021211367</v>
          </cell>
          <cell r="I321">
            <v>6608.1081732778412</v>
          </cell>
          <cell r="J321">
            <v>6338.9407932494778</v>
          </cell>
        </row>
        <row r="323">
          <cell r="A323" t="str">
            <v>RNOA</v>
          </cell>
        </row>
        <row r="324">
          <cell r="A324" t="str">
            <v>Ethicals</v>
          </cell>
          <cell r="B324">
            <v>7.5797369713007046E-2</v>
          </cell>
          <cell r="C324">
            <v>9.6733814902539225E-2</v>
          </cell>
          <cell r="D324">
            <v>4.4766940494690884E-2</v>
          </cell>
          <cell r="E324" t="str">
            <v>nm</v>
          </cell>
          <cell r="F324" t="str">
            <v>nm</v>
          </cell>
          <cell r="G324" t="str">
            <v>nm</v>
          </cell>
          <cell r="H324" t="str">
            <v>nm</v>
          </cell>
          <cell r="I324" t="str">
            <v>nm</v>
          </cell>
          <cell r="J324" t="str">
            <v>nm</v>
          </cell>
        </row>
        <row r="325">
          <cell r="A325" t="str">
            <v>Generics</v>
          </cell>
          <cell r="B325">
            <v>0.1304210669762387</v>
          </cell>
          <cell r="C325">
            <v>0.15732996640884844</v>
          </cell>
          <cell r="D325">
            <v>0.22985111138512945</v>
          </cell>
          <cell r="E325" t="str">
            <v>nm</v>
          </cell>
          <cell r="F325" t="str">
            <v>nm</v>
          </cell>
          <cell r="G325" t="str">
            <v>nm</v>
          </cell>
          <cell r="H325" t="str">
            <v>nm</v>
          </cell>
          <cell r="I325" t="str">
            <v>nm</v>
          </cell>
          <cell r="J325" t="str">
            <v>nm</v>
          </cell>
        </row>
        <row r="326">
          <cell r="A326" t="str">
            <v>Serono</v>
          </cell>
          <cell r="B326" t="str">
            <v>nm</v>
          </cell>
          <cell r="C326" t="str">
            <v>nm</v>
          </cell>
          <cell r="D326">
            <v>4.4766940494690884E-2</v>
          </cell>
          <cell r="E326">
            <v>6.9265103626052843E-2</v>
          </cell>
          <cell r="F326">
            <v>7.082896918367565E-2</v>
          </cell>
          <cell r="G326">
            <v>6.827568318204412E-2</v>
          </cell>
          <cell r="H326">
            <v>7.806161254172897E-2</v>
          </cell>
          <cell r="I326">
            <v>7.6113476866217958E-2</v>
          </cell>
          <cell r="J326">
            <v>0.14098245718697847</v>
          </cell>
        </row>
        <row r="327">
          <cell r="A327" t="str">
            <v>Consumer Health Care</v>
          </cell>
          <cell r="B327">
            <v>8.7231121019850894E-2</v>
          </cell>
          <cell r="C327">
            <v>0.1178688219147338</v>
          </cell>
          <cell r="D327">
            <v>0.15419539744205335</v>
          </cell>
          <cell r="E327">
            <v>0.16048029962941701</v>
          </cell>
          <cell r="F327">
            <v>0.11825395798329906</v>
          </cell>
          <cell r="G327">
            <v>0.10570144858339933</v>
          </cell>
          <cell r="H327">
            <v>3.1598374796944911E-2</v>
          </cell>
          <cell r="I327">
            <v>9.9851695039691879E-2</v>
          </cell>
          <cell r="J327">
            <v>0.10884669658937482</v>
          </cell>
        </row>
        <row r="328">
          <cell r="A328" t="str">
            <v>Liquid Crystals</v>
          </cell>
          <cell r="B328">
            <v>0.31608709256910378</v>
          </cell>
          <cell r="C328">
            <v>0.28492936816585646</v>
          </cell>
          <cell r="D328">
            <v>0.42307790647880394</v>
          </cell>
          <cell r="E328">
            <v>0.40233270390569559</v>
          </cell>
          <cell r="F328">
            <v>0.26045243853476141</v>
          </cell>
          <cell r="G328">
            <v>0.19976598002283136</v>
          </cell>
          <cell r="H328" t="str">
            <v>nm</v>
          </cell>
          <cell r="I328" t="str">
            <v>nm</v>
          </cell>
          <cell r="J328" t="str">
            <v>nm</v>
          </cell>
        </row>
        <row r="329">
          <cell r="A329" t="str">
            <v>Pigments</v>
          </cell>
          <cell r="B329">
            <v>6.7721914381009038E-2</v>
          </cell>
          <cell r="C329">
            <v>6.6840278442598378E-2</v>
          </cell>
          <cell r="D329" t="str">
            <v>nm</v>
          </cell>
          <cell r="E329" t="str">
            <v>nm</v>
          </cell>
          <cell r="F329" t="str">
            <v>nm</v>
          </cell>
          <cell r="G329" t="str">
            <v>nm</v>
          </cell>
          <cell r="H329" t="str">
            <v>nm</v>
          </cell>
          <cell r="I329" t="str">
            <v>nm</v>
          </cell>
          <cell r="J329" t="str">
            <v>nm</v>
          </cell>
        </row>
        <row r="330">
          <cell r="A330" t="str">
            <v>Performance Materials</v>
          </cell>
          <cell r="B330" t="str">
            <v>nm</v>
          </cell>
          <cell r="C330" t="str">
            <v>nm</v>
          </cell>
          <cell r="D330" t="str">
            <v>nm</v>
          </cell>
          <cell r="E330" t="str">
            <v>nm</v>
          </cell>
          <cell r="F330" t="str">
            <v>nm</v>
          </cell>
          <cell r="G330">
            <v>0.13616007630446983</v>
          </cell>
          <cell r="H330">
            <v>0.31560227950717473</v>
          </cell>
          <cell r="I330">
            <v>0.29410079110966353</v>
          </cell>
          <cell r="J330">
            <v>0.38150488658248088</v>
          </cell>
        </row>
        <row r="331">
          <cell r="A331" t="str">
            <v>Performance &amp; Life Science Chemicals</v>
          </cell>
          <cell r="B331">
            <v>6.2436057343802871E-2</v>
          </cell>
          <cell r="C331">
            <v>8.6956295394567701E-2</v>
          </cell>
          <cell r="D331">
            <v>0.11294551897451012</v>
          </cell>
          <cell r="E331">
            <v>0.10375776512430251</v>
          </cell>
          <cell r="F331">
            <v>9.2823989247991762E-2</v>
          </cell>
          <cell r="G331">
            <v>6.3552175297348176E-2</v>
          </cell>
          <cell r="H331" t="str">
            <v>nm</v>
          </cell>
          <cell r="I331" t="str">
            <v>nm</v>
          </cell>
          <cell r="J331" t="str">
            <v>nm</v>
          </cell>
        </row>
        <row r="332">
          <cell r="A332" t="str">
            <v>Millipore</v>
          </cell>
          <cell r="B332" t="str">
            <v>nm</v>
          </cell>
          <cell r="C332" t="str">
            <v>nm</v>
          </cell>
          <cell r="D332" t="str">
            <v>nm</v>
          </cell>
          <cell r="E332" t="str">
            <v>nm</v>
          </cell>
          <cell r="F332" t="str">
            <v>nm</v>
          </cell>
          <cell r="G332">
            <v>0.10024447805277971</v>
          </cell>
          <cell r="H332">
            <v>1.577606478583117E-2</v>
          </cell>
          <cell r="I332">
            <v>4.8050637817480875E-2</v>
          </cell>
          <cell r="J332">
            <v>5.7991643491043035E-2</v>
          </cell>
        </row>
      </sheetData>
      <sheetData sheetId="8"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R1">
            <v>38</v>
          </cell>
          <cell r="AY1">
            <v>39</v>
          </cell>
          <cell r="BF1">
            <v>40</v>
          </cell>
          <cell r="BR1">
            <v>41</v>
          </cell>
          <cell r="BS1">
            <v>42</v>
          </cell>
          <cell r="BT1">
            <v>43</v>
          </cell>
          <cell r="BU1">
            <v>44</v>
          </cell>
          <cell r="BV1">
            <v>45</v>
          </cell>
          <cell r="BW1">
            <v>46</v>
          </cell>
          <cell r="BX1">
            <v>47</v>
          </cell>
          <cell r="CD1" t="str">
            <v>Return to contents</v>
          </cell>
          <cell r="CG1" t="str">
            <v>ElementName</v>
          </cell>
          <cell r="CH1" t="str">
            <v>ScaleOverride</v>
          </cell>
          <cell r="CI1" t="str">
            <v>UnitOverride</v>
          </cell>
          <cell r="CJ1" t="str">
            <v>ReverseSign</v>
          </cell>
          <cell r="CK1" t="str">
            <v>IsDrivingAssumption</v>
          </cell>
          <cell r="CL1" t="str">
            <v>SegmentID</v>
          </cell>
        </row>
        <row r="3">
          <cell r="A3" t="str">
            <v xml:space="preserve"> Merck KGaA</v>
          </cell>
        </row>
        <row r="4">
          <cell r="A4" t="str">
            <v>Quarterly Sales Forecast</v>
          </cell>
          <cell r="AR4" t="str">
            <v xml:space="preserve">Morgan Stanley Equity Research- Pharmaceuticals  </v>
          </cell>
          <cell r="BG4" t="str">
            <v>Restated</v>
          </cell>
        </row>
        <row r="6">
          <cell r="A6" t="str">
            <v>in € millions</v>
          </cell>
          <cell r="C6" t="str">
            <v>Q106A</v>
          </cell>
          <cell r="D6" t="str">
            <v>Q206A</v>
          </cell>
          <cell r="E6" t="str">
            <v>H106A</v>
          </cell>
          <cell r="F6" t="str">
            <v>Q306A</v>
          </cell>
          <cell r="G6" t="str">
            <v>9M06A</v>
          </cell>
          <cell r="H6" t="str">
            <v>Q406A</v>
          </cell>
          <cell r="I6" t="str">
            <v>2006A</v>
          </cell>
          <cell r="J6" t="str">
            <v>Q107A</v>
          </cell>
          <cell r="K6" t="str">
            <v>Q207A</v>
          </cell>
          <cell r="L6" t="str">
            <v>H107A</v>
          </cell>
          <cell r="M6" t="str">
            <v>Q307A</v>
          </cell>
          <cell r="N6" t="str">
            <v>9M07A</v>
          </cell>
          <cell r="O6" t="str">
            <v>Q407A</v>
          </cell>
          <cell r="P6" t="str">
            <v>2007A</v>
          </cell>
          <cell r="Q6" t="str">
            <v>Q108A</v>
          </cell>
          <cell r="R6" t="str">
            <v>Q208A</v>
          </cell>
          <cell r="S6" t="str">
            <v>H108A</v>
          </cell>
          <cell r="T6" t="str">
            <v>Q308A</v>
          </cell>
          <cell r="U6" t="str">
            <v>9M08A</v>
          </cell>
          <cell r="V6" t="str">
            <v>Q408A</v>
          </cell>
          <cell r="W6" t="str">
            <v>2008A</v>
          </cell>
          <cell r="X6" t="str">
            <v>Q109A</v>
          </cell>
          <cell r="Y6" t="str">
            <v>Q209A</v>
          </cell>
          <cell r="Z6" t="str">
            <v>H109A</v>
          </cell>
          <cell r="AA6" t="str">
            <v>Q309A</v>
          </cell>
          <cell r="AB6" t="str">
            <v>9M09A</v>
          </cell>
          <cell r="AC6" t="str">
            <v>Q409A</v>
          </cell>
          <cell r="AD6" t="str">
            <v>2009A</v>
          </cell>
          <cell r="AE6" t="str">
            <v>Q110A</v>
          </cell>
          <cell r="AF6" t="str">
            <v>Q210A</v>
          </cell>
          <cell r="AG6" t="str">
            <v>H110A</v>
          </cell>
          <cell r="AH6" t="str">
            <v>Q310A</v>
          </cell>
          <cell r="AI6" t="str">
            <v>9M10A</v>
          </cell>
          <cell r="AJ6" t="str">
            <v>Q410A</v>
          </cell>
          <cell r="AK6" t="str">
            <v>2010A</v>
          </cell>
          <cell r="AL6" t="str">
            <v>Q111A</v>
          </cell>
          <cell r="AM6" t="str">
            <v>Q211A</v>
          </cell>
          <cell r="AN6" t="str">
            <v>H111A</v>
          </cell>
          <cell r="AO6" t="str">
            <v>Q311A</v>
          </cell>
          <cell r="AP6" t="str">
            <v>9M11A</v>
          </cell>
          <cell r="AQ6" t="str">
            <v>Q411A</v>
          </cell>
          <cell r="AR6" t="str">
            <v>2011A</v>
          </cell>
          <cell r="AS6" t="str">
            <v>Q112A</v>
          </cell>
          <cell r="AT6" t="str">
            <v>Q212A</v>
          </cell>
          <cell r="AU6" t="str">
            <v>H112A</v>
          </cell>
          <cell r="AV6" t="str">
            <v>Q312A</v>
          </cell>
          <cell r="AW6" t="str">
            <v>9M12A</v>
          </cell>
          <cell r="AX6" t="str">
            <v>Q412A</v>
          </cell>
          <cell r="AY6" t="str">
            <v>2012A</v>
          </cell>
          <cell r="AZ6" t="str">
            <v>Q113A</v>
          </cell>
          <cell r="BA6" t="str">
            <v>Q213A</v>
          </cell>
          <cell r="BB6" t="str">
            <v>H113A</v>
          </cell>
          <cell r="BC6" t="str">
            <v>Q313A</v>
          </cell>
          <cell r="BD6" t="str">
            <v>9M13A</v>
          </cell>
          <cell r="BE6" t="str">
            <v>Q413A</v>
          </cell>
          <cell r="BF6" t="str">
            <v>2013A</v>
          </cell>
          <cell r="BG6" t="str">
            <v>Q113A</v>
          </cell>
          <cell r="BH6" t="str">
            <v>Q213A</v>
          </cell>
          <cell r="BI6" t="str">
            <v>Q313A</v>
          </cell>
          <cell r="BJ6" t="str">
            <v>Q413A</v>
          </cell>
          <cell r="BK6" t="str">
            <v>2013A Restated</v>
          </cell>
          <cell r="BL6" t="str">
            <v>Q114E</v>
          </cell>
          <cell r="BM6" t="str">
            <v>Q214E</v>
          </cell>
          <cell r="BN6" t="str">
            <v>H114e</v>
          </cell>
          <cell r="BO6" t="str">
            <v>Q314E</v>
          </cell>
          <cell r="BP6" t="str">
            <v>9M14E</v>
          </cell>
          <cell r="BQ6" t="str">
            <v>Q414E</v>
          </cell>
          <cell r="BR6" t="str">
            <v>2014E</v>
          </cell>
          <cell r="BS6" t="str">
            <v>2015E</v>
          </cell>
          <cell r="BT6" t="str">
            <v>2016E</v>
          </cell>
          <cell r="BU6" t="str">
            <v>2017E</v>
          </cell>
          <cell r="BV6" t="str">
            <v>2018E</v>
          </cell>
          <cell r="BW6" t="str">
            <v>2019E</v>
          </cell>
          <cell r="BX6" t="str">
            <v>2020E</v>
          </cell>
          <cell r="BY6" t="str">
            <v>2021E</v>
          </cell>
          <cell r="BZ6" t="str">
            <v>2022E</v>
          </cell>
          <cell r="CA6" t="str">
            <v>2023E</v>
          </cell>
          <cell r="CB6" t="str">
            <v>2024E</v>
          </cell>
        </row>
        <row r="8">
          <cell r="A8" t="str">
            <v>Merck Serono (Prescription Drugs)</v>
          </cell>
        </row>
        <row r="9">
          <cell r="A9" t="str">
            <v xml:space="preserve">Currency </v>
          </cell>
        </row>
        <row r="10">
          <cell r="A10" t="str">
            <v>$/€</v>
          </cell>
          <cell r="C10">
            <v>1.2030798845043311</v>
          </cell>
          <cell r="D10">
            <v>1.2582</v>
          </cell>
          <cell r="F10">
            <v>1.2660361538461538</v>
          </cell>
          <cell r="H10">
            <v>1.2897707692307696</v>
          </cell>
          <cell r="I10">
            <v>1.256096923076923</v>
          </cell>
          <cell r="J10">
            <v>1.3027013431073853</v>
          </cell>
          <cell r="K10">
            <v>1.3483310117962588</v>
          </cell>
          <cell r="M10">
            <v>1.3748020884600598</v>
          </cell>
          <cell r="O10">
            <v>1.4479813874835601</v>
          </cell>
          <cell r="P10">
            <v>1.368453957711816</v>
          </cell>
          <cell r="Q10">
            <v>1.4968967496270482</v>
          </cell>
          <cell r="R10">
            <v>1.5594500568185643</v>
          </cell>
          <cell r="T10">
            <v>1.5030850935911124</v>
          </cell>
          <cell r="V10">
            <v>1.462966308384366</v>
          </cell>
          <cell r="W10">
            <v>1.5055995521052727</v>
          </cell>
          <cell r="X10">
            <v>1.3032197561580434</v>
          </cell>
          <cell r="Y10">
            <v>1.3611054399802092</v>
          </cell>
          <cell r="AA10">
            <v>1.4297773787763226</v>
          </cell>
          <cell r="AC10">
            <v>1.4763422187931554</v>
          </cell>
          <cell r="AD10">
            <v>1.3926111984269327</v>
          </cell>
          <cell r="AE10">
            <v>1.3829397661847229</v>
          </cell>
          <cell r="AF10">
            <v>1.269339904933922</v>
          </cell>
          <cell r="AH10">
            <v>1.2923041322456521</v>
          </cell>
          <cell r="AJ10">
            <v>1.3566703927753538</v>
          </cell>
          <cell r="AK10">
            <v>1.3253135490349128</v>
          </cell>
          <cell r="AL10">
            <v>1.3610662725233575</v>
          </cell>
          <cell r="AM10">
            <v>1.4392673740468582</v>
          </cell>
          <cell r="AN10">
            <v>1.4001668232851079</v>
          </cell>
          <cell r="AO10">
            <v>1.4125579172517093</v>
          </cell>
          <cell r="AP10">
            <v>1.4042971879406416</v>
          </cell>
          <cell r="AQ10">
            <v>1.3472300000000001</v>
          </cell>
          <cell r="AR10">
            <v>1.3900303909554812</v>
          </cell>
          <cell r="AS10">
            <v>1.31186</v>
          </cell>
          <cell r="AT10">
            <v>1.28318</v>
          </cell>
          <cell r="AU10">
            <v>1.29752</v>
          </cell>
          <cell r="AV10">
            <v>1.2510800000000002</v>
          </cell>
          <cell r="AW10">
            <v>1.2820400000000001</v>
          </cell>
          <cell r="AX10">
            <v>1.2976000000000001</v>
          </cell>
          <cell r="AY10">
            <v>1.28593</v>
          </cell>
          <cell r="AZ10">
            <v>1.32</v>
          </cell>
          <cell r="BA10">
            <v>1.30627</v>
          </cell>
          <cell r="BB10">
            <v>1.3131349999999999</v>
          </cell>
          <cell r="BC10">
            <v>1.3254600000000001</v>
          </cell>
          <cell r="BD10">
            <v>1.3172433333333333</v>
          </cell>
          <cell r="BE10">
            <v>1.3486499999999999</v>
          </cell>
          <cell r="BF10">
            <v>1.33</v>
          </cell>
          <cell r="BL10">
            <v>1.3732500000000001</v>
          </cell>
          <cell r="BM10">
            <v>1.3732500000000001</v>
          </cell>
          <cell r="BN10">
            <v>1.3732500000000001</v>
          </cell>
          <cell r="BO10">
            <v>1.3732500000000001</v>
          </cell>
          <cell r="BP10">
            <v>1.3732500000000001</v>
          </cell>
          <cell r="BQ10">
            <v>1.3732500000000001</v>
          </cell>
          <cell r="BR10">
            <v>1.3732500000000001</v>
          </cell>
          <cell r="BS10">
            <v>1.3732500000000001</v>
          </cell>
          <cell r="BT10">
            <v>1.3732500000000001</v>
          </cell>
          <cell r="BU10">
            <v>1.3732500000000001</v>
          </cell>
          <cell r="BV10">
            <v>1.3732500000000001</v>
          </cell>
          <cell r="BW10">
            <v>1.3732500000000001</v>
          </cell>
          <cell r="BX10">
            <v>1.3732500000000001</v>
          </cell>
          <cell r="BY10">
            <v>1.3732500000000001</v>
          </cell>
          <cell r="BZ10">
            <v>1.3732500000000001</v>
          </cell>
          <cell r="CA10">
            <v>1.3732500000000001</v>
          </cell>
          <cell r="CB10">
            <v>1.3732500000000001</v>
          </cell>
        </row>
        <row r="11">
          <cell r="A11" t="str">
            <v xml:space="preserve">growth </v>
          </cell>
          <cell r="O11">
            <v>0.12266568759900531</v>
          </cell>
          <cell r="P11">
            <v>8.9449335135432184E-2</v>
          </cell>
          <cell r="Q11">
            <v>0.14907131826274234</v>
          </cell>
          <cell r="R11">
            <v>0.15657805329349417</v>
          </cell>
          <cell r="T11">
            <v>9.3310161664610813E-2</v>
          </cell>
          <cell r="V11">
            <v>1.0348835302951054E-2</v>
          </cell>
          <cell r="W11">
            <v>0.10021937064128705</v>
          </cell>
          <cell r="X11">
            <v>-0.12938567307147897</v>
          </cell>
          <cell r="Y11">
            <v>-0.12718882273344378</v>
          </cell>
          <cell r="AA11">
            <v>-4.8771500114904276E-2</v>
          </cell>
          <cell r="AC11">
            <v>9.143006460320402E-3</v>
          </cell>
          <cell r="AD11">
            <v>-7.5045421951905444E-2</v>
          </cell>
          <cell r="AE11">
            <v>6.1171578814687377E-2</v>
          </cell>
          <cell r="AF11">
            <v>-6.7419857676581985E-2</v>
          </cell>
          <cell r="AH11">
            <v>-9.6150106003444535E-2</v>
          </cell>
          <cell r="AJ11">
            <v>-8.1059678775309951E-2</v>
          </cell>
          <cell r="AK11">
            <v>-4.8324794076076705E-2</v>
          </cell>
          <cell r="AL11">
            <v>-1.5816664034262518E-2</v>
          </cell>
          <cell r="AM11">
            <v>0.13387073742220545</v>
          </cell>
          <cell r="AO11">
            <v>9.3053780457306834E-2</v>
          </cell>
          <cell r="AQ11">
            <v>-6.9585013615881541E-3</v>
          </cell>
          <cell r="AR11">
            <v>4.883134407529055E-2</v>
          </cell>
          <cell r="AS11">
            <v>-3.6152738126506656E-2</v>
          </cell>
          <cell r="AT11">
            <v>-0.10844918523233094</v>
          </cell>
          <cell r="AU11">
            <v>-7.3310423856691065E-2</v>
          </cell>
          <cell r="AV11">
            <v>-0.11431596204273353</v>
          </cell>
          <cell r="AW11">
            <v>-8.7059341135566903E-2</v>
          </cell>
          <cell r="AX11">
            <v>-3.6838550210431809E-2</v>
          </cell>
          <cell r="AY11">
            <v>-7.4890730183190146E-2</v>
          </cell>
          <cell r="AZ11">
            <v>6.2049304041589259E-3</v>
          </cell>
          <cell r="BA11">
            <v>1.7994357767421532E-2</v>
          </cell>
          <cell r="BB11">
            <v>1.2034496578087417E-2</v>
          </cell>
          <cell r="BC11">
            <v>5.9452632925152571E-2</v>
          </cell>
          <cell r="BD11">
            <v>2.7458841637806319E-2</v>
          </cell>
          <cell r="BE11">
            <v>3.9341861898890107E-2</v>
          </cell>
          <cell r="BF11">
            <v>3.4270916768408988E-2</v>
          </cell>
          <cell r="BL11">
            <v>4.0340909090909038E-2</v>
          </cell>
          <cell r="BM11">
            <v>5.1275769940364535E-2</v>
          </cell>
          <cell r="BN11">
            <v>4.5779756079915801E-2</v>
          </cell>
          <cell r="BO11">
            <v>3.6055407179394372E-2</v>
          </cell>
          <cell r="BP11">
            <v>4.2518087015054329E-2</v>
          </cell>
          <cell r="BQ11">
            <v>1.824046268490731E-2</v>
          </cell>
          <cell r="BR11">
            <v>3.2518796992481169E-2</v>
          </cell>
          <cell r="BS11">
            <v>0</v>
          </cell>
          <cell r="BT11">
            <v>0</v>
          </cell>
          <cell r="BU11">
            <v>0</v>
          </cell>
          <cell r="BV11">
            <v>0</v>
          </cell>
          <cell r="BW11">
            <v>0</v>
          </cell>
          <cell r="BX11">
            <v>0</v>
          </cell>
          <cell r="BY11">
            <v>0</v>
          </cell>
          <cell r="BZ11">
            <v>0</v>
          </cell>
          <cell r="CA11">
            <v>0</v>
          </cell>
          <cell r="CB11">
            <v>0</v>
          </cell>
        </row>
        <row r="12">
          <cell r="A12" t="str">
            <v>€/$</v>
          </cell>
          <cell r="C12">
            <v>0.83119999999999994</v>
          </cell>
          <cell r="D12">
            <v>0.79478620251152443</v>
          </cell>
          <cell r="F12">
            <v>0.7898668588270964</v>
          </cell>
          <cell r="H12">
            <v>0.77533157352946414</v>
          </cell>
          <cell r="I12">
            <v>0.79611690915571198</v>
          </cell>
          <cell r="J12">
            <v>0.7676356559322034</v>
          </cell>
          <cell r="K12">
            <v>0.74165764285714297</v>
          </cell>
          <cell r="M12">
            <v>0.72737742282608675</v>
          </cell>
          <cell r="O12">
            <v>0.69061661195652191</v>
          </cell>
          <cell r="P12">
            <v>0.73075165910009443</v>
          </cell>
          <cell r="Q12">
            <v>0.66804874835164818</v>
          </cell>
          <cell r="R12">
            <v>0.64125169999999942</v>
          </cell>
          <cell r="T12">
            <v>0.66529832826086976</v>
          </cell>
          <cell r="V12">
            <v>0.68354274071038235</v>
          </cell>
          <cell r="W12">
            <v>0.66418723265539281</v>
          </cell>
          <cell r="X12">
            <v>0.76733029504406047</v>
          </cell>
          <cell r="Y12">
            <v>0.73469693869898889</v>
          </cell>
          <cell r="AA12">
            <v>0.6994095828092145</v>
          </cell>
          <cell r="AC12">
            <v>0.67734972777345337</v>
          </cell>
          <cell r="AD12">
            <v>0.71807551248301116</v>
          </cell>
          <cell r="AE12">
            <v>0.72309729205257911</v>
          </cell>
          <cell r="AF12">
            <v>0.78781104739006602</v>
          </cell>
          <cell r="AH12">
            <v>0.77381165551354247</v>
          </cell>
          <cell r="AJ12">
            <v>0.73709871264625315</v>
          </cell>
          <cell r="AK12">
            <v>0.75453842656946757</v>
          </cell>
          <cell r="AL12">
            <v>0.73471808110125569</v>
          </cell>
          <cell r="AM12">
            <v>0.6947979354164413</v>
          </cell>
          <cell r="AO12">
            <v>0.7079355740298513</v>
          </cell>
          <cell r="AQ12">
            <v>0.74226375600305805</v>
          </cell>
          <cell r="AR12">
            <v>0.71940873128149274</v>
          </cell>
          <cell r="AS12">
            <v>0.76227646242739311</v>
          </cell>
          <cell r="AT12">
            <v>0.77931389204943968</v>
          </cell>
          <cell r="AU12">
            <v>0.77070102965657561</v>
          </cell>
          <cell r="AV12">
            <v>0.79930939668126721</v>
          </cell>
          <cell r="AW12">
            <v>0.78000686406040365</v>
          </cell>
          <cell r="AX12">
            <v>0.77065351418002459</v>
          </cell>
          <cell r="AY12">
            <v>0.77764730584090891</v>
          </cell>
          <cell r="AZ12">
            <v>0.75757575757575757</v>
          </cell>
          <cell r="BA12">
            <v>0.76553851807053674</v>
          </cell>
          <cell r="BB12">
            <v>0.76153632337878441</v>
          </cell>
          <cell r="BC12">
            <v>0.75445505711224781</v>
          </cell>
          <cell r="BD12">
            <v>0.75916117750959711</v>
          </cell>
          <cell r="BE12">
            <v>0.74148222296370447</v>
          </cell>
          <cell r="BF12">
            <v>0.75187969924812026</v>
          </cell>
          <cell r="BL12">
            <v>0.72819952667030763</v>
          </cell>
          <cell r="BM12">
            <v>0.72819952667030763</v>
          </cell>
          <cell r="BN12">
            <v>0.72819952667030763</v>
          </cell>
          <cell r="BO12">
            <v>0.72819952667030763</v>
          </cell>
          <cell r="BP12">
            <v>0.72819952667030763</v>
          </cell>
          <cell r="BQ12">
            <v>0.72819952667030763</v>
          </cell>
          <cell r="BR12">
            <v>0.72819952667030763</v>
          </cell>
          <cell r="BS12">
            <v>0.72819952667030763</v>
          </cell>
          <cell r="BT12">
            <v>0.72819952667030763</v>
          </cell>
          <cell r="BU12">
            <v>0.72819952667030763</v>
          </cell>
          <cell r="BV12">
            <v>0.72819952667030763</v>
          </cell>
          <cell r="BW12">
            <v>0.72819952667030763</v>
          </cell>
          <cell r="BX12">
            <v>0.72819952667030763</v>
          </cell>
          <cell r="BY12">
            <v>0.72819952667030763</v>
          </cell>
          <cell r="BZ12">
            <v>0.72819952667030763</v>
          </cell>
          <cell r="CA12">
            <v>0.72819952667030763</v>
          </cell>
          <cell r="CB12">
            <v>0.72819952667030763</v>
          </cell>
        </row>
        <row r="13">
          <cell r="A13" t="str">
            <v>US Factor</v>
          </cell>
          <cell r="M13">
            <v>-7.9113885210733592E-2</v>
          </cell>
          <cell r="O13">
            <v>-0.10926288115328875</v>
          </cell>
          <cell r="P13">
            <v>-8.2105089471014914E-2</v>
          </cell>
          <cell r="Q13">
            <v>-0.12973199826110038</v>
          </cell>
          <cell r="R13">
            <v>-0.13538044652292969</v>
          </cell>
          <cell r="T13">
            <v>-8.5346468857969815E-2</v>
          </cell>
          <cell r="V13">
            <v>-1.02428339018652E-2</v>
          </cell>
          <cell r="W13">
            <v>-9.1090352811069031E-2</v>
          </cell>
          <cell r="X13">
            <v>0.14861422454181805</v>
          </cell>
          <cell r="Y13">
            <v>0.14572318279856344</v>
          </cell>
          <cell r="AA13">
            <v>5.1272118235309083E-2</v>
          </cell>
          <cell r="AC13">
            <v>-9.0601692741155704E-3</v>
          </cell>
          <cell r="AD13">
            <v>8.1134169972185699E-2</v>
          </cell>
          <cell r="AE13">
            <v>-5.7645323372696344E-2</v>
          </cell>
          <cell r="AF13">
            <v>7.2293902279125133E-2</v>
          </cell>
          <cell r="AH13">
            <v>0.10637840048671943</v>
          </cell>
          <cell r="AJ13">
            <v>8.8209948897747914E-2</v>
          </cell>
          <cell r="AK13">
            <v>5.0778662484078252E-2</v>
          </cell>
          <cell r="AL13">
            <v>1.6070851289858856E-2</v>
          </cell>
          <cell r="AM13">
            <v>-0.11806525471020901</v>
          </cell>
          <cell r="AO13">
            <v>-8.5131932317525361E-2</v>
          </cell>
          <cell r="AQ13">
            <v>7.0072613995781907E-3</v>
          </cell>
          <cell r="AR13">
            <v>-4.6557861138620926E-2</v>
          </cell>
          <cell r="AS13">
            <v>3.7508783348343178E-2</v>
          </cell>
          <cell r="AT13">
            <v>0.12164105896823374</v>
          </cell>
          <cell r="AV13">
            <v>0.12907081661581121</v>
          </cell>
          <cell r="AX13">
            <v>3.8247533908754683E-2</v>
          </cell>
          <cell r="AY13">
            <v>8.0953388563515194E-2</v>
          </cell>
          <cell r="AZ13">
            <v>-6.1666666666666536E-3</v>
          </cell>
          <cell r="BA13">
            <v>-1.7676284382248664E-2</v>
          </cell>
          <cell r="BB13">
            <v>-1.1891389689559606E-2</v>
          </cell>
          <cell r="BC13">
            <v>-5.6116367148008828E-2</v>
          </cell>
          <cell r="BD13">
            <v>-2.6725003985596074E-2</v>
          </cell>
          <cell r="BE13">
            <v>-3.7852667482296987E-2</v>
          </cell>
          <cell r="BF13">
            <v>1.402255639097727E-2</v>
          </cell>
          <cell r="BL13">
            <v>-3.8776624795193948E-2</v>
          </cell>
          <cell r="BM13">
            <v>-4.8774804296377261E-2</v>
          </cell>
          <cell r="BN13">
            <v>-4.377571454578566E-2</v>
          </cell>
          <cell r="BO13">
            <v>-3.4800655379573997E-2</v>
          </cell>
          <cell r="BP13">
            <v>-4.0784028157048513E-2</v>
          </cell>
          <cell r="BQ13">
            <v>-1.791370835608963E-2</v>
          </cell>
          <cell r="BR13">
            <v>-3.1494629528490803E-2</v>
          </cell>
          <cell r="BS13">
            <v>0</v>
          </cell>
          <cell r="BT13">
            <v>0</v>
          </cell>
          <cell r="BU13">
            <v>0</v>
          </cell>
          <cell r="BV13">
            <v>0</v>
          </cell>
          <cell r="BW13">
            <v>0</v>
          </cell>
          <cell r="BX13">
            <v>0</v>
          </cell>
          <cell r="BY13">
            <v>0</v>
          </cell>
          <cell r="BZ13">
            <v>0</v>
          </cell>
          <cell r="CA13">
            <v>0</v>
          </cell>
          <cell r="CB13">
            <v>0</v>
          </cell>
        </row>
        <row r="14">
          <cell r="A14" t="str">
            <v>Yuan/€</v>
          </cell>
          <cell r="AL14">
            <v>9.0124500000000012</v>
          </cell>
          <cell r="AM14">
            <v>9.3566200000000013</v>
          </cell>
          <cell r="AN14">
            <v>9.1845350000000003</v>
          </cell>
          <cell r="AO14">
            <v>9.0611500000000014</v>
          </cell>
          <cell r="AP14">
            <v>9.1434066666666673</v>
          </cell>
          <cell r="AQ14">
            <v>8.5671300000000006</v>
          </cell>
          <cell r="AR14">
            <v>8.9993375000000011</v>
          </cell>
          <cell r="AS14">
            <v>8.2729800000000004</v>
          </cell>
          <cell r="AT14">
            <v>8.1225400000000008</v>
          </cell>
          <cell r="AU14">
            <v>8.1977600000000006</v>
          </cell>
          <cell r="AV14">
            <v>7.9442900000000005</v>
          </cell>
          <cell r="AW14">
            <v>8.11327</v>
          </cell>
          <cell r="AX14">
            <v>8.1015500000000014</v>
          </cell>
          <cell r="AY14">
            <v>8.1103400000000008</v>
          </cell>
          <cell r="AZ14">
            <v>8.21448</v>
          </cell>
          <cell r="BA14">
            <v>8.0392299999999999</v>
          </cell>
          <cell r="BB14">
            <v>8.1268549999999991</v>
          </cell>
          <cell r="BC14">
            <v>8.1191900000000015</v>
          </cell>
          <cell r="BD14">
            <v>8.1242999999999999</v>
          </cell>
          <cell r="BE14">
            <v>8.2171500000000002</v>
          </cell>
          <cell r="BF14">
            <v>8.1780000000000008</v>
          </cell>
          <cell r="BL14">
            <v>8.4156499999999994</v>
          </cell>
          <cell r="BM14">
            <v>8.4156499999999994</v>
          </cell>
          <cell r="BN14">
            <v>8.4156499999999994</v>
          </cell>
          <cell r="BO14">
            <v>8.4156499999999994</v>
          </cell>
          <cell r="BP14">
            <v>8.4156499999999994</v>
          </cell>
          <cell r="BQ14">
            <v>8.4156499999999994</v>
          </cell>
          <cell r="BR14">
            <v>8.4156499999999994</v>
          </cell>
          <cell r="BS14">
            <v>8.4156499999999994</v>
          </cell>
          <cell r="BT14">
            <v>8.4156499999999994</v>
          </cell>
          <cell r="BU14">
            <v>8.4156499999999994</v>
          </cell>
          <cell r="BV14">
            <v>8.4156499999999994</v>
          </cell>
          <cell r="BW14">
            <v>8.4156499999999994</v>
          </cell>
          <cell r="BX14">
            <v>8.4156499999999994</v>
          </cell>
          <cell r="BY14">
            <v>8.4156499999999994</v>
          </cell>
          <cell r="BZ14">
            <v>8.4156499999999994</v>
          </cell>
          <cell r="CA14">
            <v>8.4156499999999994</v>
          </cell>
          <cell r="CB14">
            <v>8.4156499999999994</v>
          </cell>
        </row>
        <row r="15">
          <cell r="A15" t="str">
            <v>€/Yuan</v>
          </cell>
          <cell r="AL15">
            <v>0.11095761973714138</v>
          </cell>
          <cell r="AM15">
            <v>0.10687620102130896</v>
          </cell>
          <cell r="AN15">
            <v>0.10887867485942401</v>
          </cell>
          <cell r="AO15">
            <v>0.11036126760951975</v>
          </cell>
          <cell r="AP15">
            <v>0.10936842650186546</v>
          </cell>
          <cell r="AQ15">
            <v>0.11672520435665151</v>
          </cell>
          <cell r="AR15">
            <v>0.11111929072556728</v>
          </cell>
          <cell r="AS15">
            <v>0.12087542820120439</v>
          </cell>
          <cell r="AT15">
            <v>0.12311419826802945</v>
          </cell>
          <cell r="AU15">
            <v>0.12198454211882269</v>
          </cell>
          <cell r="AV15">
            <v>0.12587657298512517</v>
          </cell>
          <cell r="AW15">
            <v>0.12325486517766572</v>
          </cell>
          <cell r="AX15">
            <v>0.1234331701958267</v>
          </cell>
          <cell r="AY15">
            <v>0.12329939312038705</v>
          </cell>
          <cell r="AZ15">
            <v>0.12173625110779988</v>
          </cell>
          <cell r="BA15">
            <v>0.12439002242752105</v>
          </cell>
          <cell r="BB15">
            <v>0.12304883008248579</v>
          </cell>
          <cell r="BC15">
            <v>0.12316499552295239</v>
          </cell>
          <cell r="BD15">
            <v>0.1230875275408343</v>
          </cell>
          <cell r="BE15">
            <v>0.12169669532623842</v>
          </cell>
          <cell r="BF15">
            <v>0.1222792858889704</v>
          </cell>
          <cell r="BL15">
            <v>0.11882623445604322</v>
          </cell>
          <cell r="BM15">
            <v>0.11882623445604322</v>
          </cell>
          <cell r="BN15">
            <v>0.11882623445604322</v>
          </cell>
          <cell r="BO15">
            <v>0.11882623445604322</v>
          </cell>
          <cell r="BP15">
            <v>0.11882623445604322</v>
          </cell>
          <cell r="BQ15">
            <v>0.11882623445604322</v>
          </cell>
          <cell r="BR15">
            <v>0.11882623445604322</v>
          </cell>
          <cell r="BS15">
            <v>0.11882623445604322</v>
          </cell>
          <cell r="BT15">
            <v>0.11882623445604322</v>
          </cell>
          <cell r="BU15">
            <v>0.11882623445604322</v>
          </cell>
          <cell r="BV15">
            <v>0.11882623445604322</v>
          </cell>
          <cell r="BW15">
            <v>0.11882623445604322</v>
          </cell>
          <cell r="BX15">
            <v>0.11882623445604322</v>
          </cell>
          <cell r="BY15">
            <v>0.11882623445604322</v>
          </cell>
          <cell r="BZ15">
            <v>0.11882623445604322</v>
          </cell>
          <cell r="CA15">
            <v>0.11882623445604322</v>
          </cell>
          <cell r="CB15">
            <v>0.11882623445604322</v>
          </cell>
        </row>
        <row r="16">
          <cell r="A16" t="str">
            <v xml:space="preserve">growth </v>
          </cell>
          <cell r="AS16">
            <v>8.9383752891944779E-2</v>
          </cell>
          <cell r="AT16">
            <v>0.15193276979860992</v>
          </cell>
          <cell r="AU16">
            <v>0.12037129654930112</v>
          </cell>
          <cell r="AV16">
            <v>0.14058650930416694</v>
          </cell>
          <cell r="AW16">
            <v>0.12696935596456993</v>
          </cell>
          <cell r="AX16">
            <v>5.7468015379772863E-2</v>
          </cell>
          <cell r="AY16">
            <v>0.10961285223554129</v>
          </cell>
          <cell r="AZ16">
            <v>7.1215706898064557E-3</v>
          </cell>
          <cell r="BA16">
            <v>1.0362932768436917E-2</v>
          </cell>
          <cell r="BB16">
            <v>8.7247772969989423E-3</v>
          </cell>
          <cell r="BC16">
            <v>-2.1541557716964532E-2</v>
          </cell>
          <cell r="BD16">
            <v>-1.3576554287753062E-3</v>
          </cell>
          <cell r="BE16">
            <v>-1.4068137979712958E-2</v>
          </cell>
          <cell r="BF16">
            <v>-8.273416483247753E-3</v>
          </cell>
          <cell r="BL16">
            <v>-2.3904273585522051E-2</v>
          </cell>
          <cell r="BM16">
            <v>-4.4728571173943688E-2</v>
          </cell>
          <cell r="BN16">
            <v>-3.431642237973298E-2</v>
          </cell>
          <cell r="BO16">
            <v>-3.5227225466838319E-2</v>
          </cell>
          <cell r="BP16">
            <v>-3.462002340876813E-2</v>
          </cell>
          <cell r="BQ16">
            <v>-2.3587007539524474E-2</v>
          </cell>
          <cell r="BR16">
            <v>-2.8239054618478421E-2</v>
          </cell>
          <cell r="BS16">
            <v>0</v>
          </cell>
          <cell r="BT16">
            <v>0</v>
          </cell>
          <cell r="BU16">
            <v>0</v>
          </cell>
          <cell r="BV16">
            <v>0</v>
          </cell>
          <cell r="BW16">
            <v>0</v>
          </cell>
          <cell r="BX16">
            <v>0</v>
          </cell>
          <cell r="BY16">
            <v>0</v>
          </cell>
          <cell r="BZ16">
            <v>0</v>
          </cell>
          <cell r="CA16">
            <v>0</v>
          </cell>
          <cell r="CB16">
            <v>0</v>
          </cell>
        </row>
        <row r="17">
          <cell r="A17" t="str">
            <v>Yen/€</v>
          </cell>
          <cell r="AL17">
            <v>112.6366</v>
          </cell>
          <cell r="AM17">
            <v>117.39540000000001</v>
          </cell>
          <cell r="AN17">
            <v>115.01600000000001</v>
          </cell>
          <cell r="AO17">
            <v>109.68860000000001</v>
          </cell>
          <cell r="AP17">
            <v>113.2402</v>
          </cell>
          <cell r="AQ17">
            <v>104.17190000000001</v>
          </cell>
          <cell r="AR17">
            <v>110.973125</v>
          </cell>
          <cell r="AS17">
            <v>104.00460000000001</v>
          </cell>
          <cell r="AT17">
            <v>102.7628</v>
          </cell>
          <cell r="AU17">
            <v>103.3837</v>
          </cell>
          <cell r="AV17">
            <v>98.328699999999998</v>
          </cell>
          <cell r="AW17">
            <v>101.69869999999999</v>
          </cell>
          <cell r="AX17">
            <v>105.37700000000001</v>
          </cell>
          <cell r="AY17">
            <v>102.618275</v>
          </cell>
          <cell r="AZ17">
            <v>121.71976000000001</v>
          </cell>
          <cell r="BA17">
            <v>128.98022</v>
          </cell>
          <cell r="BB17">
            <v>125.34999000000001</v>
          </cell>
          <cell r="BC17">
            <v>131.06022000000002</v>
          </cell>
          <cell r="BD17">
            <v>127.25340000000001</v>
          </cell>
          <cell r="BE17">
            <v>133.85</v>
          </cell>
          <cell r="BF17">
            <v>129.01599999999999</v>
          </cell>
          <cell r="BL17">
            <v>140.505</v>
          </cell>
          <cell r="BM17">
            <v>140.505</v>
          </cell>
          <cell r="BN17">
            <v>140.505</v>
          </cell>
          <cell r="BO17">
            <v>140.505</v>
          </cell>
          <cell r="BP17">
            <v>140.505</v>
          </cell>
          <cell r="BQ17">
            <v>140.505</v>
          </cell>
          <cell r="BR17">
            <v>140.505</v>
          </cell>
          <cell r="BS17">
            <v>140.505</v>
          </cell>
          <cell r="BT17">
            <v>140.505</v>
          </cell>
          <cell r="BU17">
            <v>140.505</v>
          </cell>
          <cell r="BV17">
            <v>140.505</v>
          </cell>
          <cell r="BW17">
            <v>140.505</v>
          </cell>
          <cell r="BX17">
            <v>140.505</v>
          </cell>
          <cell r="BY17">
            <v>140.505</v>
          </cell>
          <cell r="BZ17">
            <v>140.505</v>
          </cell>
          <cell r="CA17">
            <v>140.505</v>
          </cell>
          <cell r="CB17">
            <v>140.505</v>
          </cell>
        </row>
        <row r="18">
          <cell r="A18" t="str">
            <v>€/Yen</v>
          </cell>
          <cell r="AL18">
            <v>8.8781088917811793E-3</v>
          </cell>
          <cell r="AM18">
            <v>8.5182213272411E-3</v>
          </cell>
          <cell r="AN18">
            <v>8.6944425123461084E-3</v>
          </cell>
          <cell r="AO18">
            <v>9.1167176898966709E-3</v>
          </cell>
          <cell r="AP18">
            <v>8.8307862402221115E-3</v>
          </cell>
          <cell r="AQ18">
            <v>9.5995177202297353E-3</v>
          </cell>
          <cell r="AR18">
            <v>9.01119077254065E-3</v>
          </cell>
          <cell r="AS18">
            <v>9.6149593383369567E-3</v>
          </cell>
          <cell r="AT18">
            <v>9.7311478472754728E-3</v>
          </cell>
          <cell r="AU18">
            <v>9.6727046913585024E-3</v>
          </cell>
          <cell r="AV18">
            <v>1.0169970720654295E-2</v>
          </cell>
          <cell r="AW18">
            <v>9.8329673830638946E-3</v>
          </cell>
          <cell r="AX18">
            <v>9.4897368495971603E-3</v>
          </cell>
          <cell r="AY18">
            <v>9.7448529513870698E-3</v>
          </cell>
          <cell r="AZ18">
            <v>8.2155929324868853E-3</v>
          </cell>
          <cell r="BA18">
            <v>7.7531267972717052E-3</v>
          </cell>
          <cell r="BB18">
            <v>7.9776631813053989E-3</v>
          </cell>
          <cell r="BC18">
            <v>7.630080279126648E-3</v>
          </cell>
          <cell r="BD18">
            <v>7.8583362016260462E-3</v>
          </cell>
          <cell r="BE18">
            <v>7.4710496824803886E-3</v>
          </cell>
          <cell r="BF18">
            <v>7.7509766230545053E-3</v>
          </cell>
          <cell r="BL18">
            <v>7.1171844418348104E-3</v>
          </cell>
          <cell r="BM18">
            <v>7.1171844418348104E-3</v>
          </cell>
          <cell r="BN18">
            <v>7.1171844418348104E-3</v>
          </cell>
          <cell r="BO18">
            <v>7.1171844418348104E-3</v>
          </cell>
          <cell r="BP18">
            <v>7.1171844418348104E-3</v>
          </cell>
          <cell r="BQ18">
            <v>7.1171844418348104E-3</v>
          </cell>
          <cell r="BR18">
            <v>7.1171844418348104E-3</v>
          </cell>
          <cell r="BS18">
            <v>7.1171844418348104E-3</v>
          </cell>
          <cell r="BT18">
            <v>7.1171844418348104E-3</v>
          </cell>
          <cell r="BU18">
            <v>7.1171844418348104E-3</v>
          </cell>
          <cell r="BV18">
            <v>7.1171844418348104E-3</v>
          </cell>
          <cell r="BW18">
            <v>7.1171844418348104E-3</v>
          </cell>
          <cell r="BX18">
            <v>7.1171844418348104E-3</v>
          </cell>
          <cell r="BY18">
            <v>7.1171844418348104E-3</v>
          </cell>
          <cell r="BZ18">
            <v>7.1171844418348104E-3</v>
          </cell>
          <cell r="CA18">
            <v>7.1171844418348104E-3</v>
          </cell>
          <cell r="CB18">
            <v>7.1171844418348104E-3</v>
          </cell>
        </row>
        <row r="19">
          <cell r="A19" t="str">
            <v xml:space="preserve">growth </v>
          </cell>
          <cell r="AS19">
            <v>8.2996329008524494E-2</v>
          </cell>
          <cell r="AT19">
            <v>0.14239199399004332</v>
          </cell>
          <cell r="AU19">
            <v>0.11251580278128959</v>
          </cell>
          <cell r="AV19">
            <v>0.11552985038956076</v>
          </cell>
          <cell r="AW19">
            <v>0.11348719305163213</v>
          </cell>
          <cell r="AX19">
            <v>-1.1436081877449489E-2</v>
          </cell>
          <cell r="AY19">
            <v>8.1416784680896193E-2</v>
          </cell>
          <cell r="AZ19">
            <v>-0.14554054329387434</v>
          </cell>
          <cell r="BA19">
            <v>-0.20326698155732714</v>
          </cell>
          <cell r="BB19">
            <v>-0.17523966296287707</v>
          </cell>
          <cell r="BC19">
            <v>-0.24974412525783962</v>
          </cell>
          <cell r="BD19">
            <v>-0.20081742413169335</v>
          </cell>
          <cell r="BE19">
            <v>-0.21272319760926406</v>
          </cell>
          <cell r="BF19">
            <v>-0.20460814937682137</v>
          </cell>
          <cell r="BL19">
            <v>-0.13369801786413282</v>
          </cell>
          <cell r="BM19">
            <v>-8.2023984911568926E-2</v>
          </cell>
          <cell r="BN19">
            <v>-0.10786100138785093</v>
          </cell>
          <cell r="BO19">
            <v>-6.7220241272552439E-2</v>
          </cell>
          <cell r="BP19">
            <v>-9.43140813494181E-2</v>
          </cell>
          <cell r="BQ19">
            <v>-4.7364862460410606E-2</v>
          </cell>
          <cell r="BR19">
            <v>-8.1769332052240129E-2</v>
          </cell>
          <cell r="BS19">
            <v>0</v>
          </cell>
          <cell r="BT19">
            <v>0</v>
          </cell>
          <cell r="BU19">
            <v>0</v>
          </cell>
          <cell r="BV19">
            <v>0</v>
          </cell>
          <cell r="BW19">
            <v>0</v>
          </cell>
          <cell r="BX19">
            <v>0</v>
          </cell>
          <cell r="BY19">
            <v>0</v>
          </cell>
          <cell r="BZ19">
            <v>0</v>
          </cell>
          <cell r="CA19">
            <v>0</v>
          </cell>
          <cell r="CB19">
            <v>0</v>
          </cell>
        </row>
        <row r="20">
          <cell r="A20" t="str">
            <v>Asia Factor</v>
          </cell>
          <cell r="AS20">
            <v>8.6190040950234637E-2</v>
          </cell>
          <cell r="AT20">
            <v>0.14716238189432662</v>
          </cell>
          <cell r="AU20">
            <v>0.11644354966529535</v>
          </cell>
          <cell r="AV20">
            <v>0.12805817984686385</v>
          </cell>
          <cell r="AW20">
            <v>0.12022827450810103</v>
          </cell>
          <cell r="AX20">
            <v>2.3015966751161687E-2</v>
          </cell>
          <cell r="AY20">
            <v>9.5514818458218742E-2</v>
          </cell>
          <cell r="AZ20">
            <v>-6.920948630203394E-2</v>
          </cell>
          <cell r="BA20">
            <v>-3.2363050096715897E-2</v>
          </cell>
          <cell r="BB20">
            <v>-2.8068110754976262E-2</v>
          </cell>
          <cell r="BC20">
            <v>-6.7182071225139556E-2</v>
          </cell>
          <cell r="BD20">
            <v>-4.1249609169358915E-2</v>
          </cell>
          <cell r="BE20">
            <v>-5.3799149905623178E-2</v>
          </cell>
          <cell r="BF20">
            <v>-4.7540363061962479E-2</v>
          </cell>
          <cell r="BL20">
            <v>-4.5863022441244211E-2</v>
          </cell>
          <cell r="BM20">
            <v>-5.2187653921468735E-2</v>
          </cell>
          <cell r="BN20">
            <v>-4.902533818135657E-2</v>
          </cell>
          <cell r="BO20">
            <v>-4.1625828627981143E-2</v>
          </cell>
          <cell r="BP20">
            <v>-4.6558834996898127E-2</v>
          </cell>
          <cell r="BQ20">
            <v>-2.83425785237017E-2</v>
          </cell>
          <cell r="BR20">
            <v>-3.8945110105230767E-2</v>
          </cell>
          <cell r="BS20">
            <v>0</v>
          </cell>
          <cell r="BT20">
            <v>0</v>
          </cell>
          <cell r="BU20">
            <v>0</v>
          </cell>
          <cell r="BV20">
            <v>0</v>
          </cell>
          <cell r="BW20">
            <v>0</v>
          </cell>
          <cell r="BX20">
            <v>0</v>
          </cell>
          <cell r="BY20">
            <v>0</v>
          </cell>
          <cell r="BZ20">
            <v>0</v>
          </cell>
          <cell r="CA20">
            <v>0</v>
          </cell>
          <cell r="CB20">
            <v>0</v>
          </cell>
        </row>
        <row r="21">
          <cell r="A21" t="str">
            <v>Mexican Peso/€</v>
          </cell>
          <cell r="AL21">
            <v>16.510360000000002</v>
          </cell>
          <cell r="AM21">
            <v>16.87724</v>
          </cell>
          <cell r="AN21">
            <v>16.693800000000003</v>
          </cell>
          <cell r="AO21">
            <v>17.383310000000002</v>
          </cell>
          <cell r="AP21">
            <v>16.92363666666667</v>
          </cell>
          <cell r="AQ21">
            <v>18.370450000000002</v>
          </cell>
          <cell r="AR21">
            <v>17.285340000000001</v>
          </cell>
          <cell r="AS21">
            <v>17.019840000000002</v>
          </cell>
          <cell r="AT21">
            <v>17.35145</v>
          </cell>
          <cell r="AU21">
            <v>17.185645000000001</v>
          </cell>
          <cell r="AV21">
            <v>16.469740000000002</v>
          </cell>
          <cell r="AW21">
            <v>16.947010000000002</v>
          </cell>
          <cell r="AX21">
            <v>16.790470000000003</v>
          </cell>
          <cell r="AY21">
            <v>16.907875000000001</v>
          </cell>
          <cell r="AZ21">
            <v>16.694700000000001</v>
          </cell>
          <cell r="BA21">
            <v>16.303461054935035</v>
          </cell>
          <cell r="BB21">
            <v>16.49908052746752</v>
          </cell>
          <cell r="BC21">
            <v>16.80339</v>
          </cell>
          <cell r="BD21">
            <v>16.600517018311681</v>
          </cell>
          <cell r="BE21">
            <v>17.580640000000002</v>
          </cell>
          <cell r="BF21">
            <v>16.959020000000002</v>
          </cell>
          <cell r="BL21">
            <v>18.2</v>
          </cell>
          <cell r="BM21">
            <v>18.2</v>
          </cell>
          <cell r="BN21">
            <v>18.2</v>
          </cell>
          <cell r="BO21">
            <v>18.2</v>
          </cell>
          <cell r="BP21">
            <v>18.2</v>
          </cell>
          <cell r="BQ21">
            <v>18.2</v>
          </cell>
          <cell r="BR21">
            <v>18.2</v>
          </cell>
          <cell r="BS21">
            <v>18.2</v>
          </cell>
          <cell r="BT21">
            <v>18.2</v>
          </cell>
          <cell r="BU21">
            <v>18.2</v>
          </cell>
          <cell r="BV21">
            <v>18.2</v>
          </cell>
          <cell r="BW21">
            <v>18.2</v>
          </cell>
          <cell r="BX21">
            <v>18.2</v>
          </cell>
          <cell r="BY21">
            <v>18.2</v>
          </cell>
          <cell r="BZ21">
            <v>18.2</v>
          </cell>
          <cell r="CA21">
            <v>18.2</v>
          </cell>
          <cell r="CB21">
            <v>18.2</v>
          </cell>
        </row>
        <row r="22">
          <cell r="A22" t="str">
            <v>€/MXN</v>
          </cell>
          <cell r="AL22">
            <v>6.0568031224031448E-2</v>
          </cell>
          <cell r="AM22">
            <v>5.925139418530518E-2</v>
          </cell>
          <cell r="AN22">
            <v>5.9902478764571269E-2</v>
          </cell>
          <cell r="AO22">
            <v>5.7526443467901103E-2</v>
          </cell>
          <cell r="AP22">
            <v>5.9088954678968714E-2</v>
          </cell>
          <cell r="AQ22">
            <v>5.4435247911727797E-2</v>
          </cell>
          <cell r="AR22">
            <v>5.7852492343222636E-2</v>
          </cell>
          <cell r="AS22">
            <v>5.8754958918532718E-2</v>
          </cell>
          <cell r="AT22">
            <v>5.7632071094922903E-2</v>
          </cell>
          <cell r="AU22">
            <v>5.8188098264569062E-2</v>
          </cell>
          <cell r="AV22">
            <v>6.0717412661037751E-2</v>
          </cell>
          <cell r="AW22">
            <v>5.9007459132908981E-2</v>
          </cell>
          <cell r="AX22">
            <v>5.9557594278182795E-2</v>
          </cell>
          <cell r="AY22">
            <v>5.9144037911328301E-2</v>
          </cell>
          <cell r="AZ22">
            <v>5.9899249462404235E-2</v>
          </cell>
          <cell r="BA22">
            <v>6.1336669350788027E-2</v>
          </cell>
          <cell r="BB22">
            <v>6.0609438103851249E-2</v>
          </cell>
          <cell r="BC22">
            <v>5.9511800892557989E-2</v>
          </cell>
          <cell r="BD22">
            <v>6.0239087667987752E-2</v>
          </cell>
          <cell r="BE22">
            <v>5.6880750643890088E-2</v>
          </cell>
          <cell r="BF22">
            <v>5.8965671365444457E-2</v>
          </cell>
          <cell r="BL22">
            <v>5.4945054945054944E-2</v>
          </cell>
          <cell r="BM22">
            <v>5.4945054945054944E-2</v>
          </cell>
          <cell r="BN22">
            <v>5.4945054945054944E-2</v>
          </cell>
          <cell r="BO22">
            <v>5.4945054945054944E-2</v>
          </cell>
          <cell r="BP22">
            <v>5.4945054945054944E-2</v>
          </cell>
          <cell r="BQ22">
            <v>5.4945054945054944E-2</v>
          </cell>
          <cell r="BR22">
            <v>5.4945054945054944E-2</v>
          </cell>
          <cell r="BS22">
            <v>5.4945054945054944E-2</v>
          </cell>
          <cell r="BT22">
            <v>5.4945054945054944E-2</v>
          </cell>
          <cell r="BU22">
            <v>5.4945054945054944E-2</v>
          </cell>
          <cell r="BV22">
            <v>5.4945054945054944E-2</v>
          </cell>
          <cell r="BW22">
            <v>5.4945054945054944E-2</v>
          </cell>
          <cell r="BX22">
            <v>5.4945054945054944E-2</v>
          </cell>
          <cell r="BY22">
            <v>5.4945054945054944E-2</v>
          </cell>
          <cell r="BZ22">
            <v>5.4945054945054944E-2</v>
          </cell>
          <cell r="CA22">
            <v>5.4945054945054944E-2</v>
          </cell>
          <cell r="CB22">
            <v>5.4945054945054944E-2</v>
          </cell>
        </row>
        <row r="23">
          <cell r="A23" t="str">
            <v xml:space="preserve">growth </v>
          </cell>
          <cell r="AS23">
            <v>-2.9934476469813953E-2</v>
          </cell>
          <cell r="AT23">
            <v>-2.7329704433923352E-2</v>
          </cell>
          <cell r="AU23">
            <v>-2.8619525190936912E-2</v>
          </cell>
          <cell r="AV23">
            <v>5.546960668474421E-2</v>
          </cell>
          <cell r="AW23">
            <v>-1.379201011466491E-3</v>
          </cell>
          <cell r="AX23">
            <v>9.4099807807643154E-2</v>
          </cell>
          <cell r="AY23">
            <v>2.2324804270199561E-2</v>
          </cell>
          <cell r="AZ23">
            <v>1.9475641970206237E-2</v>
          </cell>
          <cell r="BA23">
            <v>6.4280151406730823E-2</v>
          </cell>
          <cell r="BB23">
            <v>4.161228690226082E-2</v>
          </cell>
          <cell r="BC23">
            <v>-1.9856112367801826E-2</v>
          </cell>
          <cell r="BD23">
            <v>2.0872421100265326E-2</v>
          </cell>
          <cell r="BE23">
            <v>-4.4945462736282638E-2</v>
          </cell>
          <cell r="BF23">
            <v>-3.0157992619858076E-3</v>
          </cell>
          <cell r="BL23">
            <v>-8.2708791208791155E-2</v>
          </cell>
          <cell r="BM23">
            <v>-0.10420543654203107</v>
          </cell>
          <cell r="BN23">
            <v>-9.3457113875411113E-2</v>
          </cell>
          <cell r="BO23">
            <v>-7.6736813186813246E-2</v>
          </cell>
          <cell r="BP23">
            <v>-8.7883680312545009E-2</v>
          </cell>
          <cell r="BQ23">
            <v>-3.4030769230769087E-2</v>
          </cell>
          <cell r="BR23">
            <v>-6.8185714285714183E-2</v>
          </cell>
          <cell r="BS23">
            <v>0</v>
          </cell>
          <cell r="BT23">
            <v>0</v>
          </cell>
          <cell r="BU23">
            <v>0</v>
          </cell>
          <cell r="BV23">
            <v>0</v>
          </cell>
          <cell r="BW23">
            <v>0</v>
          </cell>
          <cell r="BX23">
            <v>0</v>
          </cell>
          <cell r="BY23">
            <v>0</v>
          </cell>
          <cell r="BZ23">
            <v>0</v>
          </cell>
          <cell r="CA23">
            <v>0</v>
          </cell>
          <cell r="CB23">
            <v>0</v>
          </cell>
        </row>
        <row r="24">
          <cell r="A24" t="str">
            <v>Brazilian Real/€</v>
          </cell>
          <cell r="AL24">
            <v>2.28146</v>
          </cell>
          <cell r="AM24">
            <v>2.2959800000000001</v>
          </cell>
          <cell r="AN24">
            <v>2.2887200000000001</v>
          </cell>
          <cell r="AO24">
            <v>2.3078400000000001</v>
          </cell>
          <cell r="AP24">
            <v>2.2950933333333334</v>
          </cell>
          <cell r="AQ24">
            <v>2.4240400000000002</v>
          </cell>
          <cell r="AR24">
            <v>2.3273299999999999</v>
          </cell>
          <cell r="AS24">
            <v>2.31779</v>
          </cell>
          <cell r="AT24">
            <v>2.5148700000000002</v>
          </cell>
          <cell r="AU24">
            <v>2.4163300000000003</v>
          </cell>
          <cell r="AV24">
            <v>2.5377800000000001</v>
          </cell>
          <cell r="AW24">
            <v>2.4568133333333333</v>
          </cell>
          <cell r="AX24">
            <v>2.6695600000000002</v>
          </cell>
          <cell r="AY24">
            <v>2.5100000000000002</v>
          </cell>
          <cell r="AZ24">
            <v>2.6364999999999998</v>
          </cell>
          <cell r="BA24">
            <v>2.6981690943792187</v>
          </cell>
          <cell r="BB24">
            <v>2.6673345471896095</v>
          </cell>
          <cell r="BC24">
            <v>2.9053500000000003</v>
          </cell>
          <cell r="BD24">
            <v>2.7466730314597396</v>
          </cell>
          <cell r="BE24">
            <v>3.11755</v>
          </cell>
          <cell r="BF24">
            <v>2.8694200000000003</v>
          </cell>
          <cell r="BL24">
            <v>3.22</v>
          </cell>
          <cell r="BM24">
            <v>3.22</v>
          </cell>
          <cell r="BN24">
            <v>3.22</v>
          </cell>
          <cell r="BO24">
            <v>3.22</v>
          </cell>
          <cell r="BP24">
            <v>3.22</v>
          </cell>
          <cell r="BQ24">
            <v>3.22</v>
          </cell>
          <cell r="BR24">
            <v>3.22</v>
          </cell>
          <cell r="BS24">
            <v>3.22</v>
          </cell>
          <cell r="BT24">
            <v>3.22</v>
          </cell>
          <cell r="BU24">
            <v>3.22</v>
          </cell>
          <cell r="BV24">
            <v>3.22</v>
          </cell>
          <cell r="BW24">
            <v>3.22</v>
          </cell>
          <cell r="BX24">
            <v>3.22</v>
          </cell>
          <cell r="BY24">
            <v>3.22</v>
          </cell>
          <cell r="BZ24">
            <v>3.22</v>
          </cell>
          <cell r="CA24">
            <v>3.22</v>
          </cell>
          <cell r="CB24">
            <v>3.22</v>
          </cell>
        </row>
        <row r="25">
          <cell r="A25" t="str">
            <v>€/BRL</v>
          </cell>
          <cell r="AL25">
            <v>0.43831581531124802</v>
          </cell>
          <cell r="AM25">
            <v>0.43554386362250541</v>
          </cell>
          <cell r="AN25">
            <v>0.43692544304239922</v>
          </cell>
          <cell r="AO25">
            <v>0.43330560177481975</v>
          </cell>
          <cell r="AP25">
            <v>0.43571212790184277</v>
          </cell>
          <cell r="AQ25">
            <v>0.41253444662629324</v>
          </cell>
          <cell r="AR25">
            <v>0.42967692591940121</v>
          </cell>
          <cell r="AS25">
            <v>0.43144547176405112</v>
          </cell>
          <cell r="AT25">
            <v>0.39763486780628815</v>
          </cell>
          <cell r="AU25">
            <v>0.41385075713996011</v>
          </cell>
          <cell r="AV25">
            <v>0.39404518910228625</v>
          </cell>
          <cell r="AW25">
            <v>0.40703133055828417</v>
          </cell>
          <cell r="AX25">
            <v>0.3745935659809107</v>
          </cell>
          <cell r="AY25">
            <v>0.39840637450199201</v>
          </cell>
          <cell r="AZ25">
            <v>0.37929072634174099</v>
          </cell>
          <cell r="BA25">
            <v>0.37062169383052512</v>
          </cell>
          <cell r="BB25">
            <v>0.37490610281849818</v>
          </cell>
          <cell r="BC25">
            <v>0.3441926101846593</v>
          </cell>
          <cell r="BD25">
            <v>0.36407682623531734</v>
          </cell>
          <cell r="BE25">
            <v>0.32076470305207616</v>
          </cell>
          <cell r="BF25">
            <v>0.34850248482271673</v>
          </cell>
          <cell r="BL25">
            <v>0.3105590062111801</v>
          </cell>
          <cell r="BM25">
            <v>0.3105590062111801</v>
          </cell>
          <cell r="BN25">
            <v>0.3105590062111801</v>
          </cell>
          <cell r="BO25">
            <v>0.3105590062111801</v>
          </cell>
          <cell r="BP25">
            <v>0.3105590062111801</v>
          </cell>
          <cell r="BQ25">
            <v>0.3105590062111801</v>
          </cell>
          <cell r="BR25">
            <v>0.3105590062111801</v>
          </cell>
          <cell r="BS25">
            <v>0.3105590062111801</v>
          </cell>
          <cell r="BT25">
            <v>0.3105590062111801</v>
          </cell>
          <cell r="BU25">
            <v>0.3105590062111801</v>
          </cell>
          <cell r="BV25">
            <v>0.3105590062111801</v>
          </cell>
          <cell r="BW25">
            <v>0.3105590062111801</v>
          </cell>
          <cell r="BX25">
            <v>0.3105590062111801</v>
          </cell>
          <cell r="BY25">
            <v>0.3105590062111801</v>
          </cell>
          <cell r="BZ25">
            <v>0.3105590062111801</v>
          </cell>
          <cell r="CA25">
            <v>0.3105590062111801</v>
          </cell>
          <cell r="CB25">
            <v>0.3105590062111801</v>
          </cell>
        </row>
        <row r="26">
          <cell r="A26" t="str">
            <v xml:space="preserve">growth </v>
          </cell>
          <cell r="AS26">
            <v>-1.5674413989187785E-2</v>
          </cell>
          <cell r="AT26">
            <v>-8.7038296214118516E-2</v>
          </cell>
          <cell r="AU26">
            <v>-5.281149511863048E-2</v>
          </cell>
          <cell r="AV26">
            <v>-9.0606750782179724E-2</v>
          </cell>
          <cell r="AW26">
            <v>-6.5825106777885778E-2</v>
          </cell>
          <cell r="AX26">
            <v>-9.1970212319633093E-2</v>
          </cell>
          <cell r="AY26">
            <v>-7.2776892430278961E-2</v>
          </cell>
          <cell r="AZ26">
            <v>-0.12088374739237617</v>
          </cell>
          <cell r="BA26">
            <v>-6.7934620836427206E-2</v>
          </cell>
          <cell r="BB26">
            <v>-9.4103136576578095E-2</v>
          </cell>
          <cell r="BC26">
            <v>-0.12651487772557535</v>
          </cell>
          <cell r="BD26">
            <v>-0.10553119894738916</v>
          </cell>
          <cell r="BE26">
            <v>-0.14369937932029953</v>
          </cell>
          <cell r="BF26">
            <v>-0.12525876309498096</v>
          </cell>
          <cell r="BL26">
            <v>-0.18121118012422377</v>
          </cell>
          <cell r="BM26">
            <v>-0.16205928745987008</v>
          </cell>
          <cell r="BN26">
            <v>-0.17163523379204682</v>
          </cell>
          <cell r="BO26">
            <v>-9.7717391304347756E-2</v>
          </cell>
          <cell r="BP26">
            <v>-0.14699595296281376</v>
          </cell>
          <cell r="BQ26">
            <v>-3.1816770186335552E-2</v>
          </cell>
          <cell r="BR26">
            <v>-0.10887577639751544</v>
          </cell>
          <cell r="BS26">
            <v>0</v>
          </cell>
          <cell r="BT26">
            <v>0</v>
          </cell>
          <cell r="BU26">
            <v>0</v>
          </cell>
          <cell r="BV26">
            <v>0</v>
          </cell>
          <cell r="BW26">
            <v>0</v>
          </cell>
          <cell r="BX26">
            <v>0</v>
          </cell>
          <cell r="BY26">
            <v>0</v>
          </cell>
          <cell r="BZ26">
            <v>0</v>
          </cell>
          <cell r="CA26">
            <v>0</v>
          </cell>
          <cell r="CB26">
            <v>0</v>
          </cell>
        </row>
        <row r="27">
          <cell r="A27" t="str">
            <v>Latam Factor</v>
          </cell>
          <cell r="AS27">
            <v>-1.9952432733375637E-2</v>
          </cell>
          <cell r="AT27">
            <v>-6.9125718680059955E-2</v>
          </cell>
          <cell r="AU27">
            <v>-4.5553904140322406E-2</v>
          </cell>
          <cell r="AV27">
            <v>-4.6783843542102542E-2</v>
          </cell>
          <cell r="AW27">
            <v>-4.6491335047959985E-2</v>
          </cell>
          <cell r="AX27">
            <v>-3.614920628145022E-2</v>
          </cell>
          <cell r="AY27">
            <v>-4.4246383420135399E-2</v>
          </cell>
          <cell r="AZ27">
            <v>-6.4739991647343204E-2</v>
          </cell>
          <cell r="BA27">
            <v>-1.5048711939163989E-2</v>
          </cell>
          <cell r="BB27">
            <v>-3.9816967185042525E-2</v>
          </cell>
          <cell r="BC27">
            <v>-8.3851371582465944E-2</v>
          </cell>
          <cell r="BD27">
            <v>-5.4969750928327357E-2</v>
          </cell>
          <cell r="BE27">
            <v>-0.10419781268669277</v>
          </cell>
          <cell r="BF27">
            <v>-7.6361577561782898E-2</v>
          </cell>
          <cell r="BL27">
            <v>-0.14181022455805073</v>
          </cell>
          <cell r="BM27">
            <v>-0.13891774709273447</v>
          </cell>
          <cell r="BN27">
            <v>-0.14036398582539253</v>
          </cell>
          <cell r="BO27">
            <v>-8.9325160057333958E-2</v>
          </cell>
          <cell r="BP27">
            <v>-0.12335104390270626</v>
          </cell>
          <cell r="BQ27">
            <v>-3.2702369804108969E-2</v>
          </cell>
          <cell r="BR27">
            <v>-9.2599751552794929E-2</v>
          </cell>
          <cell r="BS27">
            <v>0</v>
          </cell>
          <cell r="BT27">
            <v>0</v>
          </cell>
          <cell r="BU27">
            <v>0</v>
          </cell>
          <cell r="BV27">
            <v>0</v>
          </cell>
          <cell r="BW27">
            <v>0</v>
          </cell>
          <cell r="BX27">
            <v>0</v>
          </cell>
          <cell r="BY27">
            <v>0</v>
          </cell>
          <cell r="BZ27">
            <v>0</v>
          </cell>
          <cell r="CA27">
            <v>0</v>
          </cell>
          <cell r="CB27">
            <v>0</v>
          </cell>
        </row>
        <row r="30">
          <cell r="A30" t="str">
            <v>Neurodegenerative Diseases</v>
          </cell>
          <cell r="J30">
            <v>284.2</v>
          </cell>
          <cell r="K30">
            <v>312.2</v>
          </cell>
          <cell r="L30">
            <v>596.4</v>
          </cell>
          <cell r="M30">
            <v>307.8</v>
          </cell>
          <cell r="N30">
            <v>904.2</v>
          </cell>
          <cell r="O30">
            <v>317.2</v>
          </cell>
          <cell r="P30">
            <v>1221.4000000000001</v>
          </cell>
          <cell r="Q30">
            <v>312.7</v>
          </cell>
          <cell r="R30">
            <v>320.39999999999998</v>
          </cell>
          <cell r="S30">
            <v>633.09999999999991</v>
          </cell>
          <cell r="T30">
            <v>338.2</v>
          </cell>
          <cell r="U30">
            <v>971.3</v>
          </cell>
          <cell r="V30">
            <v>360.4</v>
          </cell>
          <cell r="W30">
            <v>1331.6999999999998</v>
          </cell>
          <cell r="X30">
            <v>368.19700495000012</v>
          </cell>
          <cell r="Y30">
            <v>386.69083698000014</v>
          </cell>
          <cell r="Z30">
            <v>754.88784193000026</v>
          </cell>
          <cell r="AA30">
            <v>381.41557045999912</v>
          </cell>
          <cell r="AB30">
            <v>1136.3034123899993</v>
          </cell>
          <cell r="AC30">
            <v>402.1096106400002</v>
          </cell>
          <cell r="AD30">
            <v>1538.4130230299995</v>
          </cell>
          <cell r="AE30">
            <v>431.41685866000012</v>
          </cell>
          <cell r="AF30">
            <v>400.12810998999993</v>
          </cell>
          <cell r="AG30">
            <v>831.5449686500001</v>
          </cell>
          <cell r="AH30">
            <v>407.06508250999991</v>
          </cell>
          <cell r="AI30">
            <v>1238.61005116</v>
          </cell>
          <cell r="AJ30">
            <v>429.89520089000075</v>
          </cell>
          <cell r="AK30">
            <v>1668.5052520500008</v>
          </cell>
          <cell r="AL30">
            <v>411.09819643999998</v>
          </cell>
          <cell r="AM30">
            <v>423.15008585000021</v>
          </cell>
          <cell r="AN30">
            <v>834.24828229000013</v>
          </cell>
          <cell r="AO30">
            <v>426.12059015000085</v>
          </cell>
          <cell r="AP30">
            <v>1260.368872440001</v>
          </cell>
          <cell r="AQ30">
            <v>430.2</v>
          </cell>
          <cell r="AR30">
            <v>1690.5688724400011</v>
          </cell>
          <cell r="AS30">
            <v>429.8</v>
          </cell>
          <cell r="AT30">
            <v>492.3</v>
          </cell>
          <cell r="AU30">
            <v>922.1</v>
          </cell>
          <cell r="AV30">
            <v>499.2</v>
          </cell>
          <cell r="AW30">
            <v>1421.3</v>
          </cell>
          <cell r="AX30">
            <v>471.20000000000005</v>
          </cell>
          <cell r="AY30">
            <v>1892.5</v>
          </cell>
          <cell r="AZ30">
            <v>453.9</v>
          </cell>
          <cell r="BA30">
            <v>499.1</v>
          </cell>
          <cell r="BB30">
            <v>953</v>
          </cell>
          <cell r="BC30">
            <v>459.9</v>
          </cell>
          <cell r="BD30">
            <v>1412.9</v>
          </cell>
          <cell r="BE30">
            <v>451.79999999999995</v>
          </cell>
          <cell r="BF30">
            <v>1864.7</v>
          </cell>
          <cell r="BG30">
            <v>453.9</v>
          </cell>
          <cell r="BH30">
            <v>499.1</v>
          </cell>
          <cell r="BI30">
            <v>459.9</v>
          </cell>
          <cell r="BJ30">
            <v>451.79999999999995</v>
          </cell>
          <cell r="BK30">
            <v>1864.7</v>
          </cell>
          <cell r="BL30">
            <v>409.5115561591092</v>
          </cell>
          <cell r="BM30">
            <v>427.86712143154125</v>
          </cell>
          <cell r="BN30">
            <v>837.37867759065057</v>
          </cell>
          <cell r="BO30">
            <v>416.93335277710838</v>
          </cell>
          <cell r="BP30">
            <v>1254.312030367759</v>
          </cell>
          <cell r="BQ30">
            <v>408.41592809461918</v>
          </cell>
          <cell r="BR30">
            <v>1662.7279584623782</v>
          </cell>
          <cell r="BS30">
            <v>1496.4551626161403</v>
          </cell>
          <cell r="BT30">
            <v>1346.8096463545262</v>
          </cell>
          <cell r="BU30">
            <v>1212.1286817190737</v>
          </cell>
          <cell r="BV30">
            <v>1090.9158135471664</v>
          </cell>
          <cell r="BW30">
            <v>981.8242321924497</v>
          </cell>
          <cell r="BX30">
            <v>883.64180897320477</v>
          </cell>
          <cell r="BY30">
            <v>795.27762807588442</v>
          </cell>
          <cell r="BZ30">
            <v>715.74986526829593</v>
          </cell>
          <cell r="CA30">
            <v>644.17487874146639</v>
          </cell>
          <cell r="CB30">
            <v>644.17487874146639</v>
          </cell>
        </row>
        <row r="31">
          <cell r="A31" t="str">
            <v xml:space="preserve">     Year-on-Year Growth %</v>
          </cell>
          <cell r="W31">
            <v>9.0306205993122335E-2</v>
          </cell>
          <cell r="X31">
            <v>0.17747683066837272</v>
          </cell>
          <cell r="Y31">
            <v>0.20690024026217291</v>
          </cell>
          <cell r="Z31">
            <v>0.19236746474490651</v>
          </cell>
          <cell r="AA31">
            <v>0.12778110721466329</v>
          </cell>
          <cell r="AB31">
            <v>0.16987893790795772</v>
          </cell>
          <cell r="AC31">
            <v>0.11573143906770311</v>
          </cell>
          <cell r="AD31">
            <v>0.15522491779680081</v>
          </cell>
          <cell r="AE31">
            <v>0.17170116231278154</v>
          </cell>
          <cell r="AF31">
            <v>3.4749395964339236E-2</v>
          </cell>
          <cell r="AG31">
            <v>0.10154770346282538</v>
          </cell>
          <cell r="AH31">
            <v>6.7248203892323222E-2</v>
          </cell>
          <cell r="AI31">
            <v>9.003461369073773E-2</v>
          </cell>
          <cell r="AJ31">
            <v>6.9099542798235714E-2</v>
          </cell>
          <cell r="AK31">
            <v>8.4562615547661313E-2</v>
          </cell>
          <cell r="AL31">
            <v>-4.7097515574868409E-2</v>
          </cell>
          <cell r="AM31">
            <v>5.7536512145011987E-2</v>
          </cell>
          <cell r="AN31">
            <v>3.2509530355151472E-3</v>
          </cell>
          <cell r="AO31">
            <v>4.6811943491942287E-2</v>
          </cell>
          <cell r="AP31">
            <v>1.7567127975122832E-2</v>
          </cell>
          <cell r="AQ31">
            <v>7.0900793813977181E-4</v>
          </cell>
          <cell r="AR31">
            <v>1.3223584620361217E-2</v>
          </cell>
          <cell r="AS31">
            <v>4.5492302622469838E-2</v>
          </cell>
          <cell r="AT31">
            <v>0.16341699189566583</v>
          </cell>
          <cell r="AU31">
            <v>0.10530644122975974</v>
          </cell>
          <cell r="AV31">
            <v>0.17149936318325776</v>
          </cell>
          <cell r="AW31">
            <v>0.12768573635783742</v>
          </cell>
          <cell r="AX31">
            <v>9.5304509530450998E-2</v>
          </cell>
          <cell r="AY31">
            <v>0.11944566758084885</v>
          </cell>
          <cell r="AZ31">
            <v>5.6072591903210789E-2</v>
          </cell>
          <cell r="BA31">
            <v>1.3812715823684707E-2</v>
          </cell>
          <cell r="BB31">
            <v>3.3510465242381438E-2</v>
          </cell>
          <cell r="BC31">
            <v>-7.8725961538461564E-2</v>
          </cell>
          <cell r="BD31">
            <v>-5.9100823190035845E-3</v>
          </cell>
          <cell r="BE31">
            <v>-4.1171477079796404E-2</v>
          </cell>
          <cell r="BF31">
            <v>-1.4689564068692151E-2</v>
          </cell>
          <cell r="BL31">
            <v>-9.779344313921734E-2</v>
          </cell>
          <cell r="BM31">
            <v>-0.14272265792117567</v>
          </cell>
          <cell r="BN31">
            <v>-0.1213235282364632</v>
          </cell>
          <cell r="BO31">
            <v>-9.3426064846470092E-2</v>
          </cell>
          <cell r="BP31">
            <v>-0.1122428831709541</v>
          </cell>
          <cell r="BQ31">
            <v>-9.6024948883091543E-2</v>
          </cell>
          <cell r="BR31">
            <v>-0.10831342389533005</v>
          </cell>
          <cell r="BS31">
            <v>-9.9999999999999978E-2</v>
          </cell>
          <cell r="BT31">
            <v>-0.10000000000000009</v>
          </cell>
          <cell r="BU31">
            <v>-9.9999999999999867E-2</v>
          </cell>
          <cell r="BV31">
            <v>-9.9999999999999978E-2</v>
          </cell>
          <cell r="BW31">
            <v>-0.10000000000000009</v>
          </cell>
          <cell r="BX31">
            <v>-9.9999999999999978E-2</v>
          </cell>
          <cell r="BY31">
            <v>-9.9999999999999867E-2</v>
          </cell>
          <cell r="BZ31">
            <v>-0.10000000000000009</v>
          </cell>
          <cell r="CA31">
            <v>-9.9999999999999978E-2</v>
          </cell>
          <cell r="CB31">
            <v>0</v>
          </cell>
        </row>
        <row r="32">
          <cell r="A32" t="str">
            <v>Rebif</v>
          </cell>
          <cell r="C32" t="e">
            <v>#REF!</v>
          </cell>
          <cell r="D32" t="e">
            <v>#REF!</v>
          </cell>
          <cell r="E32" t="e">
            <v>#REF!</v>
          </cell>
          <cell r="F32" t="e">
            <v>#REF!</v>
          </cell>
          <cell r="G32" t="e">
            <v>#REF!</v>
          </cell>
          <cell r="H32" t="e">
            <v>#REF!</v>
          </cell>
          <cell r="J32">
            <v>283</v>
          </cell>
          <cell r="K32">
            <v>311.7</v>
          </cell>
          <cell r="L32">
            <v>594.70000000000005</v>
          </cell>
          <cell r="M32">
            <v>306.5</v>
          </cell>
          <cell r="N32">
            <v>901.13843098585323</v>
          </cell>
          <cell r="O32">
            <v>316.7</v>
          </cell>
          <cell r="P32">
            <v>1217.9000000000001</v>
          </cell>
          <cell r="Q32">
            <v>312.7</v>
          </cell>
          <cell r="R32">
            <v>320.39999999999998</v>
          </cell>
          <cell r="S32">
            <v>632.57652288006102</v>
          </cell>
          <cell r="T32">
            <v>338.1</v>
          </cell>
          <cell r="U32">
            <v>960.66430947234858</v>
          </cell>
          <cell r="V32">
            <v>360.3</v>
          </cell>
          <cell r="W32">
            <v>1331.5</v>
          </cell>
          <cell r="X32">
            <v>368.0093773100001</v>
          </cell>
          <cell r="Y32">
            <v>386.54284482000014</v>
          </cell>
          <cell r="Z32">
            <v>754.55222213000025</v>
          </cell>
          <cell r="AA32">
            <v>381.25039241999912</v>
          </cell>
          <cell r="AB32">
            <v>1135.8026145499994</v>
          </cell>
          <cell r="AC32">
            <v>400.9</v>
          </cell>
          <cell r="AD32">
            <v>1536.7026145499995</v>
          </cell>
          <cell r="AE32">
            <v>429.22659486000015</v>
          </cell>
          <cell r="AF32">
            <v>402.16259857999984</v>
          </cell>
          <cell r="AG32">
            <v>831.38919343999999</v>
          </cell>
          <cell r="AH32">
            <v>407.01958705999994</v>
          </cell>
          <cell r="AI32">
            <v>1238.4087804999999</v>
          </cell>
          <cell r="AJ32">
            <v>430.00650252000088</v>
          </cell>
          <cell r="AK32">
            <v>1668.4152830200007</v>
          </cell>
          <cell r="AL32">
            <v>411.14849813000001</v>
          </cell>
          <cell r="AM32">
            <v>423.1</v>
          </cell>
          <cell r="AN32">
            <v>834.24849813000003</v>
          </cell>
          <cell r="AO32">
            <v>426.1212727300009</v>
          </cell>
          <cell r="AP32">
            <v>1260.3697708600009</v>
          </cell>
          <cell r="AQ32">
            <v>430.8</v>
          </cell>
          <cell r="AR32">
            <v>1691.1697708600009</v>
          </cell>
          <cell r="AS32">
            <v>429.8</v>
          </cell>
          <cell r="AT32">
            <v>492.3</v>
          </cell>
          <cell r="AU32">
            <v>922.1</v>
          </cell>
          <cell r="AV32">
            <v>499.2</v>
          </cell>
          <cell r="AW32">
            <v>1421.3</v>
          </cell>
          <cell r="AX32">
            <v>471.29999999999995</v>
          </cell>
          <cell r="AY32">
            <v>1892.6</v>
          </cell>
          <cell r="AZ32">
            <v>453.9</v>
          </cell>
          <cell r="BA32">
            <v>499.1</v>
          </cell>
          <cell r="BB32">
            <v>953</v>
          </cell>
          <cell r="BC32">
            <v>459.9</v>
          </cell>
          <cell r="BD32">
            <v>1412.9</v>
          </cell>
          <cell r="BE32">
            <v>451.79999999999995</v>
          </cell>
          <cell r="BF32">
            <v>1864.7</v>
          </cell>
          <cell r="BL32">
            <v>409.5115561591092</v>
          </cell>
          <cell r="BM32">
            <v>427.86712143154125</v>
          </cell>
          <cell r="BN32">
            <v>837.37867759065057</v>
          </cell>
          <cell r="BO32">
            <v>416.93335277710838</v>
          </cell>
          <cell r="BP32">
            <v>1254.312030367759</v>
          </cell>
          <cell r="BQ32">
            <v>408.41592809461918</v>
          </cell>
          <cell r="BR32">
            <v>1662.7279584623782</v>
          </cell>
          <cell r="BS32">
            <v>1496.4551626161403</v>
          </cell>
          <cell r="BT32">
            <v>1346.8096463545262</v>
          </cell>
          <cell r="BU32">
            <v>1212.1286817190737</v>
          </cell>
          <cell r="BV32">
            <v>1090.9158135471664</v>
          </cell>
          <cell r="BW32">
            <v>981.8242321924497</v>
          </cell>
          <cell r="BX32">
            <v>883.64180897320477</v>
          </cell>
          <cell r="BY32">
            <v>795.27762807588442</v>
          </cell>
          <cell r="BZ32">
            <v>715.74986526829593</v>
          </cell>
          <cell r="CA32">
            <v>644.17487874146639</v>
          </cell>
          <cell r="CB32">
            <v>644.17487874146639</v>
          </cell>
          <cell r="CG32" t="str">
            <v>mstag:rebif</v>
          </cell>
          <cell r="CH32">
            <v>6</v>
          </cell>
          <cell r="CI32" t="str">
            <v>ISO4217:EUR</v>
          </cell>
          <cell r="CJ32" t="b">
            <v>0</v>
          </cell>
        </row>
        <row r="33">
          <cell r="A33" t="str">
            <v xml:space="preserve">     Year-on-Year Growth %</v>
          </cell>
          <cell r="AL33">
            <v>-4.2117839263656642E-2</v>
          </cell>
          <cell r="AM33">
            <v>5.2062030367638013E-2</v>
          </cell>
          <cell r="AN33">
            <v>3.4391891457830059E-3</v>
          </cell>
          <cell r="AO33">
            <v>4.6930630066176926E-2</v>
          </cell>
          <cell r="AP33">
            <v>1.7733232116728281E-2</v>
          </cell>
          <cell r="AQ33">
            <v>1.8453150716302158E-3</v>
          </cell>
          <cell r="AR33">
            <v>1.3638383723513003E-2</v>
          </cell>
          <cell r="AS33">
            <v>4.5364392560915068E-2</v>
          </cell>
          <cell r="AT33">
            <v>0.16355471519735287</v>
          </cell>
          <cell r="AU33">
            <v>0.10530615526059983</v>
          </cell>
          <cell r="AV33">
            <v>0.17149748662349285</v>
          </cell>
          <cell r="AW33">
            <v>0.12768493251801005</v>
          </cell>
          <cell r="AX33">
            <v>9.401114206128125E-2</v>
          </cell>
          <cell r="AY33">
            <v>0.11910704212597589</v>
          </cell>
          <cell r="AZ33">
            <v>5.6072591903210789E-2</v>
          </cell>
          <cell r="BA33">
            <v>1.3812715823684707E-2</v>
          </cell>
          <cell r="BB33">
            <v>3.3510465242381438E-2</v>
          </cell>
          <cell r="BC33">
            <v>-7.8725961538461564E-2</v>
          </cell>
          <cell r="BD33">
            <v>-5.9100823190035845E-3</v>
          </cell>
          <cell r="BE33">
            <v>-4.1374920432845297E-2</v>
          </cell>
          <cell r="BF33">
            <v>-1.4741625277396087E-2</v>
          </cell>
          <cell r="BL33">
            <v>-9.779344313921734E-2</v>
          </cell>
          <cell r="BM33">
            <v>-0.14272265792117567</v>
          </cell>
          <cell r="BN33">
            <v>-0.1213235282364632</v>
          </cell>
          <cell r="BO33">
            <v>-9.3426064846470092E-2</v>
          </cell>
          <cell r="BP33">
            <v>-0.1122428831709541</v>
          </cell>
          <cell r="BQ33">
            <v>-9.6024948883091543E-2</v>
          </cell>
          <cell r="BR33">
            <v>-0.10831342389533005</v>
          </cell>
          <cell r="BS33">
            <v>-9.9999999999999978E-2</v>
          </cell>
          <cell r="BT33">
            <v>-0.10000000000000009</v>
          </cell>
          <cell r="BU33">
            <v>-9.9999999999999867E-2</v>
          </cell>
          <cell r="BV33">
            <v>-9.9999999999999978E-2</v>
          </cell>
          <cell r="BW33">
            <v>-0.10000000000000009</v>
          </cell>
          <cell r="BX33">
            <v>-9.9999999999999978E-2</v>
          </cell>
          <cell r="BY33">
            <v>-9.9999999999999867E-2</v>
          </cell>
          <cell r="BZ33">
            <v>-0.10000000000000009</v>
          </cell>
          <cell r="CA33">
            <v>-9.9999999999999978E-2</v>
          </cell>
          <cell r="CB33">
            <v>0</v>
          </cell>
          <cell r="CC33" t="str">
            <v>Check vs MS model, consensus</v>
          </cell>
        </row>
        <row r="34">
          <cell r="A34" t="str">
            <v>CER growth %</v>
          </cell>
          <cell r="AS34">
            <v>2.7E-2</v>
          </cell>
          <cell r="AT34">
            <v>9.6000000000000002E-2</v>
          </cell>
          <cell r="AV34">
            <v>0.10199999999999999</v>
          </cell>
          <cell r="AX34">
            <v>7.3999999999999996E-2</v>
          </cell>
          <cell r="AY34">
            <v>7.6434534502800383E-2</v>
          </cell>
          <cell r="AZ34">
            <v>0.06</v>
          </cell>
          <cell r="BA34">
            <v>3.5000000000000003E-2</v>
          </cell>
          <cell r="BC34">
            <v>-3.4000000000000002E-2</v>
          </cell>
        </row>
        <row r="35">
          <cell r="A35" t="str">
            <v>US reported</v>
          </cell>
          <cell r="C35">
            <v>86.611040000000003</v>
          </cell>
          <cell r="D35">
            <v>94.659036719122554</v>
          </cell>
          <cell r="E35">
            <v>181.27007671912256</v>
          </cell>
          <cell r="F35">
            <v>105.28925228165195</v>
          </cell>
          <cell r="G35">
            <v>286.55932900077448</v>
          </cell>
          <cell r="H35">
            <v>108.54642029412499</v>
          </cell>
          <cell r="I35">
            <v>395.35165708672656</v>
          </cell>
          <cell r="J35">
            <v>96.220000000000013</v>
          </cell>
          <cell r="K35">
            <v>109.09499999999998</v>
          </cell>
          <cell r="L35">
            <v>205.315</v>
          </cell>
          <cell r="M35">
            <v>101.80738098585326</v>
          </cell>
          <cell r="N35">
            <v>307.12238098585328</v>
          </cell>
          <cell r="O35">
            <v>106.35495824130437</v>
          </cell>
          <cell r="P35">
            <v>413.90292437225401</v>
          </cell>
          <cell r="Q35">
            <v>105.50885578041934</v>
          </cell>
          <cell r="R35">
            <v>100.92846709964164</v>
          </cell>
          <cell r="S35">
            <v>206.43732288006098</v>
          </cell>
          <cell r="T35">
            <v>107.08625259228754</v>
          </cell>
          <cell r="U35">
            <v>313.52357547234851</v>
          </cell>
          <cell r="V35">
            <v>115.79214027633877</v>
          </cell>
          <cell r="W35">
            <v>429.3157157486873</v>
          </cell>
          <cell r="X35">
            <v>133.30786982097297</v>
          </cell>
          <cell r="Y35">
            <v>127.19969301641967</v>
          </cell>
          <cell r="Z35">
            <v>260.50756283739264</v>
          </cell>
          <cell r="AA35">
            <v>126.08600658816454</v>
          </cell>
          <cell r="AB35">
            <v>386.59356942555718</v>
          </cell>
          <cell r="AC35">
            <v>126.21734827330533</v>
          </cell>
          <cell r="AD35">
            <v>512.81091769886257</v>
          </cell>
          <cell r="AE35">
            <v>193.26205035031415</v>
          </cell>
          <cell r="AF35">
            <v>181.07631098937793</v>
          </cell>
          <cell r="AG35">
            <v>374.33836133969209</v>
          </cell>
          <cell r="AH35">
            <v>183.26320146497585</v>
          </cell>
          <cell r="AI35">
            <v>557.60156280466799</v>
          </cell>
          <cell r="AJ35">
            <v>193.61320881826691</v>
          </cell>
          <cell r="AK35">
            <v>751.2147716229349</v>
          </cell>
          <cell r="AL35">
            <v>187.92778497505424</v>
          </cell>
          <cell r="AM35">
            <v>193.39057830585745</v>
          </cell>
          <cell r="AN35">
            <v>381.31836328091168</v>
          </cell>
          <cell r="AO35">
            <v>194.77154186169435</v>
          </cell>
          <cell r="AP35">
            <v>576.08990514260609</v>
          </cell>
          <cell r="AQ35">
            <v>196.91009485739391</v>
          </cell>
          <cell r="AR35">
            <v>773</v>
          </cell>
          <cell r="AS35">
            <v>223.49600000000001</v>
          </cell>
          <cell r="AT35">
            <v>255.99600000000001</v>
          </cell>
          <cell r="AU35">
            <v>479.49200000000002</v>
          </cell>
          <cell r="AV35">
            <v>259.584</v>
          </cell>
          <cell r="AW35">
            <v>739.07600000000002</v>
          </cell>
          <cell r="AX35">
            <v>245.07599999999991</v>
          </cell>
          <cell r="AY35">
            <v>984.15199999999993</v>
          </cell>
          <cell r="AZ35">
            <v>225</v>
          </cell>
          <cell r="BA35">
            <v>270.8</v>
          </cell>
          <cell r="BB35">
            <v>495.8</v>
          </cell>
          <cell r="BC35">
            <v>244.2</v>
          </cell>
          <cell r="BD35">
            <v>740</v>
          </cell>
          <cell r="BE35">
            <v>216.10000000000002</v>
          </cell>
          <cell r="BF35">
            <v>956.1</v>
          </cell>
          <cell r="BL35">
            <v>194.64773347897324</v>
          </cell>
          <cell r="BM35">
            <v>218.95301554705989</v>
          </cell>
          <cell r="BN35">
            <v>413.6007490260331</v>
          </cell>
          <cell r="BO35">
            <v>216.84554555980338</v>
          </cell>
          <cell r="BP35">
            <v>630.44629458583654</v>
          </cell>
          <cell r="BQ35">
            <v>202.94289165119244</v>
          </cell>
          <cell r="BR35">
            <v>833.38918623702898</v>
          </cell>
          <cell r="BS35">
            <v>750.05026761332613</v>
          </cell>
          <cell r="BT35">
            <v>675.04524085199353</v>
          </cell>
          <cell r="BU35">
            <v>607.54071676679416</v>
          </cell>
          <cell r="BV35">
            <v>546.7866450901148</v>
          </cell>
          <cell r="BW35">
            <v>492.10798058110333</v>
          </cell>
          <cell r="BX35">
            <v>442.89718252299303</v>
          </cell>
          <cell r="BY35">
            <v>398.60746427069375</v>
          </cell>
          <cell r="BZ35">
            <v>358.74671784362437</v>
          </cell>
          <cell r="CA35">
            <v>322.87204605926195</v>
          </cell>
          <cell r="CB35">
            <v>322.87204605926195</v>
          </cell>
        </row>
        <row r="36">
          <cell r="A36" t="str">
            <v>Growth (%)</v>
          </cell>
          <cell r="AL36">
            <v>-2.7601204507511024E-2</v>
          </cell>
          <cell r="AM36">
            <v>6.8005954225574428E-2</v>
          </cell>
          <cell r="AN36">
            <v>1.8646237367282881E-2</v>
          </cell>
          <cell r="AO36">
            <v>6.2796787924268127E-2</v>
          </cell>
          <cell r="AP36">
            <v>3.3156905523980207E-2</v>
          </cell>
          <cell r="AQ36">
            <v>1.7028208246998133E-2</v>
          </cell>
          <cell r="AR36">
            <v>2.8999999999999915E-2</v>
          </cell>
          <cell r="AS36">
            <v>0.18926533417965374</v>
          </cell>
          <cell r="AT36">
            <v>0.32372529335492639</v>
          </cell>
          <cell r="AU36">
            <v>0.25745845511973209</v>
          </cell>
          <cell r="AV36">
            <v>0.33276143690605697</v>
          </cell>
          <cell r="AW36">
            <v>0.28291781092232138</v>
          </cell>
          <cell r="AX36">
            <v>0.24460861276558044</v>
          </cell>
          <cell r="AY36">
            <v>0.27315912031047862</v>
          </cell>
          <cell r="AZ36">
            <v>6.729426924866555E-3</v>
          </cell>
          <cell r="BA36">
            <v>5.782902857857164E-2</v>
          </cell>
          <cell r="BB36">
            <v>3.40109949696763E-2</v>
          </cell>
          <cell r="BC36">
            <v>-5.9264053254437954E-2</v>
          </cell>
          <cell r="BD36">
            <v>1.2502097213276109E-3</v>
          </cell>
          <cell r="BE36">
            <v>-0.11823271148541636</v>
          </cell>
          <cell r="BF36">
            <v>-2.8503727066550577E-2</v>
          </cell>
          <cell r="BL36">
            <v>-0.13489896231567455</v>
          </cell>
          <cell r="BM36">
            <v>-0.1914585836519207</v>
          </cell>
          <cell r="BN36">
            <v>-0.16579114758767022</v>
          </cell>
          <cell r="BO36">
            <v>-0.11201660294920801</v>
          </cell>
          <cell r="BP36">
            <v>-0.14804554785697766</v>
          </cell>
          <cell r="BQ36">
            <v>-6.088435145214055E-2</v>
          </cell>
          <cell r="BR36">
            <v>-0.12834516657564166</v>
          </cell>
          <cell r="BS36">
            <v>-9.9999999999999978E-2</v>
          </cell>
          <cell r="BT36">
            <v>-9.9999999999999978E-2</v>
          </cell>
          <cell r="BU36">
            <v>-9.9999999999999978E-2</v>
          </cell>
          <cell r="BV36">
            <v>-9.9999999999999978E-2</v>
          </cell>
          <cell r="BW36">
            <v>-9.9999999999999978E-2</v>
          </cell>
          <cell r="BX36">
            <v>-9.9999999999999978E-2</v>
          </cell>
          <cell r="BY36">
            <v>-9.9999999999999978E-2</v>
          </cell>
          <cell r="BZ36">
            <v>-9.9999999999999978E-2</v>
          </cell>
          <cell r="CA36">
            <v>-9.9999999999999978E-2</v>
          </cell>
          <cell r="CB36">
            <v>0</v>
          </cell>
        </row>
        <row r="37">
          <cell r="A37" t="str">
            <v>US ($)</v>
          </cell>
          <cell r="C37">
            <v>104.2</v>
          </cell>
          <cell r="D37">
            <v>119.1</v>
          </cell>
          <cell r="E37">
            <v>223.3</v>
          </cell>
          <cell r="F37">
            <v>133.30000000000001</v>
          </cell>
          <cell r="G37">
            <v>356.6</v>
          </cell>
          <cell r="H37">
            <v>140</v>
          </cell>
          <cell r="I37">
            <v>496.6</v>
          </cell>
          <cell r="J37">
            <v>125.34592323379263</v>
          </cell>
          <cell r="K37">
            <v>147.09617173191285</v>
          </cell>
          <cell r="L37">
            <v>272.44209496570545</v>
          </cell>
          <cell r="M37">
            <v>139.96500000000003</v>
          </cell>
          <cell r="N37">
            <v>412.40709496570548</v>
          </cell>
          <cell r="O37">
            <v>154</v>
          </cell>
          <cell r="P37">
            <v>566.40709496570548</v>
          </cell>
          <cell r="Q37">
            <v>157.93586327457871</v>
          </cell>
          <cell r="R37">
            <v>157.39290375314675</v>
          </cell>
          <cell r="S37">
            <v>315.32876702772546</v>
          </cell>
          <cell r="T37">
            <v>160.95975000000001</v>
          </cell>
          <cell r="U37">
            <v>476.28851702772545</v>
          </cell>
          <cell r="V37">
            <v>169.4</v>
          </cell>
          <cell r="W37">
            <v>645.68851702772542</v>
          </cell>
          <cell r="X37">
            <v>173.7294496020366</v>
          </cell>
          <cell r="Y37">
            <v>173.13219412846144</v>
          </cell>
          <cell r="Z37">
            <v>346.86164373049803</v>
          </cell>
          <cell r="AA37">
            <v>180.27492000000004</v>
          </cell>
          <cell r="AB37">
            <v>527.1365637304981</v>
          </cell>
          <cell r="AC37">
            <v>186.34000000000003</v>
          </cell>
          <cell r="AD37">
            <v>713.47656373049813</v>
          </cell>
          <cell r="AE37">
            <v>267.26977472384362</v>
          </cell>
          <cell r="AF37">
            <v>229.84738737704228</v>
          </cell>
          <cell r="AG37">
            <v>497.11716210088593</v>
          </cell>
          <cell r="AH37">
            <v>236.83179254175573</v>
          </cell>
          <cell r="AI37">
            <v>733.94895464264164</v>
          </cell>
          <cell r="AJ37">
            <v>262.66930805397476</v>
          </cell>
          <cell r="AK37">
            <v>995.59511506704337</v>
          </cell>
          <cell r="AL37">
            <v>255.78216979956809</v>
          </cell>
          <cell r="AM37">
            <v>278.34074980367478</v>
          </cell>
          <cell r="AN37">
            <v>534.12291960324285</v>
          </cell>
          <cell r="AO37">
            <v>275.1260835120591</v>
          </cell>
          <cell r="AP37">
            <v>809.249003115302</v>
          </cell>
          <cell r="AQ37">
            <v>265.28318709472683</v>
          </cell>
          <cell r="AR37">
            <v>1074.493492208587</v>
          </cell>
          <cell r="AS37">
            <v>293.19546256000001</v>
          </cell>
          <cell r="AT37">
            <v>328.48894727999999</v>
          </cell>
          <cell r="AU37">
            <v>621.68440983999994</v>
          </cell>
          <cell r="AV37">
            <v>324.76035072000008</v>
          </cell>
          <cell r="AW37">
            <v>946.44476056000008</v>
          </cell>
          <cell r="AX37">
            <v>319.10582079999995</v>
          </cell>
          <cell r="AY37">
            <v>1265.55058136</v>
          </cell>
          <cell r="AZ37">
            <v>297</v>
          </cell>
          <cell r="BA37">
            <v>353.73791600000004</v>
          </cell>
          <cell r="BB37">
            <v>650.73791600000004</v>
          </cell>
          <cell r="BC37">
            <v>323.67733199999998</v>
          </cell>
          <cell r="BD37">
            <v>974.41524800000002</v>
          </cell>
          <cell r="BE37">
            <v>297.19775200000004</v>
          </cell>
          <cell r="BF37">
            <v>1271.6130000000001</v>
          </cell>
          <cell r="BL37">
            <v>267.3</v>
          </cell>
          <cell r="BM37">
            <v>300.67722860000003</v>
          </cell>
          <cell r="BN37">
            <v>567.97722859999999</v>
          </cell>
          <cell r="BO37">
            <v>297.78314544</v>
          </cell>
          <cell r="BP37">
            <v>865.76037403999999</v>
          </cell>
          <cell r="BQ37">
            <v>278.69132596000009</v>
          </cell>
          <cell r="BR37">
            <v>1144.4517000000001</v>
          </cell>
          <cell r="BS37">
            <v>1030.0065300000001</v>
          </cell>
          <cell r="BT37">
            <v>927.00587700000017</v>
          </cell>
          <cell r="BU37">
            <v>834.30528930000014</v>
          </cell>
          <cell r="BV37">
            <v>750.8747603700001</v>
          </cell>
          <cell r="BW37">
            <v>675.78728433300012</v>
          </cell>
          <cell r="BX37">
            <v>608.20855589970017</v>
          </cell>
          <cell r="BY37">
            <v>547.38770030973012</v>
          </cell>
          <cell r="BZ37">
            <v>492.64893027875712</v>
          </cell>
          <cell r="CA37">
            <v>443.38403725088142</v>
          </cell>
          <cell r="CB37">
            <v>443.38403725088142</v>
          </cell>
        </row>
        <row r="38">
          <cell r="A38" t="str">
            <v>CER growth (%)</v>
          </cell>
          <cell r="J38">
            <v>0.20293592354887369</v>
          </cell>
          <cell r="K38">
            <v>0.23506441420581736</v>
          </cell>
          <cell r="L38">
            <v>0.22007207776849724</v>
          </cell>
          <cell r="M38">
            <v>0.05</v>
          </cell>
          <cell r="N38">
            <v>0.15649774247253356</v>
          </cell>
          <cell r="O38">
            <v>0.1</v>
          </cell>
          <cell r="P38">
            <v>0.140570066382814</v>
          </cell>
          <cell r="Q38">
            <v>0.26</v>
          </cell>
          <cell r="R38">
            <v>7.0000000000000007E-2</v>
          </cell>
          <cell r="S38">
            <v>0.15741573293737332</v>
          </cell>
          <cell r="T38">
            <v>0.15</v>
          </cell>
          <cell r="U38">
            <v>0.15489894049308761</v>
          </cell>
          <cell r="V38">
            <v>0.1</v>
          </cell>
          <cell r="W38">
            <v>0.13997250876036471</v>
          </cell>
          <cell r="X38">
            <v>0.1</v>
          </cell>
          <cell r="Y38">
            <v>0.1</v>
          </cell>
          <cell r="Z38">
            <v>0.10000000000000009</v>
          </cell>
          <cell r="AA38">
            <v>0.12</v>
          </cell>
          <cell r="AB38">
            <v>0.10675891793505632</v>
          </cell>
          <cell r="AC38">
            <v>0.1</v>
          </cell>
          <cell r="AD38">
            <v>0.10498567794703706</v>
          </cell>
          <cell r="AL38">
            <v>-4.2981309563137393E-2</v>
          </cell>
          <cell r="AM38">
            <v>0.21098069888905835</v>
          </cell>
          <cell r="AN38">
            <v>7.444071603958613E-2</v>
          </cell>
          <cell r="AO38">
            <v>0.16169404689850375</v>
          </cell>
          <cell r="AP38">
            <v>0.10259575682524646</v>
          </cell>
          <cell r="AQ38">
            <v>9.9512160751378254E-3</v>
          </cell>
          <cell r="AR38">
            <v>7.9247453053474137E-2</v>
          </cell>
          <cell r="AS38">
            <v>0.14627013599012439</v>
          </cell>
          <cell r="AT38">
            <v>0.18016836381915624</v>
          </cell>
          <cell r="AU38">
            <v>0.16393509250979066</v>
          </cell>
          <cell r="AV38">
            <v>0.18040553107268531</v>
          </cell>
          <cell r="AW38">
            <v>0.16953466351709601</v>
          </cell>
          <cell r="AX38">
            <v>0.20288746638909405</v>
          </cell>
          <cell r="AY38">
            <v>0.17781130415103896</v>
          </cell>
          <cell r="AZ38">
            <v>1.2976112954754315E-2</v>
          </cell>
          <cell r="BA38">
            <v>7.6863982575578582E-2</v>
          </cell>
          <cell r="BC38">
            <v>-3.3348243330783012E-3</v>
          </cell>
          <cell r="BE38">
            <v>-6.8654557115493176E-2</v>
          </cell>
          <cell r="BF38">
            <v>-1.4999999999999999E-2</v>
          </cell>
          <cell r="BL38">
            <v>-0.1</v>
          </cell>
          <cell r="BM38">
            <v>-0.15</v>
          </cell>
          <cell r="BO38">
            <v>-0.08</v>
          </cell>
          <cell r="BR38">
            <v>-0.1</v>
          </cell>
          <cell r="BS38">
            <v>-0.1</v>
          </cell>
          <cell r="BT38">
            <v>-0.1</v>
          </cell>
          <cell r="BU38">
            <v>-0.1</v>
          </cell>
          <cell r="BV38">
            <v>-0.1</v>
          </cell>
          <cell r="BW38">
            <v>-0.1</v>
          </cell>
          <cell r="BX38">
            <v>-0.1</v>
          </cell>
          <cell r="BY38">
            <v>-0.1</v>
          </cell>
          <cell r="BZ38">
            <v>-0.1</v>
          </cell>
          <cell r="CA38">
            <v>-0.1</v>
          </cell>
          <cell r="CB38">
            <v>0</v>
          </cell>
        </row>
        <row r="39">
          <cell r="A39" t="str">
            <v>Europe reported</v>
          </cell>
          <cell r="AK39">
            <v>752.53549695740367</v>
          </cell>
          <cell r="AL39">
            <v>180.39122438743888</v>
          </cell>
          <cell r="AM39">
            <v>185.63494062476875</v>
          </cell>
          <cell r="AN39">
            <v>366.02616501220763</v>
          </cell>
          <cell r="AO39">
            <v>186.96052271846986</v>
          </cell>
          <cell r="AP39">
            <v>552.98668773067743</v>
          </cell>
          <cell r="AQ39">
            <v>189.01331226932257</v>
          </cell>
          <cell r="AR39">
            <v>742</v>
          </cell>
          <cell r="AS39">
            <v>167.62200000000001</v>
          </cell>
          <cell r="AT39">
            <v>191.99700000000001</v>
          </cell>
          <cell r="AU39">
            <v>359.61900000000003</v>
          </cell>
          <cell r="AV39">
            <v>194.68800000000002</v>
          </cell>
          <cell r="AW39">
            <v>554.30700000000002</v>
          </cell>
          <cell r="AX39">
            <v>183.80700000000002</v>
          </cell>
          <cell r="AY39">
            <v>738.11400000000003</v>
          </cell>
          <cell r="AZ39">
            <v>184.4</v>
          </cell>
          <cell r="BA39">
            <v>185.9</v>
          </cell>
          <cell r="BB39">
            <v>370.3</v>
          </cell>
          <cell r="BC39">
            <v>180.9</v>
          </cell>
          <cell r="BD39">
            <v>551.20000000000005</v>
          </cell>
          <cell r="BE39">
            <v>193.59999999999991</v>
          </cell>
          <cell r="BF39">
            <v>744.8</v>
          </cell>
          <cell r="BL39">
            <v>175.18</v>
          </cell>
          <cell r="BM39">
            <v>171.02800000000002</v>
          </cell>
          <cell r="BN39">
            <v>346.20800000000003</v>
          </cell>
          <cell r="BO39">
            <v>166.42800000000003</v>
          </cell>
          <cell r="BP39">
            <v>512.63600000000008</v>
          </cell>
          <cell r="BQ39">
            <v>172.57999999999993</v>
          </cell>
          <cell r="BR39">
            <v>685.21600000000001</v>
          </cell>
          <cell r="BS39">
            <v>616.69439999999997</v>
          </cell>
          <cell r="BT39">
            <v>555.02495999999996</v>
          </cell>
          <cell r="BU39">
            <v>499.52246399999996</v>
          </cell>
          <cell r="BV39">
            <v>449.57021759999998</v>
          </cell>
          <cell r="BW39">
            <v>404.61319584</v>
          </cell>
          <cell r="BX39">
            <v>364.15187625600004</v>
          </cell>
          <cell r="BY39">
            <v>327.73668863040007</v>
          </cell>
          <cell r="BZ39">
            <v>294.96301976736009</v>
          </cell>
          <cell r="CA39">
            <v>265.4667177906241</v>
          </cell>
          <cell r="CB39">
            <v>265.4667177906241</v>
          </cell>
        </row>
        <row r="40">
          <cell r="A40" t="str">
            <v>Growth (%)</v>
          </cell>
          <cell r="AR40">
            <v>-1.4000000000000012E-2</v>
          </cell>
          <cell r="AS40">
            <v>-7.0786283705317699E-2</v>
          </cell>
          <cell r="AT40">
            <v>3.4271885205550578E-2</v>
          </cell>
          <cell r="AU40">
            <v>-1.7504663941152687E-2</v>
          </cell>
          <cell r="AV40">
            <v>4.133213348556164E-2</v>
          </cell>
          <cell r="AW40">
            <v>2.387602267137412E-3</v>
          </cell>
          <cell r="AX40">
            <v>-2.7544685645760958E-2</v>
          </cell>
          <cell r="AY40">
            <v>-5.2371967654986085E-3</v>
          </cell>
          <cell r="AZ40">
            <v>0.10009425970338026</v>
          </cell>
          <cell r="BA40">
            <v>-3.1755704516216454E-2</v>
          </cell>
          <cell r="BC40">
            <v>-7.0821005917159785E-2</v>
          </cell>
          <cell r="BE40">
            <v>5.3278710821676567E-2</v>
          </cell>
          <cell r="BF40">
            <v>9.0582213587602212E-3</v>
          </cell>
          <cell r="BL40">
            <v>-0.05</v>
          </cell>
          <cell r="BM40">
            <v>-0.08</v>
          </cell>
          <cell r="BN40">
            <v>-6.5060761544693424E-2</v>
          </cell>
          <cell r="BO40">
            <v>-0.08</v>
          </cell>
          <cell r="BP40">
            <v>-6.9963715529753223E-2</v>
          </cell>
          <cell r="BQ40">
            <v>-0.1085743801652892</v>
          </cell>
          <cell r="BR40">
            <v>-0.08</v>
          </cell>
          <cell r="BS40">
            <v>-0.1</v>
          </cell>
          <cell r="BT40">
            <v>-0.1</v>
          </cell>
          <cell r="BU40">
            <v>-0.1</v>
          </cell>
          <cell r="BV40">
            <v>-0.1</v>
          </cell>
          <cell r="BW40">
            <v>-0.1</v>
          </cell>
          <cell r="BX40">
            <v>-0.1</v>
          </cell>
          <cell r="BY40">
            <v>-0.1</v>
          </cell>
          <cell r="BZ40">
            <v>-0.1</v>
          </cell>
          <cell r="CA40">
            <v>-0.1</v>
          </cell>
          <cell r="CB40">
            <v>0</v>
          </cell>
        </row>
        <row r="41">
          <cell r="A41" t="str">
            <v>ROW reported</v>
          </cell>
          <cell r="C41" t="e">
            <v>#REF!</v>
          </cell>
          <cell r="D41" t="e">
            <v>#REF!</v>
          </cell>
          <cell r="E41" t="e">
            <v>#REF!</v>
          </cell>
          <cell r="F41" t="e">
            <v>#REF!</v>
          </cell>
          <cell r="G41" t="e">
            <v>#REF!</v>
          </cell>
          <cell r="H41" t="e">
            <v>#REF!</v>
          </cell>
          <cell r="J41">
            <v>186.77999999999997</v>
          </cell>
          <cell r="K41">
            <v>202.60500000000002</v>
          </cell>
          <cell r="L41">
            <v>389.38499999999999</v>
          </cell>
          <cell r="M41">
            <v>204.63105000000002</v>
          </cell>
          <cell r="N41">
            <v>594.01604999999995</v>
          </cell>
          <cell r="O41">
            <v>210.76998150000003</v>
          </cell>
          <cell r="P41">
            <v>804.78603150000004</v>
          </cell>
          <cell r="Q41">
            <v>207.32579999999999</v>
          </cell>
          <cell r="R41">
            <v>218.81340000000003</v>
          </cell>
          <cell r="S41">
            <v>426.13920000000002</v>
          </cell>
          <cell r="T41">
            <v>221.00153400000002</v>
          </cell>
          <cell r="U41">
            <v>647.14073400000007</v>
          </cell>
          <cell r="V41">
            <v>227.63158002000006</v>
          </cell>
          <cell r="W41">
            <v>874.77231402000007</v>
          </cell>
          <cell r="X41">
            <v>223.91186400000001</v>
          </cell>
          <cell r="Y41">
            <v>236.31847200000004</v>
          </cell>
          <cell r="Z41">
            <v>460.23033600000008</v>
          </cell>
          <cell r="AA41">
            <v>260.78181011999999</v>
          </cell>
          <cell r="AB41">
            <v>721.01214612000012</v>
          </cell>
          <cell r="AC41">
            <v>261.77631702300005</v>
          </cell>
          <cell r="AD41">
            <v>982.78846314300017</v>
          </cell>
          <cell r="AE41">
            <v>235.96454450968599</v>
          </cell>
          <cell r="AF41">
            <v>221.08628759062191</v>
          </cell>
          <cell r="AG41">
            <v>457.0508321003079</v>
          </cell>
          <cell r="AH41">
            <v>223.75638559502408</v>
          </cell>
          <cell r="AI41">
            <v>680.80721769533193</v>
          </cell>
          <cell r="AJ41">
            <v>236.39329370173397</v>
          </cell>
          <cell r="AK41">
            <v>917.20051139706584</v>
          </cell>
          <cell r="AL41">
            <v>42.829488767506888</v>
          </cell>
          <cell r="AM41">
            <v>44.074481069373832</v>
          </cell>
          <cell r="AN41">
            <v>86.903969836880719</v>
          </cell>
          <cell r="AO41">
            <v>44.389208149836691</v>
          </cell>
          <cell r="AP41">
            <v>131.29317798671741</v>
          </cell>
          <cell r="AQ41">
            <v>44.876592873283528</v>
          </cell>
          <cell r="AR41">
            <v>176.16977086000094</v>
          </cell>
          <cell r="AS41">
            <v>38.681999999999988</v>
          </cell>
          <cell r="AT41">
            <v>44.306999999999988</v>
          </cell>
          <cell r="AU41">
            <v>82.988999999999976</v>
          </cell>
          <cell r="AV41">
            <v>44.927999999999969</v>
          </cell>
          <cell r="AW41">
            <v>127.91699999999994</v>
          </cell>
          <cell r="AX41">
            <v>42.417000000000002</v>
          </cell>
          <cell r="AY41">
            <v>170.33399999999995</v>
          </cell>
          <cell r="AZ41">
            <v>44.499999999999972</v>
          </cell>
          <cell r="BA41">
            <v>42.5</v>
          </cell>
          <cell r="BB41">
            <v>86.999999999999972</v>
          </cell>
          <cell r="BC41">
            <v>34.9</v>
          </cell>
          <cell r="BD41">
            <v>121.89999999999998</v>
          </cell>
          <cell r="BE41">
            <v>41.900000000000091</v>
          </cell>
          <cell r="BF41">
            <v>163.80000000000007</v>
          </cell>
          <cell r="BL41">
            <v>39.683822680135982</v>
          </cell>
          <cell r="BM41">
            <v>37.88610588448136</v>
          </cell>
          <cell r="BN41">
            <v>77.569928564617342</v>
          </cell>
          <cell r="BO41">
            <v>33.65980721730493</v>
          </cell>
          <cell r="BP41">
            <v>111.22973578192227</v>
          </cell>
          <cell r="BQ41">
            <v>32.89303644342678</v>
          </cell>
          <cell r="BR41">
            <v>144.12277222534905</v>
          </cell>
          <cell r="BS41">
            <v>129.71049500281416</v>
          </cell>
          <cell r="BT41">
            <v>116.73944550253275</v>
          </cell>
          <cell r="BU41">
            <v>105.06550095227948</v>
          </cell>
          <cell r="BV41">
            <v>94.558950857051528</v>
          </cell>
          <cell r="BW41">
            <v>85.103055771346376</v>
          </cell>
          <cell r="BX41">
            <v>76.592750194211746</v>
          </cell>
          <cell r="BY41">
            <v>68.933475174790573</v>
          </cell>
          <cell r="BZ41">
            <v>62.040127657311515</v>
          </cell>
          <cell r="CA41">
            <v>55.836114891580365</v>
          </cell>
          <cell r="CB41">
            <v>55.836114891580365</v>
          </cell>
        </row>
        <row r="42">
          <cell r="A42" t="str">
            <v>Growth (%)</v>
          </cell>
          <cell r="J42" t="e">
            <v>#REF!</v>
          </cell>
          <cell r="K42" t="e">
            <v>#REF!</v>
          </cell>
          <cell r="L42" t="e">
            <v>#REF!</v>
          </cell>
          <cell r="M42">
            <v>0.01</v>
          </cell>
          <cell r="N42" t="e">
            <v>#REF!</v>
          </cell>
          <cell r="O42">
            <v>0.03</v>
          </cell>
          <cell r="Q42">
            <v>0.11</v>
          </cell>
          <cell r="R42">
            <v>0.08</v>
          </cell>
          <cell r="S42">
            <v>9.4390384837628627E-2</v>
          </cell>
          <cell r="T42">
            <v>0.08</v>
          </cell>
          <cell r="U42">
            <v>8.9433078449648207E-2</v>
          </cell>
          <cell r="V42">
            <v>0.08</v>
          </cell>
          <cell r="W42">
            <v>8.696259599530598E-2</v>
          </cell>
          <cell r="X42">
            <v>0.08</v>
          </cell>
          <cell r="Y42">
            <v>0.08</v>
          </cell>
          <cell r="Z42">
            <v>8.0000000000000071E-2</v>
          </cell>
          <cell r="AA42">
            <v>0.18</v>
          </cell>
          <cell r="AB42">
            <v>0.11415045945786506</v>
          </cell>
          <cell r="AC42">
            <v>0.15</v>
          </cell>
          <cell r="AD42">
            <v>0.12347915839564449</v>
          </cell>
          <cell r="AS42">
            <v>-9.6837223297735031E-2</v>
          </cell>
          <cell r="AT42">
            <v>5.2755908858046485E-3</v>
          </cell>
          <cell r="AU42">
            <v>-4.5049378575330534E-2</v>
          </cell>
          <cell r="AV42">
            <v>1.2137901814886609E-2</v>
          </cell>
          <cell r="AW42">
            <v>-2.5714801320895875E-2</v>
          </cell>
          <cell r="AX42">
            <v>-5.4807923592341212E-2</v>
          </cell>
          <cell r="AY42">
            <v>-3.3125835559146943E-2</v>
          </cell>
          <cell r="AZ42">
            <v>0.15040587353290902</v>
          </cell>
          <cell r="BA42">
            <v>-4.0783623355225784E-2</v>
          </cell>
          <cell r="BB42">
            <v>4.8331706611719483E-2</v>
          </cell>
          <cell r="BC42">
            <v>-0.22320156695156645</v>
          </cell>
          <cell r="BD42">
            <v>-4.7038313906673679E-2</v>
          </cell>
          <cell r="BE42">
            <v>-1.2188509324089658E-2</v>
          </cell>
          <cell r="BF42">
            <v>-3.8359928141180721E-2</v>
          </cell>
          <cell r="BL42">
            <v>-0.10822870381716843</v>
          </cell>
          <cell r="BM42">
            <v>-0.10856221448279146</v>
          </cell>
          <cell r="BN42">
            <v>-0.10839162569405325</v>
          </cell>
          <cell r="BO42">
            <v>-3.5535609819342895E-2</v>
          </cell>
          <cell r="BP42">
            <v>-8.7532930419013222E-2</v>
          </cell>
          <cell r="BQ42">
            <v>-0.21496333070580642</v>
          </cell>
          <cell r="BR42">
            <v>-0.12012959569384007</v>
          </cell>
          <cell r="BS42">
            <v>-9.9999999999999978E-2</v>
          </cell>
          <cell r="BT42">
            <v>-9.9999999999999978E-2</v>
          </cell>
          <cell r="BU42">
            <v>-9.9999999999999978E-2</v>
          </cell>
          <cell r="BV42">
            <v>-9.9999999999999978E-2</v>
          </cell>
          <cell r="BW42">
            <v>-9.9999999999999978E-2</v>
          </cell>
          <cell r="BX42">
            <v>-9.9999999999999978E-2</v>
          </cell>
          <cell r="BY42">
            <v>-9.9999999999999978E-2</v>
          </cell>
          <cell r="BZ42">
            <v>-9.9999999999999978E-2</v>
          </cell>
          <cell r="CA42">
            <v>-9.9999999999999978E-2</v>
          </cell>
          <cell r="CB42">
            <v>0</v>
          </cell>
        </row>
        <row r="43">
          <cell r="A43" t="str">
            <v>CER growth (%)</v>
          </cell>
          <cell r="AY43">
            <v>-3.7620185130999961E-2</v>
          </cell>
          <cell r="BL43">
            <v>0</v>
          </cell>
          <cell r="BM43">
            <v>0</v>
          </cell>
          <cell r="BO43">
            <v>0.04</v>
          </cell>
          <cell r="BR43">
            <v>-0.05</v>
          </cell>
          <cell r="BS43">
            <v>-0.1</v>
          </cell>
          <cell r="BT43">
            <v>-0.1</v>
          </cell>
          <cell r="BU43">
            <v>-0.1</v>
          </cell>
          <cell r="BV43">
            <v>-0.1</v>
          </cell>
          <cell r="BW43">
            <v>-0.1</v>
          </cell>
          <cell r="BX43">
            <v>-0.1</v>
          </cell>
          <cell r="BY43">
            <v>-0.1</v>
          </cell>
          <cell r="BZ43">
            <v>-0.1</v>
          </cell>
          <cell r="CA43">
            <v>-0.1</v>
          </cell>
          <cell r="CB43">
            <v>0</v>
          </cell>
        </row>
        <row r="44">
          <cell r="A44" t="str">
            <v>Others</v>
          </cell>
          <cell r="J44">
            <v>1.1999999999999886</v>
          </cell>
          <cell r="K44">
            <v>0.5</v>
          </cell>
          <cell r="L44">
            <v>1.6999999999999886</v>
          </cell>
          <cell r="M44">
            <v>1.3000000000000114</v>
          </cell>
          <cell r="N44">
            <v>3</v>
          </cell>
          <cell r="O44">
            <v>0.5</v>
          </cell>
          <cell r="P44">
            <v>3.5</v>
          </cell>
          <cell r="Q44">
            <v>0</v>
          </cell>
          <cell r="R44">
            <v>0</v>
          </cell>
          <cell r="S44">
            <v>0</v>
          </cell>
          <cell r="T44">
            <v>9.9999999999965894E-2</v>
          </cell>
          <cell r="U44">
            <v>9.9999999999965894E-2</v>
          </cell>
          <cell r="V44">
            <v>9.9999999999965894E-2</v>
          </cell>
          <cell r="W44">
            <v>0.19999999999993179</v>
          </cell>
          <cell r="X44">
            <v>0.18762764000001653</v>
          </cell>
          <cell r="Y44">
            <v>0.14799216000000115</v>
          </cell>
          <cell r="Z44">
            <v>0.33561980000001768</v>
          </cell>
          <cell r="AA44">
            <v>0.16517804000000069</v>
          </cell>
          <cell r="AB44">
            <v>0.50079784000001837</v>
          </cell>
          <cell r="AC44">
            <v>1.2096106400002213</v>
          </cell>
          <cell r="AD44">
            <v>1.7104084800002397</v>
          </cell>
          <cell r="AE44">
            <v>2.1902637999999683</v>
          </cell>
          <cell r="AF44">
            <v>-2.0344885899999099</v>
          </cell>
          <cell r="AG44">
            <v>0.15577521000005845</v>
          </cell>
          <cell r="AH44">
            <v>4.549544999997579E-2</v>
          </cell>
          <cell r="AI44">
            <v>0.20127066000003424</v>
          </cell>
          <cell r="AJ44">
            <v>1.2096106400002213</v>
          </cell>
          <cell r="AK44">
            <v>1.4108813000002556</v>
          </cell>
          <cell r="AL44">
            <v>-5.0301690000026156E-2</v>
          </cell>
          <cell r="AM44">
            <v>5.0085850000186838E-2</v>
          </cell>
          <cell r="AN44">
            <v>-2.158399998393179E-4</v>
          </cell>
          <cell r="AO44">
            <v>-6.8258000004561836E-4</v>
          </cell>
          <cell r="AP44">
            <v>-8.9841999988493626E-4</v>
          </cell>
          <cell r="AQ44">
            <v>-0.60000000000002274</v>
          </cell>
          <cell r="AR44">
            <v>-0.60089841999990767</v>
          </cell>
          <cell r="AS44">
            <v>0</v>
          </cell>
          <cell r="AT44">
            <v>0</v>
          </cell>
          <cell r="AU44">
            <v>0</v>
          </cell>
          <cell r="AV44">
            <v>0</v>
          </cell>
          <cell r="AW44">
            <v>0</v>
          </cell>
          <cell r="AX44">
            <v>-9.9999999999909051E-2</v>
          </cell>
          <cell r="AY44">
            <v>-9.9999999999909051E-2</v>
          </cell>
          <cell r="AZ44">
            <v>0</v>
          </cell>
          <cell r="BA44">
            <v>0</v>
          </cell>
          <cell r="BB44">
            <v>0</v>
          </cell>
          <cell r="BC44">
            <v>0</v>
          </cell>
          <cell r="BD44">
            <v>0</v>
          </cell>
          <cell r="BE44">
            <v>0</v>
          </cell>
          <cell r="BF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row>
        <row r="45">
          <cell r="A45" t="str">
            <v>Growth %</v>
          </cell>
          <cell r="Q45">
            <v>-1</v>
          </cell>
          <cell r="R45">
            <v>-1</v>
          </cell>
          <cell r="S45">
            <v>-1</v>
          </cell>
          <cell r="T45">
            <v>-0.92307692307695</v>
          </cell>
          <cell r="U45">
            <v>-0.966666666666678</v>
          </cell>
          <cell r="V45">
            <v>-0.80000000000006821</v>
          </cell>
          <cell r="W45">
            <v>-0.94285714285716238</v>
          </cell>
          <cell r="X45" t="str">
            <v>nm</v>
          </cell>
          <cell r="Y45" t="str">
            <v>nm</v>
          </cell>
          <cell r="Z45" t="str">
            <v>nm</v>
          </cell>
          <cell r="AA45">
            <v>0.65178040000057025</v>
          </cell>
          <cell r="AB45">
            <v>4.0079784000018917</v>
          </cell>
          <cell r="AC45">
            <v>11.096106400006338</v>
          </cell>
          <cell r="AD45">
            <v>7.5520424000041153</v>
          </cell>
          <cell r="AL45">
            <v>-1.0229660418073965</v>
          </cell>
          <cell r="AM45">
            <v>-1.0246183980811556</v>
          </cell>
          <cell r="AN45">
            <v>-1.0013855863191534</v>
          </cell>
          <cell r="AO45">
            <v>-1.0150032585686257</v>
          </cell>
          <cell r="AP45">
            <v>-1.0044637405167984</v>
          </cell>
          <cell r="AQ45">
            <v>-1.4960273828278436</v>
          </cell>
          <cell r="AR45">
            <v>-1.4259028877906306</v>
          </cell>
          <cell r="AS45">
            <v>-1</v>
          </cell>
          <cell r="AT45">
            <v>-1</v>
          </cell>
          <cell r="AU45">
            <v>-1</v>
          </cell>
          <cell r="AV45">
            <v>-1</v>
          </cell>
          <cell r="AW45">
            <v>-1</v>
          </cell>
          <cell r="AX45">
            <v>-0.83333333333349124</v>
          </cell>
          <cell r="AY45">
            <v>-0.8335825213187873</v>
          </cell>
          <cell r="BL45">
            <v>0</v>
          </cell>
          <cell r="BM45">
            <v>0</v>
          </cell>
          <cell r="BO45">
            <v>0</v>
          </cell>
          <cell r="BR45">
            <v>0</v>
          </cell>
          <cell r="BS45">
            <v>0</v>
          </cell>
          <cell r="BT45">
            <v>0</v>
          </cell>
          <cell r="BU45">
            <v>0</v>
          </cell>
          <cell r="BV45">
            <v>0</v>
          </cell>
          <cell r="BW45">
            <v>0</v>
          </cell>
          <cell r="BX45">
            <v>0</v>
          </cell>
          <cell r="BY45">
            <v>0</v>
          </cell>
          <cell r="BZ45">
            <v>0</v>
          </cell>
          <cell r="CA45">
            <v>0</v>
          </cell>
          <cell r="CB45">
            <v>0</v>
          </cell>
        </row>
        <row r="47">
          <cell r="A47" t="str">
            <v>Fertility</v>
          </cell>
          <cell r="J47">
            <v>131.5</v>
          </cell>
          <cell r="K47">
            <v>137.30000000000001</v>
          </cell>
          <cell r="L47">
            <v>268.8</v>
          </cell>
          <cell r="M47">
            <v>118</v>
          </cell>
          <cell r="N47">
            <v>386.8</v>
          </cell>
          <cell r="O47">
            <v>132.1</v>
          </cell>
          <cell r="P47">
            <v>518.9</v>
          </cell>
          <cell r="Q47">
            <v>139.9</v>
          </cell>
          <cell r="R47">
            <v>148.1</v>
          </cell>
          <cell r="S47">
            <v>288</v>
          </cell>
          <cell r="T47">
            <v>133.30000000000001</v>
          </cell>
          <cell r="U47">
            <v>421.3</v>
          </cell>
          <cell r="V47">
            <v>143.9</v>
          </cell>
          <cell r="W47">
            <v>565.20000000000005</v>
          </cell>
          <cell r="X47">
            <v>164.22729652000004</v>
          </cell>
          <cell r="Y47">
            <v>147.02824426999999</v>
          </cell>
          <cell r="Z47">
            <v>311.25554079000005</v>
          </cell>
          <cell r="AA47">
            <v>140.05065628000011</v>
          </cell>
          <cell r="AB47">
            <v>451.30619707000017</v>
          </cell>
          <cell r="AC47">
            <v>164.7940279</v>
          </cell>
          <cell r="AD47">
            <v>616.10022497000023</v>
          </cell>
          <cell r="AE47">
            <v>175.82369399999982</v>
          </cell>
          <cell r="AF47">
            <v>160.91617018000031</v>
          </cell>
          <cell r="AG47">
            <v>336.73986418000015</v>
          </cell>
          <cell r="AH47">
            <v>150.26730316999993</v>
          </cell>
          <cell r="AI47">
            <v>487.00716735000009</v>
          </cell>
          <cell r="AJ47">
            <v>169.61774453999911</v>
          </cell>
          <cell r="AK47">
            <v>656.62491188999923</v>
          </cell>
          <cell r="AL47">
            <v>172.62358801999997</v>
          </cell>
          <cell r="AM47">
            <v>173.92647485000029</v>
          </cell>
          <cell r="AN47">
            <v>346.55006287000026</v>
          </cell>
          <cell r="AO47">
            <v>163.55166737000013</v>
          </cell>
          <cell r="AP47">
            <v>510.10173024000039</v>
          </cell>
          <cell r="AQ47">
            <v>186.7</v>
          </cell>
          <cell r="AR47">
            <v>696.80173024000032</v>
          </cell>
          <cell r="AS47">
            <v>201</v>
          </cell>
          <cell r="AT47">
            <v>214.6</v>
          </cell>
          <cell r="AU47">
            <v>415.6</v>
          </cell>
          <cell r="AV47">
            <v>192.8</v>
          </cell>
          <cell r="AW47">
            <v>608.40000000000009</v>
          </cell>
          <cell r="AX47">
            <v>208.29999999999995</v>
          </cell>
          <cell r="AY47">
            <v>816.7</v>
          </cell>
          <cell r="AZ47">
            <v>197.8</v>
          </cell>
          <cell r="BA47">
            <v>214.5</v>
          </cell>
          <cell r="BB47">
            <v>412.3</v>
          </cell>
          <cell r="BC47">
            <v>192.1</v>
          </cell>
          <cell r="BD47">
            <v>604.4</v>
          </cell>
          <cell r="BE47">
            <v>203</v>
          </cell>
          <cell r="BF47">
            <v>807.4</v>
          </cell>
          <cell r="BG47">
            <v>197.8</v>
          </cell>
          <cell r="BH47">
            <v>214.5</v>
          </cell>
          <cell r="BI47">
            <v>192.1</v>
          </cell>
          <cell r="BJ47">
            <v>203</v>
          </cell>
          <cell r="BK47">
            <v>807.4</v>
          </cell>
          <cell r="BL47">
            <v>199.30087840597844</v>
          </cell>
          <cell r="BM47">
            <v>214.44167806402297</v>
          </cell>
          <cell r="BN47">
            <v>413.74255647000143</v>
          </cell>
          <cell r="BO47">
            <v>195.02404237509441</v>
          </cell>
          <cell r="BP47">
            <v>608.76659884509581</v>
          </cell>
          <cell r="BQ47">
            <v>212.25638678532601</v>
          </cell>
          <cell r="BR47">
            <v>821.02298563042177</v>
          </cell>
          <cell r="BS47">
            <v>862.41655667826262</v>
          </cell>
          <cell r="BT47">
            <v>858.80823518753732</v>
          </cell>
          <cell r="BU47">
            <v>859.33158040566695</v>
          </cell>
          <cell r="BV47">
            <v>864.17513406064086</v>
          </cell>
          <cell r="BW47">
            <v>873.55752330039172</v>
          </cell>
          <cell r="BX47">
            <v>887.72990767243346</v>
          </cell>
          <cell r="BY47">
            <v>906.97869887957927</v>
          </cell>
          <cell r="BZ47">
            <v>931.62857918544432</v>
          </cell>
          <cell r="CA47">
            <v>962.04584700100077</v>
          </cell>
          <cell r="CB47">
            <v>998.6421211032623</v>
          </cell>
        </row>
        <row r="48">
          <cell r="A48" t="str">
            <v xml:space="preserve">     Year-on-Year Growth %</v>
          </cell>
          <cell r="Q48">
            <v>6.3878326996197776E-2</v>
          </cell>
          <cell r="R48">
            <v>7.8659868900218477E-2</v>
          </cell>
          <cell r="S48">
            <v>7.1428571428571397E-2</v>
          </cell>
          <cell r="T48">
            <v>0.12966101694915255</v>
          </cell>
          <cell r="U48">
            <v>8.9193381592554299E-2</v>
          </cell>
          <cell r="V48">
            <v>8.9326267978804053E-2</v>
          </cell>
          <cell r="W48">
            <v>8.9227211408749341E-2</v>
          </cell>
          <cell r="X48">
            <v>0.17389061129378147</v>
          </cell>
          <cell r="Y48">
            <v>-7.2367031060095455E-3</v>
          </cell>
          <cell r="Z48">
            <v>8.0748405520833622E-2</v>
          </cell>
          <cell r="AA48">
            <v>5.0642582745687115E-2</v>
          </cell>
          <cell r="AB48">
            <v>7.1222874602421493E-2</v>
          </cell>
          <cell r="AC48">
            <v>0.14519824808895065</v>
          </cell>
          <cell r="AD48">
            <v>9.0057015162774645E-2</v>
          </cell>
          <cell r="AE48">
            <v>7.061187589230955E-2</v>
          </cell>
          <cell r="AF48">
            <v>9.4457537590510787E-2</v>
          </cell>
          <cell r="AG48">
            <v>8.1875886692067024E-2</v>
          </cell>
          <cell r="AH48">
            <v>7.2949653799364578E-2</v>
          </cell>
          <cell r="AI48">
            <v>7.910587204824604E-2</v>
          </cell>
          <cell r="AJ48">
            <v>2.927118598573375E-2</v>
          </cell>
          <cell r="AK48">
            <v>6.5776127450646982E-2</v>
          </cell>
          <cell r="AL48">
            <v>-1.8200652637862635E-2</v>
          </cell>
          <cell r="AM48">
            <v>8.0851443676833057E-2</v>
          </cell>
          <cell r="AN48">
            <v>2.9132870008987677E-2</v>
          </cell>
          <cell r="AO48">
            <v>8.8404888620190247E-2</v>
          </cell>
          <cell r="AP48">
            <v>4.7421402472713092E-2</v>
          </cell>
          <cell r="AQ48">
            <v>0.10071030897343736</v>
          </cell>
          <cell r="AR48">
            <v>6.1186862731658964E-2</v>
          </cell>
          <cell r="AS48">
            <v>0.16438316631857042</v>
          </cell>
          <cell r="AT48">
            <v>0.23385470892270921</v>
          </cell>
          <cell r="AU48">
            <v>0.19924952994714107</v>
          </cell>
          <cell r="AV48">
            <v>0.1788323720591114</v>
          </cell>
          <cell r="AW48">
            <v>0.19270326668711912</v>
          </cell>
          <cell r="AX48">
            <v>0.11569362613818934</v>
          </cell>
          <cell r="AY48">
            <v>0.17206942026206362</v>
          </cell>
          <cell r="AZ48">
            <v>-1.5920398009950154E-2</v>
          </cell>
          <cell r="BA48">
            <v>-4.6598322460389419E-4</v>
          </cell>
          <cell r="BB48">
            <v>-7.9403272377286394E-3</v>
          </cell>
          <cell r="BC48">
            <v>-3.6307053941909695E-3</v>
          </cell>
          <cell r="BD48">
            <v>-6.5746219592375255E-3</v>
          </cell>
          <cell r="BE48">
            <v>-2.5444071051368033E-2</v>
          </cell>
          <cell r="BF48">
            <v>-1.1387290314681109E-2</v>
          </cell>
          <cell r="BL48">
            <v>7.5878584730961762E-3</v>
          </cell>
          <cell r="BM48">
            <v>-2.7189713742203914E-4</v>
          </cell>
          <cell r="BN48">
            <v>3.4988029832681011E-3</v>
          </cell>
          <cell r="BO48">
            <v>1.522145952677989E-2</v>
          </cell>
          <cell r="BP48">
            <v>7.2246837278222564E-3</v>
          </cell>
          <cell r="BQ48">
            <v>4.5597964459733964E-2</v>
          </cell>
          <cell r="BR48">
            <v>1.6872659933641065E-2</v>
          </cell>
          <cell r="BS48">
            <v>5.0417067210434929E-2</v>
          </cell>
          <cell r="BT48">
            <v>-4.183965930133926E-3</v>
          </cell>
          <cell r="BU48">
            <v>6.0938542119992611E-4</v>
          </cell>
          <cell r="BV48">
            <v>5.6364199401206516E-3</v>
          </cell>
          <cell r="BW48">
            <v>1.0857046066188314E-2</v>
          </cell>
          <cell r="BX48">
            <v>1.6223756299982295E-2</v>
          </cell>
          <cell r="BY48">
            <v>2.1683161782410698E-2</v>
          </cell>
          <cell r="BZ48">
            <v>2.7178014584373189E-2</v>
          </cell>
          <cell r="CA48">
            <v>3.2649564960911093E-2</v>
          </cell>
          <cell r="CB48">
            <v>3.8040052058167184E-2</v>
          </cell>
        </row>
        <row r="49">
          <cell r="A49" t="str">
            <v>Gonal-F</v>
          </cell>
          <cell r="C49">
            <v>115.61991999999999</v>
          </cell>
          <cell r="D49">
            <v>110.71371800985536</v>
          </cell>
          <cell r="E49">
            <v>226.33363800985535</v>
          </cell>
          <cell r="F49">
            <v>96.995650263967434</v>
          </cell>
          <cell r="G49">
            <v>323.32928827382278</v>
          </cell>
          <cell r="H49">
            <v>102.26623454853633</v>
          </cell>
          <cell r="I49">
            <v>425.5955228223591</v>
          </cell>
          <cell r="J49">
            <v>112</v>
          </cell>
          <cell r="K49">
            <v>114</v>
          </cell>
          <cell r="L49">
            <v>226</v>
          </cell>
          <cell r="M49">
            <v>98.3</v>
          </cell>
          <cell r="N49">
            <v>324.3</v>
          </cell>
          <cell r="O49">
            <v>109</v>
          </cell>
          <cell r="P49">
            <v>433.3</v>
          </cell>
          <cell r="Q49">
            <v>114</v>
          </cell>
          <cell r="R49">
            <v>121.7</v>
          </cell>
          <cell r="S49">
            <v>235.7</v>
          </cell>
          <cell r="T49">
            <v>109.1</v>
          </cell>
          <cell r="U49">
            <v>344.79999999999995</v>
          </cell>
          <cell r="V49">
            <v>115</v>
          </cell>
          <cell r="W49">
            <v>459.79999999999995</v>
          </cell>
          <cell r="X49">
            <v>133.73584612000005</v>
          </cell>
          <cell r="Y49">
            <v>113.70733442</v>
          </cell>
          <cell r="Z49">
            <v>247.44318054000004</v>
          </cell>
          <cell r="AA49">
            <v>110.77655628000011</v>
          </cell>
          <cell r="AB49">
            <v>358.21973682000015</v>
          </cell>
          <cell r="AC49">
            <v>128.10011095999994</v>
          </cell>
          <cell r="AD49">
            <v>486.31984778000009</v>
          </cell>
          <cell r="AE49">
            <v>138.7741878299999</v>
          </cell>
          <cell r="AF49">
            <v>121.52665724000015</v>
          </cell>
          <cell r="AG49">
            <v>260.30084507000004</v>
          </cell>
          <cell r="AH49">
            <v>115.10351119000008</v>
          </cell>
          <cell r="AI49">
            <v>375.4043562600001</v>
          </cell>
          <cell r="AJ49">
            <v>128.67744482999933</v>
          </cell>
          <cell r="AK49">
            <v>504.08180108999943</v>
          </cell>
          <cell r="AL49">
            <v>132.88168105000003</v>
          </cell>
          <cell r="AM49">
            <v>130.31676234000008</v>
          </cell>
          <cell r="AN49">
            <v>263.19844339000008</v>
          </cell>
          <cell r="AO49">
            <v>123.37604291999979</v>
          </cell>
          <cell r="AP49">
            <v>386.57448630999988</v>
          </cell>
          <cell r="AQ49">
            <v>139.30000000000001</v>
          </cell>
          <cell r="AR49">
            <v>525.87448630999984</v>
          </cell>
          <cell r="AS49">
            <v>152.30000000000001</v>
          </cell>
          <cell r="AT49">
            <v>161.4</v>
          </cell>
          <cell r="AU49">
            <v>313.70000000000005</v>
          </cell>
          <cell r="AV49">
            <v>144.69999999999999</v>
          </cell>
          <cell r="AW49">
            <v>458.40000000000003</v>
          </cell>
          <cell r="AX49">
            <v>153.19999999999999</v>
          </cell>
          <cell r="AY49">
            <v>611.6</v>
          </cell>
          <cell r="AZ49">
            <v>144.69999999999999</v>
          </cell>
          <cell r="BA49">
            <v>156.19999999999999</v>
          </cell>
          <cell r="BB49">
            <v>300.89999999999998</v>
          </cell>
          <cell r="BC49">
            <v>137.30000000000001</v>
          </cell>
          <cell r="BD49">
            <v>438.2</v>
          </cell>
          <cell r="BE49">
            <v>147.59999999999997</v>
          </cell>
          <cell r="BF49">
            <v>585.79999999999995</v>
          </cell>
          <cell r="BL49">
            <v>142.23170805284039</v>
          </cell>
          <cell r="BM49">
            <v>152.01923240220933</v>
          </cell>
          <cell r="BN49">
            <v>294.25094045504972</v>
          </cell>
          <cell r="BO49">
            <v>135.87295288219022</v>
          </cell>
          <cell r="BP49">
            <v>430.12389333723991</v>
          </cell>
          <cell r="BQ49">
            <v>151.42935687992258</v>
          </cell>
          <cell r="BR49">
            <v>581.55325021716249</v>
          </cell>
          <cell r="BS49">
            <v>598.99984772367736</v>
          </cell>
          <cell r="BT49">
            <v>569.04985533749345</v>
          </cell>
          <cell r="BU49">
            <v>540.59736257061877</v>
          </cell>
          <cell r="BV49">
            <v>513.56749444208776</v>
          </cell>
          <cell r="BW49">
            <v>487.88911971998334</v>
          </cell>
          <cell r="BX49">
            <v>463.49466373398417</v>
          </cell>
          <cell r="BY49">
            <v>440.31993054728491</v>
          </cell>
          <cell r="BZ49">
            <v>418.30393401992063</v>
          </cell>
          <cell r="CA49">
            <v>397.3887373189246</v>
          </cell>
          <cell r="CB49">
            <v>377.51930045297837</v>
          </cell>
          <cell r="CG49" t="str">
            <v>mstag:gonalF</v>
          </cell>
          <cell r="CH49">
            <v>6</v>
          </cell>
          <cell r="CI49" t="str">
            <v>ISO4217:EUR</v>
          </cell>
          <cell r="CJ49" t="b">
            <v>0</v>
          </cell>
        </row>
        <row r="50">
          <cell r="A50" t="str">
            <v xml:space="preserve">     Year-on-Year Growth % reported</v>
          </cell>
          <cell r="J50">
            <v>-3.1308791772213573E-2</v>
          </cell>
          <cell r="K50">
            <v>2.9682699210337393E-2</v>
          </cell>
          <cell r="L50">
            <v>-1.4740982064752606E-3</v>
          </cell>
          <cell r="M50">
            <v>1.3447507516912927E-2</v>
          </cell>
          <cell r="N50">
            <v>3.0022387744692569E-3</v>
          </cell>
          <cell r="O50">
            <v>6.584544235143186E-2</v>
          </cell>
          <cell r="P50">
            <v>1.8102815383367332E-2</v>
          </cell>
          <cell r="Q50">
            <v>1.7857142857142794E-2</v>
          </cell>
          <cell r="R50">
            <v>6.7543859649122906E-2</v>
          </cell>
          <cell r="S50">
            <v>4.2920353982300874E-2</v>
          </cell>
          <cell r="T50">
            <v>0.10986775178026442</v>
          </cell>
          <cell r="U50">
            <v>6.321307431390677E-2</v>
          </cell>
          <cell r="V50">
            <v>5.504587155963292E-2</v>
          </cell>
          <cell r="W50">
            <v>6.1158550657742783E-2</v>
          </cell>
          <cell r="X50">
            <v>0.17312145719298289</v>
          </cell>
          <cell r="Y50">
            <v>-6.5675148562037822E-2</v>
          </cell>
          <cell r="Z50">
            <v>4.9822573355961186E-2</v>
          </cell>
          <cell r="AA50">
            <v>1.5367151970670179E-2</v>
          </cell>
          <cell r="AB50">
            <v>3.8920350406033144E-2</v>
          </cell>
          <cell r="AC50">
            <v>0.11391400834782561</v>
          </cell>
          <cell r="AD50">
            <v>5.7676919921705316E-2</v>
          </cell>
          <cell r="AE50">
            <v>3.7673831333739694E-2</v>
          </cell>
          <cell r="AF50">
            <v>6.8767092816704123E-2</v>
          </cell>
          <cell r="AG50">
            <v>5.1962088839710541E-2</v>
          </cell>
          <cell r="AH50">
            <v>3.9060204210204175E-2</v>
          </cell>
          <cell r="AI50">
            <v>4.7972285370291967E-2</v>
          </cell>
          <cell r="AJ50">
            <v>4.5068959400016428E-3</v>
          </cell>
          <cell r="AK50">
            <v>3.6523192279897421E-2</v>
          </cell>
          <cell r="AL50">
            <v>-4.2461115227121815E-2</v>
          </cell>
          <cell r="AM50">
            <v>7.2330674599569988E-2</v>
          </cell>
          <cell r="AN50">
            <v>1.1131728439916611E-2</v>
          </cell>
          <cell r="AO50">
            <v>7.1870368197059831E-2</v>
          </cell>
          <cell r="AP50">
            <v>2.9754929221608384E-2</v>
          </cell>
          <cell r="AQ50">
            <v>8.2551803729352446E-2</v>
          </cell>
          <cell r="AR50">
            <v>4.3232438014776609E-2</v>
          </cell>
          <cell r="AS50">
            <v>0.14613239986551174</v>
          </cell>
          <cell r="AT50">
            <v>0.23852064079755819</v>
          </cell>
          <cell r="AU50">
            <v>0.19187634987327096</v>
          </cell>
          <cell r="AV50">
            <v>0.17283709685702275</v>
          </cell>
          <cell r="AW50">
            <v>0.18579993308819187</v>
          </cell>
          <cell r="AX50">
            <v>9.9784637473079529E-2</v>
          </cell>
          <cell r="AY50">
            <v>0.16301516031235153</v>
          </cell>
          <cell r="AZ50">
            <v>-4.9901510177281838E-2</v>
          </cell>
          <cell r="BA50">
            <v>-3.2218091697645668E-2</v>
          </cell>
          <cell r="BB50">
            <v>-4.080331526936587E-2</v>
          </cell>
          <cell r="BC50">
            <v>-5.1140290255701326E-2</v>
          </cell>
          <cell r="BD50">
            <v>-4.4066317626527129E-2</v>
          </cell>
          <cell r="BE50">
            <v>-3.6553524804177728E-2</v>
          </cell>
          <cell r="BF50">
            <v>-4.2184434270765347E-2</v>
          </cell>
          <cell r="BL50">
            <v>6.3558545408688438E-3</v>
          </cell>
          <cell r="BM50">
            <v>2.5747548989245583E-3</v>
          </cell>
          <cell r="BN50">
            <v>-2.2097240096212278E-2</v>
          </cell>
          <cell r="BO50">
            <v>1.071038781836986E-2</v>
          </cell>
          <cell r="BP50">
            <v>-1.8430184077499079E-2</v>
          </cell>
          <cell r="BQ50">
            <v>2.5944152302998846E-2</v>
          </cell>
          <cell r="BR50">
            <v>1.1871625679590769E-2</v>
          </cell>
          <cell r="BS50">
            <v>3.0000000000000027E-2</v>
          </cell>
          <cell r="BT50">
            <v>-5.0000000000000044E-2</v>
          </cell>
          <cell r="BU50">
            <v>-5.0000000000000044E-2</v>
          </cell>
          <cell r="BV50">
            <v>-5.0000000000000044E-2</v>
          </cell>
          <cell r="BW50">
            <v>-5.0000000000000044E-2</v>
          </cell>
          <cell r="BX50">
            <v>-5.0000000000000044E-2</v>
          </cell>
          <cell r="BY50">
            <v>-5.0000000000000044E-2</v>
          </cell>
          <cell r="BZ50">
            <v>-5.0000000000000044E-2</v>
          </cell>
          <cell r="CA50">
            <v>-5.0000000000000044E-2</v>
          </cell>
          <cell r="CB50">
            <v>-5.0000000000000044E-2</v>
          </cell>
        </row>
        <row r="51">
          <cell r="A51" t="str">
            <v xml:space="preserve">     Year-on-Year Growth % CER</v>
          </cell>
          <cell r="AL51">
            <v>0</v>
          </cell>
          <cell r="AM51">
            <v>0</v>
          </cell>
          <cell r="AN51">
            <v>0</v>
          </cell>
          <cell r="AO51">
            <v>0</v>
          </cell>
          <cell r="AP51">
            <v>0</v>
          </cell>
          <cell r="AQ51">
            <v>0</v>
          </cell>
          <cell r="AY51">
            <v>0.122</v>
          </cell>
          <cell r="AZ51">
            <v>-4.3999999999999997E-2</v>
          </cell>
          <cell r="BA51">
            <v>-0.01</v>
          </cell>
          <cell r="BC51">
            <v>8.0000000000000002E-3</v>
          </cell>
          <cell r="BL51">
            <v>0.03</v>
          </cell>
          <cell r="BM51">
            <v>0.03</v>
          </cell>
          <cell r="BO51">
            <v>0.03</v>
          </cell>
          <cell r="BR51">
            <v>0.03</v>
          </cell>
          <cell r="BS51">
            <v>0.03</v>
          </cell>
          <cell r="BT51">
            <v>-0.05</v>
          </cell>
          <cell r="BU51">
            <v>-0.05</v>
          </cell>
          <cell r="BV51">
            <v>-0.05</v>
          </cell>
          <cell r="BW51">
            <v>-0.05</v>
          </cell>
          <cell r="BX51">
            <v>-0.05</v>
          </cell>
          <cell r="BY51">
            <v>-0.05</v>
          </cell>
          <cell r="BZ51">
            <v>-0.05</v>
          </cell>
          <cell r="CA51">
            <v>-0.05</v>
          </cell>
          <cell r="CB51">
            <v>-0.05</v>
          </cell>
          <cell r="CC51" t="str">
            <v>Check with Merck re regional split</v>
          </cell>
        </row>
        <row r="52">
          <cell r="A52" t="str">
            <v>Others</v>
          </cell>
          <cell r="J52">
            <v>19.5</v>
          </cell>
          <cell r="K52">
            <v>23.300000000000011</v>
          </cell>
          <cell r="L52">
            <v>42.800000000000011</v>
          </cell>
          <cell r="M52">
            <v>19.700000000000003</v>
          </cell>
          <cell r="N52">
            <v>62.500000000000014</v>
          </cell>
          <cell r="O52">
            <v>23.099999999999994</v>
          </cell>
          <cell r="P52">
            <v>85.600000000000009</v>
          </cell>
          <cell r="Q52">
            <v>25.900000000000006</v>
          </cell>
          <cell r="R52">
            <v>26.399999999999991</v>
          </cell>
          <cell r="S52">
            <v>52.3</v>
          </cell>
          <cell r="T52">
            <v>24.200000000000017</v>
          </cell>
          <cell r="U52">
            <v>76.500000000000014</v>
          </cell>
          <cell r="V52">
            <v>28.900000000000006</v>
          </cell>
          <cell r="W52">
            <v>105.40000000000002</v>
          </cell>
          <cell r="X52">
            <v>30.491450399999991</v>
          </cell>
          <cell r="Y52">
            <v>33.320909849999993</v>
          </cell>
          <cell r="Z52">
            <v>63.812360249999983</v>
          </cell>
          <cell r="AA52">
            <v>29.274100000000004</v>
          </cell>
          <cell r="AB52">
            <v>93.086460249999988</v>
          </cell>
          <cell r="AC52">
            <v>36.693916940000065</v>
          </cell>
          <cell r="AD52">
            <v>129.78037719000005</v>
          </cell>
          <cell r="AE52">
            <v>37.049506169999916</v>
          </cell>
          <cell r="AF52">
            <v>39.389512940000159</v>
          </cell>
          <cell r="AG52">
            <v>76.439019110000075</v>
          </cell>
          <cell r="AH52">
            <v>35.163791979999857</v>
          </cell>
          <cell r="AI52">
            <v>111.60281108999993</v>
          </cell>
          <cell r="AJ52">
            <v>40.940299709999778</v>
          </cell>
          <cell r="AK52">
            <v>152.54311079999971</v>
          </cell>
          <cell r="AL52">
            <v>39.741906969999945</v>
          </cell>
          <cell r="AM52">
            <v>43.609712510000207</v>
          </cell>
          <cell r="AN52">
            <v>83.351619480000153</v>
          </cell>
          <cell r="AO52">
            <v>40.175624450000342</v>
          </cell>
          <cell r="AP52">
            <v>123.52724393000049</v>
          </cell>
          <cell r="AQ52">
            <v>47.399999999999977</v>
          </cell>
          <cell r="AR52">
            <v>170.92724393000049</v>
          </cell>
          <cell r="AS52">
            <v>48.699999999999989</v>
          </cell>
          <cell r="AT52">
            <v>53.199999999999989</v>
          </cell>
          <cell r="AU52">
            <v>101.89999999999998</v>
          </cell>
          <cell r="AV52">
            <v>48.100000000000023</v>
          </cell>
          <cell r="AW52">
            <v>150</v>
          </cell>
          <cell r="AX52">
            <v>55.100000000000023</v>
          </cell>
          <cell r="AY52">
            <v>205.10000000000002</v>
          </cell>
          <cell r="AZ52">
            <v>53.100000000000023</v>
          </cell>
          <cell r="BA52">
            <v>58.300000000000011</v>
          </cell>
          <cell r="BB52">
            <v>111.40000000000003</v>
          </cell>
          <cell r="BC52">
            <v>54.799999999999983</v>
          </cell>
          <cell r="BD52">
            <v>166.20000000000002</v>
          </cell>
          <cell r="BE52">
            <v>55.400000000000006</v>
          </cell>
          <cell r="BF52">
            <v>221.60000000000002</v>
          </cell>
          <cell r="BL52">
            <v>57.069170353138048</v>
          </cell>
          <cell r="BM52">
            <v>62.42244566181364</v>
          </cell>
          <cell r="BN52">
            <v>119.49161601495169</v>
          </cell>
          <cell r="BO52">
            <v>59.151089492904191</v>
          </cell>
          <cell r="BP52">
            <v>178.64270550785588</v>
          </cell>
          <cell r="BQ52">
            <v>60.827029905403435</v>
          </cell>
          <cell r="BR52">
            <v>239.46973541325931</v>
          </cell>
          <cell r="BS52">
            <v>263.41670895458526</v>
          </cell>
          <cell r="BT52">
            <v>289.75837985004381</v>
          </cell>
          <cell r="BU52">
            <v>318.73421783504824</v>
          </cell>
          <cell r="BV52">
            <v>350.60763961855309</v>
          </cell>
          <cell r="BW52">
            <v>385.66840358040844</v>
          </cell>
          <cell r="BX52">
            <v>424.23524393844934</v>
          </cell>
          <cell r="BY52">
            <v>466.6587683322943</v>
          </cell>
          <cell r="BZ52">
            <v>513.32464516552375</v>
          </cell>
          <cell r="CA52">
            <v>564.65710968207622</v>
          </cell>
          <cell r="CB52">
            <v>621.12282065028387</v>
          </cell>
        </row>
        <row r="53">
          <cell r="A53" t="str">
            <v xml:space="preserve">     Year-on-Year Growth % reported</v>
          </cell>
          <cell r="Q53">
            <v>0.32820512820512859</v>
          </cell>
          <cell r="R53">
            <v>0.13304721030042832</v>
          </cell>
          <cell r="S53">
            <v>0.22196261682242957</v>
          </cell>
          <cell r="T53">
            <v>0.22842639593908709</v>
          </cell>
          <cell r="U53">
            <v>0.22399999999999998</v>
          </cell>
          <cell r="V53">
            <v>0.25108225108225168</v>
          </cell>
          <cell r="W53">
            <v>0.23130841121495349</v>
          </cell>
          <cell r="X53">
            <v>0.17727607722007654</v>
          </cell>
          <cell r="Y53">
            <v>0.2621556761363637</v>
          </cell>
          <cell r="Z53">
            <v>0.22012161089866122</v>
          </cell>
          <cell r="AA53">
            <v>0.20967355371900753</v>
          </cell>
          <cell r="AB53">
            <v>0.21681647385620884</v>
          </cell>
          <cell r="AC53">
            <v>0.26968570726643804</v>
          </cell>
          <cell r="AD53">
            <v>0.23131287656546506</v>
          </cell>
          <cell r="AE53">
            <v>0.21507851164731506</v>
          </cell>
          <cell r="AF53">
            <v>0.18212597186928758</v>
          </cell>
          <cell r="AG53">
            <v>0.19787167894326707</v>
          </cell>
          <cell r="AH53">
            <v>0.20119122295817293</v>
          </cell>
          <cell r="AI53">
            <v>0.19891561877281672</v>
          </cell>
          <cell r="AJ53">
            <v>0.11572443402385124</v>
          </cell>
          <cell r="AK53">
            <v>0.1753942630069163</v>
          </cell>
          <cell r="AL53">
            <v>7.2670355919079554E-2</v>
          </cell>
          <cell r="AM53">
            <v>0.10714018161200523</v>
          </cell>
          <cell r="AN53">
            <v>9.0432876435167842E-2</v>
          </cell>
          <cell r="AO53">
            <v>0.14252821404617189</v>
          </cell>
          <cell r="AP53">
            <v>0.10684706526240029</v>
          </cell>
          <cell r="AQ53">
            <v>0.15778341477120161</v>
          </cell>
          <cell r="AR53">
            <v>0.12051762307446534</v>
          </cell>
          <cell r="AS53">
            <v>0.22540672335533007</v>
          </cell>
          <cell r="AT53">
            <v>0.2199117338322425</v>
          </cell>
          <cell r="AU53">
            <v>0.22253173526460901</v>
          </cell>
          <cell r="AV53">
            <v>0.1972433697915954</v>
          </cell>
          <cell r="AW53">
            <v>0.21430702432736926</v>
          </cell>
          <cell r="AX53">
            <v>0.16244725738396726</v>
          </cell>
          <cell r="AY53">
            <v>0.19992574199578295</v>
          </cell>
          <cell r="AZ53">
            <v>9.0349075975360016E-2</v>
          </cell>
          <cell r="BA53">
            <v>9.5864661654135874E-2</v>
          </cell>
          <cell r="BB53">
            <v>9.3228655544652206E-2</v>
          </cell>
          <cell r="BC53">
            <v>0.13929313929313847</v>
          </cell>
          <cell r="BD53">
            <v>0.1080000000000001</v>
          </cell>
          <cell r="BE53">
            <v>5.4446460980033251E-3</v>
          </cell>
          <cell r="BF53">
            <v>8.0448561677230579E-2</v>
          </cell>
          <cell r="BL53">
            <v>7.474897086888932E-2</v>
          </cell>
          <cell r="BM53">
            <v>7.0710903290113647E-2</v>
          </cell>
          <cell r="BN53">
            <v>7.263569133708847E-2</v>
          </cell>
          <cell r="BO53">
            <v>7.9399443301171768E-2</v>
          </cell>
          <cell r="BP53">
            <v>7.4865857447989459E-2</v>
          </cell>
          <cell r="BQ53">
            <v>9.7960828617390527E-2</v>
          </cell>
          <cell r="BR53">
            <v>8.0639600240339782E-2</v>
          </cell>
          <cell r="BS53">
            <v>0.10000000000000009</v>
          </cell>
          <cell r="BT53">
            <v>0.10000000000000009</v>
          </cell>
          <cell r="BU53">
            <v>0.10000000000000009</v>
          </cell>
          <cell r="BV53">
            <v>0.10000000000000009</v>
          </cell>
          <cell r="BW53">
            <v>0.10000000000000009</v>
          </cell>
          <cell r="BX53">
            <v>0.10000000000000009</v>
          </cell>
          <cell r="BY53">
            <v>0.10000000000000009</v>
          </cell>
          <cell r="BZ53">
            <v>0.10000000000000009</v>
          </cell>
          <cell r="CA53">
            <v>0.10000000000000009</v>
          </cell>
          <cell r="CB53">
            <v>0.10000000000000009</v>
          </cell>
        </row>
        <row r="54">
          <cell r="A54" t="str">
            <v xml:space="preserve">     Year-on-Year Growth % CER</v>
          </cell>
          <cell r="AL54">
            <v>0</v>
          </cell>
          <cell r="AM54">
            <v>0</v>
          </cell>
          <cell r="AN54">
            <v>0</v>
          </cell>
          <cell r="AO54">
            <v>0</v>
          </cell>
          <cell r="AP54">
            <v>0</v>
          </cell>
          <cell r="AQ54">
            <v>0</v>
          </cell>
          <cell r="BL54">
            <v>0.1</v>
          </cell>
          <cell r="BM54">
            <v>0.1</v>
          </cell>
          <cell r="BO54">
            <v>0.1</v>
          </cell>
          <cell r="BR54">
            <v>0.1</v>
          </cell>
          <cell r="BS54">
            <v>0.1</v>
          </cell>
          <cell r="BT54">
            <v>0.1</v>
          </cell>
          <cell r="BU54">
            <v>0.1</v>
          </cell>
          <cell r="BV54">
            <v>0.1</v>
          </cell>
          <cell r="BW54">
            <v>0.1</v>
          </cell>
          <cell r="BX54">
            <v>0.1</v>
          </cell>
          <cell r="BY54">
            <v>0.1</v>
          </cell>
          <cell r="BZ54">
            <v>0.1</v>
          </cell>
          <cell r="CA54">
            <v>0.1</v>
          </cell>
          <cell r="CB54">
            <v>0.1</v>
          </cell>
        </row>
        <row r="56">
          <cell r="A56" t="str">
            <v>Endocrinology</v>
          </cell>
          <cell r="J56">
            <v>53.2</v>
          </cell>
          <cell r="K56">
            <v>56.6</v>
          </cell>
          <cell r="L56">
            <v>109.80000000000001</v>
          </cell>
          <cell r="M56">
            <v>53.8</v>
          </cell>
          <cell r="N56">
            <v>163.60000000000002</v>
          </cell>
          <cell r="O56">
            <v>54.8</v>
          </cell>
          <cell r="P56">
            <v>218.40000000000003</v>
          </cell>
          <cell r="Q56">
            <v>51.9</v>
          </cell>
          <cell r="R56">
            <v>56</v>
          </cell>
          <cell r="S56">
            <v>107.9</v>
          </cell>
          <cell r="T56">
            <v>57.8</v>
          </cell>
          <cell r="U56">
            <v>165.7</v>
          </cell>
          <cell r="V56">
            <v>63.2</v>
          </cell>
          <cell r="W56">
            <v>228.89999999999998</v>
          </cell>
          <cell r="X56">
            <v>60.76147177</v>
          </cell>
          <cell r="Y56">
            <v>64.820507620000043</v>
          </cell>
          <cell r="Z56">
            <v>125.58197939000004</v>
          </cell>
          <cell r="AA56">
            <v>66.203809729999918</v>
          </cell>
          <cell r="AB56">
            <v>191.78578911999995</v>
          </cell>
          <cell r="AC56">
            <v>70.140562160000016</v>
          </cell>
          <cell r="AD56">
            <v>261.92635127999995</v>
          </cell>
          <cell r="AE56">
            <v>75.288296610000003</v>
          </cell>
          <cell r="AF56">
            <v>79.70600294999997</v>
          </cell>
          <cell r="AG56">
            <v>154.99429955999997</v>
          </cell>
          <cell r="AH56">
            <v>79.402867469999961</v>
          </cell>
          <cell r="AI56">
            <v>234.39716702999993</v>
          </cell>
          <cell r="AJ56">
            <v>82.357122170000054</v>
          </cell>
          <cell r="AK56">
            <v>316.75428920000002</v>
          </cell>
          <cell r="AL56">
            <v>80.350462309999998</v>
          </cell>
          <cell r="AM56">
            <v>82.875530460000036</v>
          </cell>
          <cell r="AN56">
            <v>163.22599277000003</v>
          </cell>
          <cell r="AO56">
            <v>89.563622549999991</v>
          </cell>
          <cell r="AP56">
            <v>252.78961532</v>
          </cell>
          <cell r="AQ56">
            <v>89.4</v>
          </cell>
          <cell r="AR56">
            <v>342.18961532000003</v>
          </cell>
          <cell r="AS56">
            <v>91.7</v>
          </cell>
          <cell r="AT56">
            <v>103.4</v>
          </cell>
          <cell r="AU56">
            <v>195.10000000000002</v>
          </cell>
          <cell r="AV56">
            <v>102.4</v>
          </cell>
          <cell r="AW56">
            <v>297.5</v>
          </cell>
          <cell r="AX56">
            <v>101.69999999999999</v>
          </cell>
          <cell r="AY56">
            <v>399.2</v>
          </cell>
          <cell r="AZ56">
            <v>91.7</v>
          </cell>
          <cell r="BA56">
            <v>101.1</v>
          </cell>
          <cell r="BB56">
            <v>192.79999999999998</v>
          </cell>
          <cell r="BC56">
            <v>103</v>
          </cell>
          <cell r="BD56">
            <v>295.79999999999995</v>
          </cell>
          <cell r="BE56">
            <v>98.000000000000057</v>
          </cell>
          <cell r="BF56">
            <v>393.8</v>
          </cell>
          <cell r="BG56">
            <v>91.7</v>
          </cell>
          <cell r="BH56">
            <v>101.1</v>
          </cell>
          <cell r="BI56">
            <v>103</v>
          </cell>
          <cell r="BJ56">
            <v>98.000000000000057</v>
          </cell>
          <cell r="BK56">
            <v>393.80000000000007</v>
          </cell>
          <cell r="BL56">
            <v>93.910946477334804</v>
          </cell>
          <cell r="BM56">
            <v>103.11634455925724</v>
          </cell>
          <cell r="BN56">
            <v>197.02729103659203</v>
          </cell>
          <cell r="BO56">
            <v>105.62638625450573</v>
          </cell>
          <cell r="BP56">
            <v>302.65367729109778</v>
          </cell>
          <cell r="BQ56">
            <v>101.5544649262698</v>
          </cell>
          <cell r="BR56">
            <v>404.20814221736759</v>
          </cell>
          <cell r="BS56">
            <v>419.66498648388858</v>
          </cell>
          <cell r="BT56">
            <v>435.75206607840528</v>
          </cell>
          <cell r="BU56">
            <v>444.93203232840528</v>
          </cell>
          <cell r="BV56">
            <v>454.57099689090529</v>
          </cell>
          <cell r="BW56">
            <v>452.08427262761001</v>
          </cell>
          <cell r="BX56">
            <v>450.73397585654197</v>
          </cell>
          <cell r="BY56">
            <v>450.513889767043</v>
          </cell>
          <cell r="BZ56">
            <v>451.42063861718543</v>
          </cell>
          <cell r="CA56">
            <v>453.45367219174545</v>
          </cell>
          <cell r="CB56">
            <v>456.61525736284841</v>
          </cell>
        </row>
        <row r="57">
          <cell r="A57" t="str">
            <v xml:space="preserve">     Year-on-Year Growth %</v>
          </cell>
          <cell r="W57">
            <v>4.8076923076922906E-2</v>
          </cell>
          <cell r="X57">
            <v>0.17074126724470129</v>
          </cell>
          <cell r="Y57">
            <v>0.15750906464285785</v>
          </cell>
          <cell r="Z57">
            <v>0.16387376635773898</v>
          </cell>
          <cell r="AA57">
            <v>0.14539463200691904</v>
          </cell>
          <cell r="AB57">
            <v>0.15742781605310774</v>
          </cell>
          <cell r="AC57">
            <v>0.10981902151898759</v>
          </cell>
          <cell r="AD57">
            <v>0.14428288020969848</v>
          </cell>
          <cell r="AE57">
            <v>0.23907954196679593</v>
          </cell>
          <cell r="AF57">
            <v>0.22964175808779208</v>
          </cell>
          <cell r="AG57">
            <v>0.2342081269372156</v>
          </cell>
          <cell r="AH57">
            <v>0.19937006335179164</v>
          </cell>
          <cell r="AI57">
            <v>0.2221821444931884</v>
          </cell>
          <cell r="AJ57">
            <v>0.17417254201830357</v>
          </cell>
          <cell r="AK57">
            <v>0.20932578051831396</v>
          </cell>
          <cell r="AL57">
            <v>6.7237086345869335E-2</v>
          </cell>
          <cell r="AM57">
            <v>3.9765229627539256E-2</v>
          </cell>
          <cell r="AN57">
            <v>5.3109651344393383E-2</v>
          </cell>
          <cell r="AO57">
            <v>0.12796458621395468</v>
          </cell>
          <cell r="AP57">
            <v>7.8467024678869235E-2</v>
          </cell>
          <cell r="AQ57">
            <v>8.551631776863422E-2</v>
          </cell>
          <cell r="AR57">
            <v>8.0299863292269569E-2</v>
          </cell>
          <cell r="AS57">
            <v>0.14125043420674266</v>
          </cell>
          <cell r="AT57">
            <v>0.24765415588991169</v>
          </cell>
          <cell r="AU57">
            <v>0.19527531546347099</v>
          </cell>
          <cell r="AV57">
            <v>0.14332132940283815</v>
          </cell>
          <cell r="AW57">
            <v>0.17686796438770735</v>
          </cell>
          <cell r="AX57">
            <v>0.13758389261744952</v>
          </cell>
          <cell r="AY57">
            <v>0.16660466047950195</v>
          </cell>
          <cell r="AZ57">
            <v>0</v>
          </cell>
          <cell r="BA57">
            <v>-2.2243713733075543E-2</v>
          </cell>
          <cell r="BB57">
            <v>-1.1788826242952521E-2</v>
          </cell>
          <cell r="BC57">
            <v>5.859375E-3</v>
          </cell>
          <cell r="BD57">
            <v>-5.7142857142858938E-3</v>
          </cell>
          <cell r="BE57">
            <v>-3.6381514257619818E-2</v>
          </cell>
          <cell r="BF57">
            <v>-1.3527054108216419E-2</v>
          </cell>
          <cell r="BL57">
            <v>2.4110648607794882E-2</v>
          </cell>
          <cell r="BM57">
            <v>1.9944060922425733E-2</v>
          </cell>
          <cell r="BN57">
            <v>2.1925783384813435E-2</v>
          </cell>
          <cell r="BO57">
            <v>2.5498895674813005E-2</v>
          </cell>
          <cell r="BP57">
            <v>2.3169970558140074E-2</v>
          </cell>
          <cell r="BQ57">
            <v>3.6270050268058629E-2</v>
          </cell>
          <cell r="BR57">
            <v>2.6430020866855308E-2</v>
          </cell>
          <cell r="BS57">
            <v>3.8239814224743984E-2</v>
          </cell>
          <cell r="BT57">
            <v>3.8333146944900864E-2</v>
          </cell>
          <cell r="BU57">
            <v>2.1066948305296762E-2</v>
          </cell>
          <cell r="BV57">
            <v>2.1663903387799888E-2</v>
          </cell>
          <cell r="BW57">
            <v>-5.4704859753559321E-3</v>
          </cell>
          <cell r="BX57">
            <v>-2.986825361607548E-3</v>
          </cell>
          <cell r="BY57">
            <v>-4.8828377998522132E-4</v>
          </cell>
          <cell r="BZ57">
            <v>2.0126989882849333E-3</v>
          </cell>
          <cell r="CA57">
            <v>4.5036345276274758E-3</v>
          </cell>
          <cell r="CB57">
            <v>6.9722341332503213E-3</v>
          </cell>
        </row>
        <row r="58">
          <cell r="A58" t="str">
            <v>Saizen</v>
          </cell>
          <cell r="C58">
            <v>41.476879999999994</v>
          </cell>
          <cell r="D58">
            <v>42.759497695120011</v>
          </cell>
          <cell r="E58">
            <v>84.236377695120012</v>
          </cell>
          <cell r="F58">
            <v>39.888276370768367</v>
          </cell>
          <cell r="G58">
            <v>124.12465406588838</v>
          </cell>
          <cell r="H58">
            <v>42.410637072061689</v>
          </cell>
          <cell r="I58">
            <v>166.53529113795008</v>
          </cell>
          <cell r="J58">
            <v>39.5</v>
          </cell>
          <cell r="K58">
            <v>42.6</v>
          </cell>
          <cell r="L58">
            <v>82.1</v>
          </cell>
          <cell r="M58">
            <v>38.700000000000003</v>
          </cell>
          <cell r="N58">
            <v>120.8</v>
          </cell>
          <cell r="O58">
            <v>42.3</v>
          </cell>
          <cell r="P58">
            <v>163.1</v>
          </cell>
          <cell r="Q58">
            <v>39.200000000000003</v>
          </cell>
          <cell r="R58">
            <v>43.1</v>
          </cell>
          <cell r="S58">
            <v>82.300000000000011</v>
          </cell>
          <cell r="T58">
            <v>43.2</v>
          </cell>
          <cell r="U58">
            <v>125.50000000000001</v>
          </cell>
          <cell r="V58">
            <v>46.8</v>
          </cell>
          <cell r="W58">
            <v>172.3</v>
          </cell>
          <cell r="X58">
            <v>45.9</v>
          </cell>
          <cell r="Y58">
            <v>47.6</v>
          </cell>
          <cell r="Z58">
            <v>93.5</v>
          </cell>
          <cell r="AA58">
            <v>47.4</v>
          </cell>
          <cell r="AB58">
            <v>140.9</v>
          </cell>
          <cell r="AC58">
            <v>50.5</v>
          </cell>
          <cell r="AD58">
            <v>191.4</v>
          </cell>
          <cell r="AE58">
            <v>54.2</v>
          </cell>
          <cell r="AF58">
            <v>57.8</v>
          </cell>
          <cell r="AG58">
            <v>112</v>
          </cell>
          <cell r="AH58">
            <v>56</v>
          </cell>
          <cell r="AI58">
            <v>168</v>
          </cell>
          <cell r="AJ58">
            <v>58.490786759999963</v>
          </cell>
          <cell r="AK58">
            <v>226.49078675999996</v>
          </cell>
          <cell r="AL58">
            <v>54.938941220000032</v>
          </cell>
          <cell r="AM58">
            <v>54.698472629999976</v>
          </cell>
          <cell r="AN58">
            <v>109.63741385</v>
          </cell>
          <cell r="AO58">
            <v>59.230413219999953</v>
          </cell>
          <cell r="AP58">
            <v>168.86782706999995</v>
          </cell>
          <cell r="AQ58">
            <v>56.2</v>
          </cell>
          <cell r="AR58">
            <v>225.06782706999996</v>
          </cell>
          <cell r="AS58">
            <v>59.5</v>
          </cell>
          <cell r="AT58">
            <v>64.099999999999994</v>
          </cell>
          <cell r="AU58">
            <v>123.6</v>
          </cell>
          <cell r="AV58">
            <v>64.3</v>
          </cell>
          <cell r="AW58">
            <v>187.89999999999998</v>
          </cell>
          <cell r="AX58">
            <v>62.600000000000023</v>
          </cell>
          <cell r="AY58">
            <v>250.5</v>
          </cell>
          <cell r="AZ58">
            <v>54</v>
          </cell>
          <cell r="BA58">
            <v>60.6</v>
          </cell>
          <cell r="BB58">
            <v>114.6</v>
          </cell>
          <cell r="BC58">
            <v>60.8</v>
          </cell>
          <cell r="BD58">
            <v>175.39999999999998</v>
          </cell>
          <cell r="BE58">
            <v>59.800000000000011</v>
          </cell>
          <cell r="BF58">
            <v>235.2</v>
          </cell>
          <cell r="BL58">
            <v>54.325946477334796</v>
          </cell>
          <cell r="BM58">
            <v>60.591344559257244</v>
          </cell>
          <cell r="BN58">
            <v>114.91729103659205</v>
          </cell>
          <cell r="BO58">
            <v>61.31638625450573</v>
          </cell>
          <cell r="BP58">
            <v>176.23367729109776</v>
          </cell>
          <cell r="BQ58">
            <v>61.444464926269774</v>
          </cell>
          <cell r="BR58">
            <v>237.67814221736754</v>
          </cell>
          <cell r="BS58">
            <v>244.80848648388857</v>
          </cell>
          <cell r="BT58">
            <v>252.15274107840523</v>
          </cell>
          <cell r="BU58">
            <v>252.15274107840523</v>
          </cell>
          <cell r="BV58">
            <v>252.15274107840523</v>
          </cell>
          <cell r="BW58">
            <v>239.54510402448494</v>
          </cell>
          <cell r="BX58">
            <v>227.56784882326068</v>
          </cell>
          <cell r="BY58">
            <v>216.18945638209763</v>
          </cell>
          <cell r="BZ58">
            <v>205.37998356299275</v>
          </cell>
          <cell r="CA58">
            <v>195.11098438484311</v>
          </cell>
          <cell r="CB58">
            <v>185.35543516560094</v>
          </cell>
          <cell r="CG58" t="str">
            <v>mstag:saizen</v>
          </cell>
          <cell r="CH58">
            <v>6</v>
          </cell>
          <cell r="CI58" t="str">
            <v>ISO4217:EUR</v>
          </cell>
          <cell r="CJ58" t="b">
            <v>0</v>
          </cell>
        </row>
        <row r="59">
          <cell r="A59" t="str">
            <v xml:space="preserve">     Year-on-Year Growth % reported</v>
          </cell>
          <cell r="P59">
            <v>-2.06280069195931E-2</v>
          </cell>
          <cell r="Q59">
            <v>-7.5949367088606889E-3</v>
          </cell>
          <cell r="R59">
            <v>1.1737089201877993E-2</v>
          </cell>
          <cell r="S59">
            <v>2.4360535931793326E-3</v>
          </cell>
          <cell r="T59">
            <v>0.11627906976744184</v>
          </cell>
          <cell r="U59">
            <v>3.8907284768212147E-2</v>
          </cell>
          <cell r="V59">
            <v>0.1063829787234043</v>
          </cell>
          <cell r="W59">
            <v>5.6407112201103615E-2</v>
          </cell>
          <cell r="X59">
            <v>0.17091836734693855</v>
          </cell>
          <cell r="Y59">
            <v>0.10440835266821336</v>
          </cell>
          <cell r="Z59">
            <v>0.13608748481166444</v>
          </cell>
          <cell r="AA59">
            <v>9.7222222222222099E-2</v>
          </cell>
          <cell r="AB59">
            <v>0.12270916334661353</v>
          </cell>
          <cell r="AC59">
            <v>7.9059829059829223E-2</v>
          </cell>
          <cell r="AD59">
            <v>0.11085316308763771</v>
          </cell>
          <cell r="AE59">
            <v>0.18082788671023975</v>
          </cell>
          <cell r="AF59">
            <v>0.21428571428571419</v>
          </cell>
          <cell r="AG59">
            <v>0.19786096256684482</v>
          </cell>
          <cell r="AH59">
            <v>0.18143459915611815</v>
          </cell>
          <cell r="AI59">
            <v>0.19233498935415194</v>
          </cell>
          <cell r="AJ59">
            <v>0.15823340118811813</v>
          </cell>
          <cell r="AK59">
            <v>0.18333744388714712</v>
          </cell>
          <cell r="AL59">
            <v>1.3633601845018939E-2</v>
          </cell>
          <cell r="AM59">
            <v>-5.3659643079585151E-2</v>
          </cell>
          <cell r="AN59">
            <v>-2.1094519196428574E-2</v>
          </cell>
          <cell r="AO59">
            <v>5.768595035714208E-2</v>
          </cell>
          <cell r="AP59">
            <v>5.1656373214281626E-3</v>
          </cell>
          <cell r="AQ59">
            <v>-3.9164916167045982E-2</v>
          </cell>
          <cell r="AR59">
            <v>-6.2826382933970359E-3</v>
          </cell>
          <cell r="AS59">
            <v>8.3020507470929372E-2</v>
          </cell>
          <cell r="AT59">
            <v>0.17187915709448243</v>
          </cell>
          <cell r="AU59">
            <v>0.1273523851000613</v>
          </cell>
          <cell r="AV59">
            <v>8.559094060630712E-2</v>
          </cell>
          <cell r="AW59">
            <v>0.11270455278678226</v>
          </cell>
          <cell r="AX59">
            <v>0.11387900355871916</v>
          </cell>
          <cell r="AY59">
            <v>0.11299781608541593</v>
          </cell>
          <cell r="AZ59">
            <v>-9.2436974789915971E-2</v>
          </cell>
          <cell r="BA59">
            <v>-5.4602184087363392E-2</v>
          </cell>
          <cell r="BB59">
            <v>-7.2815533980582492E-2</v>
          </cell>
          <cell r="BC59">
            <v>-5.4432348367029593E-2</v>
          </cell>
          <cell r="BD59">
            <v>-6.6524747205960577E-2</v>
          </cell>
          <cell r="BE59">
            <v>-4.4728434504792469E-2</v>
          </cell>
          <cell r="BF59">
            <v>-6.1077844311377305E-2</v>
          </cell>
          <cell r="BL59">
            <v>-3.6291263438934518E-3</v>
          </cell>
          <cell r="BM59">
            <v>-9.9847572073926694E-3</v>
          </cell>
          <cell r="BN59">
            <v>2.7686826927753039E-3</v>
          </cell>
          <cell r="BO59">
            <v>1.7492190581296363E-3</v>
          </cell>
          <cell r="BP59">
            <v>4.7530062206260215E-3</v>
          </cell>
          <cell r="BQ59">
            <v>2.7499413482771962E-2</v>
          </cell>
          <cell r="BR59">
            <v>3.7617585760043593E-3</v>
          </cell>
          <cell r="BS59">
            <v>3.0000000000000027E-2</v>
          </cell>
          <cell r="BT59">
            <v>3.0000000000000027E-2</v>
          </cell>
          <cell r="BU59">
            <v>0</v>
          </cell>
          <cell r="BV59">
            <v>0</v>
          </cell>
          <cell r="BW59">
            <v>-5.0000000000000044E-2</v>
          </cell>
          <cell r="BX59">
            <v>-5.0000000000000044E-2</v>
          </cell>
          <cell r="BY59">
            <v>-5.0000000000000044E-2</v>
          </cell>
          <cell r="BZ59">
            <v>-5.0000000000000044E-2</v>
          </cell>
          <cell r="CA59">
            <v>-5.0000000000000044E-2</v>
          </cell>
          <cell r="CB59">
            <v>-5.0000000000000044E-2</v>
          </cell>
        </row>
        <row r="60">
          <cell r="A60" t="str">
            <v xml:space="preserve">     Year-on-Year Growth % CER</v>
          </cell>
          <cell r="J60">
            <v>-4.7662215672924169E-2</v>
          </cell>
          <cell r="K60">
            <v>-3.7301115241634708E-3</v>
          </cell>
          <cell r="L60">
            <v>-2.5361699464954368E-2</v>
          </cell>
          <cell r="M60">
            <v>-2.9790115765422676E-2</v>
          </cell>
          <cell r="N60">
            <v>-2.6784800255101437E-2</v>
          </cell>
          <cell r="O60">
            <v>-2.6087104486005597E-3</v>
          </cell>
          <cell r="BA60">
            <v>-3.2000000000000001E-2</v>
          </cell>
          <cell r="BC60">
            <v>8.9999999999999993E-3</v>
          </cell>
          <cell r="BL60">
            <v>0.03</v>
          </cell>
          <cell r="BM60">
            <v>0.03</v>
          </cell>
          <cell r="BO60">
            <v>0.03</v>
          </cell>
          <cell r="BR60">
            <v>0.03</v>
          </cell>
          <cell r="BS60">
            <v>0.03</v>
          </cell>
          <cell r="BT60">
            <v>0.03</v>
          </cell>
          <cell r="BU60">
            <v>0</v>
          </cell>
          <cell r="BV60">
            <v>0</v>
          </cell>
          <cell r="BW60">
            <v>-0.05</v>
          </cell>
          <cell r="BX60">
            <v>-0.05</v>
          </cell>
          <cell r="BY60">
            <v>-0.05</v>
          </cell>
          <cell r="BZ60">
            <v>-0.05</v>
          </cell>
          <cell r="CA60">
            <v>-0.05</v>
          </cell>
          <cell r="CB60">
            <v>-0.05</v>
          </cell>
        </row>
        <row r="61">
          <cell r="A61" t="str">
            <v>Others</v>
          </cell>
          <cell r="J61">
            <v>13.700000000000003</v>
          </cell>
          <cell r="K61">
            <v>14</v>
          </cell>
          <cell r="L61">
            <v>27.700000000000003</v>
          </cell>
          <cell r="M61">
            <v>15.099999999999994</v>
          </cell>
          <cell r="N61">
            <v>42.8</v>
          </cell>
          <cell r="O61">
            <v>12.5</v>
          </cell>
          <cell r="P61">
            <v>55.3</v>
          </cell>
          <cell r="Q61">
            <v>12.699999999999996</v>
          </cell>
          <cell r="R61">
            <v>12.899999999999999</v>
          </cell>
          <cell r="S61">
            <v>25.599999999999994</v>
          </cell>
          <cell r="T61">
            <v>14.599999999999994</v>
          </cell>
          <cell r="U61">
            <v>40.199999999999989</v>
          </cell>
          <cell r="V61">
            <v>16.400000000000006</v>
          </cell>
          <cell r="W61">
            <v>56.599999999999994</v>
          </cell>
          <cell r="X61">
            <v>14.861471770000001</v>
          </cell>
          <cell r="Y61">
            <v>17.220507620000042</v>
          </cell>
          <cell r="Z61">
            <v>32.081979390000043</v>
          </cell>
          <cell r="AA61">
            <v>18.803809729999919</v>
          </cell>
          <cell r="AB61">
            <v>50.885789119999963</v>
          </cell>
          <cell r="AC61">
            <v>19.640562160000016</v>
          </cell>
          <cell r="AD61">
            <v>70.526351279999972</v>
          </cell>
          <cell r="AE61">
            <v>21.08829661</v>
          </cell>
          <cell r="AF61">
            <v>21.906002949999973</v>
          </cell>
          <cell r="AG61">
            <v>42.994299559999973</v>
          </cell>
          <cell r="AH61">
            <v>23.402867469999961</v>
          </cell>
          <cell r="AI61">
            <v>66.397167029999935</v>
          </cell>
          <cell r="AJ61">
            <v>23.86633541000009</v>
          </cell>
          <cell r="AK61">
            <v>90.263502440000025</v>
          </cell>
          <cell r="AL61">
            <v>25.411521089999965</v>
          </cell>
          <cell r="AM61">
            <v>28.177057830000059</v>
          </cell>
          <cell r="AN61">
            <v>53.588578920000025</v>
          </cell>
          <cell r="AO61">
            <v>30.333209330000038</v>
          </cell>
          <cell r="AP61">
            <v>83.921788250000063</v>
          </cell>
          <cell r="AQ61">
            <v>33.200000000000003</v>
          </cell>
          <cell r="AR61">
            <v>117.12178825000007</v>
          </cell>
          <cell r="AS61">
            <v>32.200000000000003</v>
          </cell>
          <cell r="AT61">
            <v>39.300000000000011</v>
          </cell>
          <cell r="AU61">
            <v>71.500000000000028</v>
          </cell>
          <cell r="AV61">
            <v>38.100000000000009</v>
          </cell>
          <cell r="AW61">
            <v>109.60000000000002</v>
          </cell>
          <cell r="AX61">
            <v>39.099999999999966</v>
          </cell>
          <cell r="AY61">
            <v>148.69999999999999</v>
          </cell>
          <cell r="AZ61">
            <v>37.700000000000003</v>
          </cell>
          <cell r="BA61">
            <v>40.499999999999993</v>
          </cell>
          <cell r="BB61">
            <v>78.199999999999989</v>
          </cell>
          <cell r="BC61">
            <v>42.2</v>
          </cell>
          <cell r="BD61">
            <v>120.39999999999999</v>
          </cell>
          <cell r="BE61">
            <v>38.200000000000031</v>
          </cell>
          <cell r="BF61">
            <v>158.60000000000002</v>
          </cell>
          <cell r="BL61">
            <v>39.585000000000008</v>
          </cell>
          <cell r="BM61">
            <v>42.524999999999991</v>
          </cell>
          <cell r="BN61">
            <v>82.11</v>
          </cell>
          <cell r="BO61">
            <v>44.31</v>
          </cell>
          <cell r="BP61">
            <v>126.42</v>
          </cell>
          <cell r="BQ61">
            <v>40.110000000000028</v>
          </cell>
          <cell r="BR61">
            <v>166.53000000000003</v>
          </cell>
          <cell r="BS61">
            <v>174.85650000000004</v>
          </cell>
          <cell r="BT61">
            <v>183.59932500000005</v>
          </cell>
          <cell r="BU61">
            <v>192.77929125000006</v>
          </cell>
          <cell r="BV61">
            <v>202.41825581250006</v>
          </cell>
          <cell r="BW61">
            <v>212.53916860312506</v>
          </cell>
          <cell r="BX61">
            <v>223.16612703328133</v>
          </cell>
          <cell r="BY61">
            <v>234.32443338494539</v>
          </cell>
          <cell r="BZ61">
            <v>246.04065505419268</v>
          </cell>
          <cell r="CA61">
            <v>258.34268780690235</v>
          </cell>
          <cell r="CB61">
            <v>271.2598221972475</v>
          </cell>
        </row>
        <row r="62">
          <cell r="A62" t="str">
            <v xml:space="preserve">     Year-on-Year Growth % reported</v>
          </cell>
          <cell r="W62">
            <v>2.3508137432187937E-2</v>
          </cell>
          <cell r="X62">
            <v>0.17019462755905557</v>
          </cell>
          <cell r="Y62">
            <v>0.33492307131783283</v>
          </cell>
          <cell r="Z62">
            <v>0.25320231992187692</v>
          </cell>
          <cell r="AA62">
            <v>0.28793217328766629</v>
          </cell>
          <cell r="AB62">
            <v>0.26581564975124317</v>
          </cell>
          <cell r="AC62">
            <v>0.19759525365853725</v>
          </cell>
          <cell r="AD62">
            <v>0.24604860918727867</v>
          </cell>
          <cell r="AE62">
            <v>0.41899112930185911</v>
          </cell>
          <cell r="AF62">
            <v>0.27208810758622226</v>
          </cell>
          <cell r="AG62">
            <v>0.34013861917139998</v>
          </cell>
          <cell r="AH62">
            <v>0.2445811676483105</v>
          </cell>
          <cell r="AI62">
            <v>0.30482730401253488</v>
          </cell>
          <cell r="AJ62">
            <v>0.21515541233367985</v>
          </cell>
          <cell r="AK62">
            <v>0.27985498755834781</v>
          </cell>
          <cell r="AL62">
            <v>0.20500586462492687</v>
          </cell>
          <cell r="AM62">
            <v>0.28627106890808185</v>
          </cell>
          <cell r="AN62">
            <v>0.24641125610653059</v>
          </cell>
          <cell r="AO62">
            <v>0.29613216708952672</v>
          </cell>
          <cell r="AP62">
            <v>0.26393627927050045</v>
          </cell>
          <cell r="AQ62">
            <v>0.39108075997662683</v>
          </cell>
          <cell r="AR62">
            <v>0.2975542171970702</v>
          </cell>
          <cell r="AS62">
            <v>0.26714177738346656</v>
          </cell>
          <cell r="AT62">
            <v>0.39475172450962481</v>
          </cell>
          <cell r="AU62">
            <v>0.33423952343911112</v>
          </cell>
          <cell r="AV62">
            <v>0.25604909080024352</v>
          </cell>
          <cell r="AW62">
            <v>0.30597789067012582</v>
          </cell>
          <cell r="AX62">
            <v>0.17771084337349285</v>
          </cell>
          <cell r="AY62">
            <v>0.26961859293503321</v>
          </cell>
          <cell r="AZ62">
            <v>0.170807453416149</v>
          </cell>
          <cell r="BA62">
            <v>3.0534351145037775E-2</v>
          </cell>
          <cell r="BB62">
            <v>9.3706293706293131E-2</v>
          </cell>
          <cell r="BC62">
            <v>0.10761154855643018</v>
          </cell>
          <cell r="BD62">
            <v>9.8540145985401173E-2</v>
          </cell>
          <cell r="BE62">
            <v>-2.301790281329763E-2</v>
          </cell>
          <cell r="BF62">
            <v>6.6577000672495279E-2</v>
          </cell>
          <cell r="BL62">
            <v>1.5717880911565008E-2</v>
          </cell>
          <cell r="BM62">
            <v>9.2388397400366973E-3</v>
          </cell>
          <cell r="BN62">
            <v>5.0000000000000044E-2</v>
          </cell>
          <cell r="BO62">
            <v>2.1200660204889532E-2</v>
          </cell>
          <cell r="BP62">
            <v>5.0000000000000044E-2</v>
          </cell>
          <cell r="BQ62">
            <v>4.9999999999999822E-2</v>
          </cell>
          <cell r="BR62">
            <v>2.3252278160004414E-2</v>
          </cell>
          <cell r="BS62">
            <v>5.0000000000000044E-2</v>
          </cell>
          <cell r="BT62">
            <v>5.0000000000000044E-2</v>
          </cell>
          <cell r="BU62">
            <v>5.0000000000000044E-2</v>
          </cell>
          <cell r="BV62">
            <v>5.0000000000000044E-2</v>
          </cell>
          <cell r="BW62">
            <v>5.0000000000000044E-2</v>
          </cell>
          <cell r="BX62">
            <v>5.0000000000000044E-2</v>
          </cell>
          <cell r="BY62">
            <v>5.0000000000000044E-2</v>
          </cell>
          <cell r="BZ62">
            <v>5.0000000000000044E-2</v>
          </cell>
          <cell r="CA62">
            <v>5.0000000000000044E-2</v>
          </cell>
          <cell r="CB62">
            <v>5.0000000000000044E-2</v>
          </cell>
        </row>
        <row r="63">
          <cell r="A63" t="str">
            <v xml:space="preserve">     Year-on-Year Growth % CER</v>
          </cell>
          <cell r="Q63">
            <v>-7.2992700729927473E-2</v>
          </cell>
          <cell r="R63">
            <v>-7.8571428571428625E-2</v>
          </cell>
          <cell r="S63">
            <v>-7.5812274368231347E-2</v>
          </cell>
          <cell r="T63">
            <v>-3.3112582781457012E-2</v>
          </cell>
          <cell r="U63">
            <v>-6.0747663551402042E-2</v>
          </cell>
          <cell r="V63">
            <v>0.3120000000000005</v>
          </cell>
          <cell r="BL63">
            <v>0.05</v>
          </cell>
          <cell r="BM63">
            <v>0.05</v>
          </cell>
          <cell r="BO63">
            <v>0.05</v>
          </cell>
          <cell r="BR63">
            <v>0.05</v>
          </cell>
          <cell r="BS63">
            <v>0.05</v>
          </cell>
          <cell r="BT63">
            <v>0.05</v>
          </cell>
          <cell r="BU63">
            <v>0.05</v>
          </cell>
          <cell r="BV63">
            <v>0.05</v>
          </cell>
          <cell r="BW63">
            <v>0.05</v>
          </cell>
          <cell r="BX63">
            <v>0.05</v>
          </cell>
          <cell r="BY63">
            <v>0.05</v>
          </cell>
          <cell r="BZ63">
            <v>0.05</v>
          </cell>
          <cell r="CA63">
            <v>0.05</v>
          </cell>
          <cell r="CB63">
            <v>0.05</v>
          </cell>
        </row>
        <row r="65">
          <cell r="A65" t="str">
            <v>Oncology</v>
          </cell>
          <cell r="J65">
            <v>112.1</v>
          </cell>
          <cell r="K65">
            <v>118.7</v>
          </cell>
          <cell r="L65">
            <v>230.8</v>
          </cell>
          <cell r="M65">
            <v>120</v>
          </cell>
          <cell r="N65">
            <v>350.8</v>
          </cell>
          <cell r="O65">
            <v>128.5</v>
          </cell>
          <cell r="P65">
            <v>479.3</v>
          </cell>
          <cell r="Q65">
            <v>147.80000000000001</v>
          </cell>
          <cell r="R65">
            <v>146.9</v>
          </cell>
          <cell r="S65">
            <v>294.70000000000005</v>
          </cell>
          <cell r="T65">
            <v>135.5</v>
          </cell>
          <cell r="U65">
            <v>430.20000000000005</v>
          </cell>
          <cell r="V65">
            <v>143.6</v>
          </cell>
          <cell r="W65">
            <v>573.80000000000007</v>
          </cell>
          <cell r="X65">
            <v>163.45791930000001</v>
          </cell>
          <cell r="Y65">
            <v>172.9796527199999</v>
          </cell>
          <cell r="Z65">
            <v>336.43757201999995</v>
          </cell>
          <cell r="AA65">
            <v>179.0350792199998</v>
          </cell>
          <cell r="AB65">
            <v>515.47265123999978</v>
          </cell>
          <cell r="AC65">
            <v>188.62586336000007</v>
          </cell>
          <cell r="AD65">
            <v>704.09851459999982</v>
          </cell>
          <cell r="AE65">
            <v>193.39763182000004</v>
          </cell>
          <cell r="AF65">
            <v>211.93083224999998</v>
          </cell>
          <cell r="AG65">
            <v>405.32846407</v>
          </cell>
          <cell r="AH65">
            <v>208.79721306000013</v>
          </cell>
          <cell r="AI65">
            <v>614.1256771300001</v>
          </cell>
          <cell r="AJ65">
            <v>211.83304295999952</v>
          </cell>
          <cell r="AK65">
            <v>825.95872008999959</v>
          </cell>
          <cell r="AL65">
            <v>209.61894318999992</v>
          </cell>
          <cell r="AM65">
            <v>204.47320480000016</v>
          </cell>
          <cell r="AN65">
            <v>414.09214799000006</v>
          </cell>
          <cell r="AO65">
            <v>218.62934413000033</v>
          </cell>
          <cell r="AP65">
            <v>632.72149212000045</v>
          </cell>
          <cell r="AQ65">
            <v>226.1</v>
          </cell>
          <cell r="AR65">
            <v>858.82149212000047</v>
          </cell>
          <cell r="AS65">
            <v>214.3</v>
          </cell>
          <cell r="AT65">
            <v>226.3</v>
          </cell>
          <cell r="AU65">
            <v>440.6</v>
          </cell>
          <cell r="AV65">
            <v>224.6</v>
          </cell>
          <cell r="AW65">
            <v>665.2</v>
          </cell>
          <cell r="AX65">
            <v>224.09999999999991</v>
          </cell>
          <cell r="AY65">
            <v>889.3</v>
          </cell>
          <cell r="AZ65">
            <v>221.7</v>
          </cell>
          <cell r="BA65">
            <v>215</v>
          </cell>
          <cell r="BB65">
            <v>436.80000000000007</v>
          </cell>
          <cell r="BC65">
            <v>222.6</v>
          </cell>
          <cell r="BD65">
            <v>659.40000000000009</v>
          </cell>
          <cell r="BE65">
            <v>222.79999999999995</v>
          </cell>
          <cell r="BF65">
            <v>882.2</v>
          </cell>
          <cell r="BG65">
            <v>221.7</v>
          </cell>
          <cell r="BH65">
            <v>215</v>
          </cell>
          <cell r="BI65">
            <v>222.6</v>
          </cell>
          <cell r="BJ65">
            <v>222.79999999999995</v>
          </cell>
          <cell r="BK65">
            <v>882.09999999999991</v>
          </cell>
          <cell r="BL65">
            <v>222.35271766810803</v>
          </cell>
          <cell r="BM65">
            <v>220.89244922970369</v>
          </cell>
          <cell r="BN65">
            <v>443.24516689781177</v>
          </cell>
          <cell r="BO65">
            <v>223.55644905269421</v>
          </cell>
          <cell r="BP65">
            <v>666.80161595050595</v>
          </cell>
          <cell r="BQ65">
            <v>227.46188530501769</v>
          </cell>
          <cell r="BR65">
            <v>894.26350125552358</v>
          </cell>
          <cell r="BS65">
            <v>876.38451128063411</v>
          </cell>
          <cell r="BT65">
            <v>859.93615450624679</v>
          </cell>
          <cell r="BU65">
            <v>816.93934678093444</v>
          </cell>
          <cell r="BV65">
            <v>754.18996342938772</v>
          </cell>
          <cell r="BW65">
            <v>696.76829084666838</v>
          </cell>
          <cell r="BX65">
            <v>627.09146176200147</v>
          </cell>
          <cell r="BY65">
            <v>564.38231558580139</v>
          </cell>
          <cell r="BZ65">
            <v>507.94408402722127</v>
          </cell>
          <cell r="CA65">
            <v>457.14967562449908</v>
          </cell>
          <cell r="CB65">
            <v>411.4347080620492</v>
          </cell>
        </row>
        <row r="66">
          <cell r="A66" t="str">
            <v xml:space="preserve">     Year-on-Year Growth %</v>
          </cell>
          <cell r="W66">
            <v>0.1971625286876697</v>
          </cell>
          <cell r="X66">
            <v>0.10593991407307168</v>
          </cell>
          <cell r="Y66">
            <v>0.177533374540503</v>
          </cell>
          <cell r="Z66">
            <v>0.1416273227689171</v>
          </cell>
          <cell r="AA66">
            <v>0.32129209756457411</v>
          </cell>
          <cell r="AB66">
            <v>0.19821629762900916</v>
          </cell>
          <cell r="AC66">
            <v>0.31355058050139317</v>
          </cell>
          <cell r="AD66">
            <v>0.22708001847333525</v>
          </cell>
          <cell r="AE66">
            <v>0.18316464964325552</v>
          </cell>
          <cell r="AF66">
            <v>0.22517781090155076</v>
          </cell>
          <cell r="AG66">
            <v>0.20476575085348903</v>
          </cell>
          <cell r="AH66">
            <v>0.16623632625329465</v>
          </cell>
          <cell r="AI66">
            <v>0.19138362753617422</v>
          </cell>
          <cell r="AJ66">
            <v>0.12303286085274334</v>
          </cell>
          <cell r="AK66">
            <v>0.17307266378658515</v>
          </cell>
          <cell r="AL66">
            <v>8.3875439514675465E-2</v>
          </cell>
          <cell r="AM66">
            <v>-3.5188968829238498E-2</v>
          </cell>
          <cell r="AN66">
            <v>2.1621190458725348E-2</v>
          </cell>
          <cell r="AO66">
            <v>4.7089378856674857E-2</v>
          </cell>
          <cell r="AP66">
            <v>3.0280145713666329E-2</v>
          </cell>
          <cell r="AQ66">
            <v>6.7350007537277934E-2</v>
          </cell>
          <cell r="AR66">
            <v>3.9787426696602957E-2</v>
          </cell>
          <cell r="AS66">
            <v>2.2331268056041909E-2</v>
          </cell>
          <cell r="AT66">
            <v>0.10674648162994815</v>
          </cell>
          <cell r="AU66">
            <v>6.4014379742936223E-2</v>
          </cell>
          <cell r="AV66">
            <v>2.7309489921212959E-2</v>
          </cell>
          <cell r="AW66">
            <v>5.1331444062658438E-2</v>
          </cell>
          <cell r="AX66">
            <v>-8.8456435205664929E-3</v>
          </cell>
          <cell r="AY66">
            <v>3.5488757744945643E-2</v>
          </cell>
          <cell r="AZ66">
            <v>3.4531031264582346E-2</v>
          </cell>
          <cell r="BA66">
            <v>-4.99337163057888E-2</v>
          </cell>
          <cell r="BB66">
            <v>-8.6246028143439624E-3</v>
          </cell>
          <cell r="BC66">
            <v>-8.9047195013357561E-3</v>
          </cell>
          <cell r="BD66">
            <v>-8.7191822008417796E-3</v>
          </cell>
          <cell r="BE66">
            <v>-5.8009817045959755E-3</v>
          </cell>
          <cell r="BF66">
            <v>-7.9838074890362654E-3</v>
          </cell>
          <cell r="BL66">
            <v>2.9441482548850928E-3</v>
          </cell>
          <cell r="BM66">
            <v>2.7406740603272972E-2</v>
          </cell>
          <cell r="BN66">
            <v>1.4755418722096403E-2</v>
          </cell>
          <cell r="BO66">
            <v>4.2967163193809998E-3</v>
          </cell>
          <cell r="BP66">
            <v>1.122477396194399E-2</v>
          </cell>
          <cell r="BQ66">
            <v>2.092408126130052E-2</v>
          </cell>
          <cell r="BR66">
            <v>1.3674338308233391E-2</v>
          </cell>
          <cell r="BS66">
            <v>-1.9992977405191903E-2</v>
          </cell>
          <cell r="BT66">
            <v>-1.8768424775503889E-2</v>
          </cell>
          <cell r="BU66">
            <v>-5.0000000000000044E-2</v>
          </cell>
          <cell r="BV66">
            <v>-7.6810333103435657E-2</v>
          </cell>
          <cell r="BW66">
            <v>-7.6136882439559961E-2</v>
          </cell>
          <cell r="BX66">
            <v>-0.10000000000000009</v>
          </cell>
          <cell r="BY66">
            <v>-9.9999999999999867E-2</v>
          </cell>
          <cell r="BZ66">
            <v>-9.9999999999999978E-2</v>
          </cell>
          <cell r="CA66">
            <v>-0.10000000000000009</v>
          </cell>
          <cell r="CB66">
            <v>-9.9999999999999978E-2</v>
          </cell>
          <cell r="CC66" t="str">
            <v>Below cons number in 2013 mainly due to currency</v>
          </cell>
        </row>
        <row r="67">
          <cell r="A67" t="str">
            <v>Erbitux</v>
          </cell>
          <cell r="C67">
            <v>74</v>
          </cell>
          <cell r="D67">
            <v>80.599999999999994</v>
          </cell>
          <cell r="E67">
            <v>154.6</v>
          </cell>
          <cell r="F67">
            <v>86.7</v>
          </cell>
          <cell r="G67">
            <v>241.3</v>
          </cell>
          <cell r="H67">
            <v>95.5</v>
          </cell>
          <cell r="I67">
            <v>336.8</v>
          </cell>
          <cell r="J67">
            <v>109.6</v>
          </cell>
          <cell r="K67">
            <v>116.4</v>
          </cell>
          <cell r="L67">
            <v>226</v>
          </cell>
          <cell r="M67">
            <v>117.7</v>
          </cell>
          <cell r="N67">
            <v>343.7</v>
          </cell>
          <cell r="O67">
            <v>126.6</v>
          </cell>
          <cell r="P67">
            <v>470.29999999999995</v>
          </cell>
          <cell r="Q67">
            <v>145.4</v>
          </cell>
          <cell r="R67">
            <v>144.80000000000001</v>
          </cell>
          <cell r="S67">
            <v>290.20000000000005</v>
          </cell>
          <cell r="T67">
            <v>133.5</v>
          </cell>
          <cell r="U67">
            <v>423.70000000000005</v>
          </cell>
          <cell r="V67">
            <v>141</v>
          </cell>
          <cell r="W67">
            <v>564.70000000000005</v>
          </cell>
          <cell r="X67">
            <v>161.6</v>
          </cell>
          <cell r="Y67">
            <v>170.8</v>
          </cell>
          <cell r="Z67">
            <v>332.4</v>
          </cell>
          <cell r="AA67">
            <v>177.2</v>
          </cell>
          <cell r="AB67">
            <v>509.59999999999997</v>
          </cell>
          <cell r="AC67">
            <v>186.9</v>
          </cell>
          <cell r="AD67">
            <v>696.5</v>
          </cell>
          <cell r="AE67">
            <v>191.9</v>
          </cell>
          <cell r="AF67">
            <v>210.1</v>
          </cell>
          <cell r="AG67">
            <v>402</v>
          </cell>
          <cell r="AH67">
            <v>207</v>
          </cell>
          <cell r="AI67">
            <v>609</v>
          </cell>
          <cell r="AJ67">
            <v>210.86252629999993</v>
          </cell>
          <cell r="AK67">
            <v>819.8625262999999</v>
          </cell>
          <cell r="AL67">
            <v>208.55236911999998</v>
          </cell>
          <cell r="AM67">
            <v>203.90276174000007</v>
          </cell>
          <cell r="AN67">
            <v>412.45513086000005</v>
          </cell>
          <cell r="AO67">
            <v>217.8463460400003</v>
          </cell>
          <cell r="AP67">
            <v>630.30147690000035</v>
          </cell>
          <cell r="AQ67">
            <v>225.1</v>
          </cell>
          <cell r="AR67">
            <v>855.40147690000038</v>
          </cell>
          <cell r="AS67">
            <v>213.6</v>
          </cell>
          <cell r="AT67">
            <v>225.7</v>
          </cell>
          <cell r="AU67">
            <v>439.29999999999995</v>
          </cell>
          <cell r="AV67">
            <v>224.3</v>
          </cell>
          <cell r="AW67">
            <v>663.59999999999991</v>
          </cell>
          <cell r="AX67">
            <v>223.80000000000007</v>
          </cell>
          <cell r="AY67">
            <v>887.4</v>
          </cell>
          <cell r="AZ67">
            <v>221.7</v>
          </cell>
          <cell r="BA67">
            <v>215</v>
          </cell>
          <cell r="BB67">
            <v>436.70000000000005</v>
          </cell>
          <cell r="BC67">
            <v>222.6</v>
          </cell>
          <cell r="BD67">
            <v>659.30000000000007</v>
          </cell>
          <cell r="BE67">
            <v>222.89999999999998</v>
          </cell>
          <cell r="BF67">
            <v>882.2</v>
          </cell>
          <cell r="BL67">
            <v>222.35271766810803</v>
          </cell>
          <cell r="BM67">
            <v>220.79244922970366</v>
          </cell>
          <cell r="BN67">
            <v>443.14516689781175</v>
          </cell>
          <cell r="BO67">
            <v>223.55644905269421</v>
          </cell>
          <cell r="BP67">
            <v>666.70161595050592</v>
          </cell>
          <cell r="BQ67">
            <v>227.56188530501771</v>
          </cell>
          <cell r="BR67">
            <v>894.26350125552358</v>
          </cell>
          <cell r="BS67">
            <v>876.38451128063411</v>
          </cell>
          <cell r="BT67">
            <v>859.93615450624679</v>
          </cell>
          <cell r="BU67">
            <v>816.93934678093444</v>
          </cell>
          <cell r="BV67">
            <v>754.18996342938772</v>
          </cell>
          <cell r="BW67">
            <v>696.76829084666838</v>
          </cell>
          <cell r="BX67">
            <v>627.09146176200147</v>
          </cell>
          <cell r="BY67">
            <v>564.38231558580139</v>
          </cell>
          <cell r="BZ67">
            <v>507.94408402722127</v>
          </cell>
          <cell r="CA67">
            <v>457.14967562449908</v>
          </cell>
          <cell r="CB67">
            <v>411.4347080620492</v>
          </cell>
          <cell r="CG67" t="str">
            <v>mstag:erbitux</v>
          </cell>
          <cell r="CH67">
            <v>6</v>
          </cell>
          <cell r="CI67" t="str">
            <v>ISO4217:EUR</v>
          </cell>
          <cell r="CJ67" t="b">
            <v>0</v>
          </cell>
        </row>
        <row r="68">
          <cell r="A68" t="str">
            <v xml:space="preserve">     Year-on-Year Growth %</v>
          </cell>
          <cell r="J68">
            <v>0.481081081081081</v>
          </cell>
          <cell r="K68">
            <v>0.44416873449131533</v>
          </cell>
          <cell r="L68">
            <v>0.46183699870633899</v>
          </cell>
          <cell r="M68">
            <v>0.35755478662053053</v>
          </cell>
          <cell r="N68">
            <v>0.42436800663074997</v>
          </cell>
          <cell r="O68">
            <v>0.32565445026178003</v>
          </cell>
          <cell r="P68">
            <v>0.39637767220902592</v>
          </cell>
          <cell r="Q68">
            <v>0.32664233576642349</v>
          </cell>
          <cell r="R68">
            <v>0.2439862542955327</v>
          </cell>
          <cell r="S68">
            <v>0.28407079646017719</v>
          </cell>
          <cell r="T68">
            <v>0.13423959218351739</v>
          </cell>
          <cell r="U68">
            <v>0.23276112889147529</v>
          </cell>
          <cell r="V68">
            <v>0.11374407582938395</v>
          </cell>
          <cell r="W68">
            <v>0.20072294280246683</v>
          </cell>
          <cell r="X68">
            <v>0.11141678129298471</v>
          </cell>
          <cell r="Y68">
            <v>0.17955801104972369</v>
          </cell>
          <cell r="Z68">
            <v>0.14541695382494813</v>
          </cell>
          <cell r="AA68">
            <v>0.32734082397003728</v>
          </cell>
          <cell r="AB68">
            <v>0.20273778616945926</v>
          </cell>
          <cell r="AC68">
            <v>0.3255319148936171</v>
          </cell>
          <cell r="AD68">
            <v>0.2333982645652557</v>
          </cell>
          <cell r="AE68">
            <v>0.1875</v>
          </cell>
          <cell r="AF68">
            <v>0.23009367681498816</v>
          </cell>
          <cell r="AG68">
            <v>0.20938628158844774</v>
          </cell>
          <cell r="AH68">
            <v>0.1681715575620768</v>
          </cell>
          <cell r="AI68">
            <v>0.19505494505494503</v>
          </cell>
          <cell r="AJ68">
            <v>0.12821041359015473</v>
          </cell>
          <cell r="AK68">
            <v>0.17711776927494594</v>
          </cell>
          <cell r="AL68">
            <v>8.6776285148514765E-2</v>
          </cell>
          <cell r="AM68">
            <v>-2.9496612375059073E-2</v>
          </cell>
          <cell r="AN68">
            <v>2.6007788208955329E-2</v>
          </cell>
          <cell r="AO68">
            <v>5.2397806956523185E-2</v>
          </cell>
          <cell r="AP68">
            <v>3.4977794581281474E-2</v>
          </cell>
          <cell r="AQ68">
            <v>6.7520170367986632E-2</v>
          </cell>
          <cell r="AR68">
            <v>4.3347450895683703E-2</v>
          </cell>
          <cell r="AS68">
            <v>2.4203181681890396E-2</v>
          </cell>
          <cell r="AT68">
            <v>0.10690016198894825</v>
          </cell>
          <cell r="AU68">
            <v>6.5085550236764655E-2</v>
          </cell>
          <cell r="AV68">
            <v>2.9624797832572769E-2</v>
          </cell>
          <cell r="AW68">
            <v>5.2829517810700777E-2</v>
          </cell>
          <cell r="AX68">
            <v>-5.7752110173252547E-3</v>
          </cell>
          <cell r="AY68">
            <v>3.7407607964348166E-2</v>
          </cell>
          <cell r="AZ68">
            <v>3.7921348314606806E-2</v>
          </cell>
          <cell r="BA68">
            <v>-4.7408063801506417E-2</v>
          </cell>
          <cell r="BB68">
            <v>-5.9185067152285331E-3</v>
          </cell>
          <cell r="BC68">
            <v>-7.5791350869371943E-3</v>
          </cell>
          <cell r="BD68">
            <v>-6.4798071127182277E-3</v>
          </cell>
          <cell r="BE68">
            <v>-4.0214477211800714E-3</v>
          </cell>
          <cell r="BF68">
            <v>-5.8598151904438733E-3</v>
          </cell>
          <cell r="BL68">
            <v>2.9441482548850928E-3</v>
          </cell>
          <cell r="BM68">
            <v>2.6941624324203106E-2</v>
          </cell>
          <cell r="BN68">
            <v>1.4758797567693493E-2</v>
          </cell>
          <cell r="BO68">
            <v>4.2967163193809998E-3</v>
          </cell>
          <cell r="BP68">
            <v>1.1226476490984183E-2</v>
          </cell>
          <cell r="BQ68">
            <v>2.0914694055709893E-2</v>
          </cell>
          <cell r="BR68">
            <v>1.3674338308233391E-2</v>
          </cell>
          <cell r="BS68">
            <v>-1.9992977405191903E-2</v>
          </cell>
          <cell r="BT68">
            <v>-1.8768424775503889E-2</v>
          </cell>
          <cell r="BU68">
            <v>-5.0000000000000044E-2</v>
          </cell>
          <cell r="BV68">
            <v>-7.6810333103435657E-2</v>
          </cell>
          <cell r="BW68">
            <v>-7.6136882439559961E-2</v>
          </cell>
          <cell r="BX68">
            <v>-0.10000000000000009</v>
          </cell>
          <cell r="BY68">
            <v>-9.9999999999999867E-2</v>
          </cell>
          <cell r="BZ68">
            <v>-9.9999999999999978E-2</v>
          </cell>
          <cell r="CA68">
            <v>-0.10000000000000009</v>
          </cell>
          <cell r="CB68">
            <v>-9.9999999999999978E-2</v>
          </cell>
        </row>
        <row r="69">
          <cell r="A69" t="str">
            <v>CER growth %</v>
          </cell>
          <cell r="AY69">
            <v>1.9E-2</v>
          </cell>
          <cell r="AZ69">
            <v>6.6000000000000003E-2</v>
          </cell>
          <cell r="BA69">
            <v>5.0000000000000001E-3</v>
          </cell>
          <cell r="BC69">
            <v>8.2000000000000003E-2</v>
          </cell>
        </row>
        <row r="70">
          <cell r="A70" t="str">
            <v>US reported</v>
          </cell>
          <cell r="AY70">
            <v>0</v>
          </cell>
        </row>
        <row r="71">
          <cell r="A71" t="str">
            <v>Growth (%)</v>
          </cell>
        </row>
        <row r="72">
          <cell r="A72" t="str">
            <v>CER growth (%)</v>
          </cell>
        </row>
        <row r="73">
          <cell r="A73" t="str">
            <v>Europe reported</v>
          </cell>
          <cell r="AS73">
            <v>120.37565922920892</v>
          </cell>
          <cell r="AT73">
            <v>127.1946923597025</v>
          </cell>
          <cell r="AU73">
            <v>247.57035158891142</v>
          </cell>
          <cell r="AV73">
            <v>126.4057133198107</v>
          </cell>
          <cell r="AW73">
            <v>373.97606490872215</v>
          </cell>
          <cell r="AX73">
            <v>126.12393509127787</v>
          </cell>
          <cell r="AY73">
            <v>500.1</v>
          </cell>
          <cell r="AZ73">
            <v>132.69999999999999</v>
          </cell>
          <cell r="BA73">
            <v>125.3</v>
          </cell>
          <cell r="BB73">
            <v>258</v>
          </cell>
          <cell r="BC73">
            <v>119</v>
          </cell>
          <cell r="BD73">
            <v>377</v>
          </cell>
          <cell r="BE73">
            <v>123.89999999999998</v>
          </cell>
          <cell r="BF73">
            <v>500.9</v>
          </cell>
          <cell r="BL73">
            <v>132.69999999999999</v>
          </cell>
          <cell r="BM73">
            <v>129.059</v>
          </cell>
          <cell r="BN73">
            <v>261.75900000000001</v>
          </cell>
          <cell r="BO73">
            <v>121.38</v>
          </cell>
          <cell r="BP73">
            <v>383.13900000000001</v>
          </cell>
          <cell r="BQ73">
            <v>127.779</v>
          </cell>
          <cell r="BR73">
            <v>510.91800000000001</v>
          </cell>
          <cell r="BS73">
            <v>485.37209999999999</v>
          </cell>
          <cell r="BT73">
            <v>461.10349499999995</v>
          </cell>
          <cell r="BU73">
            <v>438.04832024999996</v>
          </cell>
          <cell r="BV73">
            <v>394.24348822499996</v>
          </cell>
          <cell r="BW73">
            <v>354.81913940249996</v>
          </cell>
          <cell r="BX73">
            <v>319.33722546224999</v>
          </cell>
          <cell r="BY73">
            <v>287.40350291602499</v>
          </cell>
          <cell r="BZ73">
            <v>258.66315262442248</v>
          </cell>
          <cell r="CA73">
            <v>232.79683736198024</v>
          </cell>
          <cell r="CB73">
            <v>209.51715362578221</v>
          </cell>
        </row>
        <row r="74">
          <cell r="A74" t="str">
            <v>Growth (%)</v>
          </cell>
          <cell r="AY74">
            <v>-1.4999999999999999E-2</v>
          </cell>
          <cell r="AZ74">
            <v>0.10238233252225948</v>
          </cell>
          <cell r="BA74">
            <v>-1.4896001747811694E-2</v>
          </cell>
          <cell r="BB74">
            <v>4.212801873952543E-2</v>
          </cell>
          <cell r="BC74">
            <v>-5.8586855968084217E-2</v>
          </cell>
          <cell r="BD74">
            <v>8.0859054228936689E-3</v>
          </cell>
          <cell r="BE74">
            <v>-1.7632934539097533E-2</v>
          </cell>
          <cell r="BF74">
            <v>1.5996800639870301E-3</v>
          </cell>
          <cell r="BL74">
            <v>0</v>
          </cell>
          <cell r="BM74">
            <v>0.03</v>
          </cell>
          <cell r="BN74">
            <v>1.4569767441860559E-2</v>
          </cell>
          <cell r="BO74">
            <v>0.02</v>
          </cell>
          <cell r="BP74">
            <v>1.6283819628647223E-2</v>
          </cell>
          <cell r="BQ74">
            <v>3.1307506053268819E-2</v>
          </cell>
          <cell r="BR74">
            <v>0.02</v>
          </cell>
          <cell r="BS74">
            <v>-0.05</v>
          </cell>
          <cell r="BT74">
            <v>-0.05</v>
          </cell>
          <cell r="BU74">
            <v>-0.05</v>
          </cell>
          <cell r="BV74">
            <v>-0.1</v>
          </cell>
          <cell r="BW74">
            <v>-0.1</v>
          </cell>
          <cell r="BX74">
            <v>-0.1</v>
          </cell>
          <cell r="BY74">
            <v>-0.1</v>
          </cell>
          <cell r="BZ74">
            <v>-0.1</v>
          </cell>
          <cell r="CA74">
            <v>-0.1</v>
          </cell>
          <cell r="CB74">
            <v>-0.1</v>
          </cell>
        </row>
        <row r="75">
          <cell r="A75" t="str">
            <v>ROW reported</v>
          </cell>
          <cell r="AS75">
            <v>93.224340770791073</v>
          </cell>
          <cell r="AT75">
            <v>98.505307640297488</v>
          </cell>
          <cell r="AU75">
            <v>191.72964841108856</v>
          </cell>
          <cell r="AV75">
            <v>97.89428668018931</v>
          </cell>
          <cell r="AW75">
            <v>289.62393509127787</v>
          </cell>
          <cell r="AX75">
            <v>97.676064908722083</v>
          </cell>
          <cell r="AY75">
            <v>387.29999999999995</v>
          </cell>
          <cell r="AZ75">
            <v>89</v>
          </cell>
          <cell r="BA75">
            <v>89.6</v>
          </cell>
          <cell r="BB75">
            <v>178.6</v>
          </cell>
          <cell r="BC75">
            <v>103.6</v>
          </cell>
          <cell r="BD75">
            <v>282.2</v>
          </cell>
          <cell r="BE75">
            <v>99.10000000000008</v>
          </cell>
          <cell r="BF75">
            <v>381.30000000000007</v>
          </cell>
          <cell r="BL75">
            <v>89.652717668108053</v>
          </cell>
          <cell r="BM75">
            <v>91.633449229703643</v>
          </cell>
          <cell r="BN75">
            <v>181.28616689781171</v>
          </cell>
          <cell r="BO75">
            <v>102.17644905269421</v>
          </cell>
          <cell r="BP75">
            <v>283.46261595050589</v>
          </cell>
          <cell r="BQ75">
            <v>99.882885305017737</v>
          </cell>
          <cell r="BR75">
            <v>383.34550125552363</v>
          </cell>
          <cell r="BS75">
            <v>391.01241128063413</v>
          </cell>
          <cell r="BT75">
            <v>398.83265950624684</v>
          </cell>
          <cell r="BU75">
            <v>378.89102653093448</v>
          </cell>
          <cell r="BV75">
            <v>359.94647520438775</v>
          </cell>
          <cell r="BW75">
            <v>341.94915144416836</v>
          </cell>
          <cell r="BX75">
            <v>307.75423629975154</v>
          </cell>
          <cell r="BY75">
            <v>276.9788126697764</v>
          </cell>
          <cell r="BZ75">
            <v>249.28093140279876</v>
          </cell>
          <cell r="CA75">
            <v>224.35283826251887</v>
          </cell>
          <cell r="CB75">
            <v>201.91755443626698</v>
          </cell>
        </row>
        <row r="76">
          <cell r="A76" t="str">
            <v>Growth (%)</v>
          </cell>
          <cell r="AZ76">
            <v>-4.5313710302091414E-2</v>
          </cell>
          <cell r="BA76">
            <v>-9.0404343213831284E-2</v>
          </cell>
          <cell r="BB76">
            <v>-6.8480010889798382E-2</v>
          </cell>
          <cell r="BC76">
            <v>5.8284436337440848E-2</v>
          </cell>
          <cell r="BD76">
            <v>-2.5633016445751111E-2</v>
          </cell>
          <cell r="BE76">
            <v>1.457813736260416E-2</v>
          </cell>
          <cell r="BF76">
            <v>-1.5491866769945517E-2</v>
          </cell>
          <cell r="BL76">
            <v>7.3339063832364992E-3</v>
          </cell>
          <cell r="BM76">
            <v>2.2694745867228194E-2</v>
          </cell>
          <cell r="BN76">
            <v>1.504012820723255E-2</v>
          </cell>
          <cell r="BO76">
            <v>-1.3740839259708371E-2</v>
          </cell>
          <cell r="BP76">
            <v>4.474188343394303E-3</v>
          </cell>
          <cell r="BQ76">
            <v>7.8999526237906181E-3</v>
          </cell>
          <cell r="BR76">
            <v>5.3645456478457199E-3</v>
          </cell>
          <cell r="BS76">
            <v>2.0000000000000018E-2</v>
          </cell>
          <cell r="BT76">
            <v>2.0000000000000018E-2</v>
          </cell>
          <cell r="BU76">
            <v>-5.0000000000000044E-2</v>
          </cell>
          <cell r="BV76">
            <v>-5.0000000000000044E-2</v>
          </cell>
          <cell r="BW76">
            <v>-5.0000000000000044E-2</v>
          </cell>
          <cell r="BX76">
            <v>-9.9999999999999978E-2</v>
          </cell>
          <cell r="BY76">
            <v>-9.9999999999999978E-2</v>
          </cell>
          <cell r="BZ76">
            <v>-9.9999999999999978E-2</v>
          </cell>
          <cell r="CA76">
            <v>-9.9999999999999978E-2</v>
          </cell>
          <cell r="CB76">
            <v>-9.9999999999999978E-2</v>
          </cell>
        </row>
        <row r="77">
          <cell r="A77" t="str">
            <v>CER growth (%)</v>
          </cell>
          <cell r="AY77">
            <v>6.7341337464497816E-2</v>
          </cell>
          <cell r="BL77">
            <v>0.1</v>
          </cell>
          <cell r="BM77">
            <v>0.12</v>
          </cell>
          <cell r="BO77">
            <v>0.05</v>
          </cell>
          <cell r="BR77">
            <v>7.0000000000000007E-2</v>
          </cell>
          <cell r="BS77">
            <v>0.02</v>
          </cell>
          <cell r="BT77">
            <v>0.02</v>
          </cell>
          <cell r="BU77">
            <v>-0.05</v>
          </cell>
          <cell r="BV77">
            <v>-0.05</v>
          </cell>
          <cell r="BW77">
            <v>-0.05</v>
          </cell>
          <cell r="BX77">
            <v>-0.1</v>
          </cell>
          <cell r="BY77">
            <v>-0.1</v>
          </cell>
          <cell r="BZ77">
            <v>-0.1</v>
          </cell>
          <cell r="CA77">
            <v>-0.1</v>
          </cell>
          <cell r="CB77">
            <v>-0.1</v>
          </cell>
        </row>
        <row r="78">
          <cell r="A78" t="str">
            <v>Others</v>
          </cell>
          <cell r="J78">
            <v>2.5</v>
          </cell>
          <cell r="K78">
            <v>2.2999999999999972</v>
          </cell>
          <cell r="L78">
            <v>4.7999999999999972</v>
          </cell>
          <cell r="M78">
            <v>2.2999999999999972</v>
          </cell>
          <cell r="N78">
            <v>7.0999999999999943</v>
          </cell>
          <cell r="O78">
            <v>1.9000000000000057</v>
          </cell>
          <cell r="P78">
            <v>9</v>
          </cell>
          <cell r="Q78">
            <v>2.4000000000000057</v>
          </cell>
          <cell r="R78">
            <v>2.0999999999999943</v>
          </cell>
          <cell r="S78">
            <v>4.5</v>
          </cell>
          <cell r="T78">
            <v>2</v>
          </cell>
          <cell r="U78">
            <v>6.5</v>
          </cell>
          <cell r="V78">
            <v>2.5999999999999943</v>
          </cell>
          <cell r="W78">
            <v>9.0999999999999943</v>
          </cell>
          <cell r="X78">
            <v>1.8579193000000203</v>
          </cell>
          <cell r="Y78">
            <v>2.1796527199998934</v>
          </cell>
          <cell r="Z78">
            <v>4.0375720199999137</v>
          </cell>
          <cell r="AA78">
            <v>1.8350792199998125</v>
          </cell>
          <cell r="AB78">
            <v>5.8726512399997262</v>
          </cell>
          <cell r="AC78">
            <v>1.7258633600000621</v>
          </cell>
          <cell r="AD78">
            <v>7.5985145999997883</v>
          </cell>
          <cell r="AE78">
            <v>1.4976318200000378</v>
          </cell>
          <cell r="AF78">
            <v>1.8308322499999861</v>
          </cell>
          <cell r="AG78">
            <v>3.3284640700000239</v>
          </cell>
          <cell r="AH78">
            <v>1.7972130600001321</v>
          </cell>
          <cell r="AI78">
            <v>5.125677130000156</v>
          </cell>
          <cell r="AJ78">
            <v>0.97051665999958914</v>
          </cell>
          <cell r="AK78">
            <v>6.0961937899997451</v>
          </cell>
          <cell r="AL78">
            <v>1.0665740699999446</v>
          </cell>
          <cell r="AM78">
            <v>0.5704430600000876</v>
          </cell>
          <cell r="AN78">
            <v>1.6370171300000322</v>
          </cell>
          <cell r="AO78">
            <v>0.78299809000003506</v>
          </cell>
          <cell r="AP78">
            <v>2.4200152200000673</v>
          </cell>
          <cell r="AQ78">
            <v>1</v>
          </cell>
          <cell r="AR78">
            <v>3.4200152200000673</v>
          </cell>
          <cell r="AS78">
            <v>0.70000000000001705</v>
          </cell>
          <cell r="AT78">
            <v>0.60000000000002274</v>
          </cell>
          <cell r="AU78">
            <v>1.3000000000000398</v>
          </cell>
          <cell r="AV78">
            <v>0.29999999999998295</v>
          </cell>
          <cell r="AW78">
            <v>1.6000000000001364</v>
          </cell>
          <cell r="AX78">
            <v>0.29999999999984084</v>
          </cell>
          <cell r="AY78">
            <v>1.8999999999999773</v>
          </cell>
          <cell r="AZ78">
            <v>0</v>
          </cell>
          <cell r="BA78">
            <v>0.10000000000000853</v>
          </cell>
          <cell r="BB78">
            <v>0.10000000000000853</v>
          </cell>
          <cell r="BC78">
            <v>0</v>
          </cell>
          <cell r="BD78">
            <v>0.10000000000000853</v>
          </cell>
          <cell r="BE78">
            <v>-0.10000000000000853</v>
          </cell>
          <cell r="BF78">
            <v>0</v>
          </cell>
          <cell r="BL78">
            <v>0</v>
          </cell>
          <cell r="BM78">
            <v>0.10000000000000853</v>
          </cell>
          <cell r="BN78">
            <v>0.10000000000000853</v>
          </cell>
          <cell r="BO78">
            <v>0</v>
          </cell>
          <cell r="BP78">
            <v>0.10000000000000853</v>
          </cell>
          <cell r="BQ78">
            <v>-0.10000000000000853</v>
          </cell>
          <cell r="BR78">
            <v>0</v>
          </cell>
          <cell r="BS78">
            <v>0</v>
          </cell>
          <cell r="BT78">
            <v>0</v>
          </cell>
          <cell r="BU78">
            <v>0</v>
          </cell>
          <cell r="BV78">
            <v>0</v>
          </cell>
          <cell r="BW78">
            <v>0</v>
          </cell>
          <cell r="BX78">
            <v>0</v>
          </cell>
          <cell r="BY78">
            <v>0</v>
          </cell>
          <cell r="BZ78">
            <v>0</v>
          </cell>
          <cell r="CA78">
            <v>0</v>
          </cell>
          <cell r="CB78">
            <v>0</v>
          </cell>
        </row>
        <row r="79">
          <cell r="A79" t="str">
            <v xml:space="preserve">     Year-on-Year Growth %</v>
          </cell>
          <cell r="Q79">
            <v>-3.9999999999997704E-2</v>
          </cell>
          <cell r="R79">
            <v>-8.695652173913182E-2</v>
          </cell>
          <cell r="S79">
            <v>-6.2499999999999445E-2</v>
          </cell>
          <cell r="T79">
            <v>-0.13043478260869457</v>
          </cell>
          <cell r="U79">
            <v>-8.4507042253520348E-2</v>
          </cell>
          <cell r="V79">
            <v>0.36842105263157188</v>
          </cell>
          <cell r="W79">
            <v>1.1111111111110406E-2</v>
          </cell>
          <cell r="X79">
            <v>-0.22586695833332671</v>
          </cell>
          <cell r="Y79">
            <v>3.7929866666618794E-2</v>
          </cell>
          <cell r="Z79">
            <v>-0.10276177333335257</v>
          </cell>
          <cell r="AA79">
            <v>-8.2460390000093753E-2</v>
          </cell>
          <cell r="AB79">
            <v>-9.6515193846196001E-2</v>
          </cell>
          <cell r="AC79">
            <v>-0.3362063999999747</v>
          </cell>
          <cell r="AD79">
            <v>-0.16499839560441831</v>
          </cell>
          <cell r="AE79">
            <v>-0.19391987585250803</v>
          </cell>
          <cell r="AF79">
            <v>-0.16003488390569132</v>
          </cell>
          <cell r="AG79">
            <v>-0.17562731921247687</v>
          </cell>
          <cell r="AH79">
            <v>-2.0634618705825836E-2</v>
          </cell>
          <cell r="AI79">
            <v>-0.12719538066755776</v>
          </cell>
          <cell r="AJ79">
            <v>-0.43766309518294999</v>
          </cell>
          <cell r="AK79">
            <v>-0.19771243316425091</v>
          </cell>
          <cell r="AL79">
            <v>-0.28782624957853942</v>
          </cell>
          <cell r="AM79">
            <v>-0.68842417976846759</v>
          </cell>
          <cell r="AN79">
            <v>-0.50817641543595804</v>
          </cell>
          <cell r="AO79">
            <v>-0.56432650784321725</v>
          </cell>
          <cell r="AP79">
            <v>-0.52786428824478193</v>
          </cell>
          <cell r="AQ79">
            <v>3.0379014823324502E-2</v>
          </cell>
          <cell r="AR79">
            <v>-0.43899171551759175</v>
          </cell>
          <cell r="AS79">
            <v>0.22711634006014481</v>
          </cell>
          <cell r="AT79">
            <v>-0.63347970585988245</v>
          </cell>
          <cell r="AU79">
            <v>0.66028502061860905</v>
          </cell>
          <cell r="AV79">
            <v>-0.876033837506206</v>
          </cell>
          <cell r="AW79">
            <v>0.60000000000013642</v>
          </cell>
          <cell r="AX79">
            <v>-0.91228109212922304</v>
          </cell>
          <cell r="AY79">
            <v>-0.44444691681812465</v>
          </cell>
          <cell r="AZ79">
            <v>-1</v>
          </cell>
          <cell r="BA79">
            <v>-0.83333333333332549</v>
          </cell>
          <cell r="BB79">
            <v>-0.92307692307691891</v>
          </cell>
          <cell r="BC79">
            <v>-1</v>
          </cell>
          <cell r="BD79">
            <v>-0.9375</v>
          </cell>
          <cell r="BE79">
            <v>-1.3333333333335387</v>
          </cell>
          <cell r="BF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row>
        <row r="81">
          <cell r="A81" t="str">
            <v>CM Care &amp; Local</v>
          </cell>
          <cell r="J81">
            <v>414.1</v>
          </cell>
          <cell r="K81">
            <v>422</v>
          </cell>
          <cell r="L81">
            <v>836.1</v>
          </cell>
          <cell r="M81">
            <v>404.8</v>
          </cell>
          <cell r="N81">
            <v>1240.9000000000001</v>
          </cell>
          <cell r="O81">
            <v>418.6</v>
          </cell>
          <cell r="P81">
            <v>1659.5</v>
          </cell>
          <cell r="Q81">
            <v>433.7</v>
          </cell>
          <cell r="R81">
            <v>456.4</v>
          </cell>
          <cell r="S81">
            <v>890.09999999999991</v>
          </cell>
          <cell r="T81">
            <v>460.5</v>
          </cell>
          <cell r="U81">
            <v>1350.6</v>
          </cell>
          <cell r="V81">
            <v>486.3</v>
          </cell>
          <cell r="W81">
            <v>1836.8999999999999</v>
          </cell>
          <cell r="X81">
            <v>437.88592132999952</v>
          </cell>
          <cell r="Y81">
            <v>473.13696935000019</v>
          </cell>
          <cell r="Z81">
            <v>911.0228906799997</v>
          </cell>
          <cell r="AA81">
            <v>462.20721532999977</v>
          </cell>
          <cell r="AB81">
            <v>1373.2301060099994</v>
          </cell>
          <cell r="AC81">
            <v>469.46502213999105</v>
          </cell>
          <cell r="AD81">
            <v>1842.6951281499905</v>
          </cell>
          <cell r="AE81">
            <v>455.86416183999995</v>
          </cell>
          <cell r="AF81">
            <v>487.97569753000028</v>
          </cell>
          <cell r="AG81">
            <v>943.83985937000023</v>
          </cell>
          <cell r="AH81">
            <v>459.85723475000339</v>
          </cell>
          <cell r="AI81">
            <v>1403.6970941200036</v>
          </cell>
          <cell r="AJ81">
            <v>515.96436539000365</v>
          </cell>
          <cell r="AK81">
            <v>1919.6614595100073</v>
          </cell>
          <cell r="AL81">
            <v>471.24487819999945</v>
          </cell>
          <cell r="AM81">
            <v>511.04508125000058</v>
          </cell>
          <cell r="AN81">
            <v>982.28995944999997</v>
          </cell>
          <cell r="AO81">
            <v>477.06405262000152</v>
          </cell>
          <cell r="AP81">
            <v>1459.3540120700015</v>
          </cell>
          <cell r="AQ81">
            <v>516.74598792999836</v>
          </cell>
          <cell r="AR81">
            <v>1976.1</v>
          </cell>
          <cell r="AS81">
            <v>480.5</v>
          </cell>
          <cell r="AT81">
            <v>509.9</v>
          </cell>
          <cell r="AU81">
            <v>990.4</v>
          </cell>
          <cell r="AV81">
            <v>491.6</v>
          </cell>
          <cell r="AW81">
            <v>1482</v>
          </cell>
          <cell r="AX81">
            <v>516.09999999999991</v>
          </cell>
          <cell r="AY81">
            <v>1998.1</v>
          </cell>
          <cell r="AZ81">
            <v>489.3</v>
          </cell>
          <cell r="BA81">
            <v>501.2</v>
          </cell>
          <cell r="BB81">
            <v>990.5</v>
          </cell>
          <cell r="BC81">
            <v>505.5</v>
          </cell>
          <cell r="BD81">
            <v>1496</v>
          </cell>
          <cell r="BE81">
            <v>509.5</v>
          </cell>
          <cell r="BF81">
            <v>2005.5</v>
          </cell>
          <cell r="BG81">
            <v>423.89999999999986</v>
          </cell>
          <cell r="BH81">
            <v>438.29999999999995</v>
          </cell>
          <cell r="BI81">
            <v>435.4</v>
          </cell>
          <cell r="BJ81">
            <v>442.90000000000009</v>
          </cell>
          <cell r="BK81">
            <v>1740.5</v>
          </cell>
          <cell r="BL81">
            <v>435.37468304140214</v>
          </cell>
          <cell r="BM81">
            <v>444.61790731411452</v>
          </cell>
          <cell r="BN81">
            <v>879.99259035551677</v>
          </cell>
          <cell r="BO81">
            <v>446.16459389414695</v>
          </cell>
          <cell r="BP81">
            <v>1326.1571842496637</v>
          </cell>
          <cell r="BQ81">
            <v>455.65186322781403</v>
          </cell>
          <cell r="BR81">
            <v>1781.8090474774776</v>
          </cell>
          <cell r="BS81">
            <v>1831.1637060128187</v>
          </cell>
          <cell r="BT81">
            <v>1885.6856604921177</v>
          </cell>
          <cell r="BU81">
            <v>1920.0269724602435</v>
          </cell>
          <cell r="BV81">
            <v>1956.6295595607467</v>
          </cell>
          <cell r="BW81">
            <v>1984.808208507694</v>
          </cell>
          <cell r="BX81">
            <v>1984.826411937001</v>
          </cell>
          <cell r="BY81">
            <v>1985.1376683832932</v>
          </cell>
          <cell r="BZ81">
            <v>1955.8656961835659</v>
          </cell>
          <cell r="CA81">
            <v>1928.3807232319923</v>
          </cell>
          <cell r="CB81">
            <v>1902.6083005329097</v>
          </cell>
        </row>
        <row r="82">
          <cell r="A82" t="str">
            <v xml:space="preserve">     Year-on-Year Growth %</v>
          </cell>
          <cell r="W82">
            <v>0.10689966857487176</v>
          </cell>
          <cell r="X82">
            <v>9.6516516716613765E-3</v>
          </cell>
          <cell r="Y82">
            <v>3.6671711985101219E-2</v>
          </cell>
          <cell r="Z82">
            <v>2.3506224783731877E-2</v>
          </cell>
          <cell r="AA82">
            <v>3.7073079913132467E-3</v>
          </cell>
          <cell r="AB82">
            <v>1.6755594557973819E-2</v>
          </cell>
          <cell r="AC82">
            <v>-3.4618502693828823E-2</v>
          </cell>
          <cell r="AD82">
            <v>3.1548413903808026E-3</v>
          </cell>
          <cell r="AE82">
            <v>4.1056904628024471E-2</v>
          </cell>
          <cell r="AF82">
            <v>3.1362436548523442E-2</v>
          </cell>
          <cell r="AG82">
            <v>3.6022112095894121E-2</v>
          </cell>
          <cell r="AH82">
            <v>-5.0842576707041953E-3</v>
          </cell>
          <cell r="AI82">
            <v>2.2186367730116174E-2</v>
          </cell>
          <cell r="AJ82">
            <v>9.9047513780796237E-2</v>
          </cell>
          <cell r="AK82">
            <v>4.1768347994325383E-2</v>
          </cell>
          <cell r="AL82">
            <v>3.3739691880841027E-2</v>
          </cell>
          <cell r="AM82">
            <v>4.7275681630809085E-2</v>
          </cell>
          <cell r="AN82">
            <v>4.073794902629424E-2</v>
          </cell>
          <cell r="AO82">
            <v>3.7417738745270546E-2</v>
          </cell>
          <cell r="AP82">
            <v>3.9650233788429912E-2</v>
          </cell>
          <cell r="AQ82">
            <v>1.5148769807076246E-3</v>
          </cell>
          <cell r="AR82">
            <v>2.9400257118460171E-2</v>
          </cell>
          <cell r="AS82">
            <v>1.9639729211173851E-2</v>
          </cell>
          <cell r="AT82">
            <v>-2.2406658277578373E-3</v>
          </cell>
          <cell r="AU82">
            <v>8.2562592358583764E-3</v>
          </cell>
          <cell r="AV82">
            <v>3.046959271017835E-2</v>
          </cell>
          <cell r="AW82">
            <v>1.5517816611115842E-2</v>
          </cell>
          <cell r="AX82">
            <v>-1.250107296596914E-3</v>
          </cell>
          <cell r="AY82">
            <v>1.1133039825919733E-2</v>
          </cell>
          <cell r="AZ82">
            <v>1.831425598335068E-2</v>
          </cell>
          <cell r="BA82">
            <v>-1.7062169052755372E-2</v>
          </cell>
          <cell r="BB82">
            <v>1.0096930533110005E-4</v>
          </cell>
          <cell r="BC82">
            <v>2.827502034174123E-2</v>
          </cell>
          <cell r="BD82">
            <v>9.4466936572199511E-3</v>
          </cell>
          <cell r="BE82">
            <v>-1.2788219337337536E-2</v>
          </cell>
          <cell r="BF82">
            <v>3.7035183424254381E-3</v>
          </cell>
          <cell r="BL82">
            <v>2.7069315974055819E-2</v>
          </cell>
          <cell r="BM82">
            <v>1.4414572927480274E-2</v>
          </cell>
          <cell r="BN82">
            <v>2.063626809964858E-2</v>
          </cell>
          <cell r="BO82">
            <v>2.472345864526182E-2</v>
          </cell>
          <cell r="BP82">
            <v>2.2007694397089939E-2</v>
          </cell>
          <cell r="BQ82">
            <v>2.879174357149239E-2</v>
          </cell>
          <cell r="BR82">
            <v>2.3734011765284446E-2</v>
          </cell>
          <cell r="BS82">
            <v>2.7699185053085662E-2</v>
          </cell>
          <cell r="BT82">
            <v>2.9774484007230262E-2</v>
          </cell>
          <cell r="BU82">
            <v>1.8211578253802818E-2</v>
          </cell>
          <cell r="BV82">
            <v>1.9063579640030914E-2</v>
          </cell>
          <cell r="BW82">
            <v>1.4401626924860134E-2</v>
          </cell>
          <cell r="BX82">
            <v>9.1713794960757156E-6</v>
          </cell>
          <cell r="BY82">
            <v>1.5681796877564658E-4</v>
          </cell>
          <cell r="BZ82">
            <v>-1.4745562822132463E-2</v>
          </cell>
          <cell r="CA82">
            <v>-1.4052587048898224E-2</v>
          </cell>
          <cell r="CB82">
            <v>-1.3364800004787347E-2</v>
          </cell>
        </row>
        <row r="83">
          <cell r="A83" t="str">
            <v>Glucophage Franchise</v>
          </cell>
          <cell r="C83">
            <v>73.599999999999994</v>
          </cell>
          <cell r="D83">
            <v>73.3</v>
          </cell>
          <cell r="E83">
            <v>146.89999999999998</v>
          </cell>
          <cell r="F83">
            <v>72.900000000000006</v>
          </cell>
          <cell r="G83">
            <v>219.79999999999998</v>
          </cell>
          <cell r="H83">
            <v>70.599999999999994</v>
          </cell>
          <cell r="I83">
            <v>290.39999999999998</v>
          </cell>
          <cell r="J83">
            <v>65.400000000000006</v>
          </cell>
          <cell r="K83">
            <v>66.2</v>
          </cell>
          <cell r="L83">
            <v>131.60000000000002</v>
          </cell>
          <cell r="M83">
            <v>66.900000000000006</v>
          </cell>
          <cell r="N83">
            <v>198.50000000000003</v>
          </cell>
          <cell r="O83">
            <v>67.400000000000006</v>
          </cell>
          <cell r="P83">
            <v>265.90000000000003</v>
          </cell>
          <cell r="Q83">
            <v>72.2</v>
          </cell>
          <cell r="R83">
            <v>77.900000000000006</v>
          </cell>
          <cell r="S83">
            <v>150.10000000000002</v>
          </cell>
          <cell r="T83">
            <v>73.599999999999994</v>
          </cell>
          <cell r="U83">
            <v>223.70000000000002</v>
          </cell>
          <cell r="V83">
            <v>66.3</v>
          </cell>
          <cell r="W83">
            <v>290</v>
          </cell>
          <cell r="X83">
            <v>74.2</v>
          </cell>
          <cell r="Y83">
            <v>78</v>
          </cell>
          <cell r="Z83">
            <v>152.19999999999999</v>
          </cell>
          <cell r="AA83">
            <v>76.5</v>
          </cell>
          <cell r="AB83">
            <v>228.7</v>
          </cell>
          <cell r="AC83">
            <v>76.400000000000006</v>
          </cell>
          <cell r="AD83">
            <v>305.10000000000002</v>
          </cell>
          <cell r="AE83">
            <v>81.3</v>
          </cell>
          <cell r="AF83">
            <v>81.099999999999994</v>
          </cell>
          <cell r="AG83">
            <v>162.39999999999998</v>
          </cell>
          <cell r="AH83">
            <v>79</v>
          </cell>
          <cell r="AI83">
            <v>241.39999999999998</v>
          </cell>
          <cell r="AJ83">
            <v>92.697557189999699</v>
          </cell>
          <cell r="AK83">
            <v>334.09755718999969</v>
          </cell>
          <cell r="AL83">
            <v>80.838141920000027</v>
          </cell>
          <cell r="AM83">
            <v>92.368178760000049</v>
          </cell>
          <cell r="AN83">
            <v>173.20632068000009</v>
          </cell>
          <cell r="AO83">
            <v>83.449719849999909</v>
          </cell>
          <cell r="AP83">
            <v>256.65604052999998</v>
          </cell>
          <cell r="AQ83">
            <v>88.943959470000038</v>
          </cell>
          <cell r="AR83">
            <v>345.6</v>
          </cell>
          <cell r="AS83">
            <v>85.2</v>
          </cell>
          <cell r="AT83">
            <v>110.8</v>
          </cell>
          <cell r="AU83">
            <v>196</v>
          </cell>
          <cell r="AV83">
            <v>99.3</v>
          </cell>
          <cell r="AW83">
            <v>295.3</v>
          </cell>
          <cell r="AX83">
            <v>104.30000000000001</v>
          </cell>
          <cell r="AY83">
            <v>399.6</v>
          </cell>
          <cell r="AZ83">
            <v>104.3</v>
          </cell>
          <cell r="BA83">
            <v>99.6</v>
          </cell>
          <cell r="BB83">
            <v>203.89999999999998</v>
          </cell>
          <cell r="BC83">
            <v>98.3</v>
          </cell>
          <cell r="BD83">
            <v>302.2</v>
          </cell>
          <cell r="BE83">
            <v>91.400000000000034</v>
          </cell>
          <cell r="BF83">
            <v>393.6</v>
          </cell>
          <cell r="BG83">
            <v>104.3</v>
          </cell>
          <cell r="BH83">
            <v>99.6</v>
          </cell>
          <cell r="BI83">
            <v>98.3</v>
          </cell>
          <cell r="BJ83">
            <v>91.400000000000034</v>
          </cell>
          <cell r="BK83">
            <v>393.6</v>
          </cell>
          <cell r="BL83">
            <v>112.35438272903949</v>
          </cell>
          <cell r="BM83">
            <v>107.19906084855283</v>
          </cell>
          <cell r="BN83">
            <v>219.5534435775923</v>
          </cell>
          <cell r="BO83">
            <v>106.52587721603602</v>
          </cell>
          <cell r="BP83">
            <v>326.07932079362831</v>
          </cell>
          <cell r="BQ83">
            <v>100.50351713599309</v>
          </cell>
          <cell r="BR83">
            <v>426.58283792962141</v>
          </cell>
          <cell r="BS83">
            <v>469.24112172258356</v>
          </cell>
          <cell r="BT83">
            <v>516.165233894842</v>
          </cell>
          <cell r="BU83">
            <v>541.9734955895841</v>
          </cell>
          <cell r="BV83">
            <v>569.07217036906331</v>
          </cell>
          <cell r="BW83">
            <v>597.52577888751648</v>
          </cell>
          <cell r="BX83">
            <v>597.52577888751648</v>
          </cell>
          <cell r="BY83">
            <v>597.52577888751648</v>
          </cell>
          <cell r="BZ83">
            <v>567.64948994314068</v>
          </cell>
          <cell r="CA83">
            <v>539.26701544598359</v>
          </cell>
          <cell r="CB83">
            <v>512.30366467368435</v>
          </cell>
        </row>
        <row r="84">
          <cell r="A84" t="str">
            <v xml:space="preserve">     Year-on-Year Growth % reported</v>
          </cell>
          <cell r="J84">
            <v>-0.11141304347826073</v>
          </cell>
          <cell r="K84">
            <v>-9.6862210095497878E-2</v>
          </cell>
          <cell r="L84">
            <v>-0.10415248468345784</v>
          </cell>
          <cell r="M84">
            <v>-8.2304526748971193E-2</v>
          </cell>
          <cell r="N84">
            <v>-9.6906278434940651E-2</v>
          </cell>
          <cell r="O84">
            <v>-4.5325779036827038E-2</v>
          </cell>
          <cell r="P84">
            <v>-8.4366391184572787E-2</v>
          </cell>
          <cell r="Q84">
            <v>0.10397553516819569</v>
          </cell>
          <cell r="R84">
            <v>0.17673716012084606</v>
          </cell>
          <cell r="S84">
            <v>0.14057750759878407</v>
          </cell>
          <cell r="T84">
            <v>0.1001494768310911</v>
          </cell>
          <cell r="U84">
            <v>0.1269521410579344</v>
          </cell>
          <cell r="V84">
            <v>-1.6320474777448246E-2</v>
          </cell>
          <cell r="W84">
            <v>9.0635577284693403E-2</v>
          </cell>
          <cell r="X84">
            <v>2.7700831024930705E-2</v>
          </cell>
          <cell r="Y84">
            <v>1.2836970474967568E-3</v>
          </cell>
          <cell r="Z84">
            <v>1.3990672884743205E-2</v>
          </cell>
          <cell r="AA84">
            <v>3.9402173913043459E-2</v>
          </cell>
          <cell r="AB84">
            <v>2.2351363433169347E-2</v>
          </cell>
          <cell r="AC84">
            <v>0.15233785822021129</v>
          </cell>
          <cell r="AD84">
            <v>5.2068965517241494E-2</v>
          </cell>
          <cell r="AE84">
            <v>9.5687331536387976E-2</v>
          </cell>
          <cell r="AF84">
            <v>3.9743589743589602E-2</v>
          </cell>
          <cell r="AG84">
            <v>6.7017082785808091E-2</v>
          </cell>
          <cell r="AH84">
            <v>3.2679738562091609E-2</v>
          </cell>
          <cell r="AI84">
            <v>5.5531263664188923E-2</v>
          </cell>
          <cell r="AJ84">
            <v>0.21331881138743047</v>
          </cell>
          <cell r="AK84">
            <v>9.5042796427399656E-2</v>
          </cell>
          <cell r="AL84">
            <v>-5.6809111931115375E-3</v>
          </cell>
          <cell r="AM84">
            <v>0.13894178495684417</v>
          </cell>
          <cell r="AN84">
            <v>6.6541383497537687E-2</v>
          </cell>
          <cell r="AO84">
            <v>5.6325567721517755E-2</v>
          </cell>
          <cell r="AP84">
            <v>6.3198179494614815E-2</v>
          </cell>
          <cell r="AQ84">
            <v>-4.049295185099655E-2</v>
          </cell>
          <cell r="AR84">
            <v>3.4428395426605807E-2</v>
          </cell>
          <cell r="AS84">
            <v>5.3957921055590496E-2</v>
          </cell>
          <cell r="AT84">
            <v>0.19954730609002569</v>
          </cell>
          <cell r="AU84">
            <v>0.13159842683865675</v>
          </cell>
          <cell r="AV84">
            <v>0.18993808701204529</v>
          </cell>
          <cell r="AW84">
            <v>0.15056711461066508</v>
          </cell>
          <cell r="AX84">
            <v>0.1726484926183145</v>
          </cell>
          <cell r="AY84">
            <v>0.15625</v>
          </cell>
          <cell r="AZ84">
            <v>0.2241784037558685</v>
          </cell>
          <cell r="BA84">
            <v>-0.10108303249097472</v>
          </cell>
          <cell r="BB84">
            <v>4.0306122448979576E-2</v>
          </cell>
          <cell r="BC84">
            <v>-1.0070493454179208E-2</v>
          </cell>
          <cell r="BD84">
            <v>2.3366068405011875E-2</v>
          </cell>
          <cell r="BE84">
            <v>-0.12368168744007646</v>
          </cell>
          <cell r="BF84">
            <v>-1.501501501501501E-2</v>
          </cell>
          <cell r="BL84">
            <v>7.7223228466342109E-2</v>
          </cell>
          <cell r="BM84">
            <v>7.6295791652136957E-2</v>
          </cell>
          <cell r="BN84">
            <v>7.6770199007318851E-2</v>
          </cell>
          <cell r="BO84">
            <v>8.368135519873876E-2</v>
          </cell>
          <cell r="BP84">
            <v>7.9018268675143277E-2</v>
          </cell>
          <cell r="BQ84">
            <v>9.9600843938654871E-2</v>
          </cell>
          <cell r="BR84">
            <v>8.3797860593550322E-2</v>
          </cell>
          <cell r="BS84">
            <v>0.10000000000000009</v>
          </cell>
          <cell r="BT84">
            <v>0.10000000000000009</v>
          </cell>
          <cell r="BU84">
            <v>5.0000000000000044E-2</v>
          </cell>
          <cell r="BV84">
            <v>5.0000000000000044E-2</v>
          </cell>
          <cell r="BW84">
            <v>5.0000000000000044E-2</v>
          </cell>
          <cell r="BX84">
            <v>0</v>
          </cell>
          <cell r="BY84">
            <v>0</v>
          </cell>
          <cell r="BZ84">
            <v>-5.0000000000000044E-2</v>
          </cell>
          <cell r="CA84">
            <v>-5.0000000000000044E-2</v>
          </cell>
          <cell r="CB84">
            <v>-5.0000000000000044E-2</v>
          </cell>
        </row>
        <row r="85">
          <cell r="A85" t="str">
            <v xml:space="preserve">     Year-on-Year Growth % CER</v>
          </cell>
          <cell r="AY85">
            <v>0.14699999999999999</v>
          </cell>
          <cell r="AZ85">
            <v>0.25</v>
          </cell>
          <cell r="BA85">
            <v>-6.5000000000000002E-2</v>
          </cell>
          <cell r="BC85">
            <v>8.3000000000000004E-2</v>
          </cell>
          <cell r="BL85">
            <v>0.1</v>
          </cell>
          <cell r="BM85">
            <v>0.1</v>
          </cell>
          <cell r="BO85">
            <v>0.1</v>
          </cell>
          <cell r="BR85">
            <v>0.1</v>
          </cell>
          <cell r="BS85">
            <v>0.1</v>
          </cell>
          <cell r="BT85">
            <v>0.1</v>
          </cell>
          <cell r="BU85">
            <v>0.05</v>
          </cell>
          <cell r="BV85">
            <v>0.05</v>
          </cell>
          <cell r="BW85">
            <v>0.05</v>
          </cell>
          <cell r="BX85">
            <v>0</v>
          </cell>
          <cell r="BY85">
            <v>0</v>
          </cell>
          <cell r="BZ85">
            <v>-0.05</v>
          </cell>
          <cell r="CA85">
            <v>-0.05</v>
          </cell>
          <cell r="CB85">
            <v>-0.05</v>
          </cell>
        </row>
        <row r="86">
          <cell r="A86" t="str">
            <v>Concor Cor / Lodoz</v>
          </cell>
          <cell r="B86" t="str">
            <v>Beta Blocker, with CHF indication</v>
          </cell>
          <cell r="C86">
            <v>95.9</v>
          </cell>
          <cell r="D86">
            <v>87.1</v>
          </cell>
          <cell r="E86">
            <v>183</v>
          </cell>
          <cell r="F86">
            <v>89.7</v>
          </cell>
          <cell r="G86">
            <v>272.7</v>
          </cell>
          <cell r="H86">
            <v>89.6</v>
          </cell>
          <cell r="I86">
            <v>362.29999999999995</v>
          </cell>
          <cell r="J86">
            <v>93.7</v>
          </cell>
          <cell r="K86">
            <v>103.8</v>
          </cell>
          <cell r="L86">
            <v>197.5</v>
          </cell>
          <cell r="M86">
            <v>93.9</v>
          </cell>
          <cell r="N86">
            <v>291.39999999999998</v>
          </cell>
          <cell r="O86">
            <v>87.6</v>
          </cell>
          <cell r="P86">
            <v>379</v>
          </cell>
          <cell r="Q86">
            <v>99.5</v>
          </cell>
          <cell r="R86">
            <v>115</v>
          </cell>
          <cell r="S86">
            <v>214.5</v>
          </cell>
          <cell r="T86">
            <v>111.5</v>
          </cell>
          <cell r="U86">
            <v>326</v>
          </cell>
          <cell r="V86">
            <v>106.7</v>
          </cell>
          <cell r="W86">
            <v>432.7</v>
          </cell>
          <cell r="X86">
            <v>99.2</v>
          </cell>
          <cell r="Y86">
            <v>111.4</v>
          </cell>
          <cell r="Z86">
            <v>210.60000000000002</v>
          </cell>
          <cell r="AA86">
            <v>103.4</v>
          </cell>
          <cell r="AB86">
            <v>314</v>
          </cell>
          <cell r="AC86">
            <v>98.8</v>
          </cell>
          <cell r="AD86">
            <v>412.8</v>
          </cell>
          <cell r="AE86">
            <v>97.1</v>
          </cell>
          <cell r="AF86">
            <v>107.8</v>
          </cell>
          <cell r="AG86">
            <v>204.89999999999998</v>
          </cell>
          <cell r="AH86">
            <v>84</v>
          </cell>
          <cell r="AI86">
            <v>288.89999999999998</v>
          </cell>
          <cell r="AJ86">
            <v>110.509300330001</v>
          </cell>
          <cell r="AK86">
            <v>399.40930033000097</v>
          </cell>
          <cell r="AL86">
            <v>94.671200870000121</v>
          </cell>
          <cell r="AM86">
            <v>106.13074612999993</v>
          </cell>
          <cell r="AN86">
            <v>200.80194700000004</v>
          </cell>
          <cell r="AO86">
            <v>92.730514049999542</v>
          </cell>
          <cell r="AP86">
            <v>293.5324610499996</v>
          </cell>
          <cell r="AQ86">
            <v>103.76753895000041</v>
          </cell>
          <cell r="AR86">
            <v>397.3</v>
          </cell>
          <cell r="AS86">
            <v>98.8</v>
          </cell>
          <cell r="AT86">
            <v>97.7</v>
          </cell>
          <cell r="AU86">
            <v>196.5</v>
          </cell>
          <cell r="AV86">
            <v>90.8</v>
          </cell>
          <cell r="AW86">
            <v>287.3</v>
          </cell>
          <cell r="AX86">
            <v>92.699999999999989</v>
          </cell>
          <cell r="AY86">
            <v>380</v>
          </cell>
          <cell r="AZ86">
            <v>92.5</v>
          </cell>
          <cell r="BA86">
            <v>103.8</v>
          </cell>
          <cell r="BB86">
            <v>196.3</v>
          </cell>
          <cell r="BC86">
            <v>99.9</v>
          </cell>
          <cell r="BD86">
            <v>296.20000000000005</v>
          </cell>
          <cell r="BE86">
            <v>105.29999999999995</v>
          </cell>
          <cell r="BF86">
            <v>401.5</v>
          </cell>
          <cell r="BG86">
            <v>92.5</v>
          </cell>
          <cell r="BH86">
            <v>103.8</v>
          </cell>
          <cell r="BI86">
            <v>99.9</v>
          </cell>
          <cell r="BJ86">
            <v>105.29999999999995</v>
          </cell>
          <cell r="BK86">
            <v>401.5</v>
          </cell>
          <cell r="BL86">
            <v>97.435495742695707</v>
          </cell>
          <cell r="BM86">
            <v>104.07164710781322</v>
          </cell>
          <cell r="BN86">
            <v>201.50714285050893</v>
          </cell>
          <cell r="BO86">
            <v>100.6641266552837</v>
          </cell>
          <cell r="BP86">
            <v>302.17126950579262</v>
          </cell>
          <cell r="BQ86">
            <v>102.57789302431672</v>
          </cell>
          <cell r="BR86">
            <v>404.74916253010934</v>
          </cell>
          <cell r="BS86">
            <v>396.65417927950716</v>
          </cell>
          <cell r="BT86">
            <v>388.72109569391699</v>
          </cell>
          <cell r="BU86">
            <v>380.94667378003862</v>
          </cell>
          <cell r="BV86">
            <v>373.32774030443784</v>
          </cell>
          <cell r="BW86">
            <v>365.86118549834907</v>
          </cell>
          <cell r="BX86">
            <v>358.54396178838209</v>
          </cell>
          <cell r="BY86">
            <v>351.37308255261445</v>
          </cell>
          <cell r="BZ86">
            <v>344.34562090156214</v>
          </cell>
          <cell r="CA86">
            <v>337.45870848353087</v>
          </cell>
          <cell r="CB86">
            <v>330.70953431386027</v>
          </cell>
          <cell r="CG86" t="str">
            <v>mstag:concor</v>
          </cell>
          <cell r="CH86">
            <v>6</v>
          </cell>
          <cell r="CI86" t="str">
            <v>ISO4217:EUR</v>
          </cell>
          <cell r="CJ86" t="b">
            <v>0</v>
          </cell>
        </row>
        <row r="87">
          <cell r="A87" t="str">
            <v xml:space="preserve">     Year-on-Year Growth % reported</v>
          </cell>
          <cell r="J87">
            <v>-2.2940563086548516E-2</v>
          </cell>
          <cell r="K87">
            <v>0.19173363949483357</v>
          </cell>
          <cell r="L87">
            <v>7.9234972677595633E-2</v>
          </cell>
          <cell r="M87">
            <v>4.6822742474916419E-2</v>
          </cell>
          <cell r="N87">
            <v>6.8573524019068535E-2</v>
          </cell>
          <cell r="O87">
            <v>-2.2321428571428572E-2</v>
          </cell>
          <cell r="P87">
            <v>4.6094396908639382E-2</v>
          </cell>
          <cell r="Q87">
            <v>6.189967982924223E-2</v>
          </cell>
          <cell r="R87">
            <v>0.10789980732177266</v>
          </cell>
          <cell r="S87">
            <v>8.6075949367088608E-2</v>
          </cell>
          <cell r="T87">
            <v>0.18743343982960589</v>
          </cell>
          <cell r="U87">
            <v>0.11873713109128355</v>
          </cell>
          <cell r="V87">
            <v>0.21803652968036541</v>
          </cell>
          <cell r="W87">
            <v>0.14168865435356204</v>
          </cell>
          <cell r="X87">
            <v>-3.0150753768843908E-3</v>
          </cell>
          <cell r="Y87">
            <v>-3.1304347826086931E-2</v>
          </cell>
          <cell r="Z87">
            <v>-1.8181818181818077E-2</v>
          </cell>
          <cell r="AA87">
            <v>-7.2645739910313867E-2</v>
          </cell>
          <cell r="AB87">
            <v>-3.6809815950920255E-2</v>
          </cell>
          <cell r="AC87">
            <v>-7.4039362699156563E-2</v>
          </cell>
          <cell r="AD87">
            <v>-4.5990293505893232E-2</v>
          </cell>
          <cell r="AE87">
            <v>-2.1169354838709742E-2</v>
          </cell>
          <cell r="AF87">
            <v>-3.2315978456014416E-2</v>
          </cell>
          <cell r="AG87">
            <v>-2.7065527065527228E-2</v>
          </cell>
          <cell r="AH87">
            <v>-0.1876208897485494</v>
          </cell>
          <cell r="AI87">
            <v>-7.9936305732484114E-2</v>
          </cell>
          <cell r="AJ87">
            <v>0.11851518552632601</v>
          </cell>
          <cell r="AK87">
            <v>-3.2438710440889085E-2</v>
          </cell>
          <cell r="AL87">
            <v>-2.501337929968972E-2</v>
          </cell>
          <cell r="AM87">
            <v>-1.5484729777366035E-2</v>
          </cell>
          <cell r="AN87">
            <v>-2.0000258662762005E-2</v>
          </cell>
          <cell r="AO87">
            <v>0.10393469107142317</v>
          </cell>
          <cell r="AP87">
            <v>1.6034825372099659E-2</v>
          </cell>
          <cell r="AQ87">
            <v>-6.1006280556192505E-2</v>
          </cell>
          <cell r="AR87">
            <v>-5.2810496106581173E-3</v>
          </cell>
          <cell r="AS87">
            <v>4.3611986454776597E-2</v>
          </cell>
          <cell r="AT87">
            <v>-7.9437358516947443E-2</v>
          </cell>
          <cell r="AU87">
            <v>-2.1423831114546155E-2</v>
          </cell>
          <cell r="AV87">
            <v>-2.0818541445360994E-2</v>
          </cell>
          <cell r="AW87">
            <v>-2.1232612664729977E-2</v>
          </cell>
          <cell r="AX87">
            <v>-0.10665704383076136</v>
          </cell>
          <cell r="AY87">
            <v>-4.3543921469922031E-2</v>
          </cell>
          <cell r="AZ87">
            <v>-6.3765182186234837E-2</v>
          </cell>
          <cell r="BA87">
            <v>6.2436028659160536E-2</v>
          </cell>
          <cell r="BB87">
            <v>-1.0178117048345037E-3</v>
          </cell>
          <cell r="BC87">
            <v>0.10022026431718078</v>
          </cell>
          <cell r="BD87">
            <v>3.09780717020538E-2</v>
          </cell>
          <cell r="BE87">
            <v>0.1359223300970871</v>
          </cell>
          <cell r="BF87">
            <v>5.6578947368421062E-2</v>
          </cell>
          <cell r="BL87">
            <v>5.3356710731845558E-2</v>
          </cell>
          <cell r="BM87">
            <v>2.6170241600502742E-3</v>
          </cell>
          <cell r="BN87">
            <v>2.6526453644976744E-2</v>
          </cell>
          <cell r="BO87">
            <v>7.6489154683052618E-3</v>
          </cell>
          <cell r="BP87">
            <v>2.0159586447645372E-2</v>
          </cell>
          <cell r="BQ87">
            <v>-2.58509684300402E-2</v>
          </cell>
          <cell r="BR87">
            <v>8.0925592281677616E-3</v>
          </cell>
          <cell r="BS87">
            <v>-2.0000000000000018E-2</v>
          </cell>
          <cell r="BT87">
            <v>-2.0000000000000018E-2</v>
          </cell>
          <cell r="BU87">
            <v>-2.0000000000000018E-2</v>
          </cell>
          <cell r="BV87">
            <v>-2.0000000000000018E-2</v>
          </cell>
          <cell r="BW87">
            <v>-2.0000000000000018E-2</v>
          </cell>
          <cell r="BX87">
            <v>-2.0000000000000018E-2</v>
          </cell>
          <cell r="BY87">
            <v>-2.0000000000000018E-2</v>
          </cell>
          <cell r="BZ87">
            <v>-2.0000000000000018E-2</v>
          </cell>
          <cell r="CA87">
            <v>-2.0000000000000018E-2</v>
          </cell>
          <cell r="CB87">
            <v>-2.0000000000000018E-2</v>
          </cell>
        </row>
        <row r="88">
          <cell r="A88" t="str">
            <v xml:space="preserve">     Year-on-Year Growth % CER</v>
          </cell>
          <cell r="AY88">
            <v>-0.06</v>
          </cell>
          <cell r="AZ88">
            <v>-4.9000000000000002E-2</v>
          </cell>
          <cell r="BA88">
            <v>9.5000000000000001E-2</v>
          </cell>
          <cell r="BC88">
            <v>0.193</v>
          </cell>
          <cell r="BL88">
            <v>7.0000000000000007E-2</v>
          </cell>
          <cell r="BM88">
            <v>0.02</v>
          </cell>
          <cell r="BO88">
            <v>0.02</v>
          </cell>
          <cell r="BR88">
            <v>0.02</v>
          </cell>
          <cell r="BS88">
            <v>-0.02</v>
          </cell>
          <cell r="BT88">
            <v>-0.02</v>
          </cell>
          <cell r="BU88">
            <v>-0.02</v>
          </cell>
          <cell r="BV88">
            <v>-0.02</v>
          </cell>
          <cell r="BW88">
            <v>-0.02</v>
          </cell>
          <cell r="BX88">
            <v>-0.02</v>
          </cell>
          <cell r="BY88">
            <v>-0.02</v>
          </cell>
          <cell r="BZ88">
            <v>-0.02</v>
          </cell>
          <cell r="CA88">
            <v>-0.02</v>
          </cell>
          <cell r="CB88">
            <v>-0.02</v>
          </cell>
        </row>
        <row r="89">
          <cell r="A89" t="str">
            <v>Euthyrox</v>
          </cell>
          <cell r="B89" t="str">
            <v>Thyroid Hormones</v>
          </cell>
          <cell r="C89">
            <v>30.7</v>
          </cell>
          <cell r="D89">
            <v>31.9</v>
          </cell>
          <cell r="E89">
            <v>62.599999999999994</v>
          </cell>
          <cell r="F89">
            <v>31.8</v>
          </cell>
          <cell r="G89">
            <v>94.399999999999991</v>
          </cell>
          <cell r="H89">
            <v>33.799999999999997</v>
          </cell>
          <cell r="I89">
            <v>128.19999999999999</v>
          </cell>
          <cell r="J89">
            <v>33.6</v>
          </cell>
          <cell r="K89">
            <v>34.4</v>
          </cell>
          <cell r="L89">
            <v>68</v>
          </cell>
          <cell r="M89">
            <v>33.5</v>
          </cell>
          <cell r="N89">
            <v>101.5</v>
          </cell>
          <cell r="O89">
            <v>34.200000000000003</v>
          </cell>
          <cell r="P89">
            <v>135.69999999999999</v>
          </cell>
          <cell r="Q89">
            <v>35.1</v>
          </cell>
          <cell r="R89">
            <v>38.700000000000003</v>
          </cell>
          <cell r="S89">
            <v>73.800000000000011</v>
          </cell>
          <cell r="T89">
            <v>38.799999999999997</v>
          </cell>
          <cell r="U89">
            <v>112.60000000000001</v>
          </cell>
          <cell r="V89">
            <v>37.1</v>
          </cell>
          <cell r="W89">
            <v>149.70000000000002</v>
          </cell>
          <cell r="X89">
            <v>35.6</v>
          </cell>
          <cell r="Y89">
            <v>39</v>
          </cell>
          <cell r="Z89">
            <v>74.599999999999994</v>
          </cell>
          <cell r="AA89">
            <v>40.700000000000003</v>
          </cell>
          <cell r="AB89">
            <v>115.3</v>
          </cell>
          <cell r="AC89">
            <v>42.5</v>
          </cell>
          <cell r="AD89">
            <v>157.80000000000001</v>
          </cell>
          <cell r="AE89">
            <v>38.5</v>
          </cell>
          <cell r="AF89">
            <v>47.1</v>
          </cell>
          <cell r="AG89">
            <v>85.6</v>
          </cell>
          <cell r="AH89">
            <v>41</v>
          </cell>
          <cell r="AI89">
            <v>126.6</v>
          </cell>
          <cell r="AJ89">
            <v>43.659538939999635</v>
          </cell>
          <cell r="AK89">
            <v>170.25953893999963</v>
          </cell>
          <cell r="AL89">
            <v>46.063731030000035</v>
          </cell>
          <cell r="AM89">
            <v>51.553667539999935</v>
          </cell>
          <cell r="AN89">
            <v>97.617398569999978</v>
          </cell>
          <cell r="AO89">
            <v>48.370325380000025</v>
          </cell>
          <cell r="AP89">
            <v>145.98772395</v>
          </cell>
          <cell r="AQ89">
            <v>44.969325108199627</v>
          </cell>
          <cell r="AR89">
            <v>199.3</v>
          </cell>
          <cell r="AS89">
            <v>51.4</v>
          </cell>
          <cell r="AT89">
            <v>57.5</v>
          </cell>
          <cell r="AU89">
            <v>108.9</v>
          </cell>
          <cell r="AV89">
            <v>58.6</v>
          </cell>
          <cell r="AW89">
            <v>167.5</v>
          </cell>
          <cell r="AX89">
            <v>66.5</v>
          </cell>
          <cell r="AY89">
            <v>234</v>
          </cell>
          <cell r="AZ89">
            <v>58.5</v>
          </cell>
          <cell r="BA89">
            <v>66</v>
          </cell>
          <cell r="BB89">
            <v>124.5</v>
          </cell>
          <cell r="BC89">
            <v>75.2</v>
          </cell>
          <cell r="BD89">
            <v>199.7</v>
          </cell>
          <cell r="BE89">
            <v>75.400000000000034</v>
          </cell>
          <cell r="BF89">
            <v>275.10000000000002</v>
          </cell>
          <cell r="BG89">
            <v>58.5</v>
          </cell>
          <cell r="BH89">
            <v>66</v>
          </cell>
          <cell r="BI89">
            <v>75.2</v>
          </cell>
          <cell r="BJ89">
            <v>75.400000000000034</v>
          </cell>
          <cell r="BK89">
            <v>275.10000000000002</v>
          </cell>
          <cell r="BL89">
            <v>62.229773860528496</v>
          </cell>
          <cell r="BM89">
            <v>70.204031944743647</v>
          </cell>
          <cell r="BN89">
            <v>132.43380580527213</v>
          </cell>
          <cell r="BO89">
            <v>80.89787569760081</v>
          </cell>
          <cell r="BP89">
            <v>213.33168150287293</v>
          </cell>
          <cell r="BQ89">
            <v>82.495478356754461</v>
          </cell>
          <cell r="BR89">
            <v>295.82715985962739</v>
          </cell>
          <cell r="BS89">
            <v>310.61851785260876</v>
          </cell>
          <cell r="BT89">
            <v>326.14944374523924</v>
          </cell>
          <cell r="BU89">
            <v>342.4569159325012</v>
          </cell>
          <cell r="BV89">
            <v>359.57976172912629</v>
          </cell>
          <cell r="BW89">
            <v>366.7713569637088</v>
          </cell>
          <cell r="BX89">
            <v>374.106784102983</v>
          </cell>
          <cell r="BY89">
            <v>381.58891978504266</v>
          </cell>
          <cell r="BZ89">
            <v>389.22069818074351</v>
          </cell>
          <cell r="CA89">
            <v>397.00511214435841</v>
          </cell>
          <cell r="CB89">
            <v>404.94521438724558</v>
          </cell>
        </row>
        <row r="90">
          <cell r="A90" t="str">
            <v xml:space="preserve">     Year-on-Year Growth % reported</v>
          </cell>
          <cell r="J90">
            <v>9.4462540716612448E-2</v>
          </cell>
          <cell r="K90">
            <v>7.8369905956112859E-2</v>
          </cell>
          <cell r="L90">
            <v>8.626198083067102E-2</v>
          </cell>
          <cell r="M90">
            <v>5.345911949685532E-2</v>
          </cell>
          <cell r="N90">
            <v>7.5211864406779752E-2</v>
          </cell>
          <cell r="O90">
            <v>1.1834319526627389E-2</v>
          </cell>
          <cell r="P90">
            <v>5.850234009360375E-2</v>
          </cell>
          <cell r="Q90">
            <v>4.4642857142857144E-2</v>
          </cell>
          <cell r="R90">
            <v>0.12500000000000014</v>
          </cell>
          <cell r="S90">
            <v>8.5294117647058992E-2</v>
          </cell>
          <cell r="T90">
            <v>0.15820895522388051</v>
          </cell>
          <cell r="U90">
            <v>0.10935960591133013</v>
          </cell>
          <cell r="V90">
            <v>8.4795321637426854E-2</v>
          </cell>
          <cell r="W90">
            <v>0.10316875460574826</v>
          </cell>
          <cell r="X90">
            <v>1.4245014245014342E-2</v>
          </cell>
          <cell r="Y90">
            <v>7.7519379844961378E-3</v>
          </cell>
          <cell r="Z90">
            <v>1.0840108401083848E-2</v>
          </cell>
          <cell r="AA90">
            <v>4.8969072164948502E-2</v>
          </cell>
          <cell r="AB90">
            <v>2.3978685612788597E-2</v>
          </cell>
          <cell r="AC90">
            <v>0.14555256064690014</v>
          </cell>
          <cell r="AD90">
            <v>5.4108216432865675E-2</v>
          </cell>
          <cell r="AE90">
            <v>8.1460674157303403E-2</v>
          </cell>
          <cell r="AF90">
            <v>0.20769230769230762</v>
          </cell>
          <cell r="AG90">
            <v>0.14745308310991967</v>
          </cell>
          <cell r="AH90">
            <v>7.3710073710073765E-3</v>
          </cell>
          <cell r="AI90">
            <v>9.8005203816131869E-2</v>
          </cell>
          <cell r="AJ90">
            <v>2.7283269176461955E-2</v>
          </cell>
          <cell r="AK90">
            <v>7.8957787959439862E-2</v>
          </cell>
          <cell r="AL90">
            <v>0.19646054623376719</v>
          </cell>
          <cell r="AM90">
            <v>9.4557697239913585E-2</v>
          </cell>
          <cell r="AN90">
            <v>0.14039017021028011</v>
          </cell>
          <cell r="AO90">
            <v>0.1797640336585371</v>
          </cell>
          <cell r="AP90">
            <v>0.15314157938388639</v>
          </cell>
          <cell r="AQ90">
            <v>0.03</v>
          </cell>
          <cell r="AR90">
            <v>0.17056583872363462</v>
          </cell>
          <cell r="AS90">
            <v>0.11584534840490024</v>
          </cell>
          <cell r="AT90">
            <v>0.1153425690885399</v>
          </cell>
          <cell r="AU90">
            <v>0.11557982076227358</v>
          </cell>
          <cell r="AV90">
            <v>0.21148657859204101</v>
          </cell>
          <cell r="AW90">
            <v>0.14735674663554477</v>
          </cell>
          <cell r="AX90">
            <v>0.47878581321814218</v>
          </cell>
          <cell r="AY90">
            <v>0.17410938283993982</v>
          </cell>
          <cell r="AZ90">
            <v>0.13813229571984431</v>
          </cell>
          <cell r="BA90">
            <v>0.14782608695652177</v>
          </cell>
          <cell r="BB90">
            <v>0.14325068870523405</v>
          </cell>
          <cell r="BC90">
            <v>0.28327645051194539</v>
          </cell>
          <cell r="BD90">
            <v>0.1922388059701492</v>
          </cell>
          <cell r="BE90">
            <v>0.13383458646616586</v>
          </cell>
          <cell r="BF90">
            <v>0.17564102564102568</v>
          </cell>
          <cell r="BL90">
            <v>6.3756818128692272E-2</v>
          </cell>
          <cell r="BM90">
            <v>6.3697453708237095E-2</v>
          </cell>
          <cell r="BN90">
            <v>6.3725347833511137E-2</v>
          </cell>
          <cell r="BO90">
            <v>7.5769623638308525E-2</v>
          </cell>
          <cell r="BP90">
            <v>6.826079871243329E-2</v>
          </cell>
          <cell r="BQ90">
            <v>9.4104487490111799E-2</v>
          </cell>
          <cell r="BR90">
            <v>7.5344092546809849E-2</v>
          </cell>
          <cell r="BS90">
            <v>5.0000000000000044E-2</v>
          </cell>
          <cell r="BT90">
            <v>5.0000000000000044E-2</v>
          </cell>
          <cell r="BU90">
            <v>5.0000000000000044E-2</v>
          </cell>
          <cell r="BV90">
            <v>5.0000000000000044E-2</v>
          </cell>
          <cell r="BW90">
            <v>2.0000000000000018E-2</v>
          </cell>
          <cell r="BX90">
            <v>2.0000000000000018E-2</v>
          </cell>
          <cell r="BY90">
            <v>2.0000000000000018E-2</v>
          </cell>
          <cell r="BZ90">
            <v>2.0000000000000018E-2</v>
          </cell>
          <cell r="CA90">
            <v>2.0000000000000018E-2</v>
          </cell>
          <cell r="CB90">
            <v>2.0000000000000018E-2</v>
          </cell>
        </row>
        <row r="91">
          <cell r="A91" t="str">
            <v xml:space="preserve">     Year-on-Year Growth % CER</v>
          </cell>
          <cell r="AY91">
            <v>0.17299999999999999</v>
          </cell>
          <cell r="AZ91">
            <v>0.14799999999999999</v>
          </cell>
          <cell r="BA91">
            <v>0.16300000000000001</v>
          </cell>
          <cell r="BC91">
            <v>0.33800000000000002</v>
          </cell>
          <cell r="BL91">
            <v>0.1</v>
          </cell>
          <cell r="BM91">
            <v>0.1</v>
          </cell>
          <cell r="BO91">
            <v>0.1</v>
          </cell>
          <cell r="BR91">
            <v>0.1</v>
          </cell>
          <cell r="BS91">
            <v>0.05</v>
          </cell>
          <cell r="BT91">
            <v>0.05</v>
          </cell>
          <cell r="BU91">
            <v>0.05</v>
          </cell>
          <cell r="BV91">
            <v>0.05</v>
          </cell>
          <cell r="BW91">
            <v>0.02</v>
          </cell>
          <cell r="BX91">
            <v>0.02</v>
          </cell>
          <cell r="BY91">
            <v>0.02</v>
          </cell>
          <cell r="BZ91">
            <v>0.02</v>
          </cell>
          <cell r="CA91">
            <v>0.02</v>
          </cell>
          <cell r="CB91">
            <v>0.02</v>
          </cell>
        </row>
        <row r="92">
          <cell r="A92" t="str">
            <v>Others</v>
          </cell>
          <cell r="J92">
            <v>221.40000000000006</v>
          </cell>
          <cell r="K92">
            <v>217.6</v>
          </cell>
          <cell r="L92">
            <v>439.00000000000006</v>
          </cell>
          <cell r="M92">
            <v>210.49999999999997</v>
          </cell>
          <cell r="N92">
            <v>649.5</v>
          </cell>
          <cell r="O92">
            <v>229.40000000000003</v>
          </cell>
          <cell r="P92">
            <v>878.90000000000009</v>
          </cell>
          <cell r="Q92">
            <v>226.9</v>
          </cell>
          <cell r="R92">
            <v>224.8</v>
          </cell>
          <cell r="S92">
            <v>451.70000000000005</v>
          </cell>
          <cell r="T92">
            <v>236.59999999999997</v>
          </cell>
          <cell r="U92">
            <v>688.3</v>
          </cell>
          <cell r="V92">
            <v>276.2</v>
          </cell>
          <cell r="W92">
            <v>964.5</v>
          </cell>
          <cell r="X92">
            <v>228.88592132999955</v>
          </cell>
          <cell r="Y92">
            <v>244.73696935000021</v>
          </cell>
          <cell r="Z92">
            <v>473.62289067999973</v>
          </cell>
          <cell r="AA92">
            <v>241.60721532999975</v>
          </cell>
          <cell r="AB92">
            <v>715.23010600999942</v>
          </cell>
          <cell r="AC92">
            <v>251.765022139991</v>
          </cell>
          <cell r="AD92">
            <v>966.99512814999048</v>
          </cell>
          <cell r="AE92">
            <v>238.96416183999997</v>
          </cell>
          <cell r="AF92">
            <v>251.97569753000025</v>
          </cell>
          <cell r="AG92">
            <v>490.93985937000025</v>
          </cell>
          <cell r="AH92">
            <v>255.85723475000339</v>
          </cell>
          <cell r="AI92">
            <v>746.79709412000375</v>
          </cell>
          <cell r="AJ92">
            <v>269.09796893000328</v>
          </cell>
          <cell r="AK92">
            <v>1015.8950630500069</v>
          </cell>
          <cell r="AL92">
            <v>249.67180437999929</v>
          </cell>
          <cell r="AM92">
            <v>260.99248882000063</v>
          </cell>
          <cell r="AN92">
            <v>510.66429319999992</v>
          </cell>
          <cell r="AO92">
            <v>252.51349334000204</v>
          </cell>
          <cell r="AP92">
            <v>763.17778654000199</v>
          </cell>
          <cell r="AQ92">
            <v>270.7222134599981</v>
          </cell>
          <cell r="AR92">
            <v>1033.9000000000001</v>
          </cell>
          <cell r="AS92">
            <v>245.1</v>
          </cell>
          <cell r="AT92">
            <v>243.89999999999998</v>
          </cell>
          <cell r="AU92">
            <v>489</v>
          </cell>
          <cell r="AV92">
            <v>242.9</v>
          </cell>
          <cell r="AW92">
            <v>731.90000000000009</v>
          </cell>
          <cell r="AX92">
            <v>252.59999999999991</v>
          </cell>
          <cell r="AY92">
            <v>984.5</v>
          </cell>
          <cell r="AZ92">
            <v>234</v>
          </cell>
          <cell r="BA92">
            <v>231.8</v>
          </cell>
          <cell r="BB92">
            <v>465.8</v>
          </cell>
          <cell r="BC92">
            <v>232.09999999999997</v>
          </cell>
          <cell r="BD92">
            <v>697.9</v>
          </cell>
          <cell r="BE92">
            <v>237.40000000000009</v>
          </cell>
          <cell r="BF92">
            <v>935.30000000000007</v>
          </cell>
          <cell r="BG92">
            <v>168.59999999999985</v>
          </cell>
          <cell r="BH92">
            <v>168.89999999999998</v>
          </cell>
          <cell r="BI92">
            <v>162</v>
          </cell>
          <cell r="BJ92">
            <v>170.80000000000007</v>
          </cell>
          <cell r="BK92">
            <v>670.3</v>
          </cell>
          <cell r="BL92">
            <v>163.35503070913842</v>
          </cell>
          <cell r="BM92">
            <v>163.14316741300485</v>
          </cell>
          <cell r="BN92">
            <v>326.49819812214326</v>
          </cell>
          <cell r="BO92">
            <v>158.07671432522639</v>
          </cell>
          <cell r="BP92">
            <v>484.57491244736968</v>
          </cell>
          <cell r="BQ92">
            <v>170.07497471074976</v>
          </cell>
          <cell r="BR92">
            <v>654.64988715811944</v>
          </cell>
          <cell r="BS92">
            <v>654.64988715811944</v>
          </cell>
          <cell r="BT92">
            <v>654.64988715811944</v>
          </cell>
          <cell r="BU92">
            <v>654.64988715811944</v>
          </cell>
          <cell r="BV92">
            <v>654.64988715811944</v>
          </cell>
          <cell r="BW92">
            <v>654.64988715811944</v>
          </cell>
          <cell r="BX92">
            <v>654.64988715811944</v>
          </cell>
          <cell r="BY92">
            <v>654.64988715811944</v>
          </cell>
          <cell r="BZ92">
            <v>654.64988715811944</v>
          </cell>
          <cell r="CA92">
            <v>654.64988715811944</v>
          </cell>
          <cell r="CB92">
            <v>654.64988715811944</v>
          </cell>
        </row>
        <row r="93">
          <cell r="A93" t="str">
            <v xml:space="preserve">     Year-on-Year Growth % reported</v>
          </cell>
          <cell r="Q93">
            <v>2.4841915085817262E-2</v>
          </cell>
          <cell r="R93">
            <v>3.3088235294117724E-2</v>
          </cell>
          <cell r="S93">
            <v>2.8929384965831407E-2</v>
          </cell>
          <cell r="T93">
            <v>0.12399049881235154</v>
          </cell>
          <cell r="U93">
            <v>5.9738260200153895E-2</v>
          </cell>
          <cell r="V93">
            <v>0.20401046207497797</v>
          </cell>
          <cell r="W93">
            <v>9.7394470360677943E-2</v>
          </cell>
          <cell r="X93">
            <v>8.7524078007912287E-3</v>
          </cell>
          <cell r="Y93">
            <v>8.8687586076513281E-2</v>
          </cell>
          <cell r="Z93">
            <v>4.8534183484612914E-2</v>
          </cell>
          <cell r="AA93">
            <v>2.1163209340658407E-2</v>
          </cell>
          <cell r="AB93">
            <v>3.912553539154362E-2</v>
          </cell>
          <cell r="AC93">
            <v>-8.8468420926897107E-2</v>
          </cell>
          <cell r="AD93">
            <v>2.5869654224888183E-3</v>
          </cell>
          <cell r="AE93">
            <v>4.4031718733237302E-2</v>
          </cell>
          <cell r="AF93">
            <v>2.9577583636936744E-2</v>
          </cell>
          <cell r="AG93">
            <v>3.6562778173871324E-2</v>
          </cell>
          <cell r="AH93">
            <v>5.8980107032566176E-2</v>
          </cell>
          <cell r="AI93">
            <v>4.4135429765540302E-2</v>
          </cell>
          <cell r="AJ93">
            <v>6.8845730207806488E-2</v>
          </cell>
          <cell r="AK93">
            <v>5.0568956840113088E-2</v>
          </cell>
          <cell r="AL93">
            <v>4.4808570697595584E-2</v>
          </cell>
          <cell r="AM93">
            <v>3.5784368803768674E-2</v>
          </cell>
          <cell r="AN93">
            <v>4.0176884100042498E-2</v>
          </cell>
          <cell r="AO93">
            <v>-1.3068778036581574E-2</v>
          </cell>
          <cell r="AP93">
            <v>2.1934595821239133E-2</v>
          </cell>
          <cell r="AQ93">
            <v>6.0358855046480642E-3</v>
          </cell>
          <cell r="AR93">
            <v>1.7723225168490453E-2</v>
          </cell>
          <cell r="AS93">
            <v>-1.8311256216344884E-2</v>
          </cell>
          <cell r="AT93">
            <v>-6.5490347623715972E-2</v>
          </cell>
          <cell r="AU93">
            <v>-4.2423747829016811E-2</v>
          </cell>
          <cell r="AV93">
            <v>-3.8071206464431406E-2</v>
          </cell>
          <cell r="AW93">
            <v>-4.0983617568070341E-2</v>
          </cell>
          <cell r="AX93">
            <v>-6.6940252993594629E-2</v>
          </cell>
          <cell r="AY93">
            <v>-4.7780249540574582E-2</v>
          </cell>
          <cell r="AZ93">
            <v>-4.5287637698898431E-2</v>
          </cell>
          <cell r="BA93">
            <v>-4.9610496104960933E-2</v>
          </cell>
          <cell r="BB93">
            <v>-4.7443762781186116E-2</v>
          </cell>
          <cell r="BC93">
            <v>-4.4462741869082056E-2</v>
          </cell>
          <cell r="BD93">
            <v>-4.6454433665801487E-2</v>
          </cell>
          <cell r="BE93">
            <v>-6.0174188440221044E-2</v>
          </cell>
          <cell r="BF93">
            <v>-4.9974606399187382E-2</v>
          </cell>
          <cell r="BL93">
            <v>-3.1108951903092708E-2</v>
          </cell>
          <cell r="BM93">
            <v>-3.4084266352842674E-2</v>
          </cell>
          <cell r="BN93">
            <v>-3.2597931489945386E-2</v>
          </cell>
          <cell r="BO93">
            <v>-2.4217812807244443E-2</v>
          </cell>
          <cell r="BP93">
            <v>-2.9880055160420693E-2</v>
          </cell>
          <cell r="BQ93">
            <v>-4.2448787426833112E-3</v>
          </cell>
          <cell r="BR93">
            <v>-2.3347923082023825E-2</v>
          </cell>
          <cell r="BS93">
            <v>0</v>
          </cell>
          <cell r="BT93">
            <v>0</v>
          </cell>
          <cell r="BU93">
            <v>0</v>
          </cell>
          <cell r="BV93">
            <v>0</v>
          </cell>
          <cell r="BW93">
            <v>0</v>
          </cell>
          <cell r="BX93">
            <v>0</v>
          </cell>
          <cell r="BY93">
            <v>0</v>
          </cell>
          <cell r="BZ93">
            <v>0</v>
          </cell>
          <cell r="CA93">
            <v>0</v>
          </cell>
          <cell r="CB93">
            <v>0</v>
          </cell>
        </row>
        <row r="94">
          <cell r="A94" t="str">
            <v xml:space="preserve">     Year-on-Year Growth % CER</v>
          </cell>
          <cell r="BL94">
            <v>0</v>
          </cell>
          <cell r="BM94">
            <v>0</v>
          </cell>
          <cell r="BO94">
            <v>0</v>
          </cell>
          <cell r="BR94">
            <v>0</v>
          </cell>
          <cell r="BS94">
            <v>0</v>
          </cell>
          <cell r="BT94">
            <v>0</v>
          </cell>
          <cell r="BU94">
            <v>0</v>
          </cell>
          <cell r="BV94">
            <v>0</v>
          </cell>
          <cell r="BW94">
            <v>0</v>
          </cell>
          <cell r="BX94">
            <v>0</v>
          </cell>
          <cell r="BY94">
            <v>0</v>
          </cell>
          <cell r="BZ94">
            <v>0</v>
          </cell>
          <cell r="CA94">
            <v>0</v>
          </cell>
          <cell r="CB94">
            <v>0</v>
          </cell>
        </row>
        <row r="96">
          <cell r="A96" t="str">
            <v>AIID</v>
          </cell>
          <cell r="J96">
            <v>20.6</v>
          </cell>
          <cell r="K96">
            <v>23</v>
          </cell>
          <cell r="L96">
            <v>43.6</v>
          </cell>
          <cell r="M96">
            <v>22.6</v>
          </cell>
          <cell r="N96">
            <v>66.2</v>
          </cell>
          <cell r="O96">
            <v>23.4</v>
          </cell>
          <cell r="P96">
            <v>89.6</v>
          </cell>
          <cell r="Q96">
            <v>28.3</v>
          </cell>
          <cell r="R96">
            <v>26.2</v>
          </cell>
          <cell r="S96">
            <v>54.5</v>
          </cell>
          <cell r="T96">
            <v>29.9</v>
          </cell>
          <cell r="U96">
            <v>84.4</v>
          </cell>
          <cell r="V96">
            <v>28.8</v>
          </cell>
          <cell r="W96">
            <v>113.2</v>
          </cell>
          <cell r="X96">
            <v>24.007493449999995</v>
          </cell>
          <cell r="Y96">
            <v>-3.5464950699999953</v>
          </cell>
          <cell r="Z96">
            <v>20.460998379999999</v>
          </cell>
          <cell r="AA96">
            <v>6.9475759800000034</v>
          </cell>
          <cell r="AB96">
            <v>27.408574360000003</v>
          </cell>
          <cell r="AC96">
            <v>3.205178349999994</v>
          </cell>
          <cell r="AD96">
            <v>30.613752709999996</v>
          </cell>
          <cell r="AE96">
            <v>4.4701537199999999</v>
          </cell>
          <cell r="AF96">
            <v>8.439697279999999</v>
          </cell>
          <cell r="AG96">
            <v>12.909851</v>
          </cell>
          <cell r="AH96">
            <v>0.50956489999999555</v>
          </cell>
          <cell r="AI96">
            <v>13.419415899999995</v>
          </cell>
          <cell r="AJ96">
            <v>8.1211346999999972</v>
          </cell>
          <cell r="AK96">
            <v>21.540550599999992</v>
          </cell>
          <cell r="AL96">
            <v>0</v>
          </cell>
          <cell r="AM96">
            <v>0</v>
          </cell>
          <cell r="AN96">
            <v>0</v>
          </cell>
          <cell r="AO96">
            <v>0</v>
          </cell>
          <cell r="AP96">
            <v>0</v>
          </cell>
          <cell r="AQ96">
            <v>0</v>
          </cell>
          <cell r="AR96">
            <v>0</v>
          </cell>
        </row>
        <row r="97">
          <cell r="A97" t="str">
            <v xml:space="preserve">Raptiva </v>
          </cell>
          <cell r="B97" t="str">
            <v>Discontinued</v>
          </cell>
          <cell r="C97">
            <v>11.309353097019777</v>
          </cell>
          <cell r="D97">
            <v>13.516488893238082</v>
          </cell>
          <cell r="E97">
            <v>24.825841990257857</v>
          </cell>
          <cell r="F97">
            <v>14.458601270120225</v>
          </cell>
          <cell r="G97">
            <v>39.284443260378083</v>
          </cell>
          <cell r="H97">
            <v>19.713040739621896</v>
          </cell>
          <cell r="I97">
            <v>58.997483999999979</v>
          </cell>
          <cell r="J97">
            <v>18</v>
          </cell>
          <cell r="K97">
            <v>19.8</v>
          </cell>
          <cell r="L97">
            <v>37.799999999999997</v>
          </cell>
          <cell r="M97">
            <v>19.100000000000001</v>
          </cell>
          <cell r="N97">
            <v>56.9</v>
          </cell>
          <cell r="O97">
            <v>19.3</v>
          </cell>
          <cell r="P97">
            <v>76.2</v>
          </cell>
          <cell r="Q97">
            <v>22.2</v>
          </cell>
          <cell r="R97">
            <v>23</v>
          </cell>
          <cell r="S97">
            <v>45.2</v>
          </cell>
          <cell r="T97">
            <v>22.6</v>
          </cell>
          <cell r="U97">
            <v>67.800000000000011</v>
          </cell>
          <cell r="V97">
            <v>25.3</v>
          </cell>
          <cell r="W97">
            <v>93.100000000000009</v>
          </cell>
          <cell r="X97">
            <v>14.2</v>
          </cell>
          <cell r="Y97">
            <v>-4.5</v>
          </cell>
          <cell r="Z97">
            <v>9.6999999999999993</v>
          </cell>
          <cell r="AA97">
            <v>-4.3</v>
          </cell>
          <cell r="AB97">
            <v>5.3999999999999995</v>
          </cell>
          <cell r="AC97">
            <v>-0.6</v>
          </cell>
          <cell r="AD97">
            <v>4.8</v>
          </cell>
          <cell r="AE97">
            <v>-0.5</v>
          </cell>
          <cell r="AF97" t="str">
            <v>ND</v>
          </cell>
          <cell r="AG97">
            <v>-0.5</v>
          </cell>
          <cell r="AH97">
            <v>0</v>
          </cell>
          <cell r="AI97">
            <v>-0.5</v>
          </cell>
          <cell r="AJ97">
            <v>0</v>
          </cell>
          <cell r="AK97">
            <v>-0.5</v>
          </cell>
          <cell r="AL97">
            <v>0</v>
          </cell>
          <cell r="AM97">
            <v>0</v>
          </cell>
          <cell r="AN97">
            <v>0</v>
          </cell>
          <cell r="AO97">
            <v>0</v>
          </cell>
          <cell r="AP97">
            <v>0</v>
          </cell>
          <cell r="AQ97">
            <v>0</v>
          </cell>
          <cell r="AR97">
            <v>0</v>
          </cell>
        </row>
        <row r="98">
          <cell r="A98" t="str">
            <v xml:space="preserve">     Year-on-Year Growth %</v>
          </cell>
          <cell r="J98">
            <v>0.59160297194570144</v>
          </cell>
          <cell r="K98">
            <v>0.46487746606334901</v>
          </cell>
          <cell r="L98">
            <v>0.52260696796642203</v>
          </cell>
          <cell r="M98">
            <v>0.32101298342541429</v>
          </cell>
          <cell r="N98">
            <v>0.44841049732754645</v>
          </cell>
          <cell r="O98">
            <v>-2.0952665044297825E-2</v>
          </cell>
          <cell r="P98">
            <v>0.29158050197530505</v>
          </cell>
          <cell r="Q98">
            <v>0.23333333333333339</v>
          </cell>
          <cell r="R98">
            <v>0.16161616161616155</v>
          </cell>
          <cell r="S98">
            <v>0.19576719576719603</v>
          </cell>
          <cell r="T98">
            <v>0.18324607329842935</v>
          </cell>
          <cell r="U98">
            <v>0.1915641476274168</v>
          </cell>
          <cell r="V98">
            <v>0.31088082901554404</v>
          </cell>
          <cell r="W98">
            <v>0.22178477690288712</v>
          </cell>
          <cell r="X98">
            <v>-0.36036036036036034</v>
          </cell>
          <cell r="Y98">
            <v>-1.1956521739130435</v>
          </cell>
          <cell r="Z98">
            <v>-0.78539823008849563</v>
          </cell>
          <cell r="AA98">
            <v>-1.1902654867256637</v>
          </cell>
          <cell r="AB98">
            <v>-0.92035398230088494</v>
          </cell>
          <cell r="AC98">
            <v>-1.0237154150197629</v>
          </cell>
          <cell r="AD98">
            <v>-0.94844253490870034</v>
          </cell>
          <cell r="AE98">
            <v>-1.0352112676056338</v>
          </cell>
          <cell r="AF98" t="str">
            <v>nm</v>
          </cell>
          <cell r="AG98">
            <v>-1.0515463917525774</v>
          </cell>
          <cell r="AH98">
            <v>-1</v>
          </cell>
          <cell r="AI98">
            <v>-1.0925925925925926</v>
          </cell>
          <cell r="AJ98">
            <v>-1</v>
          </cell>
          <cell r="AK98">
            <v>-1.1041666666666667</v>
          </cell>
          <cell r="AL98">
            <v>-1</v>
          </cell>
          <cell r="AM98">
            <v>0</v>
          </cell>
          <cell r="AN98">
            <v>-1</v>
          </cell>
          <cell r="AO98">
            <v>0</v>
          </cell>
          <cell r="AP98">
            <v>-1</v>
          </cell>
          <cell r="AQ98">
            <v>0</v>
          </cell>
          <cell r="AR98">
            <v>-1</v>
          </cell>
        </row>
        <row r="99">
          <cell r="A99" t="str">
            <v>Others</v>
          </cell>
          <cell r="J99">
            <v>2.6000000000000014</v>
          </cell>
          <cell r="K99">
            <v>3.1999999999999993</v>
          </cell>
          <cell r="L99">
            <v>5.8000000000000007</v>
          </cell>
          <cell r="M99">
            <v>3.5</v>
          </cell>
          <cell r="N99">
            <v>9.3000000000000007</v>
          </cell>
          <cell r="O99">
            <v>4.0999999999999979</v>
          </cell>
          <cell r="P99">
            <v>13.399999999999999</v>
          </cell>
          <cell r="Q99">
            <v>6.1000000000000014</v>
          </cell>
          <cell r="R99">
            <v>3.1999999999999993</v>
          </cell>
          <cell r="S99">
            <v>9.3000000000000007</v>
          </cell>
          <cell r="T99">
            <v>7.2999999999999972</v>
          </cell>
          <cell r="U99">
            <v>16.599999999999998</v>
          </cell>
          <cell r="V99">
            <v>3.5</v>
          </cell>
          <cell r="W99">
            <v>20.099999999999998</v>
          </cell>
          <cell r="X99">
            <v>9.8074934499999955</v>
          </cell>
          <cell r="Y99">
            <v>0.95350493000000469</v>
          </cell>
          <cell r="Z99">
            <v>10.76099838</v>
          </cell>
          <cell r="AA99">
            <v>11.247575980000004</v>
          </cell>
          <cell r="AB99">
            <v>22.008574360000004</v>
          </cell>
          <cell r="AC99">
            <v>3.805178349999994</v>
          </cell>
          <cell r="AD99">
            <v>25.813752709999999</v>
          </cell>
          <cell r="AE99">
            <v>4.4701537199999999</v>
          </cell>
          <cell r="AF99">
            <v>8.439697279999999</v>
          </cell>
          <cell r="AG99">
            <v>12.909851</v>
          </cell>
          <cell r="AH99">
            <v>0.50956489999999555</v>
          </cell>
          <cell r="AI99">
            <v>13.419415899999995</v>
          </cell>
          <cell r="AJ99">
            <v>8.1211346999999972</v>
          </cell>
          <cell r="AK99">
            <v>21.540550599999992</v>
          </cell>
          <cell r="AL99">
            <v>0</v>
          </cell>
          <cell r="AM99">
            <v>0</v>
          </cell>
          <cell r="AN99">
            <v>0</v>
          </cell>
          <cell r="AO99">
            <v>0</v>
          </cell>
          <cell r="AP99">
            <v>0</v>
          </cell>
          <cell r="AQ99">
            <v>0</v>
          </cell>
          <cell r="AR99">
            <v>0</v>
          </cell>
        </row>
        <row r="100">
          <cell r="A100" t="str">
            <v xml:space="preserve">     Year-on-Year Growth %</v>
          </cell>
          <cell r="Q100">
            <v>1.3461538461538454</v>
          </cell>
          <cell r="R100">
            <v>0</v>
          </cell>
          <cell r="S100">
            <v>0.60344827586206895</v>
          </cell>
          <cell r="T100">
            <v>1.085714285714285</v>
          </cell>
          <cell r="U100">
            <v>0.78494623655913931</v>
          </cell>
          <cell r="V100">
            <v>-0.14634146341463372</v>
          </cell>
          <cell r="W100">
            <v>0.5</v>
          </cell>
          <cell r="X100">
            <v>0.60778581147540867</v>
          </cell>
          <cell r="Y100">
            <v>-0.70202970937499853</v>
          </cell>
          <cell r="Z100">
            <v>0.15709660000000003</v>
          </cell>
          <cell r="AA100">
            <v>0.54076383287671348</v>
          </cell>
          <cell r="AB100">
            <v>0.32581773253012081</v>
          </cell>
          <cell r="AC100">
            <v>8.719381428571249E-2</v>
          </cell>
          <cell r="AD100">
            <v>0.28426630398009967</v>
          </cell>
          <cell r="AE100">
            <v>-0.54421037925852489</v>
          </cell>
          <cell r="AF100">
            <v>7.8512361231314838</v>
          </cell>
          <cell r="AG100">
            <v>0.19968896417583148</v>
          </cell>
          <cell r="AH100">
            <v>-0.95469558054943715</v>
          </cell>
          <cell r="AI100">
            <v>-0.39026419065155693</v>
          </cell>
          <cell r="AJ100">
            <v>1.1342323415668569</v>
          </cell>
          <cell r="AK100">
            <v>-0.16553974766886992</v>
          </cell>
          <cell r="AL100">
            <v>-1</v>
          </cell>
          <cell r="AM100">
            <v>0</v>
          </cell>
          <cell r="AN100">
            <v>-1</v>
          </cell>
          <cell r="AO100">
            <v>0</v>
          </cell>
          <cell r="AP100">
            <v>-1</v>
          </cell>
          <cell r="AQ100">
            <v>0</v>
          </cell>
          <cell r="AR100">
            <v>-1</v>
          </cell>
        </row>
        <row r="102">
          <cell r="A102" t="str">
            <v>Pipeline products</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t="str">
            <v>Bull case only</v>
          </cell>
        </row>
        <row r="103">
          <cell r="A103" t="str">
            <v xml:space="preserve">     Year-on-Year Growth %</v>
          </cell>
          <cell r="Q103" t="str">
            <v>nm</v>
          </cell>
          <cell r="R103" t="str">
            <v>nm</v>
          </cell>
          <cell r="S103" t="str">
            <v>nm</v>
          </cell>
          <cell r="T103" t="str">
            <v>nm</v>
          </cell>
          <cell r="U103" t="str">
            <v>nm</v>
          </cell>
          <cell r="V103" t="str">
            <v>nm</v>
          </cell>
          <cell r="W103" t="str">
            <v>nm</v>
          </cell>
          <cell r="X103" t="str">
            <v>nm</v>
          </cell>
          <cell r="Y103" t="str">
            <v>nm</v>
          </cell>
          <cell r="Z103" t="str">
            <v>nm</v>
          </cell>
          <cell r="AA103" t="str">
            <v>nm</v>
          </cell>
          <cell r="AB103" t="str">
            <v>nm</v>
          </cell>
          <cell r="AC103" t="str">
            <v>nm</v>
          </cell>
          <cell r="AD103" t="str">
            <v>nm</v>
          </cell>
          <cell r="AE103" t="str">
            <v>nm</v>
          </cell>
          <cell r="AF103" t="str">
            <v>nm</v>
          </cell>
          <cell r="AG103" t="str">
            <v>nm</v>
          </cell>
          <cell r="AH103" t="str">
            <v>nm</v>
          </cell>
          <cell r="AI103" t="str">
            <v>nm</v>
          </cell>
          <cell r="AJ103" t="str">
            <v>nm</v>
          </cell>
          <cell r="AK103" t="str">
            <v>nm</v>
          </cell>
          <cell r="AL103" t="str">
            <v>nm</v>
          </cell>
          <cell r="AM103" t="str">
            <v>nm</v>
          </cell>
          <cell r="AN103" t="str">
            <v>nm</v>
          </cell>
          <cell r="AO103" t="str">
            <v>nm</v>
          </cell>
          <cell r="AP103" t="str">
            <v>nm</v>
          </cell>
          <cell r="AQ103" t="str">
            <v>nm</v>
          </cell>
          <cell r="AR103" t="str">
            <v>nm</v>
          </cell>
          <cell r="BR103" t="str">
            <v>nm</v>
          </cell>
          <cell r="BS103" t="str">
            <v>nm</v>
          </cell>
          <cell r="BT103" t="str">
            <v>nm</v>
          </cell>
          <cell r="BU103">
            <v>0.05</v>
          </cell>
          <cell r="BV103">
            <v>0.05</v>
          </cell>
          <cell r="BW103">
            <v>0.05</v>
          </cell>
          <cell r="BX103">
            <v>0.05</v>
          </cell>
          <cell r="BY103">
            <v>0.05</v>
          </cell>
          <cell r="BZ103">
            <v>0.05</v>
          </cell>
          <cell r="CA103">
            <v>0.05</v>
          </cell>
          <cell r="CB103">
            <v>0.05</v>
          </cell>
        </row>
        <row r="105">
          <cell r="A105" t="str">
            <v>Other Indication Areas</v>
          </cell>
          <cell r="B105" t="str">
            <v>Balancing Figure</v>
          </cell>
          <cell r="C105" t="e">
            <v>#REF!</v>
          </cell>
          <cell r="D105" t="e">
            <v>#REF!</v>
          </cell>
          <cell r="E105" t="e">
            <v>#REF!</v>
          </cell>
          <cell r="F105" t="e">
            <v>#REF!</v>
          </cell>
          <cell r="G105" t="e">
            <v>#REF!</v>
          </cell>
          <cell r="H105" t="e">
            <v>#REF!</v>
          </cell>
          <cell r="I105">
            <v>133.57170203969071</v>
          </cell>
          <cell r="J105">
            <v>0</v>
          </cell>
          <cell r="K105">
            <v>0.10000000000002274</v>
          </cell>
          <cell r="L105">
            <v>0.10000000000038511</v>
          </cell>
          <cell r="M105">
            <v>-9.9999999999944578E-2</v>
          </cell>
          <cell r="N105">
            <v>2.7000623958883807E-13</v>
          </cell>
          <cell r="O105">
            <v>-7.815970093361102E-14</v>
          </cell>
          <cell r="P105">
            <v>0</v>
          </cell>
          <cell r="Q105">
            <v>-9.9999999999898392E-2</v>
          </cell>
          <cell r="R105">
            <v>9.9999999999955236E-2</v>
          </cell>
          <cell r="S105">
            <v>3.4106051316484809E-13</v>
          </cell>
          <cell r="T105">
            <v>3.5527136788005009E-14</v>
          </cell>
          <cell r="U105">
            <v>3.1263880373444408E-13</v>
          </cell>
          <cell r="V105">
            <v>-9.9999999999955236E-2</v>
          </cell>
          <cell r="W105">
            <v>-9.9999999999411671E-2</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Y105">
            <v>0</v>
          </cell>
          <cell r="BA105">
            <v>-0.10000000000013642</v>
          </cell>
          <cell r="BB105">
            <v>-0.10000000000013642</v>
          </cell>
          <cell r="BC105">
            <v>-0.10000000000002274</v>
          </cell>
          <cell r="BD105">
            <v>-0.20000000000015916</v>
          </cell>
          <cell r="BE105">
            <v>0.3000000000001819</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row>
        <row r="106">
          <cell r="A106" t="str">
            <v xml:space="preserve">     Year-on-Year Growth %</v>
          </cell>
          <cell r="J106" t="str">
            <v>nm</v>
          </cell>
          <cell r="K106" t="str">
            <v>nm</v>
          </cell>
          <cell r="L106" t="str">
            <v>nm</v>
          </cell>
          <cell r="M106" t="str">
            <v>nm</v>
          </cell>
          <cell r="N106" t="str">
            <v>nm</v>
          </cell>
          <cell r="O106" t="str">
            <v>nm</v>
          </cell>
          <cell r="P106" t="str">
            <v>nm</v>
          </cell>
          <cell r="Q106" t="str">
            <v>nm</v>
          </cell>
          <cell r="R106" t="str">
            <v>nm</v>
          </cell>
          <cell r="S106" t="str">
            <v>nm</v>
          </cell>
          <cell r="T106" t="str">
            <v>nm</v>
          </cell>
          <cell r="U106" t="str">
            <v>nm</v>
          </cell>
          <cell r="V106" t="str">
            <v>nm</v>
          </cell>
          <cell r="W106" t="str">
            <v>nm</v>
          </cell>
          <cell r="X106" t="str">
            <v>nm</v>
          </cell>
          <cell r="Y106" t="str">
            <v>nm</v>
          </cell>
          <cell r="Z106" t="str">
            <v>nm</v>
          </cell>
          <cell r="AA106" t="str">
            <v>nm</v>
          </cell>
          <cell r="AB106" t="str">
            <v>nm</v>
          </cell>
          <cell r="AC106" t="str">
            <v>nm</v>
          </cell>
          <cell r="AD106" t="str">
            <v>nm</v>
          </cell>
          <cell r="AE106" t="str">
            <v>nm</v>
          </cell>
          <cell r="AF106" t="str">
            <v>nm</v>
          </cell>
          <cell r="AG106" t="str">
            <v>nm</v>
          </cell>
          <cell r="AH106" t="str">
            <v>nm</v>
          </cell>
          <cell r="AI106" t="str">
            <v>nm</v>
          </cell>
          <cell r="AJ106" t="str">
            <v>nm</v>
          </cell>
          <cell r="AK106" t="str">
            <v>nm</v>
          </cell>
          <cell r="AL106" t="str">
            <v>nm</v>
          </cell>
          <cell r="AM106" t="str">
            <v>nm</v>
          </cell>
          <cell r="AN106" t="str">
            <v>nm</v>
          </cell>
          <cell r="AO106" t="str">
            <v>nm</v>
          </cell>
          <cell r="AP106" t="str">
            <v>nm</v>
          </cell>
          <cell r="AQ106" t="str">
            <v>nm</v>
          </cell>
          <cell r="AR106" t="str">
            <v>nm</v>
          </cell>
          <cell r="AY106" t="str">
            <v>nm</v>
          </cell>
          <cell r="BR106" t="str">
            <v>nm</v>
          </cell>
          <cell r="BS106" t="str">
            <v>nm</v>
          </cell>
          <cell r="BT106" t="str">
            <v>nm</v>
          </cell>
          <cell r="BU106" t="str">
            <v>nm</v>
          </cell>
          <cell r="BV106" t="str">
            <v>nm</v>
          </cell>
          <cell r="BW106" t="str">
            <v>nm</v>
          </cell>
          <cell r="BX106" t="str">
            <v>nm</v>
          </cell>
          <cell r="BY106" t="str">
            <v>nm</v>
          </cell>
          <cell r="BZ106" t="str">
            <v>nm</v>
          </cell>
          <cell r="CA106" t="str">
            <v>nm</v>
          </cell>
          <cell r="CB106" t="str">
            <v>nm</v>
          </cell>
        </row>
        <row r="108">
          <cell r="A108" t="str">
            <v>Total Serono Sales</v>
          </cell>
          <cell r="C108">
            <v>474</v>
          </cell>
          <cell r="D108">
            <v>466.6</v>
          </cell>
          <cell r="E108">
            <v>940.6</v>
          </cell>
          <cell r="F108">
            <v>473</v>
          </cell>
          <cell r="G108">
            <v>1413.6</v>
          </cell>
          <cell r="H108">
            <v>488.8</v>
          </cell>
          <cell r="I108">
            <v>1902.3999999999999</v>
          </cell>
          <cell r="J108">
            <v>1015.7</v>
          </cell>
          <cell r="K108">
            <v>1069.9000000000001</v>
          </cell>
          <cell r="L108">
            <v>2085.6000000000004</v>
          </cell>
          <cell r="M108">
            <v>1026.9000000000001</v>
          </cell>
          <cell r="N108">
            <v>3112.5000000000005</v>
          </cell>
          <cell r="O108">
            <v>1074.5999999999999</v>
          </cell>
          <cell r="P108">
            <v>4187.1000000000004</v>
          </cell>
          <cell r="Q108">
            <v>1114.2</v>
          </cell>
          <cell r="R108">
            <v>1154.0999999999999</v>
          </cell>
          <cell r="S108">
            <v>2268.3000000000002</v>
          </cell>
          <cell r="T108">
            <v>1155.2</v>
          </cell>
          <cell r="U108">
            <v>3423.5</v>
          </cell>
          <cell r="V108">
            <v>1226.0999999999999</v>
          </cell>
          <cell r="W108">
            <v>4649.6000000000004</v>
          </cell>
          <cell r="X108">
            <v>1218.5371073199997</v>
          </cell>
          <cell r="Y108">
            <v>1241.1097158700002</v>
          </cell>
          <cell r="Z108">
            <v>2459.6468231900003</v>
          </cell>
          <cell r="AA108">
            <v>1235.8599069999987</v>
          </cell>
          <cell r="AB108">
            <v>3695.5067301899985</v>
          </cell>
          <cell r="AC108">
            <v>1298.3402645499914</v>
          </cell>
          <cell r="AD108">
            <v>4993.8469947399899</v>
          </cell>
          <cell r="AE108">
            <v>1336.26079665</v>
          </cell>
          <cell r="AF108">
            <v>1349.0965101800005</v>
          </cell>
          <cell r="AG108">
            <v>2685.3573068300002</v>
          </cell>
          <cell r="AH108">
            <v>1305.8992658600032</v>
          </cell>
          <cell r="AI108">
            <v>3991.2565726900038</v>
          </cell>
          <cell r="AJ108">
            <v>1417.788610650003</v>
          </cell>
          <cell r="AK108">
            <v>5409.0451833400075</v>
          </cell>
          <cell r="AL108">
            <v>1344.9360681599994</v>
          </cell>
          <cell r="AM108">
            <v>1395.4703772100013</v>
          </cell>
          <cell r="AN108">
            <v>2740.4064453700003</v>
          </cell>
          <cell r="AO108">
            <v>1374.9292768200028</v>
          </cell>
          <cell r="AP108">
            <v>4115.3357221900033</v>
          </cell>
          <cell r="AQ108">
            <v>1449.1459879299985</v>
          </cell>
          <cell r="AR108">
            <v>5564.4817101200024</v>
          </cell>
          <cell r="AS108">
            <v>1417.3</v>
          </cell>
          <cell r="AT108">
            <v>1546.5</v>
          </cell>
          <cell r="AU108">
            <v>2963.7999999999997</v>
          </cell>
          <cell r="AV108">
            <v>1510.6000000000001</v>
          </cell>
          <cell r="AW108">
            <v>4474.3999999999996</v>
          </cell>
          <cell r="AX108">
            <v>1521.3999999999999</v>
          </cell>
          <cell r="AY108">
            <v>5995.7999999999993</v>
          </cell>
          <cell r="AZ108">
            <v>1454.4</v>
          </cell>
          <cell r="BA108">
            <v>1530.8</v>
          </cell>
          <cell r="BB108">
            <v>2985.3</v>
          </cell>
          <cell r="BC108">
            <v>1483</v>
          </cell>
          <cell r="BD108">
            <v>4468.3</v>
          </cell>
          <cell r="BE108">
            <v>1485.4</v>
          </cell>
          <cell r="BF108">
            <v>5953.6</v>
          </cell>
          <cell r="BG108">
            <v>1389</v>
          </cell>
          <cell r="BH108">
            <v>1468</v>
          </cell>
          <cell r="BI108">
            <v>1413</v>
          </cell>
          <cell r="BJ108">
            <v>1418.5</v>
          </cell>
          <cell r="BK108">
            <v>5688.5</v>
          </cell>
          <cell r="BL108">
            <v>1360.4507817519327</v>
          </cell>
          <cell r="BM108">
            <v>1410.9355005986397</v>
          </cell>
          <cell r="BN108">
            <v>2771.3862823505724</v>
          </cell>
          <cell r="BO108">
            <v>1387.3048243535497</v>
          </cell>
          <cell r="BP108">
            <v>4158.6911067041219</v>
          </cell>
          <cell r="BQ108">
            <v>1405.3405283390468</v>
          </cell>
          <cell r="BR108">
            <v>5564.0316350431685</v>
          </cell>
          <cell r="BS108">
            <v>5486.084923071744</v>
          </cell>
          <cell r="BT108">
            <v>5386.9917626188326</v>
          </cell>
          <cell r="BU108">
            <v>5253.358613694324</v>
          </cell>
          <cell r="BV108">
            <v>5120.4814674888466</v>
          </cell>
          <cell r="BW108">
            <v>4989.0425274748141</v>
          </cell>
          <cell r="BX108">
            <v>4834.0235662011828</v>
          </cell>
          <cell r="BY108">
            <v>4702.2902006916011</v>
          </cell>
          <cell r="BZ108">
            <v>4562.6088632817127</v>
          </cell>
          <cell r="CA108">
            <v>4445.2047967907038</v>
          </cell>
          <cell r="CB108">
            <v>4413.4752658025354</v>
          </cell>
        </row>
        <row r="109">
          <cell r="A109" t="str">
            <v xml:space="preserve">     Year-on-Year Growth %</v>
          </cell>
          <cell r="J109">
            <v>1.1428270042194093</v>
          </cell>
          <cell r="K109">
            <v>1.2929704243463354</v>
          </cell>
          <cell r="L109">
            <v>1.2173081012119926</v>
          </cell>
          <cell r="M109">
            <v>1.171035940803383</v>
          </cell>
          <cell r="N109">
            <v>1.2018251273344656</v>
          </cell>
          <cell r="O109">
            <v>1.1984451718494271</v>
          </cell>
          <cell r="P109">
            <v>1.2009566862910011</v>
          </cell>
          <cell r="Q109">
            <v>9.6977453972629801E-2</v>
          </cell>
          <cell r="R109">
            <v>7.8698943826525758E-2</v>
          </cell>
          <cell r="S109">
            <v>8.7600690448791596E-2</v>
          </cell>
          <cell r="T109">
            <v>0.12493913720907579</v>
          </cell>
          <cell r="U109">
            <v>9.9919678714859295E-2</v>
          </cell>
          <cell r="V109">
            <v>0.14098269123394758</v>
          </cell>
          <cell r="W109">
            <v>0.11045831243581472</v>
          </cell>
          <cell r="X109">
            <v>9.364306885657836E-2</v>
          </cell>
          <cell r="Y109">
            <v>7.5391834217139131E-2</v>
          </cell>
          <cell r="Z109">
            <v>8.4356929502270361E-2</v>
          </cell>
          <cell r="AA109">
            <v>6.9823326696674792E-2</v>
          </cell>
          <cell r="AB109">
            <v>7.9452820268730351E-2</v>
          </cell>
          <cell r="AC109">
            <v>5.8918737908809637E-2</v>
          </cell>
          <cell r="AD109">
            <v>7.4037980630589528E-2</v>
          </cell>
          <cell r="AE109">
            <v>9.6610672438951717E-2</v>
          </cell>
          <cell r="AF109">
            <v>8.700825795590772E-2</v>
          </cell>
          <cell r="AG109">
            <v>9.1765403679894275E-2</v>
          </cell>
          <cell r="AH109">
            <v>5.6672571432487384E-2</v>
          </cell>
          <cell r="AI109">
            <v>8.0029577563453635E-2</v>
          </cell>
          <cell r="AJ109">
            <v>9.2000802379345936E-2</v>
          </cell>
          <cell r="AK109">
            <v>8.314195229396204E-2</v>
          </cell>
          <cell r="AL109">
            <v>6.4921993758615404E-3</v>
          </cell>
          <cell r="AM109">
            <v>3.4374017485089725E-2</v>
          </cell>
          <cell r="AN109">
            <v>2.0499744447409984E-2</v>
          </cell>
          <cell r="AO109">
            <v>5.2860134594332253E-2</v>
          </cell>
          <cell r="AP109">
            <v>3.1087740725315838E-2</v>
          </cell>
          <cell r="AQ109">
            <v>2.2117103385122627E-2</v>
          </cell>
          <cell r="AR109">
            <v>2.8736407538014985E-2</v>
          </cell>
          <cell r="AY109">
            <v>7.751275183375439E-2</v>
          </cell>
          <cell r="BA109">
            <v>-1.0151956029744613E-2</v>
          </cell>
          <cell r="BC109">
            <v>-1.8270885740765297E-2</v>
          </cell>
          <cell r="BD109">
            <v>-1.363311281959434E-3</v>
          </cell>
          <cell r="BE109">
            <v>-2.3662416195609159E-2</v>
          </cell>
          <cell r="BF109">
            <v>-7.0382601154139746E-3</v>
          </cell>
          <cell r="BL109">
            <v>-2.0553792835181661E-2</v>
          </cell>
          <cell r="BM109">
            <v>-3.8872274796566963E-2</v>
          </cell>
          <cell r="BN109">
            <v>-2.9966299492274251E-2</v>
          </cell>
          <cell r="BO109">
            <v>-1.8184837683262733E-2</v>
          </cell>
          <cell r="BP109">
            <v>-2.6067656509573323E-2</v>
          </cell>
          <cell r="BQ109">
            <v>-9.2770332470589745E-3</v>
          </cell>
          <cell r="BR109">
            <v>-2.188070052858071E-2</v>
          </cell>
          <cell r="BS109">
            <v>-1.4009034650432906E-2</v>
          </cell>
          <cell r="BT109">
            <v>-1.8062636988387615E-2</v>
          </cell>
          <cell r="BU109">
            <v>-2.4806636953078276E-2</v>
          </cell>
          <cell r="BV109">
            <v>-2.529375128876532E-2</v>
          </cell>
          <cell r="BW109">
            <v>-2.566925412162302E-2</v>
          </cell>
          <cell r="BX109">
            <v>-3.107188612242473E-2</v>
          </cell>
          <cell r="BY109">
            <v>-2.7251287401791502E-2</v>
          </cell>
          <cell r="BZ109">
            <v>-2.9704958955817817E-2</v>
          </cell>
          <cell r="CA109">
            <v>-2.5731784163186999E-2</v>
          </cell>
          <cell r="CB109">
            <v>-7.1379233215702609E-3</v>
          </cell>
        </row>
        <row r="111">
          <cell r="A111" t="str">
            <v>Royalties</v>
          </cell>
          <cell r="C111">
            <v>2.4</v>
          </cell>
          <cell r="D111">
            <v>2.6</v>
          </cell>
          <cell r="E111">
            <v>5</v>
          </cell>
          <cell r="F111">
            <v>2.9</v>
          </cell>
          <cell r="G111">
            <v>7.9</v>
          </cell>
          <cell r="H111">
            <v>4.0999999999999996</v>
          </cell>
          <cell r="I111">
            <v>12</v>
          </cell>
          <cell r="J111">
            <v>61.9</v>
          </cell>
          <cell r="K111">
            <v>72.400000000000006</v>
          </cell>
          <cell r="L111">
            <v>134.30000000000001</v>
          </cell>
          <cell r="M111">
            <v>65.099999999999994</v>
          </cell>
          <cell r="N111">
            <v>199.4</v>
          </cell>
          <cell r="O111">
            <v>71.400000000000006</v>
          </cell>
          <cell r="P111">
            <v>270.8</v>
          </cell>
          <cell r="Q111">
            <v>74.2</v>
          </cell>
          <cell r="R111">
            <v>88.9</v>
          </cell>
          <cell r="S111">
            <v>163.10000000000002</v>
          </cell>
          <cell r="T111">
            <v>90.6</v>
          </cell>
          <cell r="U111">
            <v>253.70000000000002</v>
          </cell>
          <cell r="V111">
            <v>110.2</v>
          </cell>
          <cell r="W111">
            <v>363.90000000000003</v>
          </cell>
          <cell r="X111">
            <v>96.141630770000006</v>
          </cell>
          <cell r="Y111">
            <v>77.92113642999999</v>
          </cell>
          <cell r="Z111">
            <v>174.0627672</v>
          </cell>
          <cell r="AA111">
            <v>82.766002889999982</v>
          </cell>
          <cell r="AB111">
            <v>256.82877008999998</v>
          </cell>
          <cell r="AC111">
            <v>94.262918140000011</v>
          </cell>
          <cell r="AD111">
            <v>351.09168822999999</v>
          </cell>
          <cell r="AE111">
            <v>70.505274310000004</v>
          </cell>
          <cell r="AF111">
            <v>101.41548805999999</v>
          </cell>
          <cell r="AG111">
            <v>171.92076236999998</v>
          </cell>
          <cell r="AH111">
            <v>87.552879979999986</v>
          </cell>
          <cell r="AI111">
            <v>259.47364234999998</v>
          </cell>
          <cell r="AJ111">
            <v>85.023387580000033</v>
          </cell>
          <cell r="AK111">
            <v>344.49702993</v>
          </cell>
          <cell r="AL111">
            <v>82.267952340000008</v>
          </cell>
          <cell r="AM111">
            <v>84.4</v>
          </cell>
          <cell r="AN111">
            <v>166.66795234</v>
          </cell>
          <cell r="AO111">
            <v>93.899237729999953</v>
          </cell>
          <cell r="AP111">
            <v>260.56719006999992</v>
          </cell>
          <cell r="AQ111">
            <v>95.032809930000099</v>
          </cell>
          <cell r="AR111">
            <v>355.6</v>
          </cell>
          <cell r="AS111">
            <v>78.2</v>
          </cell>
          <cell r="AT111">
            <v>102.1</v>
          </cell>
          <cell r="AU111">
            <v>180.3</v>
          </cell>
          <cell r="AV111">
            <v>112.4</v>
          </cell>
          <cell r="AW111">
            <v>292.70000000000005</v>
          </cell>
          <cell r="AX111">
            <v>116.69999999999993</v>
          </cell>
          <cell r="AY111">
            <v>409.4</v>
          </cell>
          <cell r="AZ111">
            <v>93.3</v>
          </cell>
          <cell r="BA111">
            <v>93</v>
          </cell>
          <cell r="BB111">
            <v>186.3</v>
          </cell>
          <cell r="BC111">
            <v>85.1</v>
          </cell>
          <cell r="BD111">
            <v>271.39999999999998</v>
          </cell>
          <cell r="BE111">
            <v>100.80000000000001</v>
          </cell>
          <cell r="BF111">
            <v>372.2</v>
          </cell>
          <cell r="BG111">
            <v>93.3</v>
          </cell>
          <cell r="BH111">
            <v>93</v>
          </cell>
          <cell r="BI111">
            <v>85.1</v>
          </cell>
          <cell r="BJ111">
            <v>100.80000000000001</v>
          </cell>
          <cell r="BK111">
            <v>372.2</v>
          </cell>
          <cell r="BL111">
            <v>104.49600000000001</v>
          </cell>
          <cell r="BM111">
            <v>106.02000000000001</v>
          </cell>
          <cell r="BN111">
            <v>210.51600000000002</v>
          </cell>
          <cell r="BO111">
            <v>31.000000000000007</v>
          </cell>
          <cell r="BP111">
            <v>241.51600000000002</v>
          </cell>
          <cell r="BQ111">
            <v>34.656399999999962</v>
          </cell>
          <cell r="BR111">
            <v>276.17239999999998</v>
          </cell>
          <cell r="BS111">
            <v>129.80102799999997</v>
          </cell>
          <cell r="BT111">
            <v>159.65526443999997</v>
          </cell>
          <cell r="BU111">
            <v>191.58631732799995</v>
          </cell>
          <cell r="BV111">
            <v>191.58631732799995</v>
          </cell>
          <cell r="BW111">
            <v>191.58631732799995</v>
          </cell>
          <cell r="BX111">
            <v>191.58631732799995</v>
          </cell>
          <cell r="BY111">
            <v>191.58631732799995</v>
          </cell>
          <cell r="BZ111">
            <v>191.58631732799995</v>
          </cell>
          <cell r="CA111">
            <v>191.58631732799995</v>
          </cell>
          <cell r="CB111">
            <v>191.58631732799995</v>
          </cell>
        </row>
        <row r="112">
          <cell r="A112" t="str">
            <v xml:space="preserve">     Year-on-Year Growth %</v>
          </cell>
          <cell r="B112" t="str">
            <v>Note Royalties all USD according to Merck</v>
          </cell>
          <cell r="J112">
            <v>24.791666666666668</v>
          </cell>
          <cell r="K112">
            <v>26.846153846153847</v>
          </cell>
          <cell r="L112">
            <v>25.860000000000003</v>
          </cell>
          <cell r="M112">
            <v>21.448275862068964</v>
          </cell>
          <cell r="N112">
            <v>24.240506329113924</v>
          </cell>
          <cell r="O112">
            <v>16.414634146341466</v>
          </cell>
          <cell r="P112">
            <v>21.566666666666666</v>
          </cell>
          <cell r="Q112">
            <v>0.19870759289176099</v>
          </cell>
          <cell r="R112">
            <v>0.2279005524861879</v>
          </cell>
          <cell r="S112">
            <v>0.21444527177959793</v>
          </cell>
          <cell r="T112">
            <v>0.39170506912442393</v>
          </cell>
          <cell r="U112">
            <v>0.2723169508525578</v>
          </cell>
          <cell r="V112">
            <v>0.54341736694677856</v>
          </cell>
          <cell r="W112">
            <v>0.34379615952732645</v>
          </cell>
          <cell r="X112">
            <v>0.29570930956873309</v>
          </cell>
          <cell r="Y112">
            <v>-0.12349677806524206</v>
          </cell>
          <cell r="Z112">
            <v>6.7215004291845348E-2</v>
          </cell>
          <cell r="AA112">
            <v>-8.6467959271523287E-2</v>
          </cell>
          <cell r="AB112">
            <v>1.2332558494284385E-2</v>
          </cell>
          <cell r="AC112">
            <v>-0.1446196176043556</v>
          </cell>
          <cell r="AD112">
            <v>-3.5197339296510144E-2</v>
          </cell>
          <cell r="AE112">
            <v>-0.26665198264974266</v>
          </cell>
          <cell r="AF112">
            <v>0.30151448896161837</v>
          </cell>
          <cell r="AG112">
            <v>-1.2305933454101803E-2</v>
          </cell>
          <cell r="AH112">
            <v>5.7836272416851964E-2</v>
          </cell>
          <cell r="AI112">
            <v>1.0298193068764006E-2</v>
          </cell>
          <cell r="AJ112">
            <v>-9.8018719792626774E-2</v>
          </cell>
          <cell r="AK112">
            <v>-1.8783293712381632E-2</v>
          </cell>
          <cell r="AL112">
            <v>0.1668340155416097</v>
          </cell>
          <cell r="AM112">
            <v>-0.2</v>
          </cell>
          <cell r="AN112">
            <v>-3.0553668780825438E-2</v>
          </cell>
          <cell r="AO112">
            <v>7.2485996479495496E-2</v>
          </cell>
          <cell r="AP112">
            <v>4.2144847935070562E-3</v>
          </cell>
          <cell r="AQ112">
            <v>0.11772551805915787</v>
          </cell>
          <cell r="AR112">
            <v>3.2229508835696086E-2</v>
          </cell>
          <cell r="AS112">
            <v>-4.9447594406966888E-2</v>
          </cell>
          <cell r="AT112">
            <v>0.20971563981042629</v>
          </cell>
          <cell r="AU112">
            <v>8.1791655015901688E-2</v>
          </cell>
          <cell r="AV112">
            <v>0.19702782170817579</v>
          </cell>
          <cell r="AW112">
            <v>0.12331871069940847</v>
          </cell>
          <cell r="AX112">
            <v>0.22799694217144162</v>
          </cell>
          <cell r="AY112">
            <v>0.15129358830146211</v>
          </cell>
          <cell r="AZ112">
            <v>0.19309462915601006</v>
          </cell>
          <cell r="BA112">
            <v>-8.9128305582761969E-2</v>
          </cell>
          <cell r="BB112">
            <v>3.3277870216306127E-2</v>
          </cell>
          <cell r="BC112">
            <v>-0.3</v>
          </cell>
          <cell r="BE112">
            <v>-0.13624678663239009</v>
          </cell>
          <cell r="BF112">
            <v>-9.0864680019540733E-2</v>
          </cell>
          <cell r="BL112">
            <v>0.12</v>
          </cell>
          <cell r="BM112">
            <v>0.14000000000000001</v>
          </cell>
          <cell r="BN112">
            <v>0.12998389694041879</v>
          </cell>
          <cell r="BO112">
            <v>-0.63572267920093994</v>
          </cell>
          <cell r="BP112">
            <v>-0.11011053795136316</v>
          </cell>
          <cell r="BQ112">
            <v>-0.65618650793650835</v>
          </cell>
          <cell r="BR112">
            <v>-0.25800000000000001</v>
          </cell>
          <cell r="BS112">
            <v>-0.53</v>
          </cell>
          <cell r="BT112">
            <v>0.23</v>
          </cell>
          <cell r="BU112">
            <v>0.2</v>
          </cell>
          <cell r="BV112">
            <v>0</v>
          </cell>
          <cell r="BW112">
            <v>0</v>
          </cell>
          <cell r="BX112">
            <v>0</v>
          </cell>
          <cell r="BY112">
            <v>0</v>
          </cell>
          <cell r="BZ112">
            <v>0</v>
          </cell>
          <cell r="CA112">
            <v>0</v>
          </cell>
          <cell r="CB112">
            <v>0</v>
          </cell>
        </row>
        <row r="114">
          <cell r="A114" t="str">
            <v>Total Serono Revenue</v>
          </cell>
          <cell r="C114">
            <v>476.4</v>
          </cell>
          <cell r="D114">
            <v>469.20000000000005</v>
          </cell>
          <cell r="E114">
            <v>945.6</v>
          </cell>
          <cell r="F114">
            <v>475.9</v>
          </cell>
          <cell r="G114">
            <v>1421.5</v>
          </cell>
          <cell r="H114">
            <v>492.90000000000003</v>
          </cell>
          <cell r="I114">
            <v>1914.3999999999999</v>
          </cell>
          <cell r="J114">
            <v>1077.6000000000001</v>
          </cell>
          <cell r="K114">
            <v>1142.3000000000002</v>
          </cell>
          <cell r="L114">
            <v>2219.9000000000005</v>
          </cell>
          <cell r="M114">
            <v>1092</v>
          </cell>
          <cell r="N114">
            <v>3311.9000000000005</v>
          </cell>
          <cell r="O114">
            <v>1146</v>
          </cell>
          <cell r="P114">
            <v>4457.9000000000005</v>
          </cell>
          <cell r="Q114">
            <v>1188.4000000000001</v>
          </cell>
          <cell r="R114">
            <v>1243</v>
          </cell>
          <cell r="S114">
            <v>2431.4</v>
          </cell>
          <cell r="T114">
            <v>1245.8</v>
          </cell>
          <cell r="U114">
            <v>3677.2</v>
          </cell>
          <cell r="V114">
            <v>1336.3</v>
          </cell>
          <cell r="W114">
            <v>5013.5</v>
          </cell>
          <cell r="X114">
            <v>1314.6787380899996</v>
          </cell>
          <cell r="Y114">
            <v>1319.0308523000001</v>
          </cell>
          <cell r="Z114">
            <v>2633.7095903900004</v>
          </cell>
          <cell r="AA114">
            <v>1318.6259098899986</v>
          </cell>
          <cell r="AB114">
            <v>3952.3355002799985</v>
          </cell>
          <cell r="AC114">
            <v>1392.6031826899914</v>
          </cell>
          <cell r="AD114">
            <v>5344.9386829699897</v>
          </cell>
          <cell r="AE114">
            <v>1406.76607096</v>
          </cell>
          <cell r="AF114">
            <v>1450.5119982400004</v>
          </cell>
          <cell r="AG114">
            <v>2857.2780692000001</v>
          </cell>
          <cell r="AH114">
            <v>1393.4521458400031</v>
          </cell>
          <cell r="AI114">
            <v>4250.7302150400037</v>
          </cell>
          <cell r="AJ114">
            <v>1502.8119982300029</v>
          </cell>
          <cell r="AK114">
            <v>5753.5422132700078</v>
          </cell>
          <cell r="AL114">
            <v>1427.2040204999994</v>
          </cell>
          <cell r="AM114">
            <v>1479.8703772100014</v>
          </cell>
          <cell r="AN114">
            <v>2907.0743977100001</v>
          </cell>
          <cell r="AO114">
            <v>1468.8285145500026</v>
          </cell>
          <cell r="AP114">
            <v>4375.9029122600032</v>
          </cell>
          <cell r="AQ114">
            <v>1544.1787978599987</v>
          </cell>
          <cell r="AR114">
            <v>5920.0817101200028</v>
          </cell>
          <cell r="AS114">
            <v>1495.5</v>
          </cell>
          <cell r="AT114">
            <v>1648.6</v>
          </cell>
          <cell r="AU114">
            <v>3144.1</v>
          </cell>
          <cell r="AV114">
            <v>1623.0000000000002</v>
          </cell>
          <cell r="AW114">
            <v>4767.0999999999995</v>
          </cell>
          <cell r="AX114">
            <v>1638.1</v>
          </cell>
          <cell r="AY114">
            <v>6405.1999999999989</v>
          </cell>
          <cell r="AZ114">
            <v>1547.7</v>
          </cell>
          <cell r="BA114">
            <v>1623.8</v>
          </cell>
          <cell r="BB114">
            <v>3171.6000000000004</v>
          </cell>
          <cell r="BC114">
            <v>1568.1</v>
          </cell>
          <cell r="BD114">
            <v>4739.7</v>
          </cell>
          <cell r="BE114">
            <v>1586.2</v>
          </cell>
          <cell r="BF114">
            <v>6325.8</v>
          </cell>
          <cell r="BG114">
            <v>1482.3</v>
          </cell>
          <cell r="BH114">
            <v>1561</v>
          </cell>
          <cell r="BI114">
            <v>1498.1</v>
          </cell>
          <cell r="BJ114">
            <v>1519.3</v>
          </cell>
          <cell r="BK114">
            <v>6060.7</v>
          </cell>
          <cell r="BL114">
            <v>1464.9467817519328</v>
          </cell>
          <cell r="BM114">
            <v>1516.9555005986397</v>
          </cell>
          <cell r="BN114">
            <v>2981.9022823505725</v>
          </cell>
          <cell r="BO114">
            <v>1418.3048243535497</v>
          </cell>
          <cell r="BP114">
            <v>4400.2071067041215</v>
          </cell>
          <cell r="BQ114">
            <v>1439.9969283390469</v>
          </cell>
          <cell r="BR114">
            <v>5840.2040350431689</v>
          </cell>
          <cell r="BS114">
            <v>5615.8859510717439</v>
          </cell>
          <cell r="BT114">
            <v>5546.6470270588325</v>
          </cell>
          <cell r="BU114">
            <v>5444.9449310223245</v>
          </cell>
          <cell r="BV114">
            <v>5312.0677848168471</v>
          </cell>
          <cell r="BW114">
            <v>5180.6288448028135</v>
          </cell>
          <cell r="BX114">
            <v>5025.6098835291832</v>
          </cell>
          <cell r="BY114">
            <v>4893.8765180196006</v>
          </cell>
          <cell r="BZ114">
            <v>4754.1951806097131</v>
          </cell>
          <cell r="CA114">
            <v>4636.7911141187033</v>
          </cell>
          <cell r="CB114">
            <v>4605.0615831305349</v>
          </cell>
        </row>
        <row r="115">
          <cell r="A115" t="str">
            <v xml:space="preserve">     Year-on-Year Growth %</v>
          </cell>
          <cell r="J115">
            <v>1.2619647355163732</v>
          </cell>
          <cell r="K115">
            <v>1.4345694799658995</v>
          </cell>
          <cell r="L115">
            <v>1.347609983079527</v>
          </cell>
          <cell r="M115">
            <v>1.2945997058205507</v>
          </cell>
          <cell r="N115">
            <v>1.3298628209637711</v>
          </cell>
          <cell r="O115">
            <v>1.3250152160681676</v>
          </cell>
          <cell r="P115">
            <v>1.3286147095695786</v>
          </cell>
          <cell r="Q115">
            <v>0.10282108389012615</v>
          </cell>
          <cell r="R115">
            <v>8.8155475794449614E-2</v>
          </cell>
          <cell r="S115">
            <v>9.5274561917203252E-2</v>
          </cell>
          <cell r="T115">
            <v>0.14084249084249081</v>
          </cell>
          <cell r="U115">
            <v>0.11029922401038655</v>
          </cell>
          <cell r="V115">
            <v>0.16605584642233853</v>
          </cell>
          <cell r="W115">
            <v>0.12463267457771583</v>
          </cell>
          <cell r="X115">
            <v>0.10625945648771418</v>
          </cell>
          <cell r="Y115">
            <v>6.1167218262268896E-2</v>
          </cell>
          <cell r="Z115">
            <v>8.3207037258369754E-2</v>
          </cell>
          <cell r="AA115">
            <v>5.8457143915555232E-2</v>
          </cell>
          <cell r="AB115">
            <v>7.4822011389100052E-2</v>
          </cell>
          <cell r="AC115">
            <v>4.2133639669229561E-2</v>
          </cell>
          <cell r="AD115">
            <v>6.6109241641565619E-2</v>
          </cell>
          <cell r="AE115">
            <v>7.0045502526181691E-2</v>
          </cell>
          <cell r="AF115">
            <v>9.9680114161648348E-2</v>
          </cell>
          <cell r="AG115">
            <v>8.4887293430439881E-2</v>
          </cell>
          <cell r="AH115">
            <v>5.6745613284852503E-2</v>
          </cell>
          <cell r="AI115">
            <v>7.5498326176729025E-2</v>
          </cell>
          <cell r="AJ115">
            <v>7.9138707213873394E-2</v>
          </cell>
          <cell r="AK115">
            <v>7.6446813431538155E-2</v>
          </cell>
          <cell r="AL115">
            <v>1.4528321347736387E-2</v>
          </cell>
          <cell r="AM115">
            <v>2.0240011117194083E-2</v>
          </cell>
          <cell r="AN115">
            <v>1.7427890217189212E-2</v>
          </cell>
          <cell r="AO115">
            <v>5.4093259632221523E-2</v>
          </cell>
          <cell r="AP115">
            <v>2.9447339842249072E-2</v>
          </cell>
          <cell r="AQ115">
            <v>2.7526263883118546E-2</v>
          </cell>
          <cell r="AR115">
            <v>2.8945559218438891E-2</v>
          </cell>
          <cell r="AS115">
            <v>4.7852989845189861E-2</v>
          </cell>
          <cell r="AT115">
            <v>0.114016487787332</v>
          </cell>
          <cell r="AU115">
            <v>8.1534068229114756E-2</v>
          </cell>
          <cell r="AV115">
            <v>0.10496220894597101</v>
          </cell>
          <cell r="AW115">
            <v>8.9398027237756167E-2</v>
          </cell>
          <cell r="AX115">
            <v>6.0822750752802725E-2</v>
          </cell>
          <cell r="AY115">
            <v>8.1944526044415461E-2</v>
          </cell>
          <cell r="AZ115">
            <v>3.4904714142427309E-2</v>
          </cell>
          <cell r="BA115">
            <v>-1.5043066844595387E-2</v>
          </cell>
          <cell r="BB115">
            <v>8.7465411405491088E-3</v>
          </cell>
          <cell r="BC115">
            <v>-3.3826247689464149E-2</v>
          </cell>
          <cell r="BD115">
            <v>-5.7477292274128169E-3</v>
          </cell>
          <cell r="BE115">
            <v>-3.1683047433001564E-2</v>
          </cell>
          <cell r="BF115">
            <v>-1.2396178105289255E-2</v>
          </cell>
          <cell r="BL115">
            <v>-1.1706954225235933E-2</v>
          </cell>
          <cell r="BM115">
            <v>-2.8215566560768957E-2</v>
          </cell>
          <cell r="BN115">
            <v>-2.0174717461120428E-2</v>
          </cell>
          <cell r="BO115">
            <v>-5.3264251816601105E-2</v>
          </cell>
          <cell r="BP115">
            <v>-3.1090168955801745E-2</v>
          </cell>
          <cell r="BQ115">
            <v>-5.2197111604655455E-2</v>
          </cell>
          <cell r="BR115">
            <v>-3.6381270308187275E-2</v>
          </cell>
          <cell r="BS115">
            <v>-3.8409288892210243E-2</v>
          </cell>
          <cell r="BT115">
            <v>-1.2329118613902363E-2</v>
          </cell>
          <cell r="BU115">
            <v>-1.8335779352888913E-2</v>
          </cell>
          <cell r="BV115">
            <v>-2.4403763102986763E-2</v>
          </cell>
          <cell r="BW115">
            <v>-2.4743460614286068E-2</v>
          </cell>
          <cell r="BX115">
            <v>-2.9922807813021531E-2</v>
          </cell>
          <cell r="BY115">
            <v>-2.621241372939084E-2</v>
          </cell>
          <cell r="BZ115">
            <v>-2.8542064127603305E-2</v>
          </cell>
          <cell r="CA115">
            <v>-2.4694835199414993E-2</v>
          </cell>
          <cell r="CB115">
            <v>-6.8429933993692628E-3</v>
          </cell>
        </row>
        <row r="117">
          <cell r="A117" t="str">
            <v>Consumer Health Care (CHC)</v>
          </cell>
        </row>
        <row r="118">
          <cell r="A118" t="str">
            <v>Sales</v>
          </cell>
          <cell r="B118" t="str">
            <v>formerly OTC</v>
          </cell>
          <cell r="C118">
            <v>98.5</v>
          </cell>
          <cell r="D118">
            <v>94.8</v>
          </cell>
          <cell r="E118">
            <v>193.3</v>
          </cell>
          <cell r="F118">
            <v>102.5</v>
          </cell>
          <cell r="G118">
            <v>295.8</v>
          </cell>
          <cell r="H118">
            <v>102.5</v>
          </cell>
          <cell r="I118">
            <v>398.3</v>
          </cell>
          <cell r="J118">
            <v>100.4</v>
          </cell>
          <cell r="K118">
            <v>106.2</v>
          </cell>
          <cell r="L118">
            <v>206.60000000000002</v>
          </cell>
          <cell r="M118">
            <v>103.1</v>
          </cell>
          <cell r="N118">
            <v>309.70000000000005</v>
          </cell>
          <cell r="O118">
            <v>108.5</v>
          </cell>
          <cell r="P118">
            <v>418.20000000000005</v>
          </cell>
          <cell r="Q118">
            <v>110.3</v>
          </cell>
          <cell r="R118">
            <v>106.7</v>
          </cell>
          <cell r="S118">
            <v>217</v>
          </cell>
          <cell r="T118">
            <v>110.4</v>
          </cell>
          <cell r="U118">
            <v>327.39999999999998</v>
          </cell>
          <cell r="V118">
            <v>112.5</v>
          </cell>
          <cell r="W118">
            <v>439.9</v>
          </cell>
          <cell r="X118">
            <v>107.42114036999999</v>
          </cell>
          <cell r="Y118">
            <v>102.81695677</v>
          </cell>
          <cell r="Z118">
            <v>210.23809713999998</v>
          </cell>
          <cell r="AA118">
            <v>122.78342030999997</v>
          </cell>
          <cell r="AB118">
            <v>333.02151744999992</v>
          </cell>
          <cell r="AC118">
            <v>131.88958719999999</v>
          </cell>
          <cell r="AD118">
            <v>464.91110464999991</v>
          </cell>
          <cell r="AE118">
            <v>106.89136175</v>
          </cell>
          <cell r="AF118">
            <v>113.36184509000003</v>
          </cell>
          <cell r="AG118">
            <v>220.25320684000002</v>
          </cell>
          <cell r="AH118">
            <v>124.68045901999997</v>
          </cell>
          <cell r="AI118">
            <v>344.93366586000002</v>
          </cell>
          <cell r="AJ118">
            <v>124.73342459000007</v>
          </cell>
          <cell r="AK118">
            <v>469.6670904500001</v>
          </cell>
          <cell r="AL118">
            <v>116.23077566000001</v>
          </cell>
          <cell r="AM118">
            <v>117.6</v>
          </cell>
          <cell r="AN118">
            <v>233.83077566</v>
          </cell>
          <cell r="AO118">
            <v>132.51416983999997</v>
          </cell>
          <cell r="AP118">
            <v>366.34494549999999</v>
          </cell>
          <cell r="AQ118">
            <v>127.85505449999999</v>
          </cell>
          <cell r="AR118">
            <v>494.2</v>
          </cell>
          <cell r="AS118">
            <v>107.6</v>
          </cell>
          <cell r="AT118">
            <v>121.1</v>
          </cell>
          <cell r="AU118">
            <v>228.7</v>
          </cell>
          <cell r="AV118">
            <v>122.4</v>
          </cell>
          <cell r="AW118">
            <v>351.1</v>
          </cell>
          <cell r="AX118">
            <v>121.39999999999998</v>
          </cell>
          <cell r="AY118">
            <v>472.5</v>
          </cell>
          <cell r="AZ118">
            <v>116.1</v>
          </cell>
          <cell r="BA118">
            <v>115.6</v>
          </cell>
          <cell r="BB118">
            <v>231.7</v>
          </cell>
          <cell r="BC118">
            <v>131</v>
          </cell>
          <cell r="BD118">
            <v>362.7</v>
          </cell>
          <cell r="BE118">
            <v>114.19999999999999</v>
          </cell>
          <cell r="BF118">
            <v>476.9</v>
          </cell>
          <cell r="BG118">
            <v>182</v>
          </cell>
          <cell r="BH118">
            <v>179</v>
          </cell>
          <cell r="BI118">
            <v>201</v>
          </cell>
          <cell r="BJ118">
            <v>180</v>
          </cell>
          <cell r="BK118">
            <v>742</v>
          </cell>
          <cell r="BL118">
            <v>186.2017174572469</v>
          </cell>
          <cell r="BM118">
            <v>182.92390287925667</v>
          </cell>
          <cell r="BN118">
            <v>369.12562033650357</v>
          </cell>
          <cell r="BO118">
            <v>206.36608078380209</v>
          </cell>
          <cell r="BP118">
            <v>575.49170112030561</v>
          </cell>
          <cell r="BQ118">
            <v>186.60479755258041</v>
          </cell>
          <cell r="BR118">
            <v>762.09649867288601</v>
          </cell>
          <cell r="BS118">
            <v>792.58035861980147</v>
          </cell>
          <cell r="BT118">
            <v>824.28357296459353</v>
          </cell>
          <cell r="BU118">
            <v>857.25491588317732</v>
          </cell>
          <cell r="BV118">
            <v>891.54511251850442</v>
          </cell>
          <cell r="BW118">
            <v>927.20691701924466</v>
          </cell>
          <cell r="BX118">
            <v>964.29519370001447</v>
          </cell>
          <cell r="BY118">
            <v>1002.8670014480151</v>
          </cell>
          <cell r="BZ118">
            <v>1042.9816815059357</v>
          </cell>
          <cell r="CA118">
            <v>1084.7009487661733</v>
          </cell>
          <cell r="CB118">
            <v>1128.0889867168203</v>
          </cell>
        </row>
        <row r="119">
          <cell r="A119" t="str">
            <v xml:space="preserve">     Year-on-Year Growth % reported</v>
          </cell>
          <cell r="J119">
            <v>1.92893401015229E-2</v>
          </cell>
          <cell r="K119">
            <v>0.12025316455696208</v>
          </cell>
          <cell r="L119">
            <v>6.880496637351273E-2</v>
          </cell>
          <cell r="M119">
            <v>5.8536585365853103E-3</v>
          </cell>
          <cell r="N119">
            <v>4.6991210277214444E-2</v>
          </cell>
          <cell r="O119">
            <v>5.8536585365853662E-2</v>
          </cell>
          <cell r="P119">
            <v>4.9962339944765337E-2</v>
          </cell>
          <cell r="Q119">
            <v>9.860557768924294E-2</v>
          </cell>
          <cell r="R119">
            <v>4.7080979284369112E-3</v>
          </cell>
          <cell r="S119">
            <v>5.0338818973862422E-2</v>
          </cell>
          <cell r="T119">
            <v>7.0805043646944829E-2</v>
          </cell>
          <cell r="U119">
            <v>5.7152082660639099E-2</v>
          </cell>
          <cell r="V119">
            <v>3.6866359447004608E-2</v>
          </cell>
          <cell r="W119">
            <v>5.188904830224756E-2</v>
          </cell>
          <cell r="X119">
            <v>-2.610026863100642E-2</v>
          </cell>
          <cell r="Y119">
            <v>-3.6392157731958745E-2</v>
          </cell>
          <cell r="Z119">
            <v>-3.1160842672811155E-2</v>
          </cell>
          <cell r="AA119">
            <v>0.11216866222826052</v>
          </cell>
          <cell r="AB119">
            <v>1.7170181582162318E-2</v>
          </cell>
          <cell r="AC119">
            <v>0.17235188622222217</v>
          </cell>
          <cell r="AD119">
            <v>5.6856341554898701E-2</v>
          </cell>
          <cell r="AE119">
            <v>-4.9317910624968701E-3</v>
          </cell>
          <cell r="AF119">
            <v>0.10255981747824713</v>
          </cell>
          <cell r="AG119">
            <v>4.763698794957634E-2</v>
          </cell>
          <cell r="AH119">
            <v>1.5450283965134839E-2</v>
          </cell>
          <cell r="AI119">
            <v>3.5769906104606584E-2</v>
          </cell>
          <cell r="AJ119">
            <v>-5.4258738403268919E-2</v>
          </cell>
          <cell r="AK119">
            <v>1.0229882126779222E-2</v>
          </cell>
          <cell r="AL119">
            <v>8.7372952847614038E-2</v>
          </cell>
          <cell r="AM119">
            <v>0.04</v>
          </cell>
          <cell r="AN119">
            <v>6.1645271888655095E-2</v>
          </cell>
          <cell r="AO119">
            <v>6.2830301408686617E-2</v>
          </cell>
          <cell r="AP119">
            <v>6.207361518805854E-2</v>
          </cell>
          <cell r="AQ119">
            <v>2.5026410685514033E-2</v>
          </cell>
          <cell r="AR119">
            <v>5.2234678666742917E-2</v>
          </cell>
          <cell r="AS119">
            <v>-7.4255511167256483E-2</v>
          </cell>
          <cell r="AT119">
            <v>2.9761904761904656E-2</v>
          </cell>
          <cell r="AU119">
            <v>-2.1942259933570019E-2</v>
          </cell>
          <cell r="AV119">
            <v>-7.6325194899624638E-2</v>
          </cell>
          <cell r="AW119">
            <v>-4.1613636784842645E-2</v>
          </cell>
          <cell r="AX119">
            <v>-5.0487284411583566E-2</v>
          </cell>
          <cell r="AY119">
            <v>-4.3909348441926288E-2</v>
          </cell>
          <cell r="AZ119">
            <v>7.8996282527880934E-2</v>
          </cell>
          <cell r="BA119">
            <v>-4.5417010734929764E-2</v>
          </cell>
          <cell r="BB119">
            <v>1.3117621337997321E-2</v>
          </cell>
          <cell r="BC119">
            <v>7.0261437908496704E-2</v>
          </cell>
          <cell r="BD119">
            <v>3.3039020222158877E-2</v>
          </cell>
          <cell r="BE119">
            <v>-5.9308072487644026E-2</v>
          </cell>
          <cell r="BF119">
            <v>9.3121693121691607E-3</v>
          </cell>
          <cell r="BL119">
            <v>2.3086359655202671E-2</v>
          </cell>
          <cell r="BM119">
            <v>2.1921245135512191E-2</v>
          </cell>
          <cell r="BN119">
            <v>2.2508643591422572E-2</v>
          </cell>
          <cell r="BO119">
            <v>2.6696919322398482E-2</v>
          </cell>
          <cell r="BP119">
            <v>2.4006585623319587E-2</v>
          </cell>
          <cell r="BQ119">
            <v>3.6693319736557761E-2</v>
          </cell>
          <cell r="BR119">
            <v>2.7084230017366595E-2</v>
          </cell>
          <cell r="BS119">
            <v>4.0000000000000036E-2</v>
          </cell>
          <cell r="BT119">
            <v>4.0000000000000036E-2</v>
          </cell>
          <cell r="BU119">
            <v>4.0000000000000036E-2</v>
          </cell>
          <cell r="BV119">
            <v>4.0000000000000036E-2</v>
          </cell>
          <cell r="BW119">
            <v>4.0000000000000036E-2</v>
          </cell>
          <cell r="BX119">
            <v>4.0000000000000036E-2</v>
          </cell>
          <cell r="BY119">
            <v>4.0000000000000036E-2</v>
          </cell>
          <cell r="BZ119">
            <v>4.0000000000000036E-2</v>
          </cell>
          <cell r="CA119">
            <v>4.0000000000000036E-2</v>
          </cell>
          <cell r="CB119">
            <v>4.0000000000000036E-2</v>
          </cell>
        </row>
        <row r="120">
          <cell r="A120" t="str">
            <v xml:space="preserve">     Year-on-Year Growth % CER</v>
          </cell>
          <cell r="AY120">
            <v>-6.2E-2</v>
          </cell>
          <cell r="AZ120">
            <v>9.2999999999999999E-2</v>
          </cell>
          <cell r="BA120">
            <v>-0.01</v>
          </cell>
          <cell r="BC120">
            <v>0.14599999999999999</v>
          </cell>
          <cell r="BL120">
            <v>0.04</v>
          </cell>
          <cell r="BM120">
            <v>0.04</v>
          </cell>
          <cell r="BO120">
            <v>0.04</v>
          </cell>
          <cell r="BR120">
            <v>0.04</v>
          </cell>
          <cell r="BS120">
            <v>0.04</v>
          </cell>
          <cell r="BT120">
            <v>0.04</v>
          </cell>
          <cell r="BU120">
            <v>0.04</v>
          </cell>
          <cell r="BV120">
            <v>0.04</v>
          </cell>
          <cell r="BW120">
            <v>0.04</v>
          </cell>
          <cell r="BX120">
            <v>0.04</v>
          </cell>
          <cell r="BY120">
            <v>0.04</v>
          </cell>
          <cell r="BZ120">
            <v>0.04</v>
          </cell>
          <cell r="CA120">
            <v>0.04</v>
          </cell>
          <cell r="CB120">
            <v>0.04</v>
          </cell>
        </row>
        <row r="121">
          <cell r="A121" t="str">
            <v>Royalties</v>
          </cell>
          <cell r="C121">
            <v>0.5</v>
          </cell>
          <cell r="D121">
            <v>0.3</v>
          </cell>
          <cell r="E121">
            <v>0.8</v>
          </cell>
          <cell r="F121">
            <v>0.3</v>
          </cell>
          <cell r="G121">
            <v>1.1000000000000001</v>
          </cell>
          <cell r="H121">
            <v>0.4</v>
          </cell>
          <cell r="I121">
            <v>1.5</v>
          </cell>
          <cell r="J121">
            <v>0.4</v>
          </cell>
          <cell r="K121">
            <v>0.5</v>
          </cell>
          <cell r="L121">
            <v>0.9</v>
          </cell>
          <cell r="M121">
            <v>0.3</v>
          </cell>
          <cell r="N121">
            <v>1.2</v>
          </cell>
          <cell r="O121">
            <v>0.4</v>
          </cell>
          <cell r="P121">
            <v>1.6</v>
          </cell>
          <cell r="Q121">
            <v>0.6</v>
          </cell>
          <cell r="R121">
            <v>0.3</v>
          </cell>
          <cell r="S121">
            <v>0.89999999999999991</v>
          </cell>
          <cell r="T121">
            <v>0.7</v>
          </cell>
          <cell r="U121">
            <v>1.5999999999999999</v>
          </cell>
          <cell r="V121">
            <v>0.5</v>
          </cell>
          <cell r="W121">
            <v>2.0999999999999996</v>
          </cell>
          <cell r="X121">
            <v>0.12646355000000001</v>
          </cell>
          <cell r="Y121">
            <v>1.2995167999999995</v>
          </cell>
          <cell r="Z121">
            <v>1.4259803499999995</v>
          </cell>
          <cell r="AA121">
            <v>0.12811299000000059</v>
          </cell>
          <cell r="AB121">
            <v>1.5540933400000001</v>
          </cell>
          <cell r="AC121">
            <v>0.52040955999999916</v>
          </cell>
          <cell r="AD121">
            <v>2.0745028999999993</v>
          </cell>
          <cell r="AE121">
            <v>0.69420028</v>
          </cell>
          <cell r="AF121">
            <v>0.51184104999999958</v>
          </cell>
          <cell r="AG121">
            <v>1.2060413299999997</v>
          </cell>
          <cell r="AH121">
            <v>0.27280121000000024</v>
          </cell>
          <cell r="AI121">
            <v>1.47884254</v>
          </cell>
          <cell r="AJ121">
            <v>0.80118328999999955</v>
          </cell>
          <cell r="AK121">
            <v>2.2800258299999996</v>
          </cell>
          <cell r="AL121">
            <v>0.34154877</v>
          </cell>
          <cell r="AM121">
            <v>0.7</v>
          </cell>
          <cell r="AN121">
            <v>1.0415487699999999</v>
          </cell>
          <cell r="AO121">
            <v>0.29115556000000009</v>
          </cell>
          <cell r="AP121">
            <v>1.3327043299999999</v>
          </cell>
          <cell r="AQ121">
            <v>0.66729567000000012</v>
          </cell>
          <cell r="AR121">
            <v>2</v>
          </cell>
          <cell r="AS121">
            <v>0.3</v>
          </cell>
          <cell r="AT121">
            <v>0.5</v>
          </cell>
          <cell r="AU121">
            <v>0.8</v>
          </cell>
          <cell r="AV121">
            <v>0.8</v>
          </cell>
          <cell r="AW121">
            <v>1.6</v>
          </cell>
          <cell r="AX121">
            <v>1</v>
          </cell>
          <cell r="AY121">
            <v>2.6</v>
          </cell>
          <cell r="AZ121">
            <v>0.1</v>
          </cell>
          <cell r="BA121">
            <v>1.2</v>
          </cell>
          <cell r="BB121">
            <v>1.3</v>
          </cell>
          <cell r="BC121">
            <v>0.40000000000000568</v>
          </cell>
          <cell r="BD121">
            <v>1.7000000000000057</v>
          </cell>
          <cell r="BE121">
            <v>0.99999999999999445</v>
          </cell>
          <cell r="BF121">
            <v>2.7</v>
          </cell>
          <cell r="BG121">
            <v>0.1</v>
          </cell>
          <cell r="BH121">
            <v>1.2</v>
          </cell>
          <cell r="BI121">
            <v>0.40000000000000568</v>
          </cell>
          <cell r="BJ121">
            <v>0.99999999999999445</v>
          </cell>
          <cell r="BK121">
            <v>2.7</v>
          </cell>
          <cell r="BL121">
            <v>0.1</v>
          </cell>
          <cell r="BM121">
            <v>1.2</v>
          </cell>
          <cell r="BN121">
            <v>1.3</v>
          </cell>
          <cell r="BO121">
            <v>0.40000000000000568</v>
          </cell>
          <cell r="BP121">
            <v>1.7000000000000057</v>
          </cell>
          <cell r="BQ121">
            <v>0.99999999999999445</v>
          </cell>
          <cell r="BR121">
            <v>2.7</v>
          </cell>
          <cell r="BS121">
            <v>2.7</v>
          </cell>
          <cell r="BT121">
            <v>2.7</v>
          </cell>
          <cell r="BU121">
            <v>2.7</v>
          </cell>
          <cell r="BV121">
            <v>2.7</v>
          </cell>
          <cell r="BW121">
            <v>2.7</v>
          </cell>
          <cell r="BX121">
            <v>2.7</v>
          </cell>
          <cell r="BY121">
            <v>2.7</v>
          </cell>
          <cell r="BZ121">
            <v>2.7</v>
          </cell>
          <cell r="CA121">
            <v>2.7</v>
          </cell>
          <cell r="CB121">
            <v>2.7</v>
          </cell>
        </row>
        <row r="122">
          <cell r="A122" t="str">
            <v xml:space="preserve">     Year-on-Year Growth %</v>
          </cell>
          <cell r="J122">
            <v>-0.19999999999999996</v>
          </cell>
          <cell r="K122">
            <v>0.66666666666666674</v>
          </cell>
          <cell r="L122">
            <v>0.12499999999999997</v>
          </cell>
          <cell r="M122">
            <v>0</v>
          </cell>
          <cell r="N122">
            <v>9.0909090909090787E-2</v>
          </cell>
          <cell r="O122">
            <v>0</v>
          </cell>
          <cell r="P122">
            <v>6.6666666666666721E-2</v>
          </cell>
          <cell r="Q122">
            <v>0.49999999999999989</v>
          </cell>
          <cell r="R122">
            <v>-0.4</v>
          </cell>
          <cell r="S122">
            <v>-1.2335811384723962E-16</v>
          </cell>
          <cell r="T122">
            <v>1.3333333333333333</v>
          </cell>
          <cell r="U122">
            <v>0.33333333333333326</v>
          </cell>
          <cell r="V122">
            <v>0.24999999999999994</v>
          </cell>
          <cell r="W122">
            <v>0.31249999999999972</v>
          </cell>
          <cell r="X122">
            <v>-0.78922741666666674</v>
          </cell>
          <cell r="Y122">
            <v>3.3317226666666651</v>
          </cell>
          <cell r="Z122">
            <v>0.58442261111111071</v>
          </cell>
          <cell r="AA122">
            <v>-0.81698144285714192</v>
          </cell>
          <cell r="AB122">
            <v>-2.8691662499999857E-2</v>
          </cell>
          <cell r="AC122">
            <v>4.0819119999998321E-2</v>
          </cell>
          <cell r="AD122">
            <v>-1.2141476190476374E-2</v>
          </cell>
          <cell r="AE122">
            <v>4.489330957418165</v>
          </cell>
          <cell r="AF122">
            <v>-0.60612971683013273</v>
          </cell>
          <cell r="AG122">
            <v>-0.15423706224282813</v>
          </cell>
          <cell r="AH122">
            <v>1.1293797763989348</v>
          </cell>
          <cell r="AI122">
            <v>-4.8421029846251101E-2</v>
          </cell>
          <cell r="AJ122">
            <v>0.53952454293883623</v>
          </cell>
          <cell r="AK122">
            <v>9.9070929233215532E-2</v>
          </cell>
          <cell r="AL122">
            <v>-0.50799678444382079</v>
          </cell>
          <cell r="AM122">
            <v>0</v>
          </cell>
          <cell r="AN122">
            <v>-0.13639048340076357</v>
          </cell>
          <cell r="AO122">
            <v>6.7281043218246128E-2</v>
          </cell>
          <cell r="AP122">
            <v>-9.8819317166789211E-2</v>
          </cell>
          <cell r="AQ122">
            <v>-0.16711234703859026</v>
          </cell>
          <cell r="AR122">
            <v>-0.12281695510440759</v>
          </cell>
          <cell r="AS122">
            <v>-0.12164813241751686</v>
          </cell>
          <cell r="AT122">
            <v>-0.28571428571428564</v>
          </cell>
          <cell r="AU122">
            <v>-0.23191306730648809</v>
          </cell>
          <cell r="AV122">
            <v>1.747672069185283</v>
          </cell>
          <cell r="AW122">
            <v>0.2005663701865516</v>
          </cell>
          <cell r="AX122">
            <v>0.49858607654385023</v>
          </cell>
          <cell r="AY122">
            <v>0.30000000000000004</v>
          </cell>
          <cell r="AZ122">
            <v>-0.66666666666666663</v>
          </cell>
          <cell r="BA122">
            <v>1.4</v>
          </cell>
          <cell r="BB122">
            <v>0.625</v>
          </cell>
          <cell r="BC122">
            <v>-0.49999999999999289</v>
          </cell>
          <cell r="BD122">
            <v>6.2500000000003525E-2</v>
          </cell>
          <cell r="BE122">
            <v>-5.5511151231257827E-15</v>
          </cell>
          <cell r="BF122">
            <v>3.8461538461538491E-2</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row>
        <row r="123">
          <cell r="A123" t="str">
            <v>Total CHC Revenue</v>
          </cell>
          <cell r="C123">
            <v>99</v>
          </cell>
          <cell r="D123">
            <v>95.1</v>
          </cell>
          <cell r="E123">
            <v>194.10000000000002</v>
          </cell>
          <cell r="F123">
            <v>102.8</v>
          </cell>
          <cell r="G123">
            <v>296.90000000000003</v>
          </cell>
          <cell r="H123">
            <v>102.9</v>
          </cell>
          <cell r="I123">
            <v>399.8</v>
          </cell>
          <cell r="J123">
            <v>100.80000000000001</v>
          </cell>
          <cell r="K123">
            <v>106.7</v>
          </cell>
          <cell r="L123">
            <v>207.50000000000003</v>
          </cell>
          <cell r="M123">
            <v>103.39999999999999</v>
          </cell>
          <cell r="N123">
            <v>310.90000000000003</v>
          </cell>
          <cell r="O123">
            <v>108.9</v>
          </cell>
          <cell r="P123">
            <v>419.80000000000007</v>
          </cell>
          <cell r="Q123">
            <v>110.89999999999999</v>
          </cell>
          <cell r="R123">
            <v>107</v>
          </cell>
          <cell r="S123">
            <v>217.9</v>
          </cell>
          <cell r="T123">
            <v>111.10000000000001</v>
          </cell>
          <cell r="U123">
            <v>329</v>
          </cell>
          <cell r="V123">
            <v>113</v>
          </cell>
          <cell r="W123">
            <v>442</v>
          </cell>
          <cell r="X123">
            <v>107.54760391999999</v>
          </cell>
          <cell r="Y123">
            <v>104.11647357000001</v>
          </cell>
          <cell r="Z123">
            <v>211.66407748999998</v>
          </cell>
          <cell r="AA123">
            <v>122.91153329999997</v>
          </cell>
          <cell r="AB123">
            <v>334.57561078999993</v>
          </cell>
          <cell r="AC123">
            <v>132.40999675999998</v>
          </cell>
          <cell r="AD123">
            <v>466.98560754999994</v>
          </cell>
          <cell r="AE123">
            <v>107.58556203000001</v>
          </cell>
          <cell r="AF123">
            <v>113.87368614000003</v>
          </cell>
          <cell r="AG123">
            <v>221.45924817000002</v>
          </cell>
          <cell r="AH123">
            <v>124.95326022999997</v>
          </cell>
          <cell r="AI123">
            <v>346.41250840000004</v>
          </cell>
          <cell r="AJ123">
            <v>125.53460788000007</v>
          </cell>
          <cell r="AK123">
            <v>471.9471162800001</v>
          </cell>
          <cell r="AL123">
            <v>116.57232443000001</v>
          </cell>
          <cell r="AM123">
            <v>118.3</v>
          </cell>
          <cell r="AN123">
            <v>234.87232442999999</v>
          </cell>
          <cell r="AO123">
            <v>132.80532539999996</v>
          </cell>
          <cell r="AP123">
            <v>367.67764983000001</v>
          </cell>
          <cell r="AQ123">
            <v>128.52235016999998</v>
          </cell>
          <cell r="AR123">
            <v>496.2</v>
          </cell>
          <cell r="AS123">
            <v>107.89999999999999</v>
          </cell>
          <cell r="AT123">
            <v>121.6</v>
          </cell>
          <cell r="AU123">
            <v>229.5</v>
          </cell>
          <cell r="AV123">
            <v>123.2</v>
          </cell>
          <cell r="AW123">
            <v>352.70000000000005</v>
          </cell>
          <cell r="AX123">
            <v>122.39999999999998</v>
          </cell>
          <cell r="AY123">
            <v>475.1</v>
          </cell>
          <cell r="AZ123">
            <v>116.19999999999999</v>
          </cell>
          <cell r="BA123">
            <v>116.8</v>
          </cell>
          <cell r="BB123">
            <v>233</v>
          </cell>
          <cell r="BC123">
            <v>131.4</v>
          </cell>
          <cell r="BD123">
            <v>364.4</v>
          </cell>
          <cell r="BE123">
            <v>115.19999999999999</v>
          </cell>
          <cell r="BF123">
            <v>479.59999999999997</v>
          </cell>
          <cell r="BG123">
            <v>182.1</v>
          </cell>
          <cell r="BH123">
            <v>180.2</v>
          </cell>
          <cell r="BI123">
            <v>201.4</v>
          </cell>
          <cell r="BJ123">
            <v>181</v>
          </cell>
          <cell r="BK123">
            <v>744.7</v>
          </cell>
          <cell r="BL123">
            <v>186.30171745724689</v>
          </cell>
          <cell r="BM123">
            <v>184.12390287925666</v>
          </cell>
          <cell r="BN123">
            <v>370.42562033650358</v>
          </cell>
          <cell r="BO123">
            <v>206.7660807838021</v>
          </cell>
          <cell r="BP123">
            <v>577.19170112030565</v>
          </cell>
          <cell r="BQ123">
            <v>187.60479755258041</v>
          </cell>
          <cell r="BR123">
            <v>764.79649867288606</v>
          </cell>
          <cell r="BS123">
            <v>795.28035861980152</v>
          </cell>
          <cell r="BT123">
            <v>826.98357296459358</v>
          </cell>
          <cell r="BU123">
            <v>859.95491588317736</v>
          </cell>
          <cell r="BV123">
            <v>894.24511251850447</v>
          </cell>
          <cell r="BW123">
            <v>929.9069170192447</v>
          </cell>
          <cell r="BX123">
            <v>966.99519370001451</v>
          </cell>
          <cell r="BY123">
            <v>1005.5670014480152</v>
          </cell>
          <cell r="BZ123">
            <v>1045.6816815059358</v>
          </cell>
          <cell r="CA123">
            <v>1087.4009487661733</v>
          </cell>
          <cell r="CB123">
            <v>1130.7889867168203</v>
          </cell>
        </row>
        <row r="124">
          <cell r="A124" t="str">
            <v xml:space="preserve">     Year-on-Year Growth %</v>
          </cell>
          <cell r="J124">
            <v>1.8181818181818295E-2</v>
          </cell>
          <cell r="K124">
            <v>0.12197686645636183</v>
          </cell>
          <cell r="L124">
            <v>6.9036579082946956E-2</v>
          </cell>
          <cell r="M124">
            <v>5.8365758754863259E-3</v>
          </cell>
          <cell r="N124">
            <v>4.7153923880094303E-2</v>
          </cell>
          <cell r="O124">
            <v>5.8309037900874633E-2</v>
          </cell>
          <cell r="P124">
            <v>5.0025012506253269E-2</v>
          </cell>
          <cell r="Q124">
            <v>0.1001984126984125</v>
          </cell>
          <cell r="R124">
            <v>2.8116213683223724E-3</v>
          </cell>
          <cell r="S124">
            <v>5.0120481927710729E-2</v>
          </cell>
          <cell r="T124">
            <v>7.4468085106383156E-2</v>
          </cell>
          <cell r="U124">
            <v>5.8218076551945851E-2</v>
          </cell>
          <cell r="V124">
            <v>3.7649219467401233E-2</v>
          </cell>
          <cell r="W124">
            <v>5.2882324916626797E-2</v>
          </cell>
          <cell r="X124">
            <v>-3.0228999819657432E-2</v>
          </cell>
          <cell r="Y124">
            <v>-2.6948845140186806E-2</v>
          </cell>
          <cell r="Z124">
            <v>-2.8618276778338836E-2</v>
          </cell>
          <cell r="AA124">
            <v>0.1063144311431139</v>
          </cell>
          <cell r="AB124">
            <v>1.6947145258358498E-2</v>
          </cell>
          <cell r="AC124">
            <v>0.17176988283185834</v>
          </cell>
          <cell r="AD124">
            <v>5.6528523868778047E-2</v>
          </cell>
          <cell r="AE124">
            <v>3.5294240519068154E-4</v>
          </cell>
          <cell r="AF124">
            <v>9.371439730370823E-2</v>
          </cell>
          <cell r="AG124">
            <v>4.6276962988501591E-2</v>
          </cell>
          <cell r="AH124">
            <v>1.6611353509166538E-2</v>
          </cell>
          <cell r="AI124">
            <v>3.5378841817103268E-2</v>
          </cell>
          <cell r="AJ124">
            <v>-5.1924998476224671E-2</v>
          </cell>
          <cell r="AK124">
            <v>1.0624543133203383E-2</v>
          </cell>
          <cell r="AL124">
            <v>8.353130504160089E-2</v>
          </cell>
          <cell r="AM124">
            <v>3.8870383580611456E-2</v>
          </cell>
          <cell r="AN124">
            <v>6.0566792178864404E-2</v>
          </cell>
          <cell r="AO124">
            <v>6.2840018384048513E-2</v>
          </cell>
          <cell r="AP124">
            <v>6.1386759757084963E-2</v>
          </cell>
          <cell r="AQ124">
            <v>2.3800148345195282E-2</v>
          </cell>
          <cell r="AR124">
            <v>5.1388985933777727E-2</v>
          </cell>
          <cell r="AS124">
            <v>-7.4394368237957045E-2</v>
          </cell>
          <cell r="AT124">
            <v>2.7895181741335564E-2</v>
          </cell>
          <cell r="AU124">
            <v>-2.2873382136604729E-2</v>
          </cell>
          <cell r="AV124">
            <v>-7.2326357177842193E-2</v>
          </cell>
          <cell r="AW124">
            <v>-4.0735818010491122E-2</v>
          </cell>
          <cell r="AX124">
            <v>-4.7636462933503834E-2</v>
          </cell>
          <cell r="AY124">
            <v>-4.2523176138653702E-2</v>
          </cell>
          <cell r="AZ124">
            <v>7.69230769230769E-2</v>
          </cell>
          <cell r="BA124">
            <v>-3.9473684210526293E-2</v>
          </cell>
          <cell r="BB124">
            <v>1.5250544662309368E-2</v>
          </cell>
          <cell r="BC124">
            <v>6.6558441558441581E-2</v>
          </cell>
          <cell r="BD124">
            <v>3.3172667989792827E-2</v>
          </cell>
          <cell r="BE124">
            <v>-5.8823529411764622E-2</v>
          </cell>
          <cell r="BF124">
            <v>9.4716901704903038E-3</v>
          </cell>
          <cell r="BL124">
            <v>0.60328500393499929</v>
          </cell>
          <cell r="BM124">
            <v>0.57640327807582759</v>
          </cell>
          <cell r="BN124">
            <v>0.58980952934121711</v>
          </cell>
          <cell r="BO124">
            <v>0.57356225862863075</v>
          </cell>
          <cell r="BP124">
            <v>0.58395088123025707</v>
          </cell>
          <cell r="BQ124">
            <v>0.62851386764392736</v>
          </cell>
          <cell r="BR124">
            <v>0.59465491800017956</v>
          </cell>
          <cell r="BS124">
            <v>3.9858785964387404E-2</v>
          </cell>
          <cell r="BT124">
            <v>3.9864198833996813E-2</v>
          </cell>
          <cell r="BU124">
            <v>3.9869404902913859E-2</v>
          </cell>
          <cell r="BV124">
            <v>3.987441202090336E-2</v>
          </cell>
          <cell r="BW124">
            <v>3.9879227743615193E-2</v>
          </cell>
          <cell r="BX124">
            <v>3.9883859343313448E-2</v>
          </cell>
          <cell r="BY124">
            <v>3.9888313819237624E-2</v>
          </cell>
          <cell r="BZ124">
            <v>3.9892597907603904E-2</v>
          </cell>
          <cell r="CA124">
            <v>3.9896718091260462E-2</v>
          </cell>
          <cell r="CB124">
            <v>3.9900680609004001E-2</v>
          </cell>
        </row>
        <row r="126">
          <cell r="A126" t="str">
            <v xml:space="preserve">Generics </v>
          </cell>
        </row>
        <row r="127">
          <cell r="A127" t="str">
            <v>Sales</v>
          </cell>
          <cell r="C127">
            <v>435.4</v>
          </cell>
          <cell r="D127">
            <v>0</v>
          </cell>
          <cell r="E127">
            <v>435.4</v>
          </cell>
          <cell r="F127">
            <v>0</v>
          </cell>
          <cell r="G127">
            <v>435.4</v>
          </cell>
          <cell r="H127">
            <v>-435.4</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R127">
            <v>0</v>
          </cell>
          <cell r="AY127">
            <v>0</v>
          </cell>
          <cell r="BF127">
            <v>0</v>
          </cell>
          <cell r="BR127">
            <v>0</v>
          </cell>
          <cell r="BS127">
            <v>0</v>
          </cell>
          <cell r="BT127">
            <v>0</v>
          </cell>
          <cell r="BU127">
            <v>0</v>
          </cell>
          <cell r="BV127">
            <v>0</v>
          </cell>
          <cell r="BW127">
            <v>0</v>
          </cell>
          <cell r="BX127">
            <v>0</v>
          </cell>
        </row>
        <row r="128">
          <cell r="A128" t="str">
            <v xml:space="preserve">     Year-on-Year Growth %</v>
          </cell>
          <cell r="J128">
            <v>-1</v>
          </cell>
          <cell r="K128" t="str">
            <v>nm</v>
          </cell>
          <cell r="L128">
            <v>-1</v>
          </cell>
          <cell r="M128" t="str">
            <v>nm</v>
          </cell>
          <cell r="N128">
            <v>-1</v>
          </cell>
          <cell r="O128">
            <v>-1</v>
          </cell>
          <cell r="P128" t="str">
            <v>nm</v>
          </cell>
          <cell r="Q128" t="str">
            <v>nm</v>
          </cell>
          <cell r="R128" t="str">
            <v>nm</v>
          </cell>
          <cell r="S128" t="str">
            <v>nm</v>
          </cell>
          <cell r="T128" t="str">
            <v>nm</v>
          </cell>
          <cell r="U128" t="str">
            <v>nm</v>
          </cell>
          <cell r="V128" t="str">
            <v>nm</v>
          </cell>
          <cell r="W128" t="str">
            <v>nm</v>
          </cell>
          <cell r="X128" t="str">
            <v>nm</v>
          </cell>
          <cell r="Y128" t="str">
            <v>nm</v>
          </cell>
          <cell r="Z128" t="str">
            <v>nm</v>
          </cell>
          <cell r="AA128" t="str">
            <v>nm</v>
          </cell>
          <cell r="AB128" t="str">
            <v>nm</v>
          </cell>
          <cell r="AC128" t="str">
            <v>nm</v>
          </cell>
          <cell r="AD128" t="str">
            <v>nm</v>
          </cell>
          <cell r="AE128" t="str">
            <v>nm</v>
          </cell>
          <cell r="AF128" t="str">
            <v>nm</v>
          </cell>
          <cell r="AG128" t="str">
            <v>nm</v>
          </cell>
          <cell r="AH128" t="str">
            <v>nm</v>
          </cell>
          <cell r="AI128" t="str">
            <v>nm</v>
          </cell>
          <cell r="AJ128" t="str">
            <v>nm</v>
          </cell>
          <cell r="AK128" t="str">
            <v>nm</v>
          </cell>
          <cell r="AR128" t="str">
            <v>nm</v>
          </cell>
          <cell r="AY128" t="str">
            <v>nm</v>
          </cell>
          <cell r="BF128" t="str">
            <v>nm</v>
          </cell>
          <cell r="BR128" t="str">
            <v>nm</v>
          </cell>
          <cell r="BS128" t="str">
            <v>nm</v>
          </cell>
          <cell r="BT128" t="str">
            <v>nm</v>
          </cell>
          <cell r="BU128" t="str">
            <v>nm</v>
          </cell>
          <cell r="BV128" t="str">
            <v>nm</v>
          </cell>
          <cell r="BW128" t="str">
            <v>nm</v>
          </cell>
          <cell r="BX128" t="str">
            <v>nm</v>
          </cell>
        </row>
        <row r="129">
          <cell r="A129" t="str">
            <v>Royalties</v>
          </cell>
          <cell r="C129">
            <v>1.1000000000000001</v>
          </cell>
          <cell r="D129">
            <v>0</v>
          </cell>
          <cell r="E129">
            <v>1.1000000000000001</v>
          </cell>
          <cell r="F129">
            <v>0</v>
          </cell>
          <cell r="G129">
            <v>1.1000000000000001</v>
          </cell>
          <cell r="H129">
            <v>-1.1000000000000001</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R129">
            <v>0</v>
          </cell>
          <cell r="AY129">
            <v>0</v>
          </cell>
          <cell r="BF129">
            <v>0</v>
          </cell>
          <cell r="BR129">
            <v>0</v>
          </cell>
          <cell r="BS129">
            <v>0</v>
          </cell>
          <cell r="BT129">
            <v>0</v>
          </cell>
          <cell r="BU129">
            <v>0</v>
          </cell>
          <cell r="BV129">
            <v>0</v>
          </cell>
          <cell r="BW129">
            <v>0</v>
          </cell>
          <cell r="BX129">
            <v>0</v>
          </cell>
        </row>
        <row r="130">
          <cell r="A130" t="str">
            <v xml:space="preserve">     Year-on-Year Growth %</v>
          </cell>
          <cell r="J130">
            <v>-1</v>
          </cell>
          <cell r="K130" t="str">
            <v>nm</v>
          </cell>
          <cell r="L130">
            <v>-1</v>
          </cell>
          <cell r="M130" t="str">
            <v>nm</v>
          </cell>
          <cell r="N130">
            <v>-1</v>
          </cell>
          <cell r="O130">
            <v>-1</v>
          </cell>
          <cell r="P130" t="str">
            <v>nm</v>
          </cell>
          <cell r="Q130" t="str">
            <v>nm</v>
          </cell>
          <cell r="R130" t="str">
            <v>nm</v>
          </cell>
          <cell r="S130" t="str">
            <v>nm</v>
          </cell>
          <cell r="T130" t="str">
            <v>nm</v>
          </cell>
          <cell r="U130" t="str">
            <v>nm</v>
          </cell>
          <cell r="V130" t="str">
            <v>nm</v>
          </cell>
          <cell r="W130" t="str">
            <v>nm</v>
          </cell>
          <cell r="X130" t="str">
            <v>nm</v>
          </cell>
          <cell r="Y130" t="str">
            <v>nm</v>
          </cell>
          <cell r="Z130" t="str">
            <v>nm</v>
          </cell>
          <cell r="AA130" t="str">
            <v>nm</v>
          </cell>
          <cell r="AB130" t="str">
            <v>nm</v>
          </cell>
          <cell r="AC130" t="str">
            <v>nm</v>
          </cell>
          <cell r="AD130" t="str">
            <v>nm</v>
          </cell>
          <cell r="AE130" t="str">
            <v>nm</v>
          </cell>
          <cell r="AF130" t="str">
            <v>nm</v>
          </cell>
          <cell r="AG130" t="str">
            <v>nm</v>
          </cell>
          <cell r="AH130" t="str">
            <v>nm</v>
          </cell>
          <cell r="AI130" t="str">
            <v>nm</v>
          </cell>
          <cell r="AJ130" t="str">
            <v>nm</v>
          </cell>
          <cell r="AK130" t="str">
            <v>nm</v>
          </cell>
          <cell r="AR130" t="str">
            <v>nm</v>
          </cell>
          <cell r="AY130" t="str">
            <v>nm</v>
          </cell>
          <cell r="BF130" t="str">
            <v>nm</v>
          </cell>
          <cell r="BR130" t="str">
            <v>nm</v>
          </cell>
          <cell r="BS130" t="str">
            <v>nm</v>
          </cell>
          <cell r="BT130" t="str">
            <v>nm</v>
          </cell>
          <cell r="BU130" t="str">
            <v>nm</v>
          </cell>
          <cell r="BV130" t="str">
            <v>nm</v>
          </cell>
          <cell r="BW130" t="str">
            <v>nm</v>
          </cell>
          <cell r="BX130" t="str">
            <v>nm</v>
          </cell>
        </row>
        <row r="131">
          <cell r="A131" t="str">
            <v>Total Generic Revenue</v>
          </cell>
          <cell r="C131">
            <v>436.5</v>
          </cell>
          <cell r="D131">
            <v>0</v>
          </cell>
          <cell r="E131">
            <v>436.5</v>
          </cell>
          <cell r="F131">
            <v>0</v>
          </cell>
          <cell r="G131">
            <v>436.5</v>
          </cell>
          <cell r="H131">
            <v>-436.5</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R131">
            <v>0</v>
          </cell>
          <cell r="AY131">
            <v>0</v>
          </cell>
          <cell r="BF131">
            <v>0</v>
          </cell>
          <cell r="BR131">
            <v>0</v>
          </cell>
          <cell r="BS131">
            <v>0</v>
          </cell>
          <cell r="BT131">
            <v>0</v>
          </cell>
          <cell r="BU131">
            <v>0</v>
          </cell>
          <cell r="BV131">
            <v>0</v>
          </cell>
          <cell r="BW131">
            <v>0</v>
          </cell>
          <cell r="BX131">
            <v>0</v>
          </cell>
        </row>
        <row r="133">
          <cell r="A133" t="str">
            <v>Pharmaceuticals</v>
          </cell>
        </row>
        <row r="134">
          <cell r="A134" t="str">
            <v>Sales</v>
          </cell>
          <cell r="C134">
            <v>1007.9</v>
          </cell>
          <cell r="D134">
            <v>561.4</v>
          </cell>
          <cell r="E134">
            <v>1569.3000000000002</v>
          </cell>
          <cell r="F134">
            <v>575.5</v>
          </cell>
          <cell r="G134">
            <v>2144.7999999999997</v>
          </cell>
          <cell r="H134">
            <v>155.89999999999998</v>
          </cell>
          <cell r="I134">
            <v>2300.6999999999998</v>
          </cell>
          <cell r="J134">
            <v>1116.1000000000001</v>
          </cell>
          <cell r="K134">
            <v>1176.1000000000001</v>
          </cell>
          <cell r="L134">
            <v>2292.2000000000003</v>
          </cell>
          <cell r="M134">
            <v>1130</v>
          </cell>
          <cell r="N134">
            <v>3422.2000000000007</v>
          </cell>
          <cell r="O134">
            <v>1183.0999999999999</v>
          </cell>
          <cell r="P134">
            <v>4605.3</v>
          </cell>
          <cell r="Q134">
            <v>1224.5</v>
          </cell>
          <cell r="R134">
            <v>1260.8</v>
          </cell>
          <cell r="S134">
            <v>2485.3000000000002</v>
          </cell>
          <cell r="T134">
            <v>1265.6000000000001</v>
          </cell>
          <cell r="U134">
            <v>3750.9</v>
          </cell>
          <cell r="V134">
            <v>1338.6</v>
          </cell>
          <cell r="W134">
            <v>5089.5</v>
          </cell>
          <cell r="X134">
            <v>1325.9582476899996</v>
          </cell>
          <cell r="Y134">
            <v>1343.9266726400001</v>
          </cell>
          <cell r="Z134">
            <v>2669.8849203300001</v>
          </cell>
          <cell r="AA134">
            <v>1358.6433273099985</v>
          </cell>
          <cell r="AB134">
            <v>4028.5282476399984</v>
          </cell>
          <cell r="AC134">
            <v>1430.2298517499914</v>
          </cell>
          <cell r="AD134">
            <v>5458.7580993899901</v>
          </cell>
          <cell r="AE134">
            <v>1443.1521584</v>
          </cell>
          <cell r="AF134">
            <v>1462.4583552700005</v>
          </cell>
          <cell r="AG134">
            <v>2905.6105136700003</v>
          </cell>
          <cell r="AH134">
            <v>1430.5797248800031</v>
          </cell>
          <cell r="AI134">
            <v>4336.1902385500034</v>
          </cell>
          <cell r="AJ134">
            <v>1542.5220352400031</v>
          </cell>
          <cell r="AK134">
            <v>5878.7122737900072</v>
          </cell>
          <cell r="AL134">
            <v>1461.1668438199995</v>
          </cell>
          <cell r="AM134">
            <v>1513.0703772100012</v>
          </cell>
          <cell r="AN134">
            <v>2974.2372210300005</v>
          </cell>
          <cell r="AO134">
            <v>1507.4434466600028</v>
          </cell>
          <cell r="AP134">
            <v>4481.6806676900032</v>
          </cell>
          <cell r="AQ134">
            <v>1577.0010424299985</v>
          </cell>
          <cell r="AR134">
            <v>6058.6817101200022</v>
          </cell>
          <cell r="AS134">
            <v>1524.8999999999999</v>
          </cell>
          <cell r="AT134">
            <v>1667.6</v>
          </cell>
          <cell r="AU134">
            <v>3192.4999999999995</v>
          </cell>
          <cell r="AV134">
            <v>1633.0000000000002</v>
          </cell>
          <cell r="AW134">
            <v>4825.5</v>
          </cell>
          <cell r="AX134">
            <v>1642.7999999999997</v>
          </cell>
          <cell r="AY134">
            <v>6468.2999999999993</v>
          </cell>
          <cell r="BF134">
            <v>6430.5</v>
          </cell>
          <cell r="BR134">
            <v>6326.1281337160544</v>
          </cell>
          <cell r="BS134">
            <v>6278.6652816915457</v>
          </cell>
          <cell r="BT134">
            <v>6211.2753355834266</v>
          </cell>
          <cell r="BU134">
            <v>6110.6135295775011</v>
          </cell>
          <cell r="BV134">
            <v>6012.0265800073512</v>
          </cell>
          <cell r="BW134">
            <v>5916.2494444940585</v>
          </cell>
          <cell r="BX134">
            <v>5798.3187599011972</v>
          </cell>
          <cell r="BY134">
            <v>5705.1572021396159</v>
          </cell>
          <cell r="BZ134">
            <v>5605.5905447876485</v>
          </cell>
          <cell r="CA134">
            <v>5529.9057455568773</v>
          </cell>
          <cell r="CB134">
            <v>5541.5642525193562</v>
          </cell>
        </row>
        <row r="135">
          <cell r="A135" t="str">
            <v xml:space="preserve">     Year-on-Year Growth %</v>
          </cell>
          <cell r="J135">
            <v>0.10735191983331696</v>
          </cell>
          <cell r="K135">
            <v>1.0949412183826153</v>
          </cell>
          <cell r="L135">
            <v>0.46065124577837252</v>
          </cell>
          <cell r="M135">
            <v>0.96350999131190274</v>
          </cell>
          <cell r="N135">
            <v>0.59558000745990358</v>
          </cell>
          <cell r="O135">
            <v>6.588838999358563</v>
          </cell>
          <cell r="P135">
            <v>1.0016951362628768</v>
          </cell>
          <cell r="Q135">
            <v>9.712391362781099E-2</v>
          </cell>
          <cell r="R135">
            <v>7.2017685570954684E-2</v>
          </cell>
          <cell r="S135">
            <v>8.4242212721402976E-2</v>
          </cell>
          <cell r="T135">
            <v>0.12000000000000012</v>
          </cell>
          <cell r="U135">
            <v>9.604932499561665E-2</v>
          </cell>
          <cell r="V135">
            <v>0.13143436734003888</v>
          </cell>
          <cell r="W135">
            <v>0.1051397303107289</v>
          </cell>
          <cell r="X135">
            <v>8.2856878472845688E-2</v>
          </cell>
          <cell r="Y135">
            <v>6.5931688324873214E-2</v>
          </cell>
          <cell r="Z135">
            <v>7.4270679728805342E-2</v>
          </cell>
          <cell r="AA135">
            <v>7.3517167596395691E-2</v>
          </cell>
          <cell r="AB135">
            <v>7.4016435426163943E-2</v>
          </cell>
          <cell r="AC135">
            <v>6.8452003399067332E-2</v>
          </cell>
          <cell r="AD135">
            <v>7.2552922564100619E-2</v>
          </cell>
          <cell r="AE135">
            <v>8.8384314448941528E-2</v>
          </cell>
          <cell r="AF135">
            <v>8.819802824298266E-2</v>
          </cell>
          <cell r="AG135">
            <v>8.8290544489409775E-2</v>
          </cell>
          <cell r="AH135">
            <v>5.29472276674944E-2</v>
          </cell>
          <cell r="AI135">
            <v>7.6370816337266653E-2</v>
          </cell>
          <cell r="AJ135">
            <v>7.8513382553590194E-2</v>
          </cell>
          <cell r="AK135">
            <v>7.6932182513628211E-2</v>
          </cell>
          <cell r="AL135">
            <v>1.248287321274022E-2</v>
          </cell>
          <cell r="AM135">
            <v>3.4607496177665009E-2</v>
          </cell>
          <cell r="AN135">
            <v>2.361868772057818E-2</v>
          </cell>
          <cell r="AO135">
            <v>5.3729072517399779E-2</v>
          </cell>
          <cell r="AP135">
            <v>3.3552593667719455E-2</v>
          </cell>
          <cell r="AQ135">
            <v>2.2352359578857284E-2</v>
          </cell>
          <cell r="AR135">
            <v>3.0613751438794079E-2</v>
          </cell>
          <cell r="AS135">
            <v>4.3617986850413182E-2</v>
          </cell>
          <cell r="AT135">
            <v>0.10212983157792088</v>
          </cell>
          <cell r="AU135">
            <v>7.3384455492226275E-2</v>
          </cell>
          <cell r="AV135">
            <v>8.3291053882113664E-2</v>
          </cell>
          <cell r="AW135">
            <v>7.671660651520984E-2</v>
          </cell>
          <cell r="AX135">
            <v>4.1724105311060411E-2</v>
          </cell>
          <cell r="AY135">
            <v>6.7608484729573926E-2</v>
          </cell>
          <cell r="BF135">
            <v>-5.8438847919853876E-3</v>
          </cell>
          <cell r="BR135">
            <v>-1.623075441784394E-2</v>
          </cell>
          <cell r="BS135">
            <v>-7.5026700410236735E-3</v>
          </cell>
          <cell r="BT135">
            <v>-1.0733164308762699E-2</v>
          </cell>
          <cell r="BU135">
            <v>-1.6206302340076584E-2</v>
          </cell>
          <cell r="BV135">
            <v>-1.6133723576684189E-2</v>
          </cell>
          <cell r="BW135">
            <v>-1.5930923497875726E-2</v>
          </cell>
          <cell r="BX135">
            <v>-1.9933352320466002E-2</v>
          </cell>
          <cell r="BY135">
            <v>-1.6066994868555451E-2</v>
          </cell>
          <cell r="BZ135">
            <v>-1.7452044496622632E-2</v>
          </cell>
          <cell r="CA135">
            <v>-1.3501663852552803E-2</v>
          </cell>
          <cell r="CB135">
            <v>2.1082650408366099E-3</v>
          </cell>
        </row>
        <row r="136">
          <cell r="A136" t="str">
            <v>Royalty Income</v>
          </cell>
          <cell r="C136">
            <v>4</v>
          </cell>
          <cell r="D136">
            <v>2.9</v>
          </cell>
          <cell r="E136">
            <v>6.9</v>
          </cell>
          <cell r="F136">
            <v>3.1999999999999997</v>
          </cell>
          <cell r="G136">
            <v>10.1</v>
          </cell>
          <cell r="H136">
            <v>3.4</v>
          </cell>
          <cell r="I136">
            <v>13.5</v>
          </cell>
          <cell r="J136">
            <v>62.3</v>
          </cell>
          <cell r="K136">
            <v>72.900000000000006</v>
          </cell>
          <cell r="L136">
            <v>135.20000000000002</v>
          </cell>
          <cell r="M136">
            <v>65.399999999999991</v>
          </cell>
          <cell r="N136">
            <v>200.6</v>
          </cell>
          <cell r="O136">
            <v>71.800000000000011</v>
          </cell>
          <cell r="P136">
            <v>272.40000000000003</v>
          </cell>
          <cell r="Q136">
            <v>74.8</v>
          </cell>
          <cell r="R136">
            <v>89.2</v>
          </cell>
          <cell r="S136">
            <v>164.00000000000003</v>
          </cell>
          <cell r="T136">
            <v>91.3</v>
          </cell>
          <cell r="U136">
            <v>255.3</v>
          </cell>
          <cell r="V136">
            <v>110.7</v>
          </cell>
          <cell r="W136">
            <v>366.00000000000006</v>
          </cell>
          <cell r="X136">
            <v>96.268094320000003</v>
          </cell>
          <cell r="Y136">
            <v>79.220653229999996</v>
          </cell>
          <cell r="Z136">
            <v>175.48874755</v>
          </cell>
          <cell r="AA136">
            <v>82.894115879999987</v>
          </cell>
          <cell r="AB136">
            <v>258.38286342999999</v>
          </cell>
          <cell r="AC136">
            <v>94.783327700000015</v>
          </cell>
          <cell r="AD136">
            <v>353.16619113000002</v>
          </cell>
          <cell r="AE136">
            <v>71.199474590000008</v>
          </cell>
          <cell r="AF136">
            <v>101.92732910999999</v>
          </cell>
          <cell r="AG136">
            <v>173.12680369999998</v>
          </cell>
          <cell r="AH136">
            <v>87.825681189999983</v>
          </cell>
          <cell r="AI136">
            <v>260.95248488999999</v>
          </cell>
          <cell r="AJ136">
            <v>85.824570870000031</v>
          </cell>
          <cell r="AK136">
            <v>346.77705576</v>
          </cell>
          <cell r="AL136">
            <v>82.609501110000011</v>
          </cell>
          <cell r="AM136">
            <v>85.100000000000009</v>
          </cell>
          <cell r="AN136">
            <v>167.70950110999999</v>
          </cell>
          <cell r="AO136">
            <v>94.19039328999996</v>
          </cell>
          <cell r="AP136">
            <v>261.89989439999994</v>
          </cell>
          <cell r="AQ136">
            <v>95.7001056000001</v>
          </cell>
          <cell r="AR136">
            <v>357.6</v>
          </cell>
          <cell r="AS136">
            <v>78.5</v>
          </cell>
          <cell r="AT136">
            <v>102.6</v>
          </cell>
          <cell r="AU136">
            <v>181.10000000000002</v>
          </cell>
          <cell r="AV136">
            <v>113.2</v>
          </cell>
          <cell r="AW136">
            <v>294.30000000000007</v>
          </cell>
          <cell r="AX136">
            <v>117.69999999999993</v>
          </cell>
          <cell r="AY136">
            <v>412</v>
          </cell>
          <cell r="BF136">
            <v>374.9</v>
          </cell>
          <cell r="BR136">
            <v>278.87239999999997</v>
          </cell>
          <cell r="BS136">
            <v>132.50102799999996</v>
          </cell>
          <cell r="BT136">
            <v>162.35526443999996</v>
          </cell>
          <cell r="BU136">
            <v>194.28631732799994</v>
          </cell>
          <cell r="BV136">
            <v>194.28631732799994</v>
          </cell>
          <cell r="BW136">
            <v>194.28631732799994</v>
          </cell>
          <cell r="BX136">
            <v>194.28631732799994</v>
          </cell>
          <cell r="BY136">
            <v>194.28631732799994</v>
          </cell>
          <cell r="BZ136">
            <v>194.28631732799994</v>
          </cell>
          <cell r="CA136">
            <v>194.28631732799994</v>
          </cell>
          <cell r="CB136">
            <v>194.28631732799994</v>
          </cell>
        </row>
        <row r="137">
          <cell r="A137" t="str">
            <v xml:space="preserve">     Year-on-Year Growth %</v>
          </cell>
          <cell r="J137">
            <v>14.574999999999999</v>
          </cell>
          <cell r="K137">
            <v>24.137931034482758</v>
          </cell>
          <cell r="L137">
            <v>18.594202898550726</v>
          </cell>
          <cell r="M137">
            <v>19.437499999999996</v>
          </cell>
          <cell r="N137">
            <v>18.861386138613863</v>
          </cell>
          <cell r="O137">
            <v>20.117647058823533</v>
          </cell>
          <cell r="P137">
            <v>19.177777777777781</v>
          </cell>
          <cell r="Q137">
            <v>0.20064205457463885</v>
          </cell>
          <cell r="R137">
            <v>0.22359396433470502</v>
          </cell>
          <cell r="S137">
            <v>0.21301775147929</v>
          </cell>
          <cell r="T137">
            <v>0.39602446483180442</v>
          </cell>
          <cell r="U137">
            <v>0.27268195413758733</v>
          </cell>
          <cell r="V137">
            <v>0.54178272980501374</v>
          </cell>
          <cell r="W137">
            <v>0.34361233480176218</v>
          </cell>
          <cell r="X137">
            <v>0.28700660855614984</v>
          </cell>
          <cell r="Y137">
            <v>-0.11187608486547092</v>
          </cell>
          <cell r="Z137">
            <v>7.0053338719512012E-2</v>
          </cell>
          <cell r="AA137">
            <v>-9.2068829353778872E-2</v>
          </cell>
          <cell r="AB137">
            <v>1.207545409322356E-2</v>
          </cell>
          <cell r="AC137">
            <v>-0.14378204426377586</v>
          </cell>
          <cell r="AD137">
            <v>-3.5065051557377158E-2</v>
          </cell>
          <cell r="AE137">
            <v>-0.26040423784302447</v>
          </cell>
          <cell r="AF137">
            <v>0.28662570875395432</v>
          </cell>
          <cell r="AG137">
            <v>-1.3459232474874525E-2</v>
          </cell>
          <cell r="AH137">
            <v>5.9492344633231609E-2</v>
          </cell>
          <cell r="AI137">
            <v>9.9450150288165635E-3</v>
          </cell>
          <cell r="AJ137">
            <v>-9.4518277078807209E-2</v>
          </cell>
          <cell r="AK137">
            <v>-1.8091016440608843E-2</v>
          </cell>
          <cell r="AL137">
            <v>0.16025436403434568</v>
          </cell>
          <cell r="AM137">
            <v>-0.16509143579971497</v>
          </cell>
          <cell r="AN137">
            <v>-3.129095249391467E-2</v>
          </cell>
          <cell r="AO137">
            <v>7.2469829026782229E-2</v>
          </cell>
          <cell r="AP137">
            <v>3.6305824426210442E-3</v>
          </cell>
          <cell r="AQ137">
            <v>0.11506652034367537</v>
          </cell>
          <cell r="AR137">
            <v>3.1210093229150804E-2</v>
          </cell>
          <cell r="AS137">
            <v>-4.9746107345787438E-2</v>
          </cell>
          <cell r="AT137">
            <v>0.20564042303172725</v>
          </cell>
          <cell r="AU137">
            <v>7.9843412575756556E-2</v>
          </cell>
          <cell r="AV137">
            <v>0.20182107798904658</v>
          </cell>
          <cell r="AW137">
            <v>0.12371179329501913</v>
          </cell>
          <cell r="AX137">
            <v>0.22988370035821371</v>
          </cell>
          <cell r="AY137">
            <v>0.15212527964205802</v>
          </cell>
          <cell r="BF137">
            <v>-9.004854368932047E-2</v>
          </cell>
          <cell r="BR137">
            <v>-0.25614190450786878</v>
          </cell>
          <cell r="BS137">
            <v>-0.52486862091766706</v>
          </cell>
          <cell r="BT137">
            <v>0.22531324390932284</v>
          </cell>
          <cell r="BU137">
            <v>0.19667396063895692</v>
          </cell>
          <cell r="BV137">
            <v>0</v>
          </cell>
          <cell r="BW137">
            <v>0</v>
          </cell>
          <cell r="BX137">
            <v>0</v>
          </cell>
          <cell r="BY137">
            <v>0</v>
          </cell>
          <cell r="BZ137">
            <v>0</v>
          </cell>
          <cell r="CA137">
            <v>0</v>
          </cell>
          <cell r="CB137">
            <v>0</v>
          </cell>
        </row>
        <row r="138">
          <cell r="A138" t="str">
            <v>Total Pharma Revenues</v>
          </cell>
          <cell r="C138">
            <v>1011.9</v>
          </cell>
          <cell r="D138">
            <v>564.29999999999995</v>
          </cell>
          <cell r="E138">
            <v>1576.2000000000003</v>
          </cell>
          <cell r="F138">
            <v>578.70000000000005</v>
          </cell>
          <cell r="G138">
            <v>2154.8999999999996</v>
          </cell>
          <cell r="H138">
            <v>159.29999999999998</v>
          </cell>
          <cell r="I138">
            <v>2314.1999999999998</v>
          </cell>
          <cell r="J138">
            <v>1178.4000000000001</v>
          </cell>
          <cell r="K138">
            <v>1249.0000000000002</v>
          </cell>
          <cell r="L138">
            <v>2427.4</v>
          </cell>
          <cell r="M138">
            <v>1195.4000000000001</v>
          </cell>
          <cell r="N138">
            <v>3622.8000000000006</v>
          </cell>
          <cell r="O138">
            <v>1254.8999999999999</v>
          </cell>
          <cell r="P138">
            <v>4877.7</v>
          </cell>
          <cell r="Q138">
            <v>1299.3</v>
          </cell>
          <cell r="R138">
            <v>1350</v>
          </cell>
          <cell r="S138">
            <v>2649.3</v>
          </cell>
          <cell r="T138">
            <v>1356.9</v>
          </cell>
          <cell r="U138">
            <v>4006.2000000000003</v>
          </cell>
          <cell r="V138">
            <v>1449.3</v>
          </cell>
          <cell r="W138">
            <v>5455.5</v>
          </cell>
          <cell r="X138">
            <v>1422.2263420099996</v>
          </cell>
          <cell r="Y138">
            <v>1423.14732587</v>
          </cell>
          <cell r="Z138">
            <v>2845.3736678800001</v>
          </cell>
          <cell r="AA138">
            <v>1441.5374431899986</v>
          </cell>
          <cell r="AB138">
            <v>4286.9111110699987</v>
          </cell>
          <cell r="AC138">
            <v>1525.0131794499914</v>
          </cell>
          <cell r="AD138">
            <v>5811.9242905199899</v>
          </cell>
          <cell r="AE138">
            <v>1514.3516329899999</v>
          </cell>
          <cell r="AF138">
            <v>1564.3856843800006</v>
          </cell>
          <cell r="AG138">
            <v>3078.7373173700003</v>
          </cell>
          <cell r="AH138">
            <v>1518.4054060700032</v>
          </cell>
          <cell r="AI138">
            <v>4597.1427234400035</v>
          </cell>
          <cell r="AJ138">
            <v>1628.3466061100032</v>
          </cell>
          <cell r="AK138">
            <v>6225.4893295500069</v>
          </cell>
          <cell r="AL138">
            <v>1543.7763449299996</v>
          </cell>
          <cell r="AM138">
            <v>1598.1703772100011</v>
          </cell>
          <cell r="AN138">
            <v>3141.9467221400005</v>
          </cell>
          <cell r="AO138">
            <v>1601.6338399500028</v>
          </cell>
          <cell r="AP138">
            <v>4743.5805620900028</v>
          </cell>
          <cell r="AQ138">
            <v>1672.7011480299986</v>
          </cell>
          <cell r="AR138">
            <v>6416.2817101200026</v>
          </cell>
          <cell r="AS138">
            <v>1603.3999999999999</v>
          </cell>
          <cell r="AT138">
            <v>1770.1999999999998</v>
          </cell>
          <cell r="AU138">
            <v>3373.5999999999995</v>
          </cell>
          <cell r="AV138">
            <v>1746.2000000000003</v>
          </cell>
          <cell r="AW138">
            <v>5119.8</v>
          </cell>
          <cell r="AX138">
            <v>1760.4999999999995</v>
          </cell>
          <cell r="AY138">
            <v>6880.2999999999993</v>
          </cell>
          <cell r="BF138">
            <v>6805.4</v>
          </cell>
          <cell r="BR138">
            <v>6605.0005337160546</v>
          </cell>
          <cell r="BS138">
            <v>6411.1663096915454</v>
          </cell>
          <cell r="BT138">
            <v>6373.6306000234263</v>
          </cell>
          <cell r="BU138">
            <v>6304.8998469055014</v>
          </cell>
          <cell r="BV138">
            <v>6206.3128973353514</v>
          </cell>
          <cell r="BW138">
            <v>6110.5357618220587</v>
          </cell>
          <cell r="BX138">
            <v>5992.6050772291974</v>
          </cell>
          <cell r="BY138">
            <v>5899.4435194676162</v>
          </cell>
          <cell r="BZ138">
            <v>5799.8768621156487</v>
          </cell>
          <cell r="CA138">
            <v>5724.1920628848775</v>
          </cell>
          <cell r="CB138">
            <v>5735.8505698473564</v>
          </cell>
        </row>
        <row r="139">
          <cell r="A139" t="str">
            <v xml:space="preserve">     Year-on-Year Growth %</v>
          </cell>
          <cell r="J139">
            <v>0.16454195078565087</v>
          </cell>
          <cell r="K139">
            <v>1.2133616870458981</v>
          </cell>
          <cell r="L139">
            <v>0.54003299073721589</v>
          </cell>
          <cell r="M139">
            <v>1.0656644202522896</v>
          </cell>
          <cell r="N139">
            <v>0.6811917026312132</v>
          </cell>
          <cell r="O139">
            <v>6.8775894538606401</v>
          </cell>
          <cell r="P139">
            <v>1.1077262120819291</v>
          </cell>
          <cell r="Q139">
            <v>0.1025967413441954</v>
          </cell>
          <cell r="R139">
            <v>8.0864691753402523E-2</v>
          </cell>
          <cell r="S139">
            <v>9.1414682376205023E-2</v>
          </cell>
          <cell r="T139">
            <v>0.13510122134850258</v>
          </cell>
          <cell r="U139">
            <v>0.10582974494865838</v>
          </cell>
          <cell r="V139">
            <v>0.15491274205115954</v>
          </cell>
          <cell r="W139">
            <v>0.11845746970908425</v>
          </cell>
          <cell r="X139">
            <v>9.460966829061776E-2</v>
          </cell>
          <cell r="Y139">
            <v>5.4183204348148169E-2</v>
          </cell>
          <cell r="Z139">
            <v>7.4009613060053561E-2</v>
          </cell>
          <cell r="AA139">
            <v>6.2375593772568731E-2</v>
          </cell>
          <cell r="AB139">
            <v>7.0069170553142227E-2</v>
          </cell>
          <cell r="AC139">
            <v>5.2241205719996867E-2</v>
          </cell>
          <cell r="AD139">
            <v>6.5333019983501037E-2</v>
          </cell>
          <cell r="AE139">
            <v>6.4775407583719566E-2</v>
          </cell>
          <cell r="AF139">
            <v>9.9243666444483236E-2</v>
          </cell>
          <cell r="AG139">
            <v>8.2015115316601703E-2</v>
          </cell>
          <cell r="AH139">
            <v>5.332359783170279E-2</v>
          </cell>
          <cell r="AI139">
            <v>7.2367167018905595E-2</v>
          </cell>
          <cell r="AJ139">
            <v>6.7759038447969253E-2</v>
          </cell>
          <cell r="AK139">
            <v>7.1158022430642426E-2</v>
          </cell>
          <cell r="AL139">
            <v>1.9430567708968841E-2</v>
          </cell>
          <cell r="AM139">
            <v>2.1596140368281426E-2</v>
          </cell>
          <cell r="AN139">
            <v>2.0530950923736687E-2</v>
          </cell>
          <cell r="AO139">
            <v>5.4813051604850824E-2</v>
          </cell>
          <cell r="AP139">
            <v>3.1854098830418974E-2</v>
          </cell>
          <cell r="AQ139">
            <v>2.7239005352770115E-2</v>
          </cell>
          <cell r="AR139">
            <v>3.0646969333700005E-2</v>
          </cell>
          <cell r="AS139">
            <v>3.8621951467136789E-2</v>
          </cell>
          <cell r="AT139">
            <v>0.10764160395108728</v>
          </cell>
          <cell r="AU139">
            <v>7.3729218967219914E-2</v>
          </cell>
          <cell r="AV139">
            <v>9.0261679320231103E-2</v>
          </cell>
          <cell r="AW139">
            <v>7.9311278260284584E-2</v>
          </cell>
          <cell r="AX139">
            <v>5.2489263891164789E-2</v>
          </cell>
          <cell r="AY139">
            <v>7.2318877325496703E-2</v>
          </cell>
          <cell r="BF139">
            <v>-1.0886153220063028E-2</v>
          </cell>
          <cell r="BR139">
            <v>-2.9447125265810239E-2</v>
          </cell>
          <cell r="BS139">
            <v>-2.9346587185732704E-2</v>
          </cell>
          <cell r="BT139">
            <v>-5.8547396612341268E-3</v>
          </cell>
          <cell r="BU139">
            <v>-1.0783611010916178E-2</v>
          </cell>
          <cell r="BV139">
            <v>-1.5636560764488158E-2</v>
          </cell>
          <cell r="BW139">
            <v>-1.54322118619598E-2</v>
          </cell>
          <cell r="BX139">
            <v>-1.9299565404670243E-2</v>
          </cell>
          <cell r="BY139">
            <v>-1.5546086645285217E-2</v>
          </cell>
          <cell r="BZ139">
            <v>-1.687729648116924E-2</v>
          </cell>
          <cell r="CA139">
            <v>-1.3049380362734684E-2</v>
          </cell>
          <cell r="CB139">
            <v>2.0367078592752955E-3</v>
          </cell>
        </row>
        <row r="140">
          <cell r="A140" t="str">
            <v>check</v>
          </cell>
          <cell r="C140">
            <v>0</v>
          </cell>
          <cell r="D140">
            <v>1.1368683772161603E-13</v>
          </cell>
          <cell r="E140">
            <v>0</v>
          </cell>
          <cell r="F140">
            <v>-1.1368683772161603E-13</v>
          </cell>
          <cell r="G140">
            <v>4.5474735088646412E-13</v>
          </cell>
          <cell r="H140">
            <v>0</v>
          </cell>
          <cell r="I140">
            <v>0</v>
          </cell>
          <cell r="J140">
            <v>0</v>
          </cell>
          <cell r="K140">
            <v>0</v>
          </cell>
          <cell r="L140">
            <v>4.5474735088646412E-13</v>
          </cell>
          <cell r="M140">
            <v>0</v>
          </cell>
          <cell r="N140">
            <v>0</v>
          </cell>
          <cell r="O140">
            <v>2.2737367544323206E-13</v>
          </cell>
          <cell r="P140">
            <v>9.0949470177292824E-13</v>
          </cell>
          <cell r="Q140">
            <v>2.2737367544323206E-13</v>
          </cell>
          <cell r="R140">
            <v>0</v>
          </cell>
          <cell r="S140">
            <v>0</v>
          </cell>
          <cell r="T140">
            <v>-2.2737367544323206E-13</v>
          </cell>
          <cell r="U140">
            <v>-4.5474735088646412E-13</v>
          </cell>
          <cell r="V140">
            <v>0</v>
          </cell>
          <cell r="W140">
            <v>0</v>
          </cell>
          <cell r="X140">
            <v>0</v>
          </cell>
          <cell r="Y140">
            <v>0</v>
          </cell>
          <cell r="Z140">
            <v>4.5474735088646412E-13</v>
          </cell>
          <cell r="AA140">
            <v>0</v>
          </cell>
          <cell r="AB140">
            <v>0</v>
          </cell>
          <cell r="AC140">
            <v>0</v>
          </cell>
          <cell r="AD140">
            <v>0</v>
          </cell>
          <cell r="AE140">
            <v>0</v>
          </cell>
          <cell r="AF140">
            <v>-2.2737367544323206E-13</v>
          </cell>
          <cell r="AG140">
            <v>0</v>
          </cell>
          <cell r="AH140">
            <v>0</v>
          </cell>
          <cell r="AI140">
            <v>0</v>
          </cell>
          <cell r="AJ140">
            <v>-2.2737367544323206E-13</v>
          </cell>
          <cell r="AK140">
            <v>9.0949470177292824E-13</v>
          </cell>
          <cell r="AL140">
            <v>-2.2737367544323206E-13</v>
          </cell>
          <cell r="AM140">
            <v>2.2737367544323206E-13</v>
          </cell>
          <cell r="AN140">
            <v>-4.5474735088646412E-13</v>
          </cell>
          <cell r="AO140">
            <v>-2.2737367544323206E-13</v>
          </cell>
          <cell r="AP140">
            <v>0</v>
          </cell>
          <cell r="AQ140">
            <v>0</v>
          </cell>
          <cell r="AR140">
            <v>0</v>
          </cell>
          <cell r="AS140">
            <v>2.2737367544323206E-13</v>
          </cell>
          <cell r="AT140">
            <v>0</v>
          </cell>
          <cell r="AU140">
            <v>4.5474735088646412E-13</v>
          </cell>
          <cell r="AV140">
            <v>0</v>
          </cell>
          <cell r="AW140">
            <v>-9.0949470177292824E-13</v>
          </cell>
          <cell r="AX140">
            <v>4.5474735088646412E-13</v>
          </cell>
          <cell r="AY140">
            <v>0</v>
          </cell>
          <cell r="BF140">
            <v>9.0949470177292824E-13</v>
          </cell>
          <cell r="BR140">
            <v>0</v>
          </cell>
          <cell r="BS140">
            <v>0</v>
          </cell>
          <cell r="BT140">
            <v>0</v>
          </cell>
          <cell r="BU140">
            <v>9.0949470177292824E-13</v>
          </cell>
          <cell r="BV140">
            <v>0</v>
          </cell>
          <cell r="BW140">
            <v>0</v>
          </cell>
          <cell r="BX140">
            <v>0</v>
          </cell>
          <cell r="BY140">
            <v>-9.0949470177292824E-13</v>
          </cell>
          <cell r="BZ140">
            <v>0</v>
          </cell>
          <cell r="CA140">
            <v>-9.0949470177292824E-13</v>
          </cell>
          <cell r="CB140">
            <v>-9.0949470177292824E-13</v>
          </cell>
        </row>
        <row r="142">
          <cell r="A142" t="str">
            <v>Performance Materials</v>
          </cell>
        </row>
        <row r="144">
          <cell r="A144" t="str">
            <v>Liquid Crystals Displays (LCD)</v>
          </cell>
          <cell r="B144" t="str">
            <v>No longer reported from Jan 2012</v>
          </cell>
        </row>
        <row r="145">
          <cell r="A145" t="str">
            <v>Sales</v>
          </cell>
          <cell r="C145">
            <v>233.2</v>
          </cell>
          <cell r="D145">
            <v>198.4</v>
          </cell>
          <cell r="E145">
            <v>431.6</v>
          </cell>
          <cell r="F145">
            <v>207.5</v>
          </cell>
          <cell r="G145">
            <v>639.1</v>
          </cell>
          <cell r="H145">
            <v>253.4</v>
          </cell>
          <cell r="I145">
            <v>892.5</v>
          </cell>
          <cell r="J145">
            <v>204.8</v>
          </cell>
          <cell r="K145">
            <v>221.3</v>
          </cell>
          <cell r="L145">
            <v>426.1</v>
          </cell>
          <cell r="M145">
            <v>236.4</v>
          </cell>
          <cell r="N145">
            <v>662.5</v>
          </cell>
          <cell r="O145">
            <v>246.9</v>
          </cell>
          <cell r="P145">
            <v>909.4</v>
          </cell>
          <cell r="Q145">
            <v>229.1</v>
          </cell>
          <cell r="R145">
            <v>235.5</v>
          </cell>
          <cell r="S145">
            <v>464.6</v>
          </cell>
          <cell r="T145">
            <v>236.6</v>
          </cell>
          <cell r="U145">
            <v>701.2</v>
          </cell>
          <cell r="V145">
            <v>163.5</v>
          </cell>
          <cell r="W145">
            <v>864.7</v>
          </cell>
          <cell r="X145">
            <v>127.92066752000001</v>
          </cell>
          <cell r="Y145">
            <v>187.13334348000001</v>
          </cell>
          <cell r="Z145">
            <v>315.054011</v>
          </cell>
          <cell r="AA145">
            <v>208.89443467000001</v>
          </cell>
          <cell r="AB145">
            <v>523.94844566999996</v>
          </cell>
          <cell r="AC145">
            <v>200.77630969999998</v>
          </cell>
          <cell r="AD145">
            <v>724.72475536999991</v>
          </cell>
          <cell r="AE145">
            <v>235.44909659999999</v>
          </cell>
          <cell r="AF145">
            <v>282.73132412000001</v>
          </cell>
          <cell r="AG145">
            <v>518.18042072000003</v>
          </cell>
          <cell r="AH145">
            <v>254.27772303</v>
          </cell>
          <cell r="AI145">
            <v>772.45814375000009</v>
          </cell>
          <cell r="AJ145">
            <v>233.09445165</v>
          </cell>
          <cell r="AK145">
            <v>1005.5525954000001</v>
          </cell>
          <cell r="AL145">
            <v>301</v>
          </cell>
          <cell r="AM145">
            <v>272.89999999999998</v>
          </cell>
          <cell r="AN145">
            <v>573.9</v>
          </cell>
          <cell r="AO145">
            <v>257.51019076999995</v>
          </cell>
          <cell r="AP145">
            <v>831.41019076999987</v>
          </cell>
          <cell r="AQ145">
            <v>262.68980923000004</v>
          </cell>
          <cell r="AR145">
            <v>1094.0999999999999</v>
          </cell>
          <cell r="AS145">
            <v>289.79999999999995</v>
          </cell>
          <cell r="AT145">
            <v>319.57500000000005</v>
          </cell>
          <cell r="AU145">
            <v>609.375</v>
          </cell>
          <cell r="AV145">
            <v>334.5</v>
          </cell>
          <cell r="AW145">
            <v>943.875</v>
          </cell>
          <cell r="AX145">
            <v>295.03300000000013</v>
          </cell>
          <cell r="AY145">
            <v>1238.9080000000001</v>
          </cell>
          <cell r="AZ145">
            <v>324.40100000000001</v>
          </cell>
          <cell r="BA145">
            <v>321.16950000000003</v>
          </cell>
          <cell r="BB145">
            <v>645.57050000000004</v>
          </cell>
          <cell r="BC145">
            <v>298.77749999999997</v>
          </cell>
          <cell r="BD145">
            <v>944.34799999999996</v>
          </cell>
          <cell r="BE145">
            <v>262.5954999999999</v>
          </cell>
          <cell r="BF145">
            <v>1206.9434999999999</v>
          </cell>
          <cell r="BL145">
            <v>320.37197344002749</v>
          </cell>
          <cell r="BM145">
            <v>314.4201521651591</v>
          </cell>
          <cell r="BN145">
            <v>634.79212560518658</v>
          </cell>
          <cell r="BO145">
            <v>296.298079682425</v>
          </cell>
          <cell r="BP145">
            <v>931.09020528761152</v>
          </cell>
          <cell r="BQ145">
            <v>269.57011542353848</v>
          </cell>
          <cell r="BR145">
            <v>1200.66032071115</v>
          </cell>
          <cell r="BS145">
            <v>1224.6735271253731</v>
          </cell>
          <cell r="BT145">
            <v>1249.1669976678807</v>
          </cell>
          <cell r="BU145">
            <v>1274.1503376212384</v>
          </cell>
          <cell r="BV145">
            <v>1299.6333443736632</v>
          </cell>
          <cell r="BW145">
            <v>1325.6260112611365</v>
          </cell>
          <cell r="BX145">
            <v>1352.1385314863592</v>
          </cell>
          <cell r="BY145">
            <v>1379.1813021160863</v>
          </cell>
          <cell r="BZ145">
            <v>1406.7649281584081</v>
          </cell>
          <cell r="CA145">
            <v>1434.9002267215762</v>
          </cell>
          <cell r="CB145">
            <v>1463.5982312560077</v>
          </cell>
        </row>
        <row r="146">
          <cell r="A146" t="str">
            <v xml:space="preserve">     Year-on-Year Growth % reported</v>
          </cell>
          <cell r="J146">
            <v>-0.12178387650085754</v>
          </cell>
          <cell r="K146">
            <v>0.11542338709677424</v>
          </cell>
          <cell r="L146">
            <v>-1.2743280815569968E-2</v>
          </cell>
          <cell r="M146">
            <v>0.13927710843373498</v>
          </cell>
          <cell r="N146">
            <v>3.6613988421217325E-2</v>
          </cell>
          <cell r="O146">
            <v>-2.5651144435674844E-2</v>
          </cell>
          <cell r="P146">
            <v>1.8935574229691943E-2</v>
          </cell>
          <cell r="Q146">
            <v>0.11865234375</v>
          </cell>
          <cell r="R146">
            <v>6.4166290103931267E-2</v>
          </cell>
          <cell r="S146">
            <v>9.0354376906829348E-2</v>
          </cell>
          <cell r="T146">
            <v>8.4602368866315558E-4</v>
          </cell>
          <cell r="U146">
            <v>5.8415094339622664E-2</v>
          </cell>
          <cell r="V146">
            <v>-0.33778857837181042</v>
          </cell>
          <cell r="W146">
            <v>-4.9153287882120034E-2</v>
          </cell>
          <cell r="X146">
            <v>-0.4416382910519423</v>
          </cell>
          <cell r="Y146">
            <v>-0.20537858394904451</v>
          </cell>
          <cell r="Z146">
            <v>-0.32188116444253123</v>
          </cell>
          <cell r="AA146">
            <v>-0.11709875456466601</v>
          </cell>
          <cell r="AB146">
            <v>-0.25278316361950948</v>
          </cell>
          <cell r="AC146">
            <v>0.22798966177370028</v>
          </cell>
          <cell r="AD146">
            <v>-0.1618772344512549</v>
          </cell>
          <cell r="AE146">
            <v>0.84058683529921563</v>
          </cell>
          <cell r="AF146">
            <v>0.51085487418877373</v>
          </cell>
          <cell r="AG146">
            <v>0.64473519659459289</v>
          </cell>
          <cell r="AH146">
            <v>0.21725465511656172</v>
          </cell>
          <cell r="AI146">
            <v>0.47430181372561941</v>
          </cell>
          <cell r="AJ146">
            <v>0.16096591275280336</v>
          </cell>
          <cell r="AK146">
            <v>0.38749585680514897</v>
          </cell>
          <cell r="AL146">
            <v>0.27840796310789506</v>
          </cell>
          <cell r="AM146">
            <v>-0.03</v>
          </cell>
          <cell r="AN146">
            <v>0.10752930263667393</v>
          </cell>
          <cell r="AO146">
            <v>1.2712351288510559E-2</v>
          </cell>
          <cell r="AP146">
            <v>7.6317464573302685E-2</v>
          </cell>
          <cell r="AQ146">
            <v>0.12696723311303248</v>
          </cell>
          <cell r="AR146">
            <v>8.8058451646456648E-2</v>
          </cell>
          <cell r="AS146">
            <v>-3.7209302325581506E-2</v>
          </cell>
          <cell r="AT146">
            <v>0.1710333455478199</v>
          </cell>
          <cell r="AU146">
            <v>6.1813904861474089E-2</v>
          </cell>
          <cell r="AV146">
            <v>0.29897771812364859</v>
          </cell>
          <cell r="AW146">
            <v>0.13526994313822671</v>
          </cell>
          <cell r="AX146">
            <v>0.12312312710114215</v>
          </cell>
          <cell r="AY146">
            <v>0.13235353258385918</v>
          </cell>
          <cell r="AZ146">
            <v>0.1193961352657007</v>
          </cell>
          <cell r="BA146">
            <v>4.9894390988030057E-3</v>
          </cell>
          <cell r="BB146">
            <v>5.9397743589743701E-2</v>
          </cell>
          <cell r="BC146">
            <v>-0.10472300221085129</v>
          </cell>
          <cell r="BD146">
            <v>5.0112567871796188E-4</v>
          </cell>
          <cell r="BE146">
            <v>-0.10994532814973312</v>
          </cell>
          <cell r="BF146">
            <v>-4.8445660868041474E-2</v>
          </cell>
          <cell r="BL146">
            <v>1.1104434754207304E-2</v>
          </cell>
          <cell r="BM146">
            <v>8.4986865843548198E-3</v>
          </cell>
          <cell r="BN146">
            <v>-1.6695890525997514E-2</v>
          </cell>
          <cell r="BO146">
            <v>1.2850158605271833E-2</v>
          </cell>
          <cell r="BP146">
            <v>-1.4039098629306634E-2</v>
          </cell>
          <cell r="BQ146">
            <v>2.6560300627918476E-2</v>
          </cell>
          <cell r="BR146">
            <v>1.3954614636644935E-2</v>
          </cell>
          <cell r="BS146">
            <v>2.0000000000000018E-2</v>
          </cell>
          <cell r="BT146">
            <v>2.0000000000000018E-2</v>
          </cell>
          <cell r="BU146">
            <v>2.0000000000000018E-2</v>
          </cell>
          <cell r="BV146">
            <v>2.0000000000000018E-2</v>
          </cell>
          <cell r="BW146">
            <v>2.0000000000000018E-2</v>
          </cell>
          <cell r="BX146">
            <v>2.0000000000000018E-2</v>
          </cell>
          <cell r="BY146">
            <v>2.0000000000000018E-2</v>
          </cell>
          <cell r="BZ146">
            <v>2.0000000000000018E-2</v>
          </cell>
          <cell r="CA146">
            <v>2.0000000000000018E-2</v>
          </cell>
          <cell r="CB146">
            <v>2.0000000000000018E-2</v>
          </cell>
        </row>
        <row r="147">
          <cell r="A147" t="str">
            <v xml:space="preserve">     Year-on-Year Growth % CER</v>
          </cell>
          <cell r="BA147">
            <v>1.4999999999999999E-2</v>
          </cell>
          <cell r="BC147">
            <v>-0.08</v>
          </cell>
          <cell r="BF147">
            <v>-0.03</v>
          </cell>
          <cell r="BL147">
            <v>0.03</v>
          </cell>
          <cell r="BM147">
            <v>0.03</v>
          </cell>
          <cell r="BO147">
            <v>0.03</v>
          </cell>
          <cell r="BR147">
            <v>0.03</v>
          </cell>
          <cell r="BS147">
            <v>0.02</v>
          </cell>
          <cell r="BT147">
            <v>0.02</v>
          </cell>
          <cell r="BU147">
            <v>0.02</v>
          </cell>
          <cell r="BV147">
            <v>0.02</v>
          </cell>
          <cell r="BW147">
            <v>0.02</v>
          </cell>
          <cell r="BX147">
            <v>0.02</v>
          </cell>
          <cell r="BY147">
            <v>0.02</v>
          </cell>
          <cell r="BZ147">
            <v>0.02</v>
          </cell>
          <cell r="CA147">
            <v>0.02</v>
          </cell>
          <cell r="CB147">
            <v>0.02</v>
          </cell>
        </row>
        <row r="148">
          <cell r="A148" t="str">
            <v>Royalties</v>
          </cell>
          <cell r="C148">
            <v>0.7</v>
          </cell>
          <cell r="D148">
            <v>0.7</v>
          </cell>
          <cell r="E148">
            <v>1.4</v>
          </cell>
          <cell r="F148">
            <v>0.7</v>
          </cell>
          <cell r="G148">
            <v>2.0999999999999996</v>
          </cell>
          <cell r="H148">
            <v>0.6</v>
          </cell>
          <cell r="I148">
            <v>2.6999999999999997</v>
          </cell>
          <cell r="J148">
            <v>1.7</v>
          </cell>
          <cell r="K148">
            <v>1.1000000000000001</v>
          </cell>
          <cell r="L148">
            <v>2.8</v>
          </cell>
          <cell r="M148">
            <v>2</v>
          </cell>
          <cell r="N148">
            <v>4.8</v>
          </cell>
          <cell r="O148">
            <v>1.5</v>
          </cell>
          <cell r="P148">
            <v>6.3</v>
          </cell>
          <cell r="Q148">
            <v>4.8</v>
          </cell>
          <cell r="R148">
            <v>2.5</v>
          </cell>
          <cell r="S148">
            <v>7.3</v>
          </cell>
          <cell r="T148">
            <v>2.1</v>
          </cell>
          <cell r="U148">
            <v>9.4</v>
          </cell>
          <cell r="V148">
            <v>3.9</v>
          </cell>
          <cell r="W148">
            <v>13.3</v>
          </cell>
          <cell r="X148">
            <v>3.3267091599999996</v>
          </cell>
          <cell r="Y148">
            <v>1.8670755000000001</v>
          </cell>
          <cell r="Z148">
            <v>5.1937846599999995</v>
          </cell>
          <cell r="AA148">
            <v>2.3426962999999992</v>
          </cell>
          <cell r="AB148">
            <v>7.5364809599999987</v>
          </cell>
          <cell r="AC148">
            <v>0.37038650999999878</v>
          </cell>
          <cell r="AD148">
            <v>7.9068674699999972</v>
          </cell>
          <cell r="AE148">
            <v>3.4912491699999997</v>
          </cell>
          <cell r="AF148">
            <v>0.97349120000000067</v>
          </cell>
          <cell r="AG148">
            <v>4.4647403700000003</v>
          </cell>
          <cell r="AH148">
            <v>1.1052548499999995</v>
          </cell>
          <cell r="AI148">
            <v>5.56999522</v>
          </cell>
          <cell r="AJ148">
            <v>2.1112221900000012</v>
          </cell>
          <cell r="AK148">
            <v>7.6812174100000012</v>
          </cell>
          <cell r="AL148">
            <v>0.7</v>
          </cell>
          <cell r="AM148">
            <v>0</v>
          </cell>
          <cell r="AN148">
            <v>0.7</v>
          </cell>
          <cell r="AO148">
            <v>1.5491155999999997</v>
          </cell>
          <cell r="AP148">
            <v>2.2491155999999997</v>
          </cell>
          <cell r="AQ148">
            <v>0.45088440000000052</v>
          </cell>
          <cell r="AR148">
            <v>2.7</v>
          </cell>
          <cell r="AS148">
            <v>-0.2</v>
          </cell>
          <cell r="AT148">
            <v>0.5</v>
          </cell>
          <cell r="AU148">
            <v>0.3</v>
          </cell>
          <cell r="AV148">
            <v>0.6</v>
          </cell>
          <cell r="AW148">
            <v>0.89999999999999991</v>
          </cell>
          <cell r="AX148">
            <v>0.5</v>
          </cell>
          <cell r="AY148">
            <v>1.4</v>
          </cell>
          <cell r="AZ148">
            <v>0.8</v>
          </cell>
          <cell r="BA148">
            <v>0.69999999999998863</v>
          </cell>
          <cell r="BB148">
            <v>1.4999999999999887</v>
          </cell>
          <cell r="BC148">
            <v>0.2</v>
          </cell>
          <cell r="BD148">
            <v>1.6999999999999886</v>
          </cell>
          <cell r="BE148">
            <v>0.60000000000001119</v>
          </cell>
          <cell r="BF148">
            <v>2.2999999999999998</v>
          </cell>
          <cell r="BL148">
            <v>0.78138722009830697</v>
          </cell>
          <cell r="BM148">
            <v>0.67951458219551053</v>
          </cell>
          <cell r="BN148">
            <v>1.4609018022938174</v>
          </cell>
          <cell r="BO148">
            <v>0.19582392135445115</v>
          </cell>
          <cell r="BP148">
            <v>1.6567257236482686</v>
          </cell>
          <cell r="BQ148">
            <v>0.59981168760241399</v>
          </cell>
          <cell r="BR148">
            <v>2.2565374112506826</v>
          </cell>
          <cell r="BS148">
            <v>2.2565374112506826</v>
          </cell>
          <cell r="BT148">
            <v>2.2565374112506826</v>
          </cell>
          <cell r="BU148">
            <v>2.2565374112506826</v>
          </cell>
          <cell r="BV148">
            <v>2.2565374112506826</v>
          </cell>
          <cell r="BW148">
            <v>2.2565374112506826</v>
          </cell>
          <cell r="BX148">
            <v>2.2565374112506826</v>
          </cell>
          <cell r="BY148">
            <v>2.2565374112506826</v>
          </cell>
          <cell r="BZ148">
            <v>2.2565374112506826</v>
          </cell>
          <cell r="CA148">
            <v>2.2565374112506826</v>
          </cell>
          <cell r="CB148">
            <v>2.2565374112506826</v>
          </cell>
        </row>
        <row r="149">
          <cell r="A149" t="str">
            <v xml:space="preserve">     Year-on-Year Growth %</v>
          </cell>
          <cell r="J149">
            <v>1.4285714285714288</v>
          </cell>
          <cell r="K149">
            <v>0.57142857142857162</v>
          </cell>
          <cell r="L149">
            <v>1</v>
          </cell>
          <cell r="M149">
            <v>1.8571428571428572</v>
          </cell>
          <cell r="N149">
            <v>1.285714285714286</v>
          </cell>
          <cell r="O149">
            <v>1.5</v>
          </cell>
          <cell r="P149">
            <v>1.3333333333333335</v>
          </cell>
          <cell r="Q149">
            <v>1.8235294117647061</v>
          </cell>
          <cell r="R149">
            <v>1.2727272727272725</v>
          </cell>
          <cell r="S149">
            <v>1.6071428571428572</v>
          </cell>
          <cell r="T149">
            <v>5.0000000000000044E-2</v>
          </cell>
          <cell r="U149">
            <v>0.95833333333333348</v>
          </cell>
          <cell r="V149">
            <v>1.6</v>
          </cell>
          <cell r="W149">
            <v>1.1111111111111112</v>
          </cell>
          <cell r="X149">
            <v>-0.30693559166666673</v>
          </cell>
          <cell r="Y149">
            <v>-0.2531698</v>
          </cell>
          <cell r="Z149">
            <v>-0.28852264931506855</v>
          </cell>
          <cell r="AA149">
            <v>0.11556966666666613</v>
          </cell>
          <cell r="AB149">
            <v>-0.19824670638297892</v>
          </cell>
          <cell r="AC149">
            <v>-0.90502910000000036</v>
          </cell>
          <cell r="AD149">
            <v>-0.4054986864661656</v>
          </cell>
          <cell r="AE149">
            <v>4.9460293066316607E-2</v>
          </cell>
          <cell r="AF149">
            <v>-0.47860105282298404</v>
          </cell>
          <cell r="AG149">
            <v>-0.1403686016508815</v>
          </cell>
          <cell r="AH149">
            <v>-0.52821249173441731</v>
          </cell>
          <cell r="AI149">
            <v>-0.26092890706380811</v>
          </cell>
          <cell r="AJ149">
            <v>4.7000515218548538</v>
          </cell>
          <cell r="AK149">
            <v>-2.8538490224624402E-2</v>
          </cell>
          <cell r="AL149">
            <v>-0.79949869920055006</v>
          </cell>
          <cell r="AM149">
            <v>0</v>
          </cell>
          <cell r="AN149">
            <v>-0.84321596733742443</v>
          </cell>
          <cell r="AO149">
            <v>0.40159131624710853</v>
          </cell>
          <cell r="AP149">
            <v>-0.59620870195288966</v>
          </cell>
          <cell r="AQ149">
            <v>-0.78643441598157882</v>
          </cell>
          <cell r="AR149">
            <v>-0.64849321977465024</v>
          </cell>
          <cell r="AS149">
            <v>-1.2857142857142858</v>
          </cell>
          <cell r="AT149" t="str">
            <v>nm</v>
          </cell>
          <cell r="AU149">
            <v>-0.5714285714285714</v>
          </cell>
          <cell r="AV149">
            <v>-0.61268222978323883</v>
          </cell>
          <cell r="AW149">
            <v>-0.59984271150847024</v>
          </cell>
          <cell r="AX149">
            <v>0.10893169069499731</v>
          </cell>
          <cell r="AY149">
            <v>-0.48148148148148151</v>
          </cell>
          <cell r="AZ149" t="str">
            <v>nm</v>
          </cell>
          <cell r="BA149">
            <v>0.39999999999997726</v>
          </cell>
          <cell r="BB149">
            <v>3.9999999999999627</v>
          </cell>
          <cell r="BC149">
            <v>-0.66666666666666663</v>
          </cell>
          <cell r="BD149">
            <v>0.88888888888887641</v>
          </cell>
          <cell r="BE149">
            <v>0.20000000000002238</v>
          </cell>
          <cell r="BF149">
            <v>0.64285714285714279</v>
          </cell>
          <cell r="BL149">
            <v>0</v>
          </cell>
          <cell r="BM149">
            <v>0</v>
          </cell>
          <cell r="BN149">
            <v>-2.6065465137447674E-2</v>
          </cell>
          <cell r="BO149">
            <v>0</v>
          </cell>
          <cell r="BP149">
            <v>-2.5455456677482502E-2</v>
          </cell>
          <cell r="BQ149">
            <v>-3.1385399599537234E-4</v>
          </cell>
          <cell r="BR149">
            <v>0</v>
          </cell>
          <cell r="BS149">
            <v>0</v>
          </cell>
          <cell r="BT149">
            <v>0</v>
          </cell>
          <cell r="BU149">
            <v>0</v>
          </cell>
          <cell r="BV149">
            <v>0</v>
          </cell>
          <cell r="BW149">
            <v>0</v>
          </cell>
          <cell r="BX149">
            <v>0</v>
          </cell>
          <cell r="BY149">
            <v>0</v>
          </cell>
          <cell r="BZ149">
            <v>0</v>
          </cell>
          <cell r="CA149">
            <v>0</v>
          </cell>
          <cell r="CB149">
            <v>0</v>
          </cell>
        </row>
        <row r="150">
          <cell r="A150" t="str">
            <v>Total LCD Revenue</v>
          </cell>
          <cell r="C150">
            <v>233.89999999999998</v>
          </cell>
          <cell r="D150">
            <v>199.1</v>
          </cell>
          <cell r="E150">
            <v>433</v>
          </cell>
          <cell r="F150">
            <v>208.2</v>
          </cell>
          <cell r="G150">
            <v>641.20000000000005</v>
          </cell>
          <cell r="H150">
            <v>254</v>
          </cell>
          <cell r="I150">
            <v>895.2</v>
          </cell>
          <cell r="J150">
            <v>206.5</v>
          </cell>
          <cell r="K150">
            <v>222.4</v>
          </cell>
          <cell r="L150">
            <v>428.90000000000003</v>
          </cell>
          <cell r="M150">
            <v>238.4</v>
          </cell>
          <cell r="N150">
            <v>667.3</v>
          </cell>
          <cell r="O150">
            <v>248.4</v>
          </cell>
          <cell r="P150">
            <v>915.69999999999993</v>
          </cell>
          <cell r="Q150">
            <v>233.9</v>
          </cell>
          <cell r="R150">
            <v>238</v>
          </cell>
          <cell r="S150">
            <v>471.90000000000003</v>
          </cell>
          <cell r="T150">
            <v>238.7</v>
          </cell>
          <cell r="U150">
            <v>710.6</v>
          </cell>
          <cell r="V150">
            <v>167.4</v>
          </cell>
          <cell r="W150">
            <v>878</v>
          </cell>
          <cell r="X150">
            <v>131.24737668</v>
          </cell>
          <cell r="Y150">
            <v>189.00041898000001</v>
          </cell>
          <cell r="Z150">
            <v>320.24779566000001</v>
          </cell>
          <cell r="AA150">
            <v>211.23713097000001</v>
          </cell>
          <cell r="AB150">
            <v>531.4849266299999</v>
          </cell>
          <cell r="AC150">
            <v>201.14669620999999</v>
          </cell>
          <cell r="AD150">
            <v>732.63162283999986</v>
          </cell>
          <cell r="AE150">
            <v>238.94034576999999</v>
          </cell>
          <cell r="AF150">
            <v>283.70481532000002</v>
          </cell>
          <cell r="AG150">
            <v>522.64516108999999</v>
          </cell>
          <cell r="AH150">
            <v>255.38297788</v>
          </cell>
          <cell r="AI150">
            <v>778.0281389700001</v>
          </cell>
          <cell r="AJ150">
            <v>235.20567384</v>
          </cell>
          <cell r="AK150">
            <v>1013.2338128100001</v>
          </cell>
          <cell r="AL150">
            <v>301.7</v>
          </cell>
          <cell r="AM150">
            <v>272.89999999999998</v>
          </cell>
          <cell r="AN150">
            <v>574.6</v>
          </cell>
          <cell r="AO150">
            <v>259.05930636999994</v>
          </cell>
          <cell r="AP150">
            <v>833.65930636999985</v>
          </cell>
          <cell r="AQ150">
            <v>263.14069363000004</v>
          </cell>
          <cell r="AR150">
            <v>1096.8</v>
          </cell>
          <cell r="AS150">
            <v>289.59999999999997</v>
          </cell>
          <cell r="AT150">
            <v>320.07500000000005</v>
          </cell>
          <cell r="AU150">
            <v>609.67499999999995</v>
          </cell>
          <cell r="AV150">
            <v>335.1</v>
          </cell>
          <cell r="AW150">
            <v>944.77499999999998</v>
          </cell>
          <cell r="AX150">
            <v>295.53300000000013</v>
          </cell>
          <cell r="AY150">
            <v>1240.3080000000002</v>
          </cell>
          <cell r="AZ150">
            <v>325.20100000000002</v>
          </cell>
          <cell r="BA150">
            <v>321.86950000000002</v>
          </cell>
          <cell r="BB150">
            <v>647.07050000000004</v>
          </cell>
          <cell r="BC150">
            <v>298.97749999999996</v>
          </cell>
          <cell r="BD150">
            <v>946.048</v>
          </cell>
          <cell r="BE150">
            <v>263.19549999999992</v>
          </cell>
          <cell r="BF150">
            <v>1209.2434999999998</v>
          </cell>
          <cell r="BL150">
            <v>321.15336066012577</v>
          </cell>
          <cell r="BM150">
            <v>315.0996667473546</v>
          </cell>
          <cell r="BN150">
            <v>636.25302740748043</v>
          </cell>
          <cell r="BO150">
            <v>296.49390360377947</v>
          </cell>
          <cell r="BP150">
            <v>932.74693101125979</v>
          </cell>
          <cell r="BQ150">
            <v>270.16992711114091</v>
          </cell>
          <cell r="BR150">
            <v>1202.9168581224008</v>
          </cell>
          <cell r="BS150">
            <v>1226.9300645366238</v>
          </cell>
          <cell r="BT150">
            <v>1251.4235350791314</v>
          </cell>
          <cell r="BU150">
            <v>1276.4068750324891</v>
          </cell>
          <cell r="BV150">
            <v>1301.889881784914</v>
          </cell>
          <cell r="BW150">
            <v>1327.8825486723872</v>
          </cell>
          <cell r="BX150">
            <v>1354.3950688976099</v>
          </cell>
          <cell r="BY150">
            <v>1381.437839527337</v>
          </cell>
          <cell r="BZ150">
            <v>1409.0214655696589</v>
          </cell>
          <cell r="CA150">
            <v>1437.156764132827</v>
          </cell>
          <cell r="CB150">
            <v>1465.8547686672584</v>
          </cell>
        </row>
        <row r="153">
          <cell r="A153" t="str">
            <v>Performance &amp; Life Science Chemicals</v>
          </cell>
        </row>
        <row r="154">
          <cell r="A154" t="str">
            <v>Sales</v>
          </cell>
          <cell r="C154">
            <v>326.89999999999998</v>
          </cell>
          <cell r="D154">
            <v>304.7</v>
          </cell>
          <cell r="E154">
            <v>631.59999999999991</v>
          </cell>
          <cell r="F154">
            <v>288.8</v>
          </cell>
          <cell r="G154">
            <v>920.39999999999986</v>
          </cell>
          <cell r="H154">
            <v>293</v>
          </cell>
          <cell r="I154">
            <v>1213.3999999999999</v>
          </cell>
          <cell r="J154">
            <v>322</v>
          </cell>
          <cell r="K154">
            <v>315.39999999999998</v>
          </cell>
          <cell r="L154">
            <v>637.4</v>
          </cell>
          <cell r="M154">
            <v>299.3</v>
          </cell>
          <cell r="N154">
            <v>936.7</v>
          </cell>
          <cell r="O154">
            <v>294.60000000000002</v>
          </cell>
          <cell r="P154">
            <v>1231.3000000000002</v>
          </cell>
          <cell r="Q154">
            <v>323.60000000000002</v>
          </cell>
          <cell r="R154">
            <v>319.8</v>
          </cell>
          <cell r="S154">
            <v>643.40000000000009</v>
          </cell>
          <cell r="T154">
            <v>300.39999999999998</v>
          </cell>
          <cell r="U154">
            <v>943.80000000000007</v>
          </cell>
          <cell r="V154">
            <v>297</v>
          </cell>
          <cell r="W154">
            <v>1240.8000000000002</v>
          </cell>
          <cell r="X154">
            <v>302.89999999999998</v>
          </cell>
          <cell r="Y154">
            <v>295.3</v>
          </cell>
          <cell r="Z154">
            <v>598.20000000000005</v>
          </cell>
          <cell r="AA154">
            <v>294.7</v>
          </cell>
          <cell r="AB154">
            <v>892.90000000000009</v>
          </cell>
          <cell r="AC154">
            <v>301</v>
          </cell>
          <cell r="AD154">
            <v>1193.9000000000001</v>
          </cell>
          <cell r="AE154">
            <v>344.2</v>
          </cell>
          <cell r="AF154">
            <v>357.6</v>
          </cell>
          <cell r="AG154">
            <v>701.8</v>
          </cell>
        </row>
        <row r="155">
          <cell r="A155" t="str">
            <v xml:space="preserve">     Year-on-Year Growth %</v>
          </cell>
          <cell r="J155">
            <v>-1.4989293361884259E-2</v>
          </cell>
          <cell r="K155">
            <v>3.511650804069566E-2</v>
          </cell>
          <cell r="L155">
            <v>9.183027232425589E-3</v>
          </cell>
          <cell r="M155">
            <v>3.6357340720221565E-2</v>
          </cell>
          <cell r="N155">
            <v>1.7709691438505093E-2</v>
          </cell>
          <cell r="O155">
            <v>5.4607508532424909E-3</v>
          </cell>
          <cell r="P155">
            <v>1.4751936706774549E-2</v>
          </cell>
          <cell r="Q155">
            <v>4.9689440993789802E-3</v>
          </cell>
          <cell r="R155">
            <v>1.3950538998097839E-2</v>
          </cell>
          <cell r="S155">
            <v>9.4132412927518949E-3</v>
          </cell>
          <cell r="T155">
            <v>3.6752422318742095E-3</v>
          </cell>
          <cell r="U155">
            <v>7.579801430554145E-3</v>
          </cell>
          <cell r="V155">
            <v>8.1466395112015366E-3</v>
          </cell>
          <cell r="W155">
            <v>7.7154227239502049E-3</v>
          </cell>
          <cell r="X155">
            <v>-6.3967861557478467E-2</v>
          </cell>
          <cell r="Y155">
            <v>-7.6610381488430246E-2</v>
          </cell>
          <cell r="Z155">
            <v>-7.0251787379546182E-2</v>
          </cell>
          <cell r="AA155">
            <v>-1.8974700399467359E-2</v>
          </cell>
          <cell r="AB155">
            <v>-5.3930917567281189E-2</v>
          </cell>
          <cell r="AC155">
            <v>1.3468013468013407E-2</v>
          </cell>
          <cell r="AD155">
            <v>-3.7798194713088429E-2</v>
          </cell>
          <cell r="AE155">
            <v>0.13634862991086161</v>
          </cell>
          <cell r="AF155">
            <v>0.2109718929901796</v>
          </cell>
          <cell r="AG155">
            <v>0.17318622534269457</v>
          </cell>
        </row>
        <row r="156">
          <cell r="A156" t="str">
            <v>Royalties</v>
          </cell>
          <cell r="C156">
            <v>1</v>
          </cell>
          <cell r="D156">
            <v>1.1000000000000001</v>
          </cell>
          <cell r="E156">
            <v>2.1</v>
          </cell>
          <cell r="F156">
            <v>0.6</v>
          </cell>
          <cell r="G156">
            <v>2.7</v>
          </cell>
          <cell r="H156">
            <v>0.6</v>
          </cell>
          <cell r="I156">
            <v>3.3000000000000003</v>
          </cell>
          <cell r="J156">
            <v>0.8</v>
          </cell>
          <cell r="K156">
            <v>0.6</v>
          </cell>
          <cell r="L156">
            <v>1.4</v>
          </cell>
          <cell r="M156">
            <v>1.4</v>
          </cell>
          <cell r="N156">
            <v>2.8</v>
          </cell>
          <cell r="O156">
            <v>0.6</v>
          </cell>
          <cell r="P156">
            <v>3.4</v>
          </cell>
          <cell r="Q156">
            <v>2.2000000000000002</v>
          </cell>
          <cell r="R156">
            <v>2.2999999999999998</v>
          </cell>
          <cell r="S156">
            <v>4.5</v>
          </cell>
          <cell r="T156">
            <v>2.4</v>
          </cell>
          <cell r="U156">
            <v>6.9</v>
          </cell>
          <cell r="V156">
            <v>1.7</v>
          </cell>
          <cell r="W156">
            <v>8.6</v>
          </cell>
          <cell r="X156">
            <v>1.9535450000000001</v>
          </cell>
          <cell r="Y156">
            <v>2.2454968300000004</v>
          </cell>
          <cell r="Z156">
            <v>4.1990418300000005</v>
          </cell>
          <cell r="AA156">
            <v>2.4419557199999993</v>
          </cell>
          <cell r="AB156">
            <v>6.6409975499999998</v>
          </cell>
          <cell r="AC156">
            <v>1.5027477799999998</v>
          </cell>
          <cell r="AD156">
            <v>8.1437453299999998</v>
          </cell>
          <cell r="AE156">
            <v>1.4082320399999997</v>
          </cell>
          <cell r="AF156">
            <v>2.2970682800000004</v>
          </cell>
          <cell r="AG156">
            <v>3.7053003200000001</v>
          </cell>
        </row>
        <row r="157">
          <cell r="A157" t="str">
            <v xml:space="preserve">     Year-on-Year Growth %</v>
          </cell>
          <cell r="J157">
            <v>-0.19999999999999996</v>
          </cell>
          <cell r="K157">
            <v>-0.45454545454545459</v>
          </cell>
          <cell r="L157">
            <v>-0.33333333333333337</v>
          </cell>
          <cell r="M157">
            <v>1.3333333333333335</v>
          </cell>
          <cell r="N157">
            <v>3.7037037037036979E-2</v>
          </cell>
          <cell r="O157">
            <v>0</v>
          </cell>
          <cell r="P157">
            <v>3.0303030303030276E-2</v>
          </cell>
          <cell r="Q157">
            <v>1.75</v>
          </cell>
          <cell r="R157">
            <v>2.833333333333333</v>
          </cell>
          <cell r="S157">
            <v>2.2142857142857144</v>
          </cell>
          <cell r="T157">
            <v>0.71428571428571441</v>
          </cell>
          <cell r="U157">
            <v>1.4642857142857144</v>
          </cell>
          <cell r="V157">
            <v>1.8333333333333335</v>
          </cell>
          <cell r="W157">
            <v>1.5294117647058822</v>
          </cell>
          <cell r="X157">
            <v>-0.11202500000000004</v>
          </cell>
          <cell r="Y157">
            <v>-2.3697030434782329E-2</v>
          </cell>
          <cell r="Z157">
            <v>-6.6879593333333265E-2</v>
          </cell>
          <cell r="AA157">
            <v>1.7481549999999846E-2</v>
          </cell>
          <cell r="AB157">
            <v>-3.7536586956521845E-2</v>
          </cell>
          <cell r="AC157">
            <v>-0.11603071764705897</v>
          </cell>
          <cell r="AD157">
            <v>-5.3052868604651193E-2</v>
          </cell>
          <cell r="AE157">
            <v>-0.27914020920941185</v>
          </cell>
          <cell r="AF157">
            <v>2.2966610021889933E-2</v>
          </cell>
          <cell r="AG157">
            <v>-0.1175843275655104</v>
          </cell>
        </row>
        <row r="158">
          <cell r="A158" t="str">
            <v>Total Performance &amp; Life Science Chemicals Revenue</v>
          </cell>
          <cell r="C158">
            <v>327.9</v>
          </cell>
          <cell r="D158">
            <v>305.8</v>
          </cell>
          <cell r="E158">
            <v>633.69999999999993</v>
          </cell>
          <cell r="F158">
            <v>289.40000000000003</v>
          </cell>
          <cell r="G158">
            <v>923.09999999999991</v>
          </cell>
          <cell r="H158">
            <v>293.60000000000002</v>
          </cell>
          <cell r="I158">
            <v>1216.6999999999998</v>
          </cell>
          <cell r="J158">
            <v>322.8</v>
          </cell>
          <cell r="K158">
            <v>316</v>
          </cell>
          <cell r="L158">
            <v>638.79999999999995</v>
          </cell>
          <cell r="M158">
            <v>300.7</v>
          </cell>
          <cell r="N158">
            <v>939.5</v>
          </cell>
          <cell r="O158">
            <v>295.20000000000005</v>
          </cell>
          <cell r="P158">
            <v>1234.7000000000003</v>
          </cell>
          <cell r="Q158">
            <v>325.8</v>
          </cell>
          <cell r="R158">
            <v>322.10000000000002</v>
          </cell>
          <cell r="S158">
            <v>647.90000000000009</v>
          </cell>
          <cell r="T158">
            <v>302.79999999999995</v>
          </cell>
          <cell r="U158">
            <v>950.7</v>
          </cell>
          <cell r="V158">
            <v>298.7</v>
          </cell>
          <cell r="W158">
            <v>1249.4000000000001</v>
          </cell>
          <cell r="X158">
            <v>304.853545</v>
          </cell>
          <cell r="Y158">
            <v>297.54549682999999</v>
          </cell>
          <cell r="Z158">
            <v>602.3990418300001</v>
          </cell>
          <cell r="AA158">
            <v>297.14195572</v>
          </cell>
          <cell r="AB158">
            <v>899.54099755000004</v>
          </cell>
          <cell r="AC158">
            <v>302.50274777999999</v>
          </cell>
          <cell r="AD158">
            <v>1202.0437453300001</v>
          </cell>
          <cell r="AE158">
            <v>345.60823203999996</v>
          </cell>
          <cell r="AF158">
            <v>359.89706828000004</v>
          </cell>
          <cell r="AG158">
            <v>705.50530031999995</v>
          </cell>
        </row>
        <row r="161">
          <cell r="A161" t="str">
            <v>Pigments</v>
          </cell>
          <cell r="CE161" t="str">
            <v>Earlier was part of performance and life science chemical division.</v>
          </cell>
        </row>
        <row r="162">
          <cell r="A162" t="str">
            <v>Sales</v>
          </cell>
          <cell r="X162">
            <v>65.634696489999982</v>
          </cell>
          <cell r="Y162">
            <v>68.101384929999966</v>
          </cell>
          <cell r="Z162">
            <v>133.73608141999995</v>
          </cell>
          <cell r="AA162">
            <v>70.584053020000113</v>
          </cell>
          <cell r="AB162">
            <v>204.32013444000006</v>
          </cell>
          <cell r="AC162">
            <v>68.749792269999801</v>
          </cell>
          <cell r="AD162">
            <v>273.06992670999989</v>
          </cell>
          <cell r="AE162">
            <v>115.95090339999999</v>
          </cell>
          <cell r="AF162">
            <v>115.56867588</v>
          </cell>
          <cell r="AG162">
            <v>231.51957927999999</v>
          </cell>
          <cell r="AH162">
            <v>105.02227697000001</v>
          </cell>
          <cell r="AI162">
            <v>336.54185625000002</v>
          </cell>
          <cell r="AJ162">
            <v>102.70554835000002</v>
          </cell>
          <cell r="AK162">
            <v>439.24740460000004</v>
          </cell>
          <cell r="AL162">
            <v>107</v>
          </cell>
          <cell r="AM162">
            <v>100.6</v>
          </cell>
          <cell r="AN162">
            <v>207.6</v>
          </cell>
          <cell r="AO162">
            <v>82.619582660000049</v>
          </cell>
          <cell r="AP162">
            <v>290.21958266000001</v>
          </cell>
          <cell r="AQ162">
            <v>80.380417340000122</v>
          </cell>
          <cell r="AR162">
            <v>370.60000000000014</v>
          </cell>
          <cell r="AS162">
            <v>96.600000000000023</v>
          </cell>
          <cell r="AT162">
            <v>106.52499999999998</v>
          </cell>
          <cell r="AU162">
            <v>203.125</v>
          </cell>
          <cell r="AV162">
            <v>111.5</v>
          </cell>
          <cell r="AW162">
            <v>314.625</v>
          </cell>
          <cell r="AX162">
            <v>120.66699999999992</v>
          </cell>
          <cell r="AY162">
            <v>435.29199999999992</v>
          </cell>
          <cell r="AZ162">
            <v>96.899000000000001</v>
          </cell>
          <cell r="BA162">
            <v>109.93049999999999</v>
          </cell>
          <cell r="BB162">
            <v>206.8295</v>
          </cell>
          <cell r="BC162">
            <v>107.72250000000003</v>
          </cell>
          <cell r="BD162">
            <v>314.55200000000002</v>
          </cell>
          <cell r="BE162">
            <v>120.60450000000003</v>
          </cell>
          <cell r="BF162">
            <v>435.15650000000005</v>
          </cell>
          <cell r="BL162">
            <v>97.572233718514468</v>
          </cell>
          <cell r="BM162">
            <v>110.3243151192616</v>
          </cell>
          <cell r="BN162">
            <v>207.89654883777607</v>
          </cell>
          <cell r="BO162">
            <v>108.61509934253415</v>
          </cell>
          <cell r="BP162">
            <v>316.5116481803102</v>
          </cell>
          <cell r="BQ162">
            <v>122.73484759855381</v>
          </cell>
          <cell r="BR162">
            <v>439.24649577886402</v>
          </cell>
          <cell r="BS162">
            <v>448.03142569444128</v>
          </cell>
          <cell r="BT162">
            <v>456.9920542083301</v>
          </cell>
          <cell r="BU162">
            <v>466.13189529249672</v>
          </cell>
          <cell r="BV162">
            <v>475.45453319834667</v>
          </cell>
          <cell r="BW162">
            <v>484.96362386231363</v>
          </cell>
          <cell r="BX162">
            <v>494.66289633955989</v>
          </cell>
          <cell r="BY162">
            <v>504.55615426635109</v>
          </cell>
          <cell r="BZ162">
            <v>514.6472773516781</v>
          </cell>
          <cell r="CA162">
            <v>524.94022289871168</v>
          </cell>
          <cell r="CB162">
            <v>535.43902735668587</v>
          </cell>
        </row>
        <row r="163">
          <cell r="A163" t="str">
            <v xml:space="preserve">     Year-on-Year Growth % reported</v>
          </cell>
          <cell r="AE163">
            <v>0.766609881675405</v>
          </cell>
          <cell r="AF163">
            <v>0.69700918709348869</v>
          </cell>
          <cell r="AG163">
            <v>0.73116766112586817</v>
          </cell>
          <cell r="AH163">
            <v>0.48790374704385098</v>
          </cell>
          <cell r="AI163">
            <v>0.64713016253827749</v>
          </cell>
          <cell r="AJ163">
            <v>0.4939033989607764</v>
          </cell>
          <cell r="AK163">
            <v>0.60855283440450236</v>
          </cell>
          <cell r="AL163">
            <v>-7.7195633130358043E-2</v>
          </cell>
          <cell r="AM163">
            <v>0.03</v>
          </cell>
          <cell r="AN163">
            <v>-0.10331557855446705</v>
          </cell>
          <cell r="AO163">
            <v>-0.21331373644088258</v>
          </cell>
          <cell r="AP163">
            <v>-0.13764193882495712</v>
          </cell>
          <cell r="AQ163">
            <v>-0.21737025281166211</v>
          </cell>
          <cell r="AR163">
            <v>-0.15628414392684586</v>
          </cell>
          <cell r="AS163">
            <v>-9.7196261682242824E-2</v>
          </cell>
          <cell r="AT163">
            <v>5.889662027832987E-2</v>
          </cell>
          <cell r="AU163">
            <v>-2.1555876685934505E-2</v>
          </cell>
          <cell r="AV163">
            <v>0.34955898359896098</v>
          </cell>
          <cell r="AW163">
            <v>8.4092937893138542E-2</v>
          </cell>
          <cell r="AX163">
            <v>0.50119897349614506</v>
          </cell>
          <cell r="AY163">
            <v>0.17456017269292978</v>
          </cell>
          <cell r="AZ163">
            <v>3.0952380952378178E-3</v>
          </cell>
          <cell r="BA163">
            <v>3.1969021356489158E-2</v>
          </cell>
          <cell r="BB163">
            <v>1.8237538461538527E-2</v>
          </cell>
          <cell r="BC163">
            <v>-3.3878923766815894E-2</v>
          </cell>
          <cell r="BD163">
            <v>-2.3202224870866317E-4</v>
          </cell>
          <cell r="BE163">
            <v>-5.1795437029089619E-4</v>
          </cell>
          <cell r="BF163">
            <v>-3.1128529814439254E-4</v>
          </cell>
          <cell r="BL163">
            <v>6.9477880939377012E-3</v>
          </cell>
          <cell r="BM163">
            <v>3.5824008738394308E-3</v>
          </cell>
          <cell r="BN163">
            <v>5.1590746860388226E-3</v>
          </cell>
          <cell r="BO163">
            <v>8.2860993992353027E-3</v>
          </cell>
          <cell r="BP163">
            <v>6.2299657300228795E-3</v>
          </cell>
          <cell r="BQ163">
            <v>1.7663914684392212E-2</v>
          </cell>
          <cell r="BR163">
            <v>9.3989077007099464E-3</v>
          </cell>
          <cell r="BS163">
            <v>2.0000000000000018E-2</v>
          </cell>
          <cell r="BT163">
            <v>2.0000000000000018E-2</v>
          </cell>
          <cell r="BU163">
            <v>2.0000000000000018E-2</v>
          </cell>
          <cell r="BV163">
            <v>2.0000000000000018E-2</v>
          </cell>
          <cell r="BW163">
            <v>2.0000000000000018E-2</v>
          </cell>
          <cell r="BX163">
            <v>2.0000000000000018E-2</v>
          </cell>
          <cell r="BY163">
            <v>2.0000000000000018E-2</v>
          </cell>
          <cell r="BZ163">
            <v>2.0000000000000018E-2</v>
          </cell>
          <cell r="CA163">
            <v>2.0000000000000018E-2</v>
          </cell>
          <cell r="CB163">
            <v>2.0000000000000018E-2</v>
          </cell>
        </row>
        <row r="164">
          <cell r="A164" t="str">
            <v xml:space="preserve">     Year-on-Year Growth % CER</v>
          </cell>
          <cell r="BL164">
            <v>0.02</v>
          </cell>
          <cell r="BM164">
            <v>0.02</v>
          </cell>
          <cell r="BO164">
            <v>0.02</v>
          </cell>
          <cell r="BR164">
            <v>0.02</v>
          </cell>
          <cell r="BS164">
            <v>0.02</v>
          </cell>
          <cell r="BT164">
            <v>0.02</v>
          </cell>
          <cell r="BU164">
            <v>0.02</v>
          </cell>
          <cell r="BV164">
            <v>0.02</v>
          </cell>
          <cell r="BW164">
            <v>0.02</v>
          </cell>
          <cell r="BX164">
            <v>0.02</v>
          </cell>
          <cell r="BY164">
            <v>0.02</v>
          </cell>
          <cell r="BZ164">
            <v>0.02</v>
          </cell>
          <cell r="CA164">
            <v>0.02</v>
          </cell>
          <cell r="CB164">
            <v>0.02</v>
          </cell>
        </row>
        <row r="165">
          <cell r="A165" t="str">
            <v>Royalties</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row>
        <row r="166">
          <cell r="AE166" t="str">
            <v>nm</v>
          </cell>
          <cell r="AF166" t="str">
            <v>nm</v>
          </cell>
          <cell r="AG166" t="str">
            <v>nm</v>
          </cell>
          <cell r="AH166" t="str">
            <v>nm</v>
          </cell>
          <cell r="AI166" t="str">
            <v>nm</v>
          </cell>
          <cell r="AJ166" t="str">
            <v>nm</v>
          </cell>
          <cell r="AK166" t="str">
            <v>nm</v>
          </cell>
          <cell r="AL166" t="str">
            <v>nm</v>
          </cell>
          <cell r="AM166" t="str">
            <v>nm</v>
          </cell>
          <cell r="AN166" t="str">
            <v>nm</v>
          </cell>
          <cell r="AO166" t="str">
            <v>nm</v>
          </cell>
          <cell r="AP166" t="str">
            <v>nm</v>
          </cell>
          <cell r="AQ166" t="str">
            <v>nm</v>
          </cell>
          <cell r="AR166" t="str">
            <v>nm</v>
          </cell>
          <cell r="AS166" t="str">
            <v>nm</v>
          </cell>
          <cell r="AT166" t="str">
            <v>nm</v>
          </cell>
          <cell r="AU166" t="str">
            <v>nm</v>
          </cell>
          <cell r="AV166" t="str">
            <v>nm</v>
          </cell>
          <cell r="AW166" t="str">
            <v>nm</v>
          </cell>
          <cell r="AX166" t="str">
            <v>nm</v>
          </cell>
          <cell r="AY166" t="str">
            <v>nm</v>
          </cell>
          <cell r="AZ166" t="str">
            <v>nm</v>
          </cell>
          <cell r="BA166" t="str">
            <v>nm</v>
          </cell>
          <cell r="BB166" t="str">
            <v>nm</v>
          </cell>
          <cell r="BC166" t="str">
            <v>nm</v>
          </cell>
          <cell r="BD166" t="str">
            <v>nm</v>
          </cell>
          <cell r="BE166" t="str">
            <v>nm</v>
          </cell>
          <cell r="BF166" t="str">
            <v>nm</v>
          </cell>
          <cell r="BL166" t="str">
            <v>nm</v>
          </cell>
          <cell r="BM166" t="str">
            <v>nm</v>
          </cell>
          <cell r="BN166" t="str">
            <v>nm</v>
          </cell>
          <cell r="BO166" t="str">
            <v>nm</v>
          </cell>
          <cell r="BP166" t="str">
            <v>nm</v>
          </cell>
          <cell r="BQ166" t="str">
            <v>nm</v>
          </cell>
          <cell r="BR166" t="str">
            <v>nm</v>
          </cell>
          <cell r="BS166" t="str">
            <v>nm</v>
          </cell>
          <cell r="BT166" t="str">
            <v>nm</v>
          </cell>
          <cell r="BU166" t="str">
            <v>nm</v>
          </cell>
          <cell r="BV166" t="str">
            <v>nm</v>
          </cell>
          <cell r="BW166" t="str">
            <v>nm</v>
          </cell>
          <cell r="BX166" t="str">
            <v>nm</v>
          </cell>
          <cell r="BY166" t="str">
            <v>nm</v>
          </cell>
          <cell r="BZ166" t="str">
            <v>nm</v>
          </cell>
          <cell r="CA166" t="str">
            <v>nm</v>
          </cell>
          <cell r="CB166" t="str">
            <v>nm</v>
          </cell>
        </row>
        <row r="167">
          <cell r="A167" t="str">
            <v>Total Pigments</v>
          </cell>
          <cell r="X167">
            <v>65.634696489999982</v>
          </cell>
          <cell r="Y167">
            <v>68.101384929999966</v>
          </cell>
          <cell r="Z167">
            <v>133.73608141999995</v>
          </cell>
          <cell r="AA167">
            <v>70.584053020000113</v>
          </cell>
          <cell r="AB167">
            <v>204.32013444000006</v>
          </cell>
          <cell r="AC167">
            <v>68.749792269999801</v>
          </cell>
          <cell r="AD167">
            <v>273.06992670999989</v>
          </cell>
          <cell r="AE167">
            <v>115.95090339999999</v>
          </cell>
          <cell r="AF167">
            <v>115.56867588</v>
          </cell>
          <cell r="AG167">
            <v>231.51957927999999</v>
          </cell>
          <cell r="AH167">
            <v>105.02227697000001</v>
          </cell>
          <cell r="AI167">
            <v>336.54185625000002</v>
          </cell>
          <cell r="AJ167">
            <v>102.70554835000002</v>
          </cell>
          <cell r="AK167">
            <v>439.24740460000004</v>
          </cell>
          <cell r="AL167">
            <v>107</v>
          </cell>
          <cell r="AM167">
            <v>100.6</v>
          </cell>
          <cell r="AN167">
            <v>207.6</v>
          </cell>
          <cell r="AO167">
            <v>82.619582660000049</v>
          </cell>
          <cell r="AP167">
            <v>290.21958266000001</v>
          </cell>
          <cell r="AQ167">
            <v>80.380417340000122</v>
          </cell>
          <cell r="AR167">
            <v>370.60000000000014</v>
          </cell>
          <cell r="AS167">
            <v>96.600000000000023</v>
          </cell>
          <cell r="AT167">
            <v>106.52499999999998</v>
          </cell>
          <cell r="AU167">
            <v>203.125</v>
          </cell>
          <cell r="AV167">
            <v>111.5</v>
          </cell>
          <cell r="AW167">
            <v>314.625</v>
          </cell>
          <cell r="AX167">
            <v>120.66699999999992</v>
          </cell>
          <cell r="AY167">
            <v>435.29199999999992</v>
          </cell>
          <cell r="AZ167">
            <v>96.899000000000001</v>
          </cell>
          <cell r="BA167">
            <v>109.93049999999999</v>
          </cell>
          <cell r="BB167">
            <v>206.8295</v>
          </cell>
          <cell r="BC167">
            <v>107.72250000000003</v>
          </cell>
          <cell r="BD167">
            <v>314.55200000000002</v>
          </cell>
          <cell r="BE167">
            <v>120.60450000000003</v>
          </cell>
          <cell r="BF167">
            <v>435.15650000000005</v>
          </cell>
          <cell r="BL167">
            <v>97.572233718514468</v>
          </cell>
          <cell r="BM167">
            <v>110.3243151192616</v>
          </cell>
          <cell r="BN167">
            <v>207.89654883777607</v>
          </cell>
          <cell r="BO167">
            <v>108.61509934253415</v>
          </cell>
          <cell r="BP167">
            <v>316.5116481803102</v>
          </cell>
          <cell r="BQ167">
            <v>122.73484759855381</v>
          </cell>
          <cell r="BR167">
            <v>439.24649577886402</v>
          </cell>
          <cell r="BS167">
            <v>448.03142569444128</v>
          </cell>
          <cell r="BT167">
            <v>456.9920542083301</v>
          </cell>
          <cell r="BU167">
            <v>466.13189529249672</v>
          </cell>
          <cell r="BV167">
            <v>475.45453319834667</v>
          </cell>
          <cell r="BW167">
            <v>484.96362386231363</v>
          </cell>
          <cell r="BX167">
            <v>494.66289633955989</v>
          </cell>
          <cell r="BY167">
            <v>504.55615426635109</v>
          </cell>
          <cell r="BZ167">
            <v>514.6472773516781</v>
          </cell>
          <cell r="CA167">
            <v>524.94022289871168</v>
          </cell>
          <cell r="CB167">
            <v>535.43902735668587</v>
          </cell>
        </row>
        <row r="168">
          <cell r="AL168">
            <v>-7.7195633130358043E-2</v>
          </cell>
          <cell r="AM168">
            <v>-0.12952191211001363</v>
          </cell>
          <cell r="AN168">
            <v>-0.10331557855446705</v>
          </cell>
          <cell r="AO168">
            <v>-0.21331373644088258</v>
          </cell>
          <cell r="AP168">
            <v>-0.13764193882495712</v>
          </cell>
          <cell r="AQ168">
            <v>-0.21737025281166211</v>
          </cell>
          <cell r="AR168">
            <v>-0.15628414392684586</v>
          </cell>
          <cell r="AS168">
            <v>-9.7196261682242824E-2</v>
          </cell>
          <cell r="AT168">
            <v>5.889662027832987E-2</v>
          </cell>
          <cell r="AU168">
            <v>-2.1555876685934505E-2</v>
          </cell>
          <cell r="AV168">
            <v>0.34955898359896098</v>
          </cell>
          <cell r="AW168">
            <v>8.4092937893138542E-2</v>
          </cell>
          <cell r="AX168">
            <v>0.50119897349614506</v>
          </cell>
          <cell r="AY168">
            <v>0.17456017269292978</v>
          </cell>
          <cell r="AZ168">
            <v>3.0952380952378178E-3</v>
          </cell>
          <cell r="BA168">
            <v>3.1969021356489158E-2</v>
          </cell>
          <cell r="BB168">
            <v>1.8237538461538527E-2</v>
          </cell>
          <cell r="BC168">
            <v>-3.3878923766815894E-2</v>
          </cell>
          <cell r="BD168">
            <v>-2.3202224870866317E-4</v>
          </cell>
          <cell r="BE168">
            <v>-5.1795437029089619E-4</v>
          </cell>
          <cell r="BF168">
            <v>-3.1128529814439254E-4</v>
          </cell>
          <cell r="BR168">
            <v>9.3989077007099464E-3</v>
          </cell>
          <cell r="BS168">
            <v>2.0000000000000018E-2</v>
          </cell>
          <cell r="BT168">
            <v>2.0000000000000018E-2</v>
          </cell>
          <cell r="BU168">
            <v>2.0000000000000018E-2</v>
          </cell>
          <cell r="BV168">
            <v>2.0000000000000018E-2</v>
          </cell>
          <cell r="BW168">
            <v>2.0000000000000018E-2</v>
          </cell>
          <cell r="BX168">
            <v>2.0000000000000018E-2</v>
          </cell>
          <cell r="BY168">
            <v>2.0000000000000018E-2</v>
          </cell>
          <cell r="BZ168">
            <v>2.0000000000000018E-2</v>
          </cell>
          <cell r="CA168">
            <v>2.0000000000000018E-2</v>
          </cell>
          <cell r="CB168">
            <v>2.0000000000000018E-2</v>
          </cell>
        </row>
        <row r="169">
          <cell r="A169" t="str">
            <v>LCD &amp; Pigments total</v>
          </cell>
        </row>
        <row r="170">
          <cell r="A170" t="str">
            <v>Sales</v>
          </cell>
          <cell r="X170">
            <v>193.55536401000001</v>
          </cell>
          <cell r="Y170">
            <v>255.23472840999997</v>
          </cell>
          <cell r="Z170">
            <v>448.79009241999995</v>
          </cell>
          <cell r="AA170">
            <v>279.47848769000012</v>
          </cell>
          <cell r="AB170">
            <v>728.26858011000002</v>
          </cell>
          <cell r="AC170">
            <v>269.52610196999979</v>
          </cell>
          <cell r="AD170">
            <v>997.7946820799998</v>
          </cell>
          <cell r="AE170">
            <v>351.4</v>
          </cell>
          <cell r="AF170">
            <v>398.3</v>
          </cell>
          <cell r="AG170">
            <v>749.7</v>
          </cell>
          <cell r="AH170">
            <v>359.3</v>
          </cell>
          <cell r="AI170">
            <v>1109</v>
          </cell>
          <cell r="AJ170">
            <v>335.8</v>
          </cell>
          <cell r="AK170">
            <v>1444.8000000000002</v>
          </cell>
          <cell r="AL170">
            <v>408</v>
          </cell>
          <cell r="AM170">
            <v>373.5</v>
          </cell>
          <cell r="AN170">
            <v>781.5</v>
          </cell>
          <cell r="AO170">
            <v>340.12977343</v>
          </cell>
          <cell r="AP170">
            <v>1121.6297734299999</v>
          </cell>
          <cell r="AQ170">
            <v>343.07022657000016</v>
          </cell>
          <cell r="AR170">
            <v>1464.7</v>
          </cell>
          <cell r="AS170">
            <v>386.4</v>
          </cell>
          <cell r="AT170">
            <v>426.1</v>
          </cell>
          <cell r="AU170">
            <v>812.5</v>
          </cell>
          <cell r="AV170">
            <v>446</v>
          </cell>
          <cell r="AW170">
            <v>1258.5</v>
          </cell>
          <cell r="AX170">
            <v>415.70000000000005</v>
          </cell>
          <cell r="AY170">
            <v>1674.2</v>
          </cell>
          <cell r="AZ170">
            <v>421.3</v>
          </cell>
          <cell r="BA170">
            <v>431.1</v>
          </cell>
          <cell r="BB170">
            <v>852.40000000000009</v>
          </cell>
          <cell r="BC170">
            <v>406.5</v>
          </cell>
          <cell r="BD170">
            <v>1258.9000000000001</v>
          </cell>
          <cell r="BE170">
            <v>383.19999999999993</v>
          </cell>
          <cell r="BF170">
            <v>1642.1</v>
          </cell>
        </row>
        <row r="171">
          <cell r="A171" t="str">
            <v xml:space="preserve">     Year-on-Year Growth %</v>
          </cell>
          <cell r="AL171">
            <v>0.16107000569151975</v>
          </cell>
          <cell r="AM171">
            <v>-6.2264624654782885E-2</v>
          </cell>
          <cell r="AN171">
            <v>4.2416966786714694E-2</v>
          </cell>
          <cell r="AO171">
            <v>-5.3354373977177905E-2</v>
          </cell>
          <cell r="AP171">
            <v>1.1388434111812451E-2</v>
          </cell>
          <cell r="AQ171">
            <v>2.1650466259678813E-2</v>
          </cell>
          <cell r="AR171">
            <v>1.3773532668881483E-2</v>
          </cell>
          <cell r="AS171">
            <v>-5.2941176470588269E-2</v>
          </cell>
          <cell r="AT171">
            <v>0.1408299866131193</v>
          </cell>
          <cell r="AU171">
            <v>3.9667306461932172E-2</v>
          </cell>
          <cell r="AV171">
            <v>0.31126421395681936</v>
          </cell>
          <cell r="AW171">
            <v>0.12202798981650087</v>
          </cell>
          <cell r="AX171">
            <v>0.21170526558410185</v>
          </cell>
          <cell r="AY171">
            <v>0.14303270294258219</v>
          </cell>
          <cell r="AZ171">
            <v>9.0320910973084922E-2</v>
          </cell>
          <cell r="BA171">
            <v>1.1734334663224599E-2</v>
          </cell>
          <cell r="BB171">
            <v>4.9107692307692519E-2</v>
          </cell>
          <cell r="BC171">
            <v>-8.8565022421524642E-2</v>
          </cell>
          <cell r="BD171">
            <v>3.1783869686141664E-4</v>
          </cell>
          <cell r="BE171">
            <v>-7.8181380803464262E-2</v>
          </cell>
          <cell r="BF171">
            <v>-1.9173336518934492E-2</v>
          </cell>
        </row>
        <row r="172">
          <cell r="A172" t="str">
            <v>Royalties</v>
          </cell>
          <cell r="X172">
            <v>3.3267091599999996</v>
          </cell>
          <cell r="Y172">
            <v>1.8670755000000001</v>
          </cell>
          <cell r="Z172">
            <v>5.1937846599999995</v>
          </cell>
          <cell r="AA172">
            <v>2.3426962999999992</v>
          </cell>
          <cell r="AB172">
            <v>7.5364809599999987</v>
          </cell>
          <cell r="AC172">
            <v>0.37038650999999878</v>
          </cell>
          <cell r="AD172">
            <v>7.9068674699999972</v>
          </cell>
          <cell r="AE172">
            <v>3.4912491699999997</v>
          </cell>
          <cell r="AF172">
            <v>0.97349120000000067</v>
          </cell>
          <cell r="AG172">
            <v>4.4647403700000003</v>
          </cell>
          <cell r="AH172">
            <v>1.1052548499999995</v>
          </cell>
          <cell r="AI172">
            <v>5.56999522</v>
          </cell>
          <cell r="AJ172">
            <v>2.1112221900000012</v>
          </cell>
          <cell r="AK172">
            <v>7.6812174100000012</v>
          </cell>
          <cell r="AL172">
            <v>0.7</v>
          </cell>
          <cell r="AM172">
            <v>0</v>
          </cell>
          <cell r="AN172">
            <v>0.7</v>
          </cell>
          <cell r="AO172">
            <v>1.5491155999999997</v>
          </cell>
          <cell r="AP172">
            <v>2.2491155999999997</v>
          </cell>
          <cell r="AQ172">
            <v>0.45088440000000052</v>
          </cell>
          <cell r="AR172">
            <v>2.7</v>
          </cell>
          <cell r="AS172">
            <v>-0.2</v>
          </cell>
          <cell r="AT172">
            <v>0.5</v>
          </cell>
          <cell r="AU172">
            <v>0.3</v>
          </cell>
          <cell r="AV172">
            <v>0.6</v>
          </cell>
          <cell r="AW172">
            <v>0.89999999999999991</v>
          </cell>
          <cell r="AX172">
            <v>0.5</v>
          </cell>
          <cell r="AY172">
            <v>1.4</v>
          </cell>
          <cell r="AZ172">
            <v>0.8</v>
          </cell>
          <cell r="BA172">
            <v>0.69999999999998863</v>
          </cell>
          <cell r="BB172">
            <v>1.4999999999999887</v>
          </cell>
          <cell r="BC172">
            <v>0.2</v>
          </cell>
          <cell r="BD172">
            <v>1.6999999999999886</v>
          </cell>
          <cell r="BE172">
            <v>0.60000000000001119</v>
          </cell>
          <cell r="BF172">
            <v>2.2999999999999998</v>
          </cell>
        </row>
        <row r="173">
          <cell r="A173" t="str">
            <v xml:space="preserve">     Year-on-Year Growth %</v>
          </cell>
          <cell r="AL173">
            <v>-0.79949869920055006</v>
          </cell>
          <cell r="AM173">
            <v>-1</v>
          </cell>
          <cell r="AN173">
            <v>-0.84321596733742443</v>
          </cell>
          <cell r="AO173">
            <v>0.40159131624710853</v>
          </cell>
          <cell r="AP173">
            <v>-0.59620870195288966</v>
          </cell>
          <cell r="AQ173">
            <v>-0.78643441598157882</v>
          </cell>
          <cell r="AR173">
            <v>-0.64849321977465024</v>
          </cell>
          <cell r="AS173">
            <v>-1.2857142857142858</v>
          </cell>
          <cell r="AT173" t="str">
            <v>nm</v>
          </cell>
          <cell r="AU173">
            <v>-0.5714285714285714</v>
          </cell>
          <cell r="AV173">
            <v>-0.61268222978323883</v>
          </cell>
          <cell r="AW173">
            <v>-0.59984271150847024</v>
          </cell>
          <cell r="AX173">
            <v>0.10893169069499731</v>
          </cell>
          <cell r="AY173">
            <v>-0.48148148148148151</v>
          </cell>
          <cell r="AZ173">
            <v>-5</v>
          </cell>
          <cell r="BA173">
            <v>0.39999999999997726</v>
          </cell>
          <cell r="BB173">
            <v>3.9999999999999627</v>
          </cell>
          <cell r="BC173">
            <v>-0.66666666666666663</v>
          </cell>
          <cell r="BD173">
            <v>0.88888888888887641</v>
          </cell>
          <cell r="BE173">
            <v>0.20000000000002238</v>
          </cell>
          <cell r="BF173">
            <v>0.64285714285714279</v>
          </cell>
        </row>
        <row r="176">
          <cell r="A176" t="str">
            <v>AZ Electronics</v>
          </cell>
        </row>
        <row r="177">
          <cell r="A177" t="str">
            <v>IC Materials</v>
          </cell>
          <cell r="AL177">
            <v>102.78705954606568</v>
          </cell>
          <cell r="AM177">
            <v>98.730786622676305</v>
          </cell>
          <cell r="AN177">
            <v>201.51784616874198</v>
          </cell>
          <cell r="AO177">
            <v>102.65065823432843</v>
          </cell>
          <cell r="AP177">
            <v>304.16850440307041</v>
          </cell>
          <cell r="AQ177">
            <v>104.43651046963026</v>
          </cell>
          <cell r="AR177">
            <v>408.60501487270068</v>
          </cell>
          <cell r="AS177">
            <v>100.84917597914412</v>
          </cell>
          <cell r="AT177">
            <v>109.15798941960269</v>
          </cell>
          <cell r="AU177">
            <v>210.00716539874679</v>
          </cell>
          <cell r="AV177">
            <v>112.14310835438181</v>
          </cell>
          <cell r="AW177">
            <v>322.1502737531286</v>
          </cell>
          <cell r="AX177">
            <v>108.81627620221947</v>
          </cell>
          <cell r="AY177">
            <v>430.96654995534806</v>
          </cell>
          <cell r="AZ177">
            <v>93.484848484848484</v>
          </cell>
          <cell r="BA177">
            <v>95.615760907010042</v>
          </cell>
          <cell r="BB177">
            <v>189.10060939185854</v>
          </cell>
          <cell r="BC177">
            <v>90.685497864892184</v>
          </cell>
          <cell r="BD177">
            <v>279.78610725675071</v>
          </cell>
          <cell r="BE177">
            <v>88.977866755644541</v>
          </cell>
          <cell r="BF177">
            <v>368.76397401239524</v>
          </cell>
          <cell r="BN177">
            <v>0</v>
          </cell>
          <cell r="BO177">
            <v>90.222192496743531</v>
          </cell>
          <cell r="BP177">
            <v>90.222192496743531</v>
          </cell>
          <cell r="BQ177">
            <v>92.640023958907165</v>
          </cell>
          <cell r="BR177">
            <v>182.8622164556507</v>
          </cell>
          <cell r="BS177">
            <v>388.39934775180211</v>
          </cell>
          <cell r="BT177">
            <v>409.76131187815122</v>
          </cell>
          <cell r="BU177">
            <v>428.55735143615323</v>
          </cell>
          <cell r="BV177">
            <v>441.41407197923786</v>
          </cell>
          <cell r="BW177">
            <v>454.65649413861502</v>
          </cell>
          <cell r="BX177">
            <v>468.2961889627735</v>
          </cell>
          <cell r="BY177">
            <v>482.3450746316567</v>
          </cell>
          <cell r="BZ177">
            <v>496.81542687060642</v>
          </cell>
          <cell r="CA177">
            <v>511.71988967672462</v>
          </cell>
          <cell r="CB177">
            <v>527.07148636702641</v>
          </cell>
        </row>
        <row r="178">
          <cell r="A178" t="str">
            <v xml:space="preserve">     Year-on-Year Growth % reported</v>
          </cell>
          <cell r="AS178">
            <v>-1.8853380722045676E-2</v>
          </cell>
          <cell r="AT178">
            <v>0.10561247563818643</v>
          </cell>
          <cell r="AU178">
            <v>4.2126885491303945E-2</v>
          </cell>
          <cell r="AV178">
            <v>9.2473348766885177E-2</v>
          </cell>
          <cell r="AW178">
            <v>5.911778862623307E-2</v>
          </cell>
          <cell r="AX178">
            <v>4.1937112920512831E-2</v>
          </cell>
          <cell r="AY178">
            <v>5.4726531169995596E-2</v>
          </cell>
          <cell r="AZ178">
            <v>-7.3023179642227265E-2</v>
          </cell>
          <cell r="BA178">
            <v>-0.12406080933330854</v>
          </cell>
          <cell r="BB178">
            <v>-9.9551631808335483E-2</v>
          </cell>
          <cell r="BC178">
            <v>-0.19134132096358292</v>
          </cell>
          <cell r="BD178">
            <v>-0.13150436286402956</v>
          </cell>
          <cell r="BE178">
            <v>-0.18231104885181038</v>
          </cell>
          <cell r="BF178">
            <v>-0.14433272361717531</v>
          </cell>
          <cell r="BO178">
            <v>-5.1089245696032126E-3</v>
          </cell>
          <cell r="BR178">
            <v>-8.2425109698803789E-3</v>
          </cell>
          <cell r="BS178">
            <v>6.2000000000000055E-2</v>
          </cell>
          <cell r="BT178">
            <v>5.4999999999999938E-2</v>
          </cell>
          <cell r="BU178">
            <v>4.5870703292728798E-2</v>
          </cell>
          <cell r="BV178">
            <v>3.0000000000000027E-2</v>
          </cell>
          <cell r="BW178">
            <v>3.0000000000000027E-2</v>
          </cell>
          <cell r="BX178">
            <v>3.0000000000000027E-2</v>
          </cell>
          <cell r="BY178">
            <v>3.0000000000000027E-2</v>
          </cell>
          <cell r="BZ178">
            <v>3.0000000000000027E-2</v>
          </cell>
          <cell r="CA178">
            <v>3.0000000000000027E-2</v>
          </cell>
          <cell r="CB178">
            <v>3.0000000000000027E-2</v>
          </cell>
        </row>
        <row r="179">
          <cell r="A179" t="str">
            <v xml:space="preserve">     Year-on-Year Growth % CER</v>
          </cell>
          <cell r="BO179">
            <v>0.03</v>
          </cell>
          <cell r="BR179">
            <v>0.03</v>
          </cell>
          <cell r="BS179">
            <v>6.2E-2</v>
          </cell>
          <cell r="BT179">
            <v>5.4999999999999938E-2</v>
          </cell>
          <cell r="BU179">
            <v>4.5870703292728798E-2</v>
          </cell>
          <cell r="BV179">
            <v>0.03</v>
          </cell>
          <cell r="BW179">
            <v>0.03</v>
          </cell>
          <cell r="BX179">
            <v>0.03</v>
          </cell>
          <cell r="BY179">
            <v>0.03</v>
          </cell>
          <cell r="BZ179">
            <v>0.03</v>
          </cell>
          <cell r="CA179">
            <v>0.03</v>
          </cell>
          <cell r="CB179">
            <v>0.03</v>
          </cell>
        </row>
        <row r="180">
          <cell r="A180" t="str">
            <v>Optronics</v>
          </cell>
          <cell r="AL180">
            <v>38.499227449705799</v>
          </cell>
          <cell r="AM180">
            <v>39.881401492903727</v>
          </cell>
          <cell r="AN180">
            <v>78.380628942609519</v>
          </cell>
          <cell r="AO180">
            <v>40.35232771970152</v>
          </cell>
          <cell r="AP180">
            <v>118.73295666231104</v>
          </cell>
          <cell r="AQ180">
            <v>42.531713218975227</v>
          </cell>
          <cell r="AR180">
            <v>161.26466988128627</v>
          </cell>
          <cell r="AS180">
            <v>39.409693107496231</v>
          </cell>
          <cell r="AT180">
            <v>42.992392480904975</v>
          </cell>
          <cell r="AU180">
            <v>82.402085588401206</v>
          </cell>
          <cell r="AV180">
            <v>50.51635387025609</v>
          </cell>
          <cell r="AW180">
            <v>132.9184394586573</v>
          </cell>
          <cell r="AX180">
            <v>50.554870530209612</v>
          </cell>
          <cell r="AY180">
            <v>183.4733099888669</v>
          </cell>
          <cell r="AZ180">
            <v>42.803030303030305</v>
          </cell>
          <cell r="BA180">
            <v>45.090218714354613</v>
          </cell>
          <cell r="BB180">
            <v>87.893249017384917</v>
          </cell>
          <cell r="BC180">
            <v>47.30433208093794</v>
          </cell>
          <cell r="BD180">
            <v>135.19758109832287</v>
          </cell>
          <cell r="BE180">
            <v>46.713380046713382</v>
          </cell>
          <cell r="BF180">
            <v>181.91096114503625</v>
          </cell>
          <cell r="BN180">
            <v>0</v>
          </cell>
          <cell r="BO180">
            <v>47.062657816520968</v>
          </cell>
          <cell r="BP180">
            <v>47.062657816520968</v>
          </cell>
          <cell r="BQ180">
            <v>43.143121209607443</v>
          </cell>
          <cell r="BR180">
            <v>90.205779026128411</v>
          </cell>
          <cell r="BS180">
            <v>193.04036711591482</v>
          </cell>
          <cell r="BT180">
            <v>201.43999259678097</v>
          </cell>
          <cell r="BU180">
            <v>210.29857067974953</v>
          </cell>
          <cell r="BV180">
            <v>216.60752780014201</v>
          </cell>
          <cell r="BW180">
            <v>223.10575363414628</v>
          </cell>
          <cell r="BX180">
            <v>229.79892624317068</v>
          </cell>
          <cell r="BY180">
            <v>236.69289403046582</v>
          </cell>
          <cell r="BZ180">
            <v>243.7936808513798</v>
          </cell>
          <cell r="CA180">
            <v>251.10749127692119</v>
          </cell>
          <cell r="CB180">
            <v>258.64071601522886</v>
          </cell>
        </row>
        <row r="181">
          <cell r="A181" t="str">
            <v xml:space="preserve">     Year-on-Year Growth % reported</v>
          </cell>
          <cell r="AS181">
            <v>2.3648933189109655E-2</v>
          </cell>
          <cell r="AT181">
            <v>7.8006059755818757E-2</v>
          </cell>
          <cell r="AU181">
            <v>5.1306766736156195E-2</v>
          </cell>
          <cell r="AV181">
            <v>0.25188202824770656</v>
          </cell>
          <cell r="AW181">
            <v>0.11947384445829368</v>
          </cell>
          <cell r="AX181">
            <v>0.18863941054824251</v>
          </cell>
          <cell r="AY181">
            <v>0.13771547186330002</v>
          </cell>
          <cell r="AZ181">
            <v>8.6104126370083689E-2</v>
          </cell>
          <cell r="BA181">
            <v>4.8795289408036124E-2</v>
          </cell>
          <cell r="BB181">
            <v>6.6638646215972042E-2</v>
          </cell>
          <cell r="BC181">
            <v>-6.3583800952217606E-2</v>
          </cell>
          <cell r="BD181">
            <v>1.7146918433198044E-2</v>
          </cell>
          <cell r="BE181">
            <v>-7.5986555661352262E-2</v>
          </cell>
          <cell r="BF181">
            <v>-8.515401198819883E-3</v>
          </cell>
          <cell r="BO181">
            <v>-5.1089245696032126E-3</v>
          </cell>
          <cell r="BR181">
            <v>-8.2425109698803789E-3</v>
          </cell>
          <cell r="BS181">
            <v>7.0000000000000062E-2</v>
          </cell>
          <cell r="BT181">
            <v>4.3512274693419117E-2</v>
          </cell>
          <cell r="BU181">
            <v>4.3976262949436462E-2</v>
          </cell>
          <cell r="BV181">
            <v>3.0000000000000027E-2</v>
          </cell>
          <cell r="BW181">
            <v>3.0000000000000027E-2</v>
          </cell>
          <cell r="BX181">
            <v>3.0000000000000027E-2</v>
          </cell>
          <cell r="BY181">
            <v>3.0000000000000027E-2</v>
          </cell>
          <cell r="BZ181">
            <v>3.0000000000000027E-2</v>
          </cell>
          <cell r="CA181">
            <v>3.0000000000000027E-2</v>
          </cell>
          <cell r="CB181">
            <v>3.0000000000000027E-2</v>
          </cell>
        </row>
        <row r="182">
          <cell r="A182" t="str">
            <v xml:space="preserve">     Year-on-Year Growth % CER</v>
          </cell>
          <cell r="BO182">
            <v>0.03</v>
          </cell>
          <cell r="BR182">
            <v>0.03</v>
          </cell>
          <cell r="BS182">
            <v>7.0000000000000007E-2</v>
          </cell>
          <cell r="BT182">
            <v>4.3512274693419117E-2</v>
          </cell>
          <cell r="BU182">
            <v>4.3976262949436462E-2</v>
          </cell>
          <cell r="BV182">
            <v>0.03</v>
          </cell>
          <cell r="BW182">
            <v>0.03</v>
          </cell>
          <cell r="BX182">
            <v>0.03</v>
          </cell>
          <cell r="BY182">
            <v>0.03</v>
          </cell>
          <cell r="BZ182">
            <v>0.03</v>
          </cell>
          <cell r="CA182">
            <v>0.03</v>
          </cell>
          <cell r="CB182">
            <v>0.03</v>
          </cell>
        </row>
        <row r="183">
          <cell r="A183" t="str">
            <v>Total AZ Electronics</v>
          </cell>
          <cell r="AL183">
            <v>141.28628699577149</v>
          </cell>
          <cell r="AM183">
            <v>138.61218811558004</v>
          </cell>
          <cell r="AN183">
            <v>279.8984751113515</v>
          </cell>
          <cell r="AO183">
            <v>143.00298595402995</v>
          </cell>
          <cell r="AP183">
            <v>422.90146106538145</v>
          </cell>
          <cell r="AQ183">
            <v>146.96822368860549</v>
          </cell>
          <cell r="AR183">
            <v>569.86968475398692</v>
          </cell>
          <cell r="AS183">
            <v>140.25886908664035</v>
          </cell>
          <cell r="AT183">
            <v>152.15038190050765</v>
          </cell>
          <cell r="AU183">
            <v>292.40925098714797</v>
          </cell>
          <cell r="AV183">
            <v>162.65946222463791</v>
          </cell>
          <cell r="AW183">
            <v>455.06871321178591</v>
          </cell>
          <cell r="AX183">
            <v>159.37114673242908</v>
          </cell>
          <cell r="AY183">
            <v>614.43985994421496</v>
          </cell>
          <cell r="AZ183">
            <v>136.28787878787878</v>
          </cell>
          <cell r="BA183">
            <v>140.70597962136466</v>
          </cell>
          <cell r="BB183">
            <v>276.99385840924344</v>
          </cell>
          <cell r="BC183">
            <v>137.98982994583014</v>
          </cell>
          <cell r="BD183">
            <v>414.98368835507358</v>
          </cell>
          <cell r="BE183">
            <v>135.69124680235791</v>
          </cell>
          <cell r="BF183">
            <v>550.67493515743149</v>
          </cell>
          <cell r="BL183">
            <v>0</v>
          </cell>
          <cell r="BM183">
            <v>0</v>
          </cell>
          <cell r="BN183">
            <v>0</v>
          </cell>
          <cell r="BO183">
            <v>137.28485031326449</v>
          </cell>
          <cell r="BP183">
            <v>137.28485031326449</v>
          </cell>
          <cell r="BQ183">
            <v>135.78314516851461</v>
          </cell>
          <cell r="BR183">
            <v>273.06799548177912</v>
          </cell>
          <cell r="BS183">
            <v>581.43971486771693</v>
          </cell>
          <cell r="BT183">
            <v>611.20130447493216</v>
          </cell>
          <cell r="BU183">
            <v>638.85592211590279</v>
          </cell>
          <cell r="BV183">
            <v>658.02159977937981</v>
          </cell>
          <cell r="BW183">
            <v>677.76224777276127</v>
          </cell>
          <cell r="BX183">
            <v>698.09511520594424</v>
          </cell>
          <cell r="BY183">
            <v>719.03796866212247</v>
          </cell>
          <cell r="BZ183">
            <v>740.60910772198622</v>
          </cell>
          <cell r="CA183">
            <v>762.82738095364584</v>
          </cell>
          <cell r="CB183">
            <v>785.71220238225533</v>
          </cell>
        </row>
        <row r="184">
          <cell r="A184" t="str">
            <v>Growth</v>
          </cell>
          <cell r="AS184">
            <v>-7.2718869677840248E-3</v>
          </cell>
          <cell r="AT184">
            <v>9.7669577033434818E-2</v>
          </cell>
          <cell r="AU184">
            <v>4.4697549248238433E-2</v>
          </cell>
          <cell r="AV184">
            <v>0.13745500584810699</v>
          </cell>
          <cell r="AW184">
            <v>7.6063232473513098E-2</v>
          </cell>
          <cell r="AX184">
            <v>8.4391868749143839E-2</v>
          </cell>
          <cell r="AY184">
            <v>7.8211170698558874E-2</v>
          </cell>
          <cell r="AZ184">
            <v>-2.8311865942029057E-2</v>
          </cell>
          <cell r="BA184">
            <v>-7.5217703276134862E-2</v>
          </cell>
          <cell r="BB184">
            <v>-5.2718552938607499E-2</v>
          </cell>
          <cell r="BC184">
            <v>-0.15166429263572889</v>
          </cell>
          <cell r="BD184">
            <v>-8.8085653205644654E-2</v>
          </cell>
          <cell r="BE184">
            <v>-0.14858335662118161</v>
          </cell>
          <cell r="BF184">
            <v>-0.10377732459051836</v>
          </cell>
          <cell r="BL184">
            <v>-1</v>
          </cell>
          <cell r="BM184">
            <v>-1</v>
          </cell>
          <cell r="BN184">
            <v>-1</v>
          </cell>
          <cell r="BO184">
            <v>0.98978215086079313</v>
          </cell>
          <cell r="BP184">
            <v>-0.33836025768897648</v>
          </cell>
          <cell r="BQ184">
            <v>1.0013545216559261</v>
          </cell>
          <cell r="BR184">
            <v>-8.2425109698802679E-3</v>
          </cell>
          <cell r="BS184">
            <v>6.464273457215608E-2</v>
          </cell>
          <cell r="BT184">
            <v>5.1186028140486117E-2</v>
          </cell>
          <cell r="BU184">
            <v>4.5246332817839852E-2</v>
          </cell>
          <cell r="BV184">
            <v>2.9999999999999805E-2</v>
          </cell>
          <cell r="BW184">
            <v>3.0000000000000027E-2</v>
          </cell>
          <cell r="BX184">
            <v>3.0000000000000249E-2</v>
          </cell>
          <cell r="BY184">
            <v>2.9999999999999805E-2</v>
          </cell>
          <cell r="BZ184">
            <v>3.0000000000000027E-2</v>
          </cell>
          <cell r="CA184">
            <v>3.0000000000000027E-2</v>
          </cell>
          <cell r="CB184">
            <v>3.0000000000000249E-2</v>
          </cell>
        </row>
        <row r="186">
          <cell r="A186" t="str">
            <v>Total Performance Materials</v>
          </cell>
          <cell r="X186">
            <v>196.88207317000001</v>
          </cell>
          <cell r="Y186">
            <v>257.10180391</v>
          </cell>
          <cell r="Z186">
            <v>453.98387707999996</v>
          </cell>
          <cell r="AA186">
            <v>281.82118399000012</v>
          </cell>
          <cell r="AB186">
            <v>735.80506106999997</v>
          </cell>
          <cell r="AC186">
            <v>269.89648847999979</v>
          </cell>
          <cell r="AD186">
            <v>1005.7015495499998</v>
          </cell>
          <cell r="AE186">
            <v>354.89124916999998</v>
          </cell>
          <cell r="AF186">
            <v>399.27349120000002</v>
          </cell>
          <cell r="AG186">
            <v>754.16474037</v>
          </cell>
          <cell r="AH186">
            <v>360.40525485000001</v>
          </cell>
          <cell r="AI186">
            <v>1114.56999522</v>
          </cell>
          <cell r="AJ186">
            <v>337.91122218999999</v>
          </cell>
          <cell r="AK186">
            <v>1452.4812174100002</v>
          </cell>
          <cell r="AL186">
            <v>408.7</v>
          </cell>
          <cell r="AM186">
            <v>373.5</v>
          </cell>
          <cell r="AN186">
            <v>782.2</v>
          </cell>
          <cell r="AO186">
            <v>341.67888902999999</v>
          </cell>
          <cell r="AP186">
            <v>1123.87888903</v>
          </cell>
          <cell r="AQ186">
            <v>343.52111097000017</v>
          </cell>
          <cell r="AR186">
            <v>1467.4</v>
          </cell>
          <cell r="AS186">
            <v>386.2</v>
          </cell>
          <cell r="AT186">
            <v>426.6</v>
          </cell>
          <cell r="AU186">
            <v>812.8</v>
          </cell>
          <cell r="AV186">
            <v>446.6</v>
          </cell>
          <cell r="AW186">
            <v>1259.4000000000001</v>
          </cell>
          <cell r="AX186">
            <v>416.20000000000005</v>
          </cell>
          <cell r="AY186">
            <v>1675.6000000000001</v>
          </cell>
          <cell r="AZ186">
            <v>422.1</v>
          </cell>
          <cell r="BA186">
            <v>431.8</v>
          </cell>
          <cell r="BB186">
            <v>853.90000000000009</v>
          </cell>
          <cell r="BC186">
            <v>406.7</v>
          </cell>
          <cell r="BD186">
            <v>1260.6000000000001</v>
          </cell>
          <cell r="BE186">
            <v>383.79999999999995</v>
          </cell>
          <cell r="BF186">
            <v>1644.3999999999999</v>
          </cell>
          <cell r="BG186">
            <v>422.1</v>
          </cell>
          <cell r="BH186">
            <v>431.8</v>
          </cell>
          <cell r="BI186">
            <v>406.7</v>
          </cell>
          <cell r="BJ186">
            <v>383.79999999999995</v>
          </cell>
          <cell r="BK186">
            <v>1644.3999999999999</v>
          </cell>
          <cell r="BL186">
            <v>418.72559437864027</v>
          </cell>
          <cell r="BM186">
            <v>425.4239818666162</v>
          </cell>
          <cell r="BN186">
            <v>844.14957624525653</v>
          </cell>
          <cell r="BO186">
            <v>542.39385325957812</v>
          </cell>
          <cell r="BP186">
            <v>1386.5434295048344</v>
          </cell>
          <cell r="BQ186">
            <v>528.6879198782093</v>
          </cell>
          <cell r="BR186">
            <v>1915.2313493830438</v>
          </cell>
          <cell r="BS186">
            <v>2256.4012050987822</v>
          </cell>
          <cell r="BT186">
            <v>2319.6168937623934</v>
          </cell>
          <cell r="BU186">
            <v>2381.3946924408883</v>
          </cell>
          <cell r="BV186">
            <v>2435.3660147626406</v>
          </cell>
          <cell r="BW186">
            <v>2490.608420307462</v>
          </cell>
          <cell r="BX186">
            <v>2547.153080443114</v>
          </cell>
          <cell r="BY186">
            <v>2605.0319624558106</v>
          </cell>
          <cell r="BZ186">
            <v>2664.2778506433233</v>
          </cell>
          <cell r="CA186">
            <v>2724.9243679851843</v>
          </cell>
          <cell r="CB186">
            <v>2787.0059984061995</v>
          </cell>
        </row>
        <row r="187">
          <cell r="A187" t="str">
            <v xml:space="preserve">     Year-on-Year Growth %</v>
          </cell>
          <cell r="AK187">
            <v>0.44424677287204301</v>
          </cell>
          <cell r="AL187">
            <v>0.15162039344685149</v>
          </cell>
          <cell r="AM187">
            <v>-6.455097011960112E-2</v>
          </cell>
          <cell r="AN187">
            <v>3.7173919873588486E-2</v>
          </cell>
          <cell r="AO187">
            <v>-5.1959191959600838E-2</v>
          </cell>
          <cell r="AP187">
            <v>8.3520046743789569E-3</v>
          </cell>
          <cell r="AQ187">
            <v>1.6601664613689154E-2</v>
          </cell>
          <cell r="AR187">
            <v>1.0271239594135595E-2</v>
          </cell>
          <cell r="AS187">
            <v>-5.5052605823342309E-2</v>
          </cell>
          <cell r="AT187">
            <v>0.14216867469879524</v>
          </cell>
          <cell r="AU187">
            <v>3.9120429557657772E-2</v>
          </cell>
          <cell r="AV187">
            <v>0.30707519351828544</v>
          </cell>
          <cell r="AW187">
            <v>0.12058337628084284</v>
          </cell>
          <cell r="AX187">
            <v>0.211570371395157</v>
          </cell>
          <cell r="AY187">
            <v>0.14188360365271913</v>
          </cell>
          <cell r="AZ187">
            <v>9.2957017089590976E-2</v>
          </cell>
          <cell r="BA187">
            <v>1.2189404594467858E-2</v>
          </cell>
          <cell r="BB187">
            <v>5.0565944881889938E-2</v>
          </cell>
          <cell r="BC187">
            <v>-8.934169278996873E-2</v>
          </cell>
          <cell r="BD187">
            <v>9.528346831825039E-4</v>
          </cell>
          <cell r="BE187">
            <v>-7.7847188851513899E-2</v>
          </cell>
          <cell r="BF187">
            <v>-1.8620195750776003E-2</v>
          </cell>
          <cell r="BL187">
            <v>-7.9943274611697594E-3</v>
          </cell>
          <cell r="BM187">
            <v>-1.4766137409411323E-2</v>
          </cell>
          <cell r="BN187">
            <v>-1.1418695110368386E-2</v>
          </cell>
          <cell r="BO187">
            <v>0.33364606161686289</v>
          </cell>
          <cell r="BP187">
            <v>9.9907527768391458E-2</v>
          </cell>
          <cell r="BQ187">
            <v>0.37750891057376074</v>
          </cell>
          <cell r="BR187">
            <v>0.1646991908191705</v>
          </cell>
          <cell r="BS187">
            <v>0.17813506228667353</v>
          </cell>
          <cell r="BT187">
            <v>2.8016156222910597E-2</v>
          </cell>
          <cell r="BU187">
            <v>2.6632759420152363E-2</v>
          </cell>
          <cell r="BV187">
            <v>2.266374511250489E-2</v>
          </cell>
          <cell r="BW187">
            <v>2.2683409889911566E-2</v>
          </cell>
          <cell r="BX187">
            <v>2.2703151436656473E-2</v>
          </cell>
          <cell r="BY187">
            <v>2.2722969599702134E-2</v>
          </cell>
          <cell r="BZ187">
            <v>2.2742864211025095E-2</v>
          </cell>
          <cell r="CA187">
            <v>2.276283508764566E-2</v>
          </cell>
          <cell r="CB187">
            <v>2.2782882031664807E-2</v>
          </cell>
        </row>
        <row r="189">
          <cell r="A189" t="str">
            <v>Merck Millipore</v>
          </cell>
        </row>
        <row r="191">
          <cell r="A191" t="str">
            <v>Millipore</v>
          </cell>
        </row>
        <row r="192">
          <cell r="A192" t="str">
            <v>Sales</v>
          </cell>
          <cell r="AH192">
            <v>313.62835539999998</v>
          </cell>
          <cell r="AI192">
            <v>313.62835539999998</v>
          </cell>
          <cell r="AJ192">
            <v>326.76725243999999</v>
          </cell>
          <cell r="AK192">
            <v>640.39560783999991</v>
          </cell>
          <cell r="AL192">
            <v>330</v>
          </cell>
          <cell r="AM192">
            <v>330</v>
          </cell>
          <cell r="AN192">
            <v>660</v>
          </cell>
          <cell r="AO192">
            <v>326.17348961599998</v>
          </cell>
          <cell r="AP192">
            <v>986.17348961599998</v>
          </cell>
          <cell r="AQ192">
            <v>339.83794253759999</v>
          </cell>
          <cell r="AR192">
            <v>1326.0114321536</v>
          </cell>
          <cell r="AY192">
            <v>1392.31200376128</v>
          </cell>
          <cell r="BF192">
            <v>1461.9276039493441</v>
          </cell>
          <cell r="BR192">
            <v>1535.0239841468112</v>
          </cell>
          <cell r="BS192">
            <v>1611.775183354152</v>
          </cell>
          <cell r="BT192">
            <v>1692.3639425218596</v>
          </cell>
          <cell r="BU192">
            <v>1776.9821396479526</v>
          </cell>
          <cell r="BV192">
            <v>1865.8312466303503</v>
          </cell>
          <cell r="BW192">
            <v>1959.1228089618678</v>
          </cell>
          <cell r="BX192">
            <v>2057.0789494099613</v>
          </cell>
        </row>
        <row r="193">
          <cell r="A193" t="str">
            <v xml:space="preserve">     Year-on-Year Growth %</v>
          </cell>
          <cell r="AH193" t="str">
            <v>nm</v>
          </cell>
          <cell r="AI193" t="str">
            <v>nm</v>
          </cell>
          <cell r="AJ193" t="str">
            <v>nm</v>
          </cell>
          <cell r="AK193" t="str">
            <v>nm</v>
          </cell>
          <cell r="AL193">
            <v>0.04</v>
          </cell>
          <cell r="AM193">
            <v>0.04</v>
          </cell>
          <cell r="AN193" t="str">
            <v>nm</v>
          </cell>
          <cell r="AO193">
            <v>0.04</v>
          </cell>
          <cell r="AP193">
            <v>2.1444015588394088</v>
          </cell>
          <cell r="AQ193">
            <v>0.04</v>
          </cell>
          <cell r="AR193">
            <v>1.0706129397516078</v>
          </cell>
          <cell r="AY193">
            <v>0.05</v>
          </cell>
          <cell r="BF193">
            <v>0.05</v>
          </cell>
          <cell r="BR193">
            <v>0.05</v>
          </cell>
          <cell r="BS193">
            <v>0.05</v>
          </cell>
          <cell r="BT193">
            <v>0.05</v>
          </cell>
          <cell r="BU193">
            <v>0.05</v>
          </cell>
          <cell r="BV193">
            <v>0.05</v>
          </cell>
          <cell r="BW193">
            <v>0.05</v>
          </cell>
          <cell r="BX193">
            <v>0.05</v>
          </cell>
        </row>
        <row r="194">
          <cell r="A194" t="str">
            <v>Royalties</v>
          </cell>
          <cell r="AH194">
            <v>0</v>
          </cell>
          <cell r="AI194">
            <v>0</v>
          </cell>
          <cell r="AJ194">
            <v>0</v>
          </cell>
          <cell r="AK194">
            <v>0</v>
          </cell>
          <cell r="AL194">
            <v>0</v>
          </cell>
          <cell r="AM194">
            <v>0</v>
          </cell>
          <cell r="AN194">
            <v>0</v>
          </cell>
          <cell r="AO194">
            <v>0</v>
          </cell>
          <cell r="AP194">
            <v>0</v>
          </cell>
          <cell r="AQ194">
            <v>0</v>
          </cell>
          <cell r="AR194">
            <v>0</v>
          </cell>
          <cell r="AY194">
            <v>0</v>
          </cell>
          <cell r="BF194">
            <v>0</v>
          </cell>
          <cell r="BR194">
            <v>0</v>
          </cell>
          <cell r="BS194">
            <v>0</v>
          </cell>
          <cell r="BT194">
            <v>0</v>
          </cell>
          <cell r="BU194">
            <v>0</v>
          </cell>
          <cell r="BV194">
            <v>0</v>
          </cell>
          <cell r="BW194">
            <v>0</v>
          </cell>
          <cell r="BX194">
            <v>0</v>
          </cell>
        </row>
        <row r="195">
          <cell r="A195" t="str">
            <v xml:space="preserve">     Year-on-Year Growth %</v>
          </cell>
          <cell r="AH195" t="str">
            <v>nm</v>
          </cell>
          <cell r="AI195" t="str">
            <v>nm</v>
          </cell>
          <cell r="AJ195" t="str">
            <v>nm</v>
          </cell>
          <cell r="AK195" t="str">
            <v>nm</v>
          </cell>
          <cell r="AL195">
            <v>0</v>
          </cell>
          <cell r="AM195">
            <v>0</v>
          </cell>
          <cell r="AN195" t="str">
            <v>nm</v>
          </cell>
          <cell r="AO195">
            <v>0</v>
          </cell>
          <cell r="AP195" t="str">
            <v>nm</v>
          </cell>
          <cell r="AQ195">
            <v>0</v>
          </cell>
          <cell r="AR195" t="str">
            <v>nm</v>
          </cell>
          <cell r="AY195">
            <v>0</v>
          </cell>
          <cell r="BF195">
            <v>0</v>
          </cell>
          <cell r="BR195">
            <v>0</v>
          </cell>
          <cell r="BS195">
            <v>0</v>
          </cell>
          <cell r="BT195">
            <v>0</v>
          </cell>
          <cell r="BU195">
            <v>0</v>
          </cell>
          <cell r="BV195">
            <v>0</v>
          </cell>
          <cell r="BW195">
            <v>0</v>
          </cell>
          <cell r="BX195">
            <v>0</v>
          </cell>
        </row>
        <row r="196">
          <cell r="A196" t="str">
            <v>Total Millipore Revenue</v>
          </cell>
          <cell r="AH196">
            <v>313.62835539999998</v>
          </cell>
          <cell r="AI196">
            <v>313.62835539999998</v>
          </cell>
          <cell r="AJ196">
            <v>326.76725243999999</v>
          </cell>
          <cell r="AK196">
            <v>640.39560783999991</v>
          </cell>
          <cell r="AL196">
            <v>330</v>
          </cell>
          <cell r="AM196">
            <v>330</v>
          </cell>
          <cell r="AN196">
            <v>660</v>
          </cell>
          <cell r="AO196">
            <v>326.17348961599998</v>
          </cell>
          <cell r="AP196">
            <v>986.17348961599998</v>
          </cell>
          <cell r="AQ196">
            <v>339.83794253759999</v>
          </cell>
          <cell r="AR196">
            <v>1326.0114321536</v>
          </cell>
          <cell r="AY196">
            <v>1392.31200376128</v>
          </cell>
          <cell r="BF196">
            <v>1461.9276039493441</v>
          </cell>
          <cell r="BR196">
            <v>1535.0239841468112</v>
          </cell>
          <cell r="BS196">
            <v>1611.775183354152</v>
          </cell>
          <cell r="BT196">
            <v>1692.3639425218596</v>
          </cell>
          <cell r="BU196">
            <v>1776.9821396479526</v>
          </cell>
          <cell r="BV196">
            <v>1865.8312466303503</v>
          </cell>
          <cell r="BW196">
            <v>1959.1228089618678</v>
          </cell>
          <cell r="BX196">
            <v>2057.0789494099613</v>
          </cell>
        </row>
        <row r="198">
          <cell r="A198" t="str">
            <v>Laboratory Business + Life Science Solutions</v>
          </cell>
        </row>
        <row r="199">
          <cell r="A199" t="str">
            <v>Sales</v>
          </cell>
          <cell r="X199">
            <v>237.41152574</v>
          </cell>
          <cell r="Y199">
            <v>227.2123033</v>
          </cell>
          <cell r="Z199">
            <v>464.62382904000003</v>
          </cell>
          <cell r="AA199">
            <v>224.21686690999999</v>
          </cell>
          <cell r="AB199">
            <v>688.84069595000005</v>
          </cell>
          <cell r="AC199">
            <v>232.35246705</v>
          </cell>
          <cell r="AD199">
            <v>921.19316300000003</v>
          </cell>
          <cell r="AE199">
            <v>228.2</v>
          </cell>
          <cell r="AF199">
            <v>242.1</v>
          </cell>
          <cell r="AG199">
            <v>470.29999999999995</v>
          </cell>
          <cell r="AH199">
            <v>243.47164460000005</v>
          </cell>
          <cell r="AI199">
            <v>713.77164459999995</v>
          </cell>
          <cell r="AJ199">
            <v>251.23274756000001</v>
          </cell>
          <cell r="AK199">
            <v>965.00439215999995</v>
          </cell>
          <cell r="AL199">
            <v>241.892</v>
          </cell>
          <cell r="AM199">
            <v>256.62600000000003</v>
          </cell>
          <cell r="AN199">
            <v>498.51800000000003</v>
          </cell>
          <cell r="AO199">
            <v>258.07994327600005</v>
          </cell>
          <cell r="AP199">
            <v>756.59794327600002</v>
          </cell>
          <cell r="AQ199">
            <v>266.3067124136</v>
          </cell>
          <cell r="AR199">
            <v>1022.9046556896001</v>
          </cell>
          <cell r="AY199">
            <v>1094.5079815878721</v>
          </cell>
          <cell r="BF199">
            <v>1171.1235402990233</v>
          </cell>
          <cell r="BR199">
            <v>1253.1021881199549</v>
          </cell>
          <cell r="BS199">
            <v>1340.8193412883518</v>
          </cell>
          <cell r="BT199">
            <v>1434.6766951785364</v>
          </cell>
          <cell r="BU199">
            <v>1535.1040638410341</v>
          </cell>
          <cell r="BV199">
            <v>1642.5613483099066</v>
          </cell>
          <cell r="BW199">
            <v>1757.5406426916002</v>
          </cell>
          <cell r="BX199">
            <v>1880.5684876800124</v>
          </cell>
        </row>
        <row r="200">
          <cell r="A200" t="str">
            <v xml:space="preserve">     Year-on-Year Growth %</v>
          </cell>
          <cell r="X200" t="str">
            <v>nm</v>
          </cell>
          <cell r="Y200" t="str">
            <v>nm</v>
          </cell>
          <cell r="Z200" t="str">
            <v>nm</v>
          </cell>
          <cell r="AA200" t="str">
            <v>nm</v>
          </cell>
          <cell r="AB200" t="str">
            <v>nm</v>
          </cell>
          <cell r="AC200" t="str">
            <v>nm</v>
          </cell>
          <cell r="AD200" t="str">
            <v>nm</v>
          </cell>
          <cell r="AE200">
            <v>-3.8799825371949148E-2</v>
          </cell>
          <cell r="AF200">
            <v>6.5523285859846236E-2</v>
          </cell>
          <cell r="AG200">
            <v>0.98094847558094789</v>
          </cell>
          <cell r="AH200">
            <v>8.5875687923731681E-2</v>
          </cell>
          <cell r="AI200">
            <v>3.6192618694830259E-2</v>
          </cell>
          <cell r="AJ200">
            <v>8.1257069269409454E-2</v>
          </cell>
          <cell r="AK200">
            <v>4.7559220931820967E-2</v>
          </cell>
          <cell r="AL200">
            <v>0.06</v>
          </cell>
          <cell r="AM200">
            <v>0.06</v>
          </cell>
          <cell r="AN200">
            <v>6.0000000000000275E-2</v>
          </cell>
          <cell r="AO200">
            <v>0.06</v>
          </cell>
          <cell r="AP200">
            <v>6.0000000000000053E-2</v>
          </cell>
          <cell r="AQ200">
            <v>0.06</v>
          </cell>
          <cell r="AR200">
            <v>6.0000000000000053E-2</v>
          </cell>
          <cell r="AY200">
            <v>7.0000000000000007E-2</v>
          </cell>
          <cell r="BF200">
            <v>7.0000000000000007E-2</v>
          </cell>
          <cell r="BR200">
            <v>7.0000000000000007E-2</v>
          </cell>
          <cell r="BS200">
            <v>7.0000000000000007E-2</v>
          </cell>
          <cell r="BT200">
            <v>7.0000000000000007E-2</v>
          </cell>
          <cell r="BU200">
            <v>7.0000000000000007E-2</v>
          </cell>
          <cell r="BV200">
            <v>7.0000000000000007E-2</v>
          </cell>
          <cell r="BW200">
            <v>7.0000000000000007E-2</v>
          </cell>
          <cell r="BX200">
            <v>7.0000000000000007E-2</v>
          </cell>
        </row>
        <row r="201">
          <cell r="A201" t="str">
            <v>Royalties</v>
          </cell>
          <cell r="X201">
            <v>1.9535450000000001</v>
          </cell>
          <cell r="Y201">
            <v>2.2454968300000004</v>
          </cell>
          <cell r="Z201">
            <v>4.1990418300000005</v>
          </cell>
          <cell r="AA201">
            <v>2.4419557199999993</v>
          </cell>
          <cell r="AB201">
            <v>6.6409975499999998</v>
          </cell>
          <cell r="AC201">
            <v>1.5027477799999998</v>
          </cell>
          <cell r="AD201">
            <v>8.1437453299999998</v>
          </cell>
          <cell r="AE201">
            <v>1.4082320399999997</v>
          </cell>
          <cell r="AF201">
            <v>2.2970682800000004</v>
          </cell>
          <cell r="AG201">
            <v>3.7053003200000001</v>
          </cell>
          <cell r="AH201">
            <v>1.8675294100000002</v>
          </cell>
          <cell r="AI201">
            <v>5.5728297300000005</v>
          </cell>
          <cell r="AJ201">
            <v>1.65240506</v>
          </cell>
          <cell r="AK201">
            <v>7.22523479</v>
          </cell>
          <cell r="AL201">
            <v>1.4082320399999997</v>
          </cell>
          <cell r="AM201">
            <v>2.2970682800000004</v>
          </cell>
          <cell r="AN201">
            <v>3.7053003200000001</v>
          </cell>
          <cell r="AO201">
            <v>1.8675294100000002</v>
          </cell>
          <cell r="AP201">
            <v>5.5728297300000005</v>
          </cell>
          <cell r="AQ201">
            <v>1.65240506</v>
          </cell>
          <cell r="AR201">
            <v>7.22523479</v>
          </cell>
          <cell r="AY201">
            <v>7.22523479</v>
          </cell>
          <cell r="BF201">
            <v>6.5027113110000005</v>
          </cell>
          <cell r="BR201">
            <v>5.7223859536800008</v>
          </cell>
          <cell r="BS201">
            <v>5.7223859536800008</v>
          </cell>
          <cell r="BT201">
            <v>5.7223859536800008</v>
          </cell>
          <cell r="BU201">
            <v>5.7223859536800008</v>
          </cell>
          <cell r="BV201">
            <v>5.7223859536800008</v>
          </cell>
          <cell r="BW201">
            <v>5.7223859536800008</v>
          </cell>
          <cell r="BX201">
            <v>5.7223859536800008</v>
          </cell>
        </row>
        <row r="202">
          <cell r="A202" t="str">
            <v xml:space="preserve">     Year-on-Year Growth %</v>
          </cell>
          <cell r="AE202">
            <v>-0.27914020920941185</v>
          </cell>
          <cell r="AF202">
            <v>2.2966610021889933E-2</v>
          </cell>
          <cell r="AG202">
            <v>0.89670589620408014</v>
          </cell>
          <cell r="AH202">
            <v>-0.23523207456030337</v>
          </cell>
          <cell r="AI202">
            <v>-0.16084448337132717</v>
          </cell>
          <cell r="AJ202">
            <v>9.9589087398286091E-2</v>
          </cell>
          <cell r="AK202">
            <v>-0.11278723766279664</v>
          </cell>
          <cell r="AL202">
            <v>0</v>
          </cell>
          <cell r="AM202">
            <v>0</v>
          </cell>
          <cell r="AN202">
            <v>0</v>
          </cell>
          <cell r="AO202">
            <v>0</v>
          </cell>
          <cell r="AP202">
            <v>0</v>
          </cell>
          <cell r="AQ202">
            <v>0</v>
          </cell>
          <cell r="AR202">
            <v>0</v>
          </cell>
          <cell r="AY202">
            <v>0</v>
          </cell>
          <cell r="BF202">
            <v>-0.1</v>
          </cell>
          <cell r="BR202">
            <v>-0.12</v>
          </cell>
          <cell r="BS202">
            <v>0</v>
          </cell>
          <cell r="BT202">
            <v>0</v>
          </cell>
          <cell r="BU202">
            <v>0</v>
          </cell>
          <cell r="BV202">
            <v>0</v>
          </cell>
          <cell r="BW202">
            <v>0</v>
          </cell>
          <cell r="BX202">
            <v>0</v>
          </cell>
        </row>
        <row r="203">
          <cell r="A203" t="str">
            <v>Total Lab Business Revenue</v>
          </cell>
          <cell r="X203">
            <v>239.36507073999999</v>
          </cell>
          <cell r="Y203">
            <v>229.45780013000001</v>
          </cell>
          <cell r="Z203">
            <v>468.82287087000003</v>
          </cell>
          <cell r="AA203">
            <v>226.65882263</v>
          </cell>
          <cell r="AB203">
            <v>695.48169350000001</v>
          </cell>
          <cell r="AC203">
            <v>233.85521482999999</v>
          </cell>
          <cell r="AD203">
            <v>929.33690833000003</v>
          </cell>
          <cell r="AE203">
            <v>229.60823203999999</v>
          </cell>
          <cell r="AF203">
            <v>244.39706827999998</v>
          </cell>
          <cell r="AG203">
            <v>474.00530031999995</v>
          </cell>
          <cell r="AH203">
            <v>245.33917401000005</v>
          </cell>
          <cell r="AI203">
            <v>719.34447432999991</v>
          </cell>
          <cell r="AJ203">
            <v>252.88515262000001</v>
          </cell>
          <cell r="AK203">
            <v>972.2296269499999</v>
          </cell>
          <cell r="AL203">
            <v>243.30023204</v>
          </cell>
          <cell r="AM203">
            <v>258.92306828000005</v>
          </cell>
          <cell r="AN203">
            <v>502.22330032000002</v>
          </cell>
          <cell r="AO203">
            <v>259.94747268600003</v>
          </cell>
          <cell r="AP203">
            <v>762.17077300599999</v>
          </cell>
          <cell r="AQ203">
            <v>267.95911747359997</v>
          </cell>
          <cell r="AR203">
            <v>1030.1298904796001</v>
          </cell>
          <cell r="AY203">
            <v>1101.7332163778722</v>
          </cell>
          <cell r="BF203">
            <v>1177.6262516100232</v>
          </cell>
          <cell r="BR203">
            <v>1258.8245740736349</v>
          </cell>
          <cell r="BS203">
            <v>1346.5417272420318</v>
          </cell>
          <cell r="BT203">
            <v>1440.3990811322165</v>
          </cell>
          <cell r="BU203">
            <v>1540.8264497947141</v>
          </cell>
          <cell r="BV203">
            <v>1648.2837342635867</v>
          </cell>
          <cell r="BW203">
            <v>1763.2630286452802</v>
          </cell>
          <cell r="BX203">
            <v>1886.2908736336924</v>
          </cell>
        </row>
        <row r="205">
          <cell r="A205" t="str">
            <v>Sales</v>
          </cell>
          <cell r="X205">
            <v>237.41152574</v>
          </cell>
          <cell r="Y205">
            <v>227.2123033</v>
          </cell>
          <cell r="Z205">
            <v>464.62382904000003</v>
          </cell>
          <cell r="AA205">
            <v>224.21686690999999</v>
          </cell>
          <cell r="AB205">
            <v>688.84069595000005</v>
          </cell>
          <cell r="AC205">
            <v>232.35246705</v>
          </cell>
          <cell r="AD205">
            <v>921.19316300000003</v>
          </cell>
          <cell r="AE205">
            <v>228.2</v>
          </cell>
          <cell r="AF205">
            <v>242.1</v>
          </cell>
          <cell r="AG205">
            <v>470.29999999999995</v>
          </cell>
          <cell r="AH205">
            <v>557.1</v>
          </cell>
          <cell r="AI205">
            <v>1027.3999999999999</v>
          </cell>
          <cell r="AJ205">
            <v>578</v>
          </cell>
          <cell r="AK205">
            <v>1605.3999999999999</v>
          </cell>
          <cell r="AL205">
            <v>571.89200000000005</v>
          </cell>
          <cell r="AM205">
            <v>586.62599999999998</v>
          </cell>
          <cell r="AN205">
            <v>1158.518</v>
          </cell>
          <cell r="AO205">
            <v>584.25343289200009</v>
          </cell>
          <cell r="AP205">
            <v>1742.7714328920001</v>
          </cell>
          <cell r="AQ205">
            <v>606.14465495119998</v>
          </cell>
          <cell r="AR205">
            <v>2348.9160878432003</v>
          </cell>
          <cell r="AY205">
            <v>2486.8199853491524</v>
          </cell>
          <cell r="BF205">
            <v>2633.0511442483676</v>
          </cell>
          <cell r="BR205">
            <v>2788.1261722667659</v>
          </cell>
          <cell r="BS205">
            <v>2952.5945246425035</v>
          </cell>
          <cell r="BT205">
            <v>3127.040637700396</v>
          </cell>
          <cell r="BU205">
            <v>3312.0862034889869</v>
          </cell>
          <cell r="BV205">
            <v>3508.3925949402569</v>
          </cell>
          <cell r="BW205">
            <v>3716.6634516534677</v>
          </cell>
          <cell r="BX205">
            <v>3937.6474370899737</v>
          </cell>
          <cell r="CE205" t="str">
            <v>New segment Merck Millipore from 3Q10. Includes the acquired business of Millipore plus laboratory business and life science solution of the existing performance and life science chemical division.</v>
          </cell>
        </row>
        <row r="206">
          <cell r="A206" t="str">
            <v xml:space="preserve">     Year-on-Year Growth %</v>
          </cell>
          <cell r="AE206">
            <v>-3.8799825371949162E-2</v>
          </cell>
          <cell r="AF206">
            <v>6.5523285859846264E-2</v>
          </cell>
          <cell r="AG206">
            <v>1.2216702212040988E-2</v>
          </cell>
          <cell r="AH206">
            <v>1.4846480448931541</v>
          </cell>
          <cell r="AI206">
            <v>0.49149143777442317</v>
          </cell>
          <cell r="AJ206">
            <v>1.4876000127668971</v>
          </cell>
          <cell r="AK206">
            <v>0.74273981232316177</v>
          </cell>
          <cell r="AL206">
            <v>1.5060999123575813</v>
          </cell>
          <cell r="AM206">
            <v>1.423073110285006</v>
          </cell>
          <cell r="AN206">
            <v>1.4633595577291094</v>
          </cell>
          <cell r="AO206">
            <v>4.8740680114880752E-2</v>
          </cell>
          <cell r="AP206">
            <v>0.69629300456686816</v>
          </cell>
          <cell r="AQ206">
            <v>4.8693174656055334E-2</v>
          </cell>
          <cell r="AR206">
            <v>0.4631344760453473</v>
          </cell>
          <cell r="AY206">
            <v>5.8709588741663765E-2</v>
          </cell>
          <cell r="BF206">
            <v>5.8802470528916941E-2</v>
          </cell>
          <cell r="BR206">
            <v>5.8895562418961746E-2</v>
          </cell>
          <cell r="BS206">
            <v>5.8988848500361693E-2</v>
          </cell>
          <cell r="BT206">
            <v>5.908231272596233E-2</v>
          </cell>
          <cell r="BU206">
            <v>5.9175938923733379E-2</v>
          </cell>
          <cell r="BV206">
            <v>5.9269710807791996E-2</v>
          </cell>
          <cell r="BW206">
            <v>5.9363611989597588E-2</v>
          </cell>
          <cell r="BX206">
            <v>5.9457625989298185E-2</v>
          </cell>
        </row>
        <row r="207">
          <cell r="A207" t="str">
            <v>Royalties</v>
          </cell>
          <cell r="X207">
            <v>1.9535450000000001</v>
          </cell>
          <cell r="Y207">
            <v>2.2454968300000004</v>
          </cell>
          <cell r="Z207">
            <v>4.1990418300000005</v>
          </cell>
          <cell r="AA207">
            <v>2.4419557199999993</v>
          </cell>
          <cell r="AB207">
            <v>6.6409975499999998</v>
          </cell>
          <cell r="AC207">
            <v>1.5027477799999998</v>
          </cell>
          <cell r="AD207">
            <v>8.1437453299999998</v>
          </cell>
          <cell r="AE207">
            <v>1.4082320399999997</v>
          </cell>
          <cell r="AF207">
            <v>2.2970682800000004</v>
          </cell>
          <cell r="AG207">
            <v>3.7053003200000001</v>
          </cell>
          <cell r="AH207">
            <v>1.8675294100000002</v>
          </cell>
          <cell r="AI207">
            <v>5.5728297300000005</v>
          </cell>
          <cell r="AJ207">
            <v>1.65240506</v>
          </cell>
          <cell r="AK207">
            <v>7.22523479</v>
          </cell>
          <cell r="AL207">
            <v>1.4082320399999997</v>
          </cell>
          <cell r="AM207">
            <v>2.2970682800000004</v>
          </cell>
          <cell r="AN207">
            <v>3.7053003200000001</v>
          </cell>
          <cell r="AO207">
            <v>1.8675294100000002</v>
          </cell>
          <cell r="AP207">
            <v>5.5728297300000005</v>
          </cell>
          <cell r="AQ207">
            <v>1.65240506</v>
          </cell>
          <cell r="AR207">
            <v>7.22523479</v>
          </cell>
          <cell r="AY207">
            <v>7.22523479</v>
          </cell>
          <cell r="BF207">
            <v>6.5027113110000005</v>
          </cell>
          <cell r="BR207">
            <v>5.7223859536800008</v>
          </cell>
          <cell r="BS207">
            <v>5.7223859536800008</v>
          </cell>
          <cell r="BT207">
            <v>5.7223859536800008</v>
          </cell>
          <cell r="BU207">
            <v>5.7223859536800008</v>
          </cell>
          <cell r="BV207">
            <v>5.7223859536800008</v>
          </cell>
          <cell r="BW207">
            <v>5.7223859536800008</v>
          </cell>
          <cell r="BX207">
            <v>5.7223859536800008</v>
          </cell>
        </row>
        <row r="208">
          <cell r="AE208">
            <v>-0.27914020920941185</v>
          </cell>
          <cell r="AF208">
            <v>2.2966610021889933E-2</v>
          </cell>
          <cell r="AG208">
            <v>-0.1175843275655104</v>
          </cell>
          <cell r="AH208">
            <v>-0.23523207456030337</v>
          </cell>
          <cell r="AI208">
            <v>1.9840653111856481</v>
          </cell>
          <cell r="AJ208">
            <v>-0.70348904595009043</v>
          </cell>
          <cell r="AK208">
            <v>3.3725566841340946</v>
          </cell>
          <cell r="AL208">
            <v>-0.80509532479843471</v>
          </cell>
          <cell r="AM208">
            <v>0.63117172081953266</v>
          </cell>
          <cell r="AN208">
            <v>0.61305623879843885</v>
          </cell>
          <cell r="AO208">
            <v>-0.49598433359917227</v>
          </cell>
          <cell r="AP208">
            <v>1.9840653111856481</v>
          </cell>
          <cell r="AQ208">
            <v>-0.70348904595009043</v>
          </cell>
          <cell r="AR208">
            <v>0</v>
          </cell>
          <cell r="AY208">
            <v>0</v>
          </cell>
          <cell r="BF208">
            <v>-9.9999999999999978E-2</v>
          </cell>
          <cell r="BR208">
            <v>-0.12</v>
          </cell>
          <cell r="BS208">
            <v>0</v>
          </cell>
          <cell r="BT208">
            <v>0</v>
          </cell>
          <cell r="BU208">
            <v>0</v>
          </cell>
          <cell r="BV208">
            <v>0</v>
          </cell>
          <cell r="BW208">
            <v>0</v>
          </cell>
          <cell r="BX208">
            <v>0</v>
          </cell>
        </row>
        <row r="209">
          <cell r="A209" t="str">
            <v>Total Merck Millipore</v>
          </cell>
          <cell r="X209">
            <v>239.36507073999999</v>
          </cell>
          <cell r="Y209">
            <v>229.45780013000001</v>
          </cell>
          <cell r="Z209">
            <v>468.82287087000003</v>
          </cell>
          <cell r="AA209">
            <v>226.65882263</v>
          </cell>
          <cell r="AB209">
            <v>695.48169350000001</v>
          </cell>
          <cell r="AC209">
            <v>233.85521482999999</v>
          </cell>
          <cell r="AD209">
            <v>929.33690833000003</v>
          </cell>
          <cell r="AE209">
            <v>229.60823203999999</v>
          </cell>
          <cell r="AF209">
            <v>244.39706827999998</v>
          </cell>
          <cell r="AG209">
            <v>474.00530031999995</v>
          </cell>
          <cell r="AH209">
            <v>558.96752941</v>
          </cell>
          <cell r="AI209">
            <v>1032.9728297299998</v>
          </cell>
          <cell r="AJ209">
            <v>579.65240505999998</v>
          </cell>
          <cell r="AK209">
            <v>1612.6252347899999</v>
          </cell>
          <cell r="AL209">
            <v>573.30023204000008</v>
          </cell>
          <cell r="AM209">
            <v>588.92306827999994</v>
          </cell>
          <cell r="AN209">
            <v>1162.2233003200001</v>
          </cell>
          <cell r="AO209">
            <v>586.12096230200007</v>
          </cell>
          <cell r="AP209">
            <v>1748.3442626220001</v>
          </cell>
          <cell r="AQ209">
            <v>607.79706001119996</v>
          </cell>
          <cell r="AR209">
            <v>2356.1413226332002</v>
          </cell>
          <cell r="AY209">
            <v>2494.0452201391522</v>
          </cell>
          <cell r="BF209">
            <v>2639.5538555593675</v>
          </cell>
          <cell r="BR209">
            <v>2793.8485582204457</v>
          </cell>
          <cell r="BS209">
            <v>2958.3169105961833</v>
          </cell>
          <cell r="BT209">
            <v>3132.7630236540758</v>
          </cell>
          <cell r="BU209">
            <v>3317.8085894426667</v>
          </cell>
          <cell r="BV209">
            <v>3514.1149808939367</v>
          </cell>
          <cell r="BW209">
            <v>3722.3858376071476</v>
          </cell>
          <cell r="BX209">
            <v>3943.3698230436535</v>
          </cell>
        </row>
        <row r="210">
          <cell r="A210" t="str">
            <v xml:space="preserve">     Year-on-Year Growth %</v>
          </cell>
          <cell r="AE210">
            <v>-4.0761330255231557E-2</v>
          </cell>
          <cell r="AF210">
            <v>6.5106822001849959E-2</v>
          </cell>
          <cell r="AG210">
            <v>1.1054131041821447E-2</v>
          </cell>
          <cell r="AH210">
            <v>1.4661185605930012</v>
          </cell>
          <cell r="AI210">
            <v>0.48526242945602394</v>
          </cell>
          <cell r="AJ210">
            <v>1.4786806891664814</v>
          </cell>
          <cell r="AK210">
            <v>0.7352428600816634</v>
          </cell>
          <cell r="AL210">
            <v>1.496862708041433</v>
          </cell>
          <cell r="AM210">
            <v>1.4096977612075305</v>
          </cell>
          <cell r="AN210">
            <v>1.451920473326745</v>
          </cell>
          <cell r="AO210">
            <v>4.8577835855082657E-2</v>
          </cell>
          <cell r="AP210">
            <v>0.69253654336579717</v>
          </cell>
          <cell r="AQ210">
            <v>4.8554365867397239E-2</v>
          </cell>
          <cell r="AR210">
            <v>0.46105944009987093</v>
          </cell>
          <cell r="AY210">
            <v>5.8529552612672661E-2</v>
          </cell>
          <cell r="BF210">
            <v>5.8342420676757767E-2</v>
          </cell>
          <cell r="BR210">
            <v>5.8454841652920336E-2</v>
          </cell>
          <cell r="BS210">
            <v>5.8868027005907736E-2</v>
          </cell>
          <cell r="BT210">
            <v>5.8968027540611506E-2</v>
          </cell>
          <cell r="BU210">
            <v>5.9067846623378661E-2</v>
          </cell>
          <cell r="BV210">
            <v>5.9167485452874174E-2</v>
          </cell>
          <cell r="BW210">
            <v>5.9266944264934077E-2</v>
          </cell>
          <cell r="BX210">
            <v>5.936622238455553E-2</v>
          </cell>
        </row>
        <row r="212">
          <cell r="A212" t="str">
            <v>New reporting structure as of 1Q2011</v>
          </cell>
        </row>
        <row r="213">
          <cell r="A213" t="str">
            <v>Bioscience</v>
          </cell>
        </row>
        <row r="214">
          <cell r="A214" t="str">
            <v>Sales</v>
          </cell>
          <cell r="AL214">
            <v>107.99707013000001</v>
          </cell>
          <cell r="AM214">
            <v>99.4</v>
          </cell>
          <cell r="AN214">
            <v>207.39707013000003</v>
          </cell>
          <cell r="AO214">
            <v>102.89029755000007</v>
          </cell>
          <cell r="AP214">
            <v>310.2873676800001</v>
          </cell>
          <cell r="AQ214">
            <v>110.41263231999989</v>
          </cell>
          <cell r="AR214">
            <v>420.7</v>
          </cell>
          <cell r="AS214">
            <v>112.7</v>
          </cell>
          <cell r="AT214">
            <v>113.4</v>
          </cell>
          <cell r="AU214">
            <v>226.10000000000002</v>
          </cell>
          <cell r="AV214">
            <v>113</v>
          </cell>
          <cell r="AW214">
            <v>339.1</v>
          </cell>
          <cell r="AX214">
            <v>115.5</v>
          </cell>
          <cell r="AY214">
            <v>454.6</v>
          </cell>
          <cell r="AZ214">
            <v>110.3</v>
          </cell>
          <cell r="BA214">
            <v>110</v>
          </cell>
          <cell r="BB214">
            <v>220.3</v>
          </cell>
          <cell r="BC214">
            <v>104</v>
          </cell>
          <cell r="BD214">
            <v>324.3</v>
          </cell>
          <cell r="BE214">
            <v>109.89999999999998</v>
          </cell>
          <cell r="BF214">
            <v>434.2</v>
          </cell>
          <cell r="BL214">
            <v>107.83567929453197</v>
          </cell>
          <cell r="BM214">
            <v>106.96931988190416</v>
          </cell>
          <cell r="BN214">
            <v>214.80499917643613</v>
          </cell>
          <cell r="BO214">
            <v>102.51565959892211</v>
          </cell>
          <cell r="BP214">
            <v>317.32065877535825</v>
          </cell>
          <cell r="BQ214">
            <v>111.40583291838379</v>
          </cell>
          <cell r="BR214">
            <v>428.72649169374205</v>
          </cell>
          <cell r="BS214">
            <v>437.30102152761691</v>
          </cell>
          <cell r="BT214">
            <v>446.04704195816925</v>
          </cell>
          <cell r="BU214">
            <v>454.96798279733264</v>
          </cell>
          <cell r="BV214">
            <v>464.06734245327931</v>
          </cell>
          <cell r="BW214">
            <v>473.34868930234489</v>
          </cell>
          <cell r="BX214">
            <v>482.81566308839177</v>
          </cell>
          <cell r="BY214">
            <v>492.47197635015959</v>
          </cell>
          <cell r="BZ214">
            <v>502.32141587716279</v>
          </cell>
          <cell r="CA214">
            <v>512.36784419470609</v>
          </cell>
          <cell r="CB214">
            <v>522.61520107860019</v>
          </cell>
        </row>
        <row r="215">
          <cell r="A215" t="str">
            <v xml:space="preserve">     Year-on-Year Growth % reported</v>
          </cell>
          <cell r="AS215">
            <v>4.354682830135026E-2</v>
          </cell>
          <cell r="AT215">
            <v>0.14084507042253525</v>
          </cell>
          <cell r="AU215">
            <v>9.0179335022797957E-2</v>
          </cell>
          <cell r="AV215">
            <v>9.8257101891332965E-2</v>
          </cell>
          <cell r="AW215">
            <v>9.2857896650547556E-2</v>
          </cell>
          <cell r="AX215">
            <v>4.6075956827619224E-2</v>
          </cell>
          <cell r="AY215">
            <v>8.0579985738055804E-2</v>
          </cell>
          <cell r="AZ215">
            <v>-2.1295474711623852E-2</v>
          </cell>
          <cell r="BA215">
            <v>-2.9982363315696703E-2</v>
          </cell>
          <cell r="BB215">
            <v>-2.5652366209641841E-2</v>
          </cell>
          <cell r="BC215">
            <v>-7.9646017699115057E-2</v>
          </cell>
          <cell r="BD215">
            <v>-4.3644942494839301E-2</v>
          </cell>
          <cell r="BE215">
            <v>-4.8484848484848686E-2</v>
          </cell>
          <cell r="BF215">
            <v>-4.4874615046194499E-2</v>
          </cell>
          <cell r="BL215">
            <v>-2.2341982823826156E-2</v>
          </cell>
          <cell r="BM215">
            <v>-2.7551637437234988E-2</v>
          </cell>
          <cell r="BN215">
            <v>-2.494326293038529E-2</v>
          </cell>
          <cell r="BO215">
            <v>-1.4272503856518126E-2</v>
          </cell>
          <cell r="BP215">
            <v>-2.1521249536360698E-2</v>
          </cell>
          <cell r="BQ215">
            <v>1.37018463911176E-2</v>
          </cell>
          <cell r="BR215">
            <v>-1.2605961092256868E-2</v>
          </cell>
          <cell r="BS215">
            <v>2.0000000000000018E-2</v>
          </cell>
          <cell r="BT215">
            <v>2.0000000000000018E-2</v>
          </cell>
          <cell r="BU215">
            <v>2.0000000000000018E-2</v>
          </cell>
          <cell r="BV215">
            <v>2.0000000000000018E-2</v>
          </cell>
          <cell r="BW215">
            <v>2.0000000000000018E-2</v>
          </cell>
          <cell r="BX215">
            <v>2.0000000000000018E-2</v>
          </cell>
          <cell r="BY215">
            <v>2.0000000000000018E-2</v>
          </cell>
          <cell r="BZ215">
            <v>2.0000000000000018E-2</v>
          </cell>
          <cell r="CA215">
            <v>2.0000000000000018E-2</v>
          </cell>
          <cell r="CB215">
            <v>2.0000000000000018E-2</v>
          </cell>
        </row>
        <row r="216">
          <cell r="A216" t="str">
            <v xml:space="preserve">     Year-on-Year Growth % CER</v>
          </cell>
          <cell r="AY216">
            <v>2.5999999999999999E-2</v>
          </cell>
          <cell r="AZ216">
            <v>0.04</v>
          </cell>
          <cell r="BA216">
            <v>6.0000000000000001E-3</v>
          </cell>
          <cell r="BC216">
            <v>-1.2999999999999999E-2</v>
          </cell>
          <cell r="BL216">
            <v>0.02</v>
          </cell>
          <cell r="BM216">
            <v>0.02</v>
          </cell>
          <cell r="BO216">
            <v>0.02</v>
          </cell>
          <cell r="BR216">
            <v>0.02</v>
          </cell>
          <cell r="BS216">
            <v>0.02</v>
          </cell>
          <cell r="BT216">
            <v>0.02</v>
          </cell>
          <cell r="BU216">
            <v>0.02</v>
          </cell>
          <cell r="BV216">
            <v>0.02</v>
          </cell>
          <cell r="BW216">
            <v>0.02</v>
          </cell>
          <cell r="BX216">
            <v>0.02</v>
          </cell>
          <cell r="BY216">
            <v>0.02</v>
          </cell>
          <cell r="BZ216">
            <v>0.02</v>
          </cell>
          <cell r="CA216">
            <v>0.02</v>
          </cell>
          <cell r="CB216">
            <v>0.02</v>
          </cell>
        </row>
        <row r="217">
          <cell r="A217" t="str">
            <v>Lab Solutions</v>
          </cell>
        </row>
        <row r="218">
          <cell r="A218" t="str">
            <v>Sales</v>
          </cell>
          <cell r="AL218">
            <v>243.17756925999996</v>
          </cell>
          <cell r="AM218">
            <v>243.47428911</v>
          </cell>
          <cell r="AN218">
            <v>486.65185836999996</v>
          </cell>
          <cell r="AO218">
            <v>248.82428516999997</v>
          </cell>
          <cell r="AP218">
            <v>735.47614353999995</v>
          </cell>
          <cell r="AQ218">
            <v>270.12385646000007</v>
          </cell>
          <cell r="AR218">
            <v>1005.6</v>
          </cell>
          <cell r="AS218">
            <v>269.5</v>
          </cell>
          <cell r="AT218">
            <v>274</v>
          </cell>
          <cell r="AU218">
            <v>543.5</v>
          </cell>
          <cell r="AV218">
            <v>270.60000000000002</v>
          </cell>
          <cell r="AW218">
            <v>814.1</v>
          </cell>
          <cell r="AX218">
            <v>283.10000000000002</v>
          </cell>
          <cell r="AY218">
            <v>1097.2</v>
          </cell>
          <cell r="AZ218">
            <v>269.10000000000002</v>
          </cell>
          <cell r="BA218">
            <v>279</v>
          </cell>
          <cell r="BB218">
            <v>548.1</v>
          </cell>
          <cell r="BC218">
            <v>269</v>
          </cell>
          <cell r="BD218">
            <v>817.1</v>
          </cell>
          <cell r="BE218">
            <v>280.30000000000007</v>
          </cell>
          <cell r="BF218">
            <v>1097.4000000000001</v>
          </cell>
          <cell r="BL218">
            <v>264.61984193702131</v>
          </cell>
          <cell r="BM218">
            <v>273.58312507997971</v>
          </cell>
          <cell r="BN218">
            <v>538.20296701700101</v>
          </cell>
          <cell r="BO218">
            <v>267.88503839578823</v>
          </cell>
          <cell r="BP218">
            <v>806.08800541278924</v>
          </cell>
          <cell r="BQ218">
            <v>287.37656983582588</v>
          </cell>
          <cell r="BR218">
            <v>1093.4645752486151</v>
          </cell>
          <cell r="BS218">
            <v>1126.2685125060736</v>
          </cell>
          <cell r="BT218">
            <v>1160.0565678812559</v>
          </cell>
          <cell r="BU218">
            <v>1194.8582649176935</v>
          </cell>
          <cell r="BV218">
            <v>1230.7040128652243</v>
          </cell>
          <cell r="BW218">
            <v>1267.6251332511811</v>
          </cell>
          <cell r="BX218">
            <v>1305.6538872487165</v>
          </cell>
          <cell r="BY218">
            <v>1344.823503866178</v>
          </cell>
          <cell r="BZ218">
            <v>1385.1682089821634</v>
          </cell>
          <cell r="CA218">
            <v>1426.7232552516284</v>
          </cell>
          <cell r="CB218">
            <v>1469.5249529091773</v>
          </cell>
        </row>
        <row r="219">
          <cell r="A219" t="str">
            <v xml:space="preserve">     Year-on-Year Growth % reported</v>
          </cell>
          <cell r="AS219">
            <v>0.10824366252241258</v>
          </cell>
          <cell r="AT219">
            <v>0.12537550063944813</v>
          </cell>
          <cell r="AU219">
            <v>0.11681480436632508</v>
          </cell>
          <cell r="AV219">
            <v>8.7514427360346314E-2</v>
          </cell>
          <cell r="AW219">
            <v>0.10690198064286238</v>
          </cell>
          <cell r="AX219">
            <v>4.8037754643568409E-2</v>
          </cell>
          <cell r="AY219">
            <v>9.1089896579156671E-2</v>
          </cell>
          <cell r="AZ219">
            <v>-1.4842300556585641E-3</v>
          </cell>
          <cell r="BA219">
            <v>1.8248175182481674E-2</v>
          </cell>
          <cell r="BB219">
            <v>8.4636614535418264E-3</v>
          </cell>
          <cell r="BC219">
            <v>-5.9127864005913411E-3</v>
          </cell>
          <cell r="BD219">
            <v>3.6850509765384842E-3</v>
          </cell>
          <cell r="BE219">
            <v>-9.890498057223418E-3</v>
          </cell>
          <cell r="BF219">
            <v>1.8228217280347181E-4</v>
          </cell>
          <cell r="BL219">
            <v>-1.6648673589664598E-2</v>
          </cell>
          <cell r="BM219">
            <v>-1.9415322293979465E-2</v>
          </cell>
          <cell r="BN219">
            <v>-1.8056984095966122E-2</v>
          </cell>
          <cell r="BO219">
            <v>-4.1448386773671464E-3</v>
          </cell>
          <cell r="BP219">
            <v>-1.3476923983858469E-2</v>
          </cell>
          <cell r="BQ219">
            <v>2.5246413970124282E-2</v>
          </cell>
          <cell r="BR219">
            <v>-3.5861351844223011E-3</v>
          </cell>
          <cell r="BS219">
            <v>3.0000000000000027E-2</v>
          </cell>
          <cell r="BT219">
            <v>3.0000000000000027E-2</v>
          </cell>
          <cell r="BU219">
            <v>3.0000000000000027E-2</v>
          </cell>
          <cell r="BV219">
            <v>3.0000000000000027E-2</v>
          </cell>
          <cell r="BW219">
            <v>3.0000000000000027E-2</v>
          </cell>
          <cell r="BX219">
            <v>3.0000000000000027E-2</v>
          </cell>
          <cell r="BY219">
            <v>3.0000000000000027E-2</v>
          </cell>
          <cell r="BZ219">
            <v>3.0000000000000027E-2</v>
          </cell>
          <cell r="CA219">
            <v>3.0000000000000027E-2</v>
          </cell>
          <cell r="CB219">
            <v>3.0000000000000027E-2</v>
          </cell>
        </row>
        <row r="220">
          <cell r="A220" t="str">
            <v xml:space="preserve">     Year-on-Year Growth % CER</v>
          </cell>
          <cell r="AY220">
            <v>6.2E-2</v>
          </cell>
          <cell r="AZ220">
            <v>0.03</v>
          </cell>
          <cell r="BA220">
            <v>5.8000000000000003E-2</v>
          </cell>
          <cell r="BC220">
            <v>7.4999999999999997E-2</v>
          </cell>
          <cell r="BL220">
            <v>0.03</v>
          </cell>
          <cell r="BM220">
            <v>0.03</v>
          </cell>
          <cell r="BO220">
            <v>0.03</v>
          </cell>
          <cell r="BR220">
            <v>0.03</v>
          </cell>
          <cell r="BS220">
            <v>0.03</v>
          </cell>
          <cell r="BT220">
            <v>0.03</v>
          </cell>
          <cell r="BU220">
            <v>0.03</v>
          </cell>
          <cell r="BV220">
            <v>0.03</v>
          </cell>
          <cell r="BW220">
            <v>0.03</v>
          </cell>
          <cell r="BX220">
            <v>0.03</v>
          </cell>
          <cell r="BY220">
            <v>0.03</v>
          </cell>
          <cell r="BZ220">
            <v>0.03</v>
          </cell>
          <cell r="CA220">
            <v>0.03</v>
          </cell>
          <cell r="CB220">
            <v>0.03</v>
          </cell>
        </row>
        <row r="221">
          <cell r="A221" t="str">
            <v>Process Solutions</v>
          </cell>
        </row>
        <row r="222">
          <cell r="A222" t="str">
            <v>Sales</v>
          </cell>
          <cell r="AL222">
            <v>257.3</v>
          </cell>
          <cell r="AM222">
            <v>240.1</v>
          </cell>
          <cell r="AN222">
            <v>497.4</v>
          </cell>
          <cell r="AO222">
            <v>235</v>
          </cell>
          <cell r="AP222">
            <v>732.4</v>
          </cell>
          <cell r="AQ222">
            <v>223.9</v>
          </cell>
          <cell r="AR222">
            <v>956.3</v>
          </cell>
          <cell r="AS222">
            <v>270.3</v>
          </cell>
          <cell r="AT222">
            <v>262.10000000000002</v>
          </cell>
          <cell r="AU222">
            <v>532.40000000000009</v>
          </cell>
          <cell r="AV222">
            <v>259.10000000000002</v>
          </cell>
          <cell r="AW222">
            <v>791.50000000000011</v>
          </cell>
          <cell r="AX222">
            <v>254.79999999999984</v>
          </cell>
          <cell r="AY222">
            <v>1046.3</v>
          </cell>
          <cell r="AZ222">
            <v>289.3</v>
          </cell>
          <cell r="BA222">
            <v>277.29999999999995</v>
          </cell>
          <cell r="BB222">
            <v>566.59999999999991</v>
          </cell>
          <cell r="BC222">
            <v>266</v>
          </cell>
          <cell r="BD222">
            <v>832.59999999999991</v>
          </cell>
          <cell r="BE222">
            <v>263.30000000000018</v>
          </cell>
          <cell r="BF222">
            <v>1095.9000000000001</v>
          </cell>
          <cell r="BL222">
            <v>295.82041978018987</v>
          </cell>
          <cell r="BM222">
            <v>282.43550376459626</v>
          </cell>
          <cell r="BN222">
            <v>578.25592354478613</v>
          </cell>
          <cell r="BO222">
            <v>274.05408492933083</v>
          </cell>
          <cell r="BP222">
            <v>852.31000847411701</v>
          </cell>
          <cell r="BQ222">
            <v>278.13045302073419</v>
          </cell>
          <cell r="BR222">
            <v>1130.4404614948512</v>
          </cell>
          <cell r="BS222">
            <v>1198.2668891845424</v>
          </cell>
          <cell r="BT222">
            <v>1270.1629025356149</v>
          </cell>
          <cell r="BU222">
            <v>1346.3726766877519</v>
          </cell>
          <cell r="BV222">
            <v>1427.1550372890172</v>
          </cell>
          <cell r="BW222">
            <v>1512.7843395263583</v>
          </cell>
          <cell r="BX222">
            <v>1603.5513998979397</v>
          </cell>
          <cell r="BY222">
            <v>1699.7644838918163</v>
          </cell>
          <cell r="BZ222">
            <v>1801.7503529253254</v>
          </cell>
          <cell r="CA222">
            <v>1909.855374100845</v>
          </cell>
          <cell r="CB222">
            <v>2024.4466965468957</v>
          </cell>
        </row>
        <row r="223">
          <cell r="A223" t="str">
            <v xml:space="preserve">     Year-on-Year Growth % reported</v>
          </cell>
          <cell r="AS223">
            <v>5.0524679362611735E-2</v>
          </cell>
          <cell r="AT223">
            <v>9.1628488129946062E-2</v>
          </cell>
          <cell r="AU223">
            <v>7.0365902694009108E-2</v>
          </cell>
          <cell r="AV223">
            <v>0.10255319148936182</v>
          </cell>
          <cell r="AW223">
            <v>8.0693610049153763E-2</v>
          </cell>
          <cell r="AX223">
            <v>0.13800803930325967</v>
          </cell>
          <cell r="AY223">
            <v>9.4112726131966973E-2</v>
          </cell>
          <cell r="AZ223">
            <v>7.0292267850536438E-2</v>
          </cell>
          <cell r="BA223">
            <v>5.7993132392216484E-2</v>
          </cell>
          <cell r="BB223">
            <v>6.4237415477084614E-2</v>
          </cell>
          <cell r="BC223">
            <v>2.8045570975859135E-2</v>
          </cell>
          <cell r="BD223">
            <v>5.1926721415034516E-2</v>
          </cell>
          <cell r="BE223">
            <v>3.3359497645213398E-2</v>
          </cell>
          <cell r="BF223">
            <v>4.7405141928701378E-2</v>
          </cell>
          <cell r="BL223">
            <v>2.2538609679190635E-2</v>
          </cell>
          <cell r="BM223">
            <v>1.8519667380441085E-2</v>
          </cell>
          <cell r="BN223">
            <v>2.0571697043392456E-2</v>
          </cell>
          <cell r="BO223">
            <v>3.0278514771920451E-2</v>
          </cell>
          <cell r="BP223">
            <v>2.3672842270138217E-2</v>
          </cell>
          <cell r="BQ223">
            <v>5.6325305813649917E-2</v>
          </cell>
          <cell r="BR223">
            <v>3.1517895332467516E-2</v>
          </cell>
          <cell r="BS223">
            <v>6.0000000000000053E-2</v>
          </cell>
          <cell r="BT223">
            <v>6.0000000000000053E-2</v>
          </cell>
          <cell r="BU223">
            <v>6.0000000000000053E-2</v>
          </cell>
          <cell r="BV223">
            <v>6.0000000000000053E-2</v>
          </cell>
          <cell r="BW223">
            <v>6.0000000000000053E-2</v>
          </cell>
          <cell r="BX223">
            <v>6.0000000000000053E-2</v>
          </cell>
          <cell r="BY223">
            <v>6.0000000000000053E-2</v>
          </cell>
          <cell r="BZ223">
            <v>6.0000000000000053E-2</v>
          </cell>
          <cell r="CA223">
            <v>6.0000000000000053E-2</v>
          </cell>
          <cell r="CB223">
            <v>6.0000000000000053E-2</v>
          </cell>
        </row>
        <row r="224">
          <cell r="A224" t="str">
            <v xml:space="preserve">     Year-on-Year Growth % CER</v>
          </cell>
          <cell r="AY224">
            <v>5.3999999999999999E-2</v>
          </cell>
          <cell r="AZ224">
            <v>6.9000000000000006E-2</v>
          </cell>
          <cell r="BA224">
            <v>7.6999999999999999E-2</v>
          </cell>
          <cell r="BC224">
            <v>7.0000000000000007E-2</v>
          </cell>
          <cell r="BL224">
            <v>0.06</v>
          </cell>
          <cell r="BM224">
            <v>0.06</v>
          </cell>
          <cell r="BO224">
            <v>0.06</v>
          </cell>
          <cell r="BR224">
            <v>0.06</v>
          </cell>
          <cell r="BS224">
            <v>0.06</v>
          </cell>
          <cell r="BT224">
            <v>0.06</v>
          </cell>
          <cell r="BU224">
            <v>0.06</v>
          </cell>
          <cell r="BV224">
            <v>0.06</v>
          </cell>
          <cell r="BW224">
            <v>0.06</v>
          </cell>
          <cell r="BX224">
            <v>0.06</v>
          </cell>
          <cell r="BY224">
            <v>0.06</v>
          </cell>
          <cell r="BZ224">
            <v>0.06</v>
          </cell>
          <cell r="CA224">
            <v>0.06</v>
          </cell>
          <cell r="CB224">
            <v>0.06</v>
          </cell>
        </row>
        <row r="225">
          <cell r="A225" t="str">
            <v>Royalty Income</v>
          </cell>
          <cell r="AE225">
            <v>1.4046612399999996</v>
          </cell>
          <cell r="AF225">
            <v>2.2929372300000006</v>
          </cell>
          <cell r="AG225">
            <v>3.69759847</v>
          </cell>
          <cell r="AH225">
            <v>1.85979048</v>
          </cell>
          <cell r="AI225">
            <v>5.55738895</v>
          </cell>
          <cell r="AJ225">
            <v>1.6458478099999998</v>
          </cell>
          <cell r="AK225">
            <v>7.2032367599999994</v>
          </cell>
          <cell r="AL225">
            <v>2.8818572000000025</v>
          </cell>
          <cell r="AM225">
            <v>0.6</v>
          </cell>
          <cell r="AN225">
            <v>3.4818572000000025</v>
          </cell>
          <cell r="AO225">
            <v>1.5737596100000237</v>
          </cell>
          <cell r="AP225">
            <v>5.0556168100000267</v>
          </cell>
          <cell r="AQ225">
            <v>5.1443831899999726</v>
          </cell>
          <cell r="AR225">
            <v>10.199999999999999</v>
          </cell>
          <cell r="AS225">
            <v>2.8</v>
          </cell>
          <cell r="AT225">
            <v>5.8</v>
          </cell>
          <cell r="AU225">
            <v>8.6</v>
          </cell>
          <cell r="AV225">
            <v>5.5</v>
          </cell>
          <cell r="AW225">
            <v>14.1</v>
          </cell>
          <cell r="AX225">
            <v>4.5999999999999996</v>
          </cell>
          <cell r="AY225">
            <v>18.7</v>
          </cell>
          <cell r="AZ225">
            <v>5.8</v>
          </cell>
          <cell r="BA225">
            <v>2.4</v>
          </cell>
          <cell r="BB225">
            <v>8.1999999999999993</v>
          </cell>
          <cell r="BC225">
            <v>6.5</v>
          </cell>
          <cell r="BD225">
            <v>14.7</v>
          </cell>
          <cell r="BE225">
            <v>3.1000000000000014</v>
          </cell>
          <cell r="BF225">
            <v>17.8</v>
          </cell>
          <cell r="BL225">
            <v>5.8</v>
          </cell>
          <cell r="BM225">
            <v>2.4</v>
          </cell>
          <cell r="BN225">
            <v>8.1999999999999993</v>
          </cell>
          <cell r="BO225">
            <v>6.5</v>
          </cell>
          <cell r="BP225">
            <v>14.7</v>
          </cell>
          <cell r="BQ225">
            <v>3.1000000000000014</v>
          </cell>
          <cell r="BR225">
            <v>17.8</v>
          </cell>
          <cell r="BS225">
            <v>17.8</v>
          </cell>
          <cell r="BT225">
            <v>17.8</v>
          </cell>
          <cell r="BU225">
            <v>17.8</v>
          </cell>
          <cell r="BV225">
            <v>17.8</v>
          </cell>
          <cell r="BW225">
            <v>17.8</v>
          </cell>
          <cell r="BX225">
            <v>17.8</v>
          </cell>
          <cell r="BY225">
            <v>17.8</v>
          </cell>
          <cell r="BZ225">
            <v>17.8</v>
          </cell>
          <cell r="CA225">
            <v>17.8</v>
          </cell>
          <cell r="CB225">
            <v>17.8</v>
          </cell>
        </row>
        <row r="226">
          <cell r="A226" t="str">
            <v xml:space="preserve">     Year-on-Year Growth %</v>
          </cell>
          <cell r="AZ226">
            <v>1.0714285714285716</v>
          </cell>
          <cell r="BA226">
            <v>-0.5862068965517242</v>
          </cell>
          <cell r="BB226">
            <v>-4.6511627906976827E-2</v>
          </cell>
          <cell r="BC226">
            <v>0.18181818181818188</v>
          </cell>
          <cell r="BD226">
            <v>4.2553191489361764E-2</v>
          </cell>
          <cell r="BE226">
            <v>-0.3260869565217388</v>
          </cell>
          <cell r="BF226">
            <v>-4.8128342245989275E-2</v>
          </cell>
          <cell r="BL226">
            <v>0</v>
          </cell>
          <cell r="BM226">
            <v>0</v>
          </cell>
          <cell r="BN226">
            <v>0</v>
          </cell>
          <cell r="BO226">
            <v>0</v>
          </cell>
          <cell r="BP226">
            <v>0</v>
          </cell>
          <cell r="BQ226">
            <v>0</v>
          </cell>
          <cell r="BR226">
            <v>0</v>
          </cell>
          <cell r="BS226">
            <v>0</v>
          </cell>
          <cell r="BT226">
            <v>0</v>
          </cell>
          <cell r="BU226">
            <v>0</v>
          </cell>
          <cell r="BV226">
            <v>0</v>
          </cell>
          <cell r="BW226">
            <v>0</v>
          </cell>
          <cell r="BX226">
            <v>0</v>
          </cell>
          <cell r="BY226">
            <v>0</v>
          </cell>
          <cell r="BZ226">
            <v>0</v>
          </cell>
          <cell r="CA226">
            <v>0</v>
          </cell>
          <cell r="CB226">
            <v>0</v>
          </cell>
        </row>
        <row r="227">
          <cell r="A227" t="str">
            <v>Total Merck Millipore Sales</v>
          </cell>
          <cell r="AE227">
            <v>229.63480190999991</v>
          </cell>
          <cell r="AF227">
            <v>244.35136865000024</v>
          </cell>
          <cell r="AG227">
            <v>473.98617056000012</v>
          </cell>
          <cell r="AH227">
            <v>558.99310538000009</v>
          </cell>
          <cell r="AI227">
            <v>1032.9792759400002</v>
          </cell>
          <cell r="AJ227">
            <v>579.63381771999957</v>
          </cell>
          <cell r="AK227">
            <v>1612.6130936599998</v>
          </cell>
          <cell r="AL227">
            <v>608.47463938999999</v>
          </cell>
          <cell r="AM227">
            <v>582.97428910999997</v>
          </cell>
          <cell r="AN227">
            <v>1191.4489285</v>
          </cell>
          <cell r="AO227">
            <v>586.71458272000007</v>
          </cell>
          <cell r="AP227">
            <v>1778.1635112200001</v>
          </cell>
          <cell r="AQ227">
            <v>604.43648877999999</v>
          </cell>
          <cell r="AR227">
            <v>2382.6</v>
          </cell>
          <cell r="AS227">
            <v>652.5</v>
          </cell>
          <cell r="AT227">
            <v>649.5</v>
          </cell>
          <cell r="AU227">
            <v>1302</v>
          </cell>
          <cell r="AV227">
            <v>642.70000000000005</v>
          </cell>
          <cell r="AW227">
            <v>1944.7000000000003</v>
          </cell>
          <cell r="AX227">
            <v>653.39999999999986</v>
          </cell>
          <cell r="AY227">
            <v>2598.1000000000004</v>
          </cell>
          <cell r="AZ227">
            <v>668.7</v>
          </cell>
          <cell r="BA227">
            <v>666.3</v>
          </cell>
          <cell r="BB227">
            <v>1335</v>
          </cell>
          <cell r="BC227">
            <v>639</v>
          </cell>
          <cell r="BD227">
            <v>1974</v>
          </cell>
          <cell r="BE227">
            <v>653.50000000000023</v>
          </cell>
          <cell r="BF227">
            <v>2627.5</v>
          </cell>
          <cell r="BL227">
            <v>668.27594101174316</v>
          </cell>
          <cell r="BM227">
            <v>662.98794872648011</v>
          </cell>
          <cell r="BN227">
            <v>1331.2638897382233</v>
          </cell>
          <cell r="BO227">
            <v>644.45478292404118</v>
          </cell>
          <cell r="BP227">
            <v>1975.7186726622645</v>
          </cell>
          <cell r="BQ227">
            <v>676.91285577494386</v>
          </cell>
          <cell r="BR227">
            <v>2652.6315284372085</v>
          </cell>
          <cell r="BS227">
            <v>2761.836423218233</v>
          </cell>
          <cell r="BT227">
            <v>2876.2665123750403</v>
          </cell>
          <cell r="BU227">
            <v>2996.1989244027782</v>
          </cell>
          <cell r="BV227">
            <v>3121.9263926075209</v>
          </cell>
          <cell r="BW227">
            <v>3253.7581620798842</v>
          </cell>
          <cell r="BX227">
            <v>3392.0209502350481</v>
          </cell>
          <cell r="BY227">
            <v>3537.059964108154</v>
          </cell>
          <cell r="BZ227">
            <v>3689.2399777846513</v>
          </cell>
          <cell r="CA227">
            <v>3848.9464735471793</v>
          </cell>
          <cell r="CB227">
            <v>4016.5868505346734</v>
          </cell>
        </row>
        <row r="228">
          <cell r="A228" t="str">
            <v xml:space="preserve">     Year-on-Year Growth %</v>
          </cell>
          <cell r="AL228">
            <v>1.6497492293371003</v>
          </cell>
          <cell r="AM228">
            <v>1.3858032485385032</v>
          </cell>
          <cell r="AN228">
            <v>1.5136786735620147</v>
          </cell>
          <cell r="AO228">
            <v>4.9591805468074845E-2</v>
          </cell>
          <cell r="AP228">
            <v>0.72139320956065656</v>
          </cell>
          <cell r="AQ228">
            <v>4.2790241531389883E-2</v>
          </cell>
          <cell r="AR228">
            <v>0.47747777155426152</v>
          </cell>
          <cell r="AS228">
            <v>7.2353649207361759E-2</v>
          </cell>
          <cell r="AT228">
            <v>0.11411431367164027</v>
          </cell>
          <cell r="AU228">
            <v>9.2787083739443776E-2</v>
          </cell>
          <cell r="AV228">
            <v>9.5421894953509501E-2</v>
          </cell>
          <cell r="AW228">
            <v>9.3656453823945052E-2</v>
          </cell>
          <cell r="AX228">
            <v>8.100687521170058E-2</v>
          </cell>
          <cell r="AY228">
            <v>9.0447410392008987E-2</v>
          </cell>
          <cell r="AZ228">
            <v>2.4827586206896513E-2</v>
          </cell>
          <cell r="BA228">
            <v>2.5866050808313945E-2</v>
          </cell>
          <cell r="BB228">
            <v>2.5345622119815614E-2</v>
          </cell>
          <cell r="BC228">
            <v>-5.7569628131322048E-3</v>
          </cell>
          <cell r="BD228">
            <v>1.5066591248007244E-2</v>
          </cell>
          <cell r="BE228">
            <v>1.5304560759155095E-4</v>
          </cell>
          <cell r="BF228">
            <v>1.1315961664293051E-2</v>
          </cell>
          <cell r="BL228">
            <v>-6.3415431173452497E-4</v>
          </cell>
          <cell r="BM228">
            <v>-4.9708108562507292E-3</v>
          </cell>
          <cell r="BN228">
            <v>-2.79858446575032E-3</v>
          </cell>
          <cell r="BO228">
            <v>8.5364365008469001E-3</v>
          </cell>
          <cell r="BP228">
            <v>8.7065484410553395E-4</v>
          </cell>
          <cell r="BQ228">
            <v>3.582686423097714E-2</v>
          </cell>
          <cell r="BR228">
            <v>9.5648062558357783E-3</v>
          </cell>
          <cell r="BS228">
            <v>4.1168512705329396E-2</v>
          </cell>
          <cell r="BT228">
            <v>4.1432609185256375E-2</v>
          </cell>
          <cell r="BU228">
            <v>4.1697252849043354E-2</v>
          </cell>
          <cell r="BV228">
            <v>4.1962323389393541E-2</v>
          </cell>
          <cell r="BW228">
            <v>4.2227699469318258E-2</v>
          </cell>
          <cell r="BX228">
            <v>4.2493258954065194E-2</v>
          </cell>
          <cell r="BY228">
            <v>4.2758879146384876E-2</v>
          </cell>
          <cell r="BZ228">
            <v>4.302443702417369E-2</v>
          </cell>
          <cell r="CA228">
            <v>4.3289809479520436E-2</v>
          </cell>
          <cell r="CB228">
            <v>4.3554873558165452E-2</v>
          </cell>
        </row>
        <row r="229">
          <cell r="A229" t="str">
            <v>Total Merck Millipore Revenues</v>
          </cell>
          <cell r="AL229">
            <v>611.35649659000001</v>
          </cell>
          <cell r="AM229">
            <v>583.57428911</v>
          </cell>
          <cell r="AN229">
            <v>1194.9307856999999</v>
          </cell>
          <cell r="AO229">
            <v>588.28834233000009</v>
          </cell>
          <cell r="AP229">
            <v>1783.2191280300001</v>
          </cell>
          <cell r="AQ229">
            <v>609.58087196999998</v>
          </cell>
          <cell r="AR229">
            <v>2392.7999999999997</v>
          </cell>
          <cell r="AS229">
            <v>655.29999999999995</v>
          </cell>
          <cell r="AT229">
            <v>655.29999999999995</v>
          </cell>
          <cell r="AU229">
            <v>1310.5999999999999</v>
          </cell>
          <cell r="AV229">
            <v>648.20000000000005</v>
          </cell>
          <cell r="AW229">
            <v>1958.8000000000002</v>
          </cell>
          <cell r="AX229">
            <v>657.99999999999989</v>
          </cell>
          <cell r="AY229">
            <v>2616.8000000000002</v>
          </cell>
          <cell r="AZ229">
            <v>674.5</v>
          </cell>
          <cell r="BA229">
            <v>668.69999999999993</v>
          </cell>
          <cell r="BB229">
            <v>1343.2</v>
          </cell>
          <cell r="BC229">
            <v>645.5</v>
          </cell>
          <cell r="BD229">
            <v>1988.7</v>
          </cell>
          <cell r="BE229">
            <v>656.60000000000025</v>
          </cell>
          <cell r="BF229">
            <v>2645.3</v>
          </cell>
          <cell r="BG229">
            <v>674.5</v>
          </cell>
          <cell r="BH229">
            <v>668.69999999999993</v>
          </cell>
          <cell r="BI229">
            <v>645.5</v>
          </cell>
          <cell r="BJ229">
            <v>656.60000000000025</v>
          </cell>
          <cell r="BK229">
            <v>2645.3</v>
          </cell>
          <cell r="BL229">
            <v>674.07594101174311</v>
          </cell>
          <cell r="BM229">
            <v>665.38794872648009</v>
          </cell>
          <cell r="BN229">
            <v>1339.4638897382233</v>
          </cell>
          <cell r="BO229">
            <v>650.95478292404118</v>
          </cell>
          <cell r="BP229">
            <v>1990.4186726622645</v>
          </cell>
          <cell r="BQ229">
            <v>680.01285577494389</v>
          </cell>
          <cell r="BR229">
            <v>2670.4315284372087</v>
          </cell>
          <cell r="BS229">
            <v>2779.6364232182332</v>
          </cell>
          <cell r="BT229">
            <v>2894.0665123750405</v>
          </cell>
          <cell r="BU229">
            <v>3013.9989244027784</v>
          </cell>
          <cell r="BV229">
            <v>3139.7263926075211</v>
          </cell>
          <cell r="BW229">
            <v>3271.5581620798844</v>
          </cell>
          <cell r="BX229">
            <v>3409.8209502350483</v>
          </cell>
          <cell r="BY229">
            <v>3554.8599641081541</v>
          </cell>
          <cell r="BZ229">
            <v>3707.0399777846515</v>
          </cell>
          <cell r="CA229">
            <v>3866.7464735471794</v>
          </cell>
          <cell r="CB229">
            <v>4034.3868505346736</v>
          </cell>
        </row>
        <row r="230">
          <cell r="A230" t="str">
            <v xml:space="preserve">     Year-on-Year Growth %</v>
          </cell>
          <cell r="AS230">
            <v>7.1878688874832175E-2</v>
          </cell>
          <cell r="AT230">
            <v>0.12290759244960525</v>
          </cell>
          <cell r="AU230">
            <v>9.6799928233701094E-2</v>
          </cell>
          <cell r="AV230">
            <v>0.10184063385092967</v>
          </cell>
          <cell r="AW230">
            <v>9.8462869318798774E-2</v>
          </cell>
          <cell r="AX230">
            <v>7.9430195822126848E-2</v>
          </cell>
          <cell r="AY230">
            <v>9.361417586091636E-2</v>
          </cell>
          <cell r="AZ230">
            <v>2.9299557454601111E-2</v>
          </cell>
          <cell r="BA230">
            <v>2.044864947352365E-2</v>
          </cell>
          <cell r="BB230">
            <v>2.4874103464062269E-2</v>
          </cell>
          <cell r="BC230">
            <v>-4.1653810552298998E-3</v>
          </cell>
          <cell r="BD230">
            <v>1.5264447620992438E-2</v>
          </cell>
          <cell r="BE230">
            <v>-2.1276595744674776E-3</v>
          </cell>
          <cell r="BF230">
            <v>1.0891164781412499E-2</v>
          </cell>
          <cell r="BL230">
            <v>-6.287012427825811E-4</v>
          </cell>
          <cell r="BM230">
            <v>-4.9529703507100731E-3</v>
          </cell>
          <cell r="BN230">
            <v>-2.7814995992977432E-3</v>
          </cell>
          <cell r="BO230">
            <v>8.4504770318221123E-3</v>
          </cell>
          <cell r="BP230">
            <v>8.6421916943946187E-4</v>
          </cell>
          <cell r="BQ230">
            <v>3.5657715161351744E-2</v>
          </cell>
          <cell r="BR230">
            <v>9.5004454833889085E-3</v>
          </cell>
          <cell r="BS230">
            <v>4.0894100304804892E-2</v>
          </cell>
          <cell r="BT230">
            <v>4.1167286556247351E-2</v>
          </cell>
          <cell r="BU230">
            <v>4.1440793262665698E-2</v>
          </cell>
          <cell r="BV230">
            <v>4.1714503341986342E-2</v>
          </cell>
          <cell r="BW230">
            <v>4.1988298656456369E-2</v>
          </cell>
          <cell r="BX230">
            <v>4.2262060249377731E-2</v>
          </cell>
          <cell r="BY230">
            <v>4.2535668584917419E-2</v>
          </cell>
          <cell r="BZ230">
            <v>4.2809003790020173E-2</v>
          </cell>
          <cell r="CA230">
            <v>4.3081945897429863E-2</v>
          </cell>
          <cell r="CB230">
            <v>4.3354375088809016E-2</v>
          </cell>
        </row>
        <row r="232">
          <cell r="A232" t="str">
            <v>Total Chemical Revenue</v>
          </cell>
        </row>
        <row r="233">
          <cell r="A233" t="str">
            <v>Sales</v>
          </cell>
          <cell r="C233">
            <v>560.09999999999991</v>
          </cell>
          <cell r="D233">
            <v>503.1</v>
          </cell>
          <cell r="E233">
            <v>1063.1999999999998</v>
          </cell>
          <cell r="F233">
            <v>496.3</v>
          </cell>
          <cell r="G233">
            <v>1559.5</v>
          </cell>
          <cell r="H233">
            <v>546.4</v>
          </cell>
          <cell r="I233">
            <v>2105.8999999999996</v>
          </cell>
          <cell r="J233">
            <v>526.79999999999995</v>
          </cell>
          <cell r="K233">
            <v>536.70000000000005</v>
          </cell>
          <cell r="L233">
            <v>1063.5</v>
          </cell>
          <cell r="M233">
            <v>535.70000000000005</v>
          </cell>
          <cell r="N233">
            <v>1599.2</v>
          </cell>
          <cell r="O233">
            <v>541.5</v>
          </cell>
          <cell r="P233">
            <v>2140.7000000000003</v>
          </cell>
          <cell r="Q233">
            <v>552.70000000000005</v>
          </cell>
          <cell r="R233">
            <v>555.29999999999995</v>
          </cell>
          <cell r="S233">
            <v>1108</v>
          </cell>
          <cell r="T233">
            <v>537</v>
          </cell>
          <cell r="U233">
            <v>1645</v>
          </cell>
          <cell r="V233">
            <v>460.5</v>
          </cell>
          <cell r="W233">
            <v>2105.5</v>
          </cell>
          <cell r="X233">
            <v>430.96688975000001</v>
          </cell>
          <cell r="Y233">
            <v>482.44703170999998</v>
          </cell>
          <cell r="Z233">
            <v>913.41392145999998</v>
          </cell>
          <cell r="AA233">
            <v>503.69535460000009</v>
          </cell>
          <cell r="AB233">
            <v>1417.10927606</v>
          </cell>
          <cell r="AC233">
            <v>501.87856901999976</v>
          </cell>
          <cell r="AD233">
            <v>1918.9878450799997</v>
          </cell>
          <cell r="AE233">
            <v>579.59999999999991</v>
          </cell>
          <cell r="AF233">
            <v>640.4</v>
          </cell>
          <cell r="AG233">
            <v>1220</v>
          </cell>
          <cell r="AH233">
            <v>916.40000000000009</v>
          </cell>
          <cell r="AI233">
            <v>2136.3999999999996</v>
          </cell>
          <cell r="AJ233">
            <v>913.8</v>
          </cell>
          <cell r="AK233">
            <v>3050.2</v>
          </cell>
          <cell r="AL233">
            <v>1016.47463939</v>
          </cell>
          <cell r="AM233">
            <v>956.47428910999997</v>
          </cell>
          <cell r="AN233">
            <v>1972.9489285</v>
          </cell>
          <cell r="AO233">
            <v>926.84435615000007</v>
          </cell>
          <cell r="AP233">
            <v>2899.7932846500003</v>
          </cell>
          <cell r="AQ233">
            <v>947.50671535000004</v>
          </cell>
          <cell r="AR233">
            <v>3847.3</v>
          </cell>
          <cell r="AS233">
            <v>1038.8999999999999</v>
          </cell>
          <cell r="AT233">
            <v>1075.5999999999999</v>
          </cell>
          <cell r="AU233">
            <v>2114.5</v>
          </cell>
          <cell r="AV233">
            <v>1088.7</v>
          </cell>
          <cell r="AW233">
            <v>3203.2</v>
          </cell>
          <cell r="AX233">
            <v>1069.0999999999999</v>
          </cell>
          <cell r="AY233">
            <v>4272.3</v>
          </cell>
          <cell r="AZ233">
            <v>1090</v>
          </cell>
          <cell r="BA233">
            <v>1097.4000000000001</v>
          </cell>
          <cell r="BB233">
            <v>2187.4</v>
          </cell>
          <cell r="BC233">
            <v>1045.5</v>
          </cell>
          <cell r="BD233">
            <v>3232.9</v>
          </cell>
          <cell r="BF233">
            <v>4269.6000000000004</v>
          </cell>
          <cell r="BL233">
            <v>668.27594101174316</v>
          </cell>
          <cell r="BM233">
            <v>662.98794872648011</v>
          </cell>
          <cell r="BN233">
            <v>1331.2638897382233</v>
          </cell>
          <cell r="BO233">
            <v>644.45478292404118</v>
          </cell>
          <cell r="BP233">
            <v>1975.7186726622645</v>
          </cell>
          <cell r="BQ233">
            <v>676.91285577494386</v>
          </cell>
          <cell r="BR233">
            <v>2652.6315284372085</v>
          </cell>
          <cell r="BS233">
            <v>2761.836423218233</v>
          </cell>
          <cell r="BT233">
            <v>2876.2665123750403</v>
          </cell>
          <cell r="BU233">
            <v>2996.1989244027782</v>
          </cell>
          <cell r="BV233">
            <v>3121.9263926075209</v>
          </cell>
          <cell r="BW233">
            <v>3253.7581620798842</v>
          </cell>
          <cell r="BX233">
            <v>3392.0209502350481</v>
          </cell>
          <cell r="BY233">
            <v>3537.059964108154</v>
          </cell>
          <cell r="BZ233">
            <v>3689.2399777846513</v>
          </cell>
          <cell r="CA233">
            <v>3848.9464735471793</v>
          </cell>
          <cell r="CB233">
            <v>4016.5868505346734</v>
          </cell>
        </row>
        <row r="234">
          <cell r="A234" t="str">
            <v xml:space="preserve">     Year-on-Year Growth %</v>
          </cell>
          <cell r="J234">
            <v>-5.9453668987680675E-2</v>
          </cell>
          <cell r="K234">
            <v>6.6785927251043598E-2</v>
          </cell>
          <cell r="L234">
            <v>2.8216704288963612E-4</v>
          </cell>
          <cell r="M234">
            <v>7.9387467257707067E-2</v>
          </cell>
          <cell r="N234">
            <v>2.5456877204232065E-2</v>
          </cell>
          <cell r="O234">
            <v>-8.9677891654464936E-3</v>
          </cell>
          <cell r="P234">
            <v>1.6525001187141175E-2</v>
          </cell>
          <cell r="Q234">
            <v>4.9164768413060056E-2</v>
          </cell>
          <cell r="R234">
            <v>3.4656232532140674E-2</v>
          </cell>
          <cell r="S234">
            <v>4.1842971321109479E-2</v>
          </cell>
          <cell r="T234">
            <v>2.426731379503444E-3</v>
          </cell>
          <cell r="U234">
            <v>2.8639319659829798E-2</v>
          </cell>
          <cell r="V234">
            <v>-0.14958448753462605</v>
          </cell>
          <cell r="W234">
            <v>-1.644321950763783E-2</v>
          </cell>
          <cell r="X234">
            <v>-0.22025169214763896</v>
          </cell>
          <cell r="Y234">
            <v>-0.13119569294075273</v>
          </cell>
          <cell r="Z234">
            <v>-0.17561920445848378</v>
          </cell>
          <cell r="AA234">
            <v>-6.2019823836126475E-2</v>
          </cell>
          <cell r="AB234">
            <v>-0.13853539449240126</v>
          </cell>
          <cell r="AC234">
            <v>8.9855741628664054E-2</v>
          </cell>
          <cell r="AD234">
            <v>-8.8583307964854141E-2</v>
          </cell>
          <cell r="AE234">
            <v>0.34488289886079326</v>
          </cell>
          <cell r="AF234">
            <v>0.32739960639854426</v>
          </cell>
          <cell r="AG234">
            <v>0.33564857217191646</v>
          </cell>
          <cell r="AH234">
            <v>0.81935368597501035</v>
          </cell>
          <cell r="AI234">
            <v>0.50757604659807831</v>
          </cell>
          <cell r="AJ234">
            <v>0.82075915651139342</v>
          </cell>
          <cell r="AK234">
            <v>0.5894837519790761</v>
          </cell>
          <cell r="AL234">
            <v>0.75375196582125636</v>
          </cell>
          <cell r="AM234">
            <v>0.49355760323235476</v>
          </cell>
          <cell r="AN234">
            <v>0.61717125286885244</v>
          </cell>
          <cell r="AO234">
            <v>1.1397158609777414E-2</v>
          </cell>
          <cell r="AP234">
            <v>0.35732694469668647</v>
          </cell>
          <cell r="AQ234">
            <v>3.6886315769315114E-2</v>
          </cell>
          <cell r="AR234">
            <v>0.26132712609009268</v>
          </cell>
          <cell r="AS234">
            <v>2.2061898783286571E-2</v>
          </cell>
          <cell r="AT234">
            <v>0.12454669429833443</v>
          </cell>
          <cell r="AU234">
            <v>7.1745937999327269E-2</v>
          </cell>
          <cell r="AV234">
            <v>0.17463087817929734</v>
          </cell>
          <cell r="AW234">
            <v>0.10463046347340588</v>
          </cell>
          <cell r="AX234">
            <v>0.12832973390070856</v>
          </cell>
          <cell r="AY234">
            <v>0.11046708080991863</v>
          </cell>
          <cell r="AZ234">
            <v>4.9186639715083302E-2</v>
          </cell>
          <cell r="BA234">
            <v>2.0267757530680663E-2</v>
          </cell>
          <cell r="BB234">
            <v>3.4476235516670561E-2</v>
          </cell>
          <cell r="BC234">
            <v>-3.9680352714246414E-2</v>
          </cell>
          <cell r="BD234">
            <v>9.2719780219781001E-3</v>
          </cell>
          <cell r="BF234">
            <v>-6.3197809142612194E-4</v>
          </cell>
          <cell r="BL234">
            <v>-0.38690280641124486</v>
          </cell>
          <cell r="BM234">
            <v>-0.39585570555268812</v>
          </cell>
          <cell r="BN234">
            <v>-0.3913943998636632</v>
          </cell>
          <cell r="BO234">
            <v>-0.38359179060349957</v>
          </cell>
          <cell r="BP234">
            <v>-0.38887108396106762</v>
          </cell>
          <cell r="BQ234" t="str">
            <v>nm</v>
          </cell>
          <cell r="BR234">
            <v>-0.37871661784775901</v>
          </cell>
          <cell r="BS234">
            <v>4.1168512705329396E-2</v>
          </cell>
          <cell r="BT234">
            <v>4.1432609185256375E-2</v>
          </cell>
          <cell r="BU234">
            <v>4.1697252849043354E-2</v>
          </cell>
          <cell r="BV234">
            <v>4.1962323389393541E-2</v>
          </cell>
          <cell r="BW234">
            <v>4.2227699469318258E-2</v>
          </cell>
          <cell r="BX234">
            <v>4.2493258954065194E-2</v>
          </cell>
          <cell r="BY234">
            <v>4.2758879146384876E-2</v>
          </cell>
          <cell r="BZ234">
            <v>4.302443702417369E-2</v>
          </cell>
          <cell r="CA234">
            <v>4.3289809479520436E-2</v>
          </cell>
          <cell r="CB234">
            <v>4.3554873558165452E-2</v>
          </cell>
        </row>
        <row r="235">
          <cell r="A235" t="str">
            <v>Royalty Income</v>
          </cell>
          <cell r="C235">
            <v>1.7</v>
          </cell>
          <cell r="D235">
            <v>1.8</v>
          </cell>
          <cell r="E235">
            <v>3.5</v>
          </cell>
          <cell r="F235">
            <v>1.2999999999999998</v>
          </cell>
          <cell r="G235">
            <v>4.8</v>
          </cell>
          <cell r="H235">
            <v>1.2</v>
          </cell>
          <cell r="I235">
            <v>6</v>
          </cell>
          <cell r="J235">
            <v>2.5</v>
          </cell>
          <cell r="K235">
            <v>1.7000000000000002</v>
          </cell>
          <cell r="L235">
            <v>4.1999999999999993</v>
          </cell>
          <cell r="M235">
            <v>3.4</v>
          </cell>
          <cell r="N235">
            <v>7.6</v>
          </cell>
          <cell r="O235">
            <v>2.1</v>
          </cell>
          <cell r="P235">
            <v>9.6999999999999993</v>
          </cell>
          <cell r="Q235">
            <v>7</v>
          </cell>
          <cell r="R235">
            <v>4.8</v>
          </cell>
          <cell r="S235">
            <v>11.8</v>
          </cell>
          <cell r="T235">
            <v>4.5</v>
          </cell>
          <cell r="U235">
            <v>16.3</v>
          </cell>
          <cell r="V235">
            <v>5.6</v>
          </cell>
          <cell r="W235">
            <v>21.9</v>
          </cell>
          <cell r="X235">
            <v>5.2802541600000001</v>
          </cell>
          <cell r="Y235">
            <v>4.1125723300000008</v>
          </cell>
          <cell r="Z235">
            <v>9.3928264900000009</v>
          </cell>
          <cell r="AA235">
            <v>4.7846520199999985</v>
          </cell>
          <cell r="AB235">
            <v>14.177478509999998</v>
          </cell>
          <cell r="AC235">
            <v>1.8731342899999985</v>
          </cell>
          <cell r="AD235">
            <v>16.050612799999996</v>
          </cell>
          <cell r="AE235">
            <v>4.895910409999999</v>
          </cell>
          <cell r="AF235">
            <v>3.2664284300000013</v>
          </cell>
          <cell r="AG235">
            <v>8.1623388400000003</v>
          </cell>
          <cell r="AH235">
            <v>2.9650453299999997</v>
          </cell>
          <cell r="AI235">
            <v>11.127384169999999</v>
          </cell>
          <cell r="AJ235">
            <v>3.757070000000001</v>
          </cell>
          <cell r="AK235">
            <v>14.884454170000001</v>
          </cell>
          <cell r="AL235">
            <v>3.5818572000000026</v>
          </cell>
          <cell r="AM235">
            <v>0.6</v>
          </cell>
          <cell r="AN235">
            <v>4.1818572000000023</v>
          </cell>
          <cell r="AO235">
            <v>3.1228752100000232</v>
          </cell>
          <cell r="AP235">
            <v>7.3047324100000264</v>
          </cell>
          <cell r="AQ235">
            <v>5.5952675899999731</v>
          </cell>
          <cell r="AR235">
            <v>12.899999999999999</v>
          </cell>
          <cell r="AS235">
            <v>2.5999999999999996</v>
          </cell>
          <cell r="AT235">
            <v>6.3</v>
          </cell>
          <cell r="AU235">
            <v>8.9</v>
          </cell>
          <cell r="AV235">
            <v>6.1</v>
          </cell>
          <cell r="AW235">
            <v>15</v>
          </cell>
          <cell r="AX235">
            <v>5.0999999999999996</v>
          </cell>
          <cell r="AY235">
            <v>20.099999999999998</v>
          </cell>
          <cell r="AZ235">
            <v>6.6</v>
          </cell>
          <cell r="BA235">
            <v>3.0999999999999885</v>
          </cell>
          <cell r="BB235">
            <v>9.6999999999999886</v>
          </cell>
          <cell r="BC235">
            <v>6.7</v>
          </cell>
          <cell r="BD235">
            <v>16.399999999999988</v>
          </cell>
          <cell r="BF235">
            <v>2.2999999999999998</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row>
        <row r="236">
          <cell r="A236" t="str">
            <v xml:space="preserve">     Year-on-Year Growth %</v>
          </cell>
          <cell r="J236">
            <v>0.47058823529411775</v>
          </cell>
          <cell r="K236">
            <v>-5.5555555555555469E-2</v>
          </cell>
          <cell r="L236">
            <v>0.19999999999999973</v>
          </cell>
          <cell r="M236">
            <v>1.6153846153846159</v>
          </cell>
          <cell r="N236">
            <v>0.58333333333333326</v>
          </cell>
          <cell r="O236">
            <v>0.75000000000000022</v>
          </cell>
          <cell r="P236">
            <v>0.61666666666666647</v>
          </cell>
          <cell r="Q236">
            <v>1.7999999999999998</v>
          </cell>
          <cell r="R236">
            <v>1.8235294117647056</v>
          </cell>
          <cell r="S236">
            <v>1.8095238095238102</v>
          </cell>
          <cell r="T236">
            <v>0.32352941176470584</v>
          </cell>
          <cell r="U236">
            <v>1.1447368421052633</v>
          </cell>
          <cell r="V236">
            <v>1.6666666666666665</v>
          </cell>
          <cell r="W236">
            <v>1.2577319587628866</v>
          </cell>
          <cell r="X236">
            <v>-0.24567797714285711</v>
          </cell>
          <cell r="Y236">
            <v>-0.14321409791666651</v>
          </cell>
          <cell r="Z236">
            <v>-0.20399775508474571</v>
          </cell>
          <cell r="AA236">
            <v>6.3256004444444125E-2</v>
          </cell>
          <cell r="AB236">
            <v>-0.13021604233128847</v>
          </cell>
          <cell r="AC236">
            <v>-0.66551173392857166</v>
          </cell>
          <cell r="AD236">
            <v>-0.26709530593607322</v>
          </cell>
          <cell r="AE236">
            <v>-7.278887310227522E-2</v>
          </cell>
          <cell r="AF236">
            <v>-0.2057456579736312</v>
          </cell>
          <cell r="AG236">
            <v>-0.13100291497027328</v>
          </cell>
          <cell r="AH236">
            <v>-0.38030073710564205</v>
          </cell>
          <cell r="AI236">
            <v>-0.21513658707707672</v>
          </cell>
          <cell r="AJ236">
            <v>1.0057664952575309</v>
          </cell>
          <cell r="AK236">
            <v>-7.2655084546055182E-2</v>
          </cell>
          <cell r="AL236">
            <v>-0.26839813230977738</v>
          </cell>
          <cell r="AM236">
            <v>-0.81631313440411124</v>
          </cell>
          <cell r="AN236">
            <v>-0.48766434695083027</v>
          </cell>
          <cell r="AO236">
            <v>5.3230174393328333E-2</v>
          </cell>
          <cell r="AP236">
            <v>-0.34353552475576776</v>
          </cell>
          <cell r="AQ236">
            <v>0.48926359902795835</v>
          </cell>
          <cell r="AR236">
            <v>-0.13332394640306799</v>
          </cell>
          <cell r="AS236">
            <v>-0.27411958243338186</v>
          </cell>
          <cell r="AT236">
            <v>9.5</v>
          </cell>
          <cell r="AU236">
            <v>1.1282410121512507</v>
          </cell>
          <cell r="AV236">
            <v>0.95332813186600385</v>
          </cell>
          <cell r="AW236">
            <v>1.0534633109168121</v>
          </cell>
          <cell r="AX236">
            <v>-8.8515443101439883E-2</v>
          </cell>
          <cell r="AY236">
            <v>0.55813953488372103</v>
          </cell>
          <cell r="AZ236">
            <v>1.5384615384615388</v>
          </cell>
          <cell r="BA236">
            <v>-0.50793650793650968</v>
          </cell>
          <cell r="BB236">
            <v>8.9887640449436867E-2</v>
          </cell>
          <cell r="BC236">
            <v>9.8360655737705027E-2</v>
          </cell>
          <cell r="BD236">
            <v>9.3333333333332602E-2</v>
          </cell>
          <cell r="BF236">
            <v>-0.88557213930348255</v>
          </cell>
          <cell r="BR236">
            <v>-1</v>
          </cell>
          <cell r="BS236" t="str">
            <v>nm</v>
          </cell>
          <cell r="BT236" t="str">
            <v>nm</v>
          </cell>
          <cell r="BU236" t="str">
            <v>nm</v>
          </cell>
          <cell r="BV236" t="str">
            <v>nm</v>
          </cell>
          <cell r="BW236" t="str">
            <v>nm</v>
          </cell>
          <cell r="BX236" t="str">
            <v>nm</v>
          </cell>
          <cell r="BY236" t="str">
            <v>nm</v>
          </cell>
          <cell r="BZ236" t="str">
            <v>nm</v>
          </cell>
          <cell r="CA236" t="str">
            <v>nm</v>
          </cell>
          <cell r="CB236" t="str">
            <v>nm</v>
          </cell>
        </row>
        <row r="237">
          <cell r="A237" t="str">
            <v>Total Chemical Revenues</v>
          </cell>
          <cell r="C237">
            <v>561.79999999999995</v>
          </cell>
          <cell r="D237">
            <v>504.90000000000003</v>
          </cell>
          <cell r="E237">
            <v>1066.6999999999998</v>
          </cell>
          <cell r="F237">
            <v>497.6</v>
          </cell>
          <cell r="G237">
            <v>1564.3</v>
          </cell>
          <cell r="H237">
            <v>547.6</v>
          </cell>
          <cell r="I237">
            <v>2111.8999999999996</v>
          </cell>
          <cell r="J237">
            <v>529.29999999999995</v>
          </cell>
          <cell r="K237">
            <v>538.40000000000009</v>
          </cell>
          <cell r="L237">
            <v>1067.7</v>
          </cell>
          <cell r="M237">
            <v>539.1</v>
          </cell>
          <cell r="N237">
            <v>1606.8</v>
          </cell>
          <cell r="O237">
            <v>543.6</v>
          </cell>
          <cell r="P237">
            <v>2150.4</v>
          </cell>
          <cell r="Q237">
            <v>559.70000000000005</v>
          </cell>
          <cell r="R237">
            <v>560.09999999999991</v>
          </cell>
          <cell r="S237">
            <v>1119.8</v>
          </cell>
          <cell r="T237">
            <v>541.5</v>
          </cell>
          <cell r="U237">
            <v>1661.3</v>
          </cell>
          <cell r="V237">
            <v>466.1</v>
          </cell>
          <cell r="W237">
            <v>2127.4</v>
          </cell>
          <cell r="X237">
            <v>436.24714391000003</v>
          </cell>
          <cell r="Y237">
            <v>486.55960403999995</v>
          </cell>
          <cell r="Z237">
            <v>922.80674794999993</v>
          </cell>
          <cell r="AA237">
            <v>508.4800066200001</v>
          </cell>
          <cell r="AB237">
            <v>1431.2867545699999</v>
          </cell>
          <cell r="AC237">
            <v>503.75170330999975</v>
          </cell>
          <cell r="AD237">
            <v>1935.0384578799997</v>
          </cell>
          <cell r="AE237">
            <v>584.49591040999985</v>
          </cell>
          <cell r="AF237">
            <v>643.66642843</v>
          </cell>
          <cell r="AG237">
            <v>1228.1623388400001</v>
          </cell>
          <cell r="AH237">
            <v>919.36504533000004</v>
          </cell>
          <cell r="AI237">
            <v>2147.5273841699996</v>
          </cell>
          <cell r="AJ237">
            <v>917.55706999999995</v>
          </cell>
          <cell r="AK237">
            <v>3065.0844541699998</v>
          </cell>
          <cell r="AL237">
            <v>1020.0564965900001</v>
          </cell>
          <cell r="AM237">
            <v>957.07428911</v>
          </cell>
          <cell r="AN237">
            <v>1977.1307856999999</v>
          </cell>
          <cell r="AO237">
            <v>929.96723136000014</v>
          </cell>
          <cell r="AP237">
            <v>2907.0980170600001</v>
          </cell>
          <cell r="AQ237">
            <v>953.10198293999997</v>
          </cell>
          <cell r="AR237">
            <v>3860.2000000000003</v>
          </cell>
          <cell r="AS237">
            <v>1041.4999999999998</v>
          </cell>
          <cell r="AT237">
            <v>1081.8999999999999</v>
          </cell>
          <cell r="AU237">
            <v>2123.4</v>
          </cell>
          <cell r="AV237">
            <v>1094.8</v>
          </cell>
          <cell r="AW237">
            <v>3218.2</v>
          </cell>
          <cell r="AX237">
            <v>1074.1999999999998</v>
          </cell>
          <cell r="AY237">
            <v>4292.4000000000005</v>
          </cell>
          <cell r="BF237">
            <v>4271.9000000000005</v>
          </cell>
          <cell r="BR237">
            <v>2652.6315284372085</v>
          </cell>
          <cell r="BS237">
            <v>2761.836423218233</v>
          </cell>
          <cell r="BT237">
            <v>2876.2665123750403</v>
          </cell>
          <cell r="BU237">
            <v>2996.1989244027782</v>
          </cell>
          <cell r="BV237">
            <v>3121.9263926075209</v>
          </cell>
          <cell r="BW237">
            <v>3253.7581620798842</v>
          </cell>
          <cell r="BX237">
            <v>3392.0209502350481</v>
          </cell>
          <cell r="BY237">
            <v>3537.059964108154</v>
          </cell>
          <cell r="BZ237">
            <v>3689.2399777846513</v>
          </cell>
          <cell r="CA237">
            <v>3848.9464735471793</v>
          </cell>
          <cell r="CB237">
            <v>4016.5868505346734</v>
          </cell>
        </row>
        <row r="238">
          <cell r="A238" t="str">
            <v xml:space="preserve">     Year-on-Year Growth %</v>
          </cell>
          <cell r="J238">
            <v>-5.7849768600925604E-2</v>
          </cell>
          <cell r="K238">
            <v>6.6349772232125279E-2</v>
          </cell>
          <cell r="L238">
            <v>9.3747070404071205E-4</v>
          </cell>
          <cell r="M238">
            <v>8.3400321543408359E-2</v>
          </cell>
          <cell r="N238">
            <v>2.7168701655692643E-2</v>
          </cell>
          <cell r="O238">
            <v>-7.3046018991964933E-3</v>
          </cell>
          <cell r="P238">
            <v>1.8230029830958124E-2</v>
          </cell>
          <cell r="Q238">
            <v>5.7434347251086516E-2</v>
          </cell>
          <cell r="R238">
            <v>4.030460624071288E-2</v>
          </cell>
          <cell r="S238">
            <v>4.8796478411538738E-2</v>
          </cell>
          <cell r="T238">
            <v>4.4518642181413043E-3</v>
          </cell>
          <cell r="U238">
            <v>3.3918347025143146E-2</v>
          </cell>
          <cell r="V238">
            <v>-0.14256806475349521</v>
          </cell>
          <cell r="W238">
            <v>-1.0695684523809524E-2</v>
          </cell>
          <cell r="X238">
            <v>-0.22056969106664284</v>
          </cell>
          <cell r="Y238">
            <v>-0.13129868944831274</v>
          </cell>
          <cell r="Z238">
            <v>-0.1759182461600286</v>
          </cell>
          <cell r="AA238">
            <v>-6.0978750470913945E-2</v>
          </cell>
          <cell r="AB238">
            <v>-0.13845376839222301</v>
          </cell>
          <cell r="AC238">
            <v>8.0780311757133086E-2</v>
          </cell>
          <cell r="AD238">
            <v>-9.042095615305086E-2</v>
          </cell>
          <cell r="AE238">
            <v>0.3398274775423728</v>
          </cell>
          <cell r="AF238">
            <v>0.32289327573746612</v>
          </cell>
          <cell r="AG238">
            <v>0.3308987407908997</v>
          </cell>
          <cell r="AH238">
            <v>0.80806527957954633</v>
          </cell>
          <cell r="AI238">
            <v>0.50041728347802616</v>
          </cell>
          <cell r="AJ238">
            <v>0.82144708190763538</v>
          </cell>
          <cell r="AK238">
            <v>0.58399149210091794</v>
          </cell>
          <cell r="AL238">
            <v>0.74519013464862804</v>
          </cell>
          <cell r="AM238">
            <v>0.48691037288436695</v>
          </cell>
          <cell r="AN238">
            <v>0.60982854071832304</v>
          </cell>
          <cell r="AO238">
            <v>1.153207432004826E-2</v>
          </cell>
          <cell r="AP238">
            <v>0.35369543526615743</v>
          </cell>
          <cell r="AQ238">
            <v>3.8738639919149685E-2</v>
          </cell>
          <cell r="AR238">
            <v>0.25941064845644241</v>
          </cell>
          <cell r="AS238">
            <v>2.1021878181928477E-2</v>
          </cell>
          <cell r="AT238">
            <v>0.13042426519061281</v>
          </cell>
          <cell r="AU238">
            <v>7.3980545625975766E-2</v>
          </cell>
          <cell r="AV238">
            <v>0.17724578144430478</v>
          </cell>
          <cell r="AW238">
            <v>0.10701461770959574</v>
          </cell>
          <cell r="AX238">
            <v>0.12705672554205907</v>
          </cell>
          <cell r="AY238">
            <v>0.1119631107196519</v>
          </cell>
          <cell r="BF238">
            <v>-4.7758829559220945E-3</v>
          </cell>
          <cell r="BR238">
            <v>-0.37905111813544135</v>
          </cell>
          <cell r="BS238">
            <v>4.1168512705329355E-2</v>
          </cell>
          <cell r="BT238">
            <v>4.1432609185256347E-2</v>
          </cell>
          <cell r="BU238">
            <v>4.1697252849043263E-2</v>
          </cell>
          <cell r="BV238">
            <v>4.1962323389393638E-2</v>
          </cell>
          <cell r="BW238">
            <v>4.2227699469318251E-2</v>
          </cell>
          <cell r="BX238">
            <v>4.2493258954065236E-2</v>
          </cell>
          <cell r="BY238">
            <v>4.2758879146384841E-2</v>
          </cell>
          <cell r="BZ238">
            <v>4.302443702417369E-2</v>
          </cell>
          <cell r="CA238">
            <v>4.3289809479520498E-2</v>
          </cell>
          <cell r="CB238">
            <v>4.3554873558165445E-2</v>
          </cell>
        </row>
        <row r="240">
          <cell r="A240" t="str">
            <v>TOTAL REVENUES</v>
          </cell>
          <cell r="C240">
            <v>1573.6999999999998</v>
          </cell>
          <cell r="D240">
            <v>1069.2</v>
          </cell>
          <cell r="E240">
            <v>2642.9</v>
          </cell>
          <cell r="F240">
            <v>1076.3000000000002</v>
          </cell>
          <cell r="G240">
            <v>3719.2</v>
          </cell>
          <cell r="H240">
            <v>706.9</v>
          </cell>
          <cell r="I240">
            <v>4426.0999999999995</v>
          </cell>
          <cell r="J240">
            <v>1707.7</v>
          </cell>
          <cell r="K240">
            <v>1787.4000000000003</v>
          </cell>
          <cell r="L240">
            <v>3495.1000000000004</v>
          </cell>
          <cell r="M240">
            <v>1734.5</v>
          </cell>
          <cell r="N240">
            <v>5229.6000000000004</v>
          </cell>
          <cell r="O240">
            <v>1798.5</v>
          </cell>
          <cell r="P240">
            <v>7028.1</v>
          </cell>
          <cell r="Q240">
            <v>1859</v>
          </cell>
          <cell r="R240">
            <v>1910.1</v>
          </cell>
          <cell r="S240">
            <v>3769.1000000000004</v>
          </cell>
          <cell r="T240">
            <v>1898.4</v>
          </cell>
          <cell r="U240">
            <v>5667.5</v>
          </cell>
          <cell r="V240">
            <v>1915.4</v>
          </cell>
          <cell r="W240">
            <v>7582.9</v>
          </cell>
          <cell r="X240">
            <v>1858.4734859199996</v>
          </cell>
          <cell r="Y240">
            <v>1909.7069299099999</v>
          </cell>
          <cell r="Z240">
            <v>3768.1804158300001</v>
          </cell>
          <cell r="AA240">
            <v>1950.0174498099987</v>
          </cell>
          <cell r="AB240">
            <v>5718.1978656399988</v>
          </cell>
          <cell r="AC240">
            <v>2028.7648827599912</v>
          </cell>
          <cell r="AD240">
            <v>7746.9627483999893</v>
          </cell>
          <cell r="AE240">
            <v>2098.8475433999997</v>
          </cell>
          <cell r="AF240">
            <v>2208.0521128100008</v>
          </cell>
          <cell r="AG240">
            <v>4306.8996562100001</v>
          </cell>
          <cell r="AH240">
            <v>2437.7704514000034</v>
          </cell>
          <cell r="AI240">
            <v>6744.6701076100035</v>
          </cell>
          <cell r="AJ240">
            <v>2545.9036761100033</v>
          </cell>
          <cell r="AK240">
            <v>9290.5737837200068</v>
          </cell>
          <cell r="AL240">
            <v>2563.8328415199994</v>
          </cell>
          <cell r="AM240">
            <v>2555.2446663200012</v>
          </cell>
          <cell r="AN240">
            <v>5119.0775078400002</v>
          </cell>
          <cell r="AO240">
            <v>2531.6010713100031</v>
          </cell>
          <cell r="AP240">
            <v>7650.6785791500024</v>
          </cell>
          <cell r="AQ240">
            <v>2625.8031309699986</v>
          </cell>
          <cell r="AR240">
            <v>10276.481710120002</v>
          </cell>
          <cell r="AS240">
            <v>2644.9</v>
          </cell>
          <cell r="AT240">
            <v>2852.0999999999995</v>
          </cell>
          <cell r="AU240">
            <v>5497</v>
          </cell>
          <cell r="AV240">
            <v>2841</v>
          </cell>
          <cell r="AW240">
            <v>8338</v>
          </cell>
          <cell r="AX240">
            <v>2834.7</v>
          </cell>
          <cell r="AY240">
            <v>11172.7</v>
          </cell>
          <cell r="AZ240">
            <v>2760.5</v>
          </cell>
          <cell r="BA240">
            <v>2841.1</v>
          </cell>
          <cell r="BB240">
            <v>5601.7</v>
          </cell>
          <cell r="BC240">
            <v>2751.7</v>
          </cell>
          <cell r="BD240">
            <v>8353.4</v>
          </cell>
          <cell r="BE240">
            <v>2741.8</v>
          </cell>
          <cell r="BF240">
            <v>11095.100000000002</v>
          </cell>
          <cell r="BG240">
            <v>2761</v>
          </cell>
          <cell r="BH240">
            <v>2841.7</v>
          </cell>
          <cell r="BI240">
            <v>2751.7</v>
          </cell>
          <cell r="BJ240">
            <v>2740.7000000000003</v>
          </cell>
          <cell r="BK240">
            <v>11095.099999999999</v>
          </cell>
          <cell r="BL240">
            <v>2744.0500345995629</v>
          </cell>
          <cell r="BM240">
            <v>2791.8913340709923</v>
          </cell>
          <cell r="BN240">
            <v>5535.9413686705557</v>
          </cell>
          <cell r="BO240">
            <v>2818.4195413209709</v>
          </cell>
          <cell r="BP240">
            <v>8354.3609099915266</v>
          </cell>
          <cell r="BQ240">
            <v>2836.3025015447806</v>
          </cell>
          <cell r="BR240">
            <v>11190.663411536309</v>
          </cell>
          <cell r="BS240">
            <v>11447.203938008561</v>
          </cell>
          <cell r="BT240">
            <v>11587.314006160861</v>
          </cell>
          <cell r="BU240">
            <v>11700.293463749169</v>
          </cell>
          <cell r="BV240">
            <v>11781.405304705513</v>
          </cell>
          <cell r="BW240">
            <v>11872.702344209405</v>
          </cell>
          <cell r="BX240">
            <v>11949.579107907361</v>
          </cell>
          <cell r="BY240">
            <v>12059.33544603158</v>
          </cell>
          <cell r="BZ240">
            <v>12171.194690543623</v>
          </cell>
          <cell r="CA240">
            <v>12315.862904417241</v>
          </cell>
          <cell r="CB240">
            <v>12557.243418788228</v>
          </cell>
        </row>
        <row r="241">
          <cell r="A241" t="str">
            <v xml:space="preserve">     Year-on-Year Growth %</v>
          </cell>
          <cell r="J241">
            <v>8.5149647327953382E-2</v>
          </cell>
          <cell r="K241">
            <v>0.67171717171717193</v>
          </cell>
          <cell r="L241">
            <v>0.32244882515418677</v>
          </cell>
          <cell r="M241">
            <v>0.61153953358728952</v>
          </cell>
          <cell r="N241">
            <v>0.4061088406108842</v>
          </cell>
          <cell r="O241">
            <v>1.5442071014287735</v>
          </cell>
          <cell r="P241">
            <v>0.58787646008901773</v>
          </cell>
          <cell r="Q241">
            <v>8.8598700005855804E-2</v>
          </cell>
          <cell r="R241">
            <v>6.8647197045988345E-2</v>
          </cell>
          <cell r="S241">
            <v>7.8395467940831437E-2</v>
          </cell>
          <cell r="T241">
            <v>9.4494090515998899E-2</v>
          </cell>
          <cell r="U241">
            <v>8.3734893682117104E-2</v>
          </cell>
          <cell r="V241">
            <v>6.4998609952738443E-2</v>
          </cell>
          <cell r="W241">
            <v>7.8940254122735767E-2</v>
          </cell>
          <cell r="X241">
            <v>-2.8322435718150871E-4</v>
          </cell>
          <cell r="Y241">
            <v>-2.0578508455056671E-4</v>
          </cell>
          <cell r="Z241">
            <v>-2.4397977501266474E-4</v>
          </cell>
          <cell r="AA241">
            <v>2.7189975668983648E-2</v>
          </cell>
          <cell r="AB241">
            <v>8.9453666766649807E-3</v>
          </cell>
          <cell r="AC241">
            <v>5.9186009585460546E-2</v>
          </cell>
          <cell r="AD241">
            <v>2.1635884476913805E-2</v>
          </cell>
          <cell r="AE241">
            <v>0.12933951401572341</v>
          </cell>
          <cell r="AF241">
            <v>0.15622563767628014</v>
          </cell>
          <cell r="AG241">
            <v>0.14296535222062576</v>
          </cell>
          <cell r="AH241">
            <v>0.25012750610899881</v>
          </cell>
          <cell r="AI241">
            <v>0.17950974521849966</v>
          </cell>
          <cell r="AJ241">
            <v>0.25490326540278108</v>
          </cell>
          <cell r="AK241">
            <v>0.1992537056717906</v>
          </cell>
          <cell r="AL241">
            <v>0.22154315094594867</v>
          </cell>
          <cell r="AM241">
            <v>0.15723929317418051</v>
          </cell>
          <cell r="AN241">
            <v>0.18857598654729352</v>
          </cell>
          <cell r="AO241">
            <v>3.8490342622749064E-2</v>
          </cell>
          <cell r="AP241">
            <v>0.13432954571310324</v>
          </cell>
          <cell r="AQ241">
            <v>3.1383534110008895E-2</v>
          </cell>
          <cell r="AR241">
            <v>0.10611916436502715</v>
          </cell>
          <cell r="AS241">
            <v>3.1619517921433214E-2</v>
          </cell>
          <cell r="AT241">
            <v>0.11617491569115446</v>
          </cell>
          <cell r="AU241">
            <v>7.3826288346133015E-2</v>
          </cell>
          <cell r="AV241">
            <v>0.12221472498030474</v>
          </cell>
          <cell r="AW241">
            <v>8.9837968454604664E-2</v>
          </cell>
          <cell r="AX241">
            <v>7.955541927959868E-2</v>
          </cell>
          <cell r="AY241">
            <v>8.7210614990675908E-2</v>
          </cell>
          <cell r="AZ241">
            <v>4.3706756399107684E-2</v>
          </cell>
          <cell r="BA241">
            <v>-3.856807264822253E-3</v>
          </cell>
          <cell r="BB241">
            <v>1.904675277424046E-2</v>
          </cell>
          <cell r="BC241">
            <v>-3.1432594156987043E-2</v>
          </cell>
          <cell r="BD241">
            <v>1.8469656992083996E-3</v>
          </cell>
          <cell r="BE241">
            <v>-3.2772427417363303E-2</v>
          </cell>
          <cell r="BF241">
            <v>-6.9455010874720112E-3</v>
          </cell>
          <cell r="BL241">
            <v>-5.9590528529024174E-3</v>
          </cell>
          <cell r="BM241">
            <v>-1.7320286483758954E-2</v>
          </cell>
          <cell r="BN241">
            <v>-1.1739049097496143E-2</v>
          </cell>
          <cell r="BO241">
            <v>2.4246662543508043E-2</v>
          </cell>
          <cell r="BP241">
            <v>1.150322014421592E-4</v>
          </cell>
          <cell r="BQ241">
            <v>3.4467321301619537E-2</v>
          </cell>
          <cell r="BR241">
            <v>8.6131185420867187E-3</v>
          </cell>
          <cell r="BS241">
            <v>2.2924514574157229E-2</v>
          </cell>
          <cell r="BT241">
            <v>1.2239676073830381E-2</v>
          </cell>
          <cell r="BU241">
            <v>9.7502715062557088E-3</v>
          </cell>
          <cell r="BV241">
            <v>6.9324620965834473E-3</v>
          </cell>
          <cell r="BW241">
            <v>7.7492486798181664E-3</v>
          </cell>
          <cell r="BX241">
            <v>6.4750855760693886E-3</v>
          </cell>
          <cell r="BY241">
            <v>9.1849543095280303E-3</v>
          </cell>
          <cell r="BZ241">
            <v>9.2757387015760494E-3</v>
          </cell>
          <cell r="CA241">
            <v>1.1886114514791006E-2</v>
          </cell>
          <cell r="CB241">
            <v>1.9599155677870749E-2</v>
          </cell>
        </row>
        <row r="244">
          <cell r="A244" t="str">
            <v>Total Serono Revenue</v>
          </cell>
          <cell r="C244">
            <v>476.4</v>
          </cell>
          <cell r="D244">
            <v>469.20000000000005</v>
          </cell>
          <cell r="E244">
            <v>945.6</v>
          </cell>
          <cell r="F244">
            <v>475.9</v>
          </cell>
          <cell r="G244">
            <v>1421.5</v>
          </cell>
          <cell r="H244">
            <v>492.90000000000003</v>
          </cell>
          <cell r="I244">
            <v>1914.3999999999999</v>
          </cell>
          <cell r="J244">
            <v>1077.6000000000001</v>
          </cell>
          <cell r="K244">
            <v>1142.3000000000002</v>
          </cell>
          <cell r="L244">
            <v>2219.9000000000005</v>
          </cell>
          <cell r="M244">
            <v>1092</v>
          </cell>
          <cell r="N244">
            <v>3311.9000000000005</v>
          </cell>
          <cell r="O244">
            <v>1146</v>
          </cell>
          <cell r="P244">
            <v>4457.9000000000005</v>
          </cell>
          <cell r="Q244">
            <v>1188.4000000000001</v>
          </cell>
          <cell r="R244">
            <v>1243</v>
          </cell>
          <cell r="S244">
            <v>2431.4</v>
          </cell>
          <cell r="T244">
            <v>1245.8</v>
          </cell>
          <cell r="U244">
            <v>3677.2</v>
          </cell>
          <cell r="V244">
            <v>1336.3</v>
          </cell>
          <cell r="W244">
            <v>5013.5</v>
          </cell>
          <cell r="X244">
            <v>1314.6787380899996</v>
          </cell>
          <cell r="Y244">
            <v>1319.0308523000001</v>
          </cell>
          <cell r="Z244">
            <v>2633.7095903900004</v>
          </cell>
          <cell r="AA244">
            <v>1318.6259098899986</v>
          </cell>
          <cell r="AB244">
            <v>3952.3355002799985</v>
          </cell>
          <cell r="AC244">
            <v>1392.6031826899914</v>
          </cell>
          <cell r="AD244">
            <v>5344.9386829699897</v>
          </cell>
          <cell r="AE244">
            <v>1406.76607096</v>
          </cell>
          <cell r="AF244">
            <v>1450.5119982400004</v>
          </cell>
          <cell r="AG244">
            <v>2857.2780692000001</v>
          </cell>
          <cell r="AH244">
            <v>1393.4521458400031</v>
          </cell>
          <cell r="AI244">
            <v>4250.7302150400037</v>
          </cell>
          <cell r="AJ244">
            <v>1502.8119982300029</v>
          </cell>
          <cell r="AK244">
            <v>5753.5422132700078</v>
          </cell>
          <cell r="AL244">
            <v>1427.2040204999994</v>
          </cell>
          <cell r="AM244">
            <v>1479.8703772100014</v>
          </cell>
          <cell r="AN244">
            <v>2907.0743977100001</v>
          </cell>
          <cell r="AO244">
            <v>1468.8285145500026</v>
          </cell>
          <cell r="AP244">
            <v>4375.9029122600032</v>
          </cell>
          <cell r="AQ244">
            <v>1544.1787978599987</v>
          </cell>
          <cell r="AR244">
            <v>5920.0817101200028</v>
          </cell>
          <cell r="AS244">
            <v>1495.5</v>
          </cell>
          <cell r="AT244">
            <v>1648.6</v>
          </cell>
          <cell r="AU244">
            <v>3144.1</v>
          </cell>
          <cell r="AV244">
            <v>1623.0000000000002</v>
          </cell>
          <cell r="AW244">
            <v>4767.0999999999995</v>
          </cell>
          <cell r="AX244">
            <v>1638.1</v>
          </cell>
          <cell r="AY244">
            <v>6405.1999999999989</v>
          </cell>
          <cell r="AZ244">
            <v>1547.7</v>
          </cell>
          <cell r="BA244">
            <v>1623.8</v>
          </cell>
          <cell r="BB244">
            <v>3171.6000000000004</v>
          </cell>
          <cell r="BC244">
            <v>1568.1</v>
          </cell>
          <cell r="BD244">
            <v>4739.7</v>
          </cell>
          <cell r="BE244">
            <v>1586.2</v>
          </cell>
          <cell r="BF244">
            <v>6325.8</v>
          </cell>
          <cell r="BL244">
            <v>1464.9467817519328</v>
          </cell>
          <cell r="BM244">
            <v>1516.9555005986397</v>
          </cell>
          <cell r="BN244">
            <v>2981.9022823505725</v>
          </cell>
          <cell r="BO244">
            <v>1418.3048243535497</v>
          </cell>
          <cell r="BP244">
            <v>4400.2071067041215</v>
          </cell>
          <cell r="BQ244">
            <v>1439.9969283390469</v>
          </cell>
          <cell r="BR244">
            <v>5840.2040350431689</v>
          </cell>
          <cell r="BS244">
            <v>5615.8859510717439</v>
          </cell>
          <cell r="BT244">
            <v>5546.6470270588325</v>
          </cell>
          <cell r="BU244">
            <v>5444.9449310223245</v>
          </cell>
          <cell r="BV244">
            <v>5312.0677848168471</v>
          </cell>
          <cell r="BW244">
            <v>5180.6288448028135</v>
          </cell>
          <cell r="BX244">
            <v>5025.6098835291832</v>
          </cell>
          <cell r="BY244">
            <v>4893.8765180196006</v>
          </cell>
          <cell r="BZ244">
            <v>4754.1951806097131</v>
          </cell>
          <cell r="CA244">
            <v>4636.7911141187033</v>
          </cell>
          <cell r="CB244">
            <v>4605.0615831305349</v>
          </cell>
        </row>
        <row r="245">
          <cell r="A245" t="str">
            <v>Total CHC Revenue</v>
          </cell>
          <cell r="C245">
            <v>99</v>
          </cell>
          <cell r="D245">
            <v>95.1</v>
          </cell>
          <cell r="E245">
            <v>194.10000000000002</v>
          </cell>
          <cell r="F245">
            <v>102.8</v>
          </cell>
          <cell r="G245">
            <v>296.90000000000003</v>
          </cell>
          <cell r="H245">
            <v>102.9</v>
          </cell>
          <cell r="I245">
            <v>399.8</v>
          </cell>
          <cell r="J245">
            <v>100.80000000000001</v>
          </cell>
          <cell r="K245">
            <v>106.7</v>
          </cell>
          <cell r="L245">
            <v>207.50000000000003</v>
          </cell>
          <cell r="M245">
            <v>103.39999999999999</v>
          </cell>
          <cell r="N245">
            <v>310.90000000000003</v>
          </cell>
          <cell r="O245">
            <v>108.9</v>
          </cell>
          <cell r="P245">
            <v>419.80000000000007</v>
          </cell>
          <cell r="Q245">
            <v>110.89999999999999</v>
          </cell>
          <cell r="R245">
            <v>107</v>
          </cell>
          <cell r="S245">
            <v>217.9</v>
          </cell>
          <cell r="T245">
            <v>111.10000000000001</v>
          </cell>
          <cell r="U245">
            <v>329</v>
          </cell>
          <cell r="V245">
            <v>113</v>
          </cell>
          <cell r="W245">
            <v>442</v>
          </cell>
          <cell r="X245">
            <v>107.54760391999999</v>
          </cell>
          <cell r="Y245">
            <v>104.11647357000001</v>
          </cell>
          <cell r="Z245">
            <v>211.66407748999998</v>
          </cell>
          <cell r="AA245">
            <v>122.91153329999997</v>
          </cell>
          <cell r="AB245">
            <v>334.57561078999993</v>
          </cell>
          <cell r="AC245">
            <v>132.40999675999998</v>
          </cell>
          <cell r="AD245">
            <v>466.98560754999994</v>
          </cell>
          <cell r="AE245">
            <v>107.58556203000001</v>
          </cell>
          <cell r="AF245">
            <v>113.87368614000003</v>
          </cell>
          <cell r="AG245">
            <v>221.45924817000002</v>
          </cell>
          <cell r="AH245">
            <v>124.95326022999997</v>
          </cell>
          <cell r="AI245">
            <v>346.41250840000004</v>
          </cell>
          <cell r="AJ245">
            <v>125.53460788000007</v>
          </cell>
          <cell r="AK245">
            <v>471.9471162800001</v>
          </cell>
          <cell r="AL245">
            <v>116.57232443000001</v>
          </cell>
          <cell r="AM245">
            <v>118.3</v>
          </cell>
          <cell r="AN245">
            <v>234.87232442999999</v>
          </cell>
          <cell r="AO245">
            <v>132.80532539999996</v>
          </cell>
          <cell r="AP245">
            <v>367.67764983000001</v>
          </cell>
          <cell r="AQ245">
            <v>128.52235016999998</v>
          </cell>
          <cell r="AR245">
            <v>496.2</v>
          </cell>
          <cell r="AS245">
            <v>107.89999999999999</v>
          </cell>
          <cell r="AT245">
            <v>121.6</v>
          </cell>
          <cell r="AU245">
            <v>229.5</v>
          </cell>
          <cell r="AV245">
            <v>123.2</v>
          </cell>
          <cell r="AW245">
            <v>352.70000000000005</v>
          </cell>
          <cell r="AX245">
            <v>122.39999999999998</v>
          </cell>
          <cell r="AY245">
            <v>475.1</v>
          </cell>
          <cell r="AZ245">
            <v>116.19999999999999</v>
          </cell>
          <cell r="BA245">
            <v>116.8</v>
          </cell>
          <cell r="BB245">
            <v>233</v>
          </cell>
          <cell r="BC245">
            <v>131.4</v>
          </cell>
          <cell r="BD245">
            <v>364.4</v>
          </cell>
          <cell r="BE245">
            <v>115.19999999999999</v>
          </cell>
          <cell r="BF245">
            <v>479.59999999999997</v>
          </cell>
          <cell r="BL245">
            <v>186.30171745724689</v>
          </cell>
          <cell r="BM245">
            <v>184.12390287925666</v>
          </cell>
          <cell r="BN245">
            <v>370.42562033650358</v>
          </cell>
          <cell r="BO245">
            <v>206.7660807838021</v>
          </cell>
          <cell r="BP245">
            <v>577.19170112030565</v>
          </cell>
          <cell r="BQ245">
            <v>187.60479755258041</v>
          </cell>
          <cell r="BR245">
            <v>764.79649867288606</v>
          </cell>
          <cell r="BS245">
            <v>795.28035861980152</v>
          </cell>
          <cell r="BT245">
            <v>826.98357296459358</v>
          </cell>
          <cell r="BU245">
            <v>859.95491588317736</v>
          </cell>
          <cell r="BV245">
            <v>894.24511251850447</v>
          </cell>
          <cell r="BW245">
            <v>929.9069170192447</v>
          </cell>
          <cell r="BX245">
            <v>966.99519370001451</v>
          </cell>
          <cell r="BY245">
            <v>1005.5670014480152</v>
          </cell>
          <cell r="BZ245">
            <v>1045.6816815059358</v>
          </cell>
          <cell r="CA245">
            <v>1087.4009487661733</v>
          </cell>
          <cell r="CB245">
            <v>1130.7889867168203</v>
          </cell>
        </row>
        <row r="246">
          <cell r="A246" t="str">
            <v>Total Generic Revenue</v>
          </cell>
          <cell r="C246">
            <v>436.5</v>
          </cell>
          <cell r="D246">
            <v>0</v>
          </cell>
          <cell r="E246">
            <v>436.5</v>
          </cell>
          <cell r="F246">
            <v>0</v>
          </cell>
          <cell r="G246">
            <v>436.5</v>
          </cell>
          <cell r="H246">
            <v>-436.5</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L246">
            <v>0</v>
          </cell>
          <cell r="BM246">
            <v>0</v>
          </cell>
          <cell r="BN246">
            <v>0</v>
          </cell>
          <cell r="BO246">
            <v>0</v>
          </cell>
          <cell r="BP246">
            <v>0</v>
          </cell>
          <cell r="BQ246">
            <v>0</v>
          </cell>
          <cell r="BR246">
            <v>0</v>
          </cell>
          <cell r="BS246">
            <v>0</v>
          </cell>
          <cell r="BT246">
            <v>0</v>
          </cell>
          <cell r="BU246">
            <v>0</v>
          </cell>
          <cell r="BV246">
            <v>0</v>
          </cell>
          <cell r="BW246">
            <v>0</v>
          </cell>
          <cell r="BX246">
            <v>0</v>
          </cell>
          <cell r="BY246">
            <v>0</v>
          </cell>
          <cell r="BZ246">
            <v>0</v>
          </cell>
          <cell r="CA246">
            <v>0</v>
          </cell>
          <cell r="CB246">
            <v>0</v>
          </cell>
        </row>
        <row r="247">
          <cell r="A247" t="str">
            <v>Total LCD Revenue</v>
          </cell>
          <cell r="C247">
            <v>233.89999999999998</v>
          </cell>
          <cell r="D247">
            <v>199.1</v>
          </cell>
          <cell r="E247">
            <v>433</v>
          </cell>
          <cell r="F247">
            <v>208.2</v>
          </cell>
          <cell r="G247">
            <v>641.20000000000005</v>
          </cell>
          <cell r="H247">
            <v>254</v>
          </cell>
          <cell r="I247">
            <v>895.2</v>
          </cell>
          <cell r="J247">
            <v>206.5</v>
          </cell>
          <cell r="K247">
            <v>222.4</v>
          </cell>
          <cell r="L247">
            <v>428.90000000000003</v>
          </cell>
          <cell r="M247">
            <v>238.4</v>
          </cell>
          <cell r="N247">
            <v>667.3</v>
          </cell>
          <cell r="O247">
            <v>248.4</v>
          </cell>
          <cell r="P247">
            <v>915.69999999999993</v>
          </cell>
          <cell r="Q247">
            <v>233.9</v>
          </cell>
          <cell r="R247">
            <v>238</v>
          </cell>
          <cell r="S247">
            <v>471.90000000000003</v>
          </cell>
          <cell r="T247">
            <v>238.7</v>
          </cell>
          <cell r="U247">
            <v>710.6</v>
          </cell>
          <cell r="V247">
            <v>167.4</v>
          </cell>
          <cell r="W247">
            <v>878</v>
          </cell>
          <cell r="X247">
            <v>131.24737668</v>
          </cell>
          <cell r="Y247">
            <v>189.00041898000001</v>
          </cell>
          <cell r="Z247">
            <v>320.24779566000001</v>
          </cell>
          <cell r="AA247">
            <v>211.23713097000001</v>
          </cell>
          <cell r="AB247">
            <v>531.4849266299999</v>
          </cell>
          <cell r="AC247">
            <v>201.14669620999999</v>
          </cell>
          <cell r="AD247">
            <v>732.63162283999986</v>
          </cell>
          <cell r="AE247">
            <v>238.94034576999999</v>
          </cell>
          <cell r="AF247">
            <v>283.70481532000002</v>
          </cell>
          <cell r="AG247">
            <v>522.64516108999999</v>
          </cell>
          <cell r="AH247">
            <v>255.38297788</v>
          </cell>
          <cell r="AI247">
            <v>778.0281389700001</v>
          </cell>
          <cell r="AJ247">
            <v>235.20567384</v>
          </cell>
          <cell r="AK247">
            <v>1013.2338128100001</v>
          </cell>
          <cell r="AL247">
            <v>301.7</v>
          </cell>
          <cell r="AM247">
            <v>272.89999999999998</v>
          </cell>
          <cell r="AN247">
            <v>574.6</v>
          </cell>
          <cell r="AO247">
            <v>259.05930636999994</v>
          </cell>
          <cell r="AP247">
            <v>833.65930636999985</v>
          </cell>
          <cell r="AQ247">
            <v>263.14069363000004</v>
          </cell>
          <cell r="AR247">
            <v>1096.8</v>
          </cell>
          <cell r="AS247">
            <v>289.59999999999997</v>
          </cell>
          <cell r="AT247">
            <v>320.07500000000005</v>
          </cell>
          <cell r="AU247">
            <v>609.67499999999995</v>
          </cell>
          <cell r="AV247">
            <v>335.1</v>
          </cell>
          <cell r="AW247">
            <v>944.77499999999998</v>
          </cell>
          <cell r="AX247">
            <v>295.53300000000013</v>
          </cell>
          <cell r="AY247">
            <v>1240.3080000000002</v>
          </cell>
          <cell r="AZ247">
            <v>325.20100000000002</v>
          </cell>
          <cell r="BA247">
            <v>321.86950000000002</v>
          </cell>
          <cell r="BB247">
            <v>647.07050000000004</v>
          </cell>
          <cell r="BC247">
            <v>298.97749999999996</v>
          </cell>
          <cell r="BD247">
            <v>946.048</v>
          </cell>
          <cell r="BE247">
            <v>263.19549999999992</v>
          </cell>
          <cell r="BF247">
            <v>1209.2434999999998</v>
          </cell>
          <cell r="BL247">
            <v>321.15336066012577</v>
          </cell>
          <cell r="BM247">
            <v>315.0996667473546</v>
          </cell>
          <cell r="BN247">
            <v>636.25302740748043</v>
          </cell>
          <cell r="BO247">
            <v>296.49390360377947</v>
          </cell>
          <cell r="BP247">
            <v>932.74693101125979</v>
          </cell>
          <cell r="BQ247">
            <v>270.16992711114091</v>
          </cell>
          <cell r="BR247">
            <v>1202.9168581224008</v>
          </cell>
          <cell r="BS247">
            <v>1226.9300645366238</v>
          </cell>
          <cell r="BT247">
            <v>1251.4235350791314</v>
          </cell>
          <cell r="BU247">
            <v>1276.4068750324891</v>
          </cell>
          <cell r="BV247">
            <v>1301.889881784914</v>
          </cell>
          <cell r="BW247">
            <v>1327.8825486723872</v>
          </cell>
          <cell r="BX247">
            <v>1354.3950688976099</v>
          </cell>
          <cell r="BY247">
            <v>1381.437839527337</v>
          </cell>
          <cell r="BZ247">
            <v>1409.0214655696589</v>
          </cell>
          <cell r="CA247">
            <v>1437.156764132827</v>
          </cell>
          <cell r="CB247">
            <v>1465.8547686672584</v>
          </cell>
        </row>
        <row r="248">
          <cell r="A248" t="str">
            <v>Total Performance &amp; Life Science Chemicals Revenue</v>
          </cell>
          <cell r="C248">
            <v>327.9</v>
          </cell>
          <cell r="D248">
            <v>305.8</v>
          </cell>
          <cell r="E248">
            <v>633.69999999999993</v>
          </cell>
          <cell r="F248">
            <v>289.40000000000003</v>
          </cell>
          <cell r="G248">
            <v>923.09999999999991</v>
          </cell>
          <cell r="H248">
            <v>293.60000000000002</v>
          </cell>
          <cell r="I248">
            <v>1216.6999999999998</v>
          </cell>
          <cell r="J248">
            <v>322.8</v>
          </cell>
          <cell r="K248">
            <v>316</v>
          </cell>
          <cell r="L248">
            <v>638.79999999999995</v>
          </cell>
          <cell r="M248">
            <v>300.7</v>
          </cell>
          <cell r="N248">
            <v>939.5</v>
          </cell>
          <cell r="O248">
            <v>295.20000000000005</v>
          </cell>
          <cell r="P248">
            <v>1234.7000000000003</v>
          </cell>
          <cell r="Q248">
            <v>325.8</v>
          </cell>
          <cell r="R248">
            <v>322.10000000000002</v>
          </cell>
          <cell r="S248">
            <v>647.90000000000009</v>
          </cell>
          <cell r="T248">
            <v>302.79999999999995</v>
          </cell>
          <cell r="U248">
            <v>950.7</v>
          </cell>
          <cell r="V248">
            <v>298.7</v>
          </cell>
          <cell r="W248">
            <v>1249.4000000000001</v>
          </cell>
          <cell r="X248">
            <v>304.853545</v>
          </cell>
          <cell r="Y248">
            <v>297.54549682999999</v>
          </cell>
          <cell r="Z248">
            <v>602.3990418300001</v>
          </cell>
          <cell r="AA248">
            <v>297.14195572</v>
          </cell>
          <cell r="AB248">
            <v>899.54099755000004</v>
          </cell>
          <cell r="AC248">
            <v>302.50274777999999</v>
          </cell>
          <cell r="AD248">
            <v>1202.0437453300001</v>
          </cell>
          <cell r="AE248">
            <v>345.60823203999996</v>
          </cell>
          <cell r="AF248">
            <v>359.89706828000004</v>
          </cell>
          <cell r="AG248">
            <v>705.50530031999995</v>
          </cell>
          <cell r="BL248">
            <v>0</v>
          </cell>
          <cell r="BM248">
            <v>0</v>
          </cell>
          <cell r="BN248">
            <v>0</v>
          </cell>
          <cell r="BO248">
            <v>137.28485031326449</v>
          </cell>
          <cell r="BP248">
            <v>137.28485031326449</v>
          </cell>
          <cell r="BQ248">
            <v>135.78314516851461</v>
          </cell>
          <cell r="BR248">
            <v>273.06799548177912</v>
          </cell>
          <cell r="BS248">
            <v>581.43971486771693</v>
          </cell>
          <cell r="BT248">
            <v>611.20130447493216</v>
          </cell>
          <cell r="BU248">
            <v>638.85592211590279</v>
          </cell>
          <cell r="BV248">
            <v>658.02159977937981</v>
          </cell>
          <cell r="BW248">
            <v>677.76224777276127</v>
          </cell>
          <cell r="BX248">
            <v>698.09511520594424</v>
          </cell>
          <cell r="BY248">
            <v>719.03796866212247</v>
          </cell>
          <cell r="BZ248">
            <v>740.60910772198622</v>
          </cell>
          <cell r="CA248">
            <v>762.82738095364584</v>
          </cell>
          <cell r="CB248">
            <v>785.71220238225533</v>
          </cell>
        </row>
        <row r="249">
          <cell r="A249" t="str">
            <v>Total Merck Millipore</v>
          </cell>
          <cell r="AH249">
            <v>558.96752941</v>
          </cell>
          <cell r="AJ249">
            <v>579.65240505999998</v>
          </cell>
          <cell r="AK249">
            <v>1612.6252347899999</v>
          </cell>
          <cell r="AL249">
            <v>611.35649659000001</v>
          </cell>
          <cell r="AM249">
            <v>583.57428911</v>
          </cell>
          <cell r="AN249">
            <v>1194.9307856999999</v>
          </cell>
          <cell r="AO249">
            <v>588.28834233000009</v>
          </cell>
          <cell r="AP249">
            <v>1783.2191280300001</v>
          </cell>
          <cell r="AQ249">
            <v>609.58087196999998</v>
          </cell>
          <cell r="AR249">
            <v>2392.7999999999997</v>
          </cell>
          <cell r="AS249">
            <v>655.29999999999995</v>
          </cell>
          <cell r="AT249">
            <v>655.29999999999995</v>
          </cell>
          <cell r="AU249">
            <v>1310.5999999999999</v>
          </cell>
          <cell r="AV249">
            <v>648.20000000000005</v>
          </cell>
          <cell r="AW249">
            <v>1958.8000000000002</v>
          </cell>
          <cell r="AX249">
            <v>657.99999999999989</v>
          </cell>
          <cell r="AY249">
            <v>2616.8000000000002</v>
          </cell>
          <cell r="AZ249">
            <v>674.5</v>
          </cell>
          <cell r="BA249">
            <v>668.69999999999993</v>
          </cell>
          <cell r="BB249">
            <v>1343.2</v>
          </cell>
          <cell r="BC249">
            <v>645.5</v>
          </cell>
          <cell r="BD249">
            <v>1988.7</v>
          </cell>
          <cell r="BE249">
            <v>656.60000000000025</v>
          </cell>
          <cell r="BF249">
            <v>2645.3</v>
          </cell>
          <cell r="BL249">
            <v>674.07594101174311</v>
          </cell>
          <cell r="BM249">
            <v>665.38794872648009</v>
          </cell>
          <cell r="BN249">
            <v>1339.4638897382233</v>
          </cell>
          <cell r="BO249">
            <v>650.95478292404118</v>
          </cell>
          <cell r="BP249">
            <v>1990.4186726622645</v>
          </cell>
          <cell r="BQ249">
            <v>680.01285577494389</v>
          </cell>
          <cell r="BR249">
            <v>2670.4315284372087</v>
          </cell>
          <cell r="BS249">
            <v>2779.6364232182332</v>
          </cell>
          <cell r="BT249">
            <v>2894.0665123750405</v>
          </cell>
          <cell r="BU249">
            <v>3013.9989244027784</v>
          </cell>
          <cell r="BV249">
            <v>3139.7263926075211</v>
          </cell>
          <cell r="BW249">
            <v>3271.5581620798844</v>
          </cell>
          <cell r="BX249">
            <v>3409.8209502350483</v>
          </cell>
          <cell r="BY249">
            <v>3554.8599641081541</v>
          </cell>
          <cell r="BZ249">
            <v>3707.0399777846515</v>
          </cell>
          <cell r="CA249">
            <v>3866.7464735471794</v>
          </cell>
          <cell r="CB249">
            <v>4034.3868505346736</v>
          </cell>
        </row>
        <row r="250">
          <cell r="A250" t="str">
            <v>Total Pigments</v>
          </cell>
          <cell r="AH250">
            <v>105.02227697000001</v>
          </cell>
          <cell r="AJ250">
            <v>102.70554835000002</v>
          </cell>
          <cell r="AK250">
            <v>439.24740460000004</v>
          </cell>
          <cell r="AL250">
            <v>107</v>
          </cell>
          <cell r="AM250">
            <v>100.6</v>
          </cell>
          <cell r="AN250">
            <v>207.6</v>
          </cell>
          <cell r="AO250">
            <v>82.619582660000049</v>
          </cell>
          <cell r="AP250">
            <v>290.21958266000001</v>
          </cell>
          <cell r="AQ250">
            <v>80.380417340000122</v>
          </cell>
          <cell r="AR250">
            <v>370.60000000000014</v>
          </cell>
          <cell r="AS250">
            <v>96.600000000000023</v>
          </cell>
          <cell r="AT250">
            <v>106.52499999999998</v>
          </cell>
          <cell r="AU250">
            <v>203.125</v>
          </cell>
          <cell r="AV250">
            <v>111.5</v>
          </cell>
          <cell r="AW250">
            <v>314.625</v>
          </cell>
          <cell r="AX250">
            <v>120.66699999999992</v>
          </cell>
          <cell r="AY250">
            <v>435.29199999999992</v>
          </cell>
          <cell r="AZ250">
            <v>96.899000000000001</v>
          </cell>
          <cell r="BA250">
            <v>109.93049999999999</v>
          </cell>
          <cell r="BB250">
            <v>206.8295</v>
          </cell>
          <cell r="BC250">
            <v>107.72250000000003</v>
          </cell>
          <cell r="BD250">
            <v>314.55200000000002</v>
          </cell>
          <cell r="BE250">
            <v>120.60450000000003</v>
          </cell>
          <cell r="BF250">
            <v>435.15650000000005</v>
          </cell>
          <cell r="BL250">
            <v>97.572233718514468</v>
          </cell>
          <cell r="BM250">
            <v>110.3243151192616</v>
          </cell>
          <cell r="BN250">
            <v>207.89654883777607</v>
          </cell>
          <cell r="BO250">
            <v>108.61509934253415</v>
          </cell>
          <cell r="BP250">
            <v>316.5116481803102</v>
          </cell>
          <cell r="BQ250">
            <v>122.73484759855381</v>
          </cell>
          <cell r="BR250">
            <v>439.24649577886402</v>
          </cell>
          <cell r="BS250">
            <v>448.03142569444128</v>
          </cell>
          <cell r="BT250">
            <v>456.9920542083301</v>
          </cell>
          <cell r="BU250">
            <v>466.13189529249672</v>
          </cell>
          <cell r="BV250">
            <v>475.45453319834667</v>
          </cell>
          <cell r="BW250">
            <v>484.96362386231363</v>
          </cell>
          <cell r="BX250">
            <v>494.66289633955989</v>
          </cell>
          <cell r="BY250">
            <v>504.55615426635109</v>
          </cell>
          <cell r="BZ250">
            <v>514.6472773516781</v>
          </cell>
          <cell r="CA250">
            <v>524.94022289871168</v>
          </cell>
          <cell r="CB250">
            <v>535.43902735668587</v>
          </cell>
        </row>
        <row r="251">
          <cell r="A251" t="str">
            <v>Total Sales</v>
          </cell>
          <cell r="C251">
            <v>1573.6999999999998</v>
          </cell>
          <cell r="D251">
            <v>1069.2</v>
          </cell>
          <cell r="E251">
            <v>2642.9</v>
          </cell>
          <cell r="F251">
            <v>1076.3</v>
          </cell>
          <cell r="G251">
            <v>3719.2000000000003</v>
          </cell>
          <cell r="H251">
            <v>706.90000000000009</v>
          </cell>
          <cell r="I251">
            <v>4426.0999999999995</v>
          </cell>
          <cell r="J251">
            <v>1707.7</v>
          </cell>
          <cell r="K251">
            <v>1787.4000000000003</v>
          </cell>
          <cell r="L251">
            <v>3495.1000000000004</v>
          </cell>
          <cell r="M251">
            <v>1734.5000000000002</v>
          </cell>
          <cell r="N251">
            <v>5229.6000000000004</v>
          </cell>
          <cell r="O251">
            <v>1798.5000000000002</v>
          </cell>
          <cell r="P251">
            <v>7028.1</v>
          </cell>
          <cell r="Q251">
            <v>1859.0000000000002</v>
          </cell>
          <cell r="R251">
            <v>1910.1</v>
          </cell>
          <cell r="S251">
            <v>3769.1000000000004</v>
          </cell>
          <cell r="T251">
            <v>1898.3999999999999</v>
          </cell>
          <cell r="U251">
            <v>5667.5</v>
          </cell>
          <cell r="V251">
            <v>1915.4</v>
          </cell>
          <cell r="W251">
            <v>7582.9</v>
          </cell>
          <cell r="X251">
            <v>1858.3272636899997</v>
          </cell>
          <cell r="Y251">
            <v>1909.69324168</v>
          </cell>
          <cell r="Z251">
            <v>3768.0205053700006</v>
          </cell>
          <cell r="AA251">
            <v>1949.9165298799985</v>
          </cell>
          <cell r="AB251">
            <v>5717.9370352499982</v>
          </cell>
          <cell r="AC251">
            <v>2028.6626234399914</v>
          </cell>
          <cell r="AD251">
            <v>7746.5996586899901</v>
          </cell>
          <cell r="AE251">
            <v>2098.9002108</v>
          </cell>
          <cell r="AF251">
            <v>2207.9875679800007</v>
          </cell>
          <cell r="AG251">
            <v>4306.8877787800002</v>
          </cell>
          <cell r="AH251">
            <v>2437.7781903300033</v>
          </cell>
          <cell r="AJ251">
            <v>2545.9102333600026</v>
          </cell>
          <cell r="AK251">
            <v>9290.5957817500075</v>
          </cell>
          <cell r="AL251">
            <v>2563.8328415199994</v>
          </cell>
          <cell r="AM251">
            <v>2555.2446663200012</v>
          </cell>
          <cell r="AN251">
            <v>5119.0775078400002</v>
          </cell>
          <cell r="AO251">
            <v>2531.6010713100027</v>
          </cell>
          <cell r="AP251">
            <v>7650.6785791500033</v>
          </cell>
          <cell r="AQ251">
            <v>2625.8031309699991</v>
          </cell>
          <cell r="AR251">
            <v>10276.481710120002</v>
          </cell>
          <cell r="AS251">
            <v>2644.9</v>
          </cell>
          <cell r="AT251">
            <v>2852.1</v>
          </cell>
          <cell r="AU251">
            <v>5497</v>
          </cell>
          <cell r="AV251">
            <v>2841</v>
          </cell>
          <cell r="AW251">
            <v>8338</v>
          </cell>
          <cell r="AX251">
            <v>2834.7000000000003</v>
          </cell>
          <cell r="AY251">
            <v>11172.699999999999</v>
          </cell>
          <cell r="AZ251">
            <v>2760.5</v>
          </cell>
          <cell r="BA251">
            <v>2841.1</v>
          </cell>
          <cell r="BB251">
            <v>5601.7</v>
          </cell>
          <cell r="BC251">
            <v>2751.7</v>
          </cell>
          <cell r="BD251">
            <v>8353.4</v>
          </cell>
          <cell r="BE251">
            <v>2741.8</v>
          </cell>
          <cell r="BF251">
            <v>11095.100000000002</v>
          </cell>
          <cell r="BL251">
            <v>2744.0500345995629</v>
          </cell>
          <cell r="BM251">
            <v>2791.8913340709928</v>
          </cell>
          <cell r="BN251">
            <v>5535.9413686705557</v>
          </cell>
          <cell r="BO251">
            <v>2818.4195413209713</v>
          </cell>
          <cell r="BP251">
            <v>8354.3609099915266</v>
          </cell>
          <cell r="BQ251">
            <v>2836.3025015447802</v>
          </cell>
          <cell r="BR251">
            <v>11190.663411536307</v>
          </cell>
          <cell r="BS251">
            <v>11447.203938008561</v>
          </cell>
          <cell r="BT251">
            <v>11587.314006160861</v>
          </cell>
          <cell r="BU251">
            <v>11700.293463749171</v>
          </cell>
          <cell r="BV251">
            <v>11781.405304705513</v>
          </cell>
          <cell r="BW251">
            <v>11872.702344209405</v>
          </cell>
          <cell r="BX251">
            <v>11949.579107907361</v>
          </cell>
          <cell r="BY251">
            <v>12059.33544603158</v>
          </cell>
          <cell r="BZ251">
            <v>12171.194690543623</v>
          </cell>
          <cell r="CA251">
            <v>12315.862904417239</v>
          </cell>
          <cell r="CB251">
            <v>12557.243418788228</v>
          </cell>
        </row>
        <row r="252">
          <cell r="A252" t="str">
            <v>check</v>
          </cell>
          <cell r="C252">
            <v>0</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0.14622222999992118</v>
          </cell>
          <cell r="Y252">
            <v>1.3688229999843315E-2</v>
          </cell>
          <cell r="Z252">
            <v>0.15991045999953712</v>
          </cell>
          <cell r="AA252">
            <v>0.10091993000014554</v>
          </cell>
          <cell r="AB252">
            <v>0.26083039000059216</v>
          </cell>
          <cell r="AC252">
            <v>0.10225931999980276</v>
          </cell>
          <cell r="AD252">
            <v>0.36308970999925805</v>
          </cell>
          <cell r="AE252">
            <v>-5.2667400000245834E-2</v>
          </cell>
          <cell r="AF252">
            <v>6.4544830000158981E-2</v>
          </cell>
          <cell r="AG252">
            <v>1.1877429999913147E-2</v>
          </cell>
          <cell r="AH252">
            <v>-7.7389299999595096E-3</v>
          </cell>
          <cell r="AJ252">
            <v>-6.5572499993322708E-3</v>
          </cell>
          <cell r="AK252">
            <v>-2.1998030000759172E-2</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row>
        <row r="254">
          <cell r="A254" t="str">
            <v>Serono as a percentage of total sales</v>
          </cell>
          <cell r="C254">
            <v>0.30272605960475313</v>
          </cell>
          <cell r="D254">
            <v>0.4388327721661055</v>
          </cell>
          <cell r="E254">
            <v>0.35778879261417385</v>
          </cell>
          <cell r="F254">
            <v>0.44216296571587849</v>
          </cell>
          <cell r="G254">
            <v>0.38220585072058505</v>
          </cell>
          <cell r="H254">
            <v>0.69726976941575891</v>
          </cell>
          <cell r="I254">
            <v>0.43252524796095887</v>
          </cell>
          <cell r="J254">
            <v>0.63102418457574527</v>
          </cell>
          <cell r="K254">
            <v>0.63908470403938678</v>
          </cell>
          <cell r="L254">
            <v>0.63514634774398449</v>
          </cell>
          <cell r="M254">
            <v>0.62957624675699042</v>
          </cell>
          <cell r="N254">
            <v>0.63329891387486625</v>
          </cell>
          <cell r="O254">
            <v>0.63719766472060047</v>
          </cell>
          <cell r="P254">
            <v>0.63429660932542231</v>
          </cell>
          <cell r="Q254">
            <v>0.63926842388380845</v>
          </cell>
          <cell r="R254">
            <v>0.65075126956703844</v>
          </cell>
          <cell r="S254">
            <v>0.64508768671566152</v>
          </cell>
          <cell r="T254">
            <v>0.65623683101559205</v>
          </cell>
          <cell r="U254">
            <v>0.64882223202470224</v>
          </cell>
          <cell r="V254">
            <v>0.69766106296334962</v>
          </cell>
          <cell r="W254">
            <v>0.66115865961571429</v>
          </cell>
          <cell r="X254">
            <v>0.70745275268657426</v>
          </cell>
          <cell r="Y254">
            <v>0.69070300062413115</v>
          </cell>
          <cell r="Z254">
            <v>0.69896370962858745</v>
          </cell>
          <cell r="AA254">
            <v>0.67624736222485859</v>
          </cell>
          <cell r="AB254">
            <v>0.6912170378782766</v>
          </cell>
          <cell r="AC254">
            <v>0.68646366655514279</v>
          </cell>
          <cell r="AD254">
            <v>0.68997223536318131</v>
          </cell>
          <cell r="AE254">
            <v>0.67023961583376479</v>
          </cell>
          <cell r="AF254">
            <v>0.65693848066681626</v>
          </cell>
          <cell r="AG254">
            <v>0.66342059880867688</v>
          </cell>
          <cell r="AH254">
            <v>0.57160743802182046</v>
          </cell>
          <cell r="AJ254">
            <v>0.59028475495251242</v>
          </cell>
          <cell r="AK254">
            <v>0.61928667960907147</v>
          </cell>
          <cell r="AR254">
            <v>0.57608059617233254</v>
          </cell>
          <cell r="AY254">
            <v>0.5732902521324299</v>
          </cell>
          <cell r="BC254">
            <v>0.56986590107933277</v>
          </cell>
          <cell r="BD254">
            <v>0.56739770632317377</v>
          </cell>
          <cell r="BE254">
            <v>0.5785250565322051</v>
          </cell>
          <cell r="BF254">
            <v>0.57014357689430462</v>
          </cell>
          <cell r="BL254">
            <v>0.53386299931871006</v>
          </cell>
          <cell r="BM254">
            <v>0.54334331787430024</v>
          </cell>
          <cell r="BN254">
            <v>0.53864412279111074</v>
          </cell>
          <cell r="BO254">
            <v>0.50322700490814842</v>
          </cell>
          <cell r="BP254">
            <v>0.5266958363555525</v>
          </cell>
          <cell r="BQ254">
            <v>0.50770216771827359</v>
          </cell>
          <cell r="BR254">
            <v>0.52188184205617161</v>
          </cell>
          <cell r="BS254">
            <v>0.49059018966414297</v>
          </cell>
          <cell r="BT254">
            <v>0.47868272354660751</v>
          </cell>
          <cell r="BU254">
            <v>0.46536823609530042</v>
          </cell>
          <cell r="BV254">
            <v>0.45088575152364874</v>
          </cell>
          <cell r="BW254">
            <v>0.43634790922974059</v>
          </cell>
          <cell r="BX254">
            <v>0.42056794119247271</v>
          </cell>
        </row>
        <row r="255">
          <cell r="A255" t="str">
            <v>CHC as a percentage of total sales</v>
          </cell>
          <cell r="C255">
            <v>6.2909067801995303E-2</v>
          </cell>
          <cell r="D255">
            <v>8.8945005611672276E-2</v>
          </cell>
          <cell r="E255">
            <v>7.3442052291043933E-2</v>
          </cell>
          <cell r="F255">
            <v>9.5512403604942855E-2</v>
          </cell>
          <cell r="G255">
            <v>7.9828995482899553E-2</v>
          </cell>
          <cell r="H255">
            <v>0.14556514358466544</v>
          </cell>
          <cell r="I255">
            <v>9.0327828110526212E-2</v>
          </cell>
          <cell r="J255">
            <v>5.9026761140715589E-2</v>
          </cell>
          <cell r="K255">
            <v>5.969564730894035E-2</v>
          </cell>
          <cell r="L255">
            <v>5.9368830648622362E-2</v>
          </cell>
          <cell r="M255">
            <v>5.9613721533583151E-2</v>
          </cell>
          <cell r="N255">
            <v>5.9450053541379839E-2</v>
          </cell>
          <cell r="O255">
            <v>6.0550458715596327E-2</v>
          </cell>
          <cell r="P255">
            <v>5.9731648667491935E-2</v>
          </cell>
          <cell r="Q255">
            <v>5.9655728886498102E-2</v>
          </cell>
          <cell r="R255">
            <v>5.6018009528296948E-2</v>
          </cell>
          <cell r="S255">
            <v>5.7812209811360801E-2</v>
          </cell>
          <cell r="T255">
            <v>5.8522966708807425E-2</v>
          </cell>
          <cell r="U255">
            <v>5.8050286722540805E-2</v>
          </cell>
          <cell r="V255">
            <v>5.8995510076224285E-2</v>
          </cell>
          <cell r="W255">
            <v>5.8289045088290761E-2</v>
          </cell>
          <cell r="X255">
            <v>5.7873339115978625E-2</v>
          </cell>
          <cell r="Y255">
            <v>5.4519998970309187E-2</v>
          </cell>
          <cell r="Z255">
            <v>5.6173812533224426E-2</v>
          </cell>
          <cell r="AA255">
            <v>6.3034253731652903E-2</v>
          </cell>
          <cell r="AB255">
            <v>5.8513342963975416E-2</v>
          </cell>
          <cell r="AC255">
            <v>6.5269599405086448E-2</v>
          </cell>
          <cell r="AD255">
            <v>6.0282656665514432E-2</v>
          </cell>
          <cell r="AE255">
            <v>5.125806433122114E-2</v>
          </cell>
          <cell r="AF255">
            <v>5.1573517800273895E-2</v>
          </cell>
          <cell r="AG255">
            <v>5.1419786060163411E-2</v>
          </cell>
          <cell r="AH255">
            <v>5.1257026059899645E-2</v>
          </cell>
          <cell r="AJ255">
            <v>4.9308340190111072E-2</v>
          </cell>
          <cell r="AK255">
            <v>5.0798369379827069E-2</v>
          </cell>
          <cell r="AR255">
            <v>4.8285007845764526E-2</v>
          </cell>
          <cell r="AY255">
            <v>4.2523293384768235E-2</v>
          </cell>
          <cell r="BC255">
            <v>4.7752298579060222E-2</v>
          </cell>
          <cell r="BD255">
            <v>4.3622955922139488E-2</v>
          </cell>
          <cell r="BE255">
            <v>4.2016193741337797E-2</v>
          </cell>
          <cell r="BF255">
            <v>4.3226289082567967E-2</v>
          </cell>
          <cell r="BL255">
            <v>6.7892973928383116E-2</v>
          </cell>
          <cell r="BM255">
            <v>6.5949523404543339E-2</v>
          </cell>
          <cell r="BN255">
            <v>6.6912851070433307E-2</v>
          </cell>
          <cell r="BO255">
            <v>7.3362420942799891E-2</v>
          </cell>
          <cell r="BP255">
            <v>6.908867205270057E-2</v>
          </cell>
          <cell r="BQ255">
            <v>6.6144142752898274E-2</v>
          </cell>
          <cell r="BR255">
            <v>6.8342373507943019E-2</v>
          </cell>
          <cell r="BS255">
            <v>6.94737652029771E-2</v>
          </cell>
          <cell r="BT255">
            <v>7.1369738709496824E-2</v>
          </cell>
          <cell r="BU255">
            <v>7.3498576642334806E-2</v>
          </cell>
          <cell r="BV255">
            <v>7.590309384919823E-2</v>
          </cell>
          <cell r="BW255">
            <v>7.832310539418029E-2</v>
          </cell>
          <cell r="BX255">
            <v>8.0922950086177309E-2</v>
          </cell>
        </row>
        <row r="256">
          <cell r="A256" t="str">
            <v>Generic as a percentage of total sales</v>
          </cell>
          <cell r="C256">
            <v>0.27737179894516112</v>
          </cell>
          <cell r="D256">
            <v>0</v>
          </cell>
          <cell r="E256">
            <v>0.16515948390026108</v>
          </cell>
          <cell r="F256">
            <v>0</v>
          </cell>
          <cell r="G256">
            <v>0.11736394923639491</v>
          </cell>
          <cell r="H256">
            <v>-0.61748479275710844</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J256">
            <v>0</v>
          </cell>
          <cell r="AK256">
            <v>0</v>
          </cell>
          <cell r="AR256">
            <v>0</v>
          </cell>
          <cell r="AY256">
            <v>0</v>
          </cell>
          <cell r="BC256">
            <v>0</v>
          </cell>
          <cell r="BD256">
            <v>0</v>
          </cell>
          <cell r="BE256">
            <v>0</v>
          </cell>
          <cell r="BF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row>
        <row r="257">
          <cell r="A257" t="str">
            <v>LCD as a percentage of total sales</v>
          </cell>
          <cell r="C257">
            <v>0.1486306157463303</v>
          </cell>
          <cell r="D257">
            <v>0.18621399176954731</v>
          </cell>
          <cell r="E257">
            <v>0.16383518105111808</v>
          </cell>
          <cell r="F257">
            <v>0.19344049056954379</v>
          </cell>
          <cell r="G257">
            <v>0.17240266724026673</v>
          </cell>
          <cell r="H257">
            <v>0.35931532041307113</v>
          </cell>
          <cell r="I257">
            <v>0.20225480671471502</v>
          </cell>
          <cell r="J257">
            <v>0.1209228787257715</v>
          </cell>
          <cell r="K257">
            <v>0.12442654134497033</v>
          </cell>
          <cell r="L257">
            <v>0.12271465766358616</v>
          </cell>
          <cell r="M257">
            <v>0.13744594984145286</v>
          </cell>
          <cell r="N257">
            <v>0.12760058130640964</v>
          </cell>
          <cell r="O257">
            <v>0.13811509591326104</v>
          </cell>
          <cell r="P257">
            <v>0.13029125937308803</v>
          </cell>
          <cell r="Q257">
            <v>0.12582033351264119</v>
          </cell>
          <cell r="R257">
            <v>0.12460080624051098</v>
          </cell>
          <cell r="S257">
            <v>0.12520230293704068</v>
          </cell>
          <cell r="T257">
            <v>0.12573746312684367</v>
          </cell>
          <cell r="U257">
            <v>0.12538156153506838</v>
          </cell>
          <cell r="V257">
            <v>8.7396888378406604E-2</v>
          </cell>
          <cell r="W257">
            <v>0.11578683617085812</v>
          </cell>
          <cell r="X257">
            <v>7.062662171752665E-2</v>
          </cell>
          <cell r="Y257">
            <v>9.8968994001220889E-2</v>
          </cell>
          <cell r="Z257">
            <v>8.4990990681605455E-2</v>
          </cell>
          <cell r="AA257">
            <v>0.10833137097565912</v>
          </cell>
          <cell r="AB257">
            <v>9.2950468561212904E-2</v>
          </cell>
          <cell r="AC257">
            <v>9.9152364659292974E-2</v>
          </cell>
          <cell r="AD257">
            <v>9.4574607585167697E-2</v>
          </cell>
          <cell r="AE257">
            <v>0.11384073646785113</v>
          </cell>
          <cell r="AF257">
            <v>0.12849022314901445</v>
          </cell>
          <cell r="AG257">
            <v>0.12135100516550915</v>
          </cell>
          <cell r="AH257">
            <v>0.10476054749075783</v>
          </cell>
          <cell r="AJ257">
            <v>9.23856900993653E-2</v>
          </cell>
          <cell r="AK257">
            <v>0.10906015465664184</v>
          </cell>
          <cell r="AR257">
            <v>0.10672913463368508</v>
          </cell>
          <cell r="AY257">
            <v>0.11101237838660309</v>
          </cell>
          <cell r="BC257">
            <v>0.10865192426499981</v>
          </cell>
          <cell r="BD257">
            <v>0.11325304666363398</v>
          </cell>
          <cell r="BE257">
            <v>9.599369027646068E-2</v>
          </cell>
          <cell r="BF257">
            <v>0.10898896810303643</v>
          </cell>
          <cell r="BL257">
            <v>0.11703626268133679</v>
          </cell>
          <cell r="BM257">
            <v>0.11286243948753279</v>
          </cell>
          <cell r="BN257">
            <v>0.11493131610970714</v>
          </cell>
          <cell r="BO257">
            <v>0.10519864032194975</v>
          </cell>
          <cell r="BP257">
            <v>0.11164790952420152</v>
          </cell>
          <cell r="BQ257">
            <v>9.5254270996832674E-2</v>
          </cell>
          <cell r="BR257">
            <v>0.10749289956146207</v>
          </cell>
          <cell r="BS257">
            <v>0.10718163764539951</v>
          </cell>
          <cell r="BT257">
            <v>0.10799944960616083</v>
          </cell>
          <cell r="BU257">
            <v>0.10909186842083575</v>
          </cell>
          <cell r="BV257">
            <v>0.11050378525428856</v>
          </cell>
          <cell r="BW257">
            <v>0.11184332851737218</v>
          </cell>
          <cell r="BX257">
            <v>0.11334249153607176</v>
          </cell>
        </row>
        <row r="258">
          <cell r="A258" t="str">
            <v>Performance &amp; Life Science as a percentage of total sales</v>
          </cell>
          <cell r="C258">
            <v>0.2083624579017602</v>
          </cell>
          <cell r="D258">
            <v>0.28600823045267487</v>
          </cell>
          <cell r="E258">
            <v>0.23977449014340305</v>
          </cell>
          <cell r="F258">
            <v>0.26888414010963491</v>
          </cell>
          <cell r="G258">
            <v>0.2481985373198537</v>
          </cell>
          <cell r="H258">
            <v>0.41533455934361296</v>
          </cell>
          <cell r="I258">
            <v>0.27489211721379997</v>
          </cell>
          <cell r="J258">
            <v>0.18902617555776777</v>
          </cell>
          <cell r="K258">
            <v>0.17679310730670245</v>
          </cell>
          <cell r="L258">
            <v>0.18277016394380702</v>
          </cell>
          <cell r="M258">
            <v>0.17336408186797345</v>
          </cell>
          <cell r="N258">
            <v>0.17965045127734433</v>
          </cell>
          <cell r="O258">
            <v>0.16413678065054213</v>
          </cell>
          <cell r="P258">
            <v>0.17568048263399783</v>
          </cell>
          <cell r="Q258">
            <v>0.17525551371705217</v>
          </cell>
          <cell r="R258">
            <v>0.16862991466415372</v>
          </cell>
          <cell r="S258">
            <v>0.17189780053593698</v>
          </cell>
          <cell r="T258">
            <v>0.15950273914875684</v>
          </cell>
          <cell r="U258">
            <v>0.1677459197176886</v>
          </cell>
          <cell r="V258">
            <v>0.1559465385820194</v>
          </cell>
          <cell r="W258">
            <v>0.16476545912513685</v>
          </cell>
          <cell r="X258">
            <v>0.16404728647992042</v>
          </cell>
          <cell r="Y258">
            <v>0.15580800640433881</v>
          </cell>
          <cell r="Z258">
            <v>0.15987148715658264</v>
          </cell>
          <cell r="AA258">
            <v>0.15238701306782945</v>
          </cell>
          <cell r="AB258">
            <v>0.15731915059653512</v>
          </cell>
          <cell r="AC258">
            <v>0.14911436938047778</v>
          </cell>
          <cell r="AD258">
            <v>0.1551705003861365</v>
          </cell>
          <cell r="AE258">
            <v>0.16466158336716288</v>
          </cell>
          <cell r="AF258">
            <v>0.16299777838389526</v>
          </cell>
          <cell r="AG258">
            <v>0.16380860996565053</v>
          </cell>
          <cell r="BL258">
            <v>0</v>
          </cell>
          <cell r="BM258">
            <v>0</v>
          </cell>
          <cell r="BN258">
            <v>0</v>
          </cell>
          <cell r="BO258">
            <v>4.8709870301608872E-2</v>
          </cell>
          <cell r="BP258">
            <v>1.6432717211088708E-2</v>
          </cell>
          <cell r="BQ258">
            <v>4.7873294577909405E-2</v>
          </cell>
          <cell r="BR258">
            <v>2.4401412627626431E-2</v>
          </cell>
          <cell r="BS258">
            <v>5.0793164690387131E-2</v>
          </cell>
          <cell r="BT258">
            <v>5.274745330539609E-2</v>
          </cell>
          <cell r="BU258">
            <v>5.4601700726162099E-2</v>
          </cell>
          <cell r="BV258">
            <v>5.5852556020338666E-2</v>
          </cell>
          <cell r="BW258">
            <v>5.7085760943322378E-2</v>
          </cell>
          <cell r="BX258">
            <v>5.8420058890944183E-2</v>
          </cell>
        </row>
        <row r="259">
          <cell r="A259" t="str">
            <v>Merck Millipore</v>
          </cell>
          <cell r="AH259">
            <v>0.22929384290468702</v>
          </cell>
          <cell r="AJ259">
            <v>0.22767982840266726</v>
          </cell>
          <cell r="AK259">
            <v>0.1735760841040746</v>
          </cell>
          <cell r="AR259">
            <v>0.2328423352949322</v>
          </cell>
          <cell r="AY259">
            <v>0.2342137531661998</v>
          </cell>
          <cell r="BC259">
            <v>0.23458225824036052</v>
          </cell>
          <cell r="BD259">
            <v>0.2380707256925324</v>
          </cell>
          <cell r="BE259">
            <v>0.23947771536946538</v>
          </cell>
          <cell r="BF259">
            <v>0.2384205640327712</v>
          </cell>
          <cell r="BL259">
            <v>0.24565001822574656</v>
          </cell>
          <cell r="BM259">
            <v>0.23832874174090635</v>
          </cell>
          <cell r="BN259">
            <v>0.24195774494986977</v>
          </cell>
          <cell r="BO259">
            <v>0.23096447259904526</v>
          </cell>
          <cell r="BP259">
            <v>0.23824906466295856</v>
          </cell>
          <cell r="BQ259">
            <v>0.23975328985698027</v>
          </cell>
          <cell r="BR259">
            <v>0.2386303144176686</v>
          </cell>
          <cell r="BS259">
            <v>0.24282230300701702</v>
          </cell>
          <cell r="BT259">
            <v>0.24976163680696783</v>
          </cell>
          <cell r="BU259">
            <v>0.25760028444936039</v>
          </cell>
          <cell r="BV259">
            <v>0.2664984618900692</v>
          </cell>
          <cell r="BW259">
            <v>0.27555295056104057</v>
          </cell>
          <cell r="BX259">
            <v>0.28535071565647674</v>
          </cell>
        </row>
        <row r="260">
          <cell r="A260" t="str">
            <v>Pigments</v>
          </cell>
          <cell r="AH260">
            <v>4.3081145522834909E-2</v>
          </cell>
          <cell r="AJ260">
            <v>4.034138635534406E-2</v>
          </cell>
          <cell r="AK260">
            <v>4.7278712250385081E-2</v>
          </cell>
          <cell r="AR260">
            <v>3.6062926053285656E-2</v>
          </cell>
          <cell r="AY260">
            <v>3.8960322929999014E-2</v>
          </cell>
          <cell r="BC260">
            <v>3.9147617836246693E-2</v>
          </cell>
          <cell r="BD260">
            <v>3.7655565398520364E-2</v>
          </cell>
          <cell r="BE260">
            <v>4.3987344080531045E-2</v>
          </cell>
          <cell r="BF260">
            <v>3.9220601887319621E-2</v>
          </cell>
          <cell r="BL260">
            <v>3.555774584582351E-2</v>
          </cell>
          <cell r="BM260">
            <v>3.9515977492717215E-2</v>
          </cell>
          <cell r="BN260">
            <v>3.7553965078879072E-2</v>
          </cell>
          <cell r="BO260">
            <v>3.8537590926447769E-2</v>
          </cell>
          <cell r="BP260">
            <v>3.7885800193498131E-2</v>
          </cell>
          <cell r="BQ260">
            <v>4.3272834097105931E-2</v>
          </cell>
          <cell r="BR260">
            <v>3.92511578291284E-2</v>
          </cell>
          <cell r="BS260">
            <v>3.9138939790076294E-2</v>
          </cell>
          <cell r="BT260">
            <v>3.943899802537084E-2</v>
          </cell>
          <cell r="BU260">
            <v>3.983933366600638E-2</v>
          </cell>
          <cell r="BV260">
            <v>4.0356351462456634E-2</v>
          </cell>
          <cell r="BW260">
            <v>4.0846945354344015E-2</v>
          </cell>
          <cell r="BX260">
            <v>4.1395842637857262E-2</v>
          </cell>
        </row>
        <row r="261">
          <cell r="A261" t="str">
            <v>Total Sales</v>
          </cell>
          <cell r="C261">
            <v>1</v>
          </cell>
          <cell r="D261">
            <v>1</v>
          </cell>
          <cell r="E261">
            <v>0.99999999999999989</v>
          </cell>
          <cell r="F261">
            <v>1</v>
          </cell>
          <cell r="G261">
            <v>1</v>
          </cell>
          <cell r="H261">
            <v>1</v>
          </cell>
          <cell r="I261">
            <v>1</v>
          </cell>
          <cell r="J261">
            <v>1</v>
          </cell>
          <cell r="K261">
            <v>1</v>
          </cell>
          <cell r="L261">
            <v>1</v>
          </cell>
          <cell r="M261">
            <v>0.99999999999999989</v>
          </cell>
          <cell r="N261">
            <v>1</v>
          </cell>
          <cell r="O261">
            <v>0.99999999999999989</v>
          </cell>
          <cell r="P261">
            <v>1</v>
          </cell>
          <cell r="Q261">
            <v>0.99999999999999989</v>
          </cell>
          <cell r="R261">
            <v>1</v>
          </cell>
          <cell r="S261">
            <v>1</v>
          </cell>
          <cell r="T261">
            <v>1</v>
          </cell>
          <cell r="U261">
            <v>1</v>
          </cell>
          <cell r="V261">
            <v>1</v>
          </cell>
          <cell r="W261">
            <v>1</v>
          </cell>
          <cell r="X261">
            <v>0.99999999999999989</v>
          </cell>
          <cell r="Y261">
            <v>1</v>
          </cell>
          <cell r="Z261">
            <v>0.99999999999999989</v>
          </cell>
          <cell r="AA261">
            <v>1.0000000000000002</v>
          </cell>
          <cell r="AB261">
            <v>1</v>
          </cell>
          <cell r="AC261">
            <v>1</v>
          </cell>
          <cell r="AD261">
            <v>1</v>
          </cell>
          <cell r="AE261">
            <v>0.99999999999999989</v>
          </cell>
          <cell r="AF261">
            <v>0.99999999999999989</v>
          </cell>
          <cell r="AG261">
            <v>0.99999999999999989</v>
          </cell>
          <cell r="AH261">
            <v>0.99999999999999989</v>
          </cell>
          <cell r="AJ261">
            <v>1.0000000000000002</v>
          </cell>
          <cell r="AK261">
            <v>1</v>
          </cell>
          <cell r="AR261">
            <v>1</v>
          </cell>
          <cell r="AY261">
            <v>1</v>
          </cell>
          <cell r="BC261">
            <v>1</v>
          </cell>
          <cell r="BD261">
            <v>1</v>
          </cell>
          <cell r="BE261">
            <v>1</v>
          </cell>
          <cell r="BF261">
            <v>0.99999999999999978</v>
          </cell>
          <cell r="BL261">
            <v>1.0000000000000002</v>
          </cell>
          <cell r="BM261">
            <v>0.99999999999999989</v>
          </cell>
          <cell r="BN261">
            <v>1</v>
          </cell>
          <cell r="BO261">
            <v>1</v>
          </cell>
          <cell r="BP261">
            <v>1</v>
          </cell>
          <cell r="BQ261">
            <v>1.0000000000000002</v>
          </cell>
          <cell r="BR261">
            <v>1.0000000000000002</v>
          </cell>
          <cell r="BS261">
            <v>1</v>
          </cell>
          <cell r="BT261">
            <v>1</v>
          </cell>
          <cell r="BU261">
            <v>0.99999999999999978</v>
          </cell>
          <cell r="BV261">
            <v>1</v>
          </cell>
          <cell r="BW261">
            <v>1</v>
          </cell>
          <cell r="BX261">
            <v>0.99999999999999989</v>
          </cell>
        </row>
        <row r="266">
          <cell r="A266" t="str">
            <v>Notes:</v>
          </cell>
        </row>
        <row r="267">
          <cell r="A267" t="str">
            <v>E= Morgan Stanley Research Estimates</v>
          </cell>
        </row>
        <row r="268">
          <cell r="A268" t="str">
            <v>Source: Morgan Stanley Research</v>
          </cell>
        </row>
        <row r="289">
          <cell r="AD289" t="str">
            <v>2009-FY</v>
          </cell>
          <cell r="AK289" t="str">
            <v>2010-FY</v>
          </cell>
          <cell r="AR289" t="str">
            <v>2011-FY</v>
          </cell>
          <cell r="AY289" t="str">
            <v>2012-FY</v>
          </cell>
          <cell r="BF289" t="str">
            <v>2013-FY</v>
          </cell>
          <cell r="BR289" t="str">
            <v>2014-FY</v>
          </cell>
          <cell r="BS289" t="str">
            <v>2015-FY</v>
          </cell>
          <cell r="BT289" t="str">
            <v>2016-FY</v>
          </cell>
          <cell r="BU289" t="str">
            <v>2017-FY</v>
          </cell>
          <cell r="BV289" t="str">
            <v>2018-FY</v>
          </cell>
          <cell r="BW289" t="str">
            <v>2019-FY</v>
          </cell>
          <cell r="BX289" t="str">
            <v>2020-FY</v>
          </cell>
        </row>
        <row r="300">
          <cell r="A300" t="str">
            <v>OLD</v>
          </cell>
        </row>
        <row r="301">
          <cell r="A301" t="str">
            <v xml:space="preserve">Currency </v>
          </cell>
        </row>
        <row r="302">
          <cell r="A302" t="str">
            <v>$/€</v>
          </cell>
          <cell r="BA302">
            <v>1.34</v>
          </cell>
          <cell r="BB302">
            <v>1.33</v>
          </cell>
          <cell r="BC302">
            <v>1.3</v>
          </cell>
          <cell r="BD302">
            <v>1.32</v>
          </cell>
          <cell r="BE302">
            <v>1.26</v>
          </cell>
          <cell r="BF302">
            <v>1.3049999999999999</v>
          </cell>
          <cell r="BR302">
            <v>1.2124999999999999</v>
          </cell>
        </row>
        <row r="303">
          <cell r="A303" t="str">
            <v xml:space="preserve">growth </v>
          </cell>
          <cell r="BA303">
            <v>4.4280615346249164E-2</v>
          </cell>
          <cell r="BB303">
            <v>2.5032369443245717E-2</v>
          </cell>
          <cell r="BC303">
            <v>3.9102215685647534E-2</v>
          </cell>
          <cell r="BD303">
            <v>2.9609060559733003E-2</v>
          </cell>
          <cell r="BE303">
            <v>-2.8976572133168954E-2</v>
          </cell>
          <cell r="BF303">
            <v>1.4829734122385974E-2</v>
          </cell>
          <cell r="BR303">
            <v>-7.088122605363989E-2</v>
          </cell>
        </row>
        <row r="304">
          <cell r="A304" t="str">
            <v>€/$</v>
          </cell>
          <cell r="BA304">
            <v>0.74626865671641784</v>
          </cell>
          <cell r="BB304">
            <v>0.75187969924812026</v>
          </cell>
          <cell r="BC304">
            <v>0.76923076923076916</v>
          </cell>
          <cell r="BD304">
            <v>0.75757575757575757</v>
          </cell>
          <cell r="BE304">
            <v>0.79365079365079361</v>
          </cell>
          <cell r="BF304">
            <v>0.76628352490421459</v>
          </cell>
          <cell r="BR304">
            <v>0.82474226804123718</v>
          </cell>
        </row>
        <row r="305">
          <cell r="A305" t="str">
            <v>US Factor</v>
          </cell>
          <cell r="BA305">
            <v>-4.240298507462692E-2</v>
          </cell>
          <cell r="BB305">
            <v>-2.442105263157901E-2</v>
          </cell>
          <cell r="BC305">
            <v>-3.7630769230769134E-2</v>
          </cell>
          <cell r="BD305">
            <v>-2.8757575757575649E-2</v>
          </cell>
          <cell r="BE305">
            <v>2.984126984126978E-2</v>
          </cell>
          <cell r="BF305">
            <v>-3.4482758620689613E-2</v>
          </cell>
          <cell r="BR305">
            <v>7.6288659793814384E-2</v>
          </cell>
        </row>
        <row r="306">
          <cell r="A306" t="str">
            <v>Yuan/€</v>
          </cell>
          <cell r="BA306">
            <v>8.4420000000000002</v>
          </cell>
          <cell r="BB306">
            <v>8.328240000000001</v>
          </cell>
          <cell r="BC306">
            <v>8.19</v>
          </cell>
          <cell r="BD306">
            <v>8.2821599999999993</v>
          </cell>
          <cell r="BE306">
            <v>7.9379999999999997</v>
          </cell>
          <cell r="BF306">
            <v>8.1961200000000005</v>
          </cell>
          <cell r="BR306">
            <v>7.4868750000000004</v>
          </cell>
        </row>
        <row r="307">
          <cell r="A307" t="str">
            <v>€/Yuan</v>
          </cell>
          <cell r="BA307">
            <v>0.11845534233593935</v>
          </cell>
          <cell r="BB307">
            <v>0.12007338885526833</v>
          </cell>
          <cell r="BC307">
            <v>0.12210012210012211</v>
          </cell>
          <cell r="BD307">
            <v>0.12074144909057541</v>
          </cell>
          <cell r="BE307">
            <v>0.12597631645250693</v>
          </cell>
          <cell r="BF307">
            <v>0.12200895057661429</v>
          </cell>
          <cell r="BR307">
            <v>0.13356707571583606</v>
          </cell>
        </row>
        <row r="308">
          <cell r="A308" t="str">
            <v xml:space="preserve">growth </v>
          </cell>
          <cell r="BA308">
            <v>-3.7841743662639149E-2</v>
          </cell>
          <cell r="BB308">
            <v>-1.5667175777835385E-2</v>
          </cell>
          <cell r="BC308">
            <v>-3.0001221001220935E-2</v>
          </cell>
          <cell r="BD308">
            <v>-2.0392023336907261E-2</v>
          </cell>
          <cell r="BE308">
            <v>2.0603426555807713E-2</v>
          </cell>
          <cell r="BF308">
            <v>-1.0465927780461959E-2</v>
          </cell>
          <cell r="BR308">
            <v>9.4731780616078343E-2</v>
          </cell>
        </row>
        <row r="309">
          <cell r="A309" t="str">
            <v>Yen/€</v>
          </cell>
          <cell r="BA309">
            <v>134</v>
          </cell>
          <cell r="BB309">
            <v>127.85988</v>
          </cell>
          <cell r="BC309">
            <v>134</v>
          </cell>
          <cell r="BD309">
            <v>129.90658666666667</v>
          </cell>
          <cell r="BE309">
            <v>132</v>
          </cell>
          <cell r="BF309">
            <v>130.42993999999999</v>
          </cell>
          <cell r="BR309">
            <v>130.5</v>
          </cell>
        </row>
        <row r="310">
          <cell r="A310" t="str">
            <v>€/Yen</v>
          </cell>
          <cell r="BA310">
            <v>7.462686567164179E-3</v>
          </cell>
          <cell r="BB310">
            <v>7.8210616183903812E-3</v>
          </cell>
          <cell r="BC310">
            <v>7.462686567164179E-3</v>
          </cell>
          <cell r="BD310">
            <v>7.6978390831401516E-3</v>
          </cell>
          <cell r="BE310">
            <v>7.575757575757576E-3</v>
          </cell>
          <cell r="BF310">
            <v>7.6669513150124892E-3</v>
          </cell>
          <cell r="BR310">
            <v>7.6628352490421452E-3</v>
          </cell>
        </row>
        <row r="311">
          <cell r="A311" t="str">
            <v xml:space="preserve">growth </v>
          </cell>
          <cell r="BA311">
            <v>-0.23311343283582087</v>
          </cell>
          <cell r="BB311">
            <v>-0.19142971196281433</v>
          </cell>
          <cell r="BC311">
            <v>-0.26620373134328357</v>
          </cell>
          <cell r="BD311">
            <v>-0.21713977243545479</v>
          </cell>
          <cell r="BE311">
            <v>-0.20168939393939389</v>
          </cell>
          <cell r="BF311">
            <v>-0.2132306815444367</v>
          </cell>
          <cell r="BR311">
            <v>-5.3685823754801021E-4</v>
          </cell>
        </row>
        <row r="312">
          <cell r="A312" t="str">
            <v>Asia Factor</v>
          </cell>
          <cell r="BA312">
            <v>-7.689608149727549E-2</v>
          </cell>
          <cell r="BB312">
            <v>-5.0819683014831175E-2</v>
          </cell>
          <cell r="BC312">
            <v>-7.7241723069633464E-2</v>
          </cell>
          <cell r="BD312">
            <v>-5.9741573156616767E-2</v>
          </cell>
          <cell r="BE312">
            <v>-2.3855137543232614E-2</v>
          </cell>
          <cell r="BF312">
            <v>-5.1018878533256908E-2</v>
          </cell>
          <cell r="BR312">
            <v>7.5678052845353089E-2</v>
          </cell>
        </row>
        <row r="313">
          <cell r="A313" t="str">
            <v>Mexican Peso/€</v>
          </cell>
          <cell r="BA313">
            <v>16.884</v>
          </cell>
          <cell r="BB313">
            <v>16.789349999999999</v>
          </cell>
          <cell r="BC313">
            <v>16.25</v>
          </cell>
          <cell r="BD313">
            <v>16.609566666666666</v>
          </cell>
          <cell r="BE313">
            <v>15.624000000000001</v>
          </cell>
          <cell r="BF313">
            <v>16.363174999999998</v>
          </cell>
          <cell r="BR313">
            <v>14.398999999999999</v>
          </cell>
        </row>
        <row r="314">
          <cell r="A314" t="str">
            <v>€/MXN</v>
          </cell>
          <cell r="BA314">
            <v>5.9227671167969675E-2</v>
          </cell>
          <cell r="BB314">
            <v>5.9561567303082021E-2</v>
          </cell>
          <cell r="BC314">
            <v>6.1538461538461542E-2</v>
          </cell>
          <cell r="BD314">
            <v>6.0206266669610084E-2</v>
          </cell>
          <cell r="BE314">
            <v>6.4004096262160776E-2</v>
          </cell>
          <cell r="BF314">
            <v>6.1112834153518501E-2</v>
          </cell>
          <cell r="BR314">
            <v>6.9449267310229879E-2</v>
          </cell>
        </row>
        <row r="315">
          <cell r="A315" t="str">
            <v xml:space="preserve">growth </v>
          </cell>
          <cell r="BA315">
            <v>2.7685974887467379E-2</v>
          </cell>
          <cell r="BB315">
            <v>2.3603951314375093E-2</v>
          </cell>
          <cell r="BC315">
            <v>1.3522461538461705E-2</v>
          </cell>
          <cell r="BD315">
            <v>2.0316203312549019E-2</v>
          </cell>
          <cell r="BE315">
            <v>7.4658858166922748E-2</v>
          </cell>
          <cell r="BF315">
            <v>3.328816076342167E-2</v>
          </cell>
          <cell r="BR315">
            <v>0.13641051461907061</v>
          </cell>
        </row>
        <row r="316">
          <cell r="A316" t="str">
            <v>Brazilian Real/€</v>
          </cell>
          <cell r="BA316">
            <v>2.7469999999999999</v>
          </cell>
          <cell r="BB316">
            <v>2.6917499999999999</v>
          </cell>
          <cell r="BC316">
            <v>2.73</v>
          </cell>
          <cell r="BD316">
            <v>2.7044999999999999</v>
          </cell>
          <cell r="BE316">
            <v>2.6460000000000004</v>
          </cell>
          <cell r="BF316">
            <v>2.6898750000000002</v>
          </cell>
          <cell r="BR316">
            <v>2.4895749999999999</v>
          </cell>
        </row>
        <row r="317">
          <cell r="A317" t="str">
            <v>€/BRL</v>
          </cell>
          <cell r="BA317">
            <v>0.36403349108117949</v>
          </cell>
          <cell r="BB317">
            <v>0.37150552614470145</v>
          </cell>
          <cell r="BC317">
            <v>0.36630036630036622</v>
          </cell>
          <cell r="BD317">
            <v>0.36975411351451287</v>
          </cell>
          <cell r="BE317">
            <v>0.37792894935752075</v>
          </cell>
          <cell r="BF317">
            <v>0.37176448719736044</v>
          </cell>
          <cell r="BR317">
            <v>0.40167498468614121</v>
          </cell>
        </row>
        <row r="318">
          <cell r="A318" t="str">
            <v xml:space="preserve">growth </v>
          </cell>
          <cell r="BA318">
            <v>-8.4503094284674063E-2</v>
          </cell>
          <cell r="BB318">
            <v>-0.10232005201077343</v>
          </cell>
          <cell r="BC318">
            <v>-7.0410256410256666E-2</v>
          </cell>
          <cell r="BD318">
            <v>-9.1583163862697936E-2</v>
          </cell>
          <cell r="BE318">
            <v>8.9040060468630333E-3</v>
          </cell>
          <cell r="BF318">
            <v>-6.6871137134625225E-2</v>
          </cell>
          <cell r="BR318">
            <v>8.0455499432634081E-2</v>
          </cell>
        </row>
        <row r="319">
          <cell r="A319" t="str">
            <v>Latam Factor</v>
          </cell>
          <cell r="BA319">
            <v>-3.962746661581748E-2</v>
          </cell>
          <cell r="BB319">
            <v>-5.1950450680714015E-2</v>
          </cell>
          <cell r="BC319">
            <v>-3.6837169230769309E-2</v>
          </cell>
          <cell r="BD319">
            <v>-4.6823416992599155E-2</v>
          </cell>
          <cell r="BE319">
            <v>3.5205946894886916E-2</v>
          </cell>
          <cell r="BF319">
            <v>-2.6807417975406464E-2</v>
          </cell>
          <cell r="BR319">
            <v>0.10283750550720869</v>
          </cell>
        </row>
        <row r="321">
          <cell r="A321" t="str">
            <v>New</v>
          </cell>
        </row>
        <row r="322">
          <cell r="A322" t="str">
            <v xml:space="preserve">Currency </v>
          </cell>
        </row>
        <row r="323">
          <cell r="A323" t="str">
            <v>$/€</v>
          </cell>
          <cell r="BA323">
            <v>1.30627</v>
          </cell>
          <cell r="BB323">
            <v>1.3131349999999999</v>
          </cell>
          <cell r="BC323">
            <v>1.2979000000000001</v>
          </cell>
          <cell r="BD323">
            <v>1.3080566666666666</v>
          </cell>
          <cell r="BE323">
            <v>1.2979000000000001</v>
          </cell>
          <cell r="BF323">
            <v>1.3055175000000001</v>
          </cell>
          <cell r="BR323">
            <v>1.2979000000000001</v>
          </cell>
        </row>
        <row r="324">
          <cell r="A324" t="str">
            <v xml:space="preserve">growth </v>
          </cell>
          <cell r="BA324">
            <v>1.7994357767421532E-2</v>
          </cell>
          <cell r="BB324">
            <v>1.2034496578087417E-2</v>
          </cell>
          <cell r="BC324">
            <v>3.7423665952616814E-2</v>
          </cell>
          <cell r="BD324">
            <v>2.0293178579971372E-2</v>
          </cell>
          <cell r="BE324">
            <v>2.3119605425403478E-4</v>
          </cell>
          <cell r="BF324">
            <v>1.5232166603158959E-2</v>
          </cell>
          <cell r="BR324">
            <v>-5.8348509307611929E-3</v>
          </cell>
        </row>
        <row r="325">
          <cell r="A325" t="str">
            <v>€/$</v>
          </cell>
          <cell r="BA325">
            <v>0.76553851807053674</v>
          </cell>
          <cell r="BB325">
            <v>0.76153632337878441</v>
          </cell>
          <cell r="BC325">
            <v>0.77047538331150311</v>
          </cell>
          <cell r="BD325">
            <v>0.76449287365226282</v>
          </cell>
          <cell r="BE325">
            <v>0.77047538331150311</v>
          </cell>
          <cell r="BF325">
            <v>0.76597977430405939</v>
          </cell>
          <cell r="BR325">
            <v>0.77047538331150311</v>
          </cell>
        </row>
        <row r="326">
          <cell r="A326" t="str">
            <v>US Factor</v>
          </cell>
          <cell r="BA326">
            <v>-1.7676284382248664E-2</v>
          </cell>
          <cell r="BB326">
            <v>-1.1891389689559606E-2</v>
          </cell>
          <cell r="BC326">
            <v>-3.607365744664448E-2</v>
          </cell>
          <cell r="BD326">
            <v>-1.9889556262852826E-2</v>
          </cell>
          <cell r="BE326">
            <v>-2.3114261499346256E-4</v>
          </cell>
          <cell r="BF326">
            <v>-5.8348509307611929E-3</v>
          </cell>
          <cell r="BR326">
            <v>5.8690962323753038E-3</v>
          </cell>
        </row>
        <row r="327">
          <cell r="A327" t="str">
            <v>Yuan/€</v>
          </cell>
          <cell r="BA327">
            <v>8.0392299999999999</v>
          </cell>
          <cell r="BB327">
            <v>8.1268549999999991</v>
          </cell>
          <cell r="BC327">
            <v>7.9596999999999998</v>
          </cell>
          <cell r="BD327">
            <v>8.071136666666666</v>
          </cell>
          <cell r="BE327">
            <v>7.9596999999999998</v>
          </cell>
          <cell r="BF327">
            <v>8.0432774999999985</v>
          </cell>
          <cell r="BR327">
            <v>7.9596999999999998</v>
          </cell>
        </row>
        <row r="328">
          <cell r="A328" t="str">
            <v>€/Yuan</v>
          </cell>
          <cell r="BA328">
            <v>0.12439002242752105</v>
          </cell>
          <cell r="BB328">
            <v>0.12304883008248579</v>
          </cell>
          <cell r="BC328">
            <v>0.12563287561088987</v>
          </cell>
          <cell r="BD328">
            <v>0.12389828611500818</v>
          </cell>
          <cell r="BE328">
            <v>0.12563287561088987</v>
          </cell>
          <cell r="BF328">
            <v>0.12432742746970997</v>
          </cell>
          <cell r="BR328">
            <v>0.12563287561088987</v>
          </cell>
        </row>
        <row r="329">
          <cell r="A329" t="str">
            <v xml:space="preserve">growth </v>
          </cell>
          <cell r="BA329">
            <v>1.0362932768436917E-2</v>
          </cell>
          <cell r="BB329">
            <v>8.7247772969989423E-3</v>
          </cell>
          <cell r="BC329">
            <v>-1.9360026131637342E-3</v>
          </cell>
          <cell r="BD329">
            <v>5.2202477883125376E-3</v>
          </cell>
          <cell r="BE329">
            <v>1.7821023405405034E-2</v>
          </cell>
          <cell r="BF329">
            <v>8.3377081046875912E-3</v>
          </cell>
          <cell r="BR329">
            <v>1.0500081661369176E-2</v>
          </cell>
        </row>
        <row r="330">
          <cell r="A330" t="str">
            <v>Yen/€</v>
          </cell>
          <cell r="BA330">
            <v>128.98022</v>
          </cell>
          <cell r="BB330">
            <v>125.34999000000001</v>
          </cell>
          <cell r="BC330">
            <v>130.6</v>
          </cell>
          <cell r="BD330">
            <v>127.09999333333333</v>
          </cell>
          <cell r="BE330">
            <v>130.6</v>
          </cell>
          <cell r="BF330">
            <v>127.97499500000001</v>
          </cell>
          <cell r="BR330">
            <v>130.6</v>
          </cell>
        </row>
        <row r="331">
          <cell r="A331" t="str">
            <v>€/Yen</v>
          </cell>
          <cell r="BA331">
            <v>7.7531267972717052E-3</v>
          </cell>
          <cell r="BB331">
            <v>7.9776631813053989E-3</v>
          </cell>
          <cell r="BC331">
            <v>7.656967840735069E-3</v>
          </cell>
          <cell r="BD331">
            <v>7.8678210263740372E-3</v>
          </cell>
          <cell r="BE331">
            <v>7.656967840735069E-3</v>
          </cell>
          <cell r="BF331">
            <v>7.8140264822827293E-3</v>
          </cell>
          <cell r="BR331">
            <v>7.656967840735069E-3</v>
          </cell>
        </row>
        <row r="332">
          <cell r="A332" t="str">
            <v xml:space="preserve">growth </v>
          </cell>
          <cell r="BA332">
            <v>-0.20326698155732714</v>
          </cell>
          <cell r="BB332">
            <v>-0.17523966296287707</v>
          </cell>
          <cell r="BC332">
            <v>-0.2471003062787136</v>
          </cell>
          <cell r="BD332">
            <v>-0.19985282978509478</v>
          </cell>
          <cell r="BE332">
            <v>-0.19313169984686063</v>
          </cell>
          <cell r="BF332">
            <v>-0.19813808158382817</v>
          </cell>
          <cell r="BR332">
            <v>-2.0099578866768608E-2</v>
          </cell>
        </row>
        <row r="333">
          <cell r="A333" t="str">
            <v>Asia Factor</v>
          </cell>
          <cell r="BA333">
            <v>-3.2363050096715897E-2</v>
          </cell>
          <cell r="BB333">
            <v>-2.8068110754976262E-2</v>
          </cell>
          <cell r="BC333">
            <v>-5.0968863346273707E-2</v>
          </cell>
          <cell r="BD333">
            <v>-3.5794367726368924E-2</v>
          </cell>
          <cell r="BE333">
            <v>-2.4369521245048098E-2</v>
          </cell>
          <cell r="BF333">
            <v>-3.2957449833015566E-2</v>
          </cell>
          <cell r="BR333">
            <v>4.3801495557416192E-3</v>
          </cell>
        </row>
        <row r="334">
          <cell r="A334" t="str">
            <v>Mexican Peso/€</v>
          </cell>
          <cell r="BA334">
            <v>16.303461054935035</v>
          </cell>
          <cell r="BB334">
            <v>16.49908052746752</v>
          </cell>
          <cell r="BC334">
            <v>16.923168422926071</v>
          </cell>
          <cell r="BD334">
            <v>16.640443159287035</v>
          </cell>
          <cell r="BE334">
            <v>16.923168422926071</v>
          </cell>
          <cell r="BF334">
            <v>16.711124475196794</v>
          </cell>
          <cell r="BR334">
            <v>16.923168422926071</v>
          </cell>
        </row>
        <row r="335">
          <cell r="A335" t="str">
            <v>€/MXN</v>
          </cell>
          <cell r="BA335">
            <v>6.1336669350788027E-2</v>
          </cell>
          <cell r="BB335">
            <v>6.0609438103851249E-2</v>
          </cell>
          <cell r="BC335">
            <v>5.9090589599361601E-2</v>
          </cell>
          <cell r="BD335">
            <v>6.0094553397870287E-2</v>
          </cell>
          <cell r="BE335">
            <v>5.9090589599361601E-2</v>
          </cell>
          <cell r="BF335">
            <v>5.9840377676812426E-2</v>
          </cell>
          <cell r="BR335">
            <v>5.9090589599361601E-2</v>
          </cell>
        </row>
        <row r="336">
          <cell r="A336" t="str">
            <v xml:space="preserve">growth </v>
          </cell>
          <cell r="BA336">
            <v>6.4280151406730823E-2</v>
          </cell>
          <cell r="BB336">
            <v>4.161228690226082E-2</v>
          </cell>
          <cell r="BC336">
            <v>-2.679335285181017E-2</v>
          </cell>
          <cell r="BD336">
            <v>1.8422997379242023E-2</v>
          </cell>
          <cell r="BE336">
            <v>-7.841228049606852E-3</v>
          </cell>
          <cell r="BF336">
            <v>1.1773625712334868E-2</v>
          </cell>
          <cell r="BR336">
            <v>-1.2529801892299242E-2</v>
          </cell>
        </row>
        <row r="337">
          <cell r="A337" t="str">
            <v>Brazilian Real/€</v>
          </cell>
          <cell r="BA337">
            <v>2.6981690943792187</v>
          </cell>
          <cell r="BB337">
            <v>2.6673345471896095</v>
          </cell>
          <cell r="BC337">
            <v>2.9262298778013256</v>
          </cell>
          <cell r="BD337">
            <v>2.7536329907268482</v>
          </cell>
          <cell r="BE337">
            <v>2.9262298778013256</v>
          </cell>
          <cell r="BF337">
            <v>2.7967822124954678</v>
          </cell>
          <cell r="BR337">
            <v>2.9262298778013256</v>
          </cell>
        </row>
        <row r="338">
          <cell r="A338" t="str">
            <v>€/BRL</v>
          </cell>
          <cell r="BA338">
            <v>0.37062169383052512</v>
          </cell>
          <cell r="BB338">
            <v>0.37490610281849818</v>
          </cell>
          <cell r="BC338">
            <v>0.34173665151398414</v>
          </cell>
          <cell r="BD338">
            <v>0.36315660197550159</v>
          </cell>
          <cell r="BE338">
            <v>0.34173665151398414</v>
          </cell>
          <cell r="BF338">
            <v>0.3575537614377689</v>
          </cell>
          <cell r="BR338">
            <v>0.34173665151398414</v>
          </cell>
        </row>
        <row r="339">
          <cell r="A339" t="str">
            <v xml:space="preserve">growth </v>
          </cell>
          <cell r="BA339">
            <v>-6.7934620836427206E-2</v>
          </cell>
          <cell r="BB339">
            <v>-9.4103136576578095E-2</v>
          </cell>
          <cell r="BC339">
            <v>-0.13274756052084136</v>
          </cell>
          <cell r="BD339">
            <v>-0.10779201817856132</v>
          </cell>
          <cell r="BE339">
            <v>-8.7713504584328472E-2</v>
          </cell>
          <cell r="BF339">
            <v>-0.10254005879119998</v>
          </cell>
          <cell r="BR339">
            <v>-4.4237011687926819E-2</v>
          </cell>
        </row>
        <row r="340">
          <cell r="A340" t="str">
            <v>Latam Factor</v>
          </cell>
          <cell r="BA340">
            <v>-1.5048711939163989E-2</v>
          </cell>
          <cell r="BB340">
            <v>-3.9816967185042525E-2</v>
          </cell>
          <cell r="BC340">
            <v>-9.0365877453228882E-2</v>
          </cell>
          <cell r="BD340">
            <v>-5.7306011955439981E-2</v>
          </cell>
          <cell r="BE340">
            <v>-5.576459397043982E-2</v>
          </cell>
          <cell r="BF340">
            <v>-5.6814584989786039E-2</v>
          </cell>
          <cell r="BR340">
            <v>-3.1554127769675783E-2</v>
          </cell>
        </row>
      </sheetData>
      <sheetData sheetId="9" refreshError="1"/>
      <sheetData sheetId="10"/>
      <sheetData sheetId="11"/>
      <sheetData sheetId="12"/>
      <sheetData sheetId="13"/>
      <sheetData sheetId="14" refreshError="1">
        <row r="5">
          <cell r="B5" t="str">
            <v>Key Products (€m)</v>
          </cell>
          <cell r="C5" t="str">
            <v>FY11</v>
          </cell>
          <cell r="D5" t="str">
            <v>FY12</v>
          </cell>
          <cell r="E5" t="str">
            <v>FY13</v>
          </cell>
          <cell r="F5" t="str">
            <v>FY14E</v>
          </cell>
          <cell r="G5" t="str">
            <v>FY15E</v>
          </cell>
          <cell r="H5" t="str">
            <v>FY16E</v>
          </cell>
          <cell r="I5" t="str">
            <v>FY17E</v>
          </cell>
          <cell r="J5" t="str">
            <v>FY18E</v>
          </cell>
          <cell r="K5" t="str">
            <v>FY19E</v>
          </cell>
          <cell r="L5" t="str">
            <v>FY20E</v>
          </cell>
          <cell r="M5" t="str">
            <v>FY21E</v>
          </cell>
          <cell r="N5" t="str">
            <v>FY22E</v>
          </cell>
          <cell r="O5" t="str">
            <v>FY23E</v>
          </cell>
          <cell r="P5" t="str">
            <v>FY24E</v>
          </cell>
          <cell r="Q5" t="str">
            <v>2015-18e CAGR</v>
          </cell>
          <cell r="R5" t="str">
            <v>2015-20e CAGR</v>
          </cell>
        </row>
        <row r="6">
          <cell r="B6" t="str">
            <v>Total Revenue</v>
          </cell>
          <cell r="C6">
            <v>8809.0817101200028</v>
          </cell>
          <cell r="D6">
            <v>11172.699999999999</v>
          </cell>
          <cell r="E6">
            <v>11095.1</v>
          </cell>
          <cell r="F6">
            <v>11190.663411536309</v>
          </cell>
          <cell r="G6">
            <v>11447.203938008561</v>
          </cell>
          <cell r="H6">
            <v>11587.314006160859</v>
          </cell>
          <cell r="I6">
            <v>11700.293463749169</v>
          </cell>
          <cell r="J6">
            <v>11781.405304705513</v>
          </cell>
          <cell r="K6">
            <v>11872.702344209405</v>
          </cell>
          <cell r="L6">
            <v>11949.579107907361</v>
          </cell>
          <cell r="M6">
            <v>12059.33544603158</v>
          </cell>
          <cell r="N6">
            <v>12171.194690543623</v>
          </cell>
          <cell r="O6">
            <v>12315.862904417239</v>
          </cell>
          <cell r="P6">
            <v>12557.243418788228</v>
          </cell>
          <cell r="Q6">
            <v>9.6384752039093691E-3</v>
          </cell>
          <cell r="R6">
            <v>8.627111680413746E-3</v>
          </cell>
        </row>
        <row r="7">
          <cell r="B7" t="str">
            <v>Rebif</v>
          </cell>
          <cell r="C7">
            <v>1691.1697708600009</v>
          </cell>
          <cell r="D7">
            <v>1892.6</v>
          </cell>
          <cell r="E7">
            <v>1864.7</v>
          </cell>
          <cell r="F7">
            <v>1662.7279584623782</v>
          </cell>
          <cell r="G7">
            <v>1496.4551626161403</v>
          </cell>
          <cell r="H7">
            <v>1346.8096463545262</v>
          </cell>
          <cell r="I7">
            <v>1212.1286817190737</v>
          </cell>
          <cell r="J7">
            <v>1090.9158135471664</v>
          </cell>
          <cell r="K7">
            <v>981.8242321924497</v>
          </cell>
          <cell r="L7">
            <v>883.64180897320477</v>
          </cell>
          <cell r="M7">
            <v>795.27762807588442</v>
          </cell>
          <cell r="N7">
            <v>715.74986526829593</v>
          </cell>
          <cell r="O7">
            <v>644.17487874146639</v>
          </cell>
          <cell r="P7">
            <v>644.17487874146639</v>
          </cell>
          <cell r="Q7">
            <v>-9.9999999999999978E-2</v>
          </cell>
          <cell r="R7">
            <v>-9.9999999999999978E-2</v>
          </cell>
        </row>
        <row r="8">
          <cell r="B8" t="str">
            <v>Others</v>
          </cell>
          <cell r="C8">
            <v>-0.60089841999990767</v>
          </cell>
          <cell r="D8">
            <v>-9.9999999999909051E-2</v>
          </cell>
          <cell r="E8">
            <v>0</v>
          </cell>
          <cell r="F8">
            <v>0</v>
          </cell>
          <cell r="G8">
            <v>0</v>
          </cell>
          <cell r="H8">
            <v>0</v>
          </cell>
          <cell r="I8">
            <v>0</v>
          </cell>
          <cell r="J8">
            <v>0</v>
          </cell>
          <cell r="K8">
            <v>0</v>
          </cell>
          <cell r="L8">
            <v>0</v>
          </cell>
          <cell r="M8">
            <v>0</v>
          </cell>
          <cell r="N8">
            <v>0</v>
          </cell>
          <cell r="O8">
            <v>0</v>
          </cell>
          <cell r="P8">
            <v>0</v>
          </cell>
        </row>
        <row r="9">
          <cell r="B9" t="str">
            <v>Neurodegenerative Diseases</v>
          </cell>
          <cell r="C9">
            <v>1690.5688724400011</v>
          </cell>
          <cell r="D9">
            <v>1892.5</v>
          </cell>
          <cell r="E9">
            <v>1864.7</v>
          </cell>
          <cell r="F9">
            <v>1662.7279584623782</v>
          </cell>
          <cell r="G9">
            <v>1496.4551626161403</v>
          </cell>
          <cell r="H9">
            <v>1346.8096463545262</v>
          </cell>
          <cell r="I9">
            <v>1212.1286817190737</v>
          </cell>
          <cell r="J9">
            <v>1090.9158135471664</v>
          </cell>
          <cell r="K9">
            <v>981.8242321924497</v>
          </cell>
          <cell r="L9">
            <v>883.64180897320477</v>
          </cell>
          <cell r="M9">
            <v>795.27762807588442</v>
          </cell>
          <cell r="N9">
            <v>715.74986526829593</v>
          </cell>
          <cell r="O9">
            <v>644.17487874146639</v>
          </cell>
          <cell r="P9">
            <v>644.17487874146639</v>
          </cell>
          <cell r="Q9">
            <v>-9.9999999999999978E-2</v>
          </cell>
          <cell r="R9">
            <v>-9.9999999999999978E-2</v>
          </cell>
        </row>
        <row r="10">
          <cell r="B10" t="str">
            <v>Gonal-F</v>
          </cell>
          <cell r="C10">
            <v>525.87448630999984</v>
          </cell>
          <cell r="D10">
            <v>611.6</v>
          </cell>
          <cell r="E10">
            <v>585.79999999999995</v>
          </cell>
          <cell r="F10">
            <v>581.55325021716249</v>
          </cell>
          <cell r="G10">
            <v>598.99984772367736</v>
          </cell>
          <cell r="H10">
            <v>569.04985533749345</v>
          </cell>
          <cell r="I10">
            <v>540.59736257061877</v>
          </cell>
          <cell r="J10">
            <v>513.56749444208776</v>
          </cell>
          <cell r="K10">
            <v>487.88911971998334</v>
          </cell>
          <cell r="L10">
            <v>463.49466373398417</v>
          </cell>
          <cell r="M10">
            <v>440.31993054728491</v>
          </cell>
          <cell r="N10">
            <v>418.30393401992063</v>
          </cell>
          <cell r="O10">
            <v>397.3887373189246</v>
          </cell>
          <cell r="P10">
            <v>377.51930045297837</v>
          </cell>
          <cell r="Q10">
            <v>-5.0000000000000044E-2</v>
          </cell>
          <cell r="R10">
            <v>-5.0000000000000044E-2</v>
          </cell>
        </row>
        <row r="11">
          <cell r="B11" t="str">
            <v>Others</v>
          </cell>
          <cell r="C11">
            <v>170.92724393000049</v>
          </cell>
          <cell r="D11">
            <v>205.10000000000002</v>
          </cell>
          <cell r="E11">
            <v>221.60000000000002</v>
          </cell>
          <cell r="F11">
            <v>239.46973541325931</v>
          </cell>
          <cell r="G11">
            <v>263.41670895458526</v>
          </cell>
          <cell r="H11">
            <v>289.75837985004381</v>
          </cell>
          <cell r="I11">
            <v>318.73421783504824</v>
          </cell>
          <cell r="J11">
            <v>350.60763961855309</v>
          </cell>
          <cell r="K11">
            <v>385.66840358040844</v>
          </cell>
          <cell r="L11">
            <v>424.23524393844934</v>
          </cell>
          <cell r="M11">
            <v>466.6587683322943</v>
          </cell>
          <cell r="N11">
            <v>513.32464516552375</v>
          </cell>
          <cell r="O11">
            <v>564.65710968207622</v>
          </cell>
          <cell r="P11">
            <v>621.12282065028387</v>
          </cell>
          <cell r="Q11">
            <v>0.10000000000000009</v>
          </cell>
          <cell r="R11">
            <v>0.10000000000000009</v>
          </cell>
        </row>
        <row r="12">
          <cell r="B12" t="str">
            <v>Fertility</v>
          </cell>
          <cell r="C12">
            <v>696.80173024000032</v>
          </cell>
          <cell r="D12">
            <v>816.7</v>
          </cell>
          <cell r="E12">
            <v>807.4</v>
          </cell>
          <cell r="F12">
            <v>821.02298563042177</v>
          </cell>
          <cell r="G12">
            <v>862.41655667826262</v>
          </cell>
          <cell r="H12">
            <v>858.80823518753732</v>
          </cell>
          <cell r="I12">
            <v>859.33158040566695</v>
          </cell>
          <cell r="J12">
            <v>864.17513406064086</v>
          </cell>
          <cell r="K12">
            <v>873.55752330039172</v>
          </cell>
          <cell r="L12">
            <v>887.72990767243346</v>
          </cell>
          <cell r="M12">
            <v>906.97869887957927</v>
          </cell>
          <cell r="N12">
            <v>931.62857918544432</v>
          </cell>
          <cell r="O12">
            <v>962.04584700100077</v>
          </cell>
          <cell r="P12">
            <v>998.6421211032623</v>
          </cell>
          <cell r="Q12">
            <v>6.7924770995264616E-4</v>
          </cell>
          <cell r="R12">
            <v>5.8025983018858973E-3</v>
          </cell>
        </row>
        <row r="13">
          <cell r="B13" t="str">
            <v>Saizen</v>
          </cell>
          <cell r="C13">
            <v>225.06782706999996</v>
          </cell>
          <cell r="D13">
            <v>250.5</v>
          </cell>
          <cell r="E13">
            <v>235.2</v>
          </cell>
          <cell r="F13">
            <v>237.67814221736754</v>
          </cell>
          <cell r="G13">
            <v>244.80848648388857</v>
          </cell>
          <cell r="H13">
            <v>252.15274107840523</v>
          </cell>
          <cell r="I13">
            <v>252.15274107840523</v>
          </cell>
          <cell r="J13">
            <v>252.15274107840523</v>
          </cell>
          <cell r="K13">
            <v>239.54510402448494</v>
          </cell>
          <cell r="L13">
            <v>227.56784882326068</v>
          </cell>
          <cell r="M13">
            <v>216.18945638209763</v>
          </cell>
          <cell r="N13">
            <v>205.37998356299275</v>
          </cell>
          <cell r="O13">
            <v>195.11098438484311</v>
          </cell>
          <cell r="P13">
            <v>185.35543516560094</v>
          </cell>
          <cell r="Q13">
            <v>9.9016340499609168E-3</v>
          </cell>
          <cell r="R13">
            <v>-1.4499413545873141E-2</v>
          </cell>
        </row>
        <row r="14">
          <cell r="B14" t="str">
            <v>Others</v>
          </cell>
          <cell r="C14">
            <v>117.12178825000007</v>
          </cell>
          <cell r="D14">
            <v>148.69999999999999</v>
          </cell>
          <cell r="E14">
            <v>158.60000000000002</v>
          </cell>
          <cell r="F14">
            <v>166.53000000000003</v>
          </cell>
          <cell r="G14">
            <v>174.85650000000004</v>
          </cell>
          <cell r="H14">
            <v>183.59932500000005</v>
          </cell>
          <cell r="I14">
            <v>192.77929125000006</v>
          </cell>
          <cell r="J14">
            <v>202.41825581250006</v>
          </cell>
          <cell r="K14">
            <v>212.53916860312506</v>
          </cell>
          <cell r="L14">
            <v>223.16612703328133</v>
          </cell>
          <cell r="M14">
            <v>234.32443338494539</v>
          </cell>
          <cell r="N14">
            <v>246.04065505419268</v>
          </cell>
          <cell r="O14">
            <v>258.34268780690235</v>
          </cell>
          <cell r="P14">
            <v>271.2598221972475</v>
          </cell>
          <cell r="Q14">
            <v>5.0000000000000044E-2</v>
          </cell>
          <cell r="R14">
            <v>5.0000000000000044E-2</v>
          </cell>
        </row>
        <row r="15">
          <cell r="B15" t="str">
            <v>Endocrinology</v>
          </cell>
          <cell r="C15">
            <v>342.18961532000003</v>
          </cell>
          <cell r="D15">
            <v>399.2</v>
          </cell>
          <cell r="E15">
            <v>393.8</v>
          </cell>
          <cell r="F15">
            <v>404.20814221736759</v>
          </cell>
          <cell r="G15">
            <v>419.66498648388858</v>
          </cell>
          <cell r="H15">
            <v>435.75206607840528</v>
          </cell>
          <cell r="I15">
            <v>444.93203232840528</v>
          </cell>
          <cell r="J15">
            <v>454.57099689090529</v>
          </cell>
          <cell r="K15">
            <v>452.08427262761001</v>
          </cell>
          <cell r="L15">
            <v>450.73397585654197</v>
          </cell>
          <cell r="M15">
            <v>450.513889767043</v>
          </cell>
          <cell r="N15">
            <v>451.42063861718543</v>
          </cell>
          <cell r="O15">
            <v>453.45367219174545</v>
          </cell>
          <cell r="P15">
            <v>456.61525736284841</v>
          </cell>
          <cell r="Q15">
            <v>2.6990269427953129E-2</v>
          </cell>
          <cell r="R15">
            <v>1.4386619388218058E-2</v>
          </cell>
        </row>
        <row r="16">
          <cell r="B16" t="str">
            <v>Erbitux</v>
          </cell>
          <cell r="C16">
            <v>855.40147690000038</v>
          </cell>
          <cell r="D16">
            <v>887.4</v>
          </cell>
          <cell r="E16">
            <v>882.2</v>
          </cell>
          <cell r="F16">
            <v>894.26350125552358</v>
          </cell>
          <cell r="G16">
            <v>876.38451128063411</v>
          </cell>
          <cell r="H16">
            <v>859.93615450624679</v>
          </cell>
          <cell r="I16">
            <v>816.93934678093444</v>
          </cell>
          <cell r="J16">
            <v>754.18996342938772</v>
          </cell>
          <cell r="K16">
            <v>696.76829084666838</v>
          </cell>
          <cell r="L16">
            <v>627.09146176200147</v>
          </cell>
          <cell r="M16">
            <v>564.38231558580139</v>
          </cell>
          <cell r="N16">
            <v>507.94408402722127</v>
          </cell>
          <cell r="O16">
            <v>457.14967562449908</v>
          </cell>
          <cell r="P16">
            <v>411.4347080620492</v>
          </cell>
          <cell r="Q16">
            <v>-4.8821514780771014E-2</v>
          </cell>
          <cell r="R16">
            <v>-6.475102945825395E-2</v>
          </cell>
        </row>
        <row r="17">
          <cell r="B17" t="str">
            <v>Others</v>
          </cell>
          <cell r="C17">
            <v>3.4200152200000673</v>
          </cell>
          <cell r="D17">
            <v>1.8999999999999773</v>
          </cell>
          <cell r="E17">
            <v>0</v>
          </cell>
          <cell r="F17">
            <v>0</v>
          </cell>
          <cell r="G17">
            <v>0</v>
          </cell>
          <cell r="H17">
            <v>0</v>
          </cell>
          <cell r="I17">
            <v>0</v>
          </cell>
          <cell r="J17">
            <v>0</v>
          </cell>
          <cell r="K17">
            <v>0</v>
          </cell>
          <cell r="L17">
            <v>0</v>
          </cell>
          <cell r="M17">
            <v>0</v>
          </cell>
          <cell r="N17">
            <v>0</v>
          </cell>
          <cell r="O17">
            <v>0</v>
          </cell>
          <cell r="P17">
            <v>0</v>
          </cell>
        </row>
        <row r="18">
          <cell r="B18" t="str">
            <v>Oncology</v>
          </cell>
          <cell r="C18">
            <v>858.82149212000047</v>
          </cell>
          <cell r="D18">
            <v>889.3</v>
          </cell>
          <cell r="E18">
            <v>882.2</v>
          </cell>
          <cell r="F18">
            <v>894.26350125552358</v>
          </cell>
          <cell r="G18">
            <v>876.38451128063411</v>
          </cell>
          <cell r="H18">
            <v>859.93615450624679</v>
          </cell>
          <cell r="I18">
            <v>816.93934678093444</v>
          </cell>
          <cell r="J18">
            <v>754.18996342938772</v>
          </cell>
          <cell r="K18">
            <v>696.76829084666838</v>
          </cell>
          <cell r="L18">
            <v>627.09146176200147</v>
          </cell>
          <cell r="M18">
            <v>564.38231558580139</v>
          </cell>
          <cell r="N18">
            <v>507.94408402722127</v>
          </cell>
          <cell r="O18">
            <v>457.14967562449908</v>
          </cell>
          <cell r="P18">
            <v>411.4347080620492</v>
          </cell>
          <cell r="Q18">
            <v>-4.8821514780771014E-2</v>
          </cell>
          <cell r="R18">
            <v>-6.475102945825395E-2</v>
          </cell>
        </row>
        <row r="19">
          <cell r="B19" t="str">
            <v>Glucophage Franchise</v>
          </cell>
          <cell r="C19">
            <v>345.6</v>
          </cell>
          <cell r="D19">
            <v>399.6</v>
          </cell>
          <cell r="E19">
            <v>393.6</v>
          </cell>
          <cell r="F19">
            <v>426.58283792962141</v>
          </cell>
          <cell r="G19">
            <v>469.24112172258356</v>
          </cell>
          <cell r="H19">
            <v>516.165233894842</v>
          </cell>
          <cell r="I19">
            <v>541.9734955895841</v>
          </cell>
          <cell r="J19">
            <v>569.07217036906331</v>
          </cell>
          <cell r="K19">
            <v>597.52577888751648</v>
          </cell>
          <cell r="L19">
            <v>597.52577888751648</v>
          </cell>
          <cell r="M19">
            <v>597.52577888751648</v>
          </cell>
          <cell r="N19">
            <v>567.64948994314068</v>
          </cell>
          <cell r="O19">
            <v>539.26701544598359</v>
          </cell>
          <cell r="P19">
            <v>512.30366467368435</v>
          </cell>
          <cell r="Q19">
            <v>6.6408900387890268E-2</v>
          </cell>
          <cell r="R19">
            <v>4.9523377016431391E-2</v>
          </cell>
        </row>
        <row r="20">
          <cell r="B20" t="str">
            <v>Concor Cor / Lodoz</v>
          </cell>
          <cell r="C20">
            <v>397.3</v>
          </cell>
          <cell r="D20">
            <v>380</v>
          </cell>
          <cell r="E20">
            <v>401.5</v>
          </cell>
          <cell r="F20">
            <v>404.74916253010934</v>
          </cell>
          <cell r="G20">
            <v>396.65417927950716</v>
          </cell>
          <cell r="H20">
            <v>388.72109569391699</v>
          </cell>
          <cell r="I20">
            <v>380.94667378003862</v>
          </cell>
          <cell r="J20">
            <v>373.32774030443784</v>
          </cell>
          <cell r="K20">
            <v>365.86118549834907</v>
          </cell>
          <cell r="L20">
            <v>358.54396178838209</v>
          </cell>
          <cell r="M20">
            <v>351.37308255261445</v>
          </cell>
          <cell r="N20">
            <v>344.34562090156214</v>
          </cell>
          <cell r="O20">
            <v>337.45870848353087</v>
          </cell>
          <cell r="P20">
            <v>330.70953431386027</v>
          </cell>
          <cell r="Q20">
            <v>-2.0000000000000018E-2</v>
          </cell>
          <cell r="R20">
            <v>-2.0000000000000018E-2</v>
          </cell>
        </row>
        <row r="21">
          <cell r="B21" t="str">
            <v>Euthyrox</v>
          </cell>
          <cell r="C21">
            <v>199.3</v>
          </cell>
          <cell r="D21">
            <v>234</v>
          </cell>
          <cell r="E21">
            <v>275.10000000000002</v>
          </cell>
          <cell r="F21">
            <v>295.82715985962739</v>
          </cell>
          <cell r="G21">
            <v>310.61851785260876</v>
          </cell>
          <cell r="H21">
            <v>326.14944374523924</v>
          </cell>
          <cell r="I21">
            <v>342.4569159325012</v>
          </cell>
          <cell r="J21">
            <v>359.57976172912629</v>
          </cell>
          <cell r="K21">
            <v>366.7713569637088</v>
          </cell>
          <cell r="L21">
            <v>374.106784102983</v>
          </cell>
          <cell r="M21">
            <v>381.58891978504266</v>
          </cell>
          <cell r="N21">
            <v>389.22069818074351</v>
          </cell>
          <cell r="O21">
            <v>397.00511214435841</v>
          </cell>
          <cell r="P21">
            <v>404.94521438724558</v>
          </cell>
          <cell r="Q21">
            <v>5.0000000000000044E-2</v>
          </cell>
          <cell r="R21">
            <v>3.7895545790118446E-2</v>
          </cell>
        </row>
        <row r="22">
          <cell r="B22" t="str">
            <v>Others</v>
          </cell>
          <cell r="C22">
            <v>1033.9000000000001</v>
          </cell>
          <cell r="D22">
            <v>984.5</v>
          </cell>
          <cell r="E22">
            <v>935.30000000000007</v>
          </cell>
          <cell r="F22">
            <v>654.64988715811944</v>
          </cell>
          <cell r="G22">
            <v>654.64988715811944</v>
          </cell>
          <cell r="H22">
            <v>654.64988715811944</v>
          </cell>
          <cell r="I22">
            <v>654.64988715811944</v>
          </cell>
          <cell r="J22">
            <v>654.64988715811944</v>
          </cell>
          <cell r="K22">
            <v>654.64988715811944</v>
          </cell>
          <cell r="L22">
            <v>654.64988715811944</v>
          </cell>
          <cell r="M22">
            <v>654.64988715811944</v>
          </cell>
          <cell r="N22">
            <v>654.64988715811944</v>
          </cell>
          <cell r="O22">
            <v>654.64988715811944</v>
          </cell>
          <cell r="P22">
            <v>654.64988715811944</v>
          </cell>
          <cell r="Q22">
            <v>0</v>
          </cell>
          <cell r="R22">
            <v>0</v>
          </cell>
        </row>
        <row r="23">
          <cell r="B23" t="str">
            <v>CM Care &amp; Local</v>
          </cell>
          <cell r="C23">
            <v>1976.1000000000001</v>
          </cell>
          <cell r="D23">
            <v>1998.1</v>
          </cell>
          <cell r="E23">
            <v>2005.5</v>
          </cell>
          <cell r="F23">
            <v>1781.8090474774776</v>
          </cell>
          <cell r="G23">
            <v>1831.1637060128187</v>
          </cell>
          <cell r="H23">
            <v>1885.6856604921177</v>
          </cell>
          <cell r="I23">
            <v>1920.0269724602435</v>
          </cell>
          <cell r="J23">
            <v>1956.6295595607467</v>
          </cell>
          <cell r="K23">
            <v>1984.808208507694</v>
          </cell>
          <cell r="L23">
            <v>1984.826411937001</v>
          </cell>
          <cell r="M23">
            <v>1985.1376683832932</v>
          </cell>
          <cell r="N23">
            <v>1955.8656961835659</v>
          </cell>
          <cell r="O23">
            <v>1928.3807232319923</v>
          </cell>
          <cell r="P23">
            <v>1902.6083005329097</v>
          </cell>
          <cell r="Q23">
            <v>2.2336373578001778E-2</v>
          </cell>
          <cell r="R23">
            <v>1.624652063698484E-2</v>
          </cell>
        </row>
        <row r="25">
          <cell r="B25" t="str">
            <v>Pipeline products</v>
          </cell>
          <cell r="C25">
            <v>0</v>
          </cell>
          <cell r="D25">
            <v>0</v>
          </cell>
          <cell r="E25">
            <v>0</v>
          </cell>
          <cell r="F25">
            <v>0</v>
          </cell>
          <cell r="G25">
            <v>0</v>
          </cell>
          <cell r="H25">
            <v>0</v>
          </cell>
          <cell r="I25">
            <v>0</v>
          </cell>
          <cell r="J25">
            <v>0</v>
          </cell>
          <cell r="K25">
            <v>0</v>
          </cell>
          <cell r="L25">
            <v>0</v>
          </cell>
          <cell r="M25">
            <v>0</v>
          </cell>
          <cell r="N25">
            <v>0</v>
          </cell>
          <cell r="O25">
            <v>0</v>
          </cell>
          <cell r="P25">
            <v>0</v>
          </cell>
        </row>
        <row r="26">
          <cell r="B26" t="str">
            <v>Other Indication Areas</v>
          </cell>
          <cell r="C26">
            <v>0</v>
          </cell>
          <cell r="D26">
            <v>0</v>
          </cell>
          <cell r="E26">
            <v>0</v>
          </cell>
          <cell r="F26">
            <v>0</v>
          </cell>
          <cell r="G26">
            <v>0</v>
          </cell>
          <cell r="H26">
            <v>0</v>
          </cell>
          <cell r="I26">
            <v>0</v>
          </cell>
          <cell r="J26">
            <v>0</v>
          </cell>
          <cell r="K26">
            <v>0</v>
          </cell>
          <cell r="L26">
            <v>0</v>
          </cell>
          <cell r="M26">
            <v>0</v>
          </cell>
          <cell r="N26">
            <v>0</v>
          </cell>
          <cell r="O26">
            <v>0</v>
          </cell>
          <cell r="P26">
            <v>0</v>
          </cell>
        </row>
        <row r="28">
          <cell r="B28" t="str">
            <v>Total Serono Sales</v>
          </cell>
          <cell r="C28">
            <v>5564.4817101200024</v>
          </cell>
          <cell r="D28">
            <v>5995.7999999999993</v>
          </cell>
          <cell r="E28">
            <v>5953.6</v>
          </cell>
          <cell r="F28">
            <v>5564.0316350431685</v>
          </cell>
          <cell r="G28">
            <v>5486.084923071744</v>
          </cell>
          <cell r="H28">
            <v>5386.9917626188326</v>
          </cell>
          <cell r="I28">
            <v>5253.358613694324</v>
          </cell>
          <cell r="J28">
            <v>5120.4814674888466</v>
          </cell>
          <cell r="K28">
            <v>4989.0425274748141</v>
          </cell>
          <cell r="L28">
            <v>4834.0235662011828</v>
          </cell>
          <cell r="M28">
            <v>4702.2902006916011</v>
          </cell>
          <cell r="N28">
            <v>4562.6088632817127</v>
          </cell>
          <cell r="O28">
            <v>4445.2047967907038</v>
          </cell>
          <cell r="P28">
            <v>4413.4752658025354</v>
          </cell>
          <cell r="Q28">
            <v>-2.2726571186703515E-2</v>
          </cell>
          <cell r="R28">
            <v>-2.4989601583872201E-2</v>
          </cell>
        </row>
        <row r="29">
          <cell r="B29" t="str">
            <v>Royalties</v>
          </cell>
          <cell r="C29">
            <v>355.6</v>
          </cell>
          <cell r="D29">
            <v>409.4</v>
          </cell>
          <cell r="E29">
            <v>372.2</v>
          </cell>
          <cell r="F29">
            <v>276.17239999999998</v>
          </cell>
          <cell r="G29">
            <v>129.80102799999997</v>
          </cell>
          <cell r="H29">
            <v>159.65526443999997</v>
          </cell>
          <cell r="I29">
            <v>191.58631732799995</v>
          </cell>
          <cell r="J29">
            <v>191.58631732799995</v>
          </cell>
          <cell r="K29">
            <v>191.58631732799995</v>
          </cell>
          <cell r="L29">
            <v>191.58631732799995</v>
          </cell>
          <cell r="M29">
            <v>191.58631732799995</v>
          </cell>
          <cell r="N29">
            <v>191.58631732799995</v>
          </cell>
          <cell r="O29">
            <v>191.58631732799995</v>
          </cell>
          <cell r="P29">
            <v>191.58631732799995</v>
          </cell>
          <cell r="Q29">
            <v>0.1385762466127971</v>
          </cell>
          <cell r="R29">
            <v>8.0979035914733544E-2</v>
          </cell>
        </row>
        <row r="30">
          <cell r="B30" t="str">
            <v>Total Serono Revenue</v>
          </cell>
          <cell r="C30">
            <v>5920.0817101200028</v>
          </cell>
          <cell r="D30">
            <v>6405.1999999999989</v>
          </cell>
          <cell r="E30">
            <v>6325.8</v>
          </cell>
          <cell r="F30">
            <v>5840.2040350431689</v>
          </cell>
          <cell r="G30">
            <v>5615.8859510717439</v>
          </cell>
          <cell r="H30">
            <v>5546.6470270588325</v>
          </cell>
          <cell r="I30">
            <v>5444.9449310223245</v>
          </cell>
          <cell r="J30">
            <v>5312.0677848168471</v>
          </cell>
          <cell r="K30">
            <v>5180.6288448028135</v>
          </cell>
          <cell r="L30">
            <v>5025.6098835291832</v>
          </cell>
          <cell r="M30">
            <v>4893.8765180196006</v>
          </cell>
          <cell r="N30">
            <v>4754.1951806097131</v>
          </cell>
          <cell r="O30">
            <v>4636.7911141187033</v>
          </cell>
          <cell r="P30">
            <v>4605.0615831305349</v>
          </cell>
          <cell r="Q30">
            <v>-1.8368597824064081E-2</v>
          </cell>
          <cell r="R30">
            <v>-2.1965671105811824E-2</v>
          </cell>
        </row>
        <row r="32">
          <cell r="B32" t="str">
            <v>Performance Materials sales</v>
          </cell>
          <cell r="C32">
            <v>0</v>
          </cell>
          <cell r="D32">
            <v>1674.2</v>
          </cell>
          <cell r="E32">
            <v>1643.6</v>
          </cell>
          <cell r="F32">
            <v>1914.5313493830438</v>
          </cell>
          <cell r="G32">
            <v>2254.9012050987822</v>
          </cell>
          <cell r="H32">
            <v>2319.4168937623936</v>
          </cell>
          <cell r="I32">
            <v>2379.6946924408885</v>
          </cell>
          <cell r="J32">
            <v>2434.7660147626407</v>
          </cell>
          <cell r="K32">
            <v>2488.3084203074618</v>
          </cell>
          <cell r="L32">
            <v>2544.8965430318635</v>
          </cell>
          <cell r="M32">
            <v>2602.7754250445601</v>
          </cell>
          <cell r="N32">
            <v>2662.0213132320728</v>
          </cell>
          <cell r="O32">
            <v>2722.6678305739338</v>
          </cell>
          <cell r="P32">
            <v>2784.749460994949</v>
          </cell>
          <cell r="Q32">
            <v>2.5911514278597503E-2</v>
          </cell>
          <cell r="R32">
            <v>2.4491884786371987E-2</v>
          </cell>
        </row>
        <row r="33">
          <cell r="B33" t="str">
            <v>Royalties</v>
          </cell>
          <cell r="C33">
            <v>0</v>
          </cell>
          <cell r="D33">
            <v>1.4</v>
          </cell>
          <cell r="E33">
            <v>0.8</v>
          </cell>
          <cell r="F33">
            <v>0.69999999999998863</v>
          </cell>
          <cell r="G33">
            <v>1.4999999999999887</v>
          </cell>
          <cell r="H33">
            <v>0.2</v>
          </cell>
          <cell r="I33">
            <v>1.6999999999999886</v>
          </cell>
          <cell r="J33">
            <v>0.60000000000001119</v>
          </cell>
          <cell r="K33">
            <v>2.2999999999999998</v>
          </cell>
          <cell r="L33">
            <v>2.2565374112506826</v>
          </cell>
          <cell r="M33">
            <v>2.2565374112506826</v>
          </cell>
          <cell r="N33">
            <v>2.2565374112506826</v>
          </cell>
          <cell r="O33">
            <v>2.2565374112506826</v>
          </cell>
          <cell r="P33">
            <v>2.2565374112506826</v>
          </cell>
          <cell r="Q33">
            <v>-0.26319370027191624</v>
          </cell>
          <cell r="R33">
            <v>8.5101230101719327E-2</v>
          </cell>
        </row>
        <row r="34">
          <cell r="B34" t="str">
            <v>Total Performance Materials Revenue</v>
          </cell>
          <cell r="C34">
            <v>0</v>
          </cell>
          <cell r="D34">
            <v>1675.6000000000001</v>
          </cell>
          <cell r="E34">
            <v>1644.3999999999999</v>
          </cell>
          <cell r="F34">
            <v>1915.2313493830438</v>
          </cell>
          <cell r="G34">
            <v>2256.4012050987822</v>
          </cell>
          <cell r="H34">
            <v>2319.6168937623934</v>
          </cell>
          <cell r="I34">
            <v>2381.3946924408883</v>
          </cell>
          <cell r="J34">
            <v>2435.3660147626406</v>
          </cell>
          <cell r="K34">
            <v>2490.608420307462</v>
          </cell>
          <cell r="L34">
            <v>2547.153080443114</v>
          </cell>
          <cell r="M34">
            <v>2605.0319624558106</v>
          </cell>
          <cell r="N34">
            <v>2664.2778506433233</v>
          </cell>
          <cell r="O34">
            <v>2724.9243679851843</v>
          </cell>
          <cell r="P34">
            <v>2787.0059984061995</v>
          </cell>
          <cell r="Q34">
            <v>2.5768376587019803E-2</v>
          </cell>
          <cell r="R34">
            <v>2.4537230186480796E-2</v>
          </cell>
        </row>
        <row r="36">
          <cell r="B36" t="str">
            <v>Consumer Health Care sales</v>
          </cell>
          <cell r="C36">
            <v>494.2</v>
          </cell>
          <cell r="D36">
            <v>472.5</v>
          </cell>
          <cell r="E36">
            <v>476.9</v>
          </cell>
          <cell r="F36">
            <v>762.09649867288601</v>
          </cell>
          <cell r="G36">
            <v>792.58035861980147</v>
          </cell>
          <cell r="H36">
            <v>824.28357296459353</v>
          </cell>
          <cell r="I36">
            <v>857.25491588317732</v>
          </cell>
          <cell r="J36">
            <v>891.54511251850442</v>
          </cell>
          <cell r="K36">
            <v>927.20691701924466</v>
          </cell>
          <cell r="L36">
            <v>964.29519370001447</v>
          </cell>
          <cell r="M36">
            <v>1002.8670014480151</v>
          </cell>
          <cell r="N36">
            <v>1042.9816815059357</v>
          </cell>
          <cell r="O36">
            <v>1084.7009487661733</v>
          </cell>
          <cell r="P36">
            <v>1128.0889867168203</v>
          </cell>
          <cell r="Q36">
            <v>4.0000000000000036E-2</v>
          </cell>
          <cell r="R36">
            <v>4.0000000000000036E-2</v>
          </cell>
        </row>
        <row r="37">
          <cell r="B37" t="str">
            <v>Royalties</v>
          </cell>
          <cell r="C37">
            <v>2</v>
          </cell>
          <cell r="D37">
            <v>2.6</v>
          </cell>
          <cell r="E37">
            <v>2.7</v>
          </cell>
          <cell r="F37">
            <v>2.7</v>
          </cell>
          <cell r="G37">
            <v>2.7</v>
          </cell>
          <cell r="H37">
            <v>2.7</v>
          </cell>
          <cell r="I37">
            <v>2.7</v>
          </cell>
          <cell r="J37">
            <v>2.7</v>
          </cell>
          <cell r="K37">
            <v>2.7</v>
          </cell>
          <cell r="L37">
            <v>2.7</v>
          </cell>
          <cell r="M37">
            <v>2.7</v>
          </cell>
          <cell r="N37">
            <v>2.7</v>
          </cell>
          <cell r="O37">
            <v>2.7</v>
          </cell>
          <cell r="P37">
            <v>2.7</v>
          </cell>
          <cell r="Q37">
            <v>0</v>
          </cell>
          <cell r="R37">
            <v>0</v>
          </cell>
        </row>
        <row r="38">
          <cell r="B38" t="str">
            <v>Total CHC Revenue</v>
          </cell>
          <cell r="C38">
            <v>496.2</v>
          </cell>
          <cell r="D38">
            <v>475.1</v>
          </cell>
          <cell r="E38">
            <v>479.59999999999997</v>
          </cell>
          <cell r="F38">
            <v>764.79649867288606</v>
          </cell>
          <cell r="G38">
            <v>795.28035861980152</v>
          </cell>
          <cell r="H38">
            <v>826.98357296459358</v>
          </cell>
          <cell r="I38">
            <v>859.95491588317736</v>
          </cell>
          <cell r="J38">
            <v>894.24511251850447</v>
          </cell>
          <cell r="K38">
            <v>929.9069170192447</v>
          </cell>
          <cell r="L38">
            <v>966.99519370001451</v>
          </cell>
          <cell r="M38">
            <v>1005.5670014480152</v>
          </cell>
          <cell r="N38">
            <v>1045.6816815059358</v>
          </cell>
          <cell r="O38">
            <v>1087.4009487661733</v>
          </cell>
          <cell r="P38">
            <v>1130.7889867168203</v>
          </cell>
          <cell r="Q38">
            <v>3.9869338577577906E-2</v>
          </cell>
          <cell r="R38">
            <v>3.9874220545710992E-2</v>
          </cell>
        </row>
        <row r="40">
          <cell r="B40" t="str">
            <v>Merck Millipore sales</v>
          </cell>
          <cell r="C40">
            <v>2382.6</v>
          </cell>
          <cell r="D40">
            <v>2598.1000000000004</v>
          </cell>
          <cell r="E40">
            <v>2627.5</v>
          </cell>
          <cell r="F40">
            <v>2652.6315284372085</v>
          </cell>
          <cell r="G40">
            <v>2761.836423218233</v>
          </cell>
          <cell r="H40">
            <v>2876.2665123750403</v>
          </cell>
          <cell r="I40">
            <v>2996.1989244027782</v>
          </cell>
          <cell r="J40">
            <v>3121.9263926075209</v>
          </cell>
          <cell r="K40">
            <v>3253.7581620798842</v>
          </cell>
          <cell r="L40">
            <v>3392.0209502350481</v>
          </cell>
          <cell r="M40">
            <v>3537.059964108154</v>
          </cell>
          <cell r="N40">
            <v>3689.2399777846513</v>
          </cell>
          <cell r="O40">
            <v>3848.9464735471793</v>
          </cell>
          <cell r="P40">
            <v>4016.5868505346734</v>
          </cell>
          <cell r="Q40">
            <v>4.1697372694119883E-2</v>
          </cell>
          <cell r="R40">
            <v>4.1962561283706457E-2</v>
          </cell>
        </row>
        <row r="41">
          <cell r="B41" t="str">
            <v>Royalties</v>
          </cell>
          <cell r="C41">
            <v>10.199999999999999</v>
          </cell>
          <cell r="D41">
            <v>18.7</v>
          </cell>
          <cell r="E41">
            <v>17.8</v>
          </cell>
          <cell r="F41">
            <v>17.8</v>
          </cell>
          <cell r="G41">
            <v>17.8</v>
          </cell>
          <cell r="H41">
            <v>17.8</v>
          </cell>
          <cell r="I41">
            <v>17.8</v>
          </cell>
          <cell r="J41">
            <v>17.8</v>
          </cell>
          <cell r="K41">
            <v>17.8</v>
          </cell>
          <cell r="L41">
            <v>17.8</v>
          </cell>
          <cell r="M41">
            <v>17.8</v>
          </cell>
          <cell r="N41">
            <v>17.8</v>
          </cell>
          <cell r="O41">
            <v>17.8</v>
          </cell>
          <cell r="P41">
            <v>17.8</v>
          </cell>
          <cell r="Q41">
            <v>0</v>
          </cell>
          <cell r="R41">
            <v>0</v>
          </cell>
        </row>
        <row r="42">
          <cell r="B42" t="str">
            <v>Total Merck Millipore Revenue</v>
          </cell>
          <cell r="C42">
            <v>2392.7999999999997</v>
          </cell>
          <cell r="D42">
            <v>2616.8000000000002</v>
          </cell>
          <cell r="E42">
            <v>2645.3</v>
          </cell>
          <cell r="F42">
            <v>2670.4315284372087</v>
          </cell>
          <cell r="G42">
            <v>2779.6364232182332</v>
          </cell>
          <cell r="H42">
            <v>2894.0665123750405</v>
          </cell>
          <cell r="I42">
            <v>3013.9989244027784</v>
          </cell>
          <cell r="J42">
            <v>3139.7263926075211</v>
          </cell>
          <cell r="K42">
            <v>3271.5581620798844</v>
          </cell>
          <cell r="L42">
            <v>3409.8209502350483</v>
          </cell>
          <cell r="M42">
            <v>3554.8599641081541</v>
          </cell>
          <cell r="N42">
            <v>3707.0399777846515</v>
          </cell>
          <cell r="O42">
            <v>3866.7464735471794</v>
          </cell>
          <cell r="P42">
            <v>4034.3868505346736</v>
          </cell>
          <cell r="Q42">
            <v>4.1440837092741933E-2</v>
          </cell>
          <cell r="R42">
            <v>4.1714516498658316E-2</v>
          </cell>
        </row>
      </sheetData>
      <sheetData sheetId="15" refreshError="1">
        <row r="1">
          <cell r="A1" t="str">
            <v>Merck KGaA</v>
          </cell>
        </row>
        <row r="2">
          <cell r="A2" t="str">
            <v>Changes to Model</v>
          </cell>
          <cell r="T2" t="str">
            <v xml:space="preserve">Morgan Stanley Equity Research- Pharmaceuticals  </v>
          </cell>
        </row>
        <row r="4">
          <cell r="B4" t="str">
            <v>€m</v>
          </cell>
          <cell r="D4">
            <v>2009</v>
          </cell>
          <cell r="E4">
            <v>2010</v>
          </cell>
          <cell r="F4">
            <v>2011</v>
          </cell>
          <cell r="G4">
            <v>2012</v>
          </cell>
          <cell r="H4">
            <v>2013</v>
          </cell>
          <cell r="I4" t="str">
            <v>2014e</v>
          </cell>
          <cell r="J4" t="str">
            <v>2015e</v>
          </cell>
          <cell r="K4" t="str">
            <v>2016e</v>
          </cell>
          <cell r="L4" t="str">
            <v>2017e</v>
          </cell>
          <cell r="M4" t="str">
            <v>2018e</v>
          </cell>
          <cell r="N4" t="str">
            <v>2019e</v>
          </cell>
          <cell r="O4" t="str">
            <v>2020e</v>
          </cell>
          <cell r="P4" t="str">
            <v>2021e</v>
          </cell>
          <cell r="Q4" t="str">
            <v>2022e</v>
          </cell>
          <cell r="R4" t="str">
            <v>2023e</v>
          </cell>
          <cell r="S4" t="str">
            <v>CAGR 15-18</v>
          </cell>
          <cell r="T4" t="str">
            <v>CAGR 15-20</v>
          </cell>
          <cell r="U4" t="str">
            <v>Comments</v>
          </cell>
        </row>
        <row r="5">
          <cell r="B5" t="str">
            <v>Merck Serono</v>
          </cell>
          <cell r="C5" t="str">
            <v>new</v>
          </cell>
          <cell r="F5">
            <v>1568.1</v>
          </cell>
          <cell r="G5">
            <v>1586.2000000000005</v>
          </cell>
          <cell r="H5">
            <v>6325.8</v>
          </cell>
          <cell r="I5">
            <v>5840.2040350431689</v>
          </cell>
          <cell r="J5">
            <v>5615.8859510717439</v>
          </cell>
          <cell r="K5">
            <v>5546.6470270588325</v>
          </cell>
          <cell r="L5">
            <v>5444.9449310223245</v>
          </cell>
          <cell r="M5">
            <v>5312.0677848168471</v>
          </cell>
          <cell r="N5">
            <v>5180.6288448028135</v>
          </cell>
          <cell r="O5">
            <v>5025.6098835291832</v>
          </cell>
          <cell r="P5">
            <v>4893.8765180196006</v>
          </cell>
          <cell r="Q5">
            <v>4754.1951806097131</v>
          </cell>
          <cell r="R5">
            <v>4636.7911141187033</v>
          </cell>
          <cell r="S5">
            <v>-1.8368597824064081E-2</v>
          </cell>
          <cell r="T5">
            <v>-3.6340742398530912E-2</v>
          </cell>
          <cell r="U5" t="str">
            <v>Negative impact of switch to spot FX forecasts modestly offset by better than anticipated Rebif resilience</v>
          </cell>
        </row>
        <row r="6">
          <cell r="C6" t="str">
            <v>old</v>
          </cell>
          <cell r="H6">
            <v>6310.2220249654702</v>
          </cell>
          <cell r="I6">
            <v>6113.1593212569387</v>
          </cell>
          <cell r="J6">
            <v>6038.1168280724005</v>
          </cell>
          <cell r="K6">
            <v>5935.1502640360968</v>
          </cell>
          <cell r="L6">
            <v>5744.7050836752269</v>
          </cell>
          <cell r="M6">
            <v>5527.1972527071057</v>
          </cell>
          <cell r="N6">
            <v>5395.1872050948959</v>
          </cell>
          <cell r="O6">
            <v>5238.1889265448044</v>
          </cell>
          <cell r="P6">
            <v>5105.2776235089805</v>
          </cell>
          <cell r="Q6">
            <v>4964.2749271186967</v>
          </cell>
          <cell r="R6">
            <v>4846.3324022564402</v>
          </cell>
        </row>
        <row r="7">
          <cell r="C7" t="str">
            <v>% +/-</v>
          </cell>
          <cell r="H7">
            <v>2.4686888944474611E-3</v>
          </cell>
          <cell r="I7">
            <v>-4.4650445353949471E-2</v>
          </cell>
          <cell r="J7">
            <v>-6.9927576597660662E-2</v>
          </cell>
          <cell r="K7">
            <v>-6.5458028810389271E-2</v>
          </cell>
          <cell r="L7">
            <v>-5.218025090700186E-2</v>
          </cell>
          <cell r="M7">
            <v>-3.892198126001252E-2</v>
          </cell>
          <cell r="N7">
            <v>-3.9768473666579388E-2</v>
          </cell>
          <cell r="O7">
            <v>-4.0582545989963338E-2</v>
          </cell>
          <cell r="P7">
            <v>-4.1408346632494951E-2</v>
          </cell>
          <cell r="Q7">
            <v>-4.231831427412814E-2</v>
          </cell>
          <cell r="R7">
            <v>-4.3237085438088206E-2</v>
          </cell>
        </row>
        <row r="9">
          <cell r="B9" t="str">
            <v>Performance Materials</v>
          </cell>
          <cell r="C9" t="str">
            <v>new</v>
          </cell>
          <cell r="F9">
            <v>406.7</v>
          </cell>
          <cell r="G9">
            <v>383.79999999999995</v>
          </cell>
          <cell r="H9">
            <v>1644.3999999999999</v>
          </cell>
          <cell r="I9">
            <v>1915.2313493830438</v>
          </cell>
          <cell r="J9">
            <v>2256.4012050987822</v>
          </cell>
          <cell r="K9">
            <v>2319.6168937623934</v>
          </cell>
          <cell r="L9">
            <v>2381.3946924408883</v>
          </cell>
          <cell r="M9">
            <v>2435.3660147626406</v>
          </cell>
          <cell r="N9">
            <v>2490.608420307462</v>
          </cell>
          <cell r="O9">
            <v>2547.153080443114</v>
          </cell>
          <cell r="P9">
            <v>2605.0319624558106</v>
          </cell>
          <cell r="Q9">
            <v>2664.2778506433233</v>
          </cell>
          <cell r="R9">
            <v>2724.9243679851843</v>
          </cell>
          <cell r="S9">
            <v>2.5768376587019803E-2</v>
          </cell>
          <cell r="T9">
            <v>4.1228965569104048E-2</v>
          </cell>
          <cell r="U9" t="str">
            <v>Switch to spot FX forecasts. LC destocking pushed into 4Q13/1Q14 from 3Q13/4Q13 previously per company guidance</v>
          </cell>
        </row>
        <row r="10">
          <cell r="C10" t="str">
            <v>old</v>
          </cell>
          <cell r="H10">
            <v>1622.8181525829013</v>
          </cell>
          <cell r="I10">
            <v>1923.340950833292</v>
          </cell>
          <cell r="J10">
            <v>2270.6758156678316</v>
          </cell>
          <cell r="K10">
            <v>2334.5445422503531</v>
          </cell>
          <cell r="L10">
            <v>2396.9349675162503</v>
          </cell>
          <cell r="M10">
            <v>2451.3522422703618</v>
          </cell>
          <cell r="N10">
            <v>2507.0533118630374</v>
          </cell>
          <cell r="O10">
            <v>2564.0697156713527</v>
          </cell>
          <cell r="P10">
            <v>2622.4337997643333</v>
          </cell>
          <cell r="Q10">
            <v>2682.178738313929</v>
          </cell>
          <cell r="R10">
            <v>2743.3385555925133</v>
          </cell>
        </row>
        <row r="11">
          <cell r="C11" t="str">
            <v>% +/-</v>
          </cell>
          <cell r="H11">
            <v>1.3298993102060466E-2</v>
          </cell>
          <cell r="I11">
            <v>-4.2164138639769972E-3</v>
          </cell>
          <cell r="J11">
            <v>-6.2865031064996283E-3</v>
          </cell>
          <cell r="K11">
            <v>-6.3942444523120466E-3</v>
          </cell>
          <cell r="L11">
            <v>-6.4833945375935929E-3</v>
          </cell>
          <cell r="M11">
            <v>-6.5213914312515437E-3</v>
          </cell>
          <cell r="N11">
            <v>-6.5594502828321966E-3</v>
          </cell>
          <cell r="O11">
            <v>-6.5975722597735017E-3</v>
          </cell>
          <cell r="P11">
            <v>-6.6357584737073627E-3</v>
          </cell>
          <cell r="Q11">
            <v>-6.6740099811016147E-3</v>
          </cell>
          <cell r="R11">
            <v>-6.7123277838931905E-3</v>
          </cell>
        </row>
        <row r="13">
          <cell r="B13" t="str">
            <v>Consumer Health</v>
          </cell>
          <cell r="C13" t="str">
            <v>new</v>
          </cell>
          <cell r="F13">
            <v>131.4</v>
          </cell>
          <cell r="G13">
            <v>115.19999999999999</v>
          </cell>
          <cell r="H13">
            <v>479.59999999999997</v>
          </cell>
          <cell r="I13">
            <v>764.79649867288606</v>
          </cell>
          <cell r="J13">
            <v>795.28035861980152</v>
          </cell>
          <cell r="K13">
            <v>826.98357296459358</v>
          </cell>
          <cell r="L13">
            <v>859.95491588317736</v>
          </cell>
          <cell r="M13">
            <v>894.24511251850447</v>
          </cell>
          <cell r="N13">
            <v>929.9069170192447</v>
          </cell>
          <cell r="O13">
            <v>966.99519370001451</v>
          </cell>
          <cell r="P13">
            <v>1005.5670014480152</v>
          </cell>
          <cell r="Q13">
            <v>1045.6816815059358</v>
          </cell>
          <cell r="R13">
            <v>1087.4009487661733</v>
          </cell>
          <cell r="S13">
            <v>3.9869338577577906E-2</v>
          </cell>
          <cell r="T13">
            <v>6.7336479325056597E-2</v>
          </cell>
          <cell r="U13" t="str">
            <v>Switch to spot FX forecasts, FY13 u/lying growth revised down on weak Q2 trends</v>
          </cell>
        </row>
        <row r="14">
          <cell r="C14" t="str">
            <v>old</v>
          </cell>
          <cell r="H14">
            <v>490.29289677950703</v>
          </cell>
          <cell r="I14">
            <v>506.5812086238725</v>
          </cell>
          <cell r="J14">
            <v>526.7404569688274</v>
          </cell>
          <cell r="K14">
            <v>547.70607524758054</v>
          </cell>
          <cell r="L14">
            <v>569.51031825748373</v>
          </cell>
          <cell r="M14">
            <v>592.18673098778311</v>
          </cell>
          <cell r="N14">
            <v>615.77020022729448</v>
          </cell>
          <cell r="O14">
            <v>640.29700823638632</v>
          </cell>
          <cell r="P14">
            <v>665.80488856584179</v>
          </cell>
          <cell r="Q14">
            <v>692.33308410847553</v>
          </cell>
          <cell r="R14">
            <v>719.9224074728146</v>
          </cell>
        </row>
        <row r="15">
          <cell r="C15" t="str">
            <v>% +/-</v>
          </cell>
          <cell r="H15">
            <v>-2.1809201907152739E-2</v>
          </cell>
          <cell r="I15">
            <v>0.50972141416468097</v>
          </cell>
          <cell r="J15">
            <v>0.50981446004035791</v>
          </cell>
          <cell r="K15">
            <v>0.50990396188461251</v>
          </cell>
          <cell r="L15">
            <v>0.50999005341002357</v>
          </cell>
          <cell r="M15">
            <v>0.51007286338023816</v>
          </cell>
          <cell r="N15">
            <v>0.51015251578591392</v>
          </cell>
          <cell r="O15">
            <v>0.5102291300149524</v>
          </cell>
          <cell r="P15">
            <v>0.51030282101717273</v>
          </cell>
          <cell r="Q15">
            <v>0.51037369946356226</v>
          </cell>
          <cell r="R15">
            <v>0.51044187190025103</v>
          </cell>
        </row>
        <row r="17">
          <cell r="B17" t="str">
            <v>Millipore</v>
          </cell>
          <cell r="C17" t="str">
            <v>new</v>
          </cell>
          <cell r="F17">
            <v>645.5</v>
          </cell>
          <cell r="G17">
            <v>656.60000000000025</v>
          </cell>
          <cell r="H17">
            <v>2645.3</v>
          </cell>
          <cell r="I17">
            <v>2670.4315284372087</v>
          </cell>
          <cell r="J17">
            <v>2779.6364232182332</v>
          </cell>
          <cell r="K17">
            <v>2894.0665123750405</v>
          </cell>
          <cell r="L17">
            <v>3013.9989244027784</v>
          </cell>
          <cell r="M17">
            <v>3139.7263926075211</v>
          </cell>
          <cell r="N17">
            <v>3271.5581620798844</v>
          </cell>
          <cell r="O17">
            <v>3409.8209502350483</v>
          </cell>
          <cell r="P17">
            <v>3554.8599641081541</v>
          </cell>
          <cell r="Q17">
            <v>3707.0399777846515</v>
          </cell>
          <cell r="R17">
            <v>3866.7464735471794</v>
          </cell>
          <cell r="S17">
            <v>4.1440837092741933E-2</v>
          </cell>
          <cell r="T17">
            <v>7.0486497289497851E-2</v>
          </cell>
          <cell r="U17" t="str">
            <v>Switch to spot FX forecasts</v>
          </cell>
        </row>
        <row r="18">
          <cell r="C18" t="str">
            <v>old</v>
          </cell>
          <cell r="H18">
            <v>2653.8864149678843</v>
          </cell>
          <cell r="I18">
            <v>2713.358909404069</v>
          </cell>
          <cell r="J18">
            <v>2824.298473986958</v>
          </cell>
          <cell r="K18">
            <v>2940.5456376084921</v>
          </cell>
          <cell r="L18">
            <v>3062.381861451162</v>
          </cell>
          <cell r="M18">
            <v>3190.1044538953174</v>
          </cell>
          <cell r="N18">
            <v>3324.0274915242444</v>
          </cell>
          <cell r="O18">
            <v>3464.4827945224797</v>
          </cell>
          <cell r="P18">
            <v>3611.8209597055234</v>
          </cell>
          <cell r="Q18">
            <v>3766.4124546126059</v>
          </cell>
          <cell r="R18">
            <v>3928.6487762993156</v>
          </cell>
        </row>
        <row r="19">
          <cell r="C19" t="str">
            <v>% +/-</v>
          </cell>
          <cell r="H19">
            <v>-3.2354116285673992E-3</v>
          </cell>
          <cell r="I19">
            <v>-1.5820752948708997E-2</v>
          </cell>
          <cell r="J19">
            <v>-1.581350242549863E-2</v>
          </cell>
          <cell r="K19">
            <v>-1.5806292763832955E-2</v>
          </cell>
          <cell r="L19">
            <v>-1.5799119521122205E-2</v>
          </cell>
          <cell r="M19">
            <v>-1.5791978606305986E-2</v>
          </cell>
          <cell r="N19">
            <v>-1.5784866273864672E-2</v>
          </cell>
          <cell r="O19">
            <v>-1.5777779117233475E-2</v>
          </cell>
          <cell r="P19">
            <v>-1.5770714061644219E-2</v>
          </cell>
          <cell r="Q19">
            <v>-1.5763668356407124E-2</v>
          </cell>
          <cell r="R19">
            <v>-1.5756639566656939E-2</v>
          </cell>
        </row>
        <row r="21">
          <cell r="B21" t="str">
            <v>Net Sales</v>
          </cell>
          <cell r="C21" t="str">
            <v>new</v>
          </cell>
          <cell r="F21">
            <v>8353.4</v>
          </cell>
          <cell r="G21">
            <v>2741.8</v>
          </cell>
          <cell r="H21">
            <v>11095.100000000002</v>
          </cell>
          <cell r="I21">
            <v>11190.663411536309</v>
          </cell>
          <cell r="J21">
            <v>11447.203938008561</v>
          </cell>
          <cell r="K21">
            <v>11587.314006160861</v>
          </cell>
          <cell r="L21">
            <v>11700.293463749169</v>
          </cell>
          <cell r="M21">
            <v>11781.405304705513</v>
          </cell>
          <cell r="N21">
            <v>11872.702344209405</v>
          </cell>
          <cell r="O21">
            <v>11949.579107907361</v>
          </cell>
          <cell r="P21">
            <v>12059.33544603158</v>
          </cell>
          <cell r="Q21">
            <v>12171.194690543623</v>
          </cell>
          <cell r="R21">
            <v>12315.862904417241</v>
          </cell>
          <cell r="S21">
            <v>9.6384752039093691E-3</v>
          </cell>
          <cell r="T21">
            <v>1.4419828310075822E-2</v>
          </cell>
        </row>
        <row r="22">
          <cell r="C22" t="str">
            <v>old</v>
          </cell>
          <cell r="H22">
            <v>11077.219489295763</v>
          </cell>
          <cell r="I22">
            <v>11256.440390118172</v>
          </cell>
          <cell r="J22">
            <v>11659.831574696018</v>
          </cell>
          <cell r="K22">
            <v>11757.946519142522</v>
          </cell>
          <cell r="L22">
            <v>11773.532230900124</v>
          </cell>
          <cell r="M22">
            <v>11760.840679860568</v>
          </cell>
          <cell r="N22">
            <v>11842.038208709473</v>
          </cell>
          <cell r="O22">
            <v>11907.038444975024</v>
          </cell>
          <cell r="P22">
            <v>12005.337271544679</v>
          </cell>
          <cell r="Q22">
            <v>12105.199204153707</v>
          </cell>
          <cell r="R22">
            <v>12238.242141621085</v>
          </cell>
        </row>
        <row r="23">
          <cell r="C23" t="str">
            <v>% +/-</v>
          </cell>
          <cell r="H23">
            <v>1.6141695776198566E-3</v>
          </cell>
          <cell r="I23">
            <v>-5.8434972604312898E-3</v>
          </cell>
          <cell r="J23">
            <v>-1.8235909783542528E-2</v>
          </cell>
          <cell r="K23">
            <v>-1.4512101471448538E-2</v>
          </cell>
          <cell r="L23">
            <v>-6.220628246019223E-3</v>
          </cell>
          <cell r="M23">
            <v>1.7485675900839241E-3</v>
          </cell>
          <cell r="N23">
            <v>2.5894305489893936E-3</v>
          </cell>
          <cell r="O23">
            <v>3.5727324749077211E-3</v>
          </cell>
          <cell r="P23">
            <v>4.4978473545170287E-3</v>
          </cell>
          <cell r="Q23">
            <v>5.4518298523556098E-3</v>
          </cell>
          <cell r="R23">
            <v>6.3424764682645891E-3</v>
          </cell>
        </row>
        <row r="24">
          <cell r="B24" t="str">
            <v>Key products</v>
          </cell>
        </row>
        <row r="25">
          <cell r="B25" t="str">
            <v>Rebif sales</v>
          </cell>
          <cell r="C25" t="str">
            <v>new</v>
          </cell>
          <cell r="D25">
            <v>1536.7026145499995</v>
          </cell>
          <cell r="E25">
            <v>1668.4152830200007</v>
          </cell>
          <cell r="F25">
            <v>1691.1697708600009</v>
          </cell>
          <cell r="G25">
            <v>1892.6</v>
          </cell>
          <cell r="H25">
            <v>1864.7</v>
          </cell>
          <cell r="I25">
            <v>1662.7279584623782</v>
          </cell>
          <cell r="J25">
            <v>1496.4551626161403</v>
          </cell>
          <cell r="K25">
            <v>1346.8096463545262</v>
          </cell>
          <cell r="L25">
            <v>1212.1286817190737</v>
          </cell>
          <cell r="M25">
            <v>1090.9158135471664</v>
          </cell>
          <cell r="N25">
            <v>981.8242321924497</v>
          </cell>
          <cell r="O25">
            <v>883.64180897320477</v>
          </cell>
          <cell r="P25">
            <v>795.27762807588442</v>
          </cell>
          <cell r="Q25">
            <v>715.74986526829593</v>
          </cell>
          <cell r="R25">
            <v>644.17487874146639</v>
          </cell>
          <cell r="S25">
            <v>-9.9999999999999978E-2</v>
          </cell>
          <cell r="T25">
            <v>-0.16104722339245803</v>
          </cell>
          <cell r="U25" t="str">
            <v>FY13 forecasts raised on new price increase at beginning of August (+6%) in US. Higher 13 base and annualising price increase mitigates FX change</v>
          </cell>
        </row>
        <row r="26">
          <cell r="C26" t="str">
            <v>old</v>
          </cell>
          <cell r="H26">
            <v>1865.3116593708291</v>
          </cell>
          <cell r="I26">
            <v>1726.5038377816418</v>
          </cell>
          <cell r="J26">
            <v>1553.8534540034775</v>
          </cell>
          <cell r="K26">
            <v>1398.4681086031298</v>
          </cell>
          <cell r="L26">
            <v>1258.621297742817</v>
          </cell>
          <cell r="M26">
            <v>1132.7591679685352</v>
          </cell>
          <cell r="N26">
            <v>1019.4832511716817</v>
          </cell>
          <cell r="O26">
            <v>917.53492605451345</v>
          </cell>
          <cell r="P26">
            <v>825.78143344906221</v>
          </cell>
          <cell r="Q26">
            <v>743.20329010415594</v>
          </cell>
          <cell r="R26">
            <v>668.88296109374039</v>
          </cell>
        </row>
        <row r="27">
          <cell r="C27" t="str">
            <v>% +/-</v>
          </cell>
          <cell r="D27" t="e">
            <v>#DIV/0!</v>
          </cell>
          <cell r="E27" t="e">
            <v>#DIV/0!</v>
          </cell>
          <cell r="F27" t="e">
            <v>#DIV/0!</v>
          </cell>
          <cell r="G27" t="e">
            <v>#DIV/0!</v>
          </cell>
          <cell r="H27">
            <v>-3.2791269370793249E-4</v>
          </cell>
          <cell r="I27">
            <v>-3.6939320911796088E-2</v>
          </cell>
          <cell r="J27">
            <v>-3.6939320911796046E-2</v>
          </cell>
          <cell r="K27">
            <v>-3.6939320911796185E-2</v>
          </cell>
          <cell r="L27">
            <v>-3.6939320911796164E-2</v>
          </cell>
          <cell r="M27">
            <v>-3.6939320911796011E-2</v>
          </cell>
          <cell r="N27">
            <v>-3.6939320911796095E-2</v>
          </cell>
          <cell r="O27">
            <v>-3.6939320911795991E-2</v>
          </cell>
          <cell r="P27">
            <v>-3.6939320911795956E-2</v>
          </cell>
          <cell r="Q27">
            <v>-3.6939320911795956E-2</v>
          </cell>
          <cell r="R27">
            <v>-3.6939320911795956E-2</v>
          </cell>
        </row>
        <row r="29">
          <cell r="B29" t="str">
            <v>Erbitux sales</v>
          </cell>
          <cell r="C29" t="str">
            <v>new</v>
          </cell>
          <cell r="D29">
            <v>696.5</v>
          </cell>
          <cell r="E29">
            <v>819.8625262999999</v>
          </cell>
          <cell r="F29">
            <v>855.40147690000038</v>
          </cell>
          <cell r="G29">
            <v>887.4</v>
          </cell>
          <cell r="H29">
            <v>882.2</v>
          </cell>
          <cell r="I29">
            <v>894.26350125552358</v>
          </cell>
          <cell r="J29">
            <v>876.38451128063411</v>
          </cell>
          <cell r="K29">
            <v>859.93615450624679</v>
          </cell>
          <cell r="L29">
            <v>816.93934678093444</v>
          </cell>
          <cell r="M29">
            <v>754.18996342938772</v>
          </cell>
          <cell r="N29">
            <v>696.76829084666838</v>
          </cell>
          <cell r="O29">
            <v>627.09146176200147</v>
          </cell>
          <cell r="P29">
            <v>564.38231558580139</v>
          </cell>
          <cell r="Q29">
            <v>507.94408402722127</v>
          </cell>
          <cell r="R29">
            <v>457.14967562449908</v>
          </cell>
          <cell r="S29">
            <v>-4.8821514780771014E-2</v>
          </cell>
          <cell r="T29">
            <v>-0.10557197582702615</v>
          </cell>
          <cell r="U29" t="str">
            <v>Switch to spot FX forecasts</v>
          </cell>
        </row>
        <row r="30">
          <cell r="C30" t="str">
            <v>old</v>
          </cell>
          <cell r="H30">
            <v>884.41472398378448</v>
          </cell>
          <cell r="I30">
            <v>878.67663446317783</v>
          </cell>
          <cell r="J30">
            <v>861.56223855244139</v>
          </cell>
          <cell r="K30">
            <v>845.83805115349026</v>
          </cell>
          <cell r="L30">
            <v>831.44525161505999</v>
          </cell>
          <cell r="M30">
            <v>768.74800151043189</v>
          </cell>
          <cell r="N30">
            <v>711.3076126634229</v>
          </cell>
          <cell r="O30">
            <v>640.36685139708061</v>
          </cell>
          <cell r="P30">
            <v>576.52016625737258</v>
          </cell>
          <cell r="Q30">
            <v>519.05814963163527</v>
          </cell>
          <cell r="R30">
            <v>467.34233466847172</v>
          </cell>
        </row>
        <row r="31">
          <cell r="C31" t="str">
            <v>% +/-</v>
          </cell>
          <cell r="D31" t="e">
            <v>#DIV/0!</v>
          </cell>
          <cell r="E31" t="e">
            <v>#DIV/0!</v>
          </cell>
          <cell r="F31" t="e">
            <v>#DIV/0!</v>
          </cell>
          <cell r="G31" t="e">
            <v>#DIV/0!</v>
          </cell>
          <cell r="H31">
            <v>-2.5041690552237397E-3</v>
          </cell>
          <cell r="I31">
            <v>1.7739025007610959E-2</v>
          </cell>
          <cell r="J31">
            <v>1.7203948902282967E-2</v>
          </cell>
          <cell r="K31">
            <v>1.6667615430082161E-2</v>
          </cell>
          <cell r="L31">
            <v>-1.7446614561750416E-2</v>
          </cell>
          <cell r="M31">
            <v>-1.8937334539329689E-2</v>
          </cell>
          <cell r="N31">
            <v>-2.0440273037868148E-2</v>
          </cell>
          <cell r="O31">
            <v>-2.0730913235306261E-2</v>
          </cell>
          <cell r="P31">
            <v>-2.1053644576506551E-2</v>
          </cell>
          <cell r="Q31">
            <v>-2.1411985559424179E-2</v>
          </cell>
          <cell r="R31">
            <v>-2.1809834649803805E-2</v>
          </cell>
        </row>
        <row r="33">
          <cell r="B33" t="str">
            <v>Gonal-f</v>
          </cell>
          <cell r="C33" t="str">
            <v>new</v>
          </cell>
          <cell r="F33">
            <v>525.87448630999984</v>
          </cell>
          <cell r="G33">
            <v>611.6</v>
          </cell>
          <cell r="H33">
            <v>585.79999999999995</v>
          </cell>
          <cell r="I33">
            <v>581.55325021716249</v>
          </cell>
          <cell r="J33">
            <v>598.99984772367736</v>
          </cell>
          <cell r="K33">
            <v>569.04985533749345</v>
          </cell>
          <cell r="L33">
            <v>540.59736257061877</v>
          </cell>
          <cell r="M33">
            <v>513.56749444208776</v>
          </cell>
          <cell r="N33">
            <v>487.88911971998334</v>
          </cell>
          <cell r="O33">
            <v>463.49466373398417</v>
          </cell>
          <cell r="P33">
            <v>440.31993054728491</v>
          </cell>
          <cell r="Q33">
            <v>418.30393401992063</v>
          </cell>
          <cell r="R33">
            <v>397.3887373189246</v>
          </cell>
          <cell r="S33">
            <v>-5.0000000000000044E-2</v>
          </cell>
          <cell r="T33">
            <v>-8.1936596707531395E-2</v>
          </cell>
          <cell r="U33" t="str">
            <v>Switch to spot FX forecasts</v>
          </cell>
        </row>
        <row r="34">
          <cell r="C34" t="str">
            <v>old</v>
          </cell>
          <cell r="H34">
            <v>584.42483065068109</v>
          </cell>
          <cell r="I34">
            <v>589.49368655310354</v>
          </cell>
          <cell r="J34">
            <v>607.17849714969668</v>
          </cell>
          <cell r="K34">
            <v>576.81957229221177</v>
          </cell>
          <cell r="L34">
            <v>547.97859367760111</v>
          </cell>
          <cell r="M34">
            <v>520.57966399372106</v>
          </cell>
          <cell r="N34">
            <v>494.55068079403497</v>
          </cell>
          <cell r="O34">
            <v>469.82314675433321</v>
          </cell>
          <cell r="P34">
            <v>446.33198941661652</v>
          </cell>
          <cell r="Q34">
            <v>424.01538994578567</v>
          </cell>
          <cell r="R34">
            <v>402.81462044849638</v>
          </cell>
        </row>
        <row r="35">
          <cell r="C35" t="str">
            <v>% +/-</v>
          </cell>
          <cell r="F35" t="e">
            <v>#DIV/0!</v>
          </cell>
          <cell r="G35" t="e">
            <v>#DIV/0!</v>
          </cell>
          <cell r="H35">
            <v>2.3530303251964747E-3</v>
          </cell>
          <cell r="I35">
            <v>-1.3469926001023858E-2</v>
          </cell>
          <cell r="J35">
            <v>-1.3469926001023907E-2</v>
          </cell>
          <cell r="K35">
            <v>-1.346992600102385E-2</v>
          </cell>
          <cell r="L35">
            <v>-1.3469926001023737E-2</v>
          </cell>
          <cell r="M35">
            <v>-1.3469926001023869E-2</v>
          </cell>
          <cell r="N35">
            <v>-1.3469926001023881E-2</v>
          </cell>
          <cell r="O35">
            <v>-1.3469926001023856E-2</v>
          </cell>
          <cell r="P35">
            <v>-1.3469926001023909E-2</v>
          </cell>
          <cell r="Q35">
            <v>-1.3469926001023929E-2</v>
          </cell>
          <cell r="R35">
            <v>-1.3469926001023929E-2</v>
          </cell>
        </row>
        <row r="38">
          <cell r="B38" t="str">
            <v>P&amp;L</v>
          </cell>
        </row>
        <row r="39">
          <cell r="B39" t="str">
            <v>€m</v>
          </cell>
          <cell r="D39">
            <v>2009</v>
          </cell>
          <cell r="E39">
            <v>2010</v>
          </cell>
          <cell r="F39">
            <v>2011</v>
          </cell>
          <cell r="G39">
            <v>2012</v>
          </cell>
          <cell r="H39" t="str">
            <v>2013e</v>
          </cell>
          <cell r="I39" t="str">
            <v>2014e</v>
          </cell>
          <cell r="J39" t="str">
            <v>2015e</v>
          </cell>
          <cell r="K39" t="str">
            <v>2016e</v>
          </cell>
          <cell r="L39" t="str">
            <v>2017e</v>
          </cell>
          <cell r="M39" t="str">
            <v>2018e</v>
          </cell>
          <cell r="N39" t="str">
            <v>2019e</v>
          </cell>
          <cell r="O39" t="str">
            <v>2020e</v>
          </cell>
          <cell r="P39" t="str">
            <v>2021e</v>
          </cell>
          <cell r="Q39" t="str">
            <v>2022e</v>
          </cell>
          <cell r="R39" t="str">
            <v>2023e</v>
          </cell>
          <cell r="S39" t="str">
            <v>CAGR 15-18</v>
          </cell>
          <cell r="T39" t="str">
            <v>CAGR 15-20</v>
          </cell>
          <cell r="U39" t="str">
            <v>Comments</v>
          </cell>
        </row>
        <row r="40">
          <cell r="B40" t="str">
            <v>Net Sales</v>
          </cell>
          <cell r="C40" t="str">
            <v>new</v>
          </cell>
          <cell r="D40">
            <v>7377.7459444699898</v>
          </cell>
          <cell r="E40">
            <v>8928.912273790007</v>
          </cell>
          <cell r="F40">
            <v>9905.9817101200024</v>
          </cell>
          <cell r="G40">
            <v>10740.6</v>
          </cell>
          <cell r="H40">
            <v>10700.1</v>
          </cell>
          <cell r="I40">
            <v>10891.734474125056</v>
          </cell>
          <cell r="J40">
            <v>11294.646372597312</v>
          </cell>
          <cell r="K40">
            <v>11404.902204309608</v>
          </cell>
          <cell r="L40">
            <v>11485.950609009917</v>
          </cell>
          <cell r="M40">
            <v>11567.062449966263</v>
          </cell>
          <cell r="N40">
            <v>11658.359489470155</v>
          </cell>
          <cell r="O40">
            <v>11735.236253168108</v>
          </cell>
          <cell r="P40">
            <v>11844.99259129233</v>
          </cell>
          <cell r="Q40">
            <v>11956.851835804373</v>
          </cell>
          <cell r="R40">
            <v>12101.520049677991</v>
          </cell>
          <cell r="S40">
            <v>7.9758973993651061E-3</v>
          </cell>
          <cell r="T40">
            <v>1.2837407822197777E-2</v>
          </cell>
          <cell r="U40" t="str">
            <v>Switch to spot FX forecasts</v>
          </cell>
        </row>
        <row r="41">
          <cell r="C41" t="str">
            <v>old</v>
          </cell>
          <cell r="H41">
            <v>10716.325077812058</v>
          </cell>
          <cell r="I41">
            <v>11037.422354504783</v>
          </cell>
          <cell r="J41">
            <v>11450.608434082627</v>
          </cell>
          <cell r="K41">
            <v>11567.333679029131</v>
          </cell>
          <cell r="L41">
            <v>11666.66574303673</v>
          </cell>
          <cell r="M41">
            <v>11737.720544247179</v>
          </cell>
          <cell r="N41">
            <v>11818.91807309608</v>
          </cell>
          <cell r="O41">
            <v>11883.918309361632</v>
          </cell>
          <cell r="P41">
            <v>11982.217135931289</v>
          </cell>
          <cell r="Q41">
            <v>12082.079068540315</v>
          </cell>
          <cell r="R41">
            <v>12215.122006007692</v>
          </cell>
        </row>
        <row r="42">
          <cell r="C42" t="str">
            <v>% +/-</v>
          </cell>
          <cell r="D42" t="e">
            <v>#DIV/0!</v>
          </cell>
          <cell r="E42" t="e">
            <v>#DIV/0!</v>
          </cell>
          <cell r="F42" t="e">
            <v>#DIV/0!</v>
          </cell>
          <cell r="G42" t="e">
            <v>#DIV/0!</v>
          </cell>
          <cell r="H42">
            <v>-1.5140524101542579E-3</v>
          </cell>
          <cell r="I42">
            <v>-1.3199447814938932E-2</v>
          </cell>
          <cell r="J42">
            <v>-1.3620416974620846E-2</v>
          </cell>
          <cell r="K42">
            <v>-1.4042257206948261E-2</v>
          </cell>
          <cell r="L42">
            <v>-1.5489869857176108E-2</v>
          </cell>
          <cell r="M42">
            <v>-1.4539287559078743E-2</v>
          </cell>
          <cell r="N42">
            <v>-1.3584879989261597E-2</v>
          </cell>
          <cell r="O42">
            <v>-1.2511198101757272E-2</v>
          </cell>
          <cell r="P42">
            <v>-1.1452350018550501E-2</v>
          </cell>
          <cell r="Q42">
            <v>-1.0364708923484275E-2</v>
          </cell>
          <cell r="R42">
            <v>-9.3001081998058763E-3</v>
          </cell>
        </row>
        <row r="44">
          <cell r="B44" t="str">
            <v>Royalties</v>
          </cell>
          <cell r="C44" t="str">
            <v>new</v>
          </cell>
          <cell r="H44">
            <v>395</v>
          </cell>
          <cell r="I44">
            <v>298.92893741125067</v>
          </cell>
          <cell r="J44">
            <v>152.55756541125066</v>
          </cell>
          <cell r="K44">
            <v>182.41180185125066</v>
          </cell>
          <cell r="L44">
            <v>214.34285473925064</v>
          </cell>
          <cell r="M44">
            <v>214.34285473925064</v>
          </cell>
          <cell r="N44">
            <v>214.34285473925064</v>
          </cell>
          <cell r="O44">
            <v>214.34285473925064</v>
          </cell>
          <cell r="P44">
            <v>214.34285473925064</v>
          </cell>
          <cell r="Q44">
            <v>214.34285473925064</v>
          </cell>
          <cell r="R44">
            <v>214.34285473925064</v>
          </cell>
          <cell r="S44">
            <v>0.1200182184752856</v>
          </cell>
          <cell r="T44">
            <v>0.1200182184752856</v>
          </cell>
          <cell r="U44" t="str">
            <v>Change to royaly exiry phasing to reflect management guidance for H213</v>
          </cell>
        </row>
        <row r="45">
          <cell r="C45" t="str">
            <v>old</v>
          </cell>
          <cell r="H45">
            <v>360.89441148370491</v>
          </cell>
          <cell r="I45">
            <v>219.01803561339074</v>
          </cell>
          <cell r="J45">
            <v>209.22314061339074</v>
          </cell>
          <cell r="K45">
            <v>190.61284011339075</v>
          </cell>
          <cell r="L45">
            <v>106.86648786339077</v>
          </cell>
          <cell r="M45">
            <v>23.120135613390772</v>
          </cell>
          <cell r="N45">
            <v>23.120135613390772</v>
          </cell>
          <cell r="O45">
            <v>23.120135613390772</v>
          </cell>
          <cell r="P45">
            <v>23.120135613390772</v>
          </cell>
          <cell r="Q45">
            <v>23.120135613390772</v>
          </cell>
          <cell r="R45">
            <v>23.120135613390772</v>
          </cell>
        </row>
        <row r="46">
          <cell r="C46" t="str">
            <v>% +/-</v>
          </cell>
          <cell r="H46">
            <v>9.4502955521202414E-2</v>
          </cell>
          <cell r="I46">
            <v>0.36485991472829277</v>
          </cell>
          <cell r="J46">
            <v>-0.27083799161034749</v>
          </cell>
          <cell r="K46">
            <v>-4.3024584583396891E-2</v>
          </cell>
          <cell r="L46">
            <v>1.0057069248242603</v>
          </cell>
          <cell r="M46">
            <v>8.2708303412851549</v>
          </cell>
          <cell r="N46">
            <v>8.2708303412851549</v>
          </cell>
          <cell r="O46">
            <v>8.2708303412851549</v>
          </cell>
          <cell r="P46">
            <v>8.2708303412851549</v>
          </cell>
          <cell r="Q46">
            <v>8.2708303412851549</v>
          </cell>
          <cell r="R46">
            <v>8.2708303412851549</v>
          </cell>
        </row>
        <row r="48">
          <cell r="B48" t="str">
            <v>Gross profit</v>
          </cell>
          <cell r="C48" t="str">
            <v>new</v>
          </cell>
          <cell r="D48">
            <v>5717.5627483999906</v>
          </cell>
          <cell r="E48">
            <v>6905.1957817500079</v>
          </cell>
          <cell r="F48">
            <v>8015.0000000000009</v>
          </cell>
          <cell r="G48">
            <v>8015.0000000000009</v>
          </cell>
          <cell r="H48">
            <v>8102.7000000000007</v>
          </cell>
          <cell r="I48">
            <v>8090.3396562659427</v>
          </cell>
          <cell r="J48">
            <v>8142.7848114995077</v>
          </cell>
          <cell r="K48">
            <v>8210.8775917116745</v>
          </cell>
          <cell r="L48">
            <v>8234.8527889577217</v>
          </cell>
          <cell r="M48">
            <v>8239.1936561367584</v>
          </cell>
          <cell r="N48">
            <v>8267.3931359607886</v>
          </cell>
          <cell r="O48">
            <v>8282.0074910370931</v>
          </cell>
          <cell r="P48">
            <v>8302.3970361738102</v>
          </cell>
          <cell r="Q48">
            <v>8340.8782035193944</v>
          </cell>
          <cell r="R48">
            <v>8403.7293201275534</v>
          </cell>
          <cell r="S48">
            <v>3.9311219782385276E-3</v>
          </cell>
          <cell r="T48">
            <v>5.6670485355332367E-3</v>
          </cell>
          <cell r="U48" t="str">
            <v>Negative impact from switch to spot FX somewhat offset near-term by change to royalty phase-out, long term by insourcing of Erbitux manufacturing</v>
          </cell>
        </row>
        <row r="49">
          <cell r="C49" t="str">
            <v>old</v>
          </cell>
          <cell r="H49">
            <v>8126.3018261659472</v>
          </cell>
          <cell r="I49">
            <v>8174.5116011692917</v>
          </cell>
          <cell r="J49">
            <v>8325.2860434761496</v>
          </cell>
          <cell r="K49">
            <v>8361.0412106661461</v>
          </cell>
          <cell r="L49">
            <v>8293.11003109386</v>
          </cell>
          <cell r="M49">
            <v>8214.3813367063631</v>
          </cell>
          <cell r="N49">
            <v>8228.8452744646838</v>
          </cell>
          <cell r="O49">
            <v>8227.6853176513214</v>
          </cell>
          <cell r="P49">
            <v>8232.9359994530441</v>
          </cell>
          <cell r="Q49">
            <v>8255.5829708058827</v>
          </cell>
          <cell r="R49">
            <v>8303.1982645103835</v>
          </cell>
        </row>
        <row r="50">
          <cell r="C50" t="str">
            <v>% +/-</v>
          </cell>
          <cell r="D50" t="e">
            <v>#DIV/0!</v>
          </cell>
          <cell r="E50" t="e">
            <v>#DIV/0!</v>
          </cell>
          <cell r="F50" t="e">
            <v>#DIV/0!</v>
          </cell>
          <cell r="G50" t="e">
            <v>#DIV/0!</v>
          </cell>
          <cell r="H50">
            <v>-2.9043747907505427E-3</v>
          </cell>
          <cell r="I50">
            <v>-1.029687753960847E-2</v>
          </cell>
          <cell r="J50">
            <v>-2.1921316699941303E-2</v>
          </cell>
          <cell r="K50">
            <v>-1.7959918528198188E-2</v>
          </cell>
          <cell r="L50">
            <v>-7.024776219983926E-3</v>
          </cell>
          <cell r="M50">
            <v>3.0205950288088325E-3</v>
          </cell>
          <cell r="N50">
            <v>4.6844800467599618E-3</v>
          </cell>
          <cell r="O50">
            <v>6.6023640050053081E-3</v>
          </cell>
          <cell r="P50">
            <v>8.4369703256992057E-3</v>
          </cell>
          <cell r="Q50">
            <v>1.0331824295769326E-2</v>
          </cell>
          <cell r="R50">
            <v>1.2107509951540087E-2</v>
          </cell>
        </row>
        <row r="52">
          <cell r="B52" t="str">
            <v>SG&amp;A</v>
          </cell>
          <cell r="C52" t="str">
            <v>new</v>
          </cell>
          <cell r="D52">
            <v>-3098</v>
          </cell>
          <cell r="E52">
            <v>-3580.9000000000005</v>
          </cell>
          <cell r="F52">
            <v>-4669.3999999999996</v>
          </cell>
          <cell r="G52">
            <v>-4669.1000000000004</v>
          </cell>
          <cell r="H52">
            <v>-4175.4000000000005</v>
          </cell>
          <cell r="I52">
            <v>-4010.8910070440252</v>
          </cell>
          <cell r="J52">
            <v>-3824.924933508215</v>
          </cell>
          <cell r="K52">
            <v>-3659.8294435192665</v>
          </cell>
          <cell r="L52">
            <v>-3700.8993936193679</v>
          </cell>
          <cell r="M52">
            <v>-3762.0322279251177</v>
          </cell>
          <cell r="N52">
            <v>-3833.9680736056298</v>
          </cell>
          <cell r="O52">
            <v>-3891.9863844227898</v>
          </cell>
          <cell r="P52">
            <v>-3958.9639105456708</v>
          </cell>
          <cell r="Q52">
            <v>-4023.2146556322305</v>
          </cell>
          <cell r="R52">
            <v>-4097.0769777022151</v>
          </cell>
          <cell r="S52">
            <v>-5.5112716829628372E-3</v>
          </cell>
          <cell r="T52">
            <v>5.8104234415039535E-3</v>
          </cell>
          <cell r="U52" t="str">
            <v>Near-term costs increased on slower drop-though of cost savings. Outer years benefit from cessation of Pfizer commission on Rebif post 2015</v>
          </cell>
        </row>
        <row r="53">
          <cell r="C53" t="str">
            <v>old</v>
          </cell>
          <cell r="H53">
            <v>-3978.0243408296365</v>
          </cell>
          <cell r="I53">
            <v>-3866.7802177393705</v>
          </cell>
          <cell r="J53">
            <v>-3770.550656220174</v>
          </cell>
          <cell r="K53">
            <v>-3662.0881455850313</v>
          </cell>
          <cell r="L53">
            <v>-3627.8154292928102</v>
          </cell>
          <cell r="M53">
            <v>-3644.4597618636881</v>
          </cell>
          <cell r="N53">
            <v>-3649.350913437288</v>
          </cell>
          <cell r="O53">
            <v>-3631.6908957405899</v>
          </cell>
          <cell r="P53">
            <v>-3631.2766973547236</v>
          </cell>
          <cell r="Q53">
            <v>-3631.0725545785808</v>
          </cell>
          <cell r="R53">
            <v>-3652.1345296444165</v>
          </cell>
        </row>
        <row r="54">
          <cell r="C54" t="str">
            <v>% +/-</v>
          </cell>
          <cell r="D54" t="e">
            <v>#DIV/0!</v>
          </cell>
          <cell r="E54" t="e">
            <v>#DIV/0!</v>
          </cell>
          <cell r="F54" t="e">
            <v>#DIV/0!</v>
          </cell>
          <cell r="G54" t="e">
            <v>#DIV/0!</v>
          </cell>
          <cell r="H54">
            <v>4.9616503635872784E-2</v>
          </cell>
          <cell r="I54">
            <v>3.7268937252633902E-2</v>
          </cell>
          <cell r="J54">
            <v>1.4420778884999517E-2</v>
          </cell>
          <cell r="K54">
            <v>-6.1677981959221845E-4</v>
          </cell>
          <cell r="L54">
            <v>2.0145447239801911E-2</v>
          </cell>
          <cell r="M54">
            <v>3.2260602049096553E-2</v>
          </cell>
          <cell r="N54">
            <v>5.0589040228650607E-2</v>
          </cell>
          <cell r="O54">
            <v>7.167335991823702E-2</v>
          </cell>
          <cell r="P54">
            <v>9.0240221415695904E-2</v>
          </cell>
          <cell r="Q54">
            <v>0.10799621741492889</v>
          </cell>
          <cell r="R54">
            <v>0.12183079359377258</v>
          </cell>
        </row>
        <row r="56">
          <cell r="B56" t="str">
            <v>R&amp;D</v>
          </cell>
          <cell r="C56" t="str">
            <v>new</v>
          </cell>
          <cell r="D56">
            <v>-1344.4000000000003</v>
          </cell>
          <cell r="E56">
            <v>-1397.1</v>
          </cell>
          <cell r="F56">
            <v>-1511.2</v>
          </cell>
          <cell r="G56">
            <v>-1511.2</v>
          </cell>
          <cell r="H56">
            <v>-1504.1999999999998</v>
          </cell>
          <cell r="I56">
            <v>-1547.8947287412186</v>
          </cell>
          <cell r="J56">
            <v>-1600.5976413300189</v>
          </cell>
          <cell r="K56">
            <v>-1639.8064747999786</v>
          </cell>
          <cell r="L56">
            <v>-1678.1450506823098</v>
          </cell>
          <cell r="M56">
            <v>-1716.6594650035424</v>
          </cell>
          <cell r="N56">
            <v>-1730.5529955666798</v>
          </cell>
          <cell r="O56">
            <v>-1744.9904922641031</v>
          </cell>
          <cell r="P56">
            <v>-1759.9972133129206</v>
          </cell>
          <cell r="Q56">
            <v>-1775.5997333716666</v>
          </cell>
          <cell r="R56">
            <v>-1791.826016847994</v>
          </cell>
          <cell r="S56">
            <v>2.3608758508774086E-2</v>
          </cell>
          <cell r="T56">
            <v>2.9209131607336847E-2</v>
          </cell>
          <cell r="U56" t="str">
            <v>Mainly impacted by changes to FX assumptions</v>
          </cell>
        </row>
        <row r="57">
          <cell r="C57" t="str">
            <v>old</v>
          </cell>
          <cell r="H57">
            <v>-1536.7815424391777</v>
          </cell>
          <cell r="I57">
            <v>-1583.5007096035579</v>
          </cell>
          <cell r="J57">
            <v>-1609.3603126905296</v>
          </cell>
          <cell r="K57">
            <v>-1602.5611341513809</v>
          </cell>
          <cell r="L57">
            <v>-1578.5132519517792</v>
          </cell>
          <cell r="M57">
            <v>-1548.7350977267747</v>
          </cell>
          <cell r="N57">
            <v>-1536.5927515702476</v>
          </cell>
          <cell r="O57">
            <v>-1520.0138733092319</v>
          </cell>
          <cell r="P57">
            <v>-1508.8396617249623</v>
          </cell>
          <cell r="Q57">
            <v>-1496.6619674223136</v>
          </cell>
          <cell r="R57">
            <v>-1489.7400708840846</v>
          </cell>
        </row>
        <row r="58">
          <cell r="C58" t="str">
            <v>% +/-</v>
          </cell>
          <cell r="D58" t="e">
            <v>#DIV/0!</v>
          </cell>
          <cell r="E58" t="e">
            <v>#DIV/0!</v>
          </cell>
          <cell r="F58" t="e">
            <v>#DIV/0!</v>
          </cell>
          <cell r="G58" t="e">
            <v>#DIV/0!</v>
          </cell>
          <cell r="H58">
            <v>-2.1201154191027343E-2</v>
          </cell>
          <cell r="I58">
            <v>-2.2485610929251498E-2</v>
          </cell>
          <cell r="J58">
            <v>-5.444816360521066E-3</v>
          </cell>
          <cell r="K58">
            <v>2.3241135614037307E-2</v>
          </cell>
          <cell r="L58">
            <v>6.3117492746633058E-2</v>
          </cell>
          <cell r="M58">
            <v>0.10842678487963903</v>
          </cell>
          <cell r="N58">
            <v>0.12622748857706359</v>
          </cell>
          <cell r="O58">
            <v>0.14800958261326463</v>
          </cell>
          <cell r="P58">
            <v>0.16645741622461432</v>
          </cell>
          <cell r="Q58">
            <v>0.18637325730255896</v>
          </cell>
          <cell r="R58">
            <v>0.20277761998080429</v>
          </cell>
        </row>
        <row r="60">
          <cell r="B60" t="str">
            <v>Reconciliation (other income/exp)</v>
          </cell>
          <cell r="C60" t="str">
            <v>new</v>
          </cell>
          <cell r="D60">
            <v>0</v>
          </cell>
          <cell r="E60">
            <v>0</v>
          </cell>
          <cell r="F60">
            <v>-870.9</v>
          </cell>
          <cell r="G60">
            <v>-870.9</v>
          </cell>
          <cell r="H60">
            <v>186.9</v>
          </cell>
          <cell r="I60">
            <v>166.4239399117522</v>
          </cell>
          <cell r="J60">
            <v>160.4286888894936</v>
          </cell>
          <cell r="K60">
            <v>159.26950651147953</v>
          </cell>
          <cell r="L60">
            <v>157.09797580530812</v>
          </cell>
          <cell r="M60">
            <v>153.95426622838681</v>
          </cell>
          <cell r="N60">
            <v>150.85540641637635</v>
          </cell>
          <cell r="O60">
            <v>147.02121503902526</v>
          </cell>
          <cell r="P60">
            <v>143.91317371024911</v>
          </cell>
          <cell r="Q60">
            <v>140.55727871949398</v>
          </cell>
          <cell r="R60">
            <v>136.89608965440243</v>
          </cell>
          <cell r="S60">
            <v>-1.3637472851342758E-2</v>
          </cell>
          <cell r="T60">
            <v>-2.8671814333811385E-2</v>
          </cell>
          <cell r="U60" t="str">
            <v>Calculated as a check - Merck does not report or provide a bridge to pre-ex EBIT</v>
          </cell>
        </row>
        <row r="61">
          <cell r="C61" t="str">
            <v>old</v>
          </cell>
          <cell r="H61">
            <v>30.699999999998596</v>
          </cell>
          <cell r="I61">
            <v>28.591566524585346</v>
          </cell>
          <cell r="J61">
            <v>29.055227798432799</v>
          </cell>
          <cell r="K61">
            <v>29.319312006619686</v>
          </cell>
          <cell r="L61">
            <v>28.958174854818935</v>
          </cell>
          <cell r="M61">
            <v>28.403617322948321</v>
          </cell>
          <cell r="N61">
            <v>28.460123873157272</v>
          </cell>
          <cell r="O61">
            <v>28.338036197855899</v>
          </cell>
          <cell r="P61">
            <v>28.388101355119943</v>
          </cell>
          <cell r="Q61">
            <v>28.380336242890507</v>
          </cell>
          <cell r="R61">
            <v>27.537385257924143</v>
          </cell>
        </row>
        <row r="62">
          <cell r="C62" t="str">
            <v>% +/-</v>
          </cell>
          <cell r="D62" t="e">
            <v>#DIV/0!</v>
          </cell>
          <cell r="E62" t="e">
            <v>#DIV/0!</v>
          </cell>
          <cell r="F62" t="e">
            <v>#DIV/0!</v>
          </cell>
          <cell r="G62" t="e">
            <v>#DIV/0!</v>
          </cell>
          <cell r="H62">
            <v>5.0879478827364348</v>
          </cell>
          <cell r="I62">
            <v>4.8207352776087804</v>
          </cell>
          <cell r="J62">
            <v>4.5215085561348412</v>
          </cell>
          <cell r="K62">
            <v>4.4322388763938187</v>
          </cell>
          <cell r="L62">
            <v>4.4249957600199181</v>
          </cell>
          <cell r="M62">
            <v>4.4202344890769085</v>
          </cell>
          <cell r="N62">
            <v>4.3005885388523772</v>
          </cell>
          <cell r="O62">
            <v>4.1881229176406061</v>
          </cell>
          <cell r="P62">
            <v>4.0694892169776482</v>
          </cell>
          <cell r="Q62">
            <v>3.952629085030825</v>
          </cell>
          <cell r="R62">
            <v>3.9712813461477534</v>
          </cell>
        </row>
        <row r="64">
          <cell r="B64" t="str">
            <v>Exceptional items</v>
          </cell>
          <cell r="C64" t="str">
            <v>new</v>
          </cell>
          <cell r="H64">
            <v>184.6</v>
          </cell>
          <cell r="I64">
            <v>106.4442044636429</v>
          </cell>
          <cell r="J64">
            <v>26.666666666666668</v>
          </cell>
          <cell r="K64">
            <v>16.666666666666668</v>
          </cell>
          <cell r="L64">
            <v>0</v>
          </cell>
          <cell r="M64">
            <v>0</v>
          </cell>
          <cell r="N64">
            <v>0</v>
          </cell>
          <cell r="O64">
            <v>0</v>
          </cell>
          <cell r="T64" t="str">
            <v>N/A</v>
          </cell>
        </row>
        <row r="65">
          <cell r="C65" t="str">
            <v>old</v>
          </cell>
          <cell r="H65">
            <v>153.1</v>
          </cell>
          <cell r="I65">
            <v>106.4442044636429</v>
          </cell>
          <cell r="J65">
            <v>26.666666666666668</v>
          </cell>
          <cell r="K65">
            <v>16.666666666666668</v>
          </cell>
          <cell r="L65">
            <v>0</v>
          </cell>
          <cell r="M65">
            <v>0</v>
          </cell>
          <cell r="N65">
            <v>0</v>
          </cell>
          <cell r="O65">
            <v>0</v>
          </cell>
          <cell r="P65">
            <v>0</v>
          </cell>
          <cell r="Q65">
            <v>0</v>
          </cell>
          <cell r="R65">
            <v>0</v>
          </cell>
          <cell r="S65" t="str">
            <v>N/A</v>
          </cell>
        </row>
        <row r="66">
          <cell r="C66" t="str">
            <v>% +/-</v>
          </cell>
          <cell r="H66">
            <v>0.20574787720444154</v>
          </cell>
          <cell r="I66">
            <v>0</v>
          </cell>
          <cell r="J66">
            <v>0</v>
          </cell>
          <cell r="K66" t="str">
            <v>N/A</v>
          </cell>
          <cell r="L66" t="str">
            <v>N/A</v>
          </cell>
          <cell r="M66" t="str">
            <v>N/A</v>
          </cell>
          <cell r="N66" t="str">
            <v>N/A</v>
          </cell>
          <cell r="O66" t="str">
            <v>N/A</v>
          </cell>
        </row>
        <row r="68">
          <cell r="B68" t="str">
            <v>EBIT (pre exc and PPA)</v>
          </cell>
          <cell r="C68" t="str">
            <v>new</v>
          </cell>
          <cell r="D68">
            <v>662.66339018999031</v>
          </cell>
          <cell r="E68">
            <v>1043.2047811400073</v>
          </cell>
          <cell r="F68">
            <v>963.50000000000125</v>
          </cell>
          <cell r="G68">
            <v>963.80000000000052</v>
          </cell>
          <cell r="H68">
            <v>2794.6000000000004</v>
          </cell>
          <cell r="I68">
            <v>2804.4220648560945</v>
          </cell>
          <cell r="J68">
            <v>2904.3575922174336</v>
          </cell>
          <cell r="K68">
            <v>3087.1778465705761</v>
          </cell>
          <cell r="L68">
            <v>3012.9063204613522</v>
          </cell>
          <cell r="M68">
            <v>2914.456229436485</v>
          </cell>
          <cell r="N68">
            <v>2853.7274732048554</v>
          </cell>
          <cell r="O68">
            <v>2792.0518293892255</v>
          </cell>
          <cell r="P68">
            <v>2727.3490860254678</v>
          </cell>
          <cell r="Q68">
            <v>2682.6210932349913</v>
          </cell>
          <cell r="R68">
            <v>2651.7224152317472</v>
          </cell>
          <cell r="S68">
            <v>1.1576805908837251E-3</v>
          </cell>
          <cell r="T68">
            <v>-1.3059139363250649E-2</v>
          </cell>
          <cell r="U68" t="str">
            <v>Not reported by Merck, impacts as per EBITDA discussion below</v>
          </cell>
        </row>
        <row r="69">
          <cell r="C69" t="str">
            <v>old</v>
          </cell>
          <cell r="H69">
            <v>2795.2959428971321</v>
          </cell>
          <cell r="I69">
            <v>2859.2664448145915</v>
          </cell>
          <cell r="J69">
            <v>3001.0969690305456</v>
          </cell>
          <cell r="K69">
            <v>3142.3779096030203</v>
          </cell>
          <cell r="L69">
            <v>3115.7395247040895</v>
          </cell>
          <cell r="M69">
            <v>3049.5900944388491</v>
          </cell>
          <cell r="N69">
            <v>3071.3617333303055</v>
          </cell>
          <cell r="O69">
            <v>3104.3185847993559</v>
          </cell>
          <cell r="P69">
            <v>3121.2077417284781</v>
          </cell>
          <cell r="Q69">
            <v>3156.2287850478788</v>
          </cell>
          <cell r="R69">
            <v>3188.8610492398066</v>
          </cell>
        </row>
        <row r="70">
          <cell r="C70" t="str">
            <v>% +/-</v>
          </cell>
          <cell r="D70" t="e">
            <v>#DIV/0!</v>
          </cell>
          <cell r="E70" t="e">
            <v>#DIV/0!</v>
          </cell>
          <cell r="F70" t="e">
            <v>#DIV/0!</v>
          </cell>
          <cell r="G70" t="e">
            <v>#DIV/0!</v>
          </cell>
          <cell r="H70">
            <v>-2.4896930820515376E-4</v>
          </cell>
          <cell r="I70">
            <v>-1.9181276392747443E-2</v>
          </cell>
          <cell r="J70">
            <v>-3.22346721253602E-2</v>
          </cell>
          <cell r="K70">
            <v>-1.7566334992285399E-2</v>
          </cell>
          <cell r="L70">
            <v>-3.3004429101788829E-2</v>
          </cell>
          <cell r="M70">
            <v>-4.4312140588595998E-2</v>
          </cell>
          <cell r="N70">
            <v>-7.085920807168071E-2</v>
          </cell>
          <cell r="O70">
            <v>-0.10059107880846366</v>
          </cell>
          <cell r="P70">
            <v>-0.12618790170144115</v>
          </cell>
          <cell r="Q70">
            <v>-0.15005493076310783</v>
          </cell>
          <cell r="R70">
            <v>-0.16844215715705393</v>
          </cell>
        </row>
        <row r="72">
          <cell r="B72" t="str">
            <v>D&amp;A (underlying)</v>
          </cell>
          <cell r="C72" t="str">
            <v>new</v>
          </cell>
          <cell r="F72">
            <v>1396.9</v>
          </cell>
          <cell r="G72">
            <v>1396.9</v>
          </cell>
          <cell r="H72">
            <v>458.70000000000005</v>
          </cell>
          <cell r="I72">
            <v>498.92195640757279</v>
          </cell>
          <cell r="J72">
            <v>528.84516240165783</v>
          </cell>
          <cell r="K72">
            <v>534.90517829319981</v>
          </cell>
          <cell r="L72">
            <v>539.7457431218437</v>
          </cell>
          <cell r="M72">
            <v>544.34645841662973</v>
          </cell>
          <cell r="N72">
            <v>549.38434863456359</v>
          </cell>
          <cell r="O72">
            <v>553.8759604126501</v>
          </cell>
          <cell r="P72">
            <v>559.71408130952614</v>
          </cell>
          <cell r="Q72">
            <v>565.66846756211726</v>
          </cell>
          <cell r="R72">
            <v>572.96821561993931</v>
          </cell>
          <cell r="S72">
            <v>9.6765936764628968E-3</v>
          </cell>
          <cell r="T72">
            <v>1.5534448731139072E-2</v>
          </cell>
          <cell r="U72" t="str">
            <v>Impacted by flow-through of change to FX assumptions</v>
          </cell>
        </row>
        <row r="73">
          <cell r="C73" t="str">
            <v>old</v>
          </cell>
          <cell r="H73">
            <v>458.9785025971749</v>
          </cell>
          <cell r="I73">
            <v>509.77211832623834</v>
          </cell>
          <cell r="J73">
            <v>536.63909785837973</v>
          </cell>
          <cell r="K73">
            <v>543.14217950677744</v>
          </cell>
          <cell r="L73">
            <v>548.90378362759509</v>
          </cell>
          <cell r="M73">
            <v>553.2937929125701</v>
          </cell>
          <cell r="N73">
            <v>558.12682019097178</v>
          </cell>
          <cell r="O73">
            <v>562.35033024170332</v>
          </cell>
          <cell r="P73">
            <v>567.94526395270327</v>
          </cell>
          <cell r="Q73">
            <v>573.64334947022689</v>
          </cell>
          <cell r="R73">
            <v>580.71049428018773</v>
          </cell>
        </row>
        <row r="74">
          <cell r="C74" t="str">
            <v>% +/-</v>
          </cell>
          <cell r="H74">
            <v>-6.0678789006220408E-4</v>
          </cell>
          <cell r="I74">
            <v>-2.1284337704248042E-2</v>
          </cell>
          <cell r="J74">
            <v>-1.4523607183721702E-2</v>
          </cell>
          <cell r="K74">
            <v>-1.516546039760266E-2</v>
          </cell>
          <cell r="L74">
            <v>-1.6684236434348718E-2</v>
          </cell>
          <cell r="M74">
            <v>-1.6171037178713116E-2</v>
          </cell>
          <cell r="N74">
            <v>-1.5663951704411583E-2</v>
          </cell>
          <cell r="O74">
            <v>-1.5069556063763411E-2</v>
          </cell>
          <cell r="P74">
            <v>-1.4492915366334673E-2</v>
          </cell>
          <cell r="Q74">
            <v>-1.3902160489570093E-2</v>
          </cell>
          <cell r="R74">
            <v>-1.3332424222581442E-2</v>
          </cell>
        </row>
        <row r="76">
          <cell r="B76" t="str">
            <v>EBITDA (pre exc and PPA)</v>
          </cell>
          <cell r="C76" t="str">
            <v>new</v>
          </cell>
          <cell r="F76">
            <v>2964.7</v>
          </cell>
          <cell r="G76">
            <v>2965.2000000000003</v>
          </cell>
          <cell r="H76">
            <v>3253.3000000000006</v>
          </cell>
          <cell r="I76">
            <v>3303.3440212636674</v>
          </cell>
          <cell r="J76">
            <v>3433.2027546190916</v>
          </cell>
          <cell r="K76">
            <v>3622.0830248637758</v>
          </cell>
          <cell r="L76">
            <v>3552.6520635831957</v>
          </cell>
          <cell r="M76">
            <v>3458.802687853115</v>
          </cell>
          <cell r="N76">
            <v>3403.111821839419</v>
          </cell>
          <cell r="O76">
            <v>3345.9277898018754</v>
          </cell>
          <cell r="P76">
            <v>3287.063167334994</v>
          </cell>
          <cell r="Q76">
            <v>3248.2895607971086</v>
          </cell>
          <cell r="R76">
            <v>3224.6906308516864</v>
          </cell>
          <cell r="S76">
            <v>2.479372573303662E-3</v>
          </cell>
          <cell r="T76">
            <v>-8.5464536155818172E-3</v>
          </cell>
          <cell r="U76" t="str">
            <v>2014 downgraded due to FX forecast change LC destocking. Longer-term offsets from cessation of Rebif commissions, insourcing of Erbitux prodn</v>
          </cell>
        </row>
        <row r="77">
          <cell r="C77" t="str">
            <v>old</v>
          </cell>
          <cell r="H77">
            <v>3254.2744454943072</v>
          </cell>
          <cell r="I77">
            <v>3369.0385631408299</v>
          </cell>
          <cell r="J77">
            <v>3537.7360668889251</v>
          </cell>
          <cell r="K77">
            <v>3685.5200891097975</v>
          </cell>
          <cell r="L77">
            <v>3664.6433083316847</v>
          </cell>
          <cell r="M77">
            <v>3602.8838873514192</v>
          </cell>
          <cell r="N77">
            <v>3629.488553521277</v>
          </cell>
          <cell r="O77">
            <v>3666.6689150410593</v>
          </cell>
          <cell r="P77">
            <v>3689.1530056811816</v>
          </cell>
          <cell r="Q77">
            <v>3729.8721345181057</v>
          </cell>
          <cell r="R77">
            <v>3769.5715435199945</v>
          </cell>
        </row>
        <row r="78">
          <cell r="C78" t="str">
            <v>% +/-</v>
          </cell>
          <cell r="H78">
            <v>-2.9943556102212873E-4</v>
          </cell>
          <cell r="I78">
            <v>-1.949949240590404E-2</v>
          </cell>
          <cell r="J78">
            <v>-2.9548081115547933E-2</v>
          </cell>
          <cell r="K78">
            <v>-1.7212513488522135E-2</v>
          </cell>
          <cell r="L78">
            <v>-3.0559930483240551E-2</v>
          </cell>
          <cell r="M78">
            <v>-3.9990519817784717E-2</v>
          </cell>
          <cell r="N78">
            <v>-6.2371523795613185E-2</v>
          </cell>
          <cell r="O78">
            <v>-8.7474798699023595E-2</v>
          </cell>
          <cell r="P78">
            <v>-0.10899245374940582</v>
          </cell>
          <cell r="Q78">
            <v>-0.12911503567754792</v>
          </cell>
          <cell r="R78">
            <v>-0.1445471736980227</v>
          </cell>
        </row>
        <row r="80">
          <cell r="B80" t="str">
            <v>Fin. Inc/(Exp), Net</v>
          </cell>
          <cell r="C80" t="str">
            <v>new</v>
          </cell>
          <cell r="F80">
            <v>-254.60000000000002</v>
          </cell>
          <cell r="G80">
            <v>-254.60000000000002</v>
          </cell>
          <cell r="H80">
            <v>-222.2</v>
          </cell>
          <cell r="I80">
            <v>-159.65928876412823</v>
          </cell>
          <cell r="J80">
            <v>-146.12420039126755</v>
          </cell>
          <cell r="K80">
            <v>-96.698888822628078</v>
          </cell>
          <cell r="L80">
            <v>-46.61178210783104</v>
          </cell>
          <cell r="M80">
            <v>2.0097521927345099</v>
          </cell>
          <cell r="N80">
            <v>49.200476214347297</v>
          </cell>
          <cell r="O80">
            <v>95.281532511105311</v>
          </cell>
          <cell r="P80">
            <v>140.2733688561824</v>
          </cell>
          <cell r="Q80">
            <v>184.40324343117106</v>
          </cell>
          <cell r="R80">
            <v>228.85699909179328</v>
          </cell>
          <cell r="S80" t="str">
            <v>NM</v>
          </cell>
          <cell r="T80" t="str">
            <v>NM</v>
          </cell>
          <cell r="U80" t="str">
            <v>Positive effect on debt interest rate due to bond repayments</v>
          </cell>
        </row>
        <row r="81">
          <cell r="C81" t="str">
            <v>old</v>
          </cell>
          <cell r="H81">
            <v>-188.98793030107726</v>
          </cell>
          <cell r="I81">
            <v>-152.16661540406818</v>
          </cell>
          <cell r="J81">
            <v>-137.31734468750926</v>
          </cell>
          <cell r="K81">
            <v>-79.439634068752198</v>
          </cell>
          <cell r="L81">
            <v>-18.313560101392319</v>
          </cell>
          <cell r="M81">
            <v>42.739010690466415</v>
          </cell>
          <cell r="N81">
            <v>103.70231642731311</v>
          </cell>
          <cell r="O81">
            <v>165.7211395218909</v>
          </cell>
          <cell r="P81">
            <v>229.06630005045955</v>
          </cell>
          <cell r="Q81">
            <v>293.83826586242793</v>
          </cell>
          <cell r="R81">
            <v>360.85966301710289</v>
          </cell>
        </row>
        <row r="82">
          <cell r="C82" t="str">
            <v>% +/-</v>
          </cell>
          <cell r="H82">
            <v>0.17573645918028988</v>
          </cell>
          <cell r="I82">
            <v>4.9239929140592137E-2</v>
          </cell>
          <cell r="J82">
            <v>6.4135056818932085E-2</v>
          </cell>
          <cell r="K82">
            <v>0.217262515823507</v>
          </cell>
          <cell r="L82">
            <v>1.5452059484757035</v>
          </cell>
          <cell r="M82">
            <v>-0.95297616486048387</v>
          </cell>
          <cell r="N82">
            <v>-0.52556048978102787</v>
          </cell>
          <cell r="O82">
            <v>-0.4250490143502838</v>
          </cell>
          <cell r="P82">
            <v>-0.38762983107824034</v>
          </cell>
          <cell r="Q82">
            <v>-0.37243284876481414</v>
          </cell>
          <cell r="R82">
            <v>-0.36580055199755968</v>
          </cell>
        </row>
        <row r="84">
          <cell r="B84" t="str">
            <v>Tax Rate</v>
          </cell>
          <cell r="C84" t="str">
            <v>new</v>
          </cell>
          <cell r="F84">
            <v>0.25505547602004297</v>
          </cell>
          <cell r="G84">
            <v>0.25499843449478909</v>
          </cell>
          <cell r="H84">
            <v>0.25497589799409104</v>
          </cell>
          <cell r="I84">
            <v>0.24149999999999999</v>
          </cell>
          <cell r="J84">
            <v>0.24149999999999999</v>
          </cell>
          <cell r="K84">
            <v>0.24149999999999999</v>
          </cell>
          <cell r="L84">
            <v>0.24149999999999999</v>
          </cell>
          <cell r="M84">
            <v>0.24149999999999999</v>
          </cell>
          <cell r="N84">
            <v>0.24149999999999999</v>
          </cell>
          <cell r="O84">
            <v>0.24149999999999999</v>
          </cell>
          <cell r="P84">
            <v>0.24149999999999999</v>
          </cell>
          <cell r="Q84">
            <v>0.24149999999999999</v>
          </cell>
          <cell r="R84">
            <v>0.24149999999999999</v>
          </cell>
          <cell r="U84" t="str">
            <v>Updated to reflect company guidance</v>
          </cell>
        </row>
        <row r="85">
          <cell r="C85" t="str">
            <v>old</v>
          </cell>
          <cell r="H85">
            <v>0.255</v>
          </cell>
          <cell r="I85">
            <v>0.25700000000000001</v>
          </cell>
          <cell r="J85">
            <v>0.25700000000000001</v>
          </cell>
          <cell r="K85">
            <v>0.25700000000000001</v>
          </cell>
          <cell r="L85">
            <v>0.25700000000000001</v>
          </cell>
          <cell r="M85">
            <v>0.25700000000000001</v>
          </cell>
          <cell r="N85">
            <v>0.25700000000000001</v>
          </cell>
          <cell r="O85">
            <v>0.25700000000000001</v>
          </cell>
          <cell r="P85">
            <v>0.25700000000000001</v>
          </cell>
          <cell r="Q85">
            <v>0.25700000000000001</v>
          </cell>
          <cell r="R85">
            <v>0.25700000000000001</v>
          </cell>
        </row>
        <row r="86">
          <cell r="C86" t="str">
            <v>% +/-</v>
          </cell>
          <cell r="H86">
            <v>-9.451767023123854E-5</v>
          </cell>
          <cell r="I86">
            <v>-6.0311284046692656E-2</v>
          </cell>
          <cell r="J86">
            <v>-6.0311284046692656E-2</v>
          </cell>
          <cell r="K86">
            <v>-6.0311284046692656E-2</v>
          </cell>
          <cell r="L86">
            <v>-6.0311284046692656E-2</v>
          </cell>
          <cell r="M86">
            <v>-6.0311284046692656E-2</v>
          </cell>
          <cell r="N86">
            <v>-6.0311284046692656E-2</v>
          </cell>
          <cell r="O86">
            <v>-6.0311284046692656E-2</v>
          </cell>
          <cell r="P86">
            <v>-6.0311284046692656E-2</v>
          </cell>
          <cell r="Q86">
            <v>-6.0311284046692656E-2</v>
          </cell>
          <cell r="R86">
            <v>-6.0311284046692656E-2</v>
          </cell>
        </row>
        <row r="88">
          <cell r="B88" t="str">
            <v>Net income, pre exceptionals</v>
          </cell>
          <cell r="C88" t="str">
            <v>new</v>
          </cell>
          <cell r="F88">
            <v>1652.8999999999999</v>
          </cell>
          <cell r="G88">
            <v>1653.4000000000003</v>
          </cell>
          <cell r="H88">
            <v>1927.4770970829152</v>
          </cell>
          <cell r="I88">
            <v>1996.6027896948294</v>
          </cell>
          <cell r="J88">
            <v>2112.1608907491182</v>
          </cell>
          <cell r="K88">
            <v>2259.0489789681847</v>
          </cell>
          <cell r="L88">
            <v>2284.4851359418071</v>
          </cell>
          <cell r="M88">
            <v>2280.7259824253106</v>
          </cell>
          <cell r="N88">
            <v>2341.7465696439531</v>
          </cell>
          <cell r="O88">
            <v>2411.7952227178889</v>
          </cell>
          <cell r="P88">
            <v>2470.9714896308715</v>
          </cell>
          <cell r="Q88">
            <v>2544.5731345569538</v>
          </cell>
          <cell r="R88">
            <v>2637.5168283284293</v>
          </cell>
          <cell r="S88">
            <v>2.592442868615219E-2</v>
          </cell>
          <cell r="T88">
            <v>4.5212218327944198E-2</v>
          </cell>
          <cell r="U88" t="str">
            <v>Mainly driven by EBITDA changes discussed above</v>
          </cell>
        </row>
        <row r="89">
          <cell r="C89" t="str">
            <v>old</v>
          </cell>
          <cell r="H89">
            <v>1927.4770970829152</v>
          </cell>
          <cell r="I89">
            <v>1996.6027896948294</v>
          </cell>
          <cell r="J89">
            <v>2112.1608907491182</v>
          </cell>
          <cell r="K89">
            <v>2259.0489789681847</v>
          </cell>
          <cell r="L89">
            <v>2284.4851359418071</v>
          </cell>
          <cell r="M89">
            <v>2280.7259824253106</v>
          </cell>
          <cell r="N89">
            <v>2341.7465696439531</v>
          </cell>
          <cell r="O89">
            <v>2411.7952227178889</v>
          </cell>
          <cell r="P89">
            <v>2470.9714896308715</v>
          </cell>
          <cell r="Q89">
            <v>2544.5731345569538</v>
          </cell>
          <cell r="R89">
            <v>2637.5168283284293</v>
          </cell>
        </row>
        <row r="90">
          <cell r="C90" t="str">
            <v>% +/-</v>
          </cell>
          <cell r="H90">
            <v>0</v>
          </cell>
          <cell r="I90">
            <v>0</v>
          </cell>
          <cell r="J90">
            <v>0</v>
          </cell>
          <cell r="K90">
            <v>0</v>
          </cell>
          <cell r="L90">
            <v>0</v>
          </cell>
          <cell r="M90">
            <v>0</v>
          </cell>
          <cell r="N90">
            <v>0</v>
          </cell>
          <cell r="O90">
            <v>0</v>
          </cell>
          <cell r="P90">
            <v>0</v>
          </cell>
          <cell r="Q90">
            <v>0</v>
          </cell>
          <cell r="R90">
            <v>0</v>
          </cell>
        </row>
        <row r="92">
          <cell r="B92" t="str">
            <v>EPS, pre exceptionals (€)</v>
          </cell>
          <cell r="C92" t="str">
            <v>new</v>
          </cell>
          <cell r="D92">
            <v>4.1137544071181571</v>
          </cell>
          <cell r="E92">
            <v>7.0466883441112316</v>
          </cell>
          <cell r="F92">
            <v>7.6030358785648566</v>
          </cell>
          <cell r="G92">
            <v>7.6053357865685385</v>
          </cell>
          <cell r="H92">
            <v>8.7838086476540944</v>
          </cell>
          <cell r="I92">
            <v>9.1953089919781483</v>
          </cell>
          <cell r="J92">
            <v>9.5898235331755863</v>
          </cell>
          <cell r="K92">
            <v>10.397294721129629</v>
          </cell>
          <cell r="L92">
            <v>10.313210352151952</v>
          </cell>
          <cell r="M92">
            <v>10.139966468108295</v>
          </cell>
          <cell r="N92">
            <v>10.092897449124894</v>
          </cell>
          <cell r="O92">
            <v>10.038678200376106</v>
          </cell>
          <cell r="P92">
            <v>9.970147335457952</v>
          </cell>
          <cell r="Q92">
            <v>9.9680677985501944</v>
          </cell>
          <cell r="R92">
            <v>10.015196081130618</v>
          </cell>
          <cell r="S92">
            <v>1.8768014018949009E-2</v>
          </cell>
          <cell r="T92">
            <v>1.5364493455879646E-2</v>
          </cell>
        </row>
        <row r="93">
          <cell r="C93" t="str">
            <v>old</v>
          </cell>
          <cell r="H93">
            <v>8.86604000498121</v>
          </cell>
          <cell r="I93">
            <v>9.1844727651705824</v>
          </cell>
          <cell r="J93">
            <v>9.7160458138540253</v>
          </cell>
          <cell r="K93">
            <v>10.391738371602175</v>
          </cell>
          <cell r="L93">
            <v>10.508745966793677</v>
          </cell>
          <cell r="M93">
            <v>10.491453672467257</v>
          </cell>
          <cell r="N93">
            <v>10.772151427833009</v>
          </cell>
          <cell r="O93">
            <v>11.094378737999584</v>
          </cell>
          <cell r="P93">
            <v>11.366592527648663</v>
          </cell>
          <cell r="Q93">
            <v>11.705163778166991</v>
          </cell>
          <cell r="R93">
            <v>12.043262258556874</v>
          </cell>
        </row>
        <row r="94">
          <cell r="C94" t="str">
            <v>% +/-</v>
          </cell>
          <cell r="D94" t="e">
            <v>#DIV/0!</v>
          </cell>
          <cell r="E94" t="e">
            <v>#DIV/0!</v>
          </cell>
          <cell r="F94" t="e">
            <v>#DIV/0!</v>
          </cell>
          <cell r="G94" t="e">
            <v>#DIV/0!</v>
          </cell>
          <cell r="H94">
            <v>-9.2748687442099909E-3</v>
          </cell>
          <cell r="I94">
            <v>1.1798420099473884E-3</v>
          </cell>
          <cell r="J94">
            <v>-1.2991116252092981E-2</v>
          </cell>
          <cell r="K94">
            <v>5.3468912791708055E-4</v>
          </cell>
          <cell r="L94">
            <v>-1.8606940852847104E-2</v>
          </cell>
          <cell r="M94">
            <v>-3.3502240521861223E-2</v>
          </cell>
          <cell r="N94">
            <v>-6.305648256606039E-2</v>
          </cell>
          <cell r="O94">
            <v>-9.515634561920773E-2</v>
          </cell>
          <cell r="P94">
            <v>-0.12285521705770035</v>
          </cell>
          <cell r="Q94">
            <v>-0.14840424384807907</v>
          </cell>
          <cell r="R94">
            <v>-0.16839840683410276</v>
          </cell>
        </row>
        <row r="96">
          <cell r="B96" t="str">
            <v>Share Count</v>
          </cell>
          <cell r="C96" t="str">
            <v>new</v>
          </cell>
          <cell r="F96">
            <v>217.4</v>
          </cell>
          <cell r="G96">
            <v>217.4</v>
          </cell>
          <cell r="H96">
            <v>217.4</v>
          </cell>
          <cell r="I96">
            <v>217.38893900000002</v>
          </cell>
          <cell r="J96">
            <v>217.38893900000002</v>
          </cell>
          <cell r="K96">
            <v>217.38893900000002</v>
          </cell>
          <cell r="L96">
            <v>217.38893900000002</v>
          </cell>
          <cell r="M96">
            <v>217.38893900000002</v>
          </cell>
          <cell r="N96">
            <v>217.38893900000002</v>
          </cell>
          <cell r="O96">
            <v>217.38893900000002</v>
          </cell>
          <cell r="P96">
            <v>217.38893900000002</v>
          </cell>
          <cell r="Q96">
            <v>217.38893900000002</v>
          </cell>
          <cell r="R96">
            <v>217.38893900000002</v>
          </cell>
          <cell r="S96">
            <v>-1.695980925264795E-5</v>
          </cell>
          <cell r="T96">
            <v>0</v>
          </cell>
        </row>
        <row r="97">
          <cell r="C97" t="str">
            <v>old</v>
          </cell>
          <cell r="H97">
            <v>217.4</v>
          </cell>
          <cell r="I97">
            <v>217.38893900000002</v>
          </cell>
          <cell r="J97">
            <v>217.38893900000002</v>
          </cell>
          <cell r="K97">
            <v>217.38893900000002</v>
          </cell>
          <cell r="L97">
            <v>217.38893900000002</v>
          </cell>
          <cell r="M97">
            <v>217.38893900000002</v>
          </cell>
          <cell r="N97">
            <v>217.38893900000002</v>
          </cell>
          <cell r="O97">
            <v>217.38893900000002</v>
          </cell>
          <cell r="P97">
            <v>217.38893900000002</v>
          </cell>
          <cell r="Q97">
            <v>217.38893900000002</v>
          </cell>
          <cell r="R97">
            <v>217.38893900000002</v>
          </cell>
        </row>
        <row r="98">
          <cell r="C98" t="str">
            <v>% +/-</v>
          </cell>
          <cell r="H98">
            <v>0</v>
          </cell>
          <cell r="I98">
            <v>0</v>
          </cell>
          <cell r="J98">
            <v>0</v>
          </cell>
          <cell r="K98">
            <v>0</v>
          </cell>
          <cell r="L98">
            <v>0</v>
          </cell>
          <cell r="M98">
            <v>0</v>
          </cell>
          <cell r="N98">
            <v>0</v>
          </cell>
          <cell r="O98">
            <v>0</v>
          </cell>
          <cell r="P98">
            <v>0</v>
          </cell>
          <cell r="Q98">
            <v>0</v>
          </cell>
          <cell r="R98">
            <v>0</v>
          </cell>
        </row>
        <row r="106">
          <cell r="H106" t="str">
            <v>Merck KGaA- Detailed new estimates post Q213</v>
          </cell>
        </row>
        <row r="108">
          <cell r="H108" t="str">
            <v>€m</v>
          </cell>
          <cell r="I108" t="str">
            <v>2013e</v>
          </cell>
          <cell r="J108" t="str">
            <v>2014e</v>
          </cell>
          <cell r="K108" t="str">
            <v>2015e</v>
          </cell>
          <cell r="L108" t="str">
            <v>2016e</v>
          </cell>
          <cell r="M108" t="str">
            <v>2017e</v>
          </cell>
        </row>
        <row r="109">
          <cell r="H109" t="str">
            <v>Sales</v>
          </cell>
        </row>
        <row r="110">
          <cell r="H110" t="str">
            <v>Old</v>
          </cell>
          <cell r="I110">
            <v>11077.219489295763</v>
          </cell>
          <cell r="J110">
            <v>11256.440390118172</v>
          </cell>
          <cell r="K110">
            <v>11659.831574696018</v>
          </cell>
          <cell r="L110">
            <v>11757.946519142522</v>
          </cell>
          <cell r="M110">
            <v>11773.532230900124</v>
          </cell>
        </row>
        <row r="111">
          <cell r="H111" t="str">
            <v>New</v>
          </cell>
          <cell r="I111">
            <v>11095.100000000002</v>
          </cell>
          <cell r="J111">
            <v>11190.663411536309</v>
          </cell>
          <cell r="K111">
            <v>11447.203938008561</v>
          </cell>
          <cell r="L111">
            <v>11587.314006160861</v>
          </cell>
          <cell r="M111">
            <v>11700.293463749169</v>
          </cell>
        </row>
        <row r="112">
          <cell r="H112" t="str">
            <v>% Change</v>
          </cell>
          <cell r="I112">
            <v>1.6141695776199505E-3</v>
          </cell>
          <cell r="J112">
            <v>-5.8434972604313185E-3</v>
          </cell>
          <cell r="K112">
            <v>-1.8235909783542503E-2</v>
          </cell>
          <cell r="L112">
            <v>-1.4512101471448546E-2</v>
          </cell>
          <cell r="M112">
            <v>-6.2206282460192108E-3</v>
          </cell>
        </row>
        <row r="114">
          <cell r="H114" t="str">
            <v>EBITDA (pre exc and PPA)</v>
          </cell>
        </row>
        <row r="115">
          <cell r="H115" t="str">
            <v>Old</v>
          </cell>
          <cell r="I115">
            <v>3254.2744454943072</v>
          </cell>
          <cell r="J115">
            <v>3369.0385631408299</v>
          </cell>
          <cell r="K115">
            <v>3537.7360668889251</v>
          </cell>
          <cell r="L115">
            <v>3685.5200891097975</v>
          </cell>
          <cell r="M115">
            <v>3664.6433083316847</v>
          </cell>
        </row>
        <row r="116">
          <cell r="H116" t="str">
            <v>New</v>
          </cell>
          <cell r="I116">
            <v>3253.3000000000006</v>
          </cell>
          <cell r="J116">
            <v>3303.3440212636674</v>
          </cell>
          <cell r="K116">
            <v>3433.2027546190916</v>
          </cell>
          <cell r="L116">
            <v>3622.0830248637758</v>
          </cell>
          <cell r="M116">
            <v>3552.6520635831957</v>
          </cell>
        </row>
        <row r="117">
          <cell r="H117" t="str">
            <v>% Change</v>
          </cell>
          <cell r="I117">
            <v>-2.9943556102207669E-4</v>
          </cell>
          <cell r="J117">
            <v>-1.9499492405903984E-2</v>
          </cell>
          <cell r="K117">
            <v>-2.9548081115547964E-2</v>
          </cell>
          <cell r="L117">
            <v>-1.7212513488522152E-2</v>
          </cell>
          <cell r="M117">
            <v>-3.0559930483240572E-2</v>
          </cell>
        </row>
        <row r="119">
          <cell r="H119" t="str">
            <v>EBIT (pre exc and PPA)</v>
          </cell>
        </row>
        <row r="120">
          <cell r="H120" t="str">
            <v>Old</v>
          </cell>
          <cell r="I120">
            <v>2795.2959428971321</v>
          </cell>
          <cell r="J120">
            <v>2859.2664448145915</v>
          </cell>
          <cell r="K120">
            <v>3001.0969690305456</v>
          </cell>
          <cell r="L120">
            <v>3142.3779096030203</v>
          </cell>
          <cell r="M120">
            <v>3115.7395247040895</v>
          </cell>
        </row>
        <row r="121">
          <cell r="H121" t="str">
            <v>New</v>
          </cell>
          <cell r="I121">
            <v>2794.6000000000004</v>
          </cell>
          <cell r="J121">
            <v>2804.4220648560945</v>
          </cell>
          <cell r="K121">
            <v>2904.3575922174336</v>
          </cell>
          <cell r="L121">
            <v>3087.1778465705761</v>
          </cell>
          <cell r="M121">
            <v>3012.9063204613522</v>
          </cell>
        </row>
        <row r="122">
          <cell r="H122" t="str">
            <v>% Change</v>
          </cell>
          <cell r="I122">
            <v>-2.4896930820517138E-4</v>
          </cell>
          <cell r="J122">
            <v>-1.9181276392747471E-2</v>
          </cell>
          <cell r="K122">
            <v>-3.2234672125360242E-2</v>
          </cell>
          <cell r="L122">
            <v>-1.7566334992285437E-2</v>
          </cell>
          <cell r="M122">
            <v>-3.3004429101788801E-2</v>
          </cell>
        </row>
        <row r="124">
          <cell r="H124" t="str">
            <v>EPS (pre exc, €/share)</v>
          </cell>
        </row>
        <row r="125">
          <cell r="H125" t="str">
            <v>Old</v>
          </cell>
          <cell r="I125">
            <v>8.86604000498121</v>
          </cell>
          <cell r="J125">
            <v>9.1844727651705824</v>
          </cell>
          <cell r="K125">
            <v>9.7160458138540253</v>
          </cell>
          <cell r="L125">
            <v>10.391738371602175</v>
          </cell>
          <cell r="M125">
            <v>10.508745966793677</v>
          </cell>
        </row>
        <row r="126">
          <cell r="H126" t="str">
            <v>New</v>
          </cell>
          <cell r="I126">
            <v>8.7838086476540944</v>
          </cell>
          <cell r="J126">
            <v>9.1953089919781483</v>
          </cell>
          <cell r="K126">
            <v>9.5898235331755863</v>
          </cell>
          <cell r="L126">
            <v>10.397294721129629</v>
          </cell>
          <cell r="M126">
            <v>10.313210352151952</v>
          </cell>
        </row>
        <row r="127">
          <cell r="H127" t="str">
            <v>% Change</v>
          </cell>
          <cell r="I127">
            <v>-9.2748687442100186E-3</v>
          </cell>
          <cell r="J127">
            <v>1.1798420099473628E-3</v>
          </cell>
          <cell r="K127">
            <v>-1.2991116252092927E-2</v>
          </cell>
          <cell r="L127">
            <v>5.3468912791698742E-4</v>
          </cell>
          <cell r="M127">
            <v>-1.8606940852847087E-2</v>
          </cell>
        </row>
        <row r="131">
          <cell r="H131" t="str">
            <v>Merck KGaA- Mse vs consensus</v>
          </cell>
        </row>
        <row r="133">
          <cell r="H133" t="str">
            <v>€m</v>
          </cell>
          <cell r="I133" t="str">
            <v>2013e</v>
          </cell>
          <cell r="J133" t="str">
            <v>2014e</v>
          </cell>
          <cell r="K133" t="str">
            <v>2015e</v>
          </cell>
          <cell r="L133" t="str">
            <v>2016e</v>
          </cell>
          <cell r="M133" t="str">
            <v>2017e</v>
          </cell>
        </row>
        <row r="134">
          <cell r="H134" t="str">
            <v>Sales</v>
          </cell>
        </row>
        <row r="135">
          <cell r="H135" t="str">
            <v>Consensus</v>
          </cell>
          <cell r="I135">
            <v>11279.27</v>
          </cell>
          <cell r="J135">
            <v>11425.48</v>
          </cell>
          <cell r="K135">
            <v>11581.1</v>
          </cell>
          <cell r="L135">
            <v>11691.08</v>
          </cell>
          <cell r="M135">
            <v>11833.7</v>
          </cell>
        </row>
        <row r="136">
          <cell r="H136" t="str">
            <v>MSe</v>
          </cell>
          <cell r="I136">
            <v>11095.100000000002</v>
          </cell>
          <cell r="J136">
            <v>11190.663411536309</v>
          </cell>
          <cell r="K136">
            <v>11447.203938008561</v>
          </cell>
          <cell r="L136">
            <v>11587.314006160861</v>
          </cell>
          <cell r="M136">
            <v>11700.293463749169</v>
          </cell>
        </row>
        <row r="137">
          <cell r="H137" t="str">
            <v>% diff</v>
          </cell>
          <cell r="I137">
            <v>-1.6328184359448605E-2</v>
          </cell>
          <cell r="J137">
            <v>-2.0552010809496979E-2</v>
          </cell>
          <cell r="K137">
            <v>-1.1561601401545607E-2</v>
          </cell>
          <cell r="L137">
            <v>-8.8756551010803486E-3</v>
          </cell>
          <cell r="M137">
            <v>-1.1273442477908957E-2</v>
          </cell>
        </row>
        <row r="139">
          <cell r="H139" t="str">
            <v>EBITDA (pre exc and PPA)</v>
          </cell>
        </row>
        <row r="140">
          <cell r="H140" t="str">
            <v>Consensus</v>
          </cell>
          <cell r="I140">
            <v>3202.1</v>
          </cell>
          <cell r="J140">
            <v>3308.8</v>
          </cell>
          <cell r="K140">
            <v>3391</v>
          </cell>
          <cell r="L140">
            <v>3498.86</v>
          </cell>
          <cell r="M140">
            <v>3068.38</v>
          </cell>
        </row>
        <row r="141">
          <cell r="H141" t="str">
            <v>MSe</v>
          </cell>
          <cell r="I141">
            <v>3253.3000000000006</v>
          </cell>
          <cell r="J141">
            <v>3303.3440212636674</v>
          </cell>
          <cell r="K141">
            <v>3433.2027546190916</v>
          </cell>
          <cell r="L141">
            <v>3622.0830248637758</v>
          </cell>
          <cell r="M141">
            <v>3552.6520635831957</v>
          </cell>
        </row>
        <row r="142">
          <cell r="H142" t="str">
            <v>% diff</v>
          </cell>
          <cell r="I142">
            <v>1.5989506886106231E-2</v>
          </cell>
          <cell r="J142">
            <v>-1.6489297438142536E-3</v>
          </cell>
          <cell r="K142">
            <v>1.2445518908608566E-2</v>
          </cell>
          <cell r="L142">
            <v>3.5218049554362141E-2</v>
          </cell>
          <cell r="M142">
            <v>0.15782662629243949</v>
          </cell>
        </row>
        <row r="144">
          <cell r="H144" t="str">
            <v>EPS (pre exc, €/share)</v>
          </cell>
        </row>
        <row r="145">
          <cell r="H145" t="str">
            <v>Consensus</v>
          </cell>
          <cell r="I145">
            <v>8.66</v>
          </cell>
          <cell r="J145">
            <v>9.1300000000000008</v>
          </cell>
          <cell r="K145">
            <v>9.36</v>
          </cell>
          <cell r="L145">
            <v>9.93</v>
          </cell>
          <cell r="M145">
            <v>10.26</v>
          </cell>
        </row>
        <row r="146">
          <cell r="H146" t="str">
            <v>MSe</v>
          </cell>
          <cell r="I146">
            <v>8.7838086476540944</v>
          </cell>
          <cell r="J146">
            <v>9.1953089919781483</v>
          </cell>
          <cell r="K146">
            <v>9.5898235331755863</v>
          </cell>
          <cell r="L146">
            <v>10.397294721129629</v>
          </cell>
          <cell r="M146">
            <v>10.313210352151952</v>
          </cell>
        </row>
        <row r="147">
          <cell r="H147" t="str">
            <v>% diff</v>
          </cell>
          <cell r="I147">
            <v>1.4296610583613756E-2</v>
          </cell>
          <cell r="J147">
            <v>7.1532302276173798E-3</v>
          </cell>
          <cell r="K147">
            <v>2.4553796279443096E-2</v>
          </cell>
          <cell r="L147">
            <v>4.705888430308458E-2</v>
          </cell>
          <cell r="M147">
            <v>5.18619416685695E-3</v>
          </cell>
        </row>
        <row r="154">
          <cell r="H154">
            <v>0</v>
          </cell>
          <cell r="I154">
            <v>0</v>
          </cell>
          <cell r="J154">
            <v>0</v>
          </cell>
          <cell r="K154">
            <v>0</v>
          </cell>
          <cell r="L154">
            <v>0</v>
          </cell>
          <cell r="M154">
            <v>0</v>
          </cell>
        </row>
        <row r="155">
          <cell r="H155">
            <v>-184.59999999999991</v>
          </cell>
          <cell r="I155">
            <v>-106.44420446364302</v>
          </cell>
          <cell r="J155">
            <v>-26.66666666666606</v>
          </cell>
          <cell r="K155">
            <v>-16.666666666667425</v>
          </cell>
          <cell r="L155">
            <v>0</v>
          </cell>
          <cell r="M155">
            <v>0</v>
          </cell>
        </row>
        <row r="156">
          <cell r="H156">
            <v>0</v>
          </cell>
          <cell r="I156">
            <v>0</v>
          </cell>
          <cell r="J156">
            <v>0</v>
          </cell>
          <cell r="K156">
            <v>0</v>
          </cell>
          <cell r="L156">
            <v>0</v>
          </cell>
          <cell r="M156">
            <v>0</v>
          </cell>
        </row>
        <row r="158">
          <cell r="B158" t="str">
            <v>Checks</v>
          </cell>
        </row>
        <row r="159">
          <cell r="B159" t="str">
            <v>Revenues Check</v>
          </cell>
          <cell r="N159">
            <v>0</v>
          </cell>
          <cell r="O159">
            <v>0</v>
          </cell>
          <cell r="P159">
            <v>0</v>
          </cell>
          <cell r="Q159">
            <v>0</v>
          </cell>
          <cell r="R159">
            <v>0</v>
          </cell>
        </row>
        <row r="160">
          <cell r="B160" t="str">
            <v>EBIT Check</v>
          </cell>
          <cell r="N160">
            <v>0</v>
          </cell>
          <cell r="O160">
            <v>0</v>
          </cell>
          <cell r="P160">
            <v>0</v>
          </cell>
          <cell r="Q160">
            <v>0</v>
          </cell>
          <cell r="R160">
            <v>0</v>
          </cell>
        </row>
        <row r="161">
          <cell r="B161" t="str">
            <v>EBITDA check</v>
          </cell>
          <cell r="N161" t="e">
            <v>#REF!</v>
          </cell>
          <cell r="O161" t="e">
            <v>#REF!</v>
          </cell>
          <cell r="P161" t="e">
            <v>#REF!</v>
          </cell>
          <cell r="Q161" t="e">
            <v>#REF!</v>
          </cell>
          <cell r="R161" t="e">
            <v>#REF!</v>
          </cell>
        </row>
      </sheetData>
      <sheetData sheetId="16"/>
      <sheetData sheetId="17" refreshError="1">
        <row r="16">
          <cell r="G16" t="str">
            <v>New projects</v>
          </cell>
          <cell r="K16" t="str">
            <v>Atacicept</v>
          </cell>
        </row>
        <row r="17">
          <cell r="G17" t="str">
            <v>MSe peak sales:</v>
          </cell>
          <cell r="K17" t="str">
            <v>Systemic lupus erythematosus</v>
          </cell>
        </row>
        <row r="18">
          <cell r="G18" t="str">
            <v xml:space="preserve">SFrm: </v>
          </cell>
          <cell r="H18" t="str">
            <v>in base case</v>
          </cell>
          <cell r="K18" t="str">
            <v>$250m*</v>
          </cell>
        </row>
        <row r="19">
          <cell r="G19" t="str">
            <v xml:space="preserve">SFrm*: </v>
          </cell>
          <cell r="H19" t="str">
            <v>in bull case</v>
          </cell>
          <cell r="K19" t="str">
            <v>TH-302</v>
          </cell>
        </row>
        <row r="20">
          <cell r="K20" t="str">
            <v>Pancreatic cancer</v>
          </cell>
        </row>
        <row r="21">
          <cell r="G21" t="str">
            <v>Group earnings contribution</v>
          </cell>
          <cell r="K21" t="str">
            <v>$357m*</v>
          </cell>
        </row>
        <row r="22">
          <cell r="G22" t="str">
            <v>Major</v>
          </cell>
          <cell r="K22" t="str">
            <v>Plovamer acetate</v>
          </cell>
        </row>
        <row r="23">
          <cell r="G23" t="str">
            <v>Medium</v>
          </cell>
          <cell r="K23" t="str">
            <v>MS</v>
          </cell>
        </row>
        <row r="24">
          <cell r="G24" t="str">
            <v>Minor</v>
          </cell>
          <cell r="K24" t="str">
            <v>$250m</v>
          </cell>
        </row>
        <row r="25">
          <cell r="K25" t="str">
            <v>ONO - 4641</v>
          </cell>
        </row>
        <row r="26">
          <cell r="K26" t="str">
            <v>MS</v>
          </cell>
        </row>
        <row r="27">
          <cell r="K27" t="str">
            <v>$300m*</v>
          </cell>
        </row>
        <row r="28">
          <cell r="K28" t="str">
            <v>Sprifermin</v>
          </cell>
        </row>
        <row r="29">
          <cell r="K29" t="str">
            <v>Cartilage injury repair</v>
          </cell>
        </row>
        <row r="30">
          <cell r="K30" t="str">
            <v>$200m</v>
          </cell>
        </row>
        <row r="31">
          <cell r="K31" t="str">
            <v>Pimasertib - MEK inhibitor 1</v>
          </cell>
        </row>
        <row r="32">
          <cell r="K32" t="str">
            <v>Pancreatic cancer</v>
          </cell>
        </row>
        <row r="33">
          <cell r="K33" t="str">
            <v>$400m*</v>
          </cell>
        </row>
        <row r="34">
          <cell r="K34" t="str">
            <v>Pimasertib - MEK inhibitor 1</v>
          </cell>
        </row>
        <row r="35">
          <cell r="K35" t="str">
            <v>Malignant melanoma</v>
          </cell>
        </row>
        <row r="36">
          <cell r="K36" t="str">
            <v>$400m*</v>
          </cell>
        </row>
        <row r="37">
          <cell r="K37" t="str">
            <v>Sym004 Anti-EGFR mAbs</v>
          </cell>
        </row>
        <row r="38">
          <cell r="K38" t="str">
            <v xml:space="preserve">Solid Tumours </v>
          </cell>
        </row>
        <row r="39">
          <cell r="K39" t="str">
            <v>$250m</v>
          </cell>
        </row>
        <row r="40">
          <cell r="K40" t="str">
            <v>Sym004 Anti-EGFR mAbs</v>
          </cell>
        </row>
        <row r="41">
          <cell r="K41" t="str">
            <v>Squamous cell carcinoma</v>
          </cell>
        </row>
        <row r="42">
          <cell r="K42" t="str">
            <v>$250m*</v>
          </cell>
        </row>
        <row r="43">
          <cell r="K43" t="str">
            <v>TH-302</v>
          </cell>
        </row>
        <row r="44">
          <cell r="K44" t="str">
            <v>Solid Tumours and Hematological malignancies</v>
          </cell>
        </row>
        <row r="45">
          <cell r="K45" t="str">
            <v>$200m</v>
          </cell>
        </row>
        <row r="46">
          <cell r="I46" t="str">
            <v>TH-302</v>
          </cell>
          <cell r="K46" t="str">
            <v>MSB0010718C</v>
          </cell>
          <cell r="L46" t="str">
            <v>Tecemotide</v>
          </cell>
        </row>
        <row r="47">
          <cell r="I47" t="str">
            <v>Soft tissue sarcoma</v>
          </cell>
          <cell r="K47" t="str">
            <v xml:space="preserve">Solid Tumours </v>
          </cell>
          <cell r="L47" t="str">
            <v>NSCLC - liposome vaccine</v>
          </cell>
        </row>
        <row r="48">
          <cell r="I48" t="str">
            <v>$182m*</v>
          </cell>
          <cell r="K48" t="str">
            <v>$500m*</v>
          </cell>
          <cell r="L48" t="str">
            <v>$500m*</v>
          </cell>
        </row>
        <row r="49">
          <cell r="G49">
            <v>2014</v>
          </cell>
          <cell r="H49">
            <v>2015</v>
          </cell>
          <cell r="I49">
            <v>2016</v>
          </cell>
          <cell r="J49">
            <v>2017</v>
          </cell>
          <cell r="K49">
            <v>2018</v>
          </cell>
          <cell r="L49">
            <v>2019</v>
          </cell>
          <cell r="M49">
            <v>2020</v>
          </cell>
        </row>
        <row r="50">
          <cell r="G50" t="str">
            <v>Erbitux</v>
          </cell>
          <cell r="H50" t="str">
            <v>Rebif</v>
          </cell>
          <cell r="I50" t="str">
            <v>Erbitux</v>
          </cell>
        </row>
        <row r="51">
          <cell r="G51" t="str">
            <v>EU data exclusivity</v>
          </cell>
          <cell r="H51" t="str">
            <v>EU patent</v>
          </cell>
          <cell r="I51" t="str">
            <v>JPY data exclusivity</v>
          </cell>
        </row>
        <row r="52">
          <cell r="G52" t="str">
            <v>€511m*</v>
          </cell>
          <cell r="H52" t="str">
            <v>€685m*</v>
          </cell>
          <cell r="I52" t="str">
            <v>€400m* (RoW)</v>
          </cell>
        </row>
        <row r="55">
          <cell r="G55" t="str">
            <v>Patent expiries</v>
          </cell>
        </row>
        <row r="56">
          <cell r="G56" t="str">
            <v>MSe pre-expiry sales</v>
          </cell>
        </row>
        <row r="57">
          <cell r="G57" t="str">
            <v>* soft impact: biosimilar, difficult to copy</v>
          </cell>
        </row>
      </sheetData>
      <sheetData sheetId="18" refreshError="1"/>
      <sheetData sheetId="19"/>
      <sheetData sheetId="20" refreshError="1"/>
      <sheetData sheetId="21" refreshError="1"/>
      <sheetData sheetId="22"/>
      <sheetData sheetId="23"/>
      <sheetData sheetId="24"/>
      <sheetData sheetId="25"/>
      <sheetData sheetId="26"/>
      <sheetData sheetId="27"/>
      <sheetData sheetId="28" refreshError="1"/>
      <sheetData sheetId="29"/>
      <sheetData sheetId="30"/>
      <sheetData sheetId="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 (2)"/>
      <sheetName val="Contents"/>
      <sheetName val="Summary"/>
      <sheetName val="Quarterly P&amp;L"/>
      <sheetName val="Annual P&amp;L"/>
      <sheetName val="Cash Flow"/>
      <sheetName val="Balance Sheet"/>
      <sheetName val="Div P&amp;L"/>
      <sheetName val="Div Summary"/>
      <sheetName val="Quarterly Sales"/>
      <sheetName val="Annual Sales"/>
      <sheetName val="Overview"/>
      <sheetName val="Pipeline"/>
      <sheetName val="Pensions"/>
      <sheetName val="DCF new"/>
      <sheetName val="SOTP"/>
      <sheetName val="Changes"/>
      <sheetName val="DCF (2)"/>
      <sheetName val="MW-Cache"/>
      <sheetName val="__FDSCACHE__"/>
      <sheetName val="Cons"/>
      <sheetName val="Rolling Valuation"/>
      <sheetName val="MW Valuation"/>
      <sheetName val="Tables"/>
      <sheetName val="Page 3"/>
      <sheetName val="Scenarios"/>
      <sheetName val="DCF"/>
      <sheetName val="Material Science"/>
      <sheetName val="Pharma"/>
      <sheetName val="MWA RR"/>
      <sheetName val="mwareDates"/>
      <sheetName val="mwareSettings"/>
    </sheetNames>
    <sheetDataSet>
      <sheetData sheetId="0">
        <row r="1">
          <cell r="B1" t="str">
            <v xml:space="preserve">Group </v>
          </cell>
          <cell r="C1" t="str">
            <v>Q3 08</v>
          </cell>
          <cell r="D1" t="str">
            <v>Healthcare</v>
          </cell>
          <cell r="E1" t="str">
            <v>Q3 08</v>
          </cell>
          <cell r="F1" t="str">
            <v>Crop Science</v>
          </cell>
          <cell r="G1" t="str">
            <v>Q3 08</v>
          </cell>
          <cell r="H1" t="str">
            <v>Material Science</v>
          </cell>
          <cell r="I1" t="str">
            <v>Q3 08</v>
          </cell>
        </row>
        <row r="3">
          <cell r="A3" t="str">
            <v>Sales</v>
          </cell>
          <cell r="B3" t="str">
            <v>MS</v>
          </cell>
          <cell r="C3">
            <v>7948</v>
          </cell>
          <cell r="D3" t="str">
            <v>MS</v>
          </cell>
          <cell r="E3">
            <v>3778.7</v>
          </cell>
          <cell r="F3" t="str">
            <v>MS</v>
          </cell>
          <cell r="G3">
            <v>1242.18</v>
          </cell>
          <cell r="H3" t="str">
            <v>MS</v>
          </cell>
          <cell r="I3">
            <v>2434.2199999999998</v>
          </cell>
        </row>
        <row r="4">
          <cell r="B4" t="str">
            <v>Cons</v>
          </cell>
          <cell r="C4">
            <v>7837.1085154611083</v>
          </cell>
          <cell r="D4" t="str">
            <v>Cons</v>
          </cell>
          <cell r="E4">
            <v>3733.4358286868833</v>
          </cell>
          <cell r="F4" t="str">
            <v>Cons</v>
          </cell>
          <cell r="G4">
            <v>1241.0806747638326</v>
          </cell>
          <cell r="H4" t="str">
            <v>Cons</v>
          </cell>
          <cell r="I4">
            <v>2529.0691707188707</v>
          </cell>
        </row>
        <row r="5">
          <cell r="B5" t="str">
            <v>+/-</v>
          </cell>
          <cell r="C5">
            <v>1.4149540525070448E-2</v>
          </cell>
          <cell r="D5" t="str">
            <v>+/-</v>
          </cell>
          <cell r="E5">
            <v>1.2123998748101439E-2</v>
          </cell>
          <cell r="F5" t="str">
            <v>+/-</v>
          </cell>
          <cell r="G5">
            <v>8.857806414370728E-4</v>
          </cell>
          <cell r="H5" t="str">
            <v>+/-</v>
          </cell>
          <cell r="I5">
            <v>-3.7503588995120518E-2</v>
          </cell>
        </row>
        <row r="7">
          <cell r="A7" t="str">
            <v>EBIT (underlying)</v>
          </cell>
          <cell r="B7" t="str">
            <v>MS</v>
          </cell>
          <cell r="C7">
            <v>891</v>
          </cell>
          <cell r="D7" t="str">
            <v>MS</v>
          </cell>
          <cell r="E7">
            <v>615.31184055032611</v>
          </cell>
          <cell r="F7" t="str">
            <v>MS</v>
          </cell>
          <cell r="G7">
            <v>83.303515423606072</v>
          </cell>
          <cell r="H7" t="str">
            <v>MS</v>
          </cell>
          <cell r="I7">
            <v>154.25213664011579</v>
          </cell>
        </row>
        <row r="8">
          <cell r="B8" t="str">
            <v>Cons</v>
          </cell>
          <cell r="C8">
            <v>867.69565111822465</v>
          </cell>
          <cell r="D8" t="str">
            <v>Cons</v>
          </cell>
          <cell r="E8">
            <v>625.95169807380432</v>
          </cell>
          <cell r="F8" t="str">
            <v>Cons</v>
          </cell>
          <cell r="G8">
            <v>74.836776018099542</v>
          </cell>
          <cell r="H8" t="str">
            <v>Cons</v>
          </cell>
          <cell r="I8">
            <v>187.07725362846489</v>
          </cell>
        </row>
        <row r="9">
          <cell r="B9" t="str">
            <v>+/-</v>
          </cell>
          <cell r="C9">
            <v>2.685774539925645E-2</v>
          </cell>
          <cell r="D9" t="str">
            <v>+/-</v>
          </cell>
          <cell r="E9">
            <v>-1.6997889064315097E-2</v>
          </cell>
          <cell r="F9" t="str">
            <v>+/-</v>
          </cell>
          <cell r="G9">
            <v>0.11313607902428635</v>
          </cell>
          <cell r="H9" t="str">
            <v>+/-</v>
          </cell>
          <cell r="I9">
            <v>-0.17546289755535815</v>
          </cell>
        </row>
        <row r="10">
          <cell r="C10">
            <v>44.926698702948215</v>
          </cell>
        </row>
        <row r="11">
          <cell r="A11" t="str">
            <v xml:space="preserve">EBITDA (underlying) </v>
          </cell>
          <cell r="B11" t="str">
            <v>MS</v>
          </cell>
          <cell r="C11">
            <v>1493</v>
          </cell>
          <cell r="D11" t="str">
            <v>MS</v>
          </cell>
          <cell r="E11">
            <v>989.48780000000022</v>
          </cell>
          <cell r="F11" t="str">
            <v>MS</v>
          </cell>
          <cell r="G11">
            <v>212.05079999999998</v>
          </cell>
          <cell r="H11" t="str">
            <v>MS</v>
          </cell>
          <cell r="I11">
            <v>276.91469999999993</v>
          </cell>
        </row>
        <row r="12">
          <cell r="B12" t="str">
            <v>Cons</v>
          </cell>
          <cell r="C12">
            <v>1537.9266987029482</v>
          </cell>
          <cell r="D12" t="str">
            <v>Cons</v>
          </cell>
          <cell r="E12">
            <v>996.40352068675395</v>
          </cell>
          <cell r="F12" t="str">
            <v>Cons</v>
          </cell>
          <cell r="G12">
            <v>205.53852591093118</v>
          </cell>
          <cell r="H12" t="str">
            <v>Cons</v>
          </cell>
          <cell r="I12">
            <v>310.45561263157896</v>
          </cell>
        </row>
        <row r="13">
          <cell r="B13" t="str">
            <v>+/-</v>
          </cell>
          <cell r="C13">
            <v>-2.9212509764501959E-2</v>
          </cell>
          <cell r="D13" t="str">
            <v>+/-</v>
          </cell>
          <cell r="E13">
            <v>-6.9406827085347622E-3</v>
          </cell>
          <cell r="F13" t="str">
            <v>+/-</v>
          </cell>
          <cell r="G13">
            <v>3.1683958324634665E-2</v>
          </cell>
          <cell r="H13" t="str">
            <v>+/-</v>
          </cell>
          <cell r="I13">
            <v>-0.10803770737874341</v>
          </cell>
        </row>
        <row r="15">
          <cell r="A15" t="str">
            <v>Reported EPS</v>
          </cell>
          <cell r="B15" t="str">
            <v>MS</v>
          </cell>
          <cell r="C15">
            <v>0.36633469412641501</v>
          </cell>
        </row>
        <row r="16">
          <cell r="B16" t="str">
            <v>Cons</v>
          </cell>
          <cell r="C16">
            <v>0.40160286494398717</v>
          </cell>
        </row>
        <row r="17">
          <cell r="B17" t="str">
            <v>+/-</v>
          </cell>
          <cell r="C17">
            <v>-8.7818523960209172E-2</v>
          </cell>
        </row>
        <row r="19">
          <cell r="A19" t="str">
            <v>Core EPS</v>
          </cell>
          <cell r="B19" t="str">
            <v>MS</v>
          </cell>
          <cell r="C19">
            <v>0.846694094371648</v>
          </cell>
        </row>
        <row r="20">
          <cell r="B20" t="str">
            <v>Cons</v>
          </cell>
          <cell r="C20">
            <v>0.82396794723900468</v>
          </cell>
        </row>
        <row r="21">
          <cell r="B21" t="str">
            <v>+/-</v>
          </cell>
          <cell r="C21">
            <v>2.7581348532786043E-2</v>
          </cell>
        </row>
        <row r="24">
          <cell r="D24" t="str">
            <v>FY 10</v>
          </cell>
        </row>
        <row r="26">
          <cell r="D26">
            <v>16495.278596</v>
          </cell>
        </row>
        <row r="27">
          <cell r="D27">
            <v>16490.073168483334</v>
          </cell>
        </row>
        <row r="28">
          <cell r="D28">
            <v>3.1567037110646901E-4</v>
          </cell>
        </row>
        <row r="30">
          <cell r="D30">
            <v>3080.8679855260843</v>
          </cell>
        </row>
        <row r="31">
          <cell r="D31">
            <v>3248.7347157883692</v>
          </cell>
        </row>
        <row r="32">
          <cell r="D32">
            <v>-5.1671418243686484E-2</v>
          </cell>
        </row>
        <row r="34">
          <cell r="D34">
            <v>4725.8316165871875</v>
          </cell>
        </row>
        <row r="35">
          <cell r="D35">
            <v>4711.5659793678942</v>
          </cell>
        </row>
        <row r="36">
          <cell r="D36">
            <v>3.0277910320608559E-3</v>
          </cell>
        </row>
        <row r="39">
          <cell r="D39" t="str">
            <v>FY 10</v>
          </cell>
        </row>
        <row r="41">
          <cell r="D41">
            <v>6994.7019300000011</v>
          </cell>
        </row>
        <row r="42">
          <cell r="D42">
            <v>6895.8076103203657</v>
          </cell>
        </row>
        <row r="43">
          <cell r="D43">
            <v>1.4341223721443308E-2</v>
          </cell>
        </row>
        <row r="45">
          <cell r="D45">
            <v>1203.0537580571163</v>
          </cell>
        </row>
        <row r="46">
          <cell r="D46">
            <v>1153.1628754127155</v>
          </cell>
        </row>
        <row r="47">
          <cell r="D47">
            <v>4.3264385030210795E-2</v>
          </cell>
        </row>
        <row r="49">
          <cell r="D49">
            <v>1761.2040298000004</v>
          </cell>
        </row>
        <row r="50">
          <cell r="D50">
            <v>1755.4167597492053</v>
          </cell>
        </row>
        <row r="51">
          <cell r="D51">
            <v>3.2968068799923422E-3</v>
          </cell>
        </row>
        <row r="54">
          <cell r="D54" t="str">
            <v>FY 10</v>
          </cell>
        </row>
        <row r="56">
          <cell r="D56">
            <v>10432.664195999998</v>
          </cell>
        </row>
        <row r="57">
          <cell r="D57">
            <v>10818.661667414241</v>
          </cell>
        </row>
        <row r="58">
          <cell r="D58">
            <v>-3.5678855969483281E-2</v>
          </cell>
        </row>
        <row r="60">
          <cell r="D60">
            <v>976.87006870682126</v>
          </cell>
        </row>
        <row r="61">
          <cell r="D61">
            <v>912.67987611402043</v>
          </cell>
        </row>
        <row r="62">
          <cell r="D62">
            <v>7.0331552467342462E-2</v>
          </cell>
        </row>
        <row r="64">
          <cell r="D64">
            <v>1497.10824652</v>
          </cell>
        </row>
        <row r="65">
          <cell r="D65">
            <v>1442.8534315448528</v>
          </cell>
        </row>
        <row r="66">
          <cell r="D66">
            <v>3.7602443733357527E-2</v>
          </cell>
        </row>
        <row r="80">
          <cell r="A80" t="str">
            <v xml:space="preserve">Group </v>
          </cell>
        </row>
        <row r="81">
          <cell r="A81">
            <v>0</v>
          </cell>
        </row>
        <row r="82">
          <cell r="A82" t="str">
            <v>Sales</v>
          </cell>
        </row>
        <row r="83">
          <cell r="A83">
            <v>0</v>
          </cell>
        </row>
        <row r="84">
          <cell r="A84">
            <v>0</v>
          </cell>
        </row>
        <row r="85">
          <cell r="A85">
            <v>0</v>
          </cell>
        </row>
        <row r="86">
          <cell r="A86" t="str">
            <v>EBIT (underlying)</v>
          </cell>
        </row>
        <row r="87">
          <cell r="A87">
            <v>0</v>
          </cell>
        </row>
        <row r="88">
          <cell r="A88">
            <v>0</v>
          </cell>
        </row>
        <row r="89">
          <cell r="A89">
            <v>0</v>
          </cell>
        </row>
        <row r="90">
          <cell r="A90" t="str">
            <v xml:space="preserve">EBITDA (underlying) </v>
          </cell>
        </row>
        <row r="91">
          <cell r="A91">
            <v>0</v>
          </cell>
        </row>
        <row r="92">
          <cell r="A92">
            <v>0</v>
          </cell>
        </row>
        <row r="93">
          <cell r="A93">
            <v>0</v>
          </cell>
        </row>
        <row r="94">
          <cell r="A94" t="str">
            <v>Reported EPS</v>
          </cell>
        </row>
        <row r="95">
          <cell r="A95">
            <v>0</v>
          </cell>
        </row>
        <row r="96">
          <cell r="A96">
            <v>0</v>
          </cell>
        </row>
        <row r="97">
          <cell r="A97">
            <v>0</v>
          </cell>
        </row>
        <row r="98">
          <cell r="A98" t="str">
            <v>Core EPS</v>
          </cell>
        </row>
        <row r="99">
          <cell r="A99">
            <v>0</v>
          </cell>
        </row>
        <row r="100">
          <cell r="A100">
            <v>0</v>
          </cell>
        </row>
        <row r="101">
          <cell r="A101">
            <v>0</v>
          </cell>
        </row>
      </sheetData>
      <sheetData sheetId="1"/>
      <sheetData sheetId="2"/>
      <sheetData sheetId="3">
        <row r="1">
          <cell r="A1" t="str">
            <v>Bayer</v>
          </cell>
        </row>
        <row r="2">
          <cell r="A2" t="str">
            <v>Quarterly P&amp;L</v>
          </cell>
          <cell r="BG2" t="str">
            <v>Morgan Stanley Equity Research - Pharmaceuticals</v>
          </cell>
        </row>
        <row r="4">
          <cell r="A4" t="str">
            <v>€ mlns</v>
          </cell>
          <cell r="B4" t="str">
            <v>FY05A</v>
          </cell>
          <cell r="C4" t="str">
            <v>FY06A</v>
          </cell>
          <cell r="D4" t="str">
            <v>1QA</v>
          </cell>
          <cell r="E4" t="str">
            <v>2QA</v>
          </cell>
          <cell r="F4" t="str">
            <v>1H07A</v>
          </cell>
          <cell r="G4" t="str">
            <v>3QA</v>
          </cell>
          <cell r="H4" t="str">
            <v>9mo07A</v>
          </cell>
          <cell r="I4" t="str">
            <v>4QA</v>
          </cell>
          <cell r="J4" t="str">
            <v>FY07A</v>
          </cell>
          <cell r="K4" t="str">
            <v>1QA</v>
          </cell>
          <cell r="L4" t="str">
            <v>2QA</v>
          </cell>
          <cell r="M4" t="str">
            <v>1H08A</v>
          </cell>
          <cell r="N4" t="str">
            <v>3QA</v>
          </cell>
          <cell r="O4" t="str">
            <v>9mo08A</v>
          </cell>
          <cell r="P4" t="str">
            <v>4QA</v>
          </cell>
          <cell r="Q4" t="str">
            <v>FY08A</v>
          </cell>
          <cell r="R4" t="str">
            <v>1QA</v>
          </cell>
          <cell r="S4" t="str">
            <v>2QA</v>
          </cell>
          <cell r="T4" t="str">
            <v>1H09A</v>
          </cell>
          <cell r="U4" t="str">
            <v>3QA</v>
          </cell>
          <cell r="V4" t="str">
            <v>9mo08A</v>
          </cell>
          <cell r="W4" t="str">
            <v>4Q</v>
          </cell>
          <cell r="X4" t="str">
            <v>FY09A</v>
          </cell>
          <cell r="Y4" t="str">
            <v>1QA</v>
          </cell>
          <cell r="Z4" t="str">
            <v>2QA</v>
          </cell>
          <cell r="AA4" t="str">
            <v>1HA</v>
          </cell>
          <cell r="AB4" t="str">
            <v>3QA</v>
          </cell>
          <cell r="AC4" t="str">
            <v>9moA</v>
          </cell>
          <cell r="AD4" t="str">
            <v>4QA</v>
          </cell>
          <cell r="AE4" t="str">
            <v>FY10A</v>
          </cell>
          <cell r="AF4" t="str">
            <v>1QA</v>
          </cell>
          <cell r="AG4" t="str">
            <v>2QA</v>
          </cell>
          <cell r="AH4" t="str">
            <v>1H</v>
          </cell>
          <cell r="AI4" t="str">
            <v>3QA</v>
          </cell>
          <cell r="AJ4" t="str">
            <v>9moA</v>
          </cell>
          <cell r="AK4" t="str">
            <v>4QA</v>
          </cell>
          <cell r="AL4" t="str">
            <v>FY11A</v>
          </cell>
          <cell r="AM4" t="str">
            <v>1QA</v>
          </cell>
          <cell r="AN4" t="str">
            <v>1Q- Restated</v>
          </cell>
          <cell r="AO4" t="str">
            <v>2QA</v>
          </cell>
          <cell r="AP4" t="str">
            <v>2Q- Restated</v>
          </cell>
          <cell r="AQ4" t="str">
            <v>1H</v>
          </cell>
          <cell r="AR4" t="str">
            <v>3QA</v>
          </cell>
          <cell r="AS4" t="str">
            <v>3Q- Restated</v>
          </cell>
          <cell r="AT4" t="str">
            <v>9moA</v>
          </cell>
          <cell r="AU4" t="str">
            <v>4QA</v>
          </cell>
          <cell r="AV4" t="str">
            <v>4Q- Restated</v>
          </cell>
          <cell r="AW4" t="str">
            <v>FY12A</v>
          </cell>
          <cell r="AX4" t="str">
            <v>FY12- Restated</v>
          </cell>
          <cell r="AY4" t="str">
            <v>1QA</v>
          </cell>
          <cell r="AZ4" t="str">
            <v>2QE</v>
          </cell>
          <cell r="BA4" t="str">
            <v>1H</v>
          </cell>
          <cell r="BB4" t="str">
            <v>3QE</v>
          </cell>
          <cell r="BC4" t="str">
            <v>9mo</v>
          </cell>
          <cell r="BD4" t="str">
            <v>4QE</v>
          </cell>
          <cell r="BE4" t="str">
            <v>FY13E</v>
          </cell>
          <cell r="BF4" t="str">
            <v>FY14E</v>
          </cell>
          <cell r="BG4" t="str">
            <v>FY15E</v>
          </cell>
          <cell r="BH4" t="str">
            <v>FY16E</v>
          </cell>
          <cell r="BI4" t="str">
            <v>FY17E</v>
          </cell>
          <cell r="BJ4" t="str">
            <v>FY18E</v>
          </cell>
          <cell r="BK4" t="str">
            <v>FY19E</v>
          </cell>
          <cell r="BL4" t="str">
            <v>FY20E</v>
          </cell>
          <cell r="BM4" t="str">
            <v>FY21E</v>
          </cell>
          <cell r="BN4" t="str">
            <v>FY22E</v>
          </cell>
          <cell r="BO4" t="str">
            <v>FY23E</v>
          </cell>
        </row>
        <row r="5">
          <cell r="A5" t="str">
            <v>Sales</v>
          </cell>
          <cell r="B5">
            <v>25395</v>
          </cell>
          <cell r="C5">
            <v>29670</v>
          </cell>
          <cell r="D5">
            <v>8335</v>
          </cell>
          <cell r="E5">
            <v>8351</v>
          </cell>
          <cell r="F5">
            <v>15407</v>
          </cell>
          <cell r="G5">
            <v>7859</v>
          </cell>
          <cell r="H5">
            <v>22599</v>
          </cell>
          <cell r="I5">
            <v>10449</v>
          </cell>
          <cell r="J5">
            <v>33048</v>
          </cell>
          <cell r="K5">
            <v>8536</v>
          </cell>
          <cell r="L5">
            <v>8511</v>
          </cell>
          <cell r="M5">
            <v>17047</v>
          </cell>
          <cell r="N5">
            <v>7948</v>
          </cell>
          <cell r="O5">
            <v>24995</v>
          </cell>
          <cell r="P5">
            <v>7923</v>
          </cell>
          <cell r="Q5">
            <v>32918</v>
          </cell>
          <cell r="R5">
            <v>7895</v>
          </cell>
          <cell r="S5">
            <v>8009</v>
          </cell>
          <cell r="T5">
            <v>15904</v>
          </cell>
          <cell r="U5">
            <v>7392</v>
          </cell>
          <cell r="V5">
            <v>23296</v>
          </cell>
          <cell r="W5">
            <v>7872</v>
          </cell>
          <cell r="X5">
            <v>31168</v>
          </cell>
          <cell r="Y5">
            <v>8316</v>
          </cell>
          <cell r="Z5">
            <v>9179</v>
          </cell>
          <cell r="AA5">
            <v>17495</v>
          </cell>
          <cell r="AB5">
            <v>8581</v>
          </cell>
          <cell r="AC5">
            <v>26076</v>
          </cell>
          <cell r="AD5">
            <v>9012</v>
          </cell>
          <cell r="AE5">
            <v>35088</v>
          </cell>
          <cell r="AF5">
            <v>9415</v>
          </cell>
          <cell r="AG5">
            <v>9252</v>
          </cell>
          <cell r="AH5">
            <v>18668</v>
          </cell>
          <cell r="AI5">
            <v>8670</v>
          </cell>
          <cell r="AJ5">
            <v>27338</v>
          </cell>
          <cell r="AK5">
            <v>9192</v>
          </cell>
          <cell r="AL5">
            <v>36528</v>
          </cell>
          <cell r="AM5">
            <v>10056</v>
          </cell>
          <cell r="AN5">
            <v>10054</v>
          </cell>
          <cell r="AO5">
            <v>10177</v>
          </cell>
          <cell r="AP5">
            <v>10166</v>
          </cell>
          <cell r="AQ5">
            <v>20233</v>
          </cell>
          <cell r="AR5">
            <v>9665</v>
          </cell>
          <cell r="AS5">
            <v>9661</v>
          </cell>
          <cell r="AT5">
            <v>29898</v>
          </cell>
          <cell r="AU5">
            <v>9862</v>
          </cell>
          <cell r="AV5">
            <v>9860</v>
          </cell>
          <cell r="AW5">
            <v>39760</v>
          </cell>
          <cell r="AX5">
            <v>39741</v>
          </cell>
          <cell r="AY5">
            <v>10266</v>
          </cell>
          <cell r="AZ5">
            <v>10393.896610122367</v>
          </cell>
          <cell r="BA5">
            <v>20644.968775070822</v>
          </cell>
          <cell r="BB5">
            <v>9894.80551173003</v>
          </cell>
          <cell r="BC5">
            <v>30539.774286800854</v>
          </cell>
          <cell r="BD5">
            <v>10655.335766861908</v>
          </cell>
          <cell r="BE5">
            <v>41195.110053662756</v>
          </cell>
          <cell r="BF5">
            <v>45385.722338539068</v>
          </cell>
          <cell r="BG5">
            <v>47648.961380078537</v>
          </cell>
          <cell r="BH5">
            <v>49925.629418313059</v>
          </cell>
          <cell r="BI5">
            <v>52536.355185387758</v>
          </cell>
          <cell r="BJ5">
            <v>54106.910091599741</v>
          </cell>
          <cell r="BK5">
            <v>56151.535698609536</v>
          </cell>
          <cell r="BL5">
            <v>58588.268339333903</v>
          </cell>
          <cell r="BM5">
            <v>58912.056334426619</v>
          </cell>
          <cell r="BN5">
            <v>59874.517671939459</v>
          </cell>
          <cell r="BO5">
            <v>61156.109276773728</v>
          </cell>
          <cell r="BQ5" t="str">
            <v>mstag:revenueNet</v>
          </cell>
          <cell r="BR5">
            <v>6</v>
          </cell>
          <cell r="BS5" t="str">
            <v>ISO4217:EUR</v>
          </cell>
          <cell r="BT5" t="b">
            <v>0</v>
          </cell>
        </row>
        <row r="6">
          <cell r="X6">
            <v>-5.3162403548210668E-2</v>
          </cell>
          <cell r="Y6">
            <v>5.3324889170361045E-2</v>
          </cell>
          <cell r="Z6">
            <v>0.14608565363965531</v>
          </cell>
          <cell r="AA6">
            <v>0.10003772635814889</v>
          </cell>
          <cell r="AB6">
            <v>0.1608495670995671</v>
          </cell>
          <cell r="AC6">
            <v>0.11933379120879128</v>
          </cell>
          <cell r="AD6">
            <v>0.14481707317073167</v>
          </cell>
          <cell r="AE6">
            <v>0.12577002053388098</v>
          </cell>
          <cell r="AF6">
            <v>0.13215488215488214</v>
          </cell>
          <cell r="AG6">
            <v>7.9529360496786161E-3</v>
          </cell>
          <cell r="AH6">
            <v>6.7047727922263434E-2</v>
          </cell>
          <cell r="AI6">
            <v>1.0371751544109076E-2</v>
          </cell>
          <cell r="AJ6">
            <v>4.839699340389636E-2</v>
          </cell>
          <cell r="AK6">
            <v>1.9973368841544659E-2</v>
          </cell>
          <cell r="AL6">
            <v>4.1039671682626455E-2</v>
          </cell>
          <cell r="AM6">
            <v>6.80828465215082E-2</v>
          </cell>
          <cell r="AN6">
            <v>6.787041954328199E-2</v>
          </cell>
          <cell r="AO6">
            <v>9.9978383052313102E-2</v>
          </cell>
          <cell r="AP6">
            <v>9.8789450929528844E-2</v>
          </cell>
          <cell r="AQ6">
            <v>8.3833297621598524E-2</v>
          </cell>
          <cell r="AR6">
            <v>0.1147635524798154</v>
          </cell>
          <cell r="AS6">
            <v>0.11430219146482123</v>
          </cell>
          <cell r="AT6">
            <v>9.364254883312606E-2</v>
          </cell>
          <cell r="AU6">
            <v>7.2889469103568416E-2</v>
          </cell>
          <cell r="AV6">
            <v>7.2671888598781598E-2</v>
          </cell>
          <cell r="AW6">
            <v>8.8480070083223783E-2</v>
          </cell>
          <cell r="AX6">
            <v>8.79599211563733E-2</v>
          </cell>
          <cell r="AY6">
            <v>2.0883054892601338E-2</v>
          </cell>
          <cell r="AZ6">
            <v>2.1312430983823072E-2</v>
          </cell>
          <cell r="BA6">
            <v>2.0361230419157827E-2</v>
          </cell>
          <cell r="BB6">
            <v>2.3777083469221916E-2</v>
          </cell>
          <cell r="BC6">
            <v>2.1465458786569469E-2</v>
          </cell>
          <cell r="BD6">
            <v>8.0443699742639208E-2</v>
          </cell>
          <cell r="BE6">
            <v>3.6094317245039198E-2</v>
          </cell>
          <cell r="BF6">
            <v>0.10172596406266221</v>
          </cell>
          <cell r="BG6">
            <v>4.9866762605597081E-2</v>
          </cell>
          <cell r="BH6">
            <v>4.778001392463449E-2</v>
          </cell>
          <cell r="BI6">
            <v>5.2292295510190767E-2</v>
          </cell>
          <cell r="BJ6">
            <v>2.9894630121748644E-2</v>
          </cell>
          <cell r="BK6">
            <v>3.7788622627837443E-2</v>
          </cell>
          <cell r="BL6">
            <v>4.3395654462656363E-2</v>
          </cell>
          <cell r="BM6">
            <v>5.526498807191027E-3</v>
          </cell>
          <cell r="BN6">
            <v>1.63372558589574E-2</v>
          </cell>
          <cell r="BO6">
            <v>2.1404625117087184E-2</v>
          </cell>
        </row>
        <row r="7">
          <cell r="A7" t="str">
            <v>COGS</v>
          </cell>
          <cell r="B7">
            <v>-13412</v>
          </cell>
          <cell r="C7">
            <v>-15275</v>
          </cell>
          <cell r="D7">
            <v>-4134</v>
          </cell>
          <cell r="E7">
            <v>-4072</v>
          </cell>
          <cell r="F7">
            <v>-8206</v>
          </cell>
          <cell r="G7">
            <v>-3978</v>
          </cell>
          <cell r="H7">
            <v>-12184</v>
          </cell>
          <cell r="I7">
            <v>-4168</v>
          </cell>
          <cell r="J7">
            <v>-16352</v>
          </cell>
          <cell r="K7">
            <v>-4103</v>
          </cell>
          <cell r="L7">
            <v>-4256</v>
          </cell>
          <cell r="M7">
            <v>-8359</v>
          </cell>
          <cell r="N7">
            <v>-4076</v>
          </cell>
          <cell r="O7">
            <v>-12435</v>
          </cell>
          <cell r="P7">
            <v>-4021</v>
          </cell>
          <cell r="Q7">
            <v>-16456</v>
          </cell>
          <cell r="R7">
            <v>-3786</v>
          </cell>
          <cell r="S7">
            <v>-3794</v>
          </cell>
          <cell r="T7">
            <v>-7580</v>
          </cell>
          <cell r="U7">
            <v>-3579</v>
          </cell>
          <cell r="V7">
            <v>-11159</v>
          </cell>
          <cell r="W7">
            <v>-3976</v>
          </cell>
          <cell r="X7">
            <v>-15135</v>
          </cell>
          <cell r="Y7">
            <v>-4003</v>
          </cell>
          <cell r="Z7">
            <v>-4458</v>
          </cell>
          <cell r="AA7">
            <v>-8461</v>
          </cell>
          <cell r="AB7">
            <v>-4174</v>
          </cell>
          <cell r="AC7">
            <v>-12635</v>
          </cell>
          <cell r="AD7">
            <v>-4468</v>
          </cell>
          <cell r="AE7">
            <v>-17103</v>
          </cell>
          <cell r="AF7">
            <v>-4437</v>
          </cell>
          <cell r="AG7">
            <v>-4518</v>
          </cell>
          <cell r="AH7">
            <v>-8955</v>
          </cell>
          <cell r="AI7">
            <v>-4278</v>
          </cell>
          <cell r="AJ7">
            <v>-13233</v>
          </cell>
          <cell r="AK7">
            <v>-4742</v>
          </cell>
          <cell r="AL7">
            <v>-17975</v>
          </cell>
          <cell r="AM7">
            <v>-4750</v>
          </cell>
          <cell r="AN7">
            <v>-4755</v>
          </cell>
          <cell r="AO7">
            <v>-4843</v>
          </cell>
          <cell r="AP7">
            <v>-4842</v>
          </cell>
          <cell r="AQ7">
            <v>-9593</v>
          </cell>
          <cell r="AR7">
            <v>-4686</v>
          </cell>
          <cell r="AS7">
            <v>-4690</v>
          </cell>
          <cell r="AT7">
            <v>-14279</v>
          </cell>
          <cell r="AU7">
            <v>-4780</v>
          </cell>
          <cell r="AV7">
            <v>-4784</v>
          </cell>
          <cell r="AW7">
            <v>-19059</v>
          </cell>
          <cell r="AX7">
            <v>-19071</v>
          </cell>
          <cell r="AY7">
            <v>-4803</v>
          </cell>
          <cell r="AZ7">
            <v>-5024.7928436535522</v>
          </cell>
          <cell r="BA7">
            <v>-9812.8650086020079</v>
          </cell>
          <cell r="BB7">
            <v>-4837.916424625023</v>
          </cell>
          <cell r="BC7">
            <v>-14650.781433227032</v>
          </cell>
          <cell r="BD7">
            <v>-5254.0989731941372</v>
          </cell>
          <cell r="BE7">
            <v>-19904.880406421165</v>
          </cell>
          <cell r="BF7">
            <v>-21779.322091009144</v>
          </cell>
          <cell r="BG7">
            <v>-22840.65672976042</v>
          </cell>
          <cell r="BH7">
            <v>-23787.855612232401</v>
          </cell>
          <cell r="BI7">
            <v>-24690.095691316656</v>
          </cell>
          <cell r="BJ7">
            <v>-25579.275679083992</v>
          </cell>
          <cell r="BK7">
            <v>-26486.699737181978</v>
          </cell>
          <cell r="BL7">
            <v>-27266.523556486904</v>
          </cell>
          <cell r="BM7">
            <v>-27837.386077474956</v>
          </cell>
          <cell r="BN7">
            <v>-28456.901267358717</v>
          </cell>
          <cell r="BO7">
            <v>-29155.8230815315</v>
          </cell>
          <cell r="BQ7" t="str">
            <v>mstag:costOfSalesWithoutDepreciation</v>
          </cell>
          <cell r="BR7">
            <v>6</v>
          </cell>
          <cell r="BS7" t="str">
            <v>ISO4217:EUR</v>
          </cell>
          <cell r="BT7" t="b">
            <v>1</v>
          </cell>
        </row>
        <row r="8">
          <cell r="A8" t="str">
            <v>Gross Profit</v>
          </cell>
          <cell r="B8">
            <v>11983</v>
          </cell>
          <cell r="C8">
            <v>14395</v>
          </cell>
          <cell r="D8">
            <v>4201</v>
          </cell>
          <cell r="E8">
            <v>4279</v>
          </cell>
          <cell r="F8">
            <v>7201</v>
          </cell>
          <cell r="G8">
            <v>3881</v>
          </cell>
          <cell r="H8">
            <v>10415</v>
          </cell>
          <cell r="I8">
            <v>6281</v>
          </cell>
          <cell r="J8">
            <v>16696</v>
          </cell>
          <cell r="K8">
            <v>4433</v>
          </cell>
          <cell r="L8">
            <v>4255</v>
          </cell>
          <cell r="M8">
            <v>8688</v>
          </cell>
          <cell r="N8">
            <v>3872</v>
          </cell>
          <cell r="O8">
            <v>12560</v>
          </cell>
          <cell r="P8">
            <v>3902</v>
          </cell>
          <cell r="Q8">
            <v>16462</v>
          </cell>
          <cell r="R8">
            <v>4109</v>
          </cell>
          <cell r="S8">
            <v>4215</v>
          </cell>
          <cell r="T8">
            <v>8324</v>
          </cell>
          <cell r="U8">
            <v>3813</v>
          </cell>
          <cell r="V8">
            <v>12137</v>
          </cell>
          <cell r="W8">
            <v>3896</v>
          </cell>
          <cell r="X8">
            <v>16033</v>
          </cell>
          <cell r="Y8">
            <v>4313</v>
          </cell>
          <cell r="Z8">
            <v>4721</v>
          </cell>
          <cell r="AA8">
            <v>9034</v>
          </cell>
          <cell r="AB8">
            <v>4407</v>
          </cell>
          <cell r="AC8">
            <v>13441</v>
          </cell>
          <cell r="AD8">
            <v>4544</v>
          </cell>
          <cell r="AE8">
            <v>17985</v>
          </cell>
          <cell r="AF8">
            <v>4978</v>
          </cell>
          <cell r="AG8">
            <v>4734</v>
          </cell>
          <cell r="AH8">
            <v>9713</v>
          </cell>
          <cell r="AI8">
            <v>4392</v>
          </cell>
          <cell r="AJ8">
            <v>14105</v>
          </cell>
          <cell r="AK8">
            <v>4450</v>
          </cell>
          <cell r="AL8">
            <v>18553</v>
          </cell>
          <cell r="AM8">
            <v>5306</v>
          </cell>
          <cell r="AN8">
            <v>5299</v>
          </cell>
          <cell r="AO8">
            <v>5334</v>
          </cell>
          <cell r="AP8">
            <v>5324</v>
          </cell>
          <cell r="AQ8">
            <v>10640</v>
          </cell>
          <cell r="AR8">
            <v>4979</v>
          </cell>
          <cell r="AS8">
            <v>4971</v>
          </cell>
          <cell r="AT8">
            <v>15619</v>
          </cell>
          <cell r="AU8">
            <v>5082</v>
          </cell>
          <cell r="AV8">
            <v>5076</v>
          </cell>
          <cell r="AW8">
            <v>20701</v>
          </cell>
          <cell r="AX8">
            <v>20670</v>
          </cell>
          <cell r="AY8">
            <v>5463</v>
          </cell>
          <cell r="AZ8">
            <v>5369.1037664688147</v>
          </cell>
          <cell r="BA8">
            <v>10832.103766468814</v>
          </cell>
          <cell r="BB8">
            <v>5056.8890871050071</v>
          </cell>
          <cell r="BC8">
            <v>15888.992853573822</v>
          </cell>
          <cell r="BD8">
            <v>5401.2367936677711</v>
          </cell>
          <cell r="BE8">
            <v>21290.229647241591</v>
          </cell>
          <cell r="BF8">
            <v>23606.400247529924</v>
          </cell>
          <cell r="BG8">
            <v>24808.304650318118</v>
          </cell>
          <cell r="BH8">
            <v>26137.773806080659</v>
          </cell>
          <cell r="BI8">
            <v>27846.259494071102</v>
          </cell>
          <cell r="BJ8">
            <v>28527.634412515748</v>
          </cell>
          <cell r="BK8">
            <v>29664.835961427558</v>
          </cell>
          <cell r="BL8">
            <v>31321.744782846999</v>
          </cell>
          <cell r="BM8">
            <v>31074.670256951664</v>
          </cell>
          <cell r="BN8">
            <v>31417.616404580742</v>
          </cell>
          <cell r="BO8">
            <v>32000.286195242228</v>
          </cell>
        </row>
        <row r="9">
          <cell r="A9" t="str">
            <v>Gross Margin</v>
          </cell>
          <cell r="B9">
            <v>0.47186454026383146</v>
          </cell>
          <cell r="C9">
            <v>0.485170205594877</v>
          </cell>
          <cell r="D9">
            <v>0.50401919616076785</v>
          </cell>
          <cell r="E9">
            <v>0.51239372530235905</v>
          </cell>
          <cell r="F9">
            <v>0.46738495489063414</v>
          </cell>
          <cell r="G9">
            <v>0.49382873139076217</v>
          </cell>
          <cell r="H9">
            <v>0.4608611000486747</v>
          </cell>
          <cell r="I9">
            <v>0.6011101540817303</v>
          </cell>
          <cell r="J9">
            <v>0.50520455095618499</v>
          </cell>
          <cell r="K9">
            <v>0.51932989690721654</v>
          </cell>
          <cell r="L9">
            <v>0.49994125249676891</v>
          </cell>
          <cell r="M9">
            <v>0.50964979175221448</v>
          </cell>
          <cell r="N9">
            <v>0.4871665827881228</v>
          </cell>
          <cell r="O9">
            <v>0.50250050010002001</v>
          </cell>
          <cell r="P9">
            <v>0.49249021835163448</v>
          </cell>
          <cell r="Q9">
            <v>0.5000911355489398</v>
          </cell>
          <cell r="R9">
            <v>0.5204559848005067</v>
          </cell>
          <cell r="S9">
            <v>0.52628293170183549</v>
          </cell>
          <cell r="T9">
            <v>0.52339034205231383</v>
          </cell>
          <cell r="U9">
            <v>0.51582792207792205</v>
          </cell>
          <cell r="V9">
            <v>0.52099072802197799</v>
          </cell>
          <cell r="W9">
            <v>0.49491869918699188</v>
          </cell>
          <cell r="X9">
            <v>0.51440580082135523</v>
          </cell>
          <cell r="Y9">
            <v>0.51863876863876868</v>
          </cell>
          <cell r="Z9">
            <v>0.51432617932236624</v>
          </cell>
          <cell r="AA9">
            <v>0.51637610745927409</v>
          </cell>
          <cell r="AB9">
            <v>0.51357650623470463</v>
          </cell>
          <cell r="AC9">
            <v>0.51545482435956436</v>
          </cell>
          <cell r="AD9">
            <v>0.50421660008877056</v>
          </cell>
          <cell r="AE9">
            <v>0.51256839945280441</v>
          </cell>
          <cell r="AF9">
            <v>0.52873074880509829</v>
          </cell>
          <cell r="AG9">
            <v>0.51167315175097272</v>
          </cell>
          <cell r="AH9">
            <v>0.52030212127705167</v>
          </cell>
          <cell r="AI9">
            <v>0.50657439446366781</v>
          </cell>
          <cell r="AJ9">
            <v>0.51594849659814179</v>
          </cell>
          <cell r="AK9">
            <v>0.48411662315056569</v>
          </cell>
          <cell r="AL9">
            <v>0.5079117389399912</v>
          </cell>
          <cell r="AM9">
            <v>0.52764518695306284</v>
          </cell>
          <cell r="AN9">
            <v>0.52705390889198334</v>
          </cell>
          <cell r="AO9">
            <v>0.5241230225017196</v>
          </cell>
          <cell r="AP9">
            <v>0.52370647255557745</v>
          </cell>
          <cell r="AQ9">
            <v>0.52587357287599468</v>
          </cell>
          <cell r="AR9">
            <v>0.51515778582514227</v>
          </cell>
          <cell r="AS9">
            <v>0.51454300797018937</v>
          </cell>
          <cell r="AT9">
            <v>0.52240952572078403</v>
          </cell>
          <cell r="AU9">
            <v>0.51531129588318803</v>
          </cell>
          <cell r="AV9">
            <v>0.51480730223123727</v>
          </cell>
          <cell r="AW9">
            <v>0.52064889336016096</v>
          </cell>
          <cell r="AX9">
            <v>0.52011776251226693</v>
          </cell>
          <cell r="AY9">
            <v>0.53214494447691407</v>
          </cell>
          <cell r="AZ9">
            <v>0.51656313006230725</v>
          </cell>
          <cell r="BA9">
            <v>0.52468491885290602</v>
          </cell>
          <cell r="BB9">
            <v>0.51106503115298219</v>
          </cell>
          <cell r="BC9">
            <v>0.52027211152117026</v>
          </cell>
          <cell r="BD9">
            <v>0.50690441970544153</v>
          </cell>
          <cell r="BE9">
            <v>0.51681448646472605</v>
          </cell>
          <cell r="BF9">
            <v>0.52012833620772103</v>
          </cell>
          <cell r="BG9">
            <v>0.52064733273892883</v>
          </cell>
          <cell r="BH9">
            <v>0.52353418696196041</v>
          </cell>
          <cell r="BI9">
            <v>0.53003790224518932</v>
          </cell>
          <cell r="BJ9">
            <v>0.52724567646203013</v>
          </cell>
          <cell r="BK9">
            <v>0.52829963762081289</v>
          </cell>
          <cell r="BL9">
            <v>0.53460779215109155</v>
          </cell>
          <cell r="BM9">
            <v>0.52747556596140177</v>
          </cell>
          <cell r="BN9">
            <v>0.52472433392653095</v>
          </cell>
          <cell r="BO9">
            <v>0.52325575602625052</v>
          </cell>
        </row>
        <row r="11">
          <cell r="A11" t="str">
            <v>Selling</v>
          </cell>
          <cell r="B11">
            <v>-5247</v>
          </cell>
          <cell r="C11">
            <v>-6534</v>
          </cell>
          <cell r="D11">
            <v>-1807</v>
          </cell>
          <cell r="E11">
            <v>-1919</v>
          </cell>
          <cell r="F11">
            <v>-3726</v>
          </cell>
          <cell r="G11">
            <v>-1916</v>
          </cell>
          <cell r="H11">
            <v>-5642</v>
          </cell>
          <cell r="I11">
            <v>-2140</v>
          </cell>
          <cell r="J11">
            <v>-7782</v>
          </cell>
          <cell r="K11">
            <v>-1902</v>
          </cell>
          <cell r="L11">
            <v>-2034</v>
          </cell>
          <cell r="M11">
            <v>-3936</v>
          </cell>
          <cell r="N11">
            <v>-2017</v>
          </cell>
          <cell r="O11">
            <v>-5953</v>
          </cell>
          <cell r="P11">
            <v>-2152</v>
          </cell>
          <cell r="Q11">
            <v>-8105</v>
          </cell>
          <cell r="R11">
            <v>-1960</v>
          </cell>
          <cell r="S11">
            <v>-2033</v>
          </cell>
          <cell r="T11">
            <v>-3993</v>
          </cell>
          <cell r="U11">
            <v>-1880</v>
          </cell>
          <cell r="V11">
            <v>-5873</v>
          </cell>
          <cell r="W11">
            <v>-2050</v>
          </cell>
          <cell r="X11">
            <v>-7923</v>
          </cell>
          <cell r="Y11">
            <v>-1966</v>
          </cell>
          <cell r="Z11">
            <v>-2258</v>
          </cell>
          <cell r="AA11">
            <v>-4224</v>
          </cell>
          <cell r="AB11">
            <v>-2171</v>
          </cell>
          <cell r="AC11">
            <v>-6395</v>
          </cell>
          <cell r="AD11">
            <v>-2408</v>
          </cell>
          <cell r="AE11">
            <v>-8803</v>
          </cell>
          <cell r="AF11">
            <v>-2147</v>
          </cell>
          <cell r="AG11">
            <v>-2230</v>
          </cell>
          <cell r="AH11">
            <v>-4377</v>
          </cell>
          <cell r="AI11">
            <v>-2134</v>
          </cell>
          <cell r="AJ11">
            <v>-6511</v>
          </cell>
          <cell r="AK11">
            <v>-2447</v>
          </cell>
          <cell r="AL11">
            <v>-8958</v>
          </cell>
          <cell r="AM11">
            <v>-2297</v>
          </cell>
          <cell r="AN11">
            <v>-2295</v>
          </cell>
          <cell r="AO11">
            <v>-2516</v>
          </cell>
          <cell r="AP11">
            <v>-2514</v>
          </cell>
          <cell r="AQ11">
            <v>-4813</v>
          </cell>
          <cell r="AR11">
            <v>-2471</v>
          </cell>
          <cell r="AS11">
            <v>-2469</v>
          </cell>
          <cell r="AT11">
            <v>-7284</v>
          </cell>
          <cell r="AU11">
            <v>-2703</v>
          </cell>
          <cell r="AV11">
            <v>-2703</v>
          </cell>
          <cell r="AW11">
            <v>-9987</v>
          </cell>
          <cell r="AX11">
            <v>-9981</v>
          </cell>
          <cell r="AY11">
            <v>-2437</v>
          </cell>
          <cell r="AZ11">
            <v>-2156.3460346935735</v>
          </cell>
          <cell r="BA11">
            <v>-4593.3460346935717</v>
          </cell>
          <cell r="BB11">
            <v>-2244.8662954070078</v>
          </cell>
          <cell r="BC11">
            <v>-6838.2123301005795</v>
          </cell>
          <cell r="BD11">
            <v>-1845.2611992724439</v>
          </cell>
          <cell r="BE11">
            <v>-8739.1637293730255</v>
          </cell>
          <cell r="BF11">
            <v>-9456.8543921391865</v>
          </cell>
          <cell r="BG11">
            <v>-9648.955857530058</v>
          </cell>
          <cell r="BH11">
            <v>-10371.350520826485</v>
          </cell>
          <cell r="BI11">
            <v>-11664.276246151327</v>
          </cell>
          <cell r="BJ11">
            <v>-11741.897728552107</v>
          </cell>
          <cell r="BK11">
            <v>-12048.129132485563</v>
          </cell>
          <cell r="BL11">
            <v>-13197.781952197729</v>
          </cell>
          <cell r="BM11">
            <v>-12951.633700808179</v>
          </cell>
          <cell r="BN11">
            <v>-13148.369920014984</v>
          </cell>
          <cell r="BO11">
            <v>-13476.453032830052</v>
          </cell>
        </row>
        <row r="12">
          <cell r="A12" t="str">
            <v>% of sales</v>
          </cell>
          <cell r="B12">
            <v>0.20661547548730064</v>
          </cell>
          <cell r="C12">
            <v>0.22022244691607684</v>
          </cell>
          <cell r="D12">
            <v>0.21679664067186563</v>
          </cell>
          <cell r="E12">
            <v>0.2297928391809364</v>
          </cell>
          <cell r="F12">
            <v>0.2418381255273577</v>
          </cell>
          <cell r="G12">
            <v>0.24379692072782796</v>
          </cell>
          <cell r="H12">
            <v>0.2496570644718793</v>
          </cell>
          <cell r="I12">
            <v>0.20480428749162599</v>
          </cell>
          <cell r="J12">
            <v>0.23547567175018155</v>
          </cell>
          <cell r="K12">
            <v>0.22282099343955014</v>
          </cell>
          <cell r="L12">
            <v>0.23898484314416638</v>
          </cell>
          <cell r="M12">
            <v>0.23089106587669384</v>
          </cell>
          <cell r="N12">
            <v>0.25377453447408155</v>
          </cell>
          <cell r="O12">
            <v>0.23816763352670534</v>
          </cell>
          <cell r="P12">
            <v>0.27161428751735456</v>
          </cell>
          <cell r="Q12">
            <v>0.24621787471899872</v>
          </cell>
          <cell r="R12">
            <v>0.24825839138695377</v>
          </cell>
          <cell r="S12">
            <v>0.25383943064052938</v>
          </cell>
          <cell r="T12">
            <v>0.25106891348088534</v>
          </cell>
          <cell r="U12">
            <v>0.25432900432900435</v>
          </cell>
          <cell r="V12">
            <v>0.25210336538461536</v>
          </cell>
          <cell r="W12">
            <v>0.26041666666666669</v>
          </cell>
          <cell r="X12">
            <v>0.25420302874743328</v>
          </cell>
          <cell r="Y12">
            <v>0.23641173641173641</v>
          </cell>
          <cell r="Z12">
            <v>0.24599629589279878</v>
          </cell>
          <cell r="AA12">
            <v>0.24144041154615603</v>
          </cell>
          <cell r="AB12">
            <v>0.25300081575573941</v>
          </cell>
          <cell r="AC12">
            <v>0.24524466942782636</v>
          </cell>
          <cell r="AD12">
            <v>0.26719928983577451</v>
          </cell>
          <cell r="AE12">
            <v>0.25088349293205653</v>
          </cell>
          <cell r="AF12">
            <v>0.22804036112586298</v>
          </cell>
          <cell r="AG12">
            <v>0.24102896670990057</v>
          </cell>
          <cell r="AH12">
            <v>0.23446539532890509</v>
          </cell>
          <cell r="AI12">
            <v>0.2461361014994233</v>
          </cell>
          <cell r="AJ12">
            <v>0.23816665447362645</v>
          </cell>
          <cell r="AK12">
            <v>0.26620974760661442</v>
          </cell>
          <cell r="AL12">
            <v>0.24523653088042049</v>
          </cell>
          <cell r="AM12">
            <v>0.2284208432776452</v>
          </cell>
          <cell r="AN12">
            <v>0.228267356276109</v>
          </cell>
          <cell r="AO12">
            <v>0.24722413284858014</v>
          </cell>
          <cell r="AP12">
            <v>0.24729490458390715</v>
          </cell>
          <cell r="AQ12">
            <v>0.23787871299362429</v>
          </cell>
          <cell r="AR12">
            <v>0.25566476978789449</v>
          </cell>
          <cell r="AS12">
            <v>0.2555636062519408</v>
          </cell>
          <cell r="AT12">
            <v>0.24362833634356812</v>
          </cell>
          <cell r="AU12">
            <v>0.27408233624011358</v>
          </cell>
          <cell r="AV12">
            <v>0.27413793103448275</v>
          </cell>
          <cell r="AW12">
            <v>0.25118209255533197</v>
          </cell>
          <cell r="AX12">
            <v>0.25115120404619912</v>
          </cell>
          <cell r="AY12">
            <v>0.23738554451587765</v>
          </cell>
          <cell r="AZ12">
            <v>0.20746271735987443</v>
          </cell>
          <cell r="BA12">
            <v>0.22249227328646393</v>
          </cell>
          <cell r="BB12">
            <v>0.22687321067056632</v>
          </cell>
          <cell r="BC12">
            <v>0.22391168532820568</v>
          </cell>
          <cell r="BD12">
            <v>0.17317719869618806</v>
          </cell>
          <cell r="BE12">
            <v>0.21214080307077623</v>
          </cell>
          <cell r="BF12">
            <v>0.20836628580237324</v>
          </cell>
          <cell r="BG12">
            <v>0.20250086419646854</v>
          </cell>
          <cell r="BH12">
            <v>0.20773599935872222</v>
          </cell>
          <cell r="BI12">
            <v>0.22202294401640524</v>
          </cell>
          <cell r="BJ12">
            <v>0.21701290479670307</v>
          </cell>
          <cell r="BK12">
            <v>0.21456455255566426</v>
          </cell>
          <cell r="BL12">
            <v>0.2252632195196192</v>
          </cell>
          <cell r="BM12">
            <v>0.21984691261302303</v>
          </cell>
          <cell r="BN12">
            <v>0.21959876139723869</v>
          </cell>
          <cell r="BO12">
            <v>0.22036151730712256</v>
          </cell>
        </row>
        <row r="13">
          <cell r="A13" t="str">
            <v>% Growth</v>
          </cell>
          <cell r="C13">
            <v>0.24528301886792447</v>
          </cell>
          <cell r="J13">
            <v>0.19100091827364563</v>
          </cell>
          <cell r="K13">
            <v>5.2573325954620831E-2</v>
          </cell>
          <cell r="L13">
            <v>5.9927045336112483E-2</v>
          </cell>
          <cell r="M13">
            <v>5.6360708534621606E-2</v>
          </cell>
          <cell r="N13">
            <v>5.2713987473903989E-2</v>
          </cell>
          <cell r="O13">
            <v>5.5122297057780933E-2</v>
          </cell>
          <cell r="P13">
            <v>5.6074766355140859E-3</v>
          </cell>
          <cell r="Q13">
            <v>4.1506039578514509E-2</v>
          </cell>
          <cell r="R13">
            <v>3.0494216614090464E-2</v>
          </cell>
          <cell r="S13">
            <v>-4.9164208456242697E-4</v>
          </cell>
          <cell r="T13">
            <v>1.44817073170731E-2</v>
          </cell>
          <cell r="U13">
            <v>-6.7922657411997989E-2</v>
          </cell>
          <cell r="V13">
            <v>-1.3438602385351883E-2</v>
          </cell>
          <cell r="W13">
            <v>-4.7397769516728583E-2</v>
          </cell>
          <cell r="X13">
            <v>-2.2455274521900104E-2</v>
          </cell>
          <cell r="Y13">
            <v>3.0612244897958441E-3</v>
          </cell>
          <cell r="Z13">
            <v>0.11067388096409236</v>
          </cell>
          <cell r="AA13">
            <v>5.7851239669421517E-2</v>
          </cell>
          <cell r="AB13">
            <v>0.15478723404255312</v>
          </cell>
          <cell r="AC13">
            <v>8.8881321300868343E-2</v>
          </cell>
          <cell r="AD13">
            <v>0.17463414634146335</v>
          </cell>
          <cell r="AE13">
            <v>0.11106903950523783</v>
          </cell>
          <cell r="AF13">
            <v>9.2065106815869768E-2</v>
          </cell>
          <cell r="AG13">
            <v>-1.2400354295837079E-2</v>
          </cell>
          <cell r="AH13">
            <v>3.6221590909090828E-2</v>
          </cell>
          <cell r="AI13">
            <v>-1.7042837402118871E-2</v>
          </cell>
          <cell r="AJ13">
            <v>1.81391712275214E-2</v>
          </cell>
          <cell r="AK13">
            <v>1.6196013289036637E-2</v>
          </cell>
          <cell r="AL13">
            <v>1.7607633761217656E-2</v>
          </cell>
          <cell r="AM13">
            <v>6.9864927806241317E-2</v>
          </cell>
          <cell r="AN13">
            <v>6.8933395435491374E-2</v>
          </cell>
          <cell r="AO13">
            <v>0.12825112107623315</v>
          </cell>
          <cell r="AP13">
            <v>0.1273542600896862</v>
          </cell>
          <cell r="AQ13">
            <v>9.9611606122915308E-2</v>
          </cell>
          <cell r="AR13">
            <v>0.15791940018744133</v>
          </cell>
          <cell r="AS13">
            <v>0.15698219306466732</v>
          </cell>
          <cell r="AT13">
            <v>0.1187221624942405</v>
          </cell>
          <cell r="AU13">
            <v>0.10461789946873723</v>
          </cell>
          <cell r="AV13">
            <v>0.10461789946873723</v>
          </cell>
          <cell r="AW13">
            <v>0.1148693904889484</v>
          </cell>
          <cell r="AX13">
            <v>0.11419959812458136</v>
          </cell>
          <cell r="AY13">
            <v>6.0949063996517117E-2</v>
          </cell>
          <cell r="AZ13">
            <v>-0.14294672706932687</v>
          </cell>
          <cell r="BA13">
            <v>-4.5637640828262716E-2</v>
          </cell>
          <cell r="BB13">
            <v>-9.1515056492510016E-2</v>
          </cell>
          <cell r="BC13">
            <v>-6.1200943149288922E-2</v>
          </cell>
          <cell r="BD13">
            <v>-0.31732845013968036</v>
          </cell>
          <cell r="BE13">
            <v>-0.12494605693671523</v>
          </cell>
          <cell r="BF13">
            <v>8.2123494305747613E-2</v>
          </cell>
          <cell r="BG13">
            <v>2.0313463380651431E-2</v>
          </cell>
          <cell r="BH13">
            <v>7.4867651377290567E-2</v>
          </cell>
          <cell r="BI13">
            <v>0.12466319817544935</v>
          </cell>
          <cell r="BJ13">
            <v>6.654633409114652E-3</v>
          </cell>
          <cell r="BK13">
            <v>2.6080230897328471E-2</v>
          </cell>
          <cell r="BL13">
            <v>9.5421688053819009E-2</v>
          </cell>
          <cell r="BM13">
            <v>-1.8650728757384938E-2</v>
          </cell>
          <cell r="BN13">
            <v>1.5190069743443058E-2</v>
          </cell>
          <cell r="BO13">
            <v>2.4952379253921464E-2</v>
          </cell>
        </row>
        <row r="15">
          <cell r="A15" t="str">
            <v>R&amp;D</v>
          </cell>
          <cell r="B15">
            <v>-1729</v>
          </cell>
          <cell r="C15">
            <v>-2411</v>
          </cell>
          <cell r="D15">
            <v>-625</v>
          </cell>
          <cell r="E15">
            <v>-650</v>
          </cell>
          <cell r="F15">
            <v>-1275</v>
          </cell>
          <cell r="G15">
            <v>-640</v>
          </cell>
          <cell r="H15">
            <v>-1915</v>
          </cell>
          <cell r="I15">
            <v>-794</v>
          </cell>
          <cell r="J15">
            <v>-2709</v>
          </cell>
          <cell r="K15">
            <v>-633</v>
          </cell>
          <cell r="L15">
            <v>-648</v>
          </cell>
          <cell r="M15">
            <v>-1281</v>
          </cell>
          <cell r="N15">
            <v>-662</v>
          </cell>
          <cell r="O15">
            <v>-1943</v>
          </cell>
          <cell r="P15">
            <v>-710</v>
          </cell>
          <cell r="Q15">
            <v>-2653</v>
          </cell>
          <cell r="R15">
            <v>-657</v>
          </cell>
          <cell r="S15">
            <v>-663</v>
          </cell>
          <cell r="T15">
            <v>-1320</v>
          </cell>
          <cell r="U15">
            <v>-692</v>
          </cell>
          <cell r="V15">
            <v>-2012</v>
          </cell>
          <cell r="W15">
            <v>-734</v>
          </cell>
          <cell r="X15">
            <v>-2746</v>
          </cell>
          <cell r="Y15">
            <v>-717</v>
          </cell>
          <cell r="Z15">
            <v>-747</v>
          </cell>
          <cell r="AA15">
            <v>-1464</v>
          </cell>
          <cell r="AB15">
            <v>-776</v>
          </cell>
          <cell r="AC15">
            <v>-2240</v>
          </cell>
          <cell r="AD15">
            <v>-813</v>
          </cell>
          <cell r="AE15">
            <v>-3053</v>
          </cell>
          <cell r="AF15">
            <v>-737</v>
          </cell>
          <cell r="AG15">
            <v>-727</v>
          </cell>
          <cell r="AH15">
            <v>-1464</v>
          </cell>
          <cell r="AI15">
            <v>-691</v>
          </cell>
          <cell r="AJ15">
            <v>-2155</v>
          </cell>
          <cell r="AK15">
            <v>-777</v>
          </cell>
          <cell r="AL15">
            <v>-2932</v>
          </cell>
          <cell r="AM15">
            <v>-699</v>
          </cell>
          <cell r="AN15">
            <v>-699</v>
          </cell>
          <cell r="AO15">
            <v>-751</v>
          </cell>
          <cell r="AP15">
            <v>-750</v>
          </cell>
          <cell r="AQ15">
            <v>-1450</v>
          </cell>
          <cell r="AR15">
            <v>-741</v>
          </cell>
          <cell r="AS15">
            <v>-742</v>
          </cell>
          <cell r="AT15">
            <v>-2191</v>
          </cell>
          <cell r="AU15">
            <v>-822</v>
          </cell>
          <cell r="AV15">
            <v>-822</v>
          </cell>
          <cell r="AW15">
            <v>-3013</v>
          </cell>
          <cell r="AX15">
            <v>-3013</v>
          </cell>
          <cell r="AY15">
            <v>-723</v>
          </cell>
          <cell r="AZ15">
            <v>-783.35132554799577</v>
          </cell>
          <cell r="BA15">
            <v>-1506.3513255479961</v>
          </cell>
          <cell r="BB15">
            <v>-800.98010691106583</v>
          </cell>
          <cell r="BC15">
            <v>-2307.3314324590619</v>
          </cell>
          <cell r="BD15">
            <v>-871.9455758364594</v>
          </cell>
          <cell r="BE15">
            <v>-3179.2770082955212</v>
          </cell>
          <cell r="BF15">
            <v>-3536.4771250600193</v>
          </cell>
          <cell r="BG15">
            <v>-3710.0021658223745</v>
          </cell>
          <cell r="BH15">
            <v>-3950.0768237992947</v>
          </cell>
          <cell r="BI15">
            <v>-4234.9690497631473</v>
          </cell>
          <cell r="BJ15">
            <v>-4336.7693373727443</v>
          </cell>
          <cell r="BK15">
            <v>-4501.7988111072091</v>
          </cell>
          <cell r="BL15">
            <v>-4717.9672621681102</v>
          </cell>
          <cell r="BM15">
            <v>-4652.6960296640709</v>
          </cell>
          <cell r="BN15">
            <v>-4679.4306700478228</v>
          </cell>
          <cell r="BO15">
            <v>-4750.1122023103571</v>
          </cell>
          <cell r="BQ15" t="str">
            <v>mstag:researchAndDevelopment</v>
          </cell>
          <cell r="BR15">
            <v>6</v>
          </cell>
          <cell r="BS15" t="str">
            <v>ISO4217:EUR</v>
          </cell>
          <cell r="BT15" t="b">
            <v>1</v>
          </cell>
        </row>
        <row r="16">
          <cell r="A16" t="str">
            <v>% of sales</v>
          </cell>
          <cell r="B16">
            <v>6.8084268556802524E-2</v>
          </cell>
          <cell r="C16">
            <v>8.126053252443545E-2</v>
          </cell>
          <cell r="D16">
            <v>7.4985002999400113E-2</v>
          </cell>
          <cell r="E16">
            <v>7.7834989821578257E-2</v>
          </cell>
          <cell r="F16">
            <v>8.2754592068540272E-2</v>
          </cell>
          <cell r="G16">
            <v>8.1435297111591809E-2</v>
          </cell>
          <cell r="H16">
            <v>8.4738262754989163E-2</v>
          </cell>
          <cell r="I16">
            <v>7.5988132835678054E-2</v>
          </cell>
          <cell r="J16">
            <v>8.1971677559912859E-2</v>
          </cell>
          <cell r="K16">
            <v>7.4156513589503287E-2</v>
          </cell>
          <cell r="L16">
            <v>7.6136764187522035E-2</v>
          </cell>
          <cell r="M16">
            <v>7.5145186836393499E-2</v>
          </cell>
          <cell r="N16">
            <v>8.3291394061399099E-2</v>
          </cell>
          <cell r="O16">
            <v>7.773554710942189E-2</v>
          </cell>
          <cell r="P16">
            <v>8.9612520509907867E-2</v>
          </cell>
          <cell r="Q16">
            <v>8.0594203779087423E-2</v>
          </cell>
          <cell r="R16">
            <v>8.3217226092463584E-2</v>
          </cell>
          <cell r="S16">
            <v>8.2781870395804716E-2</v>
          </cell>
          <cell r="T16">
            <v>8.2997987927565395E-2</v>
          </cell>
          <cell r="U16">
            <v>9.3614718614718609E-2</v>
          </cell>
          <cell r="V16">
            <v>8.636675824175824E-2</v>
          </cell>
          <cell r="W16">
            <v>9.3241869918699191E-2</v>
          </cell>
          <cell r="X16">
            <v>8.8103182751540041E-2</v>
          </cell>
          <cell r="Y16">
            <v>8.6219336219336223E-2</v>
          </cell>
          <cell r="Z16">
            <v>8.1381414097396229E-2</v>
          </cell>
          <cell r="AA16">
            <v>8.3681051729065453E-2</v>
          </cell>
          <cell r="AB16">
            <v>9.0432350541894885E-2</v>
          </cell>
          <cell r="AC16">
            <v>8.5902745819911031E-2</v>
          </cell>
          <cell r="AD16">
            <v>9.0213049267643147E-2</v>
          </cell>
          <cell r="AE16">
            <v>8.7009803921568624E-2</v>
          </cell>
          <cell r="AF16">
            <v>7.8279341476367503E-2</v>
          </cell>
          <cell r="AG16">
            <v>7.857760484219628E-2</v>
          </cell>
          <cell r="AH16">
            <v>7.842296978787229E-2</v>
          </cell>
          <cell r="AI16">
            <v>7.9700115340253744E-2</v>
          </cell>
          <cell r="AJ16">
            <v>7.8828004974760404E-2</v>
          </cell>
          <cell r="AK16">
            <v>8.453002610966058E-2</v>
          </cell>
          <cell r="AL16">
            <v>8.0267192290845377E-2</v>
          </cell>
          <cell r="AM16">
            <v>6.9510739856801909E-2</v>
          </cell>
          <cell r="AN16">
            <v>6.9524567336383528E-2</v>
          </cell>
          <cell r="AO16">
            <v>7.3793848874914025E-2</v>
          </cell>
          <cell r="AP16">
            <v>7.3775329529805228E-2</v>
          </cell>
          <cell r="AQ16">
            <v>7.1665101566747394E-2</v>
          </cell>
          <cell r="AR16">
            <v>7.6668391101914118E-2</v>
          </cell>
          <cell r="AS16">
            <v>7.6803643515164055E-2</v>
          </cell>
          <cell r="AT16">
            <v>7.3282493812295138E-2</v>
          </cell>
          <cell r="AU16">
            <v>8.3350233218414116E-2</v>
          </cell>
          <cell r="AV16">
            <v>8.3367139959432054E-2</v>
          </cell>
          <cell r="AW16">
            <v>7.5779678068410461E-2</v>
          </cell>
          <cell r="AX16">
            <v>7.5815908004328025E-2</v>
          </cell>
          <cell r="AY16">
            <v>7.0426651081239036E-2</v>
          </cell>
          <cell r="AZ16">
            <v>7.5366472741811644E-2</v>
          </cell>
          <cell r="BA16">
            <v>7.2964572722771223E-2</v>
          </cell>
          <cell r="BB16">
            <v>8.0949555396670009E-2</v>
          </cell>
          <cell r="BC16">
            <v>7.5551685837320665E-2</v>
          </cell>
          <cell r="BD16">
            <v>8.1831825379751047E-2</v>
          </cell>
          <cell r="BE16">
            <v>7.7176077552749342E-2</v>
          </cell>
          <cell r="BF16">
            <v>7.7920476811647807E-2</v>
          </cell>
          <cell r="BG16">
            <v>7.7861133975807545E-2</v>
          </cell>
          <cell r="BH16">
            <v>7.9119219323259646E-2</v>
          </cell>
          <cell r="BI16">
            <v>8.0610256170588784E-2</v>
          </cell>
          <cell r="BJ16">
            <v>8.0151857314174013E-2</v>
          </cell>
          <cell r="BK16">
            <v>8.0172318621353142E-2</v>
          </cell>
          <cell r="BL16">
            <v>8.0527508252034294E-2</v>
          </cell>
          <cell r="BM16">
            <v>7.8976975498055407E-2</v>
          </cell>
          <cell r="BN16">
            <v>7.8153960181976803E-2</v>
          </cell>
          <cell r="BO16">
            <v>7.7671916321766177E-2</v>
          </cell>
        </row>
        <row r="17">
          <cell r="A17" t="str">
            <v>% Growth</v>
          </cell>
          <cell r="C17">
            <v>0.39444765760555245</v>
          </cell>
          <cell r="J17">
            <v>0.12360016590626288</v>
          </cell>
          <cell r="K17">
            <v>1.2799999999999923E-2</v>
          </cell>
          <cell r="L17">
            <v>-3.0769230769230882E-3</v>
          </cell>
          <cell r="M17">
            <v>4.7058823529411153E-3</v>
          </cell>
          <cell r="N17">
            <v>3.4375000000000044E-2</v>
          </cell>
          <cell r="O17">
            <v>1.4621409921671047E-2</v>
          </cell>
          <cell r="P17">
            <v>-0.10579345088161207</v>
          </cell>
          <cell r="Q17">
            <v>-2.067183462532296E-2</v>
          </cell>
          <cell r="R17">
            <v>3.7914691943127909E-2</v>
          </cell>
          <cell r="S17">
            <v>2.314814814814814E-2</v>
          </cell>
          <cell r="T17">
            <v>3.0444964871194413E-2</v>
          </cell>
          <cell r="U17">
            <v>4.5317220543806602E-2</v>
          </cell>
          <cell r="V17">
            <v>3.5512094698919139E-2</v>
          </cell>
          <cell r="W17">
            <v>3.3802816901408406E-2</v>
          </cell>
          <cell r="X17">
            <v>3.5054655107425559E-2</v>
          </cell>
          <cell r="Y17">
            <v>9.1324200913242004E-2</v>
          </cell>
          <cell r="Z17">
            <v>0.12669683257918551</v>
          </cell>
          <cell r="AA17">
            <v>0.10909090909090913</v>
          </cell>
          <cell r="AB17">
            <v>0.12138728323699421</v>
          </cell>
          <cell r="AC17">
            <v>0.11332007952286283</v>
          </cell>
          <cell r="AD17">
            <v>0.10762942779291551</v>
          </cell>
          <cell r="AE17">
            <v>0.11179898033503277</v>
          </cell>
          <cell r="AF17">
            <v>2.7894002789400352E-2</v>
          </cell>
          <cell r="AG17">
            <v>-2.677376171352075E-2</v>
          </cell>
          <cell r="AH17">
            <v>0</v>
          </cell>
          <cell r="AI17">
            <v>-0.10953608247422686</v>
          </cell>
          <cell r="AJ17">
            <v>-3.7946428571428603E-2</v>
          </cell>
          <cell r="AK17">
            <v>-4.4280442804428E-2</v>
          </cell>
          <cell r="AL17">
            <v>-3.9633147723550644E-2</v>
          </cell>
          <cell r="AM17">
            <v>-5.1560379918588861E-2</v>
          </cell>
          <cell r="AN17">
            <v>-5.1560379918588861E-2</v>
          </cell>
          <cell r="AO17">
            <v>3.3012379642365808E-2</v>
          </cell>
          <cell r="AP17">
            <v>3.1636863823933936E-2</v>
          </cell>
          <cell r="AQ17">
            <v>-9.5628415300545999E-3</v>
          </cell>
          <cell r="AR17">
            <v>7.2358900144717797E-2</v>
          </cell>
          <cell r="AS17">
            <v>7.3806078147612197E-2</v>
          </cell>
          <cell r="AT17">
            <v>1.6705336426914075E-2</v>
          </cell>
          <cell r="AU17">
            <v>5.7915057915058021E-2</v>
          </cell>
          <cell r="AV17">
            <v>5.7915057915058021E-2</v>
          </cell>
          <cell r="AW17">
            <v>2.7626193724420212E-2</v>
          </cell>
          <cell r="AX17">
            <v>2.7626193724420212E-2</v>
          </cell>
          <cell r="AY17">
            <v>3.4334763948497882E-2</v>
          </cell>
          <cell r="AZ17">
            <v>4.3077663845533687E-2</v>
          </cell>
          <cell r="BA17">
            <v>3.8862983136549012E-2</v>
          </cell>
          <cell r="BB17">
            <v>8.0944813645163149E-2</v>
          </cell>
          <cell r="BC17">
            <v>5.3095131199937029E-2</v>
          </cell>
          <cell r="BD17">
            <v>6.0761041163575946E-2</v>
          </cell>
          <cell r="BE17">
            <v>5.5186527811324604E-2</v>
          </cell>
          <cell r="BF17">
            <v>0.11235262477364327</v>
          </cell>
          <cell r="BG17">
            <v>4.9067202932751908E-2</v>
          </cell>
          <cell r="BH17">
            <v>6.4710112621646942E-2</v>
          </cell>
          <cell r="BI17">
            <v>7.2123211439172774E-2</v>
          </cell>
          <cell r="BJ17">
            <v>2.4038023988697255E-2</v>
          </cell>
          <cell r="BK17">
            <v>3.8053551133628183E-2</v>
          </cell>
          <cell r="BL17">
            <v>4.8018238959846915E-2</v>
          </cell>
          <cell r="BM17">
            <v>-1.3834609033307355E-2</v>
          </cell>
          <cell r="BN17">
            <v>5.7460535167783711E-3</v>
          </cell>
          <cell r="BO17">
            <v>1.510472902504012E-2</v>
          </cell>
        </row>
        <row r="19">
          <cell r="A19" t="str">
            <v>G&amp;A</v>
          </cell>
          <cell r="B19">
            <v>-1307</v>
          </cell>
          <cell r="C19">
            <v>-1599</v>
          </cell>
          <cell r="D19">
            <v>-436</v>
          </cell>
          <cell r="E19">
            <v>-425</v>
          </cell>
          <cell r="F19">
            <v>-861</v>
          </cell>
          <cell r="G19">
            <v>-418</v>
          </cell>
          <cell r="H19">
            <v>-1279</v>
          </cell>
          <cell r="I19">
            <v>-493</v>
          </cell>
          <cell r="J19">
            <v>-1772</v>
          </cell>
          <cell r="K19">
            <v>-419</v>
          </cell>
          <cell r="L19">
            <v>-439</v>
          </cell>
          <cell r="M19">
            <v>-858</v>
          </cell>
          <cell r="N19">
            <v>-417</v>
          </cell>
          <cell r="O19">
            <v>-1275</v>
          </cell>
          <cell r="P19">
            <v>-374</v>
          </cell>
          <cell r="Q19">
            <v>-1649</v>
          </cell>
          <cell r="R19">
            <v>-402</v>
          </cell>
          <cell r="S19">
            <v>-404</v>
          </cell>
          <cell r="T19">
            <v>-806</v>
          </cell>
          <cell r="U19">
            <v>-404</v>
          </cell>
          <cell r="V19">
            <v>-1210</v>
          </cell>
          <cell r="W19">
            <v>-413</v>
          </cell>
          <cell r="X19">
            <v>-1623</v>
          </cell>
          <cell r="Y19">
            <v>-405</v>
          </cell>
          <cell r="Z19">
            <v>-434</v>
          </cell>
          <cell r="AA19">
            <v>-839</v>
          </cell>
          <cell r="AB19">
            <v>-404</v>
          </cell>
          <cell r="AC19">
            <v>-1243</v>
          </cell>
          <cell r="AD19">
            <v>-404</v>
          </cell>
          <cell r="AE19">
            <v>-1647</v>
          </cell>
          <cell r="AF19">
            <v>-424</v>
          </cell>
          <cell r="AG19">
            <v>-427</v>
          </cell>
          <cell r="AH19">
            <v>-851</v>
          </cell>
          <cell r="AI19">
            <v>-403</v>
          </cell>
          <cell r="AJ19">
            <v>-1254</v>
          </cell>
          <cell r="AK19">
            <v>-459</v>
          </cell>
          <cell r="AL19">
            <v>-1713</v>
          </cell>
          <cell r="AM19">
            <v>-446</v>
          </cell>
          <cell r="AN19">
            <v>-446</v>
          </cell>
          <cell r="AO19">
            <v>-465</v>
          </cell>
          <cell r="AP19">
            <v>-465</v>
          </cell>
          <cell r="AQ19">
            <v>-911</v>
          </cell>
          <cell r="AR19">
            <v>-477</v>
          </cell>
          <cell r="AS19">
            <v>-477</v>
          </cell>
          <cell r="AT19">
            <v>-1388</v>
          </cell>
          <cell r="AU19">
            <v>-478</v>
          </cell>
          <cell r="AV19">
            <v>-477</v>
          </cell>
          <cell r="AW19">
            <v>-1866</v>
          </cell>
          <cell r="AX19">
            <v>-1865</v>
          </cell>
          <cell r="AY19">
            <v>-465</v>
          </cell>
          <cell r="AZ19">
            <v>-467.72534745550649</v>
          </cell>
          <cell r="BA19">
            <v>-932.72534745550649</v>
          </cell>
          <cell r="BB19">
            <v>-445.26624802785136</v>
          </cell>
          <cell r="BC19">
            <v>-1377.9915954833577</v>
          </cell>
          <cell r="BD19">
            <v>-475.7883569314663</v>
          </cell>
          <cell r="BE19">
            <v>-1853.779952414824</v>
          </cell>
          <cell r="BF19">
            <v>-2042.357505234258</v>
          </cell>
          <cell r="BG19">
            <v>-2144.2032621035341</v>
          </cell>
          <cell r="BH19">
            <v>-2246.6533238240877</v>
          </cell>
          <cell r="BI19">
            <v>-2364.135983342449</v>
          </cell>
          <cell r="BJ19">
            <v>-2434.8109541219883</v>
          </cell>
          <cell r="BK19">
            <v>-2526.8191064374291</v>
          </cell>
          <cell r="BL19">
            <v>-2636.4720752700255</v>
          </cell>
          <cell r="BM19">
            <v>-2651.0425350491978</v>
          </cell>
          <cell r="BN19">
            <v>-2694.3532952372757</v>
          </cell>
          <cell r="BO19">
            <v>-2752.0249174548176</v>
          </cell>
          <cell r="BQ19" t="str">
            <v>mstag:generalAndAdministrativeExpenses</v>
          </cell>
          <cell r="BR19">
            <v>6</v>
          </cell>
          <cell r="BS19" t="str">
            <v>ISO4217:EUR</v>
          </cell>
          <cell r="BT19" t="b">
            <v>1</v>
          </cell>
        </row>
        <row r="20">
          <cell r="A20" t="str">
            <v>% of sales</v>
          </cell>
          <cell r="B20">
            <v>5.1466824177987792E-2</v>
          </cell>
          <cell r="C20">
            <v>5.3892821031344795E-2</v>
          </cell>
          <cell r="D20">
            <v>5.2309538092381522E-2</v>
          </cell>
          <cell r="E20">
            <v>5.0892108729493471E-2</v>
          </cell>
          <cell r="F20">
            <v>5.5883689232167195E-2</v>
          </cell>
          <cell r="G20">
            <v>5.3187428426008397E-2</v>
          </cell>
          <cell r="H20">
            <v>5.6595424576308687E-2</v>
          </cell>
          <cell r="I20">
            <v>4.7181548473538136E-2</v>
          </cell>
          <cell r="J20">
            <v>5.3618978455579766E-2</v>
          </cell>
          <cell r="K20">
            <v>4.9086223055295218E-2</v>
          </cell>
          <cell r="L20">
            <v>5.158030783691693E-2</v>
          </cell>
          <cell r="M20">
            <v>5.0331436616413448E-2</v>
          </cell>
          <cell r="N20">
            <v>5.2466029189733268E-2</v>
          </cell>
          <cell r="O20">
            <v>5.1010202040408084E-2</v>
          </cell>
          <cell r="P20">
            <v>4.7204341789726115E-2</v>
          </cell>
          <cell r="Q20">
            <v>5.0094173400571117E-2</v>
          </cell>
          <cell r="R20">
            <v>5.0918302723242562E-2</v>
          </cell>
          <cell r="S20">
            <v>5.0443251342239981E-2</v>
          </cell>
          <cell r="T20">
            <v>5.0679074446680079E-2</v>
          </cell>
          <cell r="U20">
            <v>5.4653679653679656E-2</v>
          </cell>
          <cell r="V20">
            <v>5.1940247252747256E-2</v>
          </cell>
          <cell r="W20">
            <v>5.2464430894308946E-2</v>
          </cell>
          <cell r="X20">
            <v>5.2072638603696098E-2</v>
          </cell>
          <cell r="Y20">
            <v>4.8701298701298704E-2</v>
          </cell>
          <cell r="Z20">
            <v>4.7281838980281078E-2</v>
          </cell>
          <cell r="AA20">
            <v>4.7956559016861959E-2</v>
          </cell>
          <cell r="AB20">
            <v>4.7080759818203005E-2</v>
          </cell>
          <cell r="AC20">
            <v>4.7668354042030986E-2</v>
          </cell>
          <cell r="AD20">
            <v>4.4829116733244564E-2</v>
          </cell>
          <cell r="AE20">
            <v>4.6939124487004102E-2</v>
          </cell>
          <cell r="AF20">
            <v>4.503451938396176E-2</v>
          </cell>
          <cell r="AG20">
            <v>4.6152183311716388E-2</v>
          </cell>
          <cell r="AH20">
            <v>4.5586029569316476E-2</v>
          </cell>
          <cell r="AI20">
            <v>4.6482122260668973E-2</v>
          </cell>
          <cell r="AJ20">
            <v>4.5870217279976588E-2</v>
          </cell>
          <cell r="AK20">
            <v>4.9934725848563968E-2</v>
          </cell>
          <cell r="AL20">
            <v>4.6895532194480949E-2</v>
          </cell>
          <cell r="AM20">
            <v>4.4351630867143992E-2</v>
          </cell>
          <cell r="AN20">
            <v>4.4360453550825539E-2</v>
          </cell>
          <cell r="AO20">
            <v>4.5691264616291638E-2</v>
          </cell>
          <cell r="AP20">
            <v>4.5740704308479242E-2</v>
          </cell>
          <cell r="AQ20">
            <v>4.5025453467108192E-2</v>
          </cell>
          <cell r="AR20">
            <v>4.9353336782203827E-2</v>
          </cell>
          <cell r="AS20">
            <v>4.9373770831176896E-2</v>
          </cell>
          <cell r="AT20">
            <v>4.6424510000668939E-2</v>
          </cell>
          <cell r="AU20">
            <v>4.84688704116812E-2</v>
          </cell>
          <cell r="AV20">
            <v>4.8377281947261666E-2</v>
          </cell>
          <cell r="AW20">
            <v>4.6931589537223338E-2</v>
          </cell>
          <cell r="AX20">
            <v>4.6928864396970381E-2</v>
          </cell>
          <cell r="AY20">
            <v>4.5295149035651669E-2</v>
          </cell>
          <cell r="AZ20">
            <v>4.4999999999999998E-2</v>
          </cell>
          <cell r="BA20">
            <v>4.5179305312478331E-2</v>
          </cell>
          <cell r="BB20">
            <v>4.4999999999999998E-2</v>
          </cell>
          <cell r="BC20">
            <v>4.5121210868900204E-2</v>
          </cell>
          <cell r="BD20">
            <v>4.4652591653767303E-2</v>
          </cell>
          <cell r="BE20">
            <v>4.4999999999999998E-2</v>
          </cell>
          <cell r="BF20">
            <v>4.4999999999999998E-2</v>
          </cell>
          <cell r="BG20">
            <v>4.4999999999999998E-2</v>
          </cell>
          <cell r="BH20">
            <v>4.4999999999999998E-2</v>
          </cell>
          <cell r="BI20">
            <v>4.4999999999999998E-2</v>
          </cell>
          <cell r="BJ20">
            <v>4.4999999999999998E-2</v>
          </cell>
          <cell r="BK20">
            <v>4.4999999999999998E-2</v>
          </cell>
          <cell r="BL20">
            <v>4.4999999999999998E-2</v>
          </cell>
          <cell r="BM20">
            <v>4.4999999999999998E-2</v>
          </cell>
          <cell r="BN20">
            <v>4.4999999999999998E-2</v>
          </cell>
          <cell r="BO20">
            <v>4.4999999999999998E-2</v>
          </cell>
        </row>
        <row r="21">
          <cell r="A21" t="str">
            <v>% Growth</v>
          </cell>
          <cell r="C21">
            <v>0.22341239479724551</v>
          </cell>
          <cell r="J21">
            <v>0.10819262038774236</v>
          </cell>
          <cell r="K21">
            <v>-3.8990825688073438E-2</v>
          </cell>
          <cell r="L21">
            <v>3.2941176470588251E-2</v>
          </cell>
          <cell r="M21">
            <v>-3.4843205574912606E-3</v>
          </cell>
          <cell r="N21">
            <v>-2.3923444976076125E-3</v>
          </cell>
          <cell r="O21">
            <v>-3.1274433150899617E-3</v>
          </cell>
          <cell r="P21">
            <v>-0.24137931034482762</v>
          </cell>
          <cell r="Q21">
            <v>-6.941309255079009E-2</v>
          </cell>
          <cell r="R21">
            <v>-4.0572792362768451E-2</v>
          </cell>
          <cell r="S21">
            <v>-7.9726651480637845E-2</v>
          </cell>
          <cell r="T21">
            <v>-6.0606060606060552E-2</v>
          </cell>
          <cell r="U21">
            <v>-3.1175059952038398E-2</v>
          </cell>
          <cell r="V21">
            <v>-5.0980392156862786E-2</v>
          </cell>
          <cell r="W21">
            <v>0.10427807486631013</v>
          </cell>
          <cell r="X21">
            <v>-1.5767131594906059E-2</v>
          </cell>
          <cell r="Y21">
            <v>7.4626865671640896E-3</v>
          </cell>
          <cell r="Z21">
            <v>7.4257425742574323E-2</v>
          </cell>
          <cell r="AA21">
            <v>4.0942928039702231E-2</v>
          </cell>
          <cell r="AB21">
            <v>0</v>
          </cell>
          <cell r="AC21">
            <v>2.7272727272727337E-2</v>
          </cell>
          <cell r="AD21">
            <v>-2.1791767554479424E-2</v>
          </cell>
          <cell r="AE21">
            <v>1.4787430683918634E-2</v>
          </cell>
          <cell r="AF21">
            <v>4.6913580246913611E-2</v>
          </cell>
          <cell r="AG21">
            <v>-1.6129032258064502E-2</v>
          </cell>
          <cell r="AH21">
            <v>1.4302741358760418E-2</v>
          </cell>
          <cell r="AI21">
            <v>-2.4752475247524774E-3</v>
          </cell>
          <cell r="AJ21">
            <v>8.8495575221239076E-3</v>
          </cell>
          <cell r="AK21">
            <v>0.13613861386138604</v>
          </cell>
          <cell r="AL21">
            <v>4.0072859744990863E-2</v>
          </cell>
          <cell r="AM21">
            <v>5.1886792452830122E-2</v>
          </cell>
          <cell r="AN21">
            <v>5.1886792452830122E-2</v>
          </cell>
          <cell r="AO21">
            <v>8.8992974238875977E-2</v>
          </cell>
          <cell r="AP21">
            <v>8.8992974238875977E-2</v>
          </cell>
          <cell r="AQ21">
            <v>7.0505287896592161E-2</v>
          </cell>
          <cell r="AR21">
            <v>0.18362282878411906</v>
          </cell>
          <cell r="AS21">
            <v>0.18362282878411906</v>
          </cell>
          <cell r="AT21">
            <v>0.10685805422647521</v>
          </cell>
          <cell r="AU21">
            <v>4.1394335511982572E-2</v>
          </cell>
          <cell r="AV21">
            <v>3.9215686274509887E-2</v>
          </cell>
          <cell r="AW21">
            <v>8.9316987740805542E-2</v>
          </cell>
          <cell r="AX21">
            <v>8.8733216579101049E-2</v>
          </cell>
          <cell r="AY21">
            <v>4.2600896860986559E-2</v>
          </cell>
          <cell r="AZ21">
            <v>5.8609622699064001E-3</v>
          </cell>
          <cell r="BA21">
            <v>2.3847801817240999E-2</v>
          </cell>
          <cell r="BB21">
            <v>-6.6527781912261275E-2</v>
          </cell>
          <cell r="BC21">
            <v>-7.2106660782724763E-3</v>
          </cell>
          <cell r="BD21">
            <v>-4.6268683442127756E-3</v>
          </cell>
          <cell r="BE21">
            <v>-6.5487929181007321E-3</v>
          </cell>
          <cell r="BF21">
            <v>0.10172596406266221</v>
          </cell>
          <cell r="BG21">
            <v>4.9866762605597081E-2</v>
          </cell>
          <cell r="BH21">
            <v>4.778001392463449E-2</v>
          </cell>
          <cell r="BI21">
            <v>5.2292295510190767E-2</v>
          </cell>
          <cell r="BJ21">
            <v>2.9894630121748866E-2</v>
          </cell>
          <cell r="BK21">
            <v>3.7788622627837443E-2</v>
          </cell>
          <cell r="BL21">
            <v>4.3395654462656141E-2</v>
          </cell>
          <cell r="BM21">
            <v>5.526498807191027E-3</v>
          </cell>
          <cell r="BN21">
            <v>1.63372558589574E-2</v>
          </cell>
          <cell r="BO21">
            <v>2.1404625117086962E-2</v>
          </cell>
        </row>
        <row r="23">
          <cell r="A23" t="str">
            <v>Other operating income</v>
          </cell>
          <cell r="B23">
            <v>775</v>
          </cell>
          <cell r="C23">
            <v>730</v>
          </cell>
          <cell r="D23">
            <v>143</v>
          </cell>
          <cell r="E23">
            <v>228</v>
          </cell>
          <cell r="F23">
            <v>371</v>
          </cell>
          <cell r="G23">
            <v>219</v>
          </cell>
          <cell r="H23">
            <v>590</v>
          </cell>
          <cell r="I23">
            <v>232</v>
          </cell>
          <cell r="J23">
            <v>822</v>
          </cell>
          <cell r="K23">
            <v>287</v>
          </cell>
          <cell r="L23">
            <v>563</v>
          </cell>
          <cell r="M23">
            <v>850</v>
          </cell>
          <cell r="N23">
            <v>214</v>
          </cell>
          <cell r="O23">
            <v>1064</v>
          </cell>
          <cell r="P23">
            <v>-157</v>
          </cell>
          <cell r="Q23">
            <v>907</v>
          </cell>
          <cell r="R23">
            <v>134</v>
          </cell>
          <cell r="S23">
            <v>412</v>
          </cell>
          <cell r="T23">
            <v>546</v>
          </cell>
          <cell r="U23">
            <v>172</v>
          </cell>
          <cell r="V23">
            <v>718</v>
          </cell>
          <cell r="W23">
            <v>204</v>
          </cell>
          <cell r="X23">
            <v>922</v>
          </cell>
          <cell r="Y23">
            <v>34</v>
          </cell>
          <cell r="Z23">
            <v>172</v>
          </cell>
          <cell r="AA23">
            <v>206</v>
          </cell>
          <cell r="AB23">
            <v>230</v>
          </cell>
          <cell r="AC23">
            <v>436</v>
          </cell>
          <cell r="AD23">
            <v>278</v>
          </cell>
          <cell r="AE23">
            <v>714</v>
          </cell>
          <cell r="AF23">
            <v>255</v>
          </cell>
          <cell r="AG23">
            <v>226</v>
          </cell>
          <cell r="AH23">
            <v>481</v>
          </cell>
          <cell r="AI23">
            <v>92</v>
          </cell>
          <cell r="AJ23">
            <v>573</v>
          </cell>
          <cell r="AK23">
            <v>286</v>
          </cell>
          <cell r="AL23">
            <v>859</v>
          </cell>
          <cell r="AM23">
            <v>163</v>
          </cell>
          <cell r="AN23">
            <v>163</v>
          </cell>
          <cell r="AO23">
            <v>122</v>
          </cell>
          <cell r="AP23">
            <v>122</v>
          </cell>
          <cell r="AQ23">
            <v>285</v>
          </cell>
          <cell r="AR23">
            <v>185</v>
          </cell>
          <cell r="AS23">
            <v>185</v>
          </cell>
          <cell r="AT23">
            <v>470</v>
          </cell>
          <cell r="AU23">
            <v>613</v>
          </cell>
          <cell r="AV23">
            <v>613</v>
          </cell>
          <cell r="AW23">
            <v>1083</v>
          </cell>
          <cell r="AX23">
            <v>1083</v>
          </cell>
          <cell r="AY23">
            <v>161</v>
          </cell>
          <cell r="AZ23">
            <v>296.94616481588497</v>
          </cell>
          <cell r="BA23">
            <v>457.94616481588497</v>
          </cell>
          <cell r="BB23">
            <v>296.94616481588497</v>
          </cell>
          <cell r="BC23">
            <v>754.89232963176994</v>
          </cell>
          <cell r="BD23">
            <v>432.89232963176988</v>
          </cell>
          <cell r="BE23">
            <v>1187.7846592635399</v>
          </cell>
          <cell r="BF23">
            <v>1420.8291927295904</v>
          </cell>
          <cell r="BG23">
            <v>1217.3713716443694</v>
          </cell>
          <cell r="BH23">
            <v>1228.9888504931578</v>
          </cell>
          <cell r="BI23">
            <v>1703.7778733687444</v>
          </cell>
          <cell r="BJ23">
            <v>1314.8433554064677</v>
          </cell>
          <cell r="BK23">
            <v>1368.5804811578187</v>
          </cell>
          <cell r="BL23">
            <v>2171.2604448858224</v>
          </cell>
          <cell r="BM23">
            <v>1384.3170666605415</v>
          </cell>
          <cell r="BN23">
            <v>1118.9920877487066</v>
          </cell>
          <cell r="BO23">
            <v>973.70841015000167</v>
          </cell>
          <cell r="BQ23" t="str">
            <v>mstag:otherOperatingExpense</v>
          </cell>
          <cell r="BR23">
            <v>6</v>
          </cell>
          <cell r="BS23" t="str">
            <v>ISO4217:EUR</v>
          </cell>
          <cell r="BT23" t="b">
            <v>1</v>
          </cell>
        </row>
        <row r="24">
          <cell r="A24" t="str">
            <v>Other operating expense</v>
          </cell>
          <cell r="B24">
            <v>-1267</v>
          </cell>
          <cell r="C24">
            <v>-1219</v>
          </cell>
          <cell r="D24">
            <v>-301</v>
          </cell>
          <cell r="E24">
            <v>-462</v>
          </cell>
          <cell r="F24">
            <v>-763</v>
          </cell>
          <cell r="G24">
            <v>-383</v>
          </cell>
          <cell r="H24">
            <v>-1146</v>
          </cell>
          <cell r="I24">
            <v>-423</v>
          </cell>
          <cell r="J24">
            <v>-1569</v>
          </cell>
          <cell r="K24">
            <v>-423</v>
          </cell>
          <cell r="L24">
            <v>-592</v>
          </cell>
          <cell r="M24">
            <v>-1015</v>
          </cell>
          <cell r="N24">
            <v>-306</v>
          </cell>
          <cell r="O24">
            <v>-1321</v>
          </cell>
          <cell r="P24">
            <v>-97</v>
          </cell>
          <cell r="Q24">
            <v>-1418</v>
          </cell>
          <cell r="R24">
            <v>-251</v>
          </cell>
          <cell r="S24">
            <v>-506</v>
          </cell>
          <cell r="T24">
            <v>-757</v>
          </cell>
          <cell r="U24">
            <v>-363</v>
          </cell>
          <cell r="V24">
            <v>-1120</v>
          </cell>
          <cell r="W24">
            <v>-537</v>
          </cell>
          <cell r="X24">
            <v>-1657</v>
          </cell>
          <cell r="Y24">
            <v>-155</v>
          </cell>
          <cell r="Z24">
            <v>-443</v>
          </cell>
          <cell r="AA24">
            <v>-598</v>
          </cell>
          <cell r="AB24">
            <v>-730</v>
          </cell>
          <cell r="AC24">
            <v>-1328</v>
          </cell>
          <cell r="AD24">
            <v>-1138</v>
          </cell>
          <cell r="AE24">
            <v>-2466</v>
          </cell>
          <cell r="AF24">
            <v>-777</v>
          </cell>
          <cell r="AG24">
            <v>-303</v>
          </cell>
          <cell r="AH24">
            <v>-1080</v>
          </cell>
          <cell r="AI24">
            <v>-157</v>
          </cell>
          <cell r="AJ24">
            <v>-1237</v>
          </cell>
          <cell r="AK24">
            <v>-423</v>
          </cell>
          <cell r="AL24">
            <v>-1660</v>
          </cell>
          <cell r="AM24">
            <v>-390</v>
          </cell>
          <cell r="AN24">
            <v>-391</v>
          </cell>
          <cell r="AO24">
            <v>-974</v>
          </cell>
          <cell r="AP24">
            <v>-977</v>
          </cell>
          <cell r="AQ24">
            <v>-1364</v>
          </cell>
          <cell r="AR24">
            <v>-637</v>
          </cell>
          <cell r="AS24">
            <v>-640</v>
          </cell>
          <cell r="AT24">
            <v>-2001</v>
          </cell>
          <cell r="AU24">
            <v>-957</v>
          </cell>
          <cell r="AV24">
            <v>-958</v>
          </cell>
          <cell r="AW24">
            <v>-2958</v>
          </cell>
          <cell r="AX24">
            <v>-2966</v>
          </cell>
          <cell r="AY24">
            <v>-228</v>
          </cell>
          <cell r="AZ24">
            <v>-739.5</v>
          </cell>
          <cell r="BA24">
            <v>-967.5</v>
          </cell>
          <cell r="BB24">
            <v>-739.5</v>
          </cell>
          <cell r="BC24">
            <v>-1707</v>
          </cell>
          <cell r="BD24">
            <v>-1251</v>
          </cell>
          <cell r="BE24">
            <v>-2958</v>
          </cell>
          <cell r="BF24">
            <v>-2958</v>
          </cell>
          <cell r="BG24">
            <v>-2958</v>
          </cell>
          <cell r="BH24">
            <v>-2958</v>
          </cell>
          <cell r="BI24">
            <v>-2958</v>
          </cell>
          <cell r="BJ24">
            <v>-2958</v>
          </cell>
          <cell r="BK24">
            <v>-2958</v>
          </cell>
          <cell r="BL24">
            <v>-2958</v>
          </cell>
          <cell r="BM24">
            <v>-2958</v>
          </cell>
          <cell r="BN24">
            <v>-2958</v>
          </cell>
          <cell r="BO24">
            <v>-2958</v>
          </cell>
          <cell r="BQ24" t="str">
            <v>mstag:otherOperatingExpense</v>
          </cell>
          <cell r="BR24">
            <v>6</v>
          </cell>
          <cell r="BS24" t="str">
            <v>ISO4217:EUR</v>
          </cell>
          <cell r="BT24" t="b">
            <v>1</v>
          </cell>
        </row>
        <row r="25">
          <cell r="A25" t="str">
            <v xml:space="preserve">Operating income (Reported) </v>
          </cell>
          <cell r="B25">
            <v>3208</v>
          </cell>
          <cell r="C25">
            <v>3362</v>
          </cell>
          <cell r="D25">
            <v>1175</v>
          </cell>
          <cell r="E25">
            <v>1051</v>
          </cell>
          <cell r="F25">
            <v>947</v>
          </cell>
          <cell r="G25">
            <v>743</v>
          </cell>
          <cell r="H25">
            <v>1023</v>
          </cell>
          <cell r="I25">
            <v>2663</v>
          </cell>
          <cell r="J25">
            <v>3686</v>
          </cell>
          <cell r="K25">
            <v>1343</v>
          </cell>
          <cell r="L25">
            <v>1105</v>
          </cell>
          <cell r="M25">
            <v>2448</v>
          </cell>
          <cell r="N25">
            <v>684</v>
          </cell>
          <cell r="O25">
            <v>3132</v>
          </cell>
          <cell r="P25">
            <v>412</v>
          </cell>
          <cell r="Q25">
            <v>3544</v>
          </cell>
          <cell r="R25">
            <v>973</v>
          </cell>
          <cell r="S25">
            <v>1021</v>
          </cell>
          <cell r="T25">
            <v>1994</v>
          </cell>
          <cell r="U25">
            <v>646</v>
          </cell>
          <cell r="V25">
            <v>2640</v>
          </cell>
          <cell r="W25">
            <v>366</v>
          </cell>
          <cell r="X25">
            <v>3006</v>
          </cell>
          <cell r="Y25">
            <v>1104</v>
          </cell>
          <cell r="Z25">
            <v>1011</v>
          </cell>
          <cell r="AA25">
            <v>2115</v>
          </cell>
          <cell r="AB25">
            <v>556</v>
          </cell>
          <cell r="AC25">
            <v>2671</v>
          </cell>
          <cell r="AD25">
            <v>59</v>
          </cell>
          <cell r="AE25">
            <v>2730</v>
          </cell>
          <cell r="AF25">
            <v>1148</v>
          </cell>
          <cell r="AG25">
            <v>1273</v>
          </cell>
          <cell r="AH25">
            <v>2422</v>
          </cell>
          <cell r="AI25">
            <v>1099</v>
          </cell>
          <cell r="AJ25">
            <v>3521</v>
          </cell>
          <cell r="AK25">
            <v>630</v>
          </cell>
          <cell r="AL25">
            <v>4149</v>
          </cell>
          <cell r="AM25">
            <v>1637</v>
          </cell>
          <cell r="AN25">
            <v>1631</v>
          </cell>
          <cell r="AO25">
            <v>750</v>
          </cell>
          <cell r="AP25">
            <v>740</v>
          </cell>
          <cell r="AQ25">
            <v>2387</v>
          </cell>
          <cell r="AR25">
            <v>838</v>
          </cell>
          <cell r="AS25">
            <v>828</v>
          </cell>
          <cell r="AT25">
            <v>3225</v>
          </cell>
          <cell r="AU25">
            <v>735</v>
          </cell>
          <cell r="AV25">
            <v>729</v>
          </cell>
          <cell r="AW25">
            <v>3960</v>
          </cell>
          <cell r="AX25">
            <v>3928</v>
          </cell>
          <cell r="AY25">
            <v>1771</v>
          </cell>
          <cell r="AZ25">
            <v>1519.127223587624</v>
          </cell>
          <cell r="BA25">
            <v>3290.1272235876249</v>
          </cell>
          <cell r="BB25">
            <v>1123.222601574967</v>
          </cell>
          <cell r="BC25">
            <v>4413.3498251625924</v>
          </cell>
          <cell r="BD25">
            <v>1390.1339912591711</v>
          </cell>
          <cell r="BE25">
            <v>5747.7936164217608</v>
          </cell>
          <cell r="BF25">
            <v>7033.5404178260505</v>
          </cell>
          <cell r="BG25">
            <v>7564.5147365065204</v>
          </cell>
          <cell r="BH25">
            <v>7840.6819881239498</v>
          </cell>
          <cell r="BI25">
            <v>8328.6560881829246</v>
          </cell>
          <cell r="BJ25">
            <v>8370.9997478753758</v>
          </cell>
          <cell r="BK25">
            <v>8998.6693925551754</v>
          </cell>
          <cell r="BL25">
            <v>9982.7839380969563</v>
          </cell>
          <cell r="BM25">
            <v>9245.6150580907579</v>
          </cell>
          <cell r="BN25">
            <v>9056.4546070293691</v>
          </cell>
          <cell r="BO25">
            <v>9037.4044527970054</v>
          </cell>
        </row>
        <row r="26">
          <cell r="A26" t="str">
            <v>Operating income Margin</v>
          </cell>
          <cell r="B26">
            <v>0.12632407954321717</v>
          </cell>
          <cell r="C26">
            <v>0.11331311088641725</v>
          </cell>
          <cell r="D26">
            <v>0.14097180563887224</v>
          </cell>
          <cell r="E26">
            <v>0.12585319123458269</v>
          </cell>
          <cell r="F26">
            <v>6.1465567599143248E-2</v>
          </cell>
          <cell r="G26">
            <v>9.4541290240488615E-2</v>
          </cell>
          <cell r="H26">
            <v>4.5267489711934158E-2</v>
          </cell>
          <cell r="I26">
            <v>0.2548569241075701</v>
          </cell>
          <cell r="J26">
            <v>0.11153473735173082</v>
          </cell>
          <cell r="K26">
            <v>0.1573336457357076</v>
          </cell>
          <cell r="L26">
            <v>0.12983198214075903</v>
          </cell>
          <cell r="M26">
            <v>0.14360297999648031</v>
          </cell>
          <cell r="N26">
            <v>8.605938600905888E-2</v>
          </cell>
          <cell r="O26">
            <v>0.12530506101220243</v>
          </cell>
          <cell r="P26">
            <v>5.2000504859270477E-2</v>
          </cell>
          <cell r="Q26">
            <v>0.107661461814205</v>
          </cell>
          <cell r="R26">
            <v>0.12324255858138063</v>
          </cell>
          <cell r="S26">
            <v>0.12748158321887876</v>
          </cell>
          <cell r="T26">
            <v>0.12537726358148893</v>
          </cell>
          <cell r="U26">
            <v>8.7391774891774895E-2</v>
          </cell>
          <cell r="V26">
            <v>0.11332417582417582</v>
          </cell>
          <cell r="W26">
            <v>4.649390243902439E-2</v>
          </cell>
          <cell r="X26">
            <v>9.6445071868583157E-2</v>
          </cell>
          <cell r="Y26">
            <v>0.13275613275613277</v>
          </cell>
          <cell r="Z26">
            <v>0.11014271707157643</v>
          </cell>
          <cell r="AA26">
            <v>0.12089168333809659</v>
          </cell>
          <cell r="AB26">
            <v>6.4794313017130872E-2</v>
          </cell>
          <cell r="AC26">
            <v>0.10243135450222426</v>
          </cell>
          <cell r="AD26">
            <v>6.5468264536173992E-3</v>
          </cell>
          <cell r="AE26">
            <v>7.7804377564979474E-2</v>
          </cell>
          <cell r="AF26">
            <v>0.12193308550185873</v>
          </cell>
          <cell r="AG26">
            <v>0.1375918720276697</v>
          </cell>
          <cell r="AH26">
            <v>0.12974073280479967</v>
          </cell>
          <cell r="AI26">
            <v>0.12675893886966552</v>
          </cell>
          <cell r="AJ26">
            <v>0.12879508376618626</v>
          </cell>
          <cell r="AK26">
            <v>6.8537859007832894E-2</v>
          </cell>
          <cell r="AL26">
            <v>0.11358409986859395</v>
          </cell>
          <cell r="AM26">
            <v>0.16278838504375498</v>
          </cell>
          <cell r="AN26">
            <v>0.16222399045156158</v>
          </cell>
          <cell r="AO26">
            <v>7.3695588090792963E-2</v>
          </cell>
          <cell r="AP26">
            <v>7.2791658469407827E-2</v>
          </cell>
          <cell r="AW26">
            <v>9.9597585513078471E-2</v>
          </cell>
          <cell r="AY26">
            <v>0.17251120202610559</v>
          </cell>
          <cell r="AZ26">
            <v>0.14615569892317212</v>
          </cell>
          <cell r="BA26">
            <v>0.15936702348324761</v>
          </cell>
          <cell r="BB26">
            <v>0.11351639001326669</v>
          </cell>
          <cell r="BC26">
            <v>0.14451154038391245</v>
          </cell>
          <cell r="BD26">
            <v>0.13046364954377951</v>
          </cell>
          <cell r="BE26">
            <v>0.13952611387454494</v>
          </cell>
          <cell r="BF26">
            <v>0.15497253443190334</v>
          </cell>
          <cell r="BG26">
            <v>0.15875508127379989</v>
          </cell>
          <cell r="BH26">
            <v>0.15704723364484885</v>
          </cell>
          <cell r="BI26">
            <v>0.15853128864370519</v>
          </cell>
          <cell r="BJ26">
            <v>0.15471221205764249</v>
          </cell>
          <cell r="BK26">
            <v>0.16025687063760941</v>
          </cell>
          <cell r="BL26">
            <v>0.17038878637406152</v>
          </cell>
          <cell r="BM26">
            <v>0.15693926902850053</v>
          </cell>
          <cell r="BN26">
            <v>0.15125724530510462</v>
          </cell>
          <cell r="BO26">
            <v>0.14777598770870942</v>
          </cell>
        </row>
        <row r="28">
          <cell r="A28" t="str">
            <v>Equity method loss</v>
          </cell>
          <cell r="B28">
            <v>-10</v>
          </cell>
          <cell r="C28">
            <v>-25</v>
          </cell>
          <cell r="D28">
            <v>-14</v>
          </cell>
          <cell r="E28">
            <v>-13</v>
          </cell>
          <cell r="F28">
            <v>-27</v>
          </cell>
          <cell r="G28">
            <v>-9</v>
          </cell>
          <cell r="H28">
            <v>-36</v>
          </cell>
          <cell r="I28">
            <v>-9</v>
          </cell>
          <cell r="J28">
            <v>-45</v>
          </cell>
          <cell r="K28">
            <v>-10</v>
          </cell>
          <cell r="L28">
            <v>-13</v>
          </cell>
          <cell r="M28">
            <v>-23</v>
          </cell>
          <cell r="N28">
            <v>-11</v>
          </cell>
          <cell r="O28">
            <v>-34</v>
          </cell>
          <cell r="P28">
            <v>-28</v>
          </cell>
          <cell r="Q28">
            <v>-62</v>
          </cell>
          <cell r="R28">
            <v>-13</v>
          </cell>
          <cell r="S28">
            <v>-13</v>
          </cell>
          <cell r="T28">
            <v>-26</v>
          </cell>
          <cell r="U28">
            <v>-10</v>
          </cell>
          <cell r="V28">
            <v>-36</v>
          </cell>
          <cell r="W28">
            <v>-12</v>
          </cell>
          <cell r="X28">
            <v>-48</v>
          </cell>
          <cell r="Y28">
            <v>-20</v>
          </cell>
          <cell r="Z28">
            <v>-12</v>
          </cell>
          <cell r="AA28">
            <v>-32</v>
          </cell>
          <cell r="AB28">
            <v>-13</v>
          </cell>
          <cell r="AC28">
            <v>-45</v>
          </cell>
          <cell r="AD28">
            <v>-11</v>
          </cell>
          <cell r="AE28">
            <v>-56</v>
          </cell>
          <cell r="AF28">
            <v>-11</v>
          </cell>
          <cell r="AG28">
            <v>-10</v>
          </cell>
          <cell r="AH28">
            <v>-21</v>
          </cell>
          <cell r="AI28">
            <v>-12</v>
          </cell>
          <cell r="AJ28">
            <v>-33</v>
          </cell>
          <cell r="AK28">
            <v>-12</v>
          </cell>
          <cell r="AL28">
            <v>-45</v>
          </cell>
          <cell r="AM28">
            <v>-12</v>
          </cell>
          <cell r="AN28">
            <v>-6</v>
          </cell>
          <cell r="AO28">
            <v>-12</v>
          </cell>
          <cell r="AP28">
            <v>-5</v>
          </cell>
          <cell r="AQ28">
            <v>-24</v>
          </cell>
          <cell r="AR28">
            <v>-12</v>
          </cell>
          <cell r="AS28">
            <v>-4</v>
          </cell>
          <cell r="AT28">
            <v>-36</v>
          </cell>
          <cell r="AU28">
            <v>-10</v>
          </cell>
          <cell r="AV28">
            <v>-3</v>
          </cell>
          <cell r="AW28">
            <v>-46</v>
          </cell>
          <cell r="AX28">
            <v>-18</v>
          </cell>
          <cell r="AY28">
            <v>-6</v>
          </cell>
          <cell r="AZ28">
            <v>-10.924999999999999</v>
          </cell>
          <cell r="BA28">
            <v>-16.924999999999997</v>
          </cell>
          <cell r="BB28">
            <v>-10.924999999999999</v>
          </cell>
          <cell r="BC28">
            <v>-27.849999999999994</v>
          </cell>
          <cell r="BD28">
            <v>-15.850000000000001</v>
          </cell>
          <cell r="BE28">
            <v>-43.699999999999996</v>
          </cell>
          <cell r="BF28">
            <v>-41.514999999999993</v>
          </cell>
          <cell r="BG28">
            <v>-39.439249999999994</v>
          </cell>
          <cell r="BH28">
            <v>0</v>
          </cell>
          <cell r="BI28">
            <v>0</v>
          </cell>
          <cell r="BJ28">
            <v>0</v>
          </cell>
          <cell r="BK28">
            <v>0</v>
          </cell>
          <cell r="BL28">
            <v>0</v>
          </cell>
          <cell r="BM28">
            <v>0</v>
          </cell>
          <cell r="BN28">
            <v>0</v>
          </cell>
          <cell r="BO28">
            <v>0</v>
          </cell>
          <cell r="BQ28" t="str">
            <v>mstag:incomeLossFromInvestmentsAccountedForUnderTheEquityMethodNonOperatingIncomeStatement</v>
          </cell>
          <cell r="BR28">
            <v>6</v>
          </cell>
          <cell r="BS28" t="str">
            <v>ISO4217:EUR</v>
          </cell>
          <cell r="BT28" t="b">
            <v>0</v>
          </cell>
        </row>
        <row r="29">
          <cell r="A29" t="str">
            <v>Dividends from affiliates</v>
          </cell>
          <cell r="B29">
            <v>10</v>
          </cell>
          <cell r="C29">
            <v>5</v>
          </cell>
          <cell r="J29">
            <v>0</v>
          </cell>
          <cell r="Q29">
            <v>0</v>
          </cell>
          <cell r="W29">
            <v>5</v>
          </cell>
          <cell r="X29">
            <v>5</v>
          </cell>
          <cell r="Y29">
            <v>0</v>
          </cell>
          <cell r="Z29">
            <v>0</v>
          </cell>
          <cell r="AA29">
            <v>0</v>
          </cell>
          <cell r="AB29">
            <v>0</v>
          </cell>
          <cell r="AC29">
            <v>0</v>
          </cell>
          <cell r="AD29">
            <v>0</v>
          </cell>
          <cell r="AE29">
            <v>6</v>
          </cell>
          <cell r="AF29">
            <v>0</v>
          </cell>
          <cell r="AG29">
            <v>0</v>
          </cell>
          <cell r="AH29">
            <v>0</v>
          </cell>
          <cell r="AI29">
            <v>0</v>
          </cell>
          <cell r="AJ29">
            <v>0</v>
          </cell>
          <cell r="AK29">
            <v>0</v>
          </cell>
          <cell r="AL29">
            <v>0</v>
          </cell>
          <cell r="AM29">
            <v>0</v>
          </cell>
          <cell r="AN29">
            <v>0</v>
          </cell>
          <cell r="AO29">
            <v>0</v>
          </cell>
          <cell r="AQ29">
            <v>0</v>
          </cell>
          <cell r="AR29">
            <v>0</v>
          </cell>
          <cell r="AT29">
            <v>0</v>
          </cell>
          <cell r="AU29">
            <v>0</v>
          </cell>
          <cell r="AW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row>
        <row r="30">
          <cell r="A30" t="str">
            <v>Gains from sale of affiliates</v>
          </cell>
          <cell r="B30">
            <v>5</v>
          </cell>
          <cell r="C30">
            <v>259</v>
          </cell>
          <cell r="J30">
            <v>3</v>
          </cell>
          <cell r="Q30">
            <v>12</v>
          </cell>
          <cell r="R30">
            <v>283</v>
          </cell>
          <cell r="S30">
            <v>195</v>
          </cell>
          <cell r="U30">
            <v>158</v>
          </cell>
          <cell r="W30">
            <v>10</v>
          </cell>
          <cell r="X30">
            <v>10</v>
          </cell>
          <cell r="Y30">
            <v>0</v>
          </cell>
          <cell r="Z30">
            <v>0</v>
          </cell>
          <cell r="AA30">
            <v>0</v>
          </cell>
          <cell r="AB30">
            <v>0</v>
          </cell>
          <cell r="AC30">
            <v>0</v>
          </cell>
          <cell r="AD30">
            <v>0</v>
          </cell>
          <cell r="AE30">
            <v>4</v>
          </cell>
          <cell r="AF30">
            <v>0</v>
          </cell>
          <cell r="AG30">
            <v>0</v>
          </cell>
          <cell r="AH30">
            <v>0</v>
          </cell>
          <cell r="AI30">
            <v>0</v>
          </cell>
          <cell r="AJ30">
            <v>0</v>
          </cell>
          <cell r="AK30">
            <v>0</v>
          </cell>
          <cell r="AL30">
            <v>0</v>
          </cell>
          <cell r="AM30">
            <v>0</v>
          </cell>
          <cell r="AN30">
            <v>0</v>
          </cell>
          <cell r="AO30">
            <v>0</v>
          </cell>
          <cell r="AQ30">
            <v>0</v>
          </cell>
          <cell r="AR30">
            <v>0</v>
          </cell>
          <cell r="AT30">
            <v>0</v>
          </cell>
          <cell r="AU30">
            <v>0</v>
          </cell>
          <cell r="AW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row>
        <row r="31">
          <cell r="A31" t="str">
            <v>Interest income</v>
          </cell>
          <cell r="B31">
            <v>321</v>
          </cell>
          <cell r="C31">
            <v>394</v>
          </cell>
          <cell r="J31">
            <v>612</v>
          </cell>
          <cell r="Q31">
            <v>171</v>
          </cell>
          <cell r="R31">
            <v>50</v>
          </cell>
          <cell r="S31">
            <v>50</v>
          </cell>
          <cell r="T31">
            <v>100</v>
          </cell>
          <cell r="U31">
            <v>50</v>
          </cell>
          <cell r="V31">
            <v>150</v>
          </cell>
          <cell r="W31">
            <v>117</v>
          </cell>
          <cell r="X31">
            <v>267</v>
          </cell>
          <cell r="Y31">
            <v>58</v>
          </cell>
          <cell r="Z31">
            <v>58</v>
          </cell>
          <cell r="AA31">
            <v>116</v>
          </cell>
          <cell r="AB31">
            <v>58</v>
          </cell>
          <cell r="AC31">
            <v>174</v>
          </cell>
          <cell r="AD31">
            <v>45</v>
          </cell>
          <cell r="AE31">
            <v>219</v>
          </cell>
          <cell r="AF31">
            <v>97</v>
          </cell>
          <cell r="AG31">
            <v>97</v>
          </cell>
          <cell r="AH31">
            <v>194</v>
          </cell>
          <cell r="AI31">
            <v>97</v>
          </cell>
          <cell r="AJ31">
            <v>291</v>
          </cell>
          <cell r="AK31">
            <v>97</v>
          </cell>
          <cell r="AL31">
            <v>388</v>
          </cell>
          <cell r="AM31">
            <v>79.25</v>
          </cell>
          <cell r="AN31">
            <v>79.25</v>
          </cell>
          <cell r="AO31">
            <v>79.25</v>
          </cell>
          <cell r="AQ31">
            <v>158.5</v>
          </cell>
          <cell r="AR31">
            <v>79.25</v>
          </cell>
          <cell r="AT31">
            <v>237.75</v>
          </cell>
          <cell r="AU31">
            <v>79.25</v>
          </cell>
          <cell r="AW31">
            <v>317</v>
          </cell>
          <cell r="AY31">
            <v>39.757361917087742</v>
          </cell>
          <cell r="AZ31">
            <v>39.757361917087742</v>
          </cell>
          <cell r="BA31">
            <v>79.514723834175484</v>
          </cell>
          <cell r="BB31">
            <v>39.757361917087742</v>
          </cell>
          <cell r="BC31">
            <v>119.27208575126323</v>
          </cell>
          <cell r="BD31">
            <v>39.757361917087735</v>
          </cell>
          <cell r="BE31">
            <v>159.02944766835097</v>
          </cell>
          <cell r="BF31">
            <v>197.35521638245254</v>
          </cell>
          <cell r="BG31">
            <v>226.46059836565769</v>
          </cell>
          <cell r="BH31">
            <v>374.63296490624157</v>
          </cell>
          <cell r="BI31">
            <v>599.98701287541508</v>
          </cell>
          <cell r="BJ31">
            <v>707.08875596962753</v>
          </cell>
          <cell r="BK31">
            <v>826.65502187714969</v>
          </cell>
          <cell r="BL31">
            <v>952.04201906459548</v>
          </cell>
          <cell r="BM31">
            <v>1085.0753381838333</v>
          </cell>
          <cell r="BN31">
            <v>1085.0753381838333</v>
          </cell>
          <cell r="BO31">
            <v>1085.0753381838333</v>
          </cell>
        </row>
        <row r="32">
          <cell r="A32" t="str">
            <v xml:space="preserve">Interest income from derivs </v>
          </cell>
          <cell r="B32">
            <v>250</v>
          </cell>
          <cell r="C32">
            <v>259</v>
          </cell>
          <cell r="J32">
            <v>114</v>
          </cell>
          <cell r="Q32">
            <v>370</v>
          </cell>
          <cell r="R32">
            <v>90</v>
          </cell>
          <cell r="S32">
            <v>90</v>
          </cell>
          <cell r="T32">
            <v>180</v>
          </cell>
          <cell r="U32">
            <v>60</v>
          </cell>
          <cell r="V32">
            <v>240</v>
          </cell>
          <cell r="W32">
            <v>250</v>
          </cell>
          <cell r="X32">
            <v>490</v>
          </cell>
          <cell r="Y32">
            <v>93</v>
          </cell>
          <cell r="Z32">
            <v>93</v>
          </cell>
          <cell r="AA32">
            <v>186</v>
          </cell>
          <cell r="AB32">
            <v>93</v>
          </cell>
          <cell r="AC32">
            <v>279</v>
          </cell>
          <cell r="AD32">
            <v>-127</v>
          </cell>
          <cell r="AE32">
            <v>152</v>
          </cell>
          <cell r="AF32">
            <v>-53.75</v>
          </cell>
          <cell r="AG32">
            <v>82.25</v>
          </cell>
          <cell r="AH32">
            <v>28.5</v>
          </cell>
          <cell r="AI32">
            <v>50.25</v>
          </cell>
          <cell r="AJ32">
            <v>78.75</v>
          </cell>
          <cell r="AK32">
            <v>96.25</v>
          </cell>
          <cell r="AL32">
            <v>175</v>
          </cell>
          <cell r="AM32">
            <v>31.75</v>
          </cell>
          <cell r="AN32">
            <v>31.75</v>
          </cell>
          <cell r="AO32">
            <v>47.416666666666664</v>
          </cell>
          <cell r="AQ32">
            <v>79.166666666666657</v>
          </cell>
          <cell r="AR32">
            <v>47.416666666666671</v>
          </cell>
          <cell r="AT32">
            <v>126.58333333333333</v>
          </cell>
          <cell r="AU32">
            <v>47.416666666666671</v>
          </cell>
          <cell r="AW32">
            <v>174</v>
          </cell>
          <cell r="AY32">
            <v>29.242638082912258</v>
          </cell>
          <cell r="AZ32">
            <v>43.5</v>
          </cell>
          <cell r="BA32">
            <v>72.742638082912265</v>
          </cell>
          <cell r="BB32">
            <v>43.5</v>
          </cell>
          <cell r="BC32">
            <v>116.24263808291226</v>
          </cell>
          <cell r="BD32">
            <v>57.757361917087735</v>
          </cell>
          <cell r="BE32">
            <v>174</v>
          </cell>
          <cell r="BF32">
            <v>174</v>
          </cell>
          <cell r="BG32">
            <v>174</v>
          </cell>
          <cell r="BH32">
            <v>174</v>
          </cell>
          <cell r="BI32">
            <v>174</v>
          </cell>
          <cell r="BJ32">
            <v>174</v>
          </cell>
          <cell r="BK32">
            <v>174</v>
          </cell>
          <cell r="BL32">
            <v>174</v>
          </cell>
          <cell r="BM32">
            <v>174</v>
          </cell>
          <cell r="BN32">
            <v>174</v>
          </cell>
          <cell r="BO32">
            <v>174</v>
          </cell>
        </row>
        <row r="33">
          <cell r="A33" t="str">
            <v>Exchange gain</v>
          </cell>
          <cell r="B33">
            <v>0</v>
          </cell>
          <cell r="C33">
            <v>0</v>
          </cell>
          <cell r="J33">
            <v>88</v>
          </cell>
          <cell r="Q33">
            <v>0</v>
          </cell>
          <cell r="R33">
            <v>120</v>
          </cell>
          <cell r="S33">
            <v>50</v>
          </cell>
          <cell r="T33">
            <v>170</v>
          </cell>
          <cell r="U33">
            <v>40</v>
          </cell>
          <cell r="V33">
            <v>210</v>
          </cell>
          <cell r="W33">
            <v>-210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Q33">
            <v>0</v>
          </cell>
          <cell r="AR33">
            <v>0</v>
          </cell>
          <cell r="AT33">
            <v>0</v>
          </cell>
          <cell r="AU33">
            <v>0</v>
          </cell>
          <cell r="AW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row>
        <row r="34">
          <cell r="A34" t="str">
            <v>Miscellaneous</v>
          </cell>
          <cell r="B34">
            <v>46</v>
          </cell>
          <cell r="C34">
            <v>14</v>
          </cell>
          <cell r="J34">
            <v>17</v>
          </cell>
          <cell r="Q34">
            <v>36</v>
          </cell>
          <cell r="R34">
            <v>23</v>
          </cell>
          <cell r="S34">
            <v>5</v>
          </cell>
          <cell r="T34">
            <v>28</v>
          </cell>
          <cell r="U34">
            <v>8</v>
          </cell>
          <cell r="V34">
            <v>36</v>
          </cell>
          <cell r="W34">
            <v>-21</v>
          </cell>
          <cell r="X34">
            <v>15</v>
          </cell>
          <cell r="Y34">
            <v>4</v>
          </cell>
          <cell r="Z34">
            <v>9</v>
          </cell>
          <cell r="AA34">
            <v>13</v>
          </cell>
          <cell r="AB34">
            <v>-75</v>
          </cell>
          <cell r="AC34">
            <v>-62</v>
          </cell>
          <cell r="AD34">
            <v>0</v>
          </cell>
          <cell r="AE34">
            <v>-62</v>
          </cell>
          <cell r="AF34">
            <v>5.75</v>
          </cell>
          <cell r="AG34">
            <v>5.75</v>
          </cell>
          <cell r="AH34">
            <v>11.5</v>
          </cell>
          <cell r="AI34">
            <v>5.75</v>
          </cell>
          <cell r="AJ34">
            <v>17.25</v>
          </cell>
          <cell r="AK34">
            <v>5.75</v>
          </cell>
          <cell r="AL34">
            <v>23</v>
          </cell>
          <cell r="AM34">
            <v>2.75</v>
          </cell>
          <cell r="AN34">
            <v>0</v>
          </cell>
          <cell r="AO34">
            <v>2.75</v>
          </cell>
          <cell r="AQ34">
            <v>5.5</v>
          </cell>
          <cell r="AR34">
            <v>2.75</v>
          </cell>
          <cell r="AT34">
            <v>8.25</v>
          </cell>
          <cell r="AU34">
            <v>2.75</v>
          </cell>
          <cell r="AW34">
            <v>11</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row>
        <row r="35">
          <cell r="A35" t="str">
            <v>Finance Income</v>
          </cell>
          <cell r="B35">
            <v>632</v>
          </cell>
          <cell r="C35">
            <v>931</v>
          </cell>
          <cell r="D35">
            <v>242</v>
          </cell>
          <cell r="E35">
            <v>190</v>
          </cell>
          <cell r="F35">
            <v>432</v>
          </cell>
          <cell r="G35">
            <v>113</v>
          </cell>
          <cell r="H35">
            <v>545</v>
          </cell>
          <cell r="I35">
            <v>289</v>
          </cell>
          <cell r="J35">
            <v>834</v>
          </cell>
          <cell r="K35">
            <v>135</v>
          </cell>
          <cell r="L35">
            <v>161</v>
          </cell>
          <cell r="M35">
            <v>296</v>
          </cell>
          <cell r="N35">
            <v>87</v>
          </cell>
          <cell r="O35">
            <v>383</v>
          </cell>
          <cell r="P35">
            <v>206</v>
          </cell>
          <cell r="Q35">
            <v>589</v>
          </cell>
          <cell r="R35">
            <v>283</v>
          </cell>
          <cell r="S35">
            <v>195</v>
          </cell>
          <cell r="T35">
            <v>478</v>
          </cell>
          <cell r="U35">
            <v>158</v>
          </cell>
          <cell r="V35">
            <v>636</v>
          </cell>
          <cell r="W35">
            <v>151</v>
          </cell>
          <cell r="X35">
            <v>787</v>
          </cell>
          <cell r="Y35">
            <v>155</v>
          </cell>
          <cell r="Z35">
            <v>160</v>
          </cell>
          <cell r="AA35">
            <v>315</v>
          </cell>
          <cell r="AB35">
            <v>76</v>
          </cell>
          <cell r="AC35">
            <v>391</v>
          </cell>
          <cell r="AD35">
            <v>-7</v>
          </cell>
          <cell r="AE35">
            <v>384</v>
          </cell>
          <cell r="AF35">
            <v>49</v>
          </cell>
          <cell r="AG35">
            <v>185</v>
          </cell>
          <cell r="AH35">
            <v>234</v>
          </cell>
          <cell r="AI35">
            <v>153</v>
          </cell>
          <cell r="AJ35">
            <v>387</v>
          </cell>
          <cell r="AK35">
            <v>199</v>
          </cell>
          <cell r="AL35">
            <v>586</v>
          </cell>
          <cell r="AM35">
            <v>111</v>
          </cell>
          <cell r="AN35">
            <v>111</v>
          </cell>
          <cell r="AO35">
            <v>133</v>
          </cell>
          <cell r="AP35">
            <v>133</v>
          </cell>
          <cell r="AQ35">
            <v>243.16666666666666</v>
          </cell>
          <cell r="AR35">
            <v>75</v>
          </cell>
          <cell r="AS35">
            <v>75</v>
          </cell>
          <cell r="AT35">
            <v>372.58333333333331</v>
          </cell>
          <cell r="AU35">
            <v>129.41666666666669</v>
          </cell>
          <cell r="AV35">
            <v>183</v>
          </cell>
          <cell r="AW35">
            <v>502</v>
          </cell>
          <cell r="AX35">
            <v>502</v>
          </cell>
          <cell r="AY35">
            <v>69</v>
          </cell>
          <cell r="AZ35">
            <v>83.257361917087735</v>
          </cell>
          <cell r="BA35">
            <v>152.25736191708774</v>
          </cell>
          <cell r="BB35">
            <v>83.257361917087735</v>
          </cell>
          <cell r="BC35">
            <v>235.5147238341755</v>
          </cell>
          <cell r="BD35">
            <v>97.51472383417547</v>
          </cell>
          <cell r="BE35">
            <v>333.02944766835094</v>
          </cell>
          <cell r="BF35">
            <v>371.35521638245257</v>
          </cell>
          <cell r="BG35">
            <v>400.46059836565769</v>
          </cell>
          <cell r="BH35">
            <v>548.63296490624157</v>
          </cell>
          <cell r="BI35">
            <v>773.98701287541508</v>
          </cell>
          <cell r="BJ35">
            <v>881.08875596962753</v>
          </cell>
          <cell r="BK35">
            <v>1000.6550218771497</v>
          </cell>
          <cell r="BL35">
            <v>1126.0420190645955</v>
          </cell>
          <cell r="BM35">
            <v>1259.0753381838333</v>
          </cell>
          <cell r="BN35">
            <v>1259.0753381838333</v>
          </cell>
          <cell r="BO35">
            <v>1259.0753381838333</v>
          </cell>
          <cell r="BQ35" t="str">
            <v>mstag:interestAndDividendIncome</v>
          </cell>
          <cell r="BR35">
            <v>6</v>
          </cell>
          <cell r="BS35" t="str">
            <v>ISO4217:EUR</v>
          </cell>
          <cell r="BT35" t="b">
            <v>0</v>
          </cell>
        </row>
        <row r="36">
          <cell r="A36" t="str">
            <v>Writedowns of affiliates</v>
          </cell>
          <cell r="B36">
            <v>-27</v>
          </cell>
          <cell r="C36">
            <v>-20</v>
          </cell>
          <cell r="J36">
            <v>-27</v>
          </cell>
          <cell r="Q36">
            <v>-13</v>
          </cell>
          <cell r="W36">
            <v>-15</v>
          </cell>
          <cell r="X36">
            <v>-15</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Q36">
            <v>0</v>
          </cell>
          <cell r="AR36">
            <v>0</v>
          </cell>
          <cell r="AT36">
            <v>0</v>
          </cell>
          <cell r="AU36">
            <v>0</v>
          </cell>
          <cell r="AW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row>
        <row r="37">
          <cell r="A37" t="str">
            <v>Loss from sale of affiliates</v>
          </cell>
          <cell r="B37">
            <v>0</v>
          </cell>
          <cell r="C37">
            <v>-12</v>
          </cell>
          <cell r="J37">
            <v>0</v>
          </cell>
          <cell r="Q37">
            <v>-7</v>
          </cell>
          <cell r="W37">
            <v>-11</v>
          </cell>
          <cell r="X37">
            <v>-11</v>
          </cell>
          <cell r="Y37">
            <v>0</v>
          </cell>
          <cell r="Z37">
            <v>0</v>
          </cell>
          <cell r="AA37">
            <v>0</v>
          </cell>
          <cell r="AB37">
            <v>0</v>
          </cell>
          <cell r="AC37">
            <v>0</v>
          </cell>
          <cell r="AD37">
            <v>-192.5</v>
          </cell>
          <cell r="AE37">
            <v>-192.5</v>
          </cell>
          <cell r="AF37">
            <v>0</v>
          </cell>
          <cell r="AG37">
            <v>0</v>
          </cell>
          <cell r="AH37">
            <v>0</v>
          </cell>
          <cell r="AI37">
            <v>0</v>
          </cell>
          <cell r="AJ37">
            <v>0</v>
          </cell>
          <cell r="AK37">
            <v>0</v>
          </cell>
          <cell r="AL37">
            <v>0</v>
          </cell>
          <cell r="AM37">
            <v>0</v>
          </cell>
          <cell r="AN37">
            <v>0</v>
          </cell>
          <cell r="AO37">
            <v>0</v>
          </cell>
          <cell r="AQ37">
            <v>0</v>
          </cell>
          <cell r="AR37">
            <v>0</v>
          </cell>
          <cell r="AT37">
            <v>0</v>
          </cell>
          <cell r="AU37">
            <v>0</v>
          </cell>
          <cell r="AW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row>
        <row r="38">
          <cell r="A38" t="str">
            <v>Interest expense</v>
          </cell>
          <cell r="B38">
            <v>-909</v>
          </cell>
          <cell r="C38">
            <v>-1075</v>
          </cell>
          <cell r="D38">
            <v>-156</v>
          </cell>
          <cell r="J38">
            <v>-1320</v>
          </cell>
          <cell r="K38">
            <v>-189</v>
          </cell>
          <cell r="Q38">
            <v>-948</v>
          </cell>
          <cell r="R38">
            <v>-230</v>
          </cell>
          <cell r="S38">
            <v>-230</v>
          </cell>
          <cell r="T38">
            <v>-460</v>
          </cell>
          <cell r="U38">
            <v>-230</v>
          </cell>
          <cell r="V38">
            <v>-690</v>
          </cell>
          <cell r="W38">
            <v>-125</v>
          </cell>
          <cell r="X38">
            <v>-815</v>
          </cell>
          <cell r="Y38">
            <v>-200</v>
          </cell>
          <cell r="Z38">
            <v>-175</v>
          </cell>
          <cell r="AA38">
            <v>-375</v>
          </cell>
          <cell r="AB38">
            <v>-172.5</v>
          </cell>
          <cell r="AC38">
            <v>-547.5</v>
          </cell>
          <cell r="AD38">
            <v>-142.5</v>
          </cell>
          <cell r="AE38">
            <v>-690</v>
          </cell>
          <cell r="AF38">
            <v>-181.5</v>
          </cell>
          <cell r="AG38">
            <v>-181.5</v>
          </cell>
          <cell r="AH38">
            <v>-363</v>
          </cell>
          <cell r="AI38">
            <v>-181.5</v>
          </cell>
          <cell r="AJ38">
            <v>-544.5</v>
          </cell>
          <cell r="AK38">
            <v>-181.5</v>
          </cell>
          <cell r="AL38">
            <v>-726</v>
          </cell>
          <cell r="AM38">
            <v>-146.75</v>
          </cell>
          <cell r="AN38">
            <v>-146.75</v>
          </cell>
          <cell r="AO38">
            <v>-146.75</v>
          </cell>
          <cell r="AQ38">
            <v>-293.5</v>
          </cell>
          <cell r="AR38">
            <v>-146.75</v>
          </cell>
          <cell r="AT38">
            <v>-440.25</v>
          </cell>
          <cell r="AU38">
            <v>-146.75</v>
          </cell>
          <cell r="AW38">
            <v>-587</v>
          </cell>
          <cell r="AY38">
            <v>-131.065</v>
          </cell>
          <cell r="AZ38">
            <v>-131.065</v>
          </cell>
          <cell r="BA38">
            <v>-262.13</v>
          </cell>
          <cell r="BB38">
            <v>-131.065</v>
          </cell>
          <cell r="BC38">
            <v>-393.19499999999999</v>
          </cell>
          <cell r="BD38">
            <v>-131.065</v>
          </cell>
          <cell r="BE38">
            <v>-524.26</v>
          </cell>
          <cell r="BF38">
            <v>-524.26</v>
          </cell>
          <cell r="BG38">
            <v>-524.26</v>
          </cell>
          <cell r="BH38">
            <v>-524.26</v>
          </cell>
          <cell r="BI38">
            <v>-524.26</v>
          </cell>
          <cell r="BJ38">
            <v>-524.26</v>
          </cell>
          <cell r="BK38">
            <v>-524.26</v>
          </cell>
          <cell r="BL38">
            <v>-524.26</v>
          </cell>
          <cell r="BM38">
            <v>-524.26</v>
          </cell>
          <cell r="BN38">
            <v>-524.26</v>
          </cell>
          <cell r="BO38">
            <v>-524.26</v>
          </cell>
        </row>
        <row r="39">
          <cell r="A39" t="str">
            <v>Interest expense (derivs)</v>
          </cell>
          <cell r="B39">
            <v>-200</v>
          </cell>
          <cell r="C39">
            <v>-306</v>
          </cell>
          <cell r="J39">
            <v>-107</v>
          </cell>
          <cell r="Q39">
            <v>-295</v>
          </cell>
          <cell r="R39">
            <v>-93</v>
          </cell>
          <cell r="S39">
            <v>-100</v>
          </cell>
          <cell r="T39">
            <v>-193</v>
          </cell>
          <cell r="U39">
            <v>-100</v>
          </cell>
          <cell r="V39">
            <v>-293</v>
          </cell>
          <cell r="W39">
            <v>-197</v>
          </cell>
          <cell r="X39">
            <v>-490</v>
          </cell>
          <cell r="Y39">
            <v>-69</v>
          </cell>
          <cell r="Z39">
            <v>-94</v>
          </cell>
          <cell r="AA39">
            <v>-163</v>
          </cell>
          <cell r="AB39">
            <v>-45</v>
          </cell>
          <cell r="AC39">
            <v>-208</v>
          </cell>
          <cell r="AD39">
            <v>28</v>
          </cell>
          <cell r="AE39">
            <v>-180</v>
          </cell>
          <cell r="AF39">
            <v>37.75</v>
          </cell>
          <cell r="AG39">
            <v>-57.25</v>
          </cell>
          <cell r="AH39">
            <v>-19.5</v>
          </cell>
          <cell r="AI39">
            <v>-76.25</v>
          </cell>
          <cell r="AJ39">
            <v>-95.75</v>
          </cell>
          <cell r="AK39">
            <v>-76.25</v>
          </cell>
          <cell r="AL39">
            <v>-172</v>
          </cell>
          <cell r="AM39">
            <v>-39</v>
          </cell>
          <cell r="AN39">
            <v>-39</v>
          </cell>
          <cell r="AO39">
            <v>-39</v>
          </cell>
          <cell r="AQ39">
            <v>-78</v>
          </cell>
          <cell r="AR39">
            <v>-39</v>
          </cell>
          <cell r="AT39">
            <v>-117</v>
          </cell>
          <cell r="AU39">
            <v>-39</v>
          </cell>
          <cell r="AW39">
            <v>-156</v>
          </cell>
          <cell r="AY39">
            <v>-43.5</v>
          </cell>
          <cell r="AZ39">
            <v>-43.5</v>
          </cell>
          <cell r="BA39">
            <v>-87</v>
          </cell>
          <cell r="BB39">
            <v>-43.5</v>
          </cell>
          <cell r="BC39">
            <v>-130.5</v>
          </cell>
          <cell r="BD39">
            <v>-43.5</v>
          </cell>
          <cell r="BE39">
            <v>-174</v>
          </cell>
          <cell r="BF39">
            <v>-174</v>
          </cell>
          <cell r="BG39">
            <v>-174</v>
          </cell>
          <cell r="BH39">
            <v>-174</v>
          </cell>
          <cell r="BI39">
            <v>-174</v>
          </cell>
          <cell r="BJ39">
            <v>-174</v>
          </cell>
          <cell r="BK39">
            <v>-174</v>
          </cell>
          <cell r="BL39">
            <v>-174</v>
          </cell>
          <cell r="BM39">
            <v>-174</v>
          </cell>
          <cell r="BN39">
            <v>-174</v>
          </cell>
          <cell r="BO39">
            <v>-174</v>
          </cell>
        </row>
        <row r="40">
          <cell r="A40" t="str">
            <v>Interest (provisions)</v>
          </cell>
          <cell r="B40">
            <v>-234</v>
          </cell>
          <cell r="C40">
            <v>-223</v>
          </cell>
          <cell r="J40">
            <v>-246</v>
          </cell>
          <cell r="Q40">
            <v>-300</v>
          </cell>
          <cell r="R40">
            <v>-53</v>
          </cell>
          <cell r="S40">
            <v>-60</v>
          </cell>
          <cell r="T40">
            <v>-113</v>
          </cell>
          <cell r="U40">
            <v>-80</v>
          </cell>
          <cell r="V40">
            <v>-193</v>
          </cell>
          <cell r="W40">
            <v>-243</v>
          </cell>
          <cell r="X40">
            <v>-436</v>
          </cell>
          <cell r="Y40">
            <v>-93</v>
          </cell>
          <cell r="Z40">
            <v>-100</v>
          </cell>
          <cell r="AA40">
            <v>-193</v>
          </cell>
          <cell r="AB40">
            <v>-93</v>
          </cell>
          <cell r="AC40">
            <v>-286</v>
          </cell>
          <cell r="AD40">
            <v>-86</v>
          </cell>
          <cell r="AE40">
            <v>-372</v>
          </cell>
          <cell r="AF40">
            <v>-84</v>
          </cell>
          <cell r="AG40">
            <v>-84</v>
          </cell>
          <cell r="AH40">
            <v>-168</v>
          </cell>
          <cell r="AI40">
            <v>-84</v>
          </cell>
          <cell r="AJ40">
            <v>-252</v>
          </cell>
          <cell r="AK40">
            <v>-84</v>
          </cell>
          <cell r="AL40">
            <v>-336</v>
          </cell>
          <cell r="AM40">
            <v>-85</v>
          </cell>
          <cell r="AN40">
            <v>-107.25</v>
          </cell>
          <cell r="AO40">
            <v>-78.333333333333329</v>
          </cell>
          <cell r="AQ40">
            <v>-163.33333333333331</v>
          </cell>
          <cell r="AR40">
            <v>-78.333333333333343</v>
          </cell>
          <cell r="AT40">
            <v>-241.66666666666666</v>
          </cell>
          <cell r="AU40">
            <v>-78.333333333333343</v>
          </cell>
          <cell r="AW40">
            <v>-320</v>
          </cell>
          <cell r="AY40">
            <v>-78.435000000000002</v>
          </cell>
          <cell r="AZ40">
            <v>-75.347999999999999</v>
          </cell>
          <cell r="BA40">
            <v>-153.78300000000002</v>
          </cell>
          <cell r="BB40">
            <v>-75.347999999999999</v>
          </cell>
          <cell r="BC40">
            <v>-229.13100000000003</v>
          </cell>
          <cell r="BD40">
            <v>-72.260999999999967</v>
          </cell>
          <cell r="BE40">
            <v>-301.392</v>
          </cell>
          <cell r="BF40">
            <v>-309.835668</v>
          </cell>
          <cell r="BG40">
            <v>-318.50810315399985</v>
          </cell>
          <cell r="BH40">
            <v>-327.41519666826883</v>
          </cell>
          <cell r="BI40">
            <v>-336.56297895535477</v>
          </cell>
          <cell r="BJ40">
            <v>-345.95762238741008</v>
          </cell>
          <cell r="BK40">
            <v>-355.6054440789303</v>
          </cell>
          <cell r="BL40">
            <v>-365.51290869782105</v>
          </cell>
          <cell r="BM40">
            <v>-375.68663130360466</v>
          </cell>
          <cell r="BN40">
            <v>-375.68663130360466</v>
          </cell>
          <cell r="BO40">
            <v>-375.68663130360466</v>
          </cell>
        </row>
        <row r="41">
          <cell r="A41" t="str">
            <v>Exchange loss</v>
          </cell>
          <cell r="B41">
            <v>-18</v>
          </cell>
          <cell r="C41">
            <v>-18</v>
          </cell>
          <cell r="J41">
            <v>0</v>
          </cell>
          <cell r="Q41">
            <v>-79</v>
          </cell>
          <cell r="R41">
            <v>-145</v>
          </cell>
          <cell r="T41">
            <v>-145</v>
          </cell>
          <cell r="V41">
            <v>-145</v>
          </cell>
          <cell r="W41">
            <v>53</v>
          </cell>
          <cell r="X41">
            <v>-92</v>
          </cell>
          <cell r="Y41">
            <v>-17.5</v>
          </cell>
          <cell r="Z41">
            <v>-40</v>
          </cell>
          <cell r="AA41">
            <v>-57.5</v>
          </cell>
          <cell r="AB41">
            <v>-20</v>
          </cell>
          <cell r="AC41">
            <v>-77.5</v>
          </cell>
          <cell r="AD41">
            <v>7.5</v>
          </cell>
          <cell r="AE41">
            <v>-70</v>
          </cell>
          <cell r="AF41">
            <v>-13.25</v>
          </cell>
          <cell r="AG41">
            <v>-13.25</v>
          </cell>
          <cell r="AH41">
            <v>-26.5</v>
          </cell>
          <cell r="AI41">
            <v>-13.25</v>
          </cell>
          <cell r="AJ41">
            <v>-39.75</v>
          </cell>
          <cell r="AK41">
            <v>-13.25</v>
          </cell>
          <cell r="AL41">
            <v>-53</v>
          </cell>
          <cell r="AM41">
            <v>-17.25</v>
          </cell>
          <cell r="AN41">
            <v>0</v>
          </cell>
          <cell r="AO41">
            <v>-17.25</v>
          </cell>
          <cell r="AQ41">
            <v>-34.5</v>
          </cell>
          <cell r="AR41">
            <v>-17.25</v>
          </cell>
          <cell r="AT41">
            <v>-51.75</v>
          </cell>
          <cell r="AU41">
            <v>-17.25</v>
          </cell>
          <cell r="AW41">
            <v>-69</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row>
        <row r="42">
          <cell r="A42" t="str">
            <v>Miscellaneous</v>
          </cell>
          <cell r="B42">
            <v>-36</v>
          </cell>
          <cell r="C42">
            <v>-34</v>
          </cell>
          <cell r="J42">
            <v>-9</v>
          </cell>
          <cell r="Q42">
            <v>-73</v>
          </cell>
          <cell r="R42">
            <v>-83</v>
          </cell>
          <cell r="S42">
            <v>-84</v>
          </cell>
          <cell r="T42">
            <v>-167</v>
          </cell>
          <cell r="V42">
            <v>-167</v>
          </cell>
          <cell r="W42">
            <v>151</v>
          </cell>
          <cell r="X42">
            <v>-16</v>
          </cell>
          <cell r="Y42">
            <v>0.5</v>
          </cell>
          <cell r="Z42">
            <v>0.5</v>
          </cell>
          <cell r="AA42">
            <v>1</v>
          </cell>
          <cell r="AB42">
            <v>0.5</v>
          </cell>
          <cell r="AC42">
            <v>1.5</v>
          </cell>
          <cell r="AD42">
            <v>0.5</v>
          </cell>
          <cell r="AE42">
            <v>2</v>
          </cell>
          <cell r="AF42">
            <v>-10</v>
          </cell>
          <cell r="AG42">
            <v>-10</v>
          </cell>
          <cell r="AH42">
            <v>-20</v>
          </cell>
          <cell r="AI42">
            <v>-10</v>
          </cell>
          <cell r="AJ42">
            <v>-30</v>
          </cell>
          <cell r="AK42">
            <v>-10</v>
          </cell>
          <cell r="AL42">
            <v>-40</v>
          </cell>
          <cell r="AM42">
            <v>-9</v>
          </cell>
          <cell r="AN42">
            <v>0</v>
          </cell>
          <cell r="AO42">
            <v>-9</v>
          </cell>
          <cell r="AQ42">
            <v>-18</v>
          </cell>
          <cell r="AR42">
            <v>-9</v>
          </cell>
          <cell r="AT42">
            <v>-27</v>
          </cell>
          <cell r="AU42">
            <v>-9</v>
          </cell>
          <cell r="AW42">
            <v>-36</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row>
        <row r="43">
          <cell r="A43" t="str">
            <v>Finance Expense</v>
          </cell>
          <cell r="B43">
            <v>-1224</v>
          </cell>
          <cell r="C43">
            <v>-1688</v>
          </cell>
          <cell r="D43">
            <v>-446</v>
          </cell>
          <cell r="E43">
            <v>-434</v>
          </cell>
          <cell r="F43">
            <v>-880</v>
          </cell>
          <cell r="G43">
            <v>-370</v>
          </cell>
          <cell r="H43">
            <v>-1250</v>
          </cell>
          <cell r="I43">
            <v>-459</v>
          </cell>
          <cell r="J43">
            <v>-1709</v>
          </cell>
          <cell r="K43">
            <v>-400</v>
          </cell>
          <cell r="L43">
            <v>-410</v>
          </cell>
          <cell r="M43">
            <v>-810</v>
          </cell>
          <cell r="N43">
            <v>-352</v>
          </cell>
          <cell r="O43">
            <v>-1162</v>
          </cell>
          <cell r="P43">
            <v>-553</v>
          </cell>
          <cell r="Q43">
            <v>-1715</v>
          </cell>
          <cell r="R43">
            <v>-604</v>
          </cell>
          <cell r="S43">
            <v>-474</v>
          </cell>
          <cell r="T43">
            <v>-1078</v>
          </cell>
          <cell r="U43">
            <v>-410</v>
          </cell>
          <cell r="V43">
            <v>-1488</v>
          </cell>
          <cell r="W43">
            <v>-387</v>
          </cell>
          <cell r="X43">
            <v>-1875</v>
          </cell>
          <cell r="Y43">
            <v>-379</v>
          </cell>
          <cell r="Z43">
            <v>-409</v>
          </cell>
          <cell r="AA43">
            <v>-788</v>
          </cell>
          <cell r="AB43">
            <v>-330</v>
          </cell>
          <cell r="AC43">
            <v>-1118</v>
          </cell>
          <cell r="AD43">
            <v>-219</v>
          </cell>
          <cell r="AE43">
            <v>-1337</v>
          </cell>
          <cell r="AF43">
            <v>-251</v>
          </cell>
          <cell r="AG43">
            <v>-346</v>
          </cell>
          <cell r="AH43">
            <v>-597</v>
          </cell>
          <cell r="AI43">
            <v>-365</v>
          </cell>
          <cell r="AJ43">
            <v>-962</v>
          </cell>
          <cell r="AK43">
            <v>-365</v>
          </cell>
          <cell r="AL43">
            <v>-1327</v>
          </cell>
          <cell r="AM43">
            <v>-297</v>
          </cell>
          <cell r="AN43">
            <v>-293</v>
          </cell>
          <cell r="AO43">
            <v>-323</v>
          </cell>
          <cell r="AP43">
            <v>-340</v>
          </cell>
          <cell r="AQ43">
            <v>-587.33333333333326</v>
          </cell>
          <cell r="AR43">
            <v>-235</v>
          </cell>
          <cell r="AS43">
            <v>-253</v>
          </cell>
          <cell r="AT43">
            <v>-877.66666666666663</v>
          </cell>
          <cell r="AU43">
            <v>-290.33333333333337</v>
          </cell>
          <cell r="AV43">
            <v>-350</v>
          </cell>
          <cell r="AW43">
            <v>-1168</v>
          </cell>
          <cell r="AX43">
            <v>-1236</v>
          </cell>
          <cell r="AY43">
            <v>-253</v>
          </cell>
          <cell r="AZ43">
            <v>-249.91300000000001</v>
          </cell>
          <cell r="BA43">
            <v>-502.91300000000001</v>
          </cell>
          <cell r="BB43">
            <v>-249.91300000000001</v>
          </cell>
          <cell r="BC43">
            <v>-752.82600000000002</v>
          </cell>
          <cell r="BD43">
            <v>-246.82600000000002</v>
          </cell>
          <cell r="BE43">
            <v>-999.65200000000004</v>
          </cell>
          <cell r="BF43">
            <v>-1008.0956679999999</v>
          </cell>
          <cell r="BG43">
            <v>-1016.7681031539998</v>
          </cell>
          <cell r="BH43">
            <v>-1025.6751966682689</v>
          </cell>
          <cell r="BI43">
            <v>-1034.8229789553548</v>
          </cell>
          <cell r="BJ43">
            <v>-1044.2176223874101</v>
          </cell>
          <cell r="BK43">
            <v>-1053.8654440789303</v>
          </cell>
          <cell r="BL43">
            <v>-1063.7729086978211</v>
          </cell>
          <cell r="BM43">
            <v>-1073.9466313036046</v>
          </cell>
          <cell r="BN43">
            <v>-1073.9466313036046</v>
          </cell>
          <cell r="BO43">
            <v>-1073.9466313036046</v>
          </cell>
          <cell r="BQ43" t="str">
            <v>mstag:interestExpense</v>
          </cell>
          <cell r="BR43">
            <v>6</v>
          </cell>
          <cell r="BS43" t="str">
            <v>ISO4217:EUR</v>
          </cell>
          <cell r="BT43" t="b">
            <v>1</v>
          </cell>
        </row>
        <row r="44">
          <cell r="A44" t="str">
            <v>Financial result</v>
          </cell>
          <cell r="AF44">
            <v>-213</v>
          </cell>
          <cell r="AG44">
            <v>-171</v>
          </cell>
          <cell r="AH44">
            <v>-384</v>
          </cell>
          <cell r="AI44">
            <v>-224</v>
          </cell>
          <cell r="AJ44">
            <v>-608</v>
          </cell>
          <cell r="AK44">
            <v>-178</v>
          </cell>
          <cell r="AL44">
            <v>-786</v>
          </cell>
          <cell r="AM44">
            <v>-198</v>
          </cell>
          <cell r="AN44">
            <v>-188</v>
          </cell>
          <cell r="AO44">
            <v>-202</v>
          </cell>
          <cell r="AP44">
            <v>-212</v>
          </cell>
          <cell r="AQ44">
            <v>-368.16666666666663</v>
          </cell>
          <cell r="AR44">
            <v>-172</v>
          </cell>
          <cell r="AS44">
            <v>-182</v>
          </cell>
          <cell r="AT44">
            <v>-541.08333333333326</v>
          </cell>
          <cell r="AU44">
            <v>-170.91666666666669</v>
          </cell>
          <cell r="AW44">
            <v>-712</v>
          </cell>
          <cell r="AY44">
            <v>-190</v>
          </cell>
          <cell r="AZ44">
            <v>-177.58063808291229</v>
          </cell>
          <cell r="BA44">
            <v>-367.58063808291229</v>
          </cell>
          <cell r="BB44">
            <v>-177.58063808291229</v>
          </cell>
          <cell r="BC44">
            <v>-545.16127616582457</v>
          </cell>
          <cell r="BD44">
            <v>-165.16127616582457</v>
          </cell>
          <cell r="BE44">
            <v>-710.32255233164915</v>
          </cell>
          <cell r="BF44">
            <v>-678.25545161754735</v>
          </cell>
          <cell r="BG44">
            <v>-655.74675478834217</v>
          </cell>
          <cell r="BH44">
            <v>-477.04223176202731</v>
          </cell>
          <cell r="BI44">
            <v>-260.83596607993968</v>
          </cell>
          <cell r="BJ44">
            <v>-163.12886641778255</v>
          </cell>
          <cell r="BK44">
            <v>-53.210422201780602</v>
          </cell>
          <cell r="BL44">
            <v>62.269110366774385</v>
          </cell>
          <cell r="BM44">
            <v>185.12870688022872</v>
          </cell>
          <cell r="BN44">
            <v>185.12870688022872</v>
          </cell>
          <cell r="BO44">
            <v>185.12870688022872</v>
          </cell>
        </row>
        <row r="45">
          <cell r="A45" t="str">
            <v>Profit before tax</v>
          </cell>
          <cell r="B45">
            <v>2606</v>
          </cell>
          <cell r="C45">
            <v>2580</v>
          </cell>
          <cell r="D45">
            <v>957</v>
          </cell>
          <cell r="E45">
            <v>794</v>
          </cell>
          <cell r="F45">
            <v>472</v>
          </cell>
          <cell r="G45">
            <v>477</v>
          </cell>
          <cell r="H45">
            <v>282</v>
          </cell>
          <cell r="I45">
            <v>2484</v>
          </cell>
          <cell r="J45">
            <v>2766</v>
          </cell>
          <cell r="K45">
            <v>1068</v>
          </cell>
          <cell r="L45">
            <v>843</v>
          </cell>
          <cell r="M45">
            <v>1911</v>
          </cell>
          <cell r="N45">
            <v>408</v>
          </cell>
          <cell r="O45">
            <v>2319</v>
          </cell>
          <cell r="P45">
            <v>37</v>
          </cell>
          <cell r="Q45">
            <v>2356</v>
          </cell>
          <cell r="R45">
            <v>639</v>
          </cell>
          <cell r="S45">
            <v>729</v>
          </cell>
          <cell r="T45">
            <v>1368</v>
          </cell>
          <cell r="U45">
            <v>384</v>
          </cell>
          <cell r="V45">
            <v>1752</v>
          </cell>
          <cell r="W45">
            <v>118</v>
          </cell>
          <cell r="X45">
            <v>1870</v>
          </cell>
          <cell r="Y45">
            <v>860</v>
          </cell>
          <cell r="Z45">
            <v>750</v>
          </cell>
          <cell r="AA45">
            <v>1610</v>
          </cell>
          <cell r="AB45">
            <v>289</v>
          </cell>
          <cell r="AC45">
            <v>1899</v>
          </cell>
          <cell r="AD45">
            <v>-178</v>
          </cell>
          <cell r="AE45">
            <v>1721</v>
          </cell>
          <cell r="AF45">
            <v>935</v>
          </cell>
          <cell r="AG45">
            <v>1102</v>
          </cell>
          <cell r="AH45">
            <v>2038</v>
          </cell>
          <cell r="AI45">
            <v>875</v>
          </cell>
          <cell r="AJ45">
            <v>2913</v>
          </cell>
          <cell r="AK45">
            <v>452</v>
          </cell>
          <cell r="AL45">
            <v>3363</v>
          </cell>
          <cell r="AM45">
            <v>1439</v>
          </cell>
          <cell r="AN45">
            <v>1443</v>
          </cell>
          <cell r="AO45">
            <v>548</v>
          </cell>
          <cell r="AP45">
            <v>528</v>
          </cell>
          <cell r="AQ45">
            <v>2018.8333333333333</v>
          </cell>
          <cell r="AR45">
            <v>666</v>
          </cell>
          <cell r="AS45">
            <v>646</v>
          </cell>
          <cell r="AT45">
            <v>2683.916666666667</v>
          </cell>
          <cell r="AU45">
            <v>564.08333333333337</v>
          </cell>
          <cell r="AV45">
            <v>559</v>
          </cell>
          <cell r="AW45">
            <v>3248</v>
          </cell>
          <cell r="AX45">
            <v>3176</v>
          </cell>
          <cell r="AY45">
            <v>1581</v>
          </cell>
          <cell r="AZ45">
            <v>1341.5465855047119</v>
          </cell>
          <cell r="BA45">
            <v>2922.5465855047123</v>
          </cell>
          <cell r="BB45">
            <v>945.64196349205486</v>
          </cell>
          <cell r="BC45">
            <v>3868.1885489967676</v>
          </cell>
          <cell r="BD45">
            <v>1224.9727150933468</v>
          </cell>
          <cell r="BE45">
            <v>5037.4710640901121</v>
          </cell>
          <cell r="BF45">
            <v>6355.2849662085027</v>
          </cell>
          <cell r="BG45">
            <v>6908.7679817181779</v>
          </cell>
          <cell r="BH45">
            <v>7363.6397563619221</v>
          </cell>
          <cell r="BI45">
            <v>8067.8201221029849</v>
          </cell>
          <cell r="BJ45">
            <v>8207.870881457593</v>
          </cell>
          <cell r="BK45">
            <v>8945.4589703533948</v>
          </cell>
          <cell r="BL45">
            <v>10045.053048463731</v>
          </cell>
          <cell r="BM45">
            <v>9430.7437649709864</v>
          </cell>
          <cell r="BN45">
            <v>9241.5833139095976</v>
          </cell>
          <cell r="BO45">
            <v>9222.5331596772339</v>
          </cell>
        </row>
        <row r="47">
          <cell r="A47" t="str">
            <v>Income Tax Expense</v>
          </cell>
          <cell r="B47">
            <v>-538</v>
          </cell>
          <cell r="C47">
            <v>-454</v>
          </cell>
          <cell r="D47">
            <v>-301</v>
          </cell>
          <cell r="E47">
            <v>-247</v>
          </cell>
          <cell r="F47">
            <v>-548</v>
          </cell>
          <cell r="G47">
            <v>769</v>
          </cell>
          <cell r="H47">
            <v>221</v>
          </cell>
          <cell r="I47">
            <v>-149</v>
          </cell>
          <cell r="J47">
            <v>72</v>
          </cell>
          <cell r="K47">
            <v>-306</v>
          </cell>
          <cell r="L47">
            <v>-262</v>
          </cell>
          <cell r="M47">
            <v>-568</v>
          </cell>
          <cell r="N47">
            <v>-133</v>
          </cell>
          <cell r="O47">
            <v>-701</v>
          </cell>
          <cell r="P47">
            <v>65</v>
          </cell>
          <cell r="Q47">
            <v>-636</v>
          </cell>
          <cell r="R47">
            <v>-215</v>
          </cell>
          <cell r="S47">
            <v>-199</v>
          </cell>
          <cell r="T47">
            <v>-414</v>
          </cell>
          <cell r="U47">
            <v>-135</v>
          </cell>
          <cell r="V47">
            <v>-549</v>
          </cell>
          <cell r="W47">
            <v>38</v>
          </cell>
          <cell r="X47">
            <v>-511</v>
          </cell>
          <cell r="Y47">
            <v>-259</v>
          </cell>
          <cell r="Z47">
            <v>-220</v>
          </cell>
          <cell r="AA47">
            <v>-479</v>
          </cell>
          <cell r="AB47">
            <v>-4</v>
          </cell>
          <cell r="AC47">
            <v>-483</v>
          </cell>
          <cell r="AD47">
            <v>72</v>
          </cell>
          <cell r="AE47">
            <v>-411</v>
          </cell>
          <cell r="AF47">
            <v>-252</v>
          </cell>
          <cell r="AG47">
            <v>-356</v>
          </cell>
          <cell r="AH47">
            <v>-608</v>
          </cell>
          <cell r="AI47">
            <v>-229</v>
          </cell>
          <cell r="AJ47">
            <v>-837</v>
          </cell>
          <cell r="AK47">
            <v>-54</v>
          </cell>
          <cell r="AL47">
            <v>-891</v>
          </cell>
          <cell r="AM47">
            <v>-409</v>
          </cell>
          <cell r="AN47">
            <v>-402</v>
          </cell>
          <cell r="AO47">
            <v>-49</v>
          </cell>
          <cell r="AP47">
            <v>-41</v>
          </cell>
          <cell r="AQ47">
            <v>-458</v>
          </cell>
          <cell r="AR47">
            <v>-132</v>
          </cell>
          <cell r="AS47">
            <v>-125</v>
          </cell>
          <cell r="AT47">
            <v>-590</v>
          </cell>
          <cell r="AU47">
            <v>-162</v>
          </cell>
          <cell r="AV47">
            <v>-155</v>
          </cell>
          <cell r="AW47">
            <v>-752</v>
          </cell>
          <cell r="AX47">
            <v>-723</v>
          </cell>
          <cell r="AY47">
            <v>-419</v>
          </cell>
          <cell r="AZ47">
            <v>-355.50984515874865</v>
          </cell>
          <cell r="BA47">
            <v>-774.5098451587487</v>
          </cell>
          <cell r="BB47">
            <v>-250.59512032539456</v>
          </cell>
          <cell r="BC47">
            <v>-1025.1049654841433</v>
          </cell>
          <cell r="BD47">
            <v>-309.82486649973634</v>
          </cell>
          <cell r="BE47">
            <v>-1334.9298319838797</v>
          </cell>
          <cell r="BF47">
            <v>-1652.3740912142107</v>
          </cell>
          <cell r="BG47">
            <v>-1796.2796752467264</v>
          </cell>
          <cell r="BH47">
            <v>-1914.5463366540998</v>
          </cell>
          <cell r="BI47">
            <v>-2097.6332317467763</v>
          </cell>
          <cell r="BJ47">
            <v>-2134.0464291789744</v>
          </cell>
          <cell r="BK47">
            <v>-2325.8193322918828</v>
          </cell>
          <cell r="BL47">
            <v>-2611.7137926005703</v>
          </cell>
          <cell r="BM47">
            <v>-2451.9933788924563</v>
          </cell>
          <cell r="BN47">
            <v>-2402.8116616164953</v>
          </cell>
          <cell r="BO47">
            <v>-2397.8586215160808</v>
          </cell>
        </row>
        <row r="48">
          <cell r="A48" t="str">
            <v>Effective Tax Rate</v>
          </cell>
          <cell r="B48">
            <v>0.20644666155026861</v>
          </cell>
          <cell r="C48">
            <v>0.17596899224806201</v>
          </cell>
          <cell r="D48">
            <v>0.31452455590386624</v>
          </cell>
          <cell r="E48">
            <v>0.31108312342569272</v>
          </cell>
          <cell r="F48">
            <v>1.1610169491525424</v>
          </cell>
          <cell r="G48">
            <v>-1.6121593291404612</v>
          </cell>
          <cell r="H48">
            <v>-0.78368794326241131</v>
          </cell>
          <cell r="I48">
            <v>5.9983896940418682E-2</v>
          </cell>
          <cell r="J48">
            <v>-2.6030368763557483E-2</v>
          </cell>
          <cell r="K48">
            <v>0.28651685393258425</v>
          </cell>
          <cell r="L48">
            <v>0.31079478054567022</v>
          </cell>
          <cell r="M48">
            <v>0.29722658294086868</v>
          </cell>
          <cell r="N48">
            <v>0.32598039215686275</v>
          </cell>
          <cell r="O48">
            <v>0.30228546787408367</v>
          </cell>
          <cell r="P48">
            <v>-1.7567567567567568</v>
          </cell>
          <cell r="Q48">
            <v>0.2699490662139219</v>
          </cell>
          <cell r="R48">
            <v>0.33646322378716748</v>
          </cell>
          <cell r="S48">
            <v>0.27297668038408779</v>
          </cell>
          <cell r="T48">
            <v>0.30263157894736842</v>
          </cell>
          <cell r="U48">
            <v>0.3515625</v>
          </cell>
          <cell r="V48">
            <v>0.31335616438356162</v>
          </cell>
          <cell r="W48">
            <v>-0.32203389830508472</v>
          </cell>
          <cell r="X48">
            <v>0.27326203208556149</v>
          </cell>
          <cell r="Y48">
            <v>0.30116279069767443</v>
          </cell>
          <cell r="Z48">
            <v>0.29333333333333333</v>
          </cell>
          <cell r="AA48">
            <v>0.29751552795031055</v>
          </cell>
          <cell r="AB48">
            <v>1.384083044982699E-2</v>
          </cell>
          <cell r="AC48">
            <v>0.25434439178515006</v>
          </cell>
          <cell r="AD48">
            <v>0.4044943820224719</v>
          </cell>
          <cell r="AE48">
            <v>0.23881464264962232</v>
          </cell>
          <cell r="AF48">
            <v>0.26951871657754012</v>
          </cell>
          <cell r="AG48">
            <v>0.32304900181488205</v>
          </cell>
          <cell r="AH48">
            <v>0.2983316977428852</v>
          </cell>
          <cell r="AI48">
            <v>0.26171428571428573</v>
          </cell>
          <cell r="AJ48">
            <v>0.28733264675592174</v>
          </cell>
          <cell r="AK48">
            <v>0.11946902654867257</v>
          </cell>
          <cell r="AL48">
            <v>0.26494201605709189</v>
          </cell>
          <cell r="AM48">
            <v>0.28422515635858236</v>
          </cell>
          <cell r="AN48">
            <v>0.2785862785862786</v>
          </cell>
          <cell r="AO48">
            <v>8.9416058394160586E-2</v>
          </cell>
          <cell r="AP48">
            <v>7.7651515151515152E-2</v>
          </cell>
          <cell r="AQ48">
            <v>0.22686370015685628</v>
          </cell>
          <cell r="AR48">
            <v>0.1981981981981982</v>
          </cell>
          <cell r="AS48">
            <v>0.19349845201238391</v>
          </cell>
          <cell r="AT48">
            <v>0.21982798770453627</v>
          </cell>
          <cell r="AU48">
            <v>0.28719160880484562</v>
          </cell>
          <cell r="AW48">
            <v>0.23152709359605911</v>
          </cell>
          <cell r="AY48">
            <v>0.26502213788741302</v>
          </cell>
          <cell r="AZ48">
            <v>0.26500000000000001</v>
          </cell>
          <cell r="BA48">
            <v>0.26501197585700553</v>
          </cell>
          <cell r="BB48">
            <v>0.26500000000000001</v>
          </cell>
          <cell r="BC48">
            <v>0.26500904816286913</v>
          </cell>
          <cell r="BD48">
            <v>0.25292389184042086</v>
          </cell>
          <cell r="BE48">
            <v>0.26500000000000001</v>
          </cell>
          <cell r="BF48">
            <v>0.26</v>
          </cell>
          <cell r="BG48">
            <v>0.26</v>
          </cell>
          <cell r="BH48">
            <v>0.26</v>
          </cell>
          <cell r="BI48">
            <v>0.26</v>
          </cell>
          <cell r="BJ48">
            <v>0.26</v>
          </cell>
          <cell r="BK48">
            <v>0.26</v>
          </cell>
          <cell r="BL48">
            <v>0.26</v>
          </cell>
          <cell r="BM48">
            <v>0.26</v>
          </cell>
          <cell r="BN48">
            <v>0.26</v>
          </cell>
          <cell r="BO48">
            <v>0.26</v>
          </cell>
        </row>
        <row r="50">
          <cell r="A50" t="str">
            <v>Discontinued Operations</v>
          </cell>
          <cell r="B50">
            <v>221</v>
          </cell>
          <cell r="C50">
            <v>169</v>
          </cell>
          <cell r="D50">
            <v>2154</v>
          </cell>
          <cell r="E50">
            <v>244</v>
          </cell>
          <cell r="F50">
            <v>2398</v>
          </cell>
          <cell r="G50">
            <v>-2</v>
          </cell>
          <cell r="H50">
            <v>2396</v>
          </cell>
          <cell r="I50">
            <v>14</v>
          </cell>
          <cell r="J50">
            <v>2410</v>
          </cell>
          <cell r="K50">
            <v>0</v>
          </cell>
          <cell r="L50">
            <v>0</v>
          </cell>
          <cell r="M50">
            <v>0</v>
          </cell>
          <cell r="N50">
            <v>3</v>
          </cell>
          <cell r="O50">
            <v>3</v>
          </cell>
          <cell r="P50">
            <v>1</v>
          </cell>
          <cell r="Q50">
            <v>4</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W50">
            <v>0</v>
          </cell>
          <cell r="BE50">
            <v>0</v>
          </cell>
          <cell r="BF50">
            <v>0</v>
          </cell>
          <cell r="BG50">
            <v>0</v>
          </cell>
          <cell r="BH50">
            <v>0</v>
          </cell>
          <cell r="BI50">
            <v>0</v>
          </cell>
          <cell r="BJ50">
            <v>0</v>
          </cell>
          <cell r="BK50">
            <v>0</v>
          </cell>
          <cell r="BL50">
            <v>0</v>
          </cell>
          <cell r="BM50">
            <v>0</v>
          </cell>
          <cell r="BN50">
            <v>0</v>
          </cell>
          <cell r="BO50">
            <v>0</v>
          </cell>
          <cell r="BQ50" t="str">
            <v>mstag:incomeLossFromDiscontinuedOperationsNetOfTax</v>
          </cell>
          <cell r="BR50">
            <v>6</v>
          </cell>
          <cell r="BS50" t="str">
            <v>ISO4217:EUR</v>
          </cell>
          <cell r="BT50" t="b">
            <v>0</v>
          </cell>
        </row>
        <row r="51">
          <cell r="A51" t="str">
            <v>Minority Interest</v>
          </cell>
          <cell r="B51">
            <v>2</v>
          </cell>
          <cell r="C51">
            <v>-12</v>
          </cell>
          <cell r="D51">
            <v>-1</v>
          </cell>
          <cell r="E51">
            <v>3</v>
          </cell>
          <cell r="F51">
            <v>2</v>
          </cell>
          <cell r="G51">
            <v>-3</v>
          </cell>
          <cell r="H51">
            <v>-1</v>
          </cell>
          <cell r="I51">
            <v>-4</v>
          </cell>
          <cell r="J51">
            <v>-5</v>
          </cell>
          <cell r="K51">
            <v>0</v>
          </cell>
          <cell r="L51">
            <v>-7</v>
          </cell>
          <cell r="M51">
            <v>-7</v>
          </cell>
          <cell r="N51">
            <v>-1</v>
          </cell>
          <cell r="O51">
            <v>-8</v>
          </cell>
          <cell r="P51">
            <v>3</v>
          </cell>
          <cell r="Q51">
            <v>-5</v>
          </cell>
          <cell r="R51">
            <v>1</v>
          </cell>
          <cell r="S51">
            <v>2</v>
          </cell>
          <cell r="T51">
            <v>3</v>
          </cell>
          <cell r="U51">
            <v>0</v>
          </cell>
          <cell r="V51">
            <v>0</v>
          </cell>
          <cell r="W51">
            <v>0</v>
          </cell>
          <cell r="X51">
            <v>0</v>
          </cell>
          <cell r="Y51">
            <v>-1</v>
          </cell>
          <cell r="Z51">
            <v>1</v>
          </cell>
          <cell r="AA51">
            <v>0</v>
          </cell>
          <cell r="AB51">
            <v>-5</v>
          </cell>
          <cell r="AC51">
            <v>-5</v>
          </cell>
          <cell r="AD51">
            <v>-4</v>
          </cell>
          <cell r="AE51">
            <v>-9</v>
          </cell>
          <cell r="AF51">
            <v>1</v>
          </cell>
          <cell r="AG51">
            <v>1</v>
          </cell>
          <cell r="AH51">
            <v>2</v>
          </cell>
          <cell r="AI51">
            <v>-4</v>
          </cell>
          <cell r="AJ51">
            <v>-2</v>
          </cell>
          <cell r="AK51">
            <v>0</v>
          </cell>
          <cell r="AL51">
            <v>-2</v>
          </cell>
          <cell r="AM51">
            <v>-12.5</v>
          </cell>
          <cell r="AN51">
            <v>-1</v>
          </cell>
          <cell r="AO51">
            <v>-5</v>
          </cell>
          <cell r="AP51">
            <v>-5</v>
          </cell>
          <cell r="AQ51">
            <v>-17.5</v>
          </cell>
          <cell r="AR51">
            <v>-6</v>
          </cell>
          <cell r="AS51">
            <v>-6</v>
          </cell>
          <cell r="AT51">
            <v>-23.5</v>
          </cell>
          <cell r="AU51">
            <v>-26.5</v>
          </cell>
          <cell r="AV51">
            <v>-38</v>
          </cell>
          <cell r="AW51">
            <v>-50</v>
          </cell>
          <cell r="AX51">
            <v>-50</v>
          </cell>
          <cell r="AY51">
            <v>-2</v>
          </cell>
          <cell r="AZ51">
            <v>-12.5</v>
          </cell>
          <cell r="BA51">
            <v>-14.5</v>
          </cell>
          <cell r="BB51">
            <v>-12.5</v>
          </cell>
          <cell r="BC51">
            <v>-27</v>
          </cell>
          <cell r="BD51">
            <v>-23</v>
          </cell>
          <cell r="BE51">
            <v>-50</v>
          </cell>
          <cell r="BF51">
            <v>-50</v>
          </cell>
          <cell r="BG51">
            <v>-50</v>
          </cell>
          <cell r="BH51">
            <v>-50</v>
          </cell>
          <cell r="BI51">
            <v>-50</v>
          </cell>
          <cell r="BJ51">
            <v>-50</v>
          </cell>
          <cell r="BK51">
            <v>-50</v>
          </cell>
          <cell r="BL51">
            <v>-50</v>
          </cell>
          <cell r="BM51">
            <v>-50</v>
          </cell>
          <cell r="BN51">
            <v>-50</v>
          </cell>
          <cell r="BO51">
            <v>-50</v>
          </cell>
          <cell r="BQ51" t="str">
            <v>mstag:netIncomeAttributableToNoncontrollingInterest</v>
          </cell>
          <cell r="BR51">
            <v>6</v>
          </cell>
          <cell r="BS51" t="str">
            <v>ISO4217:EUR</v>
          </cell>
          <cell r="BT51" t="b">
            <v>1</v>
          </cell>
        </row>
        <row r="52">
          <cell r="A52" t="str">
            <v>Net Income (continuing)</v>
          </cell>
          <cell r="B52">
            <v>2070</v>
          </cell>
          <cell r="C52">
            <v>2114</v>
          </cell>
          <cell r="D52">
            <v>655</v>
          </cell>
          <cell r="E52">
            <v>550</v>
          </cell>
          <cell r="F52">
            <v>-74</v>
          </cell>
          <cell r="G52">
            <v>1243</v>
          </cell>
          <cell r="H52">
            <v>502</v>
          </cell>
          <cell r="I52">
            <v>2331</v>
          </cell>
          <cell r="J52">
            <v>2833</v>
          </cell>
          <cell r="K52">
            <v>762</v>
          </cell>
          <cell r="L52">
            <v>574</v>
          </cell>
          <cell r="M52">
            <v>1336</v>
          </cell>
          <cell r="N52">
            <v>274</v>
          </cell>
          <cell r="O52">
            <v>1610</v>
          </cell>
          <cell r="P52">
            <v>105</v>
          </cell>
          <cell r="Q52">
            <v>1715</v>
          </cell>
          <cell r="R52">
            <v>425</v>
          </cell>
          <cell r="S52">
            <v>532</v>
          </cell>
          <cell r="T52">
            <v>957</v>
          </cell>
          <cell r="U52">
            <v>249</v>
          </cell>
          <cell r="V52">
            <v>1203</v>
          </cell>
          <cell r="W52">
            <v>156</v>
          </cell>
          <cell r="X52">
            <v>1359</v>
          </cell>
          <cell r="Y52">
            <v>600</v>
          </cell>
          <cell r="Z52">
            <v>531</v>
          </cell>
          <cell r="AA52">
            <v>1131</v>
          </cell>
          <cell r="AB52">
            <v>280</v>
          </cell>
          <cell r="AC52">
            <v>1411</v>
          </cell>
          <cell r="AD52">
            <v>-110</v>
          </cell>
          <cell r="AE52">
            <v>1301</v>
          </cell>
          <cell r="AF52">
            <v>684</v>
          </cell>
          <cell r="AG52">
            <v>747</v>
          </cell>
          <cell r="AH52">
            <v>1432</v>
          </cell>
          <cell r="AI52">
            <v>642</v>
          </cell>
          <cell r="AJ52">
            <v>2074</v>
          </cell>
          <cell r="AK52">
            <v>398</v>
          </cell>
          <cell r="AL52">
            <v>2470</v>
          </cell>
          <cell r="AM52">
            <v>1017.5</v>
          </cell>
          <cell r="AN52">
            <v>1040</v>
          </cell>
          <cell r="AO52">
            <v>494</v>
          </cell>
          <cell r="AP52">
            <v>482</v>
          </cell>
          <cell r="AQ52">
            <v>1543.3333333333333</v>
          </cell>
          <cell r="AR52">
            <v>528</v>
          </cell>
          <cell r="AS52">
            <v>515</v>
          </cell>
          <cell r="AT52">
            <v>2070.416666666667</v>
          </cell>
          <cell r="AU52">
            <v>375.58333333333337</v>
          </cell>
          <cell r="AV52">
            <v>366</v>
          </cell>
          <cell r="AW52">
            <v>2446</v>
          </cell>
          <cell r="AX52">
            <v>2403</v>
          </cell>
          <cell r="AY52">
            <v>1160</v>
          </cell>
          <cell r="AZ52">
            <v>973.53674034596315</v>
          </cell>
          <cell r="BA52">
            <v>2133.5367403459636</v>
          </cell>
          <cell r="BB52">
            <v>682.54684316666032</v>
          </cell>
          <cell r="BC52">
            <v>2816.0835835126245</v>
          </cell>
          <cell r="BD52">
            <v>892.14784859361043</v>
          </cell>
          <cell r="BE52">
            <v>3652.5412321062322</v>
          </cell>
          <cell r="BF52">
            <v>4652.9108749942916</v>
          </cell>
          <cell r="BG52">
            <v>5062.4883064714513</v>
          </cell>
          <cell r="BH52">
            <v>5399.0934197078222</v>
          </cell>
          <cell r="BI52">
            <v>5920.1868903562081</v>
          </cell>
          <cell r="BJ52">
            <v>6023.824452278619</v>
          </cell>
          <cell r="BK52">
            <v>6569.6396380615115</v>
          </cell>
          <cell r="BL52">
            <v>7383.3392558631604</v>
          </cell>
          <cell r="BM52">
            <v>6928.75038607853</v>
          </cell>
          <cell r="BN52">
            <v>6788.7716522931023</v>
          </cell>
          <cell r="BO52">
            <v>6774.6745381611527</v>
          </cell>
        </row>
        <row r="53">
          <cell r="A53" t="str">
            <v>Net Income (inc disc ops)</v>
          </cell>
          <cell r="B53">
            <v>2291</v>
          </cell>
          <cell r="C53">
            <v>2283</v>
          </cell>
          <cell r="D53">
            <v>2809</v>
          </cell>
          <cell r="E53">
            <v>794</v>
          </cell>
          <cell r="F53">
            <v>2324</v>
          </cell>
          <cell r="G53">
            <v>1241</v>
          </cell>
          <cell r="H53">
            <v>2898</v>
          </cell>
          <cell r="I53">
            <v>2345</v>
          </cell>
          <cell r="J53">
            <v>5243</v>
          </cell>
          <cell r="K53">
            <v>762</v>
          </cell>
          <cell r="L53">
            <v>574</v>
          </cell>
          <cell r="M53">
            <v>1336</v>
          </cell>
          <cell r="N53">
            <v>277</v>
          </cell>
          <cell r="O53">
            <v>1613</v>
          </cell>
          <cell r="P53">
            <v>106</v>
          </cell>
          <cell r="Q53">
            <v>1719</v>
          </cell>
          <cell r="R53">
            <v>425</v>
          </cell>
          <cell r="S53">
            <v>532</v>
          </cell>
          <cell r="T53">
            <v>957</v>
          </cell>
          <cell r="U53">
            <v>249</v>
          </cell>
          <cell r="V53">
            <v>1203</v>
          </cell>
          <cell r="W53">
            <v>156</v>
          </cell>
          <cell r="X53">
            <v>1359</v>
          </cell>
          <cell r="Y53">
            <v>600</v>
          </cell>
          <cell r="Z53">
            <v>531</v>
          </cell>
          <cell r="AA53">
            <v>1131</v>
          </cell>
          <cell r="AB53">
            <v>280</v>
          </cell>
          <cell r="AC53">
            <v>1411</v>
          </cell>
          <cell r="AD53">
            <v>-110</v>
          </cell>
          <cell r="AE53">
            <v>1301</v>
          </cell>
          <cell r="AF53">
            <v>684</v>
          </cell>
          <cell r="AG53">
            <v>747</v>
          </cell>
          <cell r="AH53">
            <v>1432</v>
          </cell>
          <cell r="AI53">
            <v>642</v>
          </cell>
          <cell r="AJ53">
            <v>2074</v>
          </cell>
          <cell r="AK53">
            <v>398</v>
          </cell>
          <cell r="AL53">
            <v>2470</v>
          </cell>
          <cell r="AM53">
            <v>1017.5</v>
          </cell>
          <cell r="AN53">
            <v>1040</v>
          </cell>
          <cell r="AO53">
            <v>494</v>
          </cell>
          <cell r="AP53">
            <v>482</v>
          </cell>
          <cell r="AQ53">
            <v>1543.3333333333333</v>
          </cell>
          <cell r="AR53">
            <v>528</v>
          </cell>
          <cell r="AS53">
            <v>515</v>
          </cell>
          <cell r="AT53">
            <v>2070.416666666667</v>
          </cell>
          <cell r="AU53">
            <v>375.58333333333337</v>
          </cell>
          <cell r="AV53">
            <v>366</v>
          </cell>
          <cell r="AW53">
            <v>2446</v>
          </cell>
          <cell r="AX53">
            <v>2403</v>
          </cell>
          <cell r="AY53">
            <v>1160</v>
          </cell>
          <cell r="AZ53">
            <v>973.53674034596315</v>
          </cell>
          <cell r="BA53">
            <v>2133.5367403459636</v>
          </cell>
          <cell r="BB53">
            <v>682.54684316666032</v>
          </cell>
          <cell r="BC53">
            <v>2816.0835835126245</v>
          </cell>
          <cell r="BD53">
            <v>892.14784859361043</v>
          </cell>
          <cell r="BE53">
            <v>3652.5412321062322</v>
          </cell>
          <cell r="BF53">
            <v>4652.9108749942916</v>
          </cell>
          <cell r="BG53">
            <v>5062.4883064714513</v>
          </cell>
          <cell r="BH53">
            <v>5399.0934197078222</v>
          </cell>
          <cell r="BI53">
            <v>5920.1868903562081</v>
          </cell>
          <cell r="BJ53">
            <v>6023.824452278619</v>
          </cell>
          <cell r="BK53">
            <v>6569.6396380615115</v>
          </cell>
          <cell r="BL53">
            <v>7383.3392558631604</v>
          </cell>
          <cell r="BM53">
            <v>6928.75038607853</v>
          </cell>
          <cell r="BN53">
            <v>6788.7716522931023</v>
          </cell>
          <cell r="BO53">
            <v>6774.6745381611527</v>
          </cell>
        </row>
        <row r="55">
          <cell r="A55" t="str">
            <v>Financing expenses for conv bond</v>
          </cell>
          <cell r="B55">
            <v>0</v>
          </cell>
          <cell r="C55">
            <v>72</v>
          </cell>
          <cell r="D55">
            <v>24</v>
          </cell>
          <cell r="E55">
            <v>24</v>
          </cell>
          <cell r="F55">
            <v>48</v>
          </cell>
          <cell r="G55">
            <v>25</v>
          </cell>
          <cell r="H55">
            <v>73</v>
          </cell>
          <cell r="I55">
            <v>25</v>
          </cell>
          <cell r="J55">
            <v>98</v>
          </cell>
          <cell r="K55">
            <v>28</v>
          </cell>
          <cell r="L55">
            <v>28</v>
          </cell>
          <cell r="M55">
            <v>56</v>
          </cell>
          <cell r="N55">
            <v>28</v>
          </cell>
          <cell r="O55">
            <v>84</v>
          </cell>
          <cell r="P55">
            <v>28</v>
          </cell>
          <cell r="Q55">
            <v>112</v>
          </cell>
          <cell r="R55">
            <v>28</v>
          </cell>
          <cell r="S55">
            <v>19</v>
          </cell>
          <cell r="T55">
            <v>47</v>
          </cell>
          <cell r="U55">
            <v>0</v>
          </cell>
          <cell r="V55">
            <v>47</v>
          </cell>
          <cell r="W55">
            <v>0</v>
          </cell>
          <cell r="X55">
            <v>47</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O55">
            <v>0</v>
          </cell>
          <cell r="AQ55">
            <v>0</v>
          </cell>
          <cell r="AR55">
            <v>0</v>
          </cell>
          <cell r="AT55">
            <v>0</v>
          </cell>
          <cell r="AU55">
            <v>0</v>
          </cell>
          <cell r="AW55">
            <v>0</v>
          </cell>
          <cell r="BE55">
            <v>0</v>
          </cell>
          <cell r="BF55">
            <v>0</v>
          </cell>
          <cell r="BG55">
            <v>0</v>
          </cell>
          <cell r="BH55">
            <v>0</v>
          </cell>
          <cell r="BI55">
            <v>0</v>
          </cell>
          <cell r="BJ55">
            <v>0</v>
          </cell>
          <cell r="BK55">
            <v>0</v>
          </cell>
          <cell r="BL55">
            <v>0</v>
          </cell>
          <cell r="BM55">
            <v>1</v>
          </cell>
          <cell r="BN55">
            <v>2</v>
          </cell>
          <cell r="BO55">
            <v>3</v>
          </cell>
        </row>
        <row r="56">
          <cell r="A56" t="str">
            <v>Average no. of Shares (Basic)</v>
          </cell>
          <cell r="B56">
            <v>730.34191999999996</v>
          </cell>
          <cell r="C56">
            <v>746.45698800000002</v>
          </cell>
          <cell r="D56">
            <v>764.34191999999996</v>
          </cell>
          <cell r="E56">
            <v>764.34191999999996</v>
          </cell>
          <cell r="F56">
            <v>764.34191999999996</v>
          </cell>
          <cell r="G56">
            <v>764.34191999999996</v>
          </cell>
          <cell r="H56">
            <v>764.34191999999996</v>
          </cell>
          <cell r="I56">
            <v>764.34191999999996</v>
          </cell>
          <cell r="J56">
            <v>764.34191999999996</v>
          </cell>
          <cell r="K56">
            <v>764.34191999999996</v>
          </cell>
          <cell r="L56">
            <v>764.34191999999996</v>
          </cell>
          <cell r="M56">
            <v>764.34191999999996</v>
          </cell>
          <cell r="N56">
            <v>764.34191999999996</v>
          </cell>
          <cell r="O56">
            <v>764.34191999999996</v>
          </cell>
          <cell r="P56">
            <v>764.34199999999998</v>
          </cell>
          <cell r="Q56">
            <v>764.34204899999997</v>
          </cell>
          <cell r="R56">
            <v>764.34366</v>
          </cell>
          <cell r="S56">
            <v>784.983834</v>
          </cell>
          <cell r="T56">
            <v>774.72076200000004</v>
          </cell>
          <cell r="U56">
            <v>826.94780800000001</v>
          </cell>
          <cell r="V56">
            <v>792.32197099999996</v>
          </cell>
          <cell r="W56">
            <v>801.05</v>
          </cell>
          <cell r="X56">
            <v>801.05023700000004</v>
          </cell>
          <cell r="Y56">
            <v>826.9</v>
          </cell>
          <cell r="Z56">
            <v>826.9</v>
          </cell>
          <cell r="AA56">
            <v>826.9</v>
          </cell>
          <cell r="AB56">
            <v>826.9</v>
          </cell>
          <cell r="AC56">
            <v>826.9</v>
          </cell>
          <cell r="AD56">
            <v>826.9</v>
          </cell>
          <cell r="AE56">
            <v>826.94780800000001</v>
          </cell>
          <cell r="AF56">
            <v>826.94780800000001</v>
          </cell>
          <cell r="AG56">
            <v>826.94780800000001</v>
          </cell>
          <cell r="AH56">
            <v>826.94780800000001</v>
          </cell>
          <cell r="AI56">
            <v>826.94780800000001</v>
          </cell>
          <cell r="AJ56">
            <v>826.94780800000001</v>
          </cell>
          <cell r="AK56">
            <v>826.9478079999999</v>
          </cell>
          <cell r="AL56">
            <v>826.94780800000001</v>
          </cell>
          <cell r="AM56">
            <v>826.94780800000001</v>
          </cell>
          <cell r="AN56">
            <v>826.94780800000001</v>
          </cell>
          <cell r="AO56">
            <v>826.94780800000001</v>
          </cell>
          <cell r="AP56">
            <v>826.94780800000001</v>
          </cell>
          <cell r="AQ56">
            <v>826.94780800000001</v>
          </cell>
          <cell r="AR56">
            <v>826.94780800000001</v>
          </cell>
          <cell r="AS56">
            <v>826.94780800000001</v>
          </cell>
          <cell r="AT56">
            <v>826.94780800000001</v>
          </cell>
          <cell r="AU56">
            <v>826.9478079999999</v>
          </cell>
          <cell r="AV56">
            <v>826.94780800000001</v>
          </cell>
          <cell r="AW56">
            <v>826.94780800000001</v>
          </cell>
          <cell r="AX56">
            <v>826.94780800000001</v>
          </cell>
          <cell r="AY56">
            <v>826.94780800000001</v>
          </cell>
          <cell r="AZ56">
            <v>826.94780800000001</v>
          </cell>
          <cell r="BA56">
            <v>826.94780800000001</v>
          </cell>
          <cell r="BB56">
            <v>826.94780800000001</v>
          </cell>
          <cell r="BC56">
            <v>826.94780800000001</v>
          </cell>
          <cell r="BD56">
            <v>826.94780800000001</v>
          </cell>
          <cell r="BE56">
            <v>826.94780800000001</v>
          </cell>
          <cell r="BF56">
            <v>826.94780800000001</v>
          </cell>
          <cell r="BG56">
            <v>826.94780800000001</v>
          </cell>
          <cell r="BH56">
            <v>826.94780800000001</v>
          </cell>
          <cell r="BI56">
            <v>826.94780800000001</v>
          </cell>
          <cell r="BJ56">
            <v>826.94780800000001</v>
          </cell>
          <cell r="BK56">
            <v>826.94780800000001</v>
          </cell>
          <cell r="BL56">
            <v>826.94780800000001</v>
          </cell>
          <cell r="BM56">
            <v>826.94780800000001</v>
          </cell>
          <cell r="BN56">
            <v>826.94780800000001</v>
          </cell>
          <cell r="BO56">
            <v>826.94780800000001</v>
          </cell>
        </row>
        <row r="57">
          <cell r="A57" t="str">
            <v>Average no. of Shares (Adjusted)</v>
          </cell>
          <cell r="B57">
            <v>730.34191999999996</v>
          </cell>
          <cell r="C57">
            <v>791.75758299999995</v>
          </cell>
          <cell r="D57">
            <v>823.86572999999999</v>
          </cell>
          <cell r="E57">
            <v>823.90775499999995</v>
          </cell>
          <cell r="F57">
            <v>823.88674249999997</v>
          </cell>
          <cell r="G57">
            <v>823.927413</v>
          </cell>
          <cell r="H57">
            <v>823.90029933333335</v>
          </cell>
          <cell r="I57">
            <v>823.927413</v>
          </cell>
          <cell r="J57">
            <v>823.90730299999996</v>
          </cell>
          <cell r="K57">
            <v>823.92461900000001</v>
          </cell>
          <cell r="L57">
            <v>824.24681699999996</v>
          </cell>
          <cell r="M57">
            <v>824.08571800000004</v>
          </cell>
          <cell r="N57">
            <v>824.382743</v>
          </cell>
          <cell r="O57">
            <v>824.1847263333334</v>
          </cell>
          <cell r="P57">
            <v>824.23510199999998</v>
          </cell>
          <cell r="Q57">
            <v>824.23515099999997</v>
          </cell>
          <cell r="R57">
            <v>824.382743</v>
          </cell>
          <cell r="S57">
            <v>825.807456</v>
          </cell>
          <cell r="T57">
            <v>825.04893200000004</v>
          </cell>
          <cell r="U57">
            <v>826.94780800000001</v>
          </cell>
          <cell r="V57">
            <v>825.68884600000001</v>
          </cell>
          <cell r="W57">
            <v>826.00599999999997</v>
          </cell>
          <cell r="X57">
            <v>826.00617299999999</v>
          </cell>
          <cell r="Y57">
            <v>826.9</v>
          </cell>
          <cell r="Z57">
            <v>826.9</v>
          </cell>
          <cell r="AA57">
            <v>826.9</v>
          </cell>
          <cell r="AB57">
            <v>826.9</v>
          </cell>
          <cell r="AC57">
            <v>826.9</v>
          </cell>
          <cell r="AD57">
            <v>826.9</v>
          </cell>
          <cell r="AE57">
            <v>826.94780800000001</v>
          </cell>
          <cell r="AF57">
            <v>826.94780800000001</v>
          </cell>
          <cell r="AG57">
            <v>826.94780800000001</v>
          </cell>
          <cell r="AH57">
            <v>826.94780800000001</v>
          </cell>
          <cell r="AI57">
            <v>826.94780800000001</v>
          </cell>
          <cell r="AJ57">
            <v>826.94780800000001</v>
          </cell>
          <cell r="AK57">
            <v>826.9478079999999</v>
          </cell>
          <cell r="AL57">
            <v>826.94780800000001</v>
          </cell>
          <cell r="AM57">
            <v>826.94780800000001</v>
          </cell>
          <cell r="AN57">
            <v>826.94780800000001</v>
          </cell>
          <cell r="AO57">
            <v>826.94780800000001</v>
          </cell>
          <cell r="AP57">
            <v>826.94780800000001</v>
          </cell>
          <cell r="AQ57">
            <v>826.94780800000001</v>
          </cell>
          <cell r="AR57">
            <v>826.94780800000001</v>
          </cell>
          <cell r="AS57">
            <v>826.94780800000001</v>
          </cell>
          <cell r="AT57">
            <v>826.94780800000001</v>
          </cell>
          <cell r="AU57">
            <v>826.9478079999999</v>
          </cell>
          <cell r="AV57">
            <v>826.94780800000001</v>
          </cell>
          <cell r="AW57">
            <v>826.94780800000001</v>
          </cell>
          <cell r="AX57">
            <v>826.94780800000001</v>
          </cell>
          <cell r="AY57">
            <v>826.94780800000001</v>
          </cell>
          <cell r="AZ57">
            <v>826.94780800000001</v>
          </cell>
          <cell r="BA57">
            <v>826.94780800000001</v>
          </cell>
          <cell r="BB57">
            <v>826.94780800000001</v>
          </cell>
          <cell r="BC57">
            <v>826.94780800000001</v>
          </cell>
          <cell r="BD57">
            <v>826.94780800000001</v>
          </cell>
          <cell r="BE57">
            <v>826.94780800000001</v>
          </cell>
          <cell r="BF57">
            <v>826.94780800000001</v>
          </cell>
          <cell r="BG57">
            <v>826.94780800000001</v>
          </cell>
          <cell r="BH57">
            <v>826.94780800000001</v>
          </cell>
          <cell r="BI57">
            <v>826.94780800000001</v>
          </cell>
          <cell r="BJ57">
            <v>826.94780800000001</v>
          </cell>
          <cell r="BK57">
            <v>826.94780800000001</v>
          </cell>
          <cell r="BL57">
            <v>826.94780800000001</v>
          </cell>
          <cell r="BM57">
            <v>826.94780800000001</v>
          </cell>
          <cell r="BN57">
            <v>826.94780800000001</v>
          </cell>
          <cell r="BO57">
            <v>826.94780800000001</v>
          </cell>
        </row>
        <row r="59">
          <cell r="A59" t="str">
            <v>EPS (continuing)</v>
          </cell>
          <cell r="B59">
            <v>2.8342889040245698</v>
          </cell>
          <cell r="C59">
            <v>2.7609460861961836</v>
          </cell>
          <cell r="D59">
            <v>0.82416342284318589</v>
          </cell>
          <cell r="E59">
            <v>0.6966799335442595</v>
          </cell>
          <cell r="F59">
            <v>-3.1557735619225598E-2</v>
          </cell>
          <cell r="G59">
            <v>1.5389705209383535</v>
          </cell>
          <cell r="H59">
            <v>0.69789997705458617</v>
          </cell>
          <cell r="I59">
            <v>2.8594751950558051</v>
          </cell>
          <cell r="J59">
            <v>3.5574390338909283</v>
          </cell>
          <cell r="K59">
            <v>0.95882557916381428</v>
          </cell>
          <cell r="L59">
            <v>0.73036375462278558</v>
          </cell>
          <cell r="M59">
            <v>1.6891446722050822</v>
          </cell>
          <cell r="N59">
            <v>0.36633469412641501</v>
          </cell>
          <cell r="O59">
            <v>2.0553644660904311</v>
          </cell>
          <cell r="P59">
            <v>0.16136172759116488</v>
          </cell>
          <cell r="Q59">
            <v>2.2166004419775103</v>
          </cell>
          <cell r="R59">
            <v>0.54950204118962254</v>
          </cell>
          <cell r="S59">
            <v>0.66722575098668035</v>
          </cell>
          <cell r="T59">
            <v>1.2168975209339461</v>
          </cell>
          <cell r="U59">
            <v>0.30110727374949398</v>
          </cell>
          <cell r="V59">
            <v>1.5138874723275599</v>
          </cell>
          <cell r="W59">
            <v>0.18886061360329101</v>
          </cell>
          <cell r="X59">
            <v>1.7021664558431817</v>
          </cell>
          <cell r="Y59">
            <v>0.72560164469706134</v>
          </cell>
          <cell r="Z59">
            <v>0.64215745555689929</v>
          </cell>
          <cell r="AA59">
            <v>1.3677591002539606</v>
          </cell>
          <cell r="AB59">
            <v>0.33861410085862864</v>
          </cell>
          <cell r="AC59">
            <v>1.7063732011125892</v>
          </cell>
          <cell r="AD59">
            <v>-0.13302696819446125</v>
          </cell>
          <cell r="AE59">
            <v>1.5732552736871153</v>
          </cell>
          <cell r="AF59">
            <v>0.82713805319138112</v>
          </cell>
          <cell r="AG59">
            <v>0.90332182124848193</v>
          </cell>
          <cell r="AH59">
            <v>1.7316691405994995</v>
          </cell>
          <cell r="AI59">
            <v>0.77634887448664713</v>
          </cell>
          <cell r="AJ59">
            <v>2.5080180150861469</v>
          </cell>
          <cell r="AK59">
            <v>0.48128793153533583</v>
          </cell>
          <cell r="AL59">
            <v>2.9868874143022093</v>
          </cell>
          <cell r="AM59">
            <v>1.2304283174301611</v>
          </cell>
          <cell r="AN59">
            <v>1.2576368060219829</v>
          </cell>
          <cell r="AO59">
            <v>0.5973774828604419</v>
          </cell>
          <cell r="AP59">
            <v>0.58286628894480363</v>
          </cell>
          <cell r="AQ59">
            <v>1.8663007730390322</v>
          </cell>
          <cell r="AR59">
            <v>0.63849253228808367</v>
          </cell>
          <cell r="AS59">
            <v>0.62277207221280884</v>
          </cell>
          <cell r="AT59">
            <v>2.5036848113474495</v>
          </cell>
          <cell r="AU59">
            <v>0.45418021512348383</v>
          </cell>
          <cell r="AV59">
            <v>0.44259141442696709</v>
          </cell>
          <cell r="AW59">
            <v>2.957865026470933</v>
          </cell>
          <cell r="AX59">
            <v>2.9058665816065625</v>
          </cell>
          <cell r="AY59">
            <v>1.4027487451783656</v>
          </cell>
          <cell r="AZ59">
            <v>1.1772650352632208</v>
          </cell>
          <cell r="BA59">
            <v>2.580013780441587</v>
          </cell>
          <cell r="BB59">
            <v>0.8253807998081788</v>
          </cell>
          <cell r="BC59">
            <v>3.4053945802497663</v>
          </cell>
          <cell r="BD59">
            <v>1.0788442026967806</v>
          </cell>
          <cell r="BE59">
            <v>4.4168945086631544</v>
          </cell>
          <cell r="BF59">
            <v>5.6266076649353565</v>
          </cell>
          <cell r="BG59">
            <v>6.1218957925715323</v>
          </cell>
          <cell r="BH59">
            <v>6.5289409651688954</v>
          </cell>
          <cell r="BI59">
            <v>7.1590816652315352</v>
          </cell>
          <cell r="BJ59">
            <v>7.2844070617315415</v>
          </cell>
          <cell r="BK59">
            <v>7.9444428953145145</v>
          </cell>
          <cell r="BL59">
            <v>8.9284223072312212</v>
          </cell>
          <cell r="BM59">
            <v>8.3799126366128895</v>
          </cell>
          <cell r="BN59">
            <v>8.21185035693704</v>
          </cell>
          <cell r="BO59">
            <v>8.1960124600283759</v>
          </cell>
        </row>
        <row r="60">
          <cell r="A60" t="str">
            <v>% Growth</v>
          </cell>
          <cell r="C60">
            <v>-2.5876973135745773E-2</v>
          </cell>
          <cell r="J60">
            <v>0.28848551287435331</v>
          </cell>
          <cell r="K60">
            <v>0.16339254156180938</v>
          </cell>
          <cell r="L60">
            <v>4.8349061680540206E-2</v>
          </cell>
          <cell r="M60">
            <v>-54.525534676702911</v>
          </cell>
          <cell r="N60">
            <v>-0.76196120124312028</v>
          </cell>
          <cell r="O60">
            <v>1.9450702588713096</v>
          </cell>
          <cell r="P60">
            <v>-0.94356946062334501</v>
          </cell>
          <cell r="Q60">
            <v>-0.37691119345673896</v>
          </cell>
          <cell r="R60">
            <v>-0.42690093680141517</v>
          </cell>
          <cell r="S60">
            <v>-8.6447339748827456E-2</v>
          </cell>
          <cell r="T60">
            <v>-0.27957768155799489</v>
          </cell>
          <cell r="U60">
            <v>-0.17805417128854384</v>
          </cell>
          <cell r="V60">
            <v>-0.26344573076756084</v>
          </cell>
          <cell r="W60">
            <v>0.17041764749692589</v>
          </cell>
          <cell r="X60">
            <v>-0.23208241611437341</v>
          </cell>
          <cell r="Y60">
            <v>0.32047124543195316</v>
          </cell>
          <cell r="Z60">
            <v>-3.7570935163564245E-2</v>
          </cell>
          <cell r="AA60">
            <v>0.12397229571495139</v>
          </cell>
          <cell r="AB60">
            <v>0.1245630058752365</v>
          </cell>
          <cell r="AC60">
            <v>0.12714665541758374</v>
          </cell>
          <cell r="AD60" t="str">
            <v>NA</v>
          </cell>
          <cell r="AE60">
            <v>-7.5733593335446936E-2</v>
          </cell>
          <cell r="AF60">
            <v>0.1399340936399216</v>
          </cell>
          <cell r="AG60">
            <v>0.40669833143195788</v>
          </cell>
          <cell r="AH60">
            <v>0.26606296406872332</v>
          </cell>
          <cell r="AI60">
            <v>1.2927245868321733</v>
          </cell>
          <cell r="AJ60">
            <v>0.46979454052071934</v>
          </cell>
          <cell r="AK60">
            <v>-4.6179726416960829</v>
          </cell>
          <cell r="AL60">
            <v>0.89853958493466535</v>
          </cell>
          <cell r="AM60">
            <v>0.48757309941520455</v>
          </cell>
          <cell r="AN60">
            <v>0.52046783625730986</v>
          </cell>
          <cell r="AO60">
            <v>-0.33868808567603748</v>
          </cell>
          <cell r="AP60">
            <v>-0.3547523427041499</v>
          </cell>
          <cell r="AQ60">
            <v>7.774674115456226E-2</v>
          </cell>
          <cell r="AR60">
            <v>-0.17757009345794383</v>
          </cell>
          <cell r="AS60">
            <v>-0.19781931464174451</v>
          </cell>
          <cell r="AT60">
            <v>-1.7277402764384053E-3</v>
          </cell>
          <cell r="AU60">
            <v>-5.6323283082077014E-2</v>
          </cell>
          <cell r="AV60">
            <v>-0.85182186234817814</v>
          </cell>
          <cell r="AW60">
            <v>-9.7165991902833371E-3</v>
          </cell>
          <cell r="AX60">
            <v>1.3105769230769231</v>
          </cell>
          <cell r="AY60">
            <v>0.14004914004914015</v>
          </cell>
          <cell r="AZ60">
            <v>0.97072214644931809</v>
          </cell>
          <cell r="BA60">
            <v>0.38242121404706086</v>
          </cell>
          <cell r="BB60">
            <v>0.29270235448231108</v>
          </cell>
          <cell r="BC60">
            <v>0.36015306911456979</v>
          </cell>
          <cell r="BD60">
            <v>1.3753659159359493</v>
          </cell>
          <cell r="BE60">
            <v>0.49327114967548336</v>
          </cell>
          <cell r="BF60">
            <v>0.27388318962554115</v>
          </cell>
          <cell r="BG60">
            <v>8.8026064216770949E-2</v>
          </cell>
          <cell r="BH60">
            <v>6.6490052491792184E-2</v>
          </cell>
          <cell r="BI60">
            <v>9.6514994303726009E-2</v>
          </cell>
          <cell r="BJ60">
            <v>1.7505792273421861E-2</v>
          </cell>
          <cell r="BK60">
            <v>9.0609411032293252E-2</v>
          </cell>
          <cell r="BL60">
            <v>0.12385757250480589</v>
          </cell>
          <cell r="BM60">
            <v>-6.1434109156562666E-2</v>
          </cell>
          <cell r="BN60">
            <v>-2.0055373720910263E-2</v>
          </cell>
          <cell r="BO60">
            <v>-1.9286636044560934E-3</v>
          </cell>
        </row>
        <row r="61">
          <cell r="A61" t="str">
            <v>EPS (inc disc ops)</v>
          </cell>
          <cell r="B61">
            <v>3.1368868981257436</v>
          </cell>
          <cell r="C61">
            <v>2.9743952575443791</v>
          </cell>
          <cell r="D61">
            <v>3.4386671235857813</v>
          </cell>
          <cell r="E61">
            <v>0.99282959170593077</v>
          </cell>
          <cell r="F61">
            <v>2.8790364957231973</v>
          </cell>
          <cell r="G61">
            <v>1.5365431226403437</v>
          </cell>
          <cell r="H61">
            <v>3.6060188379637834</v>
          </cell>
          <cell r="I61">
            <v>2.8764669831418752</v>
          </cell>
          <cell r="J61">
            <v>6.4825253770083409</v>
          </cell>
          <cell r="K61">
            <v>0.95882557916381428</v>
          </cell>
          <cell r="L61">
            <v>0.73036375462278558</v>
          </cell>
          <cell r="M61">
            <v>1.6891446722050822</v>
          </cell>
          <cell r="N61">
            <v>0.36997378049190921</v>
          </cell>
          <cell r="O61">
            <v>2.0590044267741807</v>
          </cell>
          <cell r="P61">
            <v>0.16257497366327892</v>
          </cell>
          <cell r="Q61">
            <v>2.2214534259774612</v>
          </cell>
          <cell r="R61">
            <v>0.54950204118962254</v>
          </cell>
          <cell r="S61">
            <v>0.66722575098668035</v>
          </cell>
          <cell r="T61">
            <v>1.2168975209339461</v>
          </cell>
          <cell r="U61">
            <v>0.30110727374949398</v>
          </cell>
          <cell r="V61">
            <v>1.5138874723275599</v>
          </cell>
          <cell r="W61">
            <v>0.18886061360329101</v>
          </cell>
          <cell r="X61">
            <v>1.7021664558431817</v>
          </cell>
          <cell r="Y61">
            <v>0.72560164469706134</v>
          </cell>
          <cell r="Z61">
            <v>0.64215745555689929</v>
          </cell>
          <cell r="AA61">
            <v>1.3677591002539606</v>
          </cell>
          <cell r="AB61">
            <v>0.33861410085862864</v>
          </cell>
          <cell r="AC61">
            <v>1.7063732011125892</v>
          </cell>
          <cell r="AD61">
            <v>-0.13302696819446125</v>
          </cell>
          <cell r="AE61">
            <v>1.5732552736871153</v>
          </cell>
          <cell r="AF61">
            <v>0.82713805319138112</v>
          </cell>
          <cell r="AG61">
            <v>0.90332182124848193</v>
          </cell>
          <cell r="AH61">
            <v>1.7316691405994995</v>
          </cell>
          <cell r="AI61">
            <v>0.77634887448664713</v>
          </cell>
          <cell r="AJ61">
            <v>2.5080180150861469</v>
          </cell>
          <cell r="AK61">
            <v>0.48128793153533583</v>
          </cell>
          <cell r="AL61">
            <v>2.9868874143022093</v>
          </cell>
          <cell r="AM61">
            <v>1.2304283174301611</v>
          </cell>
          <cell r="AN61">
            <v>1.2576368060219829</v>
          </cell>
          <cell r="AO61">
            <v>0.5973774828604419</v>
          </cell>
          <cell r="AP61">
            <v>0.58286628894480363</v>
          </cell>
          <cell r="AQ61">
            <v>1.8663007730390322</v>
          </cell>
          <cell r="AR61">
            <v>0.63849253228808367</v>
          </cell>
          <cell r="AS61">
            <v>0.62277207221280884</v>
          </cell>
          <cell r="AT61">
            <v>2.5036848113474495</v>
          </cell>
          <cell r="AU61">
            <v>0.45418021512348383</v>
          </cell>
          <cell r="AV61">
            <v>0.44259141442696709</v>
          </cell>
          <cell r="AW61">
            <v>2.957865026470933</v>
          </cell>
          <cell r="AX61">
            <v>2.9058665816065625</v>
          </cell>
          <cell r="AY61">
            <v>1.4027487451783656</v>
          </cell>
          <cell r="AZ61">
            <v>1.1772650352632208</v>
          </cell>
          <cell r="BA61">
            <v>2.580013780441587</v>
          </cell>
          <cell r="BB61">
            <v>0.8253807998081788</v>
          </cell>
          <cell r="BC61">
            <v>3.4053945802497663</v>
          </cell>
          <cell r="BD61">
            <v>1.0788442026967806</v>
          </cell>
          <cell r="BE61">
            <v>4.4168945086631544</v>
          </cell>
          <cell r="BF61">
            <v>5.6266076649353565</v>
          </cell>
          <cell r="BG61">
            <v>6.1218957925715323</v>
          </cell>
          <cell r="BH61">
            <v>6.5289409651688954</v>
          </cell>
          <cell r="BI61">
            <v>7.1590816652315352</v>
          </cell>
          <cell r="BJ61">
            <v>7.2844070617315415</v>
          </cell>
          <cell r="BK61">
            <v>7.9444428953145145</v>
          </cell>
          <cell r="BL61">
            <v>8.9284223072312212</v>
          </cell>
          <cell r="BM61">
            <v>8.3799126366128895</v>
          </cell>
          <cell r="BN61">
            <v>8.21185035693704</v>
          </cell>
          <cell r="BO61">
            <v>8.1960124600283759</v>
          </cell>
        </row>
        <row r="62">
          <cell r="A62" t="str">
            <v>ModelWare EPS</v>
          </cell>
          <cell r="B62">
            <v>2.8342889040245698</v>
          </cell>
          <cell r="C62">
            <v>2.6700091611247632</v>
          </cell>
          <cell r="D62">
            <v>0.79503246238922942</v>
          </cell>
          <cell r="E62">
            <v>0.66755045897098031</v>
          </cell>
          <cell r="F62">
            <v>-8.9818170608565173E-2</v>
          </cell>
          <cell r="G62">
            <v>1.5086280422132283</v>
          </cell>
          <cell r="H62">
            <v>0.60929702344591696</v>
          </cell>
          <cell r="I62">
            <v>2.8291327163306801</v>
          </cell>
          <cell r="J62">
            <v>3.4384936141293072</v>
          </cell>
          <cell r="K62">
            <v>0.92484188775041321</v>
          </cell>
          <cell r="L62">
            <v>0.6963933474310281</v>
          </cell>
          <cell r="M62">
            <v>1.6211905761968319</v>
          </cell>
          <cell r="N62">
            <v>0.33236988804846923</v>
          </cell>
          <cell r="O62">
            <v>1.9534455669454511</v>
          </cell>
          <cell r="P62">
            <v>0.12739083757197228</v>
          </cell>
          <cell r="Q62">
            <v>2.080716889978889</v>
          </cell>
          <cell r="R62">
            <v>0.51553723511167671</v>
          </cell>
          <cell r="S62">
            <v>0.64421796646989826</v>
          </cell>
          <cell r="T62">
            <v>1.159931202722895</v>
          </cell>
          <cell r="U62">
            <v>0.30110727374949398</v>
          </cell>
          <cell r="V62">
            <v>1.4569653033680439</v>
          </cell>
          <cell r="W62">
            <v>0.18886061360329101</v>
          </cell>
          <cell r="X62">
            <v>1.6452661546876841</v>
          </cell>
          <cell r="Y62">
            <v>0.72560164469706134</v>
          </cell>
          <cell r="Z62">
            <v>0.64215745555689929</v>
          </cell>
          <cell r="AA62">
            <v>1.3677591002539606</v>
          </cell>
          <cell r="AB62">
            <v>0.33861410085862864</v>
          </cell>
          <cell r="AC62">
            <v>1.7063732011125892</v>
          </cell>
          <cell r="AD62">
            <v>-0.13302696819446125</v>
          </cell>
          <cell r="AE62">
            <v>1.5732552736871153</v>
          </cell>
          <cell r="AF62">
            <v>0.82713805319138112</v>
          </cell>
          <cell r="AG62">
            <v>0.90332182124848193</v>
          </cell>
          <cell r="AH62">
            <v>1.7316691405994995</v>
          </cell>
          <cell r="AI62">
            <v>0.77634887448664713</v>
          </cell>
          <cell r="AJ62">
            <v>2.5080180150861469</v>
          </cell>
          <cell r="AK62">
            <v>0.48128793153533583</v>
          </cell>
          <cell r="AL62">
            <v>2.9868874143022093</v>
          </cell>
          <cell r="AM62">
            <v>1.2304283174301611</v>
          </cell>
          <cell r="AN62">
            <v>1.2576368060219829</v>
          </cell>
          <cell r="AO62">
            <v>0.5973774828604419</v>
          </cell>
          <cell r="AP62">
            <v>0.58286628894480363</v>
          </cell>
          <cell r="AQ62">
            <v>1.8663007730390322</v>
          </cell>
          <cell r="AR62">
            <v>0.63849253228808367</v>
          </cell>
          <cell r="AS62">
            <v>0.62277207221280884</v>
          </cell>
          <cell r="AT62">
            <v>2.5036848113474495</v>
          </cell>
          <cell r="AU62">
            <v>0.45418021512348383</v>
          </cell>
          <cell r="AV62">
            <v>0.44259141442696709</v>
          </cell>
          <cell r="AW62">
            <v>2.957865026470933</v>
          </cell>
          <cell r="AX62">
            <v>2.9058665816065625</v>
          </cell>
          <cell r="AY62">
            <v>1.4027487451783656</v>
          </cell>
          <cell r="AZ62">
            <v>1.1772650352632208</v>
          </cell>
          <cell r="BA62">
            <v>2.580013780441587</v>
          </cell>
          <cell r="BB62">
            <v>0.8253807998081788</v>
          </cell>
          <cell r="BC62">
            <v>3.4053945802497663</v>
          </cell>
          <cell r="BD62">
            <v>1.0788442026967806</v>
          </cell>
          <cell r="BE62">
            <v>4.4168945086631544</v>
          </cell>
          <cell r="BF62">
            <v>5.6266076649353565</v>
          </cell>
          <cell r="BG62">
            <v>6.1218957925715323</v>
          </cell>
          <cell r="BH62">
            <v>6.5289409651688954</v>
          </cell>
          <cell r="BI62">
            <v>7.1590816652315352</v>
          </cell>
          <cell r="BJ62">
            <v>7.2844070617315415</v>
          </cell>
          <cell r="BK62">
            <v>7.9444428953145145</v>
          </cell>
          <cell r="BL62">
            <v>8.9284223072312212</v>
          </cell>
          <cell r="BM62">
            <v>8.3787033704532536</v>
          </cell>
          <cell r="BN62">
            <v>8.2094318246177664</v>
          </cell>
          <cell r="BO62">
            <v>8.1923846615494664</v>
          </cell>
        </row>
        <row r="63">
          <cell r="A63" t="str">
            <v>Core EPS</v>
          </cell>
          <cell r="B63">
            <v>3.7913748672676495</v>
          </cell>
          <cell r="C63">
            <v>3.7460961078032393</v>
          </cell>
          <cell r="D63">
            <v>1.256272669576874</v>
          </cell>
          <cell r="E63">
            <v>1.190667273182785</v>
          </cell>
          <cell r="F63">
            <v>0.89454042889881802</v>
          </cell>
          <cell r="G63">
            <v>0.88721407792266282</v>
          </cell>
          <cell r="H63">
            <v>0.97220501151430172</v>
          </cell>
          <cell r="I63">
            <v>3.4772480618993558</v>
          </cell>
          <cell r="J63">
            <v>4.4495296821030852</v>
          </cell>
          <cell r="K63">
            <v>1.4382383687457214</v>
          </cell>
          <cell r="L63">
            <v>1.1780451922570179</v>
          </cell>
          <cell r="M63">
            <v>2.6162326963176419</v>
          </cell>
          <cell r="N63">
            <v>0.846694094371648</v>
          </cell>
          <cell r="O63">
            <v>3.4628159304734893</v>
          </cell>
          <cell r="P63">
            <v>2.3654691458441461</v>
          </cell>
          <cell r="Q63">
            <v>4.1723529939576673</v>
          </cell>
          <cell r="R63">
            <v>0.82849866254417703</v>
          </cell>
          <cell r="S63">
            <v>0.9166785725896861</v>
          </cell>
          <cell r="T63">
            <v>1.7453510260407197</v>
          </cell>
          <cell r="U63">
            <v>0.77393034216737411</v>
          </cell>
          <cell r="V63">
            <v>2.7371085499682284</v>
          </cell>
          <cell r="W63">
            <v>0.89950920453362326</v>
          </cell>
          <cell r="X63">
            <v>3.6355660504246621</v>
          </cell>
          <cell r="Y63">
            <v>1.0896118031200872</v>
          </cell>
          <cell r="Z63">
            <v>1.159753295440803</v>
          </cell>
          <cell r="AA63">
            <v>2.2493650985608902</v>
          </cell>
          <cell r="AB63">
            <v>0.94449147418067481</v>
          </cell>
          <cell r="AC63">
            <v>3.1938565727415651</v>
          </cell>
          <cell r="AD63">
            <v>0.99649292538396428</v>
          </cell>
          <cell r="AE63">
            <v>4.1901072431405488</v>
          </cell>
          <cell r="AF63">
            <v>1.4511193915638265</v>
          </cell>
          <cell r="AG63">
            <v>1.2927055246514421</v>
          </cell>
          <cell r="AH63">
            <v>2.7450341823749049</v>
          </cell>
          <cell r="AI63">
            <v>1.1149433991848734</v>
          </cell>
          <cell r="AJ63">
            <v>3.8599775815597783</v>
          </cell>
          <cell r="AK63">
            <v>0.97587779082667347</v>
          </cell>
          <cell r="AL63">
            <v>4.8334368400671783</v>
          </cell>
          <cell r="AM63">
            <v>1.6379510132276691</v>
          </cell>
          <cell r="AN63">
            <v>1.6663687679791275</v>
          </cell>
          <cell r="AO63">
            <v>1.4692583839583744</v>
          </cell>
          <cell r="AP63">
            <v>1.45</v>
          </cell>
          <cell r="AQ63">
            <v>3.1457043699344727</v>
          </cell>
          <cell r="AR63">
            <v>1.2044290949979759</v>
          </cell>
          <cell r="AS63">
            <v>1.17</v>
          </cell>
          <cell r="AT63">
            <v>4.3490249709527822</v>
          </cell>
          <cell r="AU63">
            <v>1.0491391656646527</v>
          </cell>
          <cell r="AV63">
            <v>1.01</v>
          </cell>
          <cell r="AW63">
            <v>5.3522120225512468</v>
          </cell>
          <cell r="AX63">
            <v>5.3</v>
          </cell>
          <cell r="AY63">
            <v>1.7038560189278595</v>
          </cell>
          <cell r="AZ63">
            <v>1.4974297361413029</v>
          </cell>
          <cell r="BA63">
            <v>3.1815747166670891</v>
          </cell>
          <cell r="BB63">
            <v>1.1455455006862609</v>
          </cell>
          <cell r="BC63">
            <v>4.3271202173533494</v>
          </cell>
          <cell r="BD63">
            <v>1.4233669473698574</v>
          </cell>
          <cell r="BE63">
            <v>5.6831428904398136</v>
          </cell>
          <cell r="BF63">
            <v>6.764993874460747</v>
          </cell>
          <cell r="BG63">
            <v>7.3024651192861239</v>
          </cell>
          <cell r="BH63">
            <v>7.7527789358044039</v>
          </cell>
          <cell r="BI63">
            <v>8.4273099716573032</v>
          </cell>
          <cell r="BJ63">
            <v>8.599549025048761</v>
          </cell>
          <cell r="BK63">
            <v>9.3091419265931989</v>
          </cell>
          <cell r="BL63">
            <v>10.345448033530376</v>
          </cell>
          <cell r="BM63">
            <v>9.8521673308712572</v>
          </cell>
          <cell r="BN63">
            <v>9.742375686976537</v>
          </cell>
          <cell r="BO63">
            <v>9.7879965726735438</v>
          </cell>
          <cell r="BQ63" t="str">
            <v>mstag:adjEpsForConsensus</v>
          </cell>
          <cell r="BR63">
            <v>0</v>
          </cell>
          <cell r="BS63" t="str">
            <v>ISO4217:EUR</v>
          </cell>
          <cell r="BT63" t="b">
            <v>0</v>
          </cell>
        </row>
        <row r="64">
          <cell r="A64" t="str">
            <v>% Growth</v>
          </cell>
          <cell r="C64">
            <v>-1.1942569925047164E-2</v>
          </cell>
          <cell r="J64">
            <v>0.18777777025916964</v>
          </cell>
          <cell r="K64">
            <v>0.14484570394270802</v>
          </cell>
          <cell r="L64">
            <v>-1.0600846441362943E-2</v>
          </cell>
          <cell r="M64">
            <v>1.9246668029730443</v>
          </cell>
          <cell r="N64">
            <v>-4.5671033135417538E-2</v>
          </cell>
          <cell r="O64">
            <v>2.561816581340004</v>
          </cell>
          <cell r="P64">
            <v>-0.31972953791738679</v>
          </cell>
          <cell r="Q64">
            <v>-6.2293479973912547E-2</v>
          </cell>
          <cell r="R64">
            <v>-0.42394899166352695</v>
          </cell>
          <cell r="S64">
            <v>-0.22186468005236648</v>
          </cell>
          <cell r="T64">
            <v>-0.33287622752467383</v>
          </cell>
          <cell r="U64">
            <v>-8.5938655634859029E-2</v>
          </cell>
          <cell r="V64">
            <v>-0.20957145718283421</v>
          </cell>
          <cell r="W64">
            <v>-0.61973327527270594</v>
          </cell>
          <cell r="X64">
            <v>-0.12865329091531119</v>
          </cell>
          <cell r="Y64">
            <v>0.31516422702974145</v>
          </cell>
          <cell r="Z64">
            <v>0.26516898083961138</v>
          </cell>
          <cell r="AA64">
            <v>0.28877518905953981</v>
          </cell>
          <cell r="AB64">
            <v>0.22038305351312126</v>
          </cell>
          <cell r="AC64">
            <v>0.16687245479491075</v>
          </cell>
          <cell r="AD64">
            <v>0.10781848630512347</v>
          </cell>
          <cell r="AE64">
            <v>0.15253228383819684</v>
          </cell>
          <cell r="AF64">
            <v>0.3317764982065794</v>
          </cell>
          <cell r="AG64">
            <v>0.11463837156858969</v>
          </cell>
          <cell r="AH64">
            <v>0.22035955129344553</v>
          </cell>
          <cell r="AI64">
            <v>0.1804695221331265</v>
          </cell>
          <cell r="AJ64">
            <v>0.2085632193077549</v>
          </cell>
          <cell r="AK64">
            <v>-2.0687687822116274E-2</v>
          </cell>
          <cell r="AL64">
            <v>0.15353535353535341</v>
          </cell>
          <cell r="AM64">
            <v>0.12874999999999992</v>
          </cell>
          <cell r="AN64">
            <v>0.14833333333333343</v>
          </cell>
          <cell r="AO64">
            <v>0.13657623947614606</v>
          </cell>
          <cell r="AP64">
            <v>0.12167850477081377</v>
          </cell>
          <cell r="AQ64">
            <v>0.14596182085168863</v>
          </cell>
          <cell r="AR64">
            <v>8.0260303687635481E-2</v>
          </cell>
          <cell r="AS64">
            <v>4.9380624034706999E-2</v>
          </cell>
          <cell r="AT64">
            <v>0.12669695071010878</v>
          </cell>
          <cell r="AU64">
            <v>7.507228418009082E-2</v>
          </cell>
          <cell r="AV64">
            <v>-0.7910389576982737</v>
          </cell>
          <cell r="AW64">
            <v>0.1073304978734051</v>
          </cell>
          <cell r="AX64">
            <v>2.180568492307692</v>
          </cell>
          <cell r="AY64">
            <v>4.0236249538575075E-2</v>
          </cell>
          <cell r="AZ64">
            <v>1.9173858383595643E-2</v>
          </cell>
          <cell r="BA64">
            <v>1.1402961789878541E-2</v>
          </cell>
          <cell r="BB64">
            <v>-4.8889216107664613E-2</v>
          </cell>
          <cell r="BC64">
            <v>-5.0367044902558389E-3</v>
          </cell>
          <cell r="BD64">
            <v>0.35669984874515959</v>
          </cell>
          <cell r="BE64">
            <v>6.1830672345229987E-2</v>
          </cell>
          <cell r="BF64">
            <v>0.1903613906736048</v>
          </cell>
          <cell r="BG64">
            <v>7.9448888616801661E-2</v>
          </cell>
          <cell r="BH64">
            <v>6.1666000338568061E-2</v>
          </cell>
          <cell r="BI64">
            <v>8.7005065079017729E-2</v>
          </cell>
          <cell r="BJ64">
            <v>2.0438200798443606E-2</v>
          </cell>
          <cell r="BK64">
            <v>8.2515129511737895E-2</v>
          </cell>
          <cell r="BL64">
            <v>0.11132133499617036</v>
          </cell>
          <cell r="BM64">
            <v>-4.7680941517502129E-2</v>
          </cell>
          <cell r="BN64">
            <v>-1.1143907752225624E-2</v>
          </cell>
          <cell r="BO64">
            <v>4.6827270024079048E-3</v>
          </cell>
        </row>
        <row r="65">
          <cell r="A65" t="str">
            <v>Consensus core EPS</v>
          </cell>
          <cell r="AY65">
            <v>1.73</v>
          </cell>
          <cell r="BE65">
            <v>5.87</v>
          </cell>
          <cell r="BF65">
            <v>6.5</v>
          </cell>
          <cell r="BG65">
            <v>7.27</v>
          </cell>
          <cell r="BH65">
            <v>7.9</v>
          </cell>
          <cell r="BI65">
            <v>8.59</v>
          </cell>
          <cell r="BQ65" t="str">
            <v>mstag:tag017</v>
          </cell>
          <cell r="BR65">
            <v>6</v>
          </cell>
          <cell r="BS65" t="str">
            <v>ISO4217:EUR</v>
          </cell>
          <cell r="BT65" t="b">
            <v>0</v>
          </cell>
        </row>
        <row r="66">
          <cell r="A66" t="str">
            <v>MS vs. Consensus</v>
          </cell>
          <cell r="AY66">
            <v>-1.5112127787364371E-2</v>
          </cell>
          <cell r="BE66">
            <v>-3.1832556994921046E-2</v>
          </cell>
          <cell r="BF66">
            <v>4.0768288378576489E-2</v>
          </cell>
          <cell r="BG66">
            <v>4.465628512534181E-3</v>
          </cell>
          <cell r="BH66">
            <v>-1.8635577746277998E-2</v>
          </cell>
          <cell r="BI66">
            <v>-1.8939467793096187E-2</v>
          </cell>
        </row>
        <row r="68">
          <cell r="A68" t="str">
            <v>DPS</v>
          </cell>
          <cell r="B68">
            <v>0.9502423528767423</v>
          </cell>
          <cell r="C68">
            <v>0.99955517178219111</v>
          </cell>
          <cell r="J68">
            <v>1.3501810812626893</v>
          </cell>
          <cell r="Q68">
            <v>1.3998968150449094</v>
          </cell>
          <cell r="X68">
            <v>1.4</v>
          </cell>
          <cell r="AE68">
            <v>1.5</v>
          </cell>
          <cell r="AL68">
            <v>1.65</v>
          </cell>
          <cell r="AW68">
            <v>1.9</v>
          </cell>
          <cell r="BE68">
            <v>1.9891000116539346</v>
          </cell>
          <cell r="BF68">
            <v>2.3677478560612615</v>
          </cell>
          <cell r="BG68">
            <v>2.5558627917501431</v>
          </cell>
          <cell r="BH68">
            <v>2.7134726275315413</v>
          </cell>
          <cell r="BI68">
            <v>2.9495584900800558</v>
          </cell>
          <cell r="BJ68">
            <v>3.0098421587670661</v>
          </cell>
          <cell r="BK68">
            <v>3.2581996743076194</v>
          </cell>
          <cell r="BL68">
            <v>3.6209068117356313</v>
          </cell>
          <cell r="BM68">
            <v>3.4482585658049398</v>
          </cell>
          <cell r="BN68">
            <v>3.4098314904417877</v>
          </cell>
          <cell r="BO68">
            <v>3.4257988004357403</v>
          </cell>
          <cell r="BQ68" t="str">
            <v>mstag:dividendsPerShare</v>
          </cell>
          <cell r="BR68">
            <v>0</v>
          </cell>
          <cell r="BS68" t="str">
            <v>ISO4217:EUR</v>
          </cell>
          <cell r="BT68" t="b">
            <v>0</v>
          </cell>
        </row>
        <row r="69">
          <cell r="A69" t="str">
            <v>Dividends to Shareholders</v>
          </cell>
          <cell r="B69">
            <v>-694</v>
          </cell>
          <cell r="C69">
            <v>-764</v>
          </cell>
          <cell r="J69">
            <v>-1032</v>
          </cell>
          <cell r="Q69">
            <v>-1070</v>
          </cell>
          <cell r="X69">
            <v>-1157.7269311999999</v>
          </cell>
          <cell r="AE69">
            <v>-1240.4217120000001</v>
          </cell>
          <cell r="AL69">
            <v>-1364.4638832000001</v>
          </cell>
          <cell r="AW69">
            <v>-1571.2008352</v>
          </cell>
          <cell r="BE69">
            <v>-1644.8818945299956</v>
          </cell>
          <cell r="BF69">
            <v>-1958.0038994665597</v>
          </cell>
          <cell r="BG69">
            <v>-2113.5651331865415</v>
          </cell>
          <cell r="BH69">
            <v>-2243.9002414052084</v>
          </cell>
          <cell r="BI69">
            <v>-2439.1309279394918</v>
          </cell>
          <cell r="BJ69">
            <v>-2488.9823756184132</v>
          </cell>
          <cell r="BK69">
            <v>-2694.3610786949998</v>
          </cell>
          <cell r="BL69">
            <v>-2994.300950937049</v>
          </cell>
          <cell r="BM69">
            <v>-2851.529862409619</v>
          </cell>
          <cell r="BN69">
            <v>-2819.7526766702094</v>
          </cell>
          <cell r="BO69">
            <v>-2832.9568086693648</v>
          </cell>
        </row>
        <row r="70">
          <cell r="A70" t="str">
            <v>Payout as % core EPS</v>
          </cell>
          <cell r="B70">
            <v>0.2506326560004758</v>
          </cell>
          <cell r="C70">
            <v>0.2668258216066815</v>
          </cell>
          <cell r="J70">
            <v>0.30344354970670107</v>
          </cell>
          <cell r="Q70">
            <v>0.33551734886099444</v>
          </cell>
          <cell r="X70">
            <v>0.38508446293706289</v>
          </cell>
          <cell r="AE70">
            <v>0.35798606406926409</v>
          </cell>
          <cell r="AL70">
            <v>0.34137199979984989</v>
          </cell>
          <cell r="AW70">
            <v>0.35499341057388156</v>
          </cell>
          <cell r="BE70">
            <v>0.35</v>
          </cell>
          <cell r="BF70">
            <v>0.35</v>
          </cell>
          <cell r="BG70">
            <v>0.35</v>
          </cell>
          <cell r="BH70">
            <v>0.35</v>
          </cell>
          <cell r="BI70">
            <v>0.35</v>
          </cell>
          <cell r="BJ70">
            <v>0.35</v>
          </cell>
          <cell r="BK70">
            <v>0.35</v>
          </cell>
          <cell r="BL70">
            <v>0.35</v>
          </cell>
          <cell r="BM70">
            <v>0.35</v>
          </cell>
          <cell r="BN70">
            <v>0.35</v>
          </cell>
          <cell r="BO70">
            <v>0.35</v>
          </cell>
        </row>
        <row r="72">
          <cell r="A72" t="str">
            <v>Depreciation/writedowns</v>
          </cell>
          <cell r="B72">
            <v>1058</v>
          </cell>
          <cell r="C72">
            <v>1179</v>
          </cell>
          <cell r="D72">
            <v>305</v>
          </cell>
          <cell r="E72">
            <v>572</v>
          </cell>
          <cell r="F72">
            <v>877</v>
          </cell>
          <cell r="G72">
            <v>265</v>
          </cell>
          <cell r="H72">
            <v>1142</v>
          </cell>
          <cell r="I72">
            <v>30</v>
          </cell>
          <cell r="J72">
            <v>1249</v>
          </cell>
          <cell r="K72">
            <v>305</v>
          </cell>
          <cell r="L72">
            <v>572</v>
          </cell>
          <cell r="M72">
            <v>877</v>
          </cell>
          <cell r="N72">
            <v>265</v>
          </cell>
          <cell r="O72">
            <v>1142</v>
          </cell>
          <cell r="P72">
            <v>30</v>
          </cell>
          <cell r="Q72">
            <v>1305</v>
          </cell>
          <cell r="R72">
            <v>310</v>
          </cell>
          <cell r="S72">
            <v>320</v>
          </cell>
          <cell r="T72">
            <v>630</v>
          </cell>
          <cell r="U72">
            <v>314</v>
          </cell>
          <cell r="V72">
            <v>944</v>
          </cell>
          <cell r="W72">
            <v>328</v>
          </cell>
          <cell r="X72">
            <v>1272</v>
          </cell>
          <cell r="Y72">
            <v>292</v>
          </cell>
          <cell r="Z72">
            <v>309</v>
          </cell>
          <cell r="AA72">
            <v>601</v>
          </cell>
          <cell r="AB72">
            <v>313</v>
          </cell>
          <cell r="AC72">
            <v>914</v>
          </cell>
          <cell r="AD72">
            <v>334</v>
          </cell>
          <cell r="AE72">
            <v>1248</v>
          </cell>
          <cell r="AF72">
            <v>352</v>
          </cell>
          <cell r="AG72">
            <v>301</v>
          </cell>
          <cell r="AH72">
            <v>653</v>
          </cell>
          <cell r="AI72">
            <v>309</v>
          </cell>
          <cell r="AJ72">
            <v>962</v>
          </cell>
          <cell r="AK72">
            <v>382</v>
          </cell>
          <cell r="AL72">
            <v>1344</v>
          </cell>
          <cell r="AM72">
            <v>311</v>
          </cell>
          <cell r="AN72">
            <v>318</v>
          </cell>
          <cell r="AO72">
            <v>337</v>
          </cell>
          <cell r="AQ72">
            <v>652</v>
          </cell>
          <cell r="AR72">
            <v>337</v>
          </cell>
          <cell r="AT72">
            <v>985</v>
          </cell>
          <cell r="AU72">
            <v>338</v>
          </cell>
          <cell r="AW72">
            <v>1323</v>
          </cell>
          <cell r="AY72">
            <v>324</v>
          </cell>
          <cell r="AZ72">
            <v>343.59495342823698</v>
          </cell>
          <cell r="BA72">
            <v>667.59495342823698</v>
          </cell>
          <cell r="BB72">
            <v>343.59495342823698</v>
          </cell>
          <cell r="BC72">
            <v>1011.189906856474</v>
          </cell>
          <cell r="BD72">
            <v>363.18990685647395</v>
          </cell>
          <cell r="BE72">
            <v>1374.3798137129479</v>
          </cell>
          <cell r="BF72">
            <v>1432.5669459535131</v>
          </cell>
          <cell r="BG72">
            <v>1493.8217661520782</v>
          </cell>
          <cell r="BH72">
            <v>1558.1080278698048</v>
          </cell>
          <cell r="BI72">
            <v>1625.9896682505512</v>
          </cell>
          <cell r="BJ72">
            <v>1695.4500400218803</v>
          </cell>
          <cell r="BK72">
            <v>1767.34390766309</v>
          </cell>
          <cell r="BL72">
            <v>1842.3556982348678</v>
          </cell>
          <cell r="BM72">
            <v>1916.47261831726</v>
          </cell>
          <cell r="BN72">
            <v>1990.9066512635695</v>
          </cell>
          <cell r="BO72">
            <v>2066.2481118883702</v>
          </cell>
        </row>
        <row r="73">
          <cell r="A73" t="str">
            <v>Amortisation</v>
          </cell>
          <cell r="B73">
            <v>550</v>
          </cell>
          <cell r="C73">
            <v>734</v>
          </cell>
          <cell r="D73">
            <v>293</v>
          </cell>
          <cell r="E73">
            <v>325</v>
          </cell>
          <cell r="F73">
            <v>618</v>
          </cell>
          <cell r="G73">
            <v>479</v>
          </cell>
          <cell r="H73">
            <v>1097</v>
          </cell>
          <cell r="I73">
            <v>366</v>
          </cell>
          <cell r="J73">
            <v>1463</v>
          </cell>
          <cell r="K73">
            <v>407</v>
          </cell>
          <cell r="L73">
            <v>378</v>
          </cell>
          <cell r="M73">
            <v>785</v>
          </cell>
          <cell r="N73">
            <v>385</v>
          </cell>
          <cell r="O73">
            <v>1170</v>
          </cell>
          <cell r="P73">
            <v>380</v>
          </cell>
          <cell r="Q73">
            <v>1550</v>
          </cell>
          <cell r="R73">
            <v>378</v>
          </cell>
          <cell r="S73">
            <v>368</v>
          </cell>
          <cell r="T73">
            <v>746</v>
          </cell>
          <cell r="U73">
            <v>366</v>
          </cell>
          <cell r="V73">
            <v>1112</v>
          </cell>
          <cell r="W73">
            <v>425</v>
          </cell>
          <cell r="X73">
            <v>1537</v>
          </cell>
          <cell r="Y73">
            <v>352</v>
          </cell>
          <cell r="Z73">
            <v>480</v>
          </cell>
          <cell r="AA73">
            <v>832</v>
          </cell>
          <cell r="AB73">
            <v>351</v>
          </cell>
          <cell r="AC73">
            <v>1183</v>
          </cell>
          <cell r="AD73">
            <v>1125</v>
          </cell>
          <cell r="AE73">
            <v>2308</v>
          </cell>
          <cell r="AF73">
            <v>366</v>
          </cell>
          <cell r="AG73">
            <v>332</v>
          </cell>
          <cell r="AH73">
            <v>698</v>
          </cell>
          <cell r="AI73">
            <v>323</v>
          </cell>
          <cell r="AJ73">
            <v>1021</v>
          </cell>
          <cell r="AK73">
            <v>404</v>
          </cell>
          <cell r="AL73">
            <v>1425</v>
          </cell>
          <cell r="AM73">
            <v>429</v>
          </cell>
          <cell r="AN73">
            <v>429</v>
          </cell>
          <cell r="AO73">
            <v>474</v>
          </cell>
          <cell r="AQ73">
            <v>903</v>
          </cell>
          <cell r="AR73">
            <v>407</v>
          </cell>
          <cell r="AT73">
            <v>1310</v>
          </cell>
          <cell r="AU73">
            <v>327</v>
          </cell>
          <cell r="AW73">
            <v>1637</v>
          </cell>
          <cell r="AY73">
            <v>321</v>
          </cell>
          <cell r="AZ73">
            <v>338.73897065144473</v>
          </cell>
          <cell r="BA73">
            <v>659.73897065144479</v>
          </cell>
          <cell r="BB73">
            <v>338.73897065144473</v>
          </cell>
          <cell r="BC73">
            <v>998.47794130288958</v>
          </cell>
          <cell r="BD73">
            <v>356.47794130288935</v>
          </cell>
          <cell r="BE73">
            <v>1354.9558826057789</v>
          </cell>
          <cell r="BF73">
            <v>1407.2861240376155</v>
          </cell>
          <cell r="BG73">
            <v>1460.952641413334</v>
          </cell>
          <cell r="BH73">
            <v>1516.0001956372323</v>
          </cell>
          <cell r="BI73">
            <v>1572.4747969882178</v>
          </cell>
          <cell r="BJ73">
            <v>1632.1596365753699</v>
          </cell>
          <cell r="BK73">
            <v>1695.2074961471246</v>
          </cell>
          <cell r="BL73">
            <v>1761.7789511426076</v>
          </cell>
          <cell r="BM73">
            <v>1832.0427572841022</v>
          </cell>
          <cell r="BN73">
            <v>1906.1762565609843</v>
          </cell>
          <cell r="BO73">
            <v>1984.3658035734568</v>
          </cell>
        </row>
        <row r="74">
          <cell r="A74" t="str">
            <v>EBITDA (post exceptionals)</v>
          </cell>
          <cell r="B74">
            <v>4816</v>
          </cell>
          <cell r="C74">
            <v>5275</v>
          </cell>
          <cell r="D74">
            <v>1773</v>
          </cell>
          <cell r="E74">
            <v>1948</v>
          </cell>
          <cell r="F74">
            <v>2442</v>
          </cell>
          <cell r="G74">
            <v>1487</v>
          </cell>
          <cell r="H74">
            <v>3262</v>
          </cell>
          <cell r="I74">
            <v>3059</v>
          </cell>
          <cell r="J74">
            <v>6398</v>
          </cell>
          <cell r="K74">
            <v>2055</v>
          </cell>
          <cell r="L74">
            <v>2055</v>
          </cell>
          <cell r="M74">
            <v>4110</v>
          </cell>
          <cell r="N74">
            <v>1334</v>
          </cell>
          <cell r="O74">
            <v>5444</v>
          </cell>
          <cell r="P74">
            <v>822</v>
          </cell>
          <cell r="Q74">
            <v>6399</v>
          </cell>
          <cell r="R74">
            <v>1661</v>
          </cell>
          <cell r="S74">
            <v>1709</v>
          </cell>
          <cell r="T74">
            <v>3370</v>
          </cell>
          <cell r="U74">
            <v>1326</v>
          </cell>
          <cell r="V74">
            <v>4696</v>
          </cell>
          <cell r="W74">
            <v>1119</v>
          </cell>
          <cell r="X74">
            <v>5815</v>
          </cell>
          <cell r="Y74">
            <v>1748</v>
          </cell>
          <cell r="Z74">
            <v>1800</v>
          </cell>
          <cell r="AA74">
            <v>3548</v>
          </cell>
          <cell r="AB74">
            <v>1220</v>
          </cell>
          <cell r="AC74">
            <v>4768</v>
          </cell>
          <cell r="AD74">
            <v>1518</v>
          </cell>
          <cell r="AE74">
            <v>6286</v>
          </cell>
          <cell r="AF74">
            <v>1866</v>
          </cell>
          <cell r="AG74">
            <v>1906</v>
          </cell>
          <cell r="AH74">
            <v>3773</v>
          </cell>
          <cell r="AI74">
            <v>1731</v>
          </cell>
          <cell r="AJ74">
            <v>5504</v>
          </cell>
          <cell r="AK74">
            <v>1416</v>
          </cell>
          <cell r="AL74">
            <v>6918</v>
          </cell>
          <cell r="AM74">
            <v>2377</v>
          </cell>
          <cell r="AN74">
            <v>2378</v>
          </cell>
          <cell r="AO74">
            <v>1561</v>
          </cell>
          <cell r="AQ74">
            <v>3942</v>
          </cell>
          <cell r="AR74">
            <v>1582</v>
          </cell>
          <cell r="AT74">
            <v>5520</v>
          </cell>
          <cell r="AU74">
            <v>1400</v>
          </cell>
          <cell r="AW74">
            <v>6920</v>
          </cell>
          <cell r="AY74">
            <v>2416</v>
          </cell>
          <cell r="AZ74">
            <v>2201.4611476673058</v>
          </cell>
          <cell r="BA74">
            <v>4617.4611476673072</v>
          </cell>
          <cell r="BB74">
            <v>1805.5565256546488</v>
          </cell>
          <cell r="BC74">
            <v>6423.017673321956</v>
          </cell>
          <cell r="BD74">
            <v>2109.8018394185347</v>
          </cell>
          <cell r="BE74">
            <v>8477.1293127404879</v>
          </cell>
          <cell r="BF74">
            <v>9873.3934878171785</v>
          </cell>
          <cell r="BG74">
            <v>10519.289144071932</v>
          </cell>
          <cell r="BH74">
            <v>10914.790211630987</v>
          </cell>
          <cell r="BI74">
            <v>11527.120553421693</v>
          </cell>
          <cell r="BJ74">
            <v>11698.609424472626</v>
          </cell>
          <cell r="BK74">
            <v>12461.220796365389</v>
          </cell>
          <cell r="BL74">
            <v>13586.918587474431</v>
          </cell>
          <cell r="BM74">
            <v>12994.13043369212</v>
          </cell>
          <cell r="BN74">
            <v>12953.537514853922</v>
          </cell>
          <cell r="BO74">
            <v>13088.018368258832</v>
          </cell>
        </row>
        <row r="75">
          <cell r="A75" t="str">
            <v>Margin %</v>
          </cell>
          <cell r="B75">
            <v>0.18964363063595197</v>
          </cell>
          <cell r="C75">
            <v>0.17778901247050893</v>
          </cell>
          <cell r="D75">
            <v>0.21271745650869825</v>
          </cell>
          <cell r="E75">
            <v>0.23326547718836069</v>
          </cell>
          <cell r="F75">
            <v>0.15849938339715713</v>
          </cell>
          <cell r="G75">
            <v>0.18920982313271409</v>
          </cell>
          <cell r="H75">
            <v>0.14434267002964732</v>
          </cell>
          <cell r="I75">
            <v>0.29275528758732894</v>
          </cell>
          <cell r="J75">
            <v>0.19359719196320505</v>
          </cell>
          <cell r="K75">
            <v>0.24074507966260544</v>
          </cell>
          <cell r="L75">
            <v>0.24145223827987311</v>
          </cell>
          <cell r="M75">
            <v>0.2410981404352672</v>
          </cell>
          <cell r="N75">
            <v>0.16784096628082537</v>
          </cell>
          <cell r="O75">
            <v>0.21780356071214244</v>
          </cell>
          <cell r="P75">
            <v>0.10374858008330178</v>
          </cell>
          <cell r="Q75">
            <v>0.1943921258885716</v>
          </cell>
          <cell r="R75">
            <v>0.21038632045598479</v>
          </cell>
          <cell r="S75">
            <v>0.21338494194031715</v>
          </cell>
          <cell r="T75">
            <v>0.21189637826961771</v>
          </cell>
          <cell r="U75">
            <v>0.17938311688311689</v>
          </cell>
          <cell r="V75">
            <v>0.20157967032967034</v>
          </cell>
          <cell r="W75">
            <v>0.14214939024390244</v>
          </cell>
          <cell r="X75">
            <v>0.18656955852156057</v>
          </cell>
          <cell r="Y75">
            <v>0.21019721019721019</v>
          </cell>
          <cell r="Z75">
            <v>0.19609979300577404</v>
          </cell>
          <cell r="AA75">
            <v>0.20280080022863675</v>
          </cell>
          <cell r="AB75">
            <v>0.1421745717282368</v>
          </cell>
          <cell r="AC75">
            <v>0.18285013038809633</v>
          </cell>
          <cell r="AD75">
            <v>0.16844207723035953</v>
          </cell>
          <cell r="AE75">
            <v>0.17914956680346558</v>
          </cell>
          <cell r="AF75">
            <v>0.198194370685077</v>
          </cell>
          <cell r="AG75">
            <v>0.20600951145698226</v>
          </cell>
          <cell r="AH75">
            <v>0.20211056353117635</v>
          </cell>
          <cell r="AI75">
            <v>0.19965397923875433</v>
          </cell>
          <cell r="AJ75">
            <v>0.201331479991221</v>
          </cell>
          <cell r="AK75">
            <v>0.15404699738903394</v>
          </cell>
          <cell r="AL75">
            <v>0.18938896189224705</v>
          </cell>
          <cell r="AM75">
            <v>0.23637629276054098</v>
          </cell>
          <cell r="AN75">
            <v>0.23652277700417745</v>
          </cell>
          <cell r="AO75">
            <v>0.15338508401297044</v>
          </cell>
          <cell r="AQ75">
            <v>0.19483022784559878</v>
          </cell>
          <cell r="AR75">
            <v>0.16368339368856699</v>
          </cell>
          <cell r="AT75">
            <v>0.18462773429660848</v>
          </cell>
          <cell r="AU75">
            <v>0.14195903467856419</v>
          </cell>
          <cell r="AW75">
            <v>0.17404426559356137</v>
          </cell>
          <cell r="AY75">
            <v>0.23533995714007402</v>
          </cell>
          <cell r="AZ75">
            <v>0.21180325629979382</v>
          </cell>
          <cell r="BA75">
            <v>0.22366035996348788</v>
          </cell>
          <cell r="BB75">
            <v>0.18247519099937937</v>
          </cell>
          <cell r="BC75">
            <v>0.21031647493537481</v>
          </cell>
          <cell r="BD75">
            <v>0.19800425679498695</v>
          </cell>
          <cell r="BE75">
            <v>0.20577998946228732</v>
          </cell>
          <cell r="BF75">
            <v>0.21754404202647742</v>
          </cell>
          <cell r="BG75">
            <v>0.22076638901241447</v>
          </cell>
          <cell r="BH75">
            <v>0.21862098362704602</v>
          </cell>
          <cell r="BI75">
            <v>0.21941226247510598</v>
          </cell>
          <cell r="BJ75">
            <v>0.2162128534907572</v>
          </cell>
          <cell r="BK75">
            <v>0.22192128213999965</v>
          </cell>
          <cell r="BL75">
            <v>0.23190510613457913</v>
          </cell>
          <cell r="BM75">
            <v>0.2205682714575132</v>
          </cell>
          <cell r="BN75">
            <v>0.21634474929431746</v>
          </cell>
          <cell r="BO75">
            <v>0.21400999054773889</v>
          </cell>
        </row>
        <row r="76">
          <cell r="A76" t="str">
            <v>growth</v>
          </cell>
          <cell r="R76">
            <v>-0.19172749391727495</v>
          </cell>
          <cell r="S76">
            <v>-0.16836982968369829</v>
          </cell>
          <cell r="T76">
            <v>-0.18004866180048662</v>
          </cell>
          <cell r="U76">
            <v>-5.9970014992504206E-3</v>
          </cell>
          <cell r="V76">
            <v>-0.13739897134459955</v>
          </cell>
          <cell r="W76">
            <v>0.36131386861313874</v>
          </cell>
          <cell r="X76">
            <v>-9.1264260040631373E-2</v>
          </cell>
          <cell r="Y76">
            <v>5.2378085490668358E-2</v>
          </cell>
          <cell r="Z76">
            <v>5.3247513165593841E-2</v>
          </cell>
          <cell r="AA76">
            <v>5.2818991097922874E-2</v>
          </cell>
          <cell r="AB76">
            <v>-7.9939668174962342E-2</v>
          </cell>
          <cell r="AC76">
            <v>1.5332197614991383E-2</v>
          </cell>
          <cell r="AD76">
            <v>0.35656836461126007</v>
          </cell>
          <cell r="AE76">
            <v>8.0997420464316461E-2</v>
          </cell>
          <cell r="AF76">
            <v>6.7505720823798576E-2</v>
          </cell>
          <cell r="AG76">
            <v>5.8888888888888991E-2</v>
          </cell>
          <cell r="AH76">
            <v>6.3416009019165775E-2</v>
          </cell>
          <cell r="AI76">
            <v>0.41885245901639334</v>
          </cell>
          <cell r="AJ76">
            <v>0.15436241610738266</v>
          </cell>
          <cell r="AK76">
            <v>-6.7193675889328008E-2</v>
          </cell>
          <cell r="AL76">
            <v>0.10054088450524978</v>
          </cell>
          <cell r="AM76">
            <v>0.2738478027867095</v>
          </cell>
          <cell r="AN76">
            <v>0.27438370846730975</v>
          </cell>
          <cell r="AO76">
            <v>-0.18100734522560336</v>
          </cell>
          <cell r="AQ76">
            <v>4.4791942751126523E-2</v>
          </cell>
          <cell r="AR76">
            <v>-8.6077411900635448E-2</v>
          </cell>
          <cell r="AT76">
            <v>2.9069767441860517E-3</v>
          </cell>
          <cell r="AU76">
            <v>-1.1299435028248594E-2</v>
          </cell>
          <cell r="AW76">
            <v>2.8910089621270174E-4</v>
          </cell>
          <cell r="AY76">
            <v>1.6407236011779514E-2</v>
          </cell>
          <cell r="AZ76">
            <v>0.41028901195855583</v>
          </cell>
          <cell r="BA76">
            <v>0.17134985988516171</v>
          </cell>
          <cell r="BB76">
            <v>0.14131259523049855</v>
          </cell>
          <cell r="BC76">
            <v>0.16359015821049927</v>
          </cell>
          <cell r="BD76">
            <v>0.50700131387038194</v>
          </cell>
          <cell r="BE76">
            <v>0.22501868681220927</v>
          </cell>
          <cell r="BF76">
            <v>0.16470955243990559</v>
          </cell>
          <cell r="BG76">
            <v>6.541779754364363E-2</v>
          </cell>
          <cell r="BH76">
            <v>3.7597699059535472E-2</v>
          </cell>
          <cell r="BI76">
            <v>5.6100972159611073E-2</v>
          </cell>
          <cell r="BJ76">
            <v>1.48769912014175E-2</v>
          </cell>
          <cell r="BK76">
            <v>6.5188206924614134E-2</v>
          </cell>
          <cell r="BL76">
            <v>9.0336076176210423E-2</v>
          </cell>
          <cell r="BM76">
            <v>-4.3629329929804173E-2</v>
          </cell>
          <cell r="BN76">
            <v>-3.1239426943834303E-3</v>
          </cell>
          <cell r="BO76">
            <v>1.0381785921467435E-2</v>
          </cell>
        </row>
        <row r="77">
          <cell r="A77" t="str">
            <v>EBITDA (pre exceptionals)</v>
          </cell>
          <cell r="B77">
            <v>4861</v>
          </cell>
          <cell r="C77">
            <v>5861</v>
          </cell>
          <cell r="D77">
            <v>1990</v>
          </cell>
          <cell r="E77">
            <v>1871</v>
          </cell>
          <cell r="F77">
            <v>3861</v>
          </cell>
          <cell r="G77">
            <v>1559</v>
          </cell>
          <cell r="H77">
            <v>5420</v>
          </cell>
          <cell r="I77">
            <v>1588</v>
          </cell>
          <cell r="J77">
            <v>7008</v>
          </cell>
          <cell r="K77">
            <v>2185</v>
          </cell>
          <cell r="L77">
            <v>2177</v>
          </cell>
          <cell r="M77">
            <v>4362</v>
          </cell>
          <cell r="N77">
            <v>1493</v>
          </cell>
          <cell r="O77">
            <v>5855</v>
          </cell>
          <cell r="P77">
            <v>1076</v>
          </cell>
          <cell r="Q77">
            <v>6931</v>
          </cell>
          <cell r="R77">
            <v>1695</v>
          </cell>
          <cell r="S77">
            <v>1765</v>
          </cell>
          <cell r="T77">
            <v>3460</v>
          </cell>
          <cell r="U77">
            <v>1499</v>
          </cell>
          <cell r="V77">
            <v>4959</v>
          </cell>
          <cell r="W77">
            <v>1513</v>
          </cell>
          <cell r="X77">
            <v>6472</v>
          </cell>
          <cell r="Y77">
            <v>1825</v>
          </cell>
          <cell r="Z77">
            <v>1923</v>
          </cell>
          <cell r="AA77">
            <v>3748</v>
          </cell>
          <cell r="AB77">
            <v>1656</v>
          </cell>
          <cell r="AC77">
            <v>5404</v>
          </cell>
          <cell r="AD77">
            <v>1697</v>
          </cell>
          <cell r="AE77">
            <v>7101</v>
          </cell>
          <cell r="AF77">
            <v>2232</v>
          </cell>
          <cell r="AG77">
            <v>2035</v>
          </cell>
          <cell r="AH77">
            <v>4268</v>
          </cell>
          <cell r="AI77">
            <v>1805</v>
          </cell>
          <cell r="AJ77">
            <v>6073</v>
          </cell>
          <cell r="AK77">
            <v>1542</v>
          </cell>
          <cell r="AL77">
            <v>7613</v>
          </cell>
          <cell r="AM77">
            <v>2442</v>
          </cell>
          <cell r="AN77">
            <v>2443</v>
          </cell>
          <cell r="AO77">
            <v>2172</v>
          </cell>
          <cell r="AQ77">
            <v>4618</v>
          </cell>
          <cell r="AR77">
            <v>1845</v>
          </cell>
          <cell r="AT77">
            <v>6459</v>
          </cell>
          <cell r="AU77">
            <v>1825</v>
          </cell>
          <cell r="AW77">
            <v>8284</v>
          </cell>
          <cell r="AY77">
            <v>2453</v>
          </cell>
          <cell r="AZ77">
            <v>2259.7944810006393</v>
          </cell>
          <cell r="BA77">
            <v>4712.7944810006402</v>
          </cell>
          <cell r="BB77">
            <v>1863.8898589879821</v>
          </cell>
          <cell r="BC77">
            <v>6576.6843399886229</v>
          </cell>
          <cell r="BD77">
            <v>2171.1351727518677</v>
          </cell>
          <cell r="BE77">
            <v>8692.1293127404879</v>
          </cell>
          <cell r="BF77">
            <v>9873.3934878171785</v>
          </cell>
          <cell r="BG77">
            <v>10519.289144071932</v>
          </cell>
          <cell r="BH77">
            <v>10914.790211630987</v>
          </cell>
          <cell r="BI77">
            <v>11527.120553421693</v>
          </cell>
          <cell r="BJ77">
            <v>11698.609424472626</v>
          </cell>
          <cell r="BK77">
            <v>12461.220796365389</v>
          </cell>
          <cell r="BL77">
            <v>13586.918587474433</v>
          </cell>
          <cell r="BM77">
            <v>12994.13043369212</v>
          </cell>
          <cell r="BN77">
            <v>12953.537514853922</v>
          </cell>
          <cell r="BO77">
            <v>13088.018368258834</v>
          </cell>
        </row>
        <row r="78">
          <cell r="A78" t="str">
            <v>Margin %</v>
          </cell>
          <cell r="B78">
            <v>0.19141563299862177</v>
          </cell>
          <cell r="C78">
            <v>0.19753960229187731</v>
          </cell>
          <cell r="D78">
            <v>0.23875224955008997</v>
          </cell>
          <cell r="E78">
            <v>0.22404502454795833</v>
          </cell>
          <cell r="F78">
            <v>0.25060037645226196</v>
          </cell>
          <cell r="G78">
            <v>0.19837129405776815</v>
          </cell>
          <cell r="H78">
            <v>0.23983362095667951</v>
          </cell>
          <cell r="I78">
            <v>0.15197626567135611</v>
          </cell>
          <cell r="J78">
            <v>0.2120551924473493</v>
          </cell>
          <cell r="K78">
            <v>0.25597469540768508</v>
          </cell>
          <cell r="L78">
            <v>0.2557866290682646</v>
          </cell>
          <cell r="M78">
            <v>0.25588080014078723</v>
          </cell>
          <cell r="N78">
            <v>0.18784599899345747</v>
          </cell>
          <cell r="O78">
            <v>0.23424684936987397</v>
          </cell>
          <cell r="P78">
            <v>0.13580714375867728</v>
          </cell>
          <cell r="Q78">
            <v>0.21055349656722766</v>
          </cell>
          <cell r="R78">
            <v>0.21469284357188093</v>
          </cell>
          <cell r="S78">
            <v>0.22037707578973656</v>
          </cell>
          <cell r="T78">
            <v>0.21755533199195171</v>
          </cell>
          <cell r="U78">
            <v>0.20278679653679654</v>
          </cell>
          <cell r="V78">
            <v>0.21286916208791209</v>
          </cell>
          <cell r="W78">
            <v>0.19220020325203252</v>
          </cell>
          <cell r="X78">
            <v>0.2076488706365503</v>
          </cell>
          <cell r="Y78">
            <v>0.21945646945646946</v>
          </cell>
          <cell r="Z78">
            <v>0.20949994552783527</v>
          </cell>
          <cell r="AA78">
            <v>0.21423263789654187</v>
          </cell>
          <cell r="AB78">
            <v>0.19298450064095093</v>
          </cell>
          <cell r="AC78">
            <v>0.20724037429053535</v>
          </cell>
          <cell r="AD78">
            <v>0.18830448291167332</v>
          </cell>
          <cell r="AE78">
            <v>0.20237688098495213</v>
          </cell>
          <cell r="AF78">
            <v>0.23706850770047797</v>
          </cell>
          <cell r="AG78">
            <v>0.21995244271508863</v>
          </cell>
          <cell r="AH78">
            <v>0.22862652667666594</v>
          </cell>
          <cell r="AI78">
            <v>0.20818915801614762</v>
          </cell>
          <cell r="AJ78">
            <v>0.22214499963420881</v>
          </cell>
          <cell r="AK78">
            <v>0.16775456919060053</v>
          </cell>
          <cell r="AL78">
            <v>0.20841546211125711</v>
          </cell>
          <cell r="AM78">
            <v>0.24284009546539378</v>
          </cell>
          <cell r="AN78">
            <v>0.24298786552615875</v>
          </cell>
          <cell r="AO78">
            <v>0.21342242311093643</v>
          </cell>
          <cell r="AQ78">
            <v>0.22824099243809617</v>
          </cell>
          <cell r="AR78">
            <v>0.1908949818934299</v>
          </cell>
          <cell r="AT78">
            <v>0.21603451735902068</v>
          </cell>
          <cell r="AU78">
            <v>0.18505374163455687</v>
          </cell>
          <cell r="AW78">
            <v>0.20835010060362172</v>
          </cell>
          <cell r="AY78">
            <v>0.2389440872783947</v>
          </cell>
          <cell r="AZ78">
            <v>0.21741552429912372</v>
          </cell>
          <cell r="BA78">
            <v>0.2282781113571567</v>
          </cell>
          <cell r="BB78">
            <v>0.18837054015648816</v>
          </cell>
          <cell r="BC78">
            <v>0.2153481646009098</v>
          </cell>
          <cell r="BD78">
            <v>0.20376037135348635</v>
          </cell>
          <cell r="BE78">
            <v>0.21099905550483292</v>
          </cell>
          <cell r="BF78">
            <v>0.21754404202647742</v>
          </cell>
          <cell r="BG78">
            <v>0.22076638901241447</v>
          </cell>
          <cell r="BH78">
            <v>0.21862098362704602</v>
          </cell>
          <cell r="BI78">
            <v>0.21941226247510598</v>
          </cell>
          <cell r="BJ78">
            <v>0.2162128534907572</v>
          </cell>
          <cell r="BK78">
            <v>0.22192128213999965</v>
          </cell>
          <cell r="BL78">
            <v>0.23190510613457915</v>
          </cell>
          <cell r="BM78">
            <v>0.2205682714575132</v>
          </cell>
          <cell r="BN78">
            <v>0.21634474929431746</v>
          </cell>
          <cell r="BO78">
            <v>0.21400999054773892</v>
          </cell>
        </row>
        <row r="79">
          <cell r="AW79">
            <v>8.8138710101142825E-2</v>
          </cell>
        </row>
        <row r="80">
          <cell r="A80" t="str">
            <v>EBITA (pre exceptionals)</v>
          </cell>
          <cell r="B80">
            <v>4311</v>
          </cell>
          <cell r="C80">
            <v>5127</v>
          </cell>
          <cell r="D80">
            <v>1697</v>
          </cell>
          <cell r="E80">
            <v>1546</v>
          </cell>
          <cell r="F80">
            <v>3243</v>
          </cell>
          <cell r="G80">
            <v>1080</v>
          </cell>
          <cell r="H80">
            <v>4323</v>
          </cell>
          <cell r="I80">
            <v>1222</v>
          </cell>
          <cell r="J80">
            <v>5545</v>
          </cell>
          <cell r="K80">
            <v>1778</v>
          </cell>
          <cell r="L80">
            <v>1799</v>
          </cell>
          <cell r="M80">
            <v>3577</v>
          </cell>
          <cell r="N80">
            <v>1108</v>
          </cell>
          <cell r="O80">
            <v>4685</v>
          </cell>
          <cell r="P80">
            <v>696</v>
          </cell>
          <cell r="Q80">
            <v>5381</v>
          </cell>
          <cell r="R80">
            <v>1317</v>
          </cell>
          <cell r="S80">
            <v>1397</v>
          </cell>
          <cell r="T80">
            <v>2714</v>
          </cell>
          <cell r="U80">
            <v>1133</v>
          </cell>
          <cell r="V80">
            <v>3847</v>
          </cell>
          <cell r="W80">
            <v>1088</v>
          </cell>
          <cell r="X80">
            <v>4935</v>
          </cell>
          <cell r="Y80">
            <v>1473</v>
          </cell>
          <cell r="Z80">
            <v>1443</v>
          </cell>
          <cell r="AA80">
            <v>2916</v>
          </cell>
          <cell r="AB80">
            <v>1305</v>
          </cell>
          <cell r="AC80">
            <v>4221</v>
          </cell>
          <cell r="AD80">
            <v>572</v>
          </cell>
          <cell r="AE80">
            <v>4793</v>
          </cell>
          <cell r="AF80">
            <v>1866</v>
          </cell>
          <cell r="AG80">
            <v>1703</v>
          </cell>
          <cell r="AH80">
            <v>3570</v>
          </cell>
          <cell r="AI80">
            <v>1482</v>
          </cell>
          <cell r="AJ80">
            <v>5052</v>
          </cell>
          <cell r="AK80">
            <v>1138</v>
          </cell>
          <cell r="AL80">
            <v>6188</v>
          </cell>
          <cell r="AM80">
            <v>2013</v>
          </cell>
          <cell r="AN80">
            <v>2014</v>
          </cell>
          <cell r="AO80">
            <v>1698</v>
          </cell>
          <cell r="AQ80">
            <v>3715</v>
          </cell>
          <cell r="AR80">
            <v>1438</v>
          </cell>
          <cell r="AT80">
            <v>5149</v>
          </cell>
          <cell r="AU80">
            <v>1498</v>
          </cell>
          <cell r="AW80">
            <v>6647</v>
          </cell>
          <cell r="AY80">
            <v>2132</v>
          </cell>
          <cell r="AZ80">
            <v>1921.0555103491945</v>
          </cell>
          <cell r="BA80">
            <v>4053.0555103491952</v>
          </cell>
          <cell r="BB80">
            <v>1525.1508883365373</v>
          </cell>
          <cell r="BC80">
            <v>5578.2063986857338</v>
          </cell>
          <cell r="BD80">
            <v>1814.6572314489783</v>
          </cell>
          <cell r="BE80">
            <v>7337.1734301347087</v>
          </cell>
          <cell r="BF80">
            <v>8466.1073637795635</v>
          </cell>
          <cell r="BG80">
            <v>9058.336502658598</v>
          </cell>
          <cell r="BH80">
            <v>9398.7900159937544</v>
          </cell>
          <cell r="BI80">
            <v>9954.645756433476</v>
          </cell>
          <cell r="BJ80">
            <v>10066.449787897256</v>
          </cell>
          <cell r="BK80">
            <v>10766.013300218265</v>
          </cell>
          <cell r="BL80">
            <v>11825.139636331825</v>
          </cell>
          <cell r="BM80">
            <v>11162.087676408019</v>
          </cell>
          <cell r="BN80">
            <v>11047.361258292938</v>
          </cell>
          <cell r="BO80">
            <v>11103.652564685377</v>
          </cell>
        </row>
        <row r="81">
          <cell r="A81" t="str">
            <v>Margin %</v>
          </cell>
          <cell r="B81">
            <v>0.16975782634376846</v>
          </cell>
          <cell r="C81">
            <v>0.17280080889787663</v>
          </cell>
          <cell r="D81">
            <v>0.20359928014397122</v>
          </cell>
          <cell r="E81">
            <v>0.18512752963716919</v>
          </cell>
          <cell r="F81">
            <v>0.21048873888492245</v>
          </cell>
          <cell r="G81">
            <v>0.13742206387581118</v>
          </cell>
          <cell r="H81">
            <v>0.19129165007301208</v>
          </cell>
          <cell r="I81">
            <v>0.11694899033400326</v>
          </cell>
          <cell r="J81">
            <v>0.16778625030259017</v>
          </cell>
          <cell r="K81">
            <v>0.20829428303655106</v>
          </cell>
          <cell r="L81">
            <v>0.21137351662554341</v>
          </cell>
          <cell r="M81">
            <v>0.20983164193113157</v>
          </cell>
          <cell r="N81">
            <v>0.13940613990941117</v>
          </cell>
          <cell r="O81">
            <v>0.1874374874974995</v>
          </cell>
          <cell r="P81">
            <v>8.7845513063233627E-2</v>
          </cell>
          <cell r="Q81">
            <v>0.1634667962816696</v>
          </cell>
          <cell r="R81">
            <v>0.16681443951868272</v>
          </cell>
          <cell r="S81">
            <v>0.17442876763640905</v>
          </cell>
          <cell r="T81">
            <v>0.17064889336016095</v>
          </cell>
          <cell r="U81">
            <v>0.15327380952380953</v>
          </cell>
          <cell r="V81">
            <v>0.16513564560439561</v>
          </cell>
          <cell r="W81">
            <v>0.13821138211382114</v>
          </cell>
          <cell r="X81">
            <v>0.15833547227926079</v>
          </cell>
          <cell r="Y81">
            <v>0.17712842712842713</v>
          </cell>
          <cell r="Z81">
            <v>0.15720666739296218</v>
          </cell>
          <cell r="AA81">
            <v>0.1666761931980566</v>
          </cell>
          <cell r="AB81">
            <v>0.15208017713553199</v>
          </cell>
          <cell r="AC81">
            <v>0.16187298665439484</v>
          </cell>
          <cell r="AD81">
            <v>6.3470927652019532E-2</v>
          </cell>
          <cell r="AE81">
            <v>0.13659940720474237</v>
          </cell>
          <cell r="AF81">
            <v>0.198194370685077</v>
          </cell>
          <cell r="AG81">
            <v>0.18406830955469089</v>
          </cell>
          <cell r="AH81">
            <v>0.1912363402614099</v>
          </cell>
          <cell r="AI81">
            <v>0.17093425605536333</v>
          </cell>
          <cell r="AJ81">
            <v>0.18479771746287219</v>
          </cell>
          <cell r="AK81">
            <v>0.12380330722367276</v>
          </cell>
          <cell r="AL81">
            <v>0.16940429259745948</v>
          </cell>
          <cell r="AM81">
            <v>0.20017899761336516</v>
          </cell>
          <cell r="AN81">
            <v>0.20031828128108214</v>
          </cell>
          <cell r="AO81">
            <v>0.16684681143755528</v>
          </cell>
          <cell r="AQ81">
            <v>0.18361093263480452</v>
          </cell>
          <cell r="AR81">
            <v>0.14878427315054318</v>
          </cell>
          <cell r="AT81">
            <v>0.17221887751689077</v>
          </cell>
          <cell r="AU81">
            <v>0.15189616710606368</v>
          </cell>
          <cell r="AW81">
            <v>0.16717806841046279</v>
          </cell>
          <cell r="AY81">
            <v>0.20767582310539645</v>
          </cell>
          <cell r="AZ81">
            <v>0.18482534341147136</v>
          </cell>
          <cell r="BA81">
            <v>0.19632170697411438</v>
          </cell>
          <cell r="BB81">
            <v>0.15413652006888981</v>
          </cell>
          <cell r="BC81">
            <v>0.18265381879710252</v>
          </cell>
          <cell r="BD81">
            <v>0.17030502568417993</v>
          </cell>
          <cell r="BE81">
            <v>0.17810787301155281</v>
          </cell>
          <cell r="BF81">
            <v>0.18653679896575337</v>
          </cell>
          <cell r="BG81">
            <v>0.19010564428474155</v>
          </cell>
          <cell r="BH81">
            <v>0.1882558142080471</v>
          </cell>
          <cell r="BI81">
            <v>0.1894810883112466</v>
          </cell>
          <cell r="BJ81">
            <v>0.18604739710427676</v>
          </cell>
          <cell r="BK81">
            <v>0.19173141333131624</v>
          </cell>
          <cell r="BL81">
            <v>0.2018345988286</v>
          </cell>
          <cell r="BM81">
            <v>0.18947034564612872</v>
          </cell>
          <cell r="BN81">
            <v>0.18450856370689978</v>
          </cell>
          <cell r="BO81">
            <v>0.18156244234625299</v>
          </cell>
        </row>
        <row r="83">
          <cell r="A83" t="str">
            <v>Notes:</v>
          </cell>
        </row>
        <row r="84">
          <cell r="A84" t="str">
            <v>E= Morgan Stanley Research Estimates</v>
          </cell>
        </row>
        <row r="85">
          <cell r="A85" t="str">
            <v>Source: Morgan Stanley Research</v>
          </cell>
        </row>
        <row r="89">
          <cell r="A89" t="str">
            <v>Statutory Tax Rate</v>
          </cell>
          <cell r="B89">
            <v>0.35099999999999998</v>
          </cell>
          <cell r="C89">
            <v>0.35099999999999998</v>
          </cell>
          <cell r="J89">
            <v>0.35599999999999998</v>
          </cell>
          <cell r="Q89">
            <v>0.35599999999999998</v>
          </cell>
          <cell r="R89">
            <v>0.29299999999999998</v>
          </cell>
          <cell r="S89">
            <v>0.29299999999999998</v>
          </cell>
          <cell r="T89">
            <v>0.29299999999999998</v>
          </cell>
          <cell r="U89">
            <v>0.29299999999999998</v>
          </cell>
          <cell r="V89">
            <v>0.29299999999999998</v>
          </cell>
          <cell r="W89">
            <v>0.29299999999999998</v>
          </cell>
          <cell r="X89">
            <v>0.29299999999999998</v>
          </cell>
          <cell r="Y89">
            <v>0.25700000000000001</v>
          </cell>
          <cell r="Z89">
            <v>0.25700000000000001</v>
          </cell>
          <cell r="AA89">
            <v>0.25700000000000001</v>
          </cell>
          <cell r="AB89">
            <v>0.25700000000000001</v>
          </cell>
          <cell r="AC89">
            <v>0.25700000000000001</v>
          </cell>
          <cell r="AD89">
            <v>0.25700000000000001</v>
          </cell>
          <cell r="AE89">
            <v>0.25700000000000001</v>
          </cell>
          <cell r="AF89">
            <v>0.29699999999999999</v>
          </cell>
          <cell r="AG89">
            <v>0.29699999999999999</v>
          </cell>
          <cell r="AH89">
            <v>0.29699999999999999</v>
          </cell>
          <cell r="AI89">
            <v>0.29699999999999999</v>
          </cell>
          <cell r="AJ89">
            <v>0.29699999999999999</v>
          </cell>
          <cell r="AK89">
            <v>0.29699999999999999</v>
          </cell>
          <cell r="AL89">
            <v>0.29699999999999999</v>
          </cell>
          <cell r="AM89">
            <v>0.251</v>
          </cell>
          <cell r="AN89">
            <v>0.251</v>
          </cell>
          <cell r="AO89">
            <v>0.251</v>
          </cell>
          <cell r="AQ89">
            <v>0.251</v>
          </cell>
          <cell r="AR89">
            <v>0.251</v>
          </cell>
          <cell r="AT89">
            <v>0.251</v>
          </cell>
          <cell r="AU89">
            <v>0.251</v>
          </cell>
          <cell r="AW89">
            <v>0.251</v>
          </cell>
          <cell r="AY89">
            <v>0.29549999999999998</v>
          </cell>
          <cell r="AZ89">
            <v>0.29549999999999998</v>
          </cell>
          <cell r="BA89">
            <v>0.29549999999999998</v>
          </cell>
          <cell r="BB89">
            <v>0.29549999999999998</v>
          </cell>
          <cell r="BC89">
            <v>0.29549999999999998</v>
          </cell>
          <cell r="BD89">
            <v>0.29549999999999998</v>
          </cell>
          <cell r="BE89">
            <v>0.29549999999999998</v>
          </cell>
          <cell r="BF89">
            <v>0.29549999999999998</v>
          </cell>
          <cell r="BG89">
            <v>0.29549999999999998</v>
          </cell>
          <cell r="BH89">
            <v>0.29549999999999998</v>
          </cell>
          <cell r="BI89">
            <v>0.29549999999999998</v>
          </cell>
          <cell r="BJ89">
            <v>0.29549999999999998</v>
          </cell>
          <cell r="BK89">
            <v>0.29549999999999998</v>
          </cell>
          <cell r="BL89">
            <v>0.29549999999999998</v>
          </cell>
          <cell r="BM89">
            <v>0.29549999999999998</v>
          </cell>
          <cell r="BN89">
            <v>0.29549999999999998</v>
          </cell>
          <cell r="BO89">
            <v>0.29549999999999998</v>
          </cell>
          <cell r="BQ89" t="str">
            <v>mstag:statutoryTaxRate</v>
          </cell>
          <cell r="BR89">
            <v>0</v>
          </cell>
          <cell r="BS89" t="str">
            <v>ms_eqr_gcim_Decimal:ms_eqr_gcim_decimal</v>
          </cell>
          <cell r="BT89" t="b">
            <v>0</v>
          </cell>
        </row>
        <row r="91">
          <cell r="A91" t="str">
            <v>Core EPS calculation</v>
          </cell>
        </row>
        <row r="92">
          <cell r="A92" t="str">
            <v>EBIT</v>
          </cell>
          <cell r="B92">
            <v>3208</v>
          </cell>
          <cell r="C92">
            <v>3362</v>
          </cell>
          <cell r="D92">
            <v>1175</v>
          </cell>
          <cell r="E92">
            <v>1051</v>
          </cell>
          <cell r="F92">
            <v>947</v>
          </cell>
          <cell r="G92">
            <v>743</v>
          </cell>
          <cell r="H92">
            <v>1023</v>
          </cell>
          <cell r="I92">
            <v>2663</v>
          </cell>
          <cell r="J92">
            <v>3686</v>
          </cell>
          <cell r="K92">
            <v>1343</v>
          </cell>
          <cell r="L92">
            <v>1105</v>
          </cell>
          <cell r="M92">
            <v>2448</v>
          </cell>
          <cell r="N92">
            <v>684</v>
          </cell>
          <cell r="O92">
            <v>3132</v>
          </cell>
          <cell r="P92">
            <v>412</v>
          </cell>
          <cell r="Q92">
            <v>3544</v>
          </cell>
          <cell r="R92">
            <v>973</v>
          </cell>
          <cell r="S92">
            <v>1021</v>
          </cell>
          <cell r="T92">
            <v>1994</v>
          </cell>
          <cell r="U92">
            <v>646</v>
          </cell>
          <cell r="V92">
            <v>2640</v>
          </cell>
          <cell r="W92">
            <v>366</v>
          </cell>
          <cell r="X92">
            <v>3006</v>
          </cell>
          <cell r="Y92">
            <v>1104</v>
          </cell>
          <cell r="Z92">
            <v>1011</v>
          </cell>
          <cell r="AA92">
            <v>2115</v>
          </cell>
          <cell r="AB92">
            <v>556</v>
          </cell>
          <cell r="AC92">
            <v>2671</v>
          </cell>
          <cell r="AD92">
            <v>59</v>
          </cell>
          <cell r="AE92">
            <v>2730</v>
          </cell>
          <cell r="AF92">
            <v>1148</v>
          </cell>
          <cell r="AG92">
            <v>1273</v>
          </cell>
          <cell r="AH92">
            <v>2422</v>
          </cell>
          <cell r="AI92">
            <v>1099</v>
          </cell>
          <cell r="AJ92">
            <v>3521</v>
          </cell>
          <cell r="AK92">
            <v>630</v>
          </cell>
          <cell r="AL92">
            <v>4149</v>
          </cell>
          <cell r="AM92">
            <v>1637</v>
          </cell>
          <cell r="AN92">
            <v>1631</v>
          </cell>
          <cell r="AO92">
            <v>750</v>
          </cell>
          <cell r="AQ92">
            <v>2387</v>
          </cell>
          <cell r="AR92">
            <v>838</v>
          </cell>
          <cell r="AT92">
            <v>3225</v>
          </cell>
          <cell r="AU92">
            <v>735</v>
          </cell>
          <cell r="AW92">
            <v>3960</v>
          </cell>
          <cell r="AY92">
            <v>1771</v>
          </cell>
          <cell r="AZ92">
            <v>1519.127223587624</v>
          </cell>
          <cell r="BA92">
            <v>3290.1272235876249</v>
          </cell>
          <cell r="BB92">
            <v>1123.222601574967</v>
          </cell>
          <cell r="BC92">
            <v>4413.3498251625924</v>
          </cell>
          <cell r="BD92">
            <v>1390.1339912591711</v>
          </cell>
          <cell r="BE92">
            <v>5747.7936164217608</v>
          </cell>
          <cell r="BF92">
            <v>7033.5404178260505</v>
          </cell>
          <cell r="BG92">
            <v>7564.5147365065204</v>
          </cell>
          <cell r="BH92">
            <v>7840.6819881239498</v>
          </cell>
          <cell r="BI92">
            <v>8328.6560881829246</v>
          </cell>
          <cell r="BJ92">
            <v>8370.9997478753758</v>
          </cell>
          <cell r="BK92">
            <v>8998.6693925551754</v>
          </cell>
          <cell r="BL92">
            <v>9982.7839380969563</v>
          </cell>
          <cell r="BM92">
            <v>9245.6150580907579</v>
          </cell>
          <cell r="BN92">
            <v>9056.4546070293691</v>
          </cell>
          <cell r="BO92">
            <v>9037.4044527970054</v>
          </cell>
        </row>
        <row r="93">
          <cell r="A93" t="str">
            <v>Amortisation and write downs of intangibles</v>
          </cell>
          <cell r="B93">
            <v>550</v>
          </cell>
          <cell r="C93">
            <v>734</v>
          </cell>
          <cell r="D93">
            <v>293</v>
          </cell>
          <cell r="E93">
            <v>325</v>
          </cell>
          <cell r="F93">
            <v>618</v>
          </cell>
          <cell r="G93">
            <v>479</v>
          </cell>
          <cell r="H93">
            <v>1097</v>
          </cell>
          <cell r="I93">
            <v>366</v>
          </cell>
          <cell r="J93">
            <v>1463</v>
          </cell>
          <cell r="K93">
            <v>407</v>
          </cell>
          <cell r="L93">
            <v>378</v>
          </cell>
          <cell r="M93">
            <v>785</v>
          </cell>
          <cell r="N93">
            <v>385</v>
          </cell>
          <cell r="O93">
            <v>1170</v>
          </cell>
          <cell r="P93">
            <v>380</v>
          </cell>
          <cell r="Q93">
            <v>1550</v>
          </cell>
          <cell r="R93">
            <v>378</v>
          </cell>
          <cell r="S93">
            <v>368</v>
          </cell>
          <cell r="T93">
            <v>746</v>
          </cell>
          <cell r="U93">
            <v>366</v>
          </cell>
          <cell r="V93">
            <v>1112</v>
          </cell>
          <cell r="W93">
            <v>425</v>
          </cell>
          <cell r="X93">
            <v>1537</v>
          </cell>
          <cell r="Y93">
            <v>352</v>
          </cell>
          <cell r="Z93">
            <v>480</v>
          </cell>
          <cell r="AA93">
            <v>832</v>
          </cell>
          <cell r="AB93">
            <v>351</v>
          </cell>
          <cell r="AC93">
            <v>1183</v>
          </cell>
          <cell r="AD93">
            <v>1125</v>
          </cell>
          <cell r="AE93">
            <v>2308</v>
          </cell>
          <cell r="AF93">
            <v>366</v>
          </cell>
          <cell r="AG93">
            <v>332</v>
          </cell>
          <cell r="AH93">
            <v>698</v>
          </cell>
          <cell r="AI93">
            <v>323</v>
          </cell>
          <cell r="AJ93">
            <v>1021</v>
          </cell>
          <cell r="AK93">
            <v>404</v>
          </cell>
          <cell r="AL93">
            <v>1425</v>
          </cell>
          <cell r="AM93">
            <v>429</v>
          </cell>
          <cell r="AN93">
            <v>429</v>
          </cell>
          <cell r="AO93">
            <v>474</v>
          </cell>
          <cell r="AQ93">
            <v>903</v>
          </cell>
          <cell r="AR93">
            <v>407</v>
          </cell>
          <cell r="AT93">
            <v>1310</v>
          </cell>
          <cell r="AU93">
            <v>327</v>
          </cell>
          <cell r="AW93">
            <v>1637</v>
          </cell>
          <cell r="AY93">
            <v>321</v>
          </cell>
          <cell r="AZ93">
            <v>338.73897065144473</v>
          </cell>
          <cell r="BA93">
            <v>659.73897065144479</v>
          </cell>
          <cell r="BB93">
            <v>338.73897065144473</v>
          </cell>
          <cell r="BC93">
            <v>998.47794130288958</v>
          </cell>
          <cell r="BD93">
            <v>356.47794130288935</v>
          </cell>
          <cell r="BE93">
            <v>1354.9558826057789</v>
          </cell>
          <cell r="BF93">
            <v>1407.2861240376155</v>
          </cell>
          <cell r="BG93">
            <v>1460.952641413334</v>
          </cell>
          <cell r="BH93">
            <v>1516.0001956372323</v>
          </cell>
          <cell r="BI93">
            <v>1572.4747969882178</v>
          </cell>
          <cell r="BJ93">
            <v>1632.1596365753699</v>
          </cell>
          <cell r="BK93">
            <v>1695.2074961471246</v>
          </cell>
          <cell r="BL93">
            <v>1761.7789511426076</v>
          </cell>
          <cell r="BM93">
            <v>1832.0427572841022</v>
          </cell>
          <cell r="BN93">
            <v>1906.1762565609843</v>
          </cell>
          <cell r="BO93">
            <v>1984.3658035734568</v>
          </cell>
          <cell r="BQ93" t="str">
            <v>mstag:amortizationOfIntangiblesAssumedToHaveIndefiniteLifeIncomeStatement</v>
          </cell>
          <cell r="BR93">
            <v>6</v>
          </cell>
          <cell r="BS93" t="str">
            <v>ISO4217:EUR</v>
          </cell>
          <cell r="BT93" t="b">
            <v>0</v>
          </cell>
        </row>
        <row r="94">
          <cell r="A94" t="str">
            <v>Write downs of PPE</v>
          </cell>
          <cell r="B94">
            <v>55</v>
          </cell>
          <cell r="C94">
            <v>107</v>
          </cell>
          <cell r="D94">
            <v>24</v>
          </cell>
          <cell r="E94">
            <v>53</v>
          </cell>
          <cell r="F94">
            <v>77</v>
          </cell>
          <cell r="G94">
            <v>9</v>
          </cell>
          <cell r="H94">
            <v>86</v>
          </cell>
          <cell r="I94">
            <v>32</v>
          </cell>
          <cell r="J94">
            <v>118</v>
          </cell>
          <cell r="K94">
            <v>31</v>
          </cell>
          <cell r="L94">
            <v>29</v>
          </cell>
          <cell r="M94">
            <v>60</v>
          </cell>
          <cell r="N94">
            <v>3</v>
          </cell>
          <cell r="O94">
            <v>63</v>
          </cell>
          <cell r="P94">
            <v>25</v>
          </cell>
          <cell r="Q94">
            <v>88</v>
          </cell>
          <cell r="R94">
            <v>13</v>
          </cell>
          <cell r="S94">
            <v>29</v>
          </cell>
          <cell r="T94">
            <v>42</v>
          </cell>
          <cell r="U94">
            <v>18</v>
          </cell>
          <cell r="V94">
            <v>60</v>
          </cell>
          <cell r="W94">
            <v>28</v>
          </cell>
          <cell r="X94">
            <v>88</v>
          </cell>
          <cell r="Y94">
            <v>1</v>
          </cell>
          <cell r="Z94">
            <v>8</v>
          </cell>
          <cell r="AA94">
            <v>9</v>
          </cell>
          <cell r="AB94">
            <v>9</v>
          </cell>
          <cell r="AC94">
            <v>18</v>
          </cell>
          <cell r="AD94">
            <v>35</v>
          </cell>
          <cell r="AE94">
            <v>53</v>
          </cell>
          <cell r="AF94">
            <v>55</v>
          </cell>
          <cell r="AG94">
            <v>14</v>
          </cell>
          <cell r="AH94">
            <v>69</v>
          </cell>
          <cell r="AI94">
            <v>4</v>
          </cell>
          <cell r="AJ94">
            <v>73</v>
          </cell>
          <cell r="AK94">
            <v>61</v>
          </cell>
          <cell r="AL94">
            <v>134</v>
          </cell>
          <cell r="AM94">
            <v>4</v>
          </cell>
          <cell r="AN94">
            <v>4</v>
          </cell>
          <cell r="AO94">
            <v>19</v>
          </cell>
          <cell r="AQ94">
            <v>23</v>
          </cell>
          <cell r="AR94">
            <v>9</v>
          </cell>
          <cell r="AT94">
            <v>32</v>
          </cell>
          <cell r="AU94">
            <v>9</v>
          </cell>
          <cell r="AW94">
            <v>41</v>
          </cell>
          <cell r="AY94">
            <v>0</v>
          </cell>
          <cell r="AZ94">
            <v>10.25</v>
          </cell>
          <cell r="BA94">
            <v>10.25</v>
          </cell>
          <cell r="BB94">
            <v>10.25</v>
          </cell>
          <cell r="BC94">
            <v>20.5</v>
          </cell>
          <cell r="BD94">
            <v>20.5</v>
          </cell>
          <cell r="BE94">
            <v>41</v>
          </cell>
          <cell r="BF94">
            <v>41</v>
          </cell>
          <cell r="BG94">
            <v>41</v>
          </cell>
          <cell r="BH94">
            <v>41</v>
          </cell>
          <cell r="BI94">
            <v>41</v>
          </cell>
          <cell r="BJ94">
            <v>41</v>
          </cell>
          <cell r="BK94">
            <v>41</v>
          </cell>
          <cell r="BL94">
            <v>41</v>
          </cell>
          <cell r="BM94">
            <v>41</v>
          </cell>
          <cell r="BN94">
            <v>41</v>
          </cell>
          <cell r="BO94">
            <v>41</v>
          </cell>
          <cell r="BQ94" t="str">
            <v>mstag:gainsLossesFromSaleOfOperatingAssetsOneTimeIncomeStatement</v>
          </cell>
          <cell r="BR94">
            <v>6</v>
          </cell>
          <cell r="BS94" t="str">
            <v>ISO4217:EUR</v>
          </cell>
          <cell r="BT94" t="b">
            <v>1</v>
          </cell>
        </row>
        <row r="95">
          <cell r="A95" t="str">
            <v>Special items</v>
          </cell>
          <cell r="B95">
            <v>480</v>
          </cell>
          <cell r="C95">
            <v>909</v>
          </cell>
          <cell r="D95">
            <v>216</v>
          </cell>
          <cell r="E95">
            <v>234</v>
          </cell>
          <cell r="F95">
            <v>450</v>
          </cell>
          <cell r="G95">
            <v>120</v>
          </cell>
          <cell r="H95">
            <v>570</v>
          </cell>
          <cell r="I95">
            <v>341</v>
          </cell>
          <cell r="J95">
            <v>911</v>
          </cell>
          <cell r="K95">
            <v>130</v>
          </cell>
          <cell r="L95">
            <v>122</v>
          </cell>
          <cell r="M95">
            <v>252</v>
          </cell>
          <cell r="N95">
            <v>159</v>
          </cell>
          <cell r="O95">
            <v>411</v>
          </cell>
          <cell r="P95">
            <v>254</v>
          </cell>
          <cell r="Q95">
            <v>665</v>
          </cell>
          <cell r="R95">
            <v>-34</v>
          </cell>
          <cell r="S95">
            <v>-56</v>
          </cell>
          <cell r="T95">
            <v>-90</v>
          </cell>
          <cell r="U95">
            <v>173</v>
          </cell>
          <cell r="V95">
            <v>263</v>
          </cell>
          <cell r="W95">
            <v>394</v>
          </cell>
          <cell r="X95">
            <v>657</v>
          </cell>
          <cell r="Y95">
            <v>77</v>
          </cell>
          <cell r="Z95">
            <v>123</v>
          </cell>
          <cell r="AA95">
            <v>200</v>
          </cell>
          <cell r="AB95">
            <v>436</v>
          </cell>
          <cell r="AC95">
            <v>636</v>
          </cell>
          <cell r="AD95">
            <v>179</v>
          </cell>
          <cell r="AE95">
            <v>815</v>
          </cell>
          <cell r="AF95">
            <v>366</v>
          </cell>
          <cell r="AG95">
            <v>129</v>
          </cell>
          <cell r="AH95">
            <v>495</v>
          </cell>
          <cell r="AI95">
            <v>74</v>
          </cell>
          <cell r="AJ95">
            <v>569</v>
          </cell>
          <cell r="AK95">
            <v>126</v>
          </cell>
          <cell r="AL95">
            <v>695</v>
          </cell>
          <cell r="AM95">
            <v>65</v>
          </cell>
          <cell r="AN95">
            <v>65</v>
          </cell>
          <cell r="AO95">
            <v>611</v>
          </cell>
          <cell r="AQ95">
            <v>676</v>
          </cell>
          <cell r="AR95">
            <v>263</v>
          </cell>
          <cell r="AT95">
            <v>939</v>
          </cell>
          <cell r="AU95">
            <v>425</v>
          </cell>
          <cell r="AW95">
            <v>1364</v>
          </cell>
          <cell r="AY95">
            <v>37</v>
          </cell>
          <cell r="AZ95">
            <v>58.333333333333336</v>
          </cell>
          <cell r="BA95">
            <v>95.333333333333343</v>
          </cell>
          <cell r="BB95">
            <v>58.333333333333336</v>
          </cell>
          <cell r="BC95">
            <v>153.66666666666669</v>
          </cell>
          <cell r="BD95">
            <v>61.333333333333314</v>
          </cell>
          <cell r="BE95">
            <v>215</v>
          </cell>
          <cell r="BF95">
            <v>0</v>
          </cell>
          <cell r="BG95">
            <v>0</v>
          </cell>
          <cell r="BH95">
            <v>0</v>
          </cell>
          <cell r="BI95">
            <v>0</v>
          </cell>
          <cell r="BJ95">
            <v>0</v>
          </cell>
          <cell r="BK95">
            <v>0</v>
          </cell>
          <cell r="BL95">
            <v>0</v>
          </cell>
          <cell r="BM95">
            <v>0</v>
          </cell>
          <cell r="BN95">
            <v>0</v>
          </cell>
          <cell r="BO95">
            <v>0</v>
          </cell>
          <cell r="BQ95" t="str">
            <v>mstag:incomeLossFromExtraordinaryItemsPretax</v>
          </cell>
          <cell r="BR95">
            <v>6</v>
          </cell>
          <cell r="BS95" t="str">
            <v>ISO4217:EUR</v>
          </cell>
          <cell r="BT95" t="b">
            <v>1</v>
          </cell>
        </row>
        <row r="96">
          <cell r="A96" t="str">
            <v>Core EBIT</v>
          </cell>
          <cell r="B96">
            <v>4293</v>
          </cell>
          <cell r="C96">
            <v>5112</v>
          </cell>
          <cell r="D96">
            <v>1708</v>
          </cell>
          <cell r="E96">
            <v>1663</v>
          </cell>
          <cell r="F96">
            <v>2092</v>
          </cell>
          <cell r="G96">
            <v>1351</v>
          </cell>
          <cell r="H96">
            <v>2776</v>
          </cell>
          <cell r="I96">
            <v>3402</v>
          </cell>
          <cell r="J96">
            <v>6178</v>
          </cell>
          <cell r="K96">
            <v>1911</v>
          </cell>
          <cell r="L96">
            <v>1634</v>
          </cell>
          <cell r="M96">
            <v>3545</v>
          </cell>
          <cell r="N96">
            <v>1231</v>
          </cell>
          <cell r="O96">
            <v>4776</v>
          </cell>
          <cell r="P96">
            <v>1071</v>
          </cell>
          <cell r="Q96">
            <v>5847</v>
          </cell>
          <cell r="R96">
            <v>1330</v>
          </cell>
          <cell r="S96">
            <v>1362</v>
          </cell>
          <cell r="T96">
            <v>2692</v>
          </cell>
          <cell r="U96">
            <v>1203</v>
          </cell>
          <cell r="V96">
            <v>4075</v>
          </cell>
          <cell r="W96">
            <v>1213</v>
          </cell>
          <cell r="X96">
            <v>5288</v>
          </cell>
          <cell r="Y96">
            <v>1534</v>
          </cell>
          <cell r="Z96">
            <v>1622</v>
          </cell>
          <cell r="AA96">
            <v>3156</v>
          </cell>
          <cell r="AB96">
            <v>1352</v>
          </cell>
          <cell r="AC96">
            <v>4508</v>
          </cell>
          <cell r="AD96">
            <v>1398</v>
          </cell>
          <cell r="AE96">
            <v>5906</v>
          </cell>
          <cell r="AF96">
            <v>1935</v>
          </cell>
          <cell r="AG96">
            <v>1748</v>
          </cell>
          <cell r="AH96">
            <v>3684</v>
          </cell>
          <cell r="AI96">
            <v>1500</v>
          </cell>
          <cell r="AJ96">
            <v>5184</v>
          </cell>
          <cell r="AK96">
            <v>1221</v>
          </cell>
          <cell r="AL96">
            <v>6403</v>
          </cell>
          <cell r="AM96">
            <v>2135</v>
          </cell>
          <cell r="AN96">
            <v>2129</v>
          </cell>
          <cell r="AO96">
            <v>1854</v>
          </cell>
          <cell r="AQ96">
            <v>3989</v>
          </cell>
          <cell r="AR96">
            <v>1517</v>
          </cell>
          <cell r="AT96">
            <v>5506</v>
          </cell>
          <cell r="AU96">
            <v>1496</v>
          </cell>
          <cell r="AW96">
            <v>7002</v>
          </cell>
          <cell r="AY96">
            <v>2129</v>
          </cell>
          <cell r="AZ96">
            <v>1926.4495275724021</v>
          </cell>
          <cell r="BA96">
            <v>4055.4495275724034</v>
          </cell>
          <cell r="BB96">
            <v>1530.5449055597451</v>
          </cell>
          <cell r="BC96">
            <v>5585.9944331321485</v>
          </cell>
          <cell r="BD96">
            <v>1828.4452658953937</v>
          </cell>
          <cell r="BE96">
            <v>7358.74949902754</v>
          </cell>
          <cell r="BF96">
            <v>8481.8265418636656</v>
          </cell>
          <cell r="BG96">
            <v>9066.4673779198547</v>
          </cell>
          <cell r="BH96">
            <v>9397.6821837611824</v>
          </cell>
          <cell r="BI96">
            <v>9942.1308851711419</v>
          </cell>
          <cell r="BJ96">
            <v>10044.159384450746</v>
          </cell>
          <cell r="BK96">
            <v>10734.8768887023</v>
          </cell>
          <cell r="BL96">
            <v>11785.562889239563</v>
          </cell>
          <cell r="BM96">
            <v>11118.65781537486</v>
          </cell>
          <cell r="BN96">
            <v>11003.630863590353</v>
          </cell>
          <cell r="BO96">
            <v>11062.770256370462</v>
          </cell>
        </row>
        <row r="97">
          <cell r="A97" t="str">
            <v>Non-operating result</v>
          </cell>
          <cell r="B97">
            <v>-602</v>
          </cell>
          <cell r="C97">
            <v>-782</v>
          </cell>
          <cell r="D97">
            <v>-218</v>
          </cell>
          <cell r="E97">
            <v>-257</v>
          </cell>
          <cell r="F97">
            <v>-475</v>
          </cell>
          <cell r="G97">
            <v>-266</v>
          </cell>
          <cell r="H97">
            <v>-741</v>
          </cell>
          <cell r="I97">
            <v>-179</v>
          </cell>
          <cell r="J97">
            <v>-920</v>
          </cell>
          <cell r="K97">
            <v>-275</v>
          </cell>
          <cell r="L97">
            <v>-262</v>
          </cell>
          <cell r="M97">
            <v>-537</v>
          </cell>
          <cell r="N97">
            <v>-276</v>
          </cell>
          <cell r="O97">
            <v>-813</v>
          </cell>
          <cell r="P97">
            <v>-375</v>
          </cell>
          <cell r="Q97">
            <v>-1188</v>
          </cell>
          <cell r="R97">
            <v>-334</v>
          </cell>
          <cell r="S97">
            <v>-292</v>
          </cell>
          <cell r="T97">
            <v>-626</v>
          </cell>
          <cell r="U97">
            <v>-262</v>
          </cell>
          <cell r="V97">
            <v>-888</v>
          </cell>
          <cell r="W97">
            <v>-248</v>
          </cell>
          <cell r="X97">
            <v>-1136</v>
          </cell>
          <cell r="Y97">
            <v>-244</v>
          </cell>
          <cell r="Z97">
            <v>-261</v>
          </cell>
          <cell r="AA97">
            <v>-505</v>
          </cell>
          <cell r="AB97">
            <v>-267</v>
          </cell>
          <cell r="AC97">
            <v>-772</v>
          </cell>
          <cell r="AD97">
            <v>-237</v>
          </cell>
          <cell r="AE97">
            <v>-1009</v>
          </cell>
          <cell r="AF97">
            <v>-213</v>
          </cell>
          <cell r="AG97">
            <v>-171</v>
          </cell>
          <cell r="AH97">
            <v>-384</v>
          </cell>
          <cell r="AI97">
            <v>-224</v>
          </cell>
          <cell r="AJ97">
            <v>-608</v>
          </cell>
          <cell r="AK97">
            <v>-178</v>
          </cell>
          <cell r="AL97">
            <v>-786</v>
          </cell>
          <cell r="AM97">
            <v>-198</v>
          </cell>
          <cell r="AN97">
            <v>-188</v>
          </cell>
          <cell r="AO97">
            <v>-202</v>
          </cell>
          <cell r="AQ97">
            <v>-368.16666666666663</v>
          </cell>
          <cell r="AR97">
            <v>-172</v>
          </cell>
          <cell r="AT97">
            <v>-541.08333333333326</v>
          </cell>
          <cell r="AU97">
            <v>-170.91666666666669</v>
          </cell>
          <cell r="AW97">
            <v>-785</v>
          </cell>
          <cell r="AY97">
            <v>-190</v>
          </cell>
          <cell r="AZ97">
            <v>-177.58063808291229</v>
          </cell>
          <cell r="BA97">
            <v>-367.58063808291229</v>
          </cell>
          <cell r="BB97">
            <v>-177.58063808291229</v>
          </cell>
          <cell r="BC97">
            <v>-545.16127616582457</v>
          </cell>
          <cell r="BD97">
            <v>-165.16127616582455</v>
          </cell>
          <cell r="BE97">
            <v>-710.32255233164915</v>
          </cell>
          <cell r="BF97">
            <v>-678.25545161754735</v>
          </cell>
          <cell r="BG97">
            <v>-655.74675478834217</v>
          </cell>
          <cell r="BH97">
            <v>-477.04223176202731</v>
          </cell>
          <cell r="BI97">
            <v>-260.83596607993968</v>
          </cell>
          <cell r="BJ97">
            <v>-163.12886641778255</v>
          </cell>
          <cell r="BK97">
            <v>-53.210422201780602</v>
          </cell>
          <cell r="BL97">
            <v>62.269110366774385</v>
          </cell>
          <cell r="BM97">
            <v>185.12870688022872</v>
          </cell>
          <cell r="BN97">
            <v>185.12870688022872</v>
          </cell>
          <cell r="BO97">
            <v>185.12870688022872</v>
          </cell>
        </row>
        <row r="98">
          <cell r="A98" t="str">
            <v>One time losses (affiliates)</v>
          </cell>
          <cell r="B98">
            <v>0</v>
          </cell>
          <cell r="C98">
            <v>-236</v>
          </cell>
          <cell r="J98">
            <v>0</v>
          </cell>
          <cell r="Q98">
            <v>0</v>
          </cell>
          <cell r="X98">
            <v>0</v>
          </cell>
          <cell r="AE98">
            <v>0</v>
          </cell>
          <cell r="AF98">
            <v>0</v>
          </cell>
          <cell r="AG98">
            <v>0</v>
          </cell>
          <cell r="AH98">
            <v>0</v>
          </cell>
          <cell r="AI98">
            <v>0</v>
          </cell>
          <cell r="AJ98">
            <v>0</v>
          </cell>
          <cell r="AK98">
            <v>0</v>
          </cell>
          <cell r="AL98">
            <v>0</v>
          </cell>
          <cell r="AW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row>
        <row r="99">
          <cell r="A99" t="str">
            <v>Income tax</v>
          </cell>
          <cell r="B99">
            <v>-538</v>
          </cell>
          <cell r="C99">
            <v>-454</v>
          </cell>
          <cell r="D99">
            <v>-301</v>
          </cell>
          <cell r="E99">
            <v>-247</v>
          </cell>
          <cell r="F99">
            <v>-548</v>
          </cell>
          <cell r="G99">
            <v>769</v>
          </cell>
          <cell r="H99">
            <v>221</v>
          </cell>
          <cell r="I99">
            <v>-149</v>
          </cell>
          <cell r="J99">
            <v>72</v>
          </cell>
          <cell r="K99">
            <v>-306</v>
          </cell>
          <cell r="L99">
            <v>-262</v>
          </cell>
          <cell r="M99">
            <v>-568</v>
          </cell>
          <cell r="N99">
            <v>-133</v>
          </cell>
          <cell r="O99">
            <v>-701</v>
          </cell>
          <cell r="P99">
            <v>65</v>
          </cell>
          <cell r="Q99">
            <v>-636</v>
          </cell>
          <cell r="R99">
            <v>-215</v>
          </cell>
          <cell r="S99">
            <v>-199</v>
          </cell>
          <cell r="T99">
            <v>-414</v>
          </cell>
          <cell r="U99">
            <v>-135</v>
          </cell>
          <cell r="V99">
            <v>-549</v>
          </cell>
          <cell r="W99">
            <v>38</v>
          </cell>
          <cell r="X99">
            <v>-511</v>
          </cell>
          <cell r="Y99">
            <v>-259</v>
          </cell>
          <cell r="Z99">
            <v>-220</v>
          </cell>
          <cell r="AA99">
            <v>-479</v>
          </cell>
          <cell r="AB99">
            <v>-4</v>
          </cell>
          <cell r="AC99">
            <v>-483</v>
          </cell>
          <cell r="AD99">
            <v>72</v>
          </cell>
          <cell r="AE99">
            <v>-411</v>
          </cell>
          <cell r="AF99">
            <v>-252</v>
          </cell>
          <cell r="AG99">
            <v>-356</v>
          </cell>
          <cell r="AH99">
            <v>-608</v>
          </cell>
          <cell r="AI99">
            <v>-229</v>
          </cell>
          <cell r="AJ99">
            <v>-837</v>
          </cell>
          <cell r="AK99">
            <v>-54</v>
          </cell>
          <cell r="AL99">
            <v>-891</v>
          </cell>
          <cell r="AM99">
            <v>-409</v>
          </cell>
          <cell r="AN99">
            <v>-402</v>
          </cell>
          <cell r="AO99">
            <v>-49</v>
          </cell>
          <cell r="AQ99">
            <v>-458</v>
          </cell>
          <cell r="AR99">
            <v>-132</v>
          </cell>
          <cell r="AT99">
            <v>-590</v>
          </cell>
          <cell r="AU99">
            <v>-162</v>
          </cell>
          <cell r="AW99">
            <v>-752</v>
          </cell>
          <cell r="AY99">
            <v>-419</v>
          </cell>
          <cell r="AZ99">
            <v>-355.50984515874865</v>
          </cell>
          <cell r="BA99">
            <v>-774.5098451587487</v>
          </cell>
          <cell r="BB99">
            <v>-250.59512032539456</v>
          </cell>
          <cell r="BC99">
            <v>-1025.1049654841433</v>
          </cell>
          <cell r="BD99">
            <v>-309.82486649973634</v>
          </cell>
          <cell r="BE99">
            <v>-1334.9298319838797</v>
          </cell>
          <cell r="BF99">
            <v>-1652.3740912142107</v>
          </cell>
          <cell r="BG99">
            <v>-1796.2796752467264</v>
          </cell>
          <cell r="BH99">
            <v>-1914.5463366540998</v>
          </cell>
          <cell r="BI99">
            <v>-2097.6332317467763</v>
          </cell>
          <cell r="BJ99">
            <v>-2134.0464291789744</v>
          </cell>
          <cell r="BK99">
            <v>-2325.8193322918828</v>
          </cell>
          <cell r="BL99">
            <v>-2611.7137926005703</v>
          </cell>
          <cell r="BM99">
            <v>-2451.9933788924563</v>
          </cell>
          <cell r="BN99">
            <v>-2402.8116616164953</v>
          </cell>
          <cell r="BO99">
            <v>-2397.8586215160808</v>
          </cell>
        </row>
        <row r="100">
          <cell r="A100" t="str">
            <v>One time tax income</v>
          </cell>
          <cell r="B100">
            <v>0</v>
          </cell>
          <cell r="C100">
            <v>-203</v>
          </cell>
          <cell r="E100">
            <v>0</v>
          </cell>
          <cell r="F100">
            <v>0</v>
          </cell>
          <cell r="G100">
            <v>-911</v>
          </cell>
          <cell r="H100">
            <v>-911</v>
          </cell>
          <cell r="I100">
            <v>41</v>
          </cell>
          <cell r="J100">
            <v>-870</v>
          </cell>
          <cell r="Q100">
            <v>0</v>
          </cell>
          <cell r="AE100">
            <v>0</v>
          </cell>
          <cell r="AF100">
            <v>0</v>
          </cell>
          <cell r="AG100">
            <v>0</v>
          </cell>
          <cell r="AH100">
            <v>0</v>
          </cell>
          <cell r="AI100">
            <v>0</v>
          </cell>
          <cell r="AJ100">
            <v>0</v>
          </cell>
          <cell r="AK100">
            <v>0</v>
          </cell>
          <cell r="AL100">
            <v>0</v>
          </cell>
          <cell r="AM100">
            <v>0</v>
          </cell>
          <cell r="AN100">
            <v>0</v>
          </cell>
          <cell r="AO100">
            <v>0</v>
          </cell>
          <cell r="AQ100">
            <v>0</v>
          </cell>
          <cell r="AR100">
            <v>0</v>
          </cell>
          <cell r="AT100">
            <v>0</v>
          </cell>
          <cell r="AU100">
            <v>0</v>
          </cell>
          <cell r="AW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row>
        <row r="101">
          <cell r="A101" t="str">
            <v>Tax adjustment</v>
          </cell>
          <cell r="B101">
            <v>-386</v>
          </cell>
          <cell r="C101">
            <v>-531</v>
          </cell>
          <cell r="D101">
            <v>-177</v>
          </cell>
          <cell r="E101">
            <v>-205</v>
          </cell>
          <cell r="F101">
            <v>-382</v>
          </cell>
          <cell r="G101">
            <v>-234</v>
          </cell>
          <cell r="H101">
            <v>-616</v>
          </cell>
          <cell r="I101">
            <v>-271</v>
          </cell>
          <cell r="J101">
            <v>-887</v>
          </cell>
          <cell r="K101">
            <v>-173</v>
          </cell>
          <cell r="L101">
            <v>-160</v>
          </cell>
          <cell r="M101">
            <v>-333</v>
          </cell>
          <cell r="N101">
            <v>-151</v>
          </cell>
          <cell r="O101">
            <v>-484</v>
          </cell>
          <cell r="P101">
            <v>1157.7027027027027</v>
          </cell>
          <cell r="Q101">
            <v>-691</v>
          </cell>
          <cell r="R101">
            <v>-127</v>
          </cell>
          <cell r="S101">
            <v>-135</v>
          </cell>
          <cell r="T101">
            <v>-262</v>
          </cell>
          <cell r="U101">
            <v>-166</v>
          </cell>
          <cell r="V101">
            <v>-428</v>
          </cell>
          <cell r="W101">
            <v>-257</v>
          </cell>
          <cell r="X101">
            <v>-685</v>
          </cell>
          <cell r="Y101">
            <v>-129</v>
          </cell>
          <cell r="Z101">
            <v>-183</v>
          </cell>
          <cell r="AA101">
            <v>-312</v>
          </cell>
          <cell r="AB101">
            <v>-295</v>
          </cell>
          <cell r="AC101">
            <v>-607</v>
          </cell>
          <cell r="AD101">
            <v>-405</v>
          </cell>
          <cell r="AE101">
            <v>-1012</v>
          </cell>
          <cell r="AF101">
            <v>-271</v>
          </cell>
          <cell r="AG101">
            <v>-153</v>
          </cell>
          <cell r="AH101">
            <v>-424</v>
          </cell>
          <cell r="AI101">
            <v>-121</v>
          </cell>
          <cell r="AJ101">
            <v>-545</v>
          </cell>
          <cell r="AK101">
            <v>-182</v>
          </cell>
          <cell r="AL101">
            <v>-727</v>
          </cell>
          <cell r="AM101">
            <v>-161</v>
          </cell>
          <cell r="AN101">
            <v>-160</v>
          </cell>
          <cell r="AO101">
            <v>-383</v>
          </cell>
          <cell r="AQ101">
            <v>-544</v>
          </cell>
          <cell r="AR101">
            <v>-211</v>
          </cell>
          <cell r="AT101">
            <v>-755</v>
          </cell>
          <cell r="AU101">
            <v>-269</v>
          </cell>
          <cell r="AW101">
            <v>-1024</v>
          </cell>
          <cell r="AY101">
            <v>-109</v>
          </cell>
          <cell r="AZ101">
            <v>-142.56280639467229</v>
          </cell>
          <cell r="BA101">
            <v>-267.86280639467236</v>
          </cell>
          <cell r="BB101">
            <v>-142.56280639467229</v>
          </cell>
          <cell r="BC101">
            <v>-410.42561278934471</v>
          </cell>
          <cell r="BD101">
            <v>-153.40894612267792</v>
          </cell>
          <cell r="BE101">
            <v>-563.83455891202254</v>
          </cell>
          <cell r="BF101">
            <v>-506.90014341316538</v>
          </cell>
          <cell r="BG101">
            <v>-525.68342449466684</v>
          </cell>
          <cell r="BH101">
            <v>-544.95006847303125</v>
          </cell>
          <cell r="BI101">
            <v>-564.71617894587621</v>
          </cell>
          <cell r="BJ101">
            <v>-585.60587280137941</v>
          </cell>
          <cell r="BK101">
            <v>-607.67262365149361</v>
          </cell>
          <cell r="BL101">
            <v>-630.97263289991258</v>
          </cell>
          <cell r="BM101">
            <v>-655.56496504943573</v>
          </cell>
          <cell r="BN101">
            <v>-681.5116897963444</v>
          </cell>
          <cell r="BO101">
            <v>-708.8780312507098</v>
          </cell>
          <cell r="BQ101" t="str">
            <v>mstag:taxOnIncomeLossFromExtraordinaryItems</v>
          </cell>
          <cell r="BR101">
            <v>6</v>
          </cell>
          <cell r="BS101" t="str">
            <v>ISO4217:EUR</v>
          </cell>
          <cell r="BT101" t="b">
            <v>1</v>
          </cell>
        </row>
        <row r="102">
          <cell r="A102" t="str">
            <v>Minorities</v>
          </cell>
          <cell r="B102">
            <v>2</v>
          </cell>
          <cell r="C102">
            <v>-12</v>
          </cell>
          <cell r="D102">
            <v>-1</v>
          </cell>
          <cell r="E102">
            <v>3</v>
          </cell>
          <cell r="F102">
            <v>2</v>
          </cell>
          <cell r="G102">
            <v>-3</v>
          </cell>
          <cell r="H102">
            <v>-1</v>
          </cell>
          <cell r="I102">
            <v>-4</v>
          </cell>
          <cell r="J102">
            <v>-5</v>
          </cell>
          <cell r="K102">
            <v>0</v>
          </cell>
          <cell r="L102">
            <v>-7</v>
          </cell>
          <cell r="M102">
            <v>-7</v>
          </cell>
          <cell r="N102">
            <v>-1</v>
          </cell>
          <cell r="O102">
            <v>-8</v>
          </cell>
          <cell r="P102">
            <v>3</v>
          </cell>
          <cell r="Q102">
            <v>-5</v>
          </cell>
          <cell r="R102">
            <v>1</v>
          </cell>
          <cell r="S102">
            <v>2</v>
          </cell>
          <cell r="T102">
            <v>3</v>
          </cell>
          <cell r="U102">
            <v>0</v>
          </cell>
          <cell r="V102">
            <v>3</v>
          </cell>
          <cell r="W102">
            <v>-3</v>
          </cell>
          <cell r="X102">
            <v>0</v>
          </cell>
          <cell r="Y102">
            <v>-1</v>
          </cell>
          <cell r="Z102">
            <v>1</v>
          </cell>
          <cell r="AA102">
            <v>0</v>
          </cell>
          <cell r="AB102">
            <v>-5</v>
          </cell>
          <cell r="AC102">
            <v>-5</v>
          </cell>
          <cell r="AD102">
            <v>-4</v>
          </cell>
          <cell r="AE102">
            <v>-9</v>
          </cell>
          <cell r="AF102">
            <v>1</v>
          </cell>
          <cell r="AG102">
            <v>1</v>
          </cell>
          <cell r="AH102">
            <v>2</v>
          </cell>
          <cell r="AI102">
            <v>-4</v>
          </cell>
          <cell r="AJ102">
            <v>-2</v>
          </cell>
          <cell r="AK102">
            <v>0</v>
          </cell>
          <cell r="AL102">
            <v>-2</v>
          </cell>
          <cell r="AM102">
            <v>-12.5</v>
          </cell>
          <cell r="AN102">
            <v>-1</v>
          </cell>
          <cell r="AO102">
            <v>-5</v>
          </cell>
          <cell r="AQ102">
            <v>-17.5</v>
          </cell>
          <cell r="AR102">
            <v>-6</v>
          </cell>
          <cell r="AT102">
            <v>-23.5</v>
          </cell>
          <cell r="AU102">
            <v>-26.5</v>
          </cell>
          <cell r="AW102">
            <v>-15</v>
          </cell>
          <cell r="AY102">
            <v>-2</v>
          </cell>
          <cell r="AZ102">
            <v>-12.5</v>
          </cell>
          <cell r="BA102">
            <v>-14.5</v>
          </cell>
          <cell r="BB102">
            <v>-12.5</v>
          </cell>
          <cell r="BC102">
            <v>-27</v>
          </cell>
          <cell r="BD102">
            <v>-23</v>
          </cell>
          <cell r="BE102">
            <v>-50</v>
          </cell>
          <cell r="BF102">
            <v>-50</v>
          </cell>
          <cell r="BG102">
            <v>-50</v>
          </cell>
          <cell r="BH102">
            <v>-50</v>
          </cell>
          <cell r="BI102">
            <v>-50</v>
          </cell>
          <cell r="BJ102">
            <v>-50</v>
          </cell>
          <cell r="BK102">
            <v>-50</v>
          </cell>
          <cell r="BL102">
            <v>-50</v>
          </cell>
          <cell r="BM102">
            <v>-50</v>
          </cell>
          <cell r="BN102">
            <v>-50</v>
          </cell>
          <cell r="BO102">
            <v>-50</v>
          </cell>
        </row>
        <row r="103">
          <cell r="A103" t="str">
            <v>Financing exp for conv bond</v>
          </cell>
          <cell r="B103">
            <v>0</v>
          </cell>
          <cell r="C103">
            <v>72</v>
          </cell>
          <cell r="D103">
            <v>24</v>
          </cell>
          <cell r="E103">
            <v>24</v>
          </cell>
          <cell r="F103">
            <v>48</v>
          </cell>
          <cell r="G103">
            <v>25</v>
          </cell>
          <cell r="H103">
            <v>73</v>
          </cell>
          <cell r="I103">
            <v>25</v>
          </cell>
          <cell r="J103">
            <v>98</v>
          </cell>
          <cell r="K103">
            <v>28</v>
          </cell>
          <cell r="L103">
            <v>28</v>
          </cell>
          <cell r="M103">
            <v>56</v>
          </cell>
          <cell r="N103">
            <v>28</v>
          </cell>
          <cell r="O103">
            <v>84</v>
          </cell>
          <cell r="P103">
            <v>28</v>
          </cell>
          <cell r="Q103">
            <v>112</v>
          </cell>
          <cell r="R103">
            <v>28</v>
          </cell>
          <cell r="S103">
            <v>19</v>
          </cell>
          <cell r="T103">
            <v>47</v>
          </cell>
          <cell r="U103">
            <v>0</v>
          </cell>
          <cell r="V103">
            <v>47</v>
          </cell>
          <cell r="X103">
            <v>47</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Q103">
            <v>0</v>
          </cell>
          <cell r="AR103">
            <v>0</v>
          </cell>
          <cell r="AT103">
            <v>0</v>
          </cell>
          <cell r="AU103">
            <v>0</v>
          </cell>
          <cell r="AW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1</v>
          </cell>
          <cell r="BN103">
            <v>2</v>
          </cell>
          <cell r="BO103">
            <v>3</v>
          </cell>
        </row>
        <row r="104">
          <cell r="A104" t="str">
            <v>Core Net Income</v>
          </cell>
          <cell r="B104">
            <v>2769</v>
          </cell>
          <cell r="C104">
            <v>2966</v>
          </cell>
          <cell r="D104">
            <v>1035</v>
          </cell>
          <cell r="E104">
            <v>981</v>
          </cell>
          <cell r="F104">
            <v>737</v>
          </cell>
          <cell r="G104">
            <v>731</v>
          </cell>
          <cell r="H104">
            <v>801</v>
          </cell>
          <cell r="I104">
            <v>2865</v>
          </cell>
          <cell r="J104">
            <v>3666</v>
          </cell>
          <cell r="K104">
            <v>1185</v>
          </cell>
          <cell r="L104">
            <v>971</v>
          </cell>
          <cell r="M104">
            <v>2156</v>
          </cell>
          <cell r="N104">
            <v>698</v>
          </cell>
          <cell r="O104">
            <v>2854</v>
          </cell>
          <cell r="P104">
            <v>1949.7027027027027</v>
          </cell>
          <cell r="Q104">
            <v>3439</v>
          </cell>
          <cell r="R104">
            <v>683</v>
          </cell>
          <cell r="S104">
            <v>757</v>
          </cell>
          <cell r="T104">
            <v>1440</v>
          </cell>
          <cell r="U104">
            <v>640</v>
          </cell>
          <cell r="V104">
            <v>2260</v>
          </cell>
          <cell r="W104">
            <v>743</v>
          </cell>
          <cell r="X104">
            <v>3003</v>
          </cell>
          <cell r="Y104">
            <v>901</v>
          </cell>
          <cell r="Z104">
            <v>959</v>
          </cell>
          <cell r="AA104">
            <v>1860</v>
          </cell>
          <cell r="AB104">
            <v>781</v>
          </cell>
          <cell r="AC104">
            <v>2641</v>
          </cell>
          <cell r="AD104">
            <v>824</v>
          </cell>
          <cell r="AE104">
            <v>3465</v>
          </cell>
          <cell r="AF104">
            <v>1200</v>
          </cell>
          <cell r="AG104">
            <v>1069</v>
          </cell>
          <cell r="AH104">
            <v>2270</v>
          </cell>
          <cell r="AI104">
            <v>922</v>
          </cell>
          <cell r="AJ104">
            <v>3192</v>
          </cell>
          <cell r="AK104">
            <v>807</v>
          </cell>
          <cell r="AL104">
            <v>3997</v>
          </cell>
          <cell r="AM104">
            <v>1354.5</v>
          </cell>
          <cell r="AN104">
            <v>1378</v>
          </cell>
          <cell r="AO104">
            <v>1215</v>
          </cell>
          <cell r="AQ104">
            <v>2601.3333333333335</v>
          </cell>
          <cell r="AR104">
            <v>996</v>
          </cell>
          <cell r="AT104">
            <v>3596.416666666667</v>
          </cell>
          <cell r="AU104">
            <v>867.58333333333326</v>
          </cell>
          <cell r="AW104">
            <v>4426</v>
          </cell>
          <cell r="AY104">
            <v>1409</v>
          </cell>
          <cell r="AZ104">
            <v>1238.2962379360688</v>
          </cell>
          <cell r="BA104">
            <v>2630.9962379360704</v>
          </cell>
          <cell r="BB104">
            <v>947.30634075676596</v>
          </cell>
          <cell r="BC104">
            <v>3578.3025786928361</v>
          </cell>
          <cell r="BD104">
            <v>1177.0501771071549</v>
          </cell>
          <cell r="BE104">
            <v>4699.6625557999878</v>
          </cell>
          <cell r="BF104">
            <v>5594.2968556187416</v>
          </cell>
          <cell r="BG104">
            <v>6038.7575233901189</v>
          </cell>
          <cell r="BH104">
            <v>6411.1435468720247</v>
          </cell>
          <cell r="BI104">
            <v>6968.9455083985495</v>
          </cell>
          <cell r="BJ104">
            <v>7111.3782160526098</v>
          </cell>
          <cell r="BK104">
            <v>7698.1745105571426</v>
          </cell>
          <cell r="BL104">
            <v>8555.1455741058544</v>
          </cell>
          <cell r="BM104">
            <v>8147.2281783131966</v>
          </cell>
          <cell r="BN104">
            <v>8056.4362190577422</v>
          </cell>
          <cell r="BO104">
            <v>8094.1623104839</v>
          </cell>
          <cell r="BQ104" t="str">
            <v>mstag:netIncomeAdjustedForConsensus</v>
          </cell>
          <cell r="BR104">
            <v>6</v>
          </cell>
          <cell r="BS104" t="str">
            <v>ISO4217:EUR</v>
          </cell>
          <cell r="BT104" t="b">
            <v>0</v>
          </cell>
        </row>
        <row r="105">
          <cell r="A105" t="str">
            <v>% Growth</v>
          </cell>
          <cell r="C105">
            <v>7.1144817623690848E-2</v>
          </cell>
          <cell r="J105">
            <v>0.23600809170600145</v>
          </cell>
          <cell r="K105">
            <v>0.14492753623188404</v>
          </cell>
          <cell r="L105">
            <v>-1.0193679918450549E-2</v>
          </cell>
          <cell r="M105">
            <v>1.9253731343283582</v>
          </cell>
          <cell r="N105">
            <v>-4.5143638850889234E-2</v>
          </cell>
          <cell r="O105">
            <v>2.5630461922596752</v>
          </cell>
          <cell r="P105">
            <v>-0.31947549643884721</v>
          </cell>
          <cell r="Q105">
            <v>-6.1920349154391707E-2</v>
          </cell>
          <cell r="R105">
            <v>-0.42362869198312236</v>
          </cell>
          <cell r="S105">
            <v>-0.22039134912461378</v>
          </cell>
          <cell r="T105">
            <v>-0.33209647495361783</v>
          </cell>
          <cell r="U105">
            <v>-8.3094555873925446E-2</v>
          </cell>
          <cell r="V105">
            <v>-0.2081289418360196</v>
          </cell>
          <cell r="W105">
            <v>-0.61891625888908908</v>
          </cell>
          <cell r="X105">
            <v>-0.12678104100029075</v>
          </cell>
          <cell r="Y105">
            <v>0.31918008784773066</v>
          </cell>
          <cell r="Z105">
            <v>0.26684280052840159</v>
          </cell>
          <cell r="AA105">
            <v>0.29166666666666674</v>
          </cell>
          <cell r="AB105">
            <v>0.22031249999999991</v>
          </cell>
          <cell r="AC105">
            <v>0.16858407079646009</v>
          </cell>
          <cell r="AD105">
            <v>0.10901749663526239</v>
          </cell>
          <cell r="AE105">
            <v>0.15384615384615374</v>
          </cell>
          <cell r="AF105">
            <v>0.33185349611542736</v>
          </cell>
          <cell r="AG105">
            <v>0.11470281543274252</v>
          </cell>
          <cell r="AH105">
            <v>0.22043010752688175</v>
          </cell>
          <cell r="AI105">
            <v>0.18053777208706778</v>
          </cell>
          <cell r="AJ105">
            <v>0.20863309352517989</v>
          </cell>
          <cell r="AK105">
            <v>-2.0631067961165095E-2</v>
          </cell>
          <cell r="AL105">
            <v>0.15353535353535364</v>
          </cell>
          <cell r="AM105">
            <v>0.12874999999999992</v>
          </cell>
          <cell r="AN105">
            <v>0.14833333333333343</v>
          </cell>
          <cell r="AO105">
            <v>0.13657623947614583</v>
          </cell>
          <cell r="AQ105">
            <v>0.14596182085168885</v>
          </cell>
          <cell r="AR105">
            <v>8.0260303687635481E-2</v>
          </cell>
          <cell r="AT105">
            <v>0.12669695071010878</v>
          </cell>
          <cell r="AU105">
            <v>7.507228418009082E-2</v>
          </cell>
          <cell r="AW105">
            <v>0.1073304978734051</v>
          </cell>
          <cell r="AY105">
            <v>4.0236249538575075E-2</v>
          </cell>
          <cell r="AZ105">
            <v>1.9173858383595643E-2</v>
          </cell>
          <cell r="BA105">
            <v>1.1402961789878319E-2</v>
          </cell>
          <cell r="BB105">
            <v>-4.8889216107664724E-2</v>
          </cell>
          <cell r="BC105">
            <v>-5.0367044902558389E-3</v>
          </cell>
          <cell r="BD105">
            <v>0.35669984874516003</v>
          </cell>
          <cell r="BE105">
            <v>6.1830672345229987E-2</v>
          </cell>
          <cell r="BF105">
            <v>0.1903613906736048</v>
          </cell>
          <cell r="BG105">
            <v>7.9448888616801661E-2</v>
          </cell>
          <cell r="BH105">
            <v>6.1666000338568061E-2</v>
          </cell>
          <cell r="BI105">
            <v>8.7005065079017729E-2</v>
          </cell>
          <cell r="BJ105">
            <v>2.0438200798443384E-2</v>
          </cell>
          <cell r="BK105">
            <v>8.2515129511737895E-2</v>
          </cell>
          <cell r="BL105">
            <v>0.11132133499617036</v>
          </cell>
          <cell r="BM105">
            <v>-4.7680941517502018E-2</v>
          </cell>
          <cell r="BN105">
            <v>-1.1143907752225513E-2</v>
          </cell>
          <cell r="BO105">
            <v>4.6827270024076828E-3</v>
          </cell>
        </row>
        <row r="108">
          <cell r="A108" t="str">
            <v>For MW:</v>
          </cell>
        </row>
        <row r="109">
          <cell r="A109" t="str">
            <v>Net income Reported (For MW)</v>
          </cell>
          <cell r="AL109">
            <v>2472</v>
          </cell>
          <cell r="AW109">
            <v>2496</v>
          </cell>
          <cell r="AX109">
            <v>2453</v>
          </cell>
          <cell r="AY109">
            <v>1162</v>
          </cell>
          <cell r="AZ109">
            <v>986.03674034596315</v>
          </cell>
          <cell r="BA109">
            <v>2148.0367403459636</v>
          </cell>
          <cell r="BB109">
            <v>695.04684316666032</v>
          </cell>
          <cell r="BC109">
            <v>2843.0835835126245</v>
          </cell>
          <cell r="BD109">
            <v>915.14784859361043</v>
          </cell>
          <cell r="BE109">
            <v>3702.5412321062322</v>
          </cell>
          <cell r="BF109">
            <v>4702.9108749942916</v>
          </cell>
          <cell r="BG109">
            <v>5112.4883064714513</v>
          </cell>
          <cell r="BH109">
            <v>5449.0934197078222</v>
          </cell>
          <cell r="BI109">
            <v>5970.1868903562081</v>
          </cell>
          <cell r="BJ109">
            <v>6073.824452278619</v>
          </cell>
          <cell r="BK109">
            <v>6619.6396380615115</v>
          </cell>
          <cell r="BL109">
            <v>7433.3392558631604</v>
          </cell>
          <cell r="BM109">
            <v>6978.75038607853</v>
          </cell>
          <cell r="BN109">
            <v>6838.7716522931023</v>
          </cell>
          <cell r="BO109">
            <v>6824.6745381611527</v>
          </cell>
          <cell r="BQ109" t="str">
            <v>mstag:netIncomeAsReported</v>
          </cell>
          <cell r="BR109">
            <v>6</v>
          </cell>
          <cell r="BS109" t="str">
            <v>ISO4217:EUR</v>
          </cell>
          <cell r="BT109" t="b">
            <v>0</v>
          </cell>
        </row>
        <row r="111">
          <cell r="A111" t="str">
            <v>Selling Expenses</v>
          </cell>
          <cell r="AL111">
            <v>-5494</v>
          </cell>
          <cell r="AM111">
            <v>-1921</v>
          </cell>
          <cell r="AN111">
            <v>-1912</v>
          </cell>
          <cell r="AO111">
            <v>-1568</v>
          </cell>
          <cell r="AP111">
            <v>-2514</v>
          </cell>
          <cell r="AQ111">
            <v>-3489</v>
          </cell>
          <cell r="AR111">
            <v>-1871</v>
          </cell>
          <cell r="AS111">
            <v>-2469</v>
          </cell>
          <cell r="AT111">
            <v>-5360</v>
          </cell>
          <cell r="AU111">
            <v>-1940</v>
          </cell>
          <cell r="AV111">
            <v>-2703</v>
          </cell>
          <cell r="AW111">
            <v>-5663</v>
          </cell>
          <cell r="AX111">
            <v>-9981</v>
          </cell>
          <cell r="AY111">
            <v>-2076</v>
          </cell>
          <cell r="AZ111">
            <v>-1754.4177479320031</v>
          </cell>
          <cell r="BA111">
            <v>-3830.4177479320015</v>
          </cell>
          <cell r="BB111">
            <v>-1842.9380086454373</v>
          </cell>
          <cell r="BC111">
            <v>-5673.355756577439</v>
          </cell>
          <cell r="BD111">
            <v>-1420.7379590826367</v>
          </cell>
          <cell r="BE111">
            <v>-5794.8280330542984</v>
          </cell>
          <cell r="BF111">
            <v>-6617.0013221480585</v>
          </cell>
          <cell r="BG111">
            <v>-6694.1814499646453</v>
          </cell>
          <cell r="BH111">
            <v>-7297.242297319448</v>
          </cell>
          <cell r="BI111">
            <v>-8465.8117809125579</v>
          </cell>
          <cell r="BJ111">
            <v>-8414.2880519548562</v>
          </cell>
          <cell r="BK111">
            <v>-8585.5777286753491</v>
          </cell>
          <cell r="BL111">
            <v>-9593.6473028202545</v>
          </cell>
          <cell r="BM111">
            <v>-9203.1183252068167</v>
          </cell>
          <cell r="BN111">
            <v>-9251.2870121904307</v>
          </cell>
          <cell r="BO111">
            <v>-9425.8391173682248</v>
          </cell>
          <cell r="BQ111" t="str">
            <v>mstag:marketingAndDistributionCosts</v>
          </cell>
          <cell r="BR111">
            <v>6</v>
          </cell>
          <cell r="BS111" t="str">
            <v>ISO4217:EUR</v>
          </cell>
          <cell r="BT111" t="b">
            <v>1</v>
          </cell>
        </row>
        <row r="113">
          <cell r="A113" t="str">
            <v>Depreciation expense</v>
          </cell>
          <cell r="AL113">
            <v>-1210</v>
          </cell>
          <cell r="AM113">
            <v>-307</v>
          </cell>
          <cell r="AN113">
            <v>-314</v>
          </cell>
          <cell r="AO113">
            <v>-318</v>
          </cell>
          <cell r="AP113">
            <v>0</v>
          </cell>
          <cell r="AQ113">
            <v>-625</v>
          </cell>
          <cell r="AR113">
            <v>-328</v>
          </cell>
          <cell r="AS113">
            <v>0</v>
          </cell>
          <cell r="AT113">
            <v>-953</v>
          </cell>
          <cell r="AU113">
            <v>-329</v>
          </cell>
          <cell r="AV113">
            <v>0</v>
          </cell>
          <cell r="AW113">
            <v>-1282</v>
          </cell>
          <cell r="AX113">
            <v>0</v>
          </cell>
          <cell r="AY113">
            <v>-324</v>
          </cell>
          <cell r="AZ113">
            <v>-333.34495342823698</v>
          </cell>
          <cell r="BA113">
            <v>-657.34495342823698</v>
          </cell>
          <cell r="BB113">
            <v>-333.34495342823698</v>
          </cell>
          <cell r="BC113">
            <v>-990.68990685647395</v>
          </cell>
          <cell r="BD113">
            <v>-342.68990685647395</v>
          </cell>
          <cell r="BE113">
            <v>-1333.3798137129479</v>
          </cell>
          <cell r="BF113">
            <v>-1391.5669459535131</v>
          </cell>
          <cell r="BG113">
            <v>-1452.8217661520782</v>
          </cell>
          <cell r="BH113">
            <v>-1517.1080278698048</v>
          </cell>
          <cell r="BI113">
            <v>-1584.9896682505512</v>
          </cell>
          <cell r="BJ113">
            <v>-1654.4500400218803</v>
          </cell>
          <cell r="BK113">
            <v>-1726.34390766309</v>
          </cell>
          <cell r="BL113">
            <v>-1801.3556982348678</v>
          </cell>
          <cell r="BM113">
            <v>-1875.47261831726</v>
          </cell>
          <cell r="BN113">
            <v>-1949.9066512635695</v>
          </cell>
          <cell r="BO113">
            <v>-2025.2481118883702</v>
          </cell>
          <cell r="BQ113" t="str">
            <v>mstag:depreciationInIncomeStatement</v>
          </cell>
          <cell r="BR113">
            <v>6</v>
          </cell>
          <cell r="BS113" t="str">
            <v>ISO4217:EUR</v>
          </cell>
          <cell r="BT113" t="b">
            <v>1</v>
          </cell>
        </row>
        <row r="115">
          <cell r="A115" t="str">
            <v>Tax Expense</v>
          </cell>
          <cell r="AL115">
            <v>-164</v>
          </cell>
          <cell r="AW115">
            <v>272</v>
          </cell>
          <cell r="AX115">
            <v>-723</v>
          </cell>
          <cell r="AY115">
            <v>-310</v>
          </cell>
          <cell r="AZ115">
            <v>-212.94703876407635</v>
          </cell>
          <cell r="BA115">
            <v>-506.64703876407634</v>
          </cell>
          <cell r="BB115">
            <v>-108.03231393072227</v>
          </cell>
          <cell r="BC115">
            <v>-614.67935269479858</v>
          </cell>
          <cell r="BD115">
            <v>-156.41592037705843</v>
          </cell>
          <cell r="BE115">
            <v>-771.09527307185715</v>
          </cell>
          <cell r="BF115">
            <v>-1145.4739478010454</v>
          </cell>
          <cell r="BG115">
            <v>-1270.5962507520594</v>
          </cell>
          <cell r="BH115">
            <v>-1369.5962681810686</v>
          </cell>
          <cell r="BI115">
            <v>-1532.9170528009001</v>
          </cell>
          <cell r="BJ115">
            <v>-1548.4405563775949</v>
          </cell>
          <cell r="BK115">
            <v>-1718.1467086403891</v>
          </cell>
          <cell r="BL115">
            <v>-1980.7411597006576</v>
          </cell>
          <cell r="BM115">
            <v>-1796.4284138430207</v>
          </cell>
          <cell r="BN115">
            <v>-1721.2999718201509</v>
          </cell>
          <cell r="BO115">
            <v>-1688.9805902653711</v>
          </cell>
          <cell r="BQ115" t="str">
            <v>mstag:taxExpenseIncome</v>
          </cell>
          <cell r="BR115">
            <v>6</v>
          </cell>
          <cell r="BS115" t="str">
            <v>ISO4217:EUR</v>
          </cell>
          <cell r="BT115" t="b">
            <v>1</v>
          </cell>
        </row>
        <row r="119">
          <cell r="AL119" t="str">
            <v>2011-FY</v>
          </cell>
          <cell r="AW119" t="str">
            <v>2012-FY</v>
          </cell>
          <cell r="BE119" t="str">
            <v>2013-FY</v>
          </cell>
          <cell r="BF119" t="str">
            <v>2014-FY</v>
          </cell>
          <cell r="BG119" t="str">
            <v>2015-FY</v>
          </cell>
          <cell r="BH119" t="str">
            <v>2016-FY</v>
          </cell>
          <cell r="BI119" t="str">
            <v>2017-FY</v>
          </cell>
          <cell r="BJ119" t="str">
            <v>2018-FY</v>
          </cell>
        </row>
      </sheetData>
      <sheetData sheetId="4">
        <row r="1">
          <cell r="A1" t="str">
            <v>Bayer</v>
          </cell>
        </row>
        <row r="2">
          <cell r="A2" t="str">
            <v>Annual P&amp;L</v>
          </cell>
          <cell r="L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FY13E</v>
          </cell>
          <cell r="K4" t="str">
            <v>FY14E</v>
          </cell>
          <cell r="L4" t="str">
            <v>FY15E</v>
          </cell>
          <cell r="M4" t="str">
            <v>FY16E</v>
          </cell>
          <cell r="N4" t="str">
            <v>FY17E</v>
          </cell>
          <cell r="O4" t="str">
            <v>FY18E</v>
          </cell>
          <cell r="P4" t="str">
            <v>FY19E</v>
          </cell>
          <cell r="Q4" t="str">
            <v>FY20E</v>
          </cell>
          <cell r="R4" t="str">
            <v>FY21E</v>
          </cell>
          <cell r="S4" t="str">
            <v>FY22E</v>
          </cell>
          <cell r="T4" t="str">
            <v>FY23E</v>
          </cell>
        </row>
        <row r="5">
          <cell r="A5" t="str">
            <v>Sales</v>
          </cell>
          <cell r="B5">
            <v>25395</v>
          </cell>
          <cell r="C5">
            <v>29670</v>
          </cell>
          <cell r="D5">
            <v>33048</v>
          </cell>
          <cell r="E5">
            <v>32918</v>
          </cell>
          <cell r="F5">
            <v>31168</v>
          </cell>
          <cell r="G5">
            <v>35088</v>
          </cell>
          <cell r="H5">
            <v>36528</v>
          </cell>
          <cell r="I5">
            <v>39760</v>
          </cell>
          <cell r="J5">
            <v>41195.110053662756</v>
          </cell>
          <cell r="K5">
            <v>45385.722338539068</v>
          </cell>
          <cell r="L5">
            <v>47648.961380078537</v>
          </cell>
          <cell r="M5">
            <v>49925.629418313059</v>
          </cell>
          <cell r="N5">
            <v>52536.355185387758</v>
          </cell>
          <cell r="O5">
            <v>54106.910091599741</v>
          </cell>
          <cell r="P5">
            <v>56151.535698609536</v>
          </cell>
          <cell r="Q5">
            <v>58588.268339333903</v>
          </cell>
          <cell r="R5">
            <v>58912.056334426619</v>
          </cell>
          <cell r="S5">
            <v>59874.517671939459</v>
          </cell>
          <cell r="T5">
            <v>61156.109276773728</v>
          </cell>
        </row>
        <row r="6">
          <cell r="A6" t="str">
            <v>COGS</v>
          </cell>
          <cell r="B6">
            <v>-13412</v>
          </cell>
          <cell r="C6">
            <v>-15275</v>
          </cell>
          <cell r="D6">
            <v>-16352</v>
          </cell>
          <cell r="E6">
            <v>-16456</v>
          </cell>
          <cell r="F6">
            <v>-15135</v>
          </cell>
          <cell r="G6">
            <v>-17103</v>
          </cell>
          <cell r="H6">
            <v>-17975</v>
          </cell>
          <cell r="I6">
            <v>-19059</v>
          </cell>
          <cell r="J6">
            <v>-19904.880406421165</v>
          </cell>
          <cell r="K6">
            <v>-21779.322091009144</v>
          </cell>
          <cell r="L6">
            <v>-22840.65672976042</v>
          </cell>
          <cell r="M6">
            <v>-23787.855612232401</v>
          </cell>
          <cell r="N6">
            <v>-24690.095691316656</v>
          </cell>
          <cell r="O6">
            <v>-25579.275679083992</v>
          </cell>
          <cell r="P6">
            <v>-26486.699737181978</v>
          </cell>
          <cell r="Q6">
            <v>-27266.523556486904</v>
          </cell>
          <cell r="R6">
            <v>-27837.386077474956</v>
          </cell>
          <cell r="S6">
            <v>-28456.901267358717</v>
          </cell>
          <cell r="T6">
            <v>-29155.8230815315</v>
          </cell>
        </row>
        <row r="7">
          <cell r="A7" t="str">
            <v>Gross Profit</v>
          </cell>
          <cell r="B7">
            <v>11983</v>
          </cell>
          <cell r="C7">
            <v>14395</v>
          </cell>
          <cell r="D7">
            <v>16696</v>
          </cell>
          <cell r="E7">
            <v>16462</v>
          </cell>
          <cell r="F7">
            <v>16033</v>
          </cell>
          <cell r="G7">
            <v>17985</v>
          </cell>
          <cell r="H7">
            <v>18553</v>
          </cell>
          <cell r="I7">
            <v>20701</v>
          </cell>
          <cell r="J7">
            <v>21290.229647241591</v>
          </cell>
          <cell r="K7">
            <v>23606.400247529924</v>
          </cell>
          <cell r="L7">
            <v>24808.304650318118</v>
          </cell>
          <cell r="M7">
            <v>26137.773806080659</v>
          </cell>
          <cell r="N7">
            <v>27846.259494071102</v>
          </cell>
          <cell r="O7">
            <v>28527.634412515748</v>
          </cell>
          <cell r="P7">
            <v>29664.835961427558</v>
          </cell>
          <cell r="Q7">
            <v>31321.744782846999</v>
          </cell>
          <cell r="R7">
            <v>31074.670256951664</v>
          </cell>
          <cell r="S7">
            <v>31417.616404580742</v>
          </cell>
          <cell r="T7">
            <v>32000.286195242228</v>
          </cell>
        </row>
        <row r="8">
          <cell r="A8" t="str">
            <v>Gross Margin</v>
          </cell>
          <cell r="B8">
            <v>0.47186454026383146</v>
          </cell>
          <cell r="C8">
            <v>0.485170205594877</v>
          </cell>
          <cell r="D8">
            <v>0.50520455095618499</v>
          </cell>
          <cell r="E8">
            <v>0.5000911355489398</v>
          </cell>
          <cell r="F8">
            <v>0.51440580082135523</v>
          </cell>
          <cell r="G8">
            <v>0.51256839945280441</v>
          </cell>
          <cell r="H8">
            <v>0.5079117389399912</v>
          </cell>
          <cell r="I8">
            <v>0.52064889336016096</v>
          </cell>
          <cell r="J8">
            <v>0.51681448646472605</v>
          </cell>
          <cell r="K8">
            <v>0.52012833620772103</v>
          </cell>
          <cell r="L8">
            <v>0.52064733273892883</v>
          </cell>
          <cell r="M8">
            <v>0.52353418696196041</v>
          </cell>
          <cell r="N8">
            <v>0.53003790224518932</v>
          </cell>
          <cell r="O8">
            <v>0.52724567646203013</v>
          </cell>
          <cell r="P8">
            <v>0.52829963762081289</v>
          </cell>
          <cell r="Q8">
            <v>0.53460779215109155</v>
          </cell>
          <cell r="R8">
            <v>0.52747556596140177</v>
          </cell>
          <cell r="S8">
            <v>0.52472433392653095</v>
          </cell>
          <cell r="T8">
            <v>0.52325575602625052</v>
          </cell>
        </row>
        <row r="10">
          <cell r="A10" t="str">
            <v>Selling</v>
          </cell>
          <cell r="B10">
            <v>-5247</v>
          </cell>
          <cell r="C10">
            <v>-6534</v>
          </cell>
          <cell r="D10">
            <v>-7782</v>
          </cell>
          <cell r="E10">
            <v>-8105</v>
          </cell>
          <cell r="F10">
            <v>-7923</v>
          </cell>
          <cell r="G10">
            <v>-8803</v>
          </cell>
          <cell r="H10">
            <v>-8958</v>
          </cell>
          <cell r="I10">
            <v>-9987</v>
          </cell>
          <cell r="J10">
            <v>-8739.1637293730255</v>
          </cell>
          <cell r="K10">
            <v>-9456.8543921391865</v>
          </cell>
          <cell r="L10">
            <v>-9648.955857530058</v>
          </cell>
          <cell r="M10">
            <v>-10371.350520826485</v>
          </cell>
          <cell r="N10">
            <v>-11664.276246151327</v>
          </cell>
          <cell r="O10">
            <v>-11741.897728552107</v>
          </cell>
          <cell r="P10">
            <v>-12048.129132485563</v>
          </cell>
          <cell r="Q10">
            <v>-13197.781952197729</v>
          </cell>
          <cell r="R10">
            <v>-12951.633700808179</v>
          </cell>
          <cell r="S10">
            <v>-13148.369920014984</v>
          </cell>
          <cell r="T10">
            <v>-13476.453032830052</v>
          </cell>
        </row>
        <row r="11">
          <cell r="A11" t="str">
            <v>% of sales</v>
          </cell>
          <cell r="B11">
            <v>0.20661547548730064</v>
          </cell>
          <cell r="C11">
            <v>0.22022244691607684</v>
          </cell>
          <cell r="D11">
            <v>0.23547567175018155</v>
          </cell>
          <cell r="E11">
            <v>0.24621787471899872</v>
          </cell>
          <cell r="F11">
            <v>0.25420302874743328</v>
          </cell>
          <cell r="G11">
            <v>0.25088349293205653</v>
          </cell>
          <cell r="H11">
            <v>0.24523653088042049</v>
          </cell>
          <cell r="I11">
            <v>0.25118209255533197</v>
          </cell>
          <cell r="J11">
            <v>0.21214080307077623</v>
          </cell>
          <cell r="K11">
            <v>0.20836628580237324</v>
          </cell>
          <cell r="L11">
            <v>0.20250086419646854</v>
          </cell>
          <cell r="M11">
            <v>0.20773599935872222</v>
          </cell>
          <cell r="N11">
            <v>0.22202294401640524</v>
          </cell>
          <cell r="O11">
            <v>0.21701290479670307</v>
          </cell>
          <cell r="P11">
            <v>0.21456455255566426</v>
          </cell>
          <cell r="Q11">
            <v>0.2252632195196192</v>
          </cell>
          <cell r="R11">
            <v>0.21984691261302303</v>
          </cell>
          <cell r="S11">
            <v>0.21959876139723869</v>
          </cell>
          <cell r="T11">
            <v>0.22036151730712256</v>
          </cell>
        </row>
        <row r="12">
          <cell r="A12" t="str">
            <v>% Growth</v>
          </cell>
          <cell r="B12">
            <v>0</v>
          </cell>
          <cell r="C12">
            <v>0.24528301886792447</v>
          </cell>
          <cell r="D12">
            <v>0.19100091827364563</v>
          </cell>
          <cell r="E12">
            <v>4.1506039578514509E-2</v>
          </cell>
          <cell r="F12">
            <v>-2.2455274521900104E-2</v>
          </cell>
          <cell r="G12">
            <v>0.11106903950523783</v>
          </cell>
          <cell r="H12">
            <v>1.7607633761217656E-2</v>
          </cell>
          <cell r="I12">
            <v>0.1148693904889484</v>
          </cell>
          <cell r="J12">
            <v>-0.12494605693671523</v>
          </cell>
          <cell r="K12">
            <v>8.2123494305747613E-2</v>
          </cell>
          <cell r="L12">
            <v>2.0313463380651431E-2</v>
          </cell>
          <cell r="M12">
            <v>7.4867651377290567E-2</v>
          </cell>
          <cell r="N12">
            <v>0.12466319817544935</v>
          </cell>
          <cell r="O12">
            <v>6.654633409114652E-3</v>
          </cell>
          <cell r="P12">
            <v>2.6080230897328471E-2</v>
          </cell>
          <cell r="Q12">
            <v>9.5421688053819009E-2</v>
          </cell>
          <cell r="R12">
            <v>-1.8650728757384938E-2</v>
          </cell>
          <cell r="S12">
            <v>1.5190069743443058E-2</v>
          </cell>
          <cell r="T12">
            <v>2.4952379253921464E-2</v>
          </cell>
        </row>
        <row r="13">
          <cell r="A13" t="str">
            <v>R&amp;D</v>
          </cell>
          <cell r="B13">
            <v>-1729</v>
          </cell>
          <cell r="C13">
            <v>-2411</v>
          </cell>
          <cell r="D13">
            <v>-2709</v>
          </cell>
          <cell r="E13">
            <v>-2653</v>
          </cell>
          <cell r="F13">
            <v>-2746</v>
          </cell>
          <cell r="G13">
            <v>-3053</v>
          </cell>
          <cell r="H13">
            <v>-2932</v>
          </cell>
          <cell r="I13">
            <v>-3013</v>
          </cell>
          <cell r="J13">
            <v>-3179.2770082955212</v>
          </cell>
          <cell r="K13">
            <v>-3536.4771250600193</v>
          </cell>
          <cell r="L13">
            <v>-3710.0021658223745</v>
          </cell>
          <cell r="M13">
            <v>-3950.0768237992947</v>
          </cell>
          <cell r="N13">
            <v>-4234.9690497631473</v>
          </cell>
          <cell r="O13">
            <v>-4336.7693373727443</v>
          </cell>
          <cell r="P13">
            <v>-4501.7988111072091</v>
          </cell>
          <cell r="Q13">
            <v>-4717.9672621681102</v>
          </cell>
          <cell r="R13">
            <v>-4652.6960296640709</v>
          </cell>
          <cell r="S13">
            <v>-4679.4306700478228</v>
          </cell>
          <cell r="T13">
            <v>-4750.1122023103571</v>
          </cell>
        </row>
        <row r="14">
          <cell r="A14" t="str">
            <v>% of sales</v>
          </cell>
          <cell r="B14">
            <v>6.8084268556802524E-2</v>
          </cell>
          <cell r="C14">
            <v>8.126053252443545E-2</v>
          </cell>
          <cell r="D14">
            <v>8.1971677559912859E-2</v>
          </cell>
          <cell r="E14">
            <v>8.0594203779087423E-2</v>
          </cell>
          <cell r="F14">
            <v>8.8103182751540041E-2</v>
          </cell>
          <cell r="G14">
            <v>8.7009803921568624E-2</v>
          </cell>
          <cell r="H14">
            <v>8.0267192290845377E-2</v>
          </cell>
          <cell r="I14">
            <v>7.5779678068410461E-2</v>
          </cell>
          <cell r="J14">
            <v>7.7176077552749342E-2</v>
          </cell>
          <cell r="K14">
            <v>7.7920476811647807E-2</v>
          </cell>
          <cell r="L14">
            <v>7.7861133975807545E-2</v>
          </cell>
          <cell r="M14">
            <v>7.9119219323259646E-2</v>
          </cell>
          <cell r="N14">
            <v>8.0610256170588784E-2</v>
          </cell>
          <cell r="O14">
            <v>8.0151857314174013E-2</v>
          </cell>
          <cell r="P14">
            <v>8.0172318621353142E-2</v>
          </cell>
          <cell r="Q14">
            <v>8.0527508252034294E-2</v>
          </cell>
          <cell r="R14">
            <v>7.8976975498055407E-2</v>
          </cell>
          <cell r="S14">
            <v>7.8153960181976803E-2</v>
          </cell>
          <cell r="T14">
            <v>7.7671916321766177E-2</v>
          </cell>
        </row>
        <row r="15">
          <cell r="A15" t="str">
            <v>% Growth</v>
          </cell>
          <cell r="B15">
            <v>0</v>
          </cell>
          <cell r="C15">
            <v>0.39444765760555245</v>
          </cell>
          <cell r="D15">
            <v>0.12360016590626288</v>
          </cell>
          <cell r="E15">
            <v>-2.067183462532296E-2</v>
          </cell>
          <cell r="F15">
            <v>3.5054655107425559E-2</v>
          </cell>
          <cell r="G15">
            <v>0.11179898033503277</v>
          </cell>
          <cell r="H15">
            <v>-3.9633147723550644E-2</v>
          </cell>
          <cell r="I15">
            <v>2.7626193724420212E-2</v>
          </cell>
          <cell r="J15">
            <v>5.5186527811324604E-2</v>
          </cell>
          <cell r="K15">
            <v>0.11235262477364327</v>
          </cell>
          <cell r="L15">
            <v>4.9067202932751908E-2</v>
          </cell>
          <cell r="M15">
            <v>6.4710112621646942E-2</v>
          </cell>
          <cell r="N15">
            <v>7.2123211439172774E-2</v>
          </cell>
          <cell r="O15">
            <v>2.4038023988697255E-2</v>
          </cell>
          <cell r="P15">
            <v>3.8053551133628183E-2</v>
          </cell>
          <cell r="Q15">
            <v>4.8018238959846915E-2</v>
          </cell>
          <cell r="R15">
            <v>-1.3834609033307355E-2</v>
          </cell>
          <cell r="S15">
            <v>5.7460535167783711E-3</v>
          </cell>
          <cell r="T15">
            <v>1.510472902504012E-2</v>
          </cell>
        </row>
        <row r="16">
          <cell r="A16" t="str">
            <v>G&amp;A</v>
          </cell>
          <cell r="B16">
            <v>-1307</v>
          </cell>
          <cell r="C16">
            <v>-1599</v>
          </cell>
          <cell r="D16">
            <v>-1772</v>
          </cell>
          <cell r="E16">
            <v>-1649</v>
          </cell>
          <cell r="F16">
            <v>-1623</v>
          </cell>
          <cell r="G16">
            <v>-1647</v>
          </cell>
          <cell r="H16">
            <v>-1713</v>
          </cell>
          <cell r="I16">
            <v>-1866</v>
          </cell>
          <cell r="J16">
            <v>-1853.779952414824</v>
          </cell>
          <cell r="K16">
            <v>-2042.357505234258</v>
          </cell>
          <cell r="L16">
            <v>-2144.2032621035341</v>
          </cell>
          <cell r="M16">
            <v>-2246.6533238240877</v>
          </cell>
          <cell r="N16">
            <v>-2364.135983342449</v>
          </cell>
          <cell r="O16">
            <v>-2434.8109541219883</v>
          </cell>
          <cell r="P16">
            <v>-2526.8191064374291</v>
          </cell>
          <cell r="Q16">
            <v>-2636.4720752700255</v>
          </cell>
          <cell r="R16">
            <v>-2651.0425350491978</v>
          </cell>
          <cell r="S16">
            <v>-2694.3532952372757</v>
          </cell>
          <cell r="T16">
            <v>-2752.0249174548176</v>
          </cell>
        </row>
        <row r="17">
          <cell r="A17" t="str">
            <v>% of sales</v>
          </cell>
          <cell r="B17">
            <v>5.1466824177987792E-2</v>
          </cell>
          <cell r="C17">
            <v>5.3892821031344795E-2</v>
          </cell>
          <cell r="D17">
            <v>5.3618978455579766E-2</v>
          </cell>
          <cell r="E17">
            <v>5.0094173400571117E-2</v>
          </cell>
          <cell r="F17">
            <v>5.2072638603696098E-2</v>
          </cell>
          <cell r="G17">
            <v>4.6939124487004102E-2</v>
          </cell>
          <cell r="H17">
            <v>4.6895532194480949E-2</v>
          </cell>
          <cell r="I17">
            <v>4.6931589537223338E-2</v>
          </cell>
          <cell r="J17">
            <v>4.4999999999999998E-2</v>
          </cell>
          <cell r="K17">
            <v>4.4999999999999998E-2</v>
          </cell>
          <cell r="L17">
            <v>4.4999999999999998E-2</v>
          </cell>
          <cell r="M17">
            <v>4.4999999999999998E-2</v>
          </cell>
          <cell r="N17">
            <v>4.4999999999999998E-2</v>
          </cell>
          <cell r="O17">
            <v>4.4999999999999998E-2</v>
          </cell>
          <cell r="P17">
            <v>4.4999999999999998E-2</v>
          </cell>
          <cell r="Q17">
            <v>4.4999999999999998E-2</v>
          </cell>
          <cell r="R17">
            <v>4.4999999999999998E-2</v>
          </cell>
          <cell r="S17">
            <v>4.4999999999999998E-2</v>
          </cell>
          <cell r="T17">
            <v>4.4999999999999998E-2</v>
          </cell>
        </row>
        <row r="18">
          <cell r="A18" t="str">
            <v>% Growth</v>
          </cell>
          <cell r="B18">
            <v>0</v>
          </cell>
          <cell r="C18">
            <v>0.22341239479724551</v>
          </cell>
          <cell r="D18">
            <v>0.10819262038774236</v>
          </cell>
          <cell r="E18">
            <v>-6.941309255079009E-2</v>
          </cell>
          <cell r="F18">
            <v>-1.5767131594906059E-2</v>
          </cell>
          <cell r="G18">
            <v>1.4787430683918634E-2</v>
          </cell>
          <cell r="H18">
            <v>4.0072859744990863E-2</v>
          </cell>
          <cell r="I18">
            <v>8.9316987740805542E-2</v>
          </cell>
          <cell r="J18">
            <v>-6.5487929181007321E-3</v>
          </cell>
          <cell r="K18">
            <v>0.10172596406266221</v>
          </cell>
          <cell r="L18">
            <v>4.9866762605597081E-2</v>
          </cell>
          <cell r="M18">
            <v>4.778001392463449E-2</v>
          </cell>
          <cell r="N18">
            <v>5.2292295510190767E-2</v>
          </cell>
          <cell r="O18">
            <v>2.9894630121748866E-2</v>
          </cell>
          <cell r="P18">
            <v>3.7788622627837443E-2</v>
          </cell>
          <cell r="Q18">
            <v>4.3395654462656141E-2</v>
          </cell>
          <cell r="R18">
            <v>5.526498807191027E-3</v>
          </cell>
          <cell r="S18">
            <v>1.63372558589574E-2</v>
          </cell>
          <cell r="T18">
            <v>2.1404625117086962E-2</v>
          </cell>
        </row>
        <row r="19">
          <cell r="A19" t="str">
            <v>Other operating income</v>
          </cell>
          <cell r="B19">
            <v>775</v>
          </cell>
          <cell r="C19">
            <v>730</v>
          </cell>
          <cell r="D19">
            <v>822</v>
          </cell>
          <cell r="E19">
            <v>907</v>
          </cell>
          <cell r="F19">
            <v>922</v>
          </cell>
          <cell r="G19">
            <v>714</v>
          </cell>
          <cell r="H19">
            <v>859</v>
          </cell>
          <cell r="I19">
            <v>1083</v>
          </cell>
          <cell r="J19">
            <v>1187.7846592635399</v>
          </cell>
          <cell r="K19">
            <v>1420.8291927295904</v>
          </cell>
          <cell r="L19">
            <v>1217.3713716443694</v>
          </cell>
          <cell r="M19">
            <v>1228.9888504931578</v>
          </cell>
          <cell r="N19">
            <v>1703.7778733687444</v>
          </cell>
          <cell r="O19">
            <v>1314.8433554064677</v>
          </cell>
          <cell r="P19">
            <v>1368.5804811578187</v>
          </cell>
          <cell r="Q19">
            <v>2171.2604448858224</v>
          </cell>
          <cell r="R19">
            <v>1384.3170666605415</v>
          </cell>
          <cell r="S19">
            <v>1118.9920877487066</v>
          </cell>
          <cell r="T19">
            <v>973.70841015000167</v>
          </cell>
        </row>
        <row r="20">
          <cell r="A20" t="str">
            <v>Other operating expense</v>
          </cell>
          <cell r="B20">
            <v>-1267</v>
          </cell>
          <cell r="C20">
            <v>-1219</v>
          </cell>
          <cell r="D20">
            <v>-1569</v>
          </cell>
          <cell r="E20">
            <v>-1418</v>
          </cell>
          <cell r="F20">
            <v>-1657</v>
          </cell>
          <cell r="G20">
            <v>-2466</v>
          </cell>
          <cell r="H20">
            <v>-1660</v>
          </cell>
          <cell r="I20">
            <v>-2958</v>
          </cell>
          <cell r="J20">
            <v>-2958</v>
          </cell>
          <cell r="K20">
            <v>-2958</v>
          </cell>
          <cell r="L20">
            <v>-2958</v>
          </cell>
          <cell r="M20">
            <v>-2958</v>
          </cell>
          <cell r="N20">
            <v>-2958</v>
          </cell>
          <cell r="O20">
            <v>-2958</v>
          </cell>
          <cell r="P20">
            <v>-2958</v>
          </cell>
          <cell r="Q20">
            <v>-2958</v>
          </cell>
          <cell r="R20">
            <v>-2958</v>
          </cell>
          <cell r="S20">
            <v>-2958</v>
          </cell>
          <cell r="T20">
            <v>-2958</v>
          </cell>
        </row>
        <row r="21">
          <cell r="A21" t="str">
            <v xml:space="preserve">Operating income (Reported) </v>
          </cell>
          <cell r="B21">
            <v>3208</v>
          </cell>
          <cell r="C21">
            <v>3362</v>
          </cell>
          <cell r="D21">
            <v>3686</v>
          </cell>
          <cell r="E21">
            <v>3544</v>
          </cell>
          <cell r="F21">
            <v>3006</v>
          </cell>
          <cell r="G21">
            <v>2730</v>
          </cell>
          <cell r="H21">
            <v>4149</v>
          </cell>
          <cell r="I21">
            <v>3960</v>
          </cell>
          <cell r="J21">
            <v>5747.7936164217608</v>
          </cell>
          <cell r="K21">
            <v>7033.5404178260505</v>
          </cell>
          <cell r="L21">
            <v>7564.5147365065204</v>
          </cell>
          <cell r="M21">
            <v>7840.6819881239498</v>
          </cell>
          <cell r="N21">
            <v>8328.6560881829246</v>
          </cell>
          <cell r="O21">
            <v>8370.9997478753758</v>
          </cell>
          <cell r="P21">
            <v>8998.6693925551754</v>
          </cell>
          <cell r="Q21">
            <v>9982.7839380969563</v>
          </cell>
          <cell r="R21">
            <v>9245.6150580907579</v>
          </cell>
          <cell r="S21">
            <v>9056.4546070293691</v>
          </cell>
          <cell r="T21">
            <v>9037.4044527970054</v>
          </cell>
        </row>
        <row r="22">
          <cell r="A22" t="str">
            <v>Operating income Margin</v>
          </cell>
          <cell r="B22">
            <v>0.12632407954321717</v>
          </cell>
          <cell r="C22">
            <v>0.11331311088641725</v>
          </cell>
          <cell r="D22">
            <v>0.11153473735173082</v>
          </cell>
          <cell r="E22">
            <v>0.107661461814205</v>
          </cell>
          <cell r="F22">
            <v>9.6445071868583157E-2</v>
          </cell>
          <cell r="G22">
            <v>7.7804377564979474E-2</v>
          </cell>
          <cell r="H22">
            <v>0.11358409986859395</v>
          </cell>
          <cell r="I22">
            <v>9.9597585513078471E-2</v>
          </cell>
          <cell r="J22">
            <v>0.13952611387454494</v>
          </cell>
          <cell r="K22">
            <v>0.15497253443190334</v>
          </cell>
          <cell r="L22">
            <v>0.15875508127379989</v>
          </cell>
          <cell r="M22">
            <v>0.15704723364484885</v>
          </cell>
          <cell r="N22">
            <v>0.15853128864370519</v>
          </cell>
          <cell r="O22">
            <v>0.15471221205764249</v>
          </cell>
          <cell r="P22">
            <v>0.16025687063760941</v>
          </cell>
          <cell r="Q22">
            <v>0.17038878637406152</v>
          </cell>
          <cell r="R22">
            <v>0.15693926902850053</v>
          </cell>
          <cell r="S22">
            <v>0.15125724530510462</v>
          </cell>
          <cell r="T22">
            <v>0.14777598770870942</v>
          </cell>
        </row>
        <row r="23">
          <cell r="A23" t="str">
            <v>Equity method loss</v>
          </cell>
          <cell r="B23">
            <v>-10</v>
          </cell>
          <cell r="C23">
            <v>-25</v>
          </cell>
          <cell r="D23">
            <v>-45</v>
          </cell>
          <cell r="E23">
            <v>-62</v>
          </cell>
          <cell r="F23">
            <v>-48</v>
          </cell>
          <cell r="G23">
            <v>-56</v>
          </cell>
          <cell r="H23">
            <v>-45</v>
          </cell>
          <cell r="I23">
            <v>-46</v>
          </cell>
          <cell r="J23">
            <v>-43.699999999999996</v>
          </cell>
          <cell r="K23">
            <v>-41.514999999999993</v>
          </cell>
          <cell r="L23">
            <v>-39.439249999999994</v>
          </cell>
          <cell r="M23">
            <v>0</v>
          </cell>
          <cell r="N23">
            <v>0</v>
          </cell>
          <cell r="O23">
            <v>0</v>
          </cell>
          <cell r="P23">
            <v>0</v>
          </cell>
          <cell r="Q23">
            <v>0</v>
          </cell>
          <cell r="R23">
            <v>0</v>
          </cell>
          <cell r="S23">
            <v>0</v>
          </cell>
          <cell r="T23">
            <v>0</v>
          </cell>
        </row>
        <row r="24">
          <cell r="A24" t="str">
            <v>Finance Income</v>
          </cell>
          <cell r="B24">
            <v>632</v>
          </cell>
          <cell r="C24">
            <v>931</v>
          </cell>
          <cell r="D24">
            <v>834</v>
          </cell>
          <cell r="E24">
            <v>589</v>
          </cell>
          <cell r="F24">
            <v>787</v>
          </cell>
          <cell r="G24">
            <v>384</v>
          </cell>
          <cell r="H24">
            <v>586</v>
          </cell>
          <cell r="I24">
            <v>502</v>
          </cell>
          <cell r="J24">
            <v>333.02944766835094</v>
          </cell>
          <cell r="K24">
            <v>371.35521638245257</v>
          </cell>
          <cell r="L24">
            <v>400.46059836565769</v>
          </cell>
          <cell r="M24">
            <v>548.63296490624157</v>
          </cell>
          <cell r="N24">
            <v>773.98701287541508</v>
          </cell>
          <cell r="O24">
            <v>881.08875596962753</v>
          </cell>
          <cell r="P24">
            <v>1000.6550218771497</v>
          </cell>
          <cell r="Q24">
            <v>1126.0420190645955</v>
          </cell>
          <cell r="R24">
            <v>1259.0753381838333</v>
          </cell>
          <cell r="S24">
            <v>1259.0753381838333</v>
          </cell>
          <cell r="T24">
            <v>1259.0753381838333</v>
          </cell>
        </row>
        <row r="25">
          <cell r="A25" t="str">
            <v>Finance Expense</v>
          </cell>
          <cell r="B25">
            <v>-1224</v>
          </cell>
          <cell r="C25">
            <v>-1688</v>
          </cell>
          <cell r="D25">
            <v>-1709</v>
          </cell>
          <cell r="E25">
            <v>-1715</v>
          </cell>
          <cell r="F25">
            <v>-1875</v>
          </cell>
          <cell r="G25">
            <v>-1337</v>
          </cell>
          <cell r="H25">
            <v>-1327</v>
          </cell>
          <cell r="I25">
            <v>-1168</v>
          </cell>
          <cell r="J25">
            <v>-999.65200000000004</v>
          </cell>
          <cell r="K25">
            <v>-1008.0956679999999</v>
          </cell>
          <cell r="L25">
            <v>-1016.7681031539998</v>
          </cell>
          <cell r="M25">
            <v>-1025.6751966682689</v>
          </cell>
          <cell r="N25">
            <v>-1034.8229789553548</v>
          </cell>
          <cell r="O25">
            <v>-1044.2176223874101</v>
          </cell>
          <cell r="P25">
            <v>-1053.8654440789303</v>
          </cell>
          <cell r="Q25">
            <v>-1063.7729086978211</v>
          </cell>
          <cell r="R25">
            <v>-1073.9466313036046</v>
          </cell>
          <cell r="S25">
            <v>-1073.9466313036046</v>
          </cell>
          <cell r="T25">
            <v>-1073.9466313036046</v>
          </cell>
        </row>
        <row r="26">
          <cell r="A26" t="str">
            <v>Profit before tax</v>
          </cell>
          <cell r="B26">
            <v>2606</v>
          </cell>
          <cell r="C26">
            <v>2580</v>
          </cell>
          <cell r="D26">
            <v>2766</v>
          </cell>
          <cell r="E26">
            <v>2356</v>
          </cell>
          <cell r="F26">
            <v>1870</v>
          </cell>
          <cell r="G26">
            <v>1721</v>
          </cell>
          <cell r="H26">
            <v>3363</v>
          </cell>
          <cell r="I26">
            <v>3248</v>
          </cell>
          <cell r="J26">
            <v>5037.4710640901121</v>
          </cell>
          <cell r="K26">
            <v>6355.2849662085027</v>
          </cell>
          <cell r="L26">
            <v>6908.7679817181779</v>
          </cell>
          <cell r="M26">
            <v>7363.6397563619221</v>
          </cell>
          <cell r="N26">
            <v>8067.8201221029849</v>
          </cell>
          <cell r="O26">
            <v>8207.870881457593</v>
          </cell>
          <cell r="P26">
            <v>8945.4589703533948</v>
          </cell>
          <cell r="Q26">
            <v>10045.053048463731</v>
          </cell>
          <cell r="R26">
            <v>9430.7437649709864</v>
          </cell>
          <cell r="S26">
            <v>9241.5833139095976</v>
          </cell>
          <cell r="T26">
            <v>9222.5331596772339</v>
          </cell>
        </row>
        <row r="28">
          <cell r="A28" t="str">
            <v>Income Tax Expense</v>
          </cell>
          <cell r="B28">
            <v>-538</v>
          </cell>
          <cell r="C28">
            <v>-454</v>
          </cell>
          <cell r="D28">
            <v>72</v>
          </cell>
          <cell r="E28">
            <v>-636</v>
          </cell>
          <cell r="F28">
            <v>-511</v>
          </cell>
          <cell r="G28">
            <v>-411</v>
          </cell>
          <cell r="H28">
            <v>-891</v>
          </cell>
          <cell r="I28">
            <v>-752</v>
          </cell>
          <cell r="J28">
            <v>-1334.9298319838797</v>
          </cell>
          <cell r="K28">
            <v>-1652.3740912142107</v>
          </cell>
          <cell r="L28">
            <v>-1796.2796752467264</v>
          </cell>
          <cell r="M28">
            <v>-1914.5463366540998</v>
          </cell>
          <cell r="N28">
            <v>-2097.6332317467763</v>
          </cell>
          <cell r="O28">
            <v>-2134.0464291789744</v>
          </cell>
          <cell r="P28">
            <v>-2325.8193322918828</v>
          </cell>
          <cell r="Q28">
            <v>-2611.7137926005703</v>
          </cell>
          <cell r="R28">
            <v>-2451.9933788924563</v>
          </cell>
          <cell r="S28">
            <v>-2402.8116616164953</v>
          </cell>
          <cell r="T28">
            <v>-2397.8586215160808</v>
          </cell>
        </row>
        <row r="29">
          <cell r="A29" t="str">
            <v>Effective Tax Rate</v>
          </cell>
          <cell r="B29">
            <v>0.20644666155026861</v>
          </cell>
          <cell r="C29">
            <v>0.17596899224806201</v>
          </cell>
          <cell r="D29">
            <v>-2.6030368763557483E-2</v>
          </cell>
          <cell r="E29">
            <v>0.2699490662139219</v>
          </cell>
          <cell r="F29">
            <v>0.27326203208556149</v>
          </cell>
          <cell r="G29">
            <v>0.23881464264962232</v>
          </cell>
          <cell r="H29">
            <v>0.26494201605709189</v>
          </cell>
          <cell r="I29">
            <v>0.23152709359605911</v>
          </cell>
          <cell r="J29">
            <v>0.26500000000000001</v>
          </cell>
          <cell r="K29">
            <v>0.26</v>
          </cell>
          <cell r="L29">
            <v>0.26</v>
          </cell>
          <cell r="M29">
            <v>0.26</v>
          </cell>
          <cell r="N29">
            <v>0.26</v>
          </cell>
          <cell r="O29">
            <v>0.26</v>
          </cell>
          <cell r="P29">
            <v>0.26</v>
          </cell>
          <cell r="Q29">
            <v>0.26</v>
          </cell>
          <cell r="R29">
            <v>0.26</v>
          </cell>
          <cell r="S29">
            <v>0.26</v>
          </cell>
          <cell r="T29">
            <v>0.26</v>
          </cell>
        </row>
        <row r="31">
          <cell r="A31" t="str">
            <v>Discontinued Operations</v>
          </cell>
          <cell r="B31">
            <v>221</v>
          </cell>
          <cell r="C31">
            <v>169</v>
          </cell>
          <cell r="D31">
            <v>2410</v>
          </cell>
          <cell r="E31">
            <v>4</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Minority Interest</v>
          </cell>
          <cell r="B32">
            <v>2</v>
          </cell>
          <cell r="C32">
            <v>-12</v>
          </cell>
          <cell r="D32">
            <v>-5</v>
          </cell>
          <cell r="E32">
            <v>-5</v>
          </cell>
          <cell r="F32">
            <v>0</v>
          </cell>
          <cell r="G32">
            <v>-9</v>
          </cell>
          <cell r="H32">
            <v>-2</v>
          </cell>
          <cell r="I32">
            <v>-50</v>
          </cell>
          <cell r="J32">
            <v>-50</v>
          </cell>
          <cell r="K32">
            <v>-50</v>
          </cell>
          <cell r="L32">
            <v>-50</v>
          </cell>
          <cell r="M32">
            <v>-50</v>
          </cell>
          <cell r="N32">
            <v>-50</v>
          </cell>
          <cell r="O32">
            <v>-50</v>
          </cell>
          <cell r="P32">
            <v>-50</v>
          </cell>
          <cell r="Q32">
            <v>-50</v>
          </cell>
          <cell r="R32">
            <v>-50</v>
          </cell>
          <cell r="S32">
            <v>-50</v>
          </cell>
          <cell r="T32">
            <v>-50</v>
          </cell>
        </row>
        <row r="33">
          <cell r="A33" t="str">
            <v>Net Income (continuing)</v>
          </cell>
          <cell r="B33">
            <v>2070</v>
          </cell>
          <cell r="C33">
            <v>2114</v>
          </cell>
          <cell r="D33">
            <v>2833</v>
          </cell>
          <cell r="E33">
            <v>1715</v>
          </cell>
          <cell r="F33">
            <v>1359</v>
          </cell>
          <cell r="G33">
            <v>1301</v>
          </cell>
          <cell r="H33">
            <v>2470</v>
          </cell>
          <cell r="I33">
            <v>2446</v>
          </cell>
          <cell r="J33">
            <v>3652.5412321062322</v>
          </cell>
          <cell r="K33">
            <v>4652.9108749942916</v>
          </cell>
          <cell r="L33">
            <v>5062.4883064714513</v>
          </cell>
          <cell r="M33">
            <v>5399.0934197078222</v>
          </cell>
          <cell r="N33">
            <v>5920.1868903562081</v>
          </cell>
          <cell r="O33">
            <v>6023.824452278619</v>
          </cell>
          <cell r="P33">
            <v>6569.6396380615115</v>
          </cell>
          <cell r="Q33">
            <v>7383.3392558631604</v>
          </cell>
          <cell r="R33">
            <v>6928.75038607853</v>
          </cell>
          <cell r="S33">
            <v>6788.7716522931023</v>
          </cell>
          <cell r="T33">
            <v>6774.6745381611527</v>
          </cell>
        </row>
        <row r="34">
          <cell r="A34" t="str">
            <v>Net Income (inc disc ops)</v>
          </cell>
          <cell r="B34">
            <v>2291</v>
          </cell>
          <cell r="C34">
            <v>2283</v>
          </cell>
          <cell r="D34">
            <v>5243</v>
          </cell>
          <cell r="E34">
            <v>1719</v>
          </cell>
          <cell r="F34">
            <v>1359</v>
          </cell>
          <cell r="G34">
            <v>1301</v>
          </cell>
          <cell r="H34">
            <v>2470</v>
          </cell>
          <cell r="I34">
            <v>2446</v>
          </cell>
          <cell r="J34">
            <v>3652.5412321062322</v>
          </cell>
          <cell r="K34">
            <v>4652.9108749942916</v>
          </cell>
          <cell r="L34">
            <v>5062.4883064714513</v>
          </cell>
          <cell r="M34">
            <v>5399.0934197078222</v>
          </cell>
          <cell r="N34">
            <v>5920.1868903562081</v>
          </cell>
          <cell r="O34">
            <v>6023.824452278619</v>
          </cell>
          <cell r="P34">
            <v>6569.6396380615115</v>
          </cell>
          <cell r="Q34">
            <v>7383.3392558631604</v>
          </cell>
          <cell r="R34">
            <v>6928.75038607853</v>
          </cell>
          <cell r="S34">
            <v>6788.7716522931023</v>
          </cell>
          <cell r="T34">
            <v>6774.6745381611527</v>
          </cell>
        </row>
        <row r="35">
          <cell r="A35" t="str">
            <v>Financing expenses for conv bond</v>
          </cell>
          <cell r="B35">
            <v>0</v>
          </cell>
          <cell r="C35">
            <v>72</v>
          </cell>
          <cell r="D35">
            <v>98</v>
          </cell>
          <cell r="E35">
            <v>112</v>
          </cell>
          <cell r="F35">
            <v>47</v>
          </cell>
          <cell r="G35">
            <v>0</v>
          </cell>
          <cell r="H35">
            <v>0</v>
          </cell>
          <cell r="I35">
            <v>0</v>
          </cell>
          <cell r="J35">
            <v>0</v>
          </cell>
          <cell r="K35">
            <v>0</v>
          </cell>
          <cell r="L35">
            <v>0</v>
          </cell>
          <cell r="M35">
            <v>0</v>
          </cell>
          <cell r="N35">
            <v>0</v>
          </cell>
          <cell r="O35">
            <v>0</v>
          </cell>
          <cell r="P35">
            <v>0</v>
          </cell>
          <cell r="Q35">
            <v>0</v>
          </cell>
          <cell r="R35">
            <v>1</v>
          </cell>
          <cell r="S35">
            <v>2</v>
          </cell>
          <cell r="T35">
            <v>3</v>
          </cell>
        </row>
        <row r="36">
          <cell r="A36" t="str">
            <v>Average no. of Shares (Basic)</v>
          </cell>
          <cell r="B36">
            <v>730.34191999999996</v>
          </cell>
          <cell r="C36">
            <v>746.45698800000002</v>
          </cell>
          <cell r="D36">
            <v>764.34191999999996</v>
          </cell>
          <cell r="E36">
            <v>764.34204899999997</v>
          </cell>
          <cell r="F36">
            <v>801.05023700000004</v>
          </cell>
          <cell r="G36">
            <v>826.94780800000001</v>
          </cell>
          <cell r="H36">
            <v>826.94780800000001</v>
          </cell>
          <cell r="I36">
            <v>826.94780800000001</v>
          </cell>
          <cell r="J36">
            <v>826.94780800000001</v>
          </cell>
          <cell r="K36">
            <v>826.94780800000001</v>
          </cell>
          <cell r="L36">
            <v>826.94780800000001</v>
          </cell>
          <cell r="M36">
            <v>826.94780800000001</v>
          </cell>
          <cell r="N36">
            <v>826.94780800000001</v>
          </cell>
          <cell r="O36">
            <v>826.94780800000001</v>
          </cell>
          <cell r="P36">
            <v>826.94780800000001</v>
          </cell>
          <cell r="Q36">
            <v>826.94780800000001</v>
          </cell>
          <cell r="R36">
            <v>826.94780800000001</v>
          </cell>
          <cell r="S36">
            <v>826.94780800000001</v>
          </cell>
          <cell r="T36">
            <v>826.94780800000001</v>
          </cell>
        </row>
        <row r="37">
          <cell r="A37" t="str">
            <v>Average no. of Shares (Adjusted)</v>
          </cell>
          <cell r="B37">
            <v>730.34191999999996</v>
          </cell>
          <cell r="C37">
            <v>791.75758299999995</v>
          </cell>
          <cell r="D37">
            <v>823.90730299999996</v>
          </cell>
          <cell r="E37">
            <v>824.23515099999997</v>
          </cell>
          <cell r="F37">
            <v>826.00617299999999</v>
          </cell>
          <cell r="G37">
            <v>826.94780800000001</v>
          </cell>
          <cell r="H37">
            <v>826.94780800000001</v>
          </cell>
          <cell r="I37">
            <v>826.94780800000001</v>
          </cell>
          <cell r="J37">
            <v>826.94780800000001</v>
          </cell>
          <cell r="K37">
            <v>826.94780800000001</v>
          </cell>
          <cell r="L37">
            <v>826.94780800000001</v>
          </cell>
          <cell r="M37">
            <v>826.94780800000001</v>
          </cell>
          <cell r="N37">
            <v>826.94780800000001</v>
          </cell>
          <cell r="O37">
            <v>826.94780800000001</v>
          </cell>
          <cell r="P37">
            <v>826.94780800000001</v>
          </cell>
          <cell r="Q37">
            <v>826.94780800000001</v>
          </cell>
          <cell r="R37">
            <v>826.94780800000001</v>
          </cell>
          <cell r="S37">
            <v>826.94780800000001</v>
          </cell>
          <cell r="T37">
            <v>826.94780800000001</v>
          </cell>
        </row>
        <row r="39">
          <cell r="A39" t="str">
            <v>EPS (continuing)</v>
          </cell>
          <cell r="B39">
            <v>2.8342889040245698</v>
          </cell>
          <cell r="C39">
            <v>2.7609460861961836</v>
          </cell>
          <cell r="D39">
            <v>3.5574390338909283</v>
          </cell>
          <cell r="E39">
            <v>2.2166004419775103</v>
          </cell>
          <cell r="F39">
            <v>1.7021664558431817</v>
          </cell>
          <cell r="G39">
            <v>1.5732552736871153</v>
          </cell>
          <cell r="H39">
            <v>2.9868874143022093</v>
          </cell>
          <cell r="I39">
            <v>2.957865026470933</v>
          </cell>
          <cell r="J39">
            <v>4.4168945086631544</v>
          </cell>
          <cell r="K39">
            <v>5.6266076649353565</v>
          </cell>
          <cell r="L39">
            <v>6.1218957925715323</v>
          </cell>
          <cell r="M39">
            <v>6.5289409651688954</v>
          </cell>
          <cell r="N39">
            <v>7.1590816652315352</v>
          </cell>
          <cell r="O39">
            <v>7.2844070617315415</v>
          </cell>
          <cell r="P39">
            <v>7.9444428953145145</v>
          </cell>
          <cell r="Q39">
            <v>8.9284223072312212</v>
          </cell>
          <cell r="R39">
            <v>8.3799126366128895</v>
          </cell>
          <cell r="S39">
            <v>8.21185035693704</v>
          </cell>
          <cell r="T39">
            <v>8.1960124600283759</v>
          </cell>
        </row>
        <row r="40">
          <cell r="A40" t="str">
            <v>% Growth</v>
          </cell>
          <cell r="B40">
            <v>0</v>
          </cell>
          <cell r="C40">
            <v>-2.5876973135745773E-2</v>
          </cell>
          <cell r="D40">
            <v>0.28848551287435331</v>
          </cell>
          <cell r="E40">
            <v>-0.37691119345673896</v>
          </cell>
          <cell r="F40">
            <v>-0.23208241611437341</v>
          </cell>
          <cell r="G40">
            <v>-7.5733593335446936E-2</v>
          </cell>
          <cell r="H40">
            <v>0.89853958493466535</v>
          </cell>
          <cell r="I40">
            <v>-9.7165991902833371E-3</v>
          </cell>
          <cell r="J40">
            <v>0.49327114967548336</v>
          </cell>
          <cell r="K40">
            <v>0.27388318962554115</v>
          </cell>
          <cell r="L40">
            <v>8.8026064216770949E-2</v>
          </cell>
          <cell r="M40">
            <v>6.6490052491792184E-2</v>
          </cell>
          <cell r="N40">
            <v>9.6514994303726009E-2</v>
          </cell>
          <cell r="O40">
            <v>1.7505792273421861E-2</v>
          </cell>
          <cell r="P40">
            <v>9.0609411032293252E-2</v>
          </cell>
          <cell r="Q40">
            <v>0.12385757250480589</v>
          </cell>
          <cell r="R40">
            <v>-6.1434109156562666E-2</v>
          </cell>
          <cell r="S40">
            <v>-2.0055373720910263E-2</v>
          </cell>
          <cell r="T40">
            <v>-1.9286636044560934E-3</v>
          </cell>
        </row>
        <row r="41">
          <cell r="A41" t="str">
            <v>EPS (inc disc ops)</v>
          </cell>
          <cell r="B41">
            <v>3.1368868981257436</v>
          </cell>
          <cell r="C41">
            <v>2.9743952575443791</v>
          </cell>
          <cell r="D41">
            <v>6.4825253770083409</v>
          </cell>
          <cell r="E41">
            <v>2.2214534259774612</v>
          </cell>
          <cell r="F41">
            <v>1.7021664558431817</v>
          </cell>
          <cell r="G41">
            <v>1.5732552736871153</v>
          </cell>
          <cell r="H41">
            <v>2.9868874143022093</v>
          </cell>
          <cell r="I41">
            <v>2.957865026470933</v>
          </cell>
          <cell r="J41">
            <v>4.4168945086631544</v>
          </cell>
          <cell r="K41">
            <v>5.6266076649353565</v>
          </cell>
          <cell r="L41">
            <v>6.1218957925715323</v>
          </cell>
          <cell r="M41">
            <v>6.5289409651688954</v>
          </cell>
          <cell r="N41">
            <v>7.1590816652315352</v>
          </cell>
          <cell r="O41">
            <v>7.2844070617315415</v>
          </cell>
          <cell r="P41">
            <v>7.9444428953145145</v>
          </cell>
          <cell r="Q41">
            <v>8.9284223072312212</v>
          </cell>
          <cell r="R41">
            <v>8.3799126366128895</v>
          </cell>
          <cell r="S41">
            <v>8.21185035693704</v>
          </cell>
          <cell r="T41">
            <v>8.1960124600283759</v>
          </cell>
        </row>
        <row r="42">
          <cell r="A42" t="str">
            <v>ModelWare EPS</v>
          </cell>
          <cell r="B42">
            <v>2.8342889040245698</v>
          </cell>
          <cell r="C42">
            <v>2.6700091611247632</v>
          </cell>
          <cell r="D42">
            <v>3.4384936141293072</v>
          </cell>
          <cell r="E42">
            <v>2.080716889978889</v>
          </cell>
          <cell r="F42">
            <v>1.6452661546876841</v>
          </cell>
          <cell r="G42">
            <v>1.5732552736871153</v>
          </cell>
          <cell r="H42">
            <v>2.9868874143022093</v>
          </cell>
          <cell r="I42">
            <v>2.957865026470933</v>
          </cell>
          <cell r="J42">
            <v>4.4168945086631544</v>
          </cell>
          <cell r="K42">
            <v>5.6266076649353565</v>
          </cell>
          <cell r="L42">
            <v>6.1218957925715323</v>
          </cell>
          <cell r="M42">
            <v>6.5289409651688954</v>
          </cell>
          <cell r="N42">
            <v>7.1590816652315352</v>
          </cell>
          <cell r="O42">
            <v>7.2844070617315415</v>
          </cell>
          <cell r="P42">
            <v>7.9444428953145145</v>
          </cell>
          <cell r="Q42">
            <v>8.9284223072312212</v>
          </cell>
          <cell r="R42">
            <v>8.3787033704532536</v>
          </cell>
          <cell r="S42">
            <v>8.2094318246177664</v>
          </cell>
          <cell r="T42">
            <v>8.1923846615494664</v>
          </cell>
        </row>
        <row r="43">
          <cell r="A43" t="str">
            <v>Core EPS</v>
          </cell>
          <cell r="B43">
            <v>3.7913748672676495</v>
          </cell>
          <cell r="C43">
            <v>3.7460961078032393</v>
          </cell>
          <cell r="D43">
            <v>4.4495296821030852</v>
          </cell>
          <cell r="E43">
            <v>4.1723529939576673</v>
          </cell>
          <cell r="F43">
            <v>3.6355660504246621</v>
          </cell>
          <cell r="G43">
            <v>4.1901072431405488</v>
          </cell>
          <cell r="H43">
            <v>4.8334368400671783</v>
          </cell>
          <cell r="I43">
            <v>5.3522120225512468</v>
          </cell>
          <cell r="J43">
            <v>5.6831428904398136</v>
          </cell>
          <cell r="K43">
            <v>6.764993874460747</v>
          </cell>
          <cell r="L43">
            <v>7.3024651192861239</v>
          </cell>
          <cell r="M43">
            <v>7.7527789358044039</v>
          </cell>
          <cell r="N43">
            <v>8.4273099716573032</v>
          </cell>
          <cell r="O43">
            <v>8.599549025048761</v>
          </cell>
          <cell r="P43">
            <v>9.3091419265931989</v>
          </cell>
          <cell r="Q43">
            <v>10.345448033530376</v>
          </cell>
          <cell r="R43">
            <v>9.8521673308712572</v>
          </cell>
          <cell r="S43">
            <v>9.742375686976537</v>
          </cell>
          <cell r="T43">
            <v>9.7879965726735438</v>
          </cell>
        </row>
        <row r="44">
          <cell r="A44" t="str">
            <v>% Growth</v>
          </cell>
          <cell r="B44">
            <v>0</v>
          </cell>
          <cell r="C44">
            <v>-1.1942569925047164E-2</v>
          </cell>
          <cell r="D44">
            <v>0.18777777025916964</v>
          </cell>
          <cell r="E44">
            <v>-6.2293479973912547E-2</v>
          </cell>
          <cell r="F44">
            <v>-0.12865329091531119</v>
          </cell>
          <cell r="G44">
            <v>0.15253228383819684</v>
          </cell>
          <cell r="H44">
            <v>0.15353535353535341</v>
          </cell>
          <cell r="I44">
            <v>0.1073304978734051</v>
          </cell>
          <cell r="J44">
            <v>6.1830672345229987E-2</v>
          </cell>
          <cell r="K44">
            <v>0.1903613906736048</v>
          </cell>
          <cell r="L44">
            <v>7.9448888616801661E-2</v>
          </cell>
          <cell r="M44">
            <v>6.1666000338568061E-2</v>
          </cell>
          <cell r="N44">
            <v>8.7005065079017729E-2</v>
          </cell>
          <cell r="O44">
            <v>2.0438200798443606E-2</v>
          </cell>
          <cell r="P44">
            <v>8.2515129511737895E-2</v>
          </cell>
          <cell r="Q44">
            <v>0.11132133499617036</v>
          </cell>
          <cell r="R44">
            <v>-4.7680941517502129E-2</v>
          </cell>
          <cell r="S44">
            <v>-1.1143907752225624E-2</v>
          </cell>
          <cell r="T44">
            <v>4.6827270024079048E-3</v>
          </cell>
        </row>
        <row r="46">
          <cell r="A46" t="str">
            <v>DPS</v>
          </cell>
          <cell r="B46">
            <v>0.9502423528767423</v>
          </cell>
          <cell r="C46">
            <v>0.99955517178219111</v>
          </cell>
          <cell r="D46">
            <v>1.3501810812626893</v>
          </cell>
          <cell r="E46">
            <v>1.3998968150449094</v>
          </cell>
          <cell r="F46">
            <v>1.4</v>
          </cell>
          <cell r="G46">
            <v>1.5</v>
          </cell>
          <cell r="H46">
            <v>1.65</v>
          </cell>
          <cell r="I46">
            <v>1.9</v>
          </cell>
          <cell r="J46">
            <v>1.9891000116539346</v>
          </cell>
          <cell r="K46">
            <v>2.3677478560612615</v>
          </cell>
          <cell r="L46">
            <v>2.5558627917501431</v>
          </cell>
          <cell r="M46">
            <v>2.7134726275315413</v>
          </cell>
          <cell r="N46">
            <v>2.9495584900800558</v>
          </cell>
          <cell r="O46">
            <v>3.0098421587670661</v>
          </cell>
          <cell r="P46">
            <v>3.2581996743076194</v>
          </cell>
          <cell r="Q46">
            <v>3.6209068117356313</v>
          </cell>
          <cell r="R46">
            <v>3.4482585658049398</v>
          </cell>
          <cell r="S46">
            <v>3.4098314904417877</v>
          </cell>
          <cell r="T46">
            <v>3.4257988004357403</v>
          </cell>
        </row>
        <row r="47">
          <cell r="A47" t="str">
            <v>Dividends to Shareholders</v>
          </cell>
          <cell r="B47">
            <v>-694</v>
          </cell>
          <cell r="C47">
            <v>-764</v>
          </cell>
          <cell r="D47">
            <v>-1032</v>
          </cell>
          <cell r="E47">
            <v>-1070</v>
          </cell>
          <cell r="F47">
            <v>-1157.7269311999999</v>
          </cell>
          <cell r="G47">
            <v>-1240.4217120000001</v>
          </cell>
          <cell r="H47">
            <v>-1364.4638832000001</v>
          </cell>
          <cell r="I47">
            <v>-1571.2008352</v>
          </cell>
          <cell r="J47">
            <v>-1644.8818945299956</v>
          </cell>
          <cell r="K47">
            <v>-1958.0038994665597</v>
          </cell>
          <cell r="L47">
            <v>-2113.5651331865415</v>
          </cell>
          <cell r="M47">
            <v>-2243.9002414052084</v>
          </cell>
          <cell r="N47">
            <v>-2439.1309279394918</v>
          </cell>
          <cell r="O47">
            <v>-2488.9823756184132</v>
          </cell>
          <cell r="P47">
            <v>-2694.3610786949998</v>
          </cell>
          <cell r="Q47">
            <v>-2994.300950937049</v>
          </cell>
          <cell r="R47">
            <v>-2851.529862409619</v>
          </cell>
          <cell r="S47">
            <v>-2819.7526766702094</v>
          </cell>
          <cell r="T47">
            <v>-2832.9568086693648</v>
          </cell>
        </row>
        <row r="48">
          <cell r="A48" t="str">
            <v>Payout as % core EPS</v>
          </cell>
          <cell r="B48">
            <v>0.2506326560004758</v>
          </cell>
          <cell r="C48">
            <v>0.2668258216066815</v>
          </cell>
          <cell r="D48">
            <v>0.30344354970670107</v>
          </cell>
          <cell r="E48">
            <v>0.33551734886099444</v>
          </cell>
          <cell r="F48">
            <v>0.38508446293706289</v>
          </cell>
          <cell r="G48">
            <v>0.35798606406926409</v>
          </cell>
          <cell r="H48">
            <v>0.34137199979984989</v>
          </cell>
          <cell r="I48">
            <v>0.35499341057388156</v>
          </cell>
          <cell r="J48">
            <v>0.35</v>
          </cell>
          <cell r="K48">
            <v>0.35</v>
          </cell>
          <cell r="L48">
            <v>0.35</v>
          </cell>
          <cell r="M48">
            <v>0.35</v>
          </cell>
          <cell r="N48">
            <v>0.35</v>
          </cell>
          <cell r="O48">
            <v>0.35</v>
          </cell>
          <cell r="P48">
            <v>0.35</v>
          </cell>
          <cell r="Q48">
            <v>0.35</v>
          </cell>
          <cell r="R48">
            <v>0.35</v>
          </cell>
          <cell r="S48">
            <v>0.35</v>
          </cell>
          <cell r="T48">
            <v>0.35</v>
          </cell>
        </row>
        <row r="49">
          <cell r="A49" t="str">
            <v>Depreciation/writedowns</v>
          </cell>
          <cell r="B49">
            <v>1058</v>
          </cell>
          <cell r="C49">
            <v>1179</v>
          </cell>
          <cell r="D49">
            <v>1249</v>
          </cell>
          <cell r="E49">
            <v>1305</v>
          </cell>
          <cell r="F49">
            <v>1272</v>
          </cell>
          <cell r="G49">
            <v>1248</v>
          </cell>
          <cell r="H49">
            <v>1344</v>
          </cell>
          <cell r="I49">
            <v>1323</v>
          </cell>
          <cell r="J49">
            <v>1374.3798137129479</v>
          </cell>
          <cell r="K49">
            <v>1432.5669459535131</v>
          </cell>
          <cell r="L49">
            <v>1493.8217661520782</v>
          </cell>
          <cell r="M49">
            <v>1558.1080278698048</v>
          </cell>
          <cell r="N49">
            <v>1625.9896682505512</v>
          </cell>
          <cell r="O49">
            <v>1695.4500400218803</v>
          </cell>
          <cell r="P49">
            <v>1767.34390766309</v>
          </cell>
          <cell r="Q49">
            <v>1842.3556982348678</v>
          </cell>
          <cell r="R49">
            <v>1916.47261831726</v>
          </cell>
          <cell r="S49">
            <v>1990.9066512635695</v>
          </cell>
          <cell r="T49">
            <v>2066.2481118883702</v>
          </cell>
        </row>
        <row r="50">
          <cell r="A50" t="str">
            <v>Amortisation</v>
          </cell>
          <cell r="B50">
            <v>550</v>
          </cell>
          <cell r="C50">
            <v>734</v>
          </cell>
          <cell r="D50">
            <v>1463</v>
          </cell>
          <cell r="E50">
            <v>1550</v>
          </cell>
          <cell r="F50">
            <v>1537</v>
          </cell>
          <cell r="G50">
            <v>2308</v>
          </cell>
          <cell r="H50">
            <v>1425</v>
          </cell>
          <cell r="I50">
            <v>1637</v>
          </cell>
          <cell r="J50">
            <v>1354.9558826057789</v>
          </cell>
          <cell r="K50">
            <v>1407.2861240376155</v>
          </cell>
          <cell r="L50">
            <v>1460.952641413334</v>
          </cell>
          <cell r="M50">
            <v>1516.0001956372323</v>
          </cell>
          <cell r="N50">
            <v>1572.4747969882178</v>
          </cell>
          <cell r="O50">
            <v>1632.1596365753699</v>
          </cell>
          <cell r="P50">
            <v>1695.2074961471246</v>
          </cell>
          <cell r="Q50">
            <v>1761.7789511426076</v>
          </cell>
          <cell r="R50">
            <v>1832.0427572841022</v>
          </cell>
          <cell r="S50">
            <v>1906.1762565609843</v>
          </cell>
          <cell r="T50">
            <v>1984.3658035734568</v>
          </cell>
          <cell r="W50">
            <v>9.1944794677069286E-2</v>
          </cell>
        </row>
        <row r="51">
          <cell r="A51" t="str">
            <v>EBITDA (post exceptionals)</v>
          </cell>
          <cell r="B51">
            <v>4816</v>
          </cell>
          <cell r="C51">
            <v>5275</v>
          </cell>
          <cell r="D51">
            <v>6398</v>
          </cell>
          <cell r="E51">
            <v>6399</v>
          </cell>
          <cell r="F51">
            <v>5815</v>
          </cell>
          <cell r="G51">
            <v>6286</v>
          </cell>
          <cell r="H51">
            <v>6918</v>
          </cell>
          <cell r="I51">
            <v>6920</v>
          </cell>
          <cell r="J51">
            <v>8477.1293127404879</v>
          </cell>
          <cell r="K51">
            <v>9873.3934878171785</v>
          </cell>
          <cell r="L51">
            <v>10519.289144071932</v>
          </cell>
          <cell r="M51">
            <v>10914.790211630987</v>
          </cell>
          <cell r="N51">
            <v>11527.120553421693</v>
          </cell>
          <cell r="O51">
            <v>11698.609424472626</v>
          </cell>
          <cell r="P51">
            <v>12461.220796365389</v>
          </cell>
          <cell r="Q51">
            <v>13586.918587474431</v>
          </cell>
          <cell r="R51">
            <v>12994.13043369212</v>
          </cell>
          <cell r="S51">
            <v>12953.537514853922</v>
          </cell>
          <cell r="T51">
            <v>13088.018368258832</v>
          </cell>
        </row>
        <row r="52">
          <cell r="A52" t="str">
            <v>Margin %</v>
          </cell>
          <cell r="B52">
            <v>0.18964363063595197</v>
          </cell>
          <cell r="C52">
            <v>0.17778901247050893</v>
          </cell>
          <cell r="D52">
            <v>0.19359719196320505</v>
          </cell>
          <cell r="E52">
            <v>0.1943921258885716</v>
          </cell>
          <cell r="F52">
            <v>0.18656955852156057</v>
          </cell>
          <cell r="G52">
            <v>0.17914956680346558</v>
          </cell>
          <cell r="H52">
            <v>0.18938896189224705</v>
          </cell>
          <cell r="I52">
            <v>0.17404426559356137</v>
          </cell>
          <cell r="J52">
            <v>0.20577998946228732</v>
          </cell>
          <cell r="K52">
            <v>0.21754404202647742</v>
          </cell>
          <cell r="L52">
            <v>0.22076638901241447</v>
          </cell>
          <cell r="M52">
            <v>0.21862098362704602</v>
          </cell>
          <cell r="N52">
            <v>0.21941226247510598</v>
          </cell>
          <cell r="O52">
            <v>0.2162128534907572</v>
          </cell>
          <cell r="P52">
            <v>0.22192128213999965</v>
          </cell>
          <cell r="Q52">
            <v>0.23190510613457913</v>
          </cell>
          <cell r="R52">
            <v>0.2205682714575132</v>
          </cell>
          <cell r="S52">
            <v>0.21634474929431746</v>
          </cell>
          <cell r="T52">
            <v>0.21400999054773889</v>
          </cell>
        </row>
        <row r="53">
          <cell r="A53" t="str">
            <v>EBITDA (Pre exceptionals)</v>
          </cell>
          <cell r="B53">
            <v>4861</v>
          </cell>
          <cell r="C53">
            <v>5861</v>
          </cell>
          <cell r="D53">
            <v>7008</v>
          </cell>
          <cell r="E53">
            <v>6931</v>
          </cell>
          <cell r="F53">
            <v>6472</v>
          </cell>
          <cell r="G53">
            <v>7101</v>
          </cell>
          <cell r="H53">
            <v>7613</v>
          </cell>
          <cell r="I53">
            <v>8284</v>
          </cell>
          <cell r="J53">
            <v>8692.1293127404879</v>
          </cell>
          <cell r="K53">
            <v>9873.3934878171785</v>
          </cell>
          <cell r="L53">
            <v>10519.289144071932</v>
          </cell>
          <cell r="M53">
            <v>10914.790211630987</v>
          </cell>
          <cell r="N53">
            <v>11527.120553421693</v>
          </cell>
          <cell r="O53">
            <v>11698.609424472626</v>
          </cell>
          <cell r="P53">
            <v>12461.220796365389</v>
          </cell>
          <cell r="Q53">
            <v>13586.918587474433</v>
          </cell>
          <cell r="R53">
            <v>12994.13043369212</v>
          </cell>
          <cell r="S53">
            <v>12953.537514853922</v>
          </cell>
          <cell r="T53">
            <v>13088.018368258834</v>
          </cell>
        </row>
        <row r="55">
          <cell r="A55" t="str">
            <v>Notes:</v>
          </cell>
        </row>
        <row r="56">
          <cell r="A56" t="str">
            <v>E= Morgan Stanley Research Estimates</v>
          </cell>
        </row>
        <row r="57">
          <cell r="A57" t="str">
            <v>Source: Morgan Stanley Research</v>
          </cell>
        </row>
      </sheetData>
      <sheetData sheetId="5">
        <row r="1">
          <cell r="A1" t="str">
            <v>Bayer</v>
          </cell>
          <cell r="X1" t="str">
            <v>ElementName</v>
          </cell>
          <cell r="Y1" t="str">
            <v>ScaleOverride</v>
          </cell>
          <cell r="Z1" t="str">
            <v>UnitOverride</v>
          </cell>
          <cell r="AA1" t="str">
            <v>ReverseSign</v>
          </cell>
          <cell r="AB1" t="str">
            <v>IsDrivingAssumption</v>
          </cell>
          <cell r="AC1" t="str">
            <v>SegmentID</v>
          </cell>
        </row>
        <row r="2">
          <cell r="A2" t="str">
            <v>Cash Flow Statement</v>
          </cell>
          <cell r="M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1Q13</v>
          </cell>
          <cell r="K4" t="str">
            <v>FY13E</v>
          </cell>
          <cell r="L4" t="str">
            <v>FY14E</v>
          </cell>
          <cell r="M4" t="str">
            <v>FY15E</v>
          </cell>
          <cell r="N4" t="str">
            <v>FY16E</v>
          </cell>
          <cell r="O4" t="str">
            <v>FY17E</v>
          </cell>
          <cell r="P4" t="str">
            <v>FY18E</v>
          </cell>
          <cell r="Q4" t="str">
            <v>FY19E</v>
          </cell>
          <cell r="R4" t="str">
            <v>FY20E</v>
          </cell>
          <cell r="S4" t="str">
            <v>FY21E</v>
          </cell>
          <cell r="T4" t="str">
            <v>FY22E</v>
          </cell>
          <cell r="U4" t="str">
            <v>FY23E</v>
          </cell>
        </row>
        <row r="6">
          <cell r="A6" t="str">
            <v>Net Income</v>
          </cell>
          <cell r="B6">
            <v>2070</v>
          </cell>
          <cell r="C6">
            <v>2114</v>
          </cell>
          <cell r="D6">
            <v>2833</v>
          </cell>
          <cell r="E6">
            <v>1715</v>
          </cell>
          <cell r="F6">
            <v>1359</v>
          </cell>
          <cell r="G6">
            <v>1301</v>
          </cell>
          <cell r="H6">
            <v>2470</v>
          </cell>
          <cell r="I6">
            <v>2446</v>
          </cell>
          <cell r="J6">
            <v>1160</v>
          </cell>
          <cell r="K6">
            <v>3652.5412321062322</v>
          </cell>
          <cell r="L6">
            <v>4652.9108749942916</v>
          </cell>
          <cell r="M6">
            <v>5062.4883064714513</v>
          </cell>
          <cell r="N6">
            <v>5399.0934197078222</v>
          </cell>
          <cell r="O6">
            <v>5920.1868903562081</v>
          </cell>
          <cell r="P6">
            <v>6023.824452278619</v>
          </cell>
          <cell r="Q6">
            <v>6569.6396380615115</v>
          </cell>
          <cell r="R6">
            <v>7383.3392558631604</v>
          </cell>
          <cell r="S6">
            <v>6928.75038607853</v>
          </cell>
          <cell r="T6">
            <v>6788.7716522931023</v>
          </cell>
          <cell r="U6">
            <v>6774.6745381611527</v>
          </cell>
          <cell r="X6" t="str">
            <v>mstag:netIncomeReported</v>
          </cell>
          <cell r="Y6">
            <v>6</v>
          </cell>
          <cell r="Z6" t="str">
            <v>ISO4217:EUR</v>
          </cell>
          <cell r="AA6" t="b">
            <v>0</v>
          </cell>
        </row>
        <row r="7">
          <cell r="A7" t="str">
            <v>Minorities</v>
          </cell>
          <cell r="B7">
            <v>-2</v>
          </cell>
          <cell r="C7">
            <v>12</v>
          </cell>
          <cell r="D7">
            <v>5</v>
          </cell>
          <cell r="E7">
            <v>5</v>
          </cell>
          <cell r="F7">
            <v>0</v>
          </cell>
          <cell r="G7">
            <v>9</v>
          </cell>
          <cell r="H7">
            <v>2</v>
          </cell>
          <cell r="I7">
            <v>50</v>
          </cell>
          <cell r="J7">
            <v>2</v>
          </cell>
          <cell r="K7">
            <v>50</v>
          </cell>
          <cell r="L7">
            <v>50</v>
          </cell>
          <cell r="M7">
            <v>50</v>
          </cell>
          <cell r="N7">
            <v>50</v>
          </cell>
          <cell r="O7">
            <v>50</v>
          </cell>
          <cell r="P7">
            <v>50</v>
          </cell>
          <cell r="Q7">
            <v>50</v>
          </cell>
          <cell r="R7">
            <v>50</v>
          </cell>
          <cell r="S7">
            <v>50</v>
          </cell>
          <cell r="T7">
            <v>50</v>
          </cell>
          <cell r="U7">
            <v>50</v>
          </cell>
          <cell r="X7" t="str">
            <v>mstag:minorityInterestCashFlowStatement</v>
          </cell>
          <cell r="Y7">
            <v>6</v>
          </cell>
          <cell r="Z7" t="str">
            <v>ISO4217:EUR</v>
          </cell>
          <cell r="AA7" t="b">
            <v>0</v>
          </cell>
        </row>
        <row r="8">
          <cell r="A8" t="str">
            <v>Income tax</v>
          </cell>
          <cell r="B8">
            <v>538</v>
          </cell>
          <cell r="C8">
            <v>454</v>
          </cell>
          <cell r="D8">
            <v>-72</v>
          </cell>
          <cell r="E8">
            <v>636</v>
          </cell>
          <cell r="F8">
            <v>511</v>
          </cell>
          <cell r="G8">
            <v>411</v>
          </cell>
          <cell r="H8">
            <v>891</v>
          </cell>
          <cell r="I8">
            <v>752</v>
          </cell>
          <cell r="J8">
            <v>419</v>
          </cell>
          <cell r="K8">
            <v>1334.9298319838797</v>
          </cell>
          <cell r="L8">
            <v>1652.3740912142107</v>
          </cell>
          <cell r="M8">
            <v>1796.2796752467264</v>
          </cell>
          <cell r="N8">
            <v>1914.5463366540998</v>
          </cell>
          <cell r="O8">
            <v>2097.6332317467763</v>
          </cell>
          <cell r="P8">
            <v>2134.0464291789744</v>
          </cell>
          <cell r="Q8">
            <v>2325.8193322918828</v>
          </cell>
          <cell r="R8">
            <v>2611.7137926005703</v>
          </cell>
          <cell r="S8">
            <v>2451.9933788924563</v>
          </cell>
          <cell r="T8">
            <v>2402.8116616164953</v>
          </cell>
          <cell r="U8">
            <v>2397.8586215160808</v>
          </cell>
          <cell r="X8" t="str">
            <v>mstag:otherCashFlow</v>
          </cell>
          <cell r="Y8">
            <v>6</v>
          </cell>
          <cell r="Z8" t="str">
            <v>ISO4217:EUR</v>
          </cell>
          <cell r="AA8" t="b">
            <v>0</v>
          </cell>
        </row>
        <row r="9">
          <cell r="A9" t="str">
            <v>Associates</v>
          </cell>
          <cell r="B9">
            <v>10</v>
          </cell>
          <cell r="C9">
            <v>25</v>
          </cell>
          <cell r="D9">
            <v>45</v>
          </cell>
          <cell r="E9">
            <v>62</v>
          </cell>
          <cell r="F9">
            <v>48</v>
          </cell>
          <cell r="G9">
            <v>56</v>
          </cell>
          <cell r="H9">
            <v>45</v>
          </cell>
          <cell r="I9">
            <v>46</v>
          </cell>
          <cell r="J9">
            <v>0</v>
          </cell>
          <cell r="K9">
            <v>43.699999999999996</v>
          </cell>
          <cell r="L9">
            <v>41.514999999999993</v>
          </cell>
          <cell r="M9">
            <v>39.439249999999994</v>
          </cell>
          <cell r="N9">
            <v>0</v>
          </cell>
          <cell r="O9">
            <v>0</v>
          </cell>
          <cell r="P9">
            <v>0</v>
          </cell>
          <cell r="Q9">
            <v>0</v>
          </cell>
          <cell r="R9">
            <v>0</v>
          </cell>
          <cell r="S9">
            <v>0</v>
          </cell>
          <cell r="T9">
            <v>0</v>
          </cell>
          <cell r="U9">
            <v>0</v>
          </cell>
          <cell r="X9" t="str">
            <v>mstag:otherCashFlow</v>
          </cell>
          <cell r="Y9">
            <v>6</v>
          </cell>
          <cell r="Z9" t="str">
            <v>ISO4217:EUR</v>
          </cell>
          <cell r="AA9" t="b">
            <v>0</v>
          </cell>
        </row>
        <row r="10">
          <cell r="A10" t="str">
            <v>Net financials</v>
          </cell>
          <cell r="B10">
            <v>592</v>
          </cell>
          <cell r="C10">
            <v>757</v>
          </cell>
          <cell r="D10">
            <v>875</v>
          </cell>
          <cell r="E10">
            <v>1126</v>
          </cell>
          <cell r="F10">
            <v>1088</v>
          </cell>
          <cell r="G10">
            <v>953</v>
          </cell>
          <cell r="H10">
            <v>741</v>
          </cell>
          <cell r="I10">
            <v>666</v>
          </cell>
          <cell r="J10">
            <v>190</v>
          </cell>
          <cell r="K10">
            <v>666.6225523316491</v>
          </cell>
          <cell r="L10">
            <v>636.74045161754736</v>
          </cell>
          <cell r="M10">
            <v>616.30750478834216</v>
          </cell>
          <cell r="N10">
            <v>477.04223176202731</v>
          </cell>
          <cell r="O10">
            <v>260.83596607993968</v>
          </cell>
          <cell r="P10">
            <v>163.12886641778255</v>
          </cell>
          <cell r="Q10">
            <v>53.210422201780602</v>
          </cell>
          <cell r="R10">
            <v>-62.269110366774385</v>
          </cell>
          <cell r="S10">
            <v>-185.12870688022872</v>
          </cell>
          <cell r="T10">
            <v>-185.12870688022872</v>
          </cell>
          <cell r="U10">
            <v>-185.12870688022872</v>
          </cell>
          <cell r="X10" t="str">
            <v>mstag:otherCashFlow</v>
          </cell>
          <cell r="Y10">
            <v>6</v>
          </cell>
          <cell r="Z10" t="str">
            <v>ISO4217:EUR</v>
          </cell>
          <cell r="AA10" t="b">
            <v>0</v>
          </cell>
        </row>
        <row r="11">
          <cell r="A11" t="str">
            <v>Tax Paid</v>
          </cell>
          <cell r="B11">
            <v>-463</v>
          </cell>
          <cell r="C11">
            <v>-763</v>
          </cell>
          <cell r="D11">
            <v>-915</v>
          </cell>
          <cell r="E11">
            <v>-812</v>
          </cell>
          <cell r="F11">
            <v>-636</v>
          </cell>
          <cell r="G11">
            <v>-897</v>
          </cell>
          <cell r="H11">
            <v>-1067</v>
          </cell>
          <cell r="I11">
            <v>-1560</v>
          </cell>
          <cell r="J11">
            <v>-473</v>
          </cell>
          <cell r="K11">
            <v>-1391.9949475482867</v>
          </cell>
          <cell r="L11">
            <v>-1819.0078442924162</v>
          </cell>
          <cell r="M11">
            <v>-1886.2741653039172</v>
          </cell>
          <cell r="N11">
            <v>-2005.0748117156888</v>
          </cell>
          <cell r="O11">
            <v>-2201.4450385311102</v>
          </cell>
          <cell r="P11">
            <v>-2196.4973171749789</v>
          </cell>
          <cell r="Q11">
            <v>-2407.120969230577</v>
          </cell>
          <cell r="R11">
            <v>-2708.6070095267582</v>
          </cell>
          <cell r="S11">
            <v>-2464.8683492204641</v>
          </cell>
          <cell r="T11">
            <v>-2441.0825714406351</v>
          </cell>
          <cell r="U11">
            <v>-2448.8192937304416</v>
          </cell>
          <cell r="X11" t="str">
            <v>mstag:netIncreaseInIncomeTaxPayableReceivable</v>
          </cell>
          <cell r="Y11">
            <v>6</v>
          </cell>
          <cell r="Z11" t="str">
            <v>ISO4217:EUR</v>
          </cell>
          <cell r="AA11" t="b">
            <v>0</v>
          </cell>
        </row>
        <row r="12">
          <cell r="A12" t="str">
            <v>Depreciation</v>
          </cell>
          <cell r="B12">
            <v>1058</v>
          </cell>
          <cell r="C12">
            <v>1179</v>
          </cell>
          <cell r="D12">
            <v>1249</v>
          </cell>
          <cell r="E12">
            <v>1172</v>
          </cell>
          <cell r="F12">
            <v>1272</v>
          </cell>
          <cell r="G12">
            <v>1248</v>
          </cell>
          <cell r="H12">
            <v>1330</v>
          </cell>
          <cell r="I12">
            <v>1302</v>
          </cell>
          <cell r="J12">
            <v>645</v>
          </cell>
          <cell r="K12">
            <v>1374.3798137129479</v>
          </cell>
          <cell r="L12">
            <v>1432.5669459535131</v>
          </cell>
          <cell r="M12">
            <v>1493.8217661520782</v>
          </cell>
          <cell r="N12">
            <v>1558.1080278698048</v>
          </cell>
          <cell r="O12">
            <v>1625.9896682505512</v>
          </cell>
          <cell r="P12">
            <v>1695.4500400218803</v>
          </cell>
          <cell r="Q12">
            <v>1767.34390766309</v>
          </cell>
          <cell r="R12">
            <v>1842.3556982348678</v>
          </cell>
          <cell r="S12">
            <v>1916.47261831726</v>
          </cell>
          <cell r="T12">
            <v>1990.9066512635695</v>
          </cell>
          <cell r="U12">
            <v>2066.2481118883702</v>
          </cell>
          <cell r="X12" t="str">
            <v>mstag:depreciation</v>
          </cell>
          <cell r="Y12">
            <v>6</v>
          </cell>
          <cell r="Z12" t="str">
            <v>ISO4217:EUR</v>
          </cell>
          <cell r="AA12" t="b">
            <v>0</v>
          </cell>
          <cell r="AB12" t="b">
            <v>0</v>
          </cell>
        </row>
        <row r="13">
          <cell r="A13" t="str">
            <v>Amortisation</v>
          </cell>
          <cell r="B13">
            <v>550</v>
          </cell>
          <cell r="C13">
            <v>734</v>
          </cell>
          <cell r="D13">
            <v>1463</v>
          </cell>
          <cell r="E13">
            <v>1550</v>
          </cell>
          <cell r="F13">
            <v>1537</v>
          </cell>
          <cell r="G13">
            <v>2308</v>
          </cell>
          <cell r="H13">
            <v>1439</v>
          </cell>
          <cell r="I13">
            <v>1658</v>
          </cell>
          <cell r="K13">
            <v>1354.9558826057789</v>
          </cell>
          <cell r="L13">
            <v>1407.2861240376155</v>
          </cell>
          <cell r="M13">
            <v>1460.952641413334</v>
          </cell>
          <cell r="N13">
            <v>1516.0001956372323</v>
          </cell>
          <cell r="O13">
            <v>1572.4747969882178</v>
          </cell>
          <cell r="P13">
            <v>1632.1596365753699</v>
          </cell>
          <cell r="Q13">
            <v>1695.2074961471246</v>
          </cell>
          <cell r="R13">
            <v>1761.7789511426076</v>
          </cell>
          <cell r="S13">
            <v>1832.0427572841022</v>
          </cell>
          <cell r="T13">
            <v>1906.1762565609843</v>
          </cell>
          <cell r="U13">
            <v>1984.3658035734568</v>
          </cell>
          <cell r="X13" t="str">
            <v>mstag:amortizationOfIntangiblesAssumedToHaveIndefiniteLife</v>
          </cell>
          <cell r="Y13">
            <v>6</v>
          </cell>
          <cell r="Z13" t="str">
            <v>ISO4217:EUR</v>
          </cell>
          <cell r="AA13" t="b">
            <v>0</v>
          </cell>
          <cell r="AB13" t="b">
            <v>0</v>
          </cell>
        </row>
        <row r="14">
          <cell r="A14" t="str">
            <v>Change in pension provisions</v>
          </cell>
          <cell r="B14">
            <v>-501</v>
          </cell>
          <cell r="C14">
            <v>-295</v>
          </cell>
          <cell r="D14">
            <v>-369</v>
          </cell>
          <cell r="E14">
            <v>-292</v>
          </cell>
          <cell r="F14">
            <v>-366</v>
          </cell>
          <cell r="G14">
            <v>-590</v>
          </cell>
          <cell r="H14">
            <v>-504</v>
          </cell>
          <cell r="I14">
            <v>-542</v>
          </cell>
          <cell r="J14">
            <v>-124</v>
          </cell>
          <cell r="K14">
            <v>244.74399999999696</v>
          </cell>
          <cell r="L14">
            <v>251.37493200000063</v>
          </cell>
          <cell r="M14">
            <v>258.17662360199756</v>
          </cell>
          <cell r="N14">
            <v>265.15310977060471</v>
          </cell>
          <cell r="O14">
            <v>272.30850527696566</v>
          </cell>
          <cell r="P14">
            <v>279.64700555131094</v>
          </cell>
          <cell r="Q14">
            <v>287.17288750407897</v>
          </cell>
          <cell r="R14">
            <v>294.89051031257259</v>
          </cell>
          <cell r="S14">
            <v>302.80431617002614</v>
          </cell>
          <cell r="T14">
            <v>310.91883099361803</v>
          </cell>
          <cell r="U14">
            <v>319.23866508793253</v>
          </cell>
          <cell r="X14" t="str">
            <v>mstag:netPensionAndOpebExpenseCashFlowStatement</v>
          </cell>
          <cell r="Y14">
            <v>6</v>
          </cell>
          <cell r="Z14" t="str">
            <v>ISO4217:EUR</v>
          </cell>
          <cell r="AA14" t="b">
            <v>0</v>
          </cell>
        </row>
        <row r="15">
          <cell r="A15" t="str">
            <v>(Gains)/losses on retirement of non-current assets</v>
          </cell>
          <cell r="B15">
            <v>-44</v>
          </cell>
          <cell r="C15">
            <v>-133</v>
          </cell>
          <cell r="D15">
            <v>-13</v>
          </cell>
          <cell r="E15">
            <v>-75</v>
          </cell>
          <cell r="F15">
            <v>-155</v>
          </cell>
          <cell r="G15">
            <v>-28</v>
          </cell>
          <cell r="H15">
            <v>-175</v>
          </cell>
          <cell r="I15">
            <v>-219</v>
          </cell>
          <cell r="J15">
            <v>-12</v>
          </cell>
          <cell r="K15">
            <v>0</v>
          </cell>
          <cell r="L15">
            <v>0</v>
          </cell>
          <cell r="M15">
            <v>0</v>
          </cell>
          <cell r="N15">
            <v>0</v>
          </cell>
          <cell r="O15">
            <v>0</v>
          </cell>
          <cell r="P15">
            <v>0</v>
          </cell>
          <cell r="Q15">
            <v>0</v>
          </cell>
          <cell r="R15">
            <v>0</v>
          </cell>
          <cell r="S15">
            <v>0</v>
          </cell>
          <cell r="T15">
            <v>0</v>
          </cell>
          <cell r="U15">
            <v>0</v>
          </cell>
          <cell r="X15" t="str">
            <v>mstag:gainsLossesFromSaleOfOperatingAssetsOneTime</v>
          </cell>
          <cell r="Y15">
            <v>6</v>
          </cell>
          <cell r="Z15" t="str">
            <v>ISO4217:EUR</v>
          </cell>
          <cell r="AA15" t="b">
            <v>1</v>
          </cell>
        </row>
        <row r="16">
          <cell r="A16" t="str">
            <v>Schering write downs</v>
          </cell>
          <cell r="B16">
            <v>0</v>
          </cell>
          <cell r="C16">
            <v>429</v>
          </cell>
          <cell r="D16">
            <v>215</v>
          </cell>
          <cell r="E16">
            <v>208</v>
          </cell>
          <cell r="F16">
            <v>0</v>
          </cell>
          <cell r="G16">
            <v>0</v>
          </cell>
          <cell r="H16">
            <v>0</v>
          </cell>
          <cell r="I16">
            <v>0</v>
          </cell>
          <cell r="K16">
            <v>0</v>
          </cell>
          <cell r="L16">
            <v>0</v>
          </cell>
          <cell r="M16">
            <v>0</v>
          </cell>
          <cell r="N16">
            <v>0</v>
          </cell>
          <cell r="O16">
            <v>0</v>
          </cell>
          <cell r="P16">
            <v>0</v>
          </cell>
          <cell r="Q16">
            <v>0</v>
          </cell>
          <cell r="R16">
            <v>0</v>
          </cell>
          <cell r="S16">
            <v>0</v>
          </cell>
          <cell r="T16">
            <v>0</v>
          </cell>
          <cell r="U16">
            <v>0</v>
          </cell>
          <cell r="X16" t="str">
            <v>mstag:assetImpairmentNonGoodwillOneTime</v>
          </cell>
          <cell r="Y16">
            <v>6</v>
          </cell>
          <cell r="Z16" t="str">
            <v>ISO4217:EUR</v>
          </cell>
          <cell r="AA16" t="b">
            <v>0</v>
          </cell>
        </row>
        <row r="17">
          <cell r="A17" t="str">
            <v>Inventories (increase)/decrease</v>
          </cell>
          <cell r="B17">
            <v>-130</v>
          </cell>
          <cell r="C17">
            <v>-155</v>
          </cell>
          <cell r="D17">
            <v>-347</v>
          </cell>
          <cell r="E17">
            <v>-692</v>
          </cell>
          <cell r="F17">
            <v>604</v>
          </cell>
          <cell r="G17">
            <v>211</v>
          </cell>
          <cell r="H17">
            <v>-241</v>
          </cell>
          <cell r="I17">
            <v>-674</v>
          </cell>
          <cell r="J17">
            <v>-299</v>
          </cell>
          <cell r="K17">
            <v>-200.71993889303303</v>
          </cell>
          <cell r="L17">
            <v>-556.86931960043057</v>
          </cell>
          <cell r="M17">
            <v>-251.90848581970477</v>
          </cell>
          <cell r="N17">
            <v>-200.978954557203</v>
          </cell>
          <cell r="O17">
            <v>-175.36512539406704</v>
          </cell>
          <cell r="P17">
            <v>-161.12392313571945</v>
          </cell>
          <cell r="Q17">
            <v>-157.36125970110879</v>
          </cell>
          <cell r="R17">
            <v>-106.27913596454891</v>
          </cell>
          <cell r="S17">
            <v>-31.509920042073645</v>
          </cell>
          <cell r="T17">
            <v>-40.406116936919716</v>
          </cell>
          <cell r="U17">
            <v>-57.911938144465239</v>
          </cell>
          <cell r="X17" t="str">
            <v>mstag:netDecreaseInInventories</v>
          </cell>
          <cell r="Y17">
            <v>6</v>
          </cell>
          <cell r="Z17" t="str">
            <v>ISO4217:EUR</v>
          </cell>
          <cell r="AA17" t="b">
            <v>0</v>
          </cell>
          <cell r="AB17" t="b">
            <v>0</v>
          </cell>
        </row>
        <row r="18">
          <cell r="A18" t="str">
            <v>Receivables (increase)/decrease</v>
          </cell>
          <cell r="B18">
            <v>211</v>
          </cell>
          <cell r="C18">
            <v>-201</v>
          </cell>
          <cell r="D18">
            <v>-183</v>
          </cell>
          <cell r="E18">
            <v>-134</v>
          </cell>
          <cell r="F18">
            <v>-28</v>
          </cell>
          <cell r="G18">
            <v>-153</v>
          </cell>
          <cell r="H18">
            <v>-389</v>
          </cell>
          <cell r="I18">
            <v>-452</v>
          </cell>
          <cell r="J18">
            <v>-1678</v>
          </cell>
          <cell r="K18">
            <v>-469.43206508600815</v>
          </cell>
          <cell r="L18">
            <v>-803.67906833244342</v>
          </cell>
          <cell r="M18">
            <v>-434.0458435829114</v>
          </cell>
          <cell r="N18">
            <v>-436.62126760662068</v>
          </cell>
          <cell r="O18">
            <v>-500.68713341158582</v>
          </cell>
          <cell r="P18">
            <v>-301.20231078038159</v>
          </cell>
          <cell r="Q18">
            <v>-392.11997942653397</v>
          </cell>
          <cell r="R18">
            <v>-467.31858863207162</v>
          </cell>
          <cell r="S18">
            <v>-223.49922189292374</v>
          </cell>
          <cell r="T18">
            <v>-187.21850674907182</v>
          </cell>
          <cell r="U18">
            <v>-249.29590121433648</v>
          </cell>
          <cell r="X18" t="str">
            <v>mstag:netDecreaseInTradeReceivables</v>
          </cell>
          <cell r="Y18">
            <v>6</v>
          </cell>
          <cell r="Z18" t="str">
            <v>ISO4217:EUR</v>
          </cell>
          <cell r="AA18" t="b">
            <v>0</v>
          </cell>
          <cell r="AB18" t="b">
            <v>0</v>
          </cell>
        </row>
        <row r="19">
          <cell r="A19" t="str">
            <v>Payables increase/(decrease)</v>
          </cell>
          <cell r="B19">
            <v>-117</v>
          </cell>
          <cell r="C19">
            <v>130</v>
          </cell>
          <cell r="D19">
            <v>189</v>
          </cell>
          <cell r="E19">
            <v>-36</v>
          </cell>
          <cell r="F19">
            <v>235</v>
          </cell>
          <cell r="G19">
            <v>566</v>
          </cell>
          <cell r="H19">
            <v>245</v>
          </cell>
          <cell r="I19">
            <v>539</v>
          </cell>
          <cell r="J19">
            <v>-424</v>
          </cell>
          <cell r="K19">
            <v>155.02509256744361</v>
          </cell>
          <cell r="L19">
            <v>452.68309264446088</v>
          </cell>
          <cell r="M19">
            <v>244.48218519647889</v>
          </cell>
          <cell r="N19">
            <v>245.93282757085763</v>
          </cell>
          <cell r="O19">
            <v>282.01879199159521</v>
          </cell>
          <cell r="P19">
            <v>169.65627067858259</v>
          </cell>
          <cell r="Q19">
            <v>220.86687580752277</v>
          </cell>
          <cell r="R19">
            <v>263.22350834786539</v>
          </cell>
          <cell r="S19">
            <v>34.976595546359022</v>
          </cell>
          <cell r="T19">
            <v>103.9680946835424</v>
          </cell>
          <cell r="U19">
            <v>138.44154785621777</v>
          </cell>
          <cell r="X19" t="str">
            <v>mstag:netIncreaseInTradeAndOtherPayables</v>
          </cell>
          <cell r="Y19">
            <v>6</v>
          </cell>
          <cell r="Z19" t="str">
            <v>ISO4217:EUR</v>
          </cell>
          <cell r="AA19" t="b">
            <v>0</v>
          </cell>
          <cell r="AB19" t="b">
            <v>0</v>
          </cell>
        </row>
        <row r="20">
          <cell r="A20" t="str">
            <v>Other working capital changes</v>
          </cell>
          <cell r="B20">
            <v>149</v>
          </cell>
          <cell r="C20">
            <v>241</v>
          </cell>
          <cell r="D20">
            <v>-162</v>
          </cell>
          <cell r="E20">
            <v>-825</v>
          </cell>
          <cell r="F20">
            <v>-94</v>
          </cell>
          <cell r="G20">
            <v>378</v>
          </cell>
          <cell r="H20">
            <v>273</v>
          </cell>
          <cell r="I20">
            <v>520</v>
          </cell>
          <cell r="J20">
            <v>921</v>
          </cell>
          <cell r="K20">
            <v>0</v>
          </cell>
          <cell r="L20">
            <v>0</v>
          </cell>
          <cell r="M20">
            <v>0</v>
          </cell>
          <cell r="N20">
            <v>0</v>
          </cell>
          <cell r="O20">
            <v>0</v>
          </cell>
          <cell r="P20">
            <v>0</v>
          </cell>
          <cell r="Q20">
            <v>0</v>
          </cell>
          <cell r="R20">
            <v>0</v>
          </cell>
          <cell r="S20">
            <v>0</v>
          </cell>
          <cell r="T20">
            <v>0</v>
          </cell>
          <cell r="U20">
            <v>0</v>
          </cell>
          <cell r="X20" t="str">
            <v>mstag:netIncreaseInOtherLiabilitiesOperating</v>
          </cell>
          <cell r="Y20">
            <v>6</v>
          </cell>
          <cell r="Z20" t="str">
            <v>ISO4217:EUR</v>
          </cell>
          <cell r="AA20" t="b">
            <v>0</v>
          </cell>
        </row>
        <row r="21">
          <cell r="A21" t="str">
            <v>Disc ops op cash flow</v>
          </cell>
          <cell r="B21">
            <v>275</v>
          </cell>
          <cell r="C21">
            <v>275</v>
          </cell>
          <cell r="D21">
            <v>2</v>
          </cell>
          <cell r="E21">
            <v>0</v>
          </cell>
          <cell r="F21">
            <v>0</v>
          </cell>
          <cell r="G21">
            <v>0</v>
          </cell>
          <cell r="H21">
            <v>0</v>
          </cell>
          <cell r="I21">
            <v>0</v>
          </cell>
          <cell r="K21">
            <v>0</v>
          </cell>
          <cell r="L21">
            <v>0</v>
          </cell>
          <cell r="M21">
            <v>0</v>
          </cell>
          <cell r="N21">
            <v>0</v>
          </cell>
          <cell r="O21">
            <v>0</v>
          </cell>
          <cell r="P21">
            <v>0</v>
          </cell>
          <cell r="Q21">
            <v>0</v>
          </cell>
          <cell r="R21">
            <v>0</v>
          </cell>
          <cell r="S21">
            <v>0</v>
          </cell>
          <cell r="T21">
            <v>0</v>
          </cell>
          <cell r="U21">
            <v>0</v>
          </cell>
          <cell r="X21" t="str">
            <v>mstag:netCashFlowFromDiscontinuedOperations</v>
          </cell>
          <cell r="Y21">
            <v>6</v>
          </cell>
          <cell r="Z21" t="str">
            <v>ISO4217:EUR</v>
          </cell>
          <cell r="AA21" t="b">
            <v>0</v>
          </cell>
        </row>
        <row r="22">
          <cell r="A22" t="str">
            <v>Cash Flows from operating activities</v>
          </cell>
          <cell r="B22">
            <v>4196</v>
          </cell>
          <cell r="C22">
            <v>4803</v>
          </cell>
          <cell r="D22">
            <v>4815</v>
          </cell>
          <cell r="E22">
            <v>3608</v>
          </cell>
          <cell r="F22">
            <v>5375</v>
          </cell>
          <cell r="G22">
            <v>5773</v>
          </cell>
          <cell r="H22">
            <v>5060</v>
          </cell>
          <cell r="I22">
            <v>4532</v>
          </cell>
          <cell r="J22">
            <v>327</v>
          </cell>
          <cell r="K22">
            <v>6814.751453780601</v>
          </cell>
          <cell r="L22">
            <v>7397.895280236351</v>
          </cell>
          <cell r="M22">
            <v>8449.719458163876</v>
          </cell>
          <cell r="N22">
            <v>8783.2011150929357</v>
          </cell>
          <cell r="O22">
            <v>9203.9505533534902</v>
          </cell>
          <cell r="P22">
            <v>9489.08914961144</v>
          </cell>
          <cell r="Q22">
            <v>10012.658351318772</v>
          </cell>
          <cell r="R22">
            <v>10862.82787201149</v>
          </cell>
          <cell r="S22">
            <v>10612.033854253044</v>
          </cell>
          <cell r="T22">
            <v>10699.717245404456</v>
          </cell>
          <cell r="U22">
            <v>10789.671448113739</v>
          </cell>
        </row>
        <row r="24">
          <cell r="A24" t="str">
            <v>Purchase of PPE</v>
          </cell>
          <cell r="B24">
            <v>-1293</v>
          </cell>
          <cell r="C24">
            <v>-1533</v>
          </cell>
          <cell r="D24">
            <v>-1549</v>
          </cell>
          <cell r="E24">
            <v>-1463</v>
          </cell>
          <cell r="F24">
            <v>-1575</v>
          </cell>
          <cell r="G24">
            <v>-1514</v>
          </cell>
          <cell r="H24">
            <v>-1615</v>
          </cell>
          <cell r="I24">
            <v>-1929</v>
          </cell>
          <cell r="J24">
            <v>-365</v>
          </cell>
          <cell r="K24">
            <v>-1626.6680780747115</v>
          </cell>
          <cell r="L24">
            <v>-1792.1424565268194</v>
          </cell>
          <cell r="M24">
            <v>-1881.5107989618539</v>
          </cell>
          <cell r="N24">
            <v>-1971.4094111356014</v>
          </cell>
          <cell r="O24">
            <v>-2074.4989346342754</v>
          </cell>
          <cell r="P24">
            <v>-2136.5153129731289</v>
          </cell>
          <cell r="Q24">
            <v>-2217.2512838736666</v>
          </cell>
          <cell r="R24">
            <v>-2313.4703544455292</v>
          </cell>
          <cell r="S24">
            <v>-2326.2557455998444</v>
          </cell>
          <cell r="T24">
            <v>-2364.2603809090788</v>
          </cell>
          <cell r="U24">
            <v>-2414.8664880416195</v>
          </cell>
          <cell r="X24" t="str">
            <v>mstag:capitalExpenditures</v>
          </cell>
          <cell r="Y24">
            <v>6</v>
          </cell>
          <cell r="Z24" t="str">
            <v>ISO4217:EUR</v>
          </cell>
          <cell r="AA24" t="b">
            <v>1</v>
          </cell>
          <cell r="AB24" t="b">
            <v>0</v>
          </cell>
        </row>
        <row r="25">
          <cell r="A25" t="str">
            <v>Purchase of intangible assets</v>
          </cell>
          <cell r="B25">
            <v>-96</v>
          </cell>
          <cell r="C25">
            <v>-343</v>
          </cell>
          <cell r="D25">
            <v>-311</v>
          </cell>
          <cell r="E25">
            <v>-296</v>
          </cell>
          <cell r="F25">
            <v>0</v>
          </cell>
          <cell r="G25">
            <v>0</v>
          </cell>
          <cell r="H25">
            <v>0</v>
          </cell>
          <cell r="I25">
            <v>0</v>
          </cell>
          <cell r="J25">
            <v>0</v>
          </cell>
          <cell r="K25">
            <v>-1705.0218773946362</v>
          </cell>
          <cell r="L25">
            <v>-1061.6131467432951</v>
          </cell>
          <cell r="M25">
            <v>-1093.4615411455941</v>
          </cell>
          <cell r="N25">
            <v>-1126.265387379962</v>
          </cell>
          <cell r="O25">
            <v>-1160.0533490013609</v>
          </cell>
          <cell r="P25">
            <v>-1218.0560164514291</v>
          </cell>
          <cell r="Q25">
            <v>-1278.9588172740005</v>
          </cell>
          <cell r="R25">
            <v>-1342.9067581377005</v>
          </cell>
          <cell r="S25">
            <v>-1410.0520960445856</v>
          </cell>
          <cell r="T25">
            <v>-1480.554700846815</v>
          </cell>
          <cell r="U25">
            <v>-1554.5824358891557</v>
          </cell>
          <cell r="X25" t="str">
            <v>mstag:investmentInIntangibleAssets</v>
          </cell>
          <cell r="Y25">
            <v>6</v>
          </cell>
          <cell r="Z25" t="str">
            <v>ISO4217:EUR</v>
          </cell>
          <cell r="AA25" t="b">
            <v>1</v>
          </cell>
          <cell r="AB25" t="b">
            <v>0</v>
          </cell>
        </row>
        <row r="26">
          <cell r="A26" t="str">
            <v>Proceeds from sale of PPE and other assets</v>
          </cell>
          <cell r="B26">
            <v>105</v>
          </cell>
          <cell r="C26">
            <v>185</v>
          </cell>
          <cell r="D26">
            <v>165</v>
          </cell>
          <cell r="E26">
            <v>167</v>
          </cell>
          <cell r="F26">
            <v>98</v>
          </cell>
          <cell r="G26">
            <v>61</v>
          </cell>
          <cell r="H26">
            <v>275</v>
          </cell>
          <cell r="I26">
            <v>227</v>
          </cell>
          <cell r="J26">
            <v>27</v>
          </cell>
          <cell r="K26">
            <v>0</v>
          </cell>
          <cell r="L26">
            <v>0</v>
          </cell>
          <cell r="M26">
            <v>0</v>
          </cell>
          <cell r="N26">
            <v>0</v>
          </cell>
          <cell r="O26">
            <v>0</v>
          </cell>
          <cell r="P26">
            <v>0</v>
          </cell>
          <cell r="Q26">
            <v>0</v>
          </cell>
          <cell r="R26">
            <v>0</v>
          </cell>
          <cell r="S26">
            <v>0</v>
          </cell>
          <cell r="T26">
            <v>0</v>
          </cell>
          <cell r="U26">
            <v>0</v>
          </cell>
          <cell r="X26" t="str">
            <v>mstag:proceedsFromSaleOfPpeAndIntangibleAssets</v>
          </cell>
          <cell r="Y26">
            <v>6</v>
          </cell>
          <cell r="Z26" t="str">
            <v>ISO4217:EUR</v>
          </cell>
          <cell r="AA26" t="b">
            <v>0</v>
          </cell>
        </row>
        <row r="27">
          <cell r="A27" t="str">
            <v>Cash from divestitures</v>
          </cell>
          <cell r="B27">
            <v>293</v>
          </cell>
          <cell r="C27">
            <v>489</v>
          </cell>
          <cell r="D27">
            <v>4648</v>
          </cell>
          <cell r="E27">
            <v>-41</v>
          </cell>
          <cell r="F27">
            <v>70</v>
          </cell>
          <cell r="G27">
            <v>101</v>
          </cell>
          <cell r="H27">
            <v>173</v>
          </cell>
          <cell r="I27">
            <v>178</v>
          </cell>
          <cell r="J27">
            <v>17</v>
          </cell>
          <cell r="K27">
            <v>0</v>
          </cell>
          <cell r="L27">
            <v>0</v>
          </cell>
          <cell r="M27">
            <v>0</v>
          </cell>
          <cell r="N27">
            <v>0</v>
          </cell>
          <cell r="O27">
            <v>0</v>
          </cell>
          <cell r="P27">
            <v>0</v>
          </cell>
          <cell r="Q27">
            <v>0</v>
          </cell>
          <cell r="R27">
            <v>0</v>
          </cell>
          <cell r="S27">
            <v>0</v>
          </cell>
          <cell r="T27">
            <v>0</v>
          </cell>
          <cell r="U27">
            <v>0</v>
          </cell>
          <cell r="X27" t="str">
            <v>mstag:proceedsFromDivestituresOfFundsUsedTopurchaseInterestInEquityMethodInvestmentsNonoperating</v>
          </cell>
          <cell r="Y27">
            <v>6</v>
          </cell>
          <cell r="Z27" t="str">
            <v>ISO4217:EUR</v>
          </cell>
          <cell r="AA27" t="b">
            <v>0</v>
          </cell>
        </row>
        <row r="28">
          <cell r="A28" t="str">
            <v>Cash from non-current financial assets</v>
          </cell>
          <cell r="B28">
            <v>1189</v>
          </cell>
          <cell r="C28">
            <v>850</v>
          </cell>
          <cell r="D28">
            <v>70</v>
          </cell>
          <cell r="E28">
            <v>-390</v>
          </cell>
          <cell r="F28">
            <v>169</v>
          </cell>
          <cell r="G28">
            <v>-461</v>
          </cell>
          <cell r="H28">
            <v>-211</v>
          </cell>
          <cell r="I28">
            <v>-261</v>
          </cell>
          <cell r="J28">
            <v>56</v>
          </cell>
          <cell r="K28">
            <v>0</v>
          </cell>
          <cell r="L28">
            <v>0</v>
          </cell>
          <cell r="M28">
            <v>0</v>
          </cell>
          <cell r="N28">
            <v>0</v>
          </cell>
          <cell r="O28">
            <v>0</v>
          </cell>
          <cell r="P28">
            <v>0</v>
          </cell>
          <cell r="Q28">
            <v>0</v>
          </cell>
          <cell r="R28">
            <v>0</v>
          </cell>
          <cell r="S28">
            <v>0</v>
          </cell>
          <cell r="T28">
            <v>0</v>
          </cell>
          <cell r="U28">
            <v>0</v>
          </cell>
          <cell r="X28" t="str">
            <v>mstag:proceedsFromSaleOfFundsUsedTopurchaseSecuritiesAndOtherInvestments</v>
          </cell>
          <cell r="Y28">
            <v>6</v>
          </cell>
          <cell r="Z28" t="str">
            <v>ISO4217:EUR</v>
          </cell>
          <cell r="AA28" t="b">
            <v>0</v>
          </cell>
        </row>
        <row r="29">
          <cell r="A29" t="str">
            <v>Acquisitions net of cash acquired</v>
          </cell>
          <cell r="B29">
            <v>-2188</v>
          </cell>
          <cell r="C29">
            <v>-15351</v>
          </cell>
          <cell r="D29">
            <v>-491</v>
          </cell>
          <cell r="E29">
            <v>-1617</v>
          </cell>
          <cell r="F29">
            <v>-354</v>
          </cell>
          <cell r="G29">
            <v>-40</v>
          </cell>
          <cell r="H29">
            <v>-265</v>
          </cell>
          <cell r="I29">
            <v>-469</v>
          </cell>
          <cell r="J29">
            <v>-122</v>
          </cell>
          <cell r="K29">
            <v>0</v>
          </cell>
          <cell r="L29">
            <v>0</v>
          </cell>
          <cell r="M29">
            <v>0</v>
          </cell>
          <cell r="N29">
            <v>0</v>
          </cell>
          <cell r="O29">
            <v>0</v>
          </cell>
          <cell r="P29">
            <v>0</v>
          </cell>
          <cell r="Q29">
            <v>0</v>
          </cell>
          <cell r="R29">
            <v>0</v>
          </cell>
          <cell r="S29">
            <v>0</v>
          </cell>
          <cell r="T29">
            <v>0</v>
          </cell>
          <cell r="U29">
            <v>0</v>
          </cell>
          <cell r="X29" t="str">
            <v>mstag:netDisposalsAcquisitions</v>
          </cell>
          <cell r="Y29">
            <v>6</v>
          </cell>
          <cell r="Z29" t="str">
            <v>ISO4217:EUR</v>
          </cell>
          <cell r="AA29" t="b">
            <v>0</v>
          </cell>
        </row>
        <row r="30">
          <cell r="A30" t="str">
            <v>Interest and dividends received</v>
          </cell>
          <cell r="B30">
            <v>451</v>
          </cell>
          <cell r="C30">
            <v>686</v>
          </cell>
          <cell r="D30">
            <v>636</v>
          </cell>
          <cell r="E30">
            <v>553</v>
          </cell>
          <cell r="F30">
            <v>477</v>
          </cell>
          <cell r="G30">
            <v>451</v>
          </cell>
          <cell r="H30">
            <v>407</v>
          </cell>
          <cell r="I30">
            <v>429</v>
          </cell>
          <cell r="J30">
            <v>12</v>
          </cell>
          <cell r="K30">
            <v>333.02944766835094</v>
          </cell>
          <cell r="L30">
            <v>371.35521638245257</v>
          </cell>
          <cell r="M30">
            <v>400.46059836565769</v>
          </cell>
          <cell r="N30">
            <v>548.63296490624157</v>
          </cell>
          <cell r="O30">
            <v>773.98701287541508</v>
          </cell>
          <cell r="P30">
            <v>881.08875596962753</v>
          </cell>
          <cell r="Q30">
            <v>1000.6550218771497</v>
          </cell>
          <cell r="R30">
            <v>1126.0420190645955</v>
          </cell>
          <cell r="S30">
            <v>1259.0753381838333</v>
          </cell>
          <cell r="T30">
            <v>1259.0753381838333</v>
          </cell>
          <cell r="U30">
            <v>1259.0753381838333</v>
          </cell>
          <cell r="X30" t="str">
            <v>mstag:otherCashFlow</v>
          </cell>
          <cell r="Y30">
            <v>6</v>
          </cell>
          <cell r="Z30" t="str">
            <v>ISO4217:EUR</v>
          </cell>
          <cell r="AA30" t="b">
            <v>0</v>
          </cell>
        </row>
        <row r="31">
          <cell r="A31" t="str">
            <v>Cash from current financial assets</v>
          </cell>
          <cell r="B31">
            <v>-202</v>
          </cell>
          <cell r="C31">
            <v>287</v>
          </cell>
          <cell r="D31">
            <v>18</v>
          </cell>
          <cell r="E31">
            <v>-2</v>
          </cell>
          <cell r="F31">
            <v>-11</v>
          </cell>
          <cell r="G31">
            <v>-623</v>
          </cell>
          <cell r="H31">
            <v>-2326</v>
          </cell>
          <cell r="I31">
            <v>1329</v>
          </cell>
          <cell r="J31">
            <v>-2</v>
          </cell>
          <cell r="K31">
            <v>0</v>
          </cell>
          <cell r="L31">
            <v>0</v>
          </cell>
          <cell r="M31">
            <v>0</v>
          </cell>
          <cell r="N31">
            <v>0</v>
          </cell>
          <cell r="O31">
            <v>0</v>
          </cell>
          <cell r="P31">
            <v>0</v>
          </cell>
          <cell r="Q31">
            <v>0</v>
          </cell>
          <cell r="R31">
            <v>0</v>
          </cell>
          <cell r="S31">
            <v>0</v>
          </cell>
          <cell r="T31">
            <v>0</v>
          </cell>
          <cell r="U31">
            <v>0</v>
          </cell>
          <cell r="X31" t="str">
            <v>mstag:proceedsFromSaleOfFundsUsedTopurchaseSecuritiesAndOtherInvestments</v>
          </cell>
          <cell r="Y31">
            <v>6</v>
          </cell>
          <cell r="Z31" t="str">
            <v>ISO4217:EUR</v>
          </cell>
          <cell r="AA31" t="b">
            <v>0</v>
          </cell>
        </row>
        <row r="32">
          <cell r="A32" t="str">
            <v>Cash flows from investing activities</v>
          </cell>
          <cell r="B32">
            <v>-1741</v>
          </cell>
          <cell r="C32">
            <v>-14730</v>
          </cell>
          <cell r="D32">
            <v>3186</v>
          </cell>
          <cell r="E32">
            <v>-3089</v>
          </cell>
          <cell r="F32">
            <v>-1126</v>
          </cell>
          <cell r="G32">
            <v>-2025</v>
          </cell>
          <cell r="H32">
            <v>-3562</v>
          </cell>
          <cell r="I32">
            <v>-496</v>
          </cell>
          <cell r="J32">
            <v>-377</v>
          </cell>
          <cell r="K32">
            <v>-2998.660507800997</v>
          </cell>
          <cell r="L32">
            <v>-2482.4003868876621</v>
          </cell>
          <cell r="M32">
            <v>-2574.5117417417905</v>
          </cell>
          <cell r="N32">
            <v>-2549.0418336093217</v>
          </cell>
          <cell r="O32">
            <v>-2460.5652707602212</v>
          </cell>
          <cell r="P32">
            <v>-2473.4825734549304</v>
          </cell>
          <cell r="Q32">
            <v>-2495.5550792705171</v>
          </cell>
          <cell r="R32">
            <v>-2530.3350935186345</v>
          </cell>
          <cell r="S32">
            <v>-2477.2325034605965</v>
          </cell>
          <cell r="T32">
            <v>-2585.7397435720604</v>
          </cell>
          <cell r="U32">
            <v>-2710.3735857469419</v>
          </cell>
        </row>
        <row r="34">
          <cell r="A34" t="str">
            <v>Capital contributions</v>
          </cell>
          <cell r="B34">
            <v>0</v>
          </cell>
          <cell r="C34">
            <v>1174</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X34" t="str">
            <v>mstag:proceedsFromIssuanceOfCommonStock</v>
          </cell>
          <cell r="Y34">
            <v>6</v>
          </cell>
          <cell r="Z34" t="str">
            <v>ISO4217:EUR</v>
          </cell>
          <cell r="AA34" t="b">
            <v>0</v>
          </cell>
        </row>
        <row r="35">
          <cell r="A35" t="str">
            <v>Bayer AG dividends paid</v>
          </cell>
          <cell r="B35">
            <v>-440</v>
          </cell>
          <cell r="C35">
            <v>-535</v>
          </cell>
          <cell r="D35">
            <v>-773</v>
          </cell>
          <cell r="E35">
            <v>-1126</v>
          </cell>
          <cell r="F35">
            <v>-973</v>
          </cell>
          <cell r="G35">
            <v>-1160</v>
          </cell>
          <cell r="H35">
            <v>-1242</v>
          </cell>
          <cell r="I35">
            <v>-1366</v>
          </cell>
          <cell r="J35">
            <v>-1</v>
          </cell>
          <cell r="K35">
            <v>-1571.2008352</v>
          </cell>
          <cell r="L35">
            <v>-1644.8818945299956</v>
          </cell>
          <cell r="M35">
            <v>-1958.0038994665597</v>
          </cell>
          <cell r="N35">
            <v>-2113.5651331865415</v>
          </cell>
          <cell r="O35">
            <v>-2243.9002414052084</v>
          </cell>
          <cell r="P35">
            <v>-2439.1309279394918</v>
          </cell>
          <cell r="Q35">
            <v>-2488.9823756184132</v>
          </cell>
          <cell r="R35">
            <v>-2694.3610786949998</v>
          </cell>
          <cell r="S35">
            <v>-2994.300950937049</v>
          </cell>
          <cell r="T35">
            <v>-2851.529862409619</v>
          </cell>
          <cell r="U35">
            <v>-2819.7526766702094</v>
          </cell>
          <cell r="X35" t="str">
            <v>mstag:cashDividendsPaid</v>
          </cell>
          <cell r="Y35">
            <v>6</v>
          </cell>
          <cell r="Z35" t="str">
            <v>ISO4217:EUR</v>
          </cell>
          <cell r="AA35" t="b">
            <v>1</v>
          </cell>
        </row>
        <row r="36">
          <cell r="A36" t="str">
            <v>Issuances of debt</v>
          </cell>
          <cell r="B36">
            <v>2005</v>
          </cell>
          <cell r="C36">
            <v>13931</v>
          </cell>
          <cell r="D36">
            <v>2155</v>
          </cell>
          <cell r="E36">
            <v>2277</v>
          </cell>
          <cell r="F36">
            <v>2798</v>
          </cell>
          <cell r="G36">
            <v>965</v>
          </cell>
          <cell r="H36">
            <v>1001</v>
          </cell>
          <cell r="I36">
            <v>1309</v>
          </cell>
          <cell r="J36">
            <v>267</v>
          </cell>
          <cell r="K36">
            <v>0</v>
          </cell>
          <cell r="L36">
            <v>0</v>
          </cell>
          <cell r="M36">
            <v>0</v>
          </cell>
          <cell r="N36">
            <v>0</v>
          </cell>
          <cell r="O36">
            <v>0</v>
          </cell>
          <cell r="P36">
            <v>0</v>
          </cell>
          <cell r="Q36">
            <v>0</v>
          </cell>
          <cell r="R36">
            <v>0</v>
          </cell>
          <cell r="S36">
            <v>0</v>
          </cell>
          <cell r="T36">
            <v>0</v>
          </cell>
          <cell r="U36">
            <v>0</v>
          </cell>
          <cell r="X36" t="str">
            <v>mstag:proceedsFromIssuanceAndCashUsedToRepayLongTermDebt</v>
          </cell>
          <cell r="Y36">
            <v>6</v>
          </cell>
          <cell r="Z36" t="str">
            <v>ISO4217:EUR</v>
          </cell>
          <cell r="AA36" t="b">
            <v>0</v>
          </cell>
        </row>
        <row r="37">
          <cell r="A37" t="str">
            <v>Retirements of debt</v>
          </cell>
          <cell r="B37">
            <v>-2659</v>
          </cell>
          <cell r="C37">
            <v>-3216</v>
          </cell>
          <cell r="D37">
            <v>-7768</v>
          </cell>
          <cell r="E37">
            <v>-752</v>
          </cell>
          <cell r="F37">
            <v>-4240</v>
          </cell>
          <cell r="G37">
            <v>-2509</v>
          </cell>
          <cell r="H37">
            <v>-1398</v>
          </cell>
          <cell r="I37">
            <v>-3254</v>
          </cell>
          <cell r="J37">
            <v>-376</v>
          </cell>
          <cell r="K37">
            <v>0</v>
          </cell>
          <cell r="L37">
            <v>0</v>
          </cell>
          <cell r="M37">
            <v>0</v>
          </cell>
          <cell r="N37">
            <v>0</v>
          </cell>
          <cell r="O37">
            <v>0</v>
          </cell>
          <cell r="P37">
            <v>0</v>
          </cell>
          <cell r="Q37">
            <v>0</v>
          </cell>
          <cell r="R37">
            <v>0</v>
          </cell>
          <cell r="S37">
            <v>0</v>
          </cell>
          <cell r="T37">
            <v>0</v>
          </cell>
          <cell r="U37">
            <v>0</v>
          </cell>
          <cell r="X37" t="str">
            <v>mstag:proceedsFromIssuanceAndCashUsedToRepayLongTermDebt</v>
          </cell>
          <cell r="Y37">
            <v>6</v>
          </cell>
          <cell r="Z37" t="str">
            <v>ISO4217:EUR</v>
          </cell>
          <cell r="AA37" t="b">
            <v>0</v>
          </cell>
        </row>
        <row r="38">
          <cell r="A38" t="str">
            <v>Interest paid</v>
          </cell>
          <cell r="B38">
            <v>-787</v>
          </cell>
          <cell r="C38">
            <v>-1155</v>
          </cell>
          <cell r="D38">
            <v>-1344</v>
          </cell>
          <cell r="E38">
            <v>-1272</v>
          </cell>
          <cell r="F38">
            <v>-1206</v>
          </cell>
          <cell r="G38">
            <v>-915</v>
          </cell>
          <cell r="H38">
            <v>-902</v>
          </cell>
          <cell r="I38">
            <v>-793</v>
          </cell>
          <cell r="J38">
            <v>-55</v>
          </cell>
          <cell r="K38">
            <v>-999.65200000000004</v>
          </cell>
          <cell r="L38">
            <v>-1008.0956679999999</v>
          </cell>
          <cell r="M38">
            <v>-1016.7681031539998</v>
          </cell>
          <cell r="N38">
            <v>-1025.6751966682689</v>
          </cell>
          <cell r="O38">
            <v>-1034.8229789553548</v>
          </cell>
          <cell r="P38">
            <v>-1044.2176223874101</v>
          </cell>
          <cell r="Q38">
            <v>-1053.8654440789303</v>
          </cell>
          <cell r="R38">
            <v>-1063.7729086978211</v>
          </cell>
          <cell r="S38">
            <v>-1073.9466313036046</v>
          </cell>
          <cell r="T38">
            <v>-1073.9466313036046</v>
          </cell>
          <cell r="U38">
            <v>-1073.9466313036046</v>
          </cell>
          <cell r="X38" t="str">
            <v>mstag:otherCashFlow</v>
          </cell>
          <cell r="Y38">
            <v>6</v>
          </cell>
          <cell r="Z38" t="str">
            <v>ISO4217:EUR</v>
          </cell>
          <cell r="AA38" t="b">
            <v>0</v>
          </cell>
        </row>
        <row r="39">
          <cell r="A39" t="str">
            <v>Purchase of treasury shares</v>
          </cell>
          <cell r="B39">
            <v>0</v>
          </cell>
          <cell r="C39">
            <v>0</v>
          </cell>
          <cell r="D39">
            <v>0</v>
          </cell>
          <cell r="E39">
            <v>0</v>
          </cell>
          <cell r="F39">
            <v>0</v>
          </cell>
          <cell r="G39">
            <v>0</v>
          </cell>
          <cell r="H39">
            <v>0</v>
          </cell>
          <cell r="I39">
            <v>0</v>
          </cell>
          <cell r="K39">
            <v>0</v>
          </cell>
          <cell r="L39">
            <v>0</v>
          </cell>
          <cell r="M39">
            <v>0</v>
          </cell>
          <cell r="N39">
            <v>0</v>
          </cell>
          <cell r="O39">
            <v>0</v>
          </cell>
          <cell r="P39">
            <v>0</v>
          </cell>
          <cell r="Q39">
            <v>0</v>
          </cell>
          <cell r="R39">
            <v>0</v>
          </cell>
          <cell r="S39">
            <v>0</v>
          </cell>
          <cell r="T39">
            <v>0</v>
          </cell>
          <cell r="U39">
            <v>0</v>
          </cell>
          <cell r="X39" t="str">
            <v>mstag:fundsUsedToRepurchaseCommonStock</v>
          </cell>
          <cell r="Y39">
            <v>6</v>
          </cell>
          <cell r="Z39" t="str">
            <v>ISO4217:EUR</v>
          </cell>
          <cell r="AA39" t="b">
            <v>0</v>
          </cell>
        </row>
        <row r="40">
          <cell r="A40" t="str">
            <v>Cash flows from financing activities</v>
          </cell>
          <cell r="B40">
            <v>-1881</v>
          </cell>
          <cell r="C40">
            <v>10199</v>
          </cell>
          <cell r="D40">
            <v>-7730</v>
          </cell>
          <cell r="E40">
            <v>-873</v>
          </cell>
          <cell r="F40">
            <v>-3621</v>
          </cell>
          <cell r="G40">
            <v>-3619</v>
          </cell>
          <cell r="H40">
            <v>-2541</v>
          </cell>
          <cell r="I40">
            <v>-4104</v>
          </cell>
          <cell r="J40">
            <v>-165</v>
          </cell>
          <cell r="K40">
            <v>-2570.8528352000003</v>
          </cell>
          <cell r="L40">
            <v>-2652.9775625299953</v>
          </cell>
          <cell r="M40">
            <v>-2974.7720026205598</v>
          </cell>
          <cell r="N40">
            <v>-3139.2403298548106</v>
          </cell>
          <cell r="O40">
            <v>-3278.7232203605631</v>
          </cell>
          <cell r="P40">
            <v>-3483.3485503269021</v>
          </cell>
          <cell r="Q40">
            <v>-3542.8478196973438</v>
          </cell>
          <cell r="R40">
            <v>-3758.1339873928209</v>
          </cell>
          <cell r="S40">
            <v>-4068.2475822406536</v>
          </cell>
          <cell r="T40">
            <v>-3925.4764937132236</v>
          </cell>
          <cell r="U40">
            <v>-3893.699307973814</v>
          </cell>
        </row>
        <row r="42">
          <cell r="A42" t="str">
            <v>Net Increase/decrease in cash in the year</v>
          </cell>
          <cell r="B42">
            <v>574</v>
          </cell>
          <cell r="C42">
            <v>272</v>
          </cell>
          <cell r="D42">
            <v>271</v>
          </cell>
          <cell r="E42">
            <v>-354</v>
          </cell>
          <cell r="F42">
            <v>628</v>
          </cell>
          <cell r="G42">
            <v>129</v>
          </cell>
          <cell r="H42">
            <v>-1043</v>
          </cell>
          <cell r="I42">
            <v>-68</v>
          </cell>
          <cell r="J42">
            <v>-215</v>
          </cell>
          <cell r="K42">
            <v>1245.2381107796036</v>
          </cell>
          <cell r="L42">
            <v>2262.5173308186932</v>
          </cell>
          <cell r="M42">
            <v>2900.4357138015257</v>
          </cell>
          <cell r="N42">
            <v>3094.9189516288034</v>
          </cell>
          <cell r="O42">
            <v>3464.6620622327059</v>
          </cell>
          <cell r="P42">
            <v>3532.2580258296075</v>
          </cell>
          <cell r="Q42">
            <v>3974.2554523509116</v>
          </cell>
          <cell r="R42">
            <v>4574.3587911000341</v>
          </cell>
          <cell r="S42">
            <v>4066.5537685517943</v>
          </cell>
          <cell r="T42">
            <v>4188.5010081191722</v>
          </cell>
          <cell r="U42">
            <v>4185.5985543929828</v>
          </cell>
        </row>
        <row r="44">
          <cell r="A44" t="str">
            <v>Cash and Equiv BOP</v>
          </cell>
          <cell r="B44">
            <v>3570</v>
          </cell>
          <cell r="C44">
            <v>3984</v>
          </cell>
          <cell r="D44">
            <v>4209</v>
          </cell>
          <cell r="E44">
            <v>2531</v>
          </cell>
          <cell r="F44">
            <v>2094</v>
          </cell>
          <cell r="G44">
            <v>2725</v>
          </cell>
          <cell r="H44">
            <v>2840</v>
          </cell>
          <cell r="I44">
            <v>1770</v>
          </cell>
          <cell r="J44">
            <v>1698</v>
          </cell>
          <cell r="K44">
            <v>1695</v>
          </cell>
          <cell r="L44">
            <v>2940.2381107796036</v>
          </cell>
          <cell r="M44">
            <v>5202.7554415982968</v>
          </cell>
          <cell r="N44">
            <v>8103.1911553998225</v>
          </cell>
          <cell r="O44">
            <v>11198.110107028626</v>
          </cell>
          <cell r="P44">
            <v>14662.772169261332</v>
          </cell>
          <cell r="Q44">
            <v>18195.030195090942</v>
          </cell>
          <cell r="R44">
            <v>22169.285647441851</v>
          </cell>
          <cell r="S44">
            <v>26743.644438541887</v>
          </cell>
          <cell r="T44">
            <v>30810.198207093683</v>
          </cell>
          <cell r="U44">
            <v>34998.699215212851</v>
          </cell>
        </row>
        <row r="45">
          <cell r="A45" t="str">
            <v>Change in scope of consol</v>
          </cell>
          <cell r="B45">
            <v>-196</v>
          </cell>
          <cell r="C45">
            <v>-2</v>
          </cell>
          <cell r="D45">
            <v>-4</v>
          </cell>
          <cell r="E45">
            <v>3</v>
          </cell>
          <cell r="F45">
            <v>3</v>
          </cell>
          <cell r="G45">
            <v>0</v>
          </cell>
          <cell r="H45">
            <v>0</v>
          </cell>
          <cell r="X45" t="str">
            <v>mstag:changeIncashFlowDueToRestatements</v>
          </cell>
          <cell r="Y45">
            <v>6</v>
          </cell>
          <cell r="Z45" t="str">
            <v>ISO4217:EUR</v>
          </cell>
          <cell r="AA45" t="b">
            <v>0</v>
          </cell>
        </row>
        <row r="46">
          <cell r="A46" t="str">
            <v>Exchange gains/losses</v>
          </cell>
          <cell r="B46">
            <v>36</v>
          </cell>
          <cell r="C46">
            <v>-45</v>
          </cell>
          <cell r="D46">
            <v>-119</v>
          </cell>
          <cell r="E46">
            <v>-86</v>
          </cell>
          <cell r="F46">
            <v>0</v>
          </cell>
          <cell r="G46">
            <v>-14</v>
          </cell>
          <cell r="H46">
            <v>-27</v>
          </cell>
          <cell r="I46">
            <v>-7</v>
          </cell>
          <cell r="J46">
            <v>-4</v>
          </cell>
          <cell r="K46">
            <v>0</v>
          </cell>
          <cell r="L46">
            <v>0</v>
          </cell>
          <cell r="M46">
            <v>0</v>
          </cell>
          <cell r="N46">
            <v>0</v>
          </cell>
          <cell r="O46">
            <v>0</v>
          </cell>
          <cell r="P46">
            <v>0</v>
          </cell>
          <cell r="Q46">
            <v>0</v>
          </cell>
          <cell r="R46">
            <v>0</v>
          </cell>
          <cell r="S46">
            <v>0</v>
          </cell>
          <cell r="T46">
            <v>0</v>
          </cell>
          <cell r="U46">
            <v>0</v>
          </cell>
          <cell r="X46" t="str">
            <v>mstag:effectOfForeignExchangeRatesOnCash</v>
          </cell>
          <cell r="Y46">
            <v>6</v>
          </cell>
          <cell r="Z46" t="str">
            <v>ISO4217:EUR</v>
          </cell>
          <cell r="AA46" t="b">
            <v>0</v>
          </cell>
        </row>
        <row r="47">
          <cell r="A47" t="str">
            <v>Cash and Equiv EOP</v>
          </cell>
          <cell r="B47">
            <v>3984</v>
          </cell>
          <cell r="C47">
            <v>4209</v>
          </cell>
          <cell r="D47">
            <v>2531</v>
          </cell>
          <cell r="E47">
            <v>2094</v>
          </cell>
          <cell r="F47">
            <v>2725</v>
          </cell>
          <cell r="G47">
            <v>2840</v>
          </cell>
          <cell r="H47">
            <v>1770</v>
          </cell>
          <cell r="I47">
            <v>1695</v>
          </cell>
          <cell r="J47">
            <v>1479</v>
          </cell>
          <cell r="K47">
            <v>2940.2381107796036</v>
          </cell>
          <cell r="L47">
            <v>5202.7554415982968</v>
          </cell>
          <cell r="M47">
            <v>8103.1911553998225</v>
          </cell>
          <cell r="N47">
            <v>11198.110107028626</v>
          </cell>
          <cell r="O47">
            <v>14662.772169261332</v>
          </cell>
          <cell r="P47">
            <v>18195.030195090942</v>
          </cell>
          <cell r="Q47">
            <v>22169.285647441851</v>
          </cell>
          <cell r="R47">
            <v>26743.644438541887</v>
          </cell>
          <cell r="S47">
            <v>30810.198207093683</v>
          </cell>
          <cell r="T47">
            <v>34998.699215212851</v>
          </cell>
          <cell r="U47">
            <v>39184.297769605837</v>
          </cell>
        </row>
        <row r="50">
          <cell r="A50" t="str">
            <v>Notes:</v>
          </cell>
        </row>
        <row r="51">
          <cell r="A51" t="str">
            <v>E= Morgan Stanley Research Estimates</v>
          </cell>
        </row>
        <row r="52">
          <cell r="A52" t="str">
            <v>Source: Morgan Stanley Research</v>
          </cell>
        </row>
        <row r="54">
          <cell r="A54" t="str">
            <v>Free Cash Flow to Equity calculation</v>
          </cell>
          <cell r="B54" t="str">
            <v>FY05A</v>
          </cell>
          <cell r="C54" t="str">
            <v>FY06A</v>
          </cell>
          <cell r="D54" t="str">
            <v>FY07A</v>
          </cell>
          <cell r="E54" t="str">
            <v>FY08A</v>
          </cell>
          <cell r="F54" t="str">
            <v>FY09A</v>
          </cell>
          <cell r="G54" t="str">
            <v>FY10A</v>
          </cell>
          <cell r="H54" t="str">
            <v>FY11A</v>
          </cell>
          <cell r="I54" t="str">
            <v>FY12A</v>
          </cell>
          <cell r="J54" t="str">
            <v>1Q13</v>
          </cell>
          <cell r="K54" t="str">
            <v>FY13E</v>
          </cell>
          <cell r="L54" t="str">
            <v>FY14E</v>
          </cell>
          <cell r="M54" t="str">
            <v>FY15E</v>
          </cell>
          <cell r="N54" t="str">
            <v>FY16E</v>
          </cell>
          <cell r="O54" t="str">
            <v>FY17E</v>
          </cell>
          <cell r="P54" t="str">
            <v>FY18E</v>
          </cell>
          <cell r="Q54" t="str">
            <v>FY19E</v>
          </cell>
          <cell r="R54" t="str">
            <v>FY20E</v>
          </cell>
          <cell r="S54" t="str">
            <v>FY21E</v>
          </cell>
          <cell r="T54" t="str">
            <v>FY22E</v>
          </cell>
          <cell r="U54" t="str">
            <v>FY23E</v>
          </cell>
        </row>
        <row r="55">
          <cell r="A55" t="str">
            <v>Operating Cashflow</v>
          </cell>
          <cell r="B55">
            <v>4196</v>
          </cell>
          <cell r="C55">
            <v>4803</v>
          </cell>
          <cell r="D55">
            <v>4815</v>
          </cell>
          <cell r="E55">
            <v>3608</v>
          </cell>
          <cell r="F55">
            <v>5375</v>
          </cell>
          <cell r="G55">
            <v>5773</v>
          </cell>
          <cell r="H55">
            <v>5060</v>
          </cell>
          <cell r="I55">
            <v>4532</v>
          </cell>
          <cell r="K55">
            <v>6814.751453780601</v>
          </cell>
          <cell r="L55">
            <v>7397.895280236351</v>
          </cell>
          <cell r="M55">
            <v>8449.719458163876</v>
          </cell>
          <cell r="N55">
            <v>8783.2011150929357</v>
          </cell>
          <cell r="O55">
            <v>9203.9505533534902</v>
          </cell>
          <cell r="P55">
            <v>9489.08914961144</v>
          </cell>
          <cell r="Q55">
            <v>10012.658351318772</v>
          </cell>
          <cell r="R55">
            <v>10862.82787201149</v>
          </cell>
          <cell r="S55">
            <v>10612.033854253044</v>
          </cell>
          <cell r="T55">
            <v>10699.717245404456</v>
          </cell>
          <cell r="U55">
            <v>10789.671448113739</v>
          </cell>
        </row>
        <row r="56">
          <cell r="A56" t="str">
            <v>Investing Cashflows</v>
          </cell>
          <cell r="B56">
            <v>-1741</v>
          </cell>
          <cell r="C56">
            <v>-14730</v>
          </cell>
          <cell r="D56">
            <v>3186</v>
          </cell>
          <cell r="E56">
            <v>-3089</v>
          </cell>
          <cell r="F56">
            <v>-1126</v>
          </cell>
          <cell r="G56">
            <v>-2025</v>
          </cell>
          <cell r="H56">
            <v>-3562</v>
          </cell>
          <cell r="I56">
            <v>-496</v>
          </cell>
          <cell r="K56">
            <v>-2998.660507800997</v>
          </cell>
          <cell r="L56">
            <v>-2482.4003868876621</v>
          </cell>
          <cell r="M56">
            <v>-2574.5117417417905</v>
          </cell>
          <cell r="N56">
            <v>-2549.0418336093217</v>
          </cell>
          <cell r="O56">
            <v>-2460.5652707602212</v>
          </cell>
          <cell r="P56">
            <v>-2473.4825734549304</v>
          </cell>
          <cell r="Q56">
            <v>-2495.5550792705171</v>
          </cell>
          <cell r="R56">
            <v>-2530.3350935186345</v>
          </cell>
          <cell r="S56">
            <v>-2477.2325034605965</v>
          </cell>
          <cell r="T56">
            <v>-2585.7397435720604</v>
          </cell>
          <cell r="U56">
            <v>-2710.3735857469419</v>
          </cell>
        </row>
        <row r="57">
          <cell r="A57" t="str">
            <v>Interest paid</v>
          </cell>
          <cell r="B57">
            <v>-787</v>
          </cell>
          <cell r="C57">
            <v>-1155</v>
          </cell>
          <cell r="D57">
            <v>-1344</v>
          </cell>
          <cell r="E57">
            <v>-1272</v>
          </cell>
          <cell r="F57">
            <v>-1206</v>
          </cell>
          <cell r="G57">
            <v>-915</v>
          </cell>
          <cell r="H57">
            <v>-902</v>
          </cell>
          <cell r="I57">
            <v>-793</v>
          </cell>
          <cell r="K57">
            <v>-999.65200000000004</v>
          </cell>
          <cell r="L57">
            <v>-1008.0956679999999</v>
          </cell>
          <cell r="M57">
            <v>-1016.7681031539998</v>
          </cell>
          <cell r="N57">
            <v>-1025.6751966682689</v>
          </cell>
          <cell r="O57">
            <v>-1034.8229789553548</v>
          </cell>
          <cell r="P57">
            <v>-1044.2176223874101</v>
          </cell>
          <cell r="Q57">
            <v>-1053.8654440789303</v>
          </cell>
          <cell r="R57">
            <v>-1063.7729086978211</v>
          </cell>
          <cell r="S57">
            <v>-1073.9466313036046</v>
          </cell>
          <cell r="T57">
            <v>-1073.9466313036046</v>
          </cell>
          <cell r="U57">
            <v>-1073.9466313036046</v>
          </cell>
        </row>
        <row r="58">
          <cell r="A58" t="str">
            <v>Changes in debt</v>
          </cell>
          <cell r="B58">
            <v>-654</v>
          </cell>
          <cell r="C58">
            <v>10715</v>
          </cell>
          <cell r="D58">
            <v>-5613</v>
          </cell>
          <cell r="E58">
            <v>1525</v>
          </cell>
          <cell r="F58">
            <v>-1442</v>
          </cell>
          <cell r="G58">
            <v>-1544</v>
          </cell>
          <cell r="H58">
            <v>-397</v>
          </cell>
          <cell r="I58">
            <v>-1945</v>
          </cell>
          <cell r="K58">
            <v>0</v>
          </cell>
          <cell r="L58">
            <v>0</v>
          </cell>
          <cell r="M58">
            <v>0</v>
          </cell>
          <cell r="N58">
            <v>0</v>
          </cell>
          <cell r="O58">
            <v>0</v>
          </cell>
          <cell r="P58">
            <v>0</v>
          </cell>
          <cell r="Q58">
            <v>0</v>
          </cell>
          <cell r="R58">
            <v>0</v>
          </cell>
          <cell r="S58">
            <v>0</v>
          </cell>
          <cell r="T58">
            <v>0</v>
          </cell>
          <cell r="U58">
            <v>0</v>
          </cell>
        </row>
        <row r="59">
          <cell r="A59" t="str">
            <v>Preference dividends paid</v>
          </cell>
          <cell r="B59">
            <v>0</v>
          </cell>
          <cell r="C59">
            <v>0</v>
          </cell>
          <cell r="D59">
            <v>0</v>
          </cell>
          <cell r="E59">
            <v>0</v>
          </cell>
          <cell r="F59">
            <v>0</v>
          </cell>
          <cell r="G59">
            <v>0</v>
          </cell>
          <cell r="H59">
            <v>0</v>
          </cell>
          <cell r="I59">
            <v>0</v>
          </cell>
          <cell r="K59">
            <v>0</v>
          </cell>
          <cell r="L59">
            <v>0</v>
          </cell>
          <cell r="M59">
            <v>0</v>
          </cell>
          <cell r="N59">
            <v>0</v>
          </cell>
          <cell r="O59">
            <v>0</v>
          </cell>
          <cell r="P59">
            <v>0</v>
          </cell>
          <cell r="Q59">
            <v>0</v>
          </cell>
          <cell r="R59">
            <v>0</v>
          </cell>
          <cell r="S59">
            <v>1</v>
          </cell>
          <cell r="T59">
            <v>1</v>
          </cell>
          <cell r="U59">
            <v>1</v>
          </cell>
        </row>
        <row r="60">
          <cell r="A60" t="str">
            <v>Free Cash Flow to Equity</v>
          </cell>
          <cell r="B60">
            <v>1014</v>
          </cell>
          <cell r="C60">
            <v>-367</v>
          </cell>
          <cell r="D60">
            <v>1044</v>
          </cell>
          <cell r="E60">
            <v>772</v>
          </cell>
          <cell r="F60">
            <v>1601</v>
          </cell>
          <cell r="G60">
            <v>1289</v>
          </cell>
          <cell r="H60">
            <v>199</v>
          </cell>
          <cell r="I60">
            <v>1298</v>
          </cell>
          <cell r="K60">
            <v>2816.4389459796039</v>
          </cell>
          <cell r="L60">
            <v>3907.3992253486886</v>
          </cell>
          <cell r="M60">
            <v>4858.4396132680858</v>
          </cell>
          <cell r="N60">
            <v>5208.4840848153453</v>
          </cell>
          <cell r="O60">
            <v>5708.5623036379147</v>
          </cell>
          <cell r="P60">
            <v>5971.3889537690993</v>
          </cell>
          <cell r="Q60">
            <v>6463.2378279693248</v>
          </cell>
          <cell r="R60">
            <v>7268.7198697950334</v>
          </cell>
          <cell r="S60">
            <v>7061.8547194888433</v>
          </cell>
          <cell r="T60">
            <v>7041.0308705287907</v>
          </cell>
          <cell r="U60">
            <v>7006.3512310631922</v>
          </cell>
        </row>
        <row r="61">
          <cell r="A61" t="str">
            <v>Share repurchases + divs</v>
          </cell>
          <cell r="D61">
            <v>-773</v>
          </cell>
          <cell r="E61">
            <v>1126</v>
          </cell>
          <cell r="F61">
            <v>973</v>
          </cell>
          <cell r="G61">
            <v>1160</v>
          </cell>
          <cell r="H61">
            <v>1242</v>
          </cell>
          <cell r="I61">
            <v>1366</v>
          </cell>
          <cell r="K61">
            <v>1571.2008352</v>
          </cell>
          <cell r="L61">
            <v>1644.8818945299956</v>
          </cell>
          <cell r="M61">
            <v>1958.0038994665597</v>
          </cell>
          <cell r="N61">
            <v>2113.5651331865415</v>
          </cell>
          <cell r="O61">
            <v>2243.9002414052084</v>
          </cell>
          <cell r="P61">
            <v>2439.1309279394918</v>
          </cell>
          <cell r="Q61">
            <v>2488.9823756184132</v>
          </cell>
          <cell r="R61">
            <v>2694.3610786949998</v>
          </cell>
          <cell r="S61">
            <v>2994.300950937049</v>
          </cell>
          <cell r="T61">
            <v>2851.529862409619</v>
          </cell>
          <cell r="U61">
            <v>2819.7526766702094</v>
          </cell>
        </row>
        <row r="65">
          <cell r="A65" t="str">
            <v>Free cashflow to Firm calculation</v>
          </cell>
          <cell r="B65" t="str">
            <v>FY05A</v>
          </cell>
          <cell r="C65" t="str">
            <v>FY06A</v>
          </cell>
          <cell r="D65" t="str">
            <v>FY07A</v>
          </cell>
          <cell r="E65" t="str">
            <v>FY08A</v>
          </cell>
          <cell r="F65" t="str">
            <v>FY09A</v>
          </cell>
          <cell r="G65" t="str">
            <v>FY10A</v>
          </cell>
          <cell r="H65" t="str">
            <v>FY11A</v>
          </cell>
          <cell r="I65" t="str">
            <v>FY12A</v>
          </cell>
          <cell r="K65" t="str">
            <v>FY13E</v>
          </cell>
          <cell r="L65" t="str">
            <v>FY14E</v>
          </cell>
          <cell r="M65" t="str">
            <v>FY15E</v>
          </cell>
          <cell r="N65" t="str">
            <v>FY16E</v>
          </cell>
          <cell r="O65" t="str">
            <v>FY17E</v>
          </cell>
          <cell r="P65" t="str">
            <v>FY18E</v>
          </cell>
          <cell r="Q65" t="str">
            <v>FY19E</v>
          </cell>
          <cell r="R65" t="str">
            <v>FY20E</v>
          </cell>
          <cell r="S65" t="str">
            <v>FY21E</v>
          </cell>
          <cell r="T65" t="str">
            <v>FY22E</v>
          </cell>
          <cell r="U65" t="str">
            <v>FY23E</v>
          </cell>
        </row>
        <row r="66">
          <cell r="A66" t="str">
            <v>EBIT</v>
          </cell>
          <cell r="B66">
            <v>3208</v>
          </cell>
          <cell r="C66">
            <v>3362</v>
          </cell>
          <cell r="D66">
            <v>3686</v>
          </cell>
          <cell r="E66">
            <v>3544</v>
          </cell>
          <cell r="F66">
            <v>3006</v>
          </cell>
          <cell r="G66">
            <v>2730</v>
          </cell>
          <cell r="H66">
            <v>4149</v>
          </cell>
          <cell r="I66">
            <v>3960</v>
          </cell>
          <cell r="K66">
            <v>5747.7936164217608</v>
          </cell>
          <cell r="L66">
            <v>7033.5404178260505</v>
          </cell>
          <cell r="M66">
            <v>7564.5147365065204</v>
          </cell>
          <cell r="N66">
            <v>7840.6819881239498</v>
          </cell>
          <cell r="O66">
            <v>8328.6560881829246</v>
          </cell>
          <cell r="P66">
            <v>8370.9997478753758</v>
          </cell>
          <cell r="Q66">
            <v>8998.6693925551754</v>
          </cell>
          <cell r="R66">
            <v>9982.7839380969563</v>
          </cell>
          <cell r="S66">
            <v>9245.6150580907579</v>
          </cell>
          <cell r="T66">
            <v>9056.4546070293691</v>
          </cell>
          <cell r="U66">
            <v>9037.4044527970054</v>
          </cell>
        </row>
        <row r="67">
          <cell r="A67" t="str">
            <v>Depreciation and amortization</v>
          </cell>
          <cell r="B67">
            <v>1608</v>
          </cell>
          <cell r="C67">
            <v>1913</v>
          </cell>
          <cell r="D67">
            <v>2712</v>
          </cell>
          <cell r="E67">
            <v>2722</v>
          </cell>
          <cell r="F67">
            <v>2809</v>
          </cell>
          <cell r="G67">
            <v>3556</v>
          </cell>
          <cell r="H67">
            <v>2769</v>
          </cell>
          <cell r="I67">
            <v>2960</v>
          </cell>
          <cell r="K67">
            <v>2729.3356963187271</v>
          </cell>
          <cell r="L67">
            <v>2839.8530699911289</v>
          </cell>
          <cell r="M67">
            <v>2954.7744075654123</v>
          </cell>
          <cell r="N67">
            <v>3074.1082235070371</v>
          </cell>
          <cell r="O67">
            <v>3198.4644652387688</v>
          </cell>
          <cell r="P67">
            <v>3327.6096765972502</v>
          </cell>
          <cell r="Q67">
            <v>3462.5514038102147</v>
          </cell>
          <cell r="R67">
            <v>3604.1346493774754</v>
          </cell>
          <cell r="S67">
            <v>3748.5153756013624</v>
          </cell>
          <cell r="T67">
            <v>3897.0829078245538</v>
          </cell>
          <cell r="U67">
            <v>4050.6139154618268</v>
          </cell>
        </row>
        <row r="68">
          <cell r="A68" t="str">
            <v>EBITDA</v>
          </cell>
          <cell r="B68">
            <v>4816</v>
          </cell>
          <cell r="C68">
            <v>5275</v>
          </cell>
          <cell r="D68">
            <v>6398</v>
          </cell>
          <cell r="E68">
            <v>6266</v>
          </cell>
          <cell r="F68">
            <v>5815</v>
          </cell>
          <cell r="G68">
            <v>6286</v>
          </cell>
          <cell r="H68">
            <v>6918</v>
          </cell>
          <cell r="I68">
            <v>6920</v>
          </cell>
          <cell r="K68">
            <v>8477.1293127404879</v>
          </cell>
          <cell r="L68">
            <v>9873.3934878171785</v>
          </cell>
          <cell r="M68">
            <v>10519.289144071932</v>
          </cell>
          <cell r="N68">
            <v>10914.790211630987</v>
          </cell>
          <cell r="O68">
            <v>11527.120553421693</v>
          </cell>
          <cell r="P68">
            <v>11698.609424472626</v>
          </cell>
          <cell r="Q68">
            <v>12461.220796365389</v>
          </cell>
          <cell r="R68">
            <v>13586.918587474433</v>
          </cell>
          <cell r="S68">
            <v>12994.13043369212</v>
          </cell>
          <cell r="T68">
            <v>12953.537514853922</v>
          </cell>
          <cell r="U68">
            <v>13088.018368258832</v>
          </cell>
        </row>
        <row r="70">
          <cell r="A70" t="str">
            <v>Tax rate</v>
          </cell>
          <cell r="B70">
            <v>0.20644666155026861</v>
          </cell>
          <cell r="C70">
            <v>0.17596899224806201</v>
          </cell>
          <cell r="D70">
            <v>-2.6030368763557483E-2</v>
          </cell>
          <cell r="E70">
            <v>0.2699490662139219</v>
          </cell>
          <cell r="F70">
            <v>0.27326203208556149</v>
          </cell>
          <cell r="G70">
            <v>0.23881464264962232</v>
          </cell>
          <cell r="H70">
            <v>0.26494201605709189</v>
          </cell>
          <cell r="I70">
            <v>0.23152709359605911</v>
          </cell>
          <cell r="K70">
            <v>0.26500000000000001</v>
          </cell>
          <cell r="L70">
            <v>0.26</v>
          </cell>
          <cell r="M70">
            <v>0.26</v>
          </cell>
          <cell r="N70">
            <v>0.26</v>
          </cell>
          <cell r="O70">
            <v>0.26</v>
          </cell>
          <cell r="P70">
            <v>0.26</v>
          </cell>
          <cell r="Q70">
            <v>0.26</v>
          </cell>
          <cell r="R70">
            <v>0.26</v>
          </cell>
          <cell r="S70">
            <v>0.26</v>
          </cell>
          <cell r="T70">
            <v>0.26</v>
          </cell>
          <cell r="U70">
            <v>0.26</v>
          </cell>
        </row>
        <row r="71">
          <cell r="A71" t="str">
            <v>NOPLAT</v>
          </cell>
          <cell r="B71">
            <v>3821.7528779739064</v>
          </cell>
          <cell r="C71">
            <v>4346.7635658914724</v>
          </cell>
          <cell r="D71">
            <v>6564.5422993492402</v>
          </cell>
          <cell r="E71">
            <v>4574.4991511035651</v>
          </cell>
          <cell r="F71">
            <v>4225.9812834224604</v>
          </cell>
          <cell r="G71">
            <v>4784.811156304474</v>
          </cell>
          <cell r="H71">
            <v>5085.1311329170385</v>
          </cell>
          <cell r="I71">
            <v>5317.8325123152708</v>
          </cell>
          <cell r="K71">
            <v>6230.6900448642582</v>
          </cell>
          <cell r="L71">
            <v>7306.3111809847123</v>
          </cell>
          <cell r="M71">
            <v>7784.2739666132302</v>
          </cell>
          <cell r="N71">
            <v>8076.9447566069302</v>
          </cell>
          <cell r="O71">
            <v>8530.0692095320537</v>
          </cell>
          <cell r="P71">
            <v>8656.9709741097431</v>
          </cell>
          <cell r="Q71">
            <v>9221.3033893103875</v>
          </cell>
          <cell r="R71">
            <v>10054.319754731079</v>
          </cell>
          <cell r="S71">
            <v>9615.6565209321689</v>
          </cell>
          <cell r="T71">
            <v>9585.6177609919032</v>
          </cell>
          <cell r="U71">
            <v>9685.1335925115363</v>
          </cell>
        </row>
        <row r="73">
          <cell r="A73" t="str">
            <v>Increase in working capital</v>
          </cell>
          <cell r="B73">
            <v>113</v>
          </cell>
          <cell r="C73">
            <v>15</v>
          </cell>
          <cell r="D73">
            <v>-503</v>
          </cell>
          <cell r="E73">
            <v>-1687</v>
          </cell>
          <cell r="F73">
            <v>717</v>
          </cell>
          <cell r="G73">
            <v>1002</v>
          </cell>
          <cell r="H73">
            <v>-112</v>
          </cell>
          <cell r="I73">
            <v>-67</v>
          </cell>
          <cell r="K73">
            <v>-515.12691141159758</v>
          </cell>
          <cell r="L73">
            <v>-907.86529528841311</v>
          </cell>
          <cell r="M73">
            <v>-441.47214420613727</v>
          </cell>
          <cell r="N73">
            <v>-391.66739459296605</v>
          </cell>
          <cell r="O73">
            <v>-394.03346681405765</v>
          </cell>
          <cell r="P73">
            <v>-292.66996323751846</v>
          </cell>
          <cell r="Q73">
            <v>-328.61436332011999</v>
          </cell>
          <cell r="R73">
            <v>-310.37421624875515</v>
          </cell>
          <cell r="S73">
            <v>-220.03254638863837</v>
          </cell>
          <cell r="T73">
            <v>-123.65652900244913</v>
          </cell>
          <cell r="U73">
            <v>-168.76629150258395</v>
          </cell>
        </row>
        <row r="74">
          <cell r="A74" t="str">
            <v>CAPEX</v>
          </cell>
          <cell r="B74">
            <v>-1293</v>
          </cell>
          <cell r="C74">
            <v>-1533</v>
          </cell>
          <cell r="D74">
            <v>-1549</v>
          </cell>
          <cell r="E74">
            <v>-1463</v>
          </cell>
          <cell r="F74">
            <v>-1575</v>
          </cell>
          <cell r="G74">
            <v>-1514</v>
          </cell>
          <cell r="H74">
            <v>-1615</v>
          </cell>
          <cell r="I74">
            <v>-1929</v>
          </cell>
          <cell r="K74">
            <v>-1626.6680780747115</v>
          </cell>
          <cell r="L74">
            <v>-1792.1424565268194</v>
          </cell>
          <cell r="M74">
            <v>-1881.5107989618539</v>
          </cell>
          <cell r="N74">
            <v>-1971.4094111356014</v>
          </cell>
          <cell r="O74">
            <v>-2074.4989346342754</v>
          </cell>
          <cell r="P74">
            <v>-2136.5153129731289</v>
          </cell>
          <cell r="Q74">
            <v>-2217.2512838736666</v>
          </cell>
          <cell r="R74">
            <v>-2313.4703544455292</v>
          </cell>
          <cell r="S74">
            <v>-2326.2557455998444</v>
          </cell>
          <cell r="T74">
            <v>-2364.2603809090788</v>
          </cell>
          <cell r="U74">
            <v>-2414.8664880416195</v>
          </cell>
        </row>
        <row r="76">
          <cell r="A76" t="str">
            <v>Free Cash flow to Firm</v>
          </cell>
          <cell r="B76">
            <v>2641.7528779739064</v>
          </cell>
          <cell r="C76">
            <v>2828.7635658914724</v>
          </cell>
          <cell r="D76">
            <v>4512.5422993492402</v>
          </cell>
          <cell r="E76">
            <v>1424.4991511035651</v>
          </cell>
          <cell r="F76">
            <v>3367.9812834224604</v>
          </cell>
          <cell r="G76">
            <v>4272.811156304474</v>
          </cell>
          <cell r="H76">
            <v>3358.1311329170385</v>
          </cell>
          <cell r="I76">
            <v>3321.8325123152708</v>
          </cell>
          <cell r="K76">
            <v>4088.8950553779491</v>
          </cell>
          <cell r="L76">
            <v>4606.3034291694803</v>
          </cell>
          <cell r="M76">
            <v>5461.2910234452393</v>
          </cell>
          <cell r="N76">
            <v>5713.8679508783625</v>
          </cell>
          <cell r="O76">
            <v>6061.5368080837206</v>
          </cell>
          <cell r="P76">
            <v>6227.7856978990958</v>
          </cell>
          <cell r="Q76">
            <v>6675.4377421166018</v>
          </cell>
          <cell r="R76">
            <v>7430.4751840367935</v>
          </cell>
          <cell r="S76">
            <v>7069.3682289436856</v>
          </cell>
          <cell r="T76">
            <v>7097.7008510803762</v>
          </cell>
          <cell r="U76">
            <v>7101.5008129673315</v>
          </cell>
        </row>
        <row r="89">
          <cell r="H89" t="str">
            <v>2011-FY</v>
          </cell>
          <cell r="I89" t="str">
            <v>2012-FY</v>
          </cell>
          <cell r="K89" t="str">
            <v>2013-FY</v>
          </cell>
          <cell r="L89" t="str">
            <v>2014-FY</v>
          </cell>
          <cell r="M89" t="str">
            <v>2015-FY</v>
          </cell>
          <cell r="N89" t="str">
            <v>2016-FY</v>
          </cell>
          <cell r="O89" t="str">
            <v>2017-FY</v>
          </cell>
          <cell r="P89" t="str">
            <v>2018-FY</v>
          </cell>
        </row>
      </sheetData>
      <sheetData sheetId="6">
        <row r="1">
          <cell r="A1" t="str">
            <v>Bayer</v>
          </cell>
          <cell r="W1" t="str">
            <v>ElementName</v>
          </cell>
          <cell r="X1" t="str">
            <v>ScaleOverride</v>
          </cell>
          <cell r="Y1" t="str">
            <v>UnitOverride</v>
          </cell>
          <cell r="Z1" t="str">
            <v>ReverseSign</v>
          </cell>
          <cell r="AA1" t="str">
            <v>IsDrivingAssumption</v>
          </cell>
          <cell r="AB1" t="str">
            <v>SegmentID</v>
          </cell>
        </row>
        <row r="2">
          <cell r="A2" t="str">
            <v>Balance Sheet</v>
          </cell>
          <cell r="M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1Q13</v>
          </cell>
          <cell r="K4" t="str">
            <v>FY13E</v>
          </cell>
          <cell r="L4" t="str">
            <v>FY14E</v>
          </cell>
          <cell r="M4" t="str">
            <v>FY15E</v>
          </cell>
          <cell r="N4" t="str">
            <v>FY16E</v>
          </cell>
          <cell r="O4" t="str">
            <v>FY17E</v>
          </cell>
          <cell r="P4" t="str">
            <v>FY18E</v>
          </cell>
          <cell r="Q4" t="str">
            <v>FY19E</v>
          </cell>
          <cell r="R4" t="str">
            <v>FY20E</v>
          </cell>
          <cell r="S4" t="str">
            <v>FY21E</v>
          </cell>
          <cell r="T4" t="str">
            <v>FY22E</v>
          </cell>
          <cell r="U4" t="str">
            <v>FY23E</v>
          </cell>
        </row>
        <row r="5">
          <cell r="A5" t="str">
            <v>Goodwill</v>
          </cell>
          <cell r="B5">
            <v>2623</v>
          </cell>
          <cell r="C5">
            <v>8227</v>
          </cell>
          <cell r="D5">
            <v>8215</v>
          </cell>
          <cell r="E5">
            <v>8647</v>
          </cell>
          <cell r="F5">
            <v>8704</v>
          </cell>
          <cell r="G5">
            <v>9002</v>
          </cell>
          <cell r="H5">
            <v>9160</v>
          </cell>
          <cell r="I5">
            <v>9293</v>
          </cell>
          <cell r="J5">
            <v>9411</v>
          </cell>
          <cell r="K5">
            <v>9967.3295019157085</v>
          </cell>
          <cell r="L5">
            <v>9967.3295019157085</v>
          </cell>
          <cell r="M5">
            <v>9967.3295019157085</v>
          </cell>
          <cell r="N5">
            <v>9967.3295019157085</v>
          </cell>
          <cell r="O5">
            <v>9967.3295019157085</v>
          </cell>
          <cell r="P5">
            <v>9967.3295019157085</v>
          </cell>
          <cell r="Q5">
            <v>9967.3295019157085</v>
          </cell>
          <cell r="R5">
            <v>9967.3295019157085</v>
          </cell>
          <cell r="S5">
            <v>9967.3295019157085</v>
          </cell>
          <cell r="T5">
            <v>9967.3295019157085</v>
          </cell>
          <cell r="U5">
            <v>9967.3295019157085</v>
          </cell>
          <cell r="V5" t="str">
            <v>Linked to Schedule below</v>
          </cell>
          <cell r="W5" t="str">
            <v>mstag:goodwill</v>
          </cell>
          <cell r="X5">
            <v>6</v>
          </cell>
          <cell r="Y5" t="str">
            <v>ISO4217:EUR</v>
          </cell>
          <cell r="Z5" t="b">
            <v>0</v>
          </cell>
          <cell r="AA5" t="b">
            <v>0</v>
          </cell>
        </row>
        <row r="6">
          <cell r="A6" t="str">
            <v>Other Intangible assets</v>
          </cell>
          <cell r="B6">
            <v>5065</v>
          </cell>
          <cell r="C6">
            <v>15807</v>
          </cell>
          <cell r="D6">
            <v>14555</v>
          </cell>
          <cell r="E6">
            <v>13951</v>
          </cell>
          <cell r="F6">
            <v>12842</v>
          </cell>
          <cell r="G6">
            <v>11161</v>
          </cell>
          <cell r="H6">
            <v>10295</v>
          </cell>
          <cell r="I6">
            <v>9464</v>
          </cell>
          <cell r="J6">
            <v>9350</v>
          </cell>
          <cell r="K6">
            <v>9139.7364928731495</v>
          </cell>
          <cell r="L6">
            <v>8794.0635155788314</v>
          </cell>
          <cell r="M6">
            <v>8426.5724153110896</v>
          </cell>
          <cell r="N6">
            <v>8036.8376070538179</v>
          </cell>
          <cell r="O6">
            <v>7624.416159066961</v>
          </cell>
          <cell r="P6">
            <v>7210.3125389430206</v>
          </cell>
          <cell r="Q6">
            <v>6794.0638600698949</v>
          </cell>
          <cell r="R6">
            <v>6375.191667064988</v>
          </cell>
          <cell r="S6">
            <v>5953.2010058254709</v>
          </cell>
          <cell r="T6">
            <v>5527.5794501112978</v>
          </cell>
          <cell r="U6">
            <v>5097.7960824269976</v>
          </cell>
          <cell r="V6" t="str">
            <v>Linked to Schedule below</v>
          </cell>
          <cell r="W6" t="str">
            <v>mstag:otherIntangibleAssets</v>
          </cell>
          <cell r="X6">
            <v>6</v>
          </cell>
          <cell r="Y6" t="str">
            <v>ISO4217:EUR</v>
          </cell>
          <cell r="Z6" t="b">
            <v>0</v>
          </cell>
          <cell r="AA6" t="b">
            <v>0</v>
          </cell>
        </row>
        <row r="7">
          <cell r="A7" t="str">
            <v>Property, plant and equipment</v>
          </cell>
          <cell r="B7">
            <v>8321</v>
          </cell>
          <cell r="C7">
            <v>8867</v>
          </cell>
          <cell r="D7">
            <v>8819</v>
          </cell>
          <cell r="E7">
            <v>9492</v>
          </cell>
          <cell r="F7">
            <v>9409</v>
          </cell>
          <cell r="G7">
            <v>9835</v>
          </cell>
          <cell r="H7">
            <v>9823</v>
          </cell>
          <cell r="I7">
            <v>9863</v>
          </cell>
          <cell r="J7">
            <v>10053</v>
          </cell>
          <cell r="K7">
            <v>10115.288264361763</v>
          </cell>
          <cell r="L7">
            <v>10474.863774935071</v>
          </cell>
          <cell r="M7">
            <v>10862.552807744847</v>
          </cell>
          <cell r="N7">
            <v>11275.854191010643</v>
          </cell>
          <cell r="O7">
            <v>11724.363457394367</v>
          </cell>
          <cell r="P7">
            <v>12165.428730345615</v>
          </cell>
          <cell r="Q7">
            <v>12615.336106556191</v>
          </cell>
          <cell r="R7">
            <v>13086.45076276685</v>
          </cell>
          <cell r="S7">
            <v>13496.233890049436</v>
          </cell>
          <cell r="T7">
            <v>13869.587619694947</v>
          </cell>
          <cell r="U7">
            <v>14218.205995848195</v>
          </cell>
          <cell r="V7" t="str">
            <v>Linked to Schedule below</v>
          </cell>
          <cell r="W7" t="str">
            <v>mstag:propertyPlantAndEquipmentNet</v>
          </cell>
          <cell r="X7">
            <v>6</v>
          </cell>
          <cell r="Y7" t="str">
            <v>ISO4217:EUR</v>
          </cell>
          <cell r="Z7" t="b">
            <v>0</v>
          </cell>
          <cell r="AA7" t="b">
            <v>0</v>
          </cell>
        </row>
        <row r="8">
          <cell r="A8" t="str">
            <v>Investments in associates</v>
          </cell>
          <cell r="B8">
            <v>795</v>
          </cell>
          <cell r="C8">
            <v>532</v>
          </cell>
          <cell r="D8">
            <v>484</v>
          </cell>
          <cell r="E8">
            <v>450</v>
          </cell>
          <cell r="F8">
            <v>395</v>
          </cell>
          <cell r="G8">
            <v>354</v>
          </cell>
          <cell r="H8">
            <v>319</v>
          </cell>
          <cell r="I8">
            <v>284</v>
          </cell>
          <cell r="J8">
            <v>224</v>
          </cell>
          <cell r="K8">
            <v>240.3</v>
          </cell>
          <cell r="L8">
            <v>198.78500000000003</v>
          </cell>
          <cell r="M8">
            <v>159.34575000000004</v>
          </cell>
          <cell r="N8">
            <v>159.34575000000004</v>
          </cell>
          <cell r="O8">
            <v>159.34575000000004</v>
          </cell>
          <cell r="P8">
            <v>159.34575000000004</v>
          </cell>
          <cell r="Q8">
            <v>159.34575000000004</v>
          </cell>
          <cell r="R8">
            <v>159.34575000000004</v>
          </cell>
          <cell r="S8">
            <v>159.34575000000004</v>
          </cell>
          <cell r="T8">
            <v>159.34575000000004</v>
          </cell>
          <cell r="U8">
            <v>159.34575000000004</v>
          </cell>
          <cell r="W8" t="str">
            <v>mstag:investmentsUnderTheEquityMethodNonOperating</v>
          </cell>
          <cell r="X8">
            <v>6</v>
          </cell>
          <cell r="Y8" t="str">
            <v>ISO4217:EUR</v>
          </cell>
          <cell r="Z8" t="b">
            <v>0</v>
          </cell>
        </row>
        <row r="9">
          <cell r="A9" t="str">
            <v>Other financial assets</v>
          </cell>
          <cell r="B9">
            <v>1429</v>
          </cell>
          <cell r="C9">
            <v>1094</v>
          </cell>
          <cell r="D9">
            <v>1127</v>
          </cell>
          <cell r="E9">
            <v>1197</v>
          </cell>
          <cell r="F9">
            <v>1200</v>
          </cell>
          <cell r="G9">
            <v>1164</v>
          </cell>
          <cell r="H9">
            <v>1364</v>
          </cell>
          <cell r="I9">
            <v>1324</v>
          </cell>
          <cell r="J9">
            <v>1282</v>
          </cell>
          <cell r="K9">
            <v>1324</v>
          </cell>
          <cell r="L9">
            <v>1324</v>
          </cell>
          <cell r="M9">
            <v>1324</v>
          </cell>
          <cell r="N9">
            <v>1324</v>
          </cell>
          <cell r="O9">
            <v>1324</v>
          </cell>
          <cell r="P9">
            <v>1324</v>
          </cell>
          <cell r="Q9">
            <v>1324</v>
          </cell>
          <cell r="R9">
            <v>1324</v>
          </cell>
          <cell r="S9">
            <v>1324</v>
          </cell>
          <cell r="T9">
            <v>1324</v>
          </cell>
          <cell r="U9">
            <v>1324</v>
          </cell>
          <cell r="W9" t="str">
            <v>mstag:longTermInvestmentsNonOperating</v>
          </cell>
          <cell r="X9">
            <v>6</v>
          </cell>
          <cell r="Y9" t="str">
            <v>ISO4217:EUR</v>
          </cell>
          <cell r="Z9" t="b">
            <v>0</v>
          </cell>
        </row>
        <row r="10">
          <cell r="A10" t="str">
            <v>Other receivables</v>
          </cell>
          <cell r="B10">
            <v>199</v>
          </cell>
          <cell r="C10">
            <v>165</v>
          </cell>
          <cell r="D10">
            <v>667</v>
          </cell>
          <cell r="E10">
            <v>458</v>
          </cell>
          <cell r="F10">
            <v>549</v>
          </cell>
          <cell r="G10">
            <v>498</v>
          </cell>
          <cell r="H10">
            <v>425</v>
          </cell>
          <cell r="I10">
            <v>541</v>
          </cell>
          <cell r="J10">
            <v>472</v>
          </cell>
          <cell r="K10">
            <v>541</v>
          </cell>
          <cell r="L10">
            <v>541</v>
          </cell>
          <cell r="M10">
            <v>541</v>
          </cell>
          <cell r="N10">
            <v>541</v>
          </cell>
          <cell r="O10">
            <v>541</v>
          </cell>
          <cell r="P10">
            <v>541</v>
          </cell>
          <cell r="Q10">
            <v>541</v>
          </cell>
          <cell r="R10">
            <v>541</v>
          </cell>
          <cell r="S10">
            <v>541</v>
          </cell>
          <cell r="T10">
            <v>541</v>
          </cell>
          <cell r="U10">
            <v>541</v>
          </cell>
          <cell r="V10" t="str">
            <v>Linked to Sales Growth</v>
          </cell>
          <cell r="W10" t="str">
            <v>mstag:otherReceivablesNonCurrent</v>
          </cell>
          <cell r="X10">
            <v>6</v>
          </cell>
          <cell r="Y10" t="str">
            <v>ISO4217:EUR</v>
          </cell>
          <cell r="Z10" t="b">
            <v>0</v>
          </cell>
          <cell r="AA10" t="b">
            <v>0</v>
          </cell>
        </row>
        <row r="11">
          <cell r="A11" t="str">
            <v>Deferred income tax assets</v>
          </cell>
          <cell r="B11">
            <v>1698</v>
          </cell>
          <cell r="C11">
            <v>1205</v>
          </cell>
          <cell r="D11">
            <v>845</v>
          </cell>
          <cell r="E11">
            <v>1156</v>
          </cell>
          <cell r="F11">
            <v>950</v>
          </cell>
          <cell r="G11">
            <v>1174</v>
          </cell>
          <cell r="H11">
            <v>1311</v>
          </cell>
          <cell r="I11">
            <v>1581</v>
          </cell>
          <cell r="J11">
            <v>1562</v>
          </cell>
          <cell r="K11">
            <v>1638.0651155644071</v>
          </cell>
          <cell r="L11">
            <v>1804.6988686426125</v>
          </cell>
          <cell r="M11">
            <v>1894.6933586998034</v>
          </cell>
          <cell r="N11">
            <v>1985.2218337613924</v>
          </cell>
          <cell r="O11">
            <v>2089.033640545726</v>
          </cell>
          <cell r="P11">
            <v>2151.4845285417305</v>
          </cell>
          <cell r="Q11">
            <v>2232.7861654804246</v>
          </cell>
          <cell r="R11">
            <v>2329.6793824066126</v>
          </cell>
          <cell r="S11">
            <v>2342.5543527346204</v>
          </cell>
          <cell r="T11">
            <v>2380.8252625587602</v>
          </cell>
          <cell r="U11">
            <v>2431.785934773121</v>
          </cell>
          <cell r="W11" t="str">
            <v>mstag:deferredTaxAssetsNonCurrent</v>
          </cell>
          <cell r="X11">
            <v>6</v>
          </cell>
          <cell r="Y11" t="str">
            <v>ISO4217:EUR</v>
          </cell>
          <cell r="Z11" t="b">
            <v>0</v>
          </cell>
        </row>
        <row r="12">
          <cell r="A12" t="str">
            <v>Total non-current assets</v>
          </cell>
          <cell r="B12">
            <v>20130</v>
          </cell>
          <cell r="C12">
            <v>35897</v>
          </cell>
          <cell r="D12">
            <v>34712</v>
          </cell>
          <cell r="E12">
            <v>35351</v>
          </cell>
          <cell r="F12">
            <v>34049</v>
          </cell>
          <cell r="G12">
            <v>33188</v>
          </cell>
          <cell r="H12">
            <v>32697</v>
          </cell>
          <cell r="I12">
            <v>32350</v>
          </cell>
          <cell r="J12">
            <v>32354</v>
          </cell>
          <cell r="K12">
            <v>32965.719374715023</v>
          </cell>
          <cell r="L12">
            <v>33104.740661072225</v>
          </cell>
          <cell r="M12">
            <v>33175.493833671448</v>
          </cell>
          <cell r="N12">
            <v>33289.588883741562</v>
          </cell>
          <cell r="O12">
            <v>33429.488508922761</v>
          </cell>
          <cell r="P12">
            <v>33518.901049746077</v>
          </cell>
          <cell r="Q12">
            <v>33633.861384022217</v>
          </cell>
          <cell r="R12">
            <v>33782.997064154159</v>
          </cell>
          <cell r="S12">
            <v>33783.664500525236</v>
          </cell>
          <cell r="T12">
            <v>33769.667584280716</v>
          </cell>
          <cell r="U12">
            <v>33739.463264964026</v>
          </cell>
        </row>
        <row r="14">
          <cell r="A14" t="str">
            <v>Inventories</v>
          </cell>
          <cell r="B14">
            <v>5504</v>
          </cell>
          <cell r="C14">
            <v>6153</v>
          </cell>
          <cell r="D14">
            <v>6217</v>
          </cell>
          <cell r="E14">
            <v>6681</v>
          </cell>
          <cell r="F14">
            <v>6091</v>
          </cell>
          <cell r="G14">
            <v>6104</v>
          </cell>
          <cell r="H14">
            <v>6368</v>
          </cell>
          <cell r="I14">
            <v>6980</v>
          </cell>
          <cell r="J14">
            <v>7344</v>
          </cell>
          <cell r="K14">
            <v>7180.719938893033</v>
          </cell>
          <cell r="L14">
            <v>7737.5892584934636</v>
          </cell>
          <cell r="M14">
            <v>7989.4977443131684</v>
          </cell>
          <cell r="N14">
            <v>8190.4766988703714</v>
          </cell>
          <cell r="O14">
            <v>8365.8418242644384</v>
          </cell>
          <cell r="P14">
            <v>8526.9657474001579</v>
          </cell>
          <cell r="Q14">
            <v>8684.3270071012666</v>
          </cell>
          <cell r="R14">
            <v>8790.6061430658156</v>
          </cell>
          <cell r="S14">
            <v>8822.1160631078892</v>
          </cell>
          <cell r="T14">
            <v>8862.5221800448089</v>
          </cell>
          <cell r="U14">
            <v>8920.4341181892742</v>
          </cell>
          <cell r="V14" t="str">
            <v>Linked to Schedule below</v>
          </cell>
          <cell r="W14" t="str">
            <v>mstag:inventories</v>
          </cell>
          <cell r="X14">
            <v>6</v>
          </cell>
          <cell r="Y14" t="str">
            <v>ISO4217:EUR</v>
          </cell>
          <cell r="Z14" t="b">
            <v>0</v>
          </cell>
          <cell r="AA14" t="b">
            <v>0</v>
          </cell>
        </row>
        <row r="15">
          <cell r="A15" t="str">
            <v>Trade receivables</v>
          </cell>
          <cell r="B15">
            <v>5204</v>
          </cell>
          <cell r="C15">
            <v>5868</v>
          </cell>
          <cell r="D15">
            <v>5830</v>
          </cell>
          <cell r="E15">
            <v>5953</v>
          </cell>
          <cell r="F15">
            <v>6106</v>
          </cell>
          <cell r="G15">
            <v>6668</v>
          </cell>
          <cell r="H15">
            <v>7061</v>
          </cell>
          <cell r="I15">
            <v>7431</v>
          </cell>
          <cell r="J15">
            <v>9190</v>
          </cell>
          <cell r="K15">
            <v>7900.4320650860082</v>
          </cell>
          <cell r="L15">
            <v>8704.1111334184516</v>
          </cell>
          <cell r="M15">
            <v>9138.156977001363</v>
          </cell>
          <cell r="N15">
            <v>9574.7782446079837</v>
          </cell>
          <cell r="O15">
            <v>10075.465378019569</v>
          </cell>
          <cell r="P15">
            <v>10376.667688799951</v>
          </cell>
          <cell r="Q15">
            <v>10768.787668226485</v>
          </cell>
          <cell r="R15">
            <v>11236.106256858557</v>
          </cell>
          <cell r="S15">
            <v>11459.60547875148</v>
          </cell>
          <cell r="T15">
            <v>11646.823985500552</v>
          </cell>
          <cell r="U15">
            <v>11896.119886714889</v>
          </cell>
          <cell r="V15" t="str">
            <v>Linked to Schedule below</v>
          </cell>
          <cell r="W15" t="str">
            <v>mstag:tradeReceivablesCurrent</v>
          </cell>
          <cell r="X15">
            <v>6</v>
          </cell>
          <cell r="Y15" t="str">
            <v>ISO4217:EUR</v>
          </cell>
          <cell r="Z15" t="b">
            <v>0</v>
          </cell>
          <cell r="AA15" t="b">
            <v>0</v>
          </cell>
        </row>
        <row r="16">
          <cell r="A16" t="str">
            <v>Other financial assets</v>
          </cell>
          <cell r="B16">
            <v>447</v>
          </cell>
          <cell r="C16">
            <v>401</v>
          </cell>
          <cell r="D16">
            <v>335</v>
          </cell>
          <cell r="E16">
            <v>634</v>
          </cell>
          <cell r="F16">
            <v>367</v>
          </cell>
          <cell r="G16">
            <v>1008</v>
          </cell>
          <cell r="H16">
            <v>2784</v>
          </cell>
          <cell r="I16">
            <v>856</v>
          </cell>
          <cell r="J16">
            <v>629</v>
          </cell>
          <cell r="K16">
            <v>856</v>
          </cell>
          <cell r="L16">
            <v>856</v>
          </cell>
          <cell r="M16">
            <v>856</v>
          </cell>
          <cell r="N16">
            <v>856</v>
          </cell>
          <cell r="O16">
            <v>856</v>
          </cell>
          <cell r="P16">
            <v>856</v>
          </cell>
          <cell r="Q16">
            <v>856</v>
          </cell>
          <cell r="R16">
            <v>856</v>
          </cell>
          <cell r="S16">
            <v>856</v>
          </cell>
          <cell r="T16">
            <v>856</v>
          </cell>
          <cell r="U16">
            <v>856</v>
          </cell>
          <cell r="W16" t="str">
            <v>mstag:shortTermInvestments</v>
          </cell>
          <cell r="X16">
            <v>6</v>
          </cell>
          <cell r="Y16" t="str">
            <v>ISO4217:EUR</v>
          </cell>
          <cell r="Z16" t="b">
            <v>0</v>
          </cell>
        </row>
        <row r="17">
          <cell r="A17" t="str">
            <v>Other receivables</v>
          </cell>
          <cell r="B17">
            <v>1421</v>
          </cell>
          <cell r="C17">
            <v>1512</v>
          </cell>
          <cell r="D17">
            <v>1461</v>
          </cell>
          <cell r="E17">
            <v>1284</v>
          </cell>
          <cell r="F17">
            <v>1357</v>
          </cell>
          <cell r="G17">
            <v>1336</v>
          </cell>
          <cell r="H17">
            <v>1628</v>
          </cell>
          <cell r="I17">
            <v>1648</v>
          </cell>
          <cell r="J17">
            <v>1470</v>
          </cell>
          <cell r="K17">
            <v>1648</v>
          </cell>
          <cell r="L17">
            <v>1648</v>
          </cell>
          <cell r="M17">
            <v>1648</v>
          </cell>
          <cell r="N17">
            <v>1648</v>
          </cell>
          <cell r="O17">
            <v>1648</v>
          </cell>
          <cell r="P17">
            <v>1648</v>
          </cell>
          <cell r="Q17">
            <v>1648</v>
          </cell>
          <cell r="R17">
            <v>1648</v>
          </cell>
          <cell r="S17">
            <v>1648</v>
          </cell>
          <cell r="T17">
            <v>1648</v>
          </cell>
          <cell r="U17">
            <v>1648</v>
          </cell>
          <cell r="W17" t="str">
            <v>mstag:otherReceivablesCurrent</v>
          </cell>
          <cell r="X17">
            <v>6</v>
          </cell>
          <cell r="Y17" t="str">
            <v>ISO4217:EUR</v>
          </cell>
          <cell r="Z17" t="b">
            <v>0</v>
          </cell>
        </row>
        <row r="18">
          <cell r="A18" t="str">
            <v>Claims for income tax refunds</v>
          </cell>
          <cell r="B18">
            <v>726</v>
          </cell>
          <cell r="C18">
            <v>220</v>
          </cell>
          <cell r="D18">
            <v>208</v>
          </cell>
          <cell r="E18">
            <v>506</v>
          </cell>
          <cell r="F18">
            <v>347</v>
          </cell>
          <cell r="G18">
            <v>362</v>
          </cell>
          <cell r="H18">
            <v>373</v>
          </cell>
          <cell r="I18">
            <v>376</v>
          </cell>
          <cell r="J18">
            <v>404</v>
          </cell>
          <cell r="K18">
            <v>376</v>
          </cell>
          <cell r="L18">
            <v>376</v>
          </cell>
          <cell r="M18">
            <v>376</v>
          </cell>
          <cell r="N18">
            <v>376</v>
          </cell>
          <cell r="O18">
            <v>376</v>
          </cell>
          <cell r="P18">
            <v>376</v>
          </cell>
          <cell r="Q18">
            <v>376</v>
          </cell>
          <cell r="R18">
            <v>376</v>
          </cell>
          <cell r="S18">
            <v>376</v>
          </cell>
          <cell r="T18">
            <v>376</v>
          </cell>
          <cell r="U18">
            <v>376</v>
          </cell>
          <cell r="W18" t="str">
            <v>mstag:otherAssetsOperatingCurrent</v>
          </cell>
          <cell r="X18">
            <v>6</v>
          </cell>
          <cell r="Y18" t="str">
            <v>ISO4217:EUR</v>
          </cell>
          <cell r="Z18" t="b">
            <v>0</v>
          </cell>
        </row>
        <row r="19">
          <cell r="A19" t="str">
            <v>Cash and cash equivalents</v>
          </cell>
          <cell r="B19">
            <v>3290</v>
          </cell>
          <cell r="C19">
            <v>2915</v>
          </cell>
          <cell r="D19">
            <v>2531</v>
          </cell>
          <cell r="E19">
            <v>2094</v>
          </cell>
          <cell r="F19">
            <v>2725</v>
          </cell>
          <cell r="G19">
            <v>2840</v>
          </cell>
          <cell r="H19">
            <v>1770</v>
          </cell>
          <cell r="I19">
            <v>1695</v>
          </cell>
          <cell r="J19">
            <v>1479</v>
          </cell>
          <cell r="K19">
            <v>2940.2381107796036</v>
          </cell>
          <cell r="L19">
            <v>5202.7554415982968</v>
          </cell>
          <cell r="M19">
            <v>8103.1911553998225</v>
          </cell>
          <cell r="N19">
            <v>11198.110107028626</v>
          </cell>
          <cell r="O19">
            <v>14662.772169261332</v>
          </cell>
          <cell r="P19">
            <v>18195.030195090942</v>
          </cell>
          <cell r="Q19">
            <v>22169.285647441851</v>
          </cell>
          <cell r="R19">
            <v>26743.644438541887</v>
          </cell>
          <cell r="S19">
            <v>30810.198207093683</v>
          </cell>
          <cell r="T19">
            <v>34998.699215212851</v>
          </cell>
          <cell r="U19">
            <v>39184.297769605837</v>
          </cell>
          <cell r="V19" t="str">
            <v>Linked to CF</v>
          </cell>
          <cell r="W19" t="str">
            <v>mstag:cashAndCashEquivalents</v>
          </cell>
          <cell r="X19">
            <v>6</v>
          </cell>
          <cell r="Y19" t="str">
            <v>ISO4217:EUR</v>
          </cell>
          <cell r="Z19" t="b">
            <v>0</v>
          </cell>
          <cell r="AA19" t="b">
            <v>0</v>
          </cell>
        </row>
        <row r="20">
          <cell r="A20" t="str">
            <v>Assets held for sales &amp; disc ops</v>
          </cell>
          <cell r="B20">
            <v>0</v>
          </cell>
          <cell r="C20">
            <v>2925</v>
          </cell>
          <cell r="D20">
            <v>84</v>
          </cell>
          <cell r="E20">
            <v>8</v>
          </cell>
          <cell r="F20">
            <v>0</v>
          </cell>
          <cell r="G20">
            <v>0</v>
          </cell>
          <cell r="H20">
            <v>84</v>
          </cell>
          <cell r="I20">
            <v>0</v>
          </cell>
          <cell r="K20">
            <v>0</v>
          </cell>
          <cell r="L20">
            <v>0</v>
          </cell>
          <cell r="M20">
            <v>0</v>
          </cell>
          <cell r="N20">
            <v>0</v>
          </cell>
          <cell r="O20">
            <v>0</v>
          </cell>
          <cell r="P20">
            <v>0</v>
          </cell>
          <cell r="Q20">
            <v>0</v>
          </cell>
          <cell r="R20">
            <v>0</v>
          </cell>
          <cell r="S20">
            <v>0</v>
          </cell>
          <cell r="T20">
            <v>0</v>
          </cell>
          <cell r="U20">
            <v>0</v>
          </cell>
          <cell r="W20" t="str">
            <v>mstag:assetsOfDiscontinuedOperations</v>
          </cell>
          <cell r="X20">
            <v>6</v>
          </cell>
          <cell r="Y20" t="str">
            <v>ISO4217:EUR</v>
          </cell>
          <cell r="Z20" t="b">
            <v>0</v>
          </cell>
        </row>
        <row r="21">
          <cell r="A21" t="str">
            <v>Total current assets</v>
          </cell>
          <cell r="B21">
            <v>16592</v>
          </cell>
          <cell r="C21">
            <v>19994</v>
          </cell>
          <cell r="D21">
            <v>16666</v>
          </cell>
          <cell r="E21">
            <v>17160</v>
          </cell>
          <cell r="F21">
            <v>16993</v>
          </cell>
          <cell r="G21">
            <v>18318</v>
          </cell>
          <cell r="H21">
            <v>20068</v>
          </cell>
          <cell r="I21">
            <v>18986</v>
          </cell>
          <cell r="J21">
            <v>20516</v>
          </cell>
          <cell r="K21">
            <v>20901.390114758644</v>
          </cell>
          <cell r="L21">
            <v>24524.455833510212</v>
          </cell>
          <cell r="M21">
            <v>28110.845876714353</v>
          </cell>
          <cell r="N21">
            <v>31843.365050506982</v>
          </cell>
          <cell r="O21">
            <v>35984.07937154534</v>
          </cell>
          <cell r="P21">
            <v>39978.663631291049</v>
          </cell>
          <cell r="Q21">
            <v>44502.400322769601</v>
          </cell>
          <cell r="R21">
            <v>49650.356838466258</v>
          </cell>
          <cell r="S21">
            <v>53971.919748953049</v>
          </cell>
          <cell r="T21">
            <v>58388.045380758209</v>
          </cell>
          <cell r="U21">
            <v>62880.851774509996</v>
          </cell>
        </row>
        <row r="23">
          <cell r="A23" t="str">
            <v>Total assets</v>
          </cell>
          <cell r="B23">
            <v>36722</v>
          </cell>
          <cell r="C23">
            <v>55891</v>
          </cell>
          <cell r="D23">
            <v>51378</v>
          </cell>
          <cell r="E23">
            <v>52511</v>
          </cell>
          <cell r="F23">
            <v>51042</v>
          </cell>
          <cell r="G23">
            <v>51506</v>
          </cell>
          <cell r="H23">
            <v>52765</v>
          </cell>
          <cell r="I23">
            <v>51336</v>
          </cell>
          <cell r="J23">
            <v>52870</v>
          </cell>
          <cell r="K23">
            <v>53867.109489473667</v>
          </cell>
          <cell r="L23">
            <v>57629.196494582437</v>
          </cell>
          <cell r="M23">
            <v>61286.339710385801</v>
          </cell>
          <cell r="N23">
            <v>65132.953934248544</v>
          </cell>
          <cell r="O23">
            <v>69413.567880468094</v>
          </cell>
          <cell r="P23">
            <v>73497.564681037125</v>
          </cell>
          <cell r="Q23">
            <v>78136.261706791818</v>
          </cell>
          <cell r="R23">
            <v>83433.353902620409</v>
          </cell>
          <cell r="S23">
            <v>87755.584249478285</v>
          </cell>
          <cell r="T23">
            <v>92157.712965038925</v>
          </cell>
          <cell r="U23">
            <v>96620.315039474022</v>
          </cell>
        </row>
        <row r="24">
          <cell r="K24">
            <v>53347.529598637811</v>
          </cell>
        </row>
        <row r="25">
          <cell r="A25" t="str">
            <v>Capital stock Bayer AG</v>
          </cell>
          <cell r="B25">
            <v>1870</v>
          </cell>
          <cell r="C25">
            <v>1957</v>
          </cell>
          <cell r="D25">
            <v>1957</v>
          </cell>
          <cell r="E25">
            <v>1957</v>
          </cell>
          <cell r="F25">
            <v>2117</v>
          </cell>
          <cell r="G25">
            <v>2117</v>
          </cell>
          <cell r="H25">
            <v>2117</v>
          </cell>
          <cell r="I25">
            <v>2117</v>
          </cell>
          <cell r="J25">
            <v>2117</v>
          </cell>
          <cell r="K25">
            <v>2117</v>
          </cell>
          <cell r="L25">
            <v>2117</v>
          </cell>
          <cell r="M25">
            <v>2117</v>
          </cell>
          <cell r="N25">
            <v>2117</v>
          </cell>
          <cell r="O25">
            <v>2117</v>
          </cell>
          <cell r="P25">
            <v>2117</v>
          </cell>
          <cell r="Q25">
            <v>2117</v>
          </cell>
          <cell r="R25">
            <v>2117</v>
          </cell>
          <cell r="S25">
            <v>2117</v>
          </cell>
          <cell r="T25">
            <v>2117</v>
          </cell>
          <cell r="U25">
            <v>2117</v>
          </cell>
          <cell r="W25" t="str">
            <v>mstag:commonStock</v>
          </cell>
          <cell r="X25">
            <v>6</v>
          </cell>
          <cell r="Y25" t="str">
            <v>ISO4217:EUR</v>
          </cell>
          <cell r="Z25" t="b">
            <v>0</v>
          </cell>
          <cell r="AA25" t="b">
            <v>0</v>
          </cell>
        </row>
        <row r="26">
          <cell r="A26" t="str">
            <v>Capital reserves Bayer AG</v>
          </cell>
          <cell r="B26">
            <v>2942</v>
          </cell>
          <cell r="C26">
            <v>4028</v>
          </cell>
          <cell r="D26">
            <v>4028</v>
          </cell>
          <cell r="E26">
            <v>4028</v>
          </cell>
          <cell r="F26">
            <v>6167</v>
          </cell>
          <cell r="G26">
            <v>6167</v>
          </cell>
          <cell r="H26">
            <v>6167</v>
          </cell>
          <cell r="I26">
            <v>6167</v>
          </cell>
          <cell r="J26">
            <v>6167</v>
          </cell>
          <cell r="K26">
            <v>6167</v>
          </cell>
          <cell r="L26">
            <v>6167</v>
          </cell>
          <cell r="M26">
            <v>6167</v>
          </cell>
          <cell r="N26">
            <v>6167</v>
          </cell>
          <cell r="O26">
            <v>6167</v>
          </cell>
          <cell r="P26">
            <v>6167</v>
          </cell>
          <cell r="Q26">
            <v>6167</v>
          </cell>
          <cell r="R26">
            <v>6167</v>
          </cell>
          <cell r="S26">
            <v>6167</v>
          </cell>
          <cell r="T26">
            <v>6167</v>
          </cell>
          <cell r="U26">
            <v>6167</v>
          </cell>
          <cell r="W26" t="str">
            <v>mstag:additionalPaidInCapital</v>
          </cell>
          <cell r="X26">
            <v>6</v>
          </cell>
          <cell r="Y26" t="str">
            <v>ISO4217:EUR</v>
          </cell>
          <cell r="Z26" t="b">
            <v>0</v>
          </cell>
        </row>
        <row r="27">
          <cell r="A27" t="str">
            <v>Other reserves</v>
          </cell>
          <cell r="B27">
            <v>6265</v>
          </cell>
          <cell r="C27">
            <v>6782</v>
          </cell>
          <cell r="D27">
            <v>10749</v>
          </cell>
          <cell r="E27">
            <v>10278</v>
          </cell>
          <cell r="F27">
            <v>10613</v>
          </cell>
          <cell r="G27">
            <v>10549</v>
          </cell>
          <cell r="H27">
            <v>10928</v>
          </cell>
          <cell r="I27">
            <v>10185</v>
          </cell>
          <cell r="J27">
            <v>11391</v>
          </cell>
          <cell r="K27">
            <v>12266.340396906231</v>
          </cell>
          <cell r="L27">
            <v>15274.369377370527</v>
          </cell>
          <cell r="M27">
            <v>18378.85378437542</v>
          </cell>
          <cell r="N27">
            <v>21664.3820708967</v>
          </cell>
          <cell r="O27">
            <v>25340.668719847701</v>
          </cell>
          <cell r="P27">
            <v>28925.362244186828</v>
          </cell>
          <cell r="Q27">
            <v>33006.019506629927</v>
          </cell>
          <cell r="R27">
            <v>37694.997683798087</v>
          </cell>
          <cell r="S27">
            <v>41629.44711893957</v>
          </cell>
          <cell r="T27">
            <v>45566.688908823053</v>
          </cell>
          <cell r="U27">
            <v>49521.610770313993</v>
          </cell>
          <cell r="W27" t="str">
            <v>mstag:retainedEarnings</v>
          </cell>
          <cell r="X27">
            <v>6</v>
          </cell>
          <cell r="Y27" t="str">
            <v>ISO4217:EUR</v>
          </cell>
          <cell r="Z27" t="b">
            <v>0</v>
          </cell>
        </row>
        <row r="28">
          <cell r="A28" t="str">
            <v>Shareholders' funds</v>
          </cell>
          <cell r="B28">
            <v>11077</v>
          </cell>
          <cell r="C28">
            <v>12767</v>
          </cell>
          <cell r="D28">
            <v>16734</v>
          </cell>
          <cell r="E28">
            <v>16263</v>
          </cell>
          <cell r="F28">
            <v>18897</v>
          </cell>
          <cell r="G28">
            <v>18833</v>
          </cell>
          <cell r="H28">
            <v>19212</v>
          </cell>
          <cell r="I28">
            <v>18469</v>
          </cell>
          <cell r="J28">
            <v>19675</v>
          </cell>
          <cell r="K28">
            <v>20550.340396906231</v>
          </cell>
          <cell r="L28">
            <v>23558.369377370527</v>
          </cell>
          <cell r="M28">
            <v>26662.85378437542</v>
          </cell>
          <cell r="N28">
            <v>29948.3820708967</v>
          </cell>
          <cell r="O28">
            <v>33624.668719847701</v>
          </cell>
          <cell r="P28">
            <v>37209.362244186828</v>
          </cell>
          <cell r="Q28">
            <v>41290.019506629927</v>
          </cell>
          <cell r="R28">
            <v>45978.997683798087</v>
          </cell>
          <cell r="S28">
            <v>49913.44711893957</v>
          </cell>
          <cell r="T28">
            <v>53850.688908823053</v>
          </cell>
          <cell r="U28">
            <v>57805.610770313993</v>
          </cell>
        </row>
        <row r="30">
          <cell r="A30" t="str">
            <v>Minority Interest</v>
          </cell>
          <cell r="B30">
            <v>80</v>
          </cell>
          <cell r="C30">
            <v>84</v>
          </cell>
          <cell r="D30">
            <v>87</v>
          </cell>
          <cell r="E30">
            <v>77</v>
          </cell>
          <cell r="F30">
            <v>54</v>
          </cell>
          <cell r="G30">
            <v>63</v>
          </cell>
          <cell r="H30">
            <v>59</v>
          </cell>
          <cell r="I30">
            <v>100</v>
          </cell>
          <cell r="J30">
            <v>105</v>
          </cell>
          <cell r="K30">
            <v>150</v>
          </cell>
          <cell r="L30">
            <v>200</v>
          </cell>
          <cell r="M30">
            <v>250</v>
          </cell>
          <cell r="N30">
            <v>300</v>
          </cell>
          <cell r="O30">
            <v>350</v>
          </cell>
          <cell r="P30">
            <v>400</v>
          </cell>
          <cell r="Q30">
            <v>450</v>
          </cell>
          <cell r="R30">
            <v>500</v>
          </cell>
          <cell r="S30">
            <v>550</v>
          </cell>
          <cell r="T30">
            <v>600</v>
          </cell>
          <cell r="U30">
            <v>650</v>
          </cell>
          <cell r="W30" t="str">
            <v>mstag:minorityInterestsInShareholdersEquity</v>
          </cell>
          <cell r="X30">
            <v>6</v>
          </cell>
          <cell r="Y30" t="str">
            <v>ISO4217:EUR</v>
          </cell>
          <cell r="Z30" t="b">
            <v>0</v>
          </cell>
        </row>
        <row r="32">
          <cell r="A32" t="str">
            <v>Provision for pensions</v>
          </cell>
          <cell r="B32">
            <v>-7174</v>
          </cell>
          <cell r="C32">
            <v>-6543</v>
          </cell>
          <cell r="D32">
            <v>-5501</v>
          </cell>
          <cell r="E32">
            <v>-6347</v>
          </cell>
          <cell r="F32">
            <v>-6517</v>
          </cell>
          <cell r="G32">
            <v>-7305</v>
          </cell>
          <cell r="H32">
            <v>-7870</v>
          </cell>
          <cell r="I32">
            <v>-9373</v>
          </cell>
          <cell r="J32">
            <v>-9388</v>
          </cell>
          <cell r="K32">
            <v>-9617.743999999997</v>
          </cell>
          <cell r="L32">
            <v>-9869.1189319999976</v>
          </cell>
          <cell r="M32">
            <v>-10127.295555601995</v>
          </cell>
          <cell r="N32">
            <v>-10392.4486653726</v>
          </cell>
          <cell r="O32">
            <v>-10664.757170649566</v>
          </cell>
          <cell r="P32">
            <v>-10944.404176200876</v>
          </cell>
          <cell r="Q32">
            <v>-11231.577063704955</v>
          </cell>
          <cell r="R32">
            <v>-11526.467574017528</v>
          </cell>
          <cell r="S32">
            <v>-11829.271890187554</v>
          </cell>
          <cell r="T32">
            <v>-12140.190721181172</v>
          </cell>
          <cell r="U32">
            <v>-12459.429386269105</v>
          </cell>
          <cell r="W32" t="str">
            <v>mstag:pensionAndOtherPostRetirementObligations</v>
          </cell>
          <cell r="X32">
            <v>6</v>
          </cell>
          <cell r="Y32" t="str">
            <v>ISO4217:EUR</v>
          </cell>
          <cell r="Z32" t="b">
            <v>1</v>
          </cell>
        </row>
        <row r="33">
          <cell r="A33" t="str">
            <v>Other provisions</v>
          </cell>
          <cell r="B33">
            <v>-1340</v>
          </cell>
          <cell r="C33">
            <v>-1464</v>
          </cell>
          <cell r="D33">
            <v>-1166</v>
          </cell>
          <cell r="E33">
            <v>-1351</v>
          </cell>
          <cell r="F33">
            <v>-1516</v>
          </cell>
          <cell r="G33">
            <v>-1478</v>
          </cell>
          <cell r="H33">
            <v>-1649</v>
          </cell>
          <cell r="I33">
            <v>-1986</v>
          </cell>
          <cell r="J33">
            <v>-1890</v>
          </cell>
          <cell r="K33">
            <v>-1986</v>
          </cell>
          <cell r="L33">
            <v>-1986</v>
          </cell>
          <cell r="M33">
            <v>-1986</v>
          </cell>
          <cell r="N33">
            <v>-1986</v>
          </cell>
          <cell r="O33">
            <v>-1986</v>
          </cell>
          <cell r="P33">
            <v>-1986</v>
          </cell>
          <cell r="Q33">
            <v>-1986</v>
          </cell>
          <cell r="R33">
            <v>-1986</v>
          </cell>
          <cell r="S33">
            <v>-1986</v>
          </cell>
          <cell r="T33">
            <v>-1986</v>
          </cell>
          <cell r="U33">
            <v>-1986</v>
          </cell>
          <cell r="W33" t="str">
            <v>mstag:provisionsAndReserves</v>
          </cell>
          <cell r="X33">
            <v>6</v>
          </cell>
          <cell r="Y33" t="str">
            <v>ISO4217:EUR</v>
          </cell>
          <cell r="Z33" t="b">
            <v>1</v>
          </cell>
        </row>
        <row r="34">
          <cell r="A34" t="str">
            <v>Financial liabilities</v>
          </cell>
          <cell r="B34">
            <v>-7185</v>
          </cell>
          <cell r="C34">
            <v>-14723</v>
          </cell>
          <cell r="D34">
            <v>-13081</v>
          </cell>
          <cell r="E34">
            <v>-10614</v>
          </cell>
          <cell r="F34">
            <v>-11460</v>
          </cell>
          <cell r="G34">
            <v>-9944</v>
          </cell>
          <cell r="H34">
            <v>-7995</v>
          </cell>
          <cell r="I34">
            <v>-6962</v>
          </cell>
          <cell r="J34">
            <v>-6836</v>
          </cell>
          <cell r="K34">
            <v>-6962</v>
          </cell>
          <cell r="L34">
            <v>-6962</v>
          </cell>
          <cell r="M34">
            <v>-6962</v>
          </cell>
          <cell r="N34">
            <v>-6962</v>
          </cell>
          <cell r="O34">
            <v>-6962</v>
          </cell>
          <cell r="P34">
            <v>-6962</v>
          </cell>
          <cell r="Q34">
            <v>-6962</v>
          </cell>
          <cell r="R34">
            <v>-6962</v>
          </cell>
          <cell r="S34">
            <v>-6962</v>
          </cell>
          <cell r="T34">
            <v>-6962</v>
          </cell>
          <cell r="U34">
            <v>-6962</v>
          </cell>
          <cell r="W34" t="str">
            <v>mstag:longTermDebt</v>
          </cell>
          <cell r="X34">
            <v>6</v>
          </cell>
          <cell r="Y34" t="str">
            <v>ISO4217:EUR</v>
          </cell>
          <cell r="Z34" t="b">
            <v>1</v>
          </cell>
        </row>
        <row r="35">
          <cell r="A35" t="str">
            <v>Other long term liabilities</v>
          </cell>
          <cell r="B35">
            <v>-516</v>
          </cell>
          <cell r="C35">
            <v>-449</v>
          </cell>
          <cell r="D35">
            <v>-331</v>
          </cell>
          <cell r="E35">
            <v>-432</v>
          </cell>
          <cell r="F35">
            <v>-415</v>
          </cell>
          <cell r="G35">
            <v>-471</v>
          </cell>
          <cell r="H35">
            <v>-474</v>
          </cell>
          <cell r="I35">
            <v>-409</v>
          </cell>
          <cell r="J35">
            <v>-374</v>
          </cell>
          <cell r="K35">
            <v>-409</v>
          </cell>
          <cell r="L35">
            <v>-409</v>
          </cell>
          <cell r="M35">
            <v>-409</v>
          </cell>
          <cell r="N35">
            <v>-409</v>
          </cell>
          <cell r="O35">
            <v>-409</v>
          </cell>
          <cell r="P35">
            <v>-409</v>
          </cell>
          <cell r="Q35">
            <v>-409</v>
          </cell>
          <cell r="R35">
            <v>-409</v>
          </cell>
          <cell r="S35">
            <v>-409</v>
          </cell>
          <cell r="T35">
            <v>-409</v>
          </cell>
          <cell r="U35">
            <v>-409</v>
          </cell>
          <cell r="W35" t="str">
            <v>mstag:otherLiabilitiesNonOperatingNonCurrent</v>
          </cell>
          <cell r="X35">
            <v>6</v>
          </cell>
          <cell r="Y35" t="str">
            <v>ISO4217:EUR</v>
          </cell>
          <cell r="Z35" t="b">
            <v>1</v>
          </cell>
        </row>
        <row r="36">
          <cell r="A36" t="str">
            <v>Deferred tax liabilities</v>
          </cell>
          <cell r="B36">
            <v>-280</v>
          </cell>
          <cell r="C36">
            <v>-4346</v>
          </cell>
          <cell r="D36">
            <v>-3866</v>
          </cell>
          <cell r="E36">
            <v>-3592</v>
          </cell>
          <cell r="F36">
            <v>-3210</v>
          </cell>
          <cell r="G36">
            <v>-2577</v>
          </cell>
          <cell r="H36">
            <v>-2116</v>
          </cell>
          <cell r="I36">
            <v>-938</v>
          </cell>
          <cell r="J36">
            <v>-829</v>
          </cell>
          <cell r="K36">
            <v>-938</v>
          </cell>
          <cell r="L36">
            <v>-938</v>
          </cell>
          <cell r="M36">
            <v>-938</v>
          </cell>
          <cell r="N36">
            <v>-938</v>
          </cell>
          <cell r="O36">
            <v>-938</v>
          </cell>
          <cell r="P36">
            <v>-938</v>
          </cell>
          <cell r="Q36">
            <v>-938</v>
          </cell>
          <cell r="R36">
            <v>-938</v>
          </cell>
          <cell r="S36">
            <v>-938</v>
          </cell>
          <cell r="T36">
            <v>-938</v>
          </cell>
          <cell r="U36">
            <v>-938</v>
          </cell>
          <cell r="W36" t="str">
            <v>mstag:deferredTaxLiabilitiesNonCurrent</v>
          </cell>
          <cell r="X36">
            <v>6</v>
          </cell>
          <cell r="Y36" t="str">
            <v>ISO4217:EUR</v>
          </cell>
          <cell r="Z36" t="b">
            <v>1</v>
          </cell>
        </row>
        <row r="37">
          <cell r="A37" t="str">
            <v>Total non-current liabilities</v>
          </cell>
          <cell r="B37">
            <v>-16495</v>
          </cell>
          <cell r="C37">
            <v>-27525</v>
          </cell>
          <cell r="D37">
            <v>-23945</v>
          </cell>
          <cell r="E37">
            <v>-22336</v>
          </cell>
          <cell r="F37">
            <v>-23118</v>
          </cell>
          <cell r="G37">
            <v>-21775</v>
          </cell>
          <cell r="H37">
            <v>-20104</v>
          </cell>
          <cell r="I37">
            <v>-19668</v>
          </cell>
          <cell r="J37">
            <v>-19317</v>
          </cell>
          <cell r="K37">
            <v>-19912.743999999999</v>
          </cell>
          <cell r="L37">
            <v>-20164.118931999998</v>
          </cell>
          <cell r="M37">
            <v>-20422.295555601995</v>
          </cell>
          <cell r="N37">
            <v>-20687.448665372598</v>
          </cell>
          <cell r="O37">
            <v>-20959.757170649566</v>
          </cell>
          <cell r="P37">
            <v>-21239.404176200878</v>
          </cell>
          <cell r="Q37">
            <v>-21526.577063704957</v>
          </cell>
          <cell r="R37">
            <v>-21821.46757401753</v>
          </cell>
          <cell r="S37">
            <v>-22124.271890187556</v>
          </cell>
          <cell r="T37">
            <v>-22435.19072118117</v>
          </cell>
          <cell r="U37">
            <v>-22754.429386269105</v>
          </cell>
        </row>
        <row r="39">
          <cell r="A39" t="str">
            <v>Other provisions</v>
          </cell>
          <cell r="B39">
            <v>-3009</v>
          </cell>
          <cell r="C39">
            <v>-3765</v>
          </cell>
          <cell r="D39">
            <v>-3754</v>
          </cell>
          <cell r="E39">
            <v>-3163</v>
          </cell>
          <cell r="F39">
            <v>-3089</v>
          </cell>
          <cell r="G39">
            <v>-3870</v>
          </cell>
          <cell r="H39">
            <v>-4218</v>
          </cell>
          <cell r="I39">
            <v>-4844</v>
          </cell>
          <cell r="J39">
            <v>-5661</v>
          </cell>
          <cell r="K39">
            <v>-4844</v>
          </cell>
          <cell r="L39">
            <v>-4844</v>
          </cell>
          <cell r="M39">
            <v>-4844</v>
          </cell>
          <cell r="N39">
            <v>-4844</v>
          </cell>
          <cell r="O39">
            <v>-4844</v>
          </cell>
          <cell r="P39">
            <v>-4844</v>
          </cell>
          <cell r="Q39">
            <v>-4844</v>
          </cell>
          <cell r="R39">
            <v>-4844</v>
          </cell>
          <cell r="S39">
            <v>-4844</v>
          </cell>
          <cell r="T39">
            <v>-4844</v>
          </cell>
          <cell r="U39">
            <v>-4844</v>
          </cell>
          <cell r="W39" t="str">
            <v>mstag:provisionsAndReserves</v>
          </cell>
          <cell r="X39">
            <v>6</v>
          </cell>
          <cell r="Y39" t="str">
            <v>ISO4217:EUR</v>
          </cell>
          <cell r="Z39" t="b">
            <v>1</v>
          </cell>
        </row>
        <row r="40">
          <cell r="A40" t="str">
            <v>Financial liabilities</v>
          </cell>
          <cell r="B40">
            <v>-1767</v>
          </cell>
          <cell r="C40">
            <v>-5078</v>
          </cell>
          <cell r="D40">
            <v>-1336</v>
          </cell>
          <cell r="E40">
            <v>-6256</v>
          </cell>
          <cell r="F40">
            <v>-1489</v>
          </cell>
          <cell r="G40">
            <v>-1889</v>
          </cell>
          <cell r="H40">
            <v>-3684</v>
          </cell>
          <cell r="I40">
            <v>-2570</v>
          </cell>
          <cell r="J40">
            <v>-2716</v>
          </cell>
          <cell r="K40">
            <v>-2570</v>
          </cell>
          <cell r="L40">
            <v>-2570</v>
          </cell>
          <cell r="M40">
            <v>-2570</v>
          </cell>
          <cell r="N40">
            <v>-2570</v>
          </cell>
          <cell r="O40">
            <v>-2570</v>
          </cell>
          <cell r="P40">
            <v>-2570</v>
          </cell>
          <cell r="Q40">
            <v>-2570</v>
          </cell>
          <cell r="R40">
            <v>-2570</v>
          </cell>
          <cell r="S40">
            <v>-2570</v>
          </cell>
          <cell r="T40">
            <v>-2570</v>
          </cell>
          <cell r="U40">
            <v>-2570</v>
          </cell>
          <cell r="W40" t="str">
            <v>mstag:shortTermBorrowings</v>
          </cell>
          <cell r="X40">
            <v>6</v>
          </cell>
          <cell r="Y40" t="str">
            <v>ISO4217:EUR</v>
          </cell>
          <cell r="Z40" t="b">
            <v>1</v>
          </cell>
        </row>
        <row r="41">
          <cell r="A41" t="str">
            <v>Trade payables</v>
          </cell>
          <cell r="B41">
            <v>-1974</v>
          </cell>
          <cell r="C41">
            <v>-2375</v>
          </cell>
          <cell r="D41">
            <v>-2466</v>
          </cell>
          <cell r="E41">
            <v>-2377</v>
          </cell>
          <cell r="F41">
            <v>-2735</v>
          </cell>
          <cell r="G41">
            <v>-3497</v>
          </cell>
          <cell r="H41">
            <v>-3779</v>
          </cell>
          <cell r="I41">
            <v>-4295</v>
          </cell>
          <cell r="J41">
            <v>-3861</v>
          </cell>
          <cell r="K41">
            <v>-4450.0250925674436</v>
          </cell>
          <cell r="L41">
            <v>-4902.7081852119045</v>
          </cell>
          <cell r="M41">
            <v>-5147.1903704083834</v>
          </cell>
          <cell r="N41">
            <v>-5393.123197979241</v>
          </cell>
          <cell r="O41">
            <v>-5675.1419899708362</v>
          </cell>
          <cell r="P41">
            <v>-5844.7982606494188</v>
          </cell>
          <cell r="Q41">
            <v>-6065.6651364569416</v>
          </cell>
          <cell r="R41">
            <v>-6328.888644804807</v>
          </cell>
          <cell r="S41">
            <v>-6363.865240351166</v>
          </cell>
          <cell r="T41">
            <v>-6467.8333350347084</v>
          </cell>
          <cell r="U41">
            <v>-6606.2748828909262</v>
          </cell>
          <cell r="V41" t="str">
            <v>Linked to Schedule below</v>
          </cell>
          <cell r="W41" t="str">
            <v>mstag:tradePayablesCurrent</v>
          </cell>
          <cell r="X41">
            <v>6</v>
          </cell>
          <cell r="Y41" t="str">
            <v>ISO4217:EUR</v>
          </cell>
          <cell r="Z41" t="b">
            <v>1</v>
          </cell>
          <cell r="AA41" t="b">
            <v>0</v>
          </cell>
        </row>
        <row r="42">
          <cell r="A42" t="str">
            <v>Income tax liabilities</v>
          </cell>
          <cell r="B42">
            <v>-304</v>
          </cell>
          <cell r="C42">
            <v>-109</v>
          </cell>
          <cell r="D42">
            <v>-56</v>
          </cell>
          <cell r="E42">
            <v>-65</v>
          </cell>
          <cell r="F42">
            <v>-93</v>
          </cell>
          <cell r="G42">
            <v>-62</v>
          </cell>
          <cell r="H42">
            <v>-76</v>
          </cell>
          <cell r="I42">
            <v>-72</v>
          </cell>
          <cell r="J42">
            <v>-85</v>
          </cell>
          <cell r="K42">
            <v>-72</v>
          </cell>
          <cell r="L42">
            <v>-72</v>
          </cell>
          <cell r="M42">
            <v>-72</v>
          </cell>
          <cell r="N42">
            <v>-72</v>
          </cell>
          <cell r="O42">
            <v>-72</v>
          </cell>
          <cell r="P42">
            <v>-72</v>
          </cell>
          <cell r="Q42">
            <v>-72</v>
          </cell>
          <cell r="R42">
            <v>-72</v>
          </cell>
          <cell r="S42">
            <v>-72</v>
          </cell>
          <cell r="T42">
            <v>-72</v>
          </cell>
          <cell r="U42">
            <v>-72</v>
          </cell>
          <cell r="W42" t="str">
            <v>mstag:incomeTaxPayable</v>
          </cell>
          <cell r="X42">
            <v>6</v>
          </cell>
          <cell r="Y42" t="str">
            <v>ISO4217:EUR</v>
          </cell>
          <cell r="Z42" t="b">
            <v>1</v>
          </cell>
        </row>
        <row r="43">
          <cell r="A43" t="str">
            <v>Other liabilities</v>
          </cell>
          <cell r="B43">
            <v>-2016</v>
          </cell>
          <cell r="C43">
            <v>-3340</v>
          </cell>
          <cell r="D43">
            <v>-2824</v>
          </cell>
          <cell r="E43">
            <v>-1961</v>
          </cell>
          <cell r="F43">
            <v>-1567</v>
          </cell>
          <cell r="G43">
            <v>-1517</v>
          </cell>
          <cell r="H43">
            <v>-1630</v>
          </cell>
          <cell r="I43">
            <v>-1318</v>
          </cell>
          <cell r="J43">
            <v>-1450</v>
          </cell>
          <cell r="K43">
            <v>-1318</v>
          </cell>
          <cell r="L43">
            <v>-1318</v>
          </cell>
          <cell r="M43">
            <v>-1318</v>
          </cell>
          <cell r="N43">
            <v>-1318</v>
          </cell>
          <cell r="O43">
            <v>-1318</v>
          </cell>
          <cell r="P43">
            <v>-1318</v>
          </cell>
          <cell r="Q43">
            <v>-1318</v>
          </cell>
          <cell r="R43">
            <v>-1318</v>
          </cell>
          <cell r="S43">
            <v>-1318</v>
          </cell>
          <cell r="T43">
            <v>-1318</v>
          </cell>
          <cell r="U43">
            <v>-1318</v>
          </cell>
          <cell r="W43" t="str">
            <v>mstag:otherLiabilitiesOperatingCurrent</v>
          </cell>
          <cell r="X43">
            <v>6</v>
          </cell>
          <cell r="Y43" t="str">
            <v>ISO4217:EUR</v>
          </cell>
          <cell r="Z43" t="b">
            <v>1</v>
          </cell>
        </row>
        <row r="44">
          <cell r="A44" t="str">
            <v>Liabilities held for sales &amp; disc ops</v>
          </cell>
          <cell r="B44">
            <v>0</v>
          </cell>
          <cell r="C44">
            <v>-848</v>
          </cell>
          <cell r="D44">
            <v>-176</v>
          </cell>
          <cell r="E44">
            <v>-13</v>
          </cell>
          <cell r="F44">
            <v>0</v>
          </cell>
          <cell r="G44">
            <v>0</v>
          </cell>
          <cell r="H44">
            <v>-3</v>
          </cell>
          <cell r="I44">
            <v>0</v>
          </cell>
          <cell r="K44">
            <v>0</v>
          </cell>
          <cell r="L44">
            <v>0</v>
          </cell>
          <cell r="M44">
            <v>0</v>
          </cell>
          <cell r="N44">
            <v>0</v>
          </cell>
          <cell r="O44">
            <v>0</v>
          </cell>
          <cell r="P44">
            <v>0</v>
          </cell>
          <cell r="Q44">
            <v>0</v>
          </cell>
          <cell r="R44">
            <v>0</v>
          </cell>
          <cell r="S44">
            <v>0</v>
          </cell>
          <cell r="T44">
            <v>0</v>
          </cell>
          <cell r="U44">
            <v>0</v>
          </cell>
          <cell r="W44" t="str">
            <v>mstag:liabilitiesOfDiscontinuedOperations</v>
          </cell>
          <cell r="X44">
            <v>6</v>
          </cell>
          <cell r="Y44" t="str">
            <v>ISO4217:EUR</v>
          </cell>
          <cell r="Z44" t="b">
            <v>1</v>
          </cell>
        </row>
        <row r="45">
          <cell r="A45" t="str">
            <v>Total current liabilities</v>
          </cell>
          <cell r="B45">
            <v>-9070</v>
          </cell>
          <cell r="C45">
            <v>-15515</v>
          </cell>
          <cell r="D45">
            <v>-10612</v>
          </cell>
          <cell r="E45">
            <v>-13835</v>
          </cell>
          <cell r="F45">
            <v>-8973</v>
          </cell>
          <cell r="G45">
            <v>-10835</v>
          </cell>
          <cell r="H45">
            <v>-13390</v>
          </cell>
          <cell r="I45">
            <v>-13099</v>
          </cell>
          <cell r="J45">
            <v>-13773</v>
          </cell>
          <cell r="K45">
            <v>-13254.025092567445</v>
          </cell>
          <cell r="L45">
            <v>-13706.708185211904</v>
          </cell>
          <cell r="M45">
            <v>-13951.190370408383</v>
          </cell>
          <cell r="N45">
            <v>-14197.123197979241</v>
          </cell>
          <cell r="O45">
            <v>-14479.141989970836</v>
          </cell>
          <cell r="P45">
            <v>-14648.798260649419</v>
          </cell>
          <cell r="Q45">
            <v>-14869.665136456941</v>
          </cell>
          <cell r="R45">
            <v>-15132.888644804807</v>
          </cell>
          <cell r="S45">
            <v>-15167.865240351166</v>
          </cell>
          <cell r="T45">
            <v>-15271.833335034709</v>
          </cell>
          <cell r="U45">
            <v>-15410.274882890926</v>
          </cell>
        </row>
        <row r="47">
          <cell r="A47" t="str">
            <v>Total equity and liabilities</v>
          </cell>
          <cell r="B47">
            <v>36722</v>
          </cell>
          <cell r="C47">
            <v>55891</v>
          </cell>
          <cell r="D47">
            <v>51378</v>
          </cell>
          <cell r="E47">
            <v>52511</v>
          </cell>
          <cell r="F47">
            <v>51042</v>
          </cell>
          <cell r="G47">
            <v>51506</v>
          </cell>
          <cell r="H47">
            <v>52765</v>
          </cell>
          <cell r="I47">
            <v>51336</v>
          </cell>
          <cell r="J47">
            <v>52870</v>
          </cell>
          <cell r="K47">
            <v>53867.109489473674</v>
          </cell>
          <cell r="L47">
            <v>57629.196494582429</v>
          </cell>
          <cell r="M47">
            <v>61286.339710385801</v>
          </cell>
          <cell r="N47">
            <v>65132.953934248537</v>
          </cell>
          <cell r="O47">
            <v>69413.567880468094</v>
          </cell>
          <cell r="P47">
            <v>73497.564681037125</v>
          </cell>
          <cell r="Q47">
            <v>78136.261706791818</v>
          </cell>
          <cell r="R47">
            <v>83433.353902620423</v>
          </cell>
          <cell r="S47">
            <v>87755.584249478299</v>
          </cell>
          <cell r="T47">
            <v>92157.712965038925</v>
          </cell>
          <cell r="U47">
            <v>96620.315039474022</v>
          </cell>
        </row>
        <row r="48">
          <cell r="B48">
            <v>0</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row>
        <row r="49">
          <cell r="A49" t="str">
            <v>Notes:</v>
          </cell>
        </row>
        <row r="50">
          <cell r="A50" t="str">
            <v>E= Morgan Stanley Research Estimates</v>
          </cell>
        </row>
        <row r="51">
          <cell r="A51" t="str">
            <v>Source: Morgan Stanley Research</v>
          </cell>
        </row>
        <row r="55">
          <cell r="A55" t="str">
            <v>FIGURES FOR WORKINGS</v>
          </cell>
        </row>
        <row r="56">
          <cell r="A56" t="str">
            <v>Sales</v>
          </cell>
          <cell r="B56">
            <v>25395</v>
          </cell>
          <cell r="C56">
            <v>29670</v>
          </cell>
          <cell r="D56">
            <v>33048</v>
          </cell>
          <cell r="E56">
            <v>32918</v>
          </cell>
          <cell r="F56">
            <v>31168</v>
          </cell>
          <cell r="G56">
            <v>35088</v>
          </cell>
          <cell r="H56">
            <v>36528</v>
          </cell>
          <cell r="I56">
            <v>39760</v>
          </cell>
          <cell r="K56">
            <v>41195.110053662756</v>
          </cell>
          <cell r="L56">
            <v>45385.722338539068</v>
          </cell>
          <cell r="M56">
            <v>47648.961380078537</v>
          </cell>
          <cell r="N56">
            <v>49925.629418313059</v>
          </cell>
          <cell r="O56">
            <v>52536.355185387758</v>
          </cell>
          <cell r="P56">
            <v>54106.910091599741</v>
          </cell>
          <cell r="Q56">
            <v>56151.535698609536</v>
          </cell>
          <cell r="R56">
            <v>58588.268339333903</v>
          </cell>
          <cell r="S56">
            <v>58912.056334426619</v>
          </cell>
          <cell r="T56">
            <v>59874.517671939459</v>
          </cell>
          <cell r="U56">
            <v>61156.109276773728</v>
          </cell>
        </row>
        <row r="57">
          <cell r="A57" t="str">
            <v>Sales Growth</v>
          </cell>
          <cell r="C57">
            <v>0.1683402244536325</v>
          </cell>
          <cell r="D57">
            <v>0.11385237613751253</v>
          </cell>
          <cell r="E57">
            <v>-3.9336722343258357E-3</v>
          </cell>
          <cell r="F57">
            <v>-5.3162403548210668E-2</v>
          </cell>
          <cell r="G57">
            <v>0.12577002053388098</v>
          </cell>
          <cell r="H57">
            <v>4.1039671682626455E-2</v>
          </cell>
          <cell r="I57">
            <v>8.8480070083223783E-2</v>
          </cell>
          <cell r="K57">
            <v>3.6094317245039198E-2</v>
          </cell>
          <cell r="L57">
            <v>0.10172596406266221</v>
          </cell>
          <cell r="M57">
            <v>4.9866762605597081E-2</v>
          </cell>
          <cell r="N57">
            <v>4.778001392463449E-2</v>
          </cell>
          <cell r="O57">
            <v>5.2292295510190767E-2</v>
          </cell>
          <cell r="P57">
            <v>2.9894630121748644E-2</v>
          </cell>
          <cell r="Q57">
            <v>3.7788622627837443E-2</v>
          </cell>
          <cell r="R57">
            <v>4.3395654462656363E-2</v>
          </cell>
          <cell r="S57">
            <v>5.526498807191027E-3</v>
          </cell>
          <cell r="T57">
            <v>1.63372558589574E-2</v>
          </cell>
          <cell r="U57">
            <v>2.1404625117087184E-2</v>
          </cell>
        </row>
        <row r="58">
          <cell r="A58" t="str">
            <v>Cost of Goods Sold</v>
          </cell>
          <cell r="B58">
            <v>-13412</v>
          </cell>
          <cell r="C58">
            <v>-15275</v>
          </cell>
          <cell r="D58">
            <v>-16352</v>
          </cell>
          <cell r="E58">
            <v>-16456</v>
          </cell>
          <cell r="F58">
            <v>-15135</v>
          </cell>
          <cell r="G58">
            <v>-17103</v>
          </cell>
          <cell r="H58">
            <v>-17975</v>
          </cell>
          <cell r="I58">
            <v>-19059</v>
          </cell>
          <cell r="K58">
            <v>-19904.880406421165</v>
          </cell>
          <cell r="L58">
            <v>-21779.322091009144</v>
          </cell>
          <cell r="M58">
            <v>-22840.65672976042</v>
          </cell>
          <cell r="N58">
            <v>-23787.855612232401</v>
          </cell>
          <cell r="O58">
            <v>-24690.095691316656</v>
          </cell>
          <cell r="P58">
            <v>-25579.275679083992</v>
          </cell>
          <cell r="Q58">
            <v>-26486.699737181978</v>
          </cell>
          <cell r="R58">
            <v>-27266.523556486904</v>
          </cell>
          <cell r="S58">
            <v>-27837.386077474956</v>
          </cell>
          <cell r="T58">
            <v>-28456.901267358717</v>
          </cell>
          <cell r="U58">
            <v>-29155.8230815315</v>
          </cell>
        </row>
        <row r="59">
          <cell r="A59" t="str">
            <v>Cost of Goods Sold Growth</v>
          </cell>
        </row>
        <row r="60">
          <cell r="A60" t="str">
            <v>SG&amp;A</v>
          </cell>
          <cell r="B60">
            <v>-6554</v>
          </cell>
          <cell r="C60">
            <v>-8133</v>
          </cell>
          <cell r="D60">
            <v>-9554</v>
          </cell>
          <cell r="E60">
            <v>-9754</v>
          </cell>
          <cell r="F60">
            <v>-9546</v>
          </cell>
          <cell r="G60">
            <v>-10450</v>
          </cell>
          <cell r="H60">
            <v>-10671</v>
          </cell>
          <cell r="I60">
            <v>-11853</v>
          </cell>
          <cell r="K60">
            <v>-10592.943681787849</v>
          </cell>
          <cell r="L60">
            <v>-11499.211897373445</v>
          </cell>
          <cell r="M60">
            <v>-11793.159119633592</v>
          </cell>
          <cell r="N60">
            <v>-12618.003844650573</v>
          </cell>
          <cell r="O60">
            <v>-14028.412229493775</v>
          </cell>
          <cell r="P60">
            <v>-14176.708682674096</v>
          </cell>
          <cell r="Q60">
            <v>-14574.948238922992</v>
          </cell>
          <cell r="R60">
            <v>-15834.254027467754</v>
          </cell>
          <cell r="S60">
            <v>-15602.676235857376</v>
          </cell>
          <cell r="T60">
            <v>-15842.723215252259</v>
          </cell>
          <cell r="U60">
            <v>-16228.477950284869</v>
          </cell>
        </row>
        <row r="61">
          <cell r="A61" t="str">
            <v>SG&amp;A Growth</v>
          </cell>
          <cell r="C61">
            <v>0.24092157461092456</v>
          </cell>
          <cell r="D61">
            <v>0.17472027542112389</v>
          </cell>
          <cell r="E61">
            <v>2.0933640360058625E-2</v>
          </cell>
          <cell r="F61">
            <v>-2.1324584785728962E-2</v>
          </cell>
          <cell r="G61">
            <v>9.4699350513304026E-2</v>
          </cell>
          <cell r="H61">
            <v>2.1148325358851583E-2</v>
          </cell>
          <cell r="I61">
            <v>0.11076750070283947</v>
          </cell>
          <cell r="K61">
            <v>-0.10630695336304319</v>
          </cell>
          <cell r="L61">
            <v>8.5553953915918468E-2</v>
          </cell>
          <cell r="M61">
            <v>2.5562379829463522E-2</v>
          </cell>
          <cell r="N61">
            <v>6.9942643582562747E-2</v>
          </cell>
          <cell r="O61">
            <v>0.11177745721175603</v>
          </cell>
          <cell r="P61">
            <v>1.0571150230995974E-2</v>
          </cell>
          <cell r="Q61">
            <v>2.8091115163817904E-2</v>
          </cell>
          <cell r="R61">
            <v>8.6402076213329737E-2</v>
          </cell>
          <cell r="S61">
            <v>-1.4625115348576467E-2</v>
          </cell>
          <cell r="T61">
            <v>1.538498753458839E-2</v>
          </cell>
          <cell r="U61">
            <v>2.434901688247848E-2</v>
          </cell>
        </row>
        <row r="62">
          <cell r="A62" t="str">
            <v>EBIT</v>
          </cell>
          <cell r="B62">
            <v>3208</v>
          </cell>
          <cell r="C62">
            <v>3362</v>
          </cell>
          <cell r="D62">
            <v>3686</v>
          </cell>
          <cell r="E62">
            <v>3544</v>
          </cell>
          <cell r="F62">
            <v>3006</v>
          </cell>
          <cell r="G62">
            <v>2730</v>
          </cell>
          <cell r="H62">
            <v>4149</v>
          </cell>
          <cell r="I62">
            <v>3960</v>
          </cell>
          <cell r="K62">
            <v>5747.7936164217608</v>
          </cell>
          <cell r="L62">
            <v>7033.5404178260505</v>
          </cell>
          <cell r="M62">
            <v>7564.5147365065204</v>
          </cell>
          <cell r="N62">
            <v>7840.6819881239498</v>
          </cell>
          <cell r="O62">
            <v>8328.6560881829246</v>
          </cell>
          <cell r="P62">
            <v>8370.9997478753758</v>
          </cell>
          <cell r="Q62">
            <v>8998.6693925551754</v>
          </cell>
          <cell r="R62">
            <v>9982.7839380969563</v>
          </cell>
          <cell r="S62">
            <v>9245.6150580907579</v>
          </cell>
          <cell r="T62">
            <v>9056.4546070293691</v>
          </cell>
          <cell r="U62">
            <v>9037.4044527970054</v>
          </cell>
        </row>
        <row r="63">
          <cell r="A63" t="str">
            <v>EBIT Growth</v>
          </cell>
          <cell r="C63">
            <v>4.8004987531172105E-2</v>
          </cell>
          <cell r="D63">
            <v>9.637120761451512E-2</v>
          </cell>
          <cell r="E63">
            <v>-3.8524145415084088E-2</v>
          </cell>
          <cell r="F63">
            <v>-0.15180586907449212</v>
          </cell>
          <cell r="G63">
            <v>-9.1816367265469045E-2</v>
          </cell>
          <cell r="H63">
            <v>0.51978021978021971</v>
          </cell>
          <cell r="I63">
            <v>-4.5553145336225564E-2</v>
          </cell>
          <cell r="K63">
            <v>0.45146303444993952</v>
          </cell>
          <cell r="L63">
            <v>0.22369397497690957</v>
          </cell>
          <cell r="M63">
            <v>7.5491756233425411E-2</v>
          </cell>
          <cell r="N63">
            <v>3.6508257467546379E-2</v>
          </cell>
          <cell r="O63">
            <v>6.2236180576905831E-2</v>
          </cell>
          <cell r="P63">
            <v>5.0840927088502408E-3</v>
          </cell>
          <cell r="Q63">
            <v>7.4981443505491407E-2</v>
          </cell>
          <cell r="R63">
            <v>0.10936222930425288</v>
          </cell>
          <cell r="S63">
            <v>-7.3844018319675908E-2</v>
          </cell>
          <cell r="T63">
            <v>-2.0459477262776193E-2</v>
          </cell>
          <cell r="U63">
            <v>-2.10348917528691E-3</v>
          </cell>
        </row>
        <row r="64">
          <cell r="A64" t="str">
            <v>Net Income</v>
          </cell>
          <cell r="B64">
            <v>2070</v>
          </cell>
          <cell r="C64">
            <v>2114</v>
          </cell>
          <cell r="D64">
            <v>2833</v>
          </cell>
          <cell r="E64">
            <v>1715</v>
          </cell>
          <cell r="F64">
            <v>1359</v>
          </cell>
          <cell r="G64">
            <v>1301</v>
          </cell>
          <cell r="H64">
            <v>2470</v>
          </cell>
          <cell r="I64">
            <v>2446</v>
          </cell>
          <cell r="K64">
            <v>3652.5412321062322</v>
          </cell>
          <cell r="L64">
            <v>4652.9108749942916</v>
          </cell>
          <cell r="M64">
            <v>5062.4883064714513</v>
          </cell>
          <cell r="N64">
            <v>5399.0934197078222</v>
          </cell>
          <cell r="O64">
            <v>5920.1868903562081</v>
          </cell>
          <cell r="P64">
            <v>6023.824452278619</v>
          </cell>
          <cell r="Q64">
            <v>6569.6396380615115</v>
          </cell>
          <cell r="R64">
            <v>7383.3392558631604</v>
          </cell>
          <cell r="S64">
            <v>6928.75038607853</v>
          </cell>
          <cell r="T64">
            <v>6788.7716522931023</v>
          </cell>
          <cell r="U64">
            <v>6774.6745381611527</v>
          </cell>
        </row>
        <row r="65">
          <cell r="A65" t="str">
            <v>Dividends</v>
          </cell>
          <cell r="B65">
            <v>-402</v>
          </cell>
          <cell r="C65">
            <v>-694</v>
          </cell>
          <cell r="D65">
            <v>-764</v>
          </cell>
          <cell r="E65">
            <v>-1032</v>
          </cell>
          <cell r="F65">
            <v>-1070</v>
          </cell>
          <cell r="G65">
            <v>-1157.7269311999999</v>
          </cell>
          <cell r="H65">
            <v>-1240.4217120000001</v>
          </cell>
          <cell r="I65">
            <v>-1364.4638832000001</v>
          </cell>
          <cell r="K65">
            <v>-1571.2008352</v>
          </cell>
          <cell r="L65">
            <v>-1644.8818945299956</v>
          </cell>
          <cell r="M65">
            <v>-1958.0038994665597</v>
          </cell>
          <cell r="N65">
            <v>-2113.5651331865415</v>
          </cell>
          <cell r="O65">
            <v>-2243.9002414052084</v>
          </cell>
          <cell r="P65">
            <v>-2439.1309279394918</v>
          </cell>
          <cell r="Q65">
            <v>-2488.9823756184132</v>
          </cell>
          <cell r="R65">
            <v>-2694.3610786949998</v>
          </cell>
          <cell r="S65">
            <v>-2994.300950937049</v>
          </cell>
          <cell r="T65">
            <v>-2851.529862409619</v>
          </cell>
          <cell r="U65">
            <v>-2819.7526766702094</v>
          </cell>
          <cell r="W65" t="str">
            <v>mstag:commonDividends</v>
          </cell>
          <cell r="X65">
            <v>6</v>
          </cell>
          <cell r="Y65" t="str">
            <v>ISO4217:EUR</v>
          </cell>
          <cell r="Z65" t="b">
            <v>1</v>
          </cell>
        </row>
        <row r="66">
          <cell r="A66" t="str">
            <v>Share Repurchases/Other</v>
          </cell>
          <cell r="B66">
            <v>0</v>
          </cell>
          <cell r="C66">
            <v>0</v>
          </cell>
          <cell r="D66">
            <v>0</v>
          </cell>
          <cell r="E66">
            <v>0</v>
          </cell>
          <cell r="F66">
            <v>0</v>
          </cell>
          <cell r="G66">
            <v>0</v>
          </cell>
          <cell r="H66">
            <v>0</v>
          </cell>
          <cell r="I66">
            <v>0</v>
          </cell>
          <cell r="K66">
            <v>0</v>
          </cell>
          <cell r="L66">
            <v>0</v>
          </cell>
          <cell r="M66">
            <v>0</v>
          </cell>
          <cell r="N66">
            <v>0</v>
          </cell>
          <cell r="O66">
            <v>0</v>
          </cell>
          <cell r="P66">
            <v>0</v>
          </cell>
          <cell r="Q66">
            <v>0</v>
          </cell>
          <cell r="R66">
            <v>0</v>
          </cell>
          <cell r="S66">
            <v>0</v>
          </cell>
          <cell r="T66">
            <v>0</v>
          </cell>
          <cell r="U66">
            <v>0</v>
          </cell>
        </row>
        <row r="67">
          <cell r="A67" t="str">
            <v>Retained Earnings</v>
          </cell>
          <cell r="B67">
            <v>1668</v>
          </cell>
          <cell r="C67">
            <v>1420</v>
          </cell>
          <cell r="D67">
            <v>2069</v>
          </cell>
          <cell r="E67">
            <v>683</v>
          </cell>
          <cell r="F67">
            <v>289</v>
          </cell>
          <cell r="G67">
            <v>143.27306880000015</v>
          </cell>
          <cell r="H67">
            <v>1229.5782879999999</v>
          </cell>
          <cell r="I67">
            <v>1081.5361167999999</v>
          </cell>
          <cell r="K67">
            <v>2081.3403969062319</v>
          </cell>
          <cell r="L67">
            <v>3008.0289804642962</v>
          </cell>
          <cell r="M67">
            <v>3104.4844070048916</v>
          </cell>
          <cell r="N67">
            <v>3285.5282865212807</v>
          </cell>
          <cell r="O67">
            <v>3676.2866489509997</v>
          </cell>
          <cell r="P67">
            <v>3584.6935243391272</v>
          </cell>
          <cell r="Q67">
            <v>4080.6572624430983</v>
          </cell>
          <cell r="R67">
            <v>4688.978177168161</v>
          </cell>
          <cell r="S67">
            <v>3934.449435141481</v>
          </cell>
          <cell r="T67">
            <v>3937.2417898834833</v>
          </cell>
          <cell r="U67">
            <v>3954.9218614909432</v>
          </cell>
        </row>
        <row r="68">
          <cell r="A68" t="str">
            <v>Growth in Capex on Tangibles</v>
          </cell>
          <cell r="C68">
            <v>0.23529411764705888</v>
          </cell>
          <cell r="D68">
            <v>-1.0025062656641603E-2</v>
          </cell>
          <cell r="E68">
            <v>6.7088607594936622E-2</v>
          </cell>
          <cell r="F68">
            <v>-0.2040332147093713</v>
          </cell>
          <cell r="G68">
            <v>-9.6870342771982143E-2</v>
          </cell>
          <cell r="H68">
            <v>1.650165016501659E-2</v>
          </cell>
          <cell r="I68">
            <v>0.27435064935064934</v>
          </cell>
          <cell r="K68">
            <v>3.6094317245039198E-2</v>
          </cell>
          <cell r="L68">
            <v>0.10172596406266221</v>
          </cell>
          <cell r="M68">
            <v>4.9866762605597081E-2</v>
          </cell>
          <cell r="N68">
            <v>4.778001392463449E-2</v>
          </cell>
          <cell r="O68">
            <v>5.2292295510190767E-2</v>
          </cell>
          <cell r="P68">
            <v>2.9894630121748644E-2</v>
          </cell>
          <cell r="Q68">
            <v>3.7788622627837443E-2</v>
          </cell>
          <cell r="R68">
            <v>4.3395654462656363E-2</v>
          </cell>
          <cell r="S68">
            <v>5.526498807191027E-3</v>
          </cell>
          <cell r="T68">
            <v>1.63372558589574E-2</v>
          </cell>
          <cell r="U68">
            <v>2.1404625117087184E-2</v>
          </cell>
        </row>
        <row r="69">
          <cell r="A69" t="str">
            <v>Change in Accumulated Other Comprehensive Income</v>
          </cell>
          <cell r="C69">
            <v>-473</v>
          </cell>
          <cell r="D69">
            <v>20</v>
          </cell>
          <cell r="E69">
            <v>-1158</v>
          </cell>
          <cell r="F69">
            <v>2345</v>
          </cell>
          <cell r="W69" t="str">
            <v>mstag:changeInAccumulatedOtherComprehensiveIncomeLossOrOtherReserves</v>
          </cell>
          <cell r="X69">
            <v>6</v>
          </cell>
          <cell r="Y69" t="str">
            <v>ISO4217:EUR</v>
          </cell>
          <cell r="Z69" t="b">
            <v>0</v>
          </cell>
        </row>
        <row r="70">
          <cell r="A70" t="str">
            <v>Net issuance/repurchase of common stock</v>
          </cell>
          <cell r="C70">
            <v>1174</v>
          </cell>
          <cell r="D70">
            <v>0</v>
          </cell>
          <cell r="E70">
            <v>0</v>
          </cell>
          <cell r="F70">
            <v>0</v>
          </cell>
          <cell r="G70">
            <v>0</v>
          </cell>
          <cell r="H70">
            <v>0</v>
          </cell>
          <cell r="I70">
            <v>0</v>
          </cell>
          <cell r="K70">
            <v>0</v>
          </cell>
          <cell r="L70">
            <v>0</v>
          </cell>
          <cell r="W70" t="str">
            <v>mstag:netIssuanceRepurchaseOfCommonStock</v>
          </cell>
          <cell r="X70">
            <v>6</v>
          </cell>
          <cell r="Y70" t="str">
            <v>ISO4217:EUR</v>
          </cell>
          <cell r="Z70" t="b">
            <v>0</v>
          </cell>
        </row>
        <row r="71">
          <cell r="A71" t="str">
            <v>Unrecorded Goodwill from Pooling and Amortised or Written off</v>
          </cell>
          <cell r="B71">
            <v>0</v>
          </cell>
          <cell r="C71">
            <v>0</v>
          </cell>
          <cell r="D71">
            <v>0</v>
          </cell>
          <cell r="E71">
            <v>0</v>
          </cell>
          <cell r="F71">
            <v>0</v>
          </cell>
          <cell r="G71">
            <v>0</v>
          </cell>
          <cell r="H71">
            <v>21</v>
          </cell>
          <cell r="I71">
            <v>21</v>
          </cell>
          <cell r="K71">
            <v>21</v>
          </cell>
          <cell r="L71">
            <v>21</v>
          </cell>
          <cell r="M71">
            <v>21</v>
          </cell>
          <cell r="N71">
            <v>21</v>
          </cell>
          <cell r="O71">
            <v>21</v>
          </cell>
          <cell r="P71">
            <v>21</v>
          </cell>
          <cell r="Q71">
            <v>21</v>
          </cell>
          <cell r="R71">
            <v>21</v>
          </cell>
          <cell r="S71">
            <v>21</v>
          </cell>
          <cell r="T71">
            <v>21</v>
          </cell>
          <cell r="U71">
            <v>21</v>
          </cell>
          <cell r="W71" t="str">
            <v>mstag:unrecordedGoodwillFromPoolingAndAmortizedOrWrittenOffGoodwill</v>
          </cell>
          <cell r="X71">
            <v>6</v>
          </cell>
          <cell r="Y71" t="str">
            <v>ISO4217:EUR</v>
          </cell>
          <cell r="Z71" t="b">
            <v>0</v>
          </cell>
          <cell r="AA71" t="b">
            <v>0</v>
          </cell>
        </row>
        <row r="72">
          <cell r="A72" t="str">
            <v>Net Debt</v>
          </cell>
          <cell r="B72">
            <v>12836</v>
          </cell>
          <cell r="C72">
            <v>23429</v>
          </cell>
          <cell r="D72">
            <v>17387</v>
          </cell>
          <cell r="E72">
            <v>21123</v>
          </cell>
          <cell r="F72">
            <v>16741</v>
          </cell>
          <cell r="G72">
            <v>16298</v>
          </cell>
          <cell r="H72">
            <v>17779</v>
          </cell>
          <cell r="I72">
            <v>17210</v>
          </cell>
          <cell r="J72">
            <v>17461</v>
          </cell>
          <cell r="K72">
            <v>16209.505889220396</v>
          </cell>
          <cell r="L72">
            <v>14198.363490401702</v>
          </cell>
          <cell r="M72">
            <v>11556.104400202174</v>
          </cell>
          <cell r="N72">
            <v>8726.3385583439722</v>
          </cell>
          <cell r="O72">
            <v>5533.9850013882333</v>
          </cell>
          <cell r="P72">
            <v>2281.3739811099367</v>
          </cell>
          <cell r="Q72">
            <v>-1405.7085837368941</v>
          </cell>
          <cell r="R72">
            <v>-5685.1768645243574</v>
          </cell>
          <cell r="S72">
            <v>-9448.9263169061269</v>
          </cell>
          <cell r="T72">
            <v>-13326.508494031681</v>
          </cell>
          <cell r="U72">
            <v>-17192.868383336732</v>
          </cell>
        </row>
        <row r="73">
          <cell r="A73" t="str">
            <v>Net Debt (ex. pension provisions)</v>
          </cell>
          <cell r="B73">
            <v>5662</v>
          </cell>
          <cell r="C73">
            <v>16886</v>
          </cell>
          <cell r="D73">
            <v>11886</v>
          </cell>
          <cell r="E73">
            <v>14776</v>
          </cell>
          <cell r="F73">
            <v>10224</v>
          </cell>
          <cell r="G73">
            <v>8993</v>
          </cell>
          <cell r="H73">
            <v>9909</v>
          </cell>
          <cell r="I73">
            <v>7837</v>
          </cell>
          <cell r="J73">
            <v>8073</v>
          </cell>
          <cell r="K73">
            <v>6591.7618892203991</v>
          </cell>
          <cell r="L73">
            <v>4329.2445584017041</v>
          </cell>
          <cell r="M73">
            <v>1428.8088446001784</v>
          </cell>
          <cell r="N73">
            <v>-1666.1101070286277</v>
          </cell>
          <cell r="O73">
            <v>-5130.7721692613322</v>
          </cell>
          <cell r="P73">
            <v>-8663.0301950909397</v>
          </cell>
          <cell r="Q73">
            <v>-12637.28564744185</v>
          </cell>
          <cell r="R73">
            <v>-17211.644438541887</v>
          </cell>
          <cell r="S73">
            <v>-21278.198207093679</v>
          </cell>
          <cell r="T73">
            <v>-25466.699215212851</v>
          </cell>
          <cell r="U73">
            <v>-29652.297769605837</v>
          </cell>
        </row>
        <row r="74">
          <cell r="A74" t="str">
            <v>Net Debt ( as reported by the company)</v>
          </cell>
          <cell r="E74">
            <v>7917</v>
          </cell>
          <cell r="F74">
            <v>9691</v>
          </cell>
          <cell r="G74">
            <v>7917</v>
          </cell>
          <cell r="H74">
            <v>7013</v>
          </cell>
          <cell r="I74">
            <v>7028</v>
          </cell>
          <cell r="J74">
            <v>7513</v>
          </cell>
        </row>
        <row r="76">
          <cell r="A76" t="str">
            <v>INPUTS</v>
          </cell>
        </row>
        <row r="77">
          <cell r="A77" t="str">
            <v>1) WORKING CAPITAL</v>
          </cell>
        </row>
        <row r="78">
          <cell r="A78" t="str">
            <v>Inventories</v>
          </cell>
          <cell r="B78">
            <v>5504</v>
          </cell>
          <cell r="C78">
            <v>6153</v>
          </cell>
          <cell r="D78">
            <v>6217</v>
          </cell>
          <cell r="E78">
            <v>6681</v>
          </cell>
          <cell r="F78">
            <v>6091</v>
          </cell>
          <cell r="G78">
            <v>6104</v>
          </cell>
          <cell r="H78">
            <v>6368</v>
          </cell>
          <cell r="I78">
            <v>6980</v>
          </cell>
          <cell r="K78">
            <v>7180.719938893033</v>
          </cell>
          <cell r="L78">
            <v>7737.5892584934636</v>
          </cell>
          <cell r="M78">
            <v>7989.4977443131684</v>
          </cell>
          <cell r="N78">
            <v>8190.4766988703714</v>
          </cell>
          <cell r="O78">
            <v>8365.8418242644384</v>
          </cell>
          <cell r="P78">
            <v>8526.9657474001579</v>
          </cell>
          <cell r="Q78">
            <v>8684.3270071012666</v>
          </cell>
          <cell r="R78">
            <v>8790.6061430658156</v>
          </cell>
          <cell r="S78">
            <v>8822.1160631078892</v>
          </cell>
          <cell r="T78">
            <v>8862.5221800448089</v>
          </cell>
          <cell r="U78">
            <v>8920.4341181892742</v>
          </cell>
          <cell r="V78" t="str">
            <v>Feeds into balance sheet</v>
          </cell>
        </row>
        <row r="79">
          <cell r="A79" t="str">
            <v>Change in Inventories</v>
          </cell>
          <cell r="C79">
            <v>649</v>
          </cell>
          <cell r="D79">
            <v>64</v>
          </cell>
          <cell r="E79">
            <v>464</v>
          </cell>
          <cell r="F79">
            <v>-590</v>
          </cell>
          <cell r="G79">
            <v>13</v>
          </cell>
          <cell r="H79">
            <v>264</v>
          </cell>
          <cell r="I79">
            <v>612</v>
          </cell>
          <cell r="K79">
            <v>200.71993889303303</v>
          </cell>
          <cell r="L79">
            <v>556.86931960043057</v>
          </cell>
          <cell r="M79">
            <v>251.90848581970477</v>
          </cell>
          <cell r="N79">
            <v>200.978954557203</v>
          </cell>
          <cell r="O79">
            <v>175.36512539406704</v>
          </cell>
          <cell r="P79">
            <v>161.12392313571945</v>
          </cell>
          <cell r="Q79">
            <v>157.36125970110879</v>
          </cell>
          <cell r="R79">
            <v>106.27913596454891</v>
          </cell>
          <cell r="S79">
            <v>31.509920042073645</v>
          </cell>
          <cell r="T79">
            <v>40.406116936919716</v>
          </cell>
          <cell r="U79">
            <v>57.911938144465239</v>
          </cell>
          <cell r="V79" t="str">
            <v>Feeds into Cash Flow</v>
          </cell>
        </row>
        <row r="80">
          <cell r="A80" t="str">
            <v>Inventory Days</v>
          </cell>
          <cell r="B80">
            <v>149.78824932895915</v>
          </cell>
          <cell r="C80">
            <v>147.02749590834696</v>
          </cell>
          <cell r="D80">
            <v>138.77232142857144</v>
          </cell>
          <cell r="E80">
            <v>148.18698347107437</v>
          </cell>
          <cell r="F80">
            <v>146.89230260984473</v>
          </cell>
          <cell r="G80">
            <v>130.26720458399112</v>
          </cell>
          <cell r="H80">
            <v>129.30848400556329</v>
          </cell>
          <cell r="I80">
            <v>133.67437955821399</v>
          </cell>
          <cell r="K80">
            <v>131.67437955821399</v>
          </cell>
          <cell r="L80">
            <v>129.67437955821399</v>
          </cell>
          <cell r="M80">
            <v>127.67437955821399</v>
          </cell>
          <cell r="N80">
            <v>125.67437955821399</v>
          </cell>
          <cell r="O80">
            <v>123.67437955821399</v>
          </cell>
          <cell r="P80">
            <v>121.67437955821399</v>
          </cell>
          <cell r="Q80">
            <v>119.67437955821399</v>
          </cell>
          <cell r="R80">
            <v>117.67437955821399</v>
          </cell>
          <cell r="S80">
            <v>115.67437955821399</v>
          </cell>
          <cell r="T80">
            <v>113.67437955821399</v>
          </cell>
          <cell r="U80">
            <v>111.67437955821399</v>
          </cell>
          <cell r="V80" t="str">
            <v>Input</v>
          </cell>
        </row>
        <row r="82">
          <cell r="A82" t="str">
            <v>Trade Receivables</v>
          </cell>
          <cell r="B82">
            <v>5204</v>
          </cell>
          <cell r="C82">
            <v>5868</v>
          </cell>
          <cell r="D82">
            <v>5830</v>
          </cell>
          <cell r="E82">
            <v>5953</v>
          </cell>
          <cell r="F82">
            <v>6106</v>
          </cell>
          <cell r="G82">
            <v>6668</v>
          </cell>
          <cell r="H82">
            <v>7061</v>
          </cell>
          <cell r="I82">
            <v>7431</v>
          </cell>
          <cell r="K82">
            <v>7900.4320650860082</v>
          </cell>
          <cell r="L82">
            <v>8704.1111334184516</v>
          </cell>
          <cell r="M82">
            <v>9138.156977001363</v>
          </cell>
          <cell r="N82">
            <v>9574.7782446079837</v>
          </cell>
          <cell r="O82">
            <v>10075.465378019569</v>
          </cell>
          <cell r="P82">
            <v>10376.667688799951</v>
          </cell>
          <cell r="Q82">
            <v>10768.787668226485</v>
          </cell>
          <cell r="R82">
            <v>11236.106256858557</v>
          </cell>
          <cell r="S82">
            <v>11459.60547875148</v>
          </cell>
          <cell r="T82">
            <v>11646.823985500552</v>
          </cell>
          <cell r="U82">
            <v>11896.119886714889</v>
          </cell>
          <cell r="V82" t="str">
            <v>Feeds into balance sheet</v>
          </cell>
        </row>
        <row r="83">
          <cell r="A83" t="str">
            <v>Change in Trade Receivables</v>
          </cell>
          <cell r="C83">
            <v>664</v>
          </cell>
          <cell r="D83">
            <v>-38</v>
          </cell>
          <cell r="E83">
            <v>123</v>
          </cell>
          <cell r="F83">
            <v>153</v>
          </cell>
          <cell r="G83">
            <v>562</v>
          </cell>
          <cell r="H83">
            <v>393</v>
          </cell>
          <cell r="I83">
            <v>370</v>
          </cell>
          <cell r="K83">
            <v>469.43206508600815</v>
          </cell>
          <cell r="L83">
            <v>803.67906833244342</v>
          </cell>
          <cell r="M83">
            <v>434.0458435829114</v>
          </cell>
          <cell r="N83">
            <v>436.62126760662068</v>
          </cell>
          <cell r="O83">
            <v>500.68713341158582</v>
          </cell>
          <cell r="P83">
            <v>301.20231078038159</v>
          </cell>
          <cell r="Q83">
            <v>392.11997942653397</v>
          </cell>
          <cell r="R83">
            <v>467.31858863207162</v>
          </cell>
          <cell r="S83">
            <v>223.49922189292374</v>
          </cell>
          <cell r="T83">
            <v>187.21850674907182</v>
          </cell>
          <cell r="U83">
            <v>249.29590121433648</v>
          </cell>
          <cell r="V83" t="str">
            <v>Feeds into Cash Flow</v>
          </cell>
        </row>
        <row r="84">
          <cell r="A84" t="str">
            <v>Trade Receivable Days</v>
          </cell>
          <cell r="B84">
            <v>74.79661350659579</v>
          </cell>
          <cell r="C84">
            <v>72.18806875631951</v>
          </cell>
          <cell r="D84">
            <v>64.389675623335748</v>
          </cell>
          <cell r="E84">
            <v>66.007807278692511</v>
          </cell>
          <cell r="F84">
            <v>71.50571098562628</v>
          </cell>
          <cell r="G84">
            <v>69.363315093479258</v>
          </cell>
          <cell r="H84">
            <v>70.555874945247481</v>
          </cell>
          <cell r="I84">
            <v>68.217178068410462</v>
          </cell>
          <cell r="K84">
            <v>70</v>
          </cell>
          <cell r="L84">
            <v>70</v>
          </cell>
          <cell r="M84">
            <v>70</v>
          </cell>
          <cell r="N84">
            <v>70</v>
          </cell>
          <cell r="O84">
            <v>70</v>
          </cell>
          <cell r="P84">
            <v>70</v>
          </cell>
          <cell r="Q84">
            <v>70</v>
          </cell>
          <cell r="R84">
            <v>70</v>
          </cell>
          <cell r="S84">
            <v>71</v>
          </cell>
          <cell r="T84">
            <v>71</v>
          </cell>
          <cell r="U84">
            <v>71</v>
          </cell>
          <cell r="V84" t="str">
            <v>Input</v>
          </cell>
        </row>
        <row r="86">
          <cell r="A86" t="str">
            <v>Trade Creditors</v>
          </cell>
          <cell r="B86">
            <v>1974</v>
          </cell>
          <cell r="C86">
            <v>2375</v>
          </cell>
          <cell r="D86">
            <v>2466</v>
          </cell>
          <cell r="E86">
            <v>2377</v>
          </cell>
          <cell r="F86">
            <v>2735</v>
          </cell>
          <cell r="G86">
            <v>3497</v>
          </cell>
          <cell r="H86">
            <v>3779</v>
          </cell>
          <cell r="I86">
            <v>4295</v>
          </cell>
          <cell r="K86">
            <v>4450.0250925674436</v>
          </cell>
          <cell r="L86">
            <v>4902.7081852119045</v>
          </cell>
          <cell r="M86">
            <v>5147.1903704083834</v>
          </cell>
          <cell r="N86">
            <v>5393.123197979241</v>
          </cell>
          <cell r="O86">
            <v>5675.1419899708362</v>
          </cell>
          <cell r="P86">
            <v>5844.7982606494188</v>
          </cell>
          <cell r="Q86">
            <v>6065.6651364569416</v>
          </cell>
          <cell r="R86">
            <v>6328.888644804807</v>
          </cell>
          <cell r="S86">
            <v>6363.865240351166</v>
          </cell>
          <cell r="T86">
            <v>6467.8333350347084</v>
          </cell>
          <cell r="U86">
            <v>6606.2748828909262</v>
          </cell>
          <cell r="V86" t="str">
            <v>Feeds into balance sheet</v>
          </cell>
        </row>
        <row r="87">
          <cell r="A87" t="str">
            <v>Change in Trade Creditors</v>
          </cell>
          <cell r="C87">
            <v>401</v>
          </cell>
          <cell r="D87">
            <v>91</v>
          </cell>
          <cell r="E87">
            <v>-89</v>
          </cell>
          <cell r="F87">
            <v>358</v>
          </cell>
          <cell r="G87">
            <v>762</v>
          </cell>
          <cell r="H87">
            <v>282</v>
          </cell>
          <cell r="I87">
            <v>516</v>
          </cell>
          <cell r="K87">
            <v>155.02509256744361</v>
          </cell>
          <cell r="L87">
            <v>452.68309264446088</v>
          </cell>
          <cell r="M87">
            <v>244.48218519647889</v>
          </cell>
          <cell r="N87">
            <v>245.93282757085763</v>
          </cell>
          <cell r="O87">
            <v>282.01879199159521</v>
          </cell>
          <cell r="P87">
            <v>169.65627067858259</v>
          </cell>
          <cell r="Q87">
            <v>220.86687580752277</v>
          </cell>
          <cell r="R87">
            <v>263.22350834786539</v>
          </cell>
          <cell r="S87">
            <v>34.976595546359022</v>
          </cell>
          <cell r="T87">
            <v>103.9680946835424</v>
          </cell>
          <cell r="U87">
            <v>138.44154785621777</v>
          </cell>
          <cell r="V87" t="str">
            <v>Feeds into Cash Flow</v>
          </cell>
        </row>
        <row r="88">
          <cell r="A88" t="str">
            <v>Trade Creditor Days</v>
          </cell>
          <cell r="B88">
            <v>28.372120496160662</v>
          </cell>
          <cell r="C88">
            <v>29.21722278395686</v>
          </cell>
          <cell r="D88">
            <v>27.235838779956428</v>
          </cell>
          <cell r="E88">
            <v>26.356552645968772</v>
          </cell>
          <cell r="F88">
            <v>32.028843685831617</v>
          </cell>
          <cell r="G88">
            <v>36.377251481988147</v>
          </cell>
          <cell r="H88">
            <v>37.761032632501099</v>
          </cell>
          <cell r="I88">
            <v>39.428445674044269</v>
          </cell>
          <cell r="K88">
            <v>39.428445674044269</v>
          </cell>
          <cell r="L88">
            <v>39.428445674044269</v>
          </cell>
          <cell r="M88">
            <v>39.428445674044269</v>
          </cell>
          <cell r="N88">
            <v>39.428445674044269</v>
          </cell>
          <cell r="O88">
            <v>39.428445674044269</v>
          </cell>
          <cell r="P88">
            <v>39.428445674044269</v>
          </cell>
          <cell r="Q88">
            <v>39.428445674044269</v>
          </cell>
          <cell r="R88">
            <v>39.428445674044269</v>
          </cell>
          <cell r="S88">
            <v>39.428445674044269</v>
          </cell>
          <cell r="T88">
            <v>39.428445674044269</v>
          </cell>
          <cell r="U88">
            <v>39.428445674044269</v>
          </cell>
          <cell r="V88" t="str">
            <v>Input</v>
          </cell>
        </row>
        <row r="90">
          <cell r="A90" t="str">
            <v>2) TANGIBLE FIXED ASSETS</v>
          </cell>
        </row>
        <row r="91">
          <cell r="A91" t="str">
            <v>Cost</v>
          </cell>
        </row>
        <row r="92">
          <cell r="A92" t="str">
            <v>Cost at start of year</v>
          </cell>
          <cell r="B92">
            <v>20961</v>
          </cell>
          <cell r="C92">
            <v>22797</v>
          </cell>
          <cell r="D92">
            <v>22318</v>
          </cell>
          <cell r="E92">
            <v>22408</v>
          </cell>
          <cell r="F92">
            <v>23927</v>
          </cell>
          <cell r="G92">
            <v>24535</v>
          </cell>
          <cell r="H92">
            <v>26262</v>
          </cell>
          <cell r="I92">
            <v>27076</v>
          </cell>
          <cell r="K92">
            <v>27633</v>
          </cell>
          <cell r="L92">
            <v>28504.668078074712</v>
          </cell>
          <cell r="M92">
            <v>29541.810534601533</v>
          </cell>
          <cell r="N92">
            <v>30668.321333563388</v>
          </cell>
          <cell r="O92">
            <v>31884.730744698991</v>
          </cell>
          <cell r="P92">
            <v>33204.229679333264</v>
          </cell>
          <cell r="Q92">
            <v>34585.74499230639</v>
          </cell>
          <cell r="R92">
            <v>36047.996276180056</v>
          </cell>
          <cell r="S92">
            <v>37606.466630625582</v>
          </cell>
          <cell r="T92">
            <v>39177.722376225429</v>
          </cell>
          <cell r="U92">
            <v>40786.982757134509</v>
          </cell>
        </row>
        <row r="93">
          <cell r="A93" t="str">
            <v>Exchange adjustments</v>
          </cell>
          <cell r="B93">
            <v>1104</v>
          </cell>
          <cell r="C93">
            <v>-860</v>
          </cell>
          <cell r="D93">
            <v>-665</v>
          </cell>
          <cell r="E93">
            <v>377</v>
          </cell>
          <cell r="F93">
            <v>-112</v>
          </cell>
          <cell r="G93">
            <v>1048</v>
          </cell>
          <cell r="H93">
            <v>351</v>
          </cell>
          <cell r="I93">
            <v>-271</v>
          </cell>
          <cell r="K93">
            <v>0</v>
          </cell>
          <cell r="L93">
            <v>0</v>
          </cell>
          <cell r="M93">
            <v>0</v>
          </cell>
          <cell r="N93">
            <v>0</v>
          </cell>
          <cell r="O93">
            <v>0</v>
          </cell>
          <cell r="P93">
            <v>0</v>
          </cell>
          <cell r="Q93">
            <v>0</v>
          </cell>
          <cell r="R93">
            <v>0</v>
          </cell>
          <cell r="S93">
            <v>0</v>
          </cell>
          <cell r="T93">
            <v>0</v>
          </cell>
          <cell r="U93">
            <v>0</v>
          </cell>
          <cell r="V93" t="str">
            <v>Hard Coded as 0</v>
          </cell>
        </row>
        <row r="94">
          <cell r="A94" t="str">
            <v>Additions</v>
          </cell>
          <cell r="B94">
            <v>155</v>
          </cell>
          <cell r="C94">
            <v>1582</v>
          </cell>
          <cell r="D94">
            <v>86</v>
          </cell>
          <cell r="E94">
            <v>25</v>
          </cell>
          <cell r="F94">
            <v>5</v>
          </cell>
          <cell r="G94">
            <v>0</v>
          </cell>
          <cell r="H94">
            <v>4</v>
          </cell>
          <cell r="I94">
            <v>13</v>
          </cell>
          <cell r="K94">
            <v>0</v>
          </cell>
          <cell r="L94">
            <v>0</v>
          </cell>
          <cell r="M94">
            <v>0</v>
          </cell>
          <cell r="N94">
            <v>0</v>
          </cell>
          <cell r="O94">
            <v>0</v>
          </cell>
          <cell r="P94">
            <v>0</v>
          </cell>
          <cell r="Q94">
            <v>0</v>
          </cell>
          <cell r="R94">
            <v>0</v>
          </cell>
          <cell r="S94">
            <v>0</v>
          </cell>
          <cell r="T94">
            <v>0</v>
          </cell>
          <cell r="U94">
            <v>0</v>
          </cell>
          <cell r="V94" t="str">
            <v>Hard Coded as 0</v>
          </cell>
        </row>
        <row r="95">
          <cell r="A95" t="str">
            <v>CAPEX</v>
          </cell>
          <cell r="B95">
            <v>1292</v>
          </cell>
          <cell r="C95">
            <v>1596</v>
          </cell>
          <cell r="D95">
            <v>1580</v>
          </cell>
          <cell r="E95">
            <v>1686</v>
          </cell>
          <cell r="F95">
            <v>1342</v>
          </cell>
          <cell r="G95">
            <v>1212</v>
          </cell>
          <cell r="H95">
            <v>1232</v>
          </cell>
          <cell r="I95">
            <v>1570</v>
          </cell>
          <cell r="K95">
            <v>1626.6680780747115</v>
          </cell>
          <cell r="L95">
            <v>1792.1424565268194</v>
          </cell>
          <cell r="M95">
            <v>1881.5107989618539</v>
          </cell>
          <cell r="N95">
            <v>1971.4094111356014</v>
          </cell>
          <cell r="O95">
            <v>2074.4989346342754</v>
          </cell>
          <cell r="P95">
            <v>2136.5153129731289</v>
          </cell>
          <cell r="Q95">
            <v>2217.2512838736666</v>
          </cell>
          <cell r="R95">
            <v>2313.4703544455292</v>
          </cell>
          <cell r="S95">
            <v>2326.2557455998444</v>
          </cell>
          <cell r="T95">
            <v>2364.2603809090788</v>
          </cell>
          <cell r="U95">
            <v>2414.8664880416195</v>
          </cell>
          <cell r="V95" t="str">
            <v>Linked to Sales Growth</v>
          </cell>
        </row>
        <row r="96">
          <cell r="A96" t="str">
            <v>Disposals</v>
          </cell>
          <cell r="B96">
            <v>-715</v>
          </cell>
          <cell r="C96">
            <v>-2797</v>
          </cell>
          <cell r="D96">
            <v>-911</v>
          </cell>
          <cell r="E96">
            <v>-569</v>
          </cell>
          <cell r="F96">
            <v>-627</v>
          </cell>
          <cell r="G96">
            <v>-533</v>
          </cell>
          <cell r="H96">
            <v>-773</v>
          </cell>
          <cell r="I96">
            <v>-755</v>
          </cell>
          <cell r="K96">
            <v>-755</v>
          </cell>
          <cell r="L96">
            <v>-755</v>
          </cell>
          <cell r="M96">
            <v>-755</v>
          </cell>
          <cell r="N96">
            <v>-755</v>
          </cell>
          <cell r="O96">
            <v>-755</v>
          </cell>
          <cell r="P96">
            <v>-755</v>
          </cell>
          <cell r="Q96">
            <v>-755</v>
          </cell>
          <cell r="R96">
            <v>-755</v>
          </cell>
          <cell r="S96">
            <v>-755</v>
          </cell>
          <cell r="T96">
            <v>-755</v>
          </cell>
          <cell r="U96">
            <v>-755</v>
          </cell>
          <cell r="V96" t="str">
            <v>Constant</v>
          </cell>
        </row>
        <row r="97">
          <cell r="A97" t="str">
            <v>Cost at end of year</v>
          </cell>
          <cell r="B97">
            <v>22797</v>
          </cell>
          <cell r="C97">
            <v>22318</v>
          </cell>
          <cell r="D97">
            <v>22408</v>
          </cell>
          <cell r="E97">
            <v>23927</v>
          </cell>
          <cell r="F97">
            <v>24535</v>
          </cell>
          <cell r="G97">
            <v>26262</v>
          </cell>
          <cell r="H97">
            <v>27076</v>
          </cell>
          <cell r="I97">
            <v>27633</v>
          </cell>
          <cell r="K97">
            <v>28504.668078074712</v>
          </cell>
          <cell r="L97">
            <v>29541.810534601533</v>
          </cell>
          <cell r="M97">
            <v>30668.321333563388</v>
          </cell>
          <cell r="N97">
            <v>31884.730744698991</v>
          </cell>
          <cell r="O97">
            <v>33204.229679333264</v>
          </cell>
          <cell r="P97">
            <v>34585.74499230639</v>
          </cell>
          <cell r="Q97">
            <v>36047.996276180056</v>
          </cell>
          <cell r="R97">
            <v>37606.466630625582</v>
          </cell>
          <cell r="S97">
            <v>39177.722376225429</v>
          </cell>
          <cell r="T97">
            <v>40786.982757134509</v>
          </cell>
          <cell r="U97">
            <v>42446.849245176127</v>
          </cell>
        </row>
        <row r="98">
          <cell r="A98" t="str">
            <v>Depreciation</v>
          </cell>
        </row>
        <row r="99">
          <cell r="A99" t="str">
            <v>At start of year</v>
          </cell>
          <cell r="B99">
            <v>13299</v>
          </cell>
          <cell r="C99">
            <v>14476</v>
          </cell>
          <cell r="D99">
            <v>13451</v>
          </cell>
          <cell r="E99">
            <v>13589</v>
          </cell>
          <cell r="F99">
            <v>14435</v>
          </cell>
          <cell r="G99">
            <v>15126</v>
          </cell>
          <cell r="H99">
            <v>16427</v>
          </cell>
          <cell r="I99">
            <v>17253</v>
          </cell>
          <cell r="K99">
            <v>17770</v>
          </cell>
          <cell r="L99">
            <v>18389.379813712949</v>
          </cell>
          <cell r="M99">
            <v>19066.946759666462</v>
          </cell>
          <cell r="N99">
            <v>19805.768525818541</v>
          </cell>
          <cell r="O99">
            <v>20608.876553688347</v>
          </cell>
          <cell r="P99">
            <v>21479.866221938897</v>
          </cell>
          <cell r="Q99">
            <v>22420.316261960776</v>
          </cell>
          <cell r="R99">
            <v>23432.660169623865</v>
          </cell>
          <cell r="S99">
            <v>24520.015867858732</v>
          </cell>
          <cell r="T99">
            <v>25681.488486175993</v>
          </cell>
          <cell r="U99">
            <v>26917.395137439562</v>
          </cell>
        </row>
        <row r="100">
          <cell r="A100" t="str">
            <v>Exchange adjustments</v>
          </cell>
          <cell r="B100">
            <v>592</v>
          </cell>
          <cell r="C100">
            <v>-481</v>
          </cell>
          <cell r="D100">
            <v>-345</v>
          </cell>
          <cell r="E100">
            <v>154</v>
          </cell>
          <cell r="F100">
            <v>-36</v>
          </cell>
          <cell r="G100">
            <v>539</v>
          </cell>
          <cell r="H100">
            <v>178</v>
          </cell>
          <cell r="I100">
            <v>-173</v>
          </cell>
          <cell r="K100">
            <v>0</v>
          </cell>
          <cell r="L100">
            <v>0</v>
          </cell>
          <cell r="M100">
            <v>0</v>
          </cell>
          <cell r="N100">
            <v>0</v>
          </cell>
          <cell r="O100">
            <v>0</v>
          </cell>
          <cell r="P100">
            <v>0</v>
          </cell>
          <cell r="Q100">
            <v>0</v>
          </cell>
          <cell r="R100">
            <v>0</v>
          </cell>
          <cell r="S100">
            <v>0</v>
          </cell>
          <cell r="T100">
            <v>0</v>
          </cell>
          <cell r="U100">
            <v>0</v>
          </cell>
          <cell r="V100" t="str">
            <v>Hard Coded as 0</v>
          </cell>
        </row>
        <row r="101">
          <cell r="A101" t="str">
            <v>Depreciation charge (P&amp;L)</v>
          </cell>
          <cell r="B101">
            <v>1158</v>
          </cell>
          <cell r="C101">
            <v>1197</v>
          </cell>
          <cell r="D101">
            <v>1140</v>
          </cell>
          <cell r="E101">
            <v>1084</v>
          </cell>
          <cell r="F101">
            <v>1184</v>
          </cell>
          <cell r="G101">
            <v>1195</v>
          </cell>
          <cell r="H101">
            <v>1210</v>
          </cell>
          <cell r="I101">
            <v>1282</v>
          </cell>
          <cell r="K101">
            <v>1333.3798137129479</v>
          </cell>
          <cell r="L101">
            <v>1391.5669459535131</v>
          </cell>
          <cell r="M101">
            <v>1452.8217661520782</v>
          </cell>
          <cell r="N101">
            <v>1517.1080278698048</v>
          </cell>
          <cell r="O101">
            <v>1584.9896682505512</v>
          </cell>
          <cell r="P101">
            <v>1654.4500400218803</v>
          </cell>
          <cell r="Q101">
            <v>1726.34390766309</v>
          </cell>
          <cell r="R101">
            <v>1801.3556982348678</v>
          </cell>
          <cell r="S101">
            <v>1875.47261831726</v>
          </cell>
          <cell r="T101">
            <v>1949.9066512635695</v>
          </cell>
          <cell r="U101">
            <v>2025.2481118883702</v>
          </cell>
          <cell r="V101" t="str">
            <v>2% Fall off</v>
          </cell>
        </row>
        <row r="102">
          <cell r="A102" t="str">
            <v>Depreciation (exceptional) / Impairment</v>
          </cell>
          <cell r="B102">
            <v>55</v>
          </cell>
          <cell r="C102">
            <v>125</v>
          </cell>
          <cell r="D102">
            <v>130</v>
          </cell>
          <cell r="E102">
            <v>88</v>
          </cell>
          <cell r="F102">
            <v>88</v>
          </cell>
          <cell r="G102">
            <v>57</v>
          </cell>
          <cell r="H102">
            <v>136</v>
          </cell>
          <cell r="I102">
            <v>41</v>
          </cell>
          <cell r="K102">
            <v>41</v>
          </cell>
          <cell r="L102">
            <v>41</v>
          </cell>
          <cell r="M102">
            <v>41</v>
          </cell>
          <cell r="N102">
            <v>41</v>
          </cell>
          <cell r="O102">
            <v>41</v>
          </cell>
          <cell r="P102">
            <v>41</v>
          </cell>
          <cell r="Q102">
            <v>41</v>
          </cell>
          <cell r="R102">
            <v>41</v>
          </cell>
          <cell r="S102">
            <v>41</v>
          </cell>
          <cell r="T102">
            <v>41</v>
          </cell>
          <cell r="U102">
            <v>41</v>
          </cell>
          <cell r="V102" t="str">
            <v>Hard Coded as 0</v>
          </cell>
        </row>
        <row r="103">
          <cell r="A103" t="str">
            <v>Disposals</v>
          </cell>
          <cell r="B103">
            <v>-628</v>
          </cell>
          <cell r="C103">
            <v>-1866</v>
          </cell>
          <cell r="D103">
            <v>-787</v>
          </cell>
          <cell r="E103">
            <v>-480</v>
          </cell>
          <cell r="F103">
            <v>-545</v>
          </cell>
          <cell r="G103">
            <v>-490</v>
          </cell>
          <cell r="H103">
            <v>-698</v>
          </cell>
          <cell r="I103">
            <v>-633</v>
          </cell>
          <cell r="K103">
            <v>-755</v>
          </cell>
          <cell r="L103">
            <v>-755</v>
          </cell>
          <cell r="M103">
            <v>-755</v>
          </cell>
          <cell r="N103">
            <v>-755</v>
          </cell>
          <cell r="O103">
            <v>-755</v>
          </cell>
          <cell r="P103">
            <v>-755</v>
          </cell>
          <cell r="Q103">
            <v>-755</v>
          </cell>
          <cell r="R103">
            <v>-755</v>
          </cell>
          <cell r="S103">
            <v>-755</v>
          </cell>
          <cell r="T103">
            <v>-755</v>
          </cell>
          <cell r="U103">
            <v>-755</v>
          </cell>
          <cell r="V103" t="str">
            <v>Constant</v>
          </cell>
        </row>
        <row r="104">
          <cell r="A104" t="str">
            <v>At end of year</v>
          </cell>
          <cell r="B104">
            <v>14476</v>
          </cell>
          <cell r="C104">
            <v>13451</v>
          </cell>
          <cell r="D104">
            <v>13589</v>
          </cell>
          <cell r="E104">
            <v>14435</v>
          </cell>
          <cell r="F104">
            <v>15126</v>
          </cell>
          <cell r="G104">
            <v>16427</v>
          </cell>
          <cell r="H104">
            <v>17253</v>
          </cell>
          <cell r="I104">
            <v>17770</v>
          </cell>
          <cell r="K104">
            <v>18389.379813712949</v>
          </cell>
          <cell r="L104">
            <v>19066.946759666462</v>
          </cell>
          <cell r="M104">
            <v>19805.768525818541</v>
          </cell>
          <cell r="N104">
            <v>20608.876553688347</v>
          </cell>
          <cell r="O104">
            <v>21479.866221938897</v>
          </cell>
          <cell r="P104">
            <v>22420.316261960776</v>
          </cell>
          <cell r="Q104">
            <v>23432.660169623865</v>
          </cell>
          <cell r="R104">
            <v>24520.015867858732</v>
          </cell>
          <cell r="S104">
            <v>25681.488486175993</v>
          </cell>
          <cell r="T104">
            <v>26917.395137439562</v>
          </cell>
          <cell r="U104">
            <v>28228.643249327932</v>
          </cell>
        </row>
        <row r="106">
          <cell r="A106" t="str">
            <v>Net book value (at start)</v>
          </cell>
          <cell r="B106">
            <v>7662</v>
          </cell>
          <cell r="C106">
            <v>8321</v>
          </cell>
          <cell r="D106">
            <v>8867</v>
          </cell>
          <cell r="E106">
            <v>8819</v>
          </cell>
          <cell r="F106">
            <v>9492</v>
          </cell>
          <cell r="G106">
            <v>9409</v>
          </cell>
          <cell r="H106">
            <v>9835</v>
          </cell>
          <cell r="I106">
            <v>9823</v>
          </cell>
          <cell r="K106">
            <v>9863</v>
          </cell>
          <cell r="L106">
            <v>10115.288264361763</v>
          </cell>
          <cell r="M106">
            <v>10474.863774935071</v>
          </cell>
          <cell r="N106">
            <v>10862.552807744847</v>
          </cell>
          <cell r="O106">
            <v>11275.854191010643</v>
          </cell>
          <cell r="P106">
            <v>11724.363457394367</v>
          </cell>
          <cell r="Q106">
            <v>12165.428730345615</v>
          </cell>
          <cell r="R106">
            <v>12615.336106556191</v>
          </cell>
          <cell r="S106">
            <v>13086.45076276685</v>
          </cell>
          <cell r="T106">
            <v>13496.233890049436</v>
          </cell>
          <cell r="U106">
            <v>13869.587619694947</v>
          </cell>
        </row>
        <row r="107">
          <cell r="A107" t="str">
            <v>Net book value (at end)</v>
          </cell>
          <cell r="B107">
            <v>8321</v>
          </cell>
          <cell r="C107">
            <v>8867</v>
          </cell>
          <cell r="D107">
            <v>8819</v>
          </cell>
          <cell r="E107">
            <v>9492</v>
          </cell>
          <cell r="F107">
            <v>9409</v>
          </cell>
          <cell r="G107">
            <v>9835</v>
          </cell>
          <cell r="H107">
            <v>9823</v>
          </cell>
          <cell r="I107">
            <v>9863</v>
          </cell>
          <cell r="K107">
            <v>10115.288264361763</v>
          </cell>
          <cell r="L107">
            <v>10474.863774935071</v>
          </cell>
          <cell r="M107">
            <v>10862.552807744847</v>
          </cell>
          <cell r="N107">
            <v>11275.854191010643</v>
          </cell>
          <cell r="O107">
            <v>11724.363457394367</v>
          </cell>
          <cell r="P107">
            <v>12165.428730345615</v>
          </cell>
          <cell r="Q107">
            <v>12615.336106556191</v>
          </cell>
          <cell r="R107">
            <v>13086.45076276685</v>
          </cell>
          <cell r="S107">
            <v>13496.233890049436</v>
          </cell>
          <cell r="T107">
            <v>13869.587619694947</v>
          </cell>
          <cell r="U107">
            <v>14218.205995848195</v>
          </cell>
        </row>
        <row r="109">
          <cell r="A109" t="str">
            <v>CAPEX / Depreciation (Tangible Fixed)</v>
          </cell>
          <cell r="B109">
            <v>1.1157167530224525</v>
          </cell>
          <cell r="C109">
            <v>1.3333333333333333</v>
          </cell>
          <cell r="D109">
            <v>1.3859649122807018</v>
          </cell>
          <cell r="E109">
            <v>1.555350553505535</v>
          </cell>
          <cell r="F109">
            <v>1.1334459459459461</v>
          </cell>
          <cell r="G109">
            <v>1.014225941422594</v>
          </cell>
          <cell r="H109">
            <v>1.0181818181818181</v>
          </cell>
          <cell r="I109">
            <v>1.2246489859594383</v>
          </cell>
          <cell r="K109">
            <v>1.2199585304543266</v>
          </cell>
          <cell r="L109">
            <v>1.287859316965041</v>
          </cell>
          <cell r="M109">
            <v>1.2950733825699727</v>
          </cell>
          <cell r="N109">
            <v>1.2994522307707306</v>
          </cell>
          <cell r="O109">
            <v>1.3088406670335115</v>
          </cell>
          <cell r="P109">
            <v>1.2913749350478261</v>
          </cell>
          <cell r="Q109">
            <v>1.2843624459943823</v>
          </cell>
          <cell r="R109">
            <v>1.2842940218372629</v>
          </cell>
          <cell r="S109">
            <v>1.2403570827320545</v>
          </cell>
          <cell r="T109">
            <v>1.2124992647094166</v>
          </cell>
          <cell r="U109">
            <v>1.1923805650607242</v>
          </cell>
        </row>
        <row r="110">
          <cell r="A110" t="str">
            <v>Average Useful Life</v>
          </cell>
          <cell r="B110">
            <v>18.10103626943005</v>
          </cell>
          <cell r="C110">
            <v>19.045112781954888</v>
          </cell>
          <cell r="D110">
            <v>19.57719298245614</v>
          </cell>
          <cell r="E110">
            <v>20.671586715867157</v>
          </cell>
          <cell r="F110">
            <v>20.208614864864863</v>
          </cell>
          <cell r="G110">
            <v>20.531380753138077</v>
          </cell>
          <cell r="H110">
            <v>21.704132231404959</v>
          </cell>
          <cell r="I110">
            <v>21.120124804992201</v>
          </cell>
          <cell r="K110">
            <v>21.120124804992201</v>
          </cell>
          <cell r="L110">
            <v>21.120124804992201</v>
          </cell>
          <cell r="M110">
            <v>21.120124804992201</v>
          </cell>
          <cell r="N110">
            <v>21.120124804992201</v>
          </cell>
          <cell r="O110">
            <v>21.120124804992201</v>
          </cell>
          <cell r="P110">
            <v>21.120124804992201</v>
          </cell>
          <cell r="Q110">
            <v>21.120124804992201</v>
          </cell>
          <cell r="R110">
            <v>21.120124804992201</v>
          </cell>
          <cell r="S110">
            <v>21.120124804992201</v>
          </cell>
          <cell r="T110">
            <v>21.120124804992201</v>
          </cell>
          <cell r="U110">
            <v>21.120124804992201</v>
          </cell>
          <cell r="V110" t="str">
            <v>Drives Depn Charge</v>
          </cell>
        </row>
        <row r="112">
          <cell r="A112" t="str">
            <v>3) GOODWILL</v>
          </cell>
        </row>
        <row r="113">
          <cell r="A113" t="str">
            <v>Cost</v>
          </cell>
        </row>
        <row r="114">
          <cell r="A114" t="str">
            <v>Cost at start of year</v>
          </cell>
          <cell r="B114">
            <v>2470</v>
          </cell>
          <cell r="C114">
            <v>2623</v>
          </cell>
          <cell r="D114">
            <v>8227</v>
          </cell>
          <cell r="E114">
            <v>8215</v>
          </cell>
          <cell r="F114">
            <v>8647</v>
          </cell>
          <cell r="G114">
            <v>8704</v>
          </cell>
          <cell r="H114">
            <v>9002</v>
          </cell>
          <cell r="I114">
            <v>9181</v>
          </cell>
          <cell r="K114">
            <v>9293</v>
          </cell>
          <cell r="L114">
            <v>9967.3295019157085</v>
          </cell>
          <cell r="M114">
            <v>9967.3295019157085</v>
          </cell>
          <cell r="N114">
            <v>9967.3295019157085</v>
          </cell>
          <cell r="O114">
            <v>9967.3295019157085</v>
          </cell>
          <cell r="P114">
            <v>9967.3295019157085</v>
          </cell>
          <cell r="Q114">
            <v>9967.3295019157085</v>
          </cell>
          <cell r="R114">
            <v>9967.3295019157085</v>
          </cell>
          <cell r="S114">
            <v>9967.3295019157085</v>
          </cell>
          <cell r="T114">
            <v>9967.3295019157085</v>
          </cell>
          <cell r="U114">
            <v>9967.3295019157085</v>
          </cell>
        </row>
        <row r="115">
          <cell r="A115" t="str">
            <v>Exchange Adjustments</v>
          </cell>
          <cell r="B115">
            <v>179</v>
          </cell>
          <cell r="C115">
            <v>-156</v>
          </cell>
          <cell r="D115">
            <v>-252</v>
          </cell>
          <cell r="E115">
            <v>47</v>
          </cell>
          <cell r="F115">
            <v>-28</v>
          </cell>
          <cell r="G115">
            <v>275</v>
          </cell>
          <cell r="H115">
            <v>82</v>
          </cell>
          <cell r="I115">
            <v>-66</v>
          </cell>
          <cell r="K115">
            <v>0</v>
          </cell>
          <cell r="L115">
            <v>0</v>
          </cell>
          <cell r="M115">
            <v>0</v>
          </cell>
          <cell r="N115">
            <v>0</v>
          </cell>
          <cell r="O115">
            <v>0</v>
          </cell>
          <cell r="P115">
            <v>0</v>
          </cell>
          <cell r="Q115">
            <v>0</v>
          </cell>
          <cell r="R115">
            <v>0</v>
          </cell>
          <cell r="S115">
            <v>0</v>
          </cell>
          <cell r="T115">
            <v>0</v>
          </cell>
          <cell r="U115">
            <v>0</v>
          </cell>
        </row>
        <row r="116">
          <cell r="A116" t="str">
            <v>Additions</v>
          </cell>
          <cell r="B116">
            <v>661</v>
          </cell>
          <cell r="C116">
            <v>5804</v>
          </cell>
          <cell r="D116">
            <v>210</v>
          </cell>
          <cell r="E116">
            <v>384</v>
          </cell>
          <cell r="F116">
            <v>177</v>
          </cell>
          <cell r="G116">
            <v>12</v>
          </cell>
          <cell r="H116">
            <v>103</v>
          </cell>
          <cell r="I116">
            <v>190</v>
          </cell>
          <cell r="K116">
            <v>674.32950191570887</v>
          </cell>
          <cell r="L116">
            <v>0</v>
          </cell>
          <cell r="M116">
            <v>0</v>
          </cell>
          <cell r="N116">
            <v>0</v>
          </cell>
          <cell r="O116">
            <v>0</v>
          </cell>
          <cell r="P116">
            <v>0</v>
          </cell>
          <cell r="Q116">
            <v>0</v>
          </cell>
          <cell r="R116">
            <v>0</v>
          </cell>
          <cell r="S116">
            <v>0</v>
          </cell>
          <cell r="T116">
            <v>0</v>
          </cell>
          <cell r="U116">
            <v>0</v>
          </cell>
        </row>
        <row r="117">
          <cell r="A117" t="str">
            <v>Disposals/ Other movements</v>
          </cell>
          <cell r="B117">
            <v>-687</v>
          </cell>
          <cell r="C117">
            <v>-44</v>
          </cell>
          <cell r="D117">
            <v>30</v>
          </cell>
          <cell r="E117">
            <v>1</v>
          </cell>
          <cell r="F117">
            <v>-92</v>
          </cell>
          <cell r="G117">
            <v>11</v>
          </cell>
          <cell r="H117">
            <v>-6</v>
          </cell>
          <cell r="I117">
            <v>-12</v>
          </cell>
          <cell r="K117">
            <v>0</v>
          </cell>
          <cell r="L117">
            <v>0</v>
          </cell>
          <cell r="M117">
            <v>0</v>
          </cell>
          <cell r="N117">
            <v>0</v>
          </cell>
          <cell r="O117">
            <v>0</v>
          </cell>
          <cell r="P117">
            <v>0</v>
          </cell>
          <cell r="Q117">
            <v>0</v>
          </cell>
          <cell r="R117">
            <v>0</v>
          </cell>
          <cell r="S117">
            <v>0</v>
          </cell>
          <cell r="T117">
            <v>0</v>
          </cell>
          <cell r="U117">
            <v>0</v>
          </cell>
        </row>
        <row r="118">
          <cell r="A118" t="str">
            <v>Cost at end of year</v>
          </cell>
          <cell r="B118">
            <v>2623</v>
          </cell>
          <cell r="C118">
            <v>8227</v>
          </cell>
          <cell r="D118">
            <v>8215</v>
          </cell>
          <cell r="E118">
            <v>8647</v>
          </cell>
          <cell r="F118">
            <v>8704</v>
          </cell>
          <cell r="G118">
            <v>9002</v>
          </cell>
          <cell r="H118">
            <v>9181</v>
          </cell>
          <cell r="I118">
            <v>9293</v>
          </cell>
          <cell r="K118">
            <v>9967.3295019157085</v>
          </cell>
          <cell r="L118">
            <v>9967.3295019157085</v>
          </cell>
          <cell r="M118">
            <v>9967.3295019157085</v>
          </cell>
          <cell r="N118">
            <v>9967.3295019157085</v>
          </cell>
          <cell r="O118">
            <v>9967.3295019157085</v>
          </cell>
          <cell r="P118">
            <v>9967.3295019157085</v>
          </cell>
          <cell r="Q118">
            <v>9967.3295019157085</v>
          </cell>
          <cell r="R118">
            <v>9967.3295019157085</v>
          </cell>
          <cell r="S118">
            <v>9967.3295019157085</v>
          </cell>
          <cell r="T118">
            <v>9967.3295019157085</v>
          </cell>
          <cell r="U118">
            <v>9967.3295019157085</v>
          </cell>
        </row>
        <row r="119">
          <cell r="A119" t="str">
            <v>Amortization / Impairment</v>
          </cell>
        </row>
        <row r="120">
          <cell r="A120" t="str">
            <v>At start of year</v>
          </cell>
          <cell r="B120">
            <v>604</v>
          </cell>
          <cell r="C120">
            <v>0</v>
          </cell>
          <cell r="D120">
            <v>0</v>
          </cell>
          <cell r="E120">
            <v>0</v>
          </cell>
          <cell r="F120">
            <v>0</v>
          </cell>
          <cell r="G120">
            <v>0</v>
          </cell>
          <cell r="H120">
            <v>0</v>
          </cell>
          <cell r="I120">
            <v>21</v>
          </cell>
          <cell r="K120">
            <v>0</v>
          </cell>
          <cell r="L120">
            <v>0</v>
          </cell>
          <cell r="M120">
            <v>0</v>
          </cell>
          <cell r="N120">
            <v>0</v>
          </cell>
          <cell r="O120">
            <v>0</v>
          </cell>
          <cell r="P120">
            <v>0</v>
          </cell>
          <cell r="Q120">
            <v>0</v>
          </cell>
          <cell r="R120">
            <v>0</v>
          </cell>
          <cell r="S120">
            <v>0</v>
          </cell>
          <cell r="T120">
            <v>0</v>
          </cell>
          <cell r="U120">
            <v>0</v>
          </cell>
        </row>
        <row r="121">
          <cell r="A121" t="str">
            <v>Exchange adjustment</v>
          </cell>
          <cell r="B121">
            <v>39</v>
          </cell>
          <cell r="C121">
            <v>0</v>
          </cell>
          <cell r="D121">
            <v>0</v>
          </cell>
          <cell r="E121">
            <v>0</v>
          </cell>
          <cell r="F121">
            <v>0</v>
          </cell>
          <cell r="G121">
            <v>0</v>
          </cell>
          <cell r="H121">
            <v>0</v>
          </cell>
          <cell r="I121">
            <v>0</v>
          </cell>
          <cell r="K121">
            <v>0</v>
          </cell>
          <cell r="L121">
            <v>0</v>
          </cell>
          <cell r="M121">
            <v>0</v>
          </cell>
          <cell r="N121">
            <v>0</v>
          </cell>
          <cell r="O121">
            <v>0</v>
          </cell>
          <cell r="P121">
            <v>0</v>
          </cell>
          <cell r="Q121">
            <v>0</v>
          </cell>
          <cell r="R121">
            <v>0</v>
          </cell>
          <cell r="S121">
            <v>0</v>
          </cell>
          <cell r="T121">
            <v>0</v>
          </cell>
          <cell r="U121">
            <v>0</v>
          </cell>
        </row>
        <row r="122">
          <cell r="A122" t="str">
            <v>Impairment charge</v>
          </cell>
          <cell r="D122">
            <v>0</v>
          </cell>
          <cell r="E122">
            <v>0</v>
          </cell>
          <cell r="F122">
            <v>0</v>
          </cell>
          <cell r="G122">
            <v>0</v>
          </cell>
          <cell r="H122">
            <v>21</v>
          </cell>
          <cell r="I122">
            <v>0</v>
          </cell>
          <cell r="K122">
            <v>0</v>
          </cell>
          <cell r="L122">
            <v>0</v>
          </cell>
          <cell r="M122">
            <v>0</v>
          </cell>
          <cell r="N122">
            <v>0</v>
          </cell>
          <cell r="O122">
            <v>0</v>
          </cell>
          <cell r="P122">
            <v>0</v>
          </cell>
          <cell r="Q122">
            <v>0</v>
          </cell>
          <cell r="R122">
            <v>0</v>
          </cell>
          <cell r="S122">
            <v>0</v>
          </cell>
          <cell r="T122">
            <v>0</v>
          </cell>
          <cell r="U122">
            <v>0</v>
          </cell>
        </row>
        <row r="123">
          <cell r="A123" t="str">
            <v>Disposals / Other</v>
          </cell>
          <cell r="B123">
            <v>-643</v>
          </cell>
          <cell r="C123">
            <v>0</v>
          </cell>
          <cell r="D123">
            <v>0</v>
          </cell>
          <cell r="E123">
            <v>0</v>
          </cell>
          <cell r="F123">
            <v>0</v>
          </cell>
          <cell r="G123">
            <v>0</v>
          </cell>
          <cell r="H123">
            <v>0</v>
          </cell>
          <cell r="I123">
            <v>-21</v>
          </cell>
          <cell r="K123">
            <v>0</v>
          </cell>
          <cell r="L123">
            <v>0</v>
          </cell>
          <cell r="M123">
            <v>0</v>
          </cell>
          <cell r="N123">
            <v>0</v>
          </cell>
          <cell r="O123">
            <v>0</v>
          </cell>
          <cell r="P123">
            <v>0</v>
          </cell>
          <cell r="Q123">
            <v>0</v>
          </cell>
          <cell r="R123">
            <v>0</v>
          </cell>
          <cell r="S123">
            <v>0</v>
          </cell>
          <cell r="T123">
            <v>0</v>
          </cell>
          <cell r="U123">
            <v>0</v>
          </cell>
        </row>
        <row r="124">
          <cell r="A124" t="str">
            <v>At end of Year</v>
          </cell>
          <cell r="B124">
            <v>0</v>
          </cell>
          <cell r="C124">
            <v>0</v>
          </cell>
          <cell r="D124">
            <v>0</v>
          </cell>
          <cell r="E124">
            <v>0</v>
          </cell>
          <cell r="F124">
            <v>0</v>
          </cell>
          <cell r="G124">
            <v>0</v>
          </cell>
          <cell r="H124">
            <v>21</v>
          </cell>
          <cell r="I124">
            <v>0</v>
          </cell>
          <cell r="K124">
            <v>0</v>
          </cell>
          <cell r="L124">
            <v>0</v>
          </cell>
          <cell r="M124">
            <v>0</v>
          </cell>
          <cell r="N124">
            <v>0</v>
          </cell>
          <cell r="O124">
            <v>0</v>
          </cell>
          <cell r="P124">
            <v>0</v>
          </cell>
          <cell r="Q124">
            <v>0</v>
          </cell>
          <cell r="R124">
            <v>0</v>
          </cell>
          <cell r="S124">
            <v>0</v>
          </cell>
          <cell r="T124">
            <v>0</v>
          </cell>
          <cell r="U124">
            <v>0</v>
          </cell>
        </row>
        <row r="126">
          <cell r="A126" t="str">
            <v>Net book value (at start)</v>
          </cell>
          <cell r="B126">
            <v>1866</v>
          </cell>
          <cell r="C126">
            <v>2623</v>
          </cell>
          <cell r="D126">
            <v>8227</v>
          </cell>
          <cell r="E126">
            <v>8215</v>
          </cell>
          <cell r="F126">
            <v>8647</v>
          </cell>
          <cell r="G126">
            <v>8704</v>
          </cell>
          <cell r="H126">
            <v>9002</v>
          </cell>
          <cell r="I126">
            <v>9160</v>
          </cell>
          <cell r="K126">
            <v>9293</v>
          </cell>
          <cell r="L126">
            <v>9967.3295019157085</v>
          </cell>
          <cell r="M126">
            <v>9967.3295019157085</v>
          </cell>
          <cell r="N126">
            <v>9967.3295019157085</v>
          </cell>
          <cell r="O126">
            <v>9967.3295019157085</v>
          </cell>
          <cell r="P126">
            <v>9967.3295019157085</v>
          </cell>
          <cell r="Q126">
            <v>9967.3295019157085</v>
          </cell>
          <cell r="R126">
            <v>9967.3295019157085</v>
          </cell>
          <cell r="S126">
            <v>9967.3295019157085</v>
          </cell>
          <cell r="T126">
            <v>9967.3295019157085</v>
          </cell>
          <cell r="U126">
            <v>9967.3295019157085</v>
          </cell>
        </row>
        <row r="127">
          <cell r="A127" t="str">
            <v>Net book value of Goodwill (at end)</v>
          </cell>
          <cell r="B127">
            <v>2623</v>
          </cell>
          <cell r="C127">
            <v>8227</v>
          </cell>
          <cell r="D127">
            <v>8215</v>
          </cell>
          <cell r="E127">
            <v>8647</v>
          </cell>
          <cell r="F127">
            <v>8704</v>
          </cell>
          <cell r="G127">
            <v>9002</v>
          </cell>
          <cell r="H127">
            <v>9160</v>
          </cell>
          <cell r="I127">
            <v>9293</v>
          </cell>
          <cell r="K127">
            <v>9967.3295019157085</v>
          </cell>
          <cell r="L127">
            <v>9967.3295019157085</v>
          </cell>
          <cell r="M127">
            <v>9967.3295019157085</v>
          </cell>
          <cell r="N127">
            <v>9967.3295019157085</v>
          </cell>
          <cell r="O127">
            <v>9967.3295019157085</v>
          </cell>
          <cell r="P127">
            <v>9967.3295019157085</v>
          </cell>
          <cell r="Q127">
            <v>9967.3295019157085</v>
          </cell>
          <cell r="R127">
            <v>9967.3295019157085</v>
          </cell>
          <cell r="S127">
            <v>9967.3295019157085</v>
          </cell>
          <cell r="T127">
            <v>9967.3295019157085</v>
          </cell>
          <cell r="U127">
            <v>9967.3295019157085</v>
          </cell>
        </row>
        <row r="129">
          <cell r="A129" t="str">
            <v>4) OTHER INTANGIBLE ASSETS</v>
          </cell>
        </row>
        <row r="130">
          <cell r="A130" t="str">
            <v>Cost</v>
          </cell>
        </row>
        <row r="131">
          <cell r="A131" t="str">
            <v>Cost at start of year</v>
          </cell>
          <cell r="B131">
            <v>7175</v>
          </cell>
          <cell r="C131">
            <v>8810</v>
          </cell>
          <cell r="D131">
            <v>19971</v>
          </cell>
          <cell r="E131">
            <v>19798</v>
          </cell>
          <cell r="F131">
            <v>20680</v>
          </cell>
          <cell r="G131">
            <v>20775</v>
          </cell>
          <cell r="H131">
            <v>21416</v>
          </cell>
          <cell r="I131">
            <v>21470</v>
          </cell>
          <cell r="K131">
            <v>22160</v>
          </cell>
          <cell r="L131">
            <v>23190.692375478928</v>
          </cell>
          <cell r="M131">
            <v>24252.305522222225</v>
          </cell>
          <cell r="N131">
            <v>25345.767063367817</v>
          </cell>
          <cell r="O131">
            <v>26472.032450747778</v>
          </cell>
          <cell r="P131">
            <v>27632.08579974914</v>
          </cell>
          <cell r="Q131">
            <v>28850.141816200568</v>
          </cell>
          <cell r="R131">
            <v>30129.100633474569</v>
          </cell>
          <cell r="S131">
            <v>31472.007391612271</v>
          </cell>
          <cell r="T131">
            <v>32882.059487656858</v>
          </cell>
          <cell r="U131">
            <v>34362.61418850367</v>
          </cell>
        </row>
        <row r="132">
          <cell r="A132" t="str">
            <v>Exchange Adjustments</v>
          </cell>
          <cell r="B132">
            <v>397</v>
          </cell>
          <cell r="C132">
            <v>-360</v>
          </cell>
          <cell r="D132">
            <v>-337</v>
          </cell>
          <cell r="E132">
            <v>96</v>
          </cell>
          <cell r="F132">
            <v>-34</v>
          </cell>
          <cell r="G132">
            <v>318</v>
          </cell>
          <cell r="H132">
            <v>131</v>
          </cell>
          <cell r="I132">
            <v>-106</v>
          </cell>
          <cell r="K132">
            <v>0</v>
          </cell>
          <cell r="L132">
            <v>0</v>
          </cell>
          <cell r="M132">
            <v>0</v>
          </cell>
          <cell r="N132">
            <v>0</v>
          </cell>
          <cell r="O132">
            <v>0</v>
          </cell>
          <cell r="P132">
            <v>0</v>
          </cell>
          <cell r="Q132">
            <v>0</v>
          </cell>
          <cell r="R132">
            <v>0</v>
          </cell>
          <cell r="S132">
            <v>0</v>
          </cell>
          <cell r="T132">
            <v>0</v>
          </cell>
          <cell r="U132">
            <v>0</v>
          </cell>
          <cell r="V132" t="str">
            <v>Hard Coded as 0</v>
          </cell>
        </row>
        <row r="133">
          <cell r="A133" t="str">
            <v>Additions</v>
          </cell>
          <cell r="B133">
            <v>1480</v>
          </cell>
          <cell r="C133">
            <v>12460</v>
          </cell>
          <cell r="D133">
            <v>490</v>
          </cell>
          <cell r="E133">
            <v>873</v>
          </cell>
          <cell r="F133">
            <v>600</v>
          </cell>
          <cell r="G133">
            <v>428</v>
          </cell>
          <cell r="H133">
            <v>530</v>
          </cell>
          <cell r="I133">
            <v>837</v>
          </cell>
          <cell r="K133">
            <v>1030.6923754789273</v>
          </cell>
          <cell r="L133">
            <v>1061.6131467432951</v>
          </cell>
          <cell r="M133">
            <v>1093.4615411455941</v>
          </cell>
          <cell r="N133">
            <v>1126.265387379962</v>
          </cell>
          <cell r="O133">
            <v>1160.0533490013609</v>
          </cell>
          <cell r="P133">
            <v>1218.0560164514291</v>
          </cell>
          <cell r="Q133">
            <v>1278.9588172740005</v>
          </cell>
          <cell r="R133">
            <v>1342.9067581377005</v>
          </cell>
          <cell r="S133">
            <v>1410.0520960445856</v>
          </cell>
          <cell r="T133">
            <v>1480.554700846815</v>
          </cell>
          <cell r="U133">
            <v>1554.5824358891557</v>
          </cell>
          <cell r="V133" t="str">
            <v>Grows at 3% per year</v>
          </cell>
        </row>
        <row r="134">
          <cell r="A134" t="str">
            <v>Disposals/ Other movements</v>
          </cell>
          <cell r="B134">
            <v>-242</v>
          </cell>
          <cell r="C134">
            <v>-939</v>
          </cell>
          <cell r="D134">
            <v>-326</v>
          </cell>
          <cell r="E134">
            <v>-87</v>
          </cell>
          <cell r="F134">
            <v>-471</v>
          </cell>
          <cell r="G134">
            <v>-105</v>
          </cell>
          <cell r="H134">
            <v>-607</v>
          </cell>
          <cell r="I134">
            <v>-41</v>
          </cell>
          <cell r="V134" t="str">
            <v>Same each year</v>
          </cell>
        </row>
        <row r="135">
          <cell r="A135" t="str">
            <v>Cost at end of year</v>
          </cell>
          <cell r="B135">
            <v>8810</v>
          </cell>
          <cell r="C135">
            <v>19971</v>
          </cell>
          <cell r="D135">
            <v>19798</v>
          </cell>
          <cell r="E135">
            <v>20680</v>
          </cell>
          <cell r="F135">
            <v>20775</v>
          </cell>
          <cell r="G135">
            <v>21416</v>
          </cell>
          <cell r="H135">
            <v>21470</v>
          </cell>
          <cell r="I135">
            <v>22160</v>
          </cell>
          <cell r="K135">
            <v>23190.692375478928</v>
          </cell>
          <cell r="L135">
            <v>24252.305522222225</v>
          </cell>
          <cell r="M135">
            <v>25345.767063367817</v>
          </cell>
          <cell r="N135">
            <v>26472.032450747778</v>
          </cell>
          <cell r="O135">
            <v>27632.08579974914</v>
          </cell>
          <cell r="P135">
            <v>28850.141816200568</v>
          </cell>
          <cell r="Q135">
            <v>30129.100633474569</v>
          </cell>
          <cell r="R135">
            <v>31472.007391612271</v>
          </cell>
          <cell r="S135">
            <v>32882.059487656858</v>
          </cell>
          <cell r="T135">
            <v>34362.61418850367</v>
          </cell>
          <cell r="U135">
            <v>35917.196624392825</v>
          </cell>
        </row>
        <row r="136">
          <cell r="A136" t="str">
            <v>Amortization / Impairment</v>
          </cell>
        </row>
        <row r="137">
          <cell r="A137" t="str">
            <v>At start of year</v>
          </cell>
          <cell r="B137">
            <v>3089</v>
          </cell>
          <cell r="C137">
            <v>3745</v>
          </cell>
          <cell r="D137">
            <v>4164</v>
          </cell>
          <cell r="E137">
            <v>5243</v>
          </cell>
          <cell r="F137">
            <v>6729</v>
          </cell>
          <cell r="G137">
            <v>7933</v>
          </cell>
          <cell r="H137">
            <v>10255</v>
          </cell>
          <cell r="I137">
            <v>11175</v>
          </cell>
          <cell r="K137">
            <v>12696</v>
          </cell>
          <cell r="L137">
            <v>14050.955882605778</v>
          </cell>
          <cell r="M137">
            <v>15458.242006643393</v>
          </cell>
          <cell r="N137">
            <v>16919.194648056728</v>
          </cell>
          <cell r="O137">
            <v>18435.19484369396</v>
          </cell>
          <cell r="P137">
            <v>20007.669640682179</v>
          </cell>
          <cell r="Q137">
            <v>21639.829277257548</v>
          </cell>
          <cell r="R137">
            <v>23335.036773404674</v>
          </cell>
          <cell r="S137">
            <v>25096.815724547283</v>
          </cell>
          <cell r="T137">
            <v>26928.858481831387</v>
          </cell>
          <cell r="U137">
            <v>28835.034738392373</v>
          </cell>
        </row>
        <row r="138">
          <cell r="A138" t="str">
            <v>Exchange adjustment</v>
          </cell>
          <cell r="B138">
            <v>222</v>
          </cell>
          <cell r="C138">
            <v>-188</v>
          </cell>
          <cell r="D138">
            <v>-147</v>
          </cell>
          <cell r="E138">
            <v>28</v>
          </cell>
          <cell r="F138">
            <v>-40</v>
          </cell>
          <cell r="G138">
            <v>150</v>
          </cell>
          <cell r="H138">
            <v>64</v>
          </cell>
          <cell r="I138">
            <v>-56</v>
          </cell>
          <cell r="K138">
            <v>0</v>
          </cell>
          <cell r="L138">
            <v>0</v>
          </cell>
          <cell r="M138">
            <v>0</v>
          </cell>
          <cell r="N138">
            <v>0</v>
          </cell>
          <cell r="O138">
            <v>0</v>
          </cell>
          <cell r="P138">
            <v>0</v>
          </cell>
          <cell r="Q138">
            <v>0</v>
          </cell>
          <cell r="R138">
            <v>0</v>
          </cell>
          <cell r="S138">
            <v>0</v>
          </cell>
          <cell r="T138">
            <v>0</v>
          </cell>
          <cell r="U138">
            <v>0</v>
          </cell>
          <cell r="V138" t="str">
            <v>Hard Coded as 0</v>
          </cell>
        </row>
        <row r="139">
          <cell r="A139" t="str">
            <v>Impairment / Amortisation charge</v>
          </cell>
          <cell r="B139">
            <v>622</v>
          </cell>
          <cell r="C139">
            <v>1100</v>
          </cell>
          <cell r="D139">
            <v>1494</v>
          </cell>
          <cell r="E139">
            <v>1550</v>
          </cell>
          <cell r="F139">
            <v>1537</v>
          </cell>
          <cell r="G139">
            <v>2279</v>
          </cell>
          <cell r="H139">
            <v>1439</v>
          </cell>
          <cell r="I139">
            <v>1658</v>
          </cell>
          <cell r="K139">
            <v>1354.9558826057789</v>
          </cell>
          <cell r="L139">
            <v>1407.2861240376155</v>
          </cell>
          <cell r="M139">
            <v>1460.952641413334</v>
          </cell>
          <cell r="N139">
            <v>1516.0001956372323</v>
          </cell>
          <cell r="O139">
            <v>1572.4747969882178</v>
          </cell>
          <cell r="P139">
            <v>1632.1596365753699</v>
          </cell>
          <cell r="Q139">
            <v>1695.2074961471246</v>
          </cell>
          <cell r="R139">
            <v>1761.7789511426076</v>
          </cell>
          <cell r="S139">
            <v>1832.0427572841022</v>
          </cell>
          <cell r="T139">
            <v>1906.1762565609843</v>
          </cell>
          <cell r="U139">
            <v>1984.3658035734568</v>
          </cell>
        </row>
        <row r="140">
          <cell r="A140" t="str">
            <v>Disposals / Other</v>
          </cell>
          <cell r="B140">
            <v>-188</v>
          </cell>
          <cell r="C140">
            <v>-493</v>
          </cell>
          <cell r="D140">
            <v>-268</v>
          </cell>
          <cell r="E140">
            <v>-92</v>
          </cell>
          <cell r="F140">
            <v>-293</v>
          </cell>
          <cell r="G140">
            <v>-107</v>
          </cell>
          <cell r="H140">
            <v>-583</v>
          </cell>
          <cell r="I140">
            <v>-81</v>
          </cell>
          <cell r="K140">
            <v>0</v>
          </cell>
          <cell r="L140">
            <v>0</v>
          </cell>
          <cell r="M140">
            <v>0</v>
          </cell>
          <cell r="N140">
            <v>0</v>
          </cell>
          <cell r="O140">
            <v>0</v>
          </cell>
          <cell r="P140">
            <v>0</v>
          </cell>
          <cell r="Q140">
            <v>0</v>
          </cell>
          <cell r="R140">
            <v>0</v>
          </cell>
          <cell r="S140">
            <v>0</v>
          </cell>
          <cell r="T140">
            <v>0</v>
          </cell>
          <cell r="U140">
            <v>0</v>
          </cell>
          <cell r="V140" t="str">
            <v>Same each year</v>
          </cell>
        </row>
        <row r="141">
          <cell r="A141" t="str">
            <v>At end of Year</v>
          </cell>
          <cell r="B141">
            <v>3745</v>
          </cell>
          <cell r="C141">
            <v>4164</v>
          </cell>
          <cell r="D141">
            <v>5243</v>
          </cell>
          <cell r="E141">
            <v>6729</v>
          </cell>
          <cell r="F141">
            <v>7933</v>
          </cell>
          <cell r="G141">
            <v>10255</v>
          </cell>
          <cell r="H141">
            <v>11175</v>
          </cell>
          <cell r="I141">
            <v>12696</v>
          </cell>
          <cell r="K141">
            <v>14050.955882605778</v>
          </cell>
          <cell r="L141">
            <v>15458.242006643393</v>
          </cell>
          <cell r="M141">
            <v>16919.194648056728</v>
          </cell>
          <cell r="N141">
            <v>18435.19484369396</v>
          </cell>
          <cell r="O141">
            <v>20007.669640682179</v>
          </cell>
          <cell r="P141">
            <v>21639.829277257548</v>
          </cell>
          <cell r="Q141">
            <v>23335.036773404674</v>
          </cell>
          <cell r="R141">
            <v>25096.815724547283</v>
          </cell>
          <cell r="S141">
            <v>26928.858481831387</v>
          </cell>
          <cell r="T141">
            <v>28835.034738392373</v>
          </cell>
          <cell r="U141">
            <v>30819.400541965828</v>
          </cell>
        </row>
        <row r="143">
          <cell r="A143" t="str">
            <v>Net book value (at start)</v>
          </cell>
          <cell r="B143">
            <v>4086</v>
          </cell>
          <cell r="C143">
            <v>5065</v>
          </cell>
          <cell r="D143">
            <v>15807</v>
          </cell>
          <cell r="E143">
            <v>14555</v>
          </cell>
          <cell r="F143">
            <v>13951</v>
          </cell>
          <cell r="G143">
            <v>12842</v>
          </cell>
          <cell r="H143">
            <v>11161</v>
          </cell>
          <cell r="I143">
            <v>10295</v>
          </cell>
          <cell r="K143">
            <v>9464</v>
          </cell>
          <cell r="L143">
            <v>9139.7364928731495</v>
          </cell>
          <cell r="M143">
            <v>8794.0635155788314</v>
          </cell>
          <cell r="N143">
            <v>8426.5724153110896</v>
          </cell>
          <cell r="O143">
            <v>8036.8376070538179</v>
          </cell>
          <cell r="P143">
            <v>7624.416159066961</v>
          </cell>
          <cell r="Q143">
            <v>7210.3125389430206</v>
          </cell>
          <cell r="R143">
            <v>6794.0638600698949</v>
          </cell>
          <cell r="S143">
            <v>6375.191667064988</v>
          </cell>
          <cell r="T143">
            <v>5953.2010058254709</v>
          </cell>
          <cell r="U143">
            <v>5527.5794501112978</v>
          </cell>
        </row>
        <row r="144">
          <cell r="A144" t="str">
            <v>Net book value of Intangibles (at end)</v>
          </cell>
          <cell r="B144">
            <v>5065</v>
          </cell>
          <cell r="C144">
            <v>15807</v>
          </cell>
          <cell r="D144">
            <v>14555</v>
          </cell>
          <cell r="E144">
            <v>13951</v>
          </cell>
          <cell r="F144">
            <v>12842</v>
          </cell>
          <cell r="G144">
            <v>11161</v>
          </cell>
          <cell r="H144">
            <v>10295</v>
          </cell>
          <cell r="I144">
            <v>9464</v>
          </cell>
          <cell r="K144">
            <v>9139.7364928731495</v>
          </cell>
          <cell r="L144">
            <v>8794.0635155788314</v>
          </cell>
          <cell r="M144">
            <v>8426.5724153110896</v>
          </cell>
          <cell r="N144">
            <v>8036.8376070538179</v>
          </cell>
          <cell r="O144">
            <v>7624.416159066961</v>
          </cell>
          <cell r="P144">
            <v>7210.3125389430206</v>
          </cell>
          <cell r="Q144">
            <v>6794.0638600698949</v>
          </cell>
          <cell r="R144">
            <v>6375.191667064988</v>
          </cell>
          <cell r="S144">
            <v>5953.2010058254709</v>
          </cell>
          <cell r="T144">
            <v>5527.5794501112978</v>
          </cell>
          <cell r="U144">
            <v>5097.7960824269976</v>
          </cell>
        </row>
        <row r="146">
          <cell r="A146" t="str">
            <v>CAPEX/ Amortization Charge</v>
          </cell>
          <cell r="B146">
            <v>2.379421221864952</v>
          </cell>
          <cell r="C146">
            <v>11.327272727272728</v>
          </cell>
          <cell r="D146">
            <v>0.32797858099062921</v>
          </cell>
          <cell r="E146">
            <v>0.56322580645161291</v>
          </cell>
          <cell r="F146">
            <v>0.39037085230969421</v>
          </cell>
          <cell r="G146">
            <v>0.18780166739798157</v>
          </cell>
          <cell r="H146">
            <v>0.36831132731063237</v>
          </cell>
          <cell r="I146">
            <v>0.50482509047044632</v>
          </cell>
          <cell r="K146">
            <v>0.7606833467498253</v>
          </cell>
          <cell r="L146">
            <v>0.75436908572468742</v>
          </cell>
          <cell r="M146">
            <v>0.7484578966829295</v>
          </cell>
          <cell r="N146">
            <v>0.74291902509059371</v>
          </cell>
          <cell r="O146">
            <v>0.73772460533118034</v>
          </cell>
          <cell r="P146">
            <v>0.74628485422368285</v>
          </cell>
          <cell r="Q146">
            <v>0.75445561689694263</v>
          </cell>
          <cell r="R146">
            <v>0.76224475111747358</v>
          </cell>
          <cell r="S146">
            <v>0.7696611285071242</v>
          </cell>
          <cell r="T146">
            <v>0.77671448049507674</v>
          </cell>
          <cell r="U146">
            <v>0.7834152519105374</v>
          </cell>
        </row>
        <row r="147">
          <cell r="A147" t="str">
            <v>Average Useful Life</v>
          </cell>
          <cell r="B147">
            <v>14.163987138263666</v>
          </cell>
          <cell r="C147">
            <v>18.155454545454546</v>
          </cell>
          <cell r="D147">
            <v>13.251673360107095</v>
          </cell>
          <cell r="E147">
            <v>13.341935483870968</v>
          </cell>
          <cell r="F147">
            <v>13.516590761223162</v>
          </cell>
          <cell r="G147">
            <v>9.3971039929793765</v>
          </cell>
          <cell r="H147">
            <v>14.920083391243919</v>
          </cell>
          <cell r="I147">
            <v>13.365500603136308</v>
          </cell>
          <cell r="K147">
            <v>13.365500603136308</v>
          </cell>
          <cell r="L147">
            <v>13.365500603136308</v>
          </cell>
          <cell r="M147">
            <v>13.365500603136308</v>
          </cell>
          <cell r="N147">
            <v>13.365500603136308</v>
          </cell>
          <cell r="O147">
            <v>13.365500603136308</v>
          </cell>
          <cell r="P147">
            <v>13.365500603136308</v>
          </cell>
          <cell r="Q147">
            <v>13.365500603136308</v>
          </cell>
          <cell r="R147">
            <v>13.365500603136308</v>
          </cell>
          <cell r="S147">
            <v>13.365500603136308</v>
          </cell>
          <cell r="T147">
            <v>13.365500603136308</v>
          </cell>
          <cell r="U147">
            <v>13.365500603136308</v>
          </cell>
        </row>
        <row r="149">
          <cell r="A149" t="str">
            <v>5) CASH AND DEBT</v>
          </cell>
        </row>
        <row r="150">
          <cell r="A150" t="str">
            <v>Long Term Debt</v>
          </cell>
        </row>
        <row r="151">
          <cell r="A151" t="str">
            <v>New debt</v>
          </cell>
          <cell r="F151">
            <v>-846</v>
          </cell>
          <cell r="G151">
            <v>0</v>
          </cell>
        </row>
        <row r="152">
          <cell r="A152" t="str">
            <v>Repayment</v>
          </cell>
          <cell r="F152">
            <v>0</v>
          </cell>
          <cell r="G152">
            <v>1516</v>
          </cell>
          <cell r="H152">
            <v>0</v>
          </cell>
          <cell r="I152">
            <v>0</v>
          </cell>
          <cell r="K152">
            <v>0</v>
          </cell>
          <cell r="L152">
            <v>0</v>
          </cell>
          <cell r="M152">
            <v>0</v>
          </cell>
          <cell r="N152">
            <v>0</v>
          </cell>
          <cell r="O152">
            <v>0</v>
          </cell>
          <cell r="P152">
            <v>0</v>
          </cell>
          <cell r="Q152">
            <v>0</v>
          </cell>
          <cell r="R152">
            <v>0</v>
          </cell>
          <cell r="S152">
            <v>0</v>
          </cell>
          <cell r="T152">
            <v>0</v>
          </cell>
          <cell r="U152">
            <v>0</v>
          </cell>
        </row>
        <row r="153">
          <cell r="A153" t="str">
            <v>Transfer to short term</v>
          </cell>
          <cell r="G153">
            <v>0</v>
          </cell>
          <cell r="H153">
            <v>1949</v>
          </cell>
          <cell r="I153">
            <v>1033</v>
          </cell>
          <cell r="K153">
            <v>0</v>
          </cell>
          <cell r="L153">
            <v>0</v>
          </cell>
          <cell r="M153">
            <v>0</v>
          </cell>
          <cell r="N153">
            <v>0</v>
          </cell>
          <cell r="O153">
            <v>0</v>
          </cell>
          <cell r="P153">
            <v>0</v>
          </cell>
          <cell r="Q153">
            <v>0</v>
          </cell>
          <cell r="R153">
            <v>0</v>
          </cell>
          <cell r="S153">
            <v>0</v>
          </cell>
          <cell r="T153">
            <v>0</v>
          </cell>
          <cell r="U153">
            <v>0</v>
          </cell>
        </row>
        <row r="154">
          <cell r="A154" t="str">
            <v>Total</v>
          </cell>
          <cell r="B154">
            <v>-7185</v>
          </cell>
          <cell r="C154">
            <v>-14723</v>
          </cell>
          <cell r="D154">
            <v>-13081</v>
          </cell>
          <cell r="E154">
            <v>-10614</v>
          </cell>
          <cell r="F154">
            <v>-11460</v>
          </cell>
          <cell r="G154">
            <v>-9944</v>
          </cell>
          <cell r="H154">
            <v>-7995</v>
          </cell>
          <cell r="I154">
            <v>-6962</v>
          </cell>
          <cell r="K154">
            <v>-6962</v>
          </cell>
          <cell r="L154">
            <v>-6962</v>
          </cell>
          <cell r="M154">
            <v>-6962</v>
          </cell>
          <cell r="N154">
            <v>-6962</v>
          </cell>
          <cell r="O154">
            <v>-6962</v>
          </cell>
          <cell r="P154">
            <v>-6962</v>
          </cell>
          <cell r="Q154">
            <v>-6962</v>
          </cell>
          <cell r="R154">
            <v>-6962</v>
          </cell>
          <cell r="S154">
            <v>-6962</v>
          </cell>
          <cell r="T154">
            <v>-6962</v>
          </cell>
          <cell r="U154">
            <v>-6962</v>
          </cell>
        </row>
        <row r="156">
          <cell r="A156" t="str">
            <v>Short Term Debt</v>
          </cell>
        </row>
        <row r="157">
          <cell r="A157" t="str">
            <v>New debt</v>
          </cell>
          <cell r="G157">
            <v>-400</v>
          </cell>
        </row>
        <row r="158">
          <cell r="A158" t="str">
            <v>From long term</v>
          </cell>
          <cell r="F158">
            <v>0</v>
          </cell>
          <cell r="G158">
            <v>0</v>
          </cell>
          <cell r="H158">
            <v>1949</v>
          </cell>
          <cell r="I158">
            <v>1033</v>
          </cell>
          <cell r="K158">
            <v>0</v>
          </cell>
          <cell r="L158">
            <v>0</v>
          </cell>
          <cell r="M158">
            <v>0</v>
          </cell>
          <cell r="N158">
            <v>0</v>
          </cell>
          <cell r="O158">
            <v>0</v>
          </cell>
          <cell r="P158">
            <v>0</v>
          </cell>
          <cell r="Q158">
            <v>0</v>
          </cell>
          <cell r="R158">
            <v>0</v>
          </cell>
          <cell r="S158">
            <v>0</v>
          </cell>
          <cell r="T158">
            <v>0</v>
          </cell>
          <cell r="U158">
            <v>0</v>
          </cell>
        </row>
        <row r="159">
          <cell r="A159" t="str">
            <v>Repayment</v>
          </cell>
          <cell r="F159">
            <v>4767</v>
          </cell>
          <cell r="G159">
            <v>300</v>
          </cell>
          <cell r="H159">
            <v>154</v>
          </cell>
          <cell r="I159">
            <v>2147</v>
          </cell>
          <cell r="K159">
            <v>0</v>
          </cell>
        </row>
        <row r="160">
          <cell r="A160" t="str">
            <v>Total</v>
          </cell>
          <cell r="B160">
            <v>-1767</v>
          </cell>
          <cell r="C160">
            <v>-5078</v>
          </cell>
          <cell r="D160">
            <v>-1336</v>
          </cell>
          <cell r="E160">
            <v>-6256</v>
          </cell>
          <cell r="F160">
            <v>-1489</v>
          </cell>
          <cell r="G160">
            <v>-1889</v>
          </cell>
          <cell r="H160">
            <v>-3684</v>
          </cell>
          <cell r="I160">
            <v>-2570</v>
          </cell>
          <cell r="K160">
            <v>-2570</v>
          </cell>
          <cell r="L160">
            <v>-2570</v>
          </cell>
          <cell r="M160">
            <v>-2570</v>
          </cell>
          <cell r="N160">
            <v>-2570</v>
          </cell>
          <cell r="O160">
            <v>-2570</v>
          </cell>
          <cell r="P160">
            <v>-2570</v>
          </cell>
          <cell r="Q160">
            <v>-2570</v>
          </cell>
          <cell r="R160">
            <v>-2570</v>
          </cell>
          <cell r="S160">
            <v>-2570</v>
          </cell>
          <cell r="T160">
            <v>-2570</v>
          </cell>
          <cell r="U160">
            <v>-2570</v>
          </cell>
        </row>
        <row r="162">
          <cell r="A162" t="str">
            <v>Cash</v>
          </cell>
        </row>
        <row r="163">
          <cell r="A163" t="str">
            <v>Cash and equivalents</v>
          </cell>
          <cell r="B163">
            <v>3290</v>
          </cell>
          <cell r="C163">
            <v>2915</v>
          </cell>
          <cell r="D163">
            <v>2531</v>
          </cell>
          <cell r="E163">
            <v>2094</v>
          </cell>
          <cell r="F163">
            <v>2725</v>
          </cell>
          <cell r="G163">
            <v>2840</v>
          </cell>
          <cell r="H163">
            <v>1770</v>
          </cell>
          <cell r="I163">
            <v>1695</v>
          </cell>
          <cell r="K163">
            <v>2940.2381107796036</v>
          </cell>
          <cell r="L163">
            <v>5202.7554415982968</v>
          </cell>
          <cell r="M163">
            <v>8103.1911553998225</v>
          </cell>
          <cell r="N163">
            <v>11198.110107028626</v>
          </cell>
          <cell r="O163">
            <v>14662.772169261332</v>
          </cell>
          <cell r="P163">
            <v>18195.030195090942</v>
          </cell>
          <cell r="Q163">
            <v>22169.285647441851</v>
          </cell>
          <cell r="R163">
            <v>26743.644438541887</v>
          </cell>
          <cell r="S163">
            <v>30810.198207093683</v>
          </cell>
          <cell r="T163">
            <v>34998.699215212851</v>
          </cell>
          <cell r="U163">
            <v>39184.297769605837</v>
          </cell>
        </row>
        <row r="165">
          <cell r="A165" t="str">
            <v>Cash and equivalents</v>
          </cell>
          <cell r="C165">
            <v>4.3190975020145045E-2</v>
          </cell>
          <cell r="D165">
            <v>4.8475945648182153E-2</v>
          </cell>
          <cell r="E165">
            <v>3.3729729729729728E-2</v>
          </cell>
          <cell r="F165">
            <v>1.9921145465864286E-2</v>
          </cell>
          <cell r="G165">
            <v>1.9047619047619049E-2</v>
          </cell>
          <cell r="H165">
            <v>3.2537960954446853E-2</v>
          </cell>
          <cell r="I165">
            <v>9.9278499278499285E-2</v>
          </cell>
          <cell r="K165">
            <v>5.0000000000000001E-3</v>
          </cell>
          <cell r="L165">
            <v>0.01</v>
          </cell>
          <cell r="M165">
            <v>0.01</v>
          </cell>
          <cell r="N165">
            <v>0.02</v>
          </cell>
          <cell r="O165">
            <v>0.03</v>
          </cell>
          <cell r="P165">
            <v>0.03</v>
          </cell>
          <cell r="Q165">
            <v>0.03</v>
          </cell>
          <cell r="R165">
            <v>0.03</v>
          </cell>
          <cell r="S165">
            <v>0.03</v>
          </cell>
          <cell r="T165">
            <v>0.03</v>
          </cell>
          <cell r="U165">
            <v>0.03</v>
          </cell>
        </row>
        <row r="167">
          <cell r="A167" t="str">
            <v>Dividends from affiliates</v>
          </cell>
          <cell r="C167">
            <v>5</v>
          </cell>
          <cell r="D167">
            <v>0</v>
          </cell>
          <cell r="E167">
            <v>0</v>
          </cell>
          <cell r="F167">
            <v>0</v>
          </cell>
          <cell r="G167">
            <v>0</v>
          </cell>
          <cell r="H167">
            <v>0</v>
          </cell>
          <cell r="I167">
            <v>0</v>
          </cell>
          <cell r="K167">
            <v>0</v>
          </cell>
          <cell r="L167">
            <v>0</v>
          </cell>
          <cell r="M167">
            <v>0</v>
          </cell>
          <cell r="N167">
            <v>0</v>
          </cell>
          <cell r="O167">
            <v>0</v>
          </cell>
          <cell r="P167">
            <v>0</v>
          </cell>
          <cell r="Q167">
            <v>0</v>
          </cell>
          <cell r="R167">
            <v>0</v>
          </cell>
          <cell r="S167">
            <v>0</v>
          </cell>
          <cell r="T167">
            <v>0</v>
          </cell>
          <cell r="U167">
            <v>0</v>
          </cell>
        </row>
        <row r="168">
          <cell r="A168" t="str">
            <v>Gains from sale of affiliates</v>
          </cell>
          <cell r="C168">
            <v>259</v>
          </cell>
          <cell r="D168">
            <v>3</v>
          </cell>
          <cell r="E168">
            <v>0</v>
          </cell>
          <cell r="F168">
            <v>0</v>
          </cell>
          <cell r="G168">
            <v>0</v>
          </cell>
          <cell r="H168">
            <v>0</v>
          </cell>
          <cell r="I168">
            <v>0</v>
          </cell>
          <cell r="K168">
            <v>0</v>
          </cell>
          <cell r="L168">
            <v>0</v>
          </cell>
          <cell r="M168">
            <v>0</v>
          </cell>
          <cell r="N168">
            <v>0</v>
          </cell>
          <cell r="O168">
            <v>0</v>
          </cell>
          <cell r="P168">
            <v>0</v>
          </cell>
          <cell r="Q168">
            <v>0</v>
          </cell>
          <cell r="R168">
            <v>0</v>
          </cell>
          <cell r="S168">
            <v>0</v>
          </cell>
          <cell r="T168">
            <v>0</v>
          </cell>
          <cell r="U168">
            <v>0</v>
          </cell>
        </row>
        <row r="169">
          <cell r="A169" t="str">
            <v>Interest income (cash)</v>
          </cell>
          <cell r="C169">
            <v>134</v>
          </cell>
          <cell r="D169">
            <v>132</v>
          </cell>
          <cell r="E169">
            <v>78</v>
          </cell>
          <cell r="F169">
            <v>48</v>
          </cell>
          <cell r="G169">
            <v>53</v>
          </cell>
          <cell r="H169">
            <v>75</v>
          </cell>
          <cell r="I169">
            <v>172</v>
          </cell>
          <cell r="K169">
            <v>11.588095276949009</v>
          </cell>
          <cell r="L169">
            <v>40.714967761889504</v>
          </cell>
          <cell r="M169">
            <v>66.529732984990602</v>
          </cell>
          <cell r="N169">
            <v>193.0130126242845</v>
          </cell>
          <cell r="O169">
            <v>387.91323414434936</v>
          </cell>
          <cell r="P169">
            <v>492.86703546528412</v>
          </cell>
          <cell r="Q169">
            <v>605.4647376379919</v>
          </cell>
          <cell r="R169">
            <v>733.693951289756</v>
          </cell>
          <cell r="S169">
            <v>863.30763968453346</v>
          </cell>
          <cell r="T169">
            <v>987.13346133459788</v>
          </cell>
          <cell r="U169">
            <v>1112.7449547722804</v>
          </cell>
        </row>
        <row r="170">
          <cell r="A170" t="str">
            <v>Interest income (pension)</v>
          </cell>
          <cell r="C170">
            <v>260</v>
          </cell>
          <cell r="D170">
            <v>480</v>
          </cell>
          <cell r="E170">
            <v>93</v>
          </cell>
          <cell r="F170">
            <v>219</v>
          </cell>
          <cell r="G170">
            <v>166</v>
          </cell>
          <cell r="H170">
            <v>313</v>
          </cell>
          <cell r="I170">
            <v>145</v>
          </cell>
          <cell r="K170">
            <v>145</v>
          </cell>
          <cell r="L170">
            <v>145</v>
          </cell>
          <cell r="M170">
            <v>145</v>
          </cell>
          <cell r="N170">
            <v>145</v>
          </cell>
          <cell r="O170">
            <v>145</v>
          </cell>
          <cell r="P170">
            <v>145</v>
          </cell>
          <cell r="Q170">
            <v>145</v>
          </cell>
          <cell r="R170">
            <v>145</v>
          </cell>
          <cell r="S170">
            <v>145</v>
          </cell>
          <cell r="T170">
            <v>145</v>
          </cell>
          <cell r="U170">
            <v>145</v>
          </cell>
        </row>
        <row r="171">
          <cell r="A171" t="str">
            <v xml:space="preserve">Interest income from derivs </v>
          </cell>
          <cell r="C171">
            <v>259</v>
          </cell>
          <cell r="D171">
            <v>114</v>
          </cell>
          <cell r="E171">
            <v>370</v>
          </cell>
          <cell r="F171">
            <v>490</v>
          </cell>
          <cell r="G171">
            <v>152</v>
          </cell>
          <cell r="H171">
            <v>175</v>
          </cell>
          <cell r="I171">
            <v>174</v>
          </cell>
          <cell r="K171">
            <v>174</v>
          </cell>
          <cell r="L171">
            <v>174</v>
          </cell>
          <cell r="M171">
            <v>174</v>
          </cell>
          <cell r="N171">
            <v>174</v>
          </cell>
          <cell r="O171">
            <v>174</v>
          </cell>
          <cell r="P171">
            <v>174</v>
          </cell>
          <cell r="Q171">
            <v>174</v>
          </cell>
          <cell r="R171">
            <v>174</v>
          </cell>
          <cell r="S171">
            <v>174</v>
          </cell>
          <cell r="T171">
            <v>174</v>
          </cell>
          <cell r="U171">
            <v>174</v>
          </cell>
        </row>
        <row r="172">
          <cell r="A172" t="str">
            <v>Exchange gain</v>
          </cell>
          <cell r="C172">
            <v>0</v>
          </cell>
          <cell r="D172">
            <v>88</v>
          </cell>
          <cell r="E172">
            <v>0</v>
          </cell>
          <cell r="F172">
            <v>0</v>
          </cell>
          <cell r="G172">
            <v>0</v>
          </cell>
          <cell r="H172">
            <v>0</v>
          </cell>
          <cell r="I172">
            <v>0</v>
          </cell>
          <cell r="K172">
            <v>0</v>
          </cell>
          <cell r="L172">
            <v>0</v>
          </cell>
          <cell r="M172">
            <v>0</v>
          </cell>
          <cell r="N172">
            <v>0</v>
          </cell>
          <cell r="O172">
            <v>0</v>
          </cell>
          <cell r="P172">
            <v>0</v>
          </cell>
          <cell r="Q172">
            <v>0</v>
          </cell>
          <cell r="R172">
            <v>0</v>
          </cell>
          <cell r="S172">
            <v>0</v>
          </cell>
          <cell r="T172">
            <v>0</v>
          </cell>
          <cell r="U172">
            <v>0</v>
          </cell>
        </row>
        <row r="173">
          <cell r="A173" t="str">
            <v>Miscellaneous</v>
          </cell>
          <cell r="C173">
            <v>14</v>
          </cell>
          <cell r="D173">
            <v>17</v>
          </cell>
          <cell r="E173">
            <v>0</v>
          </cell>
          <cell r="F173">
            <v>0</v>
          </cell>
          <cell r="G173">
            <v>0</v>
          </cell>
          <cell r="H173">
            <v>0</v>
          </cell>
          <cell r="I173">
            <v>0</v>
          </cell>
          <cell r="K173">
            <v>0</v>
          </cell>
          <cell r="L173">
            <v>0</v>
          </cell>
          <cell r="M173">
            <v>0</v>
          </cell>
          <cell r="N173">
            <v>0</v>
          </cell>
          <cell r="O173">
            <v>0</v>
          </cell>
          <cell r="P173">
            <v>0</v>
          </cell>
          <cell r="Q173">
            <v>0</v>
          </cell>
          <cell r="R173">
            <v>0</v>
          </cell>
          <cell r="S173">
            <v>0</v>
          </cell>
          <cell r="T173">
            <v>0</v>
          </cell>
          <cell r="U173">
            <v>0</v>
          </cell>
        </row>
        <row r="174">
          <cell r="A174" t="str">
            <v>Non operating income</v>
          </cell>
          <cell r="C174">
            <v>931</v>
          </cell>
          <cell r="D174">
            <v>834</v>
          </cell>
          <cell r="E174">
            <v>541</v>
          </cell>
          <cell r="F174">
            <v>757</v>
          </cell>
          <cell r="G174">
            <v>371</v>
          </cell>
          <cell r="H174">
            <v>563</v>
          </cell>
          <cell r="I174">
            <v>491</v>
          </cell>
          <cell r="K174">
            <v>330.58809527694905</v>
          </cell>
          <cell r="L174">
            <v>359.71496776188951</v>
          </cell>
          <cell r="M174">
            <v>385.52973298499057</v>
          </cell>
          <cell r="N174">
            <v>512.01301262428456</v>
          </cell>
          <cell r="O174">
            <v>706.91323414434942</v>
          </cell>
          <cell r="P174">
            <v>811.86703546528406</v>
          </cell>
          <cell r="Q174">
            <v>924.4647376379919</v>
          </cell>
          <cell r="R174">
            <v>1052.6939512897561</v>
          </cell>
          <cell r="S174">
            <v>1182.3076396845336</v>
          </cell>
          <cell r="T174">
            <v>1306.133461334598</v>
          </cell>
          <cell r="U174">
            <v>1431.7449547722804</v>
          </cell>
        </row>
        <row r="176">
          <cell r="A176" t="str">
            <v>Interest rate on debt</v>
          </cell>
          <cell r="C176">
            <v>7.4774806107188813E-2</v>
          </cell>
          <cell r="D176">
            <v>7.7152375942486418E-2</v>
          </cell>
          <cell r="E176">
            <v>6.0600249304823092E-2</v>
          </cell>
          <cell r="F176">
            <v>5.4663134243267714E-2</v>
          </cell>
          <cell r="G176">
            <v>5.5685578242272618E-2</v>
          </cell>
          <cell r="H176">
            <v>6.1755699217420891E-2</v>
          </cell>
          <cell r="I176">
            <v>5.5348639856678136E-2</v>
          </cell>
          <cell r="K176">
            <v>5.5E-2</v>
          </cell>
          <cell r="L176">
            <v>5.5E-2</v>
          </cell>
          <cell r="M176">
            <v>5.5E-2</v>
          </cell>
          <cell r="N176">
            <v>5.5E-2</v>
          </cell>
          <cell r="O176">
            <v>5.5E-2</v>
          </cell>
          <cell r="P176">
            <v>5.5E-2</v>
          </cell>
          <cell r="Q176">
            <v>5.5E-2</v>
          </cell>
          <cell r="R176">
            <v>5.5E-2</v>
          </cell>
          <cell r="S176">
            <v>5.5E-2</v>
          </cell>
          <cell r="T176">
            <v>5.5E-2</v>
          </cell>
          <cell r="U176">
            <v>5.5E-2</v>
          </cell>
        </row>
        <row r="177">
          <cell r="A177" t="str">
            <v>Interest rate on provisions</v>
          </cell>
          <cell r="C177">
            <v>1.9145739429062031E-2</v>
          </cell>
          <cell r="D177">
            <v>2.2169152435452619E-2</v>
          </cell>
          <cell r="E177">
            <v>2.8192839018889203E-2</v>
          </cell>
          <cell r="F177">
            <v>3.9667015421007139E-2</v>
          </cell>
          <cell r="G177">
            <v>3.1293375394321768E-2</v>
          </cell>
          <cell r="H177">
            <v>2.546419098143236E-2</v>
          </cell>
          <cell r="I177">
            <v>2.1376085504342019E-2</v>
          </cell>
          <cell r="K177">
            <v>1.8461570125323946E-2</v>
          </cell>
          <cell r="L177">
            <v>1.8694720440701765E-2</v>
          </cell>
          <cell r="M177">
            <v>1.8927037119258715E-2</v>
          </cell>
          <cell r="N177">
            <v>1.9158434571745486E-2</v>
          </cell>
          <cell r="O177">
            <v>1.9388828729191159E-2</v>
          </cell>
          <cell r="P177">
            <v>1.9618137158699651E-2</v>
          </cell>
          <cell r="Q177">
            <v>1.9846279173901294E-2</v>
          </cell>
          <cell r="R177">
            <v>2.0073175939776623E-2</v>
          </cell>
          <cell r="S177">
            <v>2.0298750571599449E-2</v>
          </cell>
          <cell r="T177">
            <v>0</v>
          </cell>
          <cell r="U177" t="e">
            <v>#VALUE!</v>
          </cell>
        </row>
        <row r="179">
          <cell r="A179" t="str">
            <v>Writedowns of affiliates</v>
          </cell>
          <cell r="C179">
            <v>-20</v>
          </cell>
          <cell r="D179">
            <v>-27</v>
          </cell>
          <cell r="E179">
            <v>0</v>
          </cell>
          <cell r="F179">
            <v>0</v>
          </cell>
          <cell r="G179">
            <v>0</v>
          </cell>
          <cell r="H179">
            <v>0</v>
          </cell>
          <cell r="I179">
            <v>0</v>
          </cell>
          <cell r="K179">
            <v>0</v>
          </cell>
          <cell r="L179">
            <v>0</v>
          </cell>
          <cell r="M179">
            <v>0</v>
          </cell>
          <cell r="N179">
            <v>0</v>
          </cell>
          <cell r="O179">
            <v>0</v>
          </cell>
          <cell r="P179">
            <v>0</v>
          </cell>
          <cell r="Q179">
            <v>0</v>
          </cell>
          <cell r="R179">
            <v>0</v>
          </cell>
          <cell r="S179">
            <v>0</v>
          </cell>
          <cell r="T179">
            <v>0</v>
          </cell>
          <cell r="U179">
            <v>0</v>
          </cell>
        </row>
        <row r="180">
          <cell r="A180" t="str">
            <v>Loss from sale of affiliates</v>
          </cell>
          <cell r="C180">
            <v>-12</v>
          </cell>
          <cell r="D180">
            <v>0</v>
          </cell>
          <cell r="E180">
            <v>0</v>
          </cell>
          <cell r="F180">
            <v>0</v>
          </cell>
          <cell r="G180">
            <v>0</v>
          </cell>
          <cell r="H180">
            <v>0</v>
          </cell>
          <cell r="I180">
            <v>0</v>
          </cell>
          <cell r="K180">
            <v>0</v>
          </cell>
          <cell r="L180">
            <v>0</v>
          </cell>
          <cell r="M180">
            <v>0</v>
          </cell>
          <cell r="N180">
            <v>0</v>
          </cell>
          <cell r="O180">
            <v>0</v>
          </cell>
          <cell r="P180">
            <v>0</v>
          </cell>
          <cell r="Q180">
            <v>0</v>
          </cell>
          <cell r="R180">
            <v>0</v>
          </cell>
          <cell r="S180">
            <v>0</v>
          </cell>
          <cell r="T180">
            <v>0</v>
          </cell>
          <cell r="U180">
            <v>0</v>
          </cell>
        </row>
        <row r="181">
          <cell r="A181" t="str">
            <v>Interest expense</v>
          </cell>
          <cell r="C181">
            <v>-1075</v>
          </cell>
          <cell r="D181">
            <v>-1320</v>
          </cell>
          <cell r="E181">
            <v>-948</v>
          </cell>
          <cell r="F181">
            <v>-815</v>
          </cell>
          <cell r="G181">
            <v>-690</v>
          </cell>
          <cell r="H181">
            <v>-726</v>
          </cell>
          <cell r="I181">
            <v>-587</v>
          </cell>
          <cell r="K181">
            <v>-524.26</v>
          </cell>
          <cell r="L181">
            <v>-524.26</v>
          </cell>
          <cell r="M181">
            <v>-524.26</v>
          </cell>
          <cell r="N181">
            <v>-524.26</v>
          </cell>
          <cell r="O181">
            <v>-524.26</v>
          </cell>
          <cell r="P181">
            <v>-524.26</v>
          </cell>
          <cell r="Q181">
            <v>-524.26</v>
          </cell>
          <cell r="R181">
            <v>-524.26</v>
          </cell>
          <cell r="S181">
            <v>-524.26</v>
          </cell>
          <cell r="T181">
            <v>-524.26</v>
          </cell>
          <cell r="U181">
            <v>-524.26</v>
          </cell>
        </row>
        <row r="182">
          <cell r="A182" t="str">
            <v>Interest expense (derivs)</v>
          </cell>
          <cell r="C182">
            <v>-306</v>
          </cell>
          <cell r="D182">
            <v>-107</v>
          </cell>
          <cell r="E182">
            <v>-295</v>
          </cell>
          <cell r="F182">
            <v>-490</v>
          </cell>
          <cell r="G182">
            <v>-180</v>
          </cell>
          <cell r="H182">
            <v>-172</v>
          </cell>
          <cell r="I182">
            <v>-156</v>
          </cell>
          <cell r="K182">
            <v>-174</v>
          </cell>
          <cell r="L182">
            <v>-174</v>
          </cell>
          <cell r="M182">
            <v>-174</v>
          </cell>
          <cell r="N182">
            <v>-174</v>
          </cell>
          <cell r="O182">
            <v>-174</v>
          </cell>
          <cell r="P182">
            <v>-174</v>
          </cell>
          <cell r="Q182">
            <v>-174</v>
          </cell>
          <cell r="R182">
            <v>-174</v>
          </cell>
          <cell r="S182">
            <v>-174</v>
          </cell>
          <cell r="T182">
            <v>-174</v>
          </cell>
          <cell r="U182">
            <v>-174</v>
          </cell>
        </row>
        <row r="183">
          <cell r="A183" t="str">
            <v>Interest expense (provisions)</v>
          </cell>
          <cell r="C183">
            <v>-223</v>
          </cell>
          <cell r="D183">
            <v>-246</v>
          </cell>
          <cell r="E183">
            <v>-300</v>
          </cell>
          <cell r="F183">
            <v>-436</v>
          </cell>
          <cell r="G183">
            <v>-372</v>
          </cell>
          <cell r="H183">
            <v>-336</v>
          </cell>
          <cell r="I183">
            <v>-320</v>
          </cell>
          <cell r="K183">
            <v>-301.392</v>
          </cell>
          <cell r="L183">
            <v>-309.835668</v>
          </cell>
          <cell r="M183">
            <v>-318.50810315399985</v>
          </cell>
          <cell r="N183">
            <v>-327.41519666826883</v>
          </cell>
          <cell r="O183">
            <v>-336.56297895535477</v>
          </cell>
          <cell r="P183">
            <v>-345.95762238741008</v>
          </cell>
          <cell r="Q183">
            <v>-355.6054440789303</v>
          </cell>
          <cell r="R183">
            <v>-365.51290869782105</v>
          </cell>
          <cell r="S183">
            <v>-375.68663130360466</v>
          </cell>
          <cell r="T183">
            <v>0</v>
          </cell>
          <cell r="U183" t="e">
            <v>#VALUE!</v>
          </cell>
        </row>
        <row r="184">
          <cell r="A184" t="str">
            <v>Exchange loss</v>
          </cell>
          <cell r="C184">
            <v>-18</v>
          </cell>
          <cell r="D184">
            <v>0</v>
          </cell>
          <cell r="E184">
            <v>0</v>
          </cell>
          <cell r="F184">
            <v>-92</v>
          </cell>
          <cell r="G184">
            <v>-70</v>
          </cell>
          <cell r="H184">
            <v>-53</v>
          </cell>
          <cell r="I184">
            <v>-69</v>
          </cell>
          <cell r="K184">
            <v>0</v>
          </cell>
          <cell r="L184">
            <v>0</v>
          </cell>
          <cell r="M184">
            <v>0</v>
          </cell>
          <cell r="N184">
            <v>0</v>
          </cell>
          <cell r="O184">
            <v>0</v>
          </cell>
          <cell r="P184">
            <v>0</v>
          </cell>
          <cell r="Q184">
            <v>0</v>
          </cell>
          <cell r="R184">
            <v>0</v>
          </cell>
          <cell r="S184">
            <v>0</v>
          </cell>
          <cell r="T184">
            <v>0</v>
          </cell>
          <cell r="U184">
            <v>0</v>
          </cell>
        </row>
        <row r="185">
          <cell r="A185" t="str">
            <v>Miscellaneous</v>
          </cell>
          <cell r="C185">
            <v>-34</v>
          </cell>
          <cell r="D185">
            <v>-9</v>
          </cell>
          <cell r="E185">
            <v>-73</v>
          </cell>
          <cell r="F185">
            <v>-16</v>
          </cell>
          <cell r="G185">
            <v>-11</v>
          </cell>
          <cell r="H185">
            <v>-24</v>
          </cell>
          <cell r="I185">
            <v>-28</v>
          </cell>
          <cell r="K185">
            <v>0</v>
          </cell>
          <cell r="L185">
            <v>0</v>
          </cell>
          <cell r="M185">
            <v>0</v>
          </cell>
          <cell r="N185">
            <v>0</v>
          </cell>
          <cell r="O185">
            <v>0</v>
          </cell>
          <cell r="P185">
            <v>0</v>
          </cell>
          <cell r="Q185">
            <v>0</v>
          </cell>
          <cell r="R185">
            <v>0</v>
          </cell>
          <cell r="S185">
            <v>0</v>
          </cell>
          <cell r="T185">
            <v>0</v>
          </cell>
          <cell r="U185">
            <v>0</v>
          </cell>
        </row>
        <row r="186">
          <cell r="A186" t="str">
            <v>Finance Expense</v>
          </cell>
          <cell r="C186">
            <v>-1688</v>
          </cell>
          <cell r="D186">
            <v>-1709</v>
          </cell>
          <cell r="E186">
            <v>-1616</v>
          </cell>
          <cell r="F186">
            <v>-1849</v>
          </cell>
          <cell r="G186">
            <v>-1323</v>
          </cell>
          <cell r="H186">
            <v>-1311</v>
          </cell>
          <cell r="I186">
            <v>-1160</v>
          </cell>
          <cell r="K186">
            <v>-999.65200000000004</v>
          </cell>
          <cell r="L186">
            <v>-1008.0956679999999</v>
          </cell>
          <cell r="M186">
            <v>-1016.7681031539998</v>
          </cell>
          <cell r="N186">
            <v>-1025.6751966682689</v>
          </cell>
          <cell r="O186">
            <v>-1034.8229789553548</v>
          </cell>
          <cell r="P186">
            <v>-1044.2176223874101</v>
          </cell>
          <cell r="Q186">
            <v>-1053.8654440789303</v>
          </cell>
          <cell r="R186">
            <v>-1063.7729086978211</v>
          </cell>
          <cell r="S186">
            <v>-1073.9466313036046</v>
          </cell>
          <cell r="T186">
            <v>-698.26</v>
          </cell>
          <cell r="U186" t="e">
            <v>#VALUE!</v>
          </cell>
        </row>
        <row r="188">
          <cell r="A188" t="str">
            <v>Interest Income</v>
          </cell>
          <cell r="C188">
            <v>394</v>
          </cell>
          <cell r="D188">
            <v>612</v>
          </cell>
          <cell r="E188">
            <v>171</v>
          </cell>
          <cell r="F188">
            <v>267</v>
          </cell>
          <cell r="G188">
            <v>219</v>
          </cell>
          <cell r="H188">
            <v>388</v>
          </cell>
          <cell r="I188">
            <v>317</v>
          </cell>
          <cell r="K188">
            <v>156.58809527694902</v>
          </cell>
          <cell r="L188">
            <v>185.71496776188951</v>
          </cell>
          <cell r="M188">
            <v>211.5297329849906</v>
          </cell>
          <cell r="N188">
            <v>338.0130126242845</v>
          </cell>
          <cell r="O188">
            <v>532.91323414434942</v>
          </cell>
          <cell r="P188">
            <v>637.86703546528406</v>
          </cell>
          <cell r="Q188">
            <v>750.4647376379919</v>
          </cell>
          <cell r="R188">
            <v>878.693951289756</v>
          </cell>
          <cell r="S188">
            <v>1008.3076396845335</v>
          </cell>
          <cell r="T188">
            <v>1132.133461334598</v>
          </cell>
          <cell r="U188">
            <v>1257.7449547722804</v>
          </cell>
        </row>
        <row r="189">
          <cell r="A189" t="str">
            <v>Interest (derivs)</v>
          </cell>
          <cell r="C189">
            <v>259</v>
          </cell>
          <cell r="D189">
            <v>114</v>
          </cell>
          <cell r="E189">
            <v>370</v>
          </cell>
          <cell r="F189">
            <v>490</v>
          </cell>
          <cell r="G189">
            <v>152</v>
          </cell>
          <cell r="H189">
            <v>175</v>
          </cell>
          <cell r="I189">
            <v>174</v>
          </cell>
          <cell r="K189">
            <v>174</v>
          </cell>
          <cell r="L189">
            <v>174</v>
          </cell>
          <cell r="M189">
            <v>174</v>
          </cell>
          <cell r="N189">
            <v>174</v>
          </cell>
          <cell r="O189">
            <v>174</v>
          </cell>
          <cell r="P189">
            <v>174</v>
          </cell>
          <cell r="Q189">
            <v>174</v>
          </cell>
          <cell r="R189">
            <v>174</v>
          </cell>
          <cell r="S189">
            <v>174</v>
          </cell>
          <cell r="T189">
            <v>174</v>
          </cell>
          <cell r="U189">
            <v>174</v>
          </cell>
        </row>
        <row r="190">
          <cell r="A190" t="str">
            <v>Interest expense (debt)</v>
          </cell>
          <cell r="C190">
            <v>-1075</v>
          </cell>
          <cell r="D190">
            <v>-1320</v>
          </cell>
          <cell r="E190">
            <v>-948</v>
          </cell>
          <cell r="F190">
            <v>-815</v>
          </cell>
          <cell r="G190">
            <v>-690</v>
          </cell>
          <cell r="H190">
            <v>-726</v>
          </cell>
          <cell r="I190">
            <v>-587</v>
          </cell>
          <cell r="K190">
            <v>-524.26</v>
          </cell>
          <cell r="L190">
            <v>-524.26</v>
          </cell>
          <cell r="M190">
            <v>-524.26</v>
          </cell>
          <cell r="N190">
            <v>-524.26</v>
          </cell>
          <cell r="O190">
            <v>-524.26</v>
          </cell>
          <cell r="P190">
            <v>-524.26</v>
          </cell>
          <cell r="Q190">
            <v>-524.26</v>
          </cell>
          <cell r="R190">
            <v>-524.26</v>
          </cell>
          <cell r="S190">
            <v>-524.26</v>
          </cell>
          <cell r="T190">
            <v>-524.26</v>
          </cell>
          <cell r="U190">
            <v>-524.26</v>
          </cell>
        </row>
        <row r="191">
          <cell r="A191" t="str">
            <v>Interest expense (derivs)</v>
          </cell>
          <cell r="C191">
            <v>-306</v>
          </cell>
          <cell r="D191">
            <v>-107</v>
          </cell>
          <cell r="E191">
            <v>-295</v>
          </cell>
          <cell r="F191">
            <v>-490</v>
          </cell>
          <cell r="G191">
            <v>-180</v>
          </cell>
          <cell r="H191">
            <v>-172</v>
          </cell>
          <cell r="I191">
            <v>-156</v>
          </cell>
          <cell r="K191">
            <v>-174</v>
          </cell>
          <cell r="L191">
            <v>-174</v>
          </cell>
          <cell r="M191">
            <v>-174</v>
          </cell>
          <cell r="N191">
            <v>-174</v>
          </cell>
          <cell r="O191">
            <v>-174</v>
          </cell>
          <cell r="P191">
            <v>-174</v>
          </cell>
          <cell r="Q191">
            <v>-174</v>
          </cell>
          <cell r="R191">
            <v>-174</v>
          </cell>
          <cell r="S191">
            <v>-174</v>
          </cell>
          <cell r="T191">
            <v>-174</v>
          </cell>
          <cell r="U191">
            <v>-174</v>
          </cell>
        </row>
        <row r="192">
          <cell r="A192" t="str">
            <v>Interest expense (provisions)</v>
          </cell>
          <cell r="C192">
            <v>-223</v>
          </cell>
          <cell r="D192">
            <v>-246</v>
          </cell>
          <cell r="E192">
            <v>-300</v>
          </cell>
          <cell r="F192">
            <v>-436</v>
          </cell>
          <cell r="G192">
            <v>-372</v>
          </cell>
          <cell r="H192">
            <v>-336</v>
          </cell>
          <cell r="I192">
            <v>-320</v>
          </cell>
          <cell r="K192">
            <v>-301.392</v>
          </cell>
          <cell r="L192">
            <v>-309.835668</v>
          </cell>
          <cell r="M192">
            <v>-318.50810315399985</v>
          </cell>
          <cell r="N192">
            <v>-327.41519666826883</v>
          </cell>
          <cell r="O192">
            <v>-336.56297895535477</v>
          </cell>
          <cell r="P192">
            <v>-345.95762238741008</v>
          </cell>
          <cell r="Q192">
            <v>-355.6054440789303</v>
          </cell>
          <cell r="R192">
            <v>-365.51290869782105</v>
          </cell>
          <cell r="S192">
            <v>-375.68663130360466</v>
          </cell>
          <cell r="T192">
            <v>0</v>
          </cell>
          <cell r="U192" t="e">
            <v>#VALUE!</v>
          </cell>
        </row>
        <row r="193">
          <cell r="A193" t="str">
            <v>Interest Income</v>
          </cell>
          <cell r="C193">
            <v>394</v>
          </cell>
          <cell r="D193">
            <v>612</v>
          </cell>
          <cell r="E193">
            <v>171</v>
          </cell>
          <cell r="F193">
            <v>267</v>
          </cell>
          <cell r="G193">
            <v>219</v>
          </cell>
          <cell r="H193">
            <v>388</v>
          </cell>
          <cell r="I193">
            <v>317</v>
          </cell>
          <cell r="K193">
            <v>159.02944766835097</v>
          </cell>
          <cell r="L193">
            <v>197.35521638245254</v>
          </cell>
          <cell r="M193">
            <v>226.46059836565769</v>
          </cell>
          <cell r="N193">
            <v>374.63296490624157</v>
          </cell>
          <cell r="O193">
            <v>599.98701287541508</v>
          </cell>
          <cell r="P193">
            <v>707.08875596962753</v>
          </cell>
          <cell r="Q193">
            <v>826.65502187714969</v>
          </cell>
          <cell r="R193">
            <v>952.04201906459548</v>
          </cell>
          <cell r="S193">
            <v>1085.0753381838333</v>
          </cell>
          <cell r="T193">
            <v>1085.0753381838333</v>
          </cell>
          <cell r="U193">
            <v>1085.0753381838333</v>
          </cell>
        </row>
        <row r="194">
          <cell r="A194" t="str">
            <v>Interest (derivs)</v>
          </cell>
          <cell r="C194">
            <v>259</v>
          </cell>
          <cell r="D194">
            <v>114</v>
          </cell>
          <cell r="E194">
            <v>370</v>
          </cell>
          <cell r="F194">
            <v>490</v>
          </cell>
          <cell r="G194">
            <v>152</v>
          </cell>
          <cell r="H194">
            <v>175</v>
          </cell>
          <cell r="I194">
            <v>174</v>
          </cell>
          <cell r="K194">
            <v>174</v>
          </cell>
          <cell r="L194">
            <v>174</v>
          </cell>
          <cell r="M194">
            <v>174</v>
          </cell>
          <cell r="N194">
            <v>174</v>
          </cell>
          <cell r="O194">
            <v>174</v>
          </cell>
          <cell r="P194">
            <v>174</v>
          </cell>
          <cell r="Q194">
            <v>174</v>
          </cell>
          <cell r="R194">
            <v>174</v>
          </cell>
          <cell r="S194">
            <v>174</v>
          </cell>
          <cell r="T194">
            <v>174</v>
          </cell>
          <cell r="U194">
            <v>174</v>
          </cell>
        </row>
        <row r="195">
          <cell r="A195" t="str">
            <v>Interest Paid</v>
          </cell>
          <cell r="C195">
            <v>-1075</v>
          </cell>
          <cell r="D195">
            <v>-1320</v>
          </cell>
          <cell r="E195">
            <v>-948</v>
          </cell>
          <cell r="F195">
            <v>-815</v>
          </cell>
          <cell r="G195">
            <v>-690</v>
          </cell>
          <cell r="H195">
            <v>-726</v>
          </cell>
          <cell r="I195">
            <v>-587</v>
          </cell>
          <cell r="K195">
            <v>-524.26</v>
          </cell>
          <cell r="L195">
            <v>-524.26</v>
          </cell>
          <cell r="M195">
            <v>-524.26</v>
          </cell>
          <cell r="N195">
            <v>-524.26</v>
          </cell>
          <cell r="O195">
            <v>-524.26</v>
          </cell>
          <cell r="P195">
            <v>-524.26</v>
          </cell>
          <cell r="Q195">
            <v>-524.26</v>
          </cell>
          <cell r="R195">
            <v>-524.26</v>
          </cell>
          <cell r="S195">
            <v>-524.26</v>
          </cell>
          <cell r="T195">
            <v>-524.26</v>
          </cell>
          <cell r="U195">
            <v>-524.26</v>
          </cell>
        </row>
        <row r="196">
          <cell r="A196" t="str">
            <v>Interest expense (derivs)</v>
          </cell>
          <cell r="C196">
            <v>-306</v>
          </cell>
          <cell r="D196">
            <v>-107</v>
          </cell>
          <cell r="E196">
            <v>-295</v>
          </cell>
          <cell r="F196">
            <v>-490</v>
          </cell>
          <cell r="G196">
            <v>-180</v>
          </cell>
          <cell r="H196">
            <v>-172</v>
          </cell>
          <cell r="I196">
            <v>-156</v>
          </cell>
          <cell r="K196">
            <v>-174</v>
          </cell>
          <cell r="L196">
            <v>-174</v>
          </cell>
          <cell r="M196">
            <v>-174</v>
          </cell>
          <cell r="N196">
            <v>-174</v>
          </cell>
          <cell r="O196">
            <v>-174</v>
          </cell>
          <cell r="P196">
            <v>-174</v>
          </cell>
          <cell r="Q196">
            <v>-174</v>
          </cell>
          <cell r="R196">
            <v>-174</v>
          </cell>
          <cell r="S196">
            <v>-174</v>
          </cell>
          <cell r="T196">
            <v>-174</v>
          </cell>
          <cell r="U196">
            <v>-174</v>
          </cell>
        </row>
        <row r="197">
          <cell r="A197" t="str">
            <v>Interest expense (provisions)</v>
          </cell>
          <cell r="C197">
            <v>-223</v>
          </cell>
          <cell r="D197">
            <v>-246</v>
          </cell>
          <cell r="E197">
            <v>-300</v>
          </cell>
          <cell r="F197">
            <v>-436</v>
          </cell>
          <cell r="G197">
            <v>-372</v>
          </cell>
          <cell r="H197">
            <v>-336</v>
          </cell>
          <cell r="I197">
            <v>-320</v>
          </cell>
          <cell r="K197">
            <v>-301.392</v>
          </cell>
          <cell r="L197">
            <v>-309.835668</v>
          </cell>
          <cell r="M197">
            <v>-318.50810315399985</v>
          </cell>
          <cell r="N197">
            <v>-327.41519666826883</v>
          </cell>
          <cell r="O197">
            <v>-336.56297895535477</v>
          </cell>
          <cell r="P197">
            <v>-345.95762238741008</v>
          </cell>
          <cell r="Q197">
            <v>-355.6054440789303</v>
          </cell>
          <cell r="R197">
            <v>-365.51290869782105</v>
          </cell>
          <cell r="S197">
            <v>-375.68663130360466</v>
          </cell>
          <cell r="T197">
            <v>-375.68663130360466</v>
          </cell>
          <cell r="U197">
            <v>-375.68663130360466</v>
          </cell>
        </row>
        <row r="200">
          <cell r="A200" t="str">
            <v>6) SHARE REPURCHASE</v>
          </cell>
        </row>
        <row r="201">
          <cell r="A201" t="str">
            <v>Op Cash Flow</v>
          </cell>
          <cell r="B201">
            <v>4196</v>
          </cell>
          <cell r="C201">
            <v>4803</v>
          </cell>
          <cell r="D201">
            <v>4815</v>
          </cell>
          <cell r="E201">
            <v>3608</v>
          </cell>
          <cell r="F201">
            <v>5375</v>
          </cell>
          <cell r="G201">
            <v>5773</v>
          </cell>
          <cell r="H201">
            <v>5060</v>
          </cell>
          <cell r="I201">
            <v>4532</v>
          </cell>
          <cell r="K201">
            <v>6814.751453780601</v>
          </cell>
          <cell r="L201">
            <v>7397.895280236351</v>
          </cell>
          <cell r="M201">
            <v>8449.719458163876</v>
          </cell>
          <cell r="N201">
            <v>8783.2011150929357</v>
          </cell>
          <cell r="O201">
            <v>9203.9505533534902</v>
          </cell>
          <cell r="P201">
            <v>9489.08914961144</v>
          </cell>
          <cell r="Q201">
            <v>10012.658351318772</v>
          </cell>
          <cell r="R201">
            <v>10862.82787201149</v>
          </cell>
          <cell r="S201">
            <v>10612.033854253044</v>
          </cell>
          <cell r="T201">
            <v>10699.717245404456</v>
          </cell>
          <cell r="U201">
            <v>10789.671448113739</v>
          </cell>
          <cell r="V201" t="str">
            <v>From CF</v>
          </cell>
        </row>
        <row r="202">
          <cell r="A202" t="str">
            <v>Cash used in Share repurchase</v>
          </cell>
          <cell r="B202">
            <v>0</v>
          </cell>
          <cell r="C202">
            <v>0</v>
          </cell>
          <cell r="I202">
            <v>0</v>
          </cell>
          <cell r="K202">
            <v>0</v>
          </cell>
          <cell r="L202">
            <v>0</v>
          </cell>
          <cell r="M202">
            <v>0</v>
          </cell>
          <cell r="N202">
            <v>0</v>
          </cell>
          <cell r="O202">
            <v>0</v>
          </cell>
          <cell r="P202">
            <v>0</v>
          </cell>
          <cell r="Q202">
            <v>0</v>
          </cell>
          <cell r="R202">
            <v>0</v>
          </cell>
          <cell r="S202">
            <v>0</v>
          </cell>
          <cell r="T202">
            <v>0</v>
          </cell>
          <cell r="U202">
            <v>0</v>
          </cell>
          <cell r="V202" t="str">
            <v>Feed to Cash Flow</v>
          </cell>
        </row>
        <row r="203">
          <cell r="A203" t="str">
            <v>% of Operating Cashflow used for repurchase</v>
          </cell>
          <cell r="B203">
            <v>0</v>
          </cell>
          <cell r="C203">
            <v>0</v>
          </cell>
          <cell r="D203">
            <v>0</v>
          </cell>
          <cell r="E203">
            <v>0</v>
          </cell>
          <cell r="F203">
            <v>0</v>
          </cell>
          <cell r="G203">
            <v>0</v>
          </cell>
          <cell r="H203">
            <v>0</v>
          </cell>
          <cell r="I203">
            <v>0</v>
          </cell>
          <cell r="K203">
            <v>0</v>
          </cell>
          <cell r="L203">
            <v>0</v>
          </cell>
          <cell r="M203">
            <v>0</v>
          </cell>
          <cell r="N203">
            <v>0</v>
          </cell>
          <cell r="O203">
            <v>0</v>
          </cell>
          <cell r="P203">
            <v>0</v>
          </cell>
          <cell r="Q203">
            <v>0</v>
          </cell>
          <cell r="R203">
            <v>0</v>
          </cell>
          <cell r="S203">
            <v>0</v>
          </cell>
          <cell r="T203">
            <v>0</v>
          </cell>
          <cell r="U203">
            <v>0</v>
          </cell>
        </row>
        <row r="204">
          <cell r="A204" t="str">
            <v>Average Stock Repurchase Price ($)</v>
          </cell>
          <cell r="I204">
            <v>59.270741874015698</v>
          </cell>
          <cell r="K204">
            <v>64.557692049177902</v>
          </cell>
          <cell r="L204">
            <v>70.316238179964571</v>
          </cell>
          <cell r="M204">
            <v>76.588446625617408</v>
          </cell>
          <cell r="N204">
            <v>83.420136064622483</v>
          </cell>
          <cell r="O204">
            <v>90.86121220158681</v>
          </cell>
          <cell r="P204">
            <v>98.966032329968343</v>
          </cell>
          <cell r="Q204">
            <v>107.79380241380152</v>
          </cell>
          <cell r="R204">
            <v>117.4090095891126</v>
          </cell>
          <cell r="S204">
            <v>127.88189324446144</v>
          </cell>
          <cell r="T204">
            <v>139.28895812186738</v>
          </cell>
          <cell r="U204">
            <v>151.71353318633794</v>
          </cell>
        </row>
        <row r="205">
          <cell r="A205" t="str">
            <v>Theoretical Cost of equity (%)</v>
          </cell>
          <cell r="K205">
            <v>8.9200000000000002E-2</v>
          </cell>
          <cell r="L205">
            <v>8.9200000000000002E-2</v>
          </cell>
          <cell r="M205">
            <v>8.9200000000000002E-2</v>
          </cell>
          <cell r="N205">
            <v>8.9200000000000002E-2</v>
          </cell>
          <cell r="O205">
            <v>8.9200000000000002E-2</v>
          </cell>
          <cell r="P205">
            <v>8.9200000000000002E-2</v>
          </cell>
          <cell r="Q205">
            <v>8.9200000000000002E-2</v>
          </cell>
          <cell r="R205">
            <v>8.9200000000000002E-2</v>
          </cell>
          <cell r="S205">
            <v>8.9200000000000002E-2</v>
          </cell>
          <cell r="T205">
            <v>8.9200000000000002E-2</v>
          </cell>
          <cell r="U205">
            <v>8.9200000000000002E-2</v>
          </cell>
        </row>
        <row r="206">
          <cell r="A206" t="str">
            <v>No. Shares Repurchased (m)</v>
          </cell>
          <cell r="I206">
            <v>0</v>
          </cell>
          <cell r="K206">
            <v>0</v>
          </cell>
          <cell r="L206">
            <v>0</v>
          </cell>
          <cell r="M206">
            <v>0</v>
          </cell>
          <cell r="N206">
            <v>0</v>
          </cell>
          <cell r="O206">
            <v>0</v>
          </cell>
          <cell r="P206">
            <v>0</v>
          </cell>
          <cell r="Q206">
            <v>0</v>
          </cell>
          <cell r="R206">
            <v>0</v>
          </cell>
          <cell r="S206">
            <v>0</v>
          </cell>
          <cell r="T206">
            <v>0</v>
          </cell>
          <cell r="U206">
            <v>0</v>
          </cell>
        </row>
        <row r="208">
          <cell r="A208" t="str">
            <v>Opening Share Count</v>
          </cell>
          <cell r="C208">
            <v>730.34</v>
          </cell>
          <cell r="D208">
            <v>764.34</v>
          </cell>
          <cell r="E208">
            <v>764.34191999999996</v>
          </cell>
          <cell r="F208">
            <v>764.34204899999997</v>
          </cell>
          <cell r="G208">
            <v>826.94780800000001</v>
          </cell>
          <cell r="H208">
            <v>826.94780800000001</v>
          </cell>
          <cell r="I208">
            <v>826.94780800000001</v>
          </cell>
          <cell r="K208">
            <v>826.94780800000001</v>
          </cell>
          <cell r="L208">
            <v>826.94780800000001</v>
          </cell>
          <cell r="M208">
            <v>826.94780800000001</v>
          </cell>
          <cell r="N208">
            <v>826.94780800000001</v>
          </cell>
          <cell r="O208">
            <v>826.94780800000001</v>
          </cell>
          <cell r="P208">
            <v>826.94780800000001</v>
          </cell>
          <cell r="Q208">
            <v>826.94780800000001</v>
          </cell>
          <cell r="R208">
            <v>826.94780800000001</v>
          </cell>
          <cell r="S208">
            <v>826.94780800000001</v>
          </cell>
          <cell r="T208">
            <v>826.94780800000001</v>
          </cell>
          <cell r="U208">
            <v>826.94780800000001</v>
          </cell>
        </row>
        <row r="209">
          <cell r="A209" t="str">
            <v>Issued shares (mn)</v>
          </cell>
          <cell r="C209">
            <v>34</v>
          </cell>
          <cell r="D209">
            <v>1.9199999999273132E-3</v>
          </cell>
          <cell r="F209">
            <v>60</v>
          </cell>
          <cell r="G209">
            <v>0</v>
          </cell>
          <cell r="H209">
            <v>0</v>
          </cell>
          <cell r="I209">
            <v>0</v>
          </cell>
          <cell r="K209">
            <v>0</v>
          </cell>
          <cell r="L209">
            <v>0</v>
          </cell>
          <cell r="M209">
            <v>0</v>
          </cell>
          <cell r="N209">
            <v>0</v>
          </cell>
          <cell r="O209">
            <v>0</v>
          </cell>
          <cell r="P209">
            <v>0</v>
          </cell>
          <cell r="Q209">
            <v>0</v>
          </cell>
          <cell r="R209">
            <v>0</v>
          </cell>
          <cell r="S209">
            <v>0</v>
          </cell>
          <cell r="T209">
            <v>0</v>
          </cell>
          <cell r="U209">
            <v>0</v>
          </cell>
          <cell r="V209" t="str">
            <v>Stays Constant</v>
          </cell>
        </row>
        <row r="210">
          <cell r="A210" t="str">
            <v>Repurchased shares (mn)</v>
          </cell>
          <cell r="H210">
            <v>0</v>
          </cell>
          <cell r="I210">
            <v>0</v>
          </cell>
          <cell r="K210">
            <v>0</v>
          </cell>
          <cell r="L210">
            <v>0</v>
          </cell>
          <cell r="M210">
            <v>0</v>
          </cell>
          <cell r="N210">
            <v>0</v>
          </cell>
          <cell r="O210">
            <v>0</v>
          </cell>
          <cell r="P210">
            <v>0</v>
          </cell>
          <cell r="Q210">
            <v>0</v>
          </cell>
          <cell r="R210">
            <v>0</v>
          </cell>
          <cell r="S210">
            <v>0</v>
          </cell>
          <cell r="T210">
            <v>0</v>
          </cell>
          <cell r="U210">
            <v>0</v>
          </cell>
        </row>
        <row r="211">
          <cell r="A211" t="str">
            <v>Closing Share Count</v>
          </cell>
          <cell r="B211">
            <v>730.34</v>
          </cell>
          <cell r="C211">
            <v>764.34</v>
          </cell>
          <cell r="D211">
            <v>764.34191999999996</v>
          </cell>
          <cell r="E211">
            <v>764.34204899999997</v>
          </cell>
          <cell r="F211">
            <v>826.94780800000001</v>
          </cell>
          <cell r="G211">
            <v>826.94780800000001</v>
          </cell>
          <cell r="H211">
            <v>826.94780800000001</v>
          </cell>
          <cell r="I211">
            <v>826.94780800000001</v>
          </cell>
          <cell r="K211">
            <v>826.94780800000001</v>
          </cell>
          <cell r="L211">
            <v>826.94780800000001</v>
          </cell>
          <cell r="M211">
            <v>826.94780800000001</v>
          </cell>
          <cell r="N211">
            <v>826.94780800000001</v>
          </cell>
          <cell r="O211">
            <v>826.94780800000001</v>
          </cell>
          <cell r="P211">
            <v>826.94780800000001</v>
          </cell>
          <cell r="Q211">
            <v>826.94780800000001</v>
          </cell>
          <cell r="R211">
            <v>826.94780800000001</v>
          </cell>
          <cell r="S211">
            <v>826.94780800000001</v>
          </cell>
          <cell r="T211">
            <v>826.94780800000001</v>
          </cell>
          <cell r="U211">
            <v>826.94780800000001</v>
          </cell>
          <cell r="W211" t="str">
            <v>mstag:periodEndBasicSharesOutstanding</v>
          </cell>
          <cell r="X211">
            <v>6</v>
          </cell>
          <cell r="Y211" t="str">
            <v>ms_eqr_gcim_Decimal:ms_eqr_gcim_decimal</v>
          </cell>
          <cell r="Z211" t="b">
            <v>0</v>
          </cell>
          <cell r="AA211" t="b">
            <v>0</v>
          </cell>
        </row>
        <row r="212">
          <cell r="A212" t="str">
            <v>Average share count</v>
          </cell>
          <cell r="B212">
            <v>730.34191999999996</v>
          </cell>
          <cell r="C212">
            <v>746.45698800000002</v>
          </cell>
          <cell r="D212">
            <v>764.34191999999996</v>
          </cell>
          <cell r="E212">
            <v>764.34204899999997</v>
          </cell>
          <cell r="F212">
            <v>801.05023700000004</v>
          </cell>
          <cell r="G212">
            <v>826.94780800000001</v>
          </cell>
          <cell r="H212">
            <v>826.94780800000001</v>
          </cell>
          <cell r="I212">
            <v>826.94780800000001</v>
          </cell>
          <cell r="K212">
            <v>826.94780800000001</v>
          </cell>
          <cell r="L212">
            <v>826.94780800000001</v>
          </cell>
          <cell r="M212">
            <v>826.94780800000001</v>
          </cell>
          <cell r="N212">
            <v>826.94780800000001</v>
          </cell>
          <cell r="O212">
            <v>826.94780800000001</v>
          </cell>
          <cell r="P212">
            <v>826.94780800000001</v>
          </cell>
          <cell r="Q212">
            <v>826.94780800000001</v>
          </cell>
          <cell r="R212">
            <v>826.94780800000001</v>
          </cell>
          <cell r="S212">
            <v>826.94780800000001</v>
          </cell>
          <cell r="T212">
            <v>826.94780800000001</v>
          </cell>
          <cell r="U212">
            <v>826.94780800000001</v>
          </cell>
          <cell r="V212" t="str">
            <v>Feed to Profit and Loss</v>
          </cell>
          <cell r="W212" t="str">
            <v>mstag:averageBasicSharesOutstanding</v>
          </cell>
          <cell r="X212">
            <v>6</v>
          </cell>
          <cell r="Y212" t="str">
            <v>ms_eqr_gcim_Decimal:ms_eqr_gcim_decimal</v>
          </cell>
          <cell r="Z212" t="b">
            <v>0</v>
          </cell>
          <cell r="AA212" t="b">
            <v>0</v>
          </cell>
        </row>
        <row r="213">
          <cell r="A213" t="str">
            <v>Diluted Share Count</v>
          </cell>
          <cell r="B213">
            <v>730.34191999999996</v>
          </cell>
          <cell r="C213">
            <v>791.75758299999995</v>
          </cell>
          <cell r="D213">
            <v>823.90730299999996</v>
          </cell>
          <cell r="E213">
            <v>824.23515099999997</v>
          </cell>
          <cell r="F213">
            <v>826.00617299999999</v>
          </cell>
          <cell r="G213">
            <v>826.94780800000001</v>
          </cell>
          <cell r="H213">
            <v>826.94780800000001</v>
          </cell>
          <cell r="I213">
            <v>826.94780800000001</v>
          </cell>
          <cell r="K213">
            <v>826.94780800000001</v>
          </cell>
          <cell r="L213">
            <v>826.94780800000001</v>
          </cell>
          <cell r="M213">
            <v>826.94780800000001</v>
          </cell>
          <cell r="N213">
            <v>826.94780800000001</v>
          </cell>
          <cell r="O213">
            <v>826.94780800000001</v>
          </cell>
          <cell r="P213">
            <v>826.94780800000001</v>
          </cell>
          <cell r="Q213">
            <v>826.94780800000001</v>
          </cell>
          <cell r="R213">
            <v>826.94780800000001</v>
          </cell>
          <cell r="S213">
            <v>826.94780800000001</v>
          </cell>
          <cell r="T213">
            <v>826.94780800000001</v>
          </cell>
          <cell r="U213">
            <v>826.94780800000001</v>
          </cell>
          <cell r="W213" t="str">
            <v>mstag:averageDilutedSharesOutstanding</v>
          </cell>
          <cell r="X213">
            <v>6</v>
          </cell>
          <cell r="Y213" t="str">
            <v>ms_eqr_gcim_Decimal:ms_eqr_gcim_decimal</v>
          </cell>
          <cell r="Z213" t="b">
            <v>0</v>
          </cell>
          <cell r="AA213" t="b">
            <v>0</v>
          </cell>
        </row>
        <row r="219">
          <cell r="V219">
            <v>2350</v>
          </cell>
          <cell r="W219">
            <v>45.7</v>
          </cell>
        </row>
        <row r="221">
          <cell r="H221" t="str">
            <v>2011-FY</v>
          </cell>
          <cell r="I221" t="str">
            <v>2012-FY</v>
          </cell>
          <cell r="K221" t="str">
            <v>2013-FY</v>
          </cell>
          <cell r="L221" t="str">
            <v>2014-FY</v>
          </cell>
          <cell r="M221" t="str">
            <v>2015-FY</v>
          </cell>
          <cell r="N221" t="str">
            <v>2016-FY</v>
          </cell>
          <cell r="O221" t="str">
            <v>2017-FY</v>
          </cell>
          <cell r="P221" t="str">
            <v>2018-FY</v>
          </cell>
        </row>
        <row r="226">
          <cell r="A226" t="str">
            <v>Net debt Calculation</v>
          </cell>
        </row>
        <row r="227">
          <cell r="A227" t="str">
            <v>Long term debt</v>
          </cell>
          <cell r="B227">
            <v>7185</v>
          </cell>
          <cell r="C227">
            <v>14723</v>
          </cell>
          <cell r="D227">
            <v>13081</v>
          </cell>
          <cell r="E227">
            <v>10614</v>
          </cell>
          <cell r="F227">
            <v>11460</v>
          </cell>
          <cell r="G227">
            <v>9944</v>
          </cell>
          <cell r="H227">
            <v>7995</v>
          </cell>
          <cell r="I227">
            <v>6962</v>
          </cell>
          <cell r="K227">
            <v>6962</v>
          </cell>
          <cell r="L227">
            <v>6962</v>
          </cell>
          <cell r="M227">
            <v>6962</v>
          </cell>
          <cell r="N227">
            <v>6962</v>
          </cell>
          <cell r="O227">
            <v>6962</v>
          </cell>
          <cell r="P227">
            <v>6962</v>
          </cell>
          <cell r="Q227">
            <v>6962</v>
          </cell>
          <cell r="R227">
            <v>6962</v>
          </cell>
          <cell r="S227">
            <v>6962</v>
          </cell>
          <cell r="T227">
            <v>6962</v>
          </cell>
          <cell r="U227">
            <v>6962</v>
          </cell>
        </row>
        <row r="228">
          <cell r="A228" t="str">
            <v>Short term debt</v>
          </cell>
          <cell r="B228">
            <v>1767</v>
          </cell>
          <cell r="C228">
            <v>5078</v>
          </cell>
          <cell r="D228">
            <v>1336</v>
          </cell>
          <cell r="E228">
            <v>6256</v>
          </cell>
          <cell r="F228">
            <v>1489</v>
          </cell>
          <cell r="G228">
            <v>1889</v>
          </cell>
          <cell r="H228">
            <v>3684</v>
          </cell>
          <cell r="I228">
            <v>2570</v>
          </cell>
          <cell r="K228">
            <v>2570</v>
          </cell>
          <cell r="L228">
            <v>2570</v>
          </cell>
          <cell r="M228">
            <v>2570</v>
          </cell>
          <cell r="N228">
            <v>2570</v>
          </cell>
          <cell r="O228">
            <v>2570</v>
          </cell>
          <cell r="P228">
            <v>2570</v>
          </cell>
          <cell r="Q228">
            <v>2570</v>
          </cell>
          <cell r="R228">
            <v>2570</v>
          </cell>
          <cell r="S228">
            <v>2570</v>
          </cell>
          <cell r="T228">
            <v>2570</v>
          </cell>
          <cell r="U228">
            <v>2570</v>
          </cell>
        </row>
        <row r="229">
          <cell r="A229" t="str">
            <v>Total Debt</v>
          </cell>
          <cell r="B229">
            <v>8952</v>
          </cell>
          <cell r="C229">
            <v>19801</v>
          </cell>
          <cell r="D229">
            <v>14417</v>
          </cell>
          <cell r="E229">
            <v>16870</v>
          </cell>
          <cell r="F229">
            <v>12949</v>
          </cell>
          <cell r="G229">
            <v>11833</v>
          </cell>
          <cell r="H229">
            <v>11679</v>
          </cell>
          <cell r="I229">
            <v>9532</v>
          </cell>
          <cell r="K229">
            <v>9532</v>
          </cell>
          <cell r="L229">
            <v>9532</v>
          </cell>
          <cell r="M229">
            <v>9532</v>
          </cell>
          <cell r="N229">
            <v>9532</v>
          </cell>
          <cell r="O229">
            <v>9532</v>
          </cell>
          <cell r="P229">
            <v>9532</v>
          </cell>
          <cell r="Q229">
            <v>9532</v>
          </cell>
          <cell r="R229">
            <v>9532</v>
          </cell>
          <cell r="S229">
            <v>9532</v>
          </cell>
          <cell r="T229">
            <v>9532</v>
          </cell>
          <cell r="U229">
            <v>9532</v>
          </cell>
        </row>
        <row r="231">
          <cell r="A231" t="str">
            <v>Cash and equivalents</v>
          </cell>
          <cell r="B231">
            <v>3290</v>
          </cell>
          <cell r="C231">
            <v>2915</v>
          </cell>
          <cell r="D231">
            <v>2531</v>
          </cell>
          <cell r="E231">
            <v>2094</v>
          </cell>
          <cell r="F231">
            <v>2725</v>
          </cell>
          <cell r="G231">
            <v>2840</v>
          </cell>
          <cell r="H231">
            <v>1770</v>
          </cell>
          <cell r="I231">
            <v>1695</v>
          </cell>
          <cell r="K231">
            <v>2940.2381107796036</v>
          </cell>
          <cell r="L231">
            <v>5202.7554415982968</v>
          </cell>
          <cell r="M231">
            <v>8103.1911553998225</v>
          </cell>
          <cell r="N231">
            <v>11198.110107028626</v>
          </cell>
          <cell r="O231">
            <v>14662.772169261332</v>
          </cell>
          <cell r="P231">
            <v>18195.030195090942</v>
          </cell>
          <cell r="Q231">
            <v>22169.285647441851</v>
          </cell>
          <cell r="R231">
            <v>26743.644438541887</v>
          </cell>
          <cell r="S231">
            <v>30810.198207093683</v>
          </cell>
          <cell r="T231">
            <v>34998.699215212851</v>
          </cell>
          <cell r="U231">
            <v>39184.297769605837</v>
          </cell>
        </row>
        <row r="232">
          <cell r="A232" t="str">
            <v>Stated net debt</v>
          </cell>
          <cell r="B232">
            <v>5662</v>
          </cell>
          <cell r="C232">
            <v>16886</v>
          </cell>
          <cell r="D232">
            <v>11886</v>
          </cell>
          <cell r="E232">
            <v>14776</v>
          </cell>
          <cell r="F232">
            <v>10224</v>
          </cell>
          <cell r="G232">
            <v>8993</v>
          </cell>
          <cell r="H232">
            <v>9909</v>
          </cell>
          <cell r="I232">
            <v>7837</v>
          </cell>
          <cell r="K232">
            <v>6591.7618892203964</v>
          </cell>
          <cell r="L232">
            <v>4329.2445584017032</v>
          </cell>
          <cell r="M232">
            <v>1428.8088446001775</v>
          </cell>
          <cell r="N232">
            <v>-1666.1101070286259</v>
          </cell>
          <cell r="O232">
            <v>-5130.7721692613322</v>
          </cell>
          <cell r="P232">
            <v>-8663.0301950909416</v>
          </cell>
          <cell r="Q232">
            <v>-12637.285647441851</v>
          </cell>
          <cell r="R232">
            <v>-17211.644438541887</v>
          </cell>
          <cell r="S232">
            <v>-21278.198207093683</v>
          </cell>
          <cell r="T232">
            <v>-25466.699215212851</v>
          </cell>
          <cell r="U232">
            <v>-29652.297769605837</v>
          </cell>
        </row>
        <row r="234">
          <cell r="A234" t="str">
            <v>Mandatory convertible 2006/2009</v>
          </cell>
          <cell r="B234">
            <v>0</v>
          </cell>
          <cell r="C234">
            <v>2276</v>
          </cell>
          <cell r="D234">
            <v>2285</v>
          </cell>
          <cell r="E234">
            <v>2285</v>
          </cell>
          <cell r="F234">
            <v>0</v>
          </cell>
          <cell r="G234">
            <v>0</v>
          </cell>
          <cell r="H234">
            <v>0</v>
          </cell>
          <cell r="I234">
            <v>0</v>
          </cell>
          <cell r="K234">
            <v>0</v>
          </cell>
          <cell r="L234">
            <v>0</v>
          </cell>
          <cell r="M234">
            <v>0</v>
          </cell>
          <cell r="N234">
            <v>0</v>
          </cell>
          <cell r="O234">
            <v>0</v>
          </cell>
          <cell r="P234">
            <v>0</v>
          </cell>
          <cell r="Q234">
            <v>0</v>
          </cell>
          <cell r="R234">
            <v>0</v>
          </cell>
          <cell r="S234">
            <v>0</v>
          </cell>
          <cell r="T234">
            <v>0</v>
          </cell>
          <cell r="U234">
            <v>0</v>
          </cell>
        </row>
        <row r="235">
          <cell r="A235" t="str">
            <v>Mandatory Hybrid (2005/15)</v>
          </cell>
          <cell r="B235" t="str">
            <v>??</v>
          </cell>
          <cell r="C235">
            <v>1247</v>
          </cell>
          <cell r="D235">
            <v>1237</v>
          </cell>
          <cell r="E235">
            <v>1237</v>
          </cell>
          <cell r="F235">
            <v>1237</v>
          </cell>
          <cell r="G235">
            <v>1237</v>
          </cell>
          <cell r="H235">
            <v>1237</v>
          </cell>
          <cell r="I235">
            <v>1237</v>
          </cell>
          <cell r="K235">
            <v>1237</v>
          </cell>
          <cell r="L235">
            <v>1237</v>
          </cell>
          <cell r="M235">
            <v>0</v>
          </cell>
          <cell r="N235">
            <v>0</v>
          </cell>
          <cell r="O235">
            <v>0</v>
          </cell>
          <cell r="P235">
            <v>0</v>
          </cell>
          <cell r="Q235">
            <v>0</v>
          </cell>
          <cell r="R235">
            <v>0</v>
          </cell>
          <cell r="S235">
            <v>0</v>
          </cell>
          <cell r="T235">
            <v>0</v>
          </cell>
          <cell r="U235">
            <v>0</v>
          </cell>
        </row>
        <row r="236">
          <cell r="A236" t="str">
            <v>Eurobond floating 2006/09</v>
          </cell>
          <cell r="B236">
            <v>0</v>
          </cell>
          <cell r="C236">
            <v>1596</v>
          </cell>
          <cell r="D236">
            <v>1598</v>
          </cell>
          <cell r="E236">
            <v>1598</v>
          </cell>
          <cell r="F236">
            <v>0</v>
          </cell>
          <cell r="G236">
            <v>0</v>
          </cell>
          <cell r="H236">
            <v>0</v>
          </cell>
          <cell r="I236">
            <v>0</v>
          </cell>
          <cell r="K236">
            <v>0</v>
          </cell>
          <cell r="L236">
            <v>0</v>
          </cell>
          <cell r="M236">
            <v>0</v>
          </cell>
          <cell r="N236">
            <v>0</v>
          </cell>
          <cell r="O236">
            <v>0</v>
          </cell>
          <cell r="P236">
            <v>0</v>
          </cell>
          <cell r="Q236">
            <v>0</v>
          </cell>
          <cell r="R236">
            <v>0</v>
          </cell>
          <cell r="S236">
            <v>0</v>
          </cell>
          <cell r="T236">
            <v>0</v>
          </cell>
          <cell r="U236">
            <v>0</v>
          </cell>
        </row>
        <row r="237">
          <cell r="A237" t="str">
            <v>Eurobond (3.75%) 2004/2009</v>
          </cell>
          <cell r="B237" t="str">
            <v>??</v>
          </cell>
          <cell r="C237">
            <v>458</v>
          </cell>
          <cell r="D237">
            <v>459</v>
          </cell>
          <cell r="E237">
            <v>459</v>
          </cell>
          <cell r="F237">
            <v>0</v>
          </cell>
          <cell r="G237">
            <v>0</v>
          </cell>
          <cell r="H237">
            <v>0</v>
          </cell>
          <cell r="I237">
            <v>0</v>
          </cell>
          <cell r="K237">
            <v>0</v>
          </cell>
          <cell r="L237">
            <v>0</v>
          </cell>
          <cell r="M237">
            <v>0</v>
          </cell>
          <cell r="N237">
            <v>0</v>
          </cell>
          <cell r="O237">
            <v>0</v>
          </cell>
          <cell r="P237">
            <v>0</v>
          </cell>
          <cell r="Q237">
            <v>0</v>
          </cell>
          <cell r="R237">
            <v>0</v>
          </cell>
          <cell r="S237">
            <v>0</v>
          </cell>
          <cell r="T237">
            <v>0</v>
          </cell>
          <cell r="U237">
            <v>0</v>
          </cell>
        </row>
        <row r="238">
          <cell r="A238" t="str">
            <v>Eurobond floating 2007/2010</v>
          </cell>
          <cell r="B238">
            <v>0</v>
          </cell>
          <cell r="C238">
            <v>0</v>
          </cell>
          <cell r="D238">
            <v>0</v>
          </cell>
          <cell r="E238">
            <v>300</v>
          </cell>
          <cell r="F238">
            <v>300</v>
          </cell>
          <cell r="G238">
            <v>0</v>
          </cell>
          <cell r="H238">
            <v>0</v>
          </cell>
          <cell r="I238">
            <v>0</v>
          </cell>
          <cell r="K238">
            <v>0</v>
          </cell>
          <cell r="L238">
            <v>0</v>
          </cell>
          <cell r="M238">
            <v>0</v>
          </cell>
          <cell r="N238">
            <v>0</v>
          </cell>
          <cell r="O238">
            <v>0</v>
          </cell>
          <cell r="P238">
            <v>0</v>
          </cell>
          <cell r="Q238">
            <v>0</v>
          </cell>
          <cell r="R238">
            <v>0</v>
          </cell>
          <cell r="S238">
            <v>0</v>
          </cell>
          <cell r="T238">
            <v>0</v>
          </cell>
          <cell r="U238">
            <v>0</v>
          </cell>
        </row>
        <row r="239">
          <cell r="A239" t="str">
            <v>Eurobond 2002/2012 (6%)</v>
          </cell>
          <cell r="B239" t="str">
            <v>??</v>
          </cell>
          <cell r="C239">
            <v>2010</v>
          </cell>
          <cell r="D239">
            <v>1971</v>
          </cell>
          <cell r="E239">
            <v>1971</v>
          </cell>
          <cell r="F239">
            <v>1971</v>
          </cell>
          <cell r="G239">
            <v>1971</v>
          </cell>
          <cell r="H239">
            <v>1971</v>
          </cell>
          <cell r="I239">
            <v>0</v>
          </cell>
          <cell r="K239">
            <v>0</v>
          </cell>
          <cell r="L239">
            <v>0</v>
          </cell>
          <cell r="M239">
            <v>0</v>
          </cell>
          <cell r="N239">
            <v>0</v>
          </cell>
          <cell r="O239">
            <v>0</v>
          </cell>
          <cell r="P239">
            <v>0</v>
          </cell>
          <cell r="Q239">
            <v>0</v>
          </cell>
          <cell r="R239">
            <v>0</v>
          </cell>
          <cell r="S239">
            <v>0</v>
          </cell>
          <cell r="T239">
            <v>0</v>
          </cell>
          <cell r="U239">
            <v>0</v>
          </cell>
        </row>
        <row r="240">
          <cell r="A240" t="str">
            <v>Eurobond 2006/13</v>
          </cell>
          <cell r="B240">
            <v>0</v>
          </cell>
          <cell r="C240">
            <v>993</v>
          </cell>
          <cell r="D240">
            <v>994</v>
          </cell>
          <cell r="E240">
            <v>994</v>
          </cell>
          <cell r="F240">
            <v>994</v>
          </cell>
          <cell r="G240">
            <v>994</v>
          </cell>
          <cell r="H240">
            <v>994</v>
          </cell>
          <cell r="I240">
            <v>994</v>
          </cell>
          <cell r="K240">
            <v>0</v>
          </cell>
          <cell r="L240">
            <v>0</v>
          </cell>
          <cell r="M240">
            <v>0</v>
          </cell>
          <cell r="N240">
            <v>0</v>
          </cell>
          <cell r="O240">
            <v>0</v>
          </cell>
          <cell r="P240">
            <v>0</v>
          </cell>
          <cell r="Q240">
            <v>0</v>
          </cell>
          <cell r="R240">
            <v>0</v>
          </cell>
          <cell r="S240">
            <v>0</v>
          </cell>
          <cell r="T240">
            <v>0</v>
          </cell>
          <cell r="U240">
            <v>0</v>
          </cell>
        </row>
        <row r="241">
          <cell r="A241" t="str">
            <v>Eurobond 2007/11 (4.375%)</v>
          </cell>
          <cell r="B241">
            <v>0</v>
          </cell>
          <cell r="C241">
            <v>0</v>
          </cell>
          <cell r="D241">
            <v>0</v>
          </cell>
          <cell r="E241">
            <v>199</v>
          </cell>
          <cell r="F241">
            <v>199</v>
          </cell>
          <cell r="G241">
            <v>199</v>
          </cell>
          <cell r="H241">
            <v>0</v>
          </cell>
          <cell r="I241">
            <v>0</v>
          </cell>
          <cell r="K241">
            <v>0</v>
          </cell>
          <cell r="L241">
            <v>0</v>
          </cell>
          <cell r="M241">
            <v>0</v>
          </cell>
          <cell r="N241">
            <v>0</v>
          </cell>
          <cell r="O241">
            <v>0</v>
          </cell>
          <cell r="P241">
            <v>0</v>
          </cell>
          <cell r="Q241">
            <v>0</v>
          </cell>
          <cell r="R241">
            <v>0</v>
          </cell>
          <cell r="S241">
            <v>0</v>
          </cell>
          <cell r="T241">
            <v>0</v>
          </cell>
          <cell r="U241">
            <v>0</v>
          </cell>
        </row>
        <row r="243">
          <cell r="A243" t="str">
            <v>Other</v>
          </cell>
          <cell r="C243">
            <v>11221</v>
          </cell>
          <cell r="D243">
            <v>5873</v>
          </cell>
          <cell r="E243">
            <v>7827</v>
          </cell>
          <cell r="F243">
            <v>8248</v>
          </cell>
          <cell r="G243">
            <v>7432</v>
          </cell>
          <cell r="H243">
            <v>7477</v>
          </cell>
          <cell r="I243">
            <v>7301</v>
          </cell>
          <cell r="K243">
            <v>8295</v>
          </cell>
          <cell r="L243">
            <v>8295</v>
          </cell>
        </row>
        <row r="245">
          <cell r="A245" t="str">
            <v>Net debt (above)</v>
          </cell>
          <cell r="C245">
            <v>16886</v>
          </cell>
          <cell r="D245">
            <v>11886</v>
          </cell>
          <cell r="E245">
            <v>14776</v>
          </cell>
          <cell r="F245">
            <v>10224</v>
          </cell>
          <cell r="G245">
            <v>8993</v>
          </cell>
          <cell r="H245">
            <v>9909</v>
          </cell>
          <cell r="I245">
            <v>7837</v>
          </cell>
          <cell r="K245">
            <v>6591.7618892203964</v>
          </cell>
          <cell r="L245">
            <v>4329.2445584017032</v>
          </cell>
          <cell r="M245">
            <v>1428.8088446001775</v>
          </cell>
          <cell r="N245">
            <v>-1666.1101070286259</v>
          </cell>
          <cell r="O245">
            <v>-5130.7721692613322</v>
          </cell>
          <cell r="P245">
            <v>-8663.0301950909416</v>
          </cell>
          <cell r="Q245">
            <v>-12637.285647441851</v>
          </cell>
          <cell r="R245">
            <v>-17211.644438541887</v>
          </cell>
          <cell r="S245">
            <v>-21278.198207093683</v>
          </cell>
          <cell r="T245">
            <v>-25466.699215212851</v>
          </cell>
          <cell r="U245">
            <v>-29652.297769605837</v>
          </cell>
        </row>
        <row r="246">
          <cell r="A246" t="str">
            <v xml:space="preserve"> -Convert</v>
          </cell>
          <cell r="C246">
            <v>-2276</v>
          </cell>
          <cell r="D246">
            <v>-2285</v>
          </cell>
          <cell r="E246">
            <v>-2285</v>
          </cell>
          <cell r="F246">
            <v>0</v>
          </cell>
          <cell r="G246">
            <v>0</v>
          </cell>
          <cell r="H246">
            <v>0</v>
          </cell>
          <cell r="I246">
            <v>0</v>
          </cell>
          <cell r="K246">
            <v>0</v>
          </cell>
          <cell r="L246">
            <v>0</v>
          </cell>
          <cell r="M246">
            <v>0</v>
          </cell>
          <cell r="N246">
            <v>0</v>
          </cell>
          <cell r="O246">
            <v>0</v>
          </cell>
          <cell r="P246">
            <v>0</v>
          </cell>
          <cell r="Q246">
            <v>0</v>
          </cell>
          <cell r="R246">
            <v>0</v>
          </cell>
          <cell r="S246">
            <v>0</v>
          </cell>
          <cell r="T246">
            <v>0</v>
          </cell>
          <cell r="U246">
            <v>0</v>
          </cell>
        </row>
        <row r="248">
          <cell r="A248" t="str">
            <v>Net debt excluding convert</v>
          </cell>
          <cell r="C248">
            <v>14610</v>
          </cell>
          <cell r="D248">
            <v>9601</v>
          </cell>
          <cell r="E248">
            <v>12491</v>
          </cell>
          <cell r="F248">
            <v>10224</v>
          </cell>
          <cell r="G248">
            <v>8993</v>
          </cell>
          <cell r="H248">
            <v>9909</v>
          </cell>
          <cell r="I248">
            <v>7837</v>
          </cell>
          <cell r="K248">
            <v>6591.7618892203964</v>
          </cell>
          <cell r="L248">
            <v>4329.2445584017032</v>
          </cell>
          <cell r="M248">
            <v>1428.8088446001775</v>
          </cell>
          <cell r="N248">
            <v>-1666.1101070286259</v>
          </cell>
          <cell r="O248">
            <v>-5130.7721692613322</v>
          </cell>
          <cell r="P248">
            <v>-8663.0301950909416</v>
          </cell>
          <cell r="Q248">
            <v>-12637.285647441851</v>
          </cell>
          <cell r="R248">
            <v>-17211.644438541887</v>
          </cell>
          <cell r="S248">
            <v>-21278.198207093683</v>
          </cell>
          <cell r="T248">
            <v>-25466.699215212851</v>
          </cell>
          <cell r="U248">
            <v>-29652.297769605837</v>
          </cell>
        </row>
        <row r="250">
          <cell r="A250" t="str">
            <v>Pension Liabilities</v>
          </cell>
        </row>
        <row r="251">
          <cell r="A251" t="str">
            <v>Defined benefit obligation</v>
          </cell>
          <cell r="C251">
            <v>16708</v>
          </cell>
          <cell r="D251">
            <v>15022</v>
          </cell>
          <cell r="E251">
            <v>14910</v>
          </cell>
          <cell r="F251">
            <v>15110</v>
          </cell>
          <cell r="G251">
            <v>16833</v>
          </cell>
          <cell r="H251">
            <v>18332</v>
          </cell>
          <cell r="I251">
            <v>21766</v>
          </cell>
          <cell r="K251">
            <v>21766</v>
          </cell>
          <cell r="L251">
            <v>21766</v>
          </cell>
          <cell r="M251">
            <v>21766</v>
          </cell>
          <cell r="N251">
            <v>21766</v>
          </cell>
          <cell r="O251">
            <v>21766</v>
          </cell>
          <cell r="P251">
            <v>21766</v>
          </cell>
          <cell r="Q251">
            <v>21766</v>
          </cell>
          <cell r="R251">
            <v>21766</v>
          </cell>
          <cell r="S251">
            <v>21766</v>
          </cell>
          <cell r="T251">
            <v>21766</v>
          </cell>
          <cell r="U251">
            <v>21766</v>
          </cell>
        </row>
        <row r="252">
          <cell r="A252" t="str">
            <v>Fair value of plan assets</v>
          </cell>
          <cell r="C252">
            <v>10214</v>
          </cell>
          <cell r="D252">
            <v>10072</v>
          </cell>
          <cell r="E252">
            <v>8934</v>
          </cell>
          <cell r="F252">
            <v>9229</v>
          </cell>
          <cell r="G252">
            <v>10147</v>
          </cell>
          <cell r="H252">
            <v>11191</v>
          </cell>
          <cell r="I252">
            <v>13030</v>
          </cell>
          <cell r="K252">
            <v>13030</v>
          </cell>
          <cell r="L252">
            <v>13030</v>
          </cell>
          <cell r="M252">
            <v>13030</v>
          </cell>
          <cell r="N252">
            <v>13030</v>
          </cell>
          <cell r="O252">
            <v>13030</v>
          </cell>
          <cell r="P252">
            <v>13030</v>
          </cell>
          <cell r="Q252">
            <v>13030</v>
          </cell>
          <cell r="R252">
            <v>13030</v>
          </cell>
          <cell r="S252">
            <v>13030</v>
          </cell>
          <cell r="T252">
            <v>13030</v>
          </cell>
          <cell r="U252">
            <v>13030</v>
          </cell>
        </row>
        <row r="253">
          <cell r="A253" t="str">
            <v>Pension liability</v>
          </cell>
          <cell r="C253">
            <v>6494</v>
          </cell>
          <cell r="D253">
            <v>4950</v>
          </cell>
          <cell r="E253">
            <v>5976</v>
          </cell>
          <cell r="F253">
            <v>5881</v>
          </cell>
          <cell r="G253">
            <v>6686</v>
          </cell>
          <cell r="H253">
            <v>7141</v>
          </cell>
          <cell r="I253">
            <v>8736</v>
          </cell>
          <cell r="K253">
            <v>8736</v>
          </cell>
          <cell r="L253">
            <v>8736</v>
          </cell>
          <cell r="M253">
            <v>8736</v>
          </cell>
          <cell r="N253">
            <v>8736</v>
          </cell>
          <cell r="O253">
            <v>8736</v>
          </cell>
          <cell r="P253">
            <v>8736</v>
          </cell>
          <cell r="Q253">
            <v>8736</v>
          </cell>
          <cell r="R253">
            <v>8736</v>
          </cell>
          <cell r="S253">
            <v>8736</v>
          </cell>
          <cell r="T253">
            <v>8736</v>
          </cell>
          <cell r="U253">
            <v>8736</v>
          </cell>
        </row>
        <row r="255">
          <cell r="A255" t="str">
            <v>Net debt (- convert + pension)</v>
          </cell>
          <cell r="C255">
            <v>21104</v>
          </cell>
          <cell r="D255">
            <v>14551</v>
          </cell>
          <cell r="E255">
            <v>18467</v>
          </cell>
          <cell r="F255">
            <v>16105</v>
          </cell>
          <cell r="G255">
            <v>15679</v>
          </cell>
          <cell r="H255">
            <v>17050</v>
          </cell>
          <cell r="I255">
            <v>16573</v>
          </cell>
          <cell r="K255">
            <v>15327.761889220397</v>
          </cell>
          <cell r="L255">
            <v>13065.244558401704</v>
          </cell>
          <cell r="M255">
            <v>10164.808844600178</v>
          </cell>
          <cell r="N255">
            <v>7069.8898929713741</v>
          </cell>
          <cell r="O255">
            <v>3605.2278307386678</v>
          </cell>
          <cell r="P255">
            <v>72.969804909058439</v>
          </cell>
          <cell r="Q255">
            <v>-3901.2856474418513</v>
          </cell>
          <cell r="R255">
            <v>-8475.6444385418872</v>
          </cell>
          <cell r="S255">
            <v>-12542.198207093683</v>
          </cell>
          <cell r="T255">
            <v>-16730.699215212851</v>
          </cell>
          <cell r="U255">
            <v>-20916.297769605837</v>
          </cell>
        </row>
        <row r="258">
          <cell r="A258" t="str">
            <v>Credit analysis</v>
          </cell>
        </row>
        <row r="259">
          <cell r="A259" t="str">
            <v>Net debt (-convert, -50% of hybrid)</v>
          </cell>
          <cell r="C259">
            <v>13986.5</v>
          </cell>
          <cell r="D259">
            <v>8982.5</v>
          </cell>
          <cell r="E259">
            <v>11872.5</v>
          </cell>
          <cell r="F259">
            <v>9605.5</v>
          </cell>
          <cell r="G259">
            <v>8374.5</v>
          </cell>
          <cell r="H259">
            <v>9290.5</v>
          </cell>
        </row>
        <row r="261">
          <cell r="A261" t="str">
            <v>Net debt / EBITDA</v>
          </cell>
          <cell r="C261" t="e">
            <v>#REF!</v>
          </cell>
          <cell r="D261" t="e">
            <v>#REF!</v>
          </cell>
          <cell r="E261" t="e">
            <v>#REF!</v>
          </cell>
          <cell r="F261" t="e">
            <v>#REF!</v>
          </cell>
          <cell r="G261" t="e">
            <v>#REF!</v>
          </cell>
          <cell r="H261" t="e">
            <v>#REF!</v>
          </cell>
        </row>
        <row r="262">
          <cell r="A262" t="str">
            <v>Net debt / FCFO</v>
          </cell>
          <cell r="C262">
            <v>3.3332936129647281</v>
          </cell>
          <cell r="D262">
            <v>1.8701853008536331</v>
          </cell>
          <cell r="E262">
            <v>2.4657320872274142</v>
          </cell>
          <cell r="F262">
            <v>2.6622782705099777</v>
          </cell>
          <cell r="G262">
            <v>1.558046511627907</v>
          </cell>
          <cell r="H262">
            <v>1.6093019227438075</v>
          </cell>
        </row>
        <row r="263">
          <cell r="A263" t="str">
            <v>Interest cover</v>
          </cell>
          <cell r="C263">
            <v>6.9682959048877144</v>
          </cell>
          <cell r="D263">
            <v>7.3120000000000003</v>
          </cell>
          <cell r="E263">
            <v>5.6829484902309062</v>
          </cell>
          <cell r="F263">
            <v>5.3446691176470589</v>
          </cell>
          <cell r="G263">
            <v>6.5960125918153203</v>
          </cell>
          <cell r="H263">
            <v>9.336032388663968</v>
          </cell>
        </row>
        <row r="273">
          <cell r="D273" t="str">
            <v>FY07A</v>
          </cell>
          <cell r="E273" t="str">
            <v>FY08A</v>
          </cell>
          <cell r="F273" t="str">
            <v>FY09A</v>
          </cell>
          <cell r="G273" t="str">
            <v>FY10A</v>
          </cell>
          <cell r="H273" t="str">
            <v>FY11A</v>
          </cell>
        </row>
        <row r="274">
          <cell r="A274" t="str">
            <v>Revenues</v>
          </cell>
          <cell r="D274">
            <v>32385</v>
          </cell>
          <cell r="E274">
            <v>32918</v>
          </cell>
          <cell r="F274">
            <v>31168</v>
          </cell>
          <cell r="G274">
            <v>35088</v>
          </cell>
          <cell r="H274">
            <v>36528</v>
          </cell>
        </row>
        <row r="275">
          <cell r="A275" t="str">
            <v>Operating Free cash flow</v>
          </cell>
          <cell r="D275">
            <v>4815</v>
          </cell>
          <cell r="E275">
            <v>3608</v>
          </cell>
          <cell r="F275">
            <v>5375</v>
          </cell>
          <cell r="G275">
            <v>5773</v>
          </cell>
          <cell r="H275">
            <v>5060</v>
          </cell>
        </row>
        <row r="276">
          <cell r="A276" t="str">
            <v>as a % of revenues</v>
          </cell>
          <cell r="D276">
            <v>0.14867994441871238</v>
          </cell>
          <cell r="E276">
            <v>0.10960568685825384</v>
          </cell>
          <cell r="F276">
            <v>0.17245251540041068</v>
          </cell>
          <cell r="G276">
            <v>0.16452918376652986</v>
          </cell>
          <cell r="H276">
            <v>0.13852387209811651</v>
          </cell>
        </row>
        <row r="278">
          <cell r="A278" t="str">
            <v>Net Interest Payments</v>
          </cell>
          <cell r="D278">
            <v>-708</v>
          </cell>
          <cell r="E278">
            <v>-719</v>
          </cell>
          <cell r="F278">
            <v>-729</v>
          </cell>
          <cell r="G278">
            <v>-464</v>
          </cell>
          <cell r="H278">
            <v>-495</v>
          </cell>
        </row>
        <row r="279">
          <cell r="A279" t="str">
            <v>Debt Redemptions</v>
          </cell>
          <cell r="D279">
            <v>0</v>
          </cell>
          <cell r="E279">
            <v>-1287</v>
          </cell>
          <cell r="F279">
            <v>-2358</v>
          </cell>
          <cell r="G279">
            <v>-447</v>
          </cell>
          <cell r="H279">
            <v>-1566</v>
          </cell>
        </row>
        <row r="282">
          <cell r="A282" t="str">
            <v>CAPEX</v>
          </cell>
          <cell r="D282">
            <v>-1549</v>
          </cell>
          <cell r="E282">
            <v>-1463</v>
          </cell>
          <cell r="F282">
            <v>-1575</v>
          </cell>
          <cell r="G282">
            <v>-1514</v>
          </cell>
          <cell r="H282">
            <v>-1615</v>
          </cell>
        </row>
        <row r="283">
          <cell r="A283" t="str">
            <v>Dividend</v>
          </cell>
          <cell r="D283">
            <v>-773</v>
          </cell>
          <cell r="E283">
            <v>-1126</v>
          </cell>
          <cell r="F283">
            <v>-973</v>
          </cell>
          <cell r="G283">
            <v>-1160</v>
          </cell>
          <cell r="H283">
            <v>-1242</v>
          </cell>
        </row>
        <row r="285">
          <cell r="A285" t="str">
            <v>Net cash flow (after above items)</v>
          </cell>
          <cell r="D285">
            <v>1785</v>
          </cell>
          <cell r="E285">
            <v>-987</v>
          </cell>
          <cell r="F285">
            <v>-260</v>
          </cell>
          <cell r="G285">
            <v>2188</v>
          </cell>
          <cell r="H285">
            <v>142</v>
          </cell>
        </row>
        <row r="286">
          <cell r="A286" t="str">
            <v>Cash at year end</v>
          </cell>
          <cell r="D286">
            <v>2531</v>
          </cell>
          <cell r="E286">
            <v>1544</v>
          </cell>
          <cell r="F286">
            <v>1284</v>
          </cell>
          <cell r="G286">
            <v>3472</v>
          </cell>
          <cell r="H286">
            <v>3614</v>
          </cell>
        </row>
        <row r="314">
          <cell r="A314" t="str">
            <v>Debt Maturities (as at Dec 31, 2007)</v>
          </cell>
          <cell r="D314" t="str">
            <v>Debt</v>
          </cell>
          <cell r="H314" t="str">
            <v>Pension Liability</v>
          </cell>
        </row>
        <row r="315">
          <cell r="A315" t="str">
            <v>Up to 2008</v>
          </cell>
          <cell r="D315">
            <v>1287</v>
          </cell>
          <cell r="H315">
            <v>721</v>
          </cell>
        </row>
        <row r="316">
          <cell r="A316" t="str">
            <v>Up to 2009</v>
          </cell>
          <cell r="D316">
            <v>4643</v>
          </cell>
          <cell r="H316">
            <v>741</v>
          </cell>
        </row>
        <row r="317">
          <cell r="A317" t="str">
            <v>Up to 2010</v>
          </cell>
          <cell r="D317">
            <v>447</v>
          </cell>
          <cell r="H317">
            <v>773</v>
          </cell>
        </row>
        <row r="318">
          <cell r="A318" t="str">
            <v>Up to 2011</v>
          </cell>
          <cell r="D318">
            <v>1566</v>
          </cell>
          <cell r="H318">
            <v>805</v>
          </cell>
        </row>
        <row r="319">
          <cell r="A319" t="str">
            <v>Up to 2012</v>
          </cell>
          <cell r="D319">
            <v>2455</v>
          </cell>
          <cell r="H319">
            <v>838</v>
          </cell>
        </row>
        <row r="320">
          <cell r="A320" t="str">
            <v>Up to 2013 or later</v>
          </cell>
          <cell r="D320">
            <v>3800</v>
          </cell>
          <cell r="H320">
            <v>4718</v>
          </cell>
        </row>
        <row r="321">
          <cell r="A321" t="str">
            <v>Total</v>
          </cell>
          <cell r="D321">
            <v>14198</v>
          </cell>
        </row>
      </sheetData>
      <sheetData sheetId="7"/>
      <sheetData sheetId="8">
        <row r="1">
          <cell r="AS1" t="str">
            <v>Return to contents</v>
          </cell>
        </row>
        <row r="2">
          <cell r="A2" t="str">
            <v>Bayer</v>
          </cell>
        </row>
        <row r="3">
          <cell r="A3" t="str">
            <v>Divisional Summary</v>
          </cell>
          <cell r="AV3" t="str">
            <v>Morgan Stanley Equity Research- Pharmaceuticals</v>
          </cell>
        </row>
        <row r="4">
          <cell r="A4" t="str">
            <v>Calculated from Div P&amp;L - No drivers</v>
          </cell>
          <cell r="BF4" t="str">
            <v>USC</v>
          </cell>
          <cell r="BG4" t="str">
            <v>Class</v>
          </cell>
          <cell r="BH4" t="str">
            <v>Contr to Sales</v>
          </cell>
          <cell r="BI4" t="str">
            <v>Contr to Sales</v>
          </cell>
          <cell r="BJ4" t="str">
            <v>Contr to Sales</v>
          </cell>
          <cell r="BM4" t="str">
            <v>EU Patent</v>
          </cell>
          <cell r="BN4" t="str">
            <v>US Patent</v>
          </cell>
        </row>
        <row r="5">
          <cell r="A5" t="str">
            <v>€ mlns</v>
          </cell>
          <cell r="B5" t="str">
            <v>FY05A</v>
          </cell>
          <cell r="C5" t="str">
            <v>FY06A</v>
          </cell>
          <cell r="D5" t="str">
            <v>1QA</v>
          </cell>
          <cell r="E5" t="str">
            <v>2QA</v>
          </cell>
          <cell r="F5" t="str">
            <v>1H07A</v>
          </cell>
          <cell r="G5" t="str">
            <v>3QA</v>
          </cell>
          <cell r="H5" t="str">
            <v>9mo07A</v>
          </cell>
          <cell r="I5" t="str">
            <v>4QA</v>
          </cell>
          <cell r="J5" t="str">
            <v>FY07A</v>
          </cell>
          <cell r="K5" t="str">
            <v>1QA</v>
          </cell>
          <cell r="L5" t="str">
            <v>2QA</v>
          </cell>
          <cell r="M5" t="str">
            <v>1H08A</v>
          </cell>
          <cell r="N5" t="str">
            <v>3QA</v>
          </cell>
          <cell r="O5" t="str">
            <v>9mo08A</v>
          </cell>
          <cell r="P5" t="str">
            <v>4QA</v>
          </cell>
          <cell r="Q5" t="str">
            <v>FY08A</v>
          </cell>
          <cell r="R5" t="str">
            <v>1QA</v>
          </cell>
          <cell r="S5" t="str">
            <v>2QA</v>
          </cell>
          <cell r="T5" t="str">
            <v>1H09A</v>
          </cell>
          <cell r="U5" t="str">
            <v>3QA</v>
          </cell>
          <cell r="V5" t="str">
            <v>9mo09A</v>
          </cell>
          <cell r="W5" t="str">
            <v>4Q</v>
          </cell>
          <cell r="X5" t="str">
            <v>FY09A</v>
          </cell>
          <cell r="Y5" t="str">
            <v>1QA</v>
          </cell>
          <cell r="Z5" t="str">
            <v>2QA</v>
          </cell>
          <cell r="AA5" t="str">
            <v>1HA</v>
          </cell>
          <cell r="AB5" t="str">
            <v>3QA</v>
          </cell>
          <cell r="AC5" t="str">
            <v>9moA</v>
          </cell>
          <cell r="AD5" t="str">
            <v>4QA</v>
          </cell>
          <cell r="AE5" t="str">
            <v>FY10A</v>
          </cell>
          <cell r="AF5" t="str">
            <v>1QA</v>
          </cell>
          <cell r="AG5" t="str">
            <v>2QA</v>
          </cell>
          <cell r="AH5" t="str">
            <v>1H</v>
          </cell>
          <cell r="AI5" t="str">
            <v>3QA</v>
          </cell>
          <cell r="AJ5" t="str">
            <v>9moA</v>
          </cell>
          <cell r="AK5" t="str">
            <v>4QA</v>
          </cell>
          <cell r="AL5" t="str">
            <v>FY11A</v>
          </cell>
          <cell r="AM5" t="str">
            <v>1QA</v>
          </cell>
          <cell r="AN5" t="str">
            <v>2QA</v>
          </cell>
          <cell r="AO5" t="str">
            <v>1H</v>
          </cell>
          <cell r="AP5" t="str">
            <v>3QA</v>
          </cell>
          <cell r="AQ5" t="str">
            <v>9moA</v>
          </cell>
          <cell r="AR5" t="str">
            <v>4QA</v>
          </cell>
          <cell r="AS5" t="str">
            <v>FY12A</v>
          </cell>
          <cell r="AT5" t="str">
            <v>FY13E</v>
          </cell>
          <cell r="AU5" t="str">
            <v>FY14E</v>
          </cell>
          <cell r="AV5" t="str">
            <v>FY15E</v>
          </cell>
          <cell r="AW5" t="str">
            <v>FY16E</v>
          </cell>
          <cell r="AX5" t="str">
            <v>FY17E</v>
          </cell>
          <cell r="AY5" t="str">
            <v>FY18E</v>
          </cell>
          <cell r="AZ5" t="str">
            <v>FY19E</v>
          </cell>
          <cell r="BA5" t="str">
            <v>FY20E</v>
          </cell>
          <cell r="BB5" t="str">
            <v>FY21E</v>
          </cell>
          <cell r="BC5" t="str">
            <v>FY22E</v>
          </cell>
          <cell r="BD5" t="str">
            <v>FY23E</v>
          </cell>
          <cell r="BH5" t="str">
            <v>2004-9</v>
          </cell>
          <cell r="BI5" t="str">
            <v>2005-10</v>
          </cell>
          <cell r="BJ5" t="str">
            <v>2006-11</v>
          </cell>
          <cell r="BM5" t="str">
            <v>Expiry</v>
          </cell>
          <cell r="BN5" t="str">
            <v>Expiry</v>
          </cell>
        </row>
        <row r="7">
          <cell r="A7" t="str">
            <v>GROUP</v>
          </cell>
        </row>
        <row r="8">
          <cell r="A8" t="str">
            <v>Sales</v>
          </cell>
          <cell r="B8">
            <v>25395</v>
          </cell>
          <cell r="C8">
            <v>29670</v>
          </cell>
          <cell r="D8">
            <v>8335</v>
          </cell>
          <cell r="E8">
            <v>8351</v>
          </cell>
          <cell r="F8">
            <v>15407</v>
          </cell>
          <cell r="G8">
            <v>7859</v>
          </cell>
          <cell r="H8">
            <v>22599</v>
          </cell>
          <cell r="I8">
            <v>10449</v>
          </cell>
          <cell r="J8">
            <v>33048</v>
          </cell>
          <cell r="K8">
            <v>8536</v>
          </cell>
          <cell r="L8">
            <v>8511</v>
          </cell>
          <cell r="M8">
            <v>17047</v>
          </cell>
          <cell r="N8">
            <v>7948</v>
          </cell>
          <cell r="O8">
            <v>24995</v>
          </cell>
          <cell r="P8">
            <v>7923</v>
          </cell>
          <cell r="Q8">
            <v>32918</v>
          </cell>
          <cell r="R8">
            <v>7895</v>
          </cell>
          <cell r="S8">
            <v>8009</v>
          </cell>
          <cell r="T8">
            <v>15904</v>
          </cell>
          <cell r="U8">
            <v>7392</v>
          </cell>
          <cell r="V8">
            <v>23296</v>
          </cell>
          <cell r="W8">
            <v>7872</v>
          </cell>
          <cell r="X8">
            <v>31168</v>
          </cell>
          <cell r="Y8">
            <v>8316</v>
          </cell>
          <cell r="Z8">
            <v>9179</v>
          </cell>
          <cell r="AA8">
            <v>17495</v>
          </cell>
          <cell r="AB8">
            <v>8581</v>
          </cell>
          <cell r="AC8">
            <v>26076</v>
          </cell>
          <cell r="AD8">
            <v>9012</v>
          </cell>
          <cell r="AE8">
            <v>35088</v>
          </cell>
          <cell r="AF8">
            <v>9415</v>
          </cell>
          <cell r="AG8">
            <v>9252</v>
          </cell>
          <cell r="AH8">
            <v>18668</v>
          </cell>
          <cell r="AI8">
            <v>8670</v>
          </cell>
          <cell r="AJ8">
            <v>27338</v>
          </cell>
          <cell r="AK8">
            <v>9192</v>
          </cell>
          <cell r="AL8">
            <v>36528</v>
          </cell>
          <cell r="AM8">
            <v>10056</v>
          </cell>
          <cell r="AN8">
            <v>10177</v>
          </cell>
          <cell r="AO8">
            <v>20233</v>
          </cell>
          <cell r="AP8">
            <v>9665</v>
          </cell>
          <cell r="AQ8">
            <v>29898</v>
          </cell>
          <cell r="AR8">
            <v>9862</v>
          </cell>
          <cell r="AS8">
            <v>39760</v>
          </cell>
          <cell r="AT8">
            <v>41195.110053662756</v>
          </cell>
          <cell r="AU8">
            <v>45385.722338539068</v>
          </cell>
          <cell r="AV8">
            <v>47648.961380078537</v>
          </cell>
          <cell r="AW8">
            <v>49925.629418313059</v>
          </cell>
          <cell r="AX8">
            <v>52536.355185387758</v>
          </cell>
          <cell r="AY8">
            <v>54106.910091599741</v>
          </cell>
          <cell r="AZ8">
            <v>56151.535698609536</v>
          </cell>
          <cell r="BA8">
            <v>58588.268339333903</v>
          </cell>
          <cell r="BB8">
            <v>58912.056334426619</v>
          </cell>
          <cell r="BC8">
            <v>59874.517671939459</v>
          </cell>
          <cell r="BD8">
            <v>61156.109276773728</v>
          </cell>
        </row>
        <row r="9">
          <cell r="A9" t="str">
            <v>Growth (%)</v>
          </cell>
          <cell r="C9">
            <v>0.1683402244536325</v>
          </cell>
          <cell r="J9">
            <v>0.11385237613751253</v>
          </cell>
          <cell r="K9">
            <v>2.4115176964607077E-2</v>
          </cell>
          <cell r="L9">
            <v>1.9159382109926959E-2</v>
          </cell>
          <cell r="M9">
            <v>0.10644512234698511</v>
          </cell>
          <cell r="N9">
            <v>1.1324596004580689E-2</v>
          </cell>
          <cell r="O9">
            <v>0.10602239037125538</v>
          </cell>
          <cell r="P9">
            <v>-0.24174562159058288</v>
          </cell>
          <cell r="Q9">
            <v>-3.9336722343258357E-3</v>
          </cell>
          <cell r="R9">
            <v>-7.5093720712277379E-2</v>
          </cell>
          <cell r="S9">
            <v>-5.8982493244037149E-2</v>
          </cell>
          <cell r="T9">
            <v>-6.7049920807180197E-2</v>
          </cell>
          <cell r="U9">
            <v>-6.9954705586311006E-2</v>
          </cell>
          <cell r="V9">
            <v>-6.7973594718943819E-2</v>
          </cell>
          <cell r="W9">
            <v>-6.4369556985990339E-3</v>
          </cell>
          <cell r="X9">
            <v>-5.3162403548210668E-2</v>
          </cell>
          <cell r="Y9">
            <v>5.3324889170361045E-2</v>
          </cell>
          <cell r="Z9">
            <v>0.14608565363965531</v>
          </cell>
          <cell r="AA9">
            <v>0.10003772635814889</v>
          </cell>
          <cell r="AB9">
            <v>0.1608495670995671</v>
          </cell>
          <cell r="AC9">
            <v>0.11933379120879128</v>
          </cell>
          <cell r="AD9">
            <v>0.14481707317073167</v>
          </cell>
          <cell r="AE9">
            <v>0.12577002053388098</v>
          </cell>
          <cell r="AF9">
            <v>0.13215488215488214</v>
          </cell>
          <cell r="AG9">
            <v>7.9529360496786161E-3</v>
          </cell>
          <cell r="AH9">
            <v>6.7047727922263434E-2</v>
          </cell>
          <cell r="AI9">
            <v>1.0371751544109076E-2</v>
          </cell>
          <cell r="AJ9">
            <v>4.839699340389636E-2</v>
          </cell>
          <cell r="AK9">
            <v>1.9973368841544659E-2</v>
          </cell>
          <cell r="AL9">
            <v>4.1039671682626455E-2</v>
          </cell>
          <cell r="AM9">
            <v>6.80828465215082E-2</v>
          </cell>
          <cell r="AN9">
            <v>9.9978383052313102E-2</v>
          </cell>
          <cell r="AO9">
            <v>8.3833297621598524E-2</v>
          </cell>
          <cell r="AP9">
            <v>0.1147635524798154</v>
          </cell>
          <cell r="AQ9">
            <v>9.364254883312606E-2</v>
          </cell>
          <cell r="AR9">
            <v>7.2889469103568416E-2</v>
          </cell>
          <cell r="AS9">
            <v>8.8480070083223783E-2</v>
          </cell>
          <cell r="AT9">
            <v>3.6094317245039198E-2</v>
          </cell>
          <cell r="AU9">
            <v>0.10172596406266221</v>
          </cell>
          <cell r="AV9">
            <v>4.9866762605597081E-2</v>
          </cell>
          <cell r="AW9">
            <v>4.778001392463449E-2</v>
          </cell>
          <cell r="AX9">
            <v>5.2292295510190767E-2</v>
          </cell>
          <cell r="AY9">
            <v>2.9894630121748644E-2</v>
          </cell>
          <cell r="AZ9">
            <v>3.7788622627837443E-2</v>
          </cell>
          <cell r="BA9">
            <v>4.3395654462656363E-2</v>
          </cell>
          <cell r="BB9">
            <v>5.526498807191027E-3</v>
          </cell>
          <cell r="BC9">
            <v>1.63372558589574E-2</v>
          </cell>
          <cell r="BD9">
            <v>2.1404625117087184E-2</v>
          </cell>
        </row>
        <row r="10">
          <cell r="A10" t="str">
            <v>EBIT (pre exc)</v>
          </cell>
          <cell r="B10">
            <v>3047</v>
          </cell>
          <cell r="C10">
            <v>3479</v>
          </cell>
          <cell r="D10">
            <v>1375</v>
          </cell>
          <cell r="E10">
            <v>1185</v>
          </cell>
          <cell r="F10">
            <v>2560</v>
          </cell>
          <cell r="G10">
            <v>953</v>
          </cell>
          <cell r="H10">
            <v>3513</v>
          </cell>
          <cell r="I10">
            <v>774</v>
          </cell>
          <cell r="J10">
            <v>4287</v>
          </cell>
          <cell r="K10">
            <v>1497</v>
          </cell>
          <cell r="L10">
            <v>1248</v>
          </cell>
          <cell r="M10">
            <v>2745</v>
          </cell>
          <cell r="N10">
            <v>891</v>
          </cell>
          <cell r="O10">
            <v>3636</v>
          </cell>
          <cell r="P10">
            <v>706</v>
          </cell>
          <cell r="Q10">
            <v>4342</v>
          </cell>
          <cell r="R10">
            <v>1017</v>
          </cell>
          <cell r="S10">
            <v>1101</v>
          </cell>
          <cell r="T10">
            <v>2118</v>
          </cell>
          <cell r="U10">
            <v>837</v>
          </cell>
          <cell r="V10">
            <v>2955</v>
          </cell>
          <cell r="W10">
            <v>817</v>
          </cell>
          <cell r="X10">
            <v>3772</v>
          </cell>
          <cell r="Y10">
            <v>1181</v>
          </cell>
          <cell r="Z10">
            <v>1266</v>
          </cell>
          <cell r="AA10">
            <v>2447</v>
          </cell>
          <cell r="AB10">
            <v>1261</v>
          </cell>
          <cell r="AC10">
            <v>3708</v>
          </cell>
          <cell r="AD10">
            <v>744</v>
          </cell>
          <cell r="AE10">
            <v>4452</v>
          </cell>
          <cell r="AF10">
            <v>1590</v>
          </cell>
          <cell r="AG10">
            <v>1417</v>
          </cell>
          <cell r="AH10">
            <v>3008</v>
          </cell>
          <cell r="AI10">
            <v>1174</v>
          </cell>
          <cell r="AJ10">
            <v>4182</v>
          </cell>
          <cell r="AK10">
            <v>845</v>
          </cell>
          <cell r="AL10">
            <v>5025</v>
          </cell>
          <cell r="AM10">
            <v>1468</v>
          </cell>
          <cell r="AN10">
            <v>1512</v>
          </cell>
          <cell r="AO10">
            <v>3318</v>
          </cell>
          <cell r="AP10">
            <v>1194</v>
          </cell>
          <cell r="AQ10">
            <v>4512</v>
          </cell>
          <cell r="AR10">
            <v>1159</v>
          </cell>
          <cell r="AS10">
            <v>5671</v>
          </cell>
          <cell r="AT10">
            <v>5970.7936164217608</v>
          </cell>
          <cell r="AU10">
            <v>7033.5404178260505</v>
          </cell>
          <cell r="AV10">
            <v>7564.5147365065204</v>
          </cell>
          <cell r="AW10">
            <v>7840.6819881239498</v>
          </cell>
          <cell r="AX10">
            <v>8328.6560881829246</v>
          </cell>
          <cell r="AY10">
            <v>8370.9997478753758</v>
          </cell>
          <cell r="AZ10">
            <v>8998.6693925551754</v>
          </cell>
          <cell r="BA10">
            <v>9982.7839380969581</v>
          </cell>
          <cell r="BB10">
            <v>9245.6150580907579</v>
          </cell>
          <cell r="BC10">
            <v>9056.4546070293691</v>
          </cell>
          <cell r="BD10">
            <v>9037.4044527970073</v>
          </cell>
        </row>
        <row r="11">
          <cell r="A11" t="str">
            <v>EBIT Margin %</v>
          </cell>
          <cell r="B11">
            <v>0.11998424886788737</v>
          </cell>
          <cell r="C11">
            <v>0.11725648803505224</v>
          </cell>
          <cell r="D11">
            <v>0.16496700659868027</v>
          </cell>
          <cell r="E11">
            <v>0.14189917375164651</v>
          </cell>
          <cell r="F11">
            <v>0.16615823976114752</v>
          </cell>
          <cell r="G11">
            <v>0.12126224710522968</v>
          </cell>
          <cell r="H11">
            <v>0.15544935616620204</v>
          </cell>
          <cell r="I11">
            <v>7.407407407407407E-2</v>
          </cell>
          <cell r="J11">
            <v>0.129720406681191</v>
          </cell>
          <cell r="K11">
            <v>0.17537488284910965</v>
          </cell>
          <cell r="L11">
            <v>0.14663376806485726</v>
          </cell>
          <cell r="M11">
            <v>0.16102540036370036</v>
          </cell>
          <cell r="N11">
            <v>0.11210367388022144</v>
          </cell>
          <cell r="O11">
            <v>0.14546909381876375</v>
          </cell>
          <cell r="P11">
            <v>8.9107661239429509E-2</v>
          </cell>
          <cell r="Q11">
            <v>0.13190351783218907</v>
          </cell>
          <cell r="R11">
            <v>0.12881570614312857</v>
          </cell>
          <cell r="S11">
            <v>0.13747034586090648</v>
          </cell>
          <cell r="T11">
            <v>0.13317404426559357</v>
          </cell>
          <cell r="U11">
            <v>0.11323051948051949</v>
          </cell>
          <cell r="V11">
            <v>0.12684581043956045</v>
          </cell>
          <cell r="W11">
            <v>0.10378556910569106</v>
          </cell>
          <cell r="X11">
            <v>0.12102156057494866</v>
          </cell>
          <cell r="Y11">
            <v>0.14201539201539201</v>
          </cell>
          <cell r="Z11">
            <v>0.13792352108072775</v>
          </cell>
          <cell r="AA11">
            <v>0.13986853386681908</v>
          </cell>
          <cell r="AB11">
            <v>0.14695256963057918</v>
          </cell>
          <cell r="AC11">
            <v>0.14219972388403129</v>
          </cell>
          <cell r="AD11">
            <v>8.2556591211717711E-2</v>
          </cell>
          <cell r="AE11">
            <v>0.12688098495212038</v>
          </cell>
          <cell r="AF11">
            <v>0.1688794476898566</v>
          </cell>
          <cell r="AG11">
            <v>0.15315607436230005</v>
          </cell>
          <cell r="AH11">
            <v>0.16113134776087423</v>
          </cell>
          <cell r="AI11">
            <v>0.13540945790080738</v>
          </cell>
          <cell r="AJ11">
            <v>0.15297388250786451</v>
          </cell>
          <cell r="AK11">
            <v>9.1927763272410798E-2</v>
          </cell>
          <cell r="AL11">
            <v>0.13756570302233903</v>
          </cell>
          <cell r="AM11">
            <v>0.14598249801113763</v>
          </cell>
          <cell r="AN11">
            <v>0.14857030559103862</v>
          </cell>
          <cell r="AO11">
            <v>0.16398952206790887</v>
          </cell>
          <cell r="AP11">
            <v>0.12353854112778065</v>
          </cell>
          <cell r="AQ11">
            <v>0.15091310455548868</v>
          </cell>
          <cell r="AR11">
            <v>0.1175218008517542</v>
          </cell>
          <cell r="AS11">
            <v>0.1426307847082495</v>
          </cell>
          <cell r="AT11">
            <v>0.1449393777233248</v>
          </cell>
          <cell r="AU11">
            <v>0.15497253443190334</v>
          </cell>
          <cell r="AV11">
            <v>0.15875508127379989</v>
          </cell>
          <cell r="AW11">
            <v>0.15704723364484885</v>
          </cell>
          <cell r="AX11">
            <v>0.15853128864370519</v>
          </cell>
          <cell r="AY11">
            <v>0.15471221205764249</v>
          </cell>
          <cell r="AZ11">
            <v>0.16025687063760941</v>
          </cell>
          <cell r="BA11">
            <v>0.17038878637406155</v>
          </cell>
          <cell r="BB11">
            <v>0.15693926902850053</v>
          </cell>
          <cell r="BC11">
            <v>0.15125724530510462</v>
          </cell>
          <cell r="BD11">
            <v>0.14777598770870945</v>
          </cell>
        </row>
        <row r="12">
          <cell r="A12" t="str">
            <v>EBITDA (pre exc)</v>
          </cell>
          <cell r="B12">
            <v>4861</v>
          </cell>
          <cell r="C12">
            <v>5861</v>
          </cell>
          <cell r="D12">
            <v>1990</v>
          </cell>
          <cell r="E12">
            <v>1871</v>
          </cell>
          <cell r="F12">
            <v>3861</v>
          </cell>
          <cell r="G12">
            <v>1559</v>
          </cell>
          <cell r="H12">
            <v>5420</v>
          </cell>
          <cell r="I12">
            <v>1588</v>
          </cell>
          <cell r="J12">
            <v>7008</v>
          </cell>
          <cell r="K12">
            <v>2185</v>
          </cell>
          <cell r="L12">
            <v>2177</v>
          </cell>
          <cell r="M12">
            <v>4362</v>
          </cell>
          <cell r="N12">
            <v>1493</v>
          </cell>
          <cell r="O12">
            <v>5855</v>
          </cell>
          <cell r="P12">
            <v>1076</v>
          </cell>
          <cell r="Q12">
            <v>6931</v>
          </cell>
          <cell r="R12">
            <v>1695</v>
          </cell>
          <cell r="S12">
            <v>1765</v>
          </cell>
          <cell r="T12">
            <v>3460</v>
          </cell>
          <cell r="U12">
            <v>1499</v>
          </cell>
          <cell r="V12">
            <v>4959</v>
          </cell>
          <cell r="W12">
            <v>1513</v>
          </cell>
          <cell r="X12">
            <v>6472</v>
          </cell>
          <cell r="Y12">
            <v>1825</v>
          </cell>
          <cell r="Z12">
            <v>1923</v>
          </cell>
          <cell r="AA12">
            <v>3748</v>
          </cell>
          <cell r="AB12">
            <v>1656</v>
          </cell>
          <cell r="AC12">
            <v>5404</v>
          </cell>
          <cell r="AD12">
            <v>1697</v>
          </cell>
          <cell r="AE12">
            <v>7101</v>
          </cell>
          <cell r="AF12">
            <v>2232</v>
          </cell>
          <cell r="AG12">
            <v>2035</v>
          </cell>
          <cell r="AH12">
            <v>4268</v>
          </cell>
          <cell r="AI12">
            <v>1805</v>
          </cell>
          <cell r="AJ12">
            <v>6073</v>
          </cell>
          <cell r="AK12">
            <v>1542</v>
          </cell>
          <cell r="AL12">
            <v>7613</v>
          </cell>
          <cell r="AM12">
            <v>2442</v>
          </cell>
          <cell r="AN12">
            <v>2172</v>
          </cell>
          <cell r="AO12">
            <v>4618</v>
          </cell>
          <cell r="AP12">
            <v>1845</v>
          </cell>
          <cell r="AQ12">
            <v>6459</v>
          </cell>
          <cell r="AR12">
            <v>1825</v>
          </cell>
          <cell r="AS12">
            <v>8284</v>
          </cell>
          <cell r="AT12">
            <v>8692.1293127404879</v>
          </cell>
          <cell r="AU12">
            <v>9873.3934878171785</v>
          </cell>
          <cell r="AV12">
            <v>10519.289144071932</v>
          </cell>
          <cell r="AW12">
            <v>10914.790211630987</v>
          </cell>
          <cell r="AX12">
            <v>11527.120553421693</v>
          </cell>
          <cell r="AY12">
            <v>11698.609424472626</v>
          </cell>
          <cell r="AZ12">
            <v>12461.220796365389</v>
          </cell>
          <cell r="BA12">
            <v>13586.918587474433</v>
          </cell>
          <cell r="BB12">
            <v>12994.13043369212</v>
          </cell>
          <cell r="BC12">
            <v>12953.537514853922</v>
          </cell>
          <cell r="BD12">
            <v>13088.018368258834</v>
          </cell>
        </row>
        <row r="13">
          <cell r="A13" t="str">
            <v>EBITDA Margin %</v>
          </cell>
          <cell r="B13">
            <v>0.19141563299862177</v>
          </cell>
          <cell r="C13">
            <v>0.19753960229187731</v>
          </cell>
          <cell r="D13">
            <v>0.23875224955008997</v>
          </cell>
          <cell r="E13">
            <v>0.22404502454795833</v>
          </cell>
          <cell r="F13">
            <v>0.25060037645226196</v>
          </cell>
          <cell r="G13">
            <v>0.19837129405776815</v>
          </cell>
          <cell r="H13">
            <v>0.23983362095667951</v>
          </cell>
          <cell r="I13">
            <v>0.15197626567135611</v>
          </cell>
          <cell r="J13">
            <v>0.2120551924473493</v>
          </cell>
          <cell r="K13">
            <v>0.25597469540768508</v>
          </cell>
          <cell r="L13">
            <v>0.2557866290682646</v>
          </cell>
          <cell r="M13">
            <v>0.25588080014078723</v>
          </cell>
          <cell r="N13">
            <v>0.18784599899345747</v>
          </cell>
          <cell r="O13">
            <v>0.23424684936987397</v>
          </cell>
          <cell r="P13">
            <v>0.13580714375867728</v>
          </cell>
          <cell r="Q13">
            <v>0.21055349656722766</v>
          </cell>
          <cell r="R13">
            <v>0.21469284357188093</v>
          </cell>
          <cell r="S13">
            <v>0.22037707578973656</v>
          </cell>
          <cell r="T13">
            <v>0.21755533199195171</v>
          </cell>
          <cell r="U13">
            <v>0.20278679653679654</v>
          </cell>
          <cell r="V13">
            <v>0.21286916208791209</v>
          </cell>
          <cell r="W13">
            <v>0.19220020325203252</v>
          </cell>
          <cell r="X13">
            <v>0.2076488706365503</v>
          </cell>
          <cell r="Y13">
            <v>0.21945646945646946</v>
          </cell>
          <cell r="Z13">
            <v>0.20949994552783527</v>
          </cell>
          <cell r="AA13">
            <v>0.21423263789654187</v>
          </cell>
          <cell r="AB13">
            <v>0.19298450064095093</v>
          </cell>
          <cell r="AC13">
            <v>0.20724037429053535</v>
          </cell>
          <cell r="AD13">
            <v>0.18830448291167332</v>
          </cell>
          <cell r="AE13">
            <v>0.20237688098495213</v>
          </cell>
          <cell r="AF13">
            <v>0.23706850770047797</v>
          </cell>
          <cell r="AG13">
            <v>0.21995244271508863</v>
          </cell>
          <cell r="AH13">
            <v>0.22862652667666594</v>
          </cell>
          <cell r="AI13">
            <v>0.20818915801614762</v>
          </cell>
          <cell r="AJ13">
            <v>0.22214499963420881</v>
          </cell>
          <cell r="AK13">
            <v>0.16775456919060053</v>
          </cell>
          <cell r="AL13">
            <v>0.20841546211125711</v>
          </cell>
          <cell r="AM13">
            <v>0.24284009546539378</v>
          </cell>
          <cell r="AN13">
            <v>0.21342242311093643</v>
          </cell>
          <cell r="AO13">
            <v>0.22824099243809617</v>
          </cell>
          <cell r="AP13">
            <v>0.1908949818934299</v>
          </cell>
          <cell r="AQ13">
            <v>0.21603451735902068</v>
          </cell>
          <cell r="AR13">
            <v>0.18505374163455687</v>
          </cell>
          <cell r="AS13">
            <v>0.20835010060362172</v>
          </cell>
          <cell r="AT13">
            <v>0.21099905550483292</v>
          </cell>
          <cell r="AU13">
            <v>0.21754404202647742</v>
          </cell>
          <cell r="AV13">
            <v>0.22076638901241447</v>
          </cell>
          <cell r="AW13">
            <v>0.21862098362704602</v>
          </cell>
          <cell r="AX13">
            <v>0.21941226247510598</v>
          </cell>
          <cell r="AY13">
            <v>0.2162128534907572</v>
          </cell>
          <cell r="AZ13">
            <v>0.22192128213999965</v>
          </cell>
          <cell r="BA13">
            <v>0.23190510613457915</v>
          </cell>
          <cell r="BB13">
            <v>0.2205682714575132</v>
          </cell>
          <cell r="BC13">
            <v>0.21634474929431746</v>
          </cell>
          <cell r="BD13">
            <v>0.21400999054773892</v>
          </cell>
        </row>
        <row r="14">
          <cell r="A14" t="str">
            <v>HEALTHCARE</v>
          </cell>
        </row>
        <row r="15">
          <cell r="A15" t="str">
            <v>HC Sales</v>
          </cell>
          <cell r="B15">
            <v>7996</v>
          </cell>
          <cell r="C15">
            <v>11724</v>
          </cell>
          <cell r="D15">
            <v>3610</v>
          </cell>
          <cell r="E15">
            <v>3651</v>
          </cell>
          <cell r="F15">
            <v>5794</v>
          </cell>
          <cell r="G15">
            <v>3619</v>
          </cell>
          <cell r="H15">
            <v>8746</v>
          </cell>
          <cell r="I15">
            <v>6061</v>
          </cell>
          <cell r="J15">
            <v>14807</v>
          </cell>
          <cell r="K15">
            <v>3731</v>
          </cell>
          <cell r="L15">
            <v>3734</v>
          </cell>
          <cell r="M15">
            <v>7465</v>
          </cell>
          <cell r="N15">
            <v>3802</v>
          </cell>
          <cell r="O15">
            <v>11267</v>
          </cell>
          <cell r="P15">
            <v>4140</v>
          </cell>
          <cell r="Q15">
            <v>15407</v>
          </cell>
          <cell r="R15">
            <v>3843</v>
          </cell>
          <cell r="S15">
            <v>4045</v>
          </cell>
          <cell r="T15">
            <v>7888</v>
          </cell>
          <cell r="U15">
            <v>3936</v>
          </cell>
          <cell r="V15">
            <v>11824</v>
          </cell>
          <cell r="W15">
            <v>4164</v>
          </cell>
          <cell r="X15">
            <v>15988</v>
          </cell>
          <cell r="Y15">
            <v>3869</v>
          </cell>
          <cell r="Z15">
            <v>4305</v>
          </cell>
          <cell r="AA15">
            <v>8174</v>
          </cell>
          <cell r="AB15">
            <v>4271</v>
          </cell>
          <cell r="AC15">
            <v>12445</v>
          </cell>
          <cell r="AD15">
            <v>4468</v>
          </cell>
          <cell r="AE15">
            <v>16913</v>
          </cell>
          <cell r="AF15">
            <v>4166</v>
          </cell>
          <cell r="AG15">
            <v>4208</v>
          </cell>
          <cell r="AH15">
            <v>8375</v>
          </cell>
          <cell r="AI15">
            <v>4200</v>
          </cell>
          <cell r="AJ15">
            <v>12575</v>
          </cell>
          <cell r="AK15">
            <v>4596</v>
          </cell>
          <cell r="AL15">
            <v>17169</v>
          </cell>
          <cell r="AM15">
            <v>4342</v>
          </cell>
          <cell r="AN15">
            <v>4628</v>
          </cell>
          <cell r="AO15">
            <v>8970</v>
          </cell>
          <cell r="AP15">
            <v>4719</v>
          </cell>
          <cell r="AQ15">
            <v>13689</v>
          </cell>
          <cell r="AR15">
            <v>4923</v>
          </cell>
          <cell r="AS15">
            <v>18612</v>
          </cell>
          <cell r="AT15">
            <v>19329.25220847618</v>
          </cell>
          <cell r="AU15">
            <v>21647.448840141427</v>
          </cell>
          <cell r="AV15">
            <v>22941.532569637689</v>
          </cell>
          <cell r="AW15">
            <v>24324.296692231568</v>
          </cell>
          <cell r="AX15">
            <v>25973.045871189908</v>
          </cell>
          <cell r="AY15">
            <v>26296.839815103154</v>
          </cell>
          <cell r="AZ15">
            <v>27005.208648257369</v>
          </cell>
          <cell r="BA15">
            <v>28006.973769152901</v>
          </cell>
          <cell r="BB15">
            <v>27381.82791572217</v>
          </cell>
          <cell r="BC15">
            <v>27362.707352189042</v>
          </cell>
          <cell r="BD15">
            <v>27628.829155720003</v>
          </cell>
        </row>
        <row r="16">
          <cell r="A16" t="str">
            <v>Growth (%)</v>
          </cell>
          <cell r="C16">
            <v>0.46623311655827915</v>
          </cell>
          <cell r="J16">
            <v>0.26296485841009898</v>
          </cell>
          <cell r="K16">
            <v>3.3518005540166262E-2</v>
          </cell>
          <cell r="L16">
            <v>2.2733497671870717E-2</v>
          </cell>
          <cell r="M16">
            <v>0.28840179496030371</v>
          </cell>
          <cell r="N16">
            <v>5.056645482177391E-2</v>
          </cell>
          <cell r="O16">
            <v>0.28824605533958381</v>
          </cell>
          <cell r="P16">
            <v>-0.31694439861409007</v>
          </cell>
          <cell r="Q16">
            <v>4.0521375025325934E-2</v>
          </cell>
          <cell r="R16">
            <v>3.0018761726078758E-2</v>
          </cell>
          <cell r="S16">
            <v>8.3288698446706055E-2</v>
          </cell>
          <cell r="T16">
            <v>5.6664434025452071E-2</v>
          </cell>
          <cell r="U16">
            <v>3.5244608100999386E-2</v>
          </cell>
          <cell r="V16">
            <v>4.9436407206887356E-2</v>
          </cell>
          <cell r="W16">
            <v>5.7971014492752548E-3</v>
          </cell>
          <cell r="X16">
            <v>3.7710131758291743E-2</v>
          </cell>
          <cell r="Y16">
            <v>6.7655477491543881E-3</v>
          </cell>
          <cell r="Z16">
            <v>6.4276885043263343E-2</v>
          </cell>
          <cell r="AA16">
            <v>3.6257606490872174E-2</v>
          </cell>
          <cell r="AB16">
            <v>8.5111788617886264E-2</v>
          </cell>
          <cell r="AC16">
            <v>5.2520297699593987E-2</v>
          </cell>
          <cell r="AD16">
            <v>7.3006724303554371E-2</v>
          </cell>
          <cell r="AE16">
            <v>5.785589191893914E-2</v>
          </cell>
          <cell r="AF16">
            <v>7.6764021711036357E-2</v>
          </cell>
          <cell r="AG16">
            <v>-2.2531939605110352E-2</v>
          </cell>
          <cell r="AH16">
            <v>2.4590163934426146E-2</v>
          </cell>
          <cell r="AI16">
            <v>-1.6623741512526324E-2</v>
          </cell>
          <cell r="AJ16">
            <v>1.0445962233828876E-2</v>
          </cell>
          <cell r="AK16">
            <v>2.8648164726947201E-2</v>
          </cell>
          <cell r="AL16">
            <v>1.5136285697392449E-2</v>
          </cell>
          <cell r="AM16">
            <v>4.2246759481517016E-2</v>
          </cell>
          <cell r="AN16">
            <v>9.9809885931559039E-2</v>
          </cell>
          <cell r="AO16">
            <v>7.1044776119403075E-2</v>
          </cell>
          <cell r="AP16">
            <v>0.12357142857142867</v>
          </cell>
          <cell r="AQ16">
            <v>8.8588469184890606E-2</v>
          </cell>
          <cell r="AR16">
            <v>7.1148825065274091E-2</v>
          </cell>
          <cell r="AS16">
            <v>8.4046828586405775E-2</v>
          </cell>
          <cell r="AT16">
            <v>3.8537084057391979E-2</v>
          </cell>
          <cell r="AU16">
            <v>0.11993203910126859</v>
          </cell>
          <cell r="AV16">
            <v>5.9779964791814688E-2</v>
          </cell>
          <cell r="AW16">
            <v>6.0273397969232478E-2</v>
          </cell>
          <cell r="AX16">
            <v>6.7781987689901069E-2</v>
          </cell>
          <cell r="AY16">
            <v>1.2466537252467935E-2</v>
          </cell>
          <cell r="AZ16">
            <v>2.6937412941435479E-2</v>
          </cell>
          <cell r="BA16">
            <v>3.709525573171879E-2</v>
          </cell>
          <cell r="BB16">
            <v>-2.2321078263702776E-2</v>
          </cell>
          <cell r="BC16">
            <v>-6.9829390470133035E-4</v>
          </cell>
          <cell r="BD16">
            <v>9.7257117179843089E-3</v>
          </cell>
        </row>
        <row r="17">
          <cell r="A17" t="str">
            <v>% of Group</v>
          </cell>
          <cell r="B17">
            <v>0.31486513093128571</v>
          </cell>
          <cell r="C17">
            <v>0.39514661274014157</v>
          </cell>
          <cell r="D17">
            <v>0.43311337732453509</v>
          </cell>
          <cell r="E17">
            <v>0.43719315052089569</v>
          </cell>
          <cell r="F17">
            <v>0.3760628285844097</v>
          </cell>
          <cell r="G17">
            <v>0.46049115663570428</v>
          </cell>
          <cell r="H17">
            <v>0.38700827470242044</v>
          </cell>
          <cell r="I17">
            <v>0.58005550770408654</v>
          </cell>
          <cell r="J17">
            <v>0.44804526748971191</v>
          </cell>
          <cell r="K17">
            <v>0.43708997188378634</v>
          </cell>
          <cell r="L17">
            <v>0.43872635412994948</v>
          </cell>
          <cell r="M17">
            <v>0.4379069631020121</v>
          </cell>
          <cell r="N17">
            <v>0.47835933568193256</v>
          </cell>
          <cell r="O17">
            <v>0.45077015403080617</v>
          </cell>
          <cell r="P17">
            <v>0.52252934494509651</v>
          </cell>
          <cell r="Q17">
            <v>0.46804180083844704</v>
          </cell>
          <cell r="R17">
            <v>0.48676377454084863</v>
          </cell>
          <cell r="S17">
            <v>0.50505681108752654</v>
          </cell>
          <cell r="T17">
            <v>0.49597585513078468</v>
          </cell>
          <cell r="U17">
            <v>0.53246753246753242</v>
          </cell>
          <cell r="V17">
            <v>0.50755494505494503</v>
          </cell>
          <cell r="W17">
            <v>0.52896341463414631</v>
          </cell>
          <cell r="X17">
            <v>0.51296201232032856</v>
          </cell>
          <cell r="Y17">
            <v>0.46524771524771524</v>
          </cell>
          <cell r="Z17">
            <v>0.46900533827214291</v>
          </cell>
          <cell r="AA17">
            <v>0.46721920548728207</v>
          </cell>
          <cell r="AB17">
            <v>0.49772753758303229</v>
          </cell>
          <cell r="AC17">
            <v>0.47725878202178246</v>
          </cell>
          <cell r="AD17">
            <v>0.49578339991122949</v>
          </cell>
          <cell r="AE17">
            <v>0.48201664386684906</v>
          </cell>
          <cell r="AF17">
            <v>0.44248539564524697</v>
          </cell>
          <cell r="AG17">
            <v>0.45482057933419801</v>
          </cell>
          <cell r="AH17">
            <v>0.44862866938075852</v>
          </cell>
          <cell r="AI17">
            <v>0.48442906574394462</v>
          </cell>
          <cell r="AJ17">
            <v>0.45998244202209376</v>
          </cell>
          <cell r="AK17">
            <v>0.5</v>
          </cell>
          <cell r="AL17">
            <v>0.47002299605781866</v>
          </cell>
          <cell r="AM17">
            <v>0.43178202068416865</v>
          </cell>
          <cell r="AN17">
            <v>0.45475090891225312</v>
          </cell>
          <cell r="AO17">
            <v>0.44333514555429249</v>
          </cell>
          <cell r="AP17">
            <v>0.48825659596482152</v>
          </cell>
          <cell r="AQ17">
            <v>0.45785671282360024</v>
          </cell>
          <cell r="AR17">
            <v>0.49918880551612249</v>
          </cell>
          <cell r="AS17">
            <v>0.46810865191146883</v>
          </cell>
          <cell r="AT17">
            <v>0.46921229687933724</v>
          </cell>
          <cell r="AU17">
            <v>0.47696605286283172</v>
          </cell>
          <cell r="AV17">
            <v>0.48146972998301851</v>
          </cell>
          <cell r="AW17">
            <v>0.4872106165838192</v>
          </cell>
          <cell r="AX17">
            <v>0.49438233352004485</v>
          </cell>
          <cell r="AY17">
            <v>0.48601629201490509</v>
          </cell>
          <cell r="AZ17">
            <v>0.48093446265132317</v>
          </cell>
          <cell r="BA17">
            <v>0.47803040716173717</v>
          </cell>
          <cell r="BB17">
            <v>0.46479158290254702</v>
          </cell>
          <cell r="BC17">
            <v>0.45700088144530865</v>
          </cell>
          <cell r="BD17">
            <v>0.45177545600032248</v>
          </cell>
        </row>
        <row r="18">
          <cell r="A18" t="str">
            <v>HC EBIT (pre exc)</v>
          </cell>
          <cell r="B18">
            <v>1177</v>
          </cell>
          <cell r="C18">
            <v>1715</v>
          </cell>
          <cell r="D18">
            <v>624</v>
          </cell>
          <cell r="E18">
            <v>640</v>
          </cell>
          <cell r="F18">
            <v>1264</v>
          </cell>
          <cell r="G18">
            <v>644</v>
          </cell>
          <cell r="H18">
            <v>1908</v>
          </cell>
          <cell r="I18">
            <v>584</v>
          </cell>
          <cell r="J18">
            <v>2492</v>
          </cell>
          <cell r="K18">
            <v>663</v>
          </cell>
          <cell r="L18">
            <v>639</v>
          </cell>
          <cell r="M18">
            <v>1302</v>
          </cell>
          <cell r="N18">
            <v>703</v>
          </cell>
          <cell r="O18">
            <v>2005</v>
          </cell>
          <cell r="P18">
            <v>759</v>
          </cell>
          <cell r="Q18">
            <v>2764</v>
          </cell>
          <cell r="R18">
            <v>693</v>
          </cell>
          <cell r="S18">
            <v>758</v>
          </cell>
          <cell r="T18">
            <v>1451</v>
          </cell>
          <cell r="U18">
            <v>786</v>
          </cell>
          <cell r="V18">
            <v>2237</v>
          </cell>
          <cell r="W18">
            <v>775</v>
          </cell>
          <cell r="X18">
            <v>3012</v>
          </cell>
          <cell r="Y18">
            <v>689</v>
          </cell>
          <cell r="Z18">
            <v>784</v>
          </cell>
          <cell r="AA18">
            <v>1473</v>
          </cell>
          <cell r="AB18">
            <v>1031</v>
          </cell>
          <cell r="AC18">
            <v>2504</v>
          </cell>
          <cell r="AD18">
            <v>526</v>
          </cell>
          <cell r="AE18">
            <v>3030</v>
          </cell>
          <cell r="AF18">
            <v>806</v>
          </cell>
          <cell r="AG18">
            <v>837</v>
          </cell>
          <cell r="AH18">
            <v>1643</v>
          </cell>
          <cell r="AI18">
            <v>909</v>
          </cell>
          <cell r="AJ18">
            <v>2552</v>
          </cell>
          <cell r="AK18">
            <v>815</v>
          </cell>
          <cell r="AL18">
            <v>3367</v>
          </cell>
          <cell r="AM18">
            <v>861</v>
          </cell>
          <cell r="AN18">
            <v>902</v>
          </cell>
          <cell r="AO18">
            <v>1763</v>
          </cell>
          <cell r="AP18">
            <v>972</v>
          </cell>
          <cell r="AQ18">
            <v>2735</v>
          </cell>
          <cell r="AR18">
            <v>1001</v>
          </cell>
          <cell r="AS18">
            <v>3736</v>
          </cell>
          <cell r="AT18">
            <v>4070.8546439625297</v>
          </cell>
          <cell r="AU18">
            <v>4814.7547391325816</v>
          </cell>
          <cell r="AV18">
            <v>5029.9774769495625</v>
          </cell>
          <cell r="AW18">
            <v>5378.7242586631764</v>
          </cell>
          <cell r="AX18">
            <v>6128.8543038279831</v>
          </cell>
          <cell r="AY18">
            <v>5877.1600391640313</v>
          </cell>
          <cell r="AZ18">
            <v>6047.3320390720546</v>
          </cell>
          <cell r="BA18">
            <v>6826.4131652833676</v>
          </cell>
          <cell r="BB18">
            <v>6004.4110384932592</v>
          </cell>
          <cell r="BC18">
            <v>5726.8863853376024</v>
          </cell>
          <cell r="BD18">
            <v>5616.0981161876043</v>
          </cell>
        </row>
        <row r="19">
          <cell r="A19" t="str">
            <v>EBIT Margin %</v>
          </cell>
          <cell r="B19">
            <v>0.14719859929964982</v>
          </cell>
          <cell r="C19">
            <v>0.14628113271920845</v>
          </cell>
          <cell r="D19">
            <v>0.17285318559556787</v>
          </cell>
          <cell r="E19">
            <v>0.17529443987948506</v>
          </cell>
          <cell r="F19">
            <v>0.21815671384190541</v>
          </cell>
          <cell r="G19">
            <v>0.17794970986460348</v>
          </cell>
          <cell r="H19">
            <v>0.21815687171278297</v>
          </cell>
          <cell r="I19">
            <v>9.6353737007094542E-2</v>
          </cell>
          <cell r="J19">
            <v>0.16829877760518674</v>
          </cell>
          <cell r="K19">
            <v>0.17770034843205576</v>
          </cell>
          <cell r="L19">
            <v>0.17113015532940545</v>
          </cell>
          <cell r="M19">
            <v>0.17441393168117883</v>
          </cell>
          <cell r="N19">
            <v>0.18490268279852709</v>
          </cell>
          <cell r="O19">
            <v>0.17795331499068076</v>
          </cell>
          <cell r="P19">
            <v>0.18333333333333332</v>
          </cell>
          <cell r="Q19">
            <v>0.17939897449211398</v>
          </cell>
          <cell r="R19">
            <v>0.18032786885245902</v>
          </cell>
          <cell r="S19">
            <v>0.18739184177997528</v>
          </cell>
          <cell r="T19">
            <v>0.18395030425963488</v>
          </cell>
          <cell r="U19">
            <v>0.19969512195121952</v>
          </cell>
          <cell r="V19">
            <v>0.1891914749661705</v>
          </cell>
          <cell r="W19">
            <v>0.18611911623439001</v>
          </cell>
          <cell r="X19">
            <v>0.18839129347010258</v>
          </cell>
          <cell r="Y19">
            <v>0.17808219178082191</v>
          </cell>
          <cell r="Z19">
            <v>0.1821138211382114</v>
          </cell>
          <cell r="AA19">
            <v>0.18020552972840714</v>
          </cell>
          <cell r="AB19">
            <v>0.24139545773823459</v>
          </cell>
          <cell r="AC19">
            <v>0.20120530333467257</v>
          </cell>
          <cell r="AD19">
            <v>0.11772605192479857</v>
          </cell>
          <cell r="AE19">
            <v>0.17915213149648199</v>
          </cell>
          <cell r="AF19">
            <v>0.19347095535285647</v>
          </cell>
          <cell r="AG19">
            <v>0.19890684410646386</v>
          </cell>
          <cell r="AH19">
            <v>0.19617910447761194</v>
          </cell>
          <cell r="AI19">
            <v>0.21642857142857144</v>
          </cell>
          <cell r="AJ19">
            <v>0.20294234592445329</v>
          </cell>
          <cell r="AK19">
            <v>0.17732811140121846</v>
          </cell>
          <cell r="AL19">
            <v>0.19610926670161338</v>
          </cell>
          <cell r="AM19">
            <v>0.19829571625978812</v>
          </cell>
          <cell r="AN19">
            <v>0.19490060501296455</v>
          </cell>
          <cell r="AO19">
            <v>0.19654403567447046</v>
          </cell>
          <cell r="AP19">
            <v>0.20597584233947872</v>
          </cell>
          <cell r="AQ19">
            <v>0.19979545620571262</v>
          </cell>
          <cell r="AR19">
            <v>0.20333130205159455</v>
          </cell>
          <cell r="AS19">
            <v>0.20073071136900925</v>
          </cell>
          <cell r="AT19">
            <v>0.21060590446315333</v>
          </cell>
          <cell r="AU19">
            <v>0.22241672793352243</v>
          </cell>
          <cell r="AV19">
            <v>0.21925202519410411</v>
          </cell>
          <cell r="AW19">
            <v>0.22112558182950365</v>
          </cell>
          <cell r="AX19">
            <v>0.23596979477198302</v>
          </cell>
          <cell r="AY19">
            <v>0.22349301590940907</v>
          </cell>
          <cell r="AZ19">
            <v>0.22393206132337309</v>
          </cell>
          <cell r="BA19">
            <v>0.24373976358709745</v>
          </cell>
          <cell r="BB19">
            <v>0.21928452172638302</v>
          </cell>
          <cell r="BC19">
            <v>0.20929531247131677</v>
          </cell>
          <cell r="BD19">
            <v>0.20326949377892484</v>
          </cell>
        </row>
        <row r="20">
          <cell r="A20" t="str">
            <v>% of Group</v>
          </cell>
          <cell r="B20">
            <v>0.38628158844765342</v>
          </cell>
          <cell r="C20">
            <v>0.49295774647887325</v>
          </cell>
          <cell r="D20">
            <v>0.45381818181818184</v>
          </cell>
          <cell r="E20">
            <v>0.54008438818565396</v>
          </cell>
          <cell r="F20">
            <v>0.49375000000000002</v>
          </cell>
          <cell r="G20">
            <v>0.67576075550891923</v>
          </cell>
          <cell r="H20">
            <v>0.54312553373185313</v>
          </cell>
          <cell r="I20">
            <v>0.75452196382428938</v>
          </cell>
          <cell r="J20">
            <v>0.58129227898297176</v>
          </cell>
          <cell r="K20">
            <v>0.44288577154308617</v>
          </cell>
          <cell r="L20">
            <v>0.51201923076923073</v>
          </cell>
          <cell r="M20">
            <v>0.47431693989071039</v>
          </cell>
          <cell r="N20">
            <v>0.78900112233445563</v>
          </cell>
          <cell r="O20">
            <v>0.55143014301430138</v>
          </cell>
          <cell r="P20">
            <v>1.0750708215297451</v>
          </cell>
          <cell r="Q20">
            <v>0.63657300783049287</v>
          </cell>
          <cell r="R20">
            <v>0.68141592920353977</v>
          </cell>
          <cell r="S20">
            <v>0.68846503178928242</v>
          </cell>
          <cell r="T20">
            <v>0.68508026440037773</v>
          </cell>
          <cell r="U20">
            <v>0.93906810035842292</v>
          </cell>
          <cell r="V20">
            <v>0.75702199661590519</v>
          </cell>
          <cell r="W20">
            <v>0.94859241126070992</v>
          </cell>
          <cell r="X20">
            <v>0.79851537645811244</v>
          </cell>
          <cell r="Y20">
            <v>0.58340389500423373</v>
          </cell>
          <cell r="Z20">
            <v>0.61927330173775674</v>
          </cell>
          <cell r="AA20">
            <v>0.60196158561503887</v>
          </cell>
          <cell r="AB20">
            <v>0.81760507533703408</v>
          </cell>
          <cell r="AC20">
            <v>0.6752966558791802</v>
          </cell>
          <cell r="AD20">
            <v>0.706989247311828</v>
          </cell>
          <cell r="AE20">
            <v>0.68059299191374667</v>
          </cell>
          <cell r="AF20">
            <v>0.50691823899371069</v>
          </cell>
          <cell r="AG20">
            <v>0.59068454481298516</v>
          </cell>
          <cell r="AH20">
            <v>0.54621010638297873</v>
          </cell>
          <cell r="AI20">
            <v>0.77427597955706984</v>
          </cell>
          <cell r="AJ20">
            <v>0.61023433763749402</v>
          </cell>
          <cell r="AK20">
            <v>0.96449704142011838</v>
          </cell>
          <cell r="AL20">
            <v>0.67004975124378108</v>
          </cell>
          <cell r="AM20">
            <v>0.5865122615803815</v>
          </cell>
          <cell r="AN20">
            <v>0.59656084656084651</v>
          </cell>
          <cell r="AO20">
            <v>0.53134418324291743</v>
          </cell>
          <cell r="AP20">
            <v>0.81407035175879394</v>
          </cell>
          <cell r="AQ20">
            <v>0.60616134751773054</v>
          </cell>
          <cell r="AR20">
            <v>0.86367558239861952</v>
          </cell>
          <cell r="AS20">
            <v>0.65879033680126964</v>
          </cell>
          <cell r="AT20">
            <v>0.68179456626440116</v>
          </cell>
          <cell r="AU20">
            <v>0.68454213001035713</v>
          </cell>
          <cell r="AV20">
            <v>0.66494384004234619</v>
          </cell>
          <cell r="AW20">
            <v>0.68600209354367025</v>
          </cell>
          <cell r="AX20">
            <v>0.7358755408959532</v>
          </cell>
          <cell r="AY20">
            <v>0.70208579813369365</v>
          </cell>
          <cell r="AZ20">
            <v>0.67202513785817752</v>
          </cell>
          <cell r="BA20">
            <v>0.6838185828335881</v>
          </cell>
          <cell r="BB20">
            <v>0.64943338012313745</v>
          </cell>
          <cell r="BC20">
            <v>0.63235412021968862</v>
          </cell>
          <cell r="BD20">
            <v>0.62142821487307287</v>
          </cell>
        </row>
        <row r="21">
          <cell r="A21" t="str">
            <v>HC EBITDA (pre exc)</v>
          </cell>
          <cell r="B21">
            <v>1487</v>
          </cell>
          <cell r="C21">
            <v>2613</v>
          </cell>
          <cell r="D21">
            <v>948</v>
          </cell>
          <cell r="E21">
            <v>969</v>
          </cell>
          <cell r="F21">
            <v>1917</v>
          </cell>
          <cell r="G21">
            <v>953</v>
          </cell>
          <cell r="H21">
            <v>2870</v>
          </cell>
          <cell r="I21">
            <v>922</v>
          </cell>
          <cell r="J21">
            <v>3792</v>
          </cell>
          <cell r="K21">
            <v>1050</v>
          </cell>
          <cell r="L21">
            <v>994</v>
          </cell>
          <cell r="M21">
            <v>2044</v>
          </cell>
          <cell r="N21">
            <v>1018</v>
          </cell>
          <cell r="O21">
            <v>3062</v>
          </cell>
          <cell r="P21">
            <v>1095</v>
          </cell>
          <cell r="Q21">
            <v>4157</v>
          </cell>
          <cell r="R21">
            <v>1061</v>
          </cell>
          <cell r="S21">
            <v>1112</v>
          </cell>
          <cell r="T21">
            <v>2173</v>
          </cell>
          <cell r="U21">
            <v>1141</v>
          </cell>
          <cell r="V21">
            <v>3314</v>
          </cell>
          <cell r="W21">
            <v>1154</v>
          </cell>
          <cell r="X21">
            <v>4468</v>
          </cell>
          <cell r="Y21">
            <v>1023</v>
          </cell>
          <cell r="Z21">
            <v>1122</v>
          </cell>
          <cell r="AA21">
            <v>2145</v>
          </cell>
          <cell r="AB21">
            <v>1099</v>
          </cell>
          <cell r="AC21">
            <v>3244</v>
          </cell>
          <cell r="AD21">
            <v>1161</v>
          </cell>
          <cell r="AE21">
            <v>4405</v>
          </cell>
          <cell r="AF21">
            <v>1140</v>
          </cell>
          <cell r="AG21">
            <v>1156</v>
          </cell>
          <cell r="AH21">
            <v>2296</v>
          </cell>
          <cell r="AI21">
            <v>1226</v>
          </cell>
          <cell r="AJ21">
            <v>3522</v>
          </cell>
          <cell r="AK21">
            <v>1180</v>
          </cell>
          <cell r="AL21">
            <v>4702</v>
          </cell>
          <cell r="AM21">
            <v>1181</v>
          </cell>
          <cell r="AN21">
            <v>1248</v>
          </cell>
          <cell r="AO21">
            <v>2429</v>
          </cell>
          <cell r="AP21">
            <v>1297</v>
          </cell>
          <cell r="AQ21">
            <v>3726</v>
          </cell>
          <cell r="AR21">
            <v>1342</v>
          </cell>
          <cell r="AS21">
            <v>5068</v>
          </cell>
          <cell r="AT21">
            <v>5458.0797291123745</v>
          </cell>
          <cell r="AU21">
            <v>6262.3951100580252</v>
          </cell>
          <cell r="AV21">
            <v>6536.2000222527122</v>
          </cell>
          <cell r="AW21">
            <v>6945.7782784532155</v>
          </cell>
          <cell r="AX21">
            <v>7759.3000243400538</v>
          </cell>
          <cell r="AY21">
            <v>7573.4386802767522</v>
          </cell>
          <cell r="AZ21">
            <v>7812.3984263185939</v>
          </cell>
          <cell r="BA21">
            <v>8663.6528717398542</v>
          </cell>
          <cell r="BB21">
            <v>7915.2501048158829</v>
          </cell>
          <cell r="BC21">
            <v>7713.4590731379485</v>
          </cell>
          <cell r="BD21">
            <v>7680.9346012221058</v>
          </cell>
        </row>
        <row r="22">
          <cell r="A22" t="str">
            <v>EBITDA Margin %</v>
          </cell>
          <cell r="B22">
            <v>0.18596798399199599</v>
          </cell>
          <cell r="C22">
            <v>0.22287615148413512</v>
          </cell>
          <cell r="D22">
            <v>0.2626038781163435</v>
          </cell>
          <cell r="E22">
            <v>0.26540673788003288</v>
          </cell>
          <cell r="F22">
            <v>0.33085950983776319</v>
          </cell>
          <cell r="G22">
            <v>0.26333241226858251</v>
          </cell>
          <cell r="H22">
            <v>0.32815001143379829</v>
          </cell>
          <cell r="I22">
            <v>0.15212011219270746</v>
          </cell>
          <cell r="J22">
            <v>0.25609509016005944</v>
          </cell>
          <cell r="K22">
            <v>0.28142589118198874</v>
          </cell>
          <cell r="L22">
            <v>0.26620246384574181</v>
          </cell>
          <cell r="M22">
            <v>0.27381111855324847</v>
          </cell>
          <cell r="N22">
            <v>0.26775381378221991</v>
          </cell>
          <cell r="O22">
            <v>0.27176710748202715</v>
          </cell>
          <cell r="P22">
            <v>0.26449275362318841</v>
          </cell>
          <cell r="Q22">
            <v>0.26981242292464463</v>
          </cell>
          <cell r="R22">
            <v>0.27608639084048919</v>
          </cell>
          <cell r="S22">
            <v>0.27490729295426453</v>
          </cell>
          <cell r="T22">
            <v>0.2754817444219067</v>
          </cell>
          <cell r="U22">
            <v>0.28988821138211385</v>
          </cell>
          <cell r="V22">
            <v>0.28027740189445194</v>
          </cell>
          <cell r="W22">
            <v>0.27713736791546589</v>
          </cell>
          <cell r="X22">
            <v>0.279459594696022</v>
          </cell>
          <cell r="Y22">
            <v>0.26440940811579222</v>
          </cell>
          <cell r="Z22">
            <v>0.26062717770034843</v>
          </cell>
          <cell r="AA22">
            <v>0.26241742109126498</v>
          </cell>
          <cell r="AB22">
            <v>0.25731678763755561</v>
          </cell>
          <cell r="AC22">
            <v>0.26066693451185213</v>
          </cell>
          <cell r="AD22">
            <v>0.2598478066248881</v>
          </cell>
          <cell r="AE22">
            <v>0.26045054100396142</v>
          </cell>
          <cell r="AF22">
            <v>0.27364378300528086</v>
          </cell>
          <cell r="AG22">
            <v>0.27471482889733839</v>
          </cell>
          <cell r="AH22">
            <v>0.2741492537313433</v>
          </cell>
          <cell r="AI22">
            <v>0.29190476190476189</v>
          </cell>
          <cell r="AJ22">
            <v>0.28007952286282306</v>
          </cell>
          <cell r="AK22">
            <v>0.25674499564838993</v>
          </cell>
          <cell r="AL22">
            <v>0.27386568815889101</v>
          </cell>
          <cell r="AM22">
            <v>0.27199447259327497</v>
          </cell>
          <cell r="AN22">
            <v>0.2696629213483146</v>
          </cell>
          <cell r="AO22">
            <v>0.27079152731326644</v>
          </cell>
          <cell r="AP22">
            <v>0.27484636575545668</v>
          </cell>
          <cell r="AQ22">
            <v>0.27218934911242604</v>
          </cell>
          <cell r="AR22">
            <v>0.272598009343896</v>
          </cell>
          <cell r="AS22">
            <v>0.27229744251020849</v>
          </cell>
          <cell r="AT22">
            <v>0.28237407584339558</v>
          </cell>
          <cell r="AU22">
            <v>0.28929021411730987</v>
          </cell>
          <cell r="AV22">
            <v>0.28490686062112269</v>
          </cell>
          <cell r="AW22">
            <v>0.28554898693829384</v>
          </cell>
          <cell r="AX22">
            <v>0.29874432374321203</v>
          </cell>
          <cell r="AY22">
            <v>0.28799805351238716</v>
          </cell>
          <cell r="AZ22">
            <v>0.28929228165110749</v>
          </cell>
          <cell r="BA22">
            <v>0.30933912900229404</v>
          </cell>
          <cell r="BB22">
            <v>0.2890694561801363</v>
          </cell>
          <cell r="BC22">
            <v>0.2818967792132917</v>
          </cell>
          <cell r="BD22">
            <v>0.27800434676153912</v>
          </cell>
        </row>
        <row r="23">
          <cell r="A23" t="str">
            <v>% of Group</v>
          </cell>
          <cell r="B23">
            <v>0.30590413495165603</v>
          </cell>
          <cell r="C23">
            <v>0.44582835693567652</v>
          </cell>
          <cell r="D23">
            <v>0.47638190954773868</v>
          </cell>
          <cell r="E23">
            <v>0.51790486370924638</v>
          </cell>
          <cell r="F23">
            <v>0.49650349650349651</v>
          </cell>
          <cell r="G23">
            <v>0.61128928800513149</v>
          </cell>
          <cell r="H23">
            <v>0.52952029520295207</v>
          </cell>
          <cell r="I23">
            <v>0.58060453400503775</v>
          </cell>
          <cell r="J23">
            <v>0.54109589041095896</v>
          </cell>
          <cell r="K23">
            <v>0.4805491990846682</v>
          </cell>
          <cell r="L23">
            <v>0.45659163987138263</v>
          </cell>
          <cell r="M23">
            <v>0.46859238881247134</v>
          </cell>
          <cell r="N23">
            <v>0.68184862692565307</v>
          </cell>
          <cell r="O23">
            <v>0.52297181895815548</v>
          </cell>
          <cell r="P23">
            <v>1.0176579925650557</v>
          </cell>
          <cell r="Q23">
            <v>0.5997691530803636</v>
          </cell>
          <cell r="R23">
            <v>0.62595870206489679</v>
          </cell>
          <cell r="S23">
            <v>0.63002832861189806</v>
          </cell>
          <cell r="T23">
            <v>0.62803468208092483</v>
          </cell>
          <cell r="U23">
            <v>0.76117411607738494</v>
          </cell>
          <cell r="V23">
            <v>0.66827989514014918</v>
          </cell>
          <cell r="W23">
            <v>0.76272306675479185</v>
          </cell>
          <cell r="X23">
            <v>0.69035846724351047</v>
          </cell>
          <cell r="Y23">
            <v>0.56054794520547946</v>
          </cell>
          <cell r="Z23">
            <v>0.58346333853354138</v>
          </cell>
          <cell r="AA23">
            <v>0.57230522945570972</v>
          </cell>
          <cell r="AB23">
            <v>0.66364734299516903</v>
          </cell>
          <cell r="AC23">
            <v>0.60029607698001486</v>
          </cell>
          <cell r="AD23">
            <v>0.68414849734826166</v>
          </cell>
          <cell r="AE23">
            <v>0.62033516406139977</v>
          </cell>
          <cell r="AF23">
            <v>0.510752688172043</v>
          </cell>
          <cell r="AG23">
            <v>0.56805896805896805</v>
          </cell>
          <cell r="AH23">
            <v>0.53795688847235235</v>
          </cell>
          <cell r="AI23">
            <v>0.67922437673130198</v>
          </cell>
          <cell r="AJ23">
            <v>0.57994401449036725</v>
          </cell>
          <cell r="AK23">
            <v>0.7652399481193255</v>
          </cell>
          <cell r="AL23">
            <v>0.61762774202022852</v>
          </cell>
          <cell r="AM23">
            <v>0.4836199836199836</v>
          </cell>
          <cell r="AN23">
            <v>0.574585635359116</v>
          </cell>
          <cell r="AO23">
            <v>0.52598527501082715</v>
          </cell>
          <cell r="AP23">
            <v>0.70298102981029809</v>
          </cell>
          <cell r="AQ23">
            <v>0.57686948444031583</v>
          </cell>
          <cell r="AR23">
            <v>0.73534246575342466</v>
          </cell>
          <cell r="AS23">
            <v>0.61178174794785123</v>
          </cell>
          <cell r="AT23">
            <v>0.6279335629662337</v>
          </cell>
          <cell r="AU23">
            <v>0.63426977946186591</v>
          </cell>
          <cell r="AV23">
            <v>0.62135377521551816</v>
          </cell>
          <cell r="AW23">
            <v>0.63636388274798683</v>
          </cell>
          <cell r="AX23">
            <v>0.67313428261464614</v>
          </cell>
          <cell r="AY23">
            <v>0.64737939403581402</v>
          </cell>
          <cell r="AZ23">
            <v>0.62693684302562602</v>
          </cell>
          <cell r="BA23">
            <v>0.6376466316451429</v>
          </cell>
          <cell r="BB23">
            <v>0.6091404226859729</v>
          </cell>
          <cell r="BC23">
            <v>0.59547124206749424</v>
          </cell>
          <cell r="BD23">
            <v>0.58686765139709529</v>
          </cell>
        </row>
        <row r="24">
          <cell r="A24" t="str">
            <v>CROPSCIENCE</v>
          </cell>
        </row>
        <row r="25">
          <cell r="A25" t="str">
            <v>CS Sales</v>
          </cell>
          <cell r="B25">
            <v>5896</v>
          </cell>
          <cell r="C25">
            <v>5700</v>
          </cell>
          <cell r="D25">
            <v>1786</v>
          </cell>
          <cell r="E25">
            <v>1562</v>
          </cell>
          <cell r="F25">
            <v>3348</v>
          </cell>
          <cell r="G25">
            <v>1157</v>
          </cell>
          <cell r="H25">
            <v>4505</v>
          </cell>
          <cell r="I25">
            <v>1321</v>
          </cell>
          <cell r="J25">
            <v>5826</v>
          </cell>
          <cell r="K25">
            <v>1813</v>
          </cell>
          <cell r="L25">
            <v>1639</v>
          </cell>
          <cell r="M25">
            <v>3452</v>
          </cell>
          <cell r="N25">
            <v>1119</v>
          </cell>
          <cell r="O25">
            <v>4571</v>
          </cell>
          <cell r="P25">
            <v>1220</v>
          </cell>
          <cell r="Q25">
            <v>5791</v>
          </cell>
          <cell r="R25">
            <v>1956</v>
          </cell>
          <cell r="S25">
            <v>1680</v>
          </cell>
          <cell r="T25">
            <v>3636</v>
          </cell>
          <cell r="U25">
            <v>1024</v>
          </cell>
          <cell r="V25">
            <v>4660</v>
          </cell>
          <cell r="W25">
            <v>1267</v>
          </cell>
          <cell r="X25">
            <v>6510</v>
          </cell>
          <cell r="Y25">
            <v>1952</v>
          </cell>
          <cell r="Z25">
            <v>1884</v>
          </cell>
          <cell r="AA25">
            <v>3836</v>
          </cell>
          <cell r="AB25">
            <v>1341</v>
          </cell>
          <cell r="AC25">
            <v>5177</v>
          </cell>
          <cell r="AD25">
            <v>1653</v>
          </cell>
          <cell r="AE25">
            <v>6830</v>
          </cell>
          <cell r="AF25">
            <v>2257</v>
          </cell>
          <cell r="AG25">
            <v>1943</v>
          </cell>
          <cell r="AH25">
            <v>4200</v>
          </cell>
          <cell r="AI25">
            <v>1379</v>
          </cell>
          <cell r="AJ25">
            <v>5579</v>
          </cell>
          <cell r="AK25">
            <v>1676</v>
          </cell>
          <cell r="AL25">
            <v>7255</v>
          </cell>
          <cell r="AM25">
            <v>2610</v>
          </cell>
          <cell r="AN25">
            <v>2276</v>
          </cell>
          <cell r="AO25">
            <v>4886</v>
          </cell>
          <cell r="AP25">
            <v>1641</v>
          </cell>
          <cell r="AQ25">
            <v>6527</v>
          </cell>
          <cell r="AR25">
            <v>1856</v>
          </cell>
          <cell r="AS25">
            <v>8383</v>
          </cell>
          <cell r="AT25">
            <v>9020.2799938583212</v>
          </cell>
          <cell r="AU25">
            <v>9861.8534878108858</v>
          </cell>
          <cell r="AV25">
            <v>10493.489733806209</v>
          </cell>
          <cell r="AW25">
            <v>11180.547621414309</v>
          </cell>
          <cell r="AX25">
            <v>11929.144604559118</v>
          </cell>
          <cell r="AY25">
            <v>12746.174415178879</v>
          </cell>
          <cell r="AZ25">
            <v>13639.413274981649</v>
          </cell>
          <cell r="BA25">
            <v>14617.641221953032</v>
          </cell>
          <cell r="BB25">
            <v>15095.663770190968</v>
          </cell>
          <cell r="BC25">
            <v>15591.696835717667</v>
          </cell>
          <cell r="BD25">
            <v>16106.498129599118</v>
          </cell>
        </row>
        <row r="26">
          <cell r="A26" t="str">
            <v>Growth (%)</v>
          </cell>
          <cell r="J26">
            <v>2.2105263157894628E-2</v>
          </cell>
          <cell r="K26">
            <v>1.5117581187010121E-2</v>
          </cell>
          <cell r="L26">
            <v>4.9295774647887258E-2</v>
          </cell>
          <cell r="M26">
            <v>3.1063321385901954E-2</v>
          </cell>
          <cell r="N26">
            <v>-3.2843560933448535E-2</v>
          </cell>
          <cell r="O26">
            <v>1.4650388457269736E-2</v>
          </cell>
          <cell r="P26">
            <v>-7.6457229371688085E-2</v>
          </cell>
          <cell r="Q26">
            <v>-6.0075523515276119E-3</v>
          </cell>
          <cell r="R26">
            <v>7.8874793160507384E-2</v>
          </cell>
          <cell r="S26">
            <v>2.501525320317266E-2</v>
          </cell>
          <cell r="T26">
            <v>5.330243337195828E-2</v>
          </cell>
          <cell r="U26">
            <v>-8.4897229669347651E-2</v>
          </cell>
          <cell r="V26">
            <v>1.947057536644059E-2</v>
          </cell>
          <cell r="W26">
            <v>3.8524590163934391E-2</v>
          </cell>
          <cell r="X26">
            <v>0.12415817648074601</v>
          </cell>
          <cell r="Y26">
            <v>-2.0449897750510759E-3</v>
          </cell>
          <cell r="Z26">
            <v>0.12142857142857144</v>
          </cell>
          <cell r="AA26">
            <v>5.5005500550054931E-2</v>
          </cell>
          <cell r="AB26">
            <v>0.3095703125</v>
          </cell>
          <cell r="AC26">
            <v>0.11094420600858368</v>
          </cell>
          <cell r="AD26">
            <v>0.3046566692975532</v>
          </cell>
          <cell r="AE26">
            <v>4.9155145929339561E-2</v>
          </cell>
          <cell r="AF26">
            <v>0.15625</v>
          </cell>
          <cell r="AG26">
            <v>3.1316348195329136E-2</v>
          </cell>
          <cell r="AH26">
            <v>9.4890510948905105E-2</v>
          </cell>
          <cell r="AI26">
            <v>2.8337061894108784E-2</v>
          </cell>
          <cell r="AJ26">
            <v>7.7651149314274637E-2</v>
          </cell>
          <cell r="AK26">
            <v>1.3914095583787089E-2</v>
          </cell>
          <cell r="AL26">
            <v>6.2225475841874101E-2</v>
          </cell>
          <cell r="AM26">
            <v>0.15640230394328758</v>
          </cell>
          <cell r="AN26">
            <v>0.17138445702521876</v>
          </cell>
          <cell r="AO26">
            <v>0.16333333333333333</v>
          </cell>
          <cell r="AP26">
            <v>0.18999274836838298</v>
          </cell>
          <cell r="AQ26">
            <v>0.16992292525542219</v>
          </cell>
          <cell r="AR26">
            <v>0.10739856801909298</v>
          </cell>
          <cell r="AS26">
            <v>0.15547898001378369</v>
          </cell>
          <cell r="AT26">
            <v>7.6020516981787134E-2</v>
          </cell>
          <cell r="AU26">
            <v>9.329793471217851E-2</v>
          </cell>
          <cell r="AV26">
            <v>6.404843133960747E-2</v>
          </cell>
          <cell r="AW26">
            <v>6.5474680495912541E-2</v>
          </cell>
          <cell r="AX26">
            <v>6.6955305633778384E-2</v>
          </cell>
          <cell r="AY26">
            <v>6.8490226055898829E-2</v>
          </cell>
          <cell r="AZ26">
            <v>7.0078976695866491E-2</v>
          </cell>
          <cell r="BA26">
            <v>7.1720676487288193E-2</v>
          </cell>
          <cell r="BB26">
            <v>3.2701756800545434E-2</v>
          </cell>
          <cell r="BC26">
            <v>3.2859308015736444E-2</v>
          </cell>
          <cell r="BD26">
            <v>3.301765672496515E-2</v>
          </cell>
        </row>
        <row r="27">
          <cell r="A27" t="str">
            <v>% of Group</v>
          </cell>
          <cell r="B27">
            <v>0.23217168734002758</v>
          </cell>
          <cell r="C27">
            <v>0.19211324570273003</v>
          </cell>
          <cell r="D27">
            <v>0.21427714457108579</v>
          </cell>
          <cell r="E27">
            <v>0.18704346784816189</v>
          </cell>
          <cell r="F27">
            <v>0.21730382293762576</v>
          </cell>
          <cell r="G27">
            <v>0.14721974805954957</v>
          </cell>
          <cell r="H27">
            <v>0.19934510376565334</v>
          </cell>
          <cell r="I27">
            <v>0.12642358120394295</v>
          </cell>
          <cell r="J27">
            <v>0.1762890341321714</v>
          </cell>
          <cell r="K27">
            <v>0.21239456419868791</v>
          </cell>
          <cell r="L27">
            <v>0.19257431559158736</v>
          </cell>
          <cell r="M27">
            <v>0.20249897342640935</v>
          </cell>
          <cell r="N27">
            <v>0.14079013588324107</v>
          </cell>
          <cell r="O27">
            <v>0.18287657531506302</v>
          </cell>
          <cell r="P27">
            <v>0.15398207749589801</v>
          </cell>
          <cell r="Q27">
            <v>0.17592198797010755</v>
          </cell>
          <cell r="R27">
            <v>0.24775174160861305</v>
          </cell>
          <cell r="S27">
            <v>0.20976401548258208</v>
          </cell>
          <cell r="T27">
            <v>0.22862173038229378</v>
          </cell>
          <cell r="U27">
            <v>0.13852813852813853</v>
          </cell>
          <cell r="V27">
            <v>0.20003434065934067</v>
          </cell>
          <cell r="W27">
            <v>0.16095020325203252</v>
          </cell>
          <cell r="X27">
            <v>0.20886806981519507</v>
          </cell>
          <cell r="Y27">
            <v>0.23472823472823473</v>
          </cell>
          <cell r="Z27">
            <v>0.20525111667937684</v>
          </cell>
          <cell r="AA27">
            <v>0.21926264647042013</v>
          </cell>
          <cell r="AB27">
            <v>0.15627549236685701</v>
          </cell>
          <cell r="AC27">
            <v>0.19853505138824973</v>
          </cell>
          <cell r="AD27">
            <v>0.18342210386151797</v>
          </cell>
          <cell r="AE27">
            <v>0.19465344277245783</v>
          </cell>
          <cell r="AF27">
            <v>0.2397238449283059</v>
          </cell>
          <cell r="AG27">
            <v>0.2100086467790748</v>
          </cell>
          <cell r="AH27">
            <v>0.22498392971930575</v>
          </cell>
          <cell r="AI27">
            <v>0.15905420991926184</v>
          </cell>
          <cell r="AJ27">
            <v>0.2040749140390665</v>
          </cell>
          <cell r="AK27">
            <v>0.1823324630113142</v>
          </cell>
          <cell r="AL27">
            <v>0.19861476127901884</v>
          </cell>
          <cell r="AM27">
            <v>0.25954653937947492</v>
          </cell>
          <cell r="AN27">
            <v>0.22364154465952638</v>
          </cell>
          <cell r="AO27">
            <v>0.24148668017595018</v>
          </cell>
          <cell r="AP27">
            <v>0.16978789446456286</v>
          </cell>
          <cell r="AQ27">
            <v>0.21830891698441368</v>
          </cell>
          <cell r="AR27">
            <v>0.18819712025958224</v>
          </cell>
          <cell r="AS27">
            <v>0.2108400402414487</v>
          </cell>
          <cell r="AT27">
            <v>0.21896482330325287</v>
          </cell>
          <cell r="AU27">
            <v>0.21728977704155081</v>
          </cell>
          <cell r="AV27">
            <v>0.22022494152817804</v>
          </cell>
          <cell r="AW27">
            <v>0.22394404941268919</v>
          </cell>
          <cell r="AX27">
            <v>0.22706456438525527</v>
          </cell>
          <cell r="AY27">
            <v>0.23557387390261933</v>
          </cell>
          <cell r="AZ27">
            <v>0.24290365535486855</v>
          </cell>
          <cell r="BA27">
            <v>0.24949775161965851</v>
          </cell>
          <cell r="BB27">
            <v>0.2562406527536108</v>
          </cell>
          <cell r="BC27">
            <v>0.26040622024124976</v>
          </cell>
          <cell r="BD27">
            <v>0.26336695254281245</v>
          </cell>
        </row>
        <row r="28">
          <cell r="A28" t="str">
            <v>CS EBIT (pre exc)</v>
          </cell>
          <cell r="B28">
            <v>685</v>
          </cell>
          <cell r="C28">
            <v>641</v>
          </cell>
          <cell r="D28">
            <v>447</v>
          </cell>
          <cell r="E28">
            <v>262</v>
          </cell>
          <cell r="F28">
            <v>709</v>
          </cell>
          <cell r="G28">
            <v>34</v>
          </cell>
          <cell r="H28">
            <v>743</v>
          </cell>
          <cell r="I28">
            <v>43</v>
          </cell>
          <cell r="J28">
            <v>786</v>
          </cell>
          <cell r="K28">
            <v>578</v>
          </cell>
          <cell r="L28">
            <v>375</v>
          </cell>
          <cell r="M28">
            <v>953</v>
          </cell>
          <cell r="N28">
            <v>78</v>
          </cell>
          <cell r="O28">
            <v>1031</v>
          </cell>
          <cell r="P28">
            <v>53</v>
          </cell>
          <cell r="Q28">
            <v>1084</v>
          </cell>
          <cell r="R28">
            <v>617</v>
          </cell>
          <cell r="S28">
            <v>374</v>
          </cell>
          <cell r="T28">
            <v>991</v>
          </cell>
          <cell r="U28">
            <v>-16</v>
          </cell>
          <cell r="V28">
            <v>975</v>
          </cell>
          <cell r="W28">
            <v>42</v>
          </cell>
          <cell r="X28">
            <v>1017</v>
          </cell>
          <cell r="Y28">
            <v>408</v>
          </cell>
          <cell r="Z28">
            <v>253</v>
          </cell>
          <cell r="AA28">
            <v>661</v>
          </cell>
          <cell r="AB28">
            <v>-4</v>
          </cell>
          <cell r="AC28">
            <v>657</v>
          </cell>
          <cell r="AD28">
            <v>130</v>
          </cell>
          <cell r="AE28">
            <v>787</v>
          </cell>
          <cell r="AF28">
            <v>624</v>
          </cell>
          <cell r="AG28">
            <v>353</v>
          </cell>
          <cell r="AH28">
            <v>977</v>
          </cell>
          <cell r="AI28">
            <v>46</v>
          </cell>
          <cell r="AJ28">
            <v>1023</v>
          </cell>
          <cell r="AK28">
            <v>145</v>
          </cell>
          <cell r="AL28">
            <v>1168</v>
          </cell>
          <cell r="AM28">
            <v>861</v>
          </cell>
          <cell r="AN28">
            <v>435</v>
          </cell>
          <cell r="AO28">
            <v>1296</v>
          </cell>
          <cell r="AP28">
            <v>68</v>
          </cell>
          <cell r="AQ28">
            <v>1364</v>
          </cell>
          <cell r="AR28">
            <v>162</v>
          </cell>
          <cell r="AS28">
            <v>1526</v>
          </cell>
          <cell r="AT28">
            <v>1707.9847463614858</v>
          </cell>
          <cell r="AU28">
            <v>1842.998997145135</v>
          </cell>
          <cell r="AV28">
            <v>1973.39304149178</v>
          </cell>
          <cell r="AW28">
            <v>2116.2743439000951</v>
          </cell>
          <cell r="AX28">
            <v>2272.9985810049857</v>
          </cell>
          <cell r="AY28">
            <v>2445.2633123333731</v>
          </cell>
          <cell r="AZ28">
            <v>2634.7489767967731</v>
          </cell>
          <cell r="BA28">
            <v>2843.4069124038433</v>
          </cell>
          <cell r="BB28">
            <v>2931.4995225879461</v>
          </cell>
          <cell r="BC28">
            <v>3023.1423490408833</v>
          </cell>
          <cell r="BD28">
            <v>3118.373976188901</v>
          </cell>
        </row>
        <row r="29">
          <cell r="A29" t="str">
            <v>EBIT Margin %</v>
          </cell>
          <cell r="B29">
            <v>0.11618046132971506</v>
          </cell>
          <cell r="C29">
            <v>0.1124561403508772</v>
          </cell>
          <cell r="D29">
            <v>0.25027995520716684</v>
          </cell>
          <cell r="E29">
            <v>0.16773367477592829</v>
          </cell>
          <cell r="F29">
            <v>0.21176821983273597</v>
          </cell>
          <cell r="G29">
            <v>2.9386343993085567E-2</v>
          </cell>
          <cell r="H29">
            <v>0.16492785793562709</v>
          </cell>
          <cell r="I29">
            <v>3.2551097653292962E-2</v>
          </cell>
          <cell r="J29">
            <v>0.13491246138002061</v>
          </cell>
          <cell r="K29">
            <v>0.31880860452289023</v>
          </cell>
          <cell r="L29">
            <v>0.22879804758999389</v>
          </cell>
          <cell r="M29">
            <v>0.276071842410197</v>
          </cell>
          <cell r="N29">
            <v>6.9705093833780166E-2</v>
          </cell>
          <cell r="O29">
            <v>0.22555239553708159</v>
          </cell>
          <cell r="P29">
            <v>4.3442622950819673E-2</v>
          </cell>
          <cell r="Q29">
            <v>0.18718701433258506</v>
          </cell>
          <cell r="R29">
            <v>0.31543967280163598</v>
          </cell>
          <cell r="S29">
            <v>0.22261904761904761</v>
          </cell>
          <cell r="T29">
            <v>0.27255225522552257</v>
          </cell>
          <cell r="U29">
            <v>-1.5625E-2</v>
          </cell>
          <cell r="V29">
            <v>0.20922746781115881</v>
          </cell>
          <cell r="W29">
            <v>3.3149171270718231E-2</v>
          </cell>
          <cell r="X29">
            <v>0.15622119815668203</v>
          </cell>
          <cell r="Y29">
            <v>0.20901639344262296</v>
          </cell>
          <cell r="Z29">
            <v>0.13428874734607218</v>
          </cell>
          <cell r="AA29">
            <v>0.17231491136600627</v>
          </cell>
          <cell r="AB29">
            <v>-2.9828486204325128E-3</v>
          </cell>
          <cell r="AC29">
            <v>0.12690747537183697</v>
          </cell>
          <cell r="AD29">
            <v>7.8644888082274655E-2</v>
          </cell>
          <cell r="AE29">
            <v>0.11522693997071742</v>
          </cell>
          <cell r="AF29">
            <v>0.2764731945059814</v>
          </cell>
          <cell r="AG29">
            <v>0.18167781780751416</v>
          </cell>
          <cell r="AH29">
            <v>0.23261904761904761</v>
          </cell>
          <cell r="AI29">
            <v>3.3357505438723713E-2</v>
          </cell>
          <cell r="AJ29">
            <v>0.18336619465854095</v>
          </cell>
          <cell r="AK29">
            <v>8.6515513126491653E-2</v>
          </cell>
          <cell r="AL29">
            <v>0.16099241902136457</v>
          </cell>
          <cell r="AM29">
            <v>0.32988505747126434</v>
          </cell>
          <cell r="AN29">
            <v>0.19112478031634447</v>
          </cell>
          <cell r="AO29">
            <v>0.26524764633647158</v>
          </cell>
          <cell r="AP29">
            <v>4.1438147471054232E-2</v>
          </cell>
          <cell r="AQ29">
            <v>0.20897809100658801</v>
          </cell>
          <cell r="AR29">
            <v>8.7284482758620691E-2</v>
          </cell>
          <cell r="AS29">
            <v>0.18203507097697721</v>
          </cell>
          <cell r="AT29">
            <v>0.18934941570820518</v>
          </cell>
          <cell r="AU29">
            <v>0.1868816038915054</v>
          </cell>
          <cell r="AV29">
            <v>0.1880587956487178</v>
          </cell>
          <cell r="AW29">
            <v>0.18928181476967693</v>
          </cell>
          <cell r="AX29">
            <v>0.19054162359103971</v>
          </cell>
          <cell r="AY29">
            <v>0.19184291950543314</v>
          </cell>
          <cell r="AZ29">
            <v>0.19317172400880403</v>
          </cell>
          <cell r="BA29">
            <v>0.19451886041186758</v>
          </cell>
          <cell r="BB29">
            <v>0.19419480767561248</v>
          </cell>
          <cell r="BC29">
            <v>0.19389437730186163</v>
          </cell>
          <cell r="BD29">
            <v>0.19360968170096671</v>
          </cell>
        </row>
        <row r="30">
          <cell r="A30" t="str">
            <v>% of Group</v>
          </cell>
          <cell r="B30">
            <v>0.22481128979323925</v>
          </cell>
          <cell r="C30">
            <v>0.18424834722621444</v>
          </cell>
          <cell r="D30">
            <v>0.3250909090909091</v>
          </cell>
          <cell r="E30">
            <v>0.22109704641350211</v>
          </cell>
          <cell r="F30">
            <v>0.27695312500000002</v>
          </cell>
          <cell r="G30">
            <v>3.5676810073452254E-2</v>
          </cell>
          <cell r="H30">
            <v>0.21150014232849418</v>
          </cell>
          <cell r="I30">
            <v>5.5555555555555552E-2</v>
          </cell>
          <cell r="J30">
            <v>0.18334499650104968</v>
          </cell>
          <cell r="K30">
            <v>0.3861055444221777</v>
          </cell>
          <cell r="L30">
            <v>0.30048076923076922</v>
          </cell>
          <cell r="M30">
            <v>0.34717668488160291</v>
          </cell>
          <cell r="N30">
            <v>8.7542087542087546E-2</v>
          </cell>
          <cell r="O30">
            <v>0.28355335533553355</v>
          </cell>
          <cell r="P30">
            <v>7.5070821529745049E-2</v>
          </cell>
          <cell r="Q30">
            <v>0.24965453707968677</v>
          </cell>
          <cell r="R30">
            <v>0.60668633235004921</v>
          </cell>
          <cell r="S30">
            <v>0.33969118982742963</v>
          </cell>
          <cell r="T30">
            <v>0.4678942398489141</v>
          </cell>
          <cell r="U30">
            <v>-1.9115890083632018E-2</v>
          </cell>
          <cell r="V30">
            <v>0.32994923857868019</v>
          </cell>
          <cell r="W30">
            <v>5.1407588739290085E-2</v>
          </cell>
          <cell r="X30">
            <v>0.26961823966065745</v>
          </cell>
          <cell r="Y30">
            <v>0.34546994072819642</v>
          </cell>
          <cell r="Z30">
            <v>0.19984202211690363</v>
          </cell>
          <cell r="AA30">
            <v>0.27012668573763793</v>
          </cell>
          <cell r="AB30">
            <v>-3.1720856463124504E-3</v>
          </cell>
          <cell r="AC30">
            <v>0.17718446601941748</v>
          </cell>
          <cell r="AD30">
            <v>0.17473118279569894</v>
          </cell>
          <cell r="AE30">
            <v>0.17677448337825696</v>
          </cell>
          <cell r="AF30">
            <v>0.39245283018867927</v>
          </cell>
          <cell r="AG30">
            <v>0.24911785462244179</v>
          </cell>
          <cell r="AH30">
            <v>0.32480053191489361</v>
          </cell>
          <cell r="AI30">
            <v>3.9182282793867124E-2</v>
          </cell>
          <cell r="AJ30">
            <v>0.24461979913916787</v>
          </cell>
          <cell r="AK30">
            <v>0.17159763313609466</v>
          </cell>
          <cell r="AL30">
            <v>0.23243781094527363</v>
          </cell>
          <cell r="AM30">
            <v>0.5865122615803815</v>
          </cell>
          <cell r="AN30">
            <v>0.28769841269841268</v>
          </cell>
          <cell r="AO30">
            <v>0.39059674502712477</v>
          </cell>
          <cell r="AP30">
            <v>5.6951423785594639E-2</v>
          </cell>
          <cell r="AQ30">
            <v>0.30230496453900707</v>
          </cell>
          <cell r="AR30">
            <v>0.13977566867989646</v>
          </cell>
          <cell r="AS30">
            <v>0.26908834420737082</v>
          </cell>
          <cell r="AT30">
            <v>0.28605657071514468</v>
          </cell>
          <cell r="AU30">
            <v>0.2620300570782495</v>
          </cell>
          <cell r="AV30">
            <v>0.26087503431887576</v>
          </cell>
          <cell r="AW30">
            <v>0.26990947306695434</v>
          </cell>
          <cell r="AX30">
            <v>0.27291300744546521</v>
          </cell>
          <cell r="AY30">
            <v>0.29211126340721727</v>
          </cell>
          <cell r="AZ30">
            <v>0.29279317439715774</v>
          </cell>
          <cell r="BA30">
            <v>0.28483105815329191</v>
          </cell>
          <cell r="BB30">
            <v>0.31706917324257583</v>
          </cell>
          <cell r="BC30">
            <v>0.33381079906196448</v>
          </cell>
          <cell r="BD30">
            <v>0.34505194411474949</v>
          </cell>
        </row>
        <row r="31">
          <cell r="A31" t="str">
            <v>CS EBITDA (pre exc)</v>
          </cell>
          <cell r="B31">
            <v>1273</v>
          </cell>
          <cell r="C31">
            <v>1204</v>
          </cell>
          <cell r="D31">
            <v>584</v>
          </cell>
          <cell r="E31">
            <v>396</v>
          </cell>
          <cell r="F31">
            <v>980</v>
          </cell>
          <cell r="G31">
            <v>167</v>
          </cell>
          <cell r="H31">
            <v>1147</v>
          </cell>
          <cell r="I31">
            <v>177</v>
          </cell>
          <cell r="J31">
            <v>1324</v>
          </cell>
          <cell r="K31">
            <v>713</v>
          </cell>
          <cell r="L31">
            <v>501</v>
          </cell>
          <cell r="M31">
            <v>1214</v>
          </cell>
          <cell r="N31">
            <v>207</v>
          </cell>
          <cell r="O31">
            <v>1421</v>
          </cell>
          <cell r="P31">
            <v>182</v>
          </cell>
          <cell r="Q31">
            <v>1603</v>
          </cell>
          <cell r="R31">
            <v>737</v>
          </cell>
          <cell r="S31">
            <v>497</v>
          </cell>
          <cell r="T31">
            <v>1234</v>
          </cell>
          <cell r="U31">
            <v>108</v>
          </cell>
          <cell r="V31">
            <v>1342</v>
          </cell>
          <cell r="W31">
            <v>166</v>
          </cell>
          <cell r="X31">
            <v>1508</v>
          </cell>
          <cell r="Y31">
            <v>531</v>
          </cell>
          <cell r="Z31">
            <v>380</v>
          </cell>
          <cell r="AA31">
            <v>911</v>
          </cell>
          <cell r="AB31">
            <v>126</v>
          </cell>
          <cell r="AC31">
            <v>1037</v>
          </cell>
          <cell r="AD31">
            <v>256</v>
          </cell>
          <cell r="AE31">
            <v>1293</v>
          </cell>
          <cell r="AF31">
            <v>745</v>
          </cell>
          <cell r="AG31">
            <v>471</v>
          </cell>
          <cell r="AH31">
            <v>1216</v>
          </cell>
          <cell r="AI31">
            <v>165</v>
          </cell>
          <cell r="AJ31">
            <v>1381</v>
          </cell>
          <cell r="AK31">
            <v>273</v>
          </cell>
          <cell r="AL31">
            <v>1654</v>
          </cell>
          <cell r="AM31">
            <v>981</v>
          </cell>
          <cell r="AN31">
            <v>549</v>
          </cell>
          <cell r="AO31">
            <v>1530</v>
          </cell>
          <cell r="AP31">
            <v>189</v>
          </cell>
          <cell r="AQ31">
            <v>1719</v>
          </cell>
          <cell r="AR31">
            <v>289</v>
          </cell>
          <cell r="AS31">
            <v>2008</v>
          </cell>
          <cell r="AT31">
            <v>2209.9685984952885</v>
          </cell>
          <cell r="AU31">
            <v>2366.8448370746123</v>
          </cell>
          <cell r="AV31">
            <v>2518.4375361134903</v>
          </cell>
          <cell r="AW31">
            <v>2683.331429139434</v>
          </cell>
          <cell r="AX31">
            <v>2862.9947050941882</v>
          </cell>
          <cell r="AY31">
            <v>3059.0818596429308</v>
          </cell>
          <cell r="AZ31">
            <v>3273.4591859955958</v>
          </cell>
          <cell r="BA31">
            <v>3508.2338932687276</v>
          </cell>
          <cell r="BB31">
            <v>3622.9593048458323</v>
          </cell>
          <cell r="BC31">
            <v>3742.0072405722399</v>
          </cell>
          <cell r="BD31">
            <v>3865.5595511037882</v>
          </cell>
        </row>
        <row r="32">
          <cell r="A32" t="str">
            <v>EBITDA Margin %</v>
          </cell>
          <cell r="B32">
            <v>0.21590909090909091</v>
          </cell>
          <cell r="C32">
            <v>0.2112280701754386</v>
          </cell>
          <cell r="D32">
            <v>0.32698768197088468</v>
          </cell>
          <cell r="E32">
            <v>0.25352112676056338</v>
          </cell>
          <cell r="F32">
            <v>0.2927120669056153</v>
          </cell>
          <cell r="G32">
            <v>0.14433880726015558</v>
          </cell>
          <cell r="H32">
            <v>0.25460599334073253</v>
          </cell>
          <cell r="I32">
            <v>0.13398940196820591</v>
          </cell>
          <cell r="J32">
            <v>0.22725712324064537</v>
          </cell>
          <cell r="K32">
            <v>0.39327082184225043</v>
          </cell>
          <cell r="L32">
            <v>0.30567419158023185</v>
          </cell>
          <cell r="M32">
            <v>0.35168018539976825</v>
          </cell>
          <cell r="N32">
            <v>0.18498659517426275</v>
          </cell>
          <cell r="O32">
            <v>0.3108728943338438</v>
          </cell>
          <cell r="P32">
            <v>0.14918032786885246</v>
          </cell>
          <cell r="Q32">
            <v>0.27680884130547401</v>
          </cell>
          <cell r="R32">
            <v>0.37678936605316976</v>
          </cell>
          <cell r="S32">
            <v>0.29583333333333334</v>
          </cell>
          <cell r="T32">
            <v>0.3393839383938394</v>
          </cell>
          <cell r="U32">
            <v>0.10546875</v>
          </cell>
          <cell r="V32">
            <v>0.28798283261802576</v>
          </cell>
          <cell r="W32">
            <v>0.13101815311760062</v>
          </cell>
          <cell r="X32">
            <v>0.23164362519201229</v>
          </cell>
          <cell r="Y32">
            <v>0.27202868852459017</v>
          </cell>
          <cell r="Z32">
            <v>0.20169851380042464</v>
          </cell>
          <cell r="AA32">
            <v>0.23748696558915536</v>
          </cell>
          <cell r="AB32">
            <v>9.3959731543624164E-2</v>
          </cell>
          <cell r="AC32">
            <v>0.20030905930075332</v>
          </cell>
          <cell r="AD32">
            <v>0.15486993345432548</v>
          </cell>
          <cell r="AE32">
            <v>0.18931185944363105</v>
          </cell>
          <cell r="AF32">
            <v>0.33008418254319893</v>
          </cell>
          <cell r="AG32">
            <v>0.24240864642305712</v>
          </cell>
          <cell r="AH32">
            <v>0.28952380952380952</v>
          </cell>
          <cell r="AI32">
            <v>0.11965192168237854</v>
          </cell>
          <cell r="AJ32">
            <v>0.24753540060942822</v>
          </cell>
          <cell r="AK32">
            <v>0.16288782816229117</v>
          </cell>
          <cell r="AL32">
            <v>0.22798070296347347</v>
          </cell>
          <cell r="AM32">
            <v>0.37586206896551722</v>
          </cell>
          <cell r="AN32">
            <v>0.24121265377855888</v>
          </cell>
          <cell r="AO32">
            <v>0.31313958248055668</v>
          </cell>
          <cell r="AP32">
            <v>0.11517367458866545</v>
          </cell>
          <cell r="AQ32">
            <v>0.26336755017619118</v>
          </cell>
          <cell r="AR32">
            <v>0.15571120689655171</v>
          </cell>
          <cell r="AS32">
            <v>0.23953238697363713</v>
          </cell>
          <cell r="AT32">
            <v>0.24499999999999997</v>
          </cell>
          <cell r="AU32">
            <v>0.23999999999999996</v>
          </cell>
          <cell r="AV32">
            <v>0.24000000000000002</v>
          </cell>
          <cell r="AW32">
            <v>0.24</v>
          </cell>
          <cell r="AX32">
            <v>0.24</v>
          </cell>
          <cell r="AY32">
            <v>0.24</v>
          </cell>
          <cell r="AZ32">
            <v>0.24</v>
          </cell>
          <cell r="BA32">
            <v>0.24</v>
          </cell>
          <cell r="BB32">
            <v>0.24000000000000002</v>
          </cell>
          <cell r="BC32">
            <v>0.24</v>
          </cell>
          <cell r="BD32">
            <v>0.24</v>
          </cell>
        </row>
        <row r="33">
          <cell r="A33" t="str">
            <v>% of Group</v>
          </cell>
          <cell r="B33">
            <v>0.26188027154906396</v>
          </cell>
          <cell r="C33">
            <v>0.20542569527384405</v>
          </cell>
          <cell r="D33">
            <v>0.29346733668341707</v>
          </cell>
          <cell r="E33">
            <v>0.21165152324959915</v>
          </cell>
          <cell r="F33">
            <v>0.2538202538202538</v>
          </cell>
          <cell r="G33">
            <v>0.10711994868505452</v>
          </cell>
          <cell r="H33">
            <v>0.21162361623616235</v>
          </cell>
          <cell r="I33">
            <v>0.11146095717884132</v>
          </cell>
          <cell r="J33">
            <v>0.1889269406392694</v>
          </cell>
          <cell r="K33">
            <v>0.32631578947368423</v>
          </cell>
          <cell r="L33">
            <v>0.23013321084060634</v>
          </cell>
          <cell r="M33">
            <v>0.27831270059605684</v>
          </cell>
          <cell r="N33">
            <v>0.13864701942397856</v>
          </cell>
          <cell r="O33">
            <v>0.24269854824935952</v>
          </cell>
          <cell r="P33">
            <v>0.16914498141263939</v>
          </cell>
          <cell r="Q33">
            <v>0.23127975761073438</v>
          </cell>
          <cell r="R33">
            <v>0.43480825958702063</v>
          </cell>
          <cell r="S33">
            <v>0.28158640226628895</v>
          </cell>
          <cell r="T33">
            <v>0.35664739884393065</v>
          </cell>
          <cell r="U33">
            <v>7.2048032021347561E-2</v>
          </cell>
          <cell r="V33">
            <v>0.27061907642669891</v>
          </cell>
          <cell r="W33">
            <v>0.10971579643093192</v>
          </cell>
          <cell r="X33">
            <v>0.23300370828182942</v>
          </cell>
          <cell r="Y33">
            <v>0.29095890410958902</v>
          </cell>
          <cell r="Z33">
            <v>0.19760790431617264</v>
          </cell>
          <cell r="AA33">
            <v>0.24306296691568838</v>
          </cell>
          <cell r="AB33">
            <v>7.6086956521739135E-2</v>
          </cell>
          <cell r="AC33">
            <v>0.19189489267209475</v>
          </cell>
          <cell r="AD33">
            <v>0.15085444902769593</v>
          </cell>
          <cell r="AE33">
            <v>0.18208702999577525</v>
          </cell>
          <cell r="AF33">
            <v>0.33378136200716846</v>
          </cell>
          <cell r="AG33">
            <v>0.23144963144963146</v>
          </cell>
          <cell r="AH33">
            <v>0.28491096532333648</v>
          </cell>
          <cell r="AI33">
            <v>9.141274238227147E-2</v>
          </cell>
          <cell r="AJ33">
            <v>0.22739996706734728</v>
          </cell>
          <cell r="AK33">
            <v>0.17704280155642024</v>
          </cell>
          <cell r="AL33">
            <v>0.21725995008538027</v>
          </cell>
          <cell r="AM33">
            <v>0.40171990171990174</v>
          </cell>
          <cell r="AN33">
            <v>0.25276243093922651</v>
          </cell>
          <cell r="AO33">
            <v>0.33131225638804679</v>
          </cell>
          <cell r="AP33">
            <v>0.1024390243902439</v>
          </cell>
          <cell r="AQ33">
            <v>0.26614026939154667</v>
          </cell>
          <cell r="AR33">
            <v>0.15835616438356165</v>
          </cell>
          <cell r="AS33">
            <v>0.2423949782713665</v>
          </cell>
          <cell r="AT33">
            <v>0.25424939263800728</v>
          </cell>
          <cell r="AU33">
            <v>0.23971948854211797</v>
          </cell>
          <cell r="AV33">
            <v>0.23941138052400976</v>
          </cell>
          <cell r="AW33">
            <v>0.24584361010255884</v>
          </cell>
          <cell r="AX33">
            <v>0.24837032733594003</v>
          </cell>
          <cell r="AY33">
            <v>0.26149106689924684</v>
          </cell>
          <cell r="AZ33">
            <v>0.26269169285166488</v>
          </cell>
          <cell r="BA33">
            <v>0.25820673544794132</v>
          </cell>
          <cell r="BB33">
            <v>0.27881506371922832</v>
          </cell>
          <cell r="BC33">
            <v>0.2888791757681059</v>
          </cell>
          <cell r="BD33">
            <v>0.29535101818611242</v>
          </cell>
        </row>
        <row r="34">
          <cell r="A34" t="str">
            <v>MATERIAL SCIENCE</v>
          </cell>
        </row>
        <row r="35">
          <cell r="A35" t="str">
            <v>MS Sales</v>
          </cell>
          <cell r="B35">
            <v>9446</v>
          </cell>
          <cell r="C35">
            <v>10161</v>
          </cell>
          <cell r="D35">
            <v>2608</v>
          </cell>
          <cell r="E35">
            <v>2623</v>
          </cell>
          <cell r="F35">
            <v>5231</v>
          </cell>
          <cell r="G35">
            <v>2625</v>
          </cell>
          <cell r="H35">
            <v>7856</v>
          </cell>
          <cell r="I35">
            <v>2579</v>
          </cell>
          <cell r="J35">
            <v>10435</v>
          </cell>
          <cell r="K35">
            <v>2512</v>
          </cell>
          <cell r="L35">
            <v>2622</v>
          </cell>
          <cell r="M35">
            <v>5134</v>
          </cell>
          <cell r="N35">
            <v>2549</v>
          </cell>
          <cell r="O35">
            <v>7683</v>
          </cell>
          <cell r="P35">
            <v>2055</v>
          </cell>
          <cell r="Q35">
            <v>9738</v>
          </cell>
          <cell r="R35">
            <v>1636</v>
          </cell>
          <cell r="S35">
            <v>1830</v>
          </cell>
          <cell r="T35">
            <v>3466</v>
          </cell>
          <cell r="U35">
            <v>2038</v>
          </cell>
          <cell r="V35">
            <v>5504</v>
          </cell>
          <cell r="W35">
            <v>2016</v>
          </cell>
          <cell r="X35">
            <v>7520</v>
          </cell>
          <cell r="Y35">
            <v>2216</v>
          </cell>
          <cell r="Z35">
            <v>2689</v>
          </cell>
          <cell r="AA35">
            <v>4905</v>
          </cell>
          <cell r="AB35">
            <v>2665</v>
          </cell>
          <cell r="AC35">
            <v>7570</v>
          </cell>
          <cell r="AD35">
            <v>2584</v>
          </cell>
          <cell r="AE35">
            <v>10154</v>
          </cell>
          <cell r="AF35">
            <v>2686</v>
          </cell>
          <cell r="AG35">
            <v>2782</v>
          </cell>
          <cell r="AH35">
            <v>5468</v>
          </cell>
          <cell r="AI35">
            <v>2768</v>
          </cell>
          <cell r="AJ35">
            <v>8236</v>
          </cell>
          <cell r="AK35">
            <v>2596</v>
          </cell>
          <cell r="AL35">
            <v>10832</v>
          </cell>
          <cell r="AM35">
            <v>2788</v>
          </cell>
          <cell r="AN35">
            <v>2962</v>
          </cell>
          <cell r="AO35">
            <v>5750</v>
          </cell>
          <cell r="AP35">
            <v>2992</v>
          </cell>
          <cell r="AQ35">
            <v>8742</v>
          </cell>
          <cell r="AR35">
            <v>2761</v>
          </cell>
          <cell r="AS35">
            <v>11503</v>
          </cell>
          <cell r="AT35">
            <v>11543.19385132826</v>
          </cell>
          <cell r="AU35">
            <v>12532.359722586758</v>
          </cell>
          <cell r="AV35">
            <v>12826.868859418639</v>
          </cell>
          <cell r="AW35">
            <v>12989.328640500264</v>
          </cell>
          <cell r="AX35">
            <v>13156.901638618478</v>
          </cell>
          <cell r="AY35">
            <v>13539.36037202481</v>
          </cell>
          <cell r="AZ35">
            <v>13933.593150420245</v>
          </cell>
          <cell r="BA35">
            <v>14339.986463279291</v>
          </cell>
          <cell r="BB35">
            <v>14758.940423246442</v>
          </cell>
          <cell r="BC35">
            <v>15190.869283557162</v>
          </cell>
          <cell r="BD35">
            <v>15636.201976563803</v>
          </cell>
        </row>
        <row r="36">
          <cell r="A36" t="str">
            <v>Growth (%)</v>
          </cell>
          <cell r="J36">
            <v>2.6965849817931264E-2</v>
          </cell>
          <cell r="K36">
            <v>-3.6809815950920255E-2</v>
          </cell>
          <cell r="L36">
            <v>-3.8124285169649497E-4</v>
          </cell>
          <cell r="M36">
            <v>-1.8543299560313531E-2</v>
          </cell>
          <cell r="N36">
            <v>-2.8952380952380952E-2</v>
          </cell>
          <cell r="O36">
            <v>-2.2021384928716858E-2</v>
          </cell>
          <cell r="P36">
            <v>-0.20317952694842967</v>
          </cell>
          <cell r="Q36">
            <v>-6.6794441782462854E-2</v>
          </cell>
          <cell r="R36">
            <v>-0.34872611464968151</v>
          </cell>
          <cell r="S36">
            <v>-0.30205949656750575</v>
          </cell>
          <cell r="T36">
            <v>-0.32489287105570708</v>
          </cell>
          <cell r="U36">
            <v>-0.20047077285209891</v>
          </cell>
          <cell r="V36">
            <v>-0.28361317193804503</v>
          </cell>
          <cell r="W36">
            <v>-1.8978102189781021E-2</v>
          </cell>
          <cell r="X36">
            <v>-0.22776750872869167</v>
          </cell>
          <cell r="Y36">
            <v>0.35452322738386299</v>
          </cell>
          <cell r="Z36">
            <v>0.46939890710382515</v>
          </cell>
          <cell r="AA36">
            <v>0.41517599538372774</v>
          </cell>
          <cell r="AB36">
            <v>0.30765456329735041</v>
          </cell>
          <cell r="AC36">
            <v>0.37536337209302317</v>
          </cell>
          <cell r="AD36">
            <v>0.28174603174603186</v>
          </cell>
          <cell r="AE36">
            <v>0.35026595744680855</v>
          </cell>
          <cell r="AF36">
            <v>0.21209386281588438</v>
          </cell>
          <cell r="AG36">
            <v>3.4585347712904335E-2</v>
          </cell>
          <cell r="AH36">
            <v>0.11478083588175325</v>
          </cell>
          <cell r="AI36">
            <v>3.8649155722326523E-2</v>
          </cell>
          <cell r="AJ36">
            <v>8.7978863936591711E-2</v>
          </cell>
          <cell r="AK36">
            <v>4.6439628482972672E-3</v>
          </cell>
          <cell r="AL36">
            <v>6.6771715580066893E-2</v>
          </cell>
          <cell r="AM36">
            <v>3.7974683544303778E-2</v>
          </cell>
          <cell r="AN36">
            <v>6.4701653486700206E-2</v>
          </cell>
          <cell r="AO36">
            <v>5.1572787125091502E-2</v>
          </cell>
          <cell r="AP36">
            <v>8.092485549132955E-2</v>
          </cell>
          <cell r="AQ36">
            <v>6.143759106362312E-2</v>
          </cell>
          <cell r="AR36">
            <v>6.3559322033898358E-2</v>
          </cell>
          <cell r="AS36">
            <v>6.1946085672082818E-2</v>
          </cell>
          <cell r="AT36">
            <v>3.4942059748117593E-3</v>
          </cell>
          <cell r="AU36">
            <v>8.5692563427294033E-2</v>
          </cell>
          <cell r="AV36">
            <v>2.3499894940064214E-2</v>
          </cell>
          <cell r="AW36">
            <v>1.2665583694833948E-2</v>
          </cell>
          <cell r="AX36">
            <v>1.2900820570181493E-2</v>
          </cell>
          <cell r="AY36">
            <v>2.9069057739531168E-2</v>
          </cell>
          <cell r="AZ36">
            <v>2.9117533440501608E-2</v>
          </cell>
          <cell r="BA36">
            <v>2.9166440305226526E-2</v>
          </cell>
          <cell r="BB36">
            <v>2.9215784899098374E-2</v>
          </cell>
          <cell r="BC36">
            <v>2.9265573809783785E-2</v>
          </cell>
          <cell r="BD36">
            <v>2.931581364396818E-2</v>
          </cell>
        </row>
        <row r="37">
          <cell r="A37" t="str">
            <v>% of Group</v>
          </cell>
          <cell r="B37">
            <v>0.37196298483953533</v>
          </cell>
          <cell r="C37">
            <v>0.34246713852376137</v>
          </cell>
          <cell r="D37">
            <v>0.31289742051589681</v>
          </cell>
          <cell r="E37">
            <v>0.31409412046461499</v>
          </cell>
          <cell r="F37">
            <v>0.33952099694943855</v>
          </cell>
          <cell r="G37">
            <v>0.33401196080926326</v>
          </cell>
          <cell r="H37">
            <v>0.34762600115049336</v>
          </cell>
          <cell r="I37">
            <v>0.24681787730883339</v>
          </cell>
          <cell r="J37">
            <v>0.31575284434761558</v>
          </cell>
          <cell r="K37">
            <v>0.29428303655107779</v>
          </cell>
          <cell r="L37">
            <v>0.30807190694395487</v>
          </cell>
          <cell r="M37">
            <v>0.3011673608259518</v>
          </cell>
          <cell r="N37">
            <v>0.32070961248112734</v>
          </cell>
          <cell r="O37">
            <v>0.30738147629525903</v>
          </cell>
          <cell r="P37">
            <v>0.25937145020825447</v>
          </cell>
          <cell r="Q37">
            <v>0.29582599185855762</v>
          </cell>
          <cell r="R37">
            <v>0.20721975934135528</v>
          </cell>
          <cell r="S37">
            <v>0.22849294543638407</v>
          </cell>
          <cell r="T37">
            <v>0.21793259557344064</v>
          </cell>
          <cell r="U37">
            <v>0.27570346320346323</v>
          </cell>
          <cell r="V37">
            <v>0.23626373626373626</v>
          </cell>
          <cell r="W37">
            <v>0.25609756097560976</v>
          </cell>
          <cell r="X37">
            <v>0.24127310061601642</v>
          </cell>
          <cell r="Y37">
            <v>0.26647426647426647</v>
          </cell>
          <cell r="Z37">
            <v>0.29295130188473689</v>
          </cell>
          <cell r="AA37">
            <v>0.28036581880537298</v>
          </cell>
          <cell r="AB37">
            <v>0.31056986365225497</v>
          </cell>
          <cell r="AC37">
            <v>0.29030526154318148</v>
          </cell>
          <cell r="AD37">
            <v>0.28672880603639589</v>
          </cell>
          <cell r="AE37">
            <v>0.28938668490652075</v>
          </cell>
          <cell r="AF37">
            <v>0.28528943175783322</v>
          </cell>
          <cell r="AG37">
            <v>0.30069174232598356</v>
          </cell>
          <cell r="AH37">
            <v>0.29290764945361047</v>
          </cell>
          <cell r="AI37">
            <v>0.31926182237600925</v>
          </cell>
          <cell r="AJ37">
            <v>0.30126563757407271</v>
          </cell>
          <cell r="AK37">
            <v>0.2824194952132289</v>
          </cell>
          <cell r="AL37">
            <v>0.29653964082347789</v>
          </cell>
          <cell r="AM37">
            <v>0.27724741447891804</v>
          </cell>
          <cell r="AN37">
            <v>0.2910484425665717</v>
          </cell>
          <cell r="AO37">
            <v>0.28418919586813624</v>
          </cell>
          <cell r="AP37">
            <v>0.30957061562338334</v>
          </cell>
          <cell r="AQ37">
            <v>0.2923941400762593</v>
          </cell>
          <cell r="AR37">
            <v>0.27996349624822553</v>
          </cell>
          <cell r="AS37">
            <v>0.2893108651911469</v>
          </cell>
          <cell r="AT37">
            <v>0.28020786535808578</v>
          </cell>
          <cell r="AU37">
            <v>0.27613000469852533</v>
          </cell>
          <cell r="AV37">
            <v>0.26919514062653627</v>
          </cell>
          <cell r="AW37">
            <v>0.2601735579869463</v>
          </cell>
          <cell r="AX37">
            <v>0.25043422963376577</v>
          </cell>
          <cell r="AY37">
            <v>0.25023347940408147</v>
          </cell>
          <cell r="AZ37">
            <v>0.24814269061505434</v>
          </cell>
          <cell r="BA37">
            <v>0.24475866704618024</v>
          </cell>
          <cell r="BB37">
            <v>0.25052495773469913</v>
          </cell>
          <cell r="BC37">
            <v>0.25371176043187488</v>
          </cell>
          <cell r="BD37">
            <v>0.25567685978516336</v>
          </cell>
        </row>
        <row r="38">
          <cell r="A38" t="str">
            <v>MS EBIT (pre exc)</v>
          </cell>
          <cell r="B38">
            <v>1293</v>
          </cell>
          <cell r="C38">
            <v>1210</v>
          </cell>
          <cell r="D38">
            <v>291</v>
          </cell>
          <cell r="E38">
            <v>290</v>
          </cell>
          <cell r="F38">
            <v>581</v>
          </cell>
          <cell r="G38">
            <v>295</v>
          </cell>
          <cell r="H38">
            <v>876</v>
          </cell>
          <cell r="I38">
            <v>241</v>
          </cell>
          <cell r="J38">
            <v>1117</v>
          </cell>
          <cell r="K38">
            <v>281</v>
          </cell>
          <cell r="L38">
            <v>253</v>
          </cell>
          <cell r="M38">
            <v>534</v>
          </cell>
          <cell r="N38">
            <v>138</v>
          </cell>
          <cell r="O38">
            <v>672</v>
          </cell>
          <cell r="P38">
            <v>-86</v>
          </cell>
          <cell r="Q38">
            <v>586</v>
          </cell>
          <cell r="R38">
            <v>-263</v>
          </cell>
          <cell r="S38">
            <v>-22</v>
          </cell>
          <cell r="T38">
            <v>-285</v>
          </cell>
          <cell r="U38">
            <v>100</v>
          </cell>
          <cell r="V38">
            <v>-185</v>
          </cell>
          <cell r="W38">
            <v>59</v>
          </cell>
          <cell r="X38">
            <v>-126</v>
          </cell>
          <cell r="Y38">
            <v>137</v>
          </cell>
          <cell r="Z38">
            <v>228</v>
          </cell>
          <cell r="AA38">
            <v>365</v>
          </cell>
          <cell r="AB38">
            <v>260</v>
          </cell>
          <cell r="AC38">
            <v>625</v>
          </cell>
          <cell r="AD38">
            <v>155</v>
          </cell>
          <cell r="AE38">
            <v>780</v>
          </cell>
          <cell r="AF38">
            <v>205</v>
          </cell>
          <cell r="AG38">
            <v>236</v>
          </cell>
          <cell r="AH38">
            <v>441</v>
          </cell>
          <cell r="AI38">
            <v>196</v>
          </cell>
          <cell r="AJ38">
            <v>637</v>
          </cell>
          <cell r="AK38">
            <v>-48</v>
          </cell>
          <cell r="AL38">
            <v>589</v>
          </cell>
          <cell r="AM38">
            <v>127</v>
          </cell>
          <cell r="AN38">
            <v>232</v>
          </cell>
          <cell r="AO38">
            <v>359</v>
          </cell>
          <cell r="AP38">
            <v>177</v>
          </cell>
          <cell r="AQ38">
            <v>536</v>
          </cell>
          <cell r="AR38">
            <v>93</v>
          </cell>
          <cell r="AS38">
            <v>629</v>
          </cell>
          <cell r="AT38">
            <v>506.5310946199105</v>
          </cell>
          <cell r="AU38">
            <v>702.55933621455392</v>
          </cell>
          <cell r="AV38">
            <v>900.00243386985323</v>
          </cell>
          <cell r="AW38">
            <v>697.06368776028069</v>
          </cell>
          <cell r="AX38">
            <v>291.18783817768565</v>
          </cell>
          <cell r="AY38">
            <v>426.4363413109777</v>
          </cell>
          <cell r="AZ38">
            <v>708.46754919836883</v>
          </cell>
          <cell r="BA38">
            <v>719.46825764545611</v>
          </cell>
          <cell r="BB38">
            <v>731.18472339444224</v>
          </cell>
          <cell r="BC38">
            <v>743.33179850974466</v>
          </cell>
          <cell r="BD38">
            <v>755.77178672272385</v>
          </cell>
        </row>
        <row r="39">
          <cell r="A39" t="str">
            <v>EBIT Margin %</v>
          </cell>
          <cell r="B39">
            <v>0.13688333686216389</v>
          </cell>
          <cell r="C39">
            <v>0.1190827674441492</v>
          </cell>
          <cell r="D39">
            <v>0.11157975460122699</v>
          </cell>
          <cell r="E39">
            <v>0.11056042699199391</v>
          </cell>
          <cell r="F39">
            <v>0.11106862932517683</v>
          </cell>
          <cell r="G39">
            <v>0.11238095238095239</v>
          </cell>
          <cell r="H39">
            <v>0.1115071283095723</v>
          </cell>
          <cell r="I39">
            <v>9.3447072508724305E-2</v>
          </cell>
          <cell r="J39">
            <v>0.10704360325826545</v>
          </cell>
          <cell r="K39">
            <v>0.11186305732484077</v>
          </cell>
          <cell r="L39">
            <v>9.6491228070175433E-2</v>
          </cell>
          <cell r="M39">
            <v>0.10401246591351772</v>
          </cell>
          <cell r="N39">
            <v>5.4138877991369162E-2</v>
          </cell>
          <cell r="O39">
            <v>8.7465833658727066E-2</v>
          </cell>
          <cell r="P39">
            <v>-4.1849148418491487E-2</v>
          </cell>
          <cell r="Q39">
            <v>6.017662764428014E-2</v>
          </cell>
          <cell r="R39">
            <v>-0.16075794621026895</v>
          </cell>
          <cell r="S39">
            <v>-1.2021857923497269E-2</v>
          </cell>
          <cell r="T39">
            <v>-8.2227351413733413E-2</v>
          </cell>
          <cell r="U39">
            <v>4.9067713444553483E-2</v>
          </cell>
          <cell r="V39">
            <v>-3.361191860465116E-2</v>
          </cell>
          <cell r="W39">
            <v>2.9265873015873016E-2</v>
          </cell>
          <cell r="X39">
            <v>-1.675531914893617E-2</v>
          </cell>
          <cell r="Y39">
            <v>6.1823104693140792E-2</v>
          </cell>
          <cell r="Z39">
            <v>8.4789884715507621E-2</v>
          </cell>
          <cell r="AA39">
            <v>7.4413863404689098E-2</v>
          </cell>
          <cell r="AB39">
            <v>9.7560975609756101E-2</v>
          </cell>
          <cell r="AC39">
            <v>8.2562747688243066E-2</v>
          </cell>
          <cell r="AD39">
            <v>5.9984520123839008E-2</v>
          </cell>
          <cell r="AE39">
            <v>7.6817017923970846E-2</v>
          </cell>
          <cell r="AF39">
            <v>7.6321667907669394E-2</v>
          </cell>
          <cell r="AG39">
            <v>8.4831056793673615E-2</v>
          </cell>
          <cell r="AH39">
            <v>8.0651060716898315E-2</v>
          </cell>
          <cell r="AI39">
            <v>7.0809248554913301E-2</v>
          </cell>
          <cell r="AJ39">
            <v>7.7343370568237008E-2</v>
          </cell>
          <cell r="AK39">
            <v>-1.8489984591679508E-2</v>
          </cell>
          <cell r="AL39">
            <v>5.437592319054653E-2</v>
          </cell>
          <cell r="AM39">
            <v>4.5552367288378769E-2</v>
          </cell>
          <cell r="AN39">
            <v>7.832545577312626E-2</v>
          </cell>
          <cell r="AO39">
            <v>6.2434782608695651E-2</v>
          </cell>
          <cell r="AP39">
            <v>5.9157754010695188E-2</v>
          </cell>
          <cell r="AQ39">
            <v>6.131320064058568E-2</v>
          </cell>
          <cell r="AR39">
            <v>3.3683448026077506E-2</v>
          </cell>
          <cell r="AS39">
            <v>5.4681387464139787E-2</v>
          </cell>
          <cell r="AT39">
            <v>4.3881364303833867E-2</v>
          </cell>
          <cell r="AU39">
            <v>5.6059620994468332E-2</v>
          </cell>
          <cell r="AV39">
            <v>7.016540386697652E-2</v>
          </cell>
          <cell r="AW39">
            <v>5.3664335321138998E-2</v>
          </cell>
          <cell r="AX39">
            <v>2.2131946120428809E-2</v>
          </cell>
          <cell r="AY39">
            <v>3.1496047789088003E-2</v>
          </cell>
          <cell r="AZ39">
            <v>5.084600515818858E-2</v>
          </cell>
          <cell r="BA39">
            <v>5.017217132581079E-2</v>
          </cell>
          <cell r="BB39">
            <v>4.9541816853110356E-2</v>
          </cell>
          <cell r="BC39">
            <v>4.8932801976930895E-2</v>
          </cell>
          <cell r="BD39">
            <v>4.8334741892916602E-2</v>
          </cell>
        </row>
        <row r="40">
          <cell r="A40" t="str">
            <v>% of Group</v>
          </cell>
          <cell r="B40">
            <v>0.42435182146373485</v>
          </cell>
          <cell r="C40">
            <v>0.34780109226789307</v>
          </cell>
          <cell r="D40">
            <v>0.21163636363636365</v>
          </cell>
          <cell r="E40">
            <v>0.24472573839662448</v>
          </cell>
          <cell r="F40">
            <v>0.22695312500000001</v>
          </cell>
          <cell r="G40">
            <v>0.30954879328436519</v>
          </cell>
          <cell r="H40">
            <v>0.24935952177625961</v>
          </cell>
          <cell r="I40">
            <v>0.31136950904392763</v>
          </cell>
          <cell r="J40">
            <v>0.26055516678329832</v>
          </cell>
          <cell r="K40">
            <v>0.18770875083500335</v>
          </cell>
          <cell r="L40">
            <v>0.20272435897435898</v>
          </cell>
          <cell r="M40">
            <v>0.19453551912568307</v>
          </cell>
          <cell r="N40">
            <v>0.15488215488215487</v>
          </cell>
          <cell r="O40">
            <v>0.18481848184818481</v>
          </cell>
          <cell r="P40">
            <v>-0.12181303116147309</v>
          </cell>
          <cell r="Q40">
            <v>0.13496084753569784</v>
          </cell>
          <cell r="R40">
            <v>-0.25860373647984269</v>
          </cell>
          <cell r="S40">
            <v>-1.9981834695731154E-2</v>
          </cell>
          <cell r="T40">
            <v>-0.13456090651558072</v>
          </cell>
          <cell r="U40">
            <v>0.11947431302270012</v>
          </cell>
          <cell r="V40">
            <v>-6.2605752961082908E-2</v>
          </cell>
          <cell r="W40">
            <v>7.2215422276621782E-2</v>
          </cell>
          <cell r="X40">
            <v>-3.3404029692470839E-2</v>
          </cell>
          <cell r="Y40">
            <v>0.11600338696020322</v>
          </cell>
          <cell r="Z40">
            <v>0.18009478672985782</v>
          </cell>
          <cell r="AA40">
            <v>0.14916223947691051</v>
          </cell>
          <cell r="AB40">
            <v>0.20618556701030927</v>
          </cell>
          <cell r="AC40">
            <v>0.168554476806904</v>
          </cell>
          <cell r="AD40">
            <v>0.20833333333333334</v>
          </cell>
          <cell r="AE40">
            <v>0.17520215633423181</v>
          </cell>
          <cell r="AF40">
            <v>0.12893081761006289</v>
          </cell>
          <cell r="AG40">
            <v>0.16654904728299225</v>
          </cell>
          <cell r="AH40">
            <v>0.14660904255319149</v>
          </cell>
          <cell r="AI40">
            <v>0.16695059625212946</v>
          </cell>
          <cell r="AJ40">
            <v>0.15231946437111429</v>
          </cell>
          <cell r="AK40">
            <v>-5.6804733727810648E-2</v>
          </cell>
          <cell r="AL40">
            <v>0.11721393034825871</v>
          </cell>
          <cell r="AM40">
            <v>8.6512261580381472E-2</v>
          </cell>
          <cell r="AN40">
            <v>0.15343915343915343</v>
          </cell>
          <cell r="AO40">
            <v>0.10819770946353224</v>
          </cell>
          <cell r="AP40">
            <v>0.14824120603015076</v>
          </cell>
          <cell r="AQ40">
            <v>0.11879432624113476</v>
          </cell>
          <cell r="AR40">
            <v>8.0241587575496112E-2</v>
          </cell>
          <cell r="AS40">
            <v>0.11091518250749427</v>
          </cell>
          <cell r="AT40">
            <v>8.4834802064967324E-2</v>
          </cell>
          <cell r="AU40">
            <v>9.9887012013745308E-2</v>
          </cell>
          <cell r="AV40">
            <v>0.11897688949251709</v>
          </cell>
          <cell r="AW40">
            <v>8.8903451104904205E-2</v>
          </cell>
          <cell r="AX40">
            <v>3.4962163774637803E-2</v>
          </cell>
          <cell r="AY40">
            <v>5.0942104187640252E-2</v>
          </cell>
          <cell r="AZ40">
            <v>7.8730256473751745E-2</v>
          </cell>
          <cell r="BA40">
            <v>7.2070903478114345E-2</v>
          </cell>
          <cell r="BB40">
            <v>7.9084486948717253E-2</v>
          </cell>
          <cell r="BC40">
            <v>8.2077571275274888E-2</v>
          </cell>
          <cell r="BD40">
            <v>8.3627084598257448E-2</v>
          </cell>
        </row>
        <row r="41">
          <cell r="A41" t="str">
            <v>MS EBITDA (pre exc)</v>
          </cell>
          <cell r="B41">
            <v>1764</v>
          </cell>
          <cell r="C41">
            <v>1677</v>
          </cell>
          <cell r="D41">
            <v>409</v>
          </cell>
          <cell r="E41">
            <v>409</v>
          </cell>
          <cell r="F41">
            <v>818</v>
          </cell>
          <cell r="G41">
            <v>421</v>
          </cell>
          <cell r="H41">
            <v>1239</v>
          </cell>
          <cell r="I41">
            <v>367</v>
          </cell>
          <cell r="J41">
            <v>1606</v>
          </cell>
          <cell r="K41">
            <v>407</v>
          </cell>
          <cell r="L41">
            <v>372</v>
          </cell>
          <cell r="M41">
            <v>779</v>
          </cell>
          <cell r="N41">
            <v>255</v>
          </cell>
          <cell r="O41">
            <v>1034</v>
          </cell>
          <cell r="P41">
            <v>54</v>
          </cell>
          <cell r="Q41">
            <v>1088</v>
          </cell>
          <cell r="R41">
            <v>-116</v>
          </cell>
          <cell r="S41">
            <v>121</v>
          </cell>
          <cell r="T41">
            <v>5</v>
          </cell>
          <cell r="U41">
            <v>238</v>
          </cell>
          <cell r="V41">
            <v>243</v>
          </cell>
          <cell r="W41">
            <v>203</v>
          </cell>
          <cell r="X41">
            <v>446</v>
          </cell>
          <cell r="Y41">
            <v>278</v>
          </cell>
          <cell r="Z41">
            <v>373</v>
          </cell>
          <cell r="AA41">
            <v>651</v>
          </cell>
          <cell r="AB41">
            <v>409</v>
          </cell>
          <cell r="AC41">
            <v>1060</v>
          </cell>
          <cell r="AD41">
            <v>296</v>
          </cell>
          <cell r="AE41">
            <v>1356</v>
          </cell>
          <cell r="AF41">
            <v>345</v>
          </cell>
          <cell r="AG41">
            <v>372</v>
          </cell>
          <cell r="AH41">
            <v>717</v>
          </cell>
          <cell r="AI41">
            <v>348</v>
          </cell>
          <cell r="AJ41">
            <v>1065</v>
          </cell>
          <cell r="AK41">
            <v>106</v>
          </cell>
          <cell r="AL41">
            <v>1171</v>
          </cell>
          <cell r="AM41">
            <v>278</v>
          </cell>
          <cell r="AN41">
            <v>385</v>
          </cell>
          <cell r="AO41">
            <v>663</v>
          </cell>
          <cell r="AP41">
            <v>333</v>
          </cell>
          <cell r="AQ41">
            <v>996</v>
          </cell>
          <cell r="AR41">
            <v>255</v>
          </cell>
          <cell r="AS41">
            <v>1251</v>
          </cell>
          <cell r="AT41">
            <v>1154.319385132826</v>
          </cell>
          <cell r="AU41">
            <v>1378.5595694845433</v>
          </cell>
          <cell r="AV41">
            <v>1603.3586074273298</v>
          </cell>
          <cell r="AW41">
            <v>1428.8261504550289</v>
          </cell>
          <cell r="AX41">
            <v>1052.5521310894783</v>
          </cell>
          <cell r="AY41">
            <v>1218.5424334822328</v>
          </cell>
          <cell r="AZ41">
            <v>1532.6952465462271</v>
          </cell>
          <cell r="BA41">
            <v>1577.398510960722</v>
          </cell>
          <cell r="BB41">
            <v>1623.4834465571087</v>
          </cell>
          <cell r="BC41">
            <v>1670.9956211912879</v>
          </cell>
          <cell r="BD41">
            <v>1719.9822174220183</v>
          </cell>
        </row>
        <row r="42">
          <cell r="A42" t="str">
            <v>EBITDA Margin %</v>
          </cell>
          <cell r="B42">
            <v>0.18674571247088714</v>
          </cell>
          <cell r="C42">
            <v>0.16504281074697372</v>
          </cell>
          <cell r="D42">
            <v>0.15682515337423314</v>
          </cell>
          <cell r="E42">
            <v>0.15592832634388104</v>
          </cell>
          <cell r="F42">
            <v>0.15637545402408717</v>
          </cell>
          <cell r="G42">
            <v>0.16038095238095237</v>
          </cell>
          <cell r="H42">
            <v>0.15771384928716906</v>
          </cell>
          <cell r="I42">
            <v>0.14230321830166731</v>
          </cell>
          <cell r="J42">
            <v>0.15390512697652131</v>
          </cell>
          <cell r="K42">
            <v>0.16202229299363058</v>
          </cell>
          <cell r="L42">
            <v>0.14187643020594964</v>
          </cell>
          <cell r="M42">
            <v>0.15173354109855863</v>
          </cell>
          <cell r="N42">
            <v>0.10003923107100823</v>
          </cell>
          <cell r="O42">
            <v>0.13458284524274372</v>
          </cell>
          <cell r="P42">
            <v>2.6277372262773723E-2</v>
          </cell>
          <cell r="Q42">
            <v>0.11172725405627439</v>
          </cell>
          <cell r="R42">
            <v>-7.090464547677261E-2</v>
          </cell>
          <cell r="S42">
            <v>6.6120218579234974E-2</v>
          </cell>
          <cell r="T42">
            <v>1.4425851125216388E-3</v>
          </cell>
          <cell r="U42">
            <v>0.11678115799803729</v>
          </cell>
          <cell r="V42">
            <v>4.4149709302325583E-2</v>
          </cell>
          <cell r="W42">
            <v>0.10069444444444445</v>
          </cell>
          <cell r="X42">
            <v>5.9308510638297875E-2</v>
          </cell>
          <cell r="Y42">
            <v>0.12545126353790614</v>
          </cell>
          <cell r="Z42">
            <v>0.13871327631089625</v>
          </cell>
          <cell r="AA42">
            <v>0.13272171253822629</v>
          </cell>
          <cell r="AB42">
            <v>0.15347091932457785</v>
          </cell>
          <cell r="AC42">
            <v>0.14002642007926025</v>
          </cell>
          <cell r="AD42">
            <v>0.11455108359133127</v>
          </cell>
          <cell r="AE42">
            <v>0.13354343116013392</v>
          </cell>
          <cell r="AF42">
            <v>0.12844378257632166</v>
          </cell>
          <cell r="AG42">
            <v>0.13371675053918045</v>
          </cell>
          <cell r="AH42">
            <v>0.1311265544989027</v>
          </cell>
          <cell r="AI42">
            <v>0.12572254335260116</v>
          </cell>
          <cell r="AJ42">
            <v>0.12931034482758622</v>
          </cell>
          <cell r="AK42">
            <v>4.0832049306625574E-2</v>
          </cell>
          <cell r="AL42">
            <v>0.10810561299852289</v>
          </cell>
          <cell r="AM42">
            <v>9.9713055954088956E-2</v>
          </cell>
          <cell r="AN42">
            <v>0.12997974341661039</v>
          </cell>
          <cell r="AO42">
            <v>0.11530434782608695</v>
          </cell>
          <cell r="AP42">
            <v>0.11129679144385027</v>
          </cell>
          <cell r="AQ42">
            <v>0.11393273850377487</v>
          </cell>
          <cell r="AR42">
            <v>9.2357841361825427E-2</v>
          </cell>
          <cell r="AS42">
            <v>0.10875423802486307</v>
          </cell>
          <cell r="AT42">
            <v>0.1</v>
          </cell>
          <cell r="AU42">
            <v>0.11</v>
          </cell>
          <cell r="AV42">
            <v>0.125</v>
          </cell>
          <cell r="AW42">
            <v>0.11</v>
          </cell>
          <cell r="AX42">
            <v>0.08</v>
          </cell>
          <cell r="AY42">
            <v>0.09</v>
          </cell>
          <cell r="AZ42">
            <v>0.11</v>
          </cell>
          <cell r="BA42">
            <v>0.11</v>
          </cell>
          <cell r="BB42">
            <v>0.11</v>
          </cell>
          <cell r="BC42">
            <v>0.11</v>
          </cell>
          <cell r="BD42">
            <v>0.10999999999999999</v>
          </cell>
        </row>
        <row r="43">
          <cell r="A43" t="str">
            <v>% of Group</v>
          </cell>
          <cell r="B43">
            <v>0.3628882945895906</v>
          </cell>
          <cell r="C43">
            <v>0.28612864698856849</v>
          </cell>
          <cell r="D43">
            <v>0.20552763819095476</v>
          </cell>
          <cell r="E43">
            <v>0.21859967931587387</v>
          </cell>
          <cell r="F43">
            <v>0.21186221186221185</v>
          </cell>
          <cell r="G43">
            <v>0.27004490057729313</v>
          </cell>
          <cell r="H43">
            <v>0.22859778597785979</v>
          </cell>
          <cell r="I43">
            <v>0.23110831234256926</v>
          </cell>
          <cell r="J43">
            <v>0.22916666666666666</v>
          </cell>
          <cell r="K43">
            <v>0.18627002288329519</v>
          </cell>
          <cell r="L43">
            <v>0.17087735415709693</v>
          </cell>
          <cell r="M43">
            <v>0.17858780375974323</v>
          </cell>
          <cell r="N43">
            <v>0.17079705291359679</v>
          </cell>
          <cell r="O43">
            <v>0.17660119555935097</v>
          </cell>
          <cell r="P43">
            <v>5.0185873605947957E-2</v>
          </cell>
          <cell r="Q43">
            <v>0.15697590535276296</v>
          </cell>
          <cell r="R43">
            <v>-6.8436578171091444E-2</v>
          </cell>
          <cell r="S43">
            <v>6.8555240793201133E-2</v>
          </cell>
          <cell r="T43">
            <v>1.4450867052023121E-3</v>
          </cell>
          <cell r="U43">
            <v>0.15877251501000667</v>
          </cell>
          <cell r="V43">
            <v>4.9001814882032667E-2</v>
          </cell>
          <cell r="W43">
            <v>0.13417052214144085</v>
          </cell>
          <cell r="X43">
            <v>6.8912237330037082E-2</v>
          </cell>
          <cell r="Y43">
            <v>0.15232876712328766</v>
          </cell>
          <cell r="Z43">
            <v>0.19396775871034841</v>
          </cell>
          <cell r="AA43">
            <v>0.17369263607257204</v>
          </cell>
          <cell r="AB43">
            <v>0.2469806763285024</v>
          </cell>
          <cell r="AC43">
            <v>0.19615099925980756</v>
          </cell>
          <cell r="AD43">
            <v>0.17442545668827342</v>
          </cell>
          <cell r="AE43">
            <v>0.19095901985635827</v>
          </cell>
          <cell r="AF43">
            <v>0.15456989247311828</v>
          </cell>
          <cell r="AG43">
            <v>0.18280098280098281</v>
          </cell>
          <cell r="AH43">
            <v>0.16799437675726336</v>
          </cell>
          <cell r="AI43">
            <v>0.19279778393351801</v>
          </cell>
          <cell r="AJ43">
            <v>0.17536637576156761</v>
          </cell>
          <cell r="AK43">
            <v>6.8741893644617386E-2</v>
          </cell>
          <cell r="AL43">
            <v>0.15381584132405096</v>
          </cell>
          <cell r="AM43">
            <v>0.11384111384111384</v>
          </cell>
          <cell r="AN43">
            <v>0.17725598526703498</v>
          </cell>
          <cell r="AO43">
            <v>0.14356864443482026</v>
          </cell>
          <cell r="AP43">
            <v>0.18048780487804877</v>
          </cell>
          <cell r="AQ43">
            <v>0.15420343706456108</v>
          </cell>
          <cell r="AR43">
            <v>0.13972602739726028</v>
          </cell>
          <cell r="AS43">
            <v>0.15101400289715114</v>
          </cell>
          <cell r="AT43">
            <v>0.13280053064108038</v>
          </cell>
          <cell r="AU43">
            <v>0.13962368370971479</v>
          </cell>
          <cell r="AV43">
            <v>0.15242081337129998</v>
          </cell>
          <cell r="AW43">
            <v>0.13090733974276916</v>
          </cell>
          <cell r="AX43">
            <v>9.1310932874475781E-2</v>
          </cell>
          <cell r="AY43">
            <v>0.10416130578161983</v>
          </cell>
          <cell r="AZ43">
            <v>0.12299719839594481</v>
          </cell>
          <cell r="BA43">
            <v>0.11609685454470162</v>
          </cell>
          <cell r="BB43">
            <v>0.12493975297859282</v>
          </cell>
          <cell r="BC43">
            <v>0.12899917256387641</v>
          </cell>
          <cell r="BD43">
            <v>0.13141654978062475</v>
          </cell>
        </row>
        <row r="44">
          <cell r="A44" t="str">
            <v>RECONCILIATION - Gross margin estimated. R&amp;D, D&amp;A disclosed in AR</v>
          </cell>
        </row>
        <row r="45">
          <cell r="A45" t="str">
            <v>Sales</v>
          </cell>
          <cell r="B45">
            <v>1363</v>
          </cell>
          <cell r="C45">
            <v>1371</v>
          </cell>
          <cell r="D45">
            <v>331</v>
          </cell>
          <cell r="E45">
            <v>315</v>
          </cell>
          <cell r="F45">
            <v>646</v>
          </cell>
          <cell r="G45">
            <v>331</v>
          </cell>
          <cell r="H45">
            <v>977</v>
          </cell>
          <cell r="I45">
            <v>340</v>
          </cell>
          <cell r="J45">
            <v>1317</v>
          </cell>
          <cell r="K45">
            <v>315</v>
          </cell>
          <cell r="L45">
            <v>351</v>
          </cell>
          <cell r="M45">
            <v>666</v>
          </cell>
          <cell r="N45">
            <v>349</v>
          </cell>
          <cell r="O45">
            <v>1015</v>
          </cell>
          <cell r="P45">
            <v>376</v>
          </cell>
          <cell r="Q45">
            <v>1391</v>
          </cell>
          <cell r="R45">
            <v>296</v>
          </cell>
          <cell r="S45">
            <v>282</v>
          </cell>
          <cell r="T45">
            <v>578</v>
          </cell>
          <cell r="U45">
            <v>278</v>
          </cell>
          <cell r="V45">
            <v>856</v>
          </cell>
          <cell r="W45">
            <v>294</v>
          </cell>
          <cell r="X45">
            <v>1150</v>
          </cell>
          <cell r="Y45">
            <v>279</v>
          </cell>
          <cell r="Z45">
            <v>301</v>
          </cell>
          <cell r="AA45">
            <v>580</v>
          </cell>
          <cell r="AB45">
            <v>304</v>
          </cell>
          <cell r="AC45">
            <v>884</v>
          </cell>
          <cell r="AD45">
            <v>307</v>
          </cell>
          <cell r="AE45">
            <v>1191</v>
          </cell>
          <cell r="AF45">
            <v>306</v>
          </cell>
          <cell r="AG45">
            <v>319</v>
          </cell>
          <cell r="AH45">
            <v>625</v>
          </cell>
          <cell r="AI45">
            <v>323</v>
          </cell>
          <cell r="AJ45">
            <v>948</v>
          </cell>
          <cell r="AK45">
            <v>324</v>
          </cell>
          <cell r="AL45">
            <v>1272</v>
          </cell>
          <cell r="AM45">
            <v>316</v>
          </cell>
          <cell r="AN45">
            <v>311</v>
          </cell>
          <cell r="AO45">
            <v>627</v>
          </cell>
          <cell r="AP45">
            <v>313</v>
          </cell>
          <cell r="AQ45">
            <v>940</v>
          </cell>
          <cell r="AR45">
            <v>322</v>
          </cell>
          <cell r="AS45">
            <v>1262</v>
          </cell>
          <cell r="AT45">
            <v>1302.384</v>
          </cell>
          <cell r="AU45">
            <v>1344.0602880000001</v>
          </cell>
          <cell r="AV45">
            <v>1387.0702172160002</v>
          </cell>
          <cell r="AW45">
            <v>1431.4564641669122</v>
          </cell>
          <cell r="AX45">
            <v>1477.2630710202534</v>
          </cell>
          <cell r="AY45">
            <v>1524.5354892929015</v>
          </cell>
          <cell r="AZ45">
            <v>1573.3206249502744</v>
          </cell>
          <cell r="BA45">
            <v>1623.6668849486832</v>
          </cell>
          <cell r="BB45">
            <v>1675.6242252670411</v>
          </cell>
          <cell r="BC45">
            <v>1729.2442004755865</v>
          </cell>
          <cell r="BD45">
            <v>1784.5800148908054</v>
          </cell>
        </row>
        <row r="46">
          <cell r="A46" t="str">
            <v>Growth (%)</v>
          </cell>
          <cell r="J46">
            <v>-3.9387308533916809E-2</v>
          </cell>
          <cell r="K46">
            <v>-4.8338368580060465E-2</v>
          </cell>
          <cell r="L46">
            <v>0.11428571428571432</v>
          </cell>
          <cell r="M46">
            <v>3.0959752321981338E-2</v>
          </cell>
          <cell r="N46">
            <v>5.4380664652567967E-2</v>
          </cell>
          <cell r="O46">
            <v>3.8894575230296935E-2</v>
          </cell>
          <cell r="P46">
            <v>0.10588235294117654</v>
          </cell>
          <cell r="Q46">
            <v>5.6188306757782858E-2</v>
          </cell>
          <cell r="R46">
            <v>-6.0317460317460325E-2</v>
          </cell>
          <cell r="S46">
            <v>-0.19658119658119655</v>
          </cell>
          <cell r="T46">
            <v>-0.13213213213213215</v>
          </cell>
          <cell r="U46">
            <v>-0.20343839541547282</v>
          </cell>
          <cell r="V46">
            <v>-0.15665024630541868</v>
          </cell>
          <cell r="W46">
            <v>-0.21808510638297873</v>
          </cell>
          <cell r="X46">
            <v>-0.17325664989216394</v>
          </cell>
          <cell r="Y46">
            <v>-5.7432432432432456E-2</v>
          </cell>
          <cell r="Z46">
            <v>6.7375886524822626E-2</v>
          </cell>
          <cell r="AA46">
            <v>3.4602076124568004E-3</v>
          </cell>
          <cell r="AB46">
            <v>9.3525179856115193E-2</v>
          </cell>
          <cell r="AC46">
            <v>3.2710280373831724E-2</v>
          </cell>
          <cell r="AD46">
            <v>4.421768707482987E-2</v>
          </cell>
          <cell r="AE46">
            <v>3.5652173913043539E-2</v>
          </cell>
          <cell r="AF46">
            <v>9.6774193548387011E-2</v>
          </cell>
          <cell r="AG46">
            <v>5.980066445182719E-2</v>
          </cell>
          <cell r="AH46">
            <v>7.7586206896551824E-2</v>
          </cell>
          <cell r="AI46">
            <v>6.25E-2</v>
          </cell>
          <cell r="AJ46">
            <v>7.2398190045248834E-2</v>
          </cell>
          <cell r="AK46">
            <v>5.5374592833876246E-2</v>
          </cell>
          <cell r="AL46">
            <v>6.8010075566750539E-2</v>
          </cell>
          <cell r="AM46">
            <v>3.2679738562091609E-2</v>
          </cell>
          <cell r="AN46">
            <v>-2.5078369905956133E-2</v>
          </cell>
          <cell r="AO46">
            <v>3.2000000000000917E-3</v>
          </cell>
          <cell r="AP46">
            <v>-3.0959752321981449E-2</v>
          </cell>
          <cell r="AQ46">
            <v>-8.4388185654008518E-3</v>
          </cell>
          <cell r="AR46">
            <v>-6.1728395061728669E-3</v>
          </cell>
          <cell r="AS46">
            <v>-7.8616352201258399E-3</v>
          </cell>
          <cell r="AT46">
            <v>3.2000000000000028E-2</v>
          </cell>
          <cell r="AU46">
            <v>3.2000000000000028E-2</v>
          </cell>
          <cell r="AV46">
            <v>3.2000000000000028E-2</v>
          </cell>
          <cell r="AW46">
            <v>3.2000000000000028E-2</v>
          </cell>
          <cell r="AX46">
            <v>3.2000000000000028E-2</v>
          </cell>
          <cell r="AY46">
            <v>3.2000000000000028E-2</v>
          </cell>
          <cell r="AZ46">
            <v>3.2000000000000028E-2</v>
          </cell>
          <cell r="BA46">
            <v>3.2000000000000028E-2</v>
          </cell>
          <cell r="BB46">
            <v>3.2000000000000028E-2</v>
          </cell>
          <cell r="BC46">
            <v>3.2000000000000028E-2</v>
          </cell>
          <cell r="BD46">
            <v>3.2000000000000028E-2</v>
          </cell>
        </row>
        <row r="47">
          <cell r="A47" t="str">
            <v>% of Group</v>
          </cell>
          <cell r="B47">
            <v>5.3671982673754677E-2</v>
          </cell>
          <cell r="C47">
            <v>4.6208291203235594E-2</v>
          </cell>
          <cell r="D47">
            <v>3.9712057588482307E-2</v>
          </cell>
          <cell r="E47">
            <v>3.7720033528918694E-2</v>
          </cell>
          <cell r="F47">
            <v>4.1928993314727075E-2</v>
          </cell>
          <cell r="G47">
            <v>4.211731772490139E-2</v>
          </cell>
          <cell r="H47">
            <v>4.3232001415991858E-2</v>
          </cell>
          <cell r="I47">
            <v>3.253899894726768E-2</v>
          </cell>
          <cell r="J47">
            <v>3.9851125635439362E-2</v>
          </cell>
          <cell r="K47">
            <v>3.6902530459231489E-2</v>
          </cell>
          <cell r="L47">
            <v>4.1240747268241097E-2</v>
          </cell>
          <cell r="M47">
            <v>3.9068457793160087E-2</v>
          </cell>
          <cell r="N47">
            <v>4.3910417715148468E-2</v>
          </cell>
          <cell r="O47">
            <v>4.0608121624324867E-2</v>
          </cell>
          <cell r="P47">
            <v>4.7456771424965294E-2</v>
          </cell>
          <cell r="Q47">
            <v>4.2256516191749194E-2</v>
          </cell>
          <cell r="R47">
            <v>3.7492083597213427E-2</v>
          </cell>
          <cell r="S47">
            <v>3.5210388313147711E-2</v>
          </cell>
          <cell r="T47">
            <v>3.6343058350100606E-2</v>
          </cell>
          <cell r="U47">
            <v>3.7608225108225111E-2</v>
          </cell>
          <cell r="V47">
            <v>3.6744505494505496E-2</v>
          </cell>
          <cell r="W47">
            <v>3.7347560975609755E-2</v>
          </cell>
          <cell r="X47">
            <v>3.6896817248459959E-2</v>
          </cell>
          <cell r="Y47">
            <v>3.3549783549783552E-2</v>
          </cell>
          <cell r="Z47">
            <v>3.279224316374333E-2</v>
          </cell>
          <cell r="AA47">
            <v>3.3152329236924835E-2</v>
          </cell>
          <cell r="AB47">
            <v>3.5427106397855727E-2</v>
          </cell>
          <cell r="AC47">
            <v>3.390090504678632E-2</v>
          </cell>
          <cell r="AD47">
            <v>3.4065690190856639E-2</v>
          </cell>
          <cell r="AE47">
            <v>3.3943228454172365E-2</v>
          </cell>
          <cell r="AF47">
            <v>3.2501327668613911E-2</v>
          </cell>
          <cell r="AG47">
            <v>3.4479031560743625E-2</v>
          </cell>
          <cell r="AH47">
            <v>3.3479751446325264E-2</v>
          </cell>
          <cell r="AI47">
            <v>3.7254901960784313E-2</v>
          </cell>
          <cell r="AJ47">
            <v>3.4677006364766991E-2</v>
          </cell>
          <cell r="AK47">
            <v>3.5248041775456922E-2</v>
          </cell>
          <cell r="AL47">
            <v>3.4822601839684622E-2</v>
          </cell>
          <cell r="AM47">
            <v>3.1424025457438345E-2</v>
          </cell>
          <cell r="AN47">
            <v>3.0559103861648815E-2</v>
          </cell>
          <cell r="AO47">
            <v>3.0988978401621115E-2</v>
          </cell>
          <cell r="AP47">
            <v>3.2384893947232284E-2</v>
          </cell>
          <cell r="AQ47">
            <v>3.1440230115726803E-2</v>
          </cell>
          <cell r="AR47">
            <v>3.265057797606976E-2</v>
          </cell>
          <cell r="AS47">
            <v>3.1740442655935612E-2</v>
          </cell>
          <cell r="AT47">
            <v>3.1615014459324207E-2</v>
          </cell>
          <cell r="AU47">
            <v>2.9614165397092242E-2</v>
          </cell>
          <cell r="AV47">
            <v>2.9110187862267187E-2</v>
          </cell>
          <cell r="AW47">
            <v>2.8671776016545206E-2</v>
          </cell>
          <cell r="AX47">
            <v>2.8118872460934124E-2</v>
          </cell>
          <cell r="AY47">
            <v>2.8176354678394216E-2</v>
          </cell>
          <cell r="AZ47">
            <v>2.801919137875394E-2</v>
          </cell>
          <cell r="BA47">
            <v>2.7713174172424138E-2</v>
          </cell>
          <cell r="BB47">
            <v>2.8442806609143115E-2</v>
          </cell>
          <cell r="BC47">
            <v>2.8881137881566717E-2</v>
          </cell>
          <cell r="BD47">
            <v>2.9180731671701769E-2</v>
          </cell>
        </row>
        <row r="48">
          <cell r="A48" t="str">
            <v>EBIT (pre exc)</v>
          </cell>
          <cell r="B48">
            <v>-268</v>
          </cell>
          <cell r="C48">
            <v>-287</v>
          </cell>
          <cell r="D48">
            <v>-91</v>
          </cell>
          <cell r="E48">
            <v>-73</v>
          </cell>
          <cell r="F48">
            <v>-164</v>
          </cell>
          <cell r="G48">
            <v>6</v>
          </cell>
          <cell r="H48">
            <v>-158</v>
          </cell>
          <cell r="I48">
            <v>-104</v>
          </cell>
          <cell r="J48">
            <v>-262</v>
          </cell>
          <cell r="K48">
            <v>-25</v>
          </cell>
          <cell r="L48">
            <v>-19</v>
          </cell>
          <cell r="M48">
            <v>-44</v>
          </cell>
          <cell r="N48">
            <v>-28</v>
          </cell>
          <cell r="O48">
            <v>-72</v>
          </cell>
          <cell r="P48">
            <v>-20</v>
          </cell>
          <cell r="Q48">
            <v>-92</v>
          </cell>
          <cell r="R48">
            <v>-30</v>
          </cell>
          <cell r="S48">
            <v>-9</v>
          </cell>
          <cell r="T48">
            <v>-39</v>
          </cell>
          <cell r="U48">
            <v>-33</v>
          </cell>
          <cell r="V48">
            <v>-72</v>
          </cell>
          <cell r="W48">
            <v>-59</v>
          </cell>
          <cell r="X48">
            <v>-131</v>
          </cell>
          <cell r="Y48">
            <v>-53</v>
          </cell>
          <cell r="Z48">
            <v>1</v>
          </cell>
          <cell r="AA48">
            <v>-52</v>
          </cell>
          <cell r="AB48">
            <v>-26</v>
          </cell>
          <cell r="AC48">
            <v>-78</v>
          </cell>
          <cell r="AD48">
            <v>-67</v>
          </cell>
          <cell r="AE48">
            <v>-145</v>
          </cell>
          <cell r="AF48">
            <v>-45</v>
          </cell>
          <cell r="AG48">
            <v>-9</v>
          </cell>
          <cell r="AH48">
            <v>-53</v>
          </cell>
          <cell r="AI48">
            <v>23</v>
          </cell>
          <cell r="AJ48">
            <v>-30</v>
          </cell>
          <cell r="AK48">
            <v>-67</v>
          </cell>
          <cell r="AL48">
            <v>-99</v>
          </cell>
          <cell r="AM48">
            <v>-381</v>
          </cell>
          <cell r="AN48">
            <v>-57</v>
          </cell>
          <cell r="AO48">
            <v>-100</v>
          </cell>
          <cell r="AP48">
            <v>-23</v>
          </cell>
          <cell r="AQ48">
            <v>-123</v>
          </cell>
          <cell r="AR48">
            <v>-97</v>
          </cell>
          <cell r="AS48">
            <v>-220</v>
          </cell>
          <cell r="AT48">
            <v>-314.57686852216403</v>
          </cell>
          <cell r="AU48">
            <v>-326.77265466621884</v>
          </cell>
          <cell r="AV48">
            <v>-338.85821580467604</v>
          </cell>
          <cell r="AW48">
            <v>-351.38030219960172</v>
          </cell>
          <cell r="AX48">
            <v>-364.38463482772806</v>
          </cell>
          <cell r="AY48">
            <v>-377.85994493300711</v>
          </cell>
          <cell r="AZ48">
            <v>-391.8791725120218</v>
          </cell>
          <cell r="BA48">
            <v>-406.50439723570742</v>
          </cell>
          <cell r="BB48">
            <v>-421.48022638488999</v>
          </cell>
          <cell r="BC48">
            <v>-436.90592585886543</v>
          </cell>
          <cell r="BD48">
            <v>-452.8394263022235</v>
          </cell>
        </row>
        <row r="49">
          <cell r="A49" t="str">
            <v>EBIT Margin %</v>
          </cell>
          <cell r="B49">
            <v>-0.19662509170946441</v>
          </cell>
          <cell r="C49">
            <v>-0.20933625091174327</v>
          </cell>
          <cell r="D49">
            <v>-0.27492447129909364</v>
          </cell>
          <cell r="E49">
            <v>-0.23174603174603176</v>
          </cell>
          <cell r="F49">
            <v>-0.25386996904024767</v>
          </cell>
          <cell r="G49">
            <v>1.812688821752266E-2</v>
          </cell>
          <cell r="H49">
            <v>-0.1617195496417605</v>
          </cell>
          <cell r="I49">
            <v>-0.30588235294117649</v>
          </cell>
          <cell r="J49">
            <v>-0.19893697798025817</v>
          </cell>
          <cell r="K49">
            <v>-7.9365079365079361E-2</v>
          </cell>
          <cell r="L49">
            <v>-5.4131054131054131E-2</v>
          </cell>
          <cell r="M49">
            <v>-6.6066066066066062E-2</v>
          </cell>
          <cell r="N49">
            <v>-8.0229226361031525E-2</v>
          </cell>
          <cell r="O49">
            <v>-7.093596059113301E-2</v>
          </cell>
          <cell r="P49">
            <v>-5.3191489361702128E-2</v>
          </cell>
          <cell r="Q49">
            <v>-6.6139468008626884E-2</v>
          </cell>
          <cell r="R49">
            <v>-0.10135135135135136</v>
          </cell>
          <cell r="S49">
            <v>-3.1914893617021274E-2</v>
          </cell>
          <cell r="T49">
            <v>-6.7474048442906581E-2</v>
          </cell>
          <cell r="U49">
            <v>-0.11870503597122302</v>
          </cell>
          <cell r="V49">
            <v>-8.4112149532710276E-2</v>
          </cell>
          <cell r="W49">
            <v>-0.20068027210884354</v>
          </cell>
          <cell r="X49">
            <v>-0.11391304347826087</v>
          </cell>
          <cell r="Y49">
            <v>-0.18996415770609318</v>
          </cell>
          <cell r="Z49">
            <v>3.3222591362126247E-3</v>
          </cell>
          <cell r="AA49">
            <v>-8.9655172413793102E-2</v>
          </cell>
          <cell r="AB49">
            <v>-8.5526315789473686E-2</v>
          </cell>
          <cell r="AC49">
            <v>-8.8235294117647065E-2</v>
          </cell>
          <cell r="AD49">
            <v>-0.21824104234527689</v>
          </cell>
          <cell r="AE49">
            <v>-0.12174643157010916</v>
          </cell>
          <cell r="AF49">
            <v>-0.14705882352941177</v>
          </cell>
          <cell r="AG49">
            <v>-2.8213166144200628E-2</v>
          </cell>
          <cell r="AH49">
            <v>-8.48E-2</v>
          </cell>
          <cell r="AI49">
            <v>7.1207430340557279E-2</v>
          </cell>
          <cell r="AJ49">
            <v>-3.1645569620253167E-2</v>
          </cell>
          <cell r="AK49">
            <v>-0.20679012345679013</v>
          </cell>
          <cell r="AL49">
            <v>-7.783018867924528E-2</v>
          </cell>
          <cell r="AM49">
            <v>-1.2056962025316456</v>
          </cell>
          <cell r="AN49">
            <v>-0.18327974276527331</v>
          </cell>
          <cell r="AO49">
            <v>-0.15948963317384371</v>
          </cell>
          <cell r="AP49">
            <v>-7.3482428115015971E-2</v>
          </cell>
          <cell r="AQ49">
            <v>-0.13085106382978723</v>
          </cell>
          <cell r="AR49">
            <v>-0.30124223602484473</v>
          </cell>
          <cell r="AS49">
            <v>-0.17432646592709986</v>
          </cell>
          <cell r="AT49">
            <v>-0.24153926071125262</v>
          </cell>
          <cell r="AU49">
            <v>-0.24312350984825676</v>
          </cell>
          <cell r="AV49">
            <v>-0.24429780958371458</v>
          </cell>
          <cell r="AW49">
            <v>-0.24547047779346903</v>
          </cell>
          <cell r="AX49">
            <v>-0.2466619805070131</v>
          </cell>
          <cell r="AY49">
            <v>-0.24785250824712729</v>
          </cell>
          <cell r="AZ49">
            <v>-0.24907775713193064</v>
          </cell>
          <cell r="BA49">
            <v>-0.25036194369915671</v>
          </cell>
          <cell r="BB49">
            <v>-0.25153624543576858</v>
          </cell>
          <cell r="BC49">
            <v>-0.25265715839249603</v>
          </cell>
          <cell r="BD49">
            <v>-0.25375125941323051</v>
          </cell>
        </row>
        <row r="50">
          <cell r="A50" t="str">
            <v>% of Group</v>
          </cell>
          <cell r="B50">
            <v>-8.7955365933705287E-2</v>
          </cell>
          <cell r="C50">
            <v>-8.249496981891348E-2</v>
          </cell>
          <cell r="D50">
            <v>-6.6181818181818175E-2</v>
          </cell>
          <cell r="E50">
            <v>-6.160337552742616E-2</v>
          </cell>
          <cell r="F50">
            <v>-6.4062499999999994E-2</v>
          </cell>
          <cell r="G50">
            <v>6.2959076600209865E-3</v>
          </cell>
          <cell r="H50">
            <v>-4.4975804155992033E-2</v>
          </cell>
          <cell r="I50">
            <v>-0.13436692506459949</v>
          </cell>
          <cell r="J50">
            <v>-6.111499883368323E-2</v>
          </cell>
          <cell r="K50">
            <v>-1.6700066800267203E-2</v>
          </cell>
          <cell r="L50">
            <v>-1.5224358974358974E-2</v>
          </cell>
          <cell r="M50">
            <v>-1.6029143897996357E-2</v>
          </cell>
          <cell r="N50">
            <v>-3.1425364758698095E-2</v>
          </cell>
          <cell r="O50">
            <v>-1.9801980198019802E-2</v>
          </cell>
          <cell r="P50">
            <v>-2.8328611898016998E-2</v>
          </cell>
          <cell r="Q50">
            <v>-2.1188392445877474E-2</v>
          </cell>
          <cell r="R50">
            <v>-2.9498525073746312E-2</v>
          </cell>
          <cell r="S50">
            <v>-8.1743869209809257E-3</v>
          </cell>
          <cell r="T50">
            <v>-1.8413597733711047E-2</v>
          </cell>
          <cell r="U50">
            <v>-3.9426523297491037E-2</v>
          </cell>
          <cell r="V50">
            <v>-2.4365482233502538E-2</v>
          </cell>
          <cell r="W50">
            <v>-7.2215422276621782E-2</v>
          </cell>
          <cell r="X50">
            <v>-3.4729586426299044E-2</v>
          </cell>
          <cell r="Y50">
            <v>-4.4877222692633362E-2</v>
          </cell>
          <cell r="Z50">
            <v>7.8988941548183253E-4</v>
          </cell>
          <cell r="AA50">
            <v>-2.125051082958725E-2</v>
          </cell>
          <cell r="AB50">
            <v>-2.0618556701030927E-2</v>
          </cell>
          <cell r="AC50">
            <v>-2.1035598705501618E-2</v>
          </cell>
          <cell r="AD50">
            <v>-9.0053763440860218E-2</v>
          </cell>
          <cell r="AE50">
            <v>-3.2569631626235399E-2</v>
          </cell>
          <cell r="AF50">
            <v>-2.8301886792452831E-2</v>
          </cell>
          <cell r="AG50">
            <v>-6.3514467184191958E-3</v>
          </cell>
          <cell r="AH50">
            <v>-1.7619680851063829E-2</v>
          </cell>
          <cell r="AI50">
            <v>1.9591141396933562E-2</v>
          </cell>
          <cell r="AJ50">
            <v>-7.1736011477761836E-3</v>
          </cell>
          <cell r="AK50">
            <v>-7.9289940828402364E-2</v>
          </cell>
          <cell r="AL50">
            <v>-1.9701492537313434E-2</v>
          </cell>
          <cell r="AM50">
            <v>-0.25953678474114439</v>
          </cell>
          <cell r="AN50">
            <v>-3.7698412698412696E-2</v>
          </cell>
          <cell r="AO50">
            <v>-3.0138637733574444E-2</v>
          </cell>
          <cell r="AP50">
            <v>-1.9262981574539362E-2</v>
          </cell>
          <cell r="AQ50">
            <v>-2.7260638297872342E-2</v>
          </cell>
          <cell r="AR50">
            <v>-8.3692838654012086E-2</v>
          </cell>
          <cell r="AS50">
            <v>-3.8793863516134723E-2</v>
          </cell>
          <cell r="AT50">
            <v>-5.2685939044512971E-2</v>
          </cell>
          <cell r="AU50">
            <v>-4.6459199102351759E-2</v>
          </cell>
          <cell r="AV50">
            <v>-4.4795763853739165E-2</v>
          </cell>
          <cell r="AW50">
            <v>-4.4815017715528711E-2</v>
          </cell>
          <cell r="AX50">
            <v>-4.3750712116055981E-2</v>
          </cell>
          <cell r="AY50">
            <v>-4.5139165728551228E-2</v>
          </cell>
          <cell r="AZ50">
            <v>-4.3548568729087134E-2</v>
          </cell>
          <cell r="BA50">
            <v>-4.0720544464994235E-2</v>
          </cell>
          <cell r="BB50">
            <v>-4.5587040314430602E-2</v>
          </cell>
          <cell r="BC50">
            <v>-4.824249055692844E-2</v>
          </cell>
          <cell r="BD50">
            <v>-5.0107243586079979E-2</v>
          </cell>
        </row>
        <row r="51">
          <cell r="A51" t="str">
            <v>EBITDA (pre exc)</v>
          </cell>
          <cell r="B51">
            <v>78</v>
          </cell>
          <cell r="C51">
            <v>90</v>
          </cell>
          <cell r="D51">
            <v>-74</v>
          </cell>
          <cell r="E51">
            <v>11</v>
          </cell>
          <cell r="F51">
            <v>-63</v>
          </cell>
          <cell r="G51">
            <v>26</v>
          </cell>
          <cell r="H51">
            <v>-37</v>
          </cell>
          <cell r="I51">
            <v>92</v>
          </cell>
          <cell r="J51">
            <v>55</v>
          </cell>
          <cell r="K51">
            <v>15</v>
          </cell>
          <cell r="L51">
            <v>310</v>
          </cell>
          <cell r="M51">
            <v>325</v>
          </cell>
          <cell r="N51">
            <v>13</v>
          </cell>
          <cell r="O51">
            <v>338</v>
          </cell>
          <cell r="P51">
            <v>-255</v>
          </cell>
          <cell r="Q51">
            <v>83</v>
          </cell>
          <cell r="R51">
            <v>13</v>
          </cell>
          <cell r="S51">
            <v>35</v>
          </cell>
          <cell r="T51">
            <v>48</v>
          </cell>
          <cell r="U51">
            <v>12</v>
          </cell>
          <cell r="V51">
            <v>60</v>
          </cell>
          <cell r="W51">
            <v>-10</v>
          </cell>
          <cell r="X51">
            <v>50</v>
          </cell>
          <cell r="Y51">
            <v>-7</v>
          </cell>
          <cell r="Z51">
            <v>48</v>
          </cell>
          <cell r="AA51">
            <v>41</v>
          </cell>
          <cell r="AB51">
            <v>22</v>
          </cell>
          <cell r="AC51">
            <v>63</v>
          </cell>
          <cell r="AD51">
            <v>0.18387909319899245</v>
          </cell>
          <cell r="AE51">
            <v>47</v>
          </cell>
          <cell r="AF51">
            <v>2</v>
          </cell>
          <cell r="AG51">
            <v>36</v>
          </cell>
          <cell r="AH51">
            <v>39</v>
          </cell>
          <cell r="AI51">
            <v>66</v>
          </cell>
          <cell r="AJ51">
            <v>105</v>
          </cell>
          <cell r="AK51">
            <v>-17</v>
          </cell>
          <cell r="AL51">
            <v>86</v>
          </cell>
          <cell r="AM51">
            <v>2</v>
          </cell>
          <cell r="AN51">
            <v>-10</v>
          </cell>
          <cell r="AO51">
            <v>-4</v>
          </cell>
          <cell r="AP51">
            <v>26</v>
          </cell>
          <cell r="AQ51">
            <v>18</v>
          </cell>
          <cell r="AR51">
            <v>-61</v>
          </cell>
          <cell r="AS51">
            <v>-43</v>
          </cell>
          <cell r="AT51">
            <v>-130.23840000000001</v>
          </cell>
          <cell r="AU51">
            <v>-134.40602880000003</v>
          </cell>
          <cell r="AV51">
            <v>-138.70702172160003</v>
          </cell>
          <cell r="AW51">
            <v>-143.14564641669122</v>
          </cell>
          <cell r="AX51">
            <v>-147.72630710202534</v>
          </cell>
          <cell r="AY51">
            <v>-152.45354892929015</v>
          </cell>
          <cell r="AZ51">
            <v>-157.33206249502746</v>
          </cell>
          <cell r="BA51">
            <v>-162.36668849486833</v>
          </cell>
          <cell r="BB51">
            <v>-167.56242252670413</v>
          </cell>
          <cell r="BC51">
            <v>-172.92442004755867</v>
          </cell>
          <cell r="BD51">
            <v>-178.45800148908054</v>
          </cell>
        </row>
        <row r="52">
          <cell r="A52" t="str">
            <v>EBITDA Margin %</v>
          </cell>
          <cell r="B52">
            <v>5.7226705796038148E-2</v>
          </cell>
          <cell r="C52">
            <v>6.5645514223194742E-2</v>
          </cell>
          <cell r="D52">
            <v>-0.22356495468277945</v>
          </cell>
          <cell r="E52">
            <v>3.4920634920634921E-2</v>
          </cell>
          <cell r="F52">
            <v>-9.7523219814241488E-2</v>
          </cell>
          <cell r="G52">
            <v>7.8549848942598186E-2</v>
          </cell>
          <cell r="H52">
            <v>-3.7871033776867964E-2</v>
          </cell>
          <cell r="I52">
            <v>0.27058823529411763</v>
          </cell>
          <cell r="J52">
            <v>4.1761579347000762E-2</v>
          </cell>
          <cell r="K52">
            <v>4.7619047619047616E-2</v>
          </cell>
          <cell r="L52">
            <v>0.88319088319088324</v>
          </cell>
          <cell r="M52">
            <v>0.48798798798798798</v>
          </cell>
          <cell r="N52">
            <v>3.7249283667621778E-2</v>
          </cell>
          <cell r="O52">
            <v>0.3330049261083744</v>
          </cell>
          <cell r="P52">
            <v>-0.67819148936170215</v>
          </cell>
          <cell r="Q52">
            <v>5.9669302659956867E-2</v>
          </cell>
          <cell r="R52">
            <v>4.3918918918918921E-2</v>
          </cell>
          <cell r="S52">
            <v>0.12411347517730496</v>
          </cell>
          <cell r="T52">
            <v>8.3044982698961933E-2</v>
          </cell>
          <cell r="U52">
            <v>4.3165467625899283E-2</v>
          </cell>
          <cell r="V52">
            <v>7.0093457943925228E-2</v>
          </cell>
          <cell r="W52">
            <v>-3.4013605442176874E-2</v>
          </cell>
          <cell r="X52">
            <v>4.3478260869565216E-2</v>
          </cell>
          <cell r="Y52">
            <v>-2.5089605734767026E-2</v>
          </cell>
          <cell r="Z52">
            <v>0.15946843853820597</v>
          </cell>
          <cell r="AA52">
            <v>7.0689655172413796E-2</v>
          </cell>
          <cell r="AB52">
            <v>7.2368421052631582E-2</v>
          </cell>
          <cell r="AC52">
            <v>7.1266968325791852E-2</v>
          </cell>
          <cell r="AD52">
            <v>5.9895470097391678E-4</v>
          </cell>
          <cell r="AE52">
            <v>3.9462636439966413E-2</v>
          </cell>
          <cell r="AF52">
            <v>6.5359477124183009E-3</v>
          </cell>
          <cell r="AG52">
            <v>0.11285266457680251</v>
          </cell>
          <cell r="AH52">
            <v>6.2399999999999997E-2</v>
          </cell>
          <cell r="AI52">
            <v>0.2043343653250774</v>
          </cell>
          <cell r="AJ52">
            <v>0.11075949367088607</v>
          </cell>
          <cell r="AK52">
            <v>-5.2469135802469133E-2</v>
          </cell>
          <cell r="AL52">
            <v>6.761006289308176E-2</v>
          </cell>
          <cell r="AM52">
            <v>6.3291139240506328E-3</v>
          </cell>
          <cell r="AN52">
            <v>-3.215434083601286E-2</v>
          </cell>
          <cell r="AO52">
            <v>-6.379585326953748E-3</v>
          </cell>
          <cell r="AP52">
            <v>8.3067092651757185E-2</v>
          </cell>
          <cell r="AQ52">
            <v>1.9148936170212766E-2</v>
          </cell>
          <cell r="AR52">
            <v>-0.18944099378881987</v>
          </cell>
          <cell r="AS52">
            <v>-3.4072900158478608E-2</v>
          </cell>
          <cell r="AT52">
            <v>-0.1</v>
          </cell>
          <cell r="AU52">
            <v>-0.10000000000000002</v>
          </cell>
          <cell r="AV52">
            <v>-0.1</v>
          </cell>
          <cell r="AW52">
            <v>-0.1</v>
          </cell>
          <cell r="AX52">
            <v>-0.1</v>
          </cell>
          <cell r="AY52">
            <v>-0.1</v>
          </cell>
          <cell r="AZ52">
            <v>-0.10000000000000002</v>
          </cell>
          <cell r="BA52">
            <v>-0.1</v>
          </cell>
          <cell r="BB52">
            <v>-0.1</v>
          </cell>
          <cell r="BC52">
            <v>-0.10000000000000002</v>
          </cell>
          <cell r="BD52">
            <v>-0.1</v>
          </cell>
        </row>
        <row r="53">
          <cell r="A53" t="str">
            <v>% of Group</v>
          </cell>
          <cell r="B53">
            <v>1.6046081053281216E-2</v>
          </cell>
          <cell r="C53">
            <v>1.5355741341068077E-2</v>
          </cell>
          <cell r="D53">
            <v>-3.7185929648241203E-2</v>
          </cell>
          <cell r="E53">
            <v>5.8792089791555322E-3</v>
          </cell>
          <cell r="F53">
            <v>-1.6317016317016316E-2</v>
          </cell>
          <cell r="G53">
            <v>1.6677357280307888E-2</v>
          </cell>
          <cell r="H53">
            <v>-6.8265682656826572E-3</v>
          </cell>
          <cell r="I53">
            <v>5.793450881612091E-2</v>
          </cell>
          <cell r="J53">
            <v>7.8481735159817347E-3</v>
          </cell>
          <cell r="K53">
            <v>6.8649885583524023E-3</v>
          </cell>
          <cell r="L53">
            <v>0.14239779513091411</v>
          </cell>
          <cell r="M53">
            <v>7.4507106831728565E-2</v>
          </cell>
          <cell r="N53">
            <v>8.7073007367716015E-3</v>
          </cell>
          <cell r="O53">
            <v>5.7728437233134075E-2</v>
          </cell>
          <cell r="P53">
            <v>-0.23698884758364314</v>
          </cell>
          <cell r="Q53">
            <v>1.1975183956139085E-2</v>
          </cell>
          <cell r="R53">
            <v>7.6696165191740412E-3</v>
          </cell>
          <cell r="S53">
            <v>1.9830028328611898E-2</v>
          </cell>
          <cell r="T53">
            <v>1.3872832369942197E-2</v>
          </cell>
          <cell r="U53">
            <v>8.0053368912608412E-3</v>
          </cell>
          <cell r="V53">
            <v>1.2099213551119177E-2</v>
          </cell>
          <cell r="W53">
            <v>-6.6093853271645738E-3</v>
          </cell>
          <cell r="X53">
            <v>7.7255871446229914E-3</v>
          </cell>
          <cell r="Y53">
            <v>-3.8356164383561643E-3</v>
          </cell>
          <cell r="Z53">
            <v>2.4960998439937598E-2</v>
          </cell>
          <cell r="AA53">
            <v>1.0939167556029883E-2</v>
          </cell>
          <cell r="AB53">
            <v>1.3285024154589372E-2</v>
          </cell>
          <cell r="AC53">
            <v>1.1658031088082901E-2</v>
          </cell>
          <cell r="AD53">
            <v>1.0835538786033733E-4</v>
          </cell>
          <cell r="AE53">
            <v>6.6187860864666947E-3</v>
          </cell>
          <cell r="AF53">
            <v>8.960573476702509E-4</v>
          </cell>
          <cell r="AG53">
            <v>1.7690417690417692E-2</v>
          </cell>
          <cell r="AH53">
            <v>9.1377694470477968E-3</v>
          </cell>
          <cell r="AI53">
            <v>3.6565096952908591E-2</v>
          </cell>
          <cell r="AJ53">
            <v>1.7289642680717931E-2</v>
          </cell>
          <cell r="AK53">
            <v>-1.1024643320363165E-2</v>
          </cell>
          <cell r="AL53">
            <v>1.1296466570340207E-2</v>
          </cell>
          <cell r="AM53">
            <v>8.1900081900081905E-4</v>
          </cell>
          <cell r="AN53">
            <v>-4.6040515653775326E-3</v>
          </cell>
          <cell r="AO53">
            <v>-8.661758336942399E-4</v>
          </cell>
          <cell r="AP53">
            <v>1.4092140921409214E-2</v>
          </cell>
          <cell r="AQ53">
            <v>2.7868091035764052E-3</v>
          </cell>
          <cell r="AR53">
            <v>-3.3424657534246574E-2</v>
          </cell>
          <cell r="AS53">
            <v>-5.1907291163689039E-3</v>
          </cell>
          <cell r="AT53">
            <v>-1.4983486245321165E-2</v>
          </cell>
          <cell r="AU53">
            <v>-1.3612951713698456E-2</v>
          </cell>
          <cell r="AV53">
            <v>-1.3185969110827925E-2</v>
          </cell>
          <cell r="AW53">
            <v>-1.3114832593314783E-2</v>
          </cell>
          <cell r="AX53">
            <v>-1.2815542825061761E-2</v>
          </cell>
          <cell r="AY53">
            <v>-1.3031766716680753E-2</v>
          </cell>
          <cell r="AZ53">
            <v>-1.2625734273235659E-2</v>
          </cell>
          <cell r="BA53">
            <v>-1.1950221637785601E-2</v>
          </cell>
          <cell r="BB53">
            <v>-1.2895239383794098E-2</v>
          </cell>
          <cell r="BC53">
            <v>-1.3349590399476969E-2</v>
          </cell>
          <cell r="BD53">
            <v>-1.3635219363832673E-2</v>
          </cell>
        </row>
        <row r="70">
          <cell r="A70" t="str">
            <v>Synergie and Cost cutting analysis</v>
          </cell>
        </row>
        <row r="72">
          <cell r="A72" t="str">
            <v>EBITDA</v>
          </cell>
        </row>
        <row r="73">
          <cell r="A73" t="str">
            <v>Healthcare EBITDA margin</v>
          </cell>
          <cell r="B73">
            <v>0.18596798399199599</v>
          </cell>
          <cell r="C73">
            <v>0.22287615148413512</v>
          </cell>
          <cell r="D73">
            <v>0.2626038781163435</v>
          </cell>
          <cell r="E73">
            <v>0.26540673788003288</v>
          </cell>
          <cell r="F73">
            <v>0.33085950983776319</v>
          </cell>
          <cell r="G73">
            <v>0.26333241226858251</v>
          </cell>
          <cell r="H73">
            <v>0.32815001143379829</v>
          </cell>
          <cell r="I73">
            <v>0.15212011219270746</v>
          </cell>
          <cell r="J73">
            <v>0.25609509016005944</v>
          </cell>
          <cell r="K73">
            <v>0.28142589118198874</v>
          </cell>
          <cell r="L73">
            <v>0.26620246384574181</v>
          </cell>
          <cell r="M73">
            <v>0.27381111855324847</v>
          </cell>
          <cell r="N73">
            <v>0.26775381378221991</v>
          </cell>
          <cell r="O73">
            <v>0.27176710748202715</v>
          </cell>
          <cell r="P73">
            <v>0.26449275362318841</v>
          </cell>
          <cell r="Q73">
            <v>0.26981242292464463</v>
          </cell>
          <cell r="X73">
            <v>0.279459594696022</v>
          </cell>
          <cell r="Y73">
            <v>0.26440940811579222</v>
          </cell>
          <cell r="Z73">
            <v>0.26062717770034843</v>
          </cell>
          <cell r="AA73">
            <v>0.26241742109126498</v>
          </cell>
          <cell r="AB73">
            <v>0.25731678763755561</v>
          </cell>
          <cell r="AC73">
            <v>0.26066693451185213</v>
          </cell>
          <cell r="AD73">
            <v>0.2598478066248881</v>
          </cell>
          <cell r="AE73">
            <v>0.26045054100396142</v>
          </cell>
          <cell r="AL73">
            <v>0.27386568815889101</v>
          </cell>
          <cell r="AS73">
            <v>0.27229744251020849</v>
          </cell>
          <cell r="AT73">
            <v>0.28237407584339558</v>
          </cell>
          <cell r="AU73">
            <v>0.28929021411730987</v>
          </cell>
          <cell r="AV73">
            <v>0.28490686062112269</v>
          </cell>
          <cell r="AW73">
            <v>0.28554898693829384</v>
          </cell>
          <cell r="AX73">
            <v>0.29874432374321203</v>
          </cell>
          <cell r="AY73">
            <v>0.28799805351238716</v>
          </cell>
          <cell r="AZ73">
            <v>0.28929228165110749</v>
          </cell>
          <cell r="BA73">
            <v>0.30933912900229404</v>
          </cell>
          <cell r="BB73">
            <v>0.2890694561801363</v>
          </cell>
          <cell r="BC73">
            <v>0.2818967792132917</v>
          </cell>
          <cell r="BD73">
            <v>0.27800434676153912</v>
          </cell>
        </row>
        <row r="74">
          <cell r="A74" t="str">
            <v>Synergies</v>
          </cell>
          <cell r="C74">
            <v>370</v>
          </cell>
          <cell r="J74">
            <v>600</v>
          </cell>
          <cell r="Q74">
            <v>800</v>
          </cell>
          <cell r="X74">
            <v>800</v>
          </cell>
          <cell r="Y74">
            <v>0</v>
          </cell>
          <cell r="Z74">
            <v>0</v>
          </cell>
          <cell r="AA74">
            <v>0</v>
          </cell>
          <cell r="AB74">
            <v>0</v>
          </cell>
          <cell r="AC74">
            <v>0</v>
          </cell>
          <cell r="AD74">
            <v>0</v>
          </cell>
          <cell r="AE74">
            <v>800</v>
          </cell>
          <cell r="AL74">
            <v>800</v>
          </cell>
          <cell r="AS74">
            <v>800</v>
          </cell>
          <cell r="AT74">
            <v>800</v>
          </cell>
          <cell r="AU74">
            <v>800</v>
          </cell>
          <cell r="AV74">
            <v>800</v>
          </cell>
          <cell r="AW74">
            <v>800</v>
          </cell>
          <cell r="AX74">
            <v>800</v>
          </cell>
          <cell r="AY74">
            <v>800</v>
          </cell>
          <cell r="AZ74">
            <v>800</v>
          </cell>
          <cell r="BA74">
            <v>800</v>
          </cell>
          <cell r="BB74">
            <v>800</v>
          </cell>
          <cell r="BC74">
            <v>800</v>
          </cell>
          <cell r="BD74">
            <v>800</v>
          </cell>
        </row>
        <row r="75">
          <cell r="A75" t="str">
            <v>EBITDA ex synergies</v>
          </cell>
          <cell r="B75">
            <v>1487</v>
          </cell>
          <cell r="C75">
            <v>2243</v>
          </cell>
          <cell r="D75">
            <v>948</v>
          </cell>
          <cell r="E75">
            <v>969</v>
          </cell>
          <cell r="F75">
            <v>1917</v>
          </cell>
          <cell r="G75">
            <v>953</v>
          </cell>
          <cell r="H75">
            <v>2870</v>
          </cell>
          <cell r="I75">
            <v>922</v>
          </cell>
          <cell r="J75">
            <v>3192</v>
          </cell>
          <cell r="K75">
            <v>1050</v>
          </cell>
          <cell r="L75">
            <v>994</v>
          </cell>
          <cell r="M75">
            <v>2044</v>
          </cell>
          <cell r="N75">
            <v>1018</v>
          </cell>
          <cell r="O75">
            <v>3062</v>
          </cell>
          <cell r="P75">
            <v>1095</v>
          </cell>
          <cell r="Q75">
            <v>3357</v>
          </cell>
          <cell r="X75">
            <v>3668</v>
          </cell>
          <cell r="Y75">
            <v>1023</v>
          </cell>
          <cell r="Z75">
            <v>1122</v>
          </cell>
          <cell r="AA75">
            <v>2145</v>
          </cell>
          <cell r="AB75">
            <v>1099</v>
          </cell>
          <cell r="AC75">
            <v>3244</v>
          </cell>
          <cell r="AD75">
            <v>1161</v>
          </cell>
          <cell r="AE75">
            <v>3605</v>
          </cell>
          <cell r="AL75">
            <v>3902</v>
          </cell>
          <cell r="AS75">
            <v>4268</v>
          </cell>
          <cell r="AT75">
            <v>4658.0797291123745</v>
          </cell>
          <cell r="AU75">
            <v>5462.3951100580252</v>
          </cell>
          <cell r="AV75">
            <v>5736.2000222527122</v>
          </cell>
          <cell r="AW75">
            <v>6145.7782784532155</v>
          </cell>
          <cell r="AX75">
            <v>6959.3000243400538</v>
          </cell>
          <cell r="AY75">
            <v>6773.4386802767522</v>
          </cell>
          <cell r="AZ75">
            <v>7012.3984263185939</v>
          </cell>
          <cell r="BA75">
            <v>7863.6528717398542</v>
          </cell>
          <cell r="BB75">
            <v>7115.2501048158829</v>
          </cell>
          <cell r="BC75">
            <v>6913.4590731379485</v>
          </cell>
          <cell r="BD75">
            <v>6880.9346012221058</v>
          </cell>
        </row>
        <row r="76">
          <cell r="A76" t="str">
            <v>EBITDA margin ex synergies</v>
          </cell>
          <cell r="B76">
            <v>0.18596798399199599</v>
          </cell>
          <cell r="C76">
            <v>0.19131695667007848</v>
          </cell>
          <cell r="D76">
            <v>0.2626038781163435</v>
          </cell>
          <cell r="E76">
            <v>0.26540673788003288</v>
          </cell>
          <cell r="F76">
            <v>0.33085950983776319</v>
          </cell>
          <cell r="G76">
            <v>0.26333241226858251</v>
          </cell>
          <cell r="H76">
            <v>0.32815001143379829</v>
          </cell>
          <cell r="I76">
            <v>0.15212011219270746</v>
          </cell>
          <cell r="J76">
            <v>0.21557371513473358</v>
          </cell>
          <cell r="K76">
            <v>0.28142589118198874</v>
          </cell>
          <cell r="L76">
            <v>0.26620246384574181</v>
          </cell>
          <cell r="M76">
            <v>0.27381111855324847</v>
          </cell>
          <cell r="N76">
            <v>0.26775381378221991</v>
          </cell>
          <cell r="O76">
            <v>0.27176710748202715</v>
          </cell>
          <cell r="P76">
            <v>0.26449275362318841</v>
          </cell>
          <cell r="Q76">
            <v>0.21788797299928603</v>
          </cell>
          <cell r="X76">
            <v>0.22942206654991243</v>
          </cell>
          <cell r="Y76">
            <v>0.26440940811579222</v>
          </cell>
          <cell r="Z76">
            <v>0.26062717770034843</v>
          </cell>
          <cell r="AA76">
            <v>0.26241742109126498</v>
          </cell>
          <cell r="AB76">
            <v>0.25731678763755561</v>
          </cell>
          <cell r="AC76">
            <v>0.26066693451185213</v>
          </cell>
          <cell r="AD76">
            <v>0.2598478066248881</v>
          </cell>
          <cell r="AE76">
            <v>0.21314964819960977</v>
          </cell>
          <cell r="AL76">
            <v>0.22727007979497932</v>
          </cell>
          <cell r="AS76">
            <v>0.2293144208037825</v>
          </cell>
          <cell r="AT76">
            <v>0.24098602878541434</v>
          </cell>
          <cell r="AU76">
            <v>0.25233435821448685</v>
          </cell>
          <cell r="AV76">
            <v>0.25003560703021083</v>
          </cell>
          <cell r="AW76">
            <v>0.25266006068804397</v>
          </cell>
          <cell r="AX76">
            <v>0.26794316149341268</v>
          </cell>
          <cell r="AY76">
            <v>0.25757614709226545</v>
          </cell>
          <cell r="AZ76">
            <v>0.25966836685674338</v>
          </cell>
          <cell r="BA76">
            <v>0.28077481474992283</v>
          </cell>
          <cell r="BB76">
            <v>0.25985299910275272</v>
          </cell>
          <cell r="BC76">
            <v>0.25265990620569445</v>
          </cell>
          <cell r="BD76">
            <v>0.24904908428946379</v>
          </cell>
        </row>
        <row r="78">
          <cell r="A78" t="str">
            <v>Cropscience EBITDA margin</v>
          </cell>
          <cell r="B78">
            <v>0.21590909090909091</v>
          </cell>
          <cell r="C78">
            <v>0.2112280701754386</v>
          </cell>
          <cell r="D78">
            <v>0.32698768197088468</v>
          </cell>
          <cell r="E78">
            <v>0.25352112676056338</v>
          </cell>
          <cell r="F78">
            <v>0.2927120669056153</v>
          </cell>
          <cell r="G78">
            <v>0.14433880726015558</v>
          </cell>
          <cell r="H78">
            <v>0.25460599334073253</v>
          </cell>
          <cell r="I78">
            <v>0.13398940196820591</v>
          </cell>
          <cell r="J78">
            <v>0.22725712324064537</v>
          </cell>
          <cell r="K78">
            <v>0.39327082184225043</v>
          </cell>
          <cell r="L78">
            <v>0.30567419158023185</v>
          </cell>
          <cell r="M78">
            <v>0.35168018539976825</v>
          </cell>
          <cell r="N78">
            <v>0.18498659517426275</v>
          </cell>
          <cell r="O78">
            <v>0.3108728943338438</v>
          </cell>
          <cell r="P78">
            <v>0.14918032786885246</v>
          </cell>
          <cell r="Q78">
            <v>0.27680884130547401</v>
          </cell>
          <cell r="X78">
            <v>0.23164362519201229</v>
          </cell>
          <cell r="Y78">
            <v>0.27202868852459017</v>
          </cell>
          <cell r="Z78">
            <v>0.20169851380042464</v>
          </cell>
          <cell r="AA78">
            <v>0.23748696558915536</v>
          </cell>
          <cell r="AB78">
            <v>9.3959731543624164E-2</v>
          </cell>
          <cell r="AC78">
            <v>0.20030905930075332</v>
          </cell>
          <cell r="AD78">
            <v>0.15486993345432548</v>
          </cell>
          <cell r="AE78">
            <v>0.18931185944363105</v>
          </cell>
          <cell r="AL78">
            <v>0.22798070296347347</v>
          </cell>
          <cell r="AS78">
            <v>0.23953238697363713</v>
          </cell>
          <cell r="AT78">
            <v>0.24499999999999997</v>
          </cell>
          <cell r="AU78">
            <v>0.23999999999999996</v>
          </cell>
          <cell r="AV78">
            <v>0.24000000000000002</v>
          </cell>
          <cell r="AW78">
            <v>0.24</v>
          </cell>
          <cell r="AX78">
            <v>0.24</v>
          </cell>
          <cell r="AY78">
            <v>0.24</v>
          </cell>
          <cell r="AZ78">
            <v>0.24</v>
          </cell>
          <cell r="BA78">
            <v>0.24</v>
          </cell>
          <cell r="BB78">
            <v>0.24000000000000002</v>
          </cell>
          <cell r="BC78">
            <v>0.24</v>
          </cell>
          <cell r="BD78">
            <v>0.24</v>
          </cell>
        </row>
        <row r="79">
          <cell r="A79" t="str">
            <v>Synergies</v>
          </cell>
          <cell r="C79">
            <v>130</v>
          </cell>
          <cell r="J79">
            <v>190</v>
          </cell>
          <cell r="Q79">
            <v>270</v>
          </cell>
          <cell r="X79">
            <v>270</v>
          </cell>
          <cell r="Y79">
            <v>0</v>
          </cell>
          <cell r="Z79">
            <v>0</v>
          </cell>
          <cell r="AA79">
            <v>0</v>
          </cell>
          <cell r="AB79">
            <v>0</v>
          </cell>
          <cell r="AC79">
            <v>0</v>
          </cell>
          <cell r="AD79">
            <v>0</v>
          </cell>
          <cell r="AE79">
            <v>270</v>
          </cell>
          <cell r="AL79">
            <v>270</v>
          </cell>
          <cell r="AS79">
            <v>270</v>
          </cell>
          <cell r="AT79">
            <v>270</v>
          </cell>
          <cell r="AU79">
            <v>270</v>
          </cell>
          <cell r="AV79">
            <v>270</v>
          </cell>
          <cell r="AW79">
            <v>270</v>
          </cell>
          <cell r="AX79">
            <v>270</v>
          </cell>
          <cell r="AY79">
            <v>270</v>
          </cell>
          <cell r="AZ79">
            <v>270</v>
          </cell>
          <cell r="BA79">
            <v>270</v>
          </cell>
          <cell r="BB79">
            <v>270</v>
          </cell>
          <cell r="BC79">
            <v>270</v>
          </cell>
          <cell r="BD79">
            <v>270</v>
          </cell>
        </row>
        <row r="80">
          <cell r="A80" t="str">
            <v>EBITDA ex synergies</v>
          </cell>
          <cell r="B80">
            <v>1273</v>
          </cell>
          <cell r="C80">
            <v>1074</v>
          </cell>
          <cell r="D80">
            <v>584</v>
          </cell>
          <cell r="E80">
            <v>396</v>
          </cell>
          <cell r="F80">
            <v>980</v>
          </cell>
          <cell r="G80">
            <v>167</v>
          </cell>
          <cell r="H80">
            <v>1147</v>
          </cell>
          <cell r="I80">
            <v>177</v>
          </cell>
          <cell r="J80">
            <v>1134</v>
          </cell>
          <cell r="K80">
            <v>713</v>
          </cell>
          <cell r="L80">
            <v>501</v>
          </cell>
          <cell r="M80">
            <v>1214</v>
          </cell>
          <cell r="N80">
            <v>207</v>
          </cell>
          <cell r="O80">
            <v>1421</v>
          </cell>
          <cell r="P80">
            <v>182</v>
          </cell>
          <cell r="Q80">
            <v>1333</v>
          </cell>
          <cell r="X80">
            <v>1238</v>
          </cell>
          <cell r="Y80">
            <v>531</v>
          </cell>
          <cell r="Z80">
            <v>380</v>
          </cell>
          <cell r="AA80">
            <v>911</v>
          </cell>
          <cell r="AB80">
            <v>126</v>
          </cell>
          <cell r="AC80">
            <v>1037</v>
          </cell>
          <cell r="AD80">
            <v>256</v>
          </cell>
          <cell r="AE80">
            <v>1023</v>
          </cell>
          <cell r="AL80">
            <v>1384</v>
          </cell>
          <cell r="AS80">
            <v>1738</v>
          </cell>
          <cell r="AT80">
            <v>1939.9685984952885</v>
          </cell>
          <cell r="AU80">
            <v>2096.8448370746123</v>
          </cell>
          <cell r="AV80">
            <v>2248.4375361134903</v>
          </cell>
          <cell r="AW80">
            <v>2413.331429139434</v>
          </cell>
          <cell r="AX80">
            <v>2592.9947050941882</v>
          </cell>
          <cell r="AY80">
            <v>2789.0818596429308</v>
          </cell>
          <cell r="AZ80">
            <v>3003.4591859955958</v>
          </cell>
          <cell r="BA80">
            <v>3238.2338932687276</v>
          </cell>
          <cell r="BB80">
            <v>3352.9593048458323</v>
          </cell>
          <cell r="BC80">
            <v>3472.0072405722399</v>
          </cell>
          <cell r="BD80">
            <v>3595.5595511037882</v>
          </cell>
        </row>
        <row r="81">
          <cell r="A81" t="str">
            <v>EBITDA margin ex synergies</v>
          </cell>
          <cell r="B81">
            <v>0.21590909090909091</v>
          </cell>
          <cell r="C81">
            <v>0.18842105263157893</v>
          </cell>
          <cell r="D81">
            <v>0.32698768197088468</v>
          </cell>
          <cell r="E81">
            <v>0.25352112676056338</v>
          </cell>
          <cell r="F81">
            <v>0.2927120669056153</v>
          </cell>
          <cell r="G81">
            <v>0.14433880726015558</v>
          </cell>
          <cell r="H81">
            <v>0.25460599334073253</v>
          </cell>
          <cell r="I81">
            <v>0.13398940196820591</v>
          </cell>
          <cell r="J81">
            <v>0.19464469618949537</v>
          </cell>
          <cell r="K81">
            <v>0.39327082184225043</v>
          </cell>
          <cell r="L81">
            <v>0.30567419158023185</v>
          </cell>
          <cell r="M81">
            <v>0.35168018539976825</v>
          </cell>
          <cell r="N81">
            <v>0.18498659517426275</v>
          </cell>
          <cell r="O81">
            <v>0.3108728943338438</v>
          </cell>
          <cell r="P81">
            <v>0.14918032786885246</v>
          </cell>
          <cell r="Q81">
            <v>0.23018476946986705</v>
          </cell>
          <cell r="X81">
            <v>0.19016897081413212</v>
          </cell>
          <cell r="Y81">
            <v>0.27202868852459017</v>
          </cell>
          <cell r="Z81">
            <v>0.20169851380042464</v>
          </cell>
          <cell r="AA81">
            <v>0.23748696558915536</v>
          </cell>
          <cell r="AB81">
            <v>9.3959731543624164E-2</v>
          </cell>
          <cell r="AC81">
            <v>0.20030905930075332</v>
          </cell>
          <cell r="AD81">
            <v>0.15486993345432548</v>
          </cell>
          <cell r="AE81">
            <v>0.14978038067349927</v>
          </cell>
          <cell r="AL81">
            <v>0.19076498966230185</v>
          </cell>
          <cell r="AS81">
            <v>0.20732434689252058</v>
          </cell>
          <cell r="AT81">
            <v>0.2150674479967544</v>
          </cell>
          <cell r="AU81">
            <v>0.21262177943185664</v>
          </cell>
          <cell r="AV81">
            <v>0.21426976088515548</v>
          </cell>
          <cell r="AW81">
            <v>0.21585091453992253</v>
          </cell>
          <cell r="AX81">
            <v>0.21736635702305002</v>
          </cell>
          <cell r="AY81">
            <v>0.21881717359222164</v>
          </cell>
          <cell r="AZ81">
            <v>0.2202044270851993</v>
          </cell>
          <cell r="BA81">
            <v>0.22152916767484282</v>
          </cell>
          <cell r="BB81">
            <v>0.22211406903927192</v>
          </cell>
          <cell r="BC81">
            <v>0.22268309069597347</v>
          </cell>
          <cell r="BD81">
            <v>0.22323657955767445</v>
          </cell>
        </row>
        <row r="83">
          <cell r="A83" t="str">
            <v>Materialscience EBITDA margin</v>
          </cell>
          <cell r="B83">
            <v>0.18674571247088714</v>
          </cell>
          <cell r="C83">
            <v>0.16504281074697372</v>
          </cell>
          <cell r="D83">
            <v>0.15682515337423314</v>
          </cell>
          <cell r="E83">
            <v>0.15592832634388104</v>
          </cell>
          <cell r="F83">
            <v>0.15637545402408717</v>
          </cell>
          <cell r="G83">
            <v>0.16038095238095237</v>
          </cell>
          <cell r="H83">
            <v>0.15771384928716906</v>
          </cell>
          <cell r="I83">
            <v>0.14230321830166731</v>
          </cell>
          <cell r="J83">
            <v>0.15390512697652131</v>
          </cell>
          <cell r="K83">
            <v>0.16202229299363058</v>
          </cell>
          <cell r="L83">
            <v>0.14187643020594964</v>
          </cell>
          <cell r="M83">
            <v>0.15173354109855863</v>
          </cell>
          <cell r="N83">
            <v>0.10003923107100823</v>
          </cell>
          <cell r="O83">
            <v>0.13458284524274372</v>
          </cell>
          <cell r="P83">
            <v>2.6277372262773723E-2</v>
          </cell>
          <cell r="Q83">
            <v>0.11172725405627439</v>
          </cell>
          <cell r="X83">
            <v>5.9308510638297875E-2</v>
          </cell>
          <cell r="Y83">
            <v>0.12545126353790614</v>
          </cell>
          <cell r="Z83">
            <v>0.13871327631089625</v>
          </cell>
          <cell r="AA83">
            <v>0.13272171253822629</v>
          </cell>
          <cell r="AB83">
            <v>0.15347091932457785</v>
          </cell>
          <cell r="AC83">
            <v>0.14002642007926025</v>
          </cell>
          <cell r="AD83">
            <v>0.11455108359133127</v>
          </cell>
          <cell r="AE83">
            <v>0.13354343116013392</v>
          </cell>
          <cell r="AL83">
            <v>0.10810561299852289</v>
          </cell>
          <cell r="AS83">
            <v>0.10875423802486307</v>
          </cell>
          <cell r="AT83">
            <v>0.1</v>
          </cell>
          <cell r="AU83">
            <v>0.11</v>
          </cell>
          <cell r="AV83">
            <v>0.125</v>
          </cell>
          <cell r="AW83">
            <v>0.11</v>
          </cell>
          <cell r="AX83">
            <v>0.08</v>
          </cell>
          <cell r="AY83">
            <v>0.09</v>
          </cell>
          <cell r="AZ83">
            <v>0.11</v>
          </cell>
          <cell r="BA83">
            <v>0.11</v>
          </cell>
          <cell r="BB83">
            <v>0.11</v>
          </cell>
          <cell r="BC83">
            <v>0.11</v>
          </cell>
          <cell r="BD83">
            <v>0.10999999999999999</v>
          </cell>
        </row>
        <row r="84">
          <cell r="A84" t="str">
            <v>Synergies</v>
          </cell>
          <cell r="C84">
            <v>120</v>
          </cell>
          <cell r="J84">
            <v>270</v>
          </cell>
          <cell r="Q84">
            <v>420</v>
          </cell>
          <cell r="X84">
            <v>420</v>
          </cell>
          <cell r="Y84">
            <v>0</v>
          </cell>
          <cell r="Z84">
            <v>0</v>
          </cell>
          <cell r="AA84">
            <v>0</v>
          </cell>
          <cell r="AB84">
            <v>0</v>
          </cell>
          <cell r="AC84">
            <v>0</v>
          </cell>
          <cell r="AD84">
            <v>0</v>
          </cell>
          <cell r="AE84">
            <v>420</v>
          </cell>
          <cell r="AL84">
            <v>420</v>
          </cell>
          <cell r="AS84">
            <v>420</v>
          </cell>
          <cell r="AT84">
            <v>420</v>
          </cell>
          <cell r="AU84">
            <v>420</v>
          </cell>
          <cell r="AV84">
            <v>420</v>
          </cell>
          <cell r="AW84">
            <v>420</v>
          </cell>
          <cell r="AX84">
            <v>420</v>
          </cell>
          <cell r="AY84">
            <v>420</v>
          </cell>
          <cell r="AZ84">
            <v>420</v>
          </cell>
          <cell r="BA84">
            <v>420</v>
          </cell>
          <cell r="BB84">
            <v>420</v>
          </cell>
          <cell r="BC84">
            <v>420</v>
          </cell>
          <cell r="BD84">
            <v>420</v>
          </cell>
        </row>
        <row r="85">
          <cell r="A85" t="str">
            <v>EBITDA ex synergies</v>
          </cell>
          <cell r="B85">
            <v>1764</v>
          </cell>
          <cell r="C85">
            <v>1557</v>
          </cell>
          <cell r="D85">
            <v>409</v>
          </cell>
          <cell r="E85">
            <v>409</v>
          </cell>
          <cell r="F85">
            <v>818</v>
          </cell>
          <cell r="G85">
            <v>421</v>
          </cell>
          <cell r="H85">
            <v>1239</v>
          </cell>
          <cell r="I85">
            <v>367</v>
          </cell>
          <cell r="J85">
            <v>1336</v>
          </cell>
          <cell r="K85">
            <v>407</v>
          </cell>
          <cell r="L85">
            <v>372</v>
          </cell>
          <cell r="M85">
            <v>779</v>
          </cell>
          <cell r="N85">
            <v>255</v>
          </cell>
          <cell r="O85">
            <v>1034</v>
          </cell>
          <cell r="P85">
            <v>54</v>
          </cell>
          <cell r="Q85">
            <v>668</v>
          </cell>
          <cell r="X85">
            <v>26</v>
          </cell>
          <cell r="Y85">
            <v>278</v>
          </cell>
          <cell r="Z85">
            <v>373</v>
          </cell>
          <cell r="AA85">
            <v>651</v>
          </cell>
          <cell r="AB85">
            <v>409</v>
          </cell>
          <cell r="AC85">
            <v>1060</v>
          </cell>
          <cell r="AD85">
            <v>296</v>
          </cell>
          <cell r="AE85">
            <v>936</v>
          </cell>
          <cell r="AL85">
            <v>751</v>
          </cell>
          <cell r="AS85">
            <v>831</v>
          </cell>
          <cell r="AT85">
            <v>734.31938513282603</v>
          </cell>
          <cell r="AU85">
            <v>958.55956948454332</v>
          </cell>
          <cell r="AV85">
            <v>1183.3586074273298</v>
          </cell>
          <cell r="AW85">
            <v>1008.8261504550289</v>
          </cell>
          <cell r="AX85">
            <v>632.55213108947828</v>
          </cell>
          <cell r="AY85">
            <v>798.54243348223281</v>
          </cell>
          <cell r="AZ85">
            <v>1112.6952465462271</v>
          </cell>
          <cell r="BA85">
            <v>1157.398510960722</v>
          </cell>
          <cell r="BB85">
            <v>1203.4834465571087</v>
          </cell>
          <cell r="BC85">
            <v>1250.9956211912879</v>
          </cell>
          <cell r="BD85">
            <v>1299.9822174220183</v>
          </cell>
        </row>
        <row r="86">
          <cell r="A86" t="str">
            <v>EBITDA margin ex synergies</v>
          </cell>
          <cell r="B86">
            <v>0.18674571247088714</v>
          </cell>
          <cell r="C86">
            <v>0.15323294951284322</v>
          </cell>
          <cell r="D86">
            <v>0.15682515337423314</v>
          </cell>
          <cell r="E86">
            <v>0.15592832634388104</v>
          </cell>
          <cell r="F86">
            <v>0.15637545402408717</v>
          </cell>
          <cell r="G86">
            <v>0.16038095238095237</v>
          </cell>
          <cell r="H86">
            <v>0.15771384928716906</v>
          </cell>
          <cell r="I86">
            <v>0.14230321830166731</v>
          </cell>
          <cell r="J86">
            <v>0.12803066602779109</v>
          </cell>
          <cell r="K86">
            <v>0.16202229299363058</v>
          </cell>
          <cell r="L86">
            <v>0.14187643020594964</v>
          </cell>
          <cell r="M86">
            <v>0.15173354109855863</v>
          </cell>
          <cell r="N86">
            <v>0.10003923107100823</v>
          </cell>
          <cell r="O86">
            <v>0.13458284524274372</v>
          </cell>
          <cell r="P86">
            <v>2.6277372262773723E-2</v>
          </cell>
          <cell r="Q86">
            <v>6.8597247894844934E-2</v>
          </cell>
          <cell r="X86">
            <v>3.4574468085106381E-3</v>
          </cell>
          <cell r="Y86">
            <v>0.12545126353790614</v>
          </cell>
          <cell r="Z86">
            <v>0.13871327631089625</v>
          </cell>
          <cell r="AA86">
            <v>0.13272171253822629</v>
          </cell>
          <cell r="AB86">
            <v>0.15347091932457785</v>
          </cell>
          <cell r="AC86">
            <v>0.14002642007926025</v>
          </cell>
          <cell r="AD86">
            <v>0.11455108359133127</v>
          </cell>
          <cell r="AE86">
            <v>9.2180421508765015E-2</v>
          </cell>
          <cell r="AL86">
            <v>6.9331610044313152E-2</v>
          </cell>
          <cell r="AS86">
            <v>7.2242023819873075E-2</v>
          </cell>
          <cell r="AT86">
            <v>6.3614922749333266E-2</v>
          </cell>
          <cell r="AU86">
            <v>7.6486758336257732E-2</v>
          </cell>
          <cell r="AV86">
            <v>9.2256233411040278E-2</v>
          </cell>
          <cell r="AW86">
            <v>7.7665765366005515E-2</v>
          </cell>
          <cell r="AX86">
            <v>4.8077590641309877E-2</v>
          </cell>
          <cell r="AY86">
            <v>5.897933222400896E-2</v>
          </cell>
          <cell r="AZ86">
            <v>7.9857021411068513E-2</v>
          </cell>
          <cell r="BA86">
            <v>8.0711269423056786E-2</v>
          </cell>
          <cell r="BB86">
            <v>8.1542672579769451E-2</v>
          </cell>
          <cell r="BC86">
            <v>8.2351812647442457E-2</v>
          </cell>
          <cell r="BD86">
            <v>8.3139257178340767E-2</v>
          </cell>
        </row>
        <row r="88">
          <cell r="A88" t="str">
            <v>Group EBITDA margin</v>
          </cell>
          <cell r="B88">
            <v>0.19141563299862177</v>
          </cell>
          <cell r="C88">
            <v>0.19753960229187731</v>
          </cell>
          <cell r="D88">
            <v>0.23875224955008997</v>
          </cell>
          <cell r="E88">
            <v>0.22404502454795833</v>
          </cell>
          <cell r="F88">
            <v>0.25060037645226196</v>
          </cell>
          <cell r="G88">
            <v>0.19837129405776815</v>
          </cell>
          <cell r="H88">
            <v>0.23983362095667951</v>
          </cell>
          <cell r="I88">
            <v>0.15197626567135611</v>
          </cell>
          <cell r="J88">
            <v>0.2120551924473493</v>
          </cell>
          <cell r="K88">
            <v>0.25597469540768508</v>
          </cell>
          <cell r="L88">
            <v>0.2557866290682646</v>
          </cell>
          <cell r="M88">
            <v>0.25588080014078723</v>
          </cell>
          <cell r="N88">
            <v>0.18784599899345747</v>
          </cell>
          <cell r="O88">
            <v>0.23424684936987397</v>
          </cell>
          <cell r="P88">
            <v>0.13580714375867728</v>
          </cell>
          <cell r="Q88">
            <v>0.21055349656722766</v>
          </cell>
          <cell r="X88">
            <v>0.2076488706365503</v>
          </cell>
          <cell r="Y88">
            <v>0.21945646945646946</v>
          </cell>
          <cell r="Z88">
            <v>0.20949994552783527</v>
          </cell>
          <cell r="AA88">
            <v>0.21423263789654187</v>
          </cell>
          <cell r="AB88">
            <v>0.19298450064095093</v>
          </cell>
          <cell r="AC88">
            <v>0.20724037429053535</v>
          </cell>
          <cell r="AD88">
            <v>0.18830448291167332</v>
          </cell>
          <cell r="AE88">
            <v>0.20237688098495213</v>
          </cell>
          <cell r="AL88">
            <v>0.20841546211125711</v>
          </cell>
          <cell r="AS88">
            <v>0.20835010060362172</v>
          </cell>
          <cell r="AT88">
            <v>0.21099905550483292</v>
          </cell>
          <cell r="AU88">
            <v>0.21754404202647742</v>
          </cell>
          <cell r="AV88">
            <v>0.22076638901241447</v>
          </cell>
          <cell r="AW88">
            <v>0.21862098362704602</v>
          </cell>
          <cell r="AX88">
            <v>0.21941226247510598</v>
          </cell>
          <cell r="AY88">
            <v>0.2162128534907572</v>
          </cell>
          <cell r="AZ88">
            <v>0.22192128213999965</v>
          </cell>
          <cell r="BA88">
            <v>0.23190510613457915</v>
          </cell>
          <cell r="BB88">
            <v>0.2205682714575132</v>
          </cell>
          <cell r="BC88">
            <v>0.21634474929431746</v>
          </cell>
          <cell r="BD88">
            <v>0.21400999054773892</v>
          </cell>
        </row>
        <row r="89">
          <cell r="A89" t="str">
            <v>Synergies</v>
          </cell>
          <cell r="B89">
            <v>0</v>
          </cell>
          <cell r="C89">
            <v>620</v>
          </cell>
          <cell r="D89">
            <v>0</v>
          </cell>
          <cell r="E89">
            <v>0</v>
          </cell>
          <cell r="F89">
            <v>0</v>
          </cell>
          <cell r="G89">
            <v>0</v>
          </cell>
          <cell r="H89">
            <v>0</v>
          </cell>
          <cell r="I89">
            <v>0</v>
          </cell>
          <cell r="J89">
            <v>1060</v>
          </cell>
          <cell r="K89">
            <v>0</v>
          </cell>
          <cell r="L89">
            <v>0</v>
          </cell>
          <cell r="M89">
            <v>0</v>
          </cell>
          <cell r="N89">
            <v>0</v>
          </cell>
          <cell r="O89">
            <v>0</v>
          </cell>
          <cell r="P89">
            <v>0</v>
          </cell>
          <cell r="Q89">
            <v>1490</v>
          </cell>
          <cell r="X89">
            <v>1490</v>
          </cell>
          <cell r="Y89">
            <v>0</v>
          </cell>
          <cell r="Z89">
            <v>0</v>
          </cell>
          <cell r="AA89">
            <v>0</v>
          </cell>
          <cell r="AB89">
            <v>0</v>
          </cell>
          <cell r="AC89">
            <v>0</v>
          </cell>
          <cell r="AD89">
            <v>0</v>
          </cell>
          <cell r="AE89">
            <v>1490</v>
          </cell>
          <cell r="AL89">
            <v>1490</v>
          </cell>
          <cell r="AS89">
            <v>1490</v>
          </cell>
          <cell r="AT89">
            <v>1490</v>
          </cell>
          <cell r="AU89">
            <v>1490</v>
          </cell>
          <cell r="AV89">
            <v>1490</v>
          </cell>
          <cell r="AW89">
            <v>1490</v>
          </cell>
          <cell r="AX89">
            <v>1490</v>
          </cell>
          <cell r="AY89">
            <v>1490</v>
          </cell>
          <cell r="AZ89">
            <v>1490</v>
          </cell>
          <cell r="BA89">
            <v>1490</v>
          </cell>
          <cell r="BB89">
            <v>1490</v>
          </cell>
          <cell r="BC89">
            <v>1490</v>
          </cell>
          <cell r="BD89">
            <v>1490</v>
          </cell>
        </row>
        <row r="90">
          <cell r="A90" t="str">
            <v>EBITDA ex synergies</v>
          </cell>
          <cell r="B90">
            <v>4861</v>
          </cell>
          <cell r="C90">
            <v>5241</v>
          </cell>
          <cell r="D90">
            <v>1990</v>
          </cell>
          <cell r="E90">
            <v>1871</v>
          </cell>
          <cell r="F90">
            <v>3861</v>
          </cell>
          <cell r="G90">
            <v>1559</v>
          </cell>
          <cell r="H90">
            <v>5420</v>
          </cell>
          <cell r="I90">
            <v>1588</v>
          </cell>
          <cell r="J90">
            <v>5948</v>
          </cell>
          <cell r="K90">
            <v>2185</v>
          </cell>
          <cell r="L90">
            <v>2177</v>
          </cell>
          <cell r="M90">
            <v>4362</v>
          </cell>
          <cell r="N90">
            <v>1493</v>
          </cell>
          <cell r="O90">
            <v>5855</v>
          </cell>
          <cell r="P90">
            <v>1076</v>
          </cell>
          <cell r="Q90">
            <v>5441</v>
          </cell>
          <cell r="X90">
            <v>4982</v>
          </cell>
          <cell r="Y90">
            <v>1825</v>
          </cell>
          <cell r="Z90">
            <v>1923</v>
          </cell>
          <cell r="AA90">
            <v>3748</v>
          </cell>
          <cell r="AB90">
            <v>1656</v>
          </cell>
          <cell r="AC90">
            <v>5404</v>
          </cell>
          <cell r="AD90">
            <v>1697</v>
          </cell>
          <cell r="AE90">
            <v>5611</v>
          </cell>
          <cell r="AL90">
            <v>6123</v>
          </cell>
          <cell r="AS90">
            <v>6794</v>
          </cell>
          <cell r="AT90">
            <v>7202.1293127404879</v>
          </cell>
          <cell r="AU90">
            <v>8383.3934878171785</v>
          </cell>
          <cell r="AV90">
            <v>9029.2891440719322</v>
          </cell>
          <cell r="AW90">
            <v>9424.790211630987</v>
          </cell>
          <cell r="AX90">
            <v>10037.120553421693</v>
          </cell>
          <cell r="AY90">
            <v>10208.609424472626</v>
          </cell>
          <cell r="AZ90">
            <v>10971.220796365389</v>
          </cell>
          <cell r="BA90">
            <v>12096.918587474433</v>
          </cell>
          <cell r="BB90">
            <v>11504.13043369212</v>
          </cell>
          <cell r="BC90">
            <v>11463.537514853922</v>
          </cell>
          <cell r="BD90">
            <v>11598.018368258834</v>
          </cell>
        </row>
        <row r="91">
          <cell r="A91" t="str">
            <v>EBITDA margin ex synergies</v>
          </cell>
          <cell r="B91">
            <v>0.19141563299862177</v>
          </cell>
          <cell r="C91">
            <v>0.17664307381193126</v>
          </cell>
          <cell r="D91">
            <v>0.23875224955008997</v>
          </cell>
          <cell r="E91">
            <v>0.22404502454795833</v>
          </cell>
          <cell r="F91">
            <v>0.25060037645226196</v>
          </cell>
          <cell r="G91">
            <v>0.19837129405776815</v>
          </cell>
          <cell r="H91">
            <v>0.23983362095667951</v>
          </cell>
          <cell r="I91">
            <v>0.15197626567135611</v>
          </cell>
          <cell r="J91">
            <v>0.17998063422900024</v>
          </cell>
          <cell r="K91">
            <v>0.25597469540768508</v>
          </cell>
          <cell r="L91">
            <v>0.2557866290682646</v>
          </cell>
          <cell r="M91">
            <v>0.25588080014078723</v>
          </cell>
          <cell r="N91">
            <v>0.18784599899345747</v>
          </cell>
          <cell r="O91">
            <v>0.23424684936987397</v>
          </cell>
          <cell r="P91">
            <v>0.13580714375867728</v>
          </cell>
          <cell r="Q91">
            <v>0.1652895072604654</v>
          </cell>
          <cell r="X91">
            <v>0.15984342915811089</v>
          </cell>
          <cell r="Y91">
            <v>0.21945646945646946</v>
          </cell>
          <cell r="Z91">
            <v>0.20949994552783527</v>
          </cell>
          <cell r="AA91">
            <v>0.21423263789654187</v>
          </cell>
          <cell r="AB91">
            <v>0.19298450064095093</v>
          </cell>
          <cell r="AC91">
            <v>0.20724037429053535</v>
          </cell>
          <cell r="AD91">
            <v>0.18830448291167332</v>
          </cell>
          <cell r="AE91">
            <v>0.15991222070223438</v>
          </cell>
          <cell r="AL91">
            <v>0.16762483574244416</v>
          </cell>
          <cell r="AS91">
            <v>0.17087525150905433</v>
          </cell>
          <cell r="AT91">
            <v>0.17482971409370296</v>
          </cell>
          <cell r="AU91">
            <v>0.18471433428522213</v>
          </cell>
          <cell r="AV91">
            <v>0.18949603270569859</v>
          </cell>
          <cell r="AW91">
            <v>0.18877659273282812</v>
          </cell>
          <cell r="AX91">
            <v>0.19105094972811087</v>
          </cell>
          <cell r="AY91">
            <v>0.18867478122831383</v>
          </cell>
          <cell r="AZ91">
            <v>0.19538594376568522</v>
          </cell>
          <cell r="BA91">
            <v>0.20647339357106462</v>
          </cell>
          <cell r="BB91">
            <v>0.19527633475203302</v>
          </cell>
          <cell r="BC91">
            <v>0.1914593713750512</v>
          </cell>
          <cell r="BD91">
            <v>0.18964611230858019</v>
          </cell>
        </row>
        <row r="93">
          <cell r="A93" t="str">
            <v>EBIT</v>
          </cell>
        </row>
        <row r="94">
          <cell r="A94" t="str">
            <v>Healthcare EBIT margin</v>
          </cell>
          <cell r="B94">
            <v>0.14719859929964982</v>
          </cell>
          <cell r="C94">
            <v>0.14628113271920845</v>
          </cell>
          <cell r="D94">
            <v>0.17285318559556787</v>
          </cell>
          <cell r="E94">
            <v>0.17529443987948506</v>
          </cell>
          <cell r="F94">
            <v>0.21815671384190541</v>
          </cell>
          <cell r="G94">
            <v>0.17794970986460348</v>
          </cell>
          <cell r="H94">
            <v>0.21815687171278297</v>
          </cell>
          <cell r="I94">
            <v>9.6353737007094542E-2</v>
          </cell>
          <cell r="J94">
            <v>0.16829877760518674</v>
          </cell>
          <cell r="K94">
            <v>0.17770034843205576</v>
          </cell>
          <cell r="L94">
            <v>0.17113015532940545</v>
          </cell>
          <cell r="M94">
            <v>0.17441393168117883</v>
          </cell>
          <cell r="N94">
            <v>0.18490268279852709</v>
          </cell>
          <cell r="O94">
            <v>0.17795331499068076</v>
          </cell>
          <cell r="P94">
            <v>0.18333333333333332</v>
          </cell>
          <cell r="Q94">
            <v>0.17939897449211398</v>
          </cell>
          <cell r="X94">
            <v>0.18839129347010258</v>
          </cell>
          <cell r="Y94">
            <v>0.17808219178082191</v>
          </cell>
          <cell r="Z94">
            <v>0.1821138211382114</v>
          </cell>
          <cell r="AA94">
            <v>0.18020552972840714</v>
          </cell>
          <cell r="AB94">
            <v>0.24139545773823459</v>
          </cell>
          <cell r="AC94">
            <v>0.20120530333467257</v>
          </cell>
          <cell r="AD94">
            <v>0.11772605192479857</v>
          </cell>
          <cell r="AE94">
            <v>0.17915213149648199</v>
          </cell>
          <cell r="AL94">
            <v>0.19610926670161338</v>
          </cell>
          <cell r="AS94">
            <v>0.20073071136900925</v>
          </cell>
          <cell r="AT94">
            <v>0.21060590446315333</v>
          </cell>
          <cell r="AU94">
            <v>0.22241672793352243</v>
          </cell>
          <cell r="AV94">
            <v>0.21925202519410411</v>
          </cell>
          <cell r="AW94">
            <v>0.22112558182950365</v>
          </cell>
          <cell r="AX94">
            <v>0.23596979477198302</v>
          </cell>
          <cell r="AY94">
            <v>0.22349301590940907</v>
          </cell>
          <cell r="AZ94">
            <v>0.22393206132337309</v>
          </cell>
          <cell r="BA94">
            <v>0.24373976358709745</v>
          </cell>
          <cell r="BB94">
            <v>0.21928452172638302</v>
          </cell>
          <cell r="BC94">
            <v>0.20929531247131677</v>
          </cell>
          <cell r="BD94">
            <v>0.20326949377892484</v>
          </cell>
        </row>
        <row r="95">
          <cell r="A95" t="str">
            <v>Synergies</v>
          </cell>
          <cell r="C95">
            <v>370</v>
          </cell>
          <cell r="J95">
            <v>600</v>
          </cell>
          <cell r="Q95">
            <v>800</v>
          </cell>
          <cell r="X95">
            <v>800</v>
          </cell>
          <cell r="Y95">
            <v>0</v>
          </cell>
          <cell r="Z95">
            <v>0</v>
          </cell>
          <cell r="AA95">
            <v>0</v>
          </cell>
          <cell r="AB95">
            <v>0</v>
          </cell>
          <cell r="AC95">
            <v>0</v>
          </cell>
          <cell r="AD95">
            <v>0</v>
          </cell>
          <cell r="AE95">
            <v>800</v>
          </cell>
          <cell r="AL95">
            <v>800</v>
          </cell>
          <cell r="AS95">
            <v>800</v>
          </cell>
          <cell r="AT95">
            <v>800</v>
          </cell>
          <cell r="AU95">
            <v>800</v>
          </cell>
          <cell r="AV95">
            <v>800</v>
          </cell>
          <cell r="AW95">
            <v>800</v>
          </cell>
          <cell r="AX95">
            <v>800</v>
          </cell>
          <cell r="AY95">
            <v>800</v>
          </cell>
          <cell r="AZ95">
            <v>800</v>
          </cell>
          <cell r="BA95">
            <v>800</v>
          </cell>
          <cell r="BB95">
            <v>800</v>
          </cell>
          <cell r="BC95">
            <v>800</v>
          </cell>
          <cell r="BD95">
            <v>800</v>
          </cell>
        </row>
        <row r="96">
          <cell r="A96" t="str">
            <v>EBIT ex synergies</v>
          </cell>
          <cell r="B96">
            <v>1177</v>
          </cell>
          <cell r="C96">
            <v>1345</v>
          </cell>
          <cell r="D96">
            <v>624</v>
          </cell>
          <cell r="E96">
            <v>640</v>
          </cell>
          <cell r="F96">
            <v>1264</v>
          </cell>
          <cell r="G96">
            <v>644</v>
          </cell>
          <cell r="H96">
            <v>1908</v>
          </cell>
          <cell r="I96">
            <v>584</v>
          </cell>
          <cell r="J96">
            <v>1892</v>
          </cell>
          <cell r="K96">
            <v>663</v>
          </cell>
          <cell r="L96">
            <v>639</v>
          </cell>
          <cell r="M96">
            <v>1302</v>
          </cell>
          <cell r="N96">
            <v>703</v>
          </cell>
          <cell r="O96">
            <v>2005</v>
          </cell>
          <cell r="P96">
            <v>759</v>
          </cell>
          <cell r="Q96">
            <v>1964</v>
          </cell>
          <cell r="X96">
            <v>2212</v>
          </cell>
          <cell r="Y96">
            <v>689</v>
          </cell>
          <cell r="Z96">
            <v>784</v>
          </cell>
          <cell r="AA96">
            <v>1473</v>
          </cell>
          <cell r="AB96">
            <v>1031</v>
          </cell>
          <cell r="AC96">
            <v>2504</v>
          </cell>
          <cell r="AD96">
            <v>526</v>
          </cell>
          <cell r="AE96">
            <v>2230</v>
          </cell>
          <cell r="AL96">
            <v>2567</v>
          </cell>
          <cell r="AS96">
            <v>2936</v>
          </cell>
          <cell r="AT96">
            <v>3270.8546439625297</v>
          </cell>
          <cell r="AU96">
            <v>4014.7547391325816</v>
          </cell>
          <cell r="AV96">
            <v>4229.9774769495625</v>
          </cell>
          <cell r="AW96">
            <v>4578.7242586631764</v>
          </cell>
          <cell r="AX96">
            <v>5328.8543038279831</v>
          </cell>
          <cell r="AY96">
            <v>5077.1600391640313</v>
          </cell>
          <cell r="AZ96">
            <v>5247.3320390720546</v>
          </cell>
          <cell r="BA96">
            <v>6026.4131652833676</v>
          </cell>
          <cell r="BB96">
            <v>5204.4110384932592</v>
          </cell>
          <cell r="BC96">
            <v>4926.8863853376024</v>
          </cell>
          <cell r="BD96">
            <v>4816.0981161876043</v>
          </cell>
        </row>
        <row r="97">
          <cell r="A97" t="str">
            <v>EBIT margin ex synergies</v>
          </cell>
          <cell r="B97">
            <v>0.14719859929964982</v>
          </cell>
          <cell r="C97">
            <v>0.11472193790515182</v>
          </cell>
          <cell r="D97">
            <v>0.17285318559556787</v>
          </cell>
          <cell r="E97">
            <v>0.17529443987948506</v>
          </cell>
          <cell r="F97">
            <v>0.21815671384190541</v>
          </cell>
          <cell r="G97">
            <v>0.17794970986460348</v>
          </cell>
          <cell r="H97">
            <v>0.21815687171278297</v>
          </cell>
          <cell r="I97">
            <v>9.6353737007094542E-2</v>
          </cell>
          <cell r="J97">
            <v>0.12777740257986087</v>
          </cell>
          <cell r="K97">
            <v>0.17770034843205576</v>
          </cell>
          <cell r="L97">
            <v>0.17113015532940545</v>
          </cell>
          <cell r="M97">
            <v>0.17441393168117883</v>
          </cell>
          <cell r="N97">
            <v>0.18490268279852709</v>
          </cell>
          <cell r="O97">
            <v>0.17795331499068076</v>
          </cell>
          <cell r="P97">
            <v>0.18333333333333332</v>
          </cell>
          <cell r="Q97">
            <v>0.12747452456675537</v>
          </cell>
          <cell r="X97">
            <v>0.13835376532399299</v>
          </cell>
          <cell r="Y97">
            <v>0.17808219178082191</v>
          </cell>
          <cell r="Z97">
            <v>0.1821138211382114</v>
          </cell>
          <cell r="AA97">
            <v>0.18020552972840714</v>
          </cell>
          <cell r="AB97">
            <v>0.24139545773823459</v>
          </cell>
          <cell r="AC97">
            <v>0.20120530333467257</v>
          </cell>
          <cell r="AD97">
            <v>0.11772605192479857</v>
          </cell>
          <cell r="AE97">
            <v>0.13185123869213031</v>
          </cell>
          <cell r="AL97">
            <v>0.14951365833770167</v>
          </cell>
          <cell r="AS97">
            <v>0.15774768966258329</v>
          </cell>
          <cell r="AT97">
            <v>0.16921785740517209</v>
          </cell>
          <cell r="AU97">
            <v>0.18546087203069941</v>
          </cell>
          <cell r="AV97">
            <v>0.18438077160319222</v>
          </cell>
          <cell r="AW97">
            <v>0.18823665557925381</v>
          </cell>
          <cell r="AX97">
            <v>0.2051686325221837</v>
          </cell>
          <cell r="AY97">
            <v>0.19307110948928732</v>
          </cell>
          <cell r="AZ97">
            <v>0.19430814652900902</v>
          </cell>
          <cell r="BA97">
            <v>0.21517544933472627</v>
          </cell>
          <cell r="BB97">
            <v>0.19006806464899945</v>
          </cell>
          <cell r="BC97">
            <v>0.18005843946371947</v>
          </cell>
          <cell r="BD97">
            <v>0.1743142313068495</v>
          </cell>
        </row>
        <row r="99">
          <cell r="A99" t="str">
            <v>Cropscience EBIT margin</v>
          </cell>
          <cell r="B99">
            <v>0.11618046132971506</v>
          </cell>
          <cell r="C99">
            <v>0.1124561403508772</v>
          </cell>
          <cell r="D99">
            <v>0.25027995520716684</v>
          </cell>
          <cell r="E99">
            <v>0.16773367477592829</v>
          </cell>
          <cell r="F99">
            <v>0.21176821983273597</v>
          </cell>
          <cell r="G99">
            <v>2.9386343993085567E-2</v>
          </cell>
          <cell r="H99">
            <v>0.16492785793562709</v>
          </cell>
          <cell r="I99">
            <v>3.2551097653292962E-2</v>
          </cell>
          <cell r="J99">
            <v>0.13491246138002061</v>
          </cell>
          <cell r="K99">
            <v>0.31880860452289023</v>
          </cell>
          <cell r="L99">
            <v>0.22879804758999389</v>
          </cell>
          <cell r="M99">
            <v>0.276071842410197</v>
          </cell>
          <cell r="N99">
            <v>6.9705093833780166E-2</v>
          </cell>
          <cell r="O99">
            <v>0.22555239553708159</v>
          </cell>
          <cell r="P99">
            <v>4.3442622950819673E-2</v>
          </cell>
          <cell r="Q99">
            <v>0.18718701433258506</v>
          </cell>
          <cell r="X99">
            <v>0.15622119815668203</v>
          </cell>
          <cell r="Y99">
            <v>0.20901639344262296</v>
          </cell>
          <cell r="Z99">
            <v>0.13428874734607218</v>
          </cell>
          <cell r="AA99">
            <v>0.17231491136600627</v>
          </cell>
          <cell r="AB99">
            <v>-2.9828486204325128E-3</v>
          </cell>
          <cell r="AC99">
            <v>0.12690747537183697</v>
          </cell>
          <cell r="AD99">
            <v>7.8644888082274655E-2</v>
          </cell>
          <cell r="AE99">
            <v>0.11522693997071742</v>
          </cell>
          <cell r="AL99">
            <v>0.16099241902136457</v>
          </cell>
          <cell r="AS99">
            <v>0.18203507097697721</v>
          </cell>
          <cell r="AT99">
            <v>0.18934941570820518</v>
          </cell>
          <cell r="AU99">
            <v>0.1868816038915054</v>
          </cell>
          <cell r="AV99">
            <v>0.1880587956487178</v>
          </cell>
          <cell r="AW99">
            <v>0.18928181476967693</v>
          </cell>
          <cell r="AX99">
            <v>0.19054162359103971</v>
          </cell>
          <cell r="AY99">
            <v>0.19184291950543314</v>
          </cell>
          <cell r="AZ99">
            <v>0.19317172400880403</v>
          </cell>
          <cell r="BA99">
            <v>0.19451886041186758</v>
          </cell>
          <cell r="BB99">
            <v>0.19419480767561248</v>
          </cell>
          <cell r="BC99">
            <v>0.19389437730186163</v>
          </cell>
          <cell r="BD99">
            <v>0.19360968170096671</v>
          </cell>
        </row>
        <row r="100">
          <cell r="A100" t="str">
            <v>Synergies</v>
          </cell>
          <cell r="C100">
            <v>130</v>
          </cell>
          <cell r="D100">
            <v>0</v>
          </cell>
          <cell r="E100">
            <v>0</v>
          </cell>
          <cell r="F100">
            <v>0</v>
          </cell>
          <cell r="G100">
            <v>0</v>
          </cell>
          <cell r="H100">
            <v>0</v>
          </cell>
          <cell r="I100">
            <v>0</v>
          </cell>
          <cell r="J100">
            <v>190</v>
          </cell>
          <cell r="K100">
            <v>0</v>
          </cell>
          <cell r="L100">
            <v>0</v>
          </cell>
          <cell r="M100">
            <v>0</v>
          </cell>
          <cell r="N100">
            <v>0</v>
          </cell>
          <cell r="O100">
            <v>0</v>
          </cell>
          <cell r="P100">
            <v>0</v>
          </cell>
          <cell r="Q100">
            <v>270</v>
          </cell>
          <cell r="X100">
            <v>270</v>
          </cell>
          <cell r="Y100">
            <v>0</v>
          </cell>
          <cell r="Z100">
            <v>0</v>
          </cell>
          <cell r="AA100">
            <v>0</v>
          </cell>
          <cell r="AB100">
            <v>0</v>
          </cell>
          <cell r="AC100">
            <v>0</v>
          </cell>
          <cell r="AD100">
            <v>0</v>
          </cell>
          <cell r="AE100">
            <v>270</v>
          </cell>
          <cell r="AL100">
            <v>270</v>
          </cell>
          <cell r="AS100">
            <v>270</v>
          </cell>
          <cell r="AT100">
            <v>270</v>
          </cell>
          <cell r="AU100">
            <v>270</v>
          </cell>
          <cell r="AV100">
            <v>270</v>
          </cell>
          <cell r="AW100">
            <v>270</v>
          </cell>
          <cell r="AX100">
            <v>270</v>
          </cell>
          <cell r="AY100">
            <v>270</v>
          </cell>
          <cell r="AZ100">
            <v>270</v>
          </cell>
          <cell r="BA100">
            <v>270</v>
          </cell>
          <cell r="BB100">
            <v>270</v>
          </cell>
          <cell r="BC100">
            <v>270</v>
          </cell>
          <cell r="BD100">
            <v>270</v>
          </cell>
        </row>
        <row r="101">
          <cell r="A101" t="str">
            <v>EBIT ex synergies</v>
          </cell>
          <cell r="B101">
            <v>685</v>
          </cell>
          <cell r="C101">
            <v>511</v>
          </cell>
          <cell r="D101">
            <v>447</v>
          </cell>
          <cell r="E101">
            <v>262</v>
          </cell>
          <cell r="F101">
            <v>709</v>
          </cell>
          <cell r="G101">
            <v>34</v>
          </cell>
          <cell r="H101">
            <v>743</v>
          </cell>
          <cell r="I101">
            <v>43</v>
          </cell>
          <cell r="J101">
            <v>596</v>
          </cell>
          <cell r="K101">
            <v>578</v>
          </cell>
          <cell r="L101">
            <v>375</v>
          </cell>
          <cell r="M101">
            <v>953</v>
          </cell>
          <cell r="N101">
            <v>78</v>
          </cell>
          <cell r="O101">
            <v>1031</v>
          </cell>
          <cell r="P101">
            <v>53</v>
          </cell>
          <cell r="Q101">
            <v>814</v>
          </cell>
          <cell r="X101">
            <v>747</v>
          </cell>
          <cell r="Y101">
            <v>408</v>
          </cell>
          <cell r="Z101">
            <v>253</v>
          </cell>
          <cell r="AA101">
            <v>661</v>
          </cell>
          <cell r="AB101">
            <v>-4</v>
          </cell>
          <cell r="AC101">
            <v>657</v>
          </cell>
          <cell r="AD101">
            <v>130</v>
          </cell>
          <cell r="AE101">
            <v>517</v>
          </cell>
          <cell r="AL101">
            <v>898</v>
          </cell>
          <cell r="AS101">
            <v>1256</v>
          </cell>
          <cell r="AT101">
            <v>1437.9847463614858</v>
          </cell>
          <cell r="AU101">
            <v>1572.998997145135</v>
          </cell>
          <cell r="AV101">
            <v>1703.39304149178</v>
          </cell>
          <cell r="AW101">
            <v>1846.2743439000951</v>
          </cell>
          <cell r="AX101">
            <v>2002.9985810049857</v>
          </cell>
          <cell r="AY101">
            <v>2175.2633123333731</v>
          </cell>
          <cell r="AZ101">
            <v>2364.7489767967731</v>
          </cell>
          <cell r="BA101">
            <v>2573.4069124038433</v>
          </cell>
          <cell r="BB101">
            <v>2661.4995225879461</v>
          </cell>
          <cell r="BC101">
            <v>2753.1423490408833</v>
          </cell>
          <cell r="BD101">
            <v>2848.373976188901</v>
          </cell>
        </row>
        <row r="102">
          <cell r="A102" t="str">
            <v>EBIT margin ex synergies</v>
          </cell>
          <cell r="B102">
            <v>0.11618046132971506</v>
          </cell>
          <cell r="C102">
            <v>8.9649122807017548E-2</v>
          </cell>
          <cell r="D102">
            <v>0.25027995520716684</v>
          </cell>
          <cell r="E102">
            <v>0.16773367477592829</v>
          </cell>
          <cell r="F102">
            <v>0.21176821983273597</v>
          </cell>
          <cell r="G102">
            <v>2.9386343993085567E-2</v>
          </cell>
          <cell r="H102">
            <v>0.16492785793562709</v>
          </cell>
          <cell r="I102">
            <v>3.2551097653292962E-2</v>
          </cell>
          <cell r="J102">
            <v>0.10230003432887058</v>
          </cell>
          <cell r="K102">
            <v>0.31880860452289023</v>
          </cell>
          <cell r="L102">
            <v>0.22879804758999389</v>
          </cell>
          <cell r="M102">
            <v>0.276071842410197</v>
          </cell>
          <cell r="N102">
            <v>6.9705093833780166E-2</v>
          </cell>
          <cell r="O102">
            <v>0.22555239553708159</v>
          </cell>
          <cell r="P102">
            <v>4.3442622950819673E-2</v>
          </cell>
          <cell r="Q102">
            <v>0.14056294249697807</v>
          </cell>
          <cell r="X102">
            <v>0.11474654377880185</v>
          </cell>
          <cell r="Y102">
            <v>0.20901639344262296</v>
          </cell>
          <cell r="Z102">
            <v>0.13428874734607218</v>
          </cell>
          <cell r="AA102">
            <v>0.17231491136600627</v>
          </cell>
          <cell r="AB102">
            <v>-2.9828486204325128E-3</v>
          </cell>
          <cell r="AC102">
            <v>0.12690747537183697</v>
          </cell>
          <cell r="AD102">
            <v>7.8644888082274655E-2</v>
          </cell>
          <cell r="AE102">
            <v>7.5695461200585651E-2</v>
          </cell>
          <cell r="AL102">
            <v>0.12377670572019298</v>
          </cell>
          <cell r="AS102">
            <v>0.14982703089586066</v>
          </cell>
          <cell r="AT102">
            <v>0.15941686370495961</v>
          </cell>
          <cell r="AU102">
            <v>0.15950338332336209</v>
          </cell>
          <cell r="AV102">
            <v>0.16232855653387326</v>
          </cell>
          <cell r="AW102">
            <v>0.16513272930959946</v>
          </cell>
          <cell r="AX102">
            <v>0.16790798061408974</v>
          </cell>
          <cell r="AY102">
            <v>0.17066009309765479</v>
          </cell>
          <cell r="AZ102">
            <v>0.17337615109400334</v>
          </cell>
          <cell r="BA102">
            <v>0.17604802808671041</v>
          </cell>
          <cell r="BB102">
            <v>0.17630887671488438</v>
          </cell>
          <cell r="BC102">
            <v>0.17657746799783511</v>
          </cell>
          <cell r="BD102">
            <v>0.17684626125864117</v>
          </cell>
        </row>
        <row r="104">
          <cell r="A104" t="str">
            <v>Materialscience EBIT margin</v>
          </cell>
          <cell r="B104">
            <v>0.13688333686216389</v>
          </cell>
          <cell r="C104">
            <v>0.1190827674441492</v>
          </cell>
          <cell r="D104">
            <v>0.11157975460122699</v>
          </cell>
          <cell r="E104">
            <v>0.11056042699199391</v>
          </cell>
          <cell r="F104">
            <v>0.11106862932517683</v>
          </cell>
          <cell r="G104">
            <v>0.11238095238095239</v>
          </cell>
          <cell r="H104">
            <v>0.1115071283095723</v>
          </cell>
          <cell r="I104">
            <v>9.3447072508724305E-2</v>
          </cell>
          <cell r="J104">
            <v>0.10704360325826545</v>
          </cell>
          <cell r="K104">
            <v>0.11186305732484077</v>
          </cell>
          <cell r="L104">
            <v>9.6491228070175433E-2</v>
          </cell>
          <cell r="M104">
            <v>0.10401246591351772</v>
          </cell>
          <cell r="N104">
            <v>5.4138877991369162E-2</v>
          </cell>
          <cell r="O104">
            <v>8.7465833658727066E-2</v>
          </cell>
          <cell r="P104">
            <v>-4.1849148418491487E-2</v>
          </cell>
          <cell r="Q104">
            <v>6.017662764428014E-2</v>
          </cell>
          <cell r="X104">
            <v>-1.675531914893617E-2</v>
          </cell>
          <cell r="Y104">
            <v>6.1823104693140792E-2</v>
          </cell>
          <cell r="Z104">
            <v>8.4789884715507621E-2</v>
          </cell>
          <cell r="AA104">
            <v>7.4413863404689098E-2</v>
          </cell>
          <cell r="AB104">
            <v>9.7560975609756101E-2</v>
          </cell>
          <cell r="AC104">
            <v>8.2562747688243066E-2</v>
          </cell>
          <cell r="AD104">
            <v>5.9984520123839008E-2</v>
          </cell>
          <cell r="AE104">
            <v>7.6817017923970846E-2</v>
          </cell>
          <cell r="AL104">
            <v>5.437592319054653E-2</v>
          </cell>
          <cell r="AS104">
            <v>5.4681387464139787E-2</v>
          </cell>
          <cell r="AT104">
            <v>4.3881364303833867E-2</v>
          </cell>
          <cell r="AU104">
            <v>5.6059620994468332E-2</v>
          </cell>
          <cell r="AV104">
            <v>7.016540386697652E-2</v>
          </cell>
          <cell r="AW104">
            <v>5.3664335321138998E-2</v>
          </cell>
          <cell r="AX104">
            <v>2.2131946120428809E-2</v>
          </cell>
          <cell r="AY104">
            <v>3.1496047789088003E-2</v>
          </cell>
          <cell r="AZ104">
            <v>5.084600515818858E-2</v>
          </cell>
          <cell r="BA104">
            <v>5.017217132581079E-2</v>
          </cell>
          <cell r="BB104">
            <v>4.9541816853110356E-2</v>
          </cell>
          <cell r="BC104">
            <v>4.8932801976930895E-2</v>
          </cell>
          <cell r="BD104">
            <v>4.8334741892916602E-2</v>
          </cell>
        </row>
        <row r="105">
          <cell r="A105" t="str">
            <v>Synergies</v>
          </cell>
          <cell r="C105">
            <v>120</v>
          </cell>
          <cell r="D105">
            <v>0</v>
          </cell>
          <cell r="E105">
            <v>0</v>
          </cell>
          <cell r="F105">
            <v>0</v>
          </cell>
          <cell r="G105">
            <v>0</v>
          </cell>
          <cell r="H105">
            <v>0</v>
          </cell>
          <cell r="I105">
            <v>0</v>
          </cell>
          <cell r="J105">
            <v>270</v>
          </cell>
          <cell r="K105">
            <v>0</v>
          </cell>
          <cell r="L105">
            <v>0</v>
          </cell>
          <cell r="M105">
            <v>0</v>
          </cell>
          <cell r="N105">
            <v>0</v>
          </cell>
          <cell r="O105">
            <v>0</v>
          </cell>
          <cell r="P105">
            <v>0</v>
          </cell>
          <cell r="Q105">
            <v>420</v>
          </cell>
          <cell r="X105">
            <v>420</v>
          </cell>
          <cell r="Y105">
            <v>0</v>
          </cell>
          <cell r="Z105">
            <v>0</v>
          </cell>
          <cell r="AA105">
            <v>0</v>
          </cell>
          <cell r="AB105">
            <v>0</v>
          </cell>
          <cell r="AC105">
            <v>0</v>
          </cell>
          <cell r="AD105">
            <v>0</v>
          </cell>
          <cell r="AE105">
            <v>420</v>
          </cell>
          <cell r="AL105">
            <v>420</v>
          </cell>
          <cell r="AS105">
            <v>420</v>
          </cell>
          <cell r="AT105">
            <v>420</v>
          </cell>
          <cell r="AU105">
            <v>420</v>
          </cell>
          <cell r="AV105">
            <v>420</v>
          </cell>
          <cell r="AW105">
            <v>420</v>
          </cell>
          <cell r="AX105">
            <v>420</v>
          </cell>
          <cell r="AY105">
            <v>420</v>
          </cell>
          <cell r="AZ105">
            <v>420</v>
          </cell>
          <cell r="BA105">
            <v>420</v>
          </cell>
          <cell r="BB105">
            <v>420</v>
          </cell>
          <cell r="BC105">
            <v>420</v>
          </cell>
          <cell r="BD105">
            <v>420</v>
          </cell>
        </row>
        <row r="106">
          <cell r="A106" t="str">
            <v>EBIT ex synergies</v>
          </cell>
          <cell r="B106">
            <v>1293</v>
          </cell>
          <cell r="C106">
            <v>1090</v>
          </cell>
          <cell r="D106">
            <v>291</v>
          </cell>
          <cell r="E106">
            <v>290</v>
          </cell>
          <cell r="F106">
            <v>581</v>
          </cell>
          <cell r="G106">
            <v>295</v>
          </cell>
          <cell r="H106">
            <v>876</v>
          </cell>
          <cell r="I106">
            <v>241</v>
          </cell>
          <cell r="J106">
            <v>847</v>
          </cell>
          <cell r="K106">
            <v>281</v>
          </cell>
          <cell r="L106">
            <v>253</v>
          </cell>
          <cell r="M106">
            <v>534</v>
          </cell>
          <cell r="N106">
            <v>138</v>
          </cell>
          <cell r="O106">
            <v>672</v>
          </cell>
          <cell r="P106">
            <v>-86</v>
          </cell>
          <cell r="Q106">
            <v>166</v>
          </cell>
          <cell r="X106">
            <v>-546</v>
          </cell>
          <cell r="Y106">
            <v>137</v>
          </cell>
          <cell r="Z106">
            <v>228</v>
          </cell>
          <cell r="AA106">
            <v>365</v>
          </cell>
          <cell r="AB106">
            <v>260</v>
          </cell>
          <cell r="AC106">
            <v>625</v>
          </cell>
          <cell r="AD106">
            <v>155</v>
          </cell>
          <cell r="AE106">
            <v>360</v>
          </cell>
          <cell r="AL106">
            <v>169</v>
          </cell>
          <cell r="AS106">
            <v>209</v>
          </cell>
          <cell r="AT106">
            <v>86.531094619910505</v>
          </cell>
          <cell r="AU106">
            <v>282.55933621455392</v>
          </cell>
          <cell r="AV106">
            <v>480.00243386985323</v>
          </cell>
          <cell r="AW106">
            <v>277.06368776028069</v>
          </cell>
          <cell r="AX106">
            <v>-128.81216182231435</v>
          </cell>
          <cell r="AY106">
            <v>6.4363413109776957</v>
          </cell>
          <cell r="AZ106">
            <v>288.46754919836883</v>
          </cell>
          <cell r="BA106">
            <v>299.46825764545611</v>
          </cell>
          <cell r="BB106">
            <v>311.18472339444224</v>
          </cell>
          <cell r="BC106">
            <v>323.33179850974466</v>
          </cell>
          <cell r="BD106">
            <v>335.77178672272385</v>
          </cell>
        </row>
        <row r="107">
          <cell r="A107" t="str">
            <v>EBIT margin ex synergies</v>
          </cell>
          <cell r="B107">
            <v>0.13688333686216389</v>
          </cell>
          <cell r="C107">
            <v>0.1072729062100187</v>
          </cell>
          <cell r="D107">
            <v>0.11157975460122699</v>
          </cell>
          <cell r="E107">
            <v>0.11056042699199391</v>
          </cell>
          <cell r="F107">
            <v>0.11106862932517683</v>
          </cell>
          <cell r="G107">
            <v>0.11238095238095239</v>
          </cell>
          <cell r="H107">
            <v>0.1115071283095723</v>
          </cell>
          <cell r="I107">
            <v>9.3447072508724305E-2</v>
          </cell>
          <cell r="J107">
            <v>8.1169142309535217E-2</v>
          </cell>
          <cell r="K107">
            <v>0.11186305732484077</v>
          </cell>
          <cell r="L107">
            <v>9.6491228070175433E-2</v>
          </cell>
          <cell r="M107">
            <v>0.10401246591351772</v>
          </cell>
          <cell r="N107">
            <v>5.4138877991369162E-2</v>
          </cell>
          <cell r="O107">
            <v>8.7465833658727066E-2</v>
          </cell>
          <cell r="P107">
            <v>-4.1849148418491487E-2</v>
          </cell>
          <cell r="Q107">
            <v>1.7046621482850688E-2</v>
          </cell>
          <cell r="X107">
            <v>-7.2606382978723405E-2</v>
          </cell>
          <cell r="Y107">
            <v>6.1823104693140792E-2</v>
          </cell>
          <cell r="Z107">
            <v>8.4789884715507621E-2</v>
          </cell>
          <cell r="AA107">
            <v>7.4413863404689098E-2</v>
          </cell>
          <cell r="AB107">
            <v>9.7560975609756101E-2</v>
          </cell>
          <cell r="AC107">
            <v>8.2562747688243066E-2</v>
          </cell>
          <cell r="AD107">
            <v>5.9984520123839008E-2</v>
          </cell>
          <cell r="AE107">
            <v>3.5454008272601929E-2</v>
          </cell>
          <cell r="AL107">
            <v>1.560192023633678E-2</v>
          </cell>
          <cell r="AS107">
            <v>1.8169173259149789E-2</v>
          </cell>
          <cell r="AT107">
            <v>7.4962870531671338E-3</v>
          </cell>
          <cell r="AU107">
            <v>2.2546379330726066E-2</v>
          </cell>
          <cell r="AV107">
            <v>3.7421637278016791E-2</v>
          </cell>
          <cell r="AW107">
            <v>2.1330100687144523E-2</v>
          </cell>
          <cell r="AX107">
            <v>-9.7904632382613214E-3</v>
          </cell>
          <cell r="AY107">
            <v>4.7538001309696591E-4</v>
          </cell>
          <cell r="AZ107">
            <v>2.0703026569257082E-2</v>
          </cell>
          <cell r="BA107">
            <v>2.0883440748867572E-2</v>
          </cell>
          <cell r="BB107">
            <v>2.1084489432879806E-2</v>
          </cell>
          <cell r="BC107">
            <v>2.1284614624373348E-2</v>
          </cell>
          <cell r="BD107">
            <v>2.1473999071257376E-2</v>
          </cell>
        </row>
        <row r="109">
          <cell r="A109" t="str">
            <v>Group EBIT margin</v>
          </cell>
          <cell r="B109">
            <v>0.11998424886788737</v>
          </cell>
          <cell r="C109">
            <v>0.11725648803505224</v>
          </cell>
          <cell r="D109">
            <v>0.16496700659868027</v>
          </cell>
          <cell r="E109">
            <v>0.14189917375164651</v>
          </cell>
          <cell r="F109">
            <v>0.16615823976114752</v>
          </cell>
          <cell r="G109">
            <v>0.12126224710522968</v>
          </cell>
          <cell r="H109">
            <v>0.15544935616620204</v>
          </cell>
          <cell r="I109">
            <v>7.407407407407407E-2</v>
          </cell>
          <cell r="J109">
            <v>0.129720406681191</v>
          </cell>
          <cell r="K109">
            <v>0.17537488284910965</v>
          </cell>
          <cell r="L109">
            <v>0.14663376806485726</v>
          </cell>
          <cell r="M109">
            <v>0.16102540036370036</v>
          </cell>
          <cell r="N109">
            <v>0.11210367388022144</v>
          </cell>
          <cell r="O109">
            <v>0.14546909381876375</v>
          </cell>
          <cell r="P109">
            <v>8.9107661239429509E-2</v>
          </cell>
          <cell r="Q109">
            <v>0.13190351783218907</v>
          </cell>
          <cell r="X109">
            <v>0.12102156057494866</v>
          </cell>
          <cell r="Y109">
            <v>0.14201539201539201</v>
          </cell>
          <cell r="Z109">
            <v>0.13792352108072775</v>
          </cell>
          <cell r="AA109">
            <v>0.13986853386681908</v>
          </cell>
          <cell r="AB109">
            <v>0.14695256963057918</v>
          </cell>
          <cell r="AC109">
            <v>0.14219972388403129</v>
          </cell>
          <cell r="AD109">
            <v>8.2556591211717711E-2</v>
          </cell>
          <cell r="AE109">
            <v>0.12688098495212038</v>
          </cell>
          <cell r="AL109">
            <v>0.13756570302233903</v>
          </cell>
          <cell r="AS109">
            <v>0.1426307847082495</v>
          </cell>
          <cell r="AT109">
            <v>0.1449393777233248</v>
          </cell>
          <cell r="AU109">
            <v>0.15497253443190334</v>
          </cell>
          <cell r="AV109">
            <v>0.15875508127379989</v>
          </cell>
          <cell r="AW109">
            <v>0.15704723364484885</v>
          </cell>
          <cell r="AX109">
            <v>0.15853128864370519</v>
          </cell>
          <cell r="AY109">
            <v>0.15471221205764249</v>
          </cell>
          <cell r="AZ109">
            <v>0.16025687063760941</v>
          </cell>
          <cell r="BA109">
            <v>0.17038878637406155</v>
          </cell>
          <cell r="BB109">
            <v>0.15693926902850053</v>
          </cell>
          <cell r="BC109">
            <v>0.15125724530510462</v>
          </cell>
          <cell r="BD109">
            <v>0.14777598770870945</v>
          </cell>
        </row>
        <row r="110">
          <cell r="A110" t="str">
            <v>Synergies</v>
          </cell>
          <cell r="B110">
            <v>0</v>
          </cell>
          <cell r="C110">
            <v>620</v>
          </cell>
          <cell r="D110">
            <v>0</v>
          </cell>
          <cell r="E110">
            <v>0</v>
          </cell>
          <cell r="F110">
            <v>0</v>
          </cell>
          <cell r="G110">
            <v>0</v>
          </cell>
          <cell r="H110">
            <v>0</v>
          </cell>
          <cell r="I110">
            <v>0</v>
          </cell>
          <cell r="J110">
            <v>1060</v>
          </cell>
          <cell r="K110">
            <v>0</v>
          </cell>
          <cell r="L110">
            <v>0</v>
          </cell>
          <cell r="M110">
            <v>0</v>
          </cell>
          <cell r="N110">
            <v>0</v>
          </cell>
          <cell r="O110">
            <v>0</v>
          </cell>
          <cell r="P110">
            <v>0</v>
          </cell>
          <cell r="Q110">
            <v>1490</v>
          </cell>
          <cell r="X110">
            <v>1490</v>
          </cell>
          <cell r="Y110">
            <v>0</v>
          </cell>
          <cell r="Z110">
            <v>0</v>
          </cell>
          <cell r="AA110">
            <v>0</v>
          </cell>
          <cell r="AB110">
            <v>0</v>
          </cell>
          <cell r="AC110">
            <v>0</v>
          </cell>
          <cell r="AD110">
            <v>0</v>
          </cell>
          <cell r="AE110">
            <v>1490</v>
          </cell>
          <cell r="AL110">
            <v>1490</v>
          </cell>
          <cell r="AS110">
            <v>1490</v>
          </cell>
          <cell r="AT110">
            <v>1490</v>
          </cell>
          <cell r="AU110">
            <v>1490</v>
          </cell>
          <cell r="AV110">
            <v>1490</v>
          </cell>
          <cell r="AW110">
            <v>1490</v>
          </cell>
          <cell r="AX110">
            <v>1490</v>
          </cell>
          <cell r="AY110">
            <v>1490</v>
          </cell>
          <cell r="AZ110">
            <v>1490</v>
          </cell>
          <cell r="BA110">
            <v>1490</v>
          </cell>
          <cell r="BB110">
            <v>1490</v>
          </cell>
          <cell r="BC110">
            <v>1490</v>
          </cell>
          <cell r="BD110">
            <v>1490</v>
          </cell>
        </row>
        <row r="111">
          <cell r="A111" t="str">
            <v>EBIT ex synergies</v>
          </cell>
          <cell r="B111">
            <v>3047</v>
          </cell>
          <cell r="C111">
            <v>2859</v>
          </cell>
          <cell r="D111">
            <v>1375</v>
          </cell>
          <cell r="E111">
            <v>1185</v>
          </cell>
          <cell r="F111">
            <v>2560</v>
          </cell>
          <cell r="G111">
            <v>953</v>
          </cell>
          <cell r="H111">
            <v>3513</v>
          </cell>
          <cell r="I111">
            <v>774</v>
          </cell>
          <cell r="J111">
            <v>3227</v>
          </cell>
          <cell r="K111">
            <v>1497</v>
          </cell>
          <cell r="L111">
            <v>1248</v>
          </cell>
          <cell r="M111">
            <v>2745</v>
          </cell>
          <cell r="N111">
            <v>891</v>
          </cell>
          <cell r="O111">
            <v>3636</v>
          </cell>
          <cell r="P111">
            <v>706</v>
          </cell>
          <cell r="Q111">
            <v>2852</v>
          </cell>
          <cell r="X111">
            <v>2282</v>
          </cell>
          <cell r="Y111">
            <v>1181</v>
          </cell>
          <cell r="Z111">
            <v>1266</v>
          </cell>
          <cell r="AA111">
            <v>2447</v>
          </cell>
          <cell r="AB111">
            <v>1261</v>
          </cell>
          <cell r="AC111">
            <v>3708</v>
          </cell>
          <cell r="AD111">
            <v>744</v>
          </cell>
          <cell r="AE111">
            <v>2962</v>
          </cell>
          <cell r="AL111">
            <v>3535</v>
          </cell>
          <cell r="AS111">
            <v>4181</v>
          </cell>
          <cell r="AT111">
            <v>4480.7936164217608</v>
          </cell>
          <cell r="AU111">
            <v>5543.5404178260505</v>
          </cell>
          <cell r="AV111">
            <v>6074.5147365065204</v>
          </cell>
          <cell r="AW111">
            <v>6350.6819881239498</v>
          </cell>
          <cell r="AX111">
            <v>6838.6560881829246</v>
          </cell>
          <cell r="AY111">
            <v>6880.9997478753758</v>
          </cell>
          <cell r="AZ111">
            <v>7508.6693925551754</v>
          </cell>
          <cell r="BA111">
            <v>8492.7839380969581</v>
          </cell>
          <cell r="BB111">
            <v>7755.6150580907579</v>
          </cell>
          <cell r="BC111">
            <v>7566.4546070293691</v>
          </cell>
          <cell r="BD111">
            <v>7547.4044527970073</v>
          </cell>
        </row>
        <row r="112">
          <cell r="A112" t="str">
            <v>EBIT margin ex synergies</v>
          </cell>
          <cell r="B112">
            <v>0.11998424886788737</v>
          </cell>
          <cell r="C112">
            <v>9.6359959555106164E-2</v>
          </cell>
          <cell r="D112">
            <v>0.16496700659868027</v>
          </cell>
          <cell r="E112">
            <v>0.14189917375164651</v>
          </cell>
          <cell r="F112">
            <v>0.16615823976114752</v>
          </cell>
          <cell r="G112">
            <v>0.12126224710522968</v>
          </cell>
          <cell r="H112">
            <v>0.15544935616620204</v>
          </cell>
          <cell r="I112">
            <v>7.407407407407407E-2</v>
          </cell>
          <cell r="J112">
            <v>9.7645848462841925E-2</v>
          </cell>
          <cell r="K112">
            <v>0.17537488284910965</v>
          </cell>
          <cell r="L112">
            <v>0.14663376806485726</v>
          </cell>
          <cell r="M112">
            <v>0.16102540036370036</v>
          </cell>
          <cell r="N112">
            <v>0.11210367388022144</v>
          </cell>
          <cell r="O112">
            <v>0.14546909381876375</v>
          </cell>
          <cell r="P112">
            <v>8.9107661239429509E-2</v>
          </cell>
          <cell r="Q112">
            <v>8.663952852542682E-2</v>
          </cell>
          <cell r="X112">
            <v>7.3216119096509241E-2</v>
          </cell>
          <cell r="Y112">
            <v>0.14201539201539201</v>
          </cell>
          <cell r="Z112">
            <v>0.13792352108072775</v>
          </cell>
          <cell r="AA112">
            <v>0.13986853386681908</v>
          </cell>
          <cell r="AB112">
            <v>0.14695256963057918</v>
          </cell>
          <cell r="AC112">
            <v>0.14219972388403129</v>
          </cell>
          <cell r="AD112">
            <v>8.2556591211717711E-2</v>
          </cell>
          <cell r="AE112">
            <v>8.4416324669402645E-2</v>
          </cell>
          <cell r="AL112">
            <v>9.6775076653526068E-2</v>
          </cell>
          <cell r="AS112">
            <v>0.1051559356136821</v>
          </cell>
          <cell r="AT112">
            <v>0.10877003631219484</v>
          </cell>
          <cell r="AU112">
            <v>0.12214282669064803</v>
          </cell>
          <cell r="AV112">
            <v>0.12748472496708402</v>
          </cell>
          <cell r="AW112">
            <v>0.12720284275063093</v>
          </cell>
          <cell r="AX112">
            <v>0.13016997589671009</v>
          </cell>
          <cell r="AY112">
            <v>0.12717413979519912</v>
          </cell>
          <cell r="AZ112">
            <v>0.133721532263295</v>
          </cell>
          <cell r="BA112">
            <v>0.14495707381054698</v>
          </cell>
          <cell r="BB112">
            <v>0.13164733232302037</v>
          </cell>
          <cell r="BC112">
            <v>0.12637186738583836</v>
          </cell>
          <cell r="BD112">
            <v>0.12341210946955075</v>
          </cell>
        </row>
      </sheetData>
      <sheetData sheetId="9">
        <row r="1">
          <cell r="BF1" t="str">
            <v>Return to contents</v>
          </cell>
          <cell r="CA1" t="str">
            <v>ElementName</v>
          </cell>
          <cell r="CB1" t="str">
            <v>ScaleOverride</v>
          </cell>
          <cell r="CC1" t="str">
            <v>UnitOverride</v>
          </cell>
          <cell r="CD1" t="str">
            <v>ReverseSign</v>
          </cell>
          <cell r="CE1" t="str">
            <v>IsDrivingAssumption</v>
          </cell>
          <cell r="CF1" t="str">
            <v>SegmentID</v>
          </cell>
        </row>
        <row r="2">
          <cell r="A2" t="str">
            <v>Bayer</v>
          </cell>
        </row>
        <row r="3">
          <cell r="A3" t="str">
            <v>Quarterly Sales Model</v>
          </cell>
          <cell r="BG3" t="str">
            <v>Morgan Stanley Equity Research- Pharmaceuticals</v>
          </cell>
        </row>
        <row r="4">
          <cell r="A4" t="str">
            <v>Instructions for update</v>
          </cell>
          <cell r="BR4" t="str">
            <v>Contr to Sales</v>
          </cell>
          <cell r="BS4" t="str">
            <v>% of Sales</v>
          </cell>
          <cell r="BT4" t="str">
            <v>EU Patent</v>
          </cell>
          <cell r="BU4" t="str">
            <v>US Patent</v>
          </cell>
          <cell r="BV4" t="str">
            <v>Japan Patent</v>
          </cell>
        </row>
        <row r="5">
          <cell r="A5" t="str">
            <v>€ mlns</v>
          </cell>
          <cell r="B5" t="str">
            <v>FY05A</v>
          </cell>
          <cell r="C5" t="str">
            <v>FY06A</v>
          </cell>
          <cell r="D5" t="str">
            <v>1QA</v>
          </cell>
          <cell r="E5" t="str">
            <v>2QA</v>
          </cell>
          <cell r="F5" t="str">
            <v>1H07A</v>
          </cell>
          <cell r="G5" t="str">
            <v>3QA</v>
          </cell>
          <cell r="H5" t="str">
            <v>9mo07A</v>
          </cell>
          <cell r="I5" t="str">
            <v>4QA</v>
          </cell>
          <cell r="J5" t="str">
            <v>FY07A</v>
          </cell>
          <cell r="K5" t="str">
            <v>1QA</v>
          </cell>
          <cell r="L5" t="str">
            <v>2QA</v>
          </cell>
          <cell r="M5" t="str">
            <v>1H08A</v>
          </cell>
          <cell r="N5" t="str">
            <v>3QA</v>
          </cell>
          <cell r="O5" t="str">
            <v>9mo08A</v>
          </cell>
          <cell r="P5" t="str">
            <v>4QA</v>
          </cell>
          <cell r="Q5" t="str">
            <v>FY08A</v>
          </cell>
          <cell r="R5" t="str">
            <v>1QA</v>
          </cell>
          <cell r="S5" t="str">
            <v>2QA</v>
          </cell>
          <cell r="T5" t="str">
            <v>1HA</v>
          </cell>
          <cell r="U5" t="str">
            <v>3QA</v>
          </cell>
          <cell r="V5" t="str">
            <v>9moA</v>
          </cell>
          <cell r="W5" t="str">
            <v>4QA</v>
          </cell>
          <cell r="X5" t="str">
            <v>FY09A</v>
          </cell>
          <cell r="Y5" t="str">
            <v>1QA</v>
          </cell>
          <cell r="Z5" t="str">
            <v>2QA</v>
          </cell>
          <cell r="AA5" t="str">
            <v>1HA</v>
          </cell>
          <cell r="AB5" t="str">
            <v>3QA</v>
          </cell>
          <cell r="AC5" t="str">
            <v>9moA</v>
          </cell>
          <cell r="AD5" t="str">
            <v>4QA</v>
          </cell>
          <cell r="AE5" t="str">
            <v>FY10A</v>
          </cell>
          <cell r="AF5" t="str">
            <v>1QA</v>
          </cell>
          <cell r="AG5" t="str">
            <v>2QA</v>
          </cell>
          <cell r="AH5" t="str">
            <v>1H</v>
          </cell>
          <cell r="AI5" t="str">
            <v>3QA</v>
          </cell>
          <cell r="AJ5" t="str">
            <v>9moA</v>
          </cell>
          <cell r="AK5" t="str">
            <v>4QA</v>
          </cell>
          <cell r="AL5" t="str">
            <v>FY11A</v>
          </cell>
          <cell r="AM5" t="str">
            <v>1QA</v>
          </cell>
          <cell r="AN5" t="str">
            <v>1Q- Restated</v>
          </cell>
          <cell r="AO5" t="str">
            <v>2QA</v>
          </cell>
          <cell r="AP5" t="str">
            <v>2Q- Restated</v>
          </cell>
          <cell r="AQ5" t="str">
            <v>1H</v>
          </cell>
          <cell r="AR5" t="str">
            <v>3QA</v>
          </cell>
          <cell r="AS5" t="str">
            <v>3Q- Restated</v>
          </cell>
          <cell r="AT5" t="str">
            <v>9moA</v>
          </cell>
          <cell r="AU5" t="str">
            <v>4QA</v>
          </cell>
          <cell r="AV5" t="str">
            <v>4Q- Restated</v>
          </cell>
          <cell r="AW5" t="str">
            <v>FY12A</v>
          </cell>
          <cell r="AX5" t="str">
            <v>FY12- Restated</v>
          </cell>
          <cell r="AY5" t="str">
            <v>1QA</v>
          </cell>
          <cell r="AZ5" t="str">
            <v>2QE</v>
          </cell>
          <cell r="BA5" t="str">
            <v>1H</v>
          </cell>
          <cell r="BB5" t="str">
            <v>3QE</v>
          </cell>
          <cell r="BC5" t="str">
            <v>9mo</v>
          </cell>
          <cell r="BD5" t="str">
            <v>4QE</v>
          </cell>
          <cell r="BE5" t="str">
            <v>FY13E</v>
          </cell>
          <cell r="BF5" t="str">
            <v>FY14E</v>
          </cell>
          <cell r="BG5" t="str">
            <v>FY15E</v>
          </cell>
          <cell r="BH5" t="str">
            <v>FY16E</v>
          </cell>
          <cell r="BI5" t="str">
            <v>FY17E</v>
          </cell>
          <cell r="BJ5" t="str">
            <v>FY18E</v>
          </cell>
          <cell r="BK5" t="str">
            <v>FY19E</v>
          </cell>
          <cell r="BL5" t="str">
            <v>FY20E</v>
          </cell>
          <cell r="BM5" t="str">
            <v>FY21E</v>
          </cell>
          <cell r="BN5" t="str">
            <v>FY22E</v>
          </cell>
          <cell r="BO5" t="str">
            <v>FY23E</v>
          </cell>
          <cell r="BQ5" t="str">
            <v>Estimated %</v>
          </cell>
          <cell r="BR5" t="str">
            <v>Growth 2009-14</v>
          </cell>
          <cell r="BS5">
            <v>2014</v>
          </cell>
          <cell r="BT5" t="str">
            <v>Expiry</v>
          </cell>
          <cell r="BU5" t="str">
            <v>Expiry</v>
          </cell>
          <cell r="BV5" t="str">
            <v>Expiry</v>
          </cell>
        </row>
        <row r="6">
          <cell r="A6" t="str">
            <v>Currency Assumptions:</v>
          </cell>
          <cell r="BE6" t="str">
            <v>Bayer assumes $/€ 1.29 in 2013; 1%change against basket fo currencies impacts sales by Eur270m, EBITDA pre-ex by 70m according to Bayer</v>
          </cell>
          <cell r="BQ6" t="str">
            <v>USD Sales</v>
          </cell>
        </row>
        <row r="7">
          <cell r="A7" t="str">
            <v>$ per € Rate</v>
          </cell>
          <cell r="D7">
            <v>1.3104772052360063</v>
          </cell>
          <cell r="E7">
            <v>1.3484894625380026</v>
          </cell>
          <cell r="F7">
            <v>1.3294833338870045</v>
          </cell>
          <cell r="G7">
            <v>1.374211421777767</v>
          </cell>
          <cell r="H7">
            <v>1.3443926965172588</v>
          </cell>
          <cell r="I7">
            <v>1.4476465955524911</v>
          </cell>
          <cell r="J7">
            <v>1.3686890250514219</v>
          </cell>
          <cell r="K7">
            <v>1.4975380427347396</v>
          </cell>
          <cell r="L7">
            <v>1.5621756386376311</v>
          </cell>
          <cell r="M7">
            <v>1.5298568406861852</v>
          </cell>
          <cell r="N7">
            <v>1.5011718137389136</v>
          </cell>
          <cell r="O7">
            <v>1.5202951650370948</v>
          </cell>
          <cell r="P7">
            <v>1.3180414370222995</v>
          </cell>
          <cell r="Q7">
            <v>1.4697317330333959</v>
          </cell>
          <cell r="R7">
            <v>1.30338981891265</v>
          </cell>
          <cell r="S7">
            <v>1.3611054399802092</v>
          </cell>
          <cell r="T7">
            <v>1.3322476294464296</v>
          </cell>
          <cell r="U7">
            <v>1.4297773787763226</v>
          </cell>
          <cell r="V7">
            <v>1.3647575458897272</v>
          </cell>
          <cell r="W7">
            <v>1.4763422187931554</v>
          </cell>
          <cell r="X7">
            <v>1.3926537141155841</v>
          </cell>
          <cell r="Y7">
            <v>1.3829397661847229</v>
          </cell>
          <cell r="Z7">
            <v>1.2728944735978358</v>
          </cell>
          <cell r="AA7">
            <v>1.3279171198912794</v>
          </cell>
          <cell r="AB7">
            <v>1.2912434106956427</v>
          </cell>
          <cell r="AC7">
            <v>1.3156925501594003</v>
          </cell>
          <cell r="AD7">
            <v>1.5794669068049505</v>
          </cell>
          <cell r="AE7">
            <v>1.3816361393207879</v>
          </cell>
          <cell r="AF7">
            <v>1.3610662725233575</v>
          </cell>
          <cell r="AG7">
            <v>1.4392673740468582</v>
          </cell>
          <cell r="AH7">
            <v>1.4001668232851079</v>
          </cell>
          <cell r="AI7">
            <v>1.4125579172517093</v>
          </cell>
          <cell r="AJ7">
            <v>1.4042971879406416</v>
          </cell>
          <cell r="AK7">
            <v>1.3472300000000001</v>
          </cell>
          <cell r="AL7">
            <v>1.3900303909554812</v>
          </cell>
          <cell r="AM7">
            <v>1.31186</v>
          </cell>
          <cell r="AO7">
            <v>1.28318</v>
          </cell>
          <cell r="AP7">
            <v>1.28318</v>
          </cell>
          <cell r="AQ7">
            <v>1.29752</v>
          </cell>
          <cell r="AR7">
            <v>1.2510800000000002</v>
          </cell>
          <cell r="AS7">
            <v>1.2510800000000002</v>
          </cell>
          <cell r="AT7">
            <v>1.2820400000000001</v>
          </cell>
          <cell r="AU7">
            <v>1.2976000000000001</v>
          </cell>
          <cell r="AV7">
            <v>1.2976000000000001</v>
          </cell>
          <cell r="AW7">
            <v>1.28593</v>
          </cell>
          <cell r="AY7">
            <v>1.32</v>
          </cell>
          <cell r="AZ7">
            <v>1.34</v>
          </cell>
          <cell r="BA7">
            <v>1.33</v>
          </cell>
          <cell r="BB7">
            <v>1.3</v>
          </cell>
          <cell r="BC7">
            <v>1.32</v>
          </cell>
          <cell r="BD7">
            <v>1.26</v>
          </cell>
          <cell r="BE7">
            <v>1.3049999999999999</v>
          </cell>
          <cell r="BF7">
            <v>1.2124999999999999</v>
          </cell>
          <cell r="BG7">
            <v>1.2124999999999999</v>
          </cell>
          <cell r="BH7">
            <v>1.2124999999999999</v>
          </cell>
          <cell r="BI7">
            <v>1.2124999999999999</v>
          </cell>
          <cell r="BJ7">
            <v>1.2124999999999999</v>
          </cell>
          <cell r="BK7">
            <v>1.2124999999999999</v>
          </cell>
          <cell r="BL7">
            <v>1.2124999999999999</v>
          </cell>
          <cell r="BM7">
            <v>1.2124999999999999</v>
          </cell>
          <cell r="BN7">
            <v>1.2124999999999999</v>
          </cell>
          <cell r="BO7">
            <v>1.2124999999999999</v>
          </cell>
        </row>
        <row r="8">
          <cell r="A8" t="str">
            <v>€/$</v>
          </cell>
          <cell r="D8">
            <v>0.76308080446153825</v>
          </cell>
          <cell r="E8">
            <v>0.74157049630769245</v>
          </cell>
          <cell r="F8">
            <v>0.75217189603746626</v>
          </cell>
          <cell r="G8">
            <v>0.72769006584615392</v>
          </cell>
          <cell r="H8">
            <v>0.74383028306429244</v>
          </cell>
          <cell r="I8">
            <v>0.69077632833333347</v>
          </cell>
          <cell r="J8">
            <v>0.73062615517241392</v>
          </cell>
          <cell r="K8">
            <v>0.66776266876923074</v>
          </cell>
          <cell r="L8">
            <v>0.64013288600000007</v>
          </cell>
          <cell r="M8">
            <v>0.65365593263711586</v>
          </cell>
          <cell r="N8">
            <v>0.66614626710138969</v>
          </cell>
          <cell r="O8">
            <v>0.65776700669544008</v>
          </cell>
          <cell r="P8">
            <v>0.75870148836836715</v>
          </cell>
          <cell r="Q8">
            <v>0.68039627744587694</v>
          </cell>
          <cell r="R8">
            <v>0.7672301758765061</v>
          </cell>
          <cell r="S8">
            <v>0.73469693869898889</v>
          </cell>
          <cell r="T8">
            <v>0.750611206128035</v>
          </cell>
          <cell r="U8">
            <v>0.6994095828092145</v>
          </cell>
          <cell r="V8">
            <v>0.73273088176850443</v>
          </cell>
          <cell r="W8">
            <v>0.67734972777345337</v>
          </cell>
          <cell r="X8">
            <v>0.71805359068392527</v>
          </cell>
          <cell r="Y8">
            <v>0.72309729205257911</v>
          </cell>
          <cell r="Z8">
            <v>0.78561107832725552</v>
          </cell>
          <cell r="AA8">
            <v>0.75305904639731813</v>
          </cell>
          <cell r="AB8">
            <v>0.77444732086668411</v>
          </cell>
          <cell r="AC8">
            <v>0.76005598715204914</v>
          </cell>
          <cell r="AD8">
            <v>0.63312500926205906</v>
          </cell>
          <cell r="AE8">
            <v>0.72377956217300443</v>
          </cell>
          <cell r="AF8">
            <v>0.73471808110125569</v>
          </cell>
          <cell r="AG8">
            <v>0.6947979354164413</v>
          </cell>
          <cell r="AH8">
            <v>0.71420061050566386</v>
          </cell>
          <cell r="AI8">
            <v>0.7079355740298513</v>
          </cell>
          <cell r="AJ8">
            <v>0.71209998039408529</v>
          </cell>
          <cell r="AK8">
            <v>0.74226375600305805</v>
          </cell>
          <cell r="AL8">
            <v>0.71940873128149274</v>
          </cell>
          <cell r="AM8">
            <v>0.76227646242739311</v>
          </cell>
          <cell r="AO8">
            <v>0.77931389204943968</v>
          </cell>
          <cell r="AP8">
            <v>0.77931389204943968</v>
          </cell>
          <cell r="AQ8">
            <v>0.77070102965657561</v>
          </cell>
          <cell r="AR8">
            <v>0.79930939668126721</v>
          </cell>
          <cell r="AS8">
            <v>0.79930939668126721</v>
          </cell>
          <cell r="AT8">
            <v>0.78000686406040365</v>
          </cell>
          <cell r="AU8">
            <v>0.77065351418002459</v>
          </cell>
          <cell r="AV8">
            <v>0.77065351418002459</v>
          </cell>
          <cell r="AW8">
            <v>0.77764730584090891</v>
          </cell>
          <cell r="AY8">
            <v>0.75757575757575757</v>
          </cell>
          <cell r="AZ8">
            <v>0.74626865671641784</v>
          </cell>
          <cell r="BA8">
            <v>0.75187969924812026</v>
          </cell>
          <cell r="BB8">
            <v>0.76923076923076916</v>
          </cell>
          <cell r="BC8">
            <v>0.75757575757575757</v>
          </cell>
          <cell r="BD8">
            <v>0.79365079365079361</v>
          </cell>
          <cell r="BE8">
            <v>0.76628352490421459</v>
          </cell>
          <cell r="BF8">
            <v>0.82474226804123718</v>
          </cell>
          <cell r="BG8">
            <v>0.82474226804123718</v>
          </cell>
          <cell r="BH8">
            <v>0.82474226804123718</v>
          </cell>
          <cell r="BI8">
            <v>0.82474226804123718</v>
          </cell>
          <cell r="BJ8">
            <v>0.82474226804123718</v>
          </cell>
          <cell r="BK8">
            <v>0.82474226804123718</v>
          </cell>
          <cell r="BL8">
            <v>0.82474226804123718</v>
          </cell>
          <cell r="BM8">
            <v>0.82474226804123718</v>
          </cell>
          <cell r="BN8">
            <v>0.82474226804123718</v>
          </cell>
          <cell r="BO8">
            <v>0.82474226804123718</v>
          </cell>
        </row>
        <row r="9">
          <cell r="A9" t="str">
            <v>US factor</v>
          </cell>
          <cell r="K9">
            <v>-0.12491224407036161</v>
          </cell>
          <cell r="L9">
            <v>-0.13678754860495945</v>
          </cell>
          <cell r="M9">
            <v>-0.130975331462588</v>
          </cell>
          <cell r="N9">
            <v>-8.4574191174647151E-2</v>
          </cell>
          <cell r="O9">
            <v>-0.11570284018863153</v>
          </cell>
          <cell r="P9">
            <v>9.8331626677074624E-2</v>
          </cell>
          <cell r="Q9">
            <v>-6.8749082373986026E-2</v>
          </cell>
          <cell r="R9">
            <v>0.14895637590913302</v>
          </cell>
          <cell r="S9">
            <v>0.14772565941720539</v>
          </cell>
          <cell r="T9">
            <v>0.14832768839068255</v>
          </cell>
          <cell r="U9">
            <v>4.9933951972085389E-2</v>
          </cell>
          <cell r="V9">
            <v>0.11396721682602462</v>
          </cell>
          <cell r="W9">
            <v>-0.10722499143881425</v>
          </cell>
          <cell r="X9">
            <v>5.5346148246738114E-2</v>
          </cell>
          <cell r="Y9">
            <v>-5.752235145536122E-2</v>
          </cell>
          <cell r="Z9">
            <v>6.9299512419945586E-2</v>
          </cell>
          <cell r="AA9">
            <v>3.2611293960158605E-3</v>
          </cell>
          <cell r="AB9">
            <v>0.1072872604291133</v>
          </cell>
          <cell r="AC9">
            <v>3.729214376442469E-2</v>
          </cell>
          <cell r="AD9">
            <v>-6.5290819052614579E-2</v>
          </cell>
          <cell r="AE9">
            <v>7.9742954611861094E-3</v>
          </cell>
          <cell r="AF9">
            <v>1.6070851289858856E-2</v>
          </cell>
          <cell r="AG9">
            <v>-0.11559554774122593</v>
          </cell>
          <cell r="AH9">
            <v>-5.1600782272725465E-2</v>
          </cell>
          <cell r="AI9">
            <v>-8.5882854836917155E-2</v>
          </cell>
          <cell r="AJ9">
            <v>-6.3095360826846858E-2</v>
          </cell>
          <cell r="AK9">
            <v>0.1723810387275746</v>
          </cell>
          <cell r="AL9">
            <v>-6.0388979185722613E-3</v>
          </cell>
          <cell r="AM9">
            <v>3.7508783348343178E-2</v>
          </cell>
          <cell r="AO9">
            <v>0.12164105896823374</v>
          </cell>
          <cell r="AP9">
            <v>0.12164105896823374</v>
          </cell>
          <cell r="AQ9">
            <v>7.9110012396809148E-2</v>
          </cell>
          <cell r="AR9">
            <v>0.12907081661581121</v>
          </cell>
          <cell r="AS9">
            <v>0.12907081661581121</v>
          </cell>
          <cell r="AT9">
            <v>9.5361445774423181E-2</v>
          </cell>
          <cell r="AU9">
            <v>3.8247533908754683E-2</v>
          </cell>
          <cell r="AV9">
            <v>3.8247533908754683E-2</v>
          </cell>
          <cell r="AW9">
            <v>8.0953388563515194E-2</v>
          </cell>
          <cell r="AY9">
            <v>-6.1666666666666536E-3</v>
          </cell>
          <cell r="AZ9">
            <v>-4.240298507462692E-2</v>
          </cell>
          <cell r="BA9">
            <v>-2.442105263157901E-2</v>
          </cell>
          <cell r="BB9">
            <v>-3.7630769230769134E-2</v>
          </cell>
          <cell r="BC9">
            <v>-2.8757575757575649E-2</v>
          </cell>
          <cell r="BD9">
            <v>2.984126984126978E-2</v>
          </cell>
          <cell r="BE9">
            <v>-1.461302681992338E-2</v>
          </cell>
          <cell r="BF9">
            <v>7.6288659793814384E-2</v>
          </cell>
          <cell r="BG9">
            <v>0</v>
          </cell>
          <cell r="BH9">
            <v>0</v>
          </cell>
          <cell r="BI9">
            <v>0</v>
          </cell>
          <cell r="BJ9">
            <v>0</v>
          </cell>
          <cell r="BK9">
            <v>0</v>
          </cell>
          <cell r="BL9">
            <v>0</v>
          </cell>
          <cell r="BM9">
            <v>0</v>
          </cell>
          <cell r="BN9">
            <v>0</v>
          </cell>
          <cell r="BO9">
            <v>0</v>
          </cell>
        </row>
        <row r="10">
          <cell r="A10" t="str">
            <v>Yen/€</v>
          </cell>
          <cell r="AF10">
            <v>112.6366</v>
          </cell>
          <cell r="AG10">
            <v>117.39540000000001</v>
          </cell>
          <cell r="AH10">
            <v>115.01600000000001</v>
          </cell>
          <cell r="AI10">
            <v>109.68860000000001</v>
          </cell>
          <cell r="AJ10">
            <v>113.2402</v>
          </cell>
          <cell r="AK10">
            <v>104.17190000000001</v>
          </cell>
          <cell r="AL10">
            <v>110.973125</v>
          </cell>
          <cell r="AM10">
            <v>104.00460000000001</v>
          </cell>
          <cell r="AO10">
            <v>102.7628</v>
          </cell>
          <cell r="AP10">
            <v>102.7628</v>
          </cell>
          <cell r="AQ10">
            <v>103.3837</v>
          </cell>
          <cell r="AR10">
            <v>98.328699999999998</v>
          </cell>
          <cell r="AS10">
            <v>98.328699999999998</v>
          </cell>
          <cell r="AT10">
            <v>101.69869999999999</v>
          </cell>
          <cell r="AU10">
            <v>105.37700000000001</v>
          </cell>
          <cell r="AV10">
            <v>105.37700000000001</v>
          </cell>
          <cell r="AW10">
            <v>102.618275</v>
          </cell>
          <cell r="AY10">
            <v>121.42</v>
          </cell>
          <cell r="AZ10">
            <v>134</v>
          </cell>
          <cell r="BA10">
            <v>127.71000000000001</v>
          </cell>
          <cell r="BB10">
            <v>134</v>
          </cell>
          <cell r="BC10">
            <v>129.80666666666667</v>
          </cell>
          <cell r="BD10">
            <v>132</v>
          </cell>
          <cell r="BE10">
            <v>130.35500000000002</v>
          </cell>
          <cell r="BF10">
            <v>130.5</v>
          </cell>
          <cell r="BG10">
            <v>130.5</v>
          </cell>
          <cell r="BH10">
            <v>130.5</v>
          </cell>
          <cell r="BI10">
            <v>130.5</v>
          </cell>
          <cell r="BJ10">
            <v>130.5</v>
          </cell>
          <cell r="BK10">
            <v>130.5</v>
          </cell>
          <cell r="BL10">
            <v>130.5</v>
          </cell>
          <cell r="BM10">
            <v>130.5</v>
          </cell>
          <cell r="BN10">
            <v>130.5</v>
          </cell>
          <cell r="BO10">
            <v>130.5</v>
          </cell>
        </row>
        <row r="11">
          <cell r="A11" t="str">
            <v>€/Yen</v>
          </cell>
          <cell r="AF11">
            <v>8.8781088917811793E-3</v>
          </cell>
          <cell r="AG11">
            <v>8.5182213272411E-3</v>
          </cell>
          <cell r="AH11">
            <v>8.6944425123461084E-3</v>
          </cell>
          <cell r="AI11">
            <v>9.1167176898966709E-3</v>
          </cell>
          <cell r="AJ11">
            <v>8.8307862402221115E-3</v>
          </cell>
          <cell r="AK11">
            <v>9.5995177202297353E-3</v>
          </cell>
          <cell r="AL11">
            <v>9.01119077254065E-3</v>
          </cell>
          <cell r="AM11">
            <v>9.6149593383369567E-3</v>
          </cell>
          <cell r="AO11">
            <v>9.7311478472754728E-3</v>
          </cell>
          <cell r="AP11">
            <v>9.7311478472754728E-3</v>
          </cell>
          <cell r="AQ11">
            <v>9.6727046913585024E-3</v>
          </cell>
          <cell r="AR11">
            <v>1.0169970720654295E-2</v>
          </cell>
          <cell r="AS11">
            <v>1.0169970720654295E-2</v>
          </cell>
          <cell r="AT11">
            <v>9.8329673830638946E-3</v>
          </cell>
          <cell r="AU11">
            <v>9.4897368495971603E-3</v>
          </cell>
          <cell r="AV11">
            <v>9.4897368495971603E-3</v>
          </cell>
          <cell r="AW11">
            <v>9.7448529513870698E-3</v>
          </cell>
          <cell r="AY11">
            <v>8.2358754735628401E-3</v>
          </cell>
          <cell r="AZ11">
            <v>7.462686567164179E-3</v>
          </cell>
          <cell r="BA11">
            <v>7.8302403883799224E-3</v>
          </cell>
          <cell r="BB11">
            <v>7.462686567164179E-3</v>
          </cell>
          <cell r="BC11">
            <v>7.70376457295465E-3</v>
          </cell>
          <cell r="BD11">
            <v>7.575757575757576E-3</v>
          </cell>
          <cell r="BE11">
            <v>7.6713589812435262E-3</v>
          </cell>
          <cell r="BF11">
            <v>7.6628352490421452E-3</v>
          </cell>
          <cell r="BG11">
            <v>7.6628352490421452E-3</v>
          </cell>
          <cell r="BH11">
            <v>7.6628352490421452E-3</v>
          </cell>
          <cell r="BI11">
            <v>7.6628352490421452E-3</v>
          </cell>
          <cell r="BJ11">
            <v>7.6628352490421452E-3</v>
          </cell>
          <cell r="BK11">
            <v>7.6628352490421452E-3</v>
          </cell>
          <cell r="BL11">
            <v>7.6628352490421452E-3</v>
          </cell>
          <cell r="BM11">
            <v>7.6628352490421452E-3</v>
          </cell>
          <cell r="BN11">
            <v>7.6628352490421452E-3</v>
          </cell>
          <cell r="BO11">
            <v>7.6628352490421452E-3</v>
          </cell>
        </row>
        <row r="12">
          <cell r="A12" t="str">
            <v xml:space="preserve">growth </v>
          </cell>
          <cell r="AM12">
            <v>8.2996329008524494E-2</v>
          </cell>
          <cell r="AO12">
            <v>0.14239199399004332</v>
          </cell>
          <cell r="AP12">
            <v>0.14239199399004332</v>
          </cell>
          <cell r="AQ12">
            <v>0.11251580278128959</v>
          </cell>
          <cell r="AR12">
            <v>0.11552985038956076</v>
          </cell>
          <cell r="AS12">
            <v>0.11552985038956076</v>
          </cell>
          <cell r="AT12">
            <v>0.11348719305163213</v>
          </cell>
          <cell r="AU12">
            <v>-1.1436081877449489E-2</v>
          </cell>
          <cell r="AV12">
            <v>-1.1436081877449489E-2</v>
          </cell>
          <cell r="AW12">
            <v>8.1416784680896193E-2</v>
          </cell>
          <cell r="AY12">
            <v>-0.14343106572228614</v>
          </cell>
          <cell r="AZ12">
            <v>-0.23311343283582087</v>
          </cell>
          <cell r="BA12">
            <v>-0.19048077675984665</v>
          </cell>
          <cell r="BB12">
            <v>-0.26620373134328357</v>
          </cell>
          <cell r="BC12">
            <v>-0.21653715782445704</v>
          </cell>
          <cell r="BD12">
            <v>-0.20168939393939389</v>
          </cell>
          <cell r="BE12">
            <v>-0.21277837443903191</v>
          </cell>
          <cell r="BF12">
            <v>-1.1111111111110628E-3</v>
          </cell>
          <cell r="BG12">
            <v>0</v>
          </cell>
          <cell r="BH12">
            <v>0</v>
          </cell>
          <cell r="BI12">
            <v>0</v>
          </cell>
          <cell r="BJ12">
            <v>0</v>
          </cell>
          <cell r="BK12">
            <v>0</v>
          </cell>
          <cell r="BL12">
            <v>0</v>
          </cell>
          <cell r="BM12">
            <v>0</v>
          </cell>
          <cell r="BN12">
            <v>0</v>
          </cell>
          <cell r="BO12">
            <v>0</v>
          </cell>
        </row>
        <row r="13">
          <cell r="A13" t="str">
            <v>Yuan/€</v>
          </cell>
          <cell r="AF13">
            <v>9.0124500000000012</v>
          </cell>
          <cell r="AG13">
            <v>9.3566200000000013</v>
          </cell>
          <cell r="AH13">
            <v>9.1845350000000003</v>
          </cell>
          <cell r="AI13">
            <v>9.0611500000000014</v>
          </cell>
          <cell r="AJ13">
            <v>9.1434066666666673</v>
          </cell>
          <cell r="AK13">
            <v>8.5671300000000006</v>
          </cell>
          <cell r="AL13">
            <v>8.9993375000000011</v>
          </cell>
          <cell r="AM13">
            <v>8.2729800000000004</v>
          </cell>
          <cell r="AO13">
            <v>8.1225400000000008</v>
          </cell>
          <cell r="AP13">
            <v>8.1225400000000008</v>
          </cell>
          <cell r="AQ13">
            <v>8.1977600000000006</v>
          </cell>
          <cell r="AR13">
            <v>7.9442900000000005</v>
          </cell>
          <cell r="AS13">
            <v>7.9442900000000005</v>
          </cell>
          <cell r="AT13">
            <v>8.11327</v>
          </cell>
          <cell r="AU13">
            <v>8.1015500000000014</v>
          </cell>
          <cell r="AV13">
            <v>8.1015500000000014</v>
          </cell>
          <cell r="AW13">
            <v>8.1103400000000008</v>
          </cell>
          <cell r="AY13">
            <v>8.2200000000000006</v>
          </cell>
          <cell r="AZ13">
            <v>8.4420000000000002</v>
          </cell>
          <cell r="BA13">
            <v>8.3309999999999995</v>
          </cell>
          <cell r="BB13">
            <v>8.19</v>
          </cell>
          <cell r="BC13">
            <v>8.2839999999999989</v>
          </cell>
          <cell r="BD13">
            <v>7.9379999999999997</v>
          </cell>
          <cell r="BE13">
            <v>8.1974999999999998</v>
          </cell>
          <cell r="BF13">
            <v>7.4868749999999995</v>
          </cell>
          <cell r="BG13">
            <v>7.4868749999999995</v>
          </cell>
          <cell r="BH13">
            <v>7.4868749999999995</v>
          </cell>
          <cell r="BI13">
            <v>7.4868749999999995</v>
          </cell>
          <cell r="BJ13">
            <v>7.4868749999999995</v>
          </cell>
          <cell r="BK13">
            <v>7.4868749999999995</v>
          </cell>
          <cell r="BL13">
            <v>7.4868749999999995</v>
          </cell>
          <cell r="BM13">
            <v>7.4868749999999995</v>
          </cell>
          <cell r="BN13">
            <v>7.4868749999999995</v>
          </cell>
          <cell r="BO13">
            <v>7.4868749999999995</v>
          </cell>
        </row>
        <row r="14">
          <cell r="A14" t="str">
            <v>€/Yuan</v>
          </cell>
          <cell r="AF14">
            <v>0.11095761973714138</v>
          </cell>
          <cell r="AG14">
            <v>0.10687620102130896</v>
          </cell>
          <cell r="AH14">
            <v>0.10887867485942401</v>
          </cell>
          <cell r="AI14">
            <v>0.11036126760951975</v>
          </cell>
          <cell r="AJ14">
            <v>0.10936842650186546</v>
          </cell>
          <cell r="AK14">
            <v>0.11672520435665151</v>
          </cell>
          <cell r="AL14">
            <v>0.11111929072556728</v>
          </cell>
          <cell r="AM14">
            <v>0.12087542820120439</v>
          </cell>
          <cell r="AO14">
            <v>0.12311419826802945</v>
          </cell>
          <cell r="AP14">
            <v>0.12311419826802945</v>
          </cell>
          <cell r="AQ14">
            <v>0.12198454211882269</v>
          </cell>
          <cell r="AR14">
            <v>0.12587657298512517</v>
          </cell>
          <cell r="AS14">
            <v>0.12587657298512517</v>
          </cell>
          <cell r="AT14">
            <v>0.12325486517766572</v>
          </cell>
          <cell r="AU14">
            <v>0.1234331701958267</v>
          </cell>
          <cell r="AV14">
            <v>0.1234331701958267</v>
          </cell>
          <cell r="AW14">
            <v>0.12329939312038705</v>
          </cell>
          <cell r="AY14">
            <v>0.121654501216545</v>
          </cell>
          <cell r="AZ14">
            <v>0.11845534233593935</v>
          </cell>
          <cell r="BA14">
            <v>0.12003360941063498</v>
          </cell>
          <cell r="BB14">
            <v>0.12210012210012211</v>
          </cell>
          <cell r="BC14">
            <v>0.12071463061323034</v>
          </cell>
          <cell r="BD14">
            <v>0.12597631645250693</v>
          </cell>
          <cell r="BE14">
            <v>0.12198841110094541</v>
          </cell>
          <cell r="BF14">
            <v>0.13356707571583606</v>
          </cell>
          <cell r="BG14">
            <v>0.13356707571583606</v>
          </cell>
          <cell r="BH14">
            <v>0.13356707571583606</v>
          </cell>
          <cell r="BI14">
            <v>0.13356707571583606</v>
          </cell>
          <cell r="BJ14">
            <v>0.13356707571583606</v>
          </cell>
          <cell r="BK14">
            <v>0.13356707571583606</v>
          </cell>
          <cell r="BL14">
            <v>0.13356707571583606</v>
          </cell>
          <cell r="BM14">
            <v>0.13356707571583606</v>
          </cell>
          <cell r="BN14">
            <v>0.13356707571583606</v>
          </cell>
          <cell r="BO14">
            <v>0.13356707571583606</v>
          </cell>
        </row>
        <row r="15">
          <cell r="A15" t="str">
            <v xml:space="preserve">growth </v>
          </cell>
          <cell r="AM15">
            <v>8.9383752891944779E-2</v>
          </cell>
          <cell r="AO15">
            <v>0.15193276979860992</v>
          </cell>
          <cell r="AP15">
            <v>0.15193276979860992</v>
          </cell>
          <cell r="AQ15">
            <v>0.12037129654930112</v>
          </cell>
          <cell r="AR15">
            <v>0.14058650930416694</v>
          </cell>
          <cell r="AS15">
            <v>0.14058650930416694</v>
          </cell>
          <cell r="AT15">
            <v>0.12696935596456993</v>
          </cell>
          <cell r="AU15">
            <v>5.7468015379772863E-2</v>
          </cell>
          <cell r="AV15">
            <v>5.7468015379772863E-2</v>
          </cell>
          <cell r="AW15">
            <v>0.10961285223554129</v>
          </cell>
          <cell r="AY15">
            <v>6.4452554744525159E-3</v>
          </cell>
          <cell r="AZ15">
            <v>-3.7841743662639149E-2</v>
          </cell>
          <cell r="BA15">
            <v>-1.5993278117872878E-2</v>
          </cell>
          <cell r="BB15">
            <v>-3.0001221001220935E-2</v>
          </cell>
          <cell r="BC15">
            <v>-2.060960888459662E-2</v>
          </cell>
          <cell r="BD15">
            <v>2.0603426555807713E-2</v>
          </cell>
          <cell r="BE15">
            <v>-1.0632509911558397E-2</v>
          </cell>
          <cell r="BF15">
            <v>9.4916103180566092E-2</v>
          </cell>
          <cell r="BG15">
            <v>0</v>
          </cell>
          <cell r="BH15">
            <v>0</v>
          </cell>
          <cell r="BI15">
            <v>0</v>
          </cell>
          <cell r="BJ15">
            <v>0</v>
          </cell>
          <cell r="BK15">
            <v>0</v>
          </cell>
          <cell r="BL15">
            <v>0</v>
          </cell>
          <cell r="BM15">
            <v>0</v>
          </cell>
          <cell r="BN15">
            <v>0</v>
          </cell>
          <cell r="BO15">
            <v>0</v>
          </cell>
        </row>
        <row r="16">
          <cell r="A16" t="str">
            <v>Brazilian Real/€</v>
          </cell>
          <cell r="AF16">
            <v>2.28146</v>
          </cell>
          <cell r="AG16">
            <v>2.2959800000000001</v>
          </cell>
          <cell r="AH16">
            <v>2.2887200000000001</v>
          </cell>
          <cell r="AI16">
            <v>2.3078400000000001</v>
          </cell>
          <cell r="AJ16">
            <v>2.2950933333333334</v>
          </cell>
          <cell r="AK16">
            <v>2.4240400000000002</v>
          </cell>
          <cell r="AL16">
            <v>2.3273299999999999</v>
          </cell>
          <cell r="AM16">
            <v>2.31779</v>
          </cell>
          <cell r="AO16">
            <v>2.5148700000000002</v>
          </cell>
          <cell r="AP16">
            <v>2.5148700000000002</v>
          </cell>
          <cell r="AQ16">
            <v>2.4163300000000003</v>
          </cell>
          <cell r="AR16">
            <v>2.5377800000000001</v>
          </cell>
          <cell r="AS16">
            <v>2.5377800000000001</v>
          </cell>
          <cell r="AT16">
            <v>2.4568133333333333</v>
          </cell>
          <cell r="AU16">
            <v>2.6695600000000002</v>
          </cell>
          <cell r="AV16">
            <v>2.6695600000000002</v>
          </cell>
          <cell r="AW16">
            <v>2.5100000000000002</v>
          </cell>
          <cell r="AY16">
            <v>2.64</v>
          </cell>
          <cell r="AZ16">
            <v>2.7469999999999999</v>
          </cell>
          <cell r="BA16">
            <v>2.6935000000000002</v>
          </cell>
          <cell r="BB16">
            <v>2.7300000000000004</v>
          </cell>
          <cell r="BC16">
            <v>2.7056666666666671</v>
          </cell>
          <cell r="BD16">
            <v>2.6460000000000004</v>
          </cell>
          <cell r="BE16">
            <v>2.6907500000000004</v>
          </cell>
          <cell r="BF16">
            <v>2.4895749999999999</v>
          </cell>
          <cell r="BG16">
            <v>2.4895749999999999</v>
          </cell>
          <cell r="BH16">
            <v>2.4895749999999999</v>
          </cell>
          <cell r="BI16">
            <v>2.4895749999999999</v>
          </cell>
          <cell r="BJ16">
            <v>2.4895749999999999</v>
          </cell>
          <cell r="BK16">
            <v>2.4895749999999999</v>
          </cell>
          <cell r="BL16">
            <v>2.4895749999999999</v>
          </cell>
          <cell r="BM16">
            <v>2.4895749999999999</v>
          </cell>
          <cell r="BN16">
            <v>2.4895749999999999</v>
          </cell>
          <cell r="BO16">
            <v>2.4895749999999999</v>
          </cell>
        </row>
        <row r="17">
          <cell r="A17" t="str">
            <v>€/BRL</v>
          </cell>
          <cell r="AF17">
            <v>0.43831581531124802</v>
          </cell>
          <cell r="AG17">
            <v>0.43554386362250541</v>
          </cell>
          <cell r="AH17">
            <v>0.43692544304239922</v>
          </cell>
          <cell r="AI17">
            <v>0.43330560177481975</v>
          </cell>
          <cell r="AJ17">
            <v>0.43571212790184277</v>
          </cell>
          <cell r="AK17">
            <v>0.41253444662629324</v>
          </cell>
          <cell r="AL17">
            <v>0.42967692591940121</v>
          </cell>
          <cell r="AM17">
            <v>0.43144547176405112</v>
          </cell>
          <cell r="AO17">
            <v>0.39763486780628815</v>
          </cell>
          <cell r="AP17">
            <v>0.39763486780628815</v>
          </cell>
          <cell r="AQ17">
            <v>0.41385075713996011</v>
          </cell>
          <cell r="AR17">
            <v>0.39404518910228625</v>
          </cell>
          <cell r="AS17">
            <v>0.39404518910228625</v>
          </cell>
          <cell r="AT17">
            <v>0.40703133055828417</v>
          </cell>
          <cell r="AU17">
            <v>0.3745935659809107</v>
          </cell>
          <cell r="AV17">
            <v>0.3745935659809107</v>
          </cell>
          <cell r="AW17">
            <v>0.39840637450199201</v>
          </cell>
          <cell r="AY17">
            <v>0.37878787878787878</v>
          </cell>
          <cell r="AZ17">
            <v>0.36403349108117949</v>
          </cell>
          <cell r="BA17">
            <v>0.37126415444588823</v>
          </cell>
          <cell r="BB17">
            <v>0.36630036630036622</v>
          </cell>
          <cell r="BC17">
            <v>0.36959467783663907</v>
          </cell>
          <cell r="BD17">
            <v>0.37792894935752075</v>
          </cell>
          <cell r="BE17">
            <v>0.37164359379355194</v>
          </cell>
          <cell r="BF17">
            <v>0.40167498468614121</v>
          </cell>
          <cell r="BG17">
            <v>0.40167498468614121</v>
          </cell>
          <cell r="BH17">
            <v>0.40167498468614121</v>
          </cell>
          <cell r="BI17">
            <v>0.40167498468614121</v>
          </cell>
          <cell r="BJ17">
            <v>0.40167498468614121</v>
          </cell>
          <cell r="BK17">
            <v>0.40167498468614121</v>
          </cell>
          <cell r="BL17">
            <v>0.40167498468614121</v>
          </cell>
          <cell r="BM17">
            <v>0.40167498468614121</v>
          </cell>
          <cell r="BN17">
            <v>0.40167498468614121</v>
          </cell>
          <cell r="BO17">
            <v>0.40167498468614121</v>
          </cell>
        </row>
        <row r="18">
          <cell r="A18" t="str">
            <v xml:space="preserve">growth </v>
          </cell>
          <cell r="AM18">
            <v>-1.5674413989187785E-2</v>
          </cell>
          <cell r="AO18">
            <v>-8.7038296214118516E-2</v>
          </cell>
          <cell r="AP18">
            <v>-8.7038296214118516E-2</v>
          </cell>
          <cell r="AQ18">
            <v>-5.281149511863048E-2</v>
          </cell>
          <cell r="AR18">
            <v>-9.0606750782179724E-2</v>
          </cell>
          <cell r="AS18">
            <v>-9.0606750782179724E-2</v>
          </cell>
          <cell r="AT18">
            <v>-6.5825106777885778E-2</v>
          </cell>
          <cell r="AU18">
            <v>-9.1970212319633093E-2</v>
          </cell>
          <cell r="AV18">
            <v>-9.1970212319633093E-2</v>
          </cell>
          <cell r="AW18">
            <v>-7.2776892430278961E-2</v>
          </cell>
          <cell r="AY18">
            <v>-0.12204924242424253</v>
          </cell>
          <cell r="AZ18">
            <v>-8.4503094284674063E-2</v>
          </cell>
          <cell r="BA18">
            <v>-0.10290328568776674</v>
          </cell>
          <cell r="BB18">
            <v>-7.0410256410256666E-2</v>
          </cell>
          <cell r="BC18">
            <v>-9.1974867561907314E-2</v>
          </cell>
          <cell r="BD18">
            <v>8.9040060468630333E-3</v>
          </cell>
          <cell r="BE18">
            <v>-6.7174579578184623E-2</v>
          </cell>
          <cell r="BF18">
            <v>8.080696504423468E-2</v>
          </cell>
          <cell r="BG18">
            <v>0</v>
          </cell>
          <cell r="BH18">
            <v>0</v>
          </cell>
          <cell r="BI18">
            <v>0</v>
          </cell>
          <cell r="BJ18">
            <v>0</v>
          </cell>
          <cell r="BK18">
            <v>0</v>
          </cell>
          <cell r="BL18">
            <v>0</v>
          </cell>
          <cell r="BM18">
            <v>0</v>
          </cell>
          <cell r="BN18">
            <v>0</v>
          </cell>
          <cell r="BO18">
            <v>0</v>
          </cell>
        </row>
        <row r="19">
          <cell r="A19" t="str">
            <v>Russian Rouble/€</v>
          </cell>
          <cell r="AF19">
            <v>40.015000000000001</v>
          </cell>
          <cell r="AG19">
            <v>40.283200000000001</v>
          </cell>
          <cell r="AH19">
            <v>40.149100000000004</v>
          </cell>
          <cell r="AI19">
            <v>41.163400000000003</v>
          </cell>
          <cell r="AJ19">
            <v>40.487200000000001</v>
          </cell>
          <cell r="AK19">
            <v>42.032200000000003</v>
          </cell>
          <cell r="AL19">
            <v>40.873450000000005</v>
          </cell>
          <cell r="AM19">
            <v>39.5274</v>
          </cell>
          <cell r="AO19">
            <v>39.817500000000003</v>
          </cell>
          <cell r="AP19">
            <v>39.817500000000003</v>
          </cell>
          <cell r="AQ19">
            <v>39.672449999999998</v>
          </cell>
          <cell r="AR19">
            <v>39.966900000000003</v>
          </cell>
          <cell r="AS19">
            <v>39.966900000000003</v>
          </cell>
          <cell r="AT19">
            <v>39.770600000000002</v>
          </cell>
          <cell r="AU19">
            <v>40.310300000000005</v>
          </cell>
          <cell r="AV19">
            <v>40.310300000000005</v>
          </cell>
          <cell r="AW19">
            <v>39.905525000000004</v>
          </cell>
          <cell r="AY19">
            <v>40.154299999999999</v>
          </cell>
          <cell r="AZ19">
            <v>40.870000000000005</v>
          </cell>
          <cell r="BA19">
            <v>40.512150000000005</v>
          </cell>
          <cell r="BB19">
            <v>40.950000000000003</v>
          </cell>
          <cell r="BC19">
            <v>40.658100000000005</v>
          </cell>
          <cell r="BD19">
            <v>38.933999999999997</v>
          </cell>
          <cell r="BE19">
            <v>40.227074999999999</v>
          </cell>
          <cell r="BF19">
            <v>37.691499999999998</v>
          </cell>
          <cell r="BG19">
            <v>37.691499999999998</v>
          </cell>
          <cell r="BH19">
            <v>37.691499999999998</v>
          </cell>
          <cell r="BI19">
            <v>37.691499999999998</v>
          </cell>
          <cell r="BJ19">
            <v>37.691499999999998</v>
          </cell>
          <cell r="BK19">
            <v>37.691499999999998</v>
          </cell>
          <cell r="BL19">
            <v>37.691499999999998</v>
          </cell>
          <cell r="BM19">
            <v>37.691499999999998</v>
          </cell>
          <cell r="BN19">
            <v>37.691499999999998</v>
          </cell>
          <cell r="BO19">
            <v>37.691499999999998</v>
          </cell>
        </row>
        <row r="20">
          <cell r="A20" t="str">
            <v>€/RUB</v>
          </cell>
          <cell r="AF20">
            <v>2.4990628514307136E-2</v>
          </cell>
          <cell r="AG20">
            <v>2.4824244350001985E-2</v>
          </cell>
          <cell r="AH20">
            <v>2.4907158566443578E-2</v>
          </cell>
          <cell r="AI20">
            <v>2.4293425713133511E-2</v>
          </cell>
          <cell r="AJ20">
            <v>2.4699164180284137E-2</v>
          </cell>
          <cell r="AK20">
            <v>2.3791283825257775E-2</v>
          </cell>
          <cell r="AL20">
            <v>2.446575955785479E-2</v>
          </cell>
          <cell r="AM20">
            <v>2.5298906581257559E-2</v>
          </cell>
          <cell r="AO20">
            <v>2.5114585295410309E-2</v>
          </cell>
          <cell r="AP20">
            <v>2.5114585295410309E-2</v>
          </cell>
          <cell r="AQ20">
            <v>2.5206408981547648E-2</v>
          </cell>
          <cell r="AR20">
            <v>2.5020704633083875E-2</v>
          </cell>
          <cell r="AS20">
            <v>2.5020704633083875E-2</v>
          </cell>
          <cell r="AT20">
            <v>2.5144201998461173E-2</v>
          </cell>
          <cell r="AU20">
            <v>2.4807555389069293E-2</v>
          </cell>
          <cell r="AV20">
            <v>2.4807555389069293E-2</v>
          </cell>
          <cell r="AW20">
            <v>2.5059186666507957E-2</v>
          </cell>
          <cell r="AY20">
            <v>2.4903933078151034E-2</v>
          </cell>
          <cell r="AZ20">
            <v>2.4467824810374354E-2</v>
          </cell>
          <cell r="BA20">
            <v>2.4683952838839701E-2</v>
          </cell>
          <cell r="BB20">
            <v>2.442002442002442E-2</v>
          </cell>
          <cell r="BC20">
            <v>2.4595345084989211E-2</v>
          </cell>
          <cell r="BD20">
            <v>2.5684491703909181E-2</v>
          </cell>
          <cell r="BE20">
            <v>2.4858879249858461E-2</v>
          </cell>
          <cell r="BF20">
            <v>2.6531180770200179E-2</v>
          </cell>
          <cell r="BG20">
            <v>2.6531180770200179E-2</v>
          </cell>
          <cell r="BH20">
            <v>2.6531180770200179E-2</v>
          </cell>
          <cell r="BI20">
            <v>2.6531180770200179E-2</v>
          </cell>
          <cell r="BJ20">
            <v>2.6531180770200179E-2</v>
          </cell>
          <cell r="BK20">
            <v>2.6531180770200179E-2</v>
          </cell>
          <cell r="BL20">
            <v>2.6531180770200179E-2</v>
          </cell>
          <cell r="BM20">
            <v>2.6531180770200179E-2</v>
          </cell>
          <cell r="BN20">
            <v>2.6531180770200179E-2</v>
          </cell>
          <cell r="BO20">
            <v>2.6531180770200179E-2</v>
          </cell>
        </row>
        <row r="21">
          <cell r="A21" t="str">
            <v xml:space="preserve">growth </v>
          </cell>
          <cell r="AM21">
            <v>1.2335746849021278E-2</v>
          </cell>
          <cell r="AO21">
            <v>1.1695862372072652E-2</v>
          </cell>
          <cell r="AP21">
            <v>1.1695862372072652E-2</v>
          </cell>
          <cell r="AQ21">
            <v>1.2014634841054805E-2</v>
          </cell>
          <cell r="AR21">
            <v>2.9937273093484817E-2</v>
          </cell>
          <cell r="AS21">
            <v>2.9937273093484817E-2</v>
          </cell>
          <cell r="AT21">
            <v>1.8018335152097276E-2</v>
          </cell>
          <cell r="AU21">
            <v>4.2716129624438492E-2</v>
          </cell>
          <cell r="AV21">
            <v>4.2716129624438492E-2</v>
          </cell>
          <cell r="AW21">
            <v>2.4255413254179681E-2</v>
          </cell>
          <cell r="AY21">
            <v>-1.5612275646692875E-2</v>
          </cell>
          <cell r="AZ21">
            <v>-2.5752385612919149E-2</v>
          </cell>
          <cell r="BA21">
            <v>-2.0727115198773904E-2</v>
          </cell>
          <cell r="BB21">
            <v>-2.4007326007325913E-2</v>
          </cell>
          <cell r="BC21">
            <v>-2.1828368762928041E-2</v>
          </cell>
          <cell r="BD21">
            <v>3.5349565932090377E-2</v>
          </cell>
          <cell r="BE21">
            <v>-7.9933726227918722E-3</v>
          </cell>
          <cell r="BF21">
            <v>6.727179868140043E-2</v>
          </cell>
          <cell r="BG21">
            <v>0</v>
          </cell>
          <cell r="BH21">
            <v>0</v>
          </cell>
          <cell r="BI21">
            <v>0</v>
          </cell>
          <cell r="BJ21">
            <v>0</v>
          </cell>
          <cell r="BK21">
            <v>0</v>
          </cell>
          <cell r="BL21">
            <v>0</v>
          </cell>
          <cell r="BM21">
            <v>0</v>
          </cell>
          <cell r="BN21">
            <v>0</v>
          </cell>
          <cell r="BO21">
            <v>0</v>
          </cell>
        </row>
        <row r="22">
          <cell r="A22" t="str">
            <v>ROW factor</v>
          </cell>
          <cell r="AM22">
            <v>2.6982599804869663E-2</v>
          </cell>
          <cell r="AO22">
            <v>3.6300398945647322E-2</v>
          </cell>
          <cell r="AQ22">
            <v>3.1347985502517106E-2</v>
          </cell>
          <cell r="AR22">
            <v>3.0687318695897803E-2</v>
          </cell>
          <cell r="AT22">
            <v>3.1040798939464188E-2</v>
          </cell>
          <cell r="AU22">
            <v>-3.816533908964863E-3</v>
          </cell>
          <cell r="AW22">
            <v>2.2120848273685035E-2</v>
          </cell>
          <cell r="AY22">
            <v>-4.4407171924215436E-2</v>
          </cell>
          <cell r="AZ22">
            <v>-6.2372334451578269E-2</v>
          </cell>
          <cell r="BA22">
            <v>-5.3779193603520258E-2</v>
          </cell>
          <cell r="BB22">
            <v>-6.4898979334098744E-2</v>
          </cell>
          <cell r="BC22">
            <v>-5.7610629376412099E-2</v>
          </cell>
          <cell r="BD22">
            <v>-2.9050010744123049E-2</v>
          </cell>
          <cell r="BE22">
            <v>-5.061064063231055E-2</v>
          </cell>
          <cell r="BF22">
            <v>3.1540204128232156E-2</v>
          </cell>
          <cell r="BG22">
            <v>0</v>
          </cell>
          <cell r="BH22">
            <v>0</v>
          </cell>
          <cell r="BI22">
            <v>0</v>
          </cell>
          <cell r="BJ22">
            <v>0</v>
          </cell>
          <cell r="BK22">
            <v>0</v>
          </cell>
          <cell r="BL22">
            <v>0</v>
          </cell>
          <cell r="BM22">
            <v>0</v>
          </cell>
          <cell r="BN22">
            <v>0</v>
          </cell>
          <cell r="BO22">
            <v>0</v>
          </cell>
        </row>
        <row r="24">
          <cell r="A24" t="str">
            <v>PRIMARY CARE</v>
          </cell>
        </row>
        <row r="25">
          <cell r="A25" t="str">
            <v>Adalat</v>
          </cell>
          <cell r="B25">
            <v>659</v>
          </cell>
          <cell r="C25">
            <v>657</v>
          </cell>
          <cell r="D25">
            <v>145</v>
          </cell>
          <cell r="E25">
            <v>162</v>
          </cell>
          <cell r="F25">
            <v>307</v>
          </cell>
          <cell r="G25">
            <v>152</v>
          </cell>
          <cell r="H25">
            <v>459</v>
          </cell>
          <cell r="I25">
            <v>155</v>
          </cell>
          <cell r="J25">
            <v>614</v>
          </cell>
          <cell r="K25">
            <v>150</v>
          </cell>
          <cell r="L25">
            <v>158</v>
          </cell>
          <cell r="M25">
            <v>308</v>
          </cell>
          <cell r="N25">
            <v>148</v>
          </cell>
          <cell r="O25">
            <v>456</v>
          </cell>
          <cell r="P25">
            <v>170</v>
          </cell>
          <cell r="Q25">
            <v>626</v>
          </cell>
          <cell r="R25">
            <v>156</v>
          </cell>
          <cell r="S25">
            <v>162</v>
          </cell>
          <cell r="T25">
            <v>318</v>
          </cell>
          <cell r="U25">
            <v>155</v>
          </cell>
          <cell r="V25">
            <v>473</v>
          </cell>
          <cell r="W25">
            <v>160</v>
          </cell>
          <cell r="X25">
            <v>633</v>
          </cell>
          <cell r="Y25">
            <v>146</v>
          </cell>
          <cell r="Z25">
            <v>177</v>
          </cell>
          <cell r="AA25">
            <v>323</v>
          </cell>
          <cell r="AB25">
            <v>171</v>
          </cell>
          <cell r="AC25">
            <v>494</v>
          </cell>
          <cell r="AD25">
            <v>170</v>
          </cell>
          <cell r="AE25">
            <v>664</v>
          </cell>
          <cell r="AF25">
            <v>157</v>
          </cell>
          <cell r="AG25">
            <v>156</v>
          </cell>
          <cell r="AH25">
            <v>313</v>
          </cell>
          <cell r="AI25">
            <v>156</v>
          </cell>
          <cell r="AJ25">
            <v>469</v>
          </cell>
          <cell r="AK25">
            <v>171</v>
          </cell>
          <cell r="AL25">
            <v>640</v>
          </cell>
          <cell r="AM25">
            <v>158</v>
          </cell>
          <cell r="AN25">
            <v>158</v>
          </cell>
          <cell r="AO25">
            <v>172</v>
          </cell>
          <cell r="AQ25">
            <v>330</v>
          </cell>
          <cell r="AR25">
            <v>171</v>
          </cell>
          <cell r="AT25">
            <v>501</v>
          </cell>
          <cell r="AU25">
            <v>169</v>
          </cell>
          <cell r="AW25">
            <v>670</v>
          </cell>
          <cell r="AY25">
            <v>155</v>
          </cell>
          <cell r="AZ25">
            <v>164.49739764381511</v>
          </cell>
          <cell r="BA25">
            <v>319.49739764381513</v>
          </cell>
          <cell r="BB25">
            <v>163.10032002454651</v>
          </cell>
          <cell r="BC25">
            <v>482.59771766836161</v>
          </cell>
          <cell r="BD25">
            <v>166.24899017676748</v>
          </cell>
          <cell r="BE25">
            <v>648.84670784512912</v>
          </cell>
          <cell r="BF25">
            <v>669.39965454906144</v>
          </cell>
          <cell r="BG25">
            <v>649.38129856207411</v>
          </cell>
          <cell r="BH25">
            <v>629.96349325469635</v>
          </cell>
          <cell r="BI25">
            <v>611.12822210653997</v>
          </cell>
          <cell r="BJ25">
            <v>598.94808009739882</v>
          </cell>
          <cell r="BK25">
            <v>587.01154092844047</v>
          </cell>
          <cell r="BL25">
            <v>575.31373254286132</v>
          </cell>
          <cell r="BM25">
            <v>575.31373254286132</v>
          </cell>
          <cell r="BN25">
            <v>575.31373254286132</v>
          </cell>
          <cell r="BO25">
            <v>575.31373254286132</v>
          </cell>
          <cell r="BQ25">
            <v>0.05</v>
          </cell>
          <cell r="BW25">
            <v>-34.036506745303654</v>
          </cell>
        </row>
        <row r="26">
          <cell r="A26" t="str">
            <v>growth %</v>
          </cell>
          <cell r="F26" t="e">
            <v>#REF!</v>
          </cell>
          <cell r="H26" t="e">
            <v>#VALUE!</v>
          </cell>
          <cell r="J26">
            <v>-1.4999999999999999E-2</v>
          </cell>
          <cell r="K26">
            <v>0.06</v>
          </cell>
          <cell r="L26">
            <v>2.8000000000000001E-2</v>
          </cell>
          <cell r="M26">
            <v>3.2573289902280145E-3</v>
          </cell>
          <cell r="N26">
            <v>1.7999999999999999E-2</v>
          </cell>
          <cell r="O26">
            <v>-6.5359477124182774E-3</v>
          </cell>
          <cell r="P26">
            <v>9.6774193548387011E-2</v>
          </cell>
          <cell r="Q26">
            <v>3.9E-2</v>
          </cell>
          <cell r="R26">
            <v>-3.1E-2</v>
          </cell>
          <cell r="S26">
            <v>-5.1999999999999998E-2</v>
          </cell>
          <cell r="T26">
            <v>3.2467532467532534E-2</v>
          </cell>
          <cell r="U26">
            <v>4.7297297297297369E-2</v>
          </cell>
          <cell r="V26">
            <v>3.7280701754385914E-2</v>
          </cell>
          <cell r="W26">
            <v>-5.8823529411764719E-2</v>
          </cell>
          <cell r="X26">
            <v>1.1182108626198062E-2</v>
          </cell>
          <cell r="Y26">
            <v>-6.4102564102564097E-2</v>
          </cell>
          <cell r="Z26">
            <v>9.259259259259256E-2</v>
          </cell>
          <cell r="AA26">
            <v>1.572327044025168E-2</v>
          </cell>
          <cell r="AB26">
            <v>0.10322580645161294</v>
          </cell>
          <cell r="AC26">
            <v>4.4397463002114224E-2</v>
          </cell>
          <cell r="AD26">
            <v>6.25E-2</v>
          </cell>
          <cell r="AE26">
            <v>4.8973143759873716E-2</v>
          </cell>
          <cell r="AF26">
            <v>7.5342465753424737E-2</v>
          </cell>
          <cell r="AG26">
            <v>-0.11864406779661019</v>
          </cell>
          <cell r="AH26">
            <v>-3.0959752321981449E-2</v>
          </cell>
          <cell r="AI26">
            <v>-8.7719298245614086E-2</v>
          </cell>
          <cell r="AJ26">
            <v>-5.0607287449392691E-2</v>
          </cell>
          <cell r="AK26">
            <v>5.8823529411764497E-3</v>
          </cell>
          <cell r="AL26">
            <v>-3.6144578313253017E-2</v>
          </cell>
          <cell r="AM26">
            <v>6.3694267515923553E-3</v>
          </cell>
          <cell r="AN26">
            <v>6.3694267515923553E-3</v>
          </cell>
          <cell r="AO26">
            <v>0.10256410256410264</v>
          </cell>
          <cell r="AQ26">
            <v>5.4313099041533475E-2</v>
          </cell>
          <cell r="AR26">
            <v>9.6153846153846256E-2</v>
          </cell>
          <cell r="AT26">
            <v>6.8230277185501009E-2</v>
          </cell>
          <cell r="AU26">
            <v>-1.1695906432748537E-2</v>
          </cell>
          <cell r="AW26">
            <v>4.6875E-2</v>
          </cell>
          <cell r="AY26">
            <v>-1.8987341772151889E-2</v>
          </cell>
          <cell r="AZ26">
            <v>-4.3619781140609826E-2</v>
          </cell>
          <cell r="BA26">
            <v>-3.1826067746014708E-2</v>
          </cell>
          <cell r="BB26">
            <v>-4.6196958920780684E-2</v>
          </cell>
          <cell r="BC26">
            <v>-3.6731102458360088E-2</v>
          </cell>
          <cell r="BD26">
            <v>-1.6278164634511927E-2</v>
          </cell>
          <cell r="BE26">
            <v>-3.1572077843090907E-2</v>
          </cell>
          <cell r="BF26">
            <v>3.167612080855009E-2</v>
          </cell>
          <cell r="BG26">
            <v>-2.9904939225689708E-2</v>
          </cell>
          <cell r="BH26">
            <v>-2.9902008804957303E-2</v>
          </cell>
          <cell r="BI26">
            <v>-2.9898988353823874E-2</v>
          </cell>
          <cell r="BJ26">
            <v>-1.9930583416940872E-2</v>
          </cell>
          <cell r="BK26">
            <v>-1.992917176897413E-2</v>
          </cell>
          <cell r="BL26">
            <v>-1.9927731517982439E-2</v>
          </cell>
          <cell r="BM26">
            <v>0</v>
          </cell>
          <cell r="BN26">
            <v>0</v>
          </cell>
          <cell r="BO26">
            <v>0</v>
          </cell>
          <cell r="BW26">
            <v>-7.8875152564831019E-2</v>
          </cell>
        </row>
        <row r="27">
          <cell r="A27" t="str">
            <v>Adalat US</v>
          </cell>
          <cell r="D27">
            <v>4</v>
          </cell>
          <cell r="E27">
            <v>6</v>
          </cell>
          <cell r="F27">
            <v>10</v>
          </cell>
          <cell r="G27">
            <v>4</v>
          </cell>
          <cell r="H27">
            <v>14</v>
          </cell>
          <cell r="I27">
            <v>3</v>
          </cell>
          <cell r="J27">
            <v>17</v>
          </cell>
          <cell r="K27">
            <v>1</v>
          </cell>
          <cell r="L27">
            <v>3</v>
          </cell>
          <cell r="M27">
            <v>4</v>
          </cell>
          <cell r="N27">
            <v>3</v>
          </cell>
          <cell r="O27">
            <v>7</v>
          </cell>
          <cell r="P27">
            <v>1</v>
          </cell>
          <cell r="Q27">
            <v>8</v>
          </cell>
          <cell r="R27">
            <v>1</v>
          </cell>
          <cell r="S27">
            <v>2</v>
          </cell>
          <cell r="T27">
            <v>3</v>
          </cell>
          <cell r="U27">
            <v>1</v>
          </cell>
          <cell r="V27">
            <v>4</v>
          </cell>
          <cell r="W27">
            <v>0</v>
          </cell>
          <cell r="X27">
            <v>4</v>
          </cell>
          <cell r="Y27">
            <v>2</v>
          </cell>
          <cell r="Z27">
            <v>1</v>
          </cell>
          <cell r="AA27">
            <v>3</v>
          </cell>
          <cell r="AB27">
            <v>1</v>
          </cell>
          <cell r="AC27">
            <v>4</v>
          </cell>
          <cell r="AD27">
            <v>0</v>
          </cell>
          <cell r="AE27">
            <v>4</v>
          </cell>
          <cell r="AF27">
            <v>1</v>
          </cell>
          <cell r="AG27">
            <v>0</v>
          </cell>
          <cell r="AH27">
            <v>1</v>
          </cell>
          <cell r="AI27">
            <v>2</v>
          </cell>
          <cell r="AJ27">
            <v>3</v>
          </cell>
          <cell r="AK27">
            <v>0</v>
          </cell>
          <cell r="AL27">
            <v>3</v>
          </cell>
          <cell r="AM27">
            <v>1</v>
          </cell>
          <cell r="AN27">
            <v>1</v>
          </cell>
          <cell r="AO27">
            <v>0</v>
          </cell>
          <cell r="AQ27">
            <v>1</v>
          </cell>
          <cell r="AR27">
            <v>0</v>
          </cell>
          <cell r="AT27">
            <v>1</v>
          </cell>
          <cell r="AU27">
            <v>1</v>
          </cell>
          <cell r="AW27">
            <v>2</v>
          </cell>
          <cell r="AY27">
            <v>2</v>
          </cell>
          <cell r="AZ27">
            <v>0</v>
          </cell>
          <cell r="BA27">
            <v>2</v>
          </cell>
          <cell r="BB27">
            <v>0</v>
          </cell>
          <cell r="BC27">
            <v>2</v>
          </cell>
          <cell r="BD27">
            <v>-2.9226053639846761E-2</v>
          </cell>
          <cell r="BE27">
            <v>1.9707739463601532</v>
          </cell>
          <cell r="BF27">
            <v>2.121121649484536</v>
          </cell>
          <cell r="BG27">
            <v>2.121121649484536</v>
          </cell>
          <cell r="BH27">
            <v>2.121121649484536</v>
          </cell>
          <cell r="BI27">
            <v>2.121121649484536</v>
          </cell>
          <cell r="BJ27">
            <v>2.121121649484536</v>
          </cell>
          <cell r="BK27">
            <v>2.121121649484536</v>
          </cell>
          <cell r="BL27">
            <v>2.121121649484536</v>
          </cell>
          <cell r="BM27">
            <v>2.121121649484536</v>
          </cell>
          <cell r="BN27">
            <v>2.121121649484536</v>
          </cell>
          <cell r="BO27">
            <v>2.121121649484536</v>
          </cell>
        </row>
        <row r="28">
          <cell r="A28" t="str">
            <v>growth reported %</v>
          </cell>
          <cell r="F28" t="e">
            <v>#REF!</v>
          </cell>
          <cell r="H28" t="e">
            <v>#VALUE!</v>
          </cell>
          <cell r="J28" t="e">
            <v>#DIV/0!</v>
          </cell>
          <cell r="K28">
            <v>-0.75</v>
          </cell>
          <cell r="L28">
            <v>-0.5</v>
          </cell>
          <cell r="M28">
            <v>-0.6</v>
          </cell>
          <cell r="N28">
            <v>-0.25</v>
          </cell>
          <cell r="O28">
            <v>-0.5</v>
          </cell>
          <cell r="P28">
            <v>-0.66666666666666674</v>
          </cell>
          <cell r="Q28">
            <v>-0.52941176470588236</v>
          </cell>
          <cell r="R28">
            <v>0</v>
          </cell>
          <cell r="S28">
            <v>-0.33333333333333337</v>
          </cell>
          <cell r="T28">
            <v>-0.25</v>
          </cell>
          <cell r="U28">
            <v>-0.66666666666666674</v>
          </cell>
          <cell r="V28">
            <v>-0.4285714285714286</v>
          </cell>
          <cell r="W28">
            <v>-1</v>
          </cell>
          <cell r="X28">
            <v>-0.5</v>
          </cell>
          <cell r="Y28">
            <v>1</v>
          </cell>
          <cell r="Z28">
            <v>-0.5</v>
          </cell>
          <cell r="AA28">
            <v>0</v>
          </cell>
          <cell r="AB28">
            <v>0</v>
          </cell>
          <cell r="AC28">
            <v>0</v>
          </cell>
          <cell r="AD28" t="e">
            <v>#DIV/0!</v>
          </cell>
          <cell r="AE28">
            <v>0</v>
          </cell>
          <cell r="AF28">
            <v>-0.5</v>
          </cell>
          <cell r="AG28">
            <v>-1</v>
          </cell>
          <cell r="AH28">
            <v>-0.66666666666666674</v>
          </cell>
          <cell r="AI28">
            <v>1</v>
          </cell>
          <cell r="AJ28">
            <v>-0.25</v>
          </cell>
          <cell r="AK28" t="str">
            <v>NM</v>
          </cell>
          <cell r="AL28">
            <v>-0.25</v>
          </cell>
          <cell r="AM28">
            <v>0</v>
          </cell>
          <cell r="AN28">
            <v>0</v>
          </cell>
          <cell r="AO28" t="str">
            <v>nm</v>
          </cell>
          <cell r="AQ28">
            <v>0</v>
          </cell>
          <cell r="AR28">
            <v>-1</v>
          </cell>
          <cell r="AT28">
            <v>-0.66666666666666674</v>
          </cell>
          <cell r="AU28" t="str">
            <v>nm</v>
          </cell>
          <cell r="AW28">
            <v>-0.33333333333333337</v>
          </cell>
          <cell r="AY28">
            <v>1</v>
          </cell>
          <cell r="AZ28">
            <v>-4.240298507462692E-2</v>
          </cell>
          <cell r="BB28">
            <v>-3.7630769230769134E-2</v>
          </cell>
          <cell r="BD28">
            <v>-1.0292260536398468</v>
          </cell>
          <cell r="BE28">
            <v>-1.461302681992338E-2</v>
          </cell>
          <cell r="BF28">
            <v>7.6288659793814384E-2</v>
          </cell>
          <cell r="BG28">
            <v>0</v>
          </cell>
          <cell r="BH28">
            <v>0</v>
          </cell>
          <cell r="BI28">
            <v>0</v>
          </cell>
          <cell r="BJ28">
            <v>0</v>
          </cell>
          <cell r="BK28">
            <v>0</v>
          </cell>
          <cell r="BL28">
            <v>0</v>
          </cell>
          <cell r="BM28">
            <v>0</v>
          </cell>
          <cell r="BN28">
            <v>0</v>
          </cell>
          <cell r="BO28">
            <v>0</v>
          </cell>
        </row>
        <row r="29">
          <cell r="A29" t="str">
            <v>growth CER %</v>
          </cell>
          <cell r="AZ29">
            <v>0</v>
          </cell>
          <cell r="BB29">
            <v>0</v>
          </cell>
          <cell r="BE29">
            <v>0</v>
          </cell>
          <cell r="BF29">
            <v>0</v>
          </cell>
          <cell r="BG29">
            <v>0</v>
          </cell>
          <cell r="BH29">
            <v>0</v>
          </cell>
          <cell r="BI29">
            <v>0</v>
          </cell>
          <cell r="BJ29">
            <v>0</v>
          </cell>
          <cell r="BK29">
            <v>0</v>
          </cell>
          <cell r="BL29">
            <v>0</v>
          </cell>
          <cell r="BM29">
            <v>0</v>
          </cell>
          <cell r="BN29">
            <v>0</v>
          </cell>
          <cell r="BO29">
            <v>0</v>
          </cell>
        </row>
        <row r="30">
          <cell r="A30" t="str">
            <v>Adalat ROW</v>
          </cell>
          <cell r="D30">
            <v>141</v>
          </cell>
          <cell r="E30">
            <v>156</v>
          </cell>
          <cell r="F30">
            <v>297</v>
          </cell>
          <cell r="G30">
            <v>148</v>
          </cell>
          <cell r="H30">
            <v>445</v>
          </cell>
          <cell r="I30">
            <v>152</v>
          </cell>
          <cell r="J30">
            <v>597</v>
          </cell>
          <cell r="K30">
            <v>149</v>
          </cell>
          <cell r="L30">
            <v>155</v>
          </cell>
          <cell r="M30">
            <v>304</v>
          </cell>
          <cell r="N30">
            <v>145</v>
          </cell>
          <cell r="O30">
            <v>449</v>
          </cell>
          <cell r="P30">
            <v>169</v>
          </cell>
          <cell r="Q30">
            <v>618</v>
          </cell>
          <cell r="R30">
            <v>155</v>
          </cell>
          <cell r="S30">
            <v>160</v>
          </cell>
          <cell r="T30">
            <v>315</v>
          </cell>
          <cell r="U30">
            <v>154</v>
          </cell>
          <cell r="V30">
            <v>469</v>
          </cell>
          <cell r="W30">
            <v>160</v>
          </cell>
          <cell r="X30">
            <v>629</v>
          </cell>
          <cell r="Y30">
            <v>144</v>
          </cell>
          <cell r="Z30">
            <v>176</v>
          </cell>
          <cell r="AA30">
            <v>320</v>
          </cell>
          <cell r="AB30">
            <v>170</v>
          </cell>
          <cell r="AC30">
            <v>490</v>
          </cell>
          <cell r="AD30">
            <v>170</v>
          </cell>
          <cell r="AE30">
            <v>660</v>
          </cell>
          <cell r="AF30">
            <v>156</v>
          </cell>
          <cell r="AG30">
            <v>156</v>
          </cell>
          <cell r="AH30">
            <v>312</v>
          </cell>
          <cell r="AI30">
            <v>154</v>
          </cell>
          <cell r="AJ30">
            <v>466</v>
          </cell>
          <cell r="AK30">
            <v>171</v>
          </cell>
          <cell r="AL30">
            <v>637</v>
          </cell>
          <cell r="AM30">
            <v>157</v>
          </cell>
          <cell r="AN30">
            <v>157</v>
          </cell>
          <cell r="AO30">
            <v>172</v>
          </cell>
          <cell r="AQ30">
            <v>329</v>
          </cell>
          <cell r="AR30">
            <v>171</v>
          </cell>
          <cell r="AT30">
            <v>500</v>
          </cell>
          <cell r="AU30">
            <v>168</v>
          </cell>
          <cell r="AW30">
            <v>668</v>
          </cell>
          <cell r="AY30">
            <v>153</v>
          </cell>
          <cell r="AZ30">
            <v>164.49739764381511</v>
          </cell>
          <cell r="BA30">
            <v>317.49739764381513</v>
          </cell>
          <cell r="BB30">
            <v>163.10032002454651</v>
          </cell>
          <cell r="BC30">
            <v>480.59771766836161</v>
          </cell>
          <cell r="BD30">
            <v>166.27821623040734</v>
          </cell>
          <cell r="BE30">
            <v>646.87593389876895</v>
          </cell>
          <cell r="BF30">
            <v>667.27853289957693</v>
          </cell>
          <cell r="BG30">
            <v>647.2601769125896</v>
          </cell>
          <cell r="BH30">
            <v>627.84237160521184</v>
          </cell>
          <cell r="BI30">
            <v>609.00710045705546</v>
          </cell>
          <cell r="BJ30">
            <v>596.82695844791431</v>
          </cell>
          <cell r="BK30">
            <v>584.89041927895596</v>
          </cell>
          <cell r="BL30">
            <v>573.19261089337681</v>
          </cell>
          <cell r="BM30">
            <v>573.19261089337681</v>
          </cell>
          <cell r="BN30">
            <v>573.19261089337681</v>
          </cell>
          <cell r="BO30">
            <v>573.19261089337681</v>
          </cell>
        </row>
        <row r="31">
          <cell r="A31" t="str">
            <v>growth reported %</v>
          </cell>
          <cell r="F31" t="e">
            <v>#REF!</v>
          </cell>
          <cell r="H31" t="e">
            <v>#VALUE!</v>
          </cell>
          <cell r="K31">
            <v>5.6737588652482351E-2</v>
          </cell>
          <cell r="L31">
            <v>-6.4102564102563875E-3</v>
          </cell>
          <cell r="M31">
            <v>2.3569023569023573E-2</v>
          </cell>
          <cell r="N31">
            <v>-2.0270270270270285E-2</v>
          </cell>
          <cell r="O31">
            <v>8.9887640449437534E-3</v>
          </cell>
          <cell r="P31">
            <v>0.11184210526315796</v>
          </cell>
          <cell r="Q31">
            <v>3.5175879396984966E-2</v>
          </cell>
          <cell r="R31">
            <v>4.0268456375838868E-2</v>
          </cell>
          <cell r="S31">
            <v>3.2258064516129004E-2</v>
          </cell>
          <cell r="T31">
            <v>3.6184210526315708E-2</v>
          </cell>
          <cell r="U31">
            <v>6.2068965517241281E-2</v>
          </cell>
          <cell r="V31">
            <v>4.4543429844098092E-2</v>
          </cell>
          <cell r="W31">
            <v>-5.3254437869822535E-2</v>
          </cell>
          <cell r="X31">
            <v>1.7799352750809128E-2</v>
          </cell>
          <cell r="Y31">
            <v>-7.096774193548383E-2</v>
          </cell>
          <cell r="Z31">
            <v>0.10000000000000009</v>
          </cell>
          <cell r="AA31">
            <v>1.5873015873015817E-2</v>
          </cell>
          <cell r="AB31">
            <v>0.10389610389610393</v>
          </cell>
          <cell r="AC31">
            <v>4.4776119402984982E-2</v>
          </cell>
          <cell r="AD31">
            <v>6.25E-2</v>
          </cell>
          <cell r="AE31">
            <v>4.9284578696343395E-2</v>
          </cell>
          <cell r="AF31">
            <v>8.3333333333333259E-2</v>
          </cell>
          <cell r="AG31">
            <v>-0.11363636363636365</v>
          </cell>
          <cell r="AH31">
            <v>-2.5000000000000022E-2</v>
          </cell>
          <cell r="AI31">
            <v>-9.4117647058823528E-2</v>
          </cell>
          <cell r="AJ31">
            <v>-4.8979591836734726E-2</v>
          </cell>
          <cell r="AK31">
            <v>5.8823529411764497E-3</v>
          </cell>
          <cell r="AL31">
            <v>-3.4848484848484795E-2</v>
          </cell>
          <cell r="AM31">
            <v>6.4102564102563875E-3</v>
          </cell>
          <cell r="AN31">
            <v>6.4102564102563875E-3</v>
          </cell>
          <cell r="AO31">
            <v>0.10256410256410264</v>
          </cell>
          <cell r="AQ31">
            <v>5.4487179487179516E-2</v>
          </cell>
          <cell r="AR31">
            <v>0.11038961038961048</v>
          </cell>
          <cell r="AT31">
            <v>7.296137339055786E-2</v>
          </cell>
          <cell r="AU31">
            <v>-1.7543859649122862E-2</v>
          </cell>
          <cell r="AW31">
            <v>4.8665620094191508E-2</v>
          </cell>
          <cell r="AY31">
            <v>-2.5477707006369421E-2</v>
          </cell>
          <cell r="AZ31">
            <v>-4.3619781140609826E-2</v>
          </cell>
          <cell r="BB31">
            <v>-4.6196958920780684E-2</v>
          </cell>
          <cell r="BD31">
            <v>-1.0248712914242009E-2</v>
          </cell>
          <cell r="BE31">
            <v>-3.1622853444956744E-2</v>
          </cell>
          <cell r="BF31">
            <v>3.1540204128232219E-2</v>
          </cell>
          <cell r="BG31">
            <v>-3.0000000000000027E-2</v>
          </cell>
          <cell r="BH31">
            <v>-3.0000000000000027E-2</v>
          </cell>
          <cell r="BI31">
            <v>-3.0000000000000027E-2</v>
          </cell>
          <cell r="BJ31">
            <v>-2.0000000000000018E-2</v>
          </cell>
          <cell r="BK31">
            <v>-2.0000000000000018E-2</v>
          </cell>
          <cell r="BL31">
            <v>-2.0000000000000018E-2</v>
          </cell>
          <cell r="BM31">
            <v>0</v>
          </cell>
          <cell r="BN31">
            <v>0</v>
          </cell>
          <cell r="BO31">
            <v>0</v>
          </cell>
        </row>
        <row r="32">
          <cell r="A32" t="str">
            <v>growth CER %</v>
          </cell>
          <cell r="AZ32">
            <v>0.02</v>
          </cell>
          <cell r="BB32">
            <v>0.02</v>
          </cell>
          <cell r="BE32">
            <v>0.02</v>
          </cell>
          <cell r="BF32">
            <v>0</v>
          </cell>
          <cell r="BG32">
            <v>-0.03</v>
          </cell>
          <cell r="BH32">
            <v>-0.03</v>
          </cell>
          <cell r="BI32">
            <v>-0.03</v>
          </cell>
          <cell r="BJ32">
            <v>-0.02</v>
          </cell>
          <cell r="BK32">
            <v>-0.02</v>
          </cell>
          <cell r="BL32">
            <v>-0.02</v>
          </cell>
          <cell r="BM32">
            <v>0</v>
          </cell>
          <cell r="BN32">
            <v>0</v>
          </cell>
          <cell r="BO32">
            <v>0</v>
          </cell>
        </row>
        <row r="33">
          <cell r="A33" t="str">
            <v>Avelox</v>
          </cell>
          <cell r="B33">
            <v>364</v>
          </cell>
          <cell r="C33">
            <v>396</v>
          </cell>
          <cell r="D33">
            <v>128</v>
          </cell>
          <cell r="E33">
            <v>90</v>
          </cell>
          <cell r="F33">
            <v>218</v>
          </cell>
          <cell r="G33">
            <v>99</v>
          </cell>
          <cell r="H33">
            <v>317</v>
          </cell>
          <cell r="I33">
            <v>128</v>
          </cell>
          <cell r="J33">
            <v>445</v>
          </cell>
          <cell r="K33">
            <v>143</v>
          </cell>
          <cell r="L33">
            <v>90</v>
          </cell>
          <cell r="M33">
            <v>233</v>
          </cell>
          <cell r="N33">
            <v>101</v>
          </cell>
          <cell r="O33">
            <v>334</v>
          </cell>
          <cell r="P33">
            <v>128</v>
          </cell>
          <cell r="Q33">
            <v>462</v>
          </cell>
          <cell r="R33">
            <v>129</v>
          </cell>
          <cell r="S33">
            <v>92</v>
          </cell>
          <cell r="T33">
            <v>221</v>
          </cell>
          <cell r="U33">
            <v>92</v>
          </cell>
          <cell r="V33">
            <v>313</v>
          </cell>
          <cell r="W33">
            <v>147</v>
          </cell>
          <cell r="X33">
            <v>460</v>
          </cell>
          <cell r="Y33">
            <v>135</v>
          </cell>
          <cell r="Z33">
            <v>118</v>
          </cell>
          <cell r="AA33">
            <v>253</v>
          </cell>
          <cell r="AB33">
            <v>100</v>
          </cell>
          <cell r="AC33">
            <v>353</v>
          </cell>
          <cell r="AD33">
            <v>144</v>
          </cell>
          <cell r="AE33">
            <v>497</v>
          </cell>
          <cell r="AF33">
            <v>147</v>
          </cell>
          <cell r="AG33">
            <v>105</v>
          </cell>
          <cell r="AH33">
            <v>252</v>
          </cell>
          <cell r="AI33">
            <v>103</v>
          </cell>
          <cell r="AJ33">
            <v>355</v>
          </cell>
          <cell r="AK33">
            <v>131</v>
          </cell>
          <cell r="AL33">
            <v>486</v>
          </cell>
          <cell r="AM33">
            <v>131</v>
          </cell>
          <cell r="AN33">
            <v>131</v>
          </cell>
          <cell r="AO33">
            <v>113</v>
          </cell>
          <cell r="AQ33">
            <v>244</v>
          </cell>
          <cell r="AR33">
            <v>119</v>
          </cell>
          <cell r="AT33">
            <v>363</v>
          </cell>
          <cell r="AU33">
            <v>123</v>
          </cell>
          <cell r="AW33">
            <v>486</v>
          </cell>
          <cell r="AY33">
            <v>115</v>
          </cell>
          <cell r="AZ33">
            <v>107.17297887039754</v>
          </cell>
          <cell r="BA33">
            <v>222.17297887039754</v>
          </cell>
          <cell r="BB33">
            <v>108.54141846194031</v>
          </cell>
          <cell r="BC33">
            <v>330.71439733233785</v>
          </cell>
          <cell r="BD33">
            <v>120.55597691045784</v>
          </cell>
          <cell r="BE33">
            <v>451.2703742427957</v>
          </cell>
          <cell r="BF33">
            <v>329.99437226561446</v>
          </cell>
          <cell r="BG33">
            <v>233.56261778180641</v>
          </cell>
          <cell r="BH33">
            <v>180.30507772810739</v>
          </cell>
          <cell r="BI33">
            <v>148.35055369588798</v>
          </cell>
          <cell r="BJ33">
            <v>135.56874408300021</v>
          </cell>
          <cell r="BK33">
            <v>135.56874408300021</v>
          </cell>
          <cell r="BL33">
            <v>135.56874408300021</v>
          </cell>
          <cell r="BM33">
            <v>135.56874408300021</v>
          </cell>
          <cell r="BN33">
            <v>135.56874408300021</v>
          </cell>
          <cell r="BO33">
            <v>135.56874408300021</v>
          </cell>
          <cell r="BQ33">
            <v>0.52850877192982459</v>
          </cell>
          <cell r="BT33">
            <v>2014</v>
          </cell>
          <cell r="BU33">
            <v>2014</v>
          </cell>
          <cell r="BW33">
            <v>-316.69492227189261</v>
          </cell>
        </row>
        <row r="34">
          <cell r="A34" t="str">
            <v>growth %</v>
          </cell>
          <cell r="F34" t="e">
            <v>#REF!</v>
          </cell>
          <cell r="H34" t="e">
            <v>#VALUE!</v>
          </cell>
          <cell r="J34">
            <v>0.16800000000000001</v>
          </cell>
          <cell r="K34">
            <v>0.182</v>
          </cell>
          <cell r="L34">
            <v>7.8E-2</v>
          </cell>
          <cell r="M34">
            <v>6.8807339449541205E-2</v>
          </cell>
          <cell r="N34">
            <v>6.3E-2</v>
          </cell>
          <cell r="O34">
            <v>5.3627760252366041E-2</v>
          </cell>
          <cell r="P34">
            <v>0</v>
          </cell>
          <cell r="Q34">
            <v>7.8E-2</v>
          </cell>
          <cell r="R34">
            <v>-0.14000000000000001</v>
          </cell>
          <cell r="S34">
            <v>-2.5000000000000001E-2</v>
          </cell>
          <cell r="T34">
            <v>-5.1502145922746823E-2</v>
          </cell>
          <cell r="U34">
            <v>-8.9108910891089077E-2</v>
          </cell>
          <cell r="V34">
            <v>-6.2874251497005984E-2</v>
          </cell>
          <cell r="W34">
            <v>0.1484375</v>
          </cell>
          <cell r="X34">
            <v>-4.3290043290042934E-3</v>
          </cell>
          <cell r="Y34">
            <v>4.6511627906976827E-2</v>
          </cell>
          <cell r="Z34">
            <v>0.28260869565217384</v>
          </cell>
          <cell r="AA34">
            <v>0.14479638009049767</v>
          </cell>
          <cell r="AB34">
            <v>8.6956521739130377E-2</v>
          </cell>
          <cell r="AC34">
            <v>0.12779552715654963</v>
          </cell>
          <cell r="AD34">
            <v>-2.0408163265306145E-2</v>
          </cell>
          <cell r="AE34">
            <v>8.0434782608695743E-2</v>
          </cell>
          <cell r="AF34">
            <v>8.8888888888888795E-2</v>
          </cell>
          <cell r="AG34">
            <v>-0.11016949152542377</v>
          </cell>
          <cell r="AH34">
            <v>-3.9525691699604515E-3</v>
          </cell>
          <cell r="AI34">
            <v>3.0000000000000027E-2</v>
          </cell>
          <cell r="AJ34">
            <v>5.6657223796034994E-3</v>
          </cell>
          <cell r="AK34">
            <v>-9.027777777777779E-2</v>
          </cell>
          <cell r="AL34">
            <v>-2.2132796780684139E-2</v>
          </cell>
          <cell r="AM34">
            <v>-0.108843537414966</v>
          </cell>
          <cell r="AN34">
            <v>-0.108843537414966</v>
          </cell>
          <cell r="AO34">
            <v>7.6190476190476142E-2</v>
          </cell>
          <cell r="AQ34">
            <v>-3.1746031746031744E-2</v>
          </cell>
          <cell r="AR34">
            <v>0.15533980582524265</v>
          </cell>
          <cell r="AT34">
            <v>2.2535211267605604E-2</v>
          </cell>
          <cell r="AU34">
            <v>-6.1068702290076327E-2</v>
          </cell>
          <cell r="AW34">
            <v>0</v>
          </cell>
          <cell r="AY34">
            <v>-0.12213740458015265</v>
          </cell>
          <cell r="AZ34">
            <v>-5.1566558669048246E-2</v>
          </cell>
          <cell r="BA34">
            <v>-8.9455004629518275E-2</v>
          </cell>
          <cell r="BB34">
            <v>-8.7887239815627627E-2</v>
          </cell>
          <cell r="BC34">
            <v>-8.8941054180887491E-2</v>
          </cell>
          <cell r="BD34">
            <v>-1.9870106419041966E-2</v>
          </cell>
          <cell r="BE34">
            <v>-7.1460135302889527E-2</v>
          </cell>
          <cell r="BF34">
            <v>-0.26874354909886344</v>
          </cell>
          <cell r="BG34">
            <v>-0.29222242131508092</v>
          </cell>
          <cell r="BH34">
            <v>-0.22802253442565912</v>
          </cell>
          <cell r="BI34">
            <v>-0.17722475947352689</v>
          </cell>
          <cell r="BJ34">
            <v>-8.6159500550903934E-2</v>
          </cell>
          <cell r="BK34">
            <v>0</v>
          </cell>
          <cell r="BL34">
            <v>0</v>
          </cell>
          <cell r="BM34">
            <v>0</v>
          </cell>
          <cell r="BN34">
            <v>0</v>
          </cell>
          <cell r="BO34">
            <v>0</v>
          </cell>
          <cell r="BW34">
            <v>-0.30845731703435486</v>
          </cell>
        </row>
        <row r="35">
          <cell r="A35" t="str">
            <v>Avelox US</v>
          </cell>
          <cell r="D35">
            <v>38</v>
          </cell>
          <cell r="E35">
            <v>19</v>
          </cell>
          <cell r="F35">
            <v>57</v>
          </cell>
          <cell r="G35">
            <v>31</v>
          </cell>
          <cell r="H35">
            <v>88</v>
          </cell>
          <cell r="I35">
            <v>44</v>
          </cell>
          <cell r="J35">
            <v>132</v>
          </cell>
          <cell r="K35">
            <v>44</v>
          </cell>
          <cell r="L35">
            <v>17</v>
          </cell>
          <cell r="M35">
            <v>61</v>
          </cell>
          <cell r="N35">
            <v>32</v>
          </cell>
          <cell r="O35">
            <v>93</v>
          </cell>
          <cell r="P35">
            <v>47</v>
          </cell>
          <cell r="Q35">
            <v>140</v>
          </cell>
          <cell r="R35">
            <v>38</v>
          </cell>
          <cell r="S35">
            <v>17</v>
          </cell>
          <cell r="T35">
            <v>55</v>
          </cell>
          <cell r="U35">
            <v>24</v>
          </cell>
          <cell r="V35">
            <v>79</v>
          </cell>
          <cell r="W35">
            <v>48</v>
          </cell>
          <cell r="X35">
            <v>127</v>
          </cell>
          <cell r="Y35">
            <v>54</v>
          </cell>
          <cell r="Z35">
            <v>23</v>
          </cell>
          <cell r="AA35">
            <v>77</v>
          </cell>
          <cell r="AB35">
            <v>12</v>
          </cell>
          <cell r="AC35">
            <v>89</v>
          </cell>
          <cell r="AD35">
            <v>41</v>
          </cell>
          <cell r="AE35">
            <v>130</v>
          </cell>
          <cell r="AF35">
            <v>39</v>
          </cell>
          <cell r="AG35">
            <v>16</v>
          </cell>
          <cell r="AH35">
            <v>55</v>
          </cell>
          <cell r="AI35">
            <v>16</v>
          </cell>
          <cell r="AJ35">
            <v>71</v>
          </cell>
          <cell r="AK35">
            <v>17</v>
          </cell>
          <cell r="AL35">
            <v>88</v>
          </cell>
          <cell r="AM35">
            <v>18</v>
          </cell>
          <cell r="AN35">
            <v>18</v>
          </cell>
          <cell r="AO35">
            <v>13</v>
          </cell>
          <cell r="AQ35">
            <v>31</v>
          </cell>
          <cell r="AR35">
            <v>14</v>
          </cell>
          <cell r="AT35">
            <v>45</v>
          </cell>
          <cell r="AU35">
            <v>10</v>
          </cell>
          <cell r="AW35">
            <v>55</v>
          </cell>
          <cell r="AY35">
            <v>7</v>
          </cell>
          <cell r="AZ35">
            <v>6.846818656716418</v>
          </cell>
          <cell r="BA35">
            <v>13.846818656716419</v>
          </cell>
          <cell r="BB35">
            <v>7.410243076923078</v>
          </cell>
          <cell r="BC35">
            <v>21.257061733639496</v>
          </cell>
          <cell r="BD35">
            <v>8.5508942050578263</v>
          </cell>
          <cell r="BE35">
            <v>29.807955938697322</v>
          </cell>
          <cell r="BF35">
            <v>25.665571958762889</v>
          </cell>
          <cell r="BG35">
            <v>20.532457567010312</v>
          </cell>
          <cell r="BH35">
            <v>20.532457567010312</v>
          </cell>
          <cell r="BI35">
            <v>20.532457567010312</v>
          </cell>
          <cell r="BJ35">
            <v>20.532457567010312</v>
          </cell>
          <cell r="BK35">
            <v>20.532457567010312</v>
          </cell>
          <cell r="BL35">
            <v>20.532457567010312</v>
          </cell>
          <cell r="BM35">
            <v>20.532457567010312</v>
          </cell>
          <cell r="BN35">
            <v>20.532457567010312</v>
          </cell>
          <cell r="BO35">
            <v>20.532457567010312</v>
          </cell>
        </row>
        <row r="36">
          <cell r="A36" t="str">
            <v>growth reported %</v>
          </cell>
          <cell r="F36" t="e">
            <v>#REF!</v>
          </cell>
          <cell r="H36" t="e">
            <v>#VALUE!</v>
          </cell>
          <cell r="J36" t="e">
            <v>#DIV/0!</v>
          </cell>
          <cell r="K36">
            <v>0.15789473684210531</v>
          </cell>
          <cell r="L36">
            <v>-0.10526315789473684</v>
          </cell>
          <cell r="M36">
            <v>7.0175438596491224E-2</v>
          </cell>
          <cell r="N36">
            <v>3.2258064516129004E-2</v>
          </cell>
          <cell r="O36">
            <v>5.6818181818181879E-2</v>
          </cell>
          <cell r="P36">
            <v>6.8181818181818121E-2</v>
          </cell>
          <cell r="Q36">
            <v>6.0606060606060552E-2</v>
          </cell>
          <cell r="R36">
            <v>-0.13636363636363635</v>
          </cell>
          <cell r="S36">
            <v>0</v>
          </cell>
          <cell r="T36">
            <v>-9.8360655737704916E-2</v>
          </cell>
          <cell r="U36">
            <v>-0.25</v>
          </cell>
          <cell r="V36">
            <v>-0.15053763440860213</v>
          </cell>
          <cell r="W36">
            <v>2.1276595744680771E-2</v>
          </cell>
          <cell r="X36">
            <v>-9.285714285714286E-2</v>
          </cell>
          <cell r="Y36">
            <v>0.42105263157894735</v>
          </cell>
          <cell r="Z36">
            <v>0.35294117647058831</v>
          </cell>
          <cell r="AA36">
            <v>0.39999999999999991</v>
          </cell>
          <cell r="AB36">
            <v>-0.5</v>
          </cell>
          <cell r="AC36">
            <v>0.12658227848101267</v>
          </cell>
          <cell r="AD36">
            <v>-0.14583333333333337</v>
          </cell>
          <cell r="AE36">
            <v>2.3622047244094446E-2</v>
          </cell>
          <cell r="AF36">
            <v>-0.27777777777777779</v>
          </cell>
          <cell r="AG36">
            <v>-0.30434782608695654</v>
          </cell>
          <cell r="AH36">
            <v>-0.2857142857142857</v>
          </cell>
          <cell r="AI36">
            <v>0.33333333333333326</v>
          </cell>
          <cell r="AJ36">
            <v>-0.202247191011236</v>
          </cell>
          <cell r="AK36">
            <v>-0.58536585365853666</v>
          </cell>
          <cell r="AL36">
            <v>-0.32307692307692304</v>
          </cell>
          <cell r="AM36">
            <v>-0.53846153846153844</v>
          </cell>
          <cell r="AN36">
            <v>-0.53846153846153844</v>
          </cell>
          <cell r="AO36">
            <v>-0.1875</v>
          </cell>
          <cell r="AQ36">
            <v>-0.4363636363636364</v>
          </cell>
          <cell r="AR36">
            <v>-0.125</v>
          </cell>
          <cell r="AT36">
            <v>-0.36619718309859151</v>
          </cell>
          <cell r="AU36">
            <v>-0.41176470588235292</v>
          </cell>
          <cell r="AW36">
            <v>-0.375</v>
          </cell>
          <cell r="AY36">
            <v>-0.61111111111111116</v>
          </cell>
          <cell r="AZ36">
            <v>-0.47332164179104474</v>
          </cell>
          <cell r="BA36">
            <v>-0.55332843042850266</v>
          </cell>
          <cell r="BB36">
            <v>-0.47069692307692301</v>
          </cell>
          <cell r="BC36">
            <v>-0.52762085036356676</v>
          </cell>
          <cell r="BD36">
            <v>-0.14491057949421737</v>
          </cell>
          <cell r="BE36">
            <v>-0.45803716475095779</v>
          </cell>
          <cell r="BF36">
            <v>-0.13896907216494847</v>
          </cell>
          <cell r="BG36">
            <v>-0.19999999999999996</v>
          </cell>
          <cell r="BH36">
            <v>0</v>
          </cell>
          <cell r="BI36">
            <v>0</v>
          </cell>
          <cell r="BJ36">
            <v>0</v>
          </cell>
          <cell r="BK36">
            <v>0</v>
          </cell>
          <cell r="BL36">
            <v>0</v>
          </cell>
          <cell r="BM36">
            <v>0</v>
          </cell>
          <cell r="BN36">
            <v>0</v>
          </cell>
          <cell r="BO36">
            <v>0</v>
          </cell>
        </row>
        <row r="37">
          <cell r="A37" t="str">
            <v>growth CER %</v>
          </cell>
          <cell r="AY37">
            <v>-0.57199999999999995</v>
          </cell>
          <cell r="AZ37">
            <v>-0.45</v>
          </cell>
          <cell r="BB37">
            <v>-0.45</v>
          </cell>
          <cell r="BE37">
            <v>-0.45</v>
          </cell>
          <cell r="BF37">
            <v>-0.2</v>
          </cell>
          <cell r="BG37">
            <v>-0.2</v>
          </cell>
          <cell r="BH37">
            <v>0</v>
          </cell>
          <cell r="BI37">
            <v>0</v>
          </cell>
          <cell r="BJ37">
            <v>0</v>
          </cell>
          <cell r="BK37">
            <v>0</v>
          </cell>
          <cell r="BL37">
            <v>0</v>
          </cell>
          <cell r="BM37">
            <v>0</v>
          </cell>
          <cell r="BN37">
            <v>0</v>
          </cell>
          <cell r="BO37">
            <v>0</v>
          </cell>
        </row>
        <row r="38">
          <cell r="A38" t="str">
            <v>Avelox ROW</v>
          </cell>
          <cell r="D38">
            <v>90</v>
          </cell>
          <cell r="E38">
            <v>71</v>
          </cell>
          <cell r="F38">
            <v>161</v>
          </cell>
          <cell r="G38">
            <v>68</v>
          </cell>
          <cell r="H38">
            <v>229</v>
          </cell>
          <cell r="I38">
            <v>84</v>
          </cell>
          <cell r="J38">
            <v>313</v>
          </cell>
          <cell r="K38">
            <v>99</v>
          </cell>
          <cell r="L38">
            <v>73</v>
          </cell>
          <cell r="M38">
            <v>172</v>
          </cell>
          <cell r="N38">
            <v>69</v>
          </cell>
          <cell r="O38">
            <v>241</v>
          </cell>
          <cell r="P38">
            <v>81</v>
          </cell>
          <cell r="Q38">
            <v>322</v>
          </cell>
          <cell r="R38">
            <v>91</v>
          </cell>
          <cell r="S38">
            <v>75</v>
          </cell>
          <cell r="T38">
            <v>166</v>
          </cell>
          <cell r="U38">
            <v>68</v>
          </cell>
          <cell r="V38">
            <v>234</v>
          </cell>
          <cell r="W38">
            <v>99</v>
          </cell>
          <cell r="X38">
            <v>333</v>
          </cell>
          <cell r="Y38">
            <v>81</v>
          </cell>
          <cell r="Z38">
            <v>95</v>
          </cell>
          <cell r="AA38">
            <v>176</v>
          </cell>
          <cell r="AB38">
            <v>88</v>
          </cell>
          <cell r="AC38">
            <v>264</v>
          </cell>
          <cell r="AD38">
            <v>103</v>
          </cell>
          <cell r="AE38">
            <v>367</v>
          </cell>
          <cell r="AF38">
            <v>108</v>
          </cell>
          <cell r="AG38">
            <v>89</v>
          </cell>
          <cell r="AH38">
            <v>197</v>
          </cell>
          <cell r="AI38">
            <v>87</v>
          </cell>
          <cell r="AJ38">
            <v>284</v>
          </cell>
          <cell r="AK38">
            <v>114</v>
          </cell>
          <cell r="AL38">
            <v>398</v>
          </cell>
          <cell r="AM38">
            <v>113</v>
          </cell>
          <cell r="AN38">
            <v>113</v>
          </cell>
          <cell r="AO38">
            <v>100</v>
          </cell>
          <cell r="AQ38">
            <v>213</v>
          </cell>
          <cell r="AR38">
            <v>105</v>
          </cell>
          <cell r="AT38">
            <v>318</v>
          </cell>
          <cell r="AU38">
            <v>113</v>
          </cell>
          <cell r="AW38">
            <v>431</v>
          </cell>
          <cell r="AY38">
            <v>108</v>
          </cell>
          <cell r="AZ38">
            <v>100.32616021368112</v>
          </cell>
          <cell r="BA38">
            <v>208.32616021368113</v>
          </cell>
          <cell r="BB38">
            <v>101.13117538501723</v>
          </cell>
          <cell r="BC38">
            <v>309.45733559869836</v>
          </cell>
          <cell r="BD38">
            <v>112.00508270540001</v>
          </cell>
          <cell r="BE38">
            <v>421.46241830409838</v>
          </cell>
          <cell r="BF38">
            <v>304.32880030685158</v>
          </cell>
          <cell r="BG38">
            <v>213.0301602147961</v>
          </cell>
          <cell r="BH38">
            <v>159.77262016109708</v>
          </cell>
          <cell r="BI38">
            <v>127.81809612887767</v>
          </cell>
          <cell r="BJ38">
            <v>115.0362865159899</v>
          </cell>
          <cell r="BK38">
            <v>115.0362865159899</v>
          </cell>
          <cell r="BL38">
            <v>115.0362865159899</v>
          </cell>
          <cell r="BM38">
            <v>115.0362865159899</v>
          </cell>
          <cell r="BN38">
            <v>115.0362865159899</v>
          </cell>
          <cell r="BO38">
            <v>115.0362865159899</v>
          </cell>
        </row>
        <row r="39">
          <cell r="A39" t="str">
            <v>growth reported %</v>
          </cell>
          <cell r="F39" t="e">
            <v>#REF!</v>
          </cell>
          <cell r="H39" t="e">
            <v>#VALUE!</v>
          </cell>
          <cell r="K39">
            <v>0.10000000000000009</v>
          </cell>
          <cell r="L39">
            <v>2.8169014084507005E-2</v>
          </cell>
          <cell r="M39">
            <v>6.8322981366459645E-2</v>
          </cell>
          <cell r="N39">
            <v>1.4705882352941124E-2</v>
          </cell>
          <cell r="O39">
            <v>5.240174672489073E-2</v>
          </cell>
          <cell r="P39">
            <v>-3.5714285714285698E-2</v>
          </cell>
          <cell r="Q39">
            <v>2.8753993610223683E-2</v>
          </cell>
          <cell r="R39">
            <v>-8.0808080808080773E-2</v>
          </cell>
          <cell r="S39">
            <v>2.7397260273972712E-2</v>
          </cell>
          <cell r="T39">
            <v>-3.4883720930232509E-2</v>
          </cell>
          <cell r="U39">
            <v>-1.4492753623188359E-2</v>
          </cell>
          <cell r="V39">
            <v>-2.9045643153526979E-2</v>
          </cell>
          <cell r="W39">
            <v>0.22222222222222232</v>
          </cell>
          <cell r="X39">
            <v>3.4161490683229712E-2</v>
          </cell>
          <cell r="Y39">
            <v>-0.10989010989010994</v>
          </cell>
          <cell r="Z39">
            <v>0.26666666666666661</v>
          </cell>
          <cell r="AA39">
            <v>6.024096385542177E-2</v>
          </cell>
          <cell r="AB39">
            <v>0.29411764705882359</v>
          </cell>
          <cell r="AC39">
            <v>0.12820512820512819</v>
          </cell>
          <cell r="AD39">
            <v>4.0404040404040442E-2</v>
          </cell>
          <cell r="AE39">
            <v>0.10210210210210202</v>
          </cell>
          <cell r="AF39">
            <v>0.33333333333333326</v>
          </cell>
          <cell r="AG39">
            <v>-6.315789473684208E-2</v>
          </cell>
          <cell r="AH39">
            <v>0.11931818181818188</v>
          </cell>
          <cell r="AI39">
            <v>-1.1363636363636354E-2</v>
          </cell>
          <cell r="AJ39">
            <v>7.575757575757569E-2</v>
          </cell>
          <cell r="AK39">
            <v>0.10679611650485432</v>
          </cell>
          <cell r="AL39">
            <v>8.4468664850136266E-2</v>
          </cell>
          <cell r="AM39">
            <v>4.629629629629628E-2</v>
          </cell>
          <cell r="AN39">
            <v>4.629629629629628E-2</v>
          </cell>
          <cell r="AO39">
            <v>0.12359550561797761</v>
          </cell>
          <cell r="AQ39">
            <v>8.1218274111675148E-2</v>
          </cell>
          <cell r="AR39">
            <v>0.2068965517241379</v>
          </cell>
          <cell r="AT39">
            <v>0.11971830985915499</v>
          </cell>
          <cell r="AU39">
            <v>-8.7719298245614308E-3</v>
          </cell>
          <cell r="AW39">
            <v>8.2914572864321689E-2</v>
          </cell>
          <cell r="AY39">
            <v>-4.4247787610619427E-2</v>
          </cell>
          <cell r="AZ39">
            <v>3.2616021368112591E-3</v>
          </cell>
          <cell r="BA39">
            <v>-2.1942909794924303E-2</v>
          </cell>
          <cell r="BB39">
            <v>-3.6845948714121612E-2</v>
          </cell>
          <cell r="BC39">
            <v>-2.686372453239505E-2</v>
          </cell>
          <cell r="BD39">
            <v>-8.8045778283184495E-3</v>
          </cell>
          <cell r="BE39">
            <v>-2.2128959851279828E-2</v>
          </cell>
          <cell r="BF39">
            <v>-0.27792185711023754</v>
          </cell>
          <cell r="BG39">
            <v>-0.30000000000000004</v>
          </cell>
          <cell r="BH39">
            <v>-0.25</v>
          </cell>
          <cell r="BI39">
            <v>-0.19999999999999996</v>
          </cell>
          <cell r="BJ39">
            <v>-9.9999999999999978E-2</v>
          </cell>
          <cell r="BK39">
            <v>0</v>
          </cell>
          <cell r="BL39">
            <v>0</v>
          </cell>
          <cell r="BM39">
            <v>0</v>
          </cell>
          <cell r="BN39">
            <v>0</v>
          </cell>
          <cell r="BO39">
            <v>0</v>
          </cell>
        </row>
        <row r="40">
          <cell r="A40" t="str">
            <v>growth CER %</v>
          </cell>
          <cell r="AZ40">
            <v>7.0000000000000007E-2</v>
          </cell>
          <cell r="BB40">
            <v>0.03</v>
          </cell>
          <cell r="BE40">
            <v>0.03</v>
          </cell>
          <cell r="BF40">
            <v>-0.3</v>
          </cell>
          <cell r="BG40">
            <v>-0.3</v>
          </cell>
          <cell r="BH40">
            <v>-0.25</v>
          </cell>
          <cell r="BI40">
            <v>-0.2</v>
          </cell>
          <cell r="BJ40">
            <v>-0.1</v>
          </cell>
          <cell r="BK40">
            <v>0</v>
          </cell>
          <cell r="BL40">
            <v>0</v>
          </cell>
          <cell r="BM40">
            <v>0</v>
          </cell>
          <cell r="BN40">
            <v>0</v>
          </cell>
          <cell r="BO40">
            <v>0</v>
          </cell>
        </row>
        <row r="41">
          <cell r="A41" t="str">
            <v>Levitra</v>
          </cell>
          <cell r="B41">
            <v>260</v>
          </cell>
          <cell r="C41">
            <v>314</v>
          </cell>
          <cell r="D41">
            <v>84</v>
          </cell>
          <cell r="E41">
            <v>81</v>
          </cell>
          <cell r="F41">
            <v>165</v>
          </cell>
          <cell r="G41">
            <v>85</v>
          </cell>
          <cell r="H41">
            <v>250</v>
          </cell>
          <cell r="I41">
            <v>82</v>
          </cell>
          <cell r="J41">
            <v>332</v>
          </cell>
          <cell r="K41">
            <v>82</v>
          </cell>
          <cell r="L41">
            <v>84</v>
          </cell>
          <cell r="M41">
            <v>166</v>
          </cell>
          <cell r="N41">
            <v>82</v>
          </cell>
          <cell r="O41">
            <v>248</v>
          </cell>
          <cell r="P41">
            <v>93</v>
          </cell>
          <cell r="Q41">
            <v>341</v>
          </cell>
          <cell r="R41">
            <v>83</v>
          </cell>
          <cell r="S41">
            <v>90</v>
          </cell>
          <cell r="T41">
            <v>173</v>
          </cell>
          <cell r="U41">
            <v>92</v>
          </cell>
          <cell r="V41">
            <v>265</v>
          </cell>
          <cell r="W41">
            <v>95</v>
          </cell>
          <cell r="X41">
            <v>360</v>
          </cell>
          <cell r="Y41">
            <v>86</v>
          </cell>
          <cell r="Z41">
            <v>96</v>
          </cell>
          <cell r="AA41">
            <v>182</v>
          </cell>
          <cell r="AB41">
            <v>110</v>
          </cell>
          <cell r="AC41">
            <v>292</v>
          </cell>
          <cell r="AD41">
            <v>137</v>
          </cell>
          <cell r="AE41">
            <v>429</v>
          </cell>
          <cell r="AF41">
            <v>82</v>
          </cell>
          <cell r="AG41">
            <v>82</v>
          </cell>
          <cell r="AH41">
            <v>164</v>
          </cell>
          <cell r="AI41">
            <v>75</v>
          </cell>
          <cell r="AJ41">
            <v>239</v>
          </cell>
          <cell r="AK41">
            <v>93</v>
          </cell>
          <cell r="AL41">
            <v>332</v>
          </cell>
          <cell r="AM41">
            <v>75</v>
          </cell>
          <cell r="AN41">
            <v>75</v>
          </cell>
          <cell r="AO41">
            <v>70</v>
          </cell>
          <cell r="AQ41">
            <v>145</v>
          </cell>
          <cell r="AR41">
            <v>75</v>
          </cell>
          <cell r="AT41">
            <v>220</v>
          </cell>
          <cell r="AU41">
            <v>87</v>
          </cell>
          <cell r="AW41">
            <v>307</v>
          </cell>
          <cell r="AY41">
            <v>68</v>
          </cell>
          <cell r="AZ41">
            <v>69.029626425187914</v>
          </cell>
          <cell r="BA41">
            <v>137.0296264251879</v>
          </cell>
          <cell r="BB41">
            <v>71.697985685051677</v>
          </cell>
          <cell r="BC41">
            <v>208.72761211023959</v>
          </cell>
          <cell r="BD41">
            <v>93.601389203745541</v>
          </cell>
          <cell r="BE41">
            <v>302.32900131398515</v>
          </cell>
          <cell r="BF41">
            <v>319.76679714729994</v>
          </cell>
          <cell r="BG41">
            <v>324.4341747897189</v>
          </cell>
          <cell r="BH41">
            <v>329.38934254957053</v>
          </cell>
          <cell r="BI41">
            <v>334.63650106673282</v>
          </cell>
          <cell r="BJ41">
            <v>252.72424716490275</v>
          </cell>
          <cell r="BK41">
            <v>167.91600080234178</v>
          </cell>
          <cell r="BL41">
            <v>83.958000401170892</v>
          </cell>
          <cell r="BM41">
            <v>47.598357833766769</v>
          </cell>
          <cell r="BN41">
            <v>29.418536550064701</v>
          </cell>
          <cell r="BO41">
            <v>29.418536550064701</v>
          </cell>
          <cell r="BT41">
            <v>2018</v>
          </cell>
          <cell r="BU41">
            <v>2018</v>
          </cell>
          <cell r="BW41">
            <v>-99.610657450429471</v>
          </cell>
        </row>
        <row r="42">
          <cell r="A42" t="str">
            <v>growth %</v>
          </cell>
          <cell r="F42" t="e">
            <v>#REF!</v>
          </cell>
          <cell r="H42" t="e">
            <v>#VALUE!</v>
          </cell>
          <cell r="I42" t="e">
            <v>#VALUE!</v>
          </cell>
          <cell r="J42">
            <v>0.106</v>
          </cell>
          <cell r="K42">
            <v>0.04</v>
          </cell>
          <cell r="L42">
            <v>0.11899999999999999</v>
          </cell>
          <cell r="M42">
            <v>6.0606060606060996E-3</v>
          </cell>
          <cell r="N42">
            <v>8.9999999999999993E-3</v>
          </cell>
          <cell r="O42">
            <v>-8.0000000000000071E-3</v>
          </cell>
          <cell r="P42">
            <v>0.13414634146341453</v>
          </cell>
          <cell r="Q42">
            <v>2.7108433734939652E-2</v>
          </cell>
          <cell r="R42">
            <v>-3.2000000000000001E-2</v>
          </cell>
          <cell r="S42">
            <v>1.2E-2</v>
          </cell>
          <cell r="T42">
            <v>4.2168674698795261E-2</v>
          </cell>
          <cell r="U42">
            <v>0.12195121951219523</v>
          </cell>
          <cell r="V42">
            <v>6.8548387096774244E-2</v>
          </cell>
          <cell r="W42">
            <v>2.1505376344086002E-2</v>
          </cell>
          <cell r="X42">
            <v>5.5718475073313734E-2</v>
          </cell>
          <cell r="Y42">
            <v>3.6144578313253017E-2</v>
          </cell>
          <cell r="Z42">
            <v>6.6666666666666652E-2</v>
          </cell>
          <cell r="AA42">
            <v>5.2023121387283267E-2</v>
          </cell>
          <cell r="AB42">
            <v>0.19565217391304346</v>
          </cell>
          <cell r="AC42">
            <v>0.10188679245283017</v>
          </cell>
          <cell r="AD42">
            <v>0.44210526315789478</v>
          </cell>
          <cell r="AE42">
            <v>0.19166666666666665</v>
          </cell>
          <cell r="AF42">
            <v>-4.6511627906976716E-2</v>
          </cell>
          <cell r="AG42">
            <v>-0.14583333333333337</v>
          </cell>
          <cell r="AH42">
            <v>-9.8901098901098883E-2</v>
          </cell>
          <cell r="AI42">
            <v>-0.31818181818181823</v>
          </cell>
          <cell r="AJ42">
            <v>-0.18150684931506844</v>
          </cell>
          <cell r="AK42">
            <v>-0.32116788321167888</v>
          </cell>
          <cell r="AL42">
            <v>-0.22610722610722611</v>
          </cell>
          <cell r="AM42">
            <v>-8.536585365853655E-2</v>
          </cell>
          <cell r="AN42">
            <v>-8.536585365853655E-2</v>
          </cell>
          <cell r="AO42">
            <v>-0.14634146341463417</v>
          </cell>
          <cell r="AQ42">
            <v>-0.11585365853658536</v>
          </cell>
          <cell r="AR42">
            <v>0</v>
          </cell>
          <cell r="AT42">
            <v>-7.9497907949790836E-2</v>
          </cell>
          <cell r="AU42">
            <v>-6.4516129032258118E-2</v>
          </cell>
          <cell r="AW42">
            <v>-7.5301204819277157E-2</v>
          </cell>
          <cell r="AY42">
            <v>-9.3333333333333379E-2</v>
          </cell>
          <cell r="AZ42">
            <v>-1.386247964017262E-2</v>
          </cell>
          <cell r="BA42">
            <v>-5.496809361939381E-2</v>
          </cell>
          <cell r="BB42">
            <v>-4.4026857532644348E-2</v>
          </cell>
          <cell r="BC42">
            <v>-5.1238126771638193E-2</v>
          </cell>
          <cell r="BD42">
            <v>7.5878036824661432E-2</v>
          </cell>
          <cell r="BE42">
            <v>-1.5214979433273101E-2</v>
          </cell>
          <cell r="BF42">
            <v>5.7678210682820641E-2</v>
          </cell>
          <cell r="BG42">
            <v>1.4596192237773087E-2</v>
          </cell>
          <cell r="BH42">
            <v>1.5273260787225462E-2</v>
          </cell>
          <cell r="BI42">
            <v>1.5929958378579467E-2</v>
          </cell>
          <cell r="BJ42">
            <v>-0.24477979431626684</v>
          </cell>
          <cell r="BK42">
            <v>-0.33557621523835635</v>
          </cell>
          <cell r="BL42">
            <v>-0.5</v>
          </cell>
          <cell r="BM42">
            <v>-0.43306942034909446</v>
          </cell>
          <cell r="BN42">
            <v>-0.38194219529996298</v>
          </cell>
          <cell r="BO42">
            <v>0</v>
          </cell>
          <cell r="BW42">
            <v>-0.17639340587944119</v>
          </cell>
        </row>
        <row r="43">
          <cell r="A43" t="str">
            <v>Levitra US</v>
          </cell>
          <cell r="D43">
            <v>36</v>
          </cell>
          <cell r="E43">
            <v>33</v>
          </cell>
          <cell r="F43">
            <v>69</v>
          </cell>
          <cell r="G43">
            <v>34</v>
          </cell>
          <cell r="H43">
            <v>103</v>
          </cell>
          <cell r="I43">
            <v>31</v>
          </cell>
          <cell r="J43">
            <v>134</v>
          </cell>
          <cell r="K43">
            <v>34</v>
          </cell>
          <cell r="L43">
            <v>33</v>
          </cell>
          <cell r="M43">
            <v>67</v>
          </cell>
          <cell r="N43">
            <v>33</v>
          </cell>
          <cell r="O43">
            <v>100</v>
          </cell>
          <cell r="P43">
            <v>41</v>
          </cell>
          <cell r="Q43">
            <v>141</v>
          </cell>
          <cell r="R43">
            <v>38</v>
          </cell>
          <cell r="S43">
            <v>40</v>
          </cell>
          <cell r="T43">
            <v>78</v>
          </cell>
          <cell r="U43">
            <v>41</v>
          </cell>
          <cell r="V43">
            <v>119</v>
          </cell>
          <cell r="W43">
            <v>37</v>
          </cell>
          <cell r="X43">
            <v>156</v>
          </cell>
          <cell r="Y43">
            <v>39</v>
          </cell>
          <cell r="Z43">
            <v>45</v>
          </cell>
          <cell r="AA43">
            <v>84</v>
          </cell>
          <cell r="AB43">
            <v>57</v>
          </cell>
          <cell r="AC43">
            <v>141</v>
          </cell>
          <cell r="AD43">
            <v>78</v>
          </cell>
          <cell r="AE43">
            <v>219</v>
          </cell>
          <cell r="AF43">
            <v>30</v>
          </cell>
          <cell r="AG43">
            <v>24</v>
          </cell>
          <cell r="AH43">
            <v>54</v>
          </cell>
          <cell r="AI43">
            <v>20</v>
          </cell>
          <cell r="AJ43">
            <v>74</v>
          </cell>
          <cell r="AK43">
            <v>31</v>
          </cell>
          <cell r="AL43">
            <v>105</v>
          </cell>
          <cell r="AM43">
            <v>22</v>
          </cell>
          <cell r="AN43">
            <v>22</v>
          </cell>
          <cell r="AO43">
            <v>12</v>
          </cell>
          <cell r="AQ43">
            <v>34</v>
          </cell>
          <cell r="AR43">
            <v>19</v>
          </cell>
          <cell r="AT43">
            <v>53</v>
          </cell>
          <cell r="AU43">
            <v>23</v>
          </cell>
          <cell r="AW43">
            <v>76</v>
          </cell>
          <cell r="AY43">
            <v>20</v>
          </cell>
          <cell r="AZ43">
            <v>13.559573731343281</v>
          </cell>
          <cell r="BA43">
            <v>33.559573731343278</v>
          </cell>
          <cell r="BB43">
            <v>18.285015384615388</v>
          </cell>
          <cell r="BC43">
            <v>51.844589115958669</v>
          </cell>
          <cell r="BD43">
            <v>26.789291343811456</v>
          </cell>
          <cell r="BE43">
            <v>78.633880459770126</v>
          </cell>
          <cell r="BF43">
            <v>82.093771199999992</v>
          </cell>
          <cell r="BG43">
            <v>79.630958063999984</v>
          </cell>
          <cell r="BH43">
            <v>77.242029322079986</v>
          </cell>
          <cell r="BI43">
            <v>74.924768442417587</v>
          </cell>
          <cell r="BJ43">
            <v>44.954861065450551</v>
          </cell>
          <cell r="BK43">
            <v>22.477430532725275</v>
          </cell>
          <cell r="BL43">
            <v>11.238715266362638</v>
          </cell>
          <cell r="BM43">
            <v>11.238715266362638</v>
          </cell>
          <cell r="BN43">
            <v>11.238715266362638</v>
          </cell>
          <cell r="BO43">
            <v>11.238715266362638</v>
          </cell>
        </row>
        <row r="44">
          <cell r="A44" t="str">
            <v>growth reported %</v>
          </cell>
          <cell r="F44" t="e">
            <v>#REF!</v>
          </cell>
          <cell r="H44" t="e">
            <v>#VALUE!</v>
          </cell>
          <cell r="J44" t="e">
            <v>#DIV/0!</v>
          </cell>
          <cell r="K44">
            <v>-5.555555555555558E-2</v>
          </cell>
          <cell r="L44">
            <v>0</v>
          </cell>
          <cell r="M44">
            <v>-2.8985507246376829E-2</v>
          </cell>
          <cell r="N44">
            <v>-2.9411764705882359E-2</v>
          </cell>
          <cell r="O44">
            <v>-2.9126213592232997E-2</v>
          </cell>
          <cell r="P44">
            <v>0.32258064516129026</v>
          </cell>
          <cell r="Q44">
            <v>5.2238805970149294E-2</v>
          </cell>
          <cell r="R44">
            <v>0.11764705882352944</v>
          </cell>
          <cell r="S44">
            <v>0.21212121212121215</v>
          </cell>
          <cell r="T44">
            <v>0.16417910447761197</v>
          </cell>
          <cell r="U44">
            <v>0.24242424242424243</v>
          </cell>
          <cell r="V44">
            <v>0.18999999999999995</v>
          </cell>
          <cell r="W44">
            <v>-9.7560975609756073E-2</v>
          </cell>
          <cell r="X44">
            <v>0.1063829787234043</v>
          </cell>
          <cell r="Y44">
            <v>2.6315789473684292E-2</v>
          </cell>
          <cell r="Z44">
            <v>0.125</v>
          </cell>
          <cell r="AA44">
            <v>7.6923076923076872E-2</v>
          </cell>
          <cell r="AB44">
            <v>0.39024390243902429</v>
          </cell>
          <cell r="AC44">
            <v>0.18487394957983194</v>
          </cell>
          <cell r="AD44">
            <v>1.1081081081081079</v>
          </cell>
          <cell r="AE44">
            <v>0.40384615384615374</v>
          </cell>
          <cell r="AF44">
            <v>-0.23076923076923073</v>
          </cell>
          <cell r="AG44">
            <v>-0.46666666666666667</v>
          </cell>
          <cell r="AH44">
            <v>-0.3571428571428571</v>
          </cell>
          <cell r="AI44">
            <v>-0.64912280701754388</v>
          </cell>
          <cell r="AJ44">
            <v>-0.47517730496453903</v>
          </cell>
          <cell r="AK44">
            <v>-0.60256410256410264</v>
          </cell>
          <cell r="AL44">
            <v>-0.52054794520547953</v>
          </cell>
          <cell r="AM44">
            <v>-0.26666666666666672</v>
          </cell>
          <cell r="AN44">
            <v>-0.26666666666666672</v>
          </cell>
          <cell r="AO44">
            <v>-0.5</v>
          </cell>
          <cell r="AQ44">
            <v>-0.37037037037037035</v>
          </cell>
          <cell r="AR44">
            <v>-5.0000000000000044E-2</v>
          </cell>
          <cell r="AT44">
            <v>-0.28378378378378377</v>
          </cell>
          <cell r="AU44">
            <v>-0.25806451612903225</v>
          </cell>
          <cell r="AW44">
            <v>-0.27619047619047621</v>
          </cell>
          <cell r="AY44">
            <v>-9.0909090909090939E-2</v>
          </cell>
          <cell r="AZ44">
            <v>0.12996447761194019</v>
          </cell>
          <cell r="BA44">
            <v>-1.2953713784021215E-2</v>
          </cell>
          <cell r="BB44">
            <v>-3.7630769230769134E-2</v>
          </cell>
          <cell r="BC44">
            <v>-2.1800205359270408E-2</v>
          </cell>
          <cell r="BD44">
            <v>0.16475179755701985</v>
          </cell>
          <cell r="BE44">
            <v>3.4656321839080517E-2</v>
          </cell>
          <cell r="BF44">
            <v>4.3999999999999817E-2</v>
          </cell>
          <cell r="BG44">
            <v>-3.0000000000000027E-2</v>
          </cell>
          <cell r="BH44">
            <v>-3.0000000000000027E-2</v>
          </cell>
          <cell r="BI44">
            <v>-3.0000000000000027E-2</v>
          </cell>
          <cell r="BJ44">
            <v>-0.4</v>
          </cell>
          <cell r="BK44">
            <v>-0.5</v>
          </cell>
          <cell r="BL44">
            <v>-0.5</v>
          </cell>
          <cell r="BM44">
            <v>0</v>
          </cell>
          <cell r="BN44">
            <v>0</v>
          </cell>
          <cell r="BO44">
            <v>0</v>
          </cell>
        </row>
        <row r="45">
          <cell r="A45" t="str">
            <v>growth CER %</v>
          </cell>
          <cell r="AY45">
            <v>-8.6999999999999994E-2</v>
          </cell>
          <cell r="AZ45">
            <v>0.18</v>
          </cell>
          <cell r="BB45">
            <v>0</v>
          </cell>
          <cell r="BE45">
            <v>0.05</v>
          </cell>
          <cell r="BF45">
            <v>-0.03</v>
          </cell>
          <cell r="BG45">
            <v>-0.03</v>
          </cell>
          <cell r="BH45">
            <v>-0.03</v>
          </cell>
          <cell r="BI45">
            <v>-0.03</v>
          </cell>
          <cell r="BJ45">
            <v>-0.4</v>
          </cell>
          <cell r="BK45">
            <v>-0.5</v>
          </cell>
          <cell r="BL45">
            <v>-0.5</v>
          </cell>
          <cell r="BM45">
            <v>0</v>
          </cell>
          <cell r="BN45">
            <v>0</v>
          </cell>
          <cell r="BO45">
            <v>0</v>
          </cell>
        </row>
        <row r="46">
          <cell r="A46" t="str">
            <v>Levitra ROW</v>
          </cell>
          <cell r="D46">
            <v>48</v>
          </cell>
          <cell r="E46">
            <v>48</v>
          </cell>
          <cell r="F46">
            <v>96</v>
          </cell>
          <cell r="G46">
            <v>51</v>
          </cell>
          <cell r="H46">
            <v>147</v>
          </cell>
          <cell r="I46">
            <v>51</v>
          </cell>
          <cell r="J46">
            <v>198</v>
          </cell>
          <cell r="K46">
            <v>48</v>
          </cell>
          <cell r="L46">
            <v>51</v>
          </cell>
          <cell r="M46">
            <v>99</v>
          </cell>
          <cell r="N46">
            <v>49</v>
          </cell>
          <cell r="O46">
            <v>148</v>
          </cell>
          <cell r="P46">
            <v>52</v>
          </cell>
          <cell r="Q46">
            <v>200</v>
          </cell>
          <cell r="R46">
            <v>45</v>
          </cell>
          <cell r="S46">
            <v>50</v>
          </cell>
          <cell r="T46">
            <v>95</v>
          </cell>
          <cell r="U46">
            <v>51</v>
          </cell>
          <cell r="V46">
            <v>146</v>
          </cell>
          <cell r="W46">
            <v>58</v>
          </cell>
          <cell r="X46">
            <v>204</v>
          </cell>
          <cell r="Y46">
            <v>47</v>
          </cell>
          <cell r="Z46">
            <v>51</v>
          </cell>
          <cell r="AA46">
            <v>98</v>
          </cell>
          <cell r="AB46">
            <v>53</v>
          </cell>
          <cell r="AC46">
            <v>151</v>
          </cell>
          <cell r="AD46">
            <v>59</v>
          </cell>
          <cell r="AE46">
            <v>210</v>
          </cell>
          <cell r="AF46">
            <v>52</v>
          </cell>
          <cell r="AG46">
            <v>58</v>
          </cell>
          <cell r="AH46">
            <v>110</v>
          </cell>
          <cell r="AI46">
            <v>55</v>
          </cell>
          <cell r="AJ46">
            <v>165</v>
          </cell>
          <cell r="AK46">
            <v>62</v>
          </cell>
          <cell r="AL46">
            <v>227</v>
          </cell>
          <cell r="AM46">
            <v>53</v>
          </cell>
          <cell r="AN46">
            <v>53</v>
          </cell>
          <cell r="AO46">
            <v>58</v>
          </cell>
          <cell r="AQ46">
            <v>111</v>
          </cell>
          <cell r="AR46">
            <v>56</v>
          </cell>
          <cell r="AT46">
            <v>167</v>
          </cell>
          <cell r="AU46">
            <v>64</v>
          </cell>
          <cell r="AW46">
            <v>231</v>
          </cell>
          <cell r="AY46">
            <v>48</v>
          </cell>
          <cell r="AZ46">
            <v>55.470052693844629</v>
          </cell>
          <cell r="BA46">
            <v>103.47005269384462</v>
          </cell>
          <cell r="BB46">
            <v>53.412970300436285</v>
          </cell>
          <cell r="BC46">
            <v>156.88302299428091</v>
          </cell>
          <cell r="BD46">
            <v>66.812097859934084</v>
          </cell>
          <cell r="BE46">
            <v>223.69512085421499</v>
          </cell>
          <cell r="BF46">
            <v>237.67302594729992</v>
          </cell>
          <cell r="BG46">
            <v>244.80321672571893</v>
          </cell>
          <cell r="BH46">
            <v>252.14731322749051</v>
          </cell>
          <cell r="BI46">
            <v>259.71173262431523</v>
          </cell>
          <cell r="BJ46">
            <v>207.76938609945219</v>
          </cell>
          <cell r="BK46">
            <v>145.43857026961652</v>
          </cell>
          <cell r="BL46">
            <v>72.71928513480826</v>
          </cell>
          <cell r="BM46">
            <v>36.35964256740413</v>
          </cell>
          <cell r="BN46">
            <v>18.179821283702065</v>
          </cell>
          <cell r="BO46">
            <v>18.179821283702065</v>
          </cell>
        </row>
        <row r="47">
          <cell r="A47" t="str">
            <v>growth reported %</v>
          </cell>
          <cell r="F47" t="e">
            <v>#REF!</v>
          </cell>
          <cell r="H47" t="e">
            <v>#VALUE!</v>
          </cell>
          <cell r="K47">
            <v>0</v>
          </cell>
          <cell r="L47">
            <v>6.25E-2</v>
          </cell>
          <cell r="M47">
            <v>3.125E-2</v>
          </cell>
          <cell r="N47">
            <v>-3.9215686274509776E-2</v>
          </cell>
          <cell r="O47">
            <v>6.8027210884353817E-3</v>
          </cell>
          <cell r="P47">
            <v>1.9607843137254832E-2</v>
          </cell>
          <cell r="Q47">
            <v>1.0101010101010166E-2</v>
          </cell>
          <cell r="R47">
            <v>-6.25E-2</v>
          </cell>
          <cell r="S47">
            <v>-1.9607843137254943E-2</v>
          </cell>
          <cell r="T47">
            <v>-4.0404040404040442E-2</v>
          </cell>
          <cell r="U47">
            <v>4.081632653061229E-2</v>
          </cell>
          <cell r="V47">
            <v>-1.3513513513513487E-2</v>
          </cell>
          <cell r="W47">
            <v>0.11538461538461542</v>
          </cell>
          <cell r="X47">
            <v>2.0000000000000018E-2</v>
          </cell>
          <cell r="Y47">
            <v>4.4444444444444509E-2</v>
          </cell>
          <cell r="Z47">
            <v>2.0000000000000018E-2</v>
          </cell>
          <cell r="AA47">
            <v>3.1578947368421151E-2</v>
          </cell>
          <cell r="AB47">
            <v>3.9215686274509887E-2</v>
          </cell>
          <cell r="AC47">
            <v>3.4246575342465668E-2</v>
          </cell>
          <cell r="AD47">
            <v>1.7241379310344751E-2</v>
          </cell>
          <cell r="AE47">
            <v>2.9411764705882248E-2</v>
          </cell>
          <cell r="AF47">
            <v>0.1063829787234043</v>
          </cell>
          <cell r="AG47">
            <v>0.13725490196078427</v>
          </cell>
          <cell r="AH47">
            <v>0.12244897959183665</v>
          </cell>
          <cell r="AI47">
            <v>3.7735849056603765E-2</v>
          </cell>
          <cell r="AJ47">
            <v>9.27152317880795E-2</v>
          </cell>
          <cell r="AK47">
            <v>5.0847457627118731E-2</v>
          </cell>
          <cell r="AL47">
            <v>8.0952380952380887E-2</v>
          </cell>
          <cell r="AM47">
            <v>1.9230769230769162E-2</v>
          </cell>
          <cell r="AN47">
            <v>1.9230769230769162E-2</v>
          </cell>
          <cell r="AO47">
            <v>0</v>
          </cell>
          <cell r="AQ47">
            <v>9.0909090909090384E-3</v>
          </cell>
          <cell r="AR47">
            <v>1.8181818181818077E-2</v>
          </cell>
          <cell r="AT47">
            <v>1.2121212121212199E-2</v>
          </cell>
          <cell r="AU47">
            <v>3.2258064516129004E-2</v>
          </cell>
          <cell r="AW47">
            <v>1.7621145374449254E-2</v>
          </cell>
          <cell r="AY47">
            <v>-9.4339622641509413E-2</v>
          </cell>
          <cell r="AZ47">
            <v>-4.3619781140609826E-2</v>
          </cell>
          <cell r="BA47">
            <v>-6.7837363118516958E-2</v>
          </cell>
          <cell r="BB47">
            <v>-4.6196958920780684E-2</v>
          </cell>
          <cell r="BC47">
            <v>-6.0580700633048434E-2</v>
          </cell>
          <cell r="BD47">
            <v>4.393902906147007E-2</v>
          </cell>
          <cell r="BE47">
            <v>-3.1622853444956744E-2</v>
          </cell>
          <cell r="BF47">
            <v>6.2486410252079239E-2</v>
          </cell>
          <cell r="BG47">
            <v>3.0000000000000027E-2</v>
          </cell>
          <cell r="BH47">
            <v>3.0000000000000027E-2</v>
          </cell>
          <cell r="BI47">
            <v>3.0000000000000027E-2</v>
          </cell>
          <cell r="BJ47">
            <v>-0.19999999999999996</v>
          </cell>
          <cell r="BK47">
            <v>-0.30000000000000004</v>
          </cell>
          <cell r="BL47">
            <v>-0.5</v>
          </cell>
          <cell r="BM47">
            <v>-0.5</v>
          </cell>
          <cell r="BN47">
            <v>-0.5</v>
          </cell>
          <cell r="BO47">
            <v>0</v>
          </cell>
        </row>
        <row r="48">
          <cell r="A48" t="str">
            <v>growth CER %</v>
          </cell>
          <cell r="AZ48">
            <v>0.02</v>
          </cell>
          <cell r="BB48">
            <v>0.02</v>
          </cell>
          <cell r="BE48">
            <v>0.02</v>
          </cell>
          <cell r="BF48">
            <v>0.03</v>
          </cell>
          <cell r="BG48">
            <v>0.03</v>
          </cell>
          <cell r="BH48">
            <v>0.03</v>
          </cell>
          <cell r="BI48">
            <v>0.03</v>
          </cell>
          <cell r="BJ48">
            <v>-0.2</v>
          </cell>
          <cell r="BK48">
            <v>-0.3</v>
          </cell>
          <cell r="BL48">
            <v>-0.5</v>
          </cell>
          <cell r="BM48">
            <v>-0.5</v>
          </cell>
          <cell r="BN48">
            <v>-0.5</v>
          </cell>
          <cell r="BO48">
            <v>0</v>
          </cell>
        </row>
        <row r="49">
          <cell r="A49" t="str">
            <v>Cipro</v>
          </cell>
          <cell r="B49">
            <v>525</v>
          </cell>
          <cell r="C49">
            <v>513</v>
          </cell>
          <cell r="D49">
            <v>108</v>
          </cell>
          <cell r="E49">
            <v>93</v>
          </cell>
          <cell r="F49">
            <v>201</v>
          </cell>
          <cell r="G49">
            <v>96</v>
          </cell>
          <cell r="H49">
            <v>297</v>
          </cell>
          <cell r="I49">
            <v>86</v>
          </cell>
          <cell r="J49">
            <v>383</v>
          </cell>
          <cell r="K49">
            <v>81</v>
          </cell>
          <cell r="L49">
            <v>77</v>
          </cell>
          <cell r="M49">
            <v>158</v>
          </cell>
          <cell r="N49">
            <v>84</v>
          </cell>
          <cell r="O49">
            <v>242</v>
          </cell>
          <cell r="P49">
            <v>96</v>
          </cell>
          <cell r="Q49">
            <v>338</v>
          </cell>
          <cell r="R49">
            <v>80</v>
          </cell>
          <cell r="S49">
            <v>90</v>
          </cell>
          <cell r="T49">
            <v>170</v>
          </cell>
          <cell r="U49">
            <v>84</v>
          </cell>
          <cell r="V49">
            <v>254</v>
          </cell>
          <cell r="W49">
            <v>77</v>
          </cell>
          <cell r="X49">
            <v>331</v>
          </cell>
          <cell r="Y49">
            <v>75</v>
          </cell>
          <cell r="Z49">
            <v>61</v>
          </cell>
          <cell r="AA49">
            <v>136</v>
          </cell>
          <cell r="AB49">
            <v>61</v>
          </cell>
          <cell r="AC49">
            <v>197</v>
          </cell>
          <cell r="AD49">
            <v>65</v>
          </cell>
          <cell r="AE49">
            <v>262</v>
          </cell>
          <cell r="AF49">
            <v>59</v>
          </cell>
          <cell r="AG49">
            <v>58</v>
          </cell>
          <cell r="AH49">
            <v>117</v>
          </cell>
          <cell r="AI49">
            <v>53</v>
          </cell>
          <cell r="AJ49">
            <v>170</v>
          </cell>
          <cell r="AK49">
            <v>62</v>
          </cell>
          <cell r="AL49">
            <v>232</v>
          </cell>
          <cell r="AM49">
            <v>51</v>
          </cell>
          <cell r="AN49">
            <v>51</v>
          </cell>
          <cell r="AO49">
            <v>57</v>
          </cell>
          <cell r="AQ49">
            <v>108</v>
          </cell>
          <cell r="AR49">
            <v>65</v>
          </cell>
          <cell r="AT49">
            <v>173</v>
          </cell>
          <cell r="AU49">
            <v>56</v>
          </cell>
          <cell r="AW49">
            <v>229</v>
          </cell>
          <cell r="AY49">
            <v>46</v>
          </cell>
          <cell r="AZ49">
            <v>50.963695375651298</v>
          </cell>
          <cell r="BA49">
            <v>96.963695375651298</v>
          </cell>
          <cell r="BB49">
            <v>58.051171040298506</v>
          </cell>
          <cell r="BC49">
            <v>155.0148664159498</v>
          </cell>
          <cell r="BD49">
            <v>52.768104315228939</v>
          </cell>
          <cell r="BE49">
            <v>207.78297073117875</v>
          </cell>
          <cell r="BF49">
            <v>205.05556760998778</v>
          </cell>
          <cell r="BG49">
            <v>195.79292033098113</v>
          </cell>
          <cell r="BH49">
            <v>187.02310934896965</v>
          </cell>
          <cell r="BI49">
            <v>178.72238396709486</v>
          </cell>
          <cell r="BJ49">
            <v>170.86820775688102</v>
          </cell>
          <cell r="BK49">
            <v>163.43919864682209</v>
          </cell>
          <cell r="BL49">
            <v>156.41507203059967</v>
          </cell>
          <cell r="BM49">
            <v>156.85842264895052</v>
          </cell>
          <cell r="BN49">
            <v>157.31507378585189</v>
          </cell>
          <cell r="BO49">
            <v>157.31507378585189</v>
          </cell>
          <cell r="BW49">
            <v>-74.976890651030345</v>
          </cell>
        </row>
        <row r="50">
          <cell r="A50" t="str">
            <v>growth %</v>
          </cell>
          <cell r="F50" t="e">
            <v>#REF!</v>
          </cell>
          <cell r="H50" t="e">
            <v>#VALUE!</v>
          </cell>
          <cell r="J50">
            <v>-0.22800000000000001</v>
          </cell>
          <cell r="K50">
            <v>-0.217</v>
          </cell>
          <cell r="L50">
            <v>-0.13600000000000001</v>
          </cell>
          <cell r="M50">
            <v>-0.21393034825870649</v>
          </cell>
          <cell r="N50">
            <v>-7.5999999999999998E-2</v>
          </cell>
          <cell r="O50">
            <v>-0.18518518518518523</v>
          </cell>
          <cell r="P50">
            <v>0.11627906976744184</v>
          </cell>
          <cell r="Q50">
            <v>-0.11749347258485643</v>
          </cell>
          <cell r="R50">
            <v>-4.1000000000000002E-2</v>
          </cell>
          <cell r="S50">
            <v>0.111</v>
          </cell>
          <cell r="T50">
            <v>7.5949367088607556E-2</v>
          </cell>
          <cell r="U50">
            <v>0</v>
          </cell>
          <cell r="V50">
            <v>4.9586776859504189E-2</v>
          </cell>
          <cell r="W50">
            <v>-0.19791666666666663</v>
          </cell>
          <cell r="X50">
            <v>-2.0710059171597628E-2</v>
          </cell>
          <cell r="Y50">
            <v>-6.25E-2</v>
          </cell>
          <cell r="Z50">
            <v>-0.32222222222222219</v>
          </cell>
          <cell r="AA50">
            <v>-0.19999999999999996</v>
          </cell>
          <cell r="AB50">
            <v>-0.27380952380952384</v>
          </cell>
          <cell r="AC50">
            <v>-0.22440944881889768</v>
          </cell>
          <cell r="AD50">
            <v>-0.1558441558441559</v>
          </cell>
          <cell r="AE50">
            <v>-0.20845921450151061</v>
          </cell>
          <cell r="AF50">
            <v>-0.21333333333333337</v>
          </cell>
          <cell r="AG50">
            <v>-4.9180327868852514E-2</v>
          </cell>
          <cell r="AH50">
            <v>-0.13970588235294112</v>
          </cell>
          <cell r="AI50">
            <v>-0.13114754098360659</v>
          </cell>
          <cell r="AJ50">
            <v>-0.13705583756345174</v>
          </cell>
          <cell r="AK50">
            <v>-4.6153846153846101E-2</v>
          </cell>
          <cell r="AL50">
            <v>-0.1145038167938931</v>
          </cell>
          <cell r="AM50">
            <v>-0.13559322033898302</v>
          </cell>
          <cell r="AN50">
            <v>-0.13559322033898302</v>
          </cell>
          <cell r="AO50">
            <v>-1.7241379310344862E-2</v>
          </cell>
          <cell r="AQ50">
            <v>-7.6923076923076872E-2</v>
          </cell>
          <cell r="AR50">
            <v>0.22641509433962259</v>
          </cell>
          <cell r="AT50">
            <v>1.7647058823529349E-2</v>
          </cell>
          <cell r="AU50">
            <v>-9.6774193548387122E-2</v>
          </cell>
          <cell r="AW50">
            <v>-1.2931034482758674E-2</v>
          </cell>
          <cell r="AY50">
            <v>-9.8039215686274495E-2</v>
          </cell>
          <cell r="AZ50">
            <v>-0.10590008112892457</v>
          </cell>
          <cell r="BA50">
            <v>-0.10218800578100651</v>
          </cell>
          <cell r="BB50">
            <v>-0.10690506091848451</v>
          </cell>
          <cell r="BC50">
            <v>-0.10396030973439419</v>
          </cell>
          <cell r="BD50">
            <v>-5.7712422942340358E-2</v>
          </cell>
          <cell r="BE50">
            <v>-9.2650782833280543E-2</v>
          </cell>
          <cell r="BF50">
            <v>-1.3126211024865886E-2</v>
          </cell>
          <cell r="BG50">
            <v>-4.5171401035177139E-2</v>
          </cell>
          <cell r="BH50">
            <v>-4.4791256840065574E-2</v>
          </cell>
          <cell r="BI50">
            <v>-4.4383420908623239E-2</v>
          </cell>
          <cell r="BJ50">
            <v>-4.3946236816424178E-2</v>
          </cell>
          <cell r="BK50">
            <v>-4.3478006866141228E-2</v>
          </cell>
          <cell r="BL50">
            <v>-4.2977001076718091E-2</v>
          </cell>
          <cell r="BM50">
            <v>2.8344494721335156E-3</v>
          </cell>
          <cell r="BN50">
            <v>2.9112312185068934E-3</v>
          </cell>
          <cell r="BO50">
            <v>0</v>
          </cell>
          <cell r="BW50">
            <v>0.16366795766144504</v>
          </cell>
        </row>
        <row r="51">
          <cell r="A51" t="str">
            <v>Cipro US</v>
          </cell>
          <cell r="E51">
            <v>5</v>
          </cell>
          <cell r="F51">
            <v>5</v>
          </cell>
          <cell r="G51">
            <v>11</v>
          </cell>
          <cell r="H51">
            <v>16</v>
          </cell>
          <cell r="I51">
            <v>5</v>
          </cell>
          <cell r="J51">
            <v>21</v>
          </cell>
          <cell r="K51">
            <v>7</v>
          </cell>
          <cell r="L51">
            <v>9</v>
          </cell>
          <cell r="M51">
            <v>16</v>
          </cell>
          <cell r="N51">
            <v>17</v>
          </cell>
          <cell r="O51">
            <v>33</v>
          </cell>
          <cell r="P51">
            <v>23</v>
          </cell>
          <cell r="Q51">
            <v>56</v>
          </cell>
          <cell r="R51">
            <v>17</v>
          </cell>
          <cell r="S51">
            <v>27</v>
          </cell>
          <cell r="T51">
            <v>44</v>
          </cell>
          <cell r="U51">
            <v>22</v>
          </cell>
          <cell r="V51">
            <v>66</v>
          </cell>
          <cell r="W51">
            <v>16</v>
          </cell>
          <cell r="X51">
            <v>82</v>
          </cell>
          <cell r="Y51">
            <v>24</v>
          </cell>
          <cell r="Z51">
            <v>3</v>
          </cell>
          <cell r="AA51">
            <v>27</v>
          </cell>
          <cell r="AB51">
            <v>2</v>
          </cell>
          <cell r="AC51">
            <v>29</v>
          </cell>
          <cell r="AD51">
            <v>4</v>
          </cell>
          <cell r="AE51">
            <v>33</v>
          </cell>
          <cell r="AF51">
            <v>2</v>
          </cell>
          <cell r="AG51">
            <v>5</v>
          </cell>
          <cell r="AH51">
            <v>7</v>
          </cell>
          <cell r="AI51">
            <v>-2</v>
          </cell>
          <cell r="AJ51">
            <v>5</v>
          </cell>
          <cell r="AK51">
            <v>5</v>
          </cell>
          <cell r="AL51">
            <v>10</v>
          </cell>
          <cell r="AM51">
            <v>4</v>
          </cell>
          <cell r="AN51">
            <v>4</v>
          </cell>
          <cell r="AO51">
            <v>2</v>
          </cell>
          <cell r="AQ51">
            <v>6</v>
          </cell>
          <cell r="AR51">
            <v>3</v>
          </cell>
          <cell r="AT51">
            <v>9</v>
          </cell>
          <cell r="AU51">
            <v>2</v>
          </cell>
          <cell r="AW51">
            <v>11</v>
          </cell>
          <cell r="AY51">
            <v>2</v>
          </cell>
          <cell r="AZ51">
            <v>1.9726498507462686</v>
          </cell>
          <cell r="BA51">
            <v>3.9726498507462686</v>
          </cell>
          <cell r="BB51">
            <v>2.9737209230769235</v>
          </cell>
          <cell r="BC51">
            <v>6.9463707738231921</v>
          </cell>
          <cell r="BD51">
            <v>4.2180636323070768</v>
          </cell>
          <cell r="BE51">
            <v>11.164434406130269</v>
          </cell>
          <cell r="BF51">
            <v>12.376638768659795</v>
          </cell>
          <cell r="BG51">
            <v>12.747937931719589</v>
          </cell>
          <cell r="BH51">
            <v>13.130376069671177</v>
          </cell>
          <cell r="BI51">
            <v>13.524287351761313</v>
          </cell>
          <cell r="BJ51">
            <v>13.930015972314152</v>
          </cell>
          <cell r="BK51">
            <v>14.347916451483577</v>
          </cell>
          <cell r="BL51">
            <v>14.778353945028085</v>
          </cell>
          <cell r="BM51">
            <v>15.221704563378928</v>
          </cell>
          <cell r="BN51">
            <v>15.678355700280296</v>
          </cell>
          <cell r="BO51">
            <v>15.678355700280296</v>
          </cell>
        </row>
        <row r="52">
          <cell r="A52" t="str">
            <v>growth reported %</v>
          </cell>
          <cell r="F52" t="e">
            <v>#REF!</v>
          </cell>
          <cell r="H52" t="e">
            <v>#VALUE!</v>
          </cell>
          <cell r="J52" t="e">
            <v>#DIV/0!</v>
          </cell>
          <cell r="K52" t="e">
            <v>#DIV/0!</v>
          </cell>
          <cell r="L52">
            <v>0.8</v>
          </cell>
          <cell r="M52">
            <v>2.2000000000000002</v>
          </cell>
          <cell r="N52">
            <v>0.54545454545454541</v>
          </cell>
          <cell r="O52">
            <v>1.0625</v>
          </cell>
          <cell r="P52">
            <v>3.5999999999999996</v>
          </cell>
          <cell r="Q52">
            <v>1.6666666666666665</v>
          </cell>
          <cell r="R52">
            <v>1.4285714285714284</v>
          </cell>
          <cell r="S52">
            <v>2</v>
          </cell>
          <cell r="T52">
            <v>1.75</v>
          </cell>
          <cell r="U52">
            <v>0.29411764705882359</v>
          </cell>
          <cell r="V52">
            <v>1</v>
          </cell>
          <cell r="W52">
            <v>-0.30434782608695654</v>
          </cell>
          <cell r="X52">
            <v>0.46428571428571419</v>
          </cell>
          <cell r="Y52">
            <v>0.41176470588235303</v>
          </cell>
          <cell r="Z52">
            <v>-0.88888888888888884</v>
          </cell>
          <cell r="AA52">
            <v>-0.38636363636363635</v>
          </cell>
          <cell r="AB52">
            <v>-0.90909090909090906</v>
          </cell>
          <cell r="AC52">
            <v>-0.56060606060606055</v>
          </cell>
          <cell r="AD52">
            <v>-0.75</v>
          </cell>
          <cell r="AE52">
            <v>-0.59756097560975607</v>
          </cell>
          <cell r="AF52">
            <v>-0.91666666666666663</v>
          </cell>
          <cell r="AG52">
            <v>0.66666666666666674</v>
          </cell>
          <cell r="AH52">
            <v>-0.7407407407407407</v>
          </cell>
          <cell r="AI52">
            <v>-2</v>
          </cell>
          <cell r="AJ52">
            <v>-0.82758620689655171</v>
          </cell>
          <cell r="AK52">
            <v>0.25</v>
          </cell>
          <cell r="AL52">
            <v>-0.69696969696969702</v>
          </cell>
          <cell r="AM52">
            <v>1</v>
          </cell>
          <cell r="AN52">
            <v>1</v>
          </cell>
          <cell r="AO52">
            <v>-0.6</v>
          </cell>
          <cell r="AQ52">
            <v>-0.1428571428571429</v>
          </cell>
          <cell r="AR52">
            <v>-2.5</v>
          </cell>
          <cell r="AT52">
            <v>0.8</v>
          </cell>
          <cell r="AU52">
            <v>-0.6</v>
          </cell>
          <cell r="AW52">
            <v>0.10000000000000009</v>
          </cell>
          <cell r="AY52">
            <v>-0.5</v>
          </cell>
          <cell r="AZ52">
            <v>-1.367507462686568E-2</v>
          </cell>
          <cell r="BA52">
            <v>-0.3378916915422886</v>
          </cell>
          <cell r="BB52">
            <v>-8.7596923076921351E-3</v>
          </cell>
          <cell r="BC52">
            <v>-0.22818102513075644</v>
          </cell>
          <cell r="BD52">
            <v>1.1090318161535384</v>
          </cell>
          <cell r="BE52">
            <v>1.4948582375478914E-2</v>
          </cell>
          <cell r="BF52">
            <v>0.10857731958762895</v>
          </cell>
          <cell r="BG52">
            <v>3.0000000000000027E-2</v>
          </cell>
          <cell r="BH52">
            <v>3.0000000000000027E-2</v>
          </cell>
          <cell r="BI52">
            <v>3.0000000000000027E-2</v>
          </cell>
          <cell r="BJ52">
            <v>3.0000000000000027E-2</v>
          </cell>
          <cell r="BK52">
            <v>3.0000000000000027E-2</v>
          </cell>
          <cell r="BL52">
            <v>3.0000000000000027E-2</v>
          </cell>
          <cell r="BM52">
            <v>3.0000000000000027E-2</v>
          </cell>
          <cell r="BN52">
            <v>3.0000000000000027E-2</v>
          </cell>
          <cell r="BO52">
            <v>0</v>
          </cell>
        </row>
        <row r="53">
          <cell r="A53" t="str">
            <v>growth CER %</v>
          </cell>
          <cell r="AZ53">
            <v>0.03</v>
          </cell>
          <cell r="BB53">
            <v>0.03</v>
          </cell>
          <cell r="BE53">
            <v>0.03</v>
          </cell>
          <cell r="BF53">
            <v>0.03</v>
          </cell>
          <cell r="BG53">
            <v>0.03</v>
          </cell>
          <cell r="BH53">
            <v>0.03</v>
          </cell>
          <cell r="BI53">
            <v>0.03</v>
          </cell>
          <cell r="BJ53">
            <v>0.03</v>
          </cell>
          <cell r="BK53">
            <v>0.03</v>
          </cell>
          <cell r="BL53">
            <v>0.03</v>
          </cell>
          <cell r="BM53">
            <v>0.03</v>
          </cell>
          <cell r="BN53">
            <v>0.03</v>
          </cell>
          <cell r="BO53">
            <v>0</v>
          </cell>
        </row>
        <row r="54">
          <cell r="A54" t="str">
            <v>Cipro ROW</v>
          </cell>
          <cell r="D54">
            <v>108</v>
          </cell>
          <cell r="E54">
            <v>88</v>
          </cell>
          <cell r="F54">
            <v>196</v>
          </cell>
          <cell r="G54">
            <v>85</v>
          </cell>
          <cell r="H54">
            <v>281</v>
          </cell>
          <cell r="I54">
            <v>81</v>
          </cell>
          <cell r="J54">
            <v>362</v>
          </cell>
          <cell r="K54">
            <v>74</v>
          </cell>
          <cell r="L54">
            <v>68</v>
          </cell>
          <cell r="M54">
            <v>142</v>
          </cell>
          <cell r="N54">
            <v>67</v>
          </cell>
          <cell r="O54">
            <v>209</v>
          </cell>
          <cell r="P54">
            <v>73</v>
          </cell>
          <cell r="Q54">
            <v>282</v>
          </cell>
          <cell r="R54">
            <v>63</v>
          </cell>
          <cell r="S54">
            <v>63</v>
          </cell>
          <cell r="T54">
            <v>126</v>
          </cell>
          <cell r="U54">
            <v>62</v>
          </cell>
          <cell r="V54">
            <v>188</v>
          </cell>
          <cell r="W54">
            <v>61</v>
          </cell>
          <cell r="X54">
            <v>249</v>
          </cell>
          <cell r="Y54">
            <v>51</v>
          </cell>
          <cell r="Z54">
            <v>58</v>
          </cell>
          <cell r="AA54">
            <v>109</v>
          </cell>
          <cell r="AB54">
            <v>59</v>
          </cell>
          <cell r="AC54">
            <v>168</v>
          </cell>
          <cell r="AD54">
            <v>61</v>
          </cell>
          <cell r="AE54">
            <v>229</v>
          </cell>
          <cell r="AF54">
            <v>57</v>
          </cell>
          <cell r="AG54">
            <v>53</v>
          </cell>
          <cell r="AH54">
            <v>110</v>
          </cell>
          <cell r="AI54">
            <v>55</v>
          </cell>
          <cell r="AJ54">
            <v>165</v>
          </cell>
          <cell r="AK54">
            <v>57</v>
          </cell>
          <cell r="AL54">
            <v>222</v>
          </cell>
          <cell r="AM54">
            <v>47</v>
          </cell>
          <cell r="AN54">
            <v>47</v>
          </cell>
          <cell r="AO54">
            <v>55</v>
          </cell>
          <cell r="AQ54">
            <v>102</v>
          </cell>
          <cell r="AR54">
            <v>62</v>
          </cell>
          <cell r="AT54">
            <v>164</v>
          </cell>
          <cell r="AU54">
            <v>54</v>
          </cell>
          <cell r="AW54">
            <v>218</v>
          </cell>
          <cell r="AY54">
            <v>44</v>
          </cell>
          <cell r="AZ54">
            <v>48.991045524905033</v>
          </cell>
          <cell r="BA54">
            <v>92.991045524905033</v>
          </cell>
          <cell r="BB54">
            <v>55.077450117221581</v>
          </cell>
          <cell r="BC54">
            <v>148.06849564212661</v>
          </cell>
          <cell r="BD54">
            <v>48.55004068292186</v>
          </cell>
          <cell r="BE54">
            <v>196.61853632504847</v>
          </cell>
          <cell r="BF54">
            <v>192.67892884132797</v>
          </cell>
          <cell r="BG54">
            <v>183.04498239926156</v>
          </cell>
          <cell r="BH54">
            <v>173.89273327929848</v>
          </cell>
          <cell r="BI54">
            <v>165.19809661533355</v>
          </cell>
          <cell r="BJ54">
            <v>156.93819178456687</v>
          </cell>
          <cell r="BK54">
            <v>149.09128219533852</v>
          </cell>
          <cell r="BL54">
            <v>141.6367180855716</v>
          </cell>
          <cell r="BM54">
            <v>141.6367180855716</v>
          </cell>
          <cell r="BN54">
            <v>141.6367180855716</v>
          </cell>
          <cell r="BO54">
            <v>141.6367180855716</v>
          </cell>
        </row>
        <row r="55">
          <cell r="A55" t="str">
            <v>growth reported %</v>
          </cell>
          <cell r="F55" t="e">
            <v>#REF!</v>
          </cell>
          <cell r="H55" t="e">
            <v>#VALUE!</v>
          </cell>
          <cell r="K55">
            <v>-0.31481481481481477</v>
          </cell>
          <cell r="L55">
            <v>-0.22727272727272729</v>
          </cell>
          <cell r="M55">
            <v>-0.27551020408163263</v>
          </cell>
          <cell r="N55">
            <v>-0.21176470588235297</v>
          </cell>
          <cell r="O55">
            <v>-0.25622775800711739</v>
          </cell>
          <cell r="P55">
            <v>-9.8765432098765427E-2</v>
          </cell>
          <cell r="Q55">
            <v>-0.22099447513812154</v>
          </cell>
          <cell r="R55">
            <v>-0.14864864864864868</v>
          </cell>
          <cell r="S55">
            <v>-7.3529411764705843E-2</v>
          </cell>
          <cell r="T55">
            <v>-0.11267605633802813</v>
          </cell>
          <cell r="U55">
            <v>-7.4626865671641784E-2</v>
          </cell>
          <cell r="V55">
            <v>-0.1004784688995215</v>
          </cell>
          <cell r="W55">
            <v>-0.16438356164383561</v>
          </cell>
          <cell r="X55">
            <v>-0.11702127659574468</v>
          </cell>
          <cell r="Y55">
            <v>-0.19047619047619047</v>
          </cell>
          <cell r="Z55">
            <v>-7.9365079365079416E-2</v>
          </cell>
          <cell r="AA55">
            <v>-0.13492063492063489</v>
          </cell>
          <cell r="AB55">
            <v>-4.8387096774193505E-2</v>
          </cell>
          <cell r="AC55">
            <v>-0.1063829787234043</v>
          </cell>
          <cell r="AD55">
            <v>0</v>
          </cell>
          <cell r="AE55">
            <v>-8.0321285140562249E-2</v>
          </cell>
          <cell r="AF55">
            <v>0.11764705882352944</v>
          </cell>
          <cell r="AG55">
            <v>-8.6206896551724088E-2</v>
          </cell>
          <cell r="AH55">
            <v>9.1743119266054496E-3</v>
          </cell>
          <cell r="AI55">
            <v>-6.7796610169491567E-2</v>
          </cell>
          <cell r="AJ55">
            <v>-1.7857142857142905E-2</v>
          </cell>
          <cell r="AK55">
            <v>-6.557377049180324E-2</v>
          </cell>
          <cell r="AL55">
            <v>-3.0567685589519611E-2</v>
          </cell>
          <cell r="AM55">
            <v>-0.17543859649122806</v>
          </cell>
          <cell r="AN55">
            <v>-0.17543859649122806</v>
          </cell>
          <cell r="AO55">
            <v>3.7735849056603765E-2</v>
          </cell>
          <cell r="AQ55">
            <v>-7.2727272727272751E-2</v>
          </cell>
          <cell r="AR55">
            <v>0.1272727272727272</v>
          </cell>
          <cell r="AT55">
            <v>-6.0606060606060996E-3</v>
          </cell>
          <cell r="AU55">
            <v>-5.2631578947368474E-2</v>
          </cell>
          <cell r="AW55">
            <v>-1.8018018018018056E-2</v>
          </cell>
          <cell r="AY55">
            <v>-6.3829787234042534E-2</v>
          </cell>
          <cell r="AZ55">
            <v>-0.10925371772899939</v>
          </cell>
          <cell r="BA55">
            <v>-8.8323083089166365E-2</v>
          </cell>
          <cell r="BB55">
            <v>-0.11165403036739385</v>
          </cell>
          <cell r="BC55">
            <v>-9.71433192553256E-2</v>
          </cell>
          <cell r="BD55">
            <v>-0.1009251725384841</v>
          </cell>
          <cell r="BE55">
            <v>-9.8080108600695048E-2</v>
          </cell>
          <cell r="BF55">
            <v>-2.0036806078179481E-2</v>
          </cell>
          <cell r="BG55">
            <v>-5.0000000000000044E-2</v>
          </cell>
          <cell r="BH55">
            <v>-5.0000000000000044E-2</v>
          </cell>
          <cell r="BI55">
            <v>-5.0000000000000044E-2</v>
          </cell>
          <cell r="BJ55">
            <v>-5.0000000000000044E-2</v>
          </cell>
          <cell r="BK55">
            <v>-5.0000000000000044E-2</v>
          </cell>
          <cell r="BL55">
            <v>-5.0000000000000044E-2</v>
          </cell>
          <cell r="BM55">
            <v>0</v>
          </cell>
          <cell r="BN55">
            <v>0</v>
          </cell>
          <cell r="BO55">
            <v>0</v>
          </cell>
        </row>
        <row r="56">
          <cell r="A56" t="str">
            <v>growth CER %</v>
          </cell>
          <cell r="AZ56">
            <v>-0.05</v>
          </cell>
          <cell r="BB56">
            <v>-0.05</v>
          </cell>
          <cell r="BE56">
            <v>-0.05</v>
          </cell>
          <cell r="BF56">
            <v>-0.05</v>
          </cell>
          <cell r="BG56">
            <v>-0.05</v>
          </cell>
          <cell r="BH56">
            <v>-0.05</v>
          </cell>
          <cell r="BI56">
            <v>-0.05</v>
          </cell>
          <cell r="BJ56">
            <v>-0.05</v>
          </cell>
          <cell r="BK56">
            <v>-0.05</v>
          </cell>
          <cell r="BL56">
            <v>-0.05</v>
          </cell>
          <cell r="BM56">
            <v>0</v>
          </cell>
          <cell r="BN56">
            <v>0</v>
          </cell>
          <cell r="BO56">
            <v>0</v>
          </cell>
        </row>
        <row r="57">
          <cell r="A57" t="str">
            <v>Aspirin Cardio</v>
          </cell>
          <cell r="B57">
            <v>177</v>
          </cell>
          <cell r="C57">
            <v>209</v>
          </cell>
          <cell r="D57">
            <v>54</v>
          </cell>
          <cell r="E57">
            <v>57</v>
          </cell>
          <cell r="F57">
            <v>111</v>
          </cell>
          <cell r="G57">
            <v>59</v>
          </cell>
          <cell r="H57">
            <v>170</v>
          </cell>
          <cell r="I57">
            <v>59</v>
          </cell>
          <cell r="J57">
            <v>229</v>
          </cell>
          <cell r="K57">
            <v>64</v>
          </cell>
          <cell r="L57">
            <v>67</v>
          </cell>
          <cell r="M57">
            <v>131</v>
          </cell>
          <cell r="N57">
            <v>67</v>
          </cell>
          <cell r="O57">
            <v>198</v>
          </cell>
          <cell r="P57">
            <v>72</v>
          </cell>
          <cell r="Q57">
            <v>270</v>
          </cell>
          <cell r="R57">
            <v>73</v>
          </cell>
          <cell r="S57">
            <v>81</v>
          </cell>
          <cell r="T57">
            <v>154</v>
          </cell>
          <cell r="U57">
            <v>78</v>
          </cell>
          <cell r="V57">
            <v>232</v>
          </cell>
          <cell r="W57">
            <v>83</v>
          </cell>
          <cell r="X57">
            <v>315</v>
          </cell>
          <cell r="Y57">
            <v>73</v>
          </cell>
          <cell r="Z57">
            <v>92</v>
          </cell>
          <cell r="AA57">
            <v>165</v>
          </cell>
          <cell r="AB57">
            <v>94</v>
          </cell>
          <cell r="AC57">
            <v>259</v>
          </cell>
          <cell r="AD57">
            <v>99</v>
          </cell>
          <cell r="AE57">
            <v>358</v>
          </cell>
          <cell r="AF57">
            <v>90</v>
          </cell>
          <cell r="AG57">
            <v>99</v>
          </cell>
          <cell r="AH57">
            <v>189</v>
          </cell>
          <cell r="AI57">
            <v>102</v>
          </cell>
          <cell r="AJ57">
            <v>291</v>
          </cell>
          <cell r="AK57">
            <v>113</v>
          </cell>
          <cell r="AL57">
            <v>404</v>
          </cell>
          <cell r="AM57">
            <v>108</v>
          </cell>
          <cell r="AN57">
            <v>108</v>
          </cell>
          <cell r="AO57">
            <v>115</v>
          </cell>
          <cell r="AQ57">
            <v>223</v>
          </cell>
          <cell r="AR57">
            <v>124</v>
          </cell>
          <cell r="AT57">
            <v>347</v>
          </cell>
          <cell r="AU57">
            <v>129</v>
          </cell>
          <cell r="AW57">
            <v>476</v>
          </cell>
          <cell r="AY57">
            <v>102</v>
          </cell>
          <cell r="AZ57">
            <v>111.06199698421055</v>
          </cell>
          <cell r="BA57">
            <v>213.06199698421057</v>
          </cell>
          <cell r="BB57">
            <v>119.43110235944891</v>
          </cell>
          <cell r="BC57">
            <v>332.49309934365948</v>
          </cell>
          <cell r="BD57">
            <v>132.97351576713135</v>
          </cell>
          <cell r="BE57">
            <v>465.46661511079083</v>
          </cell>
          <cell r="BF57">
            <v>513.75785406790089</v>
          </cell>
          <cell r="BG57">
            <v>549.72090385265403</v>
          </cell>
          <cell r="BH57">
            <v>577.20694904528671</v>
          </cell>
          <cell r="BI57">
            <v>606.06729649755107</v>
          </cell>
          <cell r="BJ57">
            <v>636.37066132242865</v>
          </cell>
          <cell r="BK57">
            <v>668.18919438855005</v>
          </cell>
          <cell r="BL57">
            <v>701.59865410797761</v>
          </cell>
          <cell r="BM57">
            <v>736.67858681337657</v>
          </cell>
          <cell r="BN57">
            <v>773.51251615404544</v>
          </cell>
          <cell r="BO57">
            <v>773.51251615404544</v>
          </cell>
          <cell r="BW57">
            <v>219.20694904528671</v>
          </cell>
        </row>
        <row r="58">
          <cell r="A58" t="str">
            <v>growth %</v>
          </cell>
          <cell r="E58">
            <v>0.124</v>
          </cell>
          <cell r="F58" t="e">
            <v>#REF!</v>
          </cell>
          <cell r="G58">
            <v>0.16</v>
          </cell>
          <cell r="H58" t="e">
            <v>#VALUE!</v>
          </cell>
          <cell r="J58">
            <v>0.13100000000000001</v>
          </cell>
          <cell r="K58">
            <v>0.224</v>
          </cell>
          <cell r="L58">
            <v>0.222</v>
          </cell>
          <cell r="M58">
            <v>0.18018018018018012</v>
          </cell>
          <cell r="N58">
            <v>0.158</v>
          </cell>
          <cell r="O58">
            <v>0.16470588235294126</v>
          </cell>
          <cell r="P58">
            <v>0.22033898305084754</v>
          </cell>
          <cell r="Q58">
            <v>0.17903930131004375</v>
          </cell>
          <cell r="R58">
            <v>0.1</v>
          </cell>
          <cell r="S58">
            <v>0.14599999999999999</v>
          </cell>
          <cell r="T58">
            <v>0.17557251908396942</v>
          </cell>
          <cell r="U58">
            <v>0.16417910447761197</v>
          </cell>
          <cell r="V58">
            <v>0.17171717171717171</v>
          </cell>
          <cell r="W58">
            <v>0.15277777777777768</v>
          </cell>
          <cell r="X58">
            <v>0.16666666666666674</v>
          </cell>
          <cell r="Y58">
            <v>0</v>
          </cell>
          <cell r="Z58">
            <v>0.13580246913580241</v>
          </cell>
          <cell r="AA58">
            <v>7.1428571428571397E-2</v>
          </cell>
          <cell r="AB58">
            <v>0.20512820512820507</v>
          </cell>
          <cell r="AC58">
            <v>0.11637931034482762</v>
          </cell>
          <cell r="AD58">
            <v>0.19277108433734935</v>
          </cell>
          <cell r="AE58">
            <v>0.13650793650793647</v>
          </cell>
          <cell r="AF58">
            <v>0.23287671232876717</v>
          </cell>
          <cell r="AG58">
            <v>7.6086956521739024E-2</v>
          </cell>
          <cell r="AH58">
            <v>0.1454545454545455</v>
          </cell>
          <cell r="AI58">
            <v>8.5106382978723305E-2</v>
          </cell>
          <cell r="AJ58">
            <v>0.12355212355212353</v>
          </cell>
          <cell r="AK58">
            <v>0.14141414141414144</v>
          </cell>
          <cell r="AL58">
            <v>0.12849162011173187</v>
          </cell>
          <cell r="AM58">
            <v>0.19999999999999996</v>
          </cell>
          <cell r="AN58">
            <v>0.19999999999999996</v>
          </cell>
          <cell r="AO58">
            <v>0.16161616161616155</v>
          </cell>
          <cell r="AQ58">
            <v>0.17989417989418</v>
          </cell>
          <cell r="AR58">
            <v>0.21568627450980382</v>
          </cell>
          <cell r="AT58">
            <v>0.19243986254295531</v>
          </cell>
          <cell r="AU58">
            <v>0.1415929203539823</v>
          </cell>
          <cell r="AW58">
            <v>0.17821782178217815</v>
          </cell>
          <cell r="AY58">
            <v>-5.555555555555558E-2</v>
          </cell>
          <cell r="AZ58">
            <v>-3.4243504485125587E-2</v>
          </cell>
          <cell r="BA58">
            <v>-4.456503594524408E-2</v>
          </cell>
          <cell r="BB58">
            <v>-3.6845948714121612E-2</v>
          </cell>
          <cell r="BC58">
            <v>-4.180663013354613E-2</v>
          </cell>
          <cell r="BD58">
            <v>3.0802447807219746E-2</v>
          </cell>
          <cell r="BE58">
            <v>-2.2128959851279828E-2</v>
          </cell>
          <cell r="BF58">
            <v>0.1037480184172086</v>
          </cell>
          <cell r="BG58">
            <v>7.0000000000000062E-2</v>
          </cell>
          <cell r="BH58">
            <v>5.0000000000000044E-2</v>
          </cell>
          <cell r="BI58">
            <v>5.0000000000000044E-2</v>
          </cell>
          <cell r="BJ58">
            <v>5.0000000000000044E-2</v>
          </cell>
          <cell r="BK58">
            <v>5.0000000000000044E-2</v>
          </cell>
          <cell r="BL58">
            <v>5.0000000000000044E-2</v>
          </cell>
          <cell r="BM58">
            <v>5.0000000000000044E-2</v>
          </cell>
          <cell r="BN58">
            <v>5.0000000000000044E-2</v>
          </cell>
          <cell r="BO58">
            <v>0</v>
          </cell>
          <cell r="BW58">
            <v>-8.6507936507936423E-2</v>
          </cell>
        </row>
        <row r="59">
          <cell r="A59" t="str">
            <v>Aspirin Cardio US</v>
          </cell>
          <cell r="F59">
            <v>0</v>
          </cell>
          <cell r="H59">
            <v>0</v>
          </cell>
          <cell r="M59">
            <v>0</v>
          </cell>
          <cell r="O59">
            <v>0</v>
          </cell>
          <cell r="T59">
            <v>0</v>
          </cell>
          <cell r="V59">
            <v>0</v>
          </cell>
          <cell r="X59">
            <v>0</v>
          </cell>
          <cell r="AA59">
            <v>0</v>
          </cell>
          <cell r="AC59">
            <v>0</v>
          </cell>
          <cell r="AD59">
            <v>0</v>
          </cell>
          <cell r="AE59">
            <v>0</v>
          </cell>
          <cell r="AH59">
            <v>0</v>
          </cell>
          <cell r="AI59">
            <v>0</v>
          </cell>
          <cell r="AJ59">
            <v>0</v>
          </cell>
          <cell r="AK59">
            <v>0</v>
          </cell>
          <cell r="AL59">
            <v>0</v>
          </cell>
          <cell r="AM59">
            <v>0</v>
          </cell>
          <cell r="AN59">
            <v>0</v>
          </cell>
          <cell r="AO59">
            <v>0</v>
          </cell>
          <cell r="AQ59">
            <v>0</v>
          </cell>
          <cell r="AR59">
            <v>0</v>
          </cell>
          <cell r="AT59">
            <v>0</v>
          </cell>
          <cell r="AU59">
            <v>0</v>
          </cell>
          <cell r="AW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row>
        <row r="60">
          <cell r="A60" t="str">
            <v>growth reported %</v>
          </cell>
          <cell r="F60" t="e">
            <v>#REF!</v>
          </cell>
          <cell r="H60" t="e">
            <v>#VALUE!</v>
          </cell>
          <cell r="J60" t="e">
            <v>#DIV/0!</v>
          </cell>
          <cell r="K60" t="e">
            <v>#DIV/0!</v>
          </cell>
          <cell r="L60" t="e">
            <v>#DIV/0!</v>
          </cell>
          <cell r="M60" t="e">
            <v>#DIV/0!</v>
          </cell>
          <cell r="N60" t="e">
            <v>#DIV/0!</v>
          </cell>
          <cell r="O60" t="e">
            <v>#DIV/0!</v>
          </cell>
          <cell r="P60" t="e">
            <v>#DIV/0!</v>
          </cell>
          <cell r="Q60" t="e">
            <v>#DIV/0!</v>
          </cell>
          <cell r="R60" t="e">
            <v>#DIV/0!</v>
          </cell>
          <cell r="S60" t="e">
            <v>#DIV/0!</v>
          </cell>
          <cell r="T60" t="e">
            <v>#DIV/0!</v>
          </cell>
          <cell r="U60" t="e">
            <v>#DIV/0!</v>
          </cell>
          <cell r="V60" t="e">
            <v>#DIV/0!</v>
          </cell>
          <cell r="W60" t="e">
            <v>#DIV/0!</v>
          </cell>
          <cell r="X60" t="e">
            <v>#DIV/0!</v>
          </cell>
          <cell r="Y60" t="e">
            <v>#DIV/0!</v>
          </cell>
          <cell r="Z60" t="e">
            <v>#DIV/0!</v>
          </cell>
          <cell r="AA60" t="e">
            <v>#DIV/0!</v>
          </cell>
          <cell r="AB60" t="e">
            <v>#DIV/0!</v>
          </cell>
          <cell r="AC60" t="e">
            <v>#DIV/0!</v>
          </cell>
          <cell r="AD60" t="e">
            <v>#DIV/0!</v>
          </cell>
          <cell r="AE60" t="str">
            <v>NM</v>
          </cell>
          <cell r="AF60" t="str">
            <v>NM</v>
          </cell>
          <cell r="AG60" t="str">
            <v>NM</v>
          </cell>
          <cell r="AH60" t="str">
            <v>NM</v>
          </cell>
          <cell r="AJ60" t="str">
            <v>NM</v>
          </cell>
          <cell r="AL60" t="str">
            <v>NM</v>
          </cell>
          <cell r="AM60" t="str">
            <v>NM</v>
          </cell>
          <cell r="AN60" t="str">
            <v>NM</v>
          </cell>
          <cell r="AO60" t="str">
            <v>NM</v>
          </cell>
          <cell r="AQ60" t="str">
            <v>NM</v>
          </cell>
          <cell r="AR60" t="str">
            <v>NM</v>
          </cell>
          <cell r="AT60" t="str">
            <v>NM</v>
          </cell>
          <cell r="AU60" t="str">
            <v>NM</v>
          </cell>
          <cell r="AW60" t="str">
            <v>NM</v>
          </cell>
          <cell r="AY60" t="str">
            <v>NM</v>
          </cell>
          <cell r="AZ60">
            <v>-4.240298507462692E-2</v>
          </cell>
          <cell r="BA60" t="str">
            <v>NM</v>
          </cell>
          <cell r="BB60">
            <v>-3.7630769230769134E-2</v>
          </cell>
          <cell r="BC60" t="str">
            <v>NM</v>
          </cell>
          <cell r="BD60" t="str">
            <v>NM</v>
          </cell>
          <cell r="BE60">
            <v>-1.461302681992338E-2</v>
          </cell>
          <cell r="BF60">
            <v>7.6288659793814384E-2</v>
          </cell>
          <cell r="BG60">
            <v>0</v>
          </cell>
          <cell r="BH60">
            <v>0</v>
          </cell>
          <cell r="BI60">
            <v>0</v>
          </cell>
          <cell r="BJ60">
            <v>0</v>
          </cell>
          <cell r="BK60">
            <v>0</v>
          </cell>
          <cell r="BL60">
            <v>0</v>
          </cell>
          <cell r="BM60">
            <v>0</v>
          </cell>
          <cell r="BN60">
            <v>0</v>
          </cell>
          <cell r="BO60">
            <v>0</v>
          </cell>
        </row>
        <row r="61">
          <cell r="A61" t="str">
            <v>growth CER %</v>
          </cell>
          <cell r="AZ61">
            <v>0</v>
          </cell>
          <cell r="BB61">
            <v>0</v>
          </cell>
          <cell r="BE61">
            <v>0</v>
          </cell>
          <cell r="BF61">
            <v>0</v>
          </cell>
          <cell r="BG61">
            <v>0</v>
          </cell>
          <cell r="BH61">
            <v>0</v>
          </cell>
          <cell r="BI61">
            <v>0</v>
          </cell>
          <cell r="BJ61">
            <v>0</v>
          </cell>
          <cell r="BK61">
            <v>0</v>
          </cell>
          <cell r="BL61">
            <v>0</v>
          </cell>
          <cell r="BM61">
            <v>0</v>
          </cell>
          <cell r="BN61">
            <v>0</v>
          </cell>
          <cell r="BO61">
            <v>0</v>
          </cell>
        </row>
        <row r="62">
          <cell r="A62" t="str">
            <v>Aspirin Cardio ROW</v>
          </cell>
          <cell r="D62">
            <v>54</v>
          </cell>
          <cell r="E62">
            <v>57</v>
          </cell>
          <cell r="F62">
            <v>111</v>
          </cell>
          <cell r="G62">
            <v>59</v>
          </cell>
          <cell r="H62">
            <v>170</v>
          </cell>
          <cell r="I62">
            <v>59</v>
          </cell>
          <cell r="J62">
            <v>229</v>
          </cell>
          <cell r="K62">
            <v>64</v>
          </cell>
          <cell r="L62">
            <v>67</v>
          </cell>
          <cell r="M62">
            <v>131</v>
          </cell>
          <cell r="N62">
            <v>67</v>
          </cell>
          <cell r="O62">
            <v>198</v>
          </cell>
          <cell r="P62">
            <v>72</v>
          </cell>
          <cell r="Q62">
            <v>270</v>
          </cell>
          <cell r="R62">
            <v>73</v>
          </cell>
          <cell r="S62">
            <v>81</v>
          </cell>
          <cell r="T62">
            <v>154</v>
          </cell>
          <cell r="U62">
            <v>78</v>
          </cell>
          <cell r="V62">
            <v>232</v>
          </cell>
          <cell r="W62">
            <v>83</v>
          </cell>
          <cell r="X62">
            <v>315</v>
          </cell>
          <cell r="Y62">
            <v>73</v>
          </cell>
          <cell r="Z62">
            <v>92</v>
          </cell>
          <cell r="AA62">
            <v>165</v>
          </cell>
          <cell r="AB62">
            <v>94</v>
          </cell>
          <cell r="AC62">
            <v>259</v>
          </cell>
          <cell r="AD62">
            <v>99</v>
          </cell>
          <cell r="AE62">
            <v>358</v>
          </cell>
          <cell r="AF62">
            <v>90</v>
          </cell>
          <cell r="AG62">
            <v>99</v>
          </cell>
          <cell r="AH62">
            <v>189</v>
          </cell>
          <cell r="AI62">
            <v>102</v>
          </cell>
          <cell r="AJ62">
            <v>291</v>
          </cell>
          <cell r="AK62">
            <v>113</v>
          </cell>
          <cell r="AL62">
            <v>404</v>
          </cell>
          <cell r="AM62">
            <v>108</v>
          </cell>
          <cell r="AN62">
            <v>108</v>
          </cell>
          <cell r="AO62">
            <v>115</v>
          </cell>
          <cell r="AQ62">
            <v>223</v>
          </cell>
          <cell r="AR62">
            <v>124</v>
          </cell>
          <cell r="AT62">
            <v>347</v>
          </cell>
          <cell r="AU62">
            <v>129</v>
          </cell>
          <cell r="AW62">
            <v>476</v>
          </cell>
          <cell r="AY62">
            <v>102</v>
          </cell>
          <cell r="AZ62">
            <v>111.06199698421055</v>
          </cell>
          <cell r="BA62">
            <v>213.06199698421057</v>
          </cell>
          <cell r="BB62">
            <v>119.43110235944891</v>
          </cell>
          <cell r="BC62">
            <v>332.49309934365948</v>
          </cell>
          <cell r="BD62">
            <v>132.97351576713135</v>
          </cell>
          <cell r="BE62">
            <v>465.46661511079083</v>
          </cell>
          <cell r="BF62">
            <v>513.75785406790089</v>
          </cell>
          <cell r="BG62">
            <v>549.72090385265403</v>
          </cell>
          <cell r="BH62">
            <v>577.20694904528671</v>
          </cell>
          <cell r="BI62">
            <v>606.06729649755107</v>
          </cell>
          <cell r="BJ62">
            <v>636.37066132242865</v>
          </cell>
          <cell r="BK62">
            <v>668.18919438855005</v>
          </cell>
          <cell r="BL62">
            <v>701.59865410797761</v>
          </cell>
          <cell r="BM62">
            <v>736.67858681337657</v>
          </cell>
          <cell r="BN62">
            <v>773.51251615404544</v>
          </cell>
          <cell r="BO62">
            <v>773.51251615404544</v>
          </cell>
        </row>
        <row r="63">
          <cell r="A63" t="str">
            <v>growth reported %</v>
          </cell>
          <cell r="F63" t="e">
            <v>#REF!</v>
          </cell>
          <cell r="H63" t="e">
            <v>#VALUE!</v>
          </cell>
          <cell r="K63">
            <v>0.18518518518518512</v>
          </cell>
          <cell r="L63">
            <v>0.17543859649122817</v>
          </cell>
          <cell r="M63">
            <v>0.18018018018018012</v>
          </cell>
          <cell r="N63">
            <v>0.13559322033898313</v>
          </cell>
          <cell r="O63">
            <v>0.16470588235294126</v>
          </cell>
          <cell r="P63">
            <v>0.22033898305084754</v>
          </cell>
          <cell r="Q63">
            <v>0.17903930131004375</v>
          </cell>
          <cell r="R63">
            <v>0.140625</v>
          </cell>
          <cell r="S63">
            <v>0.20895522388059695</v>
          </cell>
          <cell r="T63">
            <v>0.17557251908396942</v>
          </cell>
          <cell r="U63">
            <v>0.16417910447761197</v>
          </cell>
          <cell r="V63">
            <v>0.17171717171717171</v>
          </cell>
          <cell r="W63">
            <v>0.15277777777777768</v>
          </cell>
          <cell r="X63">
            <v>0.16666666666666674</v>
          </cell>
          <cell r="Y63">
            <v>0</v>
          </cell>
          <cell r="Z63">
            <v>0.13580246913580241</v>
          </cell>
          <cell r="AA63">
            <v>7.1428571428571397E-2</v>
          </cell>
          <cell r="AB63">
            <v>0.20512820512820507</v>
          </cell>
          <cell r="AC63">
            <v>0.11637931034482762</v>
          </cell>
          <cell r="AD63">
            <v>0.19277108433734935</v>
          </cell>
          <cell r="AE63">
            <v>0.13650793650793647</v>
          </cell>
          <cell r="AF63">
            <v>0.23287671232876717</v>
          </cell>
          <cell r="AG63">
            <v>7.6086956521739024E-2</v>
          </cell>
          <cell r="AH63">
            <v>0.1454545454545455</v>
          </cell>
          <cell r="AI63">
            <v>8.5106382978723305E-2</v>
          </cell>
          <cell r="AJ63">
            <v>0.12355212355212353</v>
          </cell>
          <cell r="AK63">
            <v>0.14141414141414144</v>
          </cell>
          <cell r="AL63">
            <v>0.12849162011173187</v>
          </cell>
          <cell r="AM63">
            <v>0.19999999999999996</v>
          </cell>
          <cell r="AN63">
            <v>0.19999999999999996</v>
          </cell>
          <cell r="AO63">
            <v>0.16161616161616155</v>
          </cell>
          <cell r="AQ63">
            <v>0.17989417989418</v>
          </cell>
          <cell r="AR63">
            <v>0.21568627450980382</v>
          </cell>
          <cell r="AT63">
            <v>0.19243986254295531</v>
          </cell>
          <cell r="AU63">
            <v>0.1415929203539823</v>
          </cell>
          <cell r="AW63">
            <v>0.17821782178217815</v>
          </cell>
          <cell r="AY63">
            <v>-5.555555555555558E-2</v>
          </cell>
          <cell r="AZ63">
            <v>-3.4243504485125587E-2</v>
          </cell>
          <cell r="BA63">
            <v>-4.456503594524408E-2</v>
          </cell>
          <cell r="BB63">
            <v>-3.6845948714121612E-2</v>
          </cell>
          <cell r="BC63">
            <v>-4.180663013354613E-2</v>
          </cell>
          <cell r="BD63">
            <v>3.0802447807219746E-2</v>
          </cell>
          <cell r="BE63">
            <v>-2.2128959851279828E-2</v>
          </cell>
          <cell r="BF63">
            <v>0.1037480184172086</v>
          </cell>
          <cell r="BG63">
            <v>7.0000000000000062E-2</v>
          </cell>
          <cell r="BH63">
            <v>5.0000000000000044E-2</v>
          </cell>
          <cell r="BI63">
            <v>5.0000000000000044E-2</v>
          </cell>
          <cell r="BJ63">
            <v>5.0000000000000044E-2</v>
          </cell>
          <cell r="BK63">
            <v>5.0000000000000044E-2</v>
          </cell>
          <cell r="BL63">
            <v>5.0000000000000044E-2</v>
          </cell>
          <cell r="BM63">
            <v>5.0000000000000044E-2</v>
          </cell>
          <cell r="BN63">
            <v>5.0000000000000044E-2</v>
          </cell>
          <cell r="BO63">
            <v>0</v>
          </cell>
        </row>
        <row r="64">
          <cell r="A64" t="str">
            <v>growth CER %</v>
          </cell>
          <cell r="AZ64">
            <v>0.03</v>
          </cell>
          <cell r="BB64">
            <v>0.03</v>
          </cell>
          <cell r="BE64">
            <v>0.03</v>
          </cell>
          <cell r="BF64">
            <v>7.0000000000000007E-2</v>
          </cell>
          <cell r="BG64">
            <v>7.0000000000000007E-2</v>
          </cell>
          <cell r="BH64">
            <v>0.05</v>
          </cell>
          <cell r="BI64">
            <v>0.05</v>
          </cell>
          <cell r="BJ64">
            <v>0.05</v>
          </cell>
          <cell r="BK64">
            <v>0.05</v>
          </cell>
          <cell r="BL64">
            <v>0.05</v>
          </cell>
          <cell r="BM64">
            <v>0.05</v>
          </cell>
          <cell r="BN64">
            <v>0.05</v>
          </cell>
          <cell r="BO64">
            <v>0</v>
          </cell>
        </row>
        <row r="65">
          <cell r="A65" t="str">
            <v>Glucobay</v>
          </cell>
          <cell r="B65">
            <v>295</v>
          </cell>
          <cell r="C65">
            <v>308</v>
          </cell>
          <cell r="D65">
            <v>72</v>
          </cell>
          <cell r="E65">
            <v>79</v>
          </cell>
          <cell r="F65">
            <v>151</v>
          </cell>
          <cell r="G65">
            <v>74</v>
          </cell>
          <cell r="H65">
            <v>225</v>
          </cell>
          <cell r="I65">
            <v>73</v>
          </cell>
          <cell r="J65">
            <v>298</v>
          </cell>
          <cell r="K65">
            <v>80</v>
          </cell>
          <cell r="L65">
            <v>74</v>
          </cell>
          <cell r="M65">
            <v>154</v>
          </cell>
          <cell r="N65">
            <v>75</v>
          </cell>
          <cell r="O65">
            <v>229</v>
          </cell>
          <cell r="P65">
            <v>75</v>
          </cell>
          <cell r="Q65">
            <v>304</v>
          </cell>
          <cell r="R65">
            <v>82</v>
          </cell>
          <cell r="S65">
            <v>84</v>
          </cell>
          <cell r="T65">
            <v>166</v>
          </cell>
          <cell r="U65">
            <v>77</v>
          </cell>
          <cell r="V65">
            <v>243</v>
          </cell>
          <cell r="W65">
            <v>72</v>
          </cell>
          <cell r="X65">
            <v>315</v>
          </cell>
          <cell r="Y65">
            <v>79</v>
          </cell>
          <cell r="Z65">
            <v>90</v>
          </cell>
          <cell r="AA65">
            <v>169</v>
          </cell>
          <cell r="AB65">
            <v>91</v>
          </cell>
          <cell r="AC65">
            <v>260</v>
          </cell>
          <cell r="AD65">
            <v>87</v>
          </cell>
          <cell r="AE65">
            <v>347</v>
          </cell>
          <cell r="AF65">
            <v>88</v>
          </cell>
          <cell r="AG65">
            <v>90</v>
          </cell>
          <cell r="AH65">
            <v>178</v>
          </cell>
          <cell r="AI65">
            <v>88</v>
          </cell>
          <cell r="AJ65">
            <v>266</v>
          </cell>
          <cell r="AK65">
            <v>96</v>
          </cell>
          <cell r="AL65">
            <v>362</v>
          </cell>
          <cell r="AM65">
            <v>84</v>
          </cell>
          <cell r="AN65">
            <v>84</v>
          </cell>
          <cell r="AO65">
            <v>103</v>
          </cell>
          <cell r="AQ65">
            <v>187</v>
          </cell>
          <cell r="AR65">
            <v>122</v>
          </cell>
          <cell r="AT65">
            <v>309</v>
          </cell>
          <cell r="AU65">
            <v>99</v>
          </cell>
          <cell r="AW65">
            <v>408</v>
          </cell>
          <cell r="AY65">
            <v>101</v>
          </cell>
          <cell r="AZ65">
            <v>113.95926647075517</v>
          </cell>
          <cell r="BA65">
            <v>214.95926647075515</v>
          </cell>
          <cell r="BB65">
            <v>125.49055697336395</v>
          </cell>
          <cell r="BC65">
            <v>340.44982344411909</v>
          </cell>
          <cell r="BD65">
            <v>105.00366397120081</v>
          </cell>
          <cell r="BE65">
            <v>445.4534874153199</v>
          </cell>
          <cell r="BF65">
            <v>482.47834040493365</v>
          </cell>
          <cell r="BG65">
            <v>506.60225742518037</v>
          </cell>
          <cell r="BH65">
            <v>521.80032514793584</v>
          </cell>
          <cell r="BI65">
            <v>537.45433490237394</v>
          </cell>
          <cell r="BJ65">
            <v>553.57796494944523</v>
          </cell>
          <cell r="BK65">
            <v>570.18530389792863</v>
          </cell>
          <cell r="BL65">
            <v>587.29086301486655</v>
          </cell>
          <cell r="BM65">
            <v>604.9095889053126</v>
          </cell>
          <cell r="BN65">
            <v>623.05687657247199</v>
          </cell>
          <cell r="BO65">
            <v>641.74858286964616</v>
          </cell>
          <cell r="BW65">
            <v>174.80032514793584</v>
          </cell>
        </row>
        <row r="66">
          <cell r="A66" t="str">
            <v>growth %</v>
          </cell>
          <cell r="F66" t="e">
            <v>#REF!</v>
          </cell>
          <cell r="H66" t="e">
            <v>#VALUE!</v>
          </cell>
          <cell r="J66">
            <v>1.2E-2</v>
          </cell>
          <cell r="K66">
            <v>0.14599999999999999</v>
          </cell>
          <cell r="L66">
            <v>-2.1000000000000001E-2</v>
          </cell>
          <cell r="M66">
            <v>1.9867549668874274E-2</v>
          </cell>
          <cell r="N66">
            <v>1.2E-2</v>
          </cell>
          <cell r="O66">
            <v>1.777777777777767E-2</v>
          </cell>
          <cell r="P66">
            <v>2.7397260273972712E-2</v>
          </cell>
          <cell r="Q66">
            <v>2.0134228187919545E-2</v>
          </cell>
          <cell r="R66">
            <v>0.01</v>
          </cell>
          <cell r="S66">
            <v>3.2000000000000001E-2</v>
          </cell>
          <cell r="T66">
            <v>7.7922077922077948E-2</v>
          </cell>
          <cell r="U66">
            <v>2.6666666666666616E-2</v>
          </cell>
          <cell r="V66">
            <v>6.1135371179039222E-2</v>
          </cell>
          <cell r="W66">
            <v>-4.0000000000000036E-2</v>
          </cell>
          <cell r="X66">
            <v>3.6184210526315708E-2</v>
          </cell>
          <cell r="Y66">
            <v>-3.6585365853658569E-2</v>
          </cell>
          <cell r="Z66">
            <v>7.1428571428571397E-2</v>
          </cell>
          <cell r="AA66">
            <v>1.8072289156626509E-2</v>
          </cell>
          <cell r="AB66">
            <v>0.18181818181818188</v>
          </cell>
          <cell r="AC66">
            <v>6.9958847736625529E-2</v>
          </cell>
          <cell r="AD66">
            <v>0.20833333333333326</v>
          </cell>
          <cell r="AE66">
            <v>0.10158730158730167</v>
          </cell>
          <cell r="AF66">
            <v>0.11392405063291133</v>
          </cell>
          <cell r="AG66">
            <v>0</v>
          </cell>
          <cell r="AH66">
            <v>5.3254437869822535E-2</v>
          </cell>
          <cell r="AI66">
            <v>-3.2967032967032961E-2</v>
          </cell>
          <cell r="AJ66">
            <v>2.3076923076922995E-2</v>
          </cell>
          <cell r="AK66">
            <v>0.10344827586206895</v>
          </cell>
          <cell r="AL66">
            <v>4.3227665706051965E-2</v>
          </cell>
          <cell r="AM66">
            <v>-4.5454545454545414E-2</v>
          </cell>
          <cell r="AN66">
            <v>-4.5454545454545414E-2</v>
          </cell>
          <cell r="AO66">
            <v>0.14444444444444438</v>
          </cell>
          <cell r="AQ66">
            <v>5.0561797752809001E-2</v>
          </cell>
          <cell r="AR66">
            <v>0.38636363636363646</v>
          </cell>
          <cell r="AT66">
            <v>0.16165413533834583</v>
          </cell>
          <cell r="AU66">
            <v>3.125E-2</v>
          </cell>
          <cell r="AW66">
            <v>0.1270718232044199</v>
          </cell>
          <cell r="AY66">
            <v>0.20238095238095233</v>
          </cell>
          <cell r="AZ66">
            <v>0.10640064534713756</v>
          </cell>
          <cell r="BA66">
            <v>0.14951479396125755</v>
          </cell>
          <cell r="BB66">
            <v>2.8611122732491445E-2</v>
          </cell>
          <cell r="BC66">
            <v>0.10177936389682563</v>
          </cell>
          <cell r="BD66">
            <v>6.0643070416169786E-2</v>
          </cell>
          <cell r="BE66">
            <v>9.1797763272842836E-2</v>
          </cell>
          <cell r="BF66">
            <v>8.3117214334643919E-2</v>
          </cell>
          <cell r="BG66">
            <v>5.0000000000000044E-2</v>
          </cell>
          <cell r="BH66">
            <v>3.0000000000000027E-2</v>
          </cell>
          <cell r="BI66">
            <v>3.0000000000000027E-2</v>
          </cell>
          <cell r="BJ66">
            <v>3.0000000000000027E-2</v>
          </cell>
          <cell r="BK66">
            <v>3.0000000000000027E-2</v>
          </cell>
          <cell r="BL66">
            <v>3.0000000000000027E-2</v>
          </cell>
          <cell r="BM66">
            <v>3.0000000000000027E-2</v>
          </cell>
          <cell r="BN66">
            <v>3.0000000000000027E-2</v>
          </cell>
          <cell r="BO66">
            <v>3.0000000000000027E-2</v>
          </cell>
          <cell r="BW66">
            <v>-7.1587301587301644E-2</v>
          </cell>
        </row>
        <row r="67">
          <cell r="A67" t="str">
            <v>Glucobay US</v>
          </cell>
          <cell r="D67">
            <v>6</v>
          </cell>
          <cell r="E67">
            <v>6</v>
          </cell>
          <cell r="F67">
            <v>12</v>
          </cell>
          <cell r="G67">
            <v>6</v>
          </cell>
          <cell r="H67">
            <v>18</v>
          </cell>
          <cell r="I67">
            <v>7</v>
          </cell>
          <cell r="J67">
            <v>25</v>
          </cell>
          <cell r="K67">
            <v>6</v>
          </cell>
          <cell r="L67">
            <v>1</v>
          </cell>
          <cell r="M67">
            <v>7</v>
          </cell>
          <cell r="N67">
            <v>1</v>
          </cell>
          <cell r="O67">
            <v>8</v>
          </cell>
          <cell r="P67">
            <v>1</v>
          </cell>
          <cell r="Q67">
            <v>9</v>
          </cell>
          <cell r="R67">
            <v>1</v>
          </cell>
          <cell r="S67">
            <v>0</v>
          </cell>
          <cell r="T67">
            <v>1</v>
          </cell>
          <cell r="V67">
            <v>1</v>
          </cell>
          <cell r="W67">
            <v>0</v>
          </cell>
          <cell r="X67">
            <v>1</v>
          </cell>
          <cell r="AA67">
            <v>0</v>
          </cell>
          <cell r="AC67">
            <v>0</v>
          </cell>
          <cell r="AD67">
            <v>1</v>
          </cell>
          <cell r="AE67">
            <v>1</v>
          </cell>
          <cell r="AH67">
            <v>0</v>
          </cell>
          <cell r="AI67">
            <v>0</v>
          </cell>
          <cell r="AJ67">
            <v>0</v>
          </cell>
          <cell r="AK67">
            <v>0</v>
          </cell>
          <cell r="AL67">
            <v>0</v>
          </cell>
          <cell r="AM67">
            <v>0</v>
          </cell>
          <cell r="AN67">
            <v>0</v>
          </cell>
          <cell r="AO67">
            <v>0</v>
          </cell>
          <cell r="AQ67">
            <v>0</v>
          </cell>
          <cell r="AR67">
            <v>0</v>
          </cell>
          <cell r="AT67">
            <v>0</v>
          </cell>
          <cell r="AU67">
            <v>0</v>
          </cell>
          <cell r="AW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row>
        <row r="68">
          <cell r="A68" t="str">
            <v>growth reported %</v>
          </cell>
          <cell r="F68" t="e">
            <v>#REF!</v>
          </cell>
          <cell r="H68" t="e">
            <v>#VALUE!</v>
          </cell>
          <cell r="J68" t="e">
            <v>#DIV/0!</v>
          </cell>
          <cell r="K68">
            <v>0</v>
          </cell>
          <cell r="L68">
            <v>-0.83333333333333337</v>
          </cell>
          <cell r="M68">
            <v>-0.41666666666666663</v>
          </cell>
          <cell r="N68">
            <v>-0.83333333333333337</v>
          </cell>
          <cell r="O68">
            <v>-0.55555555555555558</v>
          </cell>
          <cell r="P68">
            <v>-0.85714285714285721</v>
          </cell>
          <cell r="Q68">
            <v>-0.64</v>
          </cell>
          <cell r="R68">
            <v>-0.83333333333333337</v>
          </cell>
          <cell r="S68">
            <v>-1</v>
          </cell>
          <cell r="T68">
            <v>-0.85714285714285721</v>
          </cell>
          <cell r="U68">
            <v>-1</v>
          </cell>
          <cell r="V68">
            <v>-0.875</v>
          </cell>
          <cell r="W68">
            <v>-1</v>
          </cell>
          <cell r="X68">
            <v>-0.88888888888888884</v>
          </cell>
          <cell r="Y68">
            <v>-1</v>
          </cell>
          <cell r="Z68" t="e">
            <v>#DIV/0!</v>
          </cell>
          <cell r="AA68">
            <v>-1</v>
          </cell>
          <cell r="AB68" t="e">
            <v>#DIV/0!</v>
          </cell>
          <cell r="AC68">
            <v>-1</v>
          </cell>
          <cell r="AD68" t="e">
            <v>#DIV/0!</v>
          </cell>
          <cell r="AE68">
            <v>0</v>
          </cell>
          <cell r="AF68" t="str">
            <v>NM</v>
          </cell>
          <cell r="AG68" t="str">
            <v>NM</v>
          </cell>
          <cell r="AH68" t="str">
            <v>NM</v>
          </cell>
          <cell r="AJ68" t="str">
            <v>NM</v>
          </cell>
          <cell r="AK68">
            <v>-1</v>
          </cell>
          <cell r="AL68">
            <v>-1</v>
          </cell>
          <cell r="AM68" t="str">
            <v>NM</v>
          </cell>
          <cell r="AN68" t="str">
            <v>NM</v>
          </cell>
          <cell r="AO68" t="str">
            <v>NM</v>
          </cell>
          <cell r="AQ68" t="str">
            <v>NM</v>
          </cell>
          <cell r="AR68" t="str">
            <v>NM</v>
          </cell>
          <cell r="AT68" t="str">
            <v>NM</v>
          </cell>
          <cell r="AU68" t="str">
            <v>NM</v>
          </cell>
          <cell r="AW68" t="str">
            <v>NM</v>
          </cell>
          <cell r="AY68" t="str">
            <v>NM</v>
          </cell>
          <cell r="AZ68">
            <v>-4.240298507462692E-2</v>
          </cell>
          <cell r="BA68" t="str">
            <v>NM</v>
          </cell>
          <cell r="BB68">
            <v>-3.7630769230769134E-2</v>
          </cell>
          <cell r="BC68" t="str">
            <v>NM</v>
          </cell>
          <cell r="BD68" t="str">
            <v>NM</v>
          </cell>
          <cell r="BE68">
            <v>-1.461302681992338E-2</v>
          </cell>
          <cell r="BF68">
            <v>7.6288659793814384E-2</v>
          </cell>
          <cell r="BG68">
            <v>0</v>
          </cell>
          <cell r="BH68">
            <v>0</v>
          </cell>
          <cell r="BI68">
            <v>0</v>
          </cell>
          <cell r="BJ68">
            <v>0</v>
          </cell>
          <cell r="BK68">
            <v>0</v>
          </cell>
          <cell r="BL68">
            <v>0</v>
          </cell>
          <cell r="BM68">
            <v>0</v>
          </cell>
          <cell r="BN68">
            <v>0</v>
          </cell>
          <cell r="BO68">
            <v>0</v>
          </cell>
        </row>
        <row r="69">
          <cell r="A69" t="str">
            <v>growth CER %</v>
          </cell>
          <cell r="AZ69">
            <v>0</v>
          </cell>
          <cell r="BB69">
            <v>0</v>
          </cell>
          <cell r="BE69">
            <v>0</v>
          </cell>
          <cell r="BF69">
            <v>0</v>
          </cell>
          <cell r="BG69">
            <v>0</v>
          </cell>
          <cell r="BH69">
            <v>0</v>
          </cell>
          <cell r="BI69">
            <v>0</v>
          </cell>
          <cell r="BJ69">
            <v>0</v>
          </cell>
          <cell r="BK69">
            <v>0</v>
          </cell>
          <cell r="BL69">
            <v>0</v>
          </cell>
          <cell r="BM69">
            <v>0</v>
          </cell>
          <cell r="BN69">
            <v>0</v>
          </cell>
          <cell r="BO69">
            <v>0</v>
          </cell>
        </row>
        <row r="70">
          <cell r="A70" t="str">
            <v>Glucobay ROW</v>
          </cell>
          <cell r="D70">
            <v>66</v>
          </cell>
          <cell r="E70">
            <v>73</v>
          </cell>
          <cell r="F70">
            <v>139</v>
          </cell>
          <cell r="G70">
            <v>68</v>
          </cell>
          <cell r="H70">
            <v>207</v>
          </cell>
          <cell r="I70">
            <v>66</v>
          </cell>
          <cell r="J70">
            <v>273</v>
          </cell>
          <cell r="K70">
            <v>74</v>
          </cell>
          <cell r="L70">
            <v>73</v>
          </cell>
          <cell r="M70">
            <v>147</v>
          </cell>
          <cell r="N70">
            <v>74</v>
          </cell>
          <cell r="O70">
            <v>221</v>
          </cell>
          <cell r="P70">
            <v>74</v>
          </cell>
          <cell r="Q70">
            <v>295</v>
          </cell>
          <cell r="R70">
            <v>81</v>
          </cell>
          <cell r="S70">
            <v>84</v>
          </cell>
          <cell r="T70">
            <v>165</v>
          </cell>
          <cell r="U70">
            <v>77</v>
          </cell>
          <cell r="V70">
            <v>242</v>
          </cell>
          <cell r="W70">
            <v>72</v>
          </cell>
          <cell r="X70">
            <v>314</v>
          </cell>
          <cell r="Y70">
            <v>79</v>
          </cell>
          <cell r="Z70">
            <v>90</v>
          </cell>
          <cell r="AA70">
            <v>169</v>
          </cell>
          <cell r="AB70">
            <v>91</v>
          </cell>
          <cell r="AC70">
            <v>260</v>
          </cell>
          <cell r="AD70">
            <v>86</v>
          </cell>
          <cell r="AE70">
            <v>346</v>
          </cell>
          <cell r="AF70">
            <v>88</v>
          </cell>
          <cell r="AG70">
            <v>90</v>
          </cell>
          <cell r="AH70">
            <v>178</v>
          </cell>
          <cell r="AI70">
            <v>88</v>
          </cell>
          <cell r="AJ70">
            <v>266</v>
          </cell>
          <cell r="AK70">
            <v>96</v>
          </cell>
          <cell r="AL70">
            <v>362</v>
          </cell>
          <cell r="AM70">
            <v>84</v>
          </cell>
          <cell r="AN70">
            <v>84</v>
          </cell>
          <cell r="AO70">
            <v>103</v>
          </cell>
          <cell r="AQ70">
            <v>187</v>
          </cell>
          <cell r="AR70">
            <v>122</v>
          </cell>
          <cell r="AT70">
            <v>309</v>
          </cell>
          <cell r="AU70">
            <v>99</v>
          </cell>
          <cell r="AW70">
            <v>408</v>
          </cell>
          <cell r="AY70">
            <v>101</v>
          </cell>
          <cell r="AZ70">
            <v>113.95926647075517</v>
          </cell>
          <cell r="BA70">
            <v>214.95926647075515</v>
          </cell>
          <cell r="BB70">
            <v>125.49055697336395</v>
          </cell>
          <cell r="BC70">
            <v>340.44982344411909</v>
          </cell>
          <cell r="BD70">
            <v>105.00366397120081</v>
          </cell>
          <cell r="BE70">
            <v>445.4534874153199</v>
          </cell>
          <cell r="BF70">
            <v>482.47834040493365</v>
          </cell>
          <cell r="BG70">
            <v>506.60225742518037</v>
          </cell>
          <cell r="BH70">
            <v>521.80032514793584</v>
          </cell>
          <cell r="BI70">
            <v>537.45433490237394</v>
          </cell>
          <cell r="BJ70">
            <v>553.57796494944523</v>
          </cell>
          <cell r="BK70">
            <v>570.18530389792863</v>
          </cell>
          <cell r="BL70">
            <v>587.29086301486655</v>
          </cell>
          <cell r="BM70">
            <v>604.9095889053126</v>
          </cell>
          <cell r="BN70">
            <v>623.05687657247199</v>
          </cell>
          <cell r="BO70">
            <v>641.74858286964616</v>
          </cell>
        </row>
        <row r="71">
          <cell r="A71" t="str">
            <v>growth reported %</v>
          </cell>
          <cell r="F71" t="e">
            <v>#REF!</v>
          </cell>
          <cell r="H71" t="e">
            <v>#VALUE!</v>
          </cell>
          <cell r="K71">
            <v>0.1212121212121211</v>
          </cell>
          <cell r="L71">
            <v>0</v>
          </cell>
          <cell r="M71">
            <v>5.755395683453246E-2</v>
          </cell>
          <cell r="N71">
            <v>8.8235294117646967E-2</v>
          </cell>
          <cell r="O71">
            <v>6.7632850241545972E-2</v>
          </cell>
          <cell r="P71">
            <v>0.1212121212121211</v>
          </cell>
          <cell r="Q71">
            <v>8.0586080586080522E-2</v>
          </cell>
          <cell r="R71">
            <v>9.4594594594594517E-2</v>
          </cell>
          <cell r="S71">
            <v>0.15068493150684925</v>
          </cell>
          <cell r="T71">
            <v>0.12244897959183665</v>
          </cell>
          <cell r="U71">
            <v>4.0540540540540571E-2</v>
          </cell>
          <cell r="V71">
            <v>9.5022624434389247E-2</v>
          </cell>
          <cell r="W71">
            <v>-2.7027027027026973E-2</v>
          </cell>
          <cell r="X71">
            <v>6.4406779661017044E-2</v>
          </cell>
          <cell r="Y71">
            <v>-2.4691358024691357E-2</v>
          </cell>
          <cell r="Z71">
            <v>7.1428571428571397E-2</v>
          </cell>
          <cell r="AA71">
            <v>2.4242424242424176E-2</v>
          </cell>
          <cell r="AB71">
            <v>0.18181818181818188</v>
          </cell>
          <cell r="AC71">
            <v>7.4380165289256173E-2</v>
          </cell>
          <cell r="AD71">
            <v>0.19444444444444442</v>
          </cell>
          <cell r="AE71">
            <v>0.10191082802547768</v>
          </cell>
          <cell r="AF71">
            <v>0.11392405063291133</v>
          </cell>
          <cell r="AG71">
            <v>0</v>
          </cell>
          <cell r="AH71">
            <v>5.3254437869822535E-2</v>
          </cell>
          <cell r="AI71">
            <v>-3.2967032967032961E-2</v>
          </cell>
          <cell r="AJ71">
            <v>2.3076923076922995E-2</v>
          </cell>
          <cell r="AK71">
            <v>0.11627906976744184</v>
          </cell>
          <cell r="AL71">
            <v>4.6242774566473965E-2</v>
          </cell>
          <cell r="AM71">
            <v>-4.5454545454545414E-2</v>
          </cell>
          <cell r="AN71">
            <v>-4.5454545454545414E-2</v>
          </cell>
          <cell r="AO71">
            <v>0.14444444444444438</v>
          </cell>
          <cell r="AQ71">
            <v>5.0561797752809001E-2</v>
          </cell>
          <cell r="AR71">
            <v>0.38636363636363646</v>
          </cell>
          <cell r="AT71">
            <v>0.16165413533834583</v>
          </cell>
          <cell r="AU71">
            <v>3.125E-2</v>
          </cell>
          <cell r="AW71">
            <v>0.1270718232044199</v>
          </cell>
          <cell r="AY71">
            <v>0.20238095238095233</v>
          </cell>
          <cell r="AZ71">
            <v>0.10640064534713756</v>
          </cell>
          <cell r="BA71">
            <v>0.14951479396125755</v>
          </cell>
          <cell r="BB71">
            <v>2.8611122732491445E-2</v>
          </cell>
          <cell r="BC71">
            <v>0.10177936389682563</v>
          </cell>
          <cell r="BD71">
            <v>6.0643070416169786E-2</v>
          </cell>
          <cell r="BE71">
            <v>9.1797763272842836E-2</v>
          </cell>
          <cell r="BF71">
            <v>8.3117214334643919E-2</v>
          </cell>
          <cell r="BG71">
            <v>5.0000000000000044E-2</v>
          </cell>
          <cell r="BH71">
            <v>3.0000000000000027E-2</v>
          </cell>
          <cell r="BI71">
            <v>3.0000000000000027E-2</v>
          </cell>
          <cell r="BJ71">
            <v>3.0000000000000027E-2</v>
          </cell>
          <cell r="BK71">
            <v>3.0000000000000027E-2</v>
          </cell>
          <cell r="BL71">
            <v>3.0000000000000027E-2</v>
          </cell>
          <cell r="BM71">
            <v>3.0000000000000027E-2</v>
          </cell>
          <cell r="BN71">
            <v>3.0000000000000027E-2</v>
          </cell>
          <cell r="BO71">
            <v>3.0000000000000027E-2</v>
          </cell>
        </row>
        <row r="72">
          <cell r="A72" t="str">
            <v>growth CER %</v>
          </cell>
          <cell r="AZ72">
            <v>0.18</v>
          </cell>
          <cell r="BB72">
            <v>0.1</v>
          </cell>
          <cell r="BE72">
            <v>0.15</v>
          </cell>
          <cell r="BF72">
            <v>0.05</v>
          </cell>
          <cell r="BG72">
            <v>0.05</v>
          </cell>
          <cell r="BH72">
            <v>0.03</v>
          </cell>
          <cell r="BI72">
            <v>0.03</v>
          </cell>
          <cell r="BJ72">
            <v>0.03</v>
          </cell>
          <cell r="BK72">
            <v>0.03</v>
          </cell>
          <cell r="BL72">
            <v>0.03</v>
          </cell>
          <cell r="BM72">
            <v>0.03</v>
          </cell>
          <cell r="BN72">
            <v>0.03</v>
          </cell>
          <cell r="BO72">
            <v>0.03</v>
          </cell>
        </row>
        <row r="74">
          <cell r="A74" t="str">
            <v>Other primary care</v>
          </cell>
          <cell r="B74">
            <v>551</v>
          </cell>
          <cell r="C74">
            <v>694</v>
          </cell>
          <cell r="D74">
            <v>182</v>
          </cell>
          <cell r="E74">
            <v>204</v>
          </cell>
          <cell r="F74">
            <v>386</v>
          </cell>
          <cell r="G74">
            <v>178</v>
          </cell>
          <cell r="H74">
            <v>564</v>
          </cell>
          <cell r="I74">
            <v>2087</v>
          </cell>
          <cell r="J74">
            <v>754</v>
          </cell>
          <cell r="K74">
            <v>176</v>
          </cell>
          <cell r="L74">
            <v>186</v>
          </cell>
          <cell r="M74">
            <v>362</v>
          </cell>
          <cell r="N74">
            <v>185</v>
          </cell>
          <cell r="O74">
            <v>547</v>
          </cell>
          <cell r="P74">
            <v>225</v>
          </cell>
          <cell r="Q74">
            <v>772</v>
          </cell>
          <cell r="R74">
            <v>208</v>
          </cell>
          <cell r="S74">
            <v>235</v>
          </cell>
          <cell r="T74">
            <v>443</v>
          </cell>
          <cell r="U74">
            <v>236</v>
          </cell>
          <cell r="V74">
            <v>679</v>
          </cell>
          <cell r="W74">
            <v>300</v>
          </cell>
          <cell r="X74">
            <v>979</v>
          </cell>
          <cell r="Y74">
            <v>260</v>
          </cell>
          <cell r="Z74">
            <v>325</v>
          </cell>
          <cell r="AA74">
            <v>585</v>
          </cell>
          <cell r="AB74">
            <v>335</v>
          </cell>
          <cell r="AC74">
            <v>920</v>
          </cell>
          <cell r="AD74">
            <v>374</v>
          </cell>
          <cell r="AE74">
            <v>1294</v>
          </cell>
          <cell r="AF74">
            <v>350</v>
          </cell>
          <cell r="AG74">
            <v>363</v>
          </cell>
          <cell r="AH74">
            <v>713</v>
          </cell>
          <cell r="AI74">
            <v>337</v>
          </cell>
          <cell r="AJ74">
            <v>1050</v>
          </cell>
          <cell r="AK74">
            <v>413</v>
          </cell>
          <cell r="AL74">
            <v>1463</v>
          </cell>
          <cell r="AM74">
            <v>403</v>
          </cell>
          <cell r="AO74">
            <v>375</v>
          </cell>
          <cell r="AQ74">
            <v>778</v>
          </cell>
          <cell r="AR74">
            <v>388.44999999999993</v>
          </cell>
          <cell r="AT74">
            <v>1166.4499999999998</v>
          </cell>
          <cell r="AU74">
            <v>474.95</v>
          </cell>
          <cell r="AW74">
            <v>1641.3999999999999</v>
          </cell>
          <cell r="BW74">
            <v>-1294</v>
          </cell>
        </row>
        <row r="75">
          <cell r="A75" t="str">
            <v>growth %</v>
          </cell>
          <cell r="C75">
            <v>0.25952813067150626</v>
          </cell>
          <cell r="F75" t="e">
            <v>#REF!</v>
          </cell>
          <cell r="H75" t="e">
            <v>#VALUE!</v>
          </cell>
          <cell r="J75">
            <v>8.6455331412103709E-2</v>
          </cell>
          <cell r="K75">
            <v>-3.2967032967032961E-2</v>
          </cell>
          <cell r="L75">
            <v>-8.8235294117647078E-2</v>
          </cell>
          <cell r="M75">
            <v>-6.2176165803108807E-2</v>
          </cell>
          <cell r="N75">
            <v>3.9325842696629199E-2</v>
          </cell>
          <cell r="O75">
            <v>-3.0141843971631221E-2</v>
          </cell>
          <cell r="P75">
            <v>-0.89218974604695733</v>
          </cell>
          <cell r="Q75">
            <v>2.3872679045092937E-2</v>
          </cell>
          <cell r="R75">
            <v>0.18181818181818188</v>
          </cell>
          <cell r="S75">
            <v>0.26344086021505375</v>
          </cell>
          <cell r="T75">
            <v>0.22375690607734811</v>
          </cell>
          <cell r="U75">
            <v>0.27567567567567575</v>
          </cell>
          <cell r="V75">
            <v>0.24131627056672755</v>
          </cell>
          <cell r="W75">
            <v>0.33333333333333326</v>
          </cell>
          <cell r="X75">
            <v>0.2681347150259068</v>
          </cell>
          <cell r="Y75">
            <v>0.25</v>
          </cell>
          <cell r="Z75">
            <v>0.38297872340425543</v>
          </cell>
          <cell r="AA75">
            <v>0.32054176072234752</v>
          </cell>
          <cell r="AB75">
            <v>0.41949152542372881</v>
          </cell>
          <cell r="AC75">
            <v>0.35493372606774676</v>
          </cell>
          <cell r="AD75">
            <v>0.24666666666666659</v>
          </cell>
          <cell r="AE75">
            <v>0.32175689479060265</v>
          </cell>
          <cell r="AF75">
            <v>0.3</v>
          </cell>
          <cell r="AG75">
            <v>0.2</v>
          </cell>
          <cell r="AH75">
            <v>0.21880341880341891</v>
          </cell>
          <cell r="AI75">
            <v>5.9701492537314049E-3</v>
          </cell>
          <cell r="AJ75">
            <v>0.14130434782608692</v>
          </cell>
          <cell r="AK75">
            <v>0.10427807486631013</v>
          </cell>
          <cell r="AL75">
            <v>0.13060278207109732</v>
          </cell>
          <cell r="AM75">
            <v>0.15142857142857147</v>
          </cell>
          <cell r="AO75">
            <v>3.3057851239669311E-2</v>
          </cell>
          <cell r="AQ75">
            <v>9.1164095371669029E-2</v>
          </cell>
          <cell r="AR75">
            <v>0.15267062314540047</v>
          </cell>
          <cell r="AT75">
            <v>0.11090476190476184</v>
          </cell>
          <cell r="AU75">
            <v>0.15</v>
          </cell>
          <cell r="AW75">
            <v>0.12194121667805868</v>
          </cell>
          <cell r="BW75">
            <v>-0.32175689479060265</v>
          </cell>
        </row>
        <row r="76">
          <cell r="A76" t="str">
            <v>Other cardio/haem</v>
          </cell>
          <cell r="B76">
            <v>538</v>
          </cell>
          <cell r="C76">
            <v>355</v>
          </cell>
          <cell r="D76">
            <v>67</v>
          </cell>
          <cell r="E76">
            <v>61</v>
          </cell>
          <cell r="F76">
            <v>128</v>
          </cell>
          <cell r="G76">
            <v>51</v>
          </cell>
          <cell r="H76">
            <v>179</v>
          </cell>
          <cell r="I76">
            <v>215</v>
          </cell>
          <cell r="J76">
            <v>215</v>
          </cell>
          <cell r="K76">
            <v>22</v>
          </cell>
          <cell r="L76">
            <v>6</v>
          </cell>
          <cell r="M76">
            <v>28</v>
          </cell>
          <cell r="N76">
            <v>8</v>
          </cell>
          <cell r="O76">
            <v>36</v>
          </cell>
          <cell r="P76">
            <v>9</v>
          </cell>
          <cell r="Q76">
            <v>45</v>
          </cell>
          <cell r="R76">
            <v>20</v>
          </cell>
          <cell r="S76">
            <v>20</v>
          </cell>
          <cell r="T76">
            <v>40</v>
          </cell>
          <cell r="U76">
            <v>20</v>
          </cell>
          <cell r="V76">
            <v>60</v>
          </cell>
          <cell r="W76">
            <v>10</v>
          </cell>
          <cell r="X76">
            <v>70</v>
          </cell>
          <cell r="Y76">
            <v>20</v>
          </cell>
          <cell r="Z76">
            <v>19</v>
          </cell>
          <cell r="AA76">
            <v>39</v>
          </cell>
          <cell r="AB76">
            <v>19</v>
          </cell>
          <cell r="AC76">
            <v>58</v>
          </cell>
          <cell r="AD76">
            <v>12</v>
          </cell>
          <cell r="AE76">
            <v>70</v>
          </cell>
          <cell r="AF76">
            <v>19</v>
          </cell>
          <cell r="AG76">
            <v>18</v>
          </cell>
          <cell r="AH76">
            <v>37</v>
          </cell>
          <cell r="AI76">
            <v>18</v>
          </cell>
          <cell r="AJ76">
            <v>55</v>
          </cell>
          <cell r="AK76">
            <v>17</v>
          </cell>
          <cell r="AL76">
            <v>72</v>
          </cell>
          <cell r="AM76">
            <v>18</v>
          </cell>
          <cell r="AO76">
            <v>20</v>
          </cell>
          <cell r="AQ76">
            <v>38</v>
          </cell>
          <cell r="AR76">
            <v>17.099999999999998</v>
          </cell>
          <cell r="AT76">
            <v>55.099999999999994</v>
          </cell>
          <cell r="AU76">
            <v>16.149999999999999</v>
          </cell>
          <cell r="AW76">
            <v>71.25</v>
          </cell>
          <cell r="BW76">
            <v>-70</v>
          </cell>
        </row>
        <row r="77">
          <cell r="A77" t="str">
            <v>growth %</v>
          </cell>
          <cell r="C77">
            <v>-0.3401486988847584</v>
          </cell>
          <cell r="F77" t="e">
            <v>#REF!</v>
          </cell>
          <cell r="H77" t="e">
            <v>#VALUE!</v>
          </cell>
          <cell r="J77">
            <v>-0.39436619718309862</v>
          </cell>
          <cell r="K77">
            <v>-0.67164179104477606</v>
          </cell>
          <cell r="L77">
            <v>-0.90163934426229508</v>
          </cell>
          <cell r="M77">
            <v>-0.78125</v>
          </cell>
          <cell r="N77">
            <v>-0.84313725490196079</v>
          </cell>
          <cell r="O77">
            <v>-0.7988826815642458</v>
          </cell>
          <cell r="P77">
            <v>-0.95813953488372094</v>
          </cell>
          <cell r="Q77">
            <v>-0.79069767441860461</v>
          </cell>
          <cell r="R77">
            <v>-9.0909090909090939E-2</v>
          </cell>
          <cell r="S77">
            <v>2.3333333333333335</v>
          </cell>
          <cell r="T77">
            <v>0.4285714285714286</v>
          </cell>
          <cell r="U77">
            <v>1.5</v>
          </cell>
          <cell r="V77">
            <v>0.66666666666666674</v>
          </cell>
          <cell r="W77">
            <v>0.11111111111111116</v>
          </cell>
          <cell r="X77">
            <v>0.55555555555555558</v>
          </cell>
          <cell r="Y77">
            <v>0</v>
          </cell>
          <cell r="Z77">
            <v>-5.0000000000000044E-2</v>
          </cell>
          <cell r="AA77">
            <v>-2.5000000000000022E-2</v>
          </cell>
          <cell r="AB77">
            <v>-5.0000000000000044E-2</v>
          </cell>
          <cell r="AC77">
            <v>-3.3333333333333326E-2</v>
          </cell>
          <cell r="AD77">
            <v>0.19999999999999996</v>
          </cell>
          <cell r="AE77">
            <v>0</v>
          </cell>
          <cell r="AF77">
            <v>-5.0000000000000044E-2</v>
          </cell>
          <cell r="AG77">
            <v>-5.2631578947368474E-2</v>
          </cell>
          <cell r="AH77">
            <v>-5.1282051282051322E-2</v>
          </cell>
          <cell r="AI77">
            <v>-5.2631578947368474E-2</v>
          </cell>
          <cell r="AJ77">
            <v>-5.1724137931034475E-2</v>
          </cell>
          <cell r="AK77">
            <v>0.41666666666666674</v>
          </cell>
          <cell r="AL77">
            <v>2.857142857142847E-2</v>
          </cell>
          <cell r="AM77">
            <v>-5.2631578947368474E-2</v>
          </cell>
          <cell r="AO77">
            <v>-0.05</v>
          </cell>
          <cell r="AQ77">
            <v>2.7027027027026973E-2</v>
          </cell>
          <cell r="AR77">
            <v>-0.05</v>
          </cell>
          <cell r="AT77">
            <v>1.8181818181817189E-3</v>
          </cell>
          <cell r="AU77">
            <v>-0.05</v>
          </cell>
          <cell r="AW77">
            <v>-1.041666666666663E-2</v>
          </cell>
          <cell r="BW77">
            <v>0</v>
          </cell>
        </row>
        <row r="78">
          <cell r="A78" t="str">
            <v>General Medicine</v>
          </cell>
          <cell r="B78">
            <v>2831</v>
          </cell>
          <cell r="C78">
            <v>3091</v>
          </cell>
          <cell r="D78">
            <v>773</v>
          </cell>
          <cell r="E78">
            <v>766</v>
          </cell>
          <cell r="F78">
            <v>258</v>
          </cell>
          <cell r="G78">
            <v>743</v>
          </cell>
          <cell r="H78">
            <v>385</v>
          </cell>
          <cell r="I78">
            <v>2670</v>
          </cell>
          <cell r="J78">
            <v>3055</v>
          </cell>
          <cell r="K78">
            <v>798</v>
          </cell>
          <cell r="L78">
            <v>742</v>
          </cell>
          <cell r="M78">
            <v>1540</v>
          </cell>
          <cell r="N78">
            <v>750</v>
          </cell>
          <cell r="O78">
            <v>2290</v>
          </cell>
          <cell r="P78">
            <v>868</v>
          </cell>
          <cell r="Q78">
            <v>3158</v>
          </cell>
          <cell r="R78">
            <v>831</v>
          </cell>
          <cell r="S78">
            <v>854</v>
          </cell>
          <cell r="T78">
            <v>1685</v>
          </cell>
          <cell r="U78">
            <v>834</v>
          </cell>
          <cell r="V78">
            <v>2519</v>
          </cell>
          <cell r="W78">
            <v>944</v>
          </cell>
          <cell r="X78">
            <v>3463</v>
          </cell>
          <cell r="Y78">
            <v>874</v>
          </cell>
          <cell r="Z78">
            <v>978</v>
          </cell>
          <cell r="AA78">
            <v>1852</v>
          </cell>
          <cell r="AB78">
            <v>981</v>
          </cell>
          <cell r="AC78">
            <v>2833</v>
          </cell>
          <cell r="AD78">
            <v>1088</v>
          </cell>
          <cell r="AE78">
            <v>3921</v>
          </cell>
          <cell r="AF78">
            <v>992</v>
          </cell>
          <cell r="AG78">
            <v>971</v>
          </cell>
          <cell r="AH78">
            <v>1963</v>
          </cell>
          <cell r="AI78">
            <v>932</v>
          </cell>
          <cell r="AJ78">
            <v>2895</v>
          </cell>
          <cell r="AK78">
            <v>1096</v>
          </cell>
          <cell r="AL78">
            <v>3991</v>
          </cell>
          <cell r="AM78">
            <v>1028</v>
          </cell>
          <cell r="AO78">
            <v>1025</v>
          </cell>
          <cell r="AQ78">
            <v>2053</v>
          </cell>
          <cell r="AR78">
            <v>1081.55</v>
          </cell>
          <cell r="AT78">
            <v>3134.5499999999997</v>
          </cell>
          <cell r="AU78">
            <v>1154.1000000000001</v>
          </cell>
          <cell r="AW78">
            <v>4288.6499999999996</v>
          </cell>
          <cell r="BR78">
            <v>-0.24356925234171073</v>
          </cell>
          <cell r="BS78">
            <v>0</v>
          </cell>
          <cell r="BW78">
            <v>-3921</v>
          </cell>
        </row>
        <row r="79">
          <cell r="A79" t="str">
            <v>growth %</v>
          </cell>
          <cell r="C79">
            <v>9.1840339102790436E-2</v>
          </cell>
          <cell r="F79" t="e">
            <v>#REF!</v>
          </cell>
          <cell r="H79" t="e">
            <v>#VALUE!</v>
          </cell>
          <cell r="J79">
            <v>-1.1646716273050806E-2</v>
          </cell>
          <cell r="K79">
            <v>3.2341526520051733E-2</v>
          </cell>
          <cell r="L79">
            <v>-3.1331592689295085E-2</v>
          </cell>
          <cell r="M79">
            <v>4.9689922480620154</v>
          </cell>
          <cell r="N79">
            <v>9.421265141319024E-3</v>
          </cell>
          <cell r="O79">
            <v>4.9480519480519485</v>
          </cell>
          <cell r="P79">
            <v>-0.67490636704119855</v>
          </cell>
          <cell r="Q79">
            <v>3.3715220949263491E-2</v>
          </cell>
          <cell r="R79">
            <v>4.1353383458646586E-2</v>
          </cell>
          <cell r="S79">
            <v>0.15094339622641506</v>
          </cell>
          <cell r="T79">
            <v>9.4155844155844104E-2</v>
          </cell>
          <cell r="U79">
            <v>0.1120000000000001</v>
          </cell>
          <cell r="V79">
            <v>0.10000000000000009</v>
          </cell>
          <cell r="W79">
            <v>8.7557603686635899E-2</v>
          </cell>
          <cell r="X79">
            <v>9.6580113996200145E-2</v>
          </cell>
          <cell r="Y79">
            <v>5.1744885679903652E-2</v>
          </cell>
          <cell r="Z79">
            <v>0.14519906323185006</v>
          </cell>
          <cell r="AA79">
            <v>9.9109792284866494E-2</v>
          </cell>
          <cell r="AB79">
            <v>0.17625899280575541</v>
          </cell>
          <cell r="AC79">
            <v>0.12465263993648268</v>
          </cell>
          <cell r="AD79">
            <v>0.15254237288135597</v>
          </cell>
          <cell r="AE79">
            <v>0.13225526999711223</v>
          </cell>
          <cell r="AF79">
            <v>0.13501144164759715</v>
          </cell>
          <cell r="AG79">
            <v>-7.1574642126789323E-3</v>
          </cell>
          <cell r="AH79">
            <v>5.9935205183585305E-2</v>
          </cell>
          <cell r="AI79">
            <v>-4.9949031600407756E-2</v>
          </cell>
          <cell r="AJ79">
            <v>2.188492763854577E-2</v>
          </cell>
          <cell r="AK79">
            <v>7.3529411764705621E-3</v>
          </cell>
          <cell r="AL79">
            <v>1.7852588625350663E-2</v>
          </cell>
          <cell r="AM79">
            <v>3.629032258064524E-2</v>
          </cell>
          <cell r="AO79">
            <v>5.5612770339855899E-2</v>
          </cell>
          <cell r="AQ79">
            <v>4.5848191543555794E-2</v>
          </cell>
          <cell r="AR79">
            <v>0.16046137339055799</v>
          </cell>
          <cell r="AT79">
            <v>8.2746113989637271E-2</v>
          </cell>
          <cell r="AU79">
            <v>5.3010948905109601E-2</v>
          </cell>
          <cell r="AW79">
            <v>7.4580305687797388E-2</v>
          </cell>
          <cell r="BW79">
            <v>-0.13225526999711223</v>
          </cell>
        </row>
        <row r="80">
          <cell r="A80" t="str">
            <v>GYNAECOLOGY</v>
          </cell>
          <cell r="BW80">
            <v>0</v>
          </cell>
        </row>
        <row r="81">
          <cell r="A81" t="str">
            <v>Yasmin / Yaz (total)</v>
          </cell>
          <cell r="B81">
            <v>0</v>
          </cell>
          <cell r="C81">
            <v>451</v>
          </cell>
          <cell r="D81">
            <v>240</v>
          </cell>
          <cell r="E81">
            <v>250</v>
          </cell>
          <cell r="F81">
            <v>490</v>
          </cell>
          <cell r="G81">
            <v>278</v>
          </cell>
          <cell r="H81">
            <v>768</v>
          </cell>
          <cell r="I81">
            <v>274</v>
          </cell>
          <cell r="J81">
            <v>1042</v>
          </cell>
          <cell r="K81">
            <v>297</v>
          </cell>
          <cell r="L81">
            <v>305</v>
          </cell>
          <cell r="M81">
            <v>602</v>
          </cell>
          <cell r="N81">
            <v>308</v>
          </cell>
          <cell r="O81">
            <v>910</v>
          </cell>
          <cell r="P81">
            <v>312</v>
          </cell>
          <cell r="Q81">
            <v>1222</v>
          </cell>
          <cell r="R81">
            <v>319</v>
          </cell>
          <cell r="S81">
            <v>325</v>
          </cell>
          <cell r="T81">
            <v>644</v>
          </cell>
          <cell r="U81">
            <v>320</v>
          </cell>
          <cell r="V81">
            <v>964</v>
          </cell>
          <cell r="W81">
            <v>314</v>
          </cell>
          <cell r="X81">
            <v>1278</v>
          </cell>
          <cell r="Y81">
            <v>287</v>
          </cell>
          <cell r="Z81">
            <v>289</v>
          </cell>
          <cell r="AA81">
            <v>576</v>
          </cell>
          <cell r="AB81">
            <v>243</v>
          </cell>
          <cell r="AC81">
            <v>819</v>
          </cell>
          <cell r="AD81">
            <v>292</v>
          </cell>
          <cell r="AE81">
            <v>1111</v>
          </cell>
          <cell r="AF81">
            <v>242</v>
          </cell>
          <cell r="AG81">
            <v>263</v>
          </cell>
          <cell r="AH81">
            <v>505</v>
          </cell>
          <cell r="AI81">
            <v>275</v>
          </cell>
          <cell r="AJ81">
            <v>780</v>
          </cell>
          <cell r="AK81">
            <v>290</v>
          </cell>
          <cell r="AL81">
            <v>1070</v>
          </cell>
          <cell r="AM81">
            <v>244</v>
          </cell>
          <cell r="AN81">
            <v>244</v>
          </cell>
          <cell r="AO81">
            <v>254</v>
          </cell>
          <cell r="AQ81">
            <v>498</v>
          </cell>
          <cell r="AR81">
            <v>277</v>
          </cell>
          <cell r="AT81">
            <v>775</v>
          </cell>
          <cell r="AU81">
            <v>270</v>
          </cell>
          <cell r="AW81">
            <v>1045</v>
          </cell>
          <cell r="AY81">
            <v>206</v>
          </cell>
          <cell r="AZ81">
            <v>221.0903069502875</v>
          </cell>
          <cell r="BA81">
            <v>427.09030695028753</v>
          </cell>
          <cell r="BB81">
            <v>233.41967616904708</v>
          </cell>
          <cell r="BC81">
            <v>660.50998311933461</v>
          </cell>
          <cell r="BD81">
            <v>236.05850688266162</v>
          </cell>
          <cell r="BE81">
            <v>896.56849000199622</v>
          </cell>
          <cell r="BF81">
            <v>884.97137337085508</v>
          </cell>
          <cell r="BG81">
            <v>840.72280470231226</v>
          </cell>
          <cell r="BH81">
            <v>798.68666446719669</v>
          </cell>
          <cell r="BI81">
            <v>758.75233124383681</v>
          </cell>
          <cell r="BJ81">
            <v>720.814714681645</v>
          </cell>
          <cell r="BK81">
            <v>684.7739789475628</v>
          </cell>
          <cell r="BL81">
            <v>650.53528000018457</v>
          </cell>
          <cell r="BM81">
            <v>618.0085160001754</v>
          </cell>
          <cell r="BN81">
            <v>587.10809020016654</v>
          </cell>
          <cell r="BO81">
            <v>587.10809020016654</v>
          </cell>
          <cell r="BT81">
            <v>2020</v>
          </cell>
          <cell r="BU81">
            <v>0</v>
          </cell>
          <cell r="BV81">
            <v>2020</v>
          </cell>
          <cell r="BW81">
            <v>-312.31333553280331</v>
          </cell>
          <cell r="CA81" t="str">
            <v>mstag:yasmin</v>
          </cell>
          <cell r="CB81">
            <v>6</v>
          </cell>
          <cell r="CC81" t="str">
            <v>ISO4217:EUR</v>
          </cell>
          <cell r="CD81" t="b">
            <v>0</v>
          </cell>
        </row>
        <row r="82">
          <cell r="A82" t="str">
            <v>growth %</v>
          </cell>
          <cell r="F82" t="e">
            <v>#REF!</v>
          </cell>
          <cell r="H82" t="e">
            <v>#VALUE!</v>
          </cell>
          <cell r="J82">
            <v>0.373</v>
          </cell>
          <cell r="K82">
            <v>0.33300000000000002</v>
          </cell>
          <cell r="L82">
            <v>0.32100000000000001</v>
          </cell>
          <cell r="M82">
            <v>0.22857142857142865</v>
          </cell>
          <cell r="N82">
            <v>0.151</v>
          </cell>
          <cell r="O82">
            <v>0.18489583333333326</v>
          </cell>
          <cell r="P82">
            <v>0.13868613138686126</v>
          </cell>
          <cell r="Q82">
            <v>0.17274472168905941</v>
          </cell>
          <cell r="R82">
            <v>4.5999999999999999E-2</v>
          </cell>
          <cell r="S82">
            <v>4.1000000000000002E-2</v>
          </cell>
          <cell r="T82">
            <v>6.9767441860465018E-2</v>
          </cell>
          <cell r="U82">
            <v>3.8961038961038863E-2</v>
          </cell>
          <cell r="V82">
            <v>5.9340659340659352E-2</v>
          </cell>
          <cell r="W82">
            <v>6.4102564102563875E-3</v>
          </cell>
          <cell r="X82">
            <v>4.5826513911620292E-2</v>
          </cell>
          <cell r="Y82">
            <v>-0.10031347962382442</v>
          </cell>
          <cell r="Z82">
            <v>-0.11076923076923073</v>
          </cell>
          <cell r="AA82">
            <v>-0.10559006211180122</v>
          </cell>
          <cell r="AB82">
            <v>-0.24062499999999998</v>
          </cell>
          <cell r="AC82">
            <v>-0.15041493775933612</v>
          </cell>
          <cell r="AD82">
            <v>-7.0063694267515908E-2</v>
          </cell>
          <cell r="AE82">
            <v>-0.13067292644757433</v>
          </cell>
          <cell r="AF82">
            <v>-0.15679442508710806</v>
          </cell>
          <cell r="AG82">
            <v>-8.9965397923875479E-2</v>
          </cell>
          <cell r="AH82">
            <v>-0.12326388888888884</v>
          </cell>
          <cell r="AI82">
            <v>0.13168724279835398</v>
          </cell>
          <cell r="AJ82">
            <v>-4.7619047619047672E-2</v>
          </cell>
          <cell r="AK82">
            <v>-6.8493150684931781E-3</v>
          </cell>
          <cell r="AL82">
            <v>-3.6903690369036957E-2</v>
          </cell>
          <cell r="AM82">
            <v>8.2644628099173278E-3</v>
          </cell>
          <cell r="AN82">
            <v>8.2644628099173278E-3</v>
          </cell>
          <cell r="AO82">
            <v>-3.4220532319391594E-2</v>
          </cell>
          <cell r="AQ82">
            <v>-1.3861386138613874E-2</v>
          </cell>
          <cell r="AR82">
            <v>7.2727272727273196E-3</v>
          </cell>
          <cell r="AT82">
            <v>-6.4102564102563875E-3</v>
          </cell>
          <cell r="AU82">
            <v>-6.8965517241379337E-2</v>
          </cell>
          <cell r="AW82">
            <v>-2.3364485981308358E-2</v>
          </cell>
          <cell r="AY82">
            <v>-0.15573770491803274</v>
          </cell>
          <cell r="AZ82">
            <v>-0.12956572066815941</v>
          </cell>
          <cell r="BA82">
            <v>-0.14238894186689255</v>
          </cell>
          <cell r="BB82">
            <v>-0.15732968892040766</v>
          </cell>
          <cell r="BC82">
            <v>-0.14772905403956826</v>
          </cell>
          <cell r="BD82">
            <v>-0.12570923376791998</v>
          </cell>
          <cell r="BE82">
            <v>-0.14203972248612806</v>
          </cell>
          <cell r="BF82">
            <v>-1.2935003583625093E-2</v>
          </cell>
          <cell r="BG82">
            <v>-5.0000000000000044E-2</v>
          </cell>
          <cell r="BH82">
            <v>-4.9999999999999933E-2</v>
          </cell>
          <cell r="BI82">
            <v>-5.0000000000000044E-2</v>
          </cell>
          <cell r="BJ82">
            <v>-4.9999999999999933E-2</v>
          </cell>
          <cell r="BK82">
            <v>-4.9999999999999933E-2</v>
          </cell>
          <cell r="BL82">
            <v>-5.0000000000000155E-2</v>
          </cell>
          <cell r="BM82">
            <v>-4.9999999999999933E-2</v>
          </cell>
          <cell r="BN82">
            <v>-5.0000000000000155E-2</v>
          </cell>
          <cell r="BO82">
            <v>0</v>
          </cell>
          <cell r="BW82">
            <v>8.06729264475744E-2</v>
          </cell>
        </row>
        <row r="83">
          <cell r="A83" t="str">
            <v>Yasmin / Yaz US</v>
          </cell>
          <cell r="D83">
            <v>116</v>
          </cell>
          <cell r="E83">
            <v>119</v>
          </cell>
          <cell r="F83">
            <v>235</v>
          </cell>
          <cell r="G83">
            <v>136</v>
          </cell>
          <cell r="H83">
            <v>371</v>
          </cell>
          <cell r="I83">
            <v>130</v>
          </cell>
          <cell r="J83">
            <v>501</v>
          </cell>
          <cell r="K83">
            <v>142</v>
          </cell>
          <cell r="L83">
            <v>146</v>
          </cell>
          <cell r="M83">
            <v>288</v>
          </cell>
          <cell r="N83">
            <v>138</v>
          </cell>
          <cell r="O83">
            <v>426</v>
          </cell>
          <cell r="P83">
            <v>138</v>
          </cell>
          <cell r="Q83">
            <v>564</v>
          </cell>
          <cell r="R83">
            <v>147</v>
          </cell>
          <cell r="S83">
            <v>137</v>
          </cell>
          <cell r="T83">
            <v>284</v>
          </cell>
          <cell r="U83">
            <v>135</v>
          </cell>
          <cell r="V83">
            <v>419</v>
          </cell>
          <cell r="W83">
            <v>116</v>
          </cell>
          <cell r="X83">
            <v>535</v>
          </cell>
          <cell r="Y83">
            <v>98</v>
          </cell>
          <cell r="Z83">
            <v>80</v>
          </cell>
          <cell r="AA83">
            <v>178</v>
          </cell>
          <cell r="AB83">
            <v>32</v>
          </cell>
          <cell r="AC83">
            <v>210</v>
          </cell>
          <cell r="AD83">
            <v>55</v>
          </cell>
          <cell r="AE83">
            <v>265</v>
          </cell>
          <cell r="AF83">
            <v>35</v>
          </cell>
          <cell r="AG83">
            <v>39</v>
          </cell>
          <cell r="AH83">
            <v>74</v>
          </cell>
          <cell r="AI83">
            <v>48</v>
          </cell>
          <cell r="AJ83">
            <v>122</v>
          </cell>
          <cell r="AK83">
            <v>57</v>
          </cell>
          <cell r="AL83">
            <v>179</v>
          </cell>
          <cell r="AM83">
            <v>43</v>
          </cell>
          <cell r="AN83">
            <v>43</v>
          </cell>
          <cell r="AO83">
            <v>39</v>
          </cell>
          <cell r="AQ83">
            <v>82</v>
          </cell>
          <cell r="AR83">
            <v>54</v>
          </cell>
          <cell r="AT83">
            <v>136</v>
          </cell>
          <cell r="AU83">
            <v>54</v>
          </cell>
          <cell r="AW83">
            <v>190</v>
          </cell>
          <cell r="AY83">
            <v>33</v>
          </cell>
          <cell r="AZ83">
            <v>33.611655223880597</v>
          </cell>
          <cell r="BA83">
            <v>66.611655223880604</v>
          </cell>
          <cell r="BB83">
            <v>41.574350769230776</v>
          </cell>
          <cell r="BC83">
            <v>108.18600599311138</v>
          </cell>
          <cell r="BD83">
            <v>41.592813930260277</v>
          </cell>
          <cell r="BE83">
            <v>149.77881992337166</v>
          </cell>
          <cell r="BF83">
            <v>153.14498309278349</v>
          </cell>
          <cell r="BG83">
            <v>145.48773393814432</v>
          </cell>
          <cell r="BH83">
            <v>138.2133472412371</v>
          </cell>
          <cell r="BI83">
            <v>131.30267987917523</v>
          </cell>
          <cell r="BJ83">
            <v>124.73754588521646</v>
          </cell>
          <cell r="BK83">
            <v>118.50066859095564</v>
          </cell>
          <cell r="BL83">
            <v>112.57563516140786</v>
          </cell>
          <cell r="BM83">
            <v>106.94685340333746</v>
          </cell>
          <cell r="BN83">
            <v>101.59951073317058</v>
          </cell>
          <cell r="BO83">
            <v>101.59951073317058</v>
          </cell>
        </row>
        <row r="84">
          <cell r="A84" t="str">
            <v>growth reported %</v>
          </cell>
          <cell r="F84" t="e">
            <v>#REF!</v>
          </cell>
          <cell r="H84" t="e">
            <v>#VALUE!</v>
          </cell>
          <cell r="J84" t="e">
            <v>#DIV/0!</v>
          </cell>
          <cell r="K84">
            <v>0.22413793103448265</v>
          </cell>
          <cell r="L84">
            <v>0.22689075630252109</v>
          </cell>
          <cell r="M84">
            <v>0.22553191489361701</v>
          </cell>
          <cell r="N84">
            <v>1.4705882352941124E-2</v>
          </cell>
          <cell r="O84">
            <v>0.14824797843665771</v>
          </cell>
          <cell r="P84">
            <v>6.1538461538461542E-2</v>
          </cell>
          <cell r="Q84">
            <v>0.12574850299401197</v>
          </cell>
          <cell r="R84">
            <v>3.5211267605633756E-2</v>
          </cell>
          <cell r="S84">
            <v>-6.164383561643838E-2</v>
          </cell>
          <cell r="T84">
            <v>-1.388888888888884E-2</v>
          </cell>
          <cell r="U84">
            <v>-2.1739130434782594E-2</v>
          </cell>
          <cell r="V84">
            <v>-1.6431924882629123E-2</v>
          </cell>
          <cell r="W84">
            <v>-0.15942028985507251</v>
          </cell>
          <cell r="X84">
            <v>-5.1418439716312103E-2</v>
          </cell>
          <cell r="Y84">
            <v>-0.33333333333333337</v>
          </cell>
          <cell r="Z84">
            <v>-0.41605839416058399</v>
          </cell>
          <cell r="AA84">
            <v>-0.37323943661971826</v>
          </cell>
          <cell r="AB84">
            <v>-0.76296296296296295</v>
          </cell>
          <cell r="AC84">
            <v>-0.49880668257756566</v>
          </cell>
          <cell r="AD84">
            <v>-0.52586206896551724</v>
          </cell>
          <cell r="AE84">
            <v>-0.50467289719626174</v>
          </cell>
          <cell r="AF84">
            <v>-0.64285714285714279</v>
          </cell>
          <cell r="AG84">
            <v>-0.51249999999999996</v>
          </cell>
          <cell r="AH84">
            <v>-0.5842696629213483</v>
          </cell>
          <cell r="AI84">
            <v>0.5</v>
          </cell>
          <cell r="AJ84">
            <v>-0.419047619047619</v>
          </cell>
          <cell r="AK84">
            <v>3.6363636363636376E-2</v>
          </cell>
          <cell r="AL84">
            <v>-0.32452830188679249</v>
          </cell>
          <cell r="AM84">
            <v>0.22857142857142865</v>
          </cell>
          <cell r="AN84">
            <v>0.22857142857142865</v>
          </cell>
          <cell r="AO84">
            <v>0</v>
          </cell>
          <cell r="AQ84">
            <v>0.10810810810810811</v>
          </cell>
          <cell r="AR84">
            <v>0.125</v>
          </cell>
          <cell r="AT84">
            <v>0.11475409836065564</v>
          </cell>
          <cell r="AU84">
            <v>-5.2631578947368474E-2</v>
          </cell>
          <cell r="AW84">
            <v>6.1452513966480549E-2</v>
          </cell>
          <cell r="AY84">
            <v>-0.23255813953488369</v>
          </cell>
          <cell r="AZ84">
            <v>-0.13816268656716424</v>
          </cell>
          <cell r="BA84">
            <v>-0.18766274117218773</v>
          </cell>
          <cell r="BB84">
            <v>-0.23010461538461524</v>
          </cell>
          <cell r="BC84">
            <v>-0.20451466181535749</v>
          </cell>
          <cell r="BD84">
            <v>-0.22976270499518003</v>
          </cell>
          <cell r="BE84">
            <v>-0.21169042145593864</v>
          </cell>
          <cell r="BF84">
            <v>2.2474226804123587E-2</v>
          </cell>
          <cell r="BG84">
            <v>-5.0000000000000044E-2</v>
          </cell>
          <cell r="BH84">
            <v>-5.0000000000000044E-2</v>
          </cell>
          <cell r="BI84">
            <v>-5.0000000000000044E-2</v>
          </cell>
          <cell r="BJ84">
            <v>-5.0000000000000044E-2</v>
          </cell>
          <cell r="BK84">
            <v>-5.0000000000000044E-2</v>
          </cell>
          <cell r="BL84">
            <v>-5.0000000000000044E-2</v>
          </cell>
          <cell r="BM84">
            <v>-5.0000000000000044E-2</v>
          </cell>
          <cell r="BN84">
            <v>-5.0000000000000044E-2</v>
          </cell>
          <cell r="BO84">
            <v>0</v>
          </cell>
        </row>
        <row r="85">
          <cell r="A85" t="str">
            <v>growth CER %</v>
          </cell>
          <cell r="AY85">
            <v>-0.125</v>
          </cell>
          <cell r="AZ85">
            <v>-0.1</v>
          </cell>
          <cell r="BB85">
            <v>-0.2</v>
          </cell>
          <cell r="BE85">
            <v>-0.2</v>
          </cell>
          <cell r="BF85">
            <v>-0.05</v>
          </cell>
          <cell r="BG85">
            <v>-0.05</v>
          </cell>
          <cell r="BH85">
            <v>-0.05</v>
          </cell>
          <cell r="BI85">
            <v>-0.05</v>
          </cell>
          <cell r="BJ85">
            <v>-0.05</v>
          </cell>
          <cell r="BK85">
            <v>-0.05</v>
          </cell>
          <cell r="BL85">
            <v>-0.05</v>
          </cell>
          <cell r="BM85">
            <v>-0.05</v>
          </cell>
          <cell r="BN85">
            <v>-0.05</v>
          </cell>
          <cell r="BO85">
            <v>0</v>
          </cell>
        </row>
        <row r="86">
          <cell r="A86" t="str">
            <v>Yasmin / Yaz ROW</v>
          </cell>
          <cell r="D86">
            <v>124</v>
          </cell>
          <cell r="E86">
            <v>131</v>
          </cell>
          <cell r="F86">
            <v>255</v>
          </cell>
          <cell r="G86">
            <v>142</v>
          </cell>
          <cell r="H86">
            <v>397</v>
          </cell>
          <cell r="I86">
            <v>144</v>
          </cell>
          <cell r="J86">
            <v>541</v>
          </cell>
          <cell r="K86">
            <v>155</v>
          </cell>
          <cell r="L86">
            <v>159</v>
          </cell>
          <cell r="M86">
            <v>314</v>
          </cell>
          <cell r="N86">
            <v>170</v>
          </cell>
          <cell r="O86">
            <v>484</v>
          </cell>
          <cell r="P86">
            <v>174</v>
          </cell>
          <cell r="Q86">
            <v>658</v>
          </cell>
          <cell r="R86">
            <v>172</v>
          </cell>
          <cell r="S86">
            <v>188</v>
          </cell>
          <cell r="T86">
            <v>360</v>
          </cell>
          <cell r="U86">
            <v>185</v>
          </cell>
          <cell r="V86">
            <v>545</v>
          </cell>
          <cell r="W86">
            <v>198</v>
          </cell>
          <cell r="X86">
            <v>743</v>
          </cell>
          <cell r="Y86">
            <v>189</v>
          </cell>
          <cell r="Z86">
            <v>209</v>
          </cell>
          <cell r="AA86">
            <v>398</v>
          </cell>
          <cell r="AB86">
            <v>211</v>
          </cell>
          <cell r="AC86">
            <v>609</v>
          </cell>
          <cell r="AD86">
            <v>237</v>
          </cell>
          <cell r="AE86">
            <v>846</v>
          </cell>
          <cell r="AF86">
            <v>207</v>
          </cell>
          <cell r="AG86">
            <v>224</v>
          </cell>
          <cell r="AH86">
            <v>431</v>
          </cell>
          <cell r="AI86">
            <v>227</v>
          </cell>
          <cell r="AJ86">
            <v>658</v>
          </cell>
          <cell r="AK86">
            <v>233</v>
          </cell>
          <cell r="AL86">
            <v>891</v>
          </cell>
          <cell r="AM86">
            <v>201</v>
          </cell>
          <cell r="AN86">
            <v>201</v>
          </cell>
          <cell r="AO86">
            <v>215</v>
          </cell>
          <cell r="AQ86">
            <v>416</v>
          </cell>
          <cell r="AR86">
            <v>223</v>
          </cell>
          <cell r="AT86">
            <v>639</v>
          </cell>
          <cell r="AU86">
            <v>216</v>
          </cell>
          <cell r="AW86">
            <v>855</v>
          </cell>
          <cell r="AY86">
            <v>173</v>
          </cell>
          <cell r="AZ86">
            <v>187.47865172640689</v>
          </cell>
          <cell r="BA86">
            <v>360.47865172640689</v>
          </cell>
          <cell r="BB86">
            <v>191.84532539981632</v>
          </cell>
          <cell r="BC86">
            <v>552.32397712622321</v>
          </cell>
          <cell r="BD86">
            <v>194.46569295240135</v>
          </cell>
          <cell r="BE86">
            <v>746.78967007862457</v>
          </cell>
          <cell r="BF86">
            <v>731.82639027807159</v>
          </cell>
          <cell r="BG86">
            <v>695.23507076416797</v>
          </cell>
          <cell r="BH86">
            <v>660.47331722595959</v>
          </cell>
          <cell r="BI86">
            <v>627.44965136466158</v>
          </cell>
          <cell r="BJ86">
            <v>596.07716879642851</v>
          </cell>
          <cell r="BK86">
            <v>566.27331035660711</v>
          </cell>
          <cell r="BL86">
            <v>537.95964483877674</v>
          </cell>
          <cell r="BM86">
            <v>511.06166259683789</v>
          </cell>
          <cell r="BN86">
            <v>485.50857946699597</v>
          </cell>
          <cell r="BO86">
            <v>485.50857946699597</v>
          </cell>
        </row>
        <row r="87">
          <cell r="A87" t="str">
            <v>growth reported %</v>
          </cell>
          <cell r="F87" t="e">
            <v>#REF!</v>
          </cell>
          <cell r="H87" t="e">
            <v>#VALUE!</v>
          </cell>
          <cell r="K87">
            <v>0.25</v>
          </cell>
          <cell r="L87">
            <v>0.21374045801526709</v>
          </cell>
          <cell r="M87">
            <v>0.23137254901960791</v>
          </cell>
          <cell r="N87">
            <v>0.19718309859154926</v>
          </cell>
          <cell r="O87">
            <v>0.21914357682619645</v>
          </cell>
          <cell r="P87">
            <v>0.20833333333333326</v>
          </cell>
          <cell r="Q87">
            <v>0.21626617375231061</v>
          </cell>
          <cell r="R87">
            <v>0.10967741935483866</v>
          </cell>
          <cell r="S87">
            <v>0.1823899371069182</v>
          </cell>
          <cell r="T87">
            <v>0.14649681528662417</v>
          </cell>
          <cell r="U87">
            <v>8.8235294117646967E-2</v>
          </cell>
          <cell r="V87">
            <v>0.12603305785123964</v>
          </cell>
          <cell r="W87">
            <v>0.13793103448275867</v>
          </cell>
          <cell r="X87">
            <v>0.12917933130699089</v>
          </cell>
          <cell r="Y87">
            <v>9.8837209302325535E-2</v>
          </cell>
          <cell r="Z87">
            <v>0.11170212765957444</v>
          </cell>
          <cell r="AA87">
            <v>0.10555555555555562</v>
          </cell>
          <cell r="AB87">
            <v>0.14054054054054044</v>
          </cell>
          <cell r="AC87">
            <v>0.11743119266055047</v>
          </cell>
          <cell r="AD87">
            <v>0.19696969696969702</v>
          </cell>
          <cell r="AE87">
            <v>0.1386271870794078</v>
          </cell>
          <cell r="AF87">
            <v>9.5238095238095344E-2</v>
          </cell>
          <cell r="AG87">
            <v>7.1770334928229707E-2</v>
          </cell>
          <cell r="AH87">
            <v>8.2914572864321689E-2</v>
          </cell>
          <cell r="AI87">
            <v>7.5829383886255819E-2</v>
          </cell>
          <cell r="AJ87">
            <v>8.0459770114942541E-2</v>
          </cell>
          <cell r="AK87">
            <v>-1.6877637130801704E-2</v>
          </cell>
          <cell r="AL87">
            <v>5.3191489361702038E-2</v>
          </cell>
          <cell r="AM87">
            <v>-2.8985507246376829E-2</v>
          </cell>
          <cell r="AN87">
            <v>-2.8985507246376829E-2</v>
          </cell>
          <cell r="AO87">
            <v>-4.0178571428571397E-2</v>
          </cell>
          <cell r="AQ87">
            <v>-3.4802784222737859E-2</v>
          </cell>
          <cell r="AR87">
            <v>-1.7621145374449365E-2</v>
          </cell>
          <cell r="AT87">
            <v>-2.8875379939209744E-2</v>
          </cell>
          <cell r="AU87">
            <v>-7.2961373390557971E-2</v>
          </cell>
          <cell r="AW87">
            <v>-4.0404040404040442E-2</v>
          </cell>
          <cell r="AY87">
            <v>-0.13930348258706471</v>
          </cell>
          <cell r="AZ87">
            <v>-0.12800627103996787</v>
          </cell>
          <cell r="BA87">
            <v>-0.13346477950382962</v>
          </cell>
          <cell r="BB87">
            <v>-0.13970706098737073</v>
          </cell>
          <cell r="BC87">
            <v>-0.13564322828447073</v>
          </cell>
          <cell r="BD87">
            <v>-9.9695865961104801E-2</v>
          </cell>
          <cell r="BE87">
            <v>-0.12656178938172569</v>
          </cell>
          <cell r="BF87">
            <v>-2.0036806078179481E-2</v>
          </cell>
          <cell r="BG87">
            <v>-5.0000000000000044E-2</v>
          </cell>
          <cell r="BH87">
            <v>-5.0000000000000044E-2</v>
          </cell>
          <cell r="BI87">
            <v>-5.0000000000000044E-2</v>
          </cell>
          <cell r="BJ87">
            <v>-5.0000000000000044E-2</v>
          </cell>
          <cell r="BK87">
            <v>-5.0000000000000044E-2</v>
          </cell>
          <cell r="BL87">
            <v>-5.0000000000000044E-2</v>
          </cell>
          <cell r="BM87">
            <v>-5.0000000000000044E-2</v>
          </cell>
          <cell r="BN87">
            <v>-5.0000000000000044E-2</v>
          </cell>
          <cell r="BO87">
            <v>0</v>
          </cell>
        </row>
        <row r="88">
          <cell r="A88" t="str">
            <v>growth CER %</v>
          </cell>
          <cell r="AZ88">
            <v>-7.0000000000000007E-2</v>
          </cell>
          <cell r="BB88">
            <v>-0.08</v>
          </cell>
          <cell r="BE88">
            <v>-0.08</v>
          </cell>
          <cell r="BF88">
            <v>-0.05</v>
          </cell>
          <cell r="BG88">
            <v>-0.05</v>
          </cell>
          <cell r="BH88">
            <v>-0.05</v>
          </cell>
          <cell r="BI88">
            <v>-0.05</v>
          </cell>
          <cell r="BJ88">
            <v>-0.05</v>
          </cell>
          <cell r="BK88">
            <v>-0.05</v>
          </cell>
          <cell r="BL88">
            <v>-0.05</v>
          </cell>
          <cell r="BM88">
            <v>-0.05</v>
          </cell>
          <cell r="BN88">
            <v>-0.05</v>
          </cell>
          <cell r="BO88">
            <v>0</v>
          </cell>
        </row>
        <row r="89">
          <cell r="A89" t="str">
            <v>Yaz (including pipeline indications, note only)</v>
          </cell>
          <cell r="BE89">
            <v>900.56849000199622</v>
          </cell>
          <cell r="BF89">
            <v>894.97137337085508</v>
          </cell>
          <cell r="BG89">
            <v>860.72280470231226</v>
          </cell>
          <cell r="BH89">
            <v>828.68666446719669</v>
          </cell>
          <cell r="BI89">
            <v>794.75233124383681</v>
          </cell>
          <cell r="BJ89">
            <v>757.61471468164495</v>
          </cell>
          <cell r="BK89">
            <v>722.37397894756282</v>
          </cell>
          <cell r="BL89">
            <v>688.93528000018455</v>
          </cell>
          <cell r="BM89">
            <v>657.20851600017545</v>
          </cell>
          <cell r="BN89">
            <v>626.70809020016657</v>
          </cell>
          <cell r="BO89">
            <v>627.10809020016654</v>
          </cell>
        </row>
        <row r="90">
          <cell r="A90" t="str">
            <v>Mirena</v>
          </cell>
          <cell r="B90">
            <v>0</v>
          </cell>
          <cell r="C90">
            <v>166</v>
          </cell>
          <cell r="D90">
            <v>81</v>
          </cell>
          <cell r="E90">
            <v>88</v>
          </cell>
          <cell r="F90">
            <v>169</v>
          </cell>
          <cell r="G90">
            <v>96</v>
          </cell>
          <cell r="H90">
            <v>265</v>
          </cell>
          <cell r="I90">
            <v>96</v>
          </cell>
          <cell r="J90">
            <v>361</v>
          </cell>
          <cell r="K90">
            <v>112</v>
          </cell>
          <cell r="L90">
            <v>118</v>
          </cell>
          <cell r="M90">
            <v>230</v>
          </cell>
          <cell r="N90">
            <v>105</v>
          </cell>
          <cell r="O90">
            <v>335</v>
          </cell>
          <cell r="P90">
            <v>127</v>
          </cell>
          <cell r="Q90">
            <v>462</v>
          </cell>
          <cell r="R90">
            <v>125</v>
          </cell>
          <cell r="S90">
            <v>137</v>
          </cell>
          <cell r="T90">
            <v>262</v>
          </cell>
          <cell r="U90">
            <v>105</v>
          </cell>
          <cell r="V90">
            <v>367</v>
          </cell>
          <cell r="W90">
            <v>123</v>
          </cell>
          <cell r="X90">
            <v>490</v>
          </cell>
          <cell r="Y90">
            <v>143</v>
          </cell>
          <cell r="Z90">
            <v>123</v>
          </cell>
          <cell r="AA90">
            <v>266</v>
          </cell>
          <cell r="AB90">
            <v>138</v>
          </cell>
          <cell r="AC90">
            <v>404</v>
          </cell>
          <cell r="AD90">
            <v>135</v>
          </cell>
          <cell r="AE90">
            <v>539</v>
          </cell>
          <cell r="AF90">
            <v>143</v>
          </cell>
          <cell r="AG90">
            <v>144</v>
          </cell>
          <cell r="AH90">
            <v>287</v>
          </cell>
          <cell r="AI90">
            <v>137</v>
          </cell>
          <cell r="AJ90">
            <v>424</v>
          </cell>
          <cell r="AK90">
            <v>157</v>
          </cell>
          <cell r="AL90">
            <v>581</v>
          </cell>
          <cell r="AM90">
            <v>160</v>
          </cell>
          <cell r="AN90">
            <v>160</v>
          </cell>
          <cell r="AO90">
            <v>199</v>
          </cell>
          <cell r="AQ90">
            <v>359</v>
          </cell>
          <cell r="AR90">
            <v>183</v>
          </cell>
          <cell r="AT90">
            <v>542</v>
          </cell>
          <cell r="AU90">
            <v>135</v>
          </cell>
          <cell r="AW90">
            <v>677</v>
          </cell>
          <cell r="AY90">
            <v>166</v>
          </cell>
          <cell r="AZ90">
            <v>174.42780086279396</v>
          </cell>
          <cell r="BA90">
            <v>340.42780086279396</v>
          </cell>
          <cell r="BB90">
            <v>166.71859955218142</v>
          </cell>
          <cell r="BC90">
            <v>507.14640041497535</v>
          </cell>
          <cell r="BD90">
            <v>182.27906107520425</v>
          </cell>
          <cell r="BE90">
            <v>689.4254614901796</v>
          </cell>
          <cell r="BF90">
            <v>756.87043199967502</v>
          </cell>
          <cell r="BG90">
            <v>744.24905177533537</v>
          </cell>
          <cell r="BH90">
            <v>707.03659918656854</v>
          </cell>
          <cell r="BI90">
            <v>671.68476922724017</v>
          </cell>
          <cell r="BJ90">
            <v>638.10053076587815</v>
          </cell>
          <cell r="BK90">
            <v>606.19550422758414</v>
          </cell>
          <cell r="BL90">
            <v>575.88572901620489</v>
          </cell>
          <cell r="BM90">
            <v>547.09144256539469</v>
          </cell>
          <cell r="BN90">
            <v>519.73687043712494</v>
          </cell>
          <cell r="BO90">
            <v>519.73687043712494</v>
          </cell>
          <cell r="BT90">
            <v>2015</v>
          </cell>
          <cell r="BU90">
            <v>2015</v>
          </cell>
          <cell r="BV90">
            <v>2015</v>
          </cell>
          <cell r="BW90">
            <v>168.03659918656854</v>
          </cell>
        </row>
        <row r="91">
          <cell r="A91" t="str">
            <v>growth %</v>
          </cell>
          <cell r="F91" t="e">
            <v>#REF!</v>
          </cell>
          <cell r="H91" t="e">
            <v>#VALUE!</v>
          </cell>
          <cell r="J91">
            <v>0.255</v>
          </cell>
          <cell r="K91">
            <v>0.50800000000000001</v>
          </cell>
          <cell r="L91">
            <v>0.47199999999999998</v>
          </cell>
          <cell r="M91">
            <v>0.36094674556213024</v>
          </cell>
          <cell r="N91">
            <v>0.17100000000000001</v>
          </cell>
          <cell r="O91">
            <v>0.26415094339622636</v>
          </cell>
          <cell r="P91">
            <v>0.32291666666666674</v>
          </cell>
          <cell r="Q91">
            <v>0.27977839335180055</v>
          </cell>
          <cell r="R91">
            <v>6.9000000000000006E-2</v>
          </cell>
          <cell r="S91">
            <v>9.2999999999999999E-2</v>
          </cell>
          <cell r="T91">
            <v>0.13913043478260878</v>
          </cell>
          <cell r="U91">
            <v>0</v>
          </cell>
          <cell r="V91">
            <v>9.5522388059701591E-2</v>
          </cell>
          <cell r="W91">
            <v>-3.1496062992126039E-2</v>
          </cell>
          <cell r="X91">
            <v>6.0606060606060552E-2</v>
          </cell>
          <cell r="Y91">
            <v>0.14399999999999991</v>
          </cell>
          <cell r="Z91">
            <v>-0.1021897810218978</v>
          </cell>
          <cell r="AA91">
            <v>1.5267175572519109E-2</v>
          </cell>
          <cell r="AB91">
            <v>0.31428571428571428</v>
          </cell>
          <cell r="AC91">
            <v>0.10081743869209814</v>
          </cell>
          <cell r="AD91">
            <v>9.7560975609756184E-2</v>
          </cell>
          <cell r="AE91">
            <v>0.10000000000000009</v>
          </cell>
          <cell r="AF91">
            <v>0</v>
          </cell>
          <cell r="AG91">
            <v>0.1707317073170731</v>
          </cell>
          <cell r="AH91">
            <v>7.8947368421052655E-2</v>
          </cell>
          <cell r="AI91">
            <v>-7.2463768115942351E-3</v>
          </cell>
          <cell r="AJ91">
            <v>4.9504950495049549E-2</v>
          </cell>
          <cell r="AK91">
            <v>0.16296296296296298</v>
          </cell>
          <cell r="AL91">
            <v>7.7922077922077948E-2</v>
          </cell>
          <cell r="AM91">
            <v>0.11888111888111896</v>
          </cell>
          <cell r="AN91">
            <v>0.11888111888111896</v>
          </cell>
          <cell r="AO91">
            <v>0.38194444444444442</v>
          </cell>
          <cell r="AQ91">
            <v>0.25087108013937276</v>
          </cell>
          <cell r="AR91">
            <v>0.33576642335766427</v>
          </cell>
          <cell r="AT91">
            <v>0.27830188679245293</v>
          </cell>
          <cell r="AU91">
            <v>-0.14012738853503182</v>
          </cell>
          <cell r="AW91">
            <v>0.16523235800344227</v>
          </cell>
          <cell r="AY91">
            <v>3.7500000000000089E-2</v>
          </cell>
          <cell r="AZ91">
            <v>-0.12347838762415098</v>
          </cell>
          <cell r="BA91">
            <v>-5.1733145228986199E-2</v>
          </cell>
          <cell r="BB91">
            <v>-8.8969401354199951E-2</v>
          </cell>
          <cell r="BC91">
            <v>-6.4305534289713417E-2</v>
          </cell>
          <cell r="BD91">
            <v>0.3502152672237353</v>
          </cell>
          <cell r="BE91">
            <v>1.8353709734386436E-2</v>
          </cell>
          <cell r="BF91">
            <v>9.7827791801762709E-2</v>
          </cell>
          <cell r="BG91">
            <v>-1.6675747513340666E-2</v>
          </cell>
          <cell r="BH91">
            <v>-5.0000000000000044E-2</v>
          </cell>
          <cell r="BI91">
            <v>-4.9999999999999933E-2</v>
          </cell>
          <cell r="BJ91">
            <v>-5.0000000000000044E-2</v>
          </cell>
          <cell r="BK91">
            <v>-5.0000000000000155E-2</v>
          </cell>
          <cell r="BL91">
            <v>-5.0000000000000044E-2</v>
          </cell>
          <cell r="BM91">
            <v>-4.9999999999999933E-2</v>
          </cell>
          <cell r="BN91">
            <v>-5.0000000000000044E-2</v>
          </cell>
          <cell r="BO91">
            <v>0</v>
          </cell>
          <cell r="BW91">
            <v>-0.15000000000000013</v>
          </cell>
        </row>
        <row r="92">
          <cell r="A92" t="str">
            <v>Mirena - US</v>
          </cell>
          <cell r="D92">
            <v>38</v>
          </cell>
          <cell r="E92">
            <v>41</v>
          </cell>
          <cell r="F92">
            <v>79</v>
          </cell>
          <cell r="G92">
            <v>52</v>
          </cell>
          <cell r="H92">
            <v>131</v>
          </cell>
          <cell r="I92">
            <v>43</v>
          </cell>
          <cell r="J92">
            <v>174</v>
          </cell>
          <cell r="K92">
            <v>61</v>
          </cell>
          <cell r="L92">
            <v>64</v>
          </cell>
          <cell r="M92">
            <v>125</v>
          </cell>
          <cell r="N92">
            <v>56</v>
          </cell>
          <cell r="O92">
            <v>181</v>
          </cell>
          <cell r="P92">
            <v>72</v>
          </cell>
          <cell r="Q92">
            <v>253</v>
          </cell>
          <cell r="R92">
            <v>73</v>
          </cell>
          <cell r="S92">
            <v>81</v>
          </cell>
          <cell r="T92">
            <v>154</v>
          </cell>
          <cell r="U92">
            <v>53</v>
          </cell>
          <cell r="V92">
            <v>207</v>
          </cell>
          <cell r="W92">
            <v>65</v>
          </cell>
          <cell r="X92">
            <v>272</v>
          </cell>
          <cell r="Y92">
            <v>87</v>
          </cell>
          <cell r="Z92">
            <v>58</v>
          </cell>
          <cell r="AA92">
            <v>145</v>
          </cell>
          <cell r="AB92">
            <v>76</v>
          </cell>
          <cell r="AC92">
            <v>221</v>
          </cell>
          <cell r="AD92">
            <v>64</v>
          </cell>
          <cell r="AE92">
            <v>285</v>
          </cell>
          <cell r="AF92">
            <v>80</v>
          </cell>
          <cell r="AG92">
            <v>79</v>
          </cell>
          <cell r="AH92">
            <v>159</v>
          </cell>
          <cell r="AI92">
            <v>71</v>
          </cell>
          <cell r="AJ92">
            <v>230</v>
          </cell>
          <cell r="AK92">
            <v>83</v>
          </cell>
          <cell r="AL92">
            <v>313</v>
          </cell>
          <cell r="AM92">
            <v>93</v>
          </cell>
          <cell r="AN92">
            <v>93</v>
          </cell>
          <cell r="AO92">
            <v>126</v>
          </cell>
          <cell r="AQ92">
            <v>219</v>
          </cell>
          <cell r="AR92">
            <v>112</v>
          </cell>
          <cell r="AT92">
            <v>331</v>
          </cell>
          <cell r="AU92">
            <v>53</v>
          </cell>
          <cell r="AW92">
            <v>385</v>
          </cell>
          <cell r="AY92">
            <v>96</v>
          </cell>
          <cell r="AZ92">
            <v>102.55864029850746</v>
          </cell>
          <cell r="BA92">
            <v>198.55864029850744</v>
          </cell>
          <cell r="BB92">
            <v>97.006818461538472</v>
          </cell>
          <cell r="BC92">
            <v>295.56545876004589</v>
          </cell>
          <cell r="BD92">
            <v>102.77722514800013</v>
          </cell>
          <cell r="BE92">
            <v>398.34268390804601</v>
          </cell>
          <cell r="BF92">
            <v>441.59366480412376</v>
          </cell>
          <cell r="BG92">
            <v>419.51398156391758</v>
          </cell>
          <cell r="BH92">
            <v>398.53828248572171</v>
          </cell>
          <cell r="BI92">
            <v>378.61136836143561</v>
          </cell>
          <cell r="BJ92">
            <v>359.68079994336381</v>
          </cell>
          <cell r="BK92">
            <v>341.69675994619558</v>
          </cell>
          <cell r="BL92">
            <v>324.61192194888577</v>
          </cell>
          <cell r="BM92">
            <v>308.38132585144149</v>
          </cell>
          <cell r="BN92">
            <v>292.96225955886939</v>
          </cell>
          <cell r="BO92">
            <v>292.96225955886939</v>
          </cell>
        </row>
        <row r="93">
          <cell r="A93" t="str">
            <v>growth reported %</v>
          </cell>
          <cell r="F93" t="e">
            <v>#REF!</v>
          </cell>
          <cell r="H93" t="e">
            <v>#VALUE!</v>
          </cell>
          <cell r="J93" t="e">
            <v>#DIV/0!</v>
          </cell>
          <cell r="K93">
            <v>0.60526315789473695</v>
          </cell>
          <cell r="L93">
            <v>0.56097560975609762</v>
          </cell>
          <cell r="M93">
            <v>0.58227848101265822</v>
          </cell>
          <cell r="N93">
            <v>7.6923076923076872E-2</v>
          </cell>
          <cell r="O93">
            <v>0.38167938931297707</v>
          </cell>
          <cell r="P93">
            <v>0.67441860465116288</v>
          </cell>
          <cell r="Q93">
            <v>0.45402298850574718</v>
          </cell>
          <cell r="R93">
            <v>0.19672131147540983</v>
          </cell>
          <cell r="S93">
            <v>0.265625</v>
          </cell>
          <cell r="T93">
            <v>0.23199999999999998</v>
          </cell>
          <cell r="U93">
            <v>-5.3571428571428603E-2</v>
          </cell>
          <cell r="V93">
            <v>0.14364640883977908</v>
          </cell>
          <cell r="W93">
            <v>-9.722222222222221E-2</v>
          </cell>
          <cell r="X93">
            <v>7.5098814229249022E-2</v>
          </cell>
          <cell r="Y93">
            <v>0.19178082191780832</v>
          </cell>
          <cell r="Z93">
            <v>-0.28395061728395066</v>
          </cell>
          <cell r="AA93">
            <v>-5.8441558441558406E-2</v>
          </cell>
          <cell r="AB93">
            <v>0.4339622641509433</v>
          </cell>
          <cell r="AC93">
            <v>6.7632850241545972E-2</v>
          </cell>
          <cell r="AD93">
            <v>-1.538461538461533E-2</v>
          </cell>
          <cell r="AE93">
            <v>4.7794117647058876E-2</v>
          </cell>
          <cell r="AF93">
            <v>-8.0459770114942541E-2</v>
          </cell>
          <cell r="AG93">
            <v>0.36206896551724133</v>
          </cell>
          <cell r="AH93">
            <v>9.6551724137931005E-2</v>
          </cell>
          <cell r="AI93">
            <v>-6.5789473684210509E-2</v>
          </cell>
          <cell r="AJ93">
            <v>4.0723981900452566E-2</v>
          </cell>
          <cell r="AK93">
            <v>0.296875</v>
          </cell>
          <cell r="AL93">
            <v>9.8245614035087803E-2</v>
          </cell>
          <cell r="AM93">
            <v>0.16250000000000009</v>
          </cell>
          <cell r="AN93">
            <v>0.16250000000000009</v>
          </cell>
          <cell r="AO93">
            <v>0.59493670886075956</v>
          </cell>
          <cell r="AQ93">
            <v>0.37735849056603765</v>
          </cell>
          <cell r="AR93">
            <v>0.57746478873239426</v>
          </cell>
          <cell r="AT93">
            <v>0.4391304347826086</v>
          </cell>
          <cell r="AU93">
            <v>-0.36144578313253017</v>
          </cell>
          <cell r="AW93">
            <v>0.23003194888178924</v>
          </cell>
          <cell r="AY93">
            <v>3.2258064516129004E-2</v>
          </cell>
          <cell r="AZ93">
            <v>-0.1860425373134329</v>
          </cell>
          <cell r="BA93">
            <v>-9.3339542015947741E-2</v>
          </cell>
          <cell r="BB93">
            <v>-0.13386769230769224</v>
          </cell>
          <cell r="BC93">
            <v>-0.10705299468264085</v>
          </cell>
          <cell r="BD93">
            <v>0.9391929273207571</v>
          </cell>
          <cell r="BE93">
            <v>3.4656321839080517E-2</v>
          </cell>
          <cell r="BF93">
            <v>0.10857731958762895</v>
          </cell>
          <cell r="BG93">
            <v>-5.0000000000000044E-2</v>
          </cell>
          <cell r="BH93">
            <v>-5.0000000000000044E-2</v>
          </cell>
          <cell r="BI93">
            <v>-5.0000000000000044E-2</v>
          </cell>
          <cell r="BJ93">
            <v>-5.0000000000000044E-2</v>
          </cell>
          <cell r="BK93">
            <v>-5.0000000000000044E-2</v>
          </cell>
          <cell r="BL93">
            <v>-5.0000000000000044E-2</v>
          </cell>
          <cell r="BM93">
            <v>-5.0000000000000044E-2</v>
          </cell>
          <cell r="BN93">
            <v>-5.0000000000000044E-2</v>
          </cell>
          <cell r="BO93">
            <v>0</v>
          </cell>
        </row>
        <row r="94">
          <cell r="A94" t="str">
            <v>growth CER %</v>
          </cell>
          <cell r="AY94">
            <v>4.3999999999999997E-2</v>
          </cell>
          <cell r="AZ94">
            <v>-0.15</v>
          </cell>
          <cell r="BB94">
            <v>-0.1</v>
          </cell>
          <cell r="BE94">
            <v>0.05</v>
          </cell>
          <cell r="BF94">
            <v>0.03</v>
          </cell>
          <cell r="BG94">
            <v>-0.05</v>
          </cell>
          <cell r="BH94">
            <v>-0.05</v>
          </cell>
          <cell r="BI94">
            <v>-0.05</v>
          </cell>
          <cell r="BJ94">
            <v>-0.05</v>
          </cell>
          <cell r="BK94">
            <v>-0.05</v>
          </cell>
          <cell r="BL94">
            <v>-0.05</v>
          </cell>
          <cell r="BM94">
            <v>-0.05</v>
          </cell>
          <cell r="BN94">
            <v>-0.05</v>
          </cell>
          <cell r="BO94">
            <v>0</v>
          </cell>
        </row>
        <row r="95">
          <cell r="A95" t="str">
            <v>Mirena - ROW</v>
          </cell>
          <cell r="D95">
            <v>43</v>
          </cell>
          <cell r="E95">
            <v>47</v>
          </cell>
          <cell r="F95">
            <v>90</v>
          </cell>
          <cell r="G95">
            <v>44</v>
          </cell>
          <cell r="H95">
            <v>134</v>
          </cell>
          <cell r="I95">
            <v>53</v>
          </cell>
          <cell r="J95">
            <v>187</v>
          </cell>
          <cell r="K95">
            <v>51</v>
          </cell>
          <cell r="L95">
            <v>54</v>
          </cell>
          <cell r="M95">
            <v>105</v>
          </cell>
          <cell r="N95">
            <v>49</v>
          </cell>
          <cell r="O95">
            <v>154</v>
          </cell>
          <cell r="P95">
            <v>55</v>
          </cell>
          <cell r="Q95">
            <v>209</v>
          </cell>
          <cell r="R95">
            <v>52</v>
          </cell>
          <cell r="S95">
            <v>56</v>
          </cell>
          <cell r="T95">
            <v>108</v>
          </cell>
          <cell r="U95">
            <v>52</v>
          </cell>
          <cell r="V95">
            <v>160</v>
          </cell>
          <cell r="W95">
            <v>58</v>
          </cell>
          <cell r="X95">
            <v>218</v>
          </cell>
          <cell r="Y95">
            <v>56</v>
          </cell>
          <cell r="Z95">
            <v>65</v>
          </cell>
          <cell r="AA95">
            <v>121</v>
          </cell>
          <cell r="AB95">
            <v>62</v>
          </cell>
          <cell r="AC95">
            <v>183</v>
          </cell>
          <cell r="AD95">
            <v>71</v>
          </cell>
          <cell r="AE95">
            <v>254</v>
          </cell>
          <cell r="AF95">
            <v>63</v>
          </cell>
          <cell r="AG95">
            <v>65</v>
          </cell>
          <cell r="AH95">
            <v>128</v>
          </cell>
          <cell r="AI95">
            <v>66</v>
          </cell>
          <cell r="AJ95">
            <v>194</v>
          </cell>
          <cell r="AK95">
            <v>74</v>
          </cell>
          <cell r="AL95">
            <v>268</v>
          </cell>
          <cell r="AM95">
            <v>67</v>
          </cell>
          <cell r="AN95">
            <v>67</v>
          </cell>
          <cell r="AO95">
            <v>73</v>
          </cell>
          <cell r="AQ95">
            <v>140</v>
          </cell>
          <cell r="AR95">
            <v>71</v>
          </cell>
          <cell r="AT95">
            <v>211</v>
          </cell>
          <cell r="AU95">
            <v>82</v>
          </cell>
          <cell r="AW95">
            <v>292</v>
          </cell>
          <cell r="AY95">
            <v>70</v>
          </cell>
          <cell r="AZ95">
            <v>71.869160564286517</v>
          </cell>
          <cell r="BA95">
            <v>141.86916056428652</v>
          </cell>
          <cell r="BB95">
            <v>69.711781090642944</v>
          </cell>
          <cell r="BC95">
            <v>211.58094165492946</v>
          </cell>
          <cell r="BD95">
            <v>79.501835927204127</v>
          </cell>
          <cell r="BE95">
            <v>291.08277758213359</v>
          </cell>
          <cell r="BF95">
            <v>315.27676719555126</v>
          </cell>
          <cell r="BG95">
            <v>324.73507021141779</v>
          </cell>
          <cell r="BH95">
            <v>308.49831670084689</v>
          </cell>
          <cell r="BI95">
            <v>293.0734008658045</v>
          </cell>
          <cell r="BJ95">
            <v>278.41973082251428</v>
          </cell>
          <cell r="BK95">
            <v>264.49874428138855</v>
          </cell>
          <cell r="BL95">
            <v>251.27380706731913</v>
          </cell>
          <cell r="BM95">
            <v>238.71011671395317</v>
          </cell>
          <cell r="BN95">
            <v>226.77461087825549</v>
          </cell>
          <cell r="BO95">
            <v>226.77461087825549</v>
          </cell>
        </row>
        <row r="96">
          <cell r="A96" t="str">
            <v>growth reported %</v>
          </cell>
          <cell r="F96" t="e">
            <v>#REF!</v>
          </cell>
          <cell r="H96" t="e">
            <v>#VALUE!</v>
          </cell>
          <cell r="K96">
            <v>0.18604651162790709</v>
          </cell>
          <cell r="L96">
            <v>0.14893617021276606</v>
          </cell>
          <cell r="M96">
            <v>0.16666666666666674</v>
          </cell>
          <cell r="N96">
            <v>0.11363636363636354</v>
          </cell>
          <cell r="O96">
            <v>0.14925373134328357</v>
          </cell>
          <cell r="P96">
            <v>3.7735849056603765E-2</v>
          </cell>
          <cell r="Q96">
            <v>0.11764705882352944</v>
          </cell>
          <cell r="R96">
            <v>1.9607843137254832E-2</v>
          </cell>
          <cell r="S96">
            <v>3.7037037037036979E-2</v>
          </cell>
          <cell r="T96">
            <v>2.857142857142847E-2</v>
          </cell>
          <cell r="U96">
            <v>6.1224489795918435E-2</v>
          </cell>
          <cell r="V96">
            <v>3.8961038961038863E-2</v>
          </cell>
          <cell r="W96">
            <v>5.4545454545454453E-2</v>
          </cell>
          <cell r="X96">
            <v>4.3062200956937691E-2</v>
          </cell>
          <cell r="Y96">
            <v>7.6923076923076872E-2</v>
          </cell>
          <cell r="Z96">
            <v>0.16071428571428581</v>
          </cell>
          <cell r="AA96">
            <v>0.12037037037037046</v>
          </cell>
          <cell r="AB96">
            <v>0.19230769230769229</v>
          </cell>
          <cell r="AC96">
            <v>0.14375000000000004</v>
          </cell>
          <cell r="AD96">
            <v>0.22413793103448265</v>
          </cell>
          <cell r="AE96">
            <v>0.16513761467889898</v>
          </cell>
          <cell r="AF96">
            <v>0.125</v>
          </cell>
          <cell r="AG96">
            <v>0</v>
          </cell>
          <cell r="AH96">
            <v>5.7851239669421517E-2</v>
          </cell>
          <cell r="AI96">
            <v>6.4516129032258007E-2</v>
          </cell>
          <cell r="AJ96">
            <v>6.0109289617486406E-2</v>
          </cell>
          <cell r="AK96">
            <v>4.2253521126760507E-2</v>
          </cell>
          <cell r="AL96">
            <v>5.5118110236220375E-2</v>
          </cell>
          <cell r="AM96">
            <v>6.3492063492063489E-2</v>
          </cell>
          <cell r="AN96">
            <v>6.3492063492063489E-2</v>
          </cell>
          <cell r="AO96">
            <v>0.12307692307692308</v>
          </cell>
          <cell r="AQ96">
            <v>9.375E-2</v>
          </cell>
          <cell r="AR96">
            <v>7.575757575757569E-2</v>
          </cell>
          <cell r="AT96">
            <v>8.7628865979381354E-2</v>
          </cell>
          <cell r="AU96">
            <v>0.10810810810810811</v>
          </cell>
          <cell r="AW96">
            <v>8.9552238805970186E-2</v>
          </cell>
          <cell r="AY96">
            <v>4.4776119402984982E-2</v>
          </cell>
          <cell r="AZ96">
            <v>-1.5490951174157219E-2</v>
          </cell>
          <cell r="BA96">
            <v>1.3351146887760734E-2</v>
          </cell>
          <cell r="BB96">
            <v>-1.814392830080358E-2</v>
          </cell>
          <cell r="BC96">
            <v>2.7532779854477774E-3</v>
          </cell>
          <cell r="BD96">
            <v>-3.0465415521900852E-2</v>
          </cell>
          <cell r="BE96">
            <v>-3.1411726639261062E-3</v>
          </cell>
          <cell r="BF96">
            <v>8.3117214334643919E-2</v>
          </cell>
          <cell r="BG96">
            <v>3.0000000000000027E-2</v>
          </cell>
          <cell r="BH96">
            <v>-5.0000000000000044E-2</v>
          </cell>
          <cell r="BI96">
            <v>-5.0000000000000044E-2</v>
          </cell>
          <cell r="BJ96">
            <v>-5.0000000000000044E-2</v>
          </cell>
          <cell r="BK96">
            <v>-5.0000000000000044E-2</v>
          </cell>
          <cell r="BL96">
            <v>-5.0000000000000044E-2</v>
          </cell>
          <cell r="BM96">
            <v>-5.0000000000000044E-2</v>
          </cell>
          <cell r="BN96">
            <v>-5.0000000000000044E-2</v>
          </cell>
          <cell r="BO96">
            <v>0</v>
          </cell>
        </row>
        <row r="97">
          <cell r="A97" t="str">
            <v>growth CER %</v>
          </cell>
          <cell r="AZ97">
            <v>0.05</v>
          </cell>
          <cell r="BB97">
            <v>0.05</v>
          </cell>
          <cell r="BE97">
            <v>0.05</v>
          </cell>
          <cell r="BF97">
            <v>0.05</v>
          </cell>
          <cell r="BG97">
            <v>0.03</v>
          </cell>
          <cell r="BH97">
            <v>-0.05</v>
          </cell>
          <cell r="BI97">
            <v>-0.05</v>
          </cell>
          <cell r="BJ97">
            <v>-0.05</v>
          </cell>
          <cell r="BK97">
            <v>-0.05</v>
          </cell>
          <cell r="BL97">
            <v>-0.05</v>
          </cell>
          <cell r="BM97">
            <v>-0.05</v>
          </cell>
          <cell r="BN97">
            <v>-0.05</v>
          </cell>
          <cell r="BO97">
            <v>0</v>
          </cell>
        </row>
        <row r="98">
          <cell r="A98" t="str">
            <v>Diane</v>
          </cell>
          <cell r="B98">
            <v>0</v>
          </cell>
          <cell r="C98">
            <v>88</v>
          </cell>
          <cell r="D98">
            <v>45</v>
          </cell>
          <cell r="E98">
            <v>43</v>
          </cell>
          <cell r="F98">
            <v>88</v>
          </cell>
          <cell r="G98">
            <v>41</v>
          </cell>
          <cell r="H98">
            <v>129</v>
          </cell>
          <cell r="I98">
            <v>46</v>
          </cell>
          <cell r="J98">
            <v>175</v>
          </cell>
          <cell r="K98">
            <v>41</v>
          </cell>
          <cell r="L98">
            <v>41</v>
          </cell>
          <cell r="M98">
            <v>82</v>
          </cell>
          <cell r="N98">
            <v>42</v>
          </cell>
          <cell r="O98">
            <v>124</v>
          </cell>
          <cell r="P98">
            <v>40</v>
          </cell>
          <cell r="Q98">
            <v>164</v>
          </cell>
          <cell r="R98">
            <v>39</v>
          </cell>
          <cell r="S98">
            <v>39</v>
          </cell>
          <cell r="T98">
            <v>78</v>
          </cell>
          <cell r="U98">
            <v>40</v>
          </cell>
          <cell r="V98">
            <v>118</v>
          </cell>
          <cell r="W98">
            <v>35</v>
          </cell>
          <cell r="X98">
            <v>153</v>
          </cell>
          <cell r="Y98">
            <v>37</v>
          </cell>
          <cell r="Z98">
            <v>37</v>
          </cell>
          <cell r="AA98">
            <v>74</v>
          </cell>
          <cell r="AB98">
            <v>38</v>
          </cell>
          <cell r="AC98">
            <v>112</v>
          </cell>
          <cell r="AD98">
            <v>46</v>
          </cell>
          <cell r="AE98">
            <v>158</v>
          </cell>
          <cell r="AF98">
            <v>34</v>
          </cell>
          <cell r="AG98">
            <v>52</v>
          </cell>
          <cell r="AH98">
            <v>86</v>
          </cell>
          <cell r="AI98">
            <v>47</v>
          </cell>
          <cell r="AJ98">
            <v>133</v>
          </cell>
          <cell r="AK98">
            <v>49</v>
          </cell>
          <cell r="AL98">
            <v>182</v>
          </cell>
          <cell r="AM98">
            <v>45</v>
          </cell>
          <cell r="AN98">
            <v>0</v>
          </cell>
          <cell r="AO98">
            <v>48</v>
          </cell>
          <cell r="AQ98">
            <v>93</v>
          </cell>
          <cell r="AR98">
            <v>52</v>
          </cell>
          <cell r="AT98">
            <v>145</v>
          </cell>
          <cell r="AU98">
            <v>49</v>
          </cell>
          <cell r="AW98">
            <v>194</v>
          </cell>
          <cell r="AY98">
            <v>0</v>
          </cell>
          <cell r="AZ98">
            <v>41.405637710618308</v>
          </cell>
          <cell r="BA98">
            <v>41.405637710618308</v>
          </cell>
          <cell r="BB98">
            <v>44.73523282865672</v>
          </cell>
          <cell r="BC98">
            <v>86.140870539275028</v>
          </cell>
          <cell r="BD98">
            <v>83.306142320670176</v>
          </cell>
          <cell r="BE98">
            <v>169.4470128599452</v>
          </cell>
          <cell r="BF98">
            <v>160.80809373570972</v>
          </cell>
          <cell r="BG98">
            <v>147.94344623685294</v>
          </cell>
          <cell r="BH98">
            <v>140.54627392501027</v>
          </cell>
          <cell r="BI98">
            <v>133.51896022875974</v>
          </cell>
          <cell r="BJ98">
            <v>126.84301221732174</v>
          </cell>
          <cell r="BK98">
            <v>120.50086160645564</v>
          </cell>
          <cell r="BL98">
            <v>114.47581852613285</v>
          </cell>
          <cell r="BM98">
            <v>108.75202759982621</v>
          </cell>
          <cell r="BN98">
            <v>103.31442621983489</v>
          </cell>
          <cell r="BO98">
            <v>103.31442621983489</v>
          </cell>
          <cell r="BW98">
            <v>-17.453726074989731</v>
          </cell>
        </row>
        <row r="99">
          <cell r="A99" t="str">
            <v>growth %</v>
          </cell>
          <cell r="F99" t="e">
            <v>#REF!</v>
          </cell>
          <cell r="H99" t="e">
            <v>#VALUE!</v>
          </cell>
          <cell r="J99">
            <v>7.0000000000000001E-3</v>
          </cell>
          <cell r="K99">
            <v>-7.4999999999999997E-2</v>
          </cell>
          <cell r="L99">
            <v>-0.02</v>
          </cell>
          <cell r="M99">
            <v>-6.8181818181818232E-2</v>
          </cell>
          <cell r="N99">
            <v>2.4E-2</v>
          </cell>
          <cell r="O99">
            <v>-3.8759689922480578E-2</v>
          </cell>
          <cell r="P99">
            <v>-0.13043478260869568</v>
          </cell>
          <cell r="Q99">
            <v>-6.2857142857142834E-2</v>
          </cell>
          <cell r="R99">
            <v>-4.8780487804878092E-2</v>
          </cell>
          <cell r="S99">
            <v>-0.05</v>
          </cell>
          <cell r="T99">
            <v>-4.8780487804878092E-2</v>
          </cell>
          <cell r="U99">
            <v>-4.7619047619047672E-2</v>
          </cell>
          <cell r="V99">
            <v>-4.8387096774193505E-2</v>
          </cell>
          <cell r="W99">
            <v>-0.125</v>
          </cell>
          <cell r="X99">
            <v>-6.7073170731707266E-2</v>
          </cell>
          <cell r="Y99">
            <v>-5.1282051282051322E-2</v>
          </cell>
          <cell r="Z99">
            <v>-5.1282051282051322E-2</v>
          </cell>
          <cell r="AA99">
            <v>-5.1282051282051322E-2</v>
          </cell>
          <cell r="AB99">
            <v>-5.0000000000000044E-2</v>
          </cell>
          <cell r="AC99">
            <v>-5.084745762711862E-2</v>
          </cell>
          <cell r="AD99">
            <v>0.31428571428571428</v>
          </cell>
          <cell r="AE99">
            <v>3.2679738562091609E-2</v>
          </cell>
          <cell r="AF99">
            <v>-8.108108108108103E-2</v>
          </cell>
          <cell r="AG99">
            <v>-7.0000000000000007E-2</v>
          </cell>
          <cell r="AH99">
            <v>0.16216216216216206</v>
          </cell>
          <cell r="AI99">
            <v>0.23684210526315796</v>
          </cell>
          <cell r="AJ99">
            <v>0.1875</v>
          </cell>
          <cell r="AK99">
            <v>6.5217391304347894E-2</v>
          </cell>
          <cell r="AL99">
            <v>0.15189873417721511</v>
          </cell>
          <cell r="AM99">
            <v>0.32352941176470584</v>
          </cell>
          <cell r="AN99">
            <v>-1</v>
          </cell>
          <cell r="AO99">
            <v>-7.6923076923076872E-2</v>
          </cell>
          <cell r="AQ99">
            <v>8.1395348837209225E-2</v>
          </cell>
          <cell r="AR99">
            <v>0.1063829787234043</v>
          </cell>
          <cell r="AT99">
            <v>9.0225563909774431E-2</v>
          </cell>
          <cell r="AU99">
            <v>0</v>
          </cell>
          <cell r="AW99">
            <v>6.5934065934065922E-2</v>
          </cell>
          <cell r="AY99">
            <v>-1</v>
          </cell>
          <cell r="AZ99">
            <v>-0.13738254769545188</v>
          </cell>
          <cell r="BA99">
            <v>-0.55477808913313642</v>
          </cell>
          <cell r="BB99">
            <v>-0.13970706098737073</v>
          </cell>
          <cell r="BC99">
            <v>-0.40592503076362052</v>
          </cell>
          <cell r="BD99">
            <v>0.70012535348306493</v>
          </cell>
          <cell r="BE99">
            <v>-0.1265617893817258</v>
          </cell>
          <cell r="BF99">
            <v>-5.0983012202026279E-2</v>
          </cell>
          <cell r="BG99">
            <v>-8.0000000000000071E-2</v>
          </cell>
          <cell r="BH99">
            <v>-5.0000000000000155E-2</v>
          </cell>
          <cell r="BI99">
            <v>-5.0000000000000155E-2</v>
          </cell>
          <cell r="BJ99">
            <v>-5.0000000000000044E-2</v>
          </cell>
          <cell r="BK99">
            <v>-5.0000000000000044E-2</v>
          </cell>
          <cell r="BL99">
            <v>-5.0000000000000044E-2</v>
          </cell>
          <cell r="BM99">
            <v>-5.0000000000000044E-2</v>
          </cell>
          <cell r="BN99">
            <v>-5.0000000000000044E-2</v>
          </cell>
          <cell r="BO99">
            <v>0</v>
          </cell>
          <cell r="BW99">
            <v>-8.2679738562091765E-2</v>
          </cell>
        </row>
        <row r="100">
          <cell r="A100" t="str">
            <v>Diane - US</v>
          </cell>
          <cell r="F100">
            <v>0</v>
          </cell>
          <cell r="H100">
            <v>0</v>
          </cell>
          <cell r="M100">
            <v>0</v>
          </cell>
          <cell r="O100">
            <v>0</v>
          </cell>
          <cell r="T100">
            <v>0</v>
          </cell>
          <cell r="V100">
            <v>0</v>
          </cell>
          <cell r="X100">
            <v>0</v>
          </cell>
          <cell r="AA100">
            <v>0</v>
          </cell>
          <cell r="AC100">
            <v>0</v>
          </cell>
          <cell r="AD100">
            <v>0</v>
          </cell>
          <cell r="AE100">
            <v>0</v>
          </cell>
          <cell r="AH100">
            <v>0</v>
          </cell>
          <cell r="AI100">
            <v>0</v>
          </cell>
          <cell r="AJ100">
            <v>0</v>
          </cell>
          <cell r="AK100">
            <v>0</v>
          </cell>
          <cell r="AL100">
            <v>0</v>
          </cell>
          <cell r="AM100">
            <v>0</v>
          </cell>
          <cell r="AO100">
            <v>0</v>
          </cell>
          <cell r="AQ100">
            <v>0</v>
          </cell>
          <cell r="AR100">
            <v>0</v>
          </cell>
          <cell r="AT100">
            <v>0</v>
          </cell>
          <cell r="AU100">
            <v>0</v>
          </cell>
          <cell r="AW100">
            <v>0</v>
          </cell>
          <cell r="BE100">
            <v>0</v>
          </cell>
          <cell r="BF100">
            <v>0</v>
          </cell>
          <cell r="BG100">
            <v>0</v>
          </cell>
          <cell r="BH100">
            <v>0</v>
          </cell>
          <cell r="BI100">
            <v>0</v>
          </cell>
          <cell r="BJ100">
            <v>0</v>
          </cell>
          <cell r="BK100">
            <v>0</v>
          </cell>
          <cell r="BL100">
            <v>0</v>
          </cell>
          <cell r="BM100">
            <v>0</v>
          </cell>
          <cell r="BN100">
            <v>0</v>
          </cell>
          <cell r="BO100">
            <v>0</v>
          </cell>
        </row>
        <row r="101">
          <cell r="A101" t="str">
            <v>Currency adjusted growth %</v>
          </cell>
          <cell r="F101" t="e">
            <v>#REF!</v>
          </cell>
          <cell r="H101" t="e">
            <v>#VALUE!</v>
          </cell>
          <cell r="J101" t="e">
            <v>#DIV/0!</v>
          </cell>
          <cell r="K101" t="e">
            <v>#DIV/0!</v>
          </cell>
          <cell r="L101" t="e">
            <v>#DIV/0!</v>
          </cell>
          <cell r="M101" t="e">
            <v>#DIV/0!</v>
          </cell>
          <cell r="N101" t="e">
            <v>#DIV/0!</v>
          </cell>
          <cell r="O101" t="e">
            <v>#DIV/0!</v>
          </cell>
          <cell r="P101" t="e">
            <v>#DIV/0!</v>
          </cell>
          <cell r="Q101" t="e">
            <v>#DIV/0!</v>
          </cell>
          <cell r="R101" t="e">
            <v>#DIV/0!</v>
          </cell>
          <cell r="S101" t="e">
            <v>#DIV/0!</v>
          </cell>
          <cell r="T101" t="e">
            <v>#DIV/0!</v>
          </cell>
          <cell r="U101" t="e">
            <v>#DIV/0!</v>
          </cell>
          <cell r="V101" t="e">
            <v>#DIV/0!</v>
          </cell>
          <cell r="W101" t="e">
            <v>#DIV/0!</v>
          </cell>
          <cell r="X101" t="e">
            <v>#DIV/0!</v>
          </cell>
          <cell r="Y101" t="e">
            <v>#DIV/0!</v>
          </cell>
          <cell r="Z101" t="e">
            <v>#DIV/0!</v>
          </cell>
          <cell r="AA101" t="e">
            <v>#DIV/0!</v>
          </cell>
        </row>
        <row r="102">
          <cell r="A102" t="str">
            <v>Diane - ROW</v>
          </cell>
          <cell r="D102">
            <v>45</v>
          </cell>
          <cell r="E102">
            <v>43</v>
          </cell>
          <cell r="F102">
            <v>88</v>
          </cell>
          <cell r="G102">
            <v>41</v>
          </cell>
          <cell r="H102">
            <v>129</v>
          </cell>
          <cell r="I102">
            <v>46</v>
          </cell>
          <cell r="J102">
            <v>175</v>
          </cell>
          <cell r="K102">
            <v>41</v>
          </cell>
          <cell r="L102">
            <v>41</v>
          </cell>
          <cell r="M102">
            <v>82</v>
          </cell>
          <cell r="N102">
            <v>42</v>
          </cell>
          <cell r="O102">
            <v>124</v>
          </cell>
          <cell r="P102">
            <v>40</v>
          </cell>
          <cell r="Q102">
            <v>164</v>
          </cell>
          <cell r="R102">
            <v>39</v>
          </cell>
          <cell r="S102">
            <v>39</v>
          </cell>
          <cell r="T102">
            <v>78</v>
          </cell>
          <cell r="U102">
            <v>40</v>
          </cell>
          <cell r="V102">
            <v>118</v>
          </cell>
          <cell r="W102">
            <v>35</v>
          </cell>
          <cell r="X102">
            <v>153</v>
          </cell>
          <cell r="Y102">
            <v>37</v>
          </cell>
          <cell r="Z102">
            <v>37</v>
          </cell>
          <cell r="AA102">
            <v>74</v>
          </cell>
          <cell r="AB102">
            <v>38</v>
          </cell>
          <cell r="AC102">
            <v>112</v>
          </cell>
          <cell r="AD102">
            <v>46</v>
          </cell>
          <cell r="AE102">
            <v>158</v>
          </cell>
          <cell r="AF102">
            <v>34</v>
          </cell>
          <cell r="AG102">
            <v>52</v>
          </cell>
          <cell r="AH102">
            <v>86</v>
          </cell>
          <cell r="AI102">
            <v>47</v>
          </cell>
          <cell r="AJ102">
            <v>133</v>
          </cell>
          <cell r="AK102">
            <v>49</v>
          </cell>
          <cell r="AL102">
            <v>182</v>
          </cell>
          <cell r="AM102">
            <v>45</v>
          </cell>
          <cell r="AN102">
            <v>0</v>
          </cell>
          <cell r="AO102">
            <v>48</v>
          </cell>
          <cell r="AQ102">
            <v>93</v>
          </cell>
          <cell r="AR102">
            <v>52</v>
          </cell>
          <cell r="AT102">
            <v>145</v>
          </cell>
          <cell r="AU102">
            <v>49</v>
          </cell>
          <cell r="AW102">
            <v>194</v>
          </cell>
          <cell r="AY102">
            <v>0</v>
          </cell>
          <cell r="AZ102">
            <v>41.405637710618308</v>
          </cell>
          <cell r="BA102">
            <v>41.405637710618308</v>
          </cell>
          <cell r="BB102">
            <v>44.73523282865672</v>
          </cell>
          <cell r="BC102">
            <v>86.140870539275028</v>
          </cell>
          <cell r="BD102">
            <v>83.306142320670176</v>
          </cell>
          <cell r="BE102">
            <v>169.4470128599452</v>
          </cell>
          <cell r="BF102">
            <v>160.80809373570972</v>
          </cell>
          <cell r="BG102">
            <v>147.94344623685294</v>
          </cell>
          <cell r="BH102">
            <v>140.54627392501027</v>
          </cell>
          <cell r="BI102">
            <v>133.51896022875974</v>
          </cell>
          <cell r="BJ102">
            <v>126.84301221732174</v>
          </cell>
          <cell r="BK102">
            <v>120.50086160645564</v>
          </cell>
          <cell r="BL102">
            <v>114.47581852613285</v>
          </cell>
          <cell r="BM102">
            <v>108.75202759982621</v>
          </cell>
          <cell r="BN102">
            <v>103.31442621983489</v>
          </cell>
          <cell r="BO102">
            <v>103.31442621983489</v>
          </cell>
        </row>
        <row r="103">
          <cell r="A103" t="str">
            <v>growth reported %</v>
          </cell>
          <cell r="F103" t="e">
            <v>#REF!</v>
          </cell>
          <cell r="H103" t="e">
            <v>#VALUE!</v>
          </cell>
          <cell r="K103">
            <v>-8.8888888888888906E-2</v>
          </cell>
          <cell r="L103">
            <v>-4.6511627906976716E-2</v>
          </cell>
          <cell r="M103">
            <v>-6.8181818181818232E-2</v>
          </cell>
          <cell r="N103">
            <v>2.4390243902439046E-2</v>
          </cell>
          <cell r="O103">
            <v>-3.8759689922480578E-2</v>
          </cell>
          <cell r="P103">
            <v>-0.13043478260869568</v>
          </cell>
          <cell r="Q103">
            <v>-6.2857142857142834E-2</v>
          </cell>
          <cell r="R103">
            <v>-4.8780487804878092E-2</v>
          </cell>
          <cell r="S103">
            <v>-4.8780487804878092E-2</v>
          </cell>
          <cell r="T103">
            <v>-4.8780487804878092E-2</v>
          </cell>
          <cell r="U103">
            <v>-4.7619047619047672E-2</v>
          </cell>
          <cell r="V103">
            <v>-4.8387096774193505E-2</v>
          </cell>
          <cell r="W103">
            <v>-0.125</v>
          </cell>
          <cell r="X103">
            <v>-6.7073170731707266E-2</v>
          </cell>
          <cell r="Y103">
            <v>-5.1282051282051322E-2</v>
          </cell>
          <cell r="Z103">
            <v>-5.1282051282051322E-2</v>
          </cell>
          <cell r="AA103">
            <v>-5.1282051282051322E-2</v>
          </cell>
          <cell r="AB103">
            <v>-5.0000000000000044E-2</v>
          </cell>
          <cell r="AC103">
            <v>-5.084745762711862E-2</v>
          </cell>
          <cell r="AD103">
            <v>0.31428571428571428</v>
          </cell>
          <cell r="AE103">
            <v>3.2679738562091609E-2</v>
          </cell>
          <cell r="AF103">
            <v>-8.108108108108103E-2</v>
          </cell>
          <cell r="AG103">
            <v>0.40540540540540548</v>
          </cell>
          <cell r="AH103">
            <v>0.16216216216216206</v>
          </cell>
          <cell r="AI103">
            <v>0.23684210526315796</v>
          </cell>
          <cell r="AJ103">
            <v>0.1875</v>
          </cell>
          <cell r="AK103">
            <v>6.5217391304347894E-2</v>
          </cell>
          <cell r="AL103">
            <v>0.15189873417721511</v>
          </cell>
          <cell r="AM103">
            <v>0.32352941176470584</v>
          </cell>
          <cell r="AN103">
            <v>-1</v>
          </cell>
          <cell r="AO103">
            <v>-7.6923076923076872E-2</v>
          </cell>
          <cell r="AQ103">
            <v>8.1395348837209225E-2</v>
          </cell>
          <cell r="AR103">
            <v>0.1063829787234043</v>
          </cell>
          <cell r="AT103">
            <v>9.0225563909774431E-2</v>
          </cell>
          <cell r="AU103">
            <v>0</v>
          </cell>
          <cell r="AW103">
            <v>6.5934065934065922E-2</v>
          </cell>
          <cell r="AY103">
            <v>-1</v>
          </cell>
          <cell r="AZ103">
            <v>-0.137382547695452</v>
          </cell>
          <cell r="BA103">
            <v>-0.55477808913313642</v>
          </cell>
          <cell r="BB103">
            <v>-0.13970706098737073</v>
          </cell>
          <cell r="BC103">
            <v>-0.40592503076362052</v>
          </cell>
          <cell r="BD103">
            <v>0.70012535348306493</v>
          </cell>
          <cell r="BE103">
            <v>-0.12656178938172569</v>
          </cell>
          <cell r="BF103">
            <v>-5.0983012202026279E-2</v>
          </cell>
          <cell r="BG103">
            <v>-7.999999999999996E-2</v>
          </cell>
          <cell r="BH103">
            <v>-5.0000000000000044E-2</v>
          </cell>
          <cell r="BI103">
            <v>-5.0000000000000044E-2</v>
          </cell>
          <cell r="BJ103">
            <v>-5.0000000000000044E-2</v>
          </cell>
          <cell r="BK103">
            <v>-5.0000000000000044E-2</v>
          </cell>
          <cell r="BL103">
            <v>-5.0000000000000044E-2</v>
          </cell>
          <cell r="BM103">
            <v>-5.0000000000000044E-2</v>
          </cell>
          <cell r="BN103">
            <v>-5.0000000000000044E-2</v>
          </cell>
          <cell r="BO103">
            <v>0</v>
          </cell>
        </row>
        <row r="104">
          <cell r="A104" t="str">
            <v>growth CER %</v>
          </cell>
          <cell r="AZ104">
            <v>-0.08</v>
          </cell>
          <cell r="BB104">
            <v>-0.08</v>
          </cell>
          <cell r="BE104">
            <v>-0.08</v>
          </cell>
          <cell r="BF104">
            <v>-0.08</v>
          </cell>
          <cell r="BG104">
            <v>-0.08</v>
          </cell>
          <cell r="BH104">
            <v>-0.05</v>
          </cell>
          <cell r="BI104">
            <v>-0.05</v>
          </cell>
          <cell r="BJ104">
            <v>-0.05</v>
          </cell>
          <cell r="BK104">
            <v>-0.05</v>
          </cell>
          <cell r="BL104">
            <v>-0.05</v>
          </cell>
          <cell r="BM104">
            <v>-0.05</v>
          </cell>
          <cell r="BN104">
            <v>-0.05</v>
          </cell>
          <cell r="BO104">
            <v>0</v>
          </cell>
        </row>
        <row r="106">
          <cell r="A106" t="str">
            <v>Essure</v>
          </cell>
          <cell r="AF106">
            <v>19.543500957293404</v>
          </cell>
          <cell r="AG106">
            <v>23.484170217075715</v>
          </cell>
          <cell r="AI106">
            <v>23.432667500388078</v>
          </cell>
          <cell r="AK106">
            <v>24.857856858421965</v>
          </cell>
          <cell r="AL106">
            <v>91.318195533179164</v>
          </cell>
          <cell r="AN106">
            <v>29</v>
          </cell>
          <cell r="AP106">
            <v>27.66564316775511</v>
          </cell>
          <cell r="AS106">
            <v>28.375483582184991</v>
          </cell>
          <cell r="AV106">
            <v>31.365598027127003</v>
          </cell>
          <cell r="AX106">
            <v>116.40672477706711</v>
          </cell>
          <cell r="BB106">
            <v>32.744455621112586</v>
          </cell>
          <cell r="BC106">
            <v>32.744455621112586</v>
          </cell>
          <cell r="BD106">
            <v>39.477582545554178</v>
          </cell>
          <cell r="BE106">
            <v>72.222038166666763</v>
          </cell>
          <cell r="BF106">
            <v>117.46825618229038</v>
          </cell>
          <cell r="BG106">
            <v>194.9347889093342</v>
          </cell>
          <cell r="BH106">
            <v>316.95694898440991</v>
          </cell>
          <cell r="BI106">
            <v>401.1071393545941</v>
          </cell>
          <cell r="BJ106">
            <v>468.20429403534638</v>
          </cell>
          <cell r="BK106">
            <v>547.40845233323239</v>
          </cell>
          <cell r="BL106">
            <v>641.00977223977736</v>
          </cell>
          <cell r="BM106">
            <v>751.74331907162116</v>
          </cell>
          <cell r="BN106">
            <v>882.87673450822263</v>
          </cell>
          <cell r="BO106">
            <v>1038.3153081943719</v>
          </cell>
        </row>
        <row r="107">
          <cell r="A107" t="str">
            <v>growth %</v>
          </cell>
          <cell r="AP107">
            <v>0.17805495838379581</v>
          </cell>
          <cell r="AS107">
            <v>0.21093697854565874</v>
          </cell>
          <cell r="AV107">
            <v>0.26179815926086891</v>
          </cell>
          <cell r="AX107">
            <v>0.27473746165705148</v>
          </cell>
          <cell r="BB107">
            <v>0.15396995882990239</v>
          </cell>
          <cell r="BD107">
            <v>0.25862680862680842</v>
          </cell>
          <cell r="BE107">
            <v>0.20891748560858558</v>
          </cell>
          <cell r="BF107">
            <v>0.62648769218072942</v>
          </cell>
          <cell r="BG107">
            <v>0.65946780215098455</v>
          </cell>
          <cell r="BH107">
            <v>0.62596399933430669</v>
          </cell>
          <cell r="BI107">
            <v>0.2654940699038697</v>
          </cell>
          <cell r="BJ107">
            <v>0.16727988135218852</v>
          </cell>
          <cell r="BK107">
            <v>0.16916580925656066</v>
          </cell>
          <cell r="BL107">
            <v>0.17098990617990228</v>
          </cell>
          <cell r="BM107">
            <v>0.17274860950235649</v>
          </cell>
          <cell r="BN107">
            <v>0.17443908327452373</v>
          </cell>
          <cell r="BO107">
            <v>0.17605920238993633</v>
          </cell>
        </row>
        <row r="108">
          <cell r="A108" t="str">
            <v>Essure - US</v>
          </cell>
          <cell r="AF108">
            <v>13.886171732813732</v>
          </cell>
          <cell r="AG108">
            <v>17.230988798327743</v>
          </cell>
          <cell r="AI108">
            <v>18.264737809970164</v>
          </cell>
          <cell r="AK108">
            <v>20.034277404273652</v>
          </cell>
          <cell r="AL108">
            <v>69.416175745385289</v>
          </cell>
          <cell r="AN108">
            <v>16.541399234674429</v>
          </cell>
          <cell r="AP108">
            <v>20.340092582490378</v>
          </cell>
          <cell r="AS108">
            <v>23.259903443424879</v>
          </cell>
          <cell r="AV108">
            <v>24.815043156596793</v>
          </cell>
          <cell r="AX108">
            <v>84.95643841718649</v>
          </cell>
          <cell r="BB108">
            <v>26.861538461538462</v>
          </cell>
          <cell r="BC108">
            <v>26.861538461538462</v>
          </cell>
          <cell r="BD108">
            <v>31.944444444444439</v>
          </cell>
          <cell r="BE108">
            <v>58.805982905982901</v>
          </cell>
          <cell r="BF108">
            <v>75.950655035685941</v>
          </cell>
          <cell r="BG108">
            <v>91.140786042823123</v>
          </cell>
          <cell r="BH108">
            <v>109.36894325138775</v>
          </cell>
          <cell r="BI108">
            <v>131.24273190166528</v>
          </cell>
          <cell r="BJ108">
            <v>144.36700509183183</v>
          </cell>
          <cell r="BK108">
            <v>158.80370560101503</v>
          </cell>
          <cell r="BL108">
            <v>174.68407616111654</v>
          </cell>
          <cell r="BM108">
            <v>192.15248377722821</v>
          </cell>
          <cell r="BN108">
            <v>211.36773215495106</v>
          </cell>
          <cell r="BO108">
            <v>232.50450537044617</v>
          </cell>
        </row>
        <row r="109">
          <cell r="A109" t="str">
            <v>growth reported %</v>
          </cell>
          <cell r="AN109">
            <v>0.19121378828883828</v>
          </cell>
          <cell r="AP109">
            <v>0.18043675963995587</v>
          </cell>
          <cell r="AS109">
            <v>0.27348685129922901</v>
          </cell>
          <cell r="AV109">
            <v>0.23862930795314452</v>
          </cell>
          <cell r="AX109">
            <v>0.22387091344245214</v>
          </cell>
          <cell r="BB109">
            <v>0.15484307692307708</v>
          </cell>
          <cell r="BD109">
            <v>0.28730158730158717</v>
          </cell>
          <cell r="BE109">
            <v>0.22321473168222683</v>
          </cell>
          <cell r="BF109">
            <v>0.29154639175257713</v>
          </cell>
          <cell r="BG109">
            <v>0.19999999999999996</v>
          </cell>
          <cell r="BH109">
            <v>0.19999999999999996</v>
          </cell>
          <cell r="BI109">
            <v>0.19999999999999996</v>
          </cell>
          <cell r="BJ109">
            <v>0.10000000000000009</v>
          </cell>
          <cell r="BK109">
            <v>0.10000000000000009</v>
          </cell>
          <cell r="BL109">
            <v>0.10000000000000009</v>
          </cell>
          <cell r="BM109">
            <v>0.10000000000000009</v>
          </cell>
          <cell r="BN109">
            <v>0.10000000000000009</v>
          </cell>
          <cell r="BO109">
            <v>0.10000000000000009</v>
          </cell>
        </row>
        <row r="110">
          <cell r="A110" t="str">
            <v>growth CER %</v>
          </cell>
          <cell r="AX110">
            <v>0.14399999999999999</v>
          </cell>
          <cell r="BB110">
            <v>0.2</v>
          </cell>
          <cell r="BD110">
            <v>0.25</v>
          </cell>
          <cell r="BF110">
            <v>0.2</v>
          </cell>
          <cell r="BG110">
            <v>0.2</v>
          </cell>
          <cell r="BH110">
            <v>0.2</v>
          </cell>
          <cell r="BI110">
            <v>0.2</v>
          </cell>
          <cell r="BJ110">
            <v>0.1</v>
          </cell>
          <cell r="BK110">
            <v>0.1</v>
          </cell>
          <cell r="BL110">
            <v>0.1</v>
          </cell>
          <cell r="BM110">
            <v>0.1</v>
          </cell>
          <cell r="BN110">
            <v>0.1</v>
          </cell>
          <cell r="BO110">
            <v>0.1</v>
          </cell>
        </row>
        <row r="111">
          <cell r="A111" t="str">
            <v>Essure - ROW</v>
          </cell>
          <cell r="AF111">
            <v>5.6573292244796693</v>
          </cell>
          <cell r="AG111">
            <v>6.2531814187479711</v>
          </cell>
          <cell r="AI111">
            <v>5.1679296904179139</v>
          </cell>
          <cell r="AK111">
            <v>4.8235794541483132</v>
          </cell>
          <cell r="AL111">
            <v>21.902019787793865</v>
          </cell>
          <cell r="AN111">
            <v>5.5646181757199695</v>
          </cell>
          <cell r="AP111">
            <v>7.3255505852647333</v>
          </cell>
          <cell r="AS111">
            <v>5.1155801387601105</v>
          </cell>
          <cell r="AV111">
            <v>6.5505548705302088</v>
          </cell>
          <cell r="AX111">
            <v>24.556303770275026</v>
          </cell>
          <cell r="BB111">
            <v>5.8829171595741263</v>
          </cell>
          <cell r="BC111">
            <v>5.8829171595741263</v>
          </cell>
          <cell r="BD111">
            <v>7.5331381011097394</v>
          </cell>
          <cell r="BE111">
            <v>13.416055260683866</v>
          </cell>
          <cell r="BF111">
            <v>41.517601146604434</v>
          </cell>
          <cell r="BG111">
            <v>103.79400286651108</v>
          </cell>
          <cell r="BH111">
            <v>207.58800573302216</v>
          </cell>
          <cell r="BI111">
            <v>269.86440745292879</v>
          </cell>
          <cell r="BJ111">
            <v>323.83728894351452</v>
          </cell>
          <cell r="BK111">
            <v>388.60474673221739</v>
          </cell>
          <cell r="BL111">
            <v>466.32569607866083</v>
          </cell>
          <cell r="BM111">
            <v>559.59083529439295</v>
          </cell>
          <cell r="BN111">
            <v>671.50900235327151</v>
          </cell>
          <cell r="BO111">
            <v>805.81080282392577</v>
          </cell>
        </row>
        <row r="112">
          <cell r="A112" t="str">
            <v>growth reported %</v>
          </cell>
          <cell r="AP112">
            <v>0.17149177270015548</v>
          </cell>
          <cell r="AS112">
            <v>-1.0129695021754426E-2</v>
          </cell>
          <cell r="AV112">
            <v>0.35802777435265098</v>
          </cell>
          <cell r="AX112">
            <v>0.12118900485883088</v>
          </cell>
          <cell r="BB112">
            <v>0.15</v>
          </cell>
          <cell r="BD112">
            <v>0.15</v>
          </cell>
          <cell r="BE112">
            <v>0.14999999999999991</v>
          </cell>
          <cell r="BF112">
            <v>2.0946206123846967</v>
          </cell>
          <cell r="BG112">
            <v>1.5</v>
          </cell>
          <cell r="BH112">
            <v>1</v>
          </cell>
          <cell r="BI112">
            <v>0.30000000000000004</v>
          </cell>
          <cell r="BJ112">
            <v>0.19999999999999996</v>
          </cell>
          <cell r="BK112">
            <v>0.19999999999999996</v>
          </cell>
          <cell r="BL112">
            <v>0.19999999999999996</v>
          </cell>
          <cell r="BM112">
            <v>0.19999999999999996</v>
          </cell>
          <cell r="BN112">
            <v>0.19999999999999996</v>
          </cell>
          <cell r="BO112">
            <v>0.19999999999999996</v>
          </cell>
        </row>
        <row r="113">
          <cell r="A113" t="str">
            <v>growth CER %</v>
          </cell>
          <cell r="BB113">
            <v>0.15</v>
          </cell>
          <cell r="BD113">
            <v>0.15</v>
          </cell>
          <cell r="BF113">
            <v>2</v>
          </cell>
          <cell r="BG113">
            <v>1.5</v>
          </cell>
          <cell r="BH113">
            <v>1</v>
          </cell>
          <cell r="BI113">
            <v>0.3</v>
          </cell>
          <cell r="BJ113">
            <v>0.2</v>
          </cell>
          <cell r="BK113">
            <v>0.2</v>
          </cell>
          <cell r="BL113">
            <v>0.2</v>
          </cell>
          <cell r="BM113">
            <v>0.2</v>
          </cell>
          <cell r="BN113">
            <v>0.2</v>
          </cell>
          <cell r="BO113">
            <v>0.2</v>
          </cell>
        </row>
        <row r="115">
          <cell r="A115" t="str">
            <v>Other women's health</v>
          </cell>
          <cell r="B115">
            <v>0</v>
          </cell>
          <cell r="C115">
            <v>615</v>
          </cell>
          <cell r="D115">
            <v>261</v>
          </cell>
          <cell r="E115">
            <v>271</v>
          </cell>
          <cell r="F115">
            <v>532</v>
          </cell>
          <cell r="G115">
            <v>249</v>
          </cell>
          <cell r="H115">
            <v>781</v>
          </cell>
          <cell r="I115">
            <v>271</v>
          </cell>
          <cell r="J115">
            <v>1052</v>
          </cell>
          <cell r="K115">
            <v>246</v>
          </cell>
          <cell r="L115">
            <v>259</v>
          </cell>
          <cell r="M115">
            <v>505</v>
          </cell>
          <cell r="N115">
            <v>254</v>
          </cell>
          <cell r="O115">
            <v>759</v>
          </cell>
          <cell r="P115">
            <v>266</v>
          </cell>
          <cell r="Q115">
            <v>1025</v>
          </cell>
          <cell r="R115">
            <v>239</v>
          </cell>
          <cell r="S115">
            <v>264</v>
          </cell>
          <cell r="T115">
            <v>503</v>
          </cell>
          <cell r="U115">
            <v>234</v>
          </cell>
          <cell r="V115">
            <v>737</v>
          </cell>
          <cell r="W115">
            <v>288</v>
          </cell>
          <cell r="X115">
            <v>1025</v>
          </cell>
          <cell r="Y115">
            <v>243</v>
          </cell>
          <cell r="Z115">
            <v>283</v>
          </cell>
          <cell r="AA115">
            <v>526</v>
          </cell>
          <cell r="AB115">
            <v>275</v>
          </cell>
          <cell r="AC115">
            <v>801</v>
          </cell>
          <cell r="AD115">
            <v>280</v>
          </cell>
          <cell r="AE115">
            <v>1081</v>
          </cell>
          <cell r="AF115">
            <v>212</v>
          </cell>
          <cell r="AG115">
            <v>240</v>
          </cell>
          <cell r="AH115">
            <v>452</v>
          </cell>
          <cell r="AI115">
            <v>251</v>
          </cell>
          <cell r="AJ115">
            <v>703</v>
          </cell>
          <cell r="AK115">
            <v>260</v>
          </cell>
          <cell r="AL115">
            <v>963</v>
          </cell>
          <cell r="AM115">
            <v>206</v>
          </cell>
          <cell r="AO115">
            <v>253</v>
          </cell>
          <cell r="AQ115">
            <v>459</v>
          </cell>
          <cell r="AR115">
            <v>238.45</v>
          </cell>
          <cell r="AT115">
            <v>697.45</v>
          </cell>
          <cell r="AU115">
            <v>247</v>
          </cell>
          <cell r="AW115">
            <v>944.45</v>
          </cell>
          <cell r="BW115">
            <v>-1081</v>
          </cell>
        </row>
        <row r="116">
          <cell r="A116" t="str">
            <v>Growth %</v>
          </cell>
          <cell r="F116" t="e">
            <v>#REF!</v>
          </cell>
          <cell r="H116" t="e">
            <v>#VALUE!</v>
          </cell>
          <cell r="J116">
            <v>0.7105691056910568</v>
          </cell>
          <cell r="K116">
            <v>-5.7471264367816133E-2</v>
          </cell>
          <cell r="L116">
            <v>-4.4280442804428E-2</v>
          </cell>
          <cell r="M116">
            <v>-5.0751879699248104E-2</v>
          </cell>
          <cell r="N116">
            <v>2.008032128514059E-2</v>
          </cell>
          <cell r="O116">
            <v>-2.8169014084507005E-2</v>
          </cell>
          <cell r="P116">
            <v>-1.8450184501844991E-2</v>
          </cell>
          <cell r="Q116">
            <v>-2.5665399239543696E-2</v>
          </cell>
          <cell r="R116">
            <v>-2.8455284552845517E-2</v>
          </cell>
          <cell r="S116">
            <v>-0.05</v>
          </cell>
          <cell r="T116">
            <v>-3.9603960396039639E-3</v>
          </cell>
          <cell r="U116">
            <v>-7.8740157480314932E-2</v>
          </cell>
          <cell r="V116">
            <v>-2.8985507246376829E-2</v>
          </cell>
          <cell r="W116">
            <v>8.2706766917293173E-2</v>
          </cell>
          <cell r="X116">
            <v>0</v>
          </cell>
          <cell r="Y116">
            <v>1.6736401673640211E-2</v>
          </cell>
          <cell r="Z116">
            <v>7.1969696969697017E-2</v>
          </cell>
          <cell r="AA116">
            <v>4.5725646123260466E-2</v>
          </cell>
          <cell r="AB116">
            <v>0.17521367521367526</v>
          </cell>
          <cell r="AC116">
            <v>8.6838534599728678E-2</v>
          </cell>
          <cell r="AD116">
            <v>-2.777777777777779E-2</v>
          </cell>
          <cell r="AE116">
            <v>5.4634146341463463E-2</v>
          </cell>
          <cell r="AF116">
            <v>-0.12757201646090532</v>
          </cell>
          <cell r="AG116">
            <v>-0.15194346289752647</v>
          </cell>
          <cell r="AH116">
            <v>-0.14068441064638781</v>
          </cell>
          <cell r="AI116">
            <v>-8.727272727272728E-2</v>
          </cell>
          <cell r="AJ116">
            <v>-0.12234706616729085</v>
          </cell>
          <cell r="AK116">
            <v>-7.1428571428571397E-2</v>
          </cell>
          <cell r="AL116">
            <v>-0.10915818686401479</v>
          </cell>
          <cell r="AM116">
            <v>-2.8301886792452824E-2</v>
          </cell>
          <cell r="AO116">
            <v>5.4166666666666696E-2</v>
          </cell>
          <cell r="AQ116">
            <v>1.5486725663716783E-2</v>
          </cell>
          <cell r="AR116">
            <v>-0.05</v>
          </cell>
          <cell r="AT116">
            <v>-7.8947368421051767E-3</v>
          </cell>
          <cell r="AU116">
            <v>-0.05</v>
          </cell>
          <cell r="AW116">
            <v>-1.9262720664589783E-2</v>
          </cell>
          <cell r="BW116">
            <v>-5.4634146341463463E-2</v>
          </cell>
        </row>
        <row r="117">
          <cell r="A117" t="str">
            <v>Women's Health</v>
          </cell>
          <cell r="B117">
            <v>0</v>
          </cell>
          <cell r="C117">
            <v>1320</v>
          </cell>
          <cell r="D117">
            <v>627</v>
          </cell>
          <cell r="E117">
            <v>652</v>
          </cell>
          <cell r="F117">
            <v>1279</v>
          </cell>
          <cell r="G117">
            <v>664</v>
          </cell>
          <cell r="H117">
            <v>1943</v>
          </cell>
          <cell r="I117">
            <v>687</v>
          </cell>
          <cell r="J117">
            <v>2630</v>
          </cell>
          <cell r="K117">
            <v>696</v>
          </cell>
          <cell r="L117">
            <v>723</v>
          </cell>
          <cell r="M117">
            <v>1419</v>
          </cell>
          <cell r="N117">
            <v>709</v>
          </cell>
          <cell r="O117">
            <v>2128</v>
          </cell>
          <cell r="P117">
            <v>745</v>
          </cell>
          <cell r="Q117">
            <v>2873</v>
          </cell>
          <cell r="R117">
            <v>722</v>
          </cell>
          <cell r="S117">
            <v>765</v>
          </cell>
          <cell r="T117">
            <v>1487</v>
          </cell>
          <cell r="U117">
            <v>699</v>
          </cell>
          <cell r="V117">
            <v>2186</v>
          </cell>
          <cell r="W117">
            <v>760</v>
          </cell>
          <cell r="X117">
            <v>2946</v>
          </cell>
          <cell r="Y117">
            <v>710</v>
          </cell>
          <cell r="Z117">
            <v>732</v>
          </cell>
          <cell r="AA117">
            <v>1442</v>
          </cell>
          <cell r="AB117">
            <v>694</v>
          </cell>
          <cell r="AC117">
            <v>2136</v>
          </cell>
          <cell r="AD117">
            <v>753</v>
          </cell>
          <cell r="AE117">
            <v>2889</v>
          </cell>
          <cell r="AF117">
            <v>631</v>
          </cell>
          <cell r="AG117">
            <v>699</v>
          </cell>
          <cell r="AH117">
            <v>1330</v>
          </cell>
          <cell r="AI117">
            <v>710</v>
          </cell>
          <cell r="AJ117">
            <v>2040</v>
          </cell>
          <cell r="AK117">
            <v>756</v>
          </cell>
          <cell r="AL117">
            <v>2796</v>
          </cell>
          <cell r="AM117">
            <v>655</v>
          </cell>
          <cell r="AO117">
            <v>754</v>
          </cell>
          <cell r="AQ117">
            <v>1409</v>
          </cell>
          <cell r="AR117">
            <v>750.45</v>
          </cell>
          <cell r="AT117">
            <v>2159.4499999999998</v>
          </cell>
          <cell r="AU117">
            <v>701</v>
          </cell>
          <cell r="AW117">
            <v>2860.45</v>
          </cell>
          <cell r="BR117">
            <v>-0.20720618463721624</v>
          </cell>
          <cell r="BS117">
            <v>0</v>
          </cell>
          <cell r="BW117">
            <v>-2889</v>
          </cell>
        </row>
        <row r="118">
          <cell r="A118" t="str">
            <v>Growth %</v>
          </cell>
          <cell r="F118" t="e">
            <v>#REF!</v>
          </cell>
          <cell r="H118" t="e">
            <v>#VALUE!</v>
          </cell>
          <cell r="J118">
            <v>0.99242424242424243</v>
          </cell>
          <cell r="K118">
            <v>0.11004784688995217</v>
          </cell>
          <cell r="L118">
            <v>0.10889570552147232</v>
          </cell>
          <cell r="M118">
            <v>0.10946051602814699</v>
          </cell>
          <cell r="N118">
            <v>6.7771084337349352E-2</v>
          </cell>
          <cell r="O118">
            <v>9.5213587236232522E-2</v>
          </cell>
          <cell r="P118">
            <v>8.4425036390101793E-2</v>
          </cell>
          <cell r="Q118">
            <v>9.2395437262357438E-2</v>
          </cell>
          <cell r="R118">
            <v>3.7356321839080442E-2</v>
          </cell>
          <cell r="S118">
            <v>5.8091286307053958E-2</v>
          </cell>
          <cell r="T118">
            <v>4.7921071176885155E-2</v>
          </cell>
          <cell r="U118">
            <v>-1.4104372355430161E-2</v>
          </cell>
          <cell r="V118">
            <v>2.7255639097744311E-2</v>
          </cell>
          <cell r="W118">
            <v>2.0134228187919545E-2</v>
          </cell>
          <cell r="X118">
            <v>2.5408980160111394E-2</v>
          </cell>
          <cell r="Y118">
            <v>-1.6620498614958401E-2</v>
          </cell>
          <cell r="Z118">
            <v>-4.3137254901960742E-2</v>
          </cell>
          <cell r="AA118">
            <v>-3.0262273032952258E-2</v>
          </cell>
          <cell r="AB118">
            <v>-7.1530758226037161E-3</v>
          </cell>
          <cell r="AC118">
            <v>-2.2872827081427238E-2</v>
          </cell>
          <cell r="AD118">
            <v>-9.2105263157894468E-3</v>
          </cell>
          <cell r="AE118">
            <v>-1.9348268839103899E-2</v>
          </cell>
          <cell r="AF118">
            <v>-0.11126760563380278</v>
          </cell>
          <cell r="AG118">
            <v>-4.5081967213114749E-2</v>
          </cell>
          <cell r="AH118">
            <v>-7.7669902912621325E-2</v>
          </cell>
          <cell r="AI118">
            <v>2.3054755043227626E-2</v>
          </cell>
          <cell r="AJ118">
            <v>-4.49438202247191E-2</v>
          </cell>
          <cell r="AK118">
            <v>3.9840637450199168E-3</v>
          </cell>
          <cell r="AL118">
            <v>-3.2191069574247111E-2</v>
          </cell>
          <cell r="AM118">
            <v>3.8034865293185449E-2</v>
          </cell>
          <cell r="AO118">
            <v>7.8683834048640877E-2</v>
          </cell>
          <cell r="AQ118">
            <v>5.9398496240601562E-2</v>
          </cell>
          <cell r="AR118">
            <v>5.6971830985915517E-2</v>
          </cell>
          <cell r="AT118">
            <v>5.8553921568627265E-2</v>
          </cell>
          <cell r="AU118">
            <v>-7.2751322751322789E-2</v>
          </cell>
          <cell r="AW118">
            <v>2.3050786838340498E-2</v>
          </cell>
          <cell r="BW118">
            <v>1.9348268839103899E-2</v>
          </cell>
        </row>
        <row r="119">
          <cell r="BW119">
            <v>0</v>
          </cell>
        </row>
        <row r="120">
          <cell r="A120" t="str">
            <v>Ultravist</v>
          </cell>
          <cell r="B120">
            <v>0</v>
          </cell>
          <cell r="C120">
            <v>86</v>
          </cell>
          <cell r="D120">
            <v>55</v>
          </cell>
          <cell r="E120">
            <v>64</v>
          </cell>
          <cell r="F120">
            <v>119</v>
          </cell>
          <cell r="G120">
            <v>59</v>
          </cell>
          <cell r="H120">
            <v>178</v>
          </cell>
          <cell r="I120">
            <v>57</v>
          </cell>
          <cell r="J120">
            <v>235</v>
          </cell>
          <cell r="K120">
            <v>68</v>
          </cell>
          <cell r="L120">
            <v>65</v>
          </cell>
          <cell r="M120">
            <v>133</v>
          </cell>
          <cell r="N120">
            <v>61</v>
          </cell>
          <cell r="O120">
            <v>194</v>
          </cell>
          <cell r="P120">
            <v>67</v>
          </cell>
          <cell r="Q120">
            <v>261</v>
          </cell>
          <cell r="R120">
            <v>62</v>
          </cell>
          <cell r="S120">
            <v>66</v>
          </cell>
          <cell r="T120">
            <v>128</v>
          </cell>
          <cell r="U120">
            <v>62</v>
          </cell>
          <cell r="V120">
            <v>190</v>
          </cell>
          <cell r="W120">
            <v>72</v>
          </cell>
          <cell r="X120">
            <v>262</v>
          </cell>
          <cell r="Y120">
            <v>68</v>
          </cell>
          <cell r="Z120">
            <v>82</v>
          </cell>
          <cell r="AA120">
            <v>150</v>
          </cell>
          <cell r="AB120">
            <v>81</v>
          </cell>
          <cell r="AC120">
            <v>231</v>
          </cell>
          <cell r="AD120">
            <v>82</v>
          </cell>
          <cell r="AE120">
            <v>313</v>
          </cell>
          <cell r="AF120">
            <v>75</v>
          </cell>
          <cell r="AG120">
            <v>82</v>
          </cell>
          <cell r="AH120">
            <v>157</v>
          </cell>
          <cell r="AI120">
            <v>76</v>
          </cell>
          <cell r="AJ120">
            <v>233</v>
          </cell>
          <cell r="AK120">
            <v>84.960000000000008</v>
          </cell>
          <cell r="AL120">
            <v>317.96000000000004</v>
          </cell>
          <cell r="BW120">
            <v>-313</v>
          </cell>
          <cell r="CA120" t="str">
            <v>mstag:ultravist</v>
          </cell>
          <cell r="CB120">
            <v>6</v>
          </cell>
          <cell r="CC120" t="str">
            <v>ISO4217:EUR</v>
          </cell>
          <cell r="CD120" t="b">
            <v>0</v>
          </cell>
        </row>
        <row r="121">
          <cell r="A121" t="str">
            <v>Currency adjusted growth %</v>
          </cell>
          <cell r="F121" t="e">
            <v>#REF!</v>
          </cell>
          <cell r="H121" t="e">
            <v>#VALUE!</v>
          </cell>
          <cell r="J121">
            <v>8.5000000000000006E-2</v>
          </cell>
          <cell r="K121">
            <v>0.28399999999999997</v>
          </cell>
          <cell r="L121">
            <v>8.8999999999999996E-2</v>
          </cell>
          <cell r="M121">
            <v>0.11764705882352944</v>
          </cell>
          <cell r="N121">
            <v>0.10100000000000001</v>
          </cell>
          <cell r="O121">
            <v>8.98876404494382E-2</v>
          </cell>
          <cell r="P121">
            <v>0.17543859649122817</v>
          </cell>
          <cell r="Q121">
            <v>0.11063829787234036</v>
          </cell>
          <cell r="R121">
            <v>-6.2E-2</v>
          </cell>
          <cell r="S121">
            <v>1.7999999999999999E-2</v>
          </cell>
          <cell r="T121">
            <v>-3.7593984962406068E-2</v>
          </cell>
          <cell r="U121">
            <v>1.6393442622950838E-2</v>
          </cell>
          <cell r="V121">
            <v>-2.0618556701030966E-2</v>
          </cell>
          <cell r="W121">
            <v>7.4626865671641784E-2</v>
          </cell>
          <cell r="X121">
            <v>3.8314176245211051E-3</v>
          </cell>
          <cell r="Y121">
            <v>9.6774193548387011E-2</v>
          </cell>
          <cell r="Z121">
            <v>0.24242424242424243</v>
          </cell>
          <cell r="AA121">
            <v>0.171875</v>
          </cell>
          <cell r="AB121">
            <v>0.30645161290322576</v>
          </cell>
          <cell r="AC121">
            <v>0.21578947368421053</v>
          </cell>
          <cell r="AD121">
            <v>0.13888888888888884</v>
          </cell>
          <cell r="AE121">
            <v>0.19465648854961826</v>
          </cell>
          <cell r="AF121">
            <v>0.10294117647058831</v>
          </cell>
          <cell r="AG121">
            <v>0</v>
          </cell>
          <cell r="AH121">
            <v>4.6666666666666634E-2</v>
          </cell>
          <cell r="AI121">
            <v>-6.1728395061728447E-2</v>
          </cell>
          <cell r="AJ121">
            <v>8.6580086580085869E-3</v>
          </cell>
          <cell r="AK121">
            <v>3.6097560975609788E-2</v>
          </cell>
          <cell r="AL121">
            <v>1.5846645367412204E-2</v>
          </cell>
          <cell r="BW121">
            <v>-0.19465648854961826</v>
          </cell>
        </row>
        <row r="122">
          <cell r="A122" t="str">
            <v>Ultravist</v>
          </cell>
          <cell r="D122">
            <v>4</v>
          </cell>
          <cell r="E122">
            <v>3</v>
          </cell>
          <cell r="F122">
            <v>7</v>
          </cell>
          <cell r="G122">
            <v>7</v>
          </cell>
          <cell r="H122">
            <v>14</v>
          </cell>
          <cell r="I122">
            <v>5</v>
          </cell>
          <cell r="J122">
            <v>19</v>
          </cell>
          <cell r="K122">
            <v>4</v>
          </cell>
          <cell r="L122">
            <v>4</v>
          </cell>
          <cell r="M122">
            <v>8</v>
          </cell>
          <cell r="N122">
            <v>4</v>
          </cell>
          <cell r="O122">
            <v>12</v>
          </cell>
          <cell r="P122">
            <v>3</v>
          </cell>
          <cell r="Q122">
            <v>15</v>
          </cell>
          <cell r="R122">
            <v>3</v>
          </cell>
          <cell r="S122">
            <v>4</v>
          </cell>
          <cell r="T122">
            <v>7</v>
          </cell>
          <cell r="U122">
            <v>4</v>
          </cell>
          <cell r="V122">
            <v>11</v>
          </cell>
          <cell r="W122">
            <v>3</v>
          </cell>
          <cell r="X122">
            <v>14</v>
          </cell>
          <cell r="Y122">
            <v>3</v>
          </cell>
          <cell r="Z122">
            <v>4</v>
          </cell>
          <cell r="AA122">
            <v>7</v>
          </cell>
          <cell r="AB122">
            <v>3</v>
          </cell>
          <cell r="AC122">
            <v>10</v>
          </cell>
          <cell r="AD122">
            <v>3</v>
          </cell>
          <cell r="AE122">
            <v>13</v>
          </cell>
          <cell r="AF122">
            <v>3</v>
          </cell>
          <cell r="AG122">
            <v>2</v>
          </cell>
          <cell r="AH122">
            <v>5</v>
          </cell>
          <cell r="AI122">
            <v>2</v>
          </cell>
          <cell r="AJ122">
            <v>7</v>
          </cell>
          <cell r="AK122">
            <v>2.0099999999999998</v>
          </cell>
          <cell r="AL122">
            <v>9.01</v>
          </cell>
        </row>
        <row r="123">
          <cell r="A123" t="str">
            <v>Currency adjusted growth %</v>
          </cell>
          <cell r="F123" t="e">
            <v>#REF!</v>
          </cell>
          <cell r="H123" t="e">
            <v>#VALUE!</v>
          </cell>
          <cell r="J123" t="e">
            <v>#DIV/0!</v>
          </cell>
          <cell r="K123">
            <v>0</v>
          </cell>
          <cell r="L123">
            <v>0.33333333333333326</v>
          </cell>
          <cell r="M123">
            <v>0.14285714285714279</v>
          </cell>
          <cell r="N123">
            <v>-0.4285714285714286</v>
          </cell>
          <cell r="O123">
            <v>-0.1428571428571429</v>
          </cell>
          <cell r="P123">
            <v>-0.4</v>
          </cell>
          <cell r="Q123">
            <v>-0.21052631578947367</v>
          </cell>
          <cell r="R123">
            <v>-0.25</v>
          </cell>
          <cell r="S123">
            <v>0</v>
          </cell>
          <cell r="T123">
            <v>-0.125</v>
          </cell>
          <cell r="U123">
            <v>0</v>
          </cell>
          <cell r="V123">
            <v>-8.333333333333337E-2</v>
          </cell>
          <cell r="W123">
            <v>0</v>
          </cell>
          <cell r="X123">
            <v>-6.6666666666666652E-2</v>
          </cell>
          <cell r="Y123">
            <v>0</v>
          </cell>
          <cell r="Z123">
            <v>0</v>
          </cell>
          <cell r="AA123">
            <v>0</v>
          </cell>
          <cell r="AB123">
            <v>-0.25</v>
          </cell>
          <cell r="AC123">
            <v>-9.0909090909090939E-2</v>
          </cell>
          <cell r="AD123">
            <v>0</v>
          </cell>
          <cell r="AE123">
            <v>-7.1428571428571397E-2</v>
          </cell>
          <cell r="AF123">
            <v>0</v>
          </cell>
          <cell r="AG123">
            <v>-0.5</v>
          </cell>
          <cell r="AH123">
            <v>-0.2857142857142857</v>
          </cell>
          <cell r="AI123">
            <v>-0.33333333333333337</v>
          </cell>
          <cell r="AJ123">
            <v>-0.30000000000000004</v>
          </cell>
          <cell r="AK123">
            <v>-0.33</v>
          </cell>
          <cell r="AL123">
            <v>-0.30692307692307697</v>
          </cell>
        </row>
        <row r="124">
          <cell r="A124" t="str">
            <v>Ultravist</v>
          </cell>
          <cell r="D124">
            <v>51</v>
          </cell>
          <cell r="E124">
            <v>61</v>
          </cell>
          <cell r="F124">
            <v>112</v>
          </cell>
          <cell r="G124">
            <v>52</v>
          </cell>
          <cell r="H124">
            <v>164</v>
          </cell>
          <cell r="I124">
            <v>52</v>
          </cell>
          <cell r="J124">
            <v>216</v>
          </cell>
          <cell r="K124">
            <v>64</v>
          </cell>
          <cell r="L124">
            <v>61</v>
          </cell>
          <cell r="M124">
            <v>125</v>
          </cell>
          <cell r="N124">
            <v>57</v>
          </cell>
          <cell r="O124">
            <v>182</v>
          </cell>
          <cell r="P124">
            <v>64</v>
          </cell>
          <cell r="Q124">
            <v>246</v>
          </cell>
          <cell r="R124">
            <v>59</v>
          </cell>
          <cell r="S124">
            <v>62</v>
          </cell>
          <cell r="T124">
            <v>121</v>
          </cell>
          <cell r="U124">
            <v>58</v>
          </cell>
          <cell r="V124">
            <v>179</v>
          </cell>
          <cell r="W124">
            <v>69</v>
          </cell>
          <cell r="X124">
            <v>248</v>
          </cell>
          <cell r="Y124">
            <v>65</v>
          </cell>
          <cell r="Z124">
            <v>78</v>
          </cell>
          <cell r="AA124">
            <v>143</v>
          </cell>
          <cell r="AB124">
            <v>78</v>
          </cell>
          <cell r="AC124">
            <v>221</v>
          </cell>
          <cell r="AD124">
            <v>79</v>
          </cell>
          <cell r="AE124">
            <v>300</v>
          </cell>
          <cell r="AF124">
            <v>72</v>
          </cell>
          <cell r="AG124">
            <v>80</v>
          </cell>
          <cell r="AH124">
            <v>152</v>
          </cell>
          <cell r="AI124">
            <v>74</v>
          </cell>
          <cell r="AJ124">
            <v>226</v>
          </cell>
          <cell r="AK124">
            <v>82.95</v>
          </cell>
          <cell r="AL124">
            <v>308.95000000000005</v>
          </cell>
        </row>
        <row r="125">
          <cell r="A125" t="str">
            <v>Currency adjusted growth %</v>
          </cell>
          <cell r="F125" t="e">
            <v>#REF!</v>
          </cell>
          <cell r="H125" t="e">
            <v>#VALUE!</v>
          </cell>
          <cell r="K125">
            <v>0.25490196078431371</v>
          </cell>
          <cell r="L125">
            <v>0</v>
          </cell>
          <cell r="M125">
            <v>0.1160714285714286</v>
          </cell>
          <cell r="N125">
            <v>9.6153846153846256E-2</v>
          </cell>
          <cell r="O125">
            <v>0.10975609756097571</v>
          </cell>
          <cell r="P125">
            <v>0.23076923076923084</v>
          </cell>
          <cell r="Q125">
            <v>0.13888888888888884</v>
          </cell>
          <cell r="R125">
            <v>-7.8125E-2</v>
          </cell>
          <cell r="S125">
            <v>1.6393442622950838E-2</v>
          </cell>
          <cell r="T125">
            <v>-3.2000000000000028E-2</v>
          </cell>
          <cell r="U125">
            <v>1.7543859649122862E-2</v>
          </cell>
          <cell r="V125">
            <v>-1.6483516483516536E-2</v>
          </cell>
          <cell r="W125">
            <v>7.8125E-2</v>
          </cell>
          <cell r="X125">
            <v>8.1300813008129413E-3</v>
          </cell>
          <cell r="Y125">
            <v>0.10169491525423724</v>
          </cell>
          <cell r="Z125">
            <v>0.25806451612903225</v>
          </cell>
          <cell r="AA125">
            <v>0.18181818181818188</v>
          </cell>
          <cell r="AB125">
            <v>0.34482758620689657</v>
          </cell>
          <cell r="AC125">
            <v>0.23463687150837997</v>
          </cell>
          <cell r="AD125">
            <v>0.14492753623188404</v>
          </cell>
          <cell r="AE125">
            <v>0.20967741935483875</v>
          </cell>
          <cell r="AF125">
            <v>0.10769230769230775</v>
          </cell>
          <cell r="AG125">
            <v>2.564102564102555E-2</v>
          </cell>
          <cell r="AH125">
            <v>6.2937062937062915E-2</v>
          </cell>
          <cell r="AI125">
            <v>-5.1282051282051322E-2</v>
          </cell>
          <cell r="AJ125">
            <v>2.2624434389140191E-2</v>
          </cell>
          <cell r="AK125">
            <v>0.05</v>
          </cell>
          <cell r="AL125">
            <v>2.9833333333333378E-2</v>
          </cell>
        </row>
        <row r="126">
          <cell r="A126" t="str">
            <v>Magnevist</v>
          </cell>
          <cell r="B126">
            <v>0</v>
          </cell>
          <cell r="C126">
            <v>171</v>
          </cell>
          <cell r="D126">
            <v>80</v>
          </cell>
          <cell r="E126">
            <v>74</v>
          </cell>
          <cell r="F126">
            <v>154</v>
          </cell>
          <cell r="G126">
            <v>77</v>
          </cell>
          <cell r="H126">
            <v>231</v>
          </cell>
          <cell r="I126">
            <v>70</v>
          </cell>
          <cell r="J126">
            <v>301</v>
          </cell>
          <cell r="K126">
            <v>60</v>
          </cell>
          <cell r="L126">
            <v>59</v>
          </cell>
          <cell r="M126">
            <v>119</v>
          </cell>
          <cell r="N126">
            <v>61</v>
          </cell>
          <cell r="O126">
            <v>180</v>
          </cell>
          <cell r="P126">
            <v>61</v>
          </cell>
          <cell r="Q126">
            <v>241</v>
          </cell>
          <cell r="R126">
            <v>56</v>
          </cell>
          <cell r="S126">
            <v>60</v>
          </cell>
          <cell r="T126">
            <v>116</v>
          </cell>
          <cell r="U126">
            <v>61</v>
          </cell>
          <cell r="V126">
            <v>177</v>
          </cell>
          <cell r="W126">
            <v>42</v>
          </cell>
          <cell r="X126">
            <v>219</v>
          </cell>
          <cell r="Y126">
            <v>51</v>
          </cell>
          <cell r="Z126">
            <v>58</v>
          </cell>
          <cell r="AA126">
            <v>109</v>
          </cell>
          <cell r="AB126">
            <v>55</v>
          </cell>
          <cell r="AC126">
            <v>164</v>
          </cell>
          <cell r="AD126">
            <v>51</v>
          </cell>
          <cell r="AE126">
            <v>215</v>
          </cell>
          <cell r="AF126">
            <v>45</v>
          </cell>
          <cell r="AG126">
            <v>46</v>
          </cell>
          <cell r="AH126">
            <v>91</v>
          </cell>
          <cell r="AI126">
            <v>48</v>
          </cell>
          <cell r="AJ126">
            <v>139</v>
          </cell>
          <cell r="AK126">
            <v>42.05</v>
          </cell>
          <cell r="AL126">
            <v>181.05</v>
          </cell>
          <cell r="BT126">
            <v>2007</v>
          </cell>
          <cell r="BU126">
            <v>2011</v>
          </cell>
          <cell r="BV126">
            <v>0</v>
          </cell>
          <cell r="BW126">
            <v>-215</v>
          </cell>
        </row>
        <row r="127">
          <cell r="A127" t="str">
            <v>Currency adjusted growth %</v>
          </cell>
          <cell r="F127" t="e">
            <v>#REF!</v>
          </cell>
          <cell r="G127">
            <v>0.02</v>
          </cell>
          <cell r="H127" t="e">
            <v>#VALUE!</v>
          </cell>
          <cell r="K127">
            <v>-0.20200000000000001</v>
          </cell>
          <cell r="L127">
            <v>-0.13100000000000001</v>
          </cell>
          <cell r="M127">
            <v>-0.22727272727272729</v>
          </cell>
          <cell r="N127">
            <v>-0.16300000000000001</v>
          </cell>
          <cell r="O127">
            <v>-0.22077922077922074</v>
          </cell>
          <cell r="P127">
            <v>-0.12857142857142856</v>
          </cell>
          <cell r="Q127">
            <v>-0.19933554817275745</v>
          </cell>
          <cell r="R127">
            <v>-0.14899999999999999</v>
          </cell>
          <cell r="S127">
            <v>-8.5999999999999993E-2</v>
          </cell>
          <cell r="T127">
            <v>-2.5210084033613467E-2</v>
          </cell>
          <cell r="U127">
            <v>0</v>
          </cell>
          <cell r="V127">
            <v>-1.6666666666666718E-2</v>
          </cell>
          <cell r="W127">
            <v>-0.31147540983606559</v>
          </cell>
          <cell r="X127">
            <v>-9.1286307053941917E-2</v>
          </cell>
          <cell r="Y127">
            <v>-8.9285714285714302E-2</v>
          </cell>
          <cell r="Z127">
            <v>-3.3333333333333326E-2</v>
          </cell>
          <cell r="AA127">
            <v>-6.0344827586206851E-2</v>
          </cell>
          <cell r="AB127">
            <v>-9.8360655737704916E-2</v>
          </cell>
          <cell r="AC127">
            <v>-7.3446327683615809E-2</v>
          </cell>
          <cell r="AD127">
            <v>0.21428571428571419</v>
          </cell>
          <cell r="AE127">
            <v>-1.8264840182648401E-2</v>
          </cell>
          <cell r="AF127">
            <v>-0.11764705882352944</v>
          </cell>
          <cell r="AG127">
            <v>-0.2068965517241379</v>
          </cell>
          <cell r="AH127">
            <v>-0.16513761467889909</v>
          </cell>
          <cell r="AI127">
            <v>-0.12727272727272732</v>
          </cell>
          <cell r="AJ127">
            <v>-0.15243902439024393</v>
          </cell>
          <cell r="AK127">
            <v>-0.17549019607843142</v>
          </cell>
          <cell r="AL127">
            <v>-0.15790697674418597</v>
          </cell>
          <cell r="BW127">
            <v>1.8264840182648401E-2</v>
          </cell>
        </row>
        <row r="128">
          <cell r="A128" t="str">
            <v>Magnevist</v>
          </cell>
          <cell r="D128">
            <v>36</v>
          </cell>
          <cell r="E128">
            <v>31</v>
          </cell>
          <cell r="F128">
            <v>67</v>
          </cell>
          <cell r="G128">
            <v>36</v>
          </cell>
          <cell r="H128">
            <v>103</v>
          </cell>
          <cell r="I128">
            <v>33</v>
          </cell>
          <cell r="J128">
            <v>136</v>
          </cell>
          <cell r="K128">
            <v>25</v>
          </cell>
          <cell r="L128">
            <v>27</v>
          </cell>
          <cell r="M128">
            <v>52</v>
          </cell>
          <cell r="N128">
            <v>28</v>
          </cell>
          <cell r="O128">
            <v>80</v>
          </cell>
          <cell r="P128">
            <v>26</v>
          </cell>
          <cell r="Q128">
            <v>106</v>
          </cell>
          <cell r="R128">
            <v>28</v>
          </cell>
          <cell r="S128">
            <v>31</v>
          </cell>
          <cell r="T128">
            <v>59</v>
          </cell>
          <cell r="U128">
            <v>27</v>
          </cell>
          <cell r="V128">
            <v>86</v>
          </cell>
          <cell r="W128">
            <v>20</v>
          </cell>
          <cell r="X128">
            <v>106</v>
          </cell>
          <cell r="Y128">
            <v>27</v>
          </cell>
          <cell r="Z128">
            <v>31</v>
          </cell>
          <cell r="AA128">
            <v>58</v>
          </cell>
          <cell r="AB128">
            <v>30</v>
          </cell>
          <cell r="AC128">
            <v>88</v>
          </cell>
          <cell r="AD128">
            <v>26</v>
          </cell>
          <cell r="AE128">
            <v>114</v>
          </cell>
          <cell r="AF128">
            <v>24</v>
          </cell>
          <cell r="AG128">
            <v>23</v>
          </cell>
          <cell r="AH128">
            <v>47</v>
          </cell>
          <cell r="AI128">
            <v>25</v>
          </cell>
          <cell r="AJ128">
            <v>72</v>
          </cell>
          <cell r="AK128">
            <v>20.8</v>
          </cell>
          <cell r="AL128">
            <v>92.8</v>
          </cell>
        </row>
        <row r="129">
          <cell r="A129" t="str">
            <v>Currency adjusted growth %</v>
          </cell>
          <cell r="F129" t="e">
            <v>#REF!</v>
          </cell>
          <cell r="H129" t="e">
            <v>#VALUE!</v>
          </cell>
          <cell r="J129" t="e">
            <v>#DIV/0!</v>
          </cell>
          <cell r="K129">
            <v>-0.30555555555555558</v>
          </cell>
          <cell r="L129">
            <v>-0.12903225806451613</v>
          </cell>
          <cell r="M129">
            <v>-0.22388059701492535</v>
          </cell>
          <cell r="N129">
            <v>-0.22222222222222221</v>
          </cell>
          <cell r="O129">
            <v>-0.22330097087378642</v>
          </cell>
          <cell r="P129">
            <v>-0.21212121212121215</v>
          </cell>
          <cell r="Q129">
            <v>-0.22058823529411764</v>
          </cell>
          <cell r="R129">
            <v>0.12000000000000011</v>
          </cell>
          <cell r="S129">
            <v>0.14814814814814814</v>
          </cell>
          <cell r="T129">
            <v>0.13461538461538458</v>
          </cell>
          <cell r="U129">
            <v>-3.5714285714285698E-2</v>
          </cell>
          <cell r="V129">
            <v>7.4999999999999956E-2</v>
          </cell>
          <cell r="W129">
            <v>-0.23076923076923073</v>
          </cell>
          <cell r="X129">
            <v>0</v>
          </cell>
          <cell r="Y129">
            <v>-3.5714285714285698E-2</v>
          </cell>
          <cell r="Z129">
            <v>0</v>
          </cell>
          <cell r="AA129">
            <v>-1.6949152542372836E-2</v>
          </cell>
          <cell r="AB129">
            <v>0.11111111111111116</v>
          </cell>
          <cell r="AC129">
            <v>2.3255813953488413E-2</v>
          </cell>
          <cell r="AD129">
            <v>0.30000000000000004</v>
          </cell>
          <cell r="AE129">
            <v>7.547169811320753E-2</v>
          </cell>
          <cell r="AF129">
            <v>-0.11111111111111116</v>
          </cell>
          <cell r="AG129">
            <v>-0.25806451612903225</v>
          </cell>
          <cell r="AH129">
            <v>-0.18965517241379315</v>
          </cell>
          <cell r="AI129">
            <v>-0.16666666666666663</v>
          </cell>
          <cell r="AJ129">
            <v>-0.18181818181818177</v>
          </cell>
          <cell r="AK129">
            <v>-0.2</v>
          </cell>
          <cell r="AL129">
            <v>-0.18596491228070178</v>
          </cell>
        </row>
        <row r="130">
          <cell r="A130" t="str">
            <v>Magnevist</v>
          </cell>
          <cell r="D130">
            <v>44</v>
          </cell>
          <cell r="E130">
            <v>43</v>
          </cell>
          <cell r="F130">
            <v>87</v>
          </cell>
          <cell r="G130">
            <v>41</v>
          </cell>
          <cell r="H130">
            <v>128</v>
          </cell>
          <cell r="I130">
            <v>37</v>
          </cell>
          <cell r="J130">
            <v>165</v>
          </cell>
          <cell r="K130">
            <v>35</v>
          </cell>
          <cell r="L130">
            <v>32</v>
          </cell>
          <cell r="M130">
            <v>67</v>
          </cell>
          <cell r="N130">
            <v>33</v>
          </cell>
          <cell r="O130">
            <v>100</v>
          </cell>
          <cell r="P130">
            <v>35</v>
          </cell>
          <cell r="Q130">
            <v>135</v>
          </cell>
          <cell r="R130">
            <v>28</v>
          </cell>
          <cell r="S130">
            <v>29</v>
          </cell>
          <cell r="T130">
            <v>57</v>
          </cell>
          <cell r="U130">
            <v>34</v>
          </cell>
          <cell r="V130">
            <v>91</v>
          </cell>
          <cell r="W130">
            <v>22</v>
          </cell>
          <cell r="X130">
            <v>113</v>
          </cell>
          <cell r="Y130">
            <v>24</v>
          </cell>
          <cell r="Z130">
            <v>27</v>
          </cell>
          <cell r="AA130">
            <v>51</v>
          </cell>
          <cell r="AB130">
            <v>25</v>
          </cell>
          <cell r="AC130">
            <v>76</v>
          </cell>
          <cell r="AD130">
            <v>25</v>
          </cell>
          <cell r="AE130">
            <v>101</v>
          </cell>
          <cell r="AF130">
            <v>21</v>
          </cell>
          <cell r="AG130">
            <v>23</v>
          </cell>
          <cell r="AH130">
            <v>44</v>
          </cell>
          <cell r="AI130">
            <v>23</v>
          </cell>
          <cell r="AJ130">
            <v>67</v>
          </cell>
          <cell r="AK130">
            <v>21.25</v>
          </cell>
          <cell r="AL130">
            <v>88.250000000000014</v>
          </cell>
        </row>
        <row r="131">
          <cell r="A131" t="str">
            <v>Currency adjusted growth %</v>
          </cell>
          <cell r="F131" t="e">
            <v>#REF!</v>
          </cell>
          <cell r="H131" t="e">
            <v>#VALUE!</v>
          </cell>
          <cell r="K131">
            <v>-0.20454545454545459</v>
          </cell>
          <cell r="L131">
            <v>-0.2558139534883721</v>
          </cell>
          <cell r="M131">
            <v>-0.22988505747126442</v>
          </cell>
          <cell r="N131">
            <v>-0.19512195121951215</v>
          </cell>
          <cell r="O131">
            <v>-0.21875</v>
          </cell>
          <cell r="P131">
            <v>-5.4054054054054057E-2</v>
          </cell>
          <cell r="Q131">
            <v>-0.18181818181818177</v>
          </cell>
          <cell r="R131">
            <v>-0.19999999999999996</v>
          </cell>
          <cell r="S131">
            <v>-9.375E-2</v>
          </cell>
          <cell r="T131">
            <v>-0.14925373134328357</v>
          </cell>
          <cell r="U131">
            <v>3.0303030303030276E-2</v>
          </cell>
          <cell r="V131">
            <v>-8.9999999999999969E-2</v>
          </cell>
          <cell r="W131">
            <v>-0.37142857142857144</v>
          </cell>
          <cell r="X131">
            <v>-0.16296296296296298</v>
          </cell>
          <cell r="Y131">
            <v>-0.1428571428571429</v>
          </cell>
          <cell r="Z131">
            <v>-6.8965517241379337E-2</v>
          </cell>
          <cell r="AA131">
            <v>-0.10526315789473684</v>
          </cell>
          <cell r="AB131">
            <v>-0.26470588235294112</v>
          </cell>
          <cell r="AC131">
            <v>-0.1648351648351648</v>
          </cell>
          <cell r="AD131">
            <v>0.13636363636363646</v>
          </cell>
          <cell r="AE131">
            <v>-0.10619469026548678</v>
          </cell>
          <cell r="AF131">
            <v>-0.125</v>
          </cell>
          <cell r="AG131">
            <v>-0.14814814814814814</v>
          </cell>
          <cell r="AH131">
            <v>-0.13725490196078427</v>
          </cell>
          <cell r="AI131">
            <v>-7.999999999999996E-2</v>
          </cell>
          <cell r="AJ131">
            <v>-0.11842105263157898</v>
          </cell>
          <cell r="AK131">
            <v>-0.15</v>
          </cell>
          <cell r="AL131">
            <v>-0.12623762376237613</v>
          </cell>
        </row>
        <row r="132">
          <cell r="A132" t="str">
            <v>Iopomiron</v>
          </cell>
          <cell r="B132">
            <v>0</v>
          </cell>
          <cell r="C132">
            <v>117</v>
          </cell>
          <cell r="D132">
            <v>47</v>
          </cell>
          <cell r="E132">
            <v>57</v>
          </cell>
          <cell r="F132">
            <v>104</v>
          </cell>
          <cell r="G132">
            <v>48</v>
          </cell>
          <cell r="H132">
            <v>152</v>
          </cell>
          <cell r="I132">
            <v>59</v>
          </cell>
          <cell r="J132">
            <v>211</v>
          </cell>
          <cell r="K132">
            <v>43</v>
          </cell>
          <cell r="L132">
            <v>48</v>
          </cell>
          <cell r="M132">
            <v>91</v>
          </cell>
          <cell r="N132">
            <v>47</v>
          </cell>
          <cell r="O132">
            <v>138</v>
          </cell>
          <cell r="P132">
            <v>61</v>
          </cell>
          <cell r="Q132">
            <v>199</v>
          </cell>
          <cell r="R132">
            <v>46</v>
          </cell>
          <cell r="S132">
            <v>52</v>
          </cell>
          <cell r="T132">
            <v>98</v>
          </cell>
          <cell r="U132">
            <v>51</v>
          </cell>
          <cell r="V132">
            <v>149</v>
          </cell>
          <cell r="W132">
            <v>50</v>
          </cell>
          <cell r="X132">
            <v>199</v>
          </cell>
          <cell r="Y132">
            <v>39</v>
          </cell>
          <cell r="Z132">
            <v>52</v>
          </cell>
          <cell r="AA132">
            <v>91</v>
          </cell>
          <cell r="AB132">
            <v>44</v>
          </cell>
          <cell r="AC132">
            <v>135</v>
          </cell>
          <cell r="AD132">
            <v>50</v>
          </cell>
          <cell r="AE132">
            <v>185</v>
          </cell>
          <cell r="AF132">
            <v>44</v>
          </cell>
          <cell r="AG132">
            <v>49.4</v>
          </cell>
          <cell r="AH132">
            <v>93.4</v>
          </cell>
          <cell r="AI132">
            <v>47</v>
          </cell>
          <cell r="AJ132">
            <v>140.4</v>
          </cell>
          <cell r="AK132">
            <v>50</v>
          </cell>
          <cell r="AL132">
            <v>190.4</v>
          </cell>
          <cell r="BW132">
            <v>-185</v>
          </cell>
          <cell r="CA132" t="str">
            <v>mstag:iopamiron</v>
          </cell>
          <cell r="CB132">
            <v>6</v>
          </cell>
          <cell r="CC132" t="str">
            <v>ISO4217:EUR</v>
          </cell>
          <cell r="CD132" t="b">
            <v>0</v>
          </cell>
        </row>
        <row r="133">
          <cell r="A133" t="str">
            <v>Currency adjusted growth %</v>
          </cell>
          <cell r="F133" t="e">
            <v>#REF!</v>
          </cell>
          <cell r="G133">
            <v>4.7E-2</v>
          </cell>
          <cell r="H133" t="e">
            <v>#VALUE!</v>
          </cell>
          <cell r="J133">
            <v>7.0000000000000001E-3</v>
          </cell>
          <cell r="K133">
            <v>-7.8E-2</v>
          </cell>
          <cell r="L133">
            <v>-0.155</v>
          </cell>
          <cell r="M133">
            <v>-0.125</v>
          </cell>
          <cell r="N133">
            <v>-2.3E-2</v>
          </cell>
          <cell r="O133">
            <v>-9.210526315789469E-2</v>
          </cell>
          <cell r="P133">
            <v>3.3898305084745672E-2</v>
          </cell>
          <cell r="Q133">
            <v>-5.6872037914691975E-2</v>
          </cell>
          <cell r="R133">
            <v>-0.13100000000000001</v>
          </cell>
          <cell r="S133">
            <v>-9.2999999999999999E-2</v>
          </cell>
          <cell r="T133">
            <v>7.6923076923076872E-2</v>
          </cell>
          <cell r="U133">
            <v>8.5106382978723305E-2</v>
          </cell>
          <cell r="V133">
            <v>7.9710144927536142E-2</v>
          </cell>
          <cell r="W133">
            <v>-0.18032786885245899</v>
          </cell>
          <cell r="X133">
            <v>0</v>
          </cell>
          <cell r="Y133">
            <v>-0.15217391304347827</v>
          </cell>
          <cell r="Z133">
            <v>0</v>
          </cell>
          <cell r="AA133">
            <v>-7.1428571428571397E-2</v>
          </cell>
          <cell r="AB133">
            <v>-0.13725490196078427</v>
          </cell>
          <cell r="AC133">
            <v>-9.3959731543624136E-2</v>
          </cell>
          <cell r="AD133">
            <v>0</v>
          </cell>
          <cell r="AE133">
            <v>-7.0351758793969821E-2</v>
          </cell>
          <cell r="AF133">
            <v>0.12820512820512819</v>
          </cell>
          <cell r="AG133">
            <v>-0.05</v>
          </cell>
          <cell r="AH133">
            <v>2.6373626373626502E-2</v>
          </cell>
          <cell r="AI133">
            <v>6.8181818181818121E-2</v>
          </cell>
          <cell r="AJ133">
            <v>4.0000000000000036E-2</v>
          </cell>
          <cell r="AK133">
            <v>0</v>
          </cell>
          <cell r="AL133">
            <v>2.9189189189189113E-2</v>
          </cell>
          <cell r="BW133">
            <v>7.0351758793969821E-2</v>
          </cell>
        </row>
        <row r="134">
          <cell r="A134" t="str">
            <v>Iopomiron</v>
          </cell>
          <cell r="F134">
            <v>0</v>
          </cell>
          <cell r="H134">
            <v>0</v>
          </cell>
          <cell r="M134">
            <v>0</v>
          </cell>
          <cell r="O134">
            <v>0</v>
          </cell>
          <cell r="T134">
            <v>0</v>
          </cell>
          <cell r="V134">
            <v>0</v>
          </cell>
          <cell r="X134">
            <v>0</v>
          </cell>
          <cell r="AA134">
            <v>0</v>
          </cell>
          <cell r="AC134">
            <v>0</v>
          </cell>
          <cell r="AE134">
            <v>0</v>
          </cell>
          <cell r="AH134">
            <v>0</v>
          </cell>
          <cell r="AI134">
            <v>0</v>
          </cell>
          <cell r="AJ134">
            <v>0</v>
          </cell>
          <cell r="AK134">
            <v>0</v>
          </cell>
          <cell r="AL134">
            <v>0</v>
          </cell>
        </row>
        <row r="135">
          <cell r="A135" t="str">
            <v>Currency adjusted growth %</v>
          </cell>
          <cell r="F135" t="e">
            <v>#REF!</v>
          </cell>
          <cell r="H135" t="e">
            <v>#VALUE!</v>
          </cell>
          <cell r="J135" t="e">
            <v>#DIV/0!</v>
          </cell>
          <cell r="K135" t="e">
            <v>#DIV/0!</v>
          </cell>
          <cell r="L135" t="e">
            <v>#DIV/0!</v>
          </cell>
          <cell r="M135" t="e">
            <v>#DIV/0!</v>
          </cell>
          <cell r="N135" t="e">
            <v>#DIV/0!</v>
          </cell>
          <cell r="O135" t="e">
            <v>#DIV/0!</v>
          </cell>
          <cell r="P135" t="e">
            <v>#DIV/0!</v>
          </cell>
          <cell r="Q135" t="e">
            <v>#DIV/0!</v>
          </cell>
          <cell r="R135" t="e">
            <v>#DIV/0!</v>
          </cell>
          <cell r="S135" t="e">
            <v>#DIV/0!</v>
          </cell>
          <cell r="T135" t="e">
            <v>#DIV/0!</v>
          </cell>
          <cell r="U135" t="e">
            <v>#DIV/0!</v>
          </cell>
          <cell r="V135" t="e">
            <v>#DIV/0!</v>
          </cell>
          <cell r="W135" t="e">
            <v>#DIV/0!</v>
          </cell>
          <cell r="X135" t="e">
            <v>#DIV/0!</v>
          </cell>
          <cell r="Y135" t="e">
            <v>#DIV/0!</v>
          </cell>
          <cell r="Z135" t="e">
            <v>#DIV/0!</v>
          </cell>
          <cell r="AA135" t="e">
            <v>#DIV/0!</v>
          </cell>
          <cell r="AB135" t="e">
            <v>#DIV/0!</v>
          </cell>
          <cell r="AC135" t="e">
            <v>#DIV/0!</v>
          </cell>
          <cell r="AD135" t="e">
            <v>#DIV/0!</v>
          </cell>
          <cell r="AE135" t="e">
            <v>#DIV/0!</v>
          </cell>
          <cell r="AF135" t="e">
            <v>#DIV/0!</v>
          </cell>
          <cell r="AG135" t="e">
            <v>#DIV/0!</v>
          </cell>
          <cell r="AH135" t="e">
            <v>#DIV/0!</v>
          </cell>
          <cell r="AI135">
            <v>0</v>
          </cell>
          <cell r="AJ135" t="e">
            <v>#DIV/0!</v>
          </cell>
          <cell r="AK135">
            <v>0</v>
          </cell>
          <cell r="AL135" t="e">
            <v>#DIV/0!</v>
          </cell>
        </row>
        <row r="136">
          <cell r="A136" t="str">
            <v>Iopomiron</v>
          </cell>
          <cell r="D136">
            <v>47</v>
          </cell>
          <cell r="E136">
            <v>57</v>
          </cell>
          <cell r="F136">
            <v>104</v>
          </cell>
          <cell r="G136">
            <v>48</v>
          </cell>
          <cell r="H136">
            <v>152</v>
          </cell>
          <cell r="I136">
            <v>59</v>
          </cell>
          <cell r="J136">
            <v>211</v>
          </cell>
          <cell r="K136">
            <v>43</v>
          </cell>
          <cell r="L136">
            <v>48</v>
          </cell>
          <cell r="M136">
            <v>91</v>
          </cell>
          <cell r="N136">
            <v>47</v>
          </cell>
          <cell r="O136">
            <v>138</v>
          </cell>
          <cell r="P136">
            <v>61</v>
          </cell>
          <cell r="Q136">
            <v>199</v>
          </cell>
          <cell r="R136">
            <v>46</v>
          </cell>
          <cell r="S136">
            <v>52</v>
          </cell>
          <cell r="T136">
            <v>98</v>
          </cell>
          <cell r="U136">
            <v>51</v>
          </cell>
          <cell r="V136">
            <v>149</v>
          </cell>
          <cell r="W136">
            <v>50</v>
          </cell>
          <cell r="X136">
            <v>199</v>
          </cell>
          <cell r="Y136">
            <v>39</v>
          </cell>
          <cell r="Z136">
            <v>52</v>
          </cell>
          <cell r="AA136">
            <v>91</v>
          </cell>
          <cell r="AB136">
            <v>44</v>
          </cell>
          <cell r="AC136">
            <v>135</v>
          </cell>
          <cell r="AD136">
            <v>50</v>
          </cell>
          <cell r="AE136">
            <v>185</v>
          </cell>
          <cell r="AF136">
            <v>44</v>
          </cell>
          <cell r="AG136">
            <v>49.4</v>
          </cell>
          <cell r="AH136">
            <v>93.4</v>
          </cell>
          <cell r="AI136">
            <v>47</v>
          </cell>
          <cell r="AJ136">
            <v>140.4</v>
          </cell>
          <cell r="AK136">
            <v>50</v>
          </cell>
          <cell r="AL136">
            <v>190.4</v>
          </cell>
        </row>
        <row r="137">
          <cell r="A137" t="str">
            <v>Currency adjusted growth %</v>
          </cell>
          <cell r="F137" t="e">
            <v>#REF!</v>
          </cell>
          <cell r="H137" t="e">
            <v>#VALUE!</v>
          </cell>
          <cell r="K137">
            <v>-8.5106382978723416E-2</v>
          </cell>
          <cell r="L137">
            <v>-0.15789473684210531</v>
          </cell>
          <cell r="M137">
            <v>-0.125</v>
          </cell>
          <cell r="N137">
            <v>-2.083333333333337E-2</v>
          </cell>
          <cell r="O137">
            <v>-9.210526315789469E-2</v>
          </cell>
          <cell r="P137">
            <v>3.3898305084745672E-2</v>
          </cell>
          <cell r="Q137">
            <v>-5.6872037914691975E-2</v>
          </cell>
          <cell r="R137">
            <v>6.9767441860465018E-2</v>
          </cell>
          <cell r="S137">
            <v>8.3333333333333259E-2</v>
          </cell>
          <cell r="T137">
            <v>7.6923076923076872E-2</v>
          </cell>
          <cell r="U137">
            <v>8.5106382978723305E-2</v>
          </cell>
          <cell r="V137">
            <v>7.9710144927536142E-2</v>
          </cell>
          <cell r="W137">
            <v>-0.18032786885245899</v>
          </cell>
          <cell r="X137">
            <v>0</v>
          </cell>
          <cell r="Y137">
            <v>-0.15217391304347827</v>
          </cell>
          <cell r="Z137">
            <v>0</v>
          </cell>
          <cell r="AA137">
            <v>-7.1428571428571397E-2</v>
          </cell>
          <cell r="AB137">
            <v>-0.13725490196078427</v>
          </cell>
          <cell r="AC137">
            <v>-9.3959731543624136E-2</v>
          </cell>
          <cell r="AD137">
            <v>0</v>
          </cell>
          <cell r="AE137">
            <v>-7.0351758793969821E-2</v>
          </cell>
          <cell r="AF137">
            <v>0.12820512820512819</v>
          </cell>
          <cell r="AG137">
            <v>-5.0000000000000044E-2</v>
          </cell>
          <cell r="AH137">
            <v>2.6373626373626502E-2</v>
          </cell>
          <cell r="AI137">
            <v>6.8181818181818121E-2</v>
          </cell>
          <cell r="AJ137">
            <v>4.0000000000000036E-2</v>
          </cell>
          <cell r="AK137">
            <v>0</v>
          </cell>
          <cell r="AL137">
            <v>2.9189189189189113E-2</v>
          </cell>
        </row>
        <row r="138">
          <cell r="A138" t="str">
            <v>Other diagnostic imaging</v>
          </cell>
          <cell r="B138">
            <v>0</v>
          </cell>
          <cell r="C138">
            <v>323</v>
          </cell>
          <cell r="D138">
            <v>125</v>
          </cell>
          <cell r="E138">
            <v>135</v>
          </cell>
          <cell r="F138">
            <v>260</v>
          </cell>
          <cell r="G138">
            <v>136</v>
          </cell>
          <cell r="H138">
            <v>396</v>
          </cell>
          <cell r="I138">
            <v>155</v>
          </cell>
          <cell r="J138">
            <v>551</v>
          </cell>
          <cell r="K138">
            <v>42</v>
          </cell>
          <cell r="L138">
            <v>64</v>
          </cell>
          <cell r="M138">
            <v>106</v>
          </cell>
          <cell r="N138">
            <v>71</v>
          </cell>
          <cell r="O138">
            <v>177</v>
          </cell>
          <cell r="P138">
            <v>105</v>
          </cell>
          <cell r="Q138">
            <v>282</v>
          </cell>
          <cell r="R138">
            <v>56</v>
          </cell>
          <cell r="S138">
            <v>51</v>
          </cell>
          <cell r="T138">
            <v>107</v>
          </cell>
          <cell r="U138">
            <v>50</v>
          </cell>
          <cell r="V138">
            <v>157</v>
          </cell>
          <cell r="W138">
            <v>62</v>
          </cell>
          <cell r="X138">
            <v>219</v>
          </cell>
          <cell r="Y138">
            <v>52</v>
          </cell>
          <cell r="Z138">
            <v>48</v>
          </cell>
          <cell r="AA138">
            <v>100</v>
          </cell>
          <cell r="AB138">
            <v>47</v>
          </cell>
          <cell r="AC138">
            <v>147</v>
          </cell>
          <cell r="AD138">
            <v>50</v>
          </cell>
          <cell r="AE138">
            <v>197</v>
          </cell>
          <cell r="AF138">
            <v>48</v>
          </cell>
          <cell r="AG138">
            <v>40</v>
          </cell>
          <cell r="AH138">
            <v>88</v>
          </cell>
          <cell r="AI138">
            <v>42</v>
          </cell>
          <cell r="AJ138">
            <v>130</v>
          </cell>
          <cell r="AK138">
            <v>48.5</v>
          </cell>
          <cell r="AL138">
            <v>178.5</v>
          </cell>
          <cell r="BW138">
            <v>-197</v>
          </cell>
        </row>
        <row r="139">
          <cell r="A139" t="str">
            <v>Growth %</v>
          </cell>
          <cell r="F139" t="e">
            <v>#REF!</v>
          </cell>
          <cell r="H139" t="e">
            <v>#VALUE!</v>
          </cell>
          <cell r="K139">
            <v>-0.66399999999999992</v>
          </cell>
          <cell r="L139">
            <v>-0.52592592592592591</v>
          </cell>
          <cell r="M139">
            <v>-0.59230769230769231</v>
          </cell>
          <cell r="N139">
            <v>-0.4779411764705882</v>
          </cell>
          <cell r="O139">
            <v>-0.55303030303030298</v>
          </cell>
          <cell r="P139">
            <v>-0.32258064516129037</v>
          </cell>
          <cell r="Q139">
            <v>-0.4882032667876588</v>
          </cell>
          <cell r="R139">
            <v>0.33333333333333326</v>
          </cell>
          <cell r="S139">
            <v>-0.203125</v>
          </cell>
          <cell r="T139">
            <v>9.4339622641510523E-3</v>
          </cell>
          <cell r="U139">
            <v>-0.29577464788732399</v>
          </cell>
          <cell r="V139">
            <v>-0.11299435028248583</v>
          </cell>
          <cell r="W139">
            <v>-0.40952380952380951</v>
          </cell>
          <cell r="X139">
            <v>-0.22340425531914898</v>
          </cell>
          <cell r="Y139">
            <v>-7.1428571428571397E-2</v>
          </cell>
          <cell r="Z139">
            <v>-5.8823529411764719E-2</v>
          </cell>
          <cell r="AA139">
            <v>-6.5420560747663559E-2</v>
          </cell>
          <cell r="AB139">
            <v>-6.0000000000000053E-2</v>
          </cell>
          <cell r="AC139">
            <v>-6.3694267515923553E-2</v>
          </cell>
          <cell r="AD139">
            <v>-0.19354838709677424</v>
          </cell>
          <cell r="AE139">
            <v>-0.1004566210045662</v>
          </cell>
          <cell r="AF139">
            <v>-7.6923076923076872E-2</v>
          </cell>
          <cell r="AG139">
            <v>-0.16666666666666663</v>
          </cell>
          <cell r="AH139">
            <v>-0.12</v>
          </cell>
          <cell r="AI139">
            <v>-0.1063829787234043</v>
          </cell>
          <cell r="AJ139">
            <v>-0.11564625850340138</v>
          </cell>
          <cell r="AK139">
            <v>-0.03</v>
          </cell>
          <cell r="AL139">
            <v>-9.3908629441624369E-2</v>
          </cell>
          <cell r="BW139">
            <v>0.1004566210045662</v>
          </cell>
        </row>
        <row r="140">
          <cell r="A140" t="str">
            <v>Diagnostic Imaging</v>
          </cell>
          <cell r="B140">
            <v>0</v>
          </cell>
          <cell r="C140">
            <v>697</v>
          </cell>
          <cell r="D140">
            <v>307</v>
          </cell>
          <cell r="E140">
            <v>330</v>
          </cell>
          <cell r="F140">
            <v>637</v>
          </cell>
          <cell r="G140">
            <v>320</v>
          </cell>
          <cell r="H140">
            <v>957</v>
          </cell>
          <cell r="I140">
            <v>341</v>
          </cell>
          <cell r="J140">
            <v>1298</v>
          </cell>
          <cell r="K140">
            <v>213</v>
          </cell>
          <cell r="L140">
            <v>236</v>
          </cell>
          <cell r="M140">
            <v>449</v>
          </cell>
          <cell r="N140">
            <v>240</v>
          </cell>
          <cell r="O140">
            <v>689</v>
          </cell>
          <cell r="P140">
            <v>294</v>
          </cell>
          <cell r="Q140">
            <v>983</v>
          </cell>
          <cell r="R140">
            <v>220</v>
          </cell>
          <cell r="S140">
            <v>229</v>
          </cell>
          <cell r="T140">
            <v>449</v>
          </cell>
          <cell r="U140">
            <v>224</v>
          </cell>
          <cell r="V140">
            <v>673</v>
          </cell>
          <cell r="W140">
            <v>226</v>
          </cell>
          <cell r="X140">
            <v>899</v>
          </cell>
          <cell r="Y140">
            <v>210</v>
          </cell>
          <cell r="Z140">
            <v>240</v>
          </cell>
          <cell r="AA140">
            <v>450</v>
          </cell>
          <cell r="AB140">
            <v>227</v>
          </cell>
          <cell r="AC140">
            <v>677</v>
          </cell>
          <cell r="AD140">
            <v>233</v>
          </cell>
          <cell r="AE140">
            <v>910</v>
          </cell>
          <cell r="AF140">
            <v>212</v>
          </cell>
          <cell r="AG140">
            <v>217.4</v>
          </cell>
          <cell r="AH140">
            <v>429.4</v>
          </cell>
          <cell r="AI140">
            <v>213</v>
          </cell>
          <cell r="AJ140">
            <v>642.4</v>
          </cell>
          <cell r="AK140">
            <v>225.51</v>
          </cell>
          <cell r="AL140">
            <v>867.91000000000008</v>
          </cell>
          <cell r="BR140">
            <v>-6.323094364862776E-2</v>
          </cell>
          <cell r="BS140">
            <v>0</v>
          </cell>
          <cell r="BW140">
            <v>-910</v>
          </cell>
        </row>
        <row r="141">
          <cell r="A141" t="str">
            <v>Growth %</v>
          </cell>
          <cell r="F141" t="e">
            <v>#REF!</v>
          </cell>
          <cell r="H141" t="e">
            <v>#VALUE!</v>
          </cell>
          <cell r="J141">
            <v>0.86226685796269731</v>
          </cell>
          <cell r="K141">
            <v>2.9000000000000001E-2</v>
          </cell>
          <cell r="L141">
            <v>-0.2848484848484848</v>
          </cell>
          <cell r="M141">
            <v>-0.29513343799058089</v>
          </cell>
          <cell r="N141">
            <v>-0.25</v>
          </cell>
          <cell r="O141">
            <v>-0.28004179728317657</v>
          </cell>
          <cell r="P141">
            <v>-0.1378299120234604</v>
          </cell>
          <cell r="Q141">
            <v>-0.24268104776579358</v>
          </cell>
          <cell r="R141">
            <v>3.2863849765258246E-2</v>
          </cell>
          <cell r="S141">
            <v>-2.9661016949152574E-2</v>
          </cell>
          <cell r="T141">
            <v>0</v>
          </cell>
          <cell r="U141">
            <v>-6.6666666666666652E-2</v>
          </cell>
          <cell r="V141">
            <v>-2.3222060957910018E-2</v>
          </cell>
          <cell r="W141">
            <v>-0.23129251700680276</v>
          </cell>
          <cell r="X141">
            <v>-8.5452695829094649E-2</v>
          </cell>
          <cell r="Y141">
            <v>-4.5454545454545414E-2</v>
          </cell>
          <cell r="Z141">
            <v>4.8034934497816595E-2</v>
          </cell>
          <cell r="AA141">
            <v>2.2271714922048602E-3</v>
          </cell>
          <cell r="AB141">
            <v>1.3392857142857206E-2</v>
          </cell>
          <cell r="AC141">
            <v>5.9435364041604544E-3</v>
          </cell>
          <cell r="AD141">
            <v>3.0973451327433565E-2</v>
          </cell>
          <cell r="AE141">
            <v>1.2235817575083408E-2</v>
          </cell>
          <cell r="AF141">
            <v>9.52380952380949E-3</v>
          </cell>
          <cell r="AG141">
            <v>-9.4166666666666621E-2</v>
          </cell>
          <cell r="AH141">
            <v>-4.5777777777777806E-2</v>
          </cell>
          <cell r="AI141">
            <v>-6.1674008810572722E-2</v>
          </cell>
          <cell r="AJ141">
            <v>-5.1107828655834631E-2</v>
          </cell>
          <cell r="AK141">
            <v>-3.2145922746781186E-2</v>
          </cell>
          <cell r="AL141">
            <v>-4.6252747252747195E-2</v>
          </cell>
          <cell r="BW141">
            <v>-1.2235817575083408E-2</v>
          </cell>
        </row>
        <row r="142">
          <cell r="A142" t="str">
            <v>SPECIALTY</v>
          </cell>
          <cell r="BW142">
            <v>0</v>
          </cell>
        </row>
        <row r="143">
          <cell r="A143" t="str">
            <v>Betaseron (total)</v>
          </cell>
          <cell r="B143">
            <v>0</v>
          </cell>
          <cell r="C143">
            <v>535</v>
          </cell>
          <cell r="D143">
            <v>244</v>
          </cell>
          <cell r="E143">
            <v>256</v>
          </cell>
          <cell r="F143">
            <v>500</v>
          </cell>
          <cell r="G143">
            <v>262</v>
          </cell>
          <cell r="H143">
            <v>762</v>
          </cell>
          <cell r="I143">
            <v>266</v>
          </cell>
          <cell r="J143">
            <v>1028</v>
          </cell>
          <cell r="K143">
            <v>274</v>
          </cell>
          <cell r="L143">
            <v>274</v>
          </cell>
          <cell r="M143">
            <v>548</v>
          </cell>
          <cell r="N143">
            <v>291</v>
          </cell>
          <cell r="O143">
            <v>839</v>
          </cell>
          <cell r="P143">
            <v>305</v>
          </cell>
          <cell r="Q143">
            <v>1144</v>
          </cell>
          <cell r="R143">
            <v>301</v>
          </cell>
          <cell r="S143">
            <v>320</v>
          </cell>
          <cell r="T143">
            <v>621</v>
          </cell>
          <cell r="U143">
            <v>283</v>
          </cell>
          <cell r="V143">
            <v>904</v>
          </cell>
          <cell r="W143">
            <v>310</v>
          </cell>
          <cell r="X143">
            <v>1214</v>
          </cell>
          <cell r="Y143">
            <v>283</v>
          </cell>
          <cell r="Z143">
            <v>302</v>
          </cell>
          <cell r="AA143">
            <v>585</v>
          </cell>
          <cell r="AB143">
            <v>308</v>
          </cell>
          <cell r="AC143">
            <v>893</v>
          </cell>
          <cell r="AD143">
            <v>313</v>
          </cell>
          <cell r="AE143">
            <v>1206</v>
          </cell>
          <cell r="AF143">
            <v>274</v>
          </cell>
          <cell r="AG143">
            <v>273</v>
          </cell>
          <cell r="AH143">
            <v>547</v>
          </cell>
          <cell r="AI143">
            <v>289</v>
          </cell>
          <cell r="AJ143">
            <v>836</v>
          </cell>
          <cell r="AK143">
            <v>281</v>
          </cell>
          <cell r="AL143">
            <v>1117</v>
          </cell>
          <cell r="AM143">
            <v>276</v>
          </cell>
          <cell r="AN143">
            <v>276</v>
          </cell>
          <cell r="AO143">
            <v>319</v>
          </cell>
          <cell r="AQ143">
            <v>595</v>
          </cell>
          <cell r="AR143">
            <v>292</v>
          </cell>
          <cell r="AT143">
            <v>887</v>
          </cell>
          <cell r="AU143">
            <v>329</v>
          </cell>
          <cell r="AW143">
            <v>1216</v>
          </cell>
          <cell r="AY143">
            <v>254</v>
          </cell>
          <cell r="AZ143">
            <v>293.75792171401736</v>
          </cell>
          <cell r="BA143">
            <v>547.75792171401736</v>
          </cell>
          <cell r="BB143">
            <v>290.99671602743979</v>
          </cell>
          <cell r="BC143">
            <v>838.75463774145703</v>
          </cell>
          <cell r="BD143">
            <v>305.1392212460288</v>
          </cell>
          <cell r="BE143">
            <v>1143.8938589874858</v>
          </cell>
          <cell r="BF143">
            <v>1097.0979656504269</v>
          </cell>
          <cell r="BG143">
            <v>969.55228867006281</v>
          </cell>
          <cell r="BH143">
            <v>858.17694180737726</v>
          </cell>
          <cell r="BI143">
            <v>760.78329725906883</v>
          </cell>
          <cell r="BJ143">
            <v>675.49206765518272</v>
          </cell>
          <cell r="BK143">
            <v>615.52005054285769</v>
          </cell>
          <cell r="BL143">
            <v>560.9390599695098</v>
          </cell>
          <cell r="BM143">
            <v>511.2584872950215</v>
          </cell>
          <cell r="BN143">
            <v>466.03290522218515</v>
          </cell>
          <cell r="BO143">
            <v>466.03290522218515</v>
          </cell>
          <cell r="BT143">
            <v>2008</v>
          </cell>
          <cell r="BU143">
            <v>2007</v>
          </cell>
          <cell r="BW143">
            <v>-347.82305819262274</v>
          </cell>
          <cell r="CA143" t="str">
            <v>mstag:betaseron</v>
          </cell>
          <cell r="CB143">
            <v>6</v>
          </cell>
          <cell r="CC143" t="str">
            <v>ISO4217:EUR</v>
          </cell>
          <cell r="CD143" t="b">
            <v>0</v>
          </cell>
        </row>
        <row r="144">
          <cell r="A144" t="str">
            <v>growth %</v>
          </cell>
          <cell r="F144" t="e">
            <v>#REF!</v>
          </cell>
          <cell r="H144" t="e">
            <v>#VALUE!</v>
          </cell>
          <cell r="J144">
            <v>6.5000000000000002E-2</v>
          </cell>
          <cell r="K144">
            <v>0.183</v>
          </cell>
          <cell r="L144">
            <v>0.13600000000000001</v>
          </cell>
          <cell r="M144">
            <v>9.6000000000000085E-2</v>
          </cell>
          <cell r="N144">
            <v>0.152</v>
          </cell>
          <cell r="O144">
            <v>0.10104986876640409</v>
          </cell>
          <cell r="P144">
            <v>0.05</v>
          </cell>
          <cell r="Q144">
            <v>0.11284046692607008</v>
          </cell>
          <cell r="R144">
            <v>0.05</v>
          </cell>
          <cell r="S144">
            <v>0.13300000000000001</v>
          </cell>
          <cell r="T144">
            <v>0.13321167883211671</v>
          </cell>
          <cell r="U144">
            <v>-2.7491408934707917E-2</v>
          </cell>
          <cell r="V144">
            <v>7.7473182359952375E-2</v>
          </cell>
          <cell r="W144">
            <v>1.6393442622950838E-2</v>
          </cell>
          <cell r="X144">
            <v>6.1188811188811254E-2</v>
          </cell>
          <cell r="Y144">
            <v>-5.980066445182719E-2</v>
          </cell>
          <cell r="Z144">
            <v>-5.6250000000000022E-2</v>
          </cell>
          <cell r="AA144">
            <v>-5.7971014492753659E-2</v>
          </cell>
          <cell r="AB144">
            <v>8.8339222614840951E-2</v>
          </cell>
          <cell r="AC144">
            <v>-1.2168141592920345E-2</v>
          </cell>
          <cell r="AD144">
            <v>9.6774193548387899E-3</v>
          </cell>
          <cell r="AE144">
            <v>-6.5897858319604596E-3</v>
          </cell>
          <cell r="AF144">
            <v>-3.180212014134276E-2</v>
          </cell>
          <cell r="AG144">
            <v>-9.6026490066225212E-2</v>
          </cell>
          <cell r="AH144">
            <v>-6.4957264957264949E-2</v>
          </cell>
          <cell r="AI144">
            <v>-6.1688311688311681E-2</v>
          </cell>
          <cell r="AJ144">
            <v>-6.3829787234042534E-2</v>
          </cell>
          <cell r="AK144">
            <v>-0.10223642172523961</v>
          </cell>
          <cell r="AL144">
            <v>-7.3797678275290268E-2</v>
          </cell>
          <cell r="AM144">
            <v>7.2992700729928028E-3</v>
          </cell>
          <cell r="AN144">
            <v>7.2992700729928028E-3</v>
          </cell>
          <cell r="AO144">
            <v>0.16849816849816857</v>
          </cell>
          <cell r="AQ144">
            <v>8.7751371115173615E-2</v>
          </cell>
          <cell r="AR144">
            <v>1.0380622837370179E-2</v>
          </cell>
          <cell r="AT144">
            <v>6.1004784688995173E-2</v>
          </cell>
          <cell r="AU144">
            <v>0.17081850533807819</v>
          </cell>
          <cell r="AW144">
            <v>8.8630259623992735E-2</v>
          </cell>
          <cell r="AY144">
            <v>-7.9710144927536253E-2</v>
          </cell>
          <cell r="AZ144">
            <v>-7.9128772056371921E-2</v>
          </cell>
          <cell r="BA144">
            <v>-7.9398450900811213E-2</v>
          </cell>
          <cell r="BB144">
            <v>-3.4359040156171083E-3</v>
          </cell>
          <cell r="BC144">
            <v>-5.4391614722145376E-2</v>
          </cell>
          <cell r="BD144">
            <v>-7.2525163385930735E-2</v>
          </cell>
          <cell r="BE144">
            <v>-5.929781333265971E-2</v>
          </cell>
          <cell r="BF144">
            <v>-4.0909296758075198E-2</v>
          </cell>
          <cell r="BG144">
            <v>-0.11625732703345881</v>
          </cell>
          <cell r="BH144">
            <v>-0.11487296576387784</v>
          </cell>
          <cell r="BI144">
            <v>-0.1134890018638709</v>
          </cell>
          <cell r="BJ144">
            <v>-0.11210975570989956</v>
          </cell>
          <cell r="BK144">
            <v>-8.878271112865066E-2</v>
          </cell>
          <cell r="BL144">
            <v>-8.8674593987978501E-2</v>
          </cell>
          <cell r="BM144">
            <v>-8.8566791332357453E-2</v>
          </cell>
          <cell r="BN144">
            <v>-8.8459327711344127E-2</v>
          </cell>
          <cell r="BO144">
            <v>0</v>
          </cell>
          <cell r="BW144">
            <v>-0.10828317993191738</v>
          </cell>
        </row>
        <row r="145">
          <cell r="A145" t="str">
            <v>Betaseron US</v>
          </cell>
          <cell r="D145">
            <v>81</v>
          </cell>
          <cell r="E145">
            <v>86</v>
          </cell>
          <cell r="F145">
            <v>167</v>
          </cell>
          <cell r="G145">
            <v>89</v>
          </cell>
          <cell r="H145">
            <v>256</v>
          </cell>
          <cell r="I145">
            <v>88</v>
          </cell>
          <cell r="J145">
            <v>344</v>
          </cell>
          <cell r="K145">
            <v>84</v>
          </cell>
          <cell r="L145">
            <v>89</v>
          </cell>
          <cell r="M145">
            <v>173</v>
          </cell>
          <cell r="N145">
            <v>95</v>
          </cell>
          <cell r="O145">
            <v>268</v>
          </cell>
          <cell r="P145">
            <v>113</v>
          </cell>
          <cell r="Q145">
            <v>381</v>
          </cell>
          <cell r="R145">
            <v>109</v>
          </cell>
          <cell r="S145">
            <v>123</v>
          </cell>
          <cell r="T145">
            <v>232</v>
          </cell>
          <cell r="U145">
            <v>125</v>
          </cell>
          <cell r="V145">
            <v>357</v>
          </cell>
          <cell r="W145">
            <v>122</v>
          </cell>
          <cell r="X145">
            <v>479</v>
          </cell>
          <cell r="Y145">
            <v>111</v>
          </cell>
          <cell r="Z145">
            <v>115</v>
          </cell>
          <cell r="AA145">
            <v>226</v>
          </cell>
          <cell r="AB145">
            <v>128</v>
          </cell>
          <cell r="AC145">
            <v>354</v>
          </cell>
          <cell r="AD145">
            <v>119</v>
          </cell>
          <cell r="AE145">
            <v>473</v>
          </cell>
          <cell r="AF145">
            <v>111</v>
          </cell>
          <cell r="AG145">
            <v>103</v>
          </cell>
          <cell r="AH145">
            <v>214</v>
          </cell>
          <cell r="AI145">
            <v>126</v>
          </cell>
          <cell r="AJ145">
            <v>340</v>
          </cell>
          <cell r="AK145">
            <v>107</v>
          </cell>
          <cell r="AL145">
            <v>447</v>
          </cell>
          <cell r="AM145">
            <v>109</v>
          </cell>
          <cell r="AN145">
            <v>109</v>
          </cell>
          <cell r="AO145">
            <v>152</v>
          </cell>
          <cell r="AQ145">
            <v>261</v>
          </cell>
          <cell r="AR145">
            <v>150</v>
          </cell>
          <cell r="AT145">
            <v>411</v>
          </cell>
          <cell r="AU145">
            <v>167</v>
          </cell>
          <cell r="AW145">
            <v>578</v>
          </cell>
          <cell r="AY145">
            <v>118</v>
          </cell>
          <cell r="AZ145">
            <v>152.83248358208954</v>
          </cell>
          <cell r="BA145">
            <v>270.83248358208954</v>
          </cell>
          <cell r="BB145">
            <v>151.57315384615387</v>
          </cell>
          <cell r="BC145">
            <v>422.40563742824338</v>
          </cell>
          <cell r="BD145">
            <v>164.23464318478341</v>
          </cell>
          <cell r="BE145">
            <v>586.64028061302679</v>
          </cell>
          <cell r="BF145">
            <v>568.2548532618556</v>
          </cell>
          <cell r="BG145">
            <v>483.01662527257724</v>
          </cell>
          <cell r="BH145">
            <v>410.56413148169065</v>
          </cell>
          <cell r="BI145">
            <v>348.97951175943706</v>
          </cell>
          <cell r="BJ145">
            <v>296.63258499552148</v>
          </cell>
          <cell r="BK145">
            <v>266.96932649596937</v>
          </cell>
          <cell r="BL145">
            <v>240.27239384637244</v>
          </cell>
          <cell r="BM145">
            <v>216.24515446173521</v>
          </cell>
          <cell r="BN145">
            <v>194.62063901556169</v>
          </cell>
          <cell r="BO145">
            <v>194.62063901556169</v>
          </cell>
        </row>
        <row r="146">
          <cell r="A146" t="str">
            <v>growth reported %</v>
          </cell>
          <cell r="F146" t="e">
            <v>#REF!</v>
          </cell>
          <cell r="H146" t="e">
            <v>#VALUE!</v>
          </cell>
          <cell r="J146" t="e">
            <v>#DIV/0!</v>
          </cell>
          <cell r="K146">
            <v>3.7037037037036979E-2</v>
          </cell>
          <cell r="L146">
            <v>3.488372093023262E-2</v>
          </cell>
          <cell r="M146">
            <v>3.5928143712574911E-2</v>
          </cell>
          <cell r="N146">
            <v>6.7415730337078594E-2</v>
          </cell>
          <cell r="O146">
            <v>4.6875E-2</v>
          </cell>
          <cell r="P146">
            <v>0.28409090909090917</v>
          </cell>
          <cell r="Q146">
            <v>0.10755813953488369</v>
          </cell>
          <cell r="R146">
            <v>0.29761904761904767</v>
          </cell>
          <cell r="S146">
            <v>0.3820224719101124</v>
          </cell>
          <cell r="T146">
            <v>0.34104046242774566</v>
          </cell>
          <cell r="U146">
            <v>0.31578947368421062</v>
          </cell>
          <cell r="V146">
            <v>0.33208955223880587</v>
          </cell>
          <cell r="W146">
            <v>7.9646017699114946E-2</v>
          </cell>
          <cell r="X146">
            <v>0.25721784776902878</v>
          </cell>
          <cell r="Y146">
            <v>1.8348623853210899E-2</v>
          </cell>
          <cell r="Z146">
            <v>-6.5040650406504086E-2</v>
          </cell>
          <cell r="AA146">
            <v>-2.5862068965517238E-2</v>
          </cell>
          <cell r="AB146">
            <v>2.4000000000000021E-2</v>
          </cell>
          <cell r="AC146">
            <v>-8.4033613445377853E-3</v>
          </cell>
          <cell r="AD146">
            <v>-2.4590163934426257E-2</v>
          </cell>
          <cell r="AE146">
            <v>-1.2526096033402934E-2</v>
          </cell>
          <cell r="AF146">
            <v>0</v>
          </cell>
          <cell r="AG146">
            <v>-0.10434782608695647</v>
          </cell>
          <cell r="AH146">
            <v>-5.3097345132743334E-2</v>
          </cell>
          <cell r="AI146">
            <v>-1.5625E-2</v>
          </cell>
          <cell r="AJ146">
            <v>-3.9548022598870025E-2</v>
          </cell>
          <cell r="AK146">
            <v>-0.10084033613445376</v>
          </cell>
          <cell r="AL146">
            <v>-5.4968287526427018E-2</v>
          </cell>
          <cell r="AM146">
            <v>-1.8018018018018056E-2</v>
          </cell>
          <cell r="AN146">
            <v>-1.8018018018018056E-2</v>
          </cell>
          <cell r="AO146">
            <v>0.47572815533980584</v>
          </cell>
          <cell r="AQ146">
            <v>0.21962616822429903</v>
          </cell>
          <cell r="AR146">
            <v>0.19047619047619047</v>
          </cell>
          <cell r="AT146">
            <v>0.20882352941176463</v>
          </cell>
          <cell r="AU146">
            <v>0.56074766355140193</v>
          </cell>
          <cell r="AW146">
            <v>0.29306487695749439</v>
          </cell>
          <cell r="AY146">
            <v>8.256880733944949E-2</v>
          </cell>
          <cell r="AZ146">
            <v>5.4768656716417397E-3</v>
          </cell>
          <cell r="BA146">
            <v>3.7672350889232042E-2</v>
          </cell>
          <cell r="BB146">
            <v>1.048769230769242E-2</v>
          </cell>
          <cell r="BC146">
            <v>2.7750942647794208E-2</v>
          </cell>
          <cell r="BD146">
            <v>-1.6559022845608284E-2</v>
          </cell>
          <cell r="BE146">
            <v>1.4948582375478914E-2</v>
          </cell>
          <cell r="BF146">
            <v>-3.1340206185566988E-2</v>
          </cell>
          <cell r="BG146">
            <v>-0.15000000000000002</v>
          </cell>
          <cell r="BH146">
            <v>-0.15000000000000002</v>
          </cell>
          <cell r="BI146">
            <v>-0.15000000000000002</v>
          </cell>
          <cell r="BJ146">
            <v>-0.15000000000000002</v>
          </cell>
          <cell r="BK146">
            <v>-9.9999999999999978E-2</v>
          </cell>
          <cell r="BL146">
            <v>-9.9999999999999978E-2</v>
          </cell>
          <cell r="BM146">
            <v>-9.9999999999999978E-2</v>
          </cell>
          <cell r="BN146">
            <v>-9.9999999999999978E-2</v>
          </cell>
          <cell r="BO146">
            <v>0</v>
          </cell>
        </row>
        <row r="147">
          <cell r="A147" t="str">
            <v>growth CER %</v>
          </cell>
          <cell r="AY147">
            <v>9.1999999999999998E-2</v>
          </cell>
          <cell r="AZ147">
            <v>0.05</v>
          </cell>
          <cell r="BB147">
            <v>0.05</v>
          </cell>
          <cell r="BE147">
            <v>0.03</v>
          </cell>
          <cell r="BF147">
            <v>-0.1</v>
          </cell>
          <cell r="BG147">
            <v>-0.15</v>
          </cell>
          <cell r="BH147">
            <v>-0.15</v>
          </cell>
          <cell r="BI147">
            <v>-0.15</v>
          </cell>
          <cell r="BJ147">
            <v>-0.15</v>
          </cell>
          <cell r="BK147">
            <v>-0.1</v>
          </cell>
          <cell r="BL147">
            <v>-0.1</v>
          </cell>
          <cell r="BM147">
            <v>-0.1</v>
          </cell>
          <cell r="BN147">
            <v>-0.1</v>
          </cell>
          <cell r="BO147">
            <v>0</v>
          </cell>
        </row>
        <row r="148">
          <cell r="A148" t="str">
            <v>Betaseron ROW</v>
          </cell>
          <cell r="D148">
            <v>163</v>
          </cell>
          <cell r="E148">
            <v>170</v>
          </cell>
          <cell r="F148">
            <v>333</v>
          </cell>
          <cell r="G148">
            <v>173</v>
          </cell>
          <cell r="H148">
            <v>506</v>
          </cell>
          <cell r="I148">
            <v>178</v>
          </cell>
          <cell r="J148">
            <v>684</v>
          </cell>
          <cell r="K148">
            <v>190</v>
          </cell>
          <cell r="L148">
            <v>185</v>
          </cell>
          <cell r="M148">
            <v>375</v>
          </cell>
          <cell r="N148">
            <v>196</v>
          </cell>
          <cell r="O148">
            <v>571</v>
          </cell>
          <cell r="P148">
            <v>192</v>
          </cell>
          <cell r="Q148">
            <v>763</v>
          </cell>
          <cell r="R148">
            <v>192</v>
          </cell>
          <cell r="S148">
            <v>197</v>
          </cell>
          <cell r="T148">
            <v>389</v>
          </cell>
          <cell r="U148">
            <v>158</v>
          </cell>
          <cell r="V148">
            <v>547</v>
          </cell>
          <cell r="W148">
            <v>188</v>
          </cell>
          <cell r="X148">
            <v>735</v>
          </cell>
          <cell r="Y148">
            <v>172</v>
          </cell>
          <cell r="Z148">
            <v>187</v>
          </cell>
          <cell r="AA148">
            <v>359</v>
          </cell>
          <cell r="AB148">
            <v>180</v>
          </cell>
          <cell r="AC148">
            <v>539</v>
          </cell>
          <cell r="AD148">
            <v>194</v>
          </cell>
          <cell r="AE148">
            <v>733</v>
          </cell>
          <cell r="AF148">
            <v>163</v>
          </cell>
          <cell r="AG148">
            <v>170</v>
          </cell>
          <cell r="AH148">
            <v>333</v>
          </cell>
          <cell r="AI148">
            <v>163</v>
          </cell>
          <cell r="AJ148">
            <v>496</v>
          </cell>
          <cell r="AK148">
            <v>174</v>
          </cell>
          <cell r="AL148">
            <v>670</v>
          </cell>
          <cell r="AM148">
            <v>167</v>
          </cell>
          <cell r="AN148">
            <v>167</v>
          </cell>
          <cell r="AO148">
            <v>167</v>
          </cell>
          <cell r="AQ148">
            <v>334</v>
          </cell>
          <cell r="AR148">
            <v>142</v>
          </cell>
          <cell r="AT148">
            <v>476</v>
          </cell>
          <cell r="AU148">
            <v>162</v>
          </cell>
          <cell r="AW148">
            <v>638</v>
          </cell>
          <cell r="AY148">
            <v>136</v>
          </cell>
          <cell r="AZ148">
            <v>140.92543813192779</v>
          </cell>
          <cell r="BA148">
            <v>276.92543813192776</v>
          </cell>
          <cell r="BB148">
            <v>139.42356218128589</v>
          </cell>
          <cell r="BC148">
            <v>416.34900031321365</v>
          </cell>
          <cell r="BD148">
            <v>140.90457806124539</v>
          </cell>
          <cell r="BE148">
            <v>557.25357837445904</v>
          </cell>
          <cell r="BF148">
            <v>528.84311238857117</v>
          </cell>
          <cell r="BG148">
            <v>486.53566339748551</v>
          </cell>
          <cell r="BH148">
            <v>447.61281032568667</v>
          </cell>
          <cell r="BI148">
            <v>411.80378549963177</v>
          </cell>
          <cell r="BJ148">
            <v>378.85948265966124</v>
          </cell>
          <cell r="BK148">
            <v>348.55072404688838</v>
          </cell>
          <cell r="BL148">
            <v>320.6666661231373</v>
          </cell>
          <cell r="BM148">
            <v>295.01333283328631</v>
          </cell>
          <cell r="BN148">
            <v>271.41226620662343</v>
          </cell>
          <cell r="BO148">
            <v>271.41226620662343</v>
          </cell>
        </row>
        <row r="149">
          <cell r="A149" t="str">
            <v>growth reported %</v>
          </cell>
          <cell r="F149" t="e">
            <v>#REF!</v>
          </cell>
          <cell r="H149" t="e">
            <v>#VALUE!</v>
          </cell>
          <cell r="K149">
            <v>0.16564417177914104</v>
          </cell>
          <cell r="L149">
            <v>8.8235294117646967E-2</v>
          </cell>
          <cell r="M149">
            <v>0.12612612612612617</v>
          </cell>
          <cell r="N149">
            <v>0.13294797687861282</v>
          </cell>
          <cell r="O149">
            <v>0.12845849802371534</v>
          </cell>
          <cell r="P149">
            <v>7.8651685393258397E-2</v>
          </cell>
          <cell r="Q149">
            <v>0.11549707602339176</v>
          </cell>
          <cell r="R149">
            <v>1.0526315789473717E-2</v>
          </cell>
          <cell r="S149">
            <v>6.4864864864864868E-2</v>
          </cell>
          <cell r="T149">
            <v>3.7333333333333441E-2</v>
          </cell>
          <cell r="U149">
            <v>-0.19387755102040816</v>
          </cell>
          <cell r="V149">
            <v>-4.2031523642731994E-2</v>
          </cell>
          <cell r="W149">
            <v>-2.083333333333337E-2</v>
          </cell>
          <cell r="X149">
            <v>-3.669724770642202E-2</v>
          </cell>
          <cell r="Y149">
            <v>-0.10416666666666663</v>
          </cell>
          <cell r="Z149">
            <v>-5.0761421319796995E-2</v>
          </cell>
          <cell r="AA149">
            <v>-7.7120822622107954E-2</v>
          </cell>
          <cell r="AB149">
            <v>0.139240506329114</v>
          </cell>
          <cell r="AC149">
            <v>-1.4625228519195566E-2</v>
          </cell>
          <cell r="AD149">
            <v>3.1914893617021267E-2</v>
          </cell>
          <cell r="AE149">
            <v>-2.7210884353741083E-3</v>
          </cell>
          <cell r="AF149">
            <v>-5.2325581395348819E-2</v>
          </cell>
          <cell r="AG149">
            <v>-9.0909090909090939E-2</v>
          </cell>
          <cell r="AH149">
            <v>-7.2423398328690824E-2</v>
          </cell>
          <cell r="AI149">
            <v>-9.4444444444444442E-2</v>
          </cell>
          <cell r="AJ149">
            <v>-7.9777365491651153E-2</v>
          </cell>
          <cell r="AK149">
            <v>-0.10309278350515461</v>
          </cell>
          <cell r="AL149">
            <v>-8.5948158253751683E-2</v>
          </cell>
          <cell r="AM149">
            <v>2.4539877300613577E-2</v>
          </cell>
          <cell r="AN149">
            <v>2.4539877300613577E-2</v>
          </cell>
          <cell r="AO149">
            <v>-1.764705882352946E-2</v>
          </cell>
          <cell r="AQ149">
            <v>3.0030030030030463E-3</v>
          </cell>
          <cell r="AR149">
            <v>-0.12883435582822089</v>
          </cell>
          <cell r="AT149">
            <v>-4.0322580645161255E-2</v>
          </cell>
          <cell r="AU149">
            <v>-6.8965517241379337E-2</v>
          </cell>
          <cell r="AW149">
            <v>-4.7761194029850795E-2</v>
          </cell>
          <cell r="AY149">
            <v>-0.18562874251497008</v>
          </cell>
          <cell r="AZ149">
            <v>-0.15613510100642047</v>
          </cell>
          <cell r="BA149">
            <v>-0.17088192176069528</v>
          </cell>
          <cell r="BB149">
            <v>-1.814392830080358E-2</v>
          </cell>
          <cell r="BC149">
            <v>-0.12531722623274444</v>
          </cell>
          <cell r="BD149">
            <v>-0.13021865394292975</v>
          </cell>
          <cell r="BE149">
            <v>-0.12656178938172569</v>
          </cell>
          <cell r="BF149">
            <v>-5.0983012202026279E-2</v>
          </cell>
          <cell r="BG149">
            <v>-7.999999999999996E-2</v>
          </cell>
          <cell r="BH149">
            <v>-7.999999999999996E-2</v>
          </cell>
          <cell r="BI149">
            <v>-7.999999999999996E-2</v>
          </cell>
          <cell r="BJ149">
            <v>-7.999999999999996E-2</v>
          </cell>
          <cell r="BK149">
            <v>-7.999999999999996E-2</v>
          </cell>
          <cell r="BL149">
            <v>-7.999999999999996E-2</v>
          </cell>
          <cell r="BM149">
            <v>-7.999999999999996E-2</v>
          </cell>
          <cell r="BN149">
            <v>-7.999999999999996E-2</v>
          </cell>
          <cell r="BO149">
            <v>0</v>
          </cell>
        </row>
        <row r="150">
          <cell r="A150" t="str">
            <v>growth CER %</v>
          </cell>
          <cell r="AZ150">
            <v>-0.1</v>
          </cell>
          <cell r="BB150">
            <v>0.05</v>
          </cell>
          <cell r="BE150">
            <v>-0.08</v>
          </cell>
          <cell r="BF150">
            <v>-0.08</v>
          </cell>
          <cell r="BG150">
            <v>-0.08</v>
          </cell>
          <cell r="BH150">
            <v>-0.08</v>
          </cell>
          <cell r="BI150">
            <v>-0.08</v>
          </cell>
          <cell r="BJ150">
            <v>-0.08</v>
          </cell>
          <cell r="BK150">
            <v>-0.08</v>
          </cell>
          <cell r="BL150">
            <v>-0.08</v>
          </cell>
          <cell r="BM150">
            <v>-0.08</v>
          </cell>
          <cell r="BN150">
            <v>-0.08</v>
          </cell>
          <cell r="BO150">
            <v>0</v>
          </cell>
        </row>
        <row r="152">
          <cell r="A152" t="str">
            <v>Other specialised therapeutics</v>
          </cell>
          <cell r="B152">
            <v>0</v>
          </cell>
          <cell r="C152">
            <v>143</v>
          </cell>
          <cell r="D152">
            <v>59</v>
          </cell>
          <cell r="E152">
            <v>54</v>
          </cell>
          <cell r="F152">
            <v>113</v>
          </cell>
          <cell r="G152">
            <v>53</v>
          </cell>
          <cell r="H152">
            <v>166</v>
          </cell>
          <cell r="I152">
            <v>59</v>
          </cell>
          <cell r="J152">
            <v>225</v>
          </cell>
          <cell r="K152">
            <v>53</v>
          </cell>
          <cell r="L152">
            <v>55</v>
          </cell>
          <cell r="M152">
            <v>108</v>
          </cell>
          <cell r="N152">
            <v>53</v>
          </cell>
          <cell r="O152">
            <v>161</v>
          </cell>
          <cell r="P152">
            <v>59</v>
          </cell>
          <cell r="Q152">
            <v>220</v>
          </cell>
          <cell r="R152">
            <v>40</v>
          </cell>
          <cell r="S152">
            <v>40</v>
          </cell>
          <cell r="T152">
            <v>80</v>
          </cell>
          <cell r="U152">
            <v>40</v>
          </cell>
          <cell r="V152">
            <v>120</v>
          </cell>
          <cell r="W152">
            <v>30</v>
          </cell>
          <cell r="X152">
            <v>150</v>
          </cell>
          <cell r="Y152">
            <v>20</v>
          </cell>
          <cell r="Z152">
            <v>24</v>
          </cell>
          <cell r="AA152">
            <v>44</v>
          </cell>
          <cell r="AB152">
            <v>25</v>
          </cell>
          <cell r="AC152">
            <v>69</v>
          </cell>
          <cell r="AD152">
            <v>8</v>
          </cell>
          <cell r="AE152">
            <v>77</v>
          </cell>
          <cell r="AF152">
            <v>24</v>
          </cell>
          <cell r="AG152">
            <v>16</v>
          </cell>
          <cell r="AH152">
            <v>40</v>
          </cell>
          <cell r="AI152">
            <v>23</v>
          </cell>
          <cell r="AJ152">
            <v>63</v>
          </cell>
          <cell r="AK152">
            <v>25</v>
          </cell>
          <cell r="AL152">
            <v>88</v>
          </cell>
          <cell r="AM152">
            <v>20</v>
          </cell>
          <cell r="AO152">
            <v>20</v>
          </cell>
          <cell r="AQ152">
            <v>40</v>
          </cell>
          <cell r="AR152">
            <v>21.849999999999998</v>
          </cell>
          <cell r="AT152">
            <v>61.849999999999994</v>
          </cell>
          <cell r="AU152">
            <v>23.75</v>
          </cell>
          <cell r="AW152">
            <v>85.6</v>
          </cell>
          <cell r="BW152">
            <v>-77</v>
          </cell>
        </row>
        <row r="153">
          <cell r="A153" t="str">
            <v>Growth %</v>
          </cell>
          <cell r="F153" t="e">
            <v>#REF!</v>
          </cell>
          <cell r="H153" t="e">
            <v>#VALUE!</v>
          </cell>
          <cell r="K153">
            <v>-0.10169491525423724</v>
          </cell>
          <cell r="L153">
            <v>1.8518518518518601E-2</v>
          </cell>
          <cell r="M153">
            <v>-4.4247787610619427E-2</v>
          </cell>
          <cell r="N153">
            <v>0</v>
          </cell>
          <cell r="O153">
            <v>-3.0120481927710885E-2</v>
          </cell>
          <cell r="P153">
            <v>0</v>
          </cell>
          <cell r="Q153">
            <v>-2.2222222222222254E-2</v>
          </cell>
          <cell r="R153">
            <v>-0.24528301886792447</v>
          </cell>
          <cell r="S153">
            <v>-0.02</v>
          </cell>
          <cell r="T153">
            <v>-0.2592592592592593</v>
          </cell>
          <cell r="U153">
            <v>-0.24528301886792447</v>
          </cell>
          <cell r="V153">
            <v>-0.25465838509316774</v>
          </cell>
          <cell r="W153">
            <v>-0.49152542372881358</v>
          </cell>
          <cell r="X153">
            <v>-0.31818181818181823</v>
          </cell>
          <cell r="Y153">
            <v>-0.5</v>
          </cell>
          <cell r="Z153">
            <v>-0.4</v>
          </cell>
          <cell r="AA153">
            <v>-0.44999999999999996</v>
          </cell>
          <cell r="AB153">
            <v>-0.375</v>
          </cell>
          <cell r="AC153">
            <v>-0.42500000000000004</v>
          </cell>
          <cell r="AD153">
            <v>-0.73333333333333339</v>
          </cell>
          <cell r="AE153">
            <v>-0.48666666666666669</v>
          </cell>
          <cell r="AF153">
            <v>0.19999999999999996</v>
          </cell>
          <cell r="AG153">
            <v>-0.33333333333333337</v>
          </cell>
          <cell r="AH153">
            <v>-9.0909090909090939E-2</v>
          </cell>
          <cell r="AI153">
            <v>-7.999999999999996E-2</v>
          </cell>
          <cell r="AJ153">
            <v>-8.6956521739130488E-2</v>
          </cell>
          <cell r="AK153">
            <v>2.125</v>
          </cell>
          <cell r="AL153">
            <v>0.14285714285714279</v>
          </cell>
          <cell r="AM153">
            <v>-0.16666666666666663</v>
          </cell>
          <cell r="AO153">
            <v>0.25</v>
          </cell>
          <cell r="AQ153">
            <v>0</v>
          </cell>
          <cell r="AR153">
            <v>-0.05</v>
          </cell>
          <cell r="AT153">
            <v>-1.82539682539683E-2</v>
          </cell>
          <cell r="AU153">
            <v>-0.05</v>
          </cell>
          <cell r="AW153">
            <v>-2.7272727272727337E-2</v>
          </cell>
          <cell r="BW153">
            <v>0.48666666666666669</v>
          </cell>
        </row>
        <row r="154">
          <cell r="A154" t="str">
            <v>Specialised Therapeutics</v>
          </cell>
          <cell r="B154">
            <v>0</v>
          </cell>
          <cell r="C154">
            <v>678</v>
          </cell>
          <cell r="D154">
            <v>303</v>
          </cell>
          <cell r="E154">
            <v>310</v>
          </cell>
          <cell r="F154">
            <v>613</v>
          </cell>
          <cell r="G154">
            <v>315</v>
          </cell>
          <cell r="H154">
            <v>928</v>
          </cell>
          <cell r="I154">
            <v>325</v>
          </cell>
          <cell r="J154">
            <v>1253</v>
          </cell>
          <cell r="K154">
            <v>327</v>
          </cell>
          <cell r="L154">
            <v>329</v>
          </cell>
          <cell r="M154">
            <v>656</v>
          </cell>
          <cell r="N154">
            <v>344</v>
          </cell>
          <cell r="O154">
            <v>1000</v>
          </cell>
          <cell r="P154">
            <v>364</v>
          </cell>
          <cell r="Q154">
            <v>1364</v>
          </cell>
          <cell r="R154">
            <v>341</v>
          </cell>
          <cell r="S154">
            <v>360</v>
          </cell>
          <cell r="T154">
            <v>701</v>
          </cell>
          <cell r="U154">
            <v>323</v>
          </cell>
          <cell r="V154">
            <v>1024</v>
          </cell>
          <cell r="W154">
            <v>340</v>
          </cell>
          <cell r="X154">
            <v>1364</v>
          </cell>
          <cell r="Y154">
            <v>303</v>
          </cell>
          <cell r="Z154">
            <v>326</v>
          </cell>
          <cell r="AA154">
            <v>629</v>
          </cell>
          <cell r="AB154">
            <v>333</v>
          </cell>
          <cell r="AC154">
            <v>962</v>
          </cell>
          <cell r="AD154">
            <v>321</v>
          </cell>
          <cell r="AE154">
            <v>1283</v>
          </cell>
          <cell r="AF154">
            <v>298</v>
          </cell>
          <cell r="AG154">
            <v>289</v>
          </cell>
          <cell r="AH154">
            <v>587</v>
          </cell>
          <cell r="AI154">
            <v>312</v>
          </cell>
          <cell r="AJ154">
            <v>899</v>
          </cell>
          <cell r="AK154">
            <v>306</v>
          </cell>
          <cell r="AL154">
            <v>1205</v>
          </cell>
          <cell r="AM154">
            <v>296</v>
          </cell>
          <cell r="AO154">
            <v>339</v>
          </cell>
          <cell r="AQ154">
            <v>635</v>
          </cell>
          <cell r="AR154">
            <v>313.85000000000002</v>
          </cell>
          <cell r="AT154">
            <v>948.85</v>
          </cell>
          <cell r="AU154">
            <v>352.75</v>
          </cell>
          <cell r="AW154">
            <v>1301.5999999999999</v>
          </cell>
          <cell r="BR154">
            <v>-9.593660415653868E-2</v>
          </cell>
          <cell r="BS154">
            <v>0</v>
          </cell>
          <cell r="BW154">
            <v>-1283</v>
          </cell>
        </row>
        <row r="155">
          <cell r="A155" t="str">
            <v>Growth %</v>
          </cell>
          <cell r="F155" t="e">
            <v>#REF!</v>
          </cell>
          <cell r="H155" t="e">
            <v>#VALUE!</v>
          </cell>
          <cell r="J155">
            <v>0.84808259587020651</v>
          </cell>
          <cell r="K155">
            <v>2.9000000000000001E-2</v>
          </cell>
          <cell r="L155">
            <v>6.1290322580645151E-2</v>
          </cell>
          <cell r="M155">
            <v>7.0146818923327858E-2</v>
          </cell>
          <cell r="N155">
            <v>9.2063492063491958E-2</v>
          </cell>
          <cell r="O155">
            <v>7.7586206896551824E-2</v>
          </cell>
          <cell r="P155">
            <v>0.12000000000000011</v>
          </cell>
          <cell r="Q155">
            <v>8.8587390263367816E-2</v>
          </cell>
          <cell r="R155">
            <v>4.2813455657492394E-2</v>
          </cell>
          <cell r="S155">
            <v>9.4224924012157985E-2</v>
          </cell>
          <cell r="T155">
            <v>6.8597560975609762E-2</v>
          </cell>
          <cell r="U155">
            <v>-6.1046511627906974E-2</v>
          </cell>
          <cell r="V155">
            <v>2.4000000000000021E-2</v>
          </cell>
          <cell r="W155">
            <v>-6.5934065934065922E-2</v>
          </cell>
          <cell r="X155">
            <v>0</v>
          </cell>
          <cell r="Y155">
            <v>-0.11143695014662758</v>
          </cell>
          <cell r="Z155">
            <v>-9.4444444444444442E-2</v>
          </cell>
          <cell r="AA155">
            <v>-0.10271041369472178</v>
          </cell>
          <cell r="AB155">
            <v>3.0959752321981338E-2</v>
          </cell>
          <cell r="AC155">
            <v>-6.0546875E-2</v>
          </cell>
          <cell r="AD155">
            <v>-5.5882352941176494E-2</v>
          </cell>
          <cell r="AE155">
            <v>-5.9384164222873848E-2</v>
          </cell>
          <cell r="AF155">
            <v>-1.6501650165016479E-2</v>
          </cell>
          <cell r="AG155">
            <v>-0.11349693251533743</v>
          </cell>
          <cell r="AH155">
            <v>-6.6772655007949155E-2</v>
          </cell>
          <cell r="AI155">
            <v>-6.3063063063063085E-2</v>
          </cell>
          <cell r="AJ155">
            <v>-6.548856548856552E-2</v>
          </cell>
          <cell r="AK155">
            <v>-4.6728971962616828E-2</v>
          </cell>
          <cell r="AL155">
            <v>-6.0795011691348377E-2</v>
          </cell>
          <cell r="AM155">
            <v>-6.7114093959731447E-3</v>
          </cell>
          <cell r="AO155">
            <v>0.17301038062283736</v>
          </cell>
          <cell r="AQ155">
            <v>8.1771720613287968E-2</v>
          </cell>
          <cell r="AR155">
            <v>5.9294871794872694E-3</v>
          </cell>
          <cell r="AT155">
            <v>5.5450500556173621E-2</v>
          </cell>
          <cell r="AU155">
            <v>0.15277777777777768</v>
          </cell>
          <cell r="AW155">
            <v>8.0165975103734466E-2</v>
          </cell>
          <cell r="BW155">
            <v>5.9384164222873848E-2</v>
          </cell>
        </row>
        <row r="156">
          <cell r="BW156">
            <v>0</v>
          </cell>
        </row>
        <row r="157">
          <cell r="A157" t="str">
            <v>Kogenate (total)</v>
          </cell>
          <cell r="B157">
            <v>663</v>
          </cell>
          <cell r="C157">
            <v>787</v>
          </cell>
          <cell r="D157">
            <v>201</v>
          </cell>
          <cell r="E157">
            <v>210</v>
          </cell>
          <cell r="F157">
            <v>411</v>
          </cell>
          <cell r="G157">
            <v>213</v>
          </cell>
          <cell r="H157">
            <v>624</v>
          </cell>
          <cell r="I157">
            <v>194</v>
          </cell>
          <cell r="J157">
            <v>818</v>
          </cell>
          <cell r="K157">
            <v>233</v>
          </cell>
          <cell r="L157">
            <v>182</v>
          </cell>
          <cell r="M157">
            <v>415</v>
          </cell>
          <cell r="N157">
            <v>235</v>
          </cell>
          <cell r="O157">
            <v>650</v>
          </cell>
          <cell r="P157">
            <v>198</v>
          </cell>
          <cell r="Q157">
            <v>848</v>
          </cell>
          <cell r="R157">
            <v>249</v>
          </cell>
          <cell r="S157">
            <v>184</v>
          </cell>
          <cell r="T157">
            <v>433</v>
          </cell>
          <cell r="U157">
            <v>247</v>
          </cell>
          <cell r="V157">
            <v>680</v>
          </cell>
          <cell r="W157">
            <v>208</v>
          </cell>
          <cell r="X157">
            <v>888</v>
          </cell>
          <cell r="Y157">
            <v>244</v>
          </cell>
          <cell r="Z157">
            <v>238</v>
          </cell>
          <cell r="AA157">
            <v>482</v>
          </cell>
          <cell r="AB157">
            <v>277</v>
          </cell>
          <cell r="AC157">
            <v>759</v>
          </cell>
          <cell r="AD157">
            <v>245</v>
          </cell>
          <cell r="AE157">
            <v>1004</v>
          </cell>
          <cell r="AF157">
            <v>283</v>
          </cell>
          <cell r="AG157">
            <v>262</v>
          </cell>
          <cell r="AH157">
            <v>545</v>
          </cell>
          <cell r="AI157">
            <v>257</v>
          </cell>
          <cell r="AJ157">
            <v>802</v>
          </cell>
          <cell r="AK157">
            <v>273</v>
          </cell>
          <cell r="AL157">
            <v>1075</v>
          </cell>
          <cell r="AM157">
            <v>295</v>
          </cell>
          <cell r="AN157">
            <v>295</v>
          </cell>
          <cell r="AO157">
            <v>289</v>
          </cell>
          <cell r="AQ157">
            <v>584</v>
          </cell>
          <cell r="AR157">
            <v>300</v>
          </cell>
          <cell r="AT157">
            <v>884</v>
          </cell>
          <cell r="AU157">
            <v>298</v>
          </cell>
          <cell r="AW157">
            <v>1182</v>
          </cell>
          <cell r="AY157">
            <v>301</v>
          </cell>
          <cell r="AZ157">
            <v>288.24132306066087</v>
          </cell>
          <cell r="BA157">
            <v>589.24132306066087</v>
          </cell>
          <cell r="BB157">
            <v>299.19378255993115</v>
          </cell>
          <cell r="BC157">
            <v>888.43510562059203</v>
          </cell>
          <cell r="BD157">
            <v>310.47060602027096</v>
          </cell>
          <cell r="BE157">
            <v>1198.905711640863</v>
          </cell>
          <cell r="BF157">
            <v>1285.9564099971117</v>
          </cell>
          <cell r="BG157">
            <v>1320.7640449612725</v>
          </cell>
          <cell r="BH157">
            <v>1356.5404878276431</v>
          </cell>
          <cell r="BI157">
            <v>1385.4664783061216</v>
          </cell>
          <cell r="BJ157">
            <v>1373.6962541497705</v>
          </cell>
          <cell r="BK157">
            <v>1362.2791367181103</v>
          </cell>
          <cell r="BL157">
            <v>1351.2045328093996</v>
          </cell>
          <cell r="BM157">
            <v>1340.4621670179504</v>
          </cell>
          <cell r="BN157">
            <v>1330.0420722002445</v>
          </cell>
          <cell r="BO157">
            <v>1330.0420722002445</v>
          </cell>
          <cell r="BT157">
            <v>2017</v>
          </cell>
          <cell r="BU157">
            <v>2017</v>
          </cell>
          <cell r="BV157">
            <v>2017</v>
          </cell>
          <cell r="BW157">
            <v>352.54048782764312</v>
          </cell>
          <cell r="CA157" t="str">
            <v>mstag:kogenate</v>
          </cell>
          <cell r="CB157">
            <v>6</v>
          </cell>
          <cell r="CC157" t="str">
            <v>ISO4217:EUR</v>
          </cell>
          <cell r="CD157" t="b">
            <v>0</v>
          </cell>
        </row>
        <row r="158">
          <cell r="A158" t="str">
            <v>growth %</v>
          </cell>
          <cell r="C158">
            <v>0.18702865761689291</v>
          </cell>
          <cell r="F158" t="e">
            <v>#REF!</v>
          </cell>
          <cell r="H158" t="e">
            <v>#VALUE!</v>
          </cell>
          <cell r="J158">
            <v>7.6999999999999999E-2</v>
          </cell>
          <cell r="K158">
            <v>0.215</v>
          </cell>
          <cell r="L158">
            <v>-6.7000000000000004E-2</v>
          </cell>
          <cell r="M158">
            <v>9.7323600973235891E-3</v>
          </cell>
          <cell r="N158">
            <v>0.14799999999999999</v>
          </cell>
          <cell r="O158">
            <v>4.1666666666666741E-2</v>
          </cell>
          <cell r="P158">
            <v>2.0618556701030855E-2</v>
          </cell>
          <cell r="Q158">
            <v>3.6674816625916762E-2</v>
          </cell>
          <cell r="R158">
            <v>3.2000000000000001E-2</v>
          </cell>
          <cell r="S158">
            <v>-3.5000000000000003E-2</v>
          </cell>
          <cell r="T158">
            <v>4.3373493975903621E-2</v>
          </cell>
          <cell r="U158">
            <v>5.1063829787234116E-2</v>
          </cell>
          <cell r="V158">
            <v>4.6153846153846212E-2</v>
          </cell>
          <cell r="W158">
            <v>5.0505050505050608E-2</v>
          </cell>
          <cell r="X158">
            <v>4.7169811320754818E-2</v>
          </cell>
          <cell r="Y158">
            <v>-2.008032128514059E-2</v>
          </cell>
          <cell r="Z158">
            <v>0.29347826086956519</v>
          </cell>
          <cell r="AA158">
            <v>0.1131639722863742</v>
          </cell>
          <cell r="AB158">
            <v>0.12145748987854255</v>
          </cell>
          <cell r="AC158">
            <v>0.11617647058823533</v>
          </cell>
          <cell r="AD158">
            <v>0.17788461538461542</v>
          </cell>
          <cell r="AE158">
            <v>0.13063063063063063</v>
          </cell>
          <cell r="AF158">
            <v>0.1598360655737705</v>
          </cell>
          <cell r="AG158">
            <v>0.10084033613445387</v>
          </cell>
          <cell r="AH158">
            <v>0.13070539419087135</v>
          </cell>
          <cell r="AI158">
            <v>-7.2202166064981976E-2</v>
          </cell>
          <cell r="AJ158">
            <v>5.6653491436100101E-2</v>
          </cell>
          <cell r="AK158">
            <v>0.11428571428571432</v>
          </cell>
          <cell r="AL158">
            <v>7.0717131474103523E-2</v>
          </cell>
          <cell r="AM158">
            <v>4.2402826855123754E-2</v>
          </cell>
          <cell r="AN158">
            <v>4.2402826855123754E-2</v>
          </cell>
          <cell r="AO158">
            <v>0.10305343511450382</v>
          </cell>
          <cell r="AQ158">
            <v>7.1559633027522995E-2</v>
          </cell>
          <cell r="AR158">
            <v>0.16731517509727634</v>
          </cell>
          <cell r="AT158">
            <v>0.10224438902743138</v>
          </cell>
          <cell r="AU158">
            <v>9.1575091575091472E-2</v>
          </cell>
          <cell r="AW158">
            <v>9.9534883720930223E-2</v>
          </cell>
          <cell r="AY158">
            <v>2.0338983050847359E-2</v>
          </cell>
          <cell r="AZ158">
            <v>-2.6251797208965977E-3</v>
          </cell>
          <cell r="BA158">
            <v>8.9748682545562897E-3</v>
          </cell>
          <cell r="BB158">
            <v>-2.6873914668961163E-3</v>
          </cell>
          <cell r="BC158">
            <v>5.0170878060995516E-3</v>
          </cell>
          <cell r="BD158">
            <v>4.1847671208963044E-2</v>
          </cell>
          <cell r="BE158">
            <v>1.4302632521880687E-2</v>
          </cell>
          <cell r="BF158">
            <v>7.2608460791389495E-2</v>
          </cell>
          <cell r="BG158">
            <v>2.706750764922039E-2</v>
          </cell>
          <cell r="BH158">
            <v>2.7087686860388205E-2</v>
          </cell>
          <cell r="BI158">
            <v>2.1323352113729044E-2</v>
          </cell>
          <cell r="BJ158">
            <v>-8.4954954455062071E-3</v>
          </cell>
          <cell r="BK158">
            <v>-8.3112386724288889E-3</v>
          </cell>
          <cell r="BL158">
            <v>-8.1294674565675074E-3</v>
          </cell>
          <cell r="BM158">
            <v>-7.9502144424529186E-3</v>
          </cell>
          <cell r="BN158">
            <v>-7.7735090732824474E-3</v>
          </cell>
          <cell r="BO158">
            <v>0</v>
          </cell>
          <cell r="BW158">
            <v>-0.10354294377024242</v>
          </cell>
        </row>
        <row r="159">
          <cell r="A159" t="str">
            <v>Kogenate US</v>
          </cell>
          <cell r="D159">
            <v>61</v>
          </cell>
          <cell r="E159">
            <v>50</v>
          </cell>
          <cell r="F159">
            <v>111</v>
          </cell>
          <cell r="G159">
            <v>58</v>
          </cell>
          <cell r="H159">
            <v>169</v>
          </cell>
          <cell r="I159">
            <v>52</v>
          </cell>
          <cell r="J159">
            <v>221</v>
          </cell>
          <cell r="K159">
            <v>60</v>
          </cell>
          <cell r="L159">
            <v>53</v>
          </cell>
          <cell r="M159">
            <v>113</v>
          </cell>
          <cell r="N159">
            <v>62</v>
          </cell>
          <cell r="O159">
            <v>175</v>
          </cell>
          <cell r="P159">
            <v>60</v>
          </cell>
          <cell r="Q159">
            <v>235</v>
          </cell>
          <cell r="R159">
            <v>75</v>
          </cell>
          <cell r="S159">
            <v>52</v>
          </cell>
          <cell r="T159">
            <v>127</v>
          </cell>
          <cell r="U159">
            <v>67</v>
          </cell>
          <cell r="V159">
            <v>194</v>
          </cell>
          <cell r="W159">
            <v>56</v>
          </cell>
          <cell r="X159">
            <v>250</v>
          </cell>
          <cell r="Y159">
            <v>82</v>
          </cell>
          <cell r="Z159">
            <v>68</v>
          </cell>
          <cell r="AA159">
            <v>150</v>
          </cell>
          <cell r="AB159">
            <v>86</v>
          </cell>
          <cell r="AC159">
            <v>236</v>
          </cell>
          <cell r="AD159">
            <v>63</v>
          </cell>
          <cell r="AE159">
            <v>299</v>
          </cell>
          <cell r="AF159">
            <v>83</v>
          </cell>
          <cell r="AG159">
            <v>75</v>
          </cell>
          <cell r="AH159">
            <v>158</v>
          </cell>
          <cell r="AI159">
            <v>70</v>
          </cell>
          <cell r="AJ159">
            <v>228</v>
          </cell>
          <cell r="AK159">
            <v>62</v>
          </cell>
          <cell r="AL159">
            <v>290</v>
          </cell>
          <cell r="AM159">
            <v>83</v>
          </cell>
          <cell r="AN159">
            <v>83</v>
          </cell>
          <cell r="AO159">
            <v>87</v>
          </cell>
          <cell r="AQ159">
            <v>170</v>
          </cell>
          <cell r="AR159">
            <v>95</v>
          </cell>
          <cell r="AT159">
            <v>265</v>
          </cell>
          <cell r="AU159">
            <v>67</v>
          </cell>
          <cell r="AW159">
            <v>332</v>
          </cell>
          <cell r="AY159">
            <v>79</v>
          </cell>
          <cell r="AZ159">
            <v>87.476487313432827</v>
          </cell>
          <cell r="BA159">
            <v>166.47648731343281</v>
          </cell>
          <cell r="BB159">
            <v>95.996330769230781</v>
          </cell>
          <cell r="BC159">
            <v>262.47281808266359</v>
          </cell>
          <cell r="BD159">
            <v>81.033080767911144</v>
          </cell>
          <cell r="BE159">
            <v>343.50589885057474</v>
          </cell>
          <cell r="BF159">
            <v>377.10573357525772</v>
          </cell>
          <cell r="BG159">
            <v>384.64784824676286</v>
          </cell>
          <cell r="BH159">
            <v>392.34080521169813</v>
          </cell>
          <cell r="BI159">
            <v>392.34080521169813</v>
          </cell>
          <cell r="BJ159">
            <v>380.57058105534719</v>
          </cell>
          <cell r="BK159">
            <v>369.15346362368678</v>
          </cell>
          <cell r="BL159">
            <v>358.07885971497615</v>
          </cell>
          <cell r="BM159">
            <v>347.33649392352686</v>
          </cell>
          <cell r="BN159">
            <v>336.91639910582103</v>
          </cell>
          <cell r="BO159">
            <v>336.91639910582103</v>
          </cell>
        </row>
        <row r="160">
          <cell r="A160" t="str">
            <v>growth reported %</v>
          </cell>
          <cell r="F160" t="e">
            <v>#REF!</v>
          </cell>
          <cell r="H160" t="e">
            <v>#VALUE!</v>
          </cell>
          <cell r="J160" t="e">
            <v>#DIV/0!</v>
          </cell>
          <cell r="K160">
            <v>-1.6393442622950838E-2</v>
          </cell>
          <cell r="L160">
            <v>6.0000000000000053E-2</v>
          </cell>
          <cell r="M160">
            <v>1.8018018018018056E-2</v>
          </cell>
          <cell r="N160">
            <v>6.8965517241379226E-2</v>
          </cell>
          <cell r="O160">
            <v>3.5502958579881616E-2</v>
          </cell>
          <cell r="P160">
            <v>0.15384615384615374</v>
          </cell>
          <cell r="Q160">
            <v>6.3348416289592757E-2</v>
          </cell>
          <cell r="R160">
            <v>0.25</v>
          </cell>
          <cell r="S160">
            <v>-1.8867924528301883E-2</v>
          </cell>
          <cell r="T160">
            <v>0.12389380530973448</v>
          </cell>
          <cell r="U160">
            <v>8.0645161290322509E-2</v>
          </cell>
          <cell r="V160">
            <v>0.10857142857142854</v>
          </cell>
          <cell r="W160">
            <v>-6.6666666666666652E-2</v>
          </cell>
          <cell r="X160">
            <v>6.3829787234042534E-2</v>
          </cell>
          <cell r="Y160">
            <v>9.3333333333333268E-2</v>
          </cell>
          <cell r="Z160">
            <v>0.30769230769230771</v>
          </cell>
          <cell r="AA160">
            <v>0.18110236220472431</v>
          </cell>
          <cell r="AB160">
            <v>0.28358208955223874</v>
          </cell>
          <cell r="AC160">
            <v>0.21649484536082464</v>
          </cell>
          <cell r="AD160">
            <v>0.125</v>
          </cell>
          <cell r="AE160">
            <v>0.19599999999999995</v>
          </cell>
          <cell r="AF160">
            <v>1.2195121951219523E-2</v>
          </cell>
          <cell r="AG160">
            <v>0.10294117647058831</v>
          </cell>
          <cell r="AH160">
            <v>5.3333333333333233E-2</v>
          </cell>
          <cell r="AI160">
            <v>-0.18604651162790697</v>
          </cell>
          <cell r="AJ160">
            <v>-3.3898305084745783E-2</v>
          </cell>
          <cell r="AK160">
            <v>-1.5873015873015928E-2</v>
          </cell>
          <cell r="AL160">
            <v>-3.0100334448160515E-2</v>
          </cell>
          <cell r="AM160">
            <v>0</v>
          </cell>
          <cell r="AN160">
            <v>0</v>
          </cell>
          <cell r="AO160">
            <v>0.15999999999999992</v>
          </cell>
          <cell r="AQ160">
            <v>7.5949367088607556E-2</v>
          </cell>
          <cell r="AR160">
            <v>0.35714285714285721</v>
          </cell>
          <cell r="AT160">
            <v>0.16228070175438591</v>
          </cell>
          <cell r="AU160">
            <v>8.0645161290322509E-2</v>
          </cell>
          <cell r="AW160">
            <v>0.14482758620689662</v>
          </cell>
          <cell r="AY160">
            <v>-4.8192771084337394E-2</v>
          </cell>
          <cell r="AZ160">
            <v>5.4768656716417397E-3</v>
          </cell>
          <cell r="BA160">
            <v>-2.0726545215101089E-2</v>
          </cell>
          <cell r="BB160">
            <v>1.048769230769242E-2</v>
          </cell>
          <cell r="BC160">
            <v>-9.536535537118529E-3</v>
          </cell>
          <cell r="BD160">
            <v>0.20944896668524104</v>
          </cell>
          <cell r="BE160">
            <v>3.4656321839080517E-2</v>
          </cell>
          <cell r="BF160">
            <v>9.7814432989690614E-2</v>
          </cell>
          <cell r="BG160">
            <v>2.0000000000000018E-2</v>
          </cell>
          <cell r="BH160">
            <v>2.0000000000000018E-2</v>
          </cell>
          <cell r="BI160">
            <v>0</v>
          </cell>
          <cell r="BJ160">
            <v>-3.0000000000000027E-2</v>
          </cell>
          <cell r="BK160">
            <v>-3.0000000000000027E-2</v>
          </cell>
          <cell r="BL160">
            <v>-3.0000000000000027E-2</v>
          </cell>
          <cell r="BM160">
            <v>-3.0000000000000027E-2</v>
          </cell>
          <cell r="BN160">
            <v>-3.0000000000000027E-2</v>
          </cell>
          <cell r="BO160">
            <v>0</v>
          </cell>
        </row>
        <row r="161">
          <cell r="A161" t="str">
            <v>growth CER %</v>
          </cell>
          <cell r="AZ161">
            <v>0.05</v>
          </cell>
          <cell r="BB161">
            <v>0.05</v>
          </cell>
          <cell r="BE161">
            <v>0.05</v>
          </cell>
          <cell r="BF161">
            <v>0.02</v>
          </cell>
          <cell r="BG161">
            <v>0.02</v>
          </cell>
          <cell r="BH161">
            <v>0.02</v>
          </cell>
          <cell r="BI161">
            <v>0</v>
          </cell>
          <cell r="BJ161">
            <v>-0.03</v>
          </cell>
          <cell r="BK161">
            <v>-0.03</v>
          </cell>
          <cell r="BL161">
            <v>-0.03</v>
          </cell>
          <cell r="BM161">
            <v>-0.03</v>
          </cell>
          <cell r="BN161">
            <v>-0.03</v>
          </cell>
          <cell r="BO161">
            <v>0</v>
          </cell>
        </row>
        <row r="162">
          <cell r="A162" t="str">
            <v>Kogenate ROW</v>
          </cell>
          <cell r="D162">
            <v>140</v>
          </cell>
          <cell r="E162">
            <v>160</v>
          </cell>
          <cell r="F162">
            <v>300</v>
          </cell>
          <cell r="G162">
            <v>155</v>
          </cell>
          <cell r="H162">
            <v>455</v>
          </cell>
          <cell r="I162">
            <v>142</v>
          </cell>
          <cell r="J162">
            <v>597</v>
          </cell>
          <cell r="K162">
            <v>173</v>
          </cell>
          <cell r="L162">
            <v>129</v>
          </cell>
          <cell r="M162">
            <v>302</v>
          </cell>
          <cell r="N162">
            <v>173</v>
          </cell>
          <cell r="O162">
            <v>475</v>
          </cell>
          <cell r="P162">
            <v>138</v>
          </cell>
          <cell r="Q162">
            <v>613</v>
          </cell>
          <cell r="R162">
            <v>174</v>
          </cell>
          <cell r="S162">
            <v>132</v>
          </cell>
          <cell r="T162">
            <v>306</v>
          </cell>
          <cell r="U162">
            <v>180</v>
          </cell>
          <cell r="V162">
            <v>486</v>
          </cell>
          <cell r="W162">
            <v>152</v>
          </cell>
          <cell r="X162">
            <v>638</v>
          </cell>
          <cell r="Y162">
            <v>162</v>
          </cell>
          <cell r="Z162">
            <v>170</v>
          </cell>
          <cell r="AA162">
            <v>332</v>
          </cell>
          <cell r="AB162">
            <v>191</v>
          </cell>
          <cell r="AC162">
            <v>523</v>
          </cell>
          <cell r="AD162">
            <v>182</v>
          </cell>
          <cell r="AE162">
            <v>705</v>
          </cell>
          <cell r="AF162">
            <v>200</v>
          </cell>
          <cell r="AG162">
            <v>187</v>
          </cell>
          <cell r="AH162">
            <v>387</v>
          </cell>
          <cell r="AI162">
            <v>187</v>
          </cell>
          <cell r="AJ162">
            <v>574</v>
          </cell>
          <cell r="AK162">
            <v>211</v>
          </cell>
          <cell r="AL162">
            <v>785</v>
          </cell>
          <cell r="AM162">
            <v>212</v>
          </cell>
          <cell r="AN162">
            <v>212</v>
          </cell>
          <cell r="AO162">
            <v>202</v>
          </cell>
          <cell r="AQ162">
            <v>414</v>
          </cell>
          <cell r="AR162">
            <v>205</v>
          </cell>
          <cell r="AT162">
            <v>619</v>
          </cell>
          <cell r="AU162">
            <v>231</v>
          </cell>
          <cell r="AW162">
            <v>850</v>
          </cell>
          <cell r="AY162">
            <v>222</v>
          </cell>
          <cell r="AZ162">
            <v>200.76483574722806</v>
          </cell>
          <cell r="BA162">
            <v>422.76483574722806</v>
          </cell>
          <cell r="BB162">
            <v>203.19745179070034</v>
          </cell>
          <cell r="BC162">
            <v>625.96228753792843</v>
          </cell>
          <cell r="BD162">
            <v>229.43752525235982</v>
          </cell>
          <cell r="BE162">
            <v>855.39981279028825</v>
          </cell>
          <cell r="BF162">
            <v>908.85067642185402</v>
          </cell>
          <cell r="BG162">
            <v>936.11619671450967</v>
          </cell>
          <cell r="BH162">
            <v>964.19968261594499</v>
          </cell>
          <cell r="BI162">
            <v>993.12567309442341</v>
          </cell>
          <cell r="BJ162">
            <v>993.12567309442341</v>
          </cell>
          <cell r="BK162">
            <v>993.12567309442341</v>
          </cell>
          <cell r="BL162">
            <v>993.12567309442341</v>
          </cell>
          <cell r="BM162">
            <v>993.12567309442341</v>
          </cell>
          <cell r="BN162">
            <v>993.12567309442341</v>
          </cell>
          <cell r="BO162">
            <v>993.12567309442341</v>
          </cell>
        </row>
        <row r="163">
          <cell r="A163" t="str">
            <v>growth reported %</v>
          </cell>
          <cell r="F163" t="e">
            <v>#REF!</v>
          </cell>
          <cell r="H163" t="e">
            <v>#VALUE!</v>
          </cell>
          <cell r="K163">
            <v>0.23571428571428577</v>
          </cell>
          <cell r="L163">
            <v>-0.19374999999999998</v>
          </cell>
          <cell r="M163">
            <v>6.6666666666665986E-3</v>
          </cell>
          <cell r="N163">
            <v>0.11612903225806459</v>
          </cell>
          <cell r="O163">
            <v>4.3956043956044022E-2</v>
          </cell>
          <cell r="P163">
            <v>-2.8169014084507005E-2</v>
          </cell>
          <cell r="Q163">
            <v>2.6800670016750461E-2</v>
          </cell>
          <cell r="R163">
            <v>5.7803468208093012E-3</v>
          </cell>
          <cell r="S163">
            <v>2.3255813953488413E-2</v>
          </cell>
          <cell r="T163">
            <v>1.3245033112582849E-2</v>
          </cell>
          <cell r="U163">
            <v>4.0462427745664664E-2</v>
          </cell>
          <cell r="V163">
            <v>2.3157894736842044E-2</v>
          </cell>
          <cell r="W163">
            <v>0.10144927536231885</v>
          </cell>
          <cell r="X163">
            <v>4.0783034257748874E-2</v>
          </cell>
          <cell r="Y163">
            <v>-6.8965517241379337E-2</v>
          </cell>
          <cell r="Z163">
            <v>0.28787878787878785</v>
          </cell>
          <cell r="AA163">
            <v>8.4967320261437829E-2</v>
          </cell>
          <cell r="AB163">
            <v>6.1111111111111116E-2</v>
          </cell>
          <cell r="AC163">
            <v>7.6131687242798396E-2</v>
          </cell>
          <cell r="AD163">
            <v>0.19736842105263164</v>
          </cell>
          <cell r="AE163">
            <v>0.10501567398119116</v>
          </cell>
          <cell r="AF163">
            <v>0.23456790123456783</v>
          </cell>
          <cell r="AG163">
            <v>0.10000000000000009</v>
          </cell>
          <cell r="AH163">
            <v>0.1656626506024097</v>
          </cell>
          <cell r="AI163">
            <v>-2.0942408376963373E-2</v>
          </cell>
          <cell r="AJ163">
            <v>9.7514340344168282E-2</v>
          </cell>
          <cell r="AK163">
            <v>0.15934065934065944</v>
          </cell>
          <cell r="AL163">
            <v>0.11347517730496448</v>
          </cell>
          <cell r="AM163">
            <v>6.0000000000000053E-2</v>
          </cell>
          <cell r="AN163">
            <v>6.0000000000000053E-2</v>
          </cell>
          <cell r="AO163">
            <v>8.0213903743315607E-2</v>
          </cell>
          <cell r="AQ163">
            <v>6.9767441860465018E-2</v>
          </cell>
          <cell r="AR163">
            <v>9.625668449197855E-2</v>
          </cell>
          <cell r="AT163">
            <v>7.8397212543553918E-2</v>
          </cell>
          <cell r="AU163">
            <v>9.4786729857819996E-2</v>
          </cell>
          <cell r="AW163">
            <v>8.2802547770700619E-2</v>
          </cell>
          <cell r="AY163">
            <v>4.7169811320754818E-2</v>
          </cell>
          <cell r="AZ163">
            <v>-6.1146745186729801E-3</v>
          </cell>
          <cell r="BA163">
            <v>2.1171100838715207E-2</v>
          </cell>
          <cell r="BB163">
            <v>-8.7929180941446194E-3</v>
          </cell>
          <cell r="BC163">
            <v>1.1247637379528941E-2</v>
          </cell>
          <cell r="BD163">
            <v>-6.7639599464942579E-3</v>
          </cell>
          <cell r="BE163">
            <v>6.3527209297509213E-3</v>
          </cell>
          <cell r="BF163">
            <v>6.2486410252079239E-2</v>
          </cell>
          <cell r="BG163">
            <v>3.0000000000000027E-2</v>
          </cell>
          <cell r="BH163">
            <v>3.0000000000000027E-2</v>
          </cell>
          <cell r="BI163">
            <v>3.0000000000000027E-2</v>
          </cell>
          <cell r="BJ163">
            <v>0</v>
          </cell>
          <cell r="BK163">
            <v>0</v>
          </cell>
          <cell r="BL163">
            <v>0</v>
          </cell>
          <cell r="BM163">
            <v>0</v>
          </cell>
          <cell r="BN163">
            <v>0</v>
          </cell>
          <cell r="BO163">
            <v>0</v>
          </cell>
        </row>
        <row r="164">
          <cell r="A164" t="str">
            <v>growth CER %</v>
          </cell>
          <cell r="AZ164">
            <v>0.06</v>
          </cell>
          <cell r="BB164">
            <v>0.06</v>
          </cell>
          <cell r="BE164">
            <v>0.06</v>
          </cell>
          <cell r="BF164">
            <v>0.03</v>
          </cell>
          <cell r="BG164">
            <v>0.03</v>
          </cell>
          <cell r="BH164">
            <v>0.03</v>
          </cell>
          <cell r="BI164">
            <v>0.03</v>
          </cell>
          <cell r="BJ164">
            <v>0</v>
          </cell>
          <cell r="BK164">
            <v>0</v>
          </cell>
          <cell r="BL164">
            <v>0</v>
          </cell>
          <cell r="BM164">
            <v>0</v>
          </cell>
          <cell r="BN164">
            <v>0</v>
          </cell>
          <cell r="BO164">
            <v>0</v>
          </cell>
        </row>
        <row r="165">
          <cell r="A165" t="str">
            <v>Kogenate (including pipeline indications, note only)</v>
          </cell>
          <cell r="BE165">
            <v>1202.905711640863</v>
          </cell>
          <cell r="BF165">
            <v>1295.9564099971117</v>
          </cell>
          <cell r="BG165">
            <v>1340.7640449612725</v>
          </cell>
          <cell r="BH165">
            <v>1386.5404878276431</v>
          </cell>
          <cell r="BI165">
            <v>1421.4664783061216</v>
          </cell>
          <cell r="BJ165">
            <v>1410.4962541497705</v>
          </cell>
          <cell r="BK165">
            <v>1399.8791367181102</v>
          </cell>
          <cell r="BL165">
            <v>1389.6045328093996</v>
          </cell>
          <cell r="BM165">
            <v>1379.6621670179504</v>
          </cell>
          <cell r="BN165">
            <v>1369.6420722002445</v>
          </cell>
          <cell r="BO165">
            <v>1370.0420722002445</v>
          </cell>
        </row>
        <row r="166">
          <cell r="A166" t="str">
            <v xml:space="preserve"> Xarelto </v>
          </cell>
          <cell r="F166">
            <v>0</v>
          </cell>
          <cell r="H166">
            <v>0</v>
          </cell>
          <cell r="M166">
            <v>0</v>
          </cell>
          <cell r="O166">
            <v>0</v>
          </cell>
          <cell r="P166">
            <v>3</v>
          </cell>
          <cell r="Q166">
            <v>3</v>
          </cell>
          <cell r="R166">
            <v>5</v>
          </cell>
          <cell r="S166">
            <v>5</v>
          </cell>
          <cell r="T166">
            <v>10</v>
          </cell>
          <cell r="U166">
            <v>8</v>
          </cell>
          <cell r="V166">
            <v>18</v>
          </cell>
          <cell r="W166">
            <v>9</v>
          </cell>
          <cell r="X166">
            <v>27</v>
          </cell>
          <cell r="Y166">
            <v>10</v>
          </cell>
          <cell r="Z166">
            <v>18</v>
          </cell>
          <cell r="AA166">
            <v>28</v>
          </cell>
          <cell r="AB166">
            <v>18</v>
          </cell>
          <cell r="AC166">
            <v>46</v>
          </cell>
          <cell r="AD166">
            <v>20</v>
          </cell>
          <cell r="AE166">
            <v>66</v>
          </cell>
          <cell r="AF166">
            <v>16</v>
          </cell>
          <cell r="AG166">
            <v>19</v>
          </cell>
          <cell r="AH166">
            <v>35</v>
          </cell>
          <cell r="AI166">
            <v>20</v>
          </cell>
          <cell r="AJ166">
            <v>55</v>
          </cell>
          <cell r="AK166">
            <v>31</v>
          </cell>
          <cell r="AL166">
            <v>86</v>
          </cell>
          <cell r="AM166">
            <v>42</v>
          </cell>
          <cell r="AN166">
            <v>42</v>
          </cell>
          <cell r="AO166">
            <v>68</v>
          </cell>
          <cell r="AQ166">
            <v>110</v>
          </cell>
          <cell r="AR166">
            <v>81</v>
          </cell>
          <cell r="AT166">
            <v>191</v>
          </cell>
          <cell r="AU166">
            <v>131</v>
          </cell>
          <cell r="AW166">
            <v>322</v>
          </cell>
          <cell r="AY166">
            <v>155</v>
          </cell>
          <cell r="AZ166">
            <v>207.9684653821954</v>
          </cell>
          <cell r="BA166">
            <v>362.96846538219546</v>
          </cell>
          <cell r="BB166">
            <v>221.63822823076924</v>
          </cell>
          <cell r="BC166">
            <v>584.6066936129647</v>
          </cell>
          <cell r="BD166">
            <v>244.19703406766877</v>
          </cell>
          <cell r="BE166">
            <v>828.80372768063341</v>
          </cell>
          <cell r="BF166">
            <v>992.50446049674918</v>
          </cell>
          <cell r="BG166">
            <v>1193.7007029219096</v>
          </cell>
          <cell r="BH166">
            <v>1360.5345978029779</v>
          </cell>
          <cell r="BI166">
            <v>1593.7758316546572</v>
          </cell>
          <cell r="BJ166">
            <v>1791.8315952850137</v>
          </cell>
          <cell r="BK166">
            <v>2006.4077527967568</v>
          </cell>
          <cell r="BL166">
            <v>2237.2535581170519</v>
          </cell>
          <cell r="BM166">
            <v>2354.9056048558332</v>
          </cell>
          <cell r="BN166">
            <v>2134.6422000848811</v>
          </cell>
          <cell r="BO166">
            <v>2030.3383703611466</v>
          </cell>
          <cell r="BT166">
            <v>2020</v>
          </cell>
          <cell r="BU166">
            <v>2021</v>
          </cell>
          <cell r="BV166">
            <v>2020</v>
          </cell>
          <cell r="BW166">
            <v>1294.5345978029779</v>
          </cell>
          <cell r="CA166" t="str">
            <v>mstag:xarelto</v>
          </cell>
          <cell r="CB166">
            <v>6</v>
          </cell>
          <cell r="CC166" t="str">
            <v>ISO4217:EUR</v>
          </cell>
          <cell r="CD166" t="b">
            <v>0</v>
          </cell>
        </row>
        <row r="167">
          <cell r="A167" t="str">
            <v>growth %</v>
          </cell>
          <cell r="Y167">
            <v>1</v>
          </cell>
          <cell r="Z167">
            <v>2.6</v>
          </cell>
          <cell r="AB167">
            <v>1.25</v>
          </cell>
          <cell r="AD167">
            <v>1.2222222222222223</v>
          </cell>
          <cell r="AF167">
            <v>0.60000000000000009</v>
          </cell>
          <cell r="AG167">
            <v>5.555555555555558E-2</v>
          </cell>
          <cell r="AH167">
            <v>0.25</v>
          </cell>
          <cell r="AI167">
            <v>0.11111111111111116</v>
          </cell>
          <cell r="AJ167">
            <v>0.19565217391304346</v>
          </cell>
          <cell r="AK167">
            <v>0.55000000000000004</v>
          </cell>
          <cell r="AL167">
            <v>0.30303030303030298</v>
          </cell>
          <cell r="AM167">
            <v>1.625</v>
          </cell>
          <cell r="AN167">
            <v>1.625</v>
          </cell>
          <cell r="AO167">
            <v>2.5789473684210527</v>
          </cell>
          <cell r="AQ167">
            <v>2.1428571428571428</v>
          </cell>
          <cell r="AR167">
            <v>3.05</v>
          </cell>
          <cell r="AT167">
            <v>2.4727272727272727</v>
          </cell>
          <cell r="AU167">
            <v>3.225806451612903</v>
          </cell>
          <cell r="AW167">
            <v>2.7441860465116279</v>
          </cell>
          <cell r="AY167">
            <v>2.6904761904761907</v>
          </cell>
          <cell r="AZ167">
            <v>2.0583597850322852</v>
          </cell>
          <cell r="BA167">
            <v>2.2997133216563226</v>
          </cell>
          <cell r="BB167">
            <v>1.7362744226020896</v>
          </cell>
          <cell r="BC167">
            <v>2.0607680293872499</v>
          </cell>
          <cell r="BD167">
            <v>0.86409949669976149</v>
          </cell>
          <cell r="BE167">
            <v>1.5739246201261907</v>
          </cell>
          <cell r="BF167">
            <v>0.19751447459608351</v>
          </cell>
          <cell r="BG167">
            <v>0.20271570600746891</v>
          </cell>
          <cell r="BH167">
            <v>0.13976191391418014</v>
          </cell>
          <cell r="BI167">
            <v>0.17143351902136295</v>
          </cell>
          <cell r="BJ167">
            <v>0.12426826891002296</v>
          </cell>
          <cell r="BK167">
            <v>0.11975241316001695</v>
          </cell>
          <cell r="BL167">
            <v>0.11505428295844466</v>
          </cell>
          <cell r="BM167">
            <v>5.2587712426213074E-2</v>
          </cell>
          <cell r="BN167">
            <v>-9.3533857287853572E-2</v>
          </cell>
          <cell r="BO167">
            <v>-4.886244154621644E-2</v>
          </cell>
          <cell r="BW167">
            <v>0.13976191391418014</v>
          </cell>
        </row>
        <row r="168">
          <cell r="A168" t="str">
            <v xml:space="preserve"> Xarelto US (booked as royalties)</v>
          </cell>
          <cell r="F168">
            <v>0</v>
          </cell>
          <cell r="H168">
            <v>0</v>
          </cell>
          <cell r="M168">
            <v>0</v>
          </cell>
          <cell r="O168">
            <v>0</v>
          </cell>
          <cell r="AF168">
            <v>0</v>
          </cell>
          <cell r="AG168">
            <v>1</v>
          </cell>
          <cell r="AH168">
            <v>1</v>
          </cell>
          <cell r="AI168">
            <v>3</v>
          </cell>
          <cell r="AJ168">
            <v>4</v>
          </cell>
          <cell r="AK168">
            <v>8</v>
          </cell>
          <cell r="AL168">
            <v>12</v>
          </cell>
          <cell r="AM168">
            <v>8</v>
          </cell>
          <cell r="AN168">
            <v>8</v>
          </cell>
          <cell r="AO168">
            <v>11</v>
          </cell>
          <cell r="AQ168">
            <v>19</v>
          </cell>
          <cell r="AR168">
            <v>14</v>
          </cell>
          <cell r="AT168">
            <v>33</v>
          </cell>
          <cell r="AU168">
            <v>22</v>
          </cell>
          <cell r="AW168">
            <v>55</v>
          </cell>
          <cell r="AY168">
            <v>22</v>
          </cell>
          <cell r="AZ168">
            <v>31.600701492537311</v>
          </cell>
          <cell r="BA168">
            <v>53.600701492537311</v>
          </cell>
          <cell r="BB168">
            <v>33.682923076923082</v>
          </cell>
          <cell r="BC168">
            <v>87.283624569460386</v>
          </cell>
          <cell r="BD168">
            <v>61.691234694079412</v>
          </cell>
          <cell r="BE168">
            <v>148.9748592635398</v>
          </cell>
          <cell r="BF168">
            <v>192.92449169866268</v>
          </cell>
          <cell r="BG168">
            <v>236.17537164436942</v>
          </cell>
          <cell r="BH168">
            <v>275.94485049315784</v>
          </cell>
          <cell r="BI168">
            <v>330.9716713068886</v>
          </cell>
          <cell r="BJ168">
            <v>382.09271540646768</v>
          </cell>
          <cell r="BK168">
            <v>439.23200115781873</v>
          </cell>
          <cell r="BL168">
            <v>503.04608364870893</v>
          </cell>
          <cell r="BM168">
            <v>574.01290666054138</v>
          </cell>
          <cell r="BN168">
            <v>311.05600774870652</v>
          </cell>
          <cell r="BO168">
            <v>168.14041015000171</v>
          </cell>
          <cell r="BW168">
            <v>275.94485049315784</v>
          </cell>
        </row>
        <row r="169">
          <cell r="A169" t="str">
            <v>growth reported %</v>
          </cell>
          <cell r="AY169">
            <v>1.75</v>
          </cell>
          <cell r="AZ169">
            <v>1.8727910447761191</v>
          </cell>
          <cell r="BB169">
            <v>1.4059230769230773</v>
          </cell>
          <cell r="BD169">
            <v>1.8041470315490642</v>
          </cell>
          <cell r="BE169">
            <v>1.7086338047916327</v>
          </cell>
          <cell r="BF169">
            <v>0.29501375367890104</v>
          </cell>
          <cell r="BG169">
            <v>0.22418553271744379</v>
          </cell>
          <cell r="BH169">
            <v>0.16838961053345103</v>
          </cell>
          <cell r="BI169">
            <v>0.1994123851754761</v>
          </cell>
          <cell r="BJ169">
            <v>0.15445746126162518</v>
          </cell>
          <cell r="BK169">
            <v>0.14954298642036834</v>
          </cell>
          <cell r="BL169">
            <v>0.14528559468043278</v>
          </cell>
          <cell r="BM169">
            <v>0.14107419840562874</v>
          </cell>
          <cell r="BN169">
            <v>-0.45810276364977587</v>
          </cell>
          <cell r="BO169">
            <v>-0.45945294107343626</v>
          </cell>
        </row>
        <row r="170">
          <cell r="A170" t="str">
            <v>growth CER %</v>
          </cell>
          <cell r="AZ170">
            <v>2</v>
          </cell>
          <cell r="BB170">
            <v>1.5</v>
          </cell>
        </row>
        <row r="171">
          <cell r="A171" t="str">
            <v xml:space="preserve"> Xarelto ex-US</v>
          </cell>
          <cell r="AF171">
            <v>16</v>
          </cell>
          <cell r="AG171">
            <v>18</v>
          </cell>
          <cell r="AH171">
            <v>34</v>
          </cell>
          <cell r="AI171">
            <v>17</v>
          </cell>
          <cell r="AJ171">
            <v>51</v>
          </cell>
          <cell r="AK171">
            <v>23</v>
          </cell>
          <cell r="AL171">
            <v>74</v>
          </cell>
          <cell r="AM171">
            <v>34</v>
          </cell>
          <cell r="AN171">
            <v>34</v>
          </cell>
          <cell r="AO171">
            <v>57</v>
          </cell>
          <cell r="AQ171">
            <v>91</v>
          </cell>
          <cell r="AR171">
            <v>67</v>
          </cell>
          <cell r="AT171">
            <v>158</v>
          </cell>
          <cell r="AU171">
            <v>109</v>
          </cell>
          <cell r="AW171">
            <v>267</v>
          </cell>
          <cell r="AY171">
            <v>133</v>
          </cell>
          <cell r="AZ171">
            <v>176.36776388965811</v>
          </cell>
          <cell r="BA171">
            <v>309.36776388965814</v>
          </cell>
          <cell r="BB171">
            <v>187.95530515384615</v>
          </cell>
          <cell r="BC171">
            <v>497.32306904350429</v>
          </cell>
          <cell r="BD171">
            <v>182.50579937358935</v>
          </cell>
          <cell r="BE171">
            <v>679.82886841709364</v>
          </cell>
          <cell r="BF171">
            <v>799.5799687980865</v>
          </cell>
          <cell r="BG171">
            <v>957.5253312775402</v>
          </cell>
          <cell r="BH171">
            <v>1084.58974730982</v>
          </cell>
          <cell r="BI171">
            <v>1262.8041603477686</v>
          </cell>
          <cell r="BJ171">
            <v>1409.738879878546</v>
          </cell>
          <cell r="BK171">
            <v>1567.175751638938</v>
          </cell>
          <cell r="BL171">
            <v>1734.207474468343</v>
          </cell>
          <cell r="BM171">
            <v>1780.8926981952918</v>
          </cell>
          <cell r="BN171">
            <v>1823.5861923361745</v>
          </cell>
          <cell r="BO171">
            <v>1862.1979602111448</v>
          </cell>
          <cell r="BW171">
            <v>1084.58974730982</v>
          </cell>
        </row>
        <row r="172">
          <cell r="A172" t="str">
            <v>growth reported %</v>
          </cell>
          <cell r="AY172">
            <v>2.9117647058823528</v>
          </cell>
          <cell r="AZ172">
            <v>2.0941712963097916</v>
          </cell>
          <cell r="BB172">
            <v>1.8053030619977037</v>
          </cell>
          <cell r="BD172">
            <v>0.67436513186779234</v>
          </cell>
          <cell r="BE172">
            <v>1.5461755371426729</v>
          </cell>
          <cell r="BF172">
            <v>0.17614888973429443</v>
          </cell>
          <cell r="BG172">
            <v>0.19753541689754206</v>
          </cell>
          <cell r="BH172">
            <v>0.13270084026158258</v>
          </cell>
          <cell r="BI172">
            <v>0.16431504490982474</v>
          </cell>
          <cell r="BJ172">
            <v>0.11635590390382644</v>
          </cell>
          <cell r="BK172">
            <v>0.11167803769018247</v>
          </cell>
          <cell r="BL172">
            <v>0.10658135991111695</v>
          </cell>
          <cell r="BM172">
            <v>2.6920206730893792E-2</v>
          </cell>
          <cell r="BN172">
            <v>2.3973086185454573E-2</v>
          </cell>
          <cell r="BO172">
            <v>2.1173535990369308E-2</v>
          </cell>
        </row>
        <row r="173">
          <cell r="A173" t="str">
            <v>growth CER %</v>
          </cell>
          <cell r="AZ173">
            <v>2.2999999999999998</v>
          </cell>
          <cell r="BB173">
            <v>2</v>
          </cell>
        </row>
        <row r="174">
          <cell r="A174" t="str">
            <v>Xarelto (including pipeline indications, note only)</v>
          </cell>
          <cell r="BE174">
            <v>828.80372768063341</v>
          </cell>
          <cell r="BF174">
            <v>992.50446049674918</v>
          </cell>
          <cell r="BG174">
            <v>1198.7007029219096</v>
          </cell>
          <cell r="BH174">
            <v>1373.0345978029779</v>
          </cell>
          <cell r="BI174">
            <v>1618.7758316546572</v>
          </cell>
          <cell r="BJ174">
            <v>1829.3315952850137</v>
          </cell>
          <cell r="BK174">
            <v>2051.4077527967565</v>
          </cell>
          <cell r="BL174">
            <v>2283.2535581170519</v>
          </cell>
          <cell r="BM174">
            <v>2401.9056048558332</v>
          </cell>
          <cell r="BN174">
            <v>2182.6422000848811</v>
          </cell>
          <cell r="BO174">
            <v>2079.3383703611466</v>
          </cell>
        </row>
        <row r="176">
          <cell r="A176" t="str">
            <v>Cardiology / Haematology</v>
          </cell>
          <cell r="B176">
            <v>1201</v>
          </cell>
          <cell r="C176">
            <v>1142</v>
          </cell>
          <cell r="D176">
            <v>268</v>
          </cell>
          <cell r="E176">
            <v>271</v>
          </cell>
          <cell r="F176">
            <v>411</v>
          </cell>
          <cell r="G176">
            <v>264</v>
          </cell>
          <cell r="H176">
            <v>624</v>
          </cell>
          <cell r="I176">
            <v>409</v>
          </cell>
          <cell r="J176">
            <v>1033</v>
          </cell>
          <cell r="K176">
            <v>233</v>
          </cell>
          <cell r="L176">
            <v>182</v>
          </cell>
          <cell r="M176">
            <v>415</v>
          </cell>
          <cell r="N176">
            <v>235</v>
          </cell>
          <cell r="O176">
            <v>650</v>
          </cell>
          <cell r="P176">
            <v>201</v>
          </cell>
          <cell r="Q176">
            <v>851</v>
          </cell>
          <cell r="R176">
            <v>254</v>
          </cell>
          <cell r="S176">
            <v>189</v>
          </cell>
          <cell r="T176">
            <v>443</v>
          </cell>
          <cell r="U176">
            <v>255</v>
          </cell>
          <cell r="V176">
            <v>698</v>
          </cell>
          <cell r="W176">
            <v>217</v>
          </cell>
          <cell r="X176">
            <v>915</v>
          </cell>
          <cell r="Y176">
            <v>254</v>
          </cell>
          <cell r="Z176">
            <v>256</v>
          </cell>
          <cell r="AA176">
            <v>510</v>
          </cell>
          <cell r="AB176">
            <v>295</v>
          </cell>
          <cell r="AC176">
            <v>805</v>
          </cell>
          <cell r="AD176">
            <v>265</v>
          </cell>
          <cell r="AE176">
            <v>1070</v>
          </cell>
          <cell r="AF176">
            <v>299</v>
          </cell>
          <cell r="AG176">
            <v>281</v>
          </cell>
          <cell r="AH176">
            <v>580</v>
          </cell>
          <cell r="AI176">
            <v>277</v>
          </cell>
          <cell r="AJ176">
            <v>857</v>
          </cell>
          <cell r="AK176">
            <v>304</v>
          </cell>
          <cell r="AL176">
            <v>1161</v>
          </cell>
          <cell r="AM176">
            <v>337</v>
          </cell>
          <cell r="AO176">
            <v>357</v>
          </cell>
          <cell r="AQ176">
            <v>694</v>
          </cell>
          <cell r="AR176">
            <v>381</v>
          </cell>
          <cell r="AT176">
            <v>1075</v>
          </cell>
          <cell r="AU176">
            <v>429</v>
          </cell>
          <cell r="AW176">
            <v>1504</v>
          </cell>
          <cell r="BR176">
            <v>-6.4356299709115022E-2</v>
          </cell>
          <cell r="BS176">
            <v>0</v>
          </cell>
          <cell r="BW176">
            <v>-1070</v>
          </cell>
        </row>
        <row r="177">
          <cell r="A177" t="str">
            <v>Growth %</v>
          </cell>
          <cell r="C177">
            <v>-4.9125728559533677E-2</v>
          </cell>
          <cell r="F177" t="e">
            <v>#REF!</v>
          </cell>
          <cell r="H177" t="e">
            <v>#VALUE!</v>
          </cell>
          <cell r="J177">
            <v>-9.544658493870406E-2</v>
          </cell>
          <cell r="K177">
            <v>-0.13059701492537312</v>
          </cell>
          <cell r="L177">
            <v>-0.32841328413284132</v>
          </cell>
          <cell r="M177">
            <v>9.7323600973235891E-3</v>
          </cell>
          <cell r="N177">
            <v>-0.10984848484848486</v>
          </cell>
          <cell r="O177">
            <v>4.1666666666666741E-2</v>
          </cell>
          <cell r="P177">
            <v>-0.50855745721271395</v>
          </cell>
          <cell r="Q177">
            <v>-0.17618586640851885</v>
          </cell>
          <cell r="R177">
            <v>9.0128755364806912E-2</v>
          </cell>
          <cell r="S177">
            <v>3.8461538461538547E-2</v>
          </cell>
          <cell r="T177">
            <v>6.7469879518072373E-2</v>
          </cell>
          <cell r="U177">
            <v>8.5106382978723305E-2</v>
          </cell>
          <cell r="V177">
            <v>7.3846153846153895E-2</v>
          </cell>
          <cell r="W177">
            <v>7.9601990049751326E-2</v>
          </cell>
          <cell r="X177">
            <v>7.5205640423031683E-2</v>
          </cell>
          <cell r="Y177">
            <v>0</v>
          </cell>
          <cell r="Z177">
            <v>0.35449735449735442</v>
          </cell>
          <cell r="AA177">
            <v>0.15124153498871329</v>
          </cell>
          <cell r="AB177">
            <v>0.15686274509803932</v>
          </cell>
          <cell r="AC177">
            <v>0.15329512893982811</v>
          </cell>
          <cell r="AD177">
            <v>0.22119815668202758</v>
          </cell>
          <cell r="AE177">
            <v>0.1693989071038251</v>
          </cell>
          <cell r="AF177">
            <v>0.17716535433070857</v>
          </cell>
          <cell r="AG177">
            <v>9.765625E-2</v>
          </cell>
          <cell r="AH177">
            <v>0.13725490196078427</v>
          </cell>
          <cell r="AI177">
            <v>-6.101694915254241E-2</v>
          </cell>
          <cell r="AJ177">
            <v>6.459627329192541E-2</v>
          </cell>
          <cell r="AK177">
            <v>0.14716981132075468</v>
          </cell>
          <cell r="AL177">
            <v>8.5046728971962526E-2</v>
          </cell>
          <cell r="AM177">
            <v>0.1270903010033444</v>
          </cell>
          <cell r="AO177">
            <v>0.27046263345195731</v>
          </cell>
          <cell r="AQ177">
            <v>0.19655172413793109</v>
          </cell>
          <cell r="AR177">
            <v>0.37545126353790614</v>
          </cell>
          <cell r="AT177">
            <v>0.25437572928821472</v>
          </cell>
          <cell r="AU177">
            <v>0.41118421052631571</v>
          </cell>
          <cell r="AW177">
            <v>0.29543496985357454</v>
          </cell>
          <cell r="BW177">
            <v>-0.1693989071038251</v>
          </cell>
        </row>
        <row r="178">
          <cell r="BW178">
            <v>0</v>
          </cell>
        </row>
        <row r="179">
          <cell r="A179" t="str">
            <v>Nexavar (total)</v>
          </cell>
          <cell r="C179">
            <v>130</v>
          </cell>
          <cell r="D179">
            <v>47</v>
          </cell>
          <cell r="E179">
            <v>60</v>
          </cell>
          <cell r="F179">
            <v>107</v>
          </cell>
          <cell r="G179">
            <v>76</v>
          </cell>
          <cell r="H179">
            <v>183</v>
          </cell>
          <cell r="I179">
            <v>87</v>
          </cell>
          <cell r="J179">
            <v>270</v>
          </cell>
          <cell r="K179">
            <v>101</v>
          </cell>
          <cell r="L179">
            <v>108</v>
          </cell>
          <cell r="M179">
            <v>209</v>
          </cell>
          <cell r="N179">
            <v>121</v>
          </cell>
          <cell r="O179">
            <v>330</v>
          </cell>
          <cell r="P179">
            <v>132</v>
          </cell>
          <cell r="Q179">
            <v>462</v>
          </cell>
          <cell r="R179">
            <v>137</v>
          </cell>
          <cell r="S179">
            <v>147</v>
          </cell>
          <cell r="T179">
            <v>284</v>
          </cell>
          <cell r="U179">
            <v>161</v>
          </cell>
          <cell r="V179">
            <v>445</v>
          </cell>
          <cell r="W179">
            <v>159</v>
          </cell>
          <cell r="X179">
            <v>604</v>
          </cell>
          <cell r="Y179">
            <v>155</v>
          </cell>
          <cell r="Z179">
            <v>186</v>
          </cell>
          <cell r="AA179">
            <v>341</v>
          </cell>
          <cell r="AB179">
            <v>175</v>
          </cell>
          <cell r="AC179">
            <v>516</v>
          </cell>
          <cell r="AD179">
            <v>189</v>
          </cell>
          <cell r="AE179">
            <v>705</v>
          </cell>
          <cell r="AF179">
            <v>172</v>
          </cell>
          <cell r="AG179">
            <v>171</v>
          </cell>
          <cell r="AH179">
            <v>343</v>
          </cell>
          <cell r="AI179">
            <v>177</v>
          </cell>
          <cell r="AJ179">
            <v>520</v>
          </cell>
          <cell r="AK179">
            <v>205</v>
          </cell>
          <cell r="AL179">
            <v>725</v>
          </cell>
          <cell r="AM179">
            <v>186</v>
          </cell>
          <cell r="AN179">
            <v>186</v>
          </cell>
          <cell r="AO179">
            <v>195</v>
          </cell>
          <cell r="AQ179">
            <v>381</v>
          </cell>
          <cell r="AR179">
            <v>199</v>
          </cell>
          <cell r="AT179">
            <v>580</v>
          </cell>
          <cell r="AU179">
            <v>212</v>
          </cell>
          <cell r="AW179">
            <v>792</v>
          </cell>
          <cell r="AY179">
            <v>173</v>
          </cell>
          <cell r="AZ179">
            <v>183.8758009495437</v>
          </cell>
          <cell r="BA179">
            <v>356.87580094954376</v>
          </cell>
          <cell r="BB179">
            <v>187.58485466819749</v>
          </cell>
          <cell r="BC179">
            <v>544.46065561774117</v>
          </cell>
          <cell r="BD179">
            <v>214.79923021919581</v>
          </cell>
          <cell r="BE179">
            <v>759.25988583693697</v>
          </cell>
          <cell r="BF179">
            <v>815.96845640611082</v>
          </cell>
          <cell r="BG179">
            <v>840.44751009829417</v>
          </cell>
          <cell r="BH179">
            <v>865.66093540124302</v>
          </cell>
          <cell r="BI179">
            <v>891.63076346328035</v>
          </cell>
          <cell r="BJ179">
            <v>918.37968636717881</v>
          </cell>
          <cell r="BK179">
            <v>945.93107695819413</v>
          </cell>
          <cell r="BL179">
            <v>679.24331815695302</v>
          </cell>
          <cell r="BM179">
            <v>422.13277094961887</v>
          </cell>
          <cell r="BN179">
            <v>264.69860819105196</v>
          </cell>
          <cell r="BO179">
            <v>183.35640373808414</v>
          </cell>
          <cell r="BT179">
            <v>2021</v>
          </cell>
          <cell r="BU179">
            <v>2021</v>
          </cell>
          <cell r="BV179">
            <v>2020</v>
          </cell>
          <cell r="BW179">
            <v>160.66093540124302</v>
          </cell>
          <cell r="CA179" t="str">
            <v>mstag:nexavar</v>
          </cell>
          <cell r="CB179">
            <v>6</v>
          </cell>
          <cell r="CC179" t="str">
            <v>ISO4217:EUR</v>
          </cell>
          <cell r="CD179" t="b">
            <v>0</v>
          </cell>
        </row>
        <row r="180">
          <cell r="A180" t="str">
            <v>growth %</v>
          </cell>
          <cell r="F180" t="e">
            <v>#REF!</v>
          </cell>
          <cell r="H180" t="e">
            <v>#VALUE!</v>
          </cell>
          <cell r="J180">
            <v>1.1619999999999999</v>
          </cell>
          <cell r="K180">
            <v>1.2989999999999999</v>
          </cell>
          <cell r="L180">
            <v>0.90400000000000003</v>
          </cell>
          <cell r="M180">
            <v>0.95327102803738328</v>
          </cell>
          <cell r="N180">
            <v>0.629</v>
          </cell>
          <cell r="O180">
            <v>0.80327868852459017</v>
          </cell>
          <cell r="P180">
            <v>0.51724137931034475</v>
          </cell>
          <cell r="Q180">
            <v>0.71111111111111103</v>
          </cell>
          <cell r="R180">
            <v>0.28599999999999998</v>
          </cell>
          <cell r="S180">
            <v>0.29499999999999998</v>
          </cell>
          <cell r="T180">
            <v>0.35885167464114831</v>
          </cell>
          <cell r="U180">
            <v>0.33057851239669422</v>
          </cell>
          <cell r="V180">
            <v>0.3484848484848484</v>
          </cell>
          <cell r="W180">
            <v>0.20454545454545459</v>
          </cell>
          <cell r="X180">
            <v>0.30735930735930728</v>
          </cell>
          <cell r="Y180">
            <v>0.13138686131386867</v>
          </cell>
          <cell r="Z180">
            <v>0.26530612244897966</v>
          </cell>
          <cell r="AA180">
            <v>0.20070422535211274</v>
          </cell>
          <cell r="AB180">
            <v>8.6956521739130377E-2</v>
          </cell>
          <cell r="AC180">
            <v>0.15955056179775284</v>
          </cell>
          <cell r="AD180">
            <v>0.18867924528301883</v>
          </cell>
          <cell r="AE180">
            <v>0.16721854304635753</v>
          </cell>
          <cell r="AF180">
            <v>0.10967741935483866</v>
          </cell>
          <cell r="AG180">
            <v>-8.064516129032262E-2</v>
          </cell>
          <cell r="AH180">
            <v>5.8651026392961825E-3</v>
          </cell>
          <cell r="AI180">
            <v>1.1428571428571344E-2</v>
          </cell>
          <cell r="AJ180">
            <v>7.7519379844961378E-3</v>
          </cell>
          <cell r="AK180">
            <v>8.4656084656084651E-2</v>
          </cell>
          <cell r="AL180">
            <v>2.8368794326241176E-2</v>
          </cell>
          <cell r="AM180">
            <v>8.1395348837209225E-2</v>
          </cell>
          <cell r="AN180">
            <v>8.1395348837209225E-2</v>
          </cell>
          <cell r="AO180">
            <v>0.14035087719298245</v>
          </cell>
          <cell r="AQ180">
            <v>0.11078717201166177</v>
          </cell>
          <cell r="AR180">
            <v>0.12429378531073443</v>
          </cell>
          <cell r="AT180">
            <v>0.11538461538461542</v>
          </cell>
          <cell r="AU180">
            <v>3.4146341463414664E-2</v>
          </cell>
          <cell r="AW180">
            <v>9.2413793103448327E-2</v>
          </cell>
          <cell r="AY180">
            <v>-6.9892473118279619E-2</v>
          </cell>
          <cell r="AZ180">
            <v>-5.7047174617724572E-2</v>
          </cell>
          <cell r="BA180">
            <v>-6.3318107743979613E-2</v>
          </cell>
          <cell r="BB180">
            <v>-5.7362539355791498E-2</v>
          </cell>
          <cell r="BC180">
            <v>-6.1274731693549689E-2</v>
          </cell>
          <cell r="BD180">
            <v>1.32039161282822E-2</v>
          </cell>
          <cell r="BE180">
            <v>-4.1338527983665441E-2</v>
          </cell>
          <cell r="BF180">
            <v>7.4689275209981032E-2</v>
          </cell>
          <cell r="BG180">
            <v>3.0000000000000027E-2</v>
          </cell>
          <cell r="BH180">
            <v>3.0000000000000027E-2</v>
          </cell>
          <cell r="BI180">
            <v>3.0000000000000027E-2</v>
          </cell>
          <cell r="BJ180">
            <v>3.0000000000000027E-2</v>
          </cell>
          <cell r="BK180">
            <v>3.0000000000000027E-2</v>
          </cell>
          <cell r="BL180">
            <v>-0.28193149088496172</v>
          </cell>
          <cell r="BM180">
            <v>-0.37852495613055637</v>
          </cell>
          <cell r="BN180">
            <v>-0.37294939789774462</v>
          </cell>
          <cell r="BO180">
            <v>-0.3073012170666849</v>
          </cell>
          <cell r="BW180">
            <v>-0.1372185430463575</v>
          </cell>
        </row>
        <row r="181">
          <cell r="A181" t="str">
            <v>Nexavar US</v>
          </cell>
          <cell r="D181">
            <v>20</v>
          </cell>
          <cell r="E181">
            <v>24</v>
          </cell>
          <cell r="F181">
            <v>44</v>
          </cell>
          <cell r="G181">
            <v>30</v>
          </cell>
          <cell r="H181">
            <v>74</v>
          </cell>
          <cell r="I181">
            <v>30</v>
          </cell>
          <cell r="J181">
            <v>104</v>
          </cell>
          <cell r="K181">
            <v>34</v>
          </cell>
          <cell r="L181">
            <v>30</v>
          </cell>
          <cell r="M181">
            <v>64</v>
          </cell>
          <cell r="N181">
            <v>32</v>
          </cell>
          <cell r="O181">
            <v>96</v>
          </cell>
          <cell r="P181">
            <v>39</v>
          </cell>
          <cell r="R181">
            <v>37</v>
          </cell>
          <cell r="S181">
            <v>39</v>
          </cell>
          <cell r="T181">
            <v>76</v>
          </cell>
          <cell r="U181">
            <v>40</v>
          </cell>
          <cell r="V181">
            <v>116</v>
          </cell>
          <cell r="W181">
            <v>38</v>
          </cell>
          <cell r="X181">
            <v>154</v>
          </cell>
          <cell r="Y181">
            <v>39</v>
          </cell>
          <cell r="Z181">
            <v>47</v>
          </cell>
          <cell r="AA181">
            <v>86</v>
          </cell>
          <cell r="AB181">
            <v>43</v>
          </cell>
          <cell r="AC181">
            <v>129</v>
          </cell>
          <cell r="AD181">
            <v>45</v>
          </cell>
          <cell r="AE181">
            <v>174</v>
          </cell>
          <cell r="AF181">
            <v>40</v>
          </cell>
          <cell r="AG181">
            <v>41</v>
          </cell>
          <cell r="AH181">
            <v>81</v>
          </cell>
          <cell r="AI181">
            <v>45</v>
          </cell>
          <cell r="AJ181">
            <v>126</v>
          </cell>
          <cell r="AK181">
            <v>48</v>
          </cell>
          <cell r="AL181">
            <v>174</v>
          </cell>
          <cell r="AM181">
            <v>49</v>
          </cell>
          <cell r="AN181">
            <v>49</v>
          </cell>
          <cell r="AO181">
            <v>52</v>
          </cell>
          <cell r="AQ181">
            <v>101</v>
          </cell>
          <cell r="AR181">
            <v>55</v>
          </cell>
          <cell r="AT181">
            <v>156</v>
          </cell>
          <cell r="AU181">
            <v>48</v>
          </cell>
          <cell r="AW181">
            <v>204</v>
          </cell>
          <cell r="AY181">
            <v>45</v>
          </cell>
          <cell r="AZ181">
            <v>49.795044776119397</v>
          </cell>
          <cell r="BA181">
            <v>94.795044776119397</v>
          </cell>
          <cell r="BB181">
            <v>52.9303076923077</v>
          </cell>
          <cell r="BC181">
            <v>147.7253524684271</v>
          </cell>
          <cell r="BD181">
            <v>53.293590060308532</v>
          </cell>
          <cell r="BE181">
            <v>201.01894252873564</v>
          </cell>
          <cell r="BF181">
            <v>222.84504049484539</v>
          </cell>
          <cell r="BG181">
            <v>229.53039170969075</v>
          </cell>
          <cell r="BH181">
            <v>236.41630346098148</v>
          </cell>
          <cell r="BI181">
            <v>243.50879256481093</v>
          </cell>
          <cell r="BJ181">
            <v>250.81405634175528</v>
          </cell>
          <cell r="BK181">
            <v>258.33847803200791</v>
          </cell>
          <cell r="BL181">
            <v>129.16923901600396</v>
          </cell>
          <cell r="BM181">
            <v>64.584619508001978</v>
          </cell>
          <cell r="BN181">
            <v>32.292309754000989</v>
          </cell>
          <cell r="BO181">
            <v>32.292309754000989</v>
          </cell>
        </row>
        <row r="182">
          <cell r="A182" t="str">
            <v>growth reported %</v>
          </cell>
          <cell r="F182" t="e">
            <v>#REF!</v>
          </cell>
          <cell r="H182" t="e">
            <v>#VALUE!</v>
          </cell>
          <cell r="J182" t="e">
            <v>#DIV/0!</v>
          </cell>
          <cell r="K182">
            <v>0.7</v>
          </cell>
          <cell r="L182">
            <v>0.25</v>
          </cell>
          <cell r="M182">
            <v>0.45454545454545459</v>
          </cell>
          <cell r="N182">
            <v>6.6666666666666652E-2</v>
          </cell>
          <cell r="O182">
            <v>0.29729729729729737</v>
          </cell>
          <cell r="P182">
            <v>0.30000000000000004</v>
          </cell>
          <cell r="Q182">
            <v>-1</v>
          </cell>
          <cell r="R182">
            <v>8.8235294117646967E-2</v>
          </cell>
          <cell r="S182">
            <v>0.30000000000000004</v>
          </cell>
          <cell r="T182">
            <v>0.1875</v>
          </cell>
          <cell r="U182">
            <v>0.25</v>
          </cell>
          <cell r="V182">
            <v>0.20833333333333326</v>
          </cell>
          <cell r="W182">
            <v>-2.5641025641025661E-2</v>
          </cell>
          <cell r="X182" t="e">
            <v>#DIV/0!</v>
          </cell>
          <cell r="Y182">
            <v>5.4054054054053946E-2</v>
          </cell>
          <cell r="Z182">
            <v>0.20512820512820507</v>
          </cell>
          <cell r="AA182">
            <v>0.13157894736842102</v>
          </cell>
          <cell r="AB182">
            <v>7.4999999999999956E-2</v>
          </cell>
          <cell r="AC182">
            <v>0.11206896551724133</v>
          </cell>
          <cell r="AD182">
            <v>0.18421052631578938</v>
          </cell>
          <cell r="AE182">
            <v>0.12987012987012991</v>
          </cell>
          <cell r="AF182">
            <v>2.564102564102555E-2</v>
          </cell>
          <cell r="AG182">
            <v>-0.12765957446808507</v>
          </cell>
          <cell r="AH182">
            <v>-5.8139534883720922E-2</v>
          </cell>
          <cell r="AI182">
            <v>4.6511627906976827E-2</v>
          </cell>
          <cell r="AJ182">
            <v>-2.3255813953488413E-2</v>
          </cell>
          <cell r="AK182">
            <v>6.6666666666666652E-2</v>
          </cell>
          <cell r="AL182">
            <v>0</v>
          </cell>
          <cell r="AM182">
            <v>0.22500000000000009</v>
          </cell>
          <cell r="AN182">
            <v>0.22500000000000009</v>
          </cell>
          <cell r="AO182">
            <v>0.26829268292682928</v>
          </cell>
          <cell r="AQ182">
            <v>0.24691358024691357</v>
          </cell>
          <cell r="AR182">
            <v>0.22222222222222232</v>
          </cell>
          <cell r="AT182">
            <v>0.23809523809523814</v>
          </cell>
          <cell r="AU182">
            <v>0</v>
          </cell>
          <cell r="AW182">
            <v>0.17241379310344818</v>
          </cell>
          <cell r="AY182">
            <v>-8.1632653061224469E-2</v>
          </cell>
          <cell r="AZ182">
            <v>-4.240298507462692E-2</v>
          </cell>
          <cell r="BA182">
            <v>-6.1435200236441667E-2</v>
          </cell>
          <cell r="BB182">
            <v>-3.7630769230769134E-2</v>
          </cell>
          <cell r="BC182">
            <v>-5.3042612381877574E-2</v>
          </cell>
          <cell r="BD182">
            <v>0.11028312625642767</v>
          </cell>
          <cell r="BE182">
            <v>-1.461302681992338E-2</v>
          </cell>
          <cell r="BF182">
            <v>0.10857731958762895</v>
          </cell>
          <cell r="BG182">
            <v>3.0000000000000027E-2</v>
          </cell>
          <cell r="BH182">
            <v>3.0000000000000027E-2</v>
          </cell>
          <cell r="BI182">
            <v>3.0000000000000027E-2</v>
          </cell>
          <cell r="BJ182">
            <v>3.0000000000000027E-2</v>
          </cell>
          <cell r="BK182">
            <v>3.0000000000000027E-2</v>
          </cell>
          <cell r="BL182">
            <v>-0.5</v>
          </cell>
          <cell r="BM182">
            <v>-0.5</v>
          </cell>
          <cell r="BN182">
            <v>-0.5</v>
          </cell>
          <cell r="BO182">
            <v>0</v>
          </cell>
        </row>
        <row r="183">
          <cell r="A183" t="str">
            <v>growth CER %</v>
          </cell>
          <cell r="AZ183">
            <v>0</v>
          </cell>
          <cell r="BB183">
            <v>0</v>
          </cell>
          <cell r="BE183">
            <v>0</v>
          </cell>
          <cell r="BF183">
            <v>0.03</v>
          </cell>
          <cell r="BG183">
            <v>0.03</v>
          </cell>
          <cell r="BH183">
            <v>0.03</v>
          </cell>
          <cell r="BI183">
            <v>0.03</v>
          </cell>
          <cell r="BJ183">
            <v>0.03</v>
          </cell>
          <cell r="BK183">
            <v>0.03</v>
          </cell>
          <cell r="BL183">
            <v>-0.5</v>
          </cell>
          <cell r="BM183">
            <v>-0.5</v>
          </cell>
          <cell r="BN183">
            <v>-0.5</v>
          </cell>
          <cell r="BO183">
            <v>0</v>
          </cell>
        </row>
        <row r="184">
          <cell r="A184" t="str">
            <v>Nexavar ROW</v>
          </cell>
          <cell r="D184">
            <v>27</v>
          </cell>
          <cell r="E184">
            <v>36</v>
          </cell>
          <cell r="F184">
            <v>63</v>
          </cell>
          <cell r="G184">
            <v>46</v>
          </cell>
          <cell r="H184">
            <v>109</v>
          </cell>
          <cell r="I184">
            <v>57</v>
          </cell>
          <cell r="J184">
            <v>166</v>
          </cell>
          <cell r="K184">
            <v>67</v>
          </cell>
          <cell r="L184">
            <v>78</v>
          </cell>
          <cell r="M184">
            <v>145</v>
          </cell>
          <cell r="N184">
            <v>89</v>
          </cell>
          <cell r="O184">
            <v>234</v>
          </cell>
          <cell r="P184">
            <v>93</v>
          </cell>
          <cell r="Q184">
            <v>462</v>
          </cell>
          <cell r="R184">
            <v>100</v>
          </cell>
          <cell r="S184">
            <v>108</v>
          </cell>
          <cell r="T184">
            <v>208</v>
          </cell>
          <cell r="U184">
            <v>121</v>
          </cell>
          <cell r="V184">
            <v>329</v>
          </cell>
          <cell r="W184">
            <v>121</v>
          </cell>
          <cell r="X184">
            <v>450</v>
          </cell>
          <cell r="Y184">
            <v>116</v>
          </cell>
          <cell r="Z184">
            <v>139</v>
          </cell>
          <cell r="AA184">
            <v>255</v>
          </cell>
          <cell r="AB184">
            <v>132</v>
          </cell>
          <cell r="AC184">
            <v>387</v>
          </cell>
          <cell r="AD184">
            <v>144</v>
          </cell>
          <cell r="AE184">
            <v>531</v>
          </cell>
          <cell r="AF184">
            <v>132</v>
          </cell>
          <cell r="AG184">
            <v>130</v>
          </cell>
          <cell r="AH184">
            <v>262</v>
          </cell>
          <cell r="AI184">
            <v>132</v>
          </cell>
          <cell r="AJ184">
            <v>394</v>
          </cell>
          <cell r="AK184">
            <v>157</v>
          </cell>
          <cell r="AL184">
            <v>551</v>
          </cell>
          <cell r="AM184">
            <v>137</v>
          </cell>
          <cell r="AN184">
            <v>137</v>
          </cell>
          <cell r="AO184">
            <v>143</v>
          </cell>
          <cell r="AQ184">
            <v>280</v>
          </cell>
          <cell r="AR184">
            <v>144</v>
          </cell>
          <cell r="AT184">
            <v>424</v>
          </cell>
          <cell r="AU184">
            <v>164</v>
          </cell>
          <cell r="AW184">
            <v>588</v>
          </cell>
          <cell r="AY184">
            <v>128</v>
          </cell>
          <cell r="AZ184">
            <v>134.08075617342431</v>
          </cell>
          <cell r="BA184">
            <v>262.08075617342433</v>
          </cell>
          <cell r="BB184">
            <v>134.65454697588979</v>
          </cell>
          <cell r="BC184">
            <v>396.73530314931412</v>
          </cell>
          <cell r="BD184">
            <v>161.50564015888727</v>
          </cell>
          <cell r="BE184">
            <v>558.24094330820139</v>
          </cell>
          <cell r="BF184">
            <v>593.1234159112654</v>
          </cell>
          <cell r="BG184">
            <v>610.9171183886034</v>
          </cell>
          <cell r="BH184">
            <v>629.24463194026157</v>
          </cell>
          <cell r="BI184">
            <v>648.12197089846939</v>
          </cell>
          <cell r="BJ184">
            <v>667.5656300254235</v>
          </cell>
          <cell r="BK184">
            <v>687.59259892618627</v>
          </cell>
          <cell r="BL184">
            <v>550.07407914094904</v>
          </cell>
          <cell r="BM184">
            <v>357.54815144161688</v>
          </cell>
          <cell r="BN184">
            <v>232.40629843705099</v>
          </cell>
          <cell r="BO184">
            <v>151.06409398408314</v>
          </cell>
        </row>
        <row r="185">
          <cell r="A185" t="str">
            <v>growth reported %</v>
          </cell>
          <cell r="F185" t="e">
            <v>#REF!</v>
          </cell>
          <cell r="H185" t="e">
            <v>#VALUE!</v>
          </cell>
          <cell r="K185">
            <v>1.4814814814814814</v>
          </cell>
          <cell r="L185">
            <v>1.1666666666666665</v>
          </cell>
          <cell r="M185">
            <v>1.3015873015873014</v>
          </cell>
          <cell r="N185">
            <v>0.93478260869565211</v>
          </cell>
          <cell r="O185">
            <v>1.1467889908256881</v>
          </cell>
          <cell r="P185">
            <v>0.63157894736842102</v>
          </cell>
          <cell r="Q185">
            <v>1.7831325301204819</v>
          </cell>
          <cell r="R185">
            <v>0.49253731343283591</v>
          </cell>
          <cell r="S185">
            <v>0.38461538461538458</v>
          </cell>
          <cell r="T185">
            <v>0.43448275862068964</v>
          </cell>
          <cell r="U185">
            <v>0.3595505617977528</v>
          </cell>
          <cell r="V185">
            <v>0.40598290598290587</v>
          </cell>
          <cell r="W185">
            <v>0.30107526881720426</v>
          </cell>
          <cell r="X185">
            <v>-2.5974025974025983E-2</v>
          </cell>
          <cell r="Y185">
            <v>0.15999999999999992</v>
          </cell>
          <cell r="Z185">
            <v>0.28703703703703698</v>
          </cell>
          <cell r="AA185">
            <v>0.22596153846153855</v>
          </cell>
          <cell r="AB185">
            <v>9.0909090909090828E-2</v>
          </cell>
          <cell r="AC185">
            <v>0.17629179331306988</v>
          </cell>
          <cell r="AD185">
            <v>0.19008264462809921</v>
          </cell>
          <cell r="AE185">
            <v>0.17999999999999994</v>
          </cell>
          <cell r="AF185">
            <v>0.13793103448275867</v>
          </cell>
          <cell r="AG185">
            <v>-6.4748201438848962E-2</v>
          </cell>
          <cell r="AH185">
            <v>2.7450980392156765E-2</v>
          </cell>
          <cell r="AI185">
            <v>0</v>
          </cell>
          <cell r="AJ185">
            <v>1.8087855297157729E-2</v>
          </cell>
          <cell r="AK185">
            <v>9.0277777777777679E-2</v>
          </cell>
          <cell r="AL185">
            <v>3.7664783427495241E-2</v>
          </cell>
          <cell r="AM185">
            <v>3.7878787878787845E-2</v>
          </cell>
          <cell r="AN185">
            <v>3.7878787878787845E-2</v>
          </cell>
          <cell r="AO185">
            <v>0.10000000000000009</v>
          </cell>
          <cell r="AQ185">
            <v>6.8702290076335881E-2</v>
          </cell>
          <cell r="AR185">
            <v>9.0909090909090828E-2</v>
          </cell>
          <cell r="AT185">
            <v>7.6142131979695327E-2</v>
          </cell>
          <cell r="AU185">
            <v>4.4585987261146487E-2</v>
          </cell>
          <cell r="AW185">
            <v>6.7150635208711451E-2</v>
          </cell>
          <cell r="AY185">
            <v>-6.5693430656934337E-2</v>
          </cell>
          <cell r="AZ185">
            <v>-6.2372334451578304E-2</v>
          </cell>
          <cell r="BA185">
            <v>-6.399729938062737E-2</v>
          </cell>
          <cell r="BB185">
            <v>-6.4898979334098716E-2</v>
          </cell>
          <cell r="BC185">
            <v>-6.4303530308221446E-2</v>
          </cell>
          <cell r="BD185">
            <v>-1.5209511226297101E-2</v>
          </cell>
          <cell r="BE185">
            <v>-5.0610640632310577E-2</v>
          </cell>
          <cell r="BF185">
            <v>6.2486410252079239E-2</v>
          </cell>
          <cell r="BG185">
            <v>3.0000000000000027E-2</v>
          </cell>
          <cell r="BH185">
            <v>3.0000000000000027E-2</v>
          </cell>
          <cell r="BI185">
            <v>3.0000000000000027E-2</v>
          </cell>
          <cell r="BJ185">
            <v>3.0000000000000027E-2</v>
          </cell>
          <cell r="BK185">
            <v>3.0000000000000027E-2</v>
          </cell>
          <cell r="BL185">
            <v>-0.19999999999999996</v>
          </cell>
          <cell r="BM185">
            <v>-0.35</v>
          </cell>
          <cell r="BN185">
            <v>-0.35</v>
          </cell>
          <cell r="BO185">
            <v>-0.35</v>
          </cell>
        </row>
        <row r="186">
          <cell r="A186" t="str">
            <v>growth CER %</v>
          </cell>
          <cell r="AZ186">
            <v>0</v>
          </cell>
          <cell r="BB186">
            <v>0</v>
          </cell>
          <cell r="BE186">
            <v>0</v>
          </cell>
          <cell r="BF186">
            <v>0.03</v>
          </cell>
          <cell r="BG186">
            <v>0.03</v>
          </cell>
          <cell r="BH186">
            <v>0.03</v>
          </cell>
          <cell r="BI186">
            <v>0.03</v>
          </cell>
          <cell r="BJ186">
            <v>0.03</v>
          </cell>
          <cell r="BK186">
            <v>0.03</v>
          </cell>
          <cell r="BL186">
            <v>-0.2</v>
          </cell>
          <cell r="BM186">
            <v>-0.35</v>
          </cell>
          <cell r="BN186">
            <v>-0.35</v>
          </cell>
          <cell r="BO186">
            <v>-0.35</v>
          </cell>
        </row>
        <row r="187">
          <cell r="A187" t="str">
            <v>Nexavar (including pipeline indications, note only)</v>
          </cell>
          <cell r="F187">
            <v>0</v>
          </cell>
          <cell r="H187">
            <v>0</v>
          </cell>
          <cell r="M187">
            <v>0</v>
          </cell>
          <cell r="O187">
            <v>0</v>
          </cell>
          <cell r="R187">
            <v>137</v>
          </cell>
          <cell r="S187">
            <v>147</v>
          </cell>
          <cell r="T187">
            <v>284</v>
          </cell>
          <cell r="U187">
            <v>161</v>
          </cell>
          <cell r="V187">
            <v>445</v>
          </cell>
          <cell r="W187">
            <v>159</v>
          </cell>
          <cell r="X187">
            <v>604</v>
          </cell>
          <cell r="Y187">
            <v>155</v>
          </cell>
          <cell r="Z187">
            <v>186</v>
          </cell>
          <cell r="AA187">
            <v>341</v>
          </cell>
          <cell r="AB187">
            <v>175</v>
          </cell>
          <cell r="AC187">
            <v>516</v>
          </cell>
          <cell r="AD187">
            <v>189</v>
          </cell>
          <cell r="AE187">
            <v>705</v>
          </cell>
          <cell r="AF187">
            <v>181.25</v>
          </cell>
          <cell r="AG187">
            <v>181.25</v>
          </cell>
          <cell r="AH187">
            <v>362.5</v>
          </cell>
          <cell r="AI187">
            <v>181.25</v>
          </cell>
          <cell r="AJ187">
            <v>543.75</v>
          </cell>
          <cell r="AK187">
            <v>181.25</v>
          </cell>
          <cell r="AL187">
            <v>725</v>
          </cell>
          <cell r="AM187">
            <v>208</v>
          </cell>
          <cell r="AN187">
            <v>208</v>
          </cell>
          <cell r="AO187">
            <v>208</v>
          </cell>
          <cell r="AQ187">
            <v>416</v>
          </cell>
          <cell r="AR187">
            <v>208</v>
          </cell>
          <cell r="AT187">
            <v>624</v>
          </cell>
          <cell r="AU187">
            <v>208</v>
          </cell>
          <cell r="AW187">
            <v>832</v>
          </cell>
          <cell r="AY187">
            <v>214.81497145923424</v>
          </cell>
          <cell r="AZ187">
            <v>214.81497145923424</v>
          </cell>
          <cell r="BB187">
            <v>214.81497145923424</v>
          </cell>
          <cell r="BD187">
            <v>214.81497145923424</v>
          </cell>
          <cell r="BE187">
            <v>859.25988583693697</v>
          </cell>
          <cell r="BF187">
            <v>1016.9684564061108</v>
          </cell>
          <cell r="BG187">
            <v>1142.9475100982941</v>
          </cell>
          <cell r="BH187">
            <v>1230.660935401243</v>
          </cell>
          <cell r="BI187">
            <v>1267.1307634632803</v>
          </cell>
          <cell r="BJ187">
            <v>1303.3796863671787</v>
          </cell>
          <cell r="BK187">
            <v>1339.1310769581942</v>
          </cell>
          <cell r="BL187">
            <v>1080.6433181569532</v>
          </cell>
          <cell r="BM187">
            <v>827.73277094961884</v>
          </cell>
          <cell r="BN187">
            <v>674.49860819105197</v>
          </cell>
          <cell r="BO187">
            <v>183.35640373808414</v>
          </cell>
          <cell r="BW187">
            <v>525.66093540124302</v>
          </cell>
        </row>
        <row r="188">
          <cell r="BW188">
            <v>0</v>
          </cell>
        </row>
        <row r="189">
          <cell r="A189" t="str">
            <v>Stivarga (total)</v>
          </cell>
          <cell r="AN189">
            <v>0</v>
          </cell>
          <cell r="AU189">
            <v>32</v>
          </cell>
          <cell r="AW189">
            <v>32</v>
          </cell>
          <cell r="AY189">
            <v>40</v>
          </cell>
          <cell r="AZ189">
            <v>57.538551359241019</v>
          </cell>
          <cell r="BA189">
            <v>97.538551359241012</v>
          </cell>
          <cell r="BB189">
            <v>64.489977818108486</v>
          </cell>
          <cell r="BC189">
            <v>162.0285291773495</v>
          </cell>
          <cell r="BD189">
            <v>68.633386531462776</v>
          </cell>
          <cell r="BE189">
            <v>230.66191570881227</v>
          </cell>
          <cell r="BF189">
            <v>565.28676862160864</v>
          </cell>
          <cell r="BG189">
            <v>734.87279920809135</v>
          </cell>
          <cell r="BH189">
            <v>808.36007912890045</v>
          </cell>
          <cell r="BI189">
            <v>824.52728071147862</v>
          </cell>
          <cell r="BJ189">
            <v>841.01782632570826</v>
          </cell>
          <cell r="BK189">
            <v>857.83818285222242</v>
          </cell>
          <cell r="BL189">
            <v>874.99494650926681</v>
          </cell>
          <cell r="BM189">
            <v>892.49484543945221</v>
          </cell>
          <cell r="BN189">
            <v>910.34474234824131</v>
          </cell>
          <cell r="BO189">
            <v>917.62082020857724</v>
          </cell>
        </row>
        <row r="190">
          <cell r="A190" t="str">
            <v>growth %</v>
          </cell>
          <cell r="BE190">
            <v>6.2081848659003835</v>
          </cell>
          <cell r="BF190">
            <v>1.4507156583890812</v>
          </cell>
          <cell r="BG190">
            <v>0.30000000000000027</v>
          </cell>
          <cell r="BH190">
            <v>9.9999999999999867E-2</v>
          </cell>
          <cell r="BI190">
            <v>2.000000000000024E-2</v>
          </cell>
          <cell r="BJ190">
            <v>2.0000000000000018E-2</v>
          </cell>
          <cell r="BK190">
            <v>2.0000000000000018E-2</v>
          </cell>
          <cell r="BL190">
            <v>2.0000000000000018E-2</v>
          </cell>
          <cell r="BM190">
            <v>2.0000000000000018E-2</v>
          </cell>
          <cell r="BN190">
            <v>2.0000000000000018E-2</v>
          </cell>
          <cell r="BO190">
            <v>7.9926620343488963E-3</v>
          </cell>
        </row>
        <row r="191">
          <cell r="A191" t="str">
            <v>Stivarga US</v>
          </cell>
          <cell r="AN191">
            <v>0</v>
          </cell>
          <cell r="AU191">
            <v>32</v>
          </cell>
          <cell r="AW191">
            <v>32</v>
          </cell>
          <cell r="AY191">
            <v>35</v>
          </cell>
          <cell r="AZ191">
            <v>37.538551359241019</v>
          </cell>
          <cell r="BA191">
            <v>72.538551359241012</v>
          </cell>
          <cell r="BB191">
            <v>41.489977818108493</v>
          </cell>
          <cell r="BC191">
            <v>114.0285291773495</v>
          </cell>
          <cell r="BD191">
            <v>43.633386531462776</v>
          </cell>
          <cell r="BE191">
            <v>157.66191570881227</v>
          </cell>
          <cell r="BF191">
            <v>339.37946391752581</v>
          </cell>
          <cell r="BG191">
            <v>441.19330309278359</v>
          </cell>
          <cell r="BH191">
            <v>485.31263340206198</v>
          </cell>
          <cell r="BI191">
            <v>495.01888607010324</v>
          </cell>
          <cell r="BJ191">
            <v>504.91926379150533</v>
          </cell>
          <cell r="BK191">
            <v>515.01764906733547</v>
          </cell>
          <cell r="BL191">
            <v>525.31800204868216</v>
          </cell>
          <cell r="BM191">
            <v>535.82436208965578</v>
          </cell>
          <cell r="BN191">
            <v>546.54084933144895</v>
          </cell>
          <cell r="BO191">
            <v>546.54084933144895</v>
          </cell>
        </row>
        <row r="192">
          <cell r="A192" t="str">
            <v>growth reported %</v>
          </cell>
          <cell r="BE192">
            <v>3.9269348659003835</v>
          </cell>
          <cell r="BF192">
            <v>1.1525773195876288</v>
          </cell>
          <cell r="BG192">
            <v>0.30000000000000004</v>
          </cell>
          <cell r="BH192">
            <v>0.10000000000000009</v>
          </cell>
          <cell r="BI192">
            <v>2.0000000000000018E-2</v>
          </cell>
          <cell r="BJ192">
            <v>2.0000000000000018E-2</v>
          </cell>
          <cell r="BK192">
            <v>2.0000000000000018E-2</v>
          </cell>
          <cell r="BL192">
            <v>2.0000000000000018E-2</v>
          </cell>
          <cell r="BM192">
            <v>2.0000000000000018E-2</v>
          </cell>
          <cell r="BN192">
            <v>2.0000000000000018E-2</v>
          </cell>
          <cell r="BO192">
            <v>0</v>
          </cell>
        </row>
        <row r="193">
          <cell r="A193" t="str">
            <v>growth CER %</v>
          </cell>
          <cell r="BE193">
            <v>4</v>
          </cell>
          <cell r="BF193">
            <v>1</v>
          </cell>
          <cell r="BG193">
            <v>0.3</v>
          </cell>
          <cell r="BH193">
            <v>0.1</v>
          </cell>
          <cell r="BI193">
            <v>0.02</v>
          </cell>
          <cell r="BJ193">
            <v>0.02</v>
          </cell>
          <cell r="BK193">
            <v>0.02</v>
          </cell>
          <cell r="BL193">
            <v>0.02</v>
          </cell>
          <cell r="BM193">
            <v>0.02</v>
          </cell>
          <cell r="BN193">
            <v>0.02</v>
          </cell>
          <cell r="BO193">
            <v>0</v>
          </cell>
        </row>
        <row r="194">
          <cell r="A194" t="str">
            <v>Stivarga ROW</v>
          </cell>
          <cell r="AN194">
            <v>0</v>
          </cell>
          <cell r="AU194">
            <v>0</v>
          </cell>
          <cell r="AW194">
            <v>0</v>
          </cell>
          <cell r="AY194">
            <v>5</v>
          </cell>
          <cell r="AZ194">
            <v>20</v>
          </cell>
          <cell r="BA194">
            <v>25</v>
          </cell>
          <cell r="BB194">
            <v>23</v>
          </cell>
          <cell r="BC194">
            <v>48</v>
          </cell>
          <cell r="BD194">
            <v>25</v>
          </cell>
          <cell r="BE194">
            <v>73</v>
          </cell>
          <cell r="BF194">
            <v>225.90730470408286</v>
          </cell>
          <cell r="BG194">
            <v>293.67949611530776</v>
          </cell>
          <cell r="BH194">
            <v>323.04744572683853</v>
          </cell>
          <cell r="BI194">
            <v>329.50839464137533</v>
          </cell>
          <cell r="BJ194">
            <v>336.09856253420287</v>
          </cell>
          <cell r="BK194">
            <v>342.82053378488695</v>
          </cell>
          <cell r="BL194">
            <v>349.67694446058471</v>
          </cell>
          <cell r="BM194">
            <v>356.67048334979643</v>
          </cell>
          <cell r="BN194">
            <v>363.80389301679236</v>
          </cell>
          <cell r="BO194">
            <v>371.07997087712823</v>
          </cell>
        </row>
        <row r="195">
          <cell r="A195" t="str">
            <v>growth reported %</v>
          </cell>
          <cell r="BF195">
            <v>2.0946206123846967</v>
          </cell>
          <cell r="BG195">
            <v>0.30000000000000004</v>
          </cell>
          <cell r="BH195">
            <v>0.10000000000000009</v>
          </cell>
          <cell r="BI195">
            <v>2.0000000000000018E-2</v>
          </cell>
          <cell r="BJ195">
            <v>2.0000000000000018E-2</v>
          </cell>
          <cell r="BK195">
            <v>2.0000000000000018E-2</v>
          </cell>
          <cell r="BL195">
            <v>2.0000000000000018E-2</v>
          </cell>
          <cell r="BM195">
            <v>2.0000000000000018E-2</v>
          </cell>
          <cell r="BN195">
            <v>2.0000000000000018E-2</v>
          </cell>
          <cell r="BO195">
            <v>2.0000000000000018E-2</v>
          </cell>
        </row>
        <row r="196">
          <cell r="A196" t="str">
            <v>growth CER %</v>
          </cell>
          <cell r="BF196">
            <v>2</v>
          </cell>
          <cell r="BG196">
            <v>0.3</v>
          </cell>
          <cell r="BH196">
            <v>0.1</v>
          </cell>
          <cell r="BI196">
            <v>0.02</v>
          </cell>
          <cell r="BJ196">
            <v>0.02</v>
          </cell>
          <cell r="BK196">
            <v>0.02</v>
          </cell>
          <cell r="BL196">
            <v>0.02</v>
          </cell>
          <cell r="BM196">
            <v>0.02</v>
          </cell>
          <cell r="BN196">
            <v>0.02</v>
          </cell>
          <cell r="BO196">
            <v>0.02</v>
          </cell>
        </row>
        <row r="197">
          <cell r="A197" t="str">
            <v>Stivarga (including pipeline indications, note only)</v>
          </cell>
          <cell r="BE197">
            <v>252.66191570881227</v>
          </cell>
          <cell r="BF197">
            <v>620.28676862160864</v>
          </cell>
          <cell r="BG197">
            <v>844.87279920809135</v>
          </cell>
          <cell r="BH197">
            <v>973.36007912890045</v>
          </cell>
          <cell r="BI197">
            <v>1023.5272807114786</v>
          </cell>
          <cell r="BJ197">
            <v>1045.9178263257083</v>
          </cell>
          <cell r="BK197">
            <v>1069.6381828522224</v>
          </cell>
          <cell r="BL197">
            <v>1093.6949465092669</v>
          </cell>
          <cell r="BM197">
            <v>1117.0948454394522</v>
          </cell>
          <cell r="BN197">
            <v>1137.3447423482412</v>
          </cell>
          <cell r="BO197">
            <v>1147.0208202085773</v>
          </cell>
        </row>
        <row r="199">
          <cell r="A199" t="str">
            <v>Other oncology</v>
          </cell>
          <cell r="B199">
            <v>35</v>
          </cell>
          <cell r="C199">
            <v>302</v>
          </cell>
          <cell r="D199">
            <v>112</v>
          </cell>
          <cell r="E199">
            <v>128</v>
          </cell>
          <cell r="F199">
            <v>240</v>
          </cell>
          <cell r="G199">
            <v>127</v>
          </cell>
          <cell r="H199">
            <v>367</v>
          </cell>
          <cell r="I199">
            <v>117</v>
          </cell>
          <cell r="J199">
            <v>484</v>
          </cell>
          <cell r="K199">
            <v>101</v>
          </cell>
          <cell r="L199">
            <v>114</v>
          </cell>
          <cell r="M199">
            <v>215</v>
          </cell>
          <cell r="N199">
            <v>94</v>
          </cell>
          <cell r="O199">
            <v>309</v>
          </cell>
          <cell r="P199">
            <v>114</v>
          </cell>
          <cell r="Q199">
            <v>423</v>
          </cell>
          <cell r="R199">
            <v>82</v>
          </cell>
          <cell r="S199">
            <v>90</v>
          </cell>
          <cell r="T199">
            <v>172</v>
          </cell>
          <cell r="U199">
            <v>52</v>
          </cell>
          <cell r="V199">
            <v>224</v>
          </cell>
          <cell r="W199">
            <v>52</v>
          </cell>
          <cell r="X199">
            <v>276</v>
          </cell>
          <cell r="Y199">
            <v>25</v>
          </cell>
          <cell r="Z199">
            <v>30</v>
          </cell>
          <cell r="AA199">
            <v>55</v>
          </cell>
          <cell r="AB199">
            <v>27</v>
          </cell>
          <cell r="AC199">
            <v>82</v>
          </cell>
          <cell r="AD199">
            <v>4</v>
          </cell>
          <cell r="AE199">
            <v>86</v>
          </cell>
          <cell r="AF199">
            <v>27</v>
          </cell>
          <cell r="AG199">
            <v>20</v>
          </cell>
          <cell r="AH199">
            <v>47</v>
          </cell>
          <cell r="AI199">
            <v>12</v>
          </cell>
          <cell r="AJ199">
            <v>59</v>
          </cell>
          <cell r="AK199">
            <v>14</v>
          </cell>
          <cell r="AL199">
            <v>73</v>
          </cell>
          <cell r="AM199">
            <v>15</v>
          </cell>
          <cell r="AO199">
            <v>15</v>
          </cell>
          <cell r="AQ199">
            <v>30</v>
          </cell>
          <cell r="AR199">
            <v>8.1499999999999773</v>
          </cell>
          <cell r="AT199">
            <v>38.149999999999977</v>
          </cell>
          <cell r="AU199">
            <v>18.149999999999999</v>
          </cell>
          <cell r="AW199">
            <v>56.299999999999976</v>
          </cell>
          <cell r="BW199">
            <v>-86</v>
          </cell>
        </row>
        <row r="200">
          <cell r="A200" t="str">
            <v>Growth %</v>
          </cell>
          <cell r="C200">
            <v>7.6285714285714281</v>
          </cell>
          <cell r="J200">
            <v>0.60264900662251653</v>
          </cell>
          <cell r="K200">
            <v>-9.8214285714285698E-2</v>
          </cell>
          <cell r="L200">
            <v>-0.109375</v>
          </cell>
          <cell r="N200">
            <v>-0.25984251968503935</v>
          </cell>
          <cell r="O200">
            <v>-0.15803814713896458</v>
          </cell>
          <cell r="P200">
            <v>-2.5641025641025661E-2</v>
          </cell>
          <cell r="Q200">
            <v>-0.12603305785123964</v>
          </cell>
          <cell r="R200">
            <v>0</v>
          </cell>
          <cell r="S200">
            <v>0</v>
          </cell>
          <cell r="T200">
            <v>-0.19999999999999996</v>
          </cell>
          <cell r="U200">
            <v>-0.44680851063829785</v>
          </cell>
          <cell r="V200">
            <v>-0.27508090614886727</v>
          </cell>
          <cell r="W200">
            <v>-0.54385964912280704</v>
          </cell>
          <cell r="Y200">
            <v>-0.69512195121951215</v>
          </cell>
          <cell r="Z200">
            <v>-0.66666666666666674</v>
          </cell>
          <cell r="AB200">
            <v>-0.48076923076923073</v>
          </cell>
          <cell r="AD200">
            <v>-0.92307692307692313</v>
          </cell>
          <cell r="AF200">
            <v>8.0000000000000071E-2</v>
          </cell>
          <cell r="AG200">
            <v>-0.33333333333333337</v>
          </cell>
          <cell r="AH200">
            <v>-0.1454545454545455</v>
          </cell>
          <cell r="AI200">
            <v>-0.55555555555555558</v>
          </cell>
          <cell r="AJ200">
            <v>-0.28048780487804881</v>
          </cell>
          <cell r="AL200">
            <v>-0.15116279069767447</v>
          </cell>
          <cell r="AM200">
            <v>-0.44444444444444442</v>
          </cell>
          <cell r="AR200">
            <v>-0.32083333333333519</v>
          </cell>
          <cell r="AU200">
            <v>0.02</v>
          </cell>
          <cell r="AW200">
            <v>-0.22876712328767157</v>
          </cell>
          <cell r="BW200">
            <v>0</v>
          </cell>
        </row>
        <row r="201">
          <cell r="A201" t="str">
            <v>Oncology</v>
          </cell>
          <cell r="B201">
            <v>35</v>
          </cell>
          <cell r="C201">
            <v>432</v>
          </cell>
          <cell r="D201">
            <v>159</v>
          </cell>
          <cell r="E201">
            <v>188</v>
          </cell>
          <cell r="F201">
            <v>347</v>
          </cell>
          <cell r="G201">
            <v>203</v>
          </cell>
          <cell r="H201">
            <v>550</v>
          </cell>
          <cell r="I201">
            <v>204</v>
          </cell>
          <cell r="J201">
            <v>754</v>
          </cell>
          <cell r="K201">
            <v>202</v>
          </cell>
          <cell r="L201">
            <v>222</v>
          </cell>
          <cell r="M201">
            <v>424</v>
          </cell>
          <cell r="N201">
            <v>215</v>
          </cell>
          <cell r="O201">
            <v>639</v>
          </cell>
          <cell r="P201">
            <v>246</v>
          </cell>
          <cell r="Q201">
            <v>885</v>
          </cell>
          <cell r="R201">
            <v>219</v>
          </cell>
          <cell r="S201">
            <v>237</v>
          </cell>
          <cell r="T201">
            <v>456</v>
          </cell>
          <cell r="U201">
            <v>213</v>
          </cell>
          <cell r="V201">
            <v>669</v>
          </cell>
          <cell r="W201">
            <v>211</v>
          </cell>
          <cell r="X201">
            <v>880</v>
          </cell>
          <cell r="Y201">
            <v>180</v>
          </cell>
          <cell r="Z201">
            <v>216</v>
          </cell>
          <cell r="AA201">
            <v>396</v>
          </cell>
          <cell r="AB201">
            <v>202</v>
          </cell>
          <cell r="AC201">
            <v>598</v>
          </cell>
          <cell r="AD201">
            <v>193</v>
          </cell>
          <cell r="AE201">
            <v>791</v>
          </cell>
          <cell r="AF201">
            <v>199</v>
          </cell>
          <cell r="AG201">
            <v>191</v>
          </cell>
          <cell r="AH201">
            <v>390</v>
          </cell>
          <cell r="AI201">
            <v>189</v>
          </cell>
          <cell r="AJ201">
            <v>579</v>
          </cell>
          <cell r="AK201">
            <v>219</v>
          </cell>
          <cell r="AL201">
            <v>798</v>
          </cell>
          <cell r="AM201">
            <v>201</v>
          </cell>
          <cell r="AO201">
            <v>210</v>
          </cell>
          <cell r="AQ201">
            <v>411</v>
          </cell>
          <cell r="AR201">
            <v>207.14999999999998</v>
          </cell>
          <cell r="AT201">
            <v>618.15</v>
          </cell>
          <cell r="AU201">
            <v>230.15</v>
          </cell>
          <cell r="AW201">
            <v>848.3</v>
          </cell>
          <cell r="BR201">
            <v>-6.1894583326799146E-2</v>
          </cell>
          <cell r="BS201">
            <v>0</v>
          </cell>
          <cell r="BW201">
            <v>-791</v>
          </cell>
        </row>
        <row r="202">
          <cell r="A202" t="str">
            <v>Growth %</v>
          </cell>
          <cell r="C202">
            <v>11.342857142857143</v>
          </cell>
          <cell r="F202" t="e">
            <v>#REF!</v>
          </cell>
          <cell r="H202" t="e">
            <v>#VALUE!</v>
          </cell>
          <cell r="J202">
            <v>0.74537037037037046</v>
          </cell>
          <cell r="K202">
            <v>0.27044025157232698</v>
          </cell>
          <cell r="L202">
            <v>0.18085106382978733</v>
          </cell>
          <cell r="M202">
            <v>0.22190201729106618</v>
          </cell>
          <cell r="N202">
            <v>5.9113300492610765E-2</v>
          </cell>
          <cell r="O202">
            <v>0.16181818181818186</v>
          </cell>
          <cell r="P202">
            <v>0.20588235294117641</v>
          </cell>
          <cell r="Q202">
            <v>0.17374005305039786</v>
          </cell>
          <cell r="R202">
            <v>8.4158415841584233E-2</v>
          </cell>
          <cell r="S202">
            <v>6.7567567567567544E-2</v>
          </cell>
          <cell r="T202">
            <v>7.547169811320753E-2</v>
          </cell>
          <cell r="U202">
            <v>-9.302325581395321E-3</v>
          </cell>
          <cell r="V202">
            <v>4.6948356807511749E-2</v>
          </cell>
          <cell r="W202">
            <v>-0.14227642276422769</v>
          </cell>
          <cell r="X202">
            <v>-5.6497175141242417E-3</v>
          </cell>
          <cell r="Y202">
            <v>-0.17808219178082196</v>
          </cell>
          <cell r="Z202">
            <v>-8.8607594936708889E-2</v>
          </cell>
          <cell r="AA202">
            <v>-0.13157894736842102</v>
          </cell>
          <cell r="AB202">
            <v>-5.1643192488262879E-2</v>
          </cell>
          <cell r="AC202">
            <v>-0.10612855007473843</v>
          </cell>
          <cell r="AD202">
            <v>-8.5308056872037907E-2</v>
          </cell>
          <cell r="AE202">
            <v>-0.10113636363636369</v>
          </cell>
          <cell r="AF202">
            <v>0.10555555555555562</v>
          </cell>
          <cell r="AG202">
            <v>-0.1157407407407407</v>
          </cell>
          <cell r="AH202">
            <v>-1.5151515151515138E-2</v>
          </cell>
          <cell r="AI202">
            <v>-6.4356435643564303E-2</v>
          </cell>
          <cell r="AJ202">
            <v>-3.1772575250836099E-2</v>
          </cell>
          <cell r="AK202">
            <v>0.13471502590673579</v>
          </cell>
          <cell r="AL202">
            <v>8.8495575221239076E-3</v>
          </cell>
          <cell r="AM202">
            <v>1.0050251256281451E-2</v>
          </cell>
          <cell r="AO202">
            <v>9.9476439790575855E-2</v>
          </cell>
          <cell r="AQ202">
            <v>5.3846153846153877E-2</v>
          </cell>
          <cell r="AR202">
            <v>9.6031746031745913E-2</v>
          </cell>
          <cell r="AT202">
            <v>6.7616580310880803E-2</v>
          </cell>
          <cell r="AU202">
            <v>5.0913242009132498E-2</v>
          </cell>
          <cell r="AW202">
            <v>6.3032581453634107E-2</v>
          </cell>
          <cell r="BW202">
            <v>0.10113636363636369</v>
          </cell>
        </row>
        <row r="203">
          <cell r="BW203">
            <v>0</v>
          </cell>
        </row>
        <row r="204">
          <cell r="A204" t="str">
            <v>Eylea (total)</v>
          </cell>
          <cell r="AN204">
            <v>0</v>
          </cell>
          <cell r="AU204">
            <v>14</v>
          </cell>
          <cell r="AW204">
            <v>14</v>
          </cell>
          <cell r="AY204">
            <v>49</v>
          </cell>
          <cell r="AZ204">
            <v>53.165804124590608</v>
          </cell>
          <cell r="BA204">
            <v>102.16580412459061</v>
          </cell>
          <cell r="BB204">
            <v>53.165804124590608</v>
          </cell>
          <cell r="BC204">
            <v>155.33160824918122</v>
          </cell>
          <cell r="BD204">
            <v>57.331608249181215</v>
          </cell>
          <cell r="BE204">
            <v>212.66321649836243</v>
          </cell>
          <cell r="BF204">
            <v>438.74131551457447</v>
          </cell>
          <cell r="BG204">
            <v>701.98610482331924</v>
          </cell>
          <cell r="BH204">
            <v>842.38332578798304</v>
          </cell>
          <cell r="BI204">
            <v>859.23099230374271</v>
          </cell>
          <cell r="BJ204">
            <v>876.41561214981755</v>
          </cell>
          <cell r="BK204">
            <v>893.94392439281387</v>
          </cell>
          <cell r="BL204">
            <v>911.82280288067011</v>
          </cell>
          <cell r="BM204">
            <v>930.05925893828351</v>
          </cell>
          <cell r="BN204">
            <v>948.66044411704922</v>
          </cell>
          <cell r="BO204">
            <v>948.66044411704922</v>
          </cell>
        </row>
        <row r="205">
          <cell r="A205" t="str">
            <v>growth %</v>
          </cell>
          <cell r="BE205">
            <v>14.190229749883031</v>
          </cell>
          <cell r="BF205">
            <v>1.0630804082564644</v>
          </cell>
          <cell r="BG205">
            <v>0.60000000000000031</v>
          </cell>
          <cell r="BH205">
            <v>0.19999999999999996</v>
          </cell>
          <cell r="BI205">
            <v>2.0000000000000018E-2</v>
          </cell>
          <cell r="BJ205">
            <v>2.0000000000000018E-2</v>
          </cell>
          <cell r="BK205">
            <v>2.0000000000000018E-2</v>
          </cell>
          <cell r="BL205">
            <v>2.0000000000000018E-2</v>
          </cell>
          <cell r="BM205">
            <v>2.0000000000000018E-2</v>
          </cell>
          <cell r="BN205">
            <v>2.0000000000000018E-2</v>
          </cell>
          <cell r="BO205">
            <v>0</v>
          </cell>
        </row>
        <row r="206">
          <cell r="A206" t="str">
            <v>Eylea US</v>
          </cell>
          <cell r="AN206">
            <v>0</v>
          </cell>
          <cell r="AU206">
            <v>0</v>
          </cell>
          <cell r="AW206">
            <v>0</v>
          </cell>
          <cell r="AY206">
            <v>0</v>
          </cell>
          <cell r="BE206">
            <v>0</v>
          </cell>
          <cell r="BF206">
            <v>0</v>
          </cell>
          <cell r="BG206">
            <v>0</v>
          </cell>
          <cell r="BH206">
            <v>0</v>
          </cell>
          <cell r="BI206">
            <v>0</v>
          </cell>
          <cell r="BJ206">
            <v>0</v>
          </cell>
          <cell r="BK206">
            <v>0</v>
          </cell>
          <cell r="BL206">
            <v>0</v>
          </cell>
          <cell r="BM206">
            <v>0</v>
          </cell>
          <cell r="BN206">
            <v>0</v>
          </cell>
          <cell r="BO206">
            <v>0</v>
          </cell>
        </row>
        <row r="207">
          <cell r="A207" t="str">
            <v>growth reported %</v>
          </cell>
        </row>
        <row r="208">
          <cell r="A208" t="str">
            <v>growth CER %</v>
          </cell>
        </row>
        <row r="209">
          <cell r="A209" t="str">
            <v>Eylea ROW</v>
          </cell>
          <cell r="AN209">
            <v>0</v>
          </cell>
          <cell r="AU209">
            <v>14</v>
          </cell>
          <cell r="AW209">
            <v>14</v>
          </cell>
          <cell r="AY209">
            <v>49</v>
          </cell>
          <cell r="AZ209">
            <v>53.165804124590608</v>
          </cell>
          <cell r="BA209">
            <v>102.16580412459061</v>
          </cell>
          <cell r="BB209">
            <v>53.165804124590608</v>
          </cell>
          <cell r="BC209">
            <v>155.33160824918122</v>
          </cell>
          <cell r="BD209">
            <v>57.331608249181215</v>
          </cell>
          <cell r="BE209">
            <v>212.66321649836243</v>
          </cell>
          <cell r="BF209">
            <v>438.74131551457447</v>
          </cell>
          <cell r="BG209">
            <v>701.98610482331924</v>
          </cell>
          <cell r="BH209">
            <v>842.38332578798304</v>
          </cell>
          <cell r="BI209">
            <v>859.23099230374271</v>
          </cell>
          <cell r="BJ209">
            <v>876.41561214981755</v>
          </cell>
          <cell r="BK209">
            <v>893.94392439281387</v>
          </cell>
          <cell r="BL209">
            <v>911.82280288067011</v>
          </cell>
          <cell r="BM209">
            <v>930.05925893828351</v>
          </cell>
          <cell r="BN209">
            <v>948.66044411704922</v>
          </cell>
          <cell r="BO209">
            <v>948.66044411704922</v>
          </cell>
        </row>
        <row r="210">
          <cell r="A210" t="str">
            <v>growth reported %</v>
          </cell>
          <cell r="BE210">
            <v>14.190229749883031</v>
          </cell>
          <cell r="BF210">
            <v>1.0630804082564644</v>
          </cell>
          <cell r="BG210">
            <v>0.60000000000000009</v>
          </cell>
          <cell r="BH210">
            <v>0.19999999999999996</v>
          </cell>
          <cell r="BI210">
            <v>2.0000000000000018E-2</v>
          </cell>
          <cell r="BJ210">
            <v>2.0000000000000018E-2</v>
          </cell>
          <cell r="BK210">
            <v>2.0000000000000018E-2</v>
          </cell>
          <cell r="BL210">
            <v>2.0000000000000018E-2</v>
          </cell>
          <cell r="BM210">
            <v>2.0000000000000018E-2</v>
          </cell>
          <cell r="BN210">
            <v>2.0000000000000018E-2</v>
          </cell>
          <cell r="BO210">
            <v>0</v>
          </cell>
        </row>
        <row r="211">
          <cell r="A211" t="str">
            <v>growth CER %</v>
          </cell>
          <cell r="BE211">
            <v>15</v>
          </cell>
          <cell r="BF211">
            <v>1</v>
          </cell>
          <cell r="BG211">
            <v>0.6</v>
          </cell>
          <cell r="BH211">
            <v>0.2</v>
          </cell>
          <cell r="BI211">
            <v>0.02</v>
          </cell>
          <cell r="BJ211">
            <v>0.02</v>
          </cell>
          <cell r="BK211">
            <v>0.02</v>
          </cell>
          <cell r="BL211">
            <v>0.02</v>
          </cell>
          <cell r="BM211">
            <v>0.02</v>
          </cell>
          <cell r="BN211">
            <v>0.02</v>
          </cell>
          <cell r="BO211">
            <v>0</v>
          </cell>
        </row>
        <row r="212">
          <cell r="A212" t="str">
            <v>Eylea (including pipeline indications, note only)</v>
          </cell>
          <cell r="BE212">
            <v>220.66321649836243</v>
          </cell>
          <cell r="BF212">
            <v>458.74131551457447</v>
          </cell>
          <cell r="BG212">
            <v>756.98610482331924</v>
          </cell>
          <cell r="BH212">
            <v>939.88332578798304</v>
          </cell>
          <cell r="BI212">
            <v>1006.2309923037427</v>
          </cell>
          <cell r="BJ212">
            <v>1062.5156121498176</v>
          </cell>
          <cell r="BK212">
            <v>1104.1439243928139</v>
          </cell>
          <cell r="BL212">
            <v>1126.6228028806702</v>
          </cell>
          <cell r="BM212">
            <v>1149.4592589382835</v>
          </cell>
          <cell r="BN212">
            <v>1171.8604441170492</v>
          </cell>
          <cell r="BO212">
            <v>1175.6604441170493</v>
          </cell>
        </row>
        <row r="214">
          <cell r="A214" t="str">
            <v>Other pharma</v>
          </cell>
          <cell r="AF214">
            <v>630</v>
          </cell>
          <cell r="AG214">
            <v>656</v>
          </cell>
          <cell r="AH214">
            <v>1288</v>
          </cell>
          <cell r="AI214">
            <v>641</v>
          </cell>
          <cell r="AJ214">
            <v>1928</v>
          </cell>
          <cell r="AK214">
            <v>729</v>
          </cell>
          <cell r="AL214">
            <v>2657</v>
          </cell>
          <cell r="AM214">
            <v>662</v>
          </cell>
          <cell r="AN214">
            <v>707</v>
          </cell>
          <cell r="AO214">
            <v>683</v>
          </cell>
          <cell r="AQ214">
            <v>1345</v>
          </cell>
          <cell r="AR214">
            <v>674</v>
          </cell>
          <cell r="AT214">
            <v>2019</v>
          </cell>
          <cell r="AU214">
            <v>734</v>
          </cell>
          <cell r="AW214">
            <v>2753</v>
          </cell>
          <cell r="AY214">
            <v>633</v>
          </cell>
          <cell r="AZ214">
            <v>689.27582078099874</v>
          </cell>
          <cell r="BA214">
            <v>1322.2758207809989</v>
          </cell>
          <cell r="BB214">
            <v>680.18114557731121</v>
          </cell>
          <cell r="BC214">
            <v>2002.4569663583102</v>
          </cell>
          <cell r="BD214">
            <v>810.75824036906442</v>
          </cell>
          <cell r="BE214">
            <v>2813.2152067273746</v>
          </cell>
          <cell r="BF214">
            <v>2905.5386626705899</v>
          </cell>
          <cell r="BG214">
            <v>2905.5386626705899</v>
          </cell>
          <cell r="BH214">
            <v>2905.5386626705899</v>
          </cell>
          <cell r="BI214">
            <v>2905.5386626705899</v>
          </cell>
          <cell r="BJ214">
            <v>2905.5386626705899</v>
          </cell>
          <cell r="BK214">
            <v>2905.5386626705899</v>
          </cell>
          <cell r="BL214">
            <v>2905.5386626705899</v>
          </cell>
          <cell r="BM214">
            <v>2905.5386626705899</v>
          </cell>
          <cell r="BN214">
            <v>2905.5386626705899</v>
          </cell>
          <cell r="BO214">
            <v>2905.5386626705899</v>
          </cell>
        </row>
        <row r="215">
          <cell r="A215" t="str">
            <v>growth reported %</v>
          </cell>
          <cell r="AM215">
            <v>5.0793650793650835E-2</v>
          </cell>
          <cell r="AN215">
            <v>0.12222222222222223</v>
          </cell>
          <cell r="AO215">
            <v>4.1158536585365946E-2</v>
          </cell>
          <cell r="AQ215">
            <v>4.4254658385093126E-2</v>
          </cell>
          <cell r="AR215">
            <v>5.1482059282371262E-2</v>
          </cell>
          <cell r="AT215">
            <v>4.7199170124481382E-2</v>
          </cell>
          <cell r="AU215">
            <v>6.8587105624142719E-3</v>
          </cell>
          <cell r="AW215">
            <v>3.6130974783590508E-2</v>
          </cell>
          <cell r="AY215">
            <v>-4.3806646525679782E-2</v>
          </cell>
          <cell r="AZ215">
            <v>9.1886102210816389E-3</v>
          </cell>
          <cell r="BA215">
            <v>-1.6895300534573332E-2</v>
          </cell>
          <cell r="BB215">
            <v>9.1708391354765606E-3</v>
          </cell>
          <cell r="BC215">
            <v>-8.1936768903861923E-3</v>
          </cell>
          <cell r="BD215">
            <v>0.1045752593583984</v>
          </cell>
          <cell r="BE215">
            <v>2.1872577815973404E-2</v>
          </cell>
          <cell r="BF215">
            <v>3.2817772249502219E-2</v>
          </cell>
          <cell r="BG215">
            <v>0</v>
          </cell>
          <cell r="BH215">
            <v>0</v>
          </cell>
          <cell r="BI215">
            <v>0</v>
          </cell>
          <cell r="BJ215">
            <v>0</v>
          </cell>
          <cell r="BK215">
            <v>0</v>
          </cell>
          <cell r="BL215">
            <v>0</v>
          </cell>
          <cell r="BM215">
            <v>0</v>
          </cell>
          <cell r="BN215">
            <v>0</v>
          </cell>
          <cell r="BO215">
            <v>0</v>
          </cell>
        </row>
        <row r="216">
          <cell r="A216" t="str">
            <v>growth CER %</v>
          </cell>
          <cell r="AZ216">
            <v>0.05</v>
          </cell>
          <cell r="BB216">
            <v>0.05</v>
          </cell>
          <cell r="BE216">
            <v>0.05</v>
          </cell>
          <cell r="BF216">
            <v>0</v>
          </cell>
          <cell r="BG216">
            <v>0</v>
          </cell>
          <cell r="BH216">
            <v>0</v>
          </cell>
          <cell r="BI216">
            <v>0</v>
          </cell>
          <cell r="BJ216">
            <v>0</v>
          </cell>
          <cell r="BK216">
            <v>0</v>
          </cell>
          <cell r="BL216">
            <v>0</v>
          </cell>
          <cell r="BM216">
            <v>0</v>
          </cell>
          <cell r="BN216">
            <v>0</v>
          </cell>
          <cell r="BO216">
            <v>0</v>
          </cell>
        </row>
        <row r="218">
          <cell r="A218" t="str">
            <v>Pipeline</v>
          </cell>
          <cell r="Y218">
            <v>0</v>
          </cell>
          <cell r="Z218">
            <v>0</v>
          </cell>
          <cell r="AB218">
            <v>0</v>
          </cell>
          <cell r="AD218">
            <v>0</v>
          </cell>
          <cell r="AF218">
            <v>0</v>
          </cell>
          <cell r="AG218">
            <v>0</v>
          </cell>
          <cell r="AH218">
            <v>0</v>
          </cell>
          <cell r="AI218">
            <v>0</v>
          </cell>
          <cell r="AJ218">
            <v>0</v>
          </cell>
          <cell r="AK218">
            <v>0</v>
          </cell>
          <cell r="AL218">
            <v>0</v>
          </cell>
          <cell r="AZ218">
            <v>23.648000000000003</v>
          </cell>
          <cell r="BA218">
            <v>23.648000000000003</v>
          </cell>
          <cell r="BB218">
            <v>35.472000000000001</v>
          </cell>
          <cell r="BC218">
            <v>59.120000000000005</v>
          </cell>
          <cell r="BD218">
            <v>59.120000000000005</v>
          </cell>
          <cell r="BE218">
            <v>118.24000000000001</v>
          </cell>
          <cell r="BF218">
            <v>789.70670103092789</v>
          </cell>
          <cell r="BG218">
            <v>1294.8</v>
          </cell>
          <cell r="BH218">
            <v>2094.6999999999998</v>
          </cell>
          <cell r="BI218">
            <v>3278.7534020618555</v>
          </cell>
          <cell r="BJ218">
            <v>3307.0820000000003</v>
          </cell>
          <cell r="BK218">
            <v>3645.0239999999994</v>
          </cell>
          <cell r="BL218">
            <v>4530.9840412371141</v>
          </cell>
          <cell r="BM218">
            <v>3796.7080000000001</v>
          </cell>
          <cell r="BN218">
            <v>3859.5039999999999</v>
          </cell>
          <cell r="BO218">
            <v>3917.1000000000004</v>
          </cell>
          <cell r="BR218">
            <v>5.5543826375784582E-2</v>
          </cell>
          <cell r="BS218">
            <v>1.7399892749098152E-2</v>
          </cell>
          <cell r="BW218">
            <v>2094.6999999999998</v>
          </cell>
        </row>
        <row r="219">
          <cell r="BW219">
            <v>0</v>
          </cell>
        </row>
        <row r="220">
          <cell r="A220" t="str">
            <v>EU sales</v>
          </cell>
          <cell r="AL220">
            <v>0</v>
          </cell>
          <cell r="AZ220">
            <v>855.32411839948952</v>
          </cell>
          <cell r="BA220">
            <v>1624.5241183994895</v>
          </cell>
          <cell r="BB220">
            <v>878.93744677813709</v>
          </cell>
          <cell r="BC220">
            <v>2503.4615651776271</v>
          </cell>
          <cell r="BD220">
            <v>975.23334462811499</v>
          </cell>
          <cell r="BE220">
            <v>3478.6949098057416</v>
          </cell>
          <cell r="BF220">
            <v>3976.6262480057221</v>
          </cell>
          <cell r="BG220">
            <v>4277.3596775030892</v>
          </cell>
          <cell r="BH220">
            <v>4611.4322612439237</v>
          </cell>
          <cell r="BI220">
            <v>5024.9659406459214</v>
          </cell>
          <cell r="BJ220">
            <v>5054.1321469757031</v>
          </cell>
          <cell r="BK220">
            <v>5197.4603583577327</v>
          </cell>
          <cell r="BL220">
            <v>5429.8045536456639</v>
          </cell>
          <cell r="BM220">
            <v>5173.1790154361424</v>
          </cell>
          <cell r="BN220">
            <v>5098.5952511198802</v>
          </cell>
          <cell r="BO220">
            <v>5108.2611162553194</v>
          </cell>
        </row>
        <row r="221">
          <cell r="A221" t="str">
            <v>EU healthcare reform impact</v>
          </cell>
          <cell r="AU221">
            <v>0</v>
          </cell>
          <cell r="AZ221">
            <v>0.05</v>
          </cell>
          <cell r="BA221">
            <v>0.05</v>
          </cell>
          <cell r="BB221">
            <v>0.05</v>
          </cell>
          <cell r="BC221">
            <v>0.05</v>
          </cell>
          <cell r="BD221">
            <v>0.05</v>
          </cell>
          <cell r="BE221">
            <v>0.05</v>
          </cell>
          <cell r="BF221">
            <v>0.05</v>
          </cell>
          <cell r="BG221">
            <v>0.05</v>
          </cell>
          <cell r="BH221">
            <v>0.05</v>
          </cell>
          <cell r="BI221">
            <v>0.05</v>
          </cell>
          <cell r="BJ221">
            <v>0.05</v>
          </cell>
          <cell r="BK221">
            <v>0.05</v>
          </cell>
          <cell r="BL221">
            <v>0.05</v>
          </cell>
          <cell r="BM221">
            <v>0.05</v>
          </cell>
          <cell r="BN221">
            <v>0.05</v>
          </cell>
          <cell r="BO221">
            <v>0.05</v>
          </cell>
        </row>
        <row r="222">
          <cell r="AK222">
            <v>0</v>
          </cell>
          <cell r="AL222">
            <v>0</v>
          </cell>
          <cell r="AM222">
            <v>0</v>
          </cell>
          <cell r="AN222">
            <v>0</v>
          </cell>
          <cell r="AO222">
            <v>0</v>
          </cell>
          <cell r="AU222">
            <v>0</v>
          </cell>
          <cell r="AW222">
            <v>0</v>
          </cell>
          <cell r="AY222">
            <v>0</v>
          </cell>
          <cell r="AZ222">
            <v>-42.766205919974482</v>
          </cell>
          <cell r="BA222">
            <v>-81.226205919974475</v>
          </cell>
          <cell r="BB222">
            <v>-43.946872338906857</v>
          </cell>
          <cell r="BC222">
            <v>-125.17307825888136</v>
          </cell>
          <cell r="BD222">
            <v>-48.761667231405752</v>
          </cell>
          <cell r="BE222">
            <v>-173.9347454902871</v>
          </cell>
          <cell r="BF222">
            <v>-198.83131240028612</v>
          </cell>
          <cell r="BG222">
            <v>-213.86798387515447</v>
          </cell>
          <cell r="BH222">
            <v>-230.57161306219621</v>
          </cell>
          <cell r="BI222">
            <v>-251.24829703229608</v>
          </cell>
          <cell r="BJ222">
            <v>-252.70660734878516</v>
          </cell>
          <cell r="BK222">
            <v>-259.87301791788667</v>
          </cell>
          <cell r="BL222">
            <v>-271.49022768228321</v>
          </cell>
          <cell r="BM222">
            <v>-258.65895077180716</v>
          </cell>
          <cell r="BN222">
            <v>-254.92976255599402</v>
          </cell>
          <cell r="BO222">
            <v>-255.41305581276598</v>
          </cell>
        </row>
        <row r="223">
          <cell r="A223" t="str">
            <v>General  Medicine</v>
          </cell>
          <cell r="AD223">
            <v>1861</v>
          </cell>
          <cell r="AE223">
            <v>6876</v>
          </cell>
          <cell r="AF223">
            <v>1639</v>
          </cell>
          <cell r="AG223">
            <v>1689</v>
          </cell>
          <cell r="AH223">
            <v>3328</v>
          </cell>
          <cell r="AI223">
            <v>1662</v>
          </cell>
          <cell r="AJ223">
            <v>4990</v>
          </cell>
          <cell r="AK223">
            <v>1883</v>
          </cell>
          <cell r="AL223">
            <v>6873</v>
          </cell>
          <cell r="AM223">
            <v>1725</v>
          </cell>
          <cell r="AO223">
            <v>1836</v>
          </cell>
          <cell r="AQ223">
            <v>3572</v>
          </cell>
          <cell r="AR223">
            <v>1913</v>
          </cell>
          <cell r="AT223">
            <v>5485</v>
          </cell>
          <cell r="AU223">
            <v>1986.1000000000001</v>
          </cell>
          <cell r="AW223">
            <v>7471.0999999999995</v>
          </cell>
        </row>
        <row r="224">
          <cell r="A224" t="str">
            <v>Growth %</v>
          </cell>
          <cell r="AL224">
            <v>-4.3630017452012115E-4</v>
          </cell>
          <cell r="AM224">
            <v>5.2471018913971879E-2</v>
          </cell>
          <cell r="AO224">
            <v>8.7033747779751369E-2</v>
          </cell>
          <cell r="AQ224">
            <v>7.3317307692307709E-2</v>
          </cell>
          <cell r="AR224">
            <v>0.15102286401925391</v>
          </cell>
          <cell r="AT224">
            <v>9.9198396793587218E-2</v>
          </cell>
          <cell r="AU224">
            <v>5.4753053637812021E-2</v>
          </cell>
          <cell r="AW224">
            <v>8.7021679033900678E-2</v>
          </cell>
        </row>
        <row r="225">
          <cell r="A225" t="str">
            <v>CER growth %</v>
          </cell>
          <cell r="AO225">
            <v>3.4000000000000002E-2</v>
          </cell>
          <cell r="AQ225">
            <v>0.03</v>
          </cell>
        </row>
        <row r="226">
          <cell r="A226" t="str">
            <v>Specialty Medicine</v>
          </cell>
          <cell r="AE226">
            <v>3078</v>
          </cell>
          <cell r="AF226">
            <v>780</v>
          </cell>
          <cell r="AG226">
            <v>742</v>
          </cell>
          <cell r="AH226">
            <v>1522</v>
          </cell>
          <cell r="AI226">
            <v>758</v>
          </cell>
          <cell r="AJ226">
            <v>2280</v>
          </cell>
          <cell r="AK226">
            <v>798</v>
          </cell>
          <cell r="AL226">
            <v>3078</v>
          </cell>
          <cell r="AM226">
            <v>792</v>
          </cell>
          <cell r="AO226">
            <v>838</v>
          </cell>
          <cell r="AQ226">
            <v>1630</v>
          </cell>
          <cell r="AR226">
            <v>821</v>
          </cell>
          <cell r="AT226">
            <v>2451</v>
          </cell>
          <cell r="AU226">
            <v>880.9</v>
          </cell>
          <cell r="AW226">
            <v>3331.8999999999996</v>
          </cell>
        </row>
        <row r="227">
          <cell r="A227" t="str">
            <v>Growth %</v>
          </cell>
          <cell r="AL227">
            <v>0</v>
          </cell>
          <cell r="AM227">
            <v>1.538461538461533E-2</v>
          </cell>
          <cell r="AO227">
            <v>0.12938005390835583</v>
          </cell>
          <cell r="AQ227">
            <v>7.0959264126149835E-2</v>
          </cell>
          <cell r="AR227">
            <v>8.3113456464379842E-2</v>
          </cell>
          <cell r="AT227">
            <v>7.4999999999999956E-2</v>
          </cell>
          <cell r="AU227">
            <v>0.10388471177944858</v>
          </cell>
          <cell r="AW227">
            <v>8.2488628979856982E-2</v>
          </cell>
        </row>
        <row r="228">
          <cell r="A228" t="str">
            <v>CER growth %</v>
          </cell>
          <cell r="AO228">
            <v>6.2E-2</v>
          </cell>
          <cell r="AQ228">
            <v>2.8000000000000001E-2</v>
          </cell>
        </row>
        <row r="230">
          <cell r="A230" t="str">
            <v>Total Pharma</v>
          </cell>
          <cell r="B230">
            <v>4067</v>
          </cell>
          <cell r="C230">
            <v>7478</v>
          </cell>
          <cell r="D230">
            <v>2495</v>
          </cell>
          <cell r="E230">
            <v>2517</v>
          </cell>
          <cell r="F230">
            <v>3545</v>
          </cell>
          <cell r="G230">
            <v>2509</v>
          </cell>
          <cell r="H230">
            <v>5387</v>
          </cell>
          <cell r="I230">
            <v>4636</v>
          </cell>
          <cell r="J230">
            <v>10023</v>
          </cell>
          <cell r="K230">
            <v>2469</v>
          </cell>
          <cell r="L230">
            <v>2434</v>
          </cell>
          <cell r="M230">
            <v>4903</v>
          </cell>
          <cell r="N230">
            <v>2493</v>
          </cell>
          <cell r="O230">
            <v>7396</v>
          </cell>
          <cell r="P230">
            <v>2718</v>
          </cell>
          <cell r="Q230">
            <v>10114</v>
          </cell>
          <cell r="R230">
            <v>2587</v>
          </cell>
          <cell r="S230">
            <v>2634</v>
          </cell>
          <cell r="T230">
            <v>5221</v>
          </cell>
          <cell r="U230">
            <v>2548</v>
          </cell>
          <cell r="V230">
            <v>7769</v>
          </cell>
          <cell r="W230">
            <v>2698</v>
          </cell>
          <cell r="X230">
            <v>10467</v>
          </cell>
          <cell r="Y230">
            <v>2531</v>
          </cell>
          <cell r="Z230">
            <v>2748</v>
          </cell>
          <cell r="AA230">
            <v>5279</v>
          </cell>
          <cell r="AB230">
            <v>2732</v>
          </cell>
          <cell r="AC230">
            <v>8011</v>
          </cell>
          <cell r="AD230">
            <v>2853</v>
          </cell>
          <cell r="AE230">
            <v>9954</v>
          </cell>
          <cell r="AF230">
            <v>2419</v>
          </cell>
          <cell r="AG230">
            <v>2430</v>
          </cell>
          <cell r="AH230">
            <v>4850</v>
          </cell>
          <cell r="AI230">
            <v>2420</v>
          </cell>
          <cell r="AJ230">
            <v>7270</v>
          </cell>
          <cell r="AK230">
            <v>2681</v>
          </cell>
          <cell r="AL230">
            <v>9949</v>
          </cell>
          <cell r="AM230">
            <v>2517</v>
          </cell>
          <cell r="AN230">
            <v>2517</v>
          </cell>
          <cell r="AO230">
            <v>2685</v>
          </cell>
          <cell r="AP230">
            <v>2683</v>
          </cell>
          <cell r="AQ230">
            <v>5202</v>
          </cell>
          <cell r="AR230">
            <v>2734</v>
          </cell>
          <cell r="AS230">
            <v>2732</v>
          </cell>
          <cell r="AT230">
            <v>7936</v>
          </cell>
          <cell r="AU230">
            <v>2867</v>
          </cell>
          <cell r="AV230">
            <v>2866</v>
          </cell>
          <cell r="AW230">
            <v>10803</v>
          </cell>
          <cell r="AX230">
            <v>10798</v>
          </cell>
          <cell r="AY230">
            <v>2564</v>
          </cell>
          <cell r="AZ230">
            <v>2808.314188744991</v>
          </cell>
          <cell r="BA230">
            <v>5333.8541887449901</v>
          </cell>
          <cell r="BB230">
            <v>2912.706155383089</v>
          </cell>
          <cell r="BC230">
            <v>8246.56034412808</v>
          </cell>
          <cell r="BD230">
            <v>3233.9605926400891</v>
          </cell>
          <cell r="BE230">
            <v>11480.520936768167</v>
          </cell>
          <cell r="BF230">
            <v>13132.540169321141</v>
          </cell>
          <cell r="BG230">
            <v>14135.138393844634</v>
          </cell>
          <cell r="BH230">
            <v>15250.238201002272</v>
          </cell>
          <cell r="BI230">
            <v>16629.880903689111</v>
          </cell>
          <cell r="BJ230">
            <v>16738.767554328726</v>
          </cell>
          <cell r="BK230">
            <v>17223.798548875577</v>
          </cell>
          <cell r="BL230">
            <v>18002.542360631047</v>
          </cell>
          <cell r="BM230">
            <v>17177.423584459229</v>
          </cell>
          <cell r="BN230">
            <v>16951.75547333189</v>
          </cell>
          <cell r="BO230">
            <v>17004.628503742078</v>
          </cell>
          <cell r="BR230">
            <v>0.18748011150111096</v>
          </cell>
          <cell r="BS230">
            <v>0.28935399708665005</v>
          </cell>
          <cell r="BW230">
            <v>5296.238201002272</v>
          </cell>
        </row>
        <row r="231">
          <cell r="A231" t="str">
            <v>Growth %</v>
          </cell>
          <cell r="C231">
            <v>0.83870174575854439</v>
          </cell>
          <cell r="F231" t="e">
            <v>#REF!</v>
          </cell>
          <cell r="H231" t="e">
            <v>#VALUE!</v>
          </cell>
          <cell r="J231">
            <v>0.34033163947579559</v>
          </cell>
          <cell r="K231">
            <v>-1.0420841683366766E-2</v>
          </cell>
          <cell r="L231">
            <v>-3.2975764799364371E-2</v>
          </cell>
          <cell r="M231">
            <v>0.38307475317348372</v>
          </cell>
          <cell r="N231">
            <v>-6.3770426464726526E-3</v>
          </cell>
          <cell r="O231">
            <v>0.37293484314089476</v>
          </cell>
          <cell r="P231">
            <v>-0.413718723037101</v>
          </cell>
          <cell r="Q231">
            <v>9.0791180285343387E-3</v>
          </cell>
          <cell r="R231">
            <v>4.7792628594572673E-2</v>
          </cell>
          <cell r="S231">
            <v>8.2169268693508712E-2</v>
          </cell>
          <cell r="T231">
            <v>6.4858250050989108E-2</v>
          </cell>
          <cell r="U231">
            <v>2.2061772964300008E-2</v>
          </cell>
          <cell r="V231">
            <v>5.0432666306111429E-2</v>
          </cell>
          <cell r="W231">
            <v>-7.3583517292126199E-3</v>
          </cell>
          <cell r="X231">
            <v>3.4902115878979734E-2</v>
          </cell>
          <cell r="Y231">
            <v>-2.1646695013529227E-2</v>
          </cell>
          <cell r="Z231">
            <v>4.3280182232346309E-2</v>
          </cell>
          <cell r="AA231">
            <v>1.1108982953457192E-2</v>
          </cell>
          <cell r="AB231">
            <v>7.2213500784929385E-2</v>
          </cell>
          <cell r="AC231">
            <v>3.1149440082378632E-2</v>
          </cell>
          <cell r="AD231">
            <v>5.7449962935507859E-2</v>
          </cell>
          <cell r="AE231">
            <v>-4.9011177987962173E-2</v>
          </cell>
          <cell r="AF231">
            <v>-4.4251284077439723E-2</v>
          </cell>
          <cell r="AG231">
            <v>-0.11572052401746724</v>
          </cell>
          <cell r="AH231">
            <v>-8.1265391172570589E-2</v>
          </cell>
          <cell r="AI231">
            <v>-0.11420204978038062</v>
          </cell>
          <cell r="AJ231">
            <v>-9.2497815503682412E-2</v>
          </cell>
          <cell r="AK231">
            <v>-6.0287416754293721E-2</v>
          </cell>
          <cell r="AL231">
            <v>-5.0231062889294353E-4</v>
          </cell>
          <cell r="AM231">
            <v>4.051260851591576E-2</v>
          </cell>
          <cell r="AN231">
            <v>4.051260851591576E-2</v>
          </cell>
          <cell r="AO231">
            <v>0.10493827160493829</v>
          </cell>
          <cell r="AP231">
            <v>0.10411522633744852</v>
          </cell>
          <cell r="AQ231">
            <v>7.2577319587628919E-2</v>
          </cell>
          <cell r="AR231">
            <v>0.12975206611570256</v>
          </cell>
          <cell r="AS231">
            <v>0.12892561983471085</v>
          </cell>
          <cell r="AT231">
            <v>9.1609353507565272E-2</v>
          </cell>
          <cell r="AU231">
            <v>6.9377098097724632E-2</v>
          </cell>
          <cell r="AV231">
            <v>6.9004102946661705E-2</v>
          </cell>
          <cell r="AW231">
            <v>8.5837772640466437E-2</v>
          </cell>
          <cell r="AX231">
            <v>8.5335209568800918E-2</v>
          </cell>
          <cell r="AY231">
            <v>1.8673023440603842E-2</v>
          </cell>
          <cell r="AZ231">
            <v>4.59270721582834E-2</v>
          </cell>
          <cell r="BA231">
            <v>2.5346825979429166E-2</v>
          </cell>
          <cell r="BB231">
            <v>6.5364358223514607E-2</v>
          </cell>
          <cell r="BC231">
            <v>3.913310787904245E-2</v>
          </cell>
          <cell r="BD231">
            <v>0.12799462596445377</v>
          </cell>
          <cell r="BE231">
            <v>6.2715998960304331E-2</v>
          </cell>
          <cell r="BF231">
            <v>0.1438975845827799</v>
          </cell>
          <cell r="BG231">
            <v>7.6344577027501304E-2</v>
          </cell>
          <cell r="BH231">
            <v>7.8888495894969379E-2</v>
          </cell>
          <cell r="BI231">
            <v>9.0466960876464553E-2</v>
          </cell>
          <cell r="BJ231">
            <v>6.547650657886539E-3</v>
          </cell>
          <cell r="BK231">
            <v>2.8976505765588412E-2</v>
          </cell>
          <cell r="BL231">
            <v>4.5213244311099299E-2</v>
          </cell>
          <cell r="BM231">
            <v>-4.5833458388423676E-2</v>
          </cell>
          <cell r="BN231">
            <v>-1.3137483046730347E-2</v>
          </cell>
          <cell r="BO231">
            <v>3.1190297956673607E-3</v>
          </cell>
          <cell r="BW231">
            <v>0.12789967388293155</v>
          </cell>
        </row>
        <row r="232">
          <cell r="A232" t="str">
            <v>CER growth %</v>
          </cell>
          <cell r="AO232">
            <v>4.2999999999999997E-2</v>
          </cell>
          <cell r="AQ232">
            <v>2.9000000000000001E-2</v>
          </cell>
          <cell r="AY232">
            <v>0.05</v>
          </cell>
        </row>
        <row r="233">
          <cell r="BW233">
            <v>0</v>
          </cell>
        </row>
        <row r="234">
          <cell r="A234" t="str">
            <v>Aspirin</v>
          </cell>
          <cell r="B234">
            <v>453</v>
          </cell>
          <cell r="C234">
            <v>465</v>
          </cell>
          <cell r="D234">
            <v>113</v>
          </cell>
          <cell r="E234">
            <v>107</v>
          </cell>
          <cell r="F234">
            <v>220</v>
          </cell>
          <cell r="G234">
            <v>112</v>
          </cell>
          <cell r="H234">
            <v>332</v>
          </cell>
          <cell r="I234">
            <v>128</v>
          </cell>
          <cell r="J234">
            <v>460</v>
          </cell>
          <cell r="K234">
            <v>114</v>
          </cell>
          <cell r="L234">
            <v>105</v>
          </cell>
          <cell r="M234">
            <v>219</v>
          </cell>
          <cell r="N234">
            <v>105</v>
          </cell>
          <cell r="O234">
            <v>324</v>
          </cell>
          <cell r="P234">
            <v>125</v>
          </cell>
          <cell r="Q234">
            <v>449</v>
          </cell>
          <cell r="R234">
            <v>96</v>
          </cell>
          <cell r="S234">
            <v>94</v>
          </cell>
          <cell r="T234">
            <v>190</v>
          </cell>
          <cell r="U234">
            <v>99</v>
          </cell>
          <cell r="V234">
            <v>289</v>
          </cell>
          <cell r="W234">
            <v>111</v>
          </cell>
          <cell r="X234">
            <v>400</v>
          </cell>
          <cell r="Y234">
            <v>90</v>
          </cell>
          <cell r="Z234">
            <v>105</v>
          </cell>
          <cell r="AA234">
            <v>195</v>
          </cell>
          <cell r="AB234">
            <v>110</v>
          </cell>
          <cell r="AC234">
            <v>305</v>
          </cell>
          <cell r="AD234">
            <v>113</v>
          </cell>
          <cell r="AE234">
            <v>418</v>
          </cell>
          <cell r="AF234">
            <v>112</v>
          </cell>
          <cell r="AG234">
            <v>104</v>
          </cell>
          <cell r="AH234">
            <v>216</v>
          </cell>
          <cell r="AI234">
            <v>108</v>
          </cell>
          <cell r="AJ234">
            <v>324</v>
          </cell>
          <cell r="AK234">
            <v>123</v>
          </cell>
          <cell r="AL234">
            <v>447</v>
          </cell>
          <cell r="AM234">
            <v>105</v>
          </cell>
          <cell r="AN234">
            <v>115</v>
          </cell>
          <cell r="AO234">
            <v>110</v>
          </cell>
          <cell r="AQ234">
            <v>215</v>
          </cell>
          <cell r="AR234">
            <v>116</v>
          </cell>
          <cell r="AT234">
            <v>331</v>
          </cell>
          <cell r="AU234">
            <v>138</v>
          </cell>
          <cell r="AW234">
            <v>469</v>
          </cell>
          <cell r="AY234">
            <v>116</v>
          </cell>
          <cell r="AZ234">
            <v>110.12657156606006</v>
          </cell>
          <cell r="BA234">
            <v>226.12657156606008</v>
          </cell>
          <cell r="BB234">
            <v>116.23154501157519</v>
          </cell>
          <cell r="BC234">
            <v>342.35811657763526</v>
          </cell>
          <cell r="BD234">
            <v>133.34591798905296</v>
          </cell>
          <cell r="BE234">
            <v>475.70403456668822</v>
          </cell>
          <cell r="BF234">
            <v>502.02476988644429</v>
          </cell>
          <cell r="BG234">
            <v>512.06526528417317</v>
          </cell>
          <cell r="BH234">
            <v>522.30657058985662</v>
          </cell>
          <cell r="BI234">
            <v>532.7527020016538</v>
          </cell>
          <cell r="BJ234">
            <v>543.40775604168687</v>
          </cell>
          <cell r="BK234">
            <v>554.27591116252063</v>
          </cell>
          <cell r="BL234">
            <v>565.36142938577109</v>
          </cell>
          <cell r="BM234">
            <v>576.66865797348657</v>
          </cell>
          <cell r="BN234">
            <v>588.20203113295634</v>
          </cell>
          <cell r="BO234">
            <v>599.96607175561542</v>
          </cell>
          <cell r="BW234">
            <v>104.30657058985662</v>
          </cell>
        </row>
        <row r="235">
          <cell r="A235" t="str">
            <v>Growth %</v>
          </cell>
          <cell r="J235">
            <v>2.9000000000000001E-2</v>
          </cell>
          <cell r="K235">
            <v>7.1999999999999995E-2</v>
          </cell>
          <cell r="L235">
            <v>4.5999999999999999E-2</v>
          </cell>
          <cell r="M235">
            <v>-4.5454545454545192E-3</v>
          </cell>
          <cell r="N235">
            <v>-3.6999999999999998E-2</v>
          </cell>
          <cell r="O235">
            <v>-2.4096385542168641E-2</v>
          </cell>
          <cell r="P235">
            <v>-2.34375E-2</v>
          </cell>
          <cell r="Q235">
            <v>-2.3913043478260843E-2</v>
          </cell>
          <cell r="R235">
            <v>-0.16200000000000001</v>
          </cell>
          <cell r="S235">
            <v>-0.126</v>
          </cell>
          <cell r="T235">
            <v>-0.13242009132420096</v>
          </cell>
          <cell r="U235">
            <v>-5.7142857142857162E-2</v>
          </cell>
          <cell r="V235">
            <v>-0.10802469135802473</v>
          </cell>
          <cell r="W235">
            <v>-0.11199999999999999</v>
          </cell>
          <cell r="X235">
            <v>-0.10913140311804004</v>
          </cell>
          <cell r="Y235">
            <v>-6.25E-2</v>
          </cell>
          <cell r="Z235">
            <v>0.11702127659574457</v>
          </cell>
          <cell r="AA235">
            <v>2.6315789473684292E-2</v>
          </cell>
          <cell r="AB235">
            <v>0.11111111111111116</v>
          </cell>
          <cell r="AC235">
            <v>5.5363321799307919E-2</v>
          </cell>
          <cell r="AD235">
            <v>1.8018018018018056E-2</v>
          </cell>
          <cell r="AE235">
            <v>4.4999999999999929E-2</v>
          </cell>
          <cell r="AF235">
            <v>0.24444444444444446</v>
          </cell>
          <cell r="AG235">
            <v>-9.52380952380949E-3</v>
          </cell>
          <cell r="AH235">
            <v>0.10769230769230775</v>
          </cell>
          <cell r="AI235">
            <v>-1.8181818181818188E-2</v>
          </cell>
          <cell r="AJ235">
            <v>6.2295081967213006E-2</v>
          </cell>
          <cell r="AK235">
            <v>8.8495575221238854E-2</v>
          </cell>
          <cell r="AL235">
            <v>6.9377990430621983E-2</v>
          </cell>
          <cell r="AM235">
            <v>-6.25E-2</v>
          </cell>
          <cell r="AN235">
            <v>2.6785714285714191E-2</v>
          </cell>
          <cell r="AO235">
            <v>5.7692307692307709E-2</v>
          </cell>
          <cell r="AQ235">
            <v>-4.6296296296296502E-3</v>
          </cell>
          <cell r="AR235">
            <v>7.4074074074074181E-2</v>
          </cell>
          <cell r="AT235">
            <v>2.1604938271605034E-2</v>
          </cell>
          <cell r="AU235">
            <v>0.12195121951219523</v>
          </cell>
          <cell r="AW235">
            <v>4.9217002237136542E-2</v>
          </cell>
          <cell r="AY235">
            <v>0.10476190476190483</v>
          </cell>
          <cell r="AZ235">
            <v>1.1506506005460881E-3</v>
          </cell>
          <cell r="BA235">
            <v>5.1751495656093383E-2</v>
          </cell>
          <cell r="BB235">
            <v>1.9960776859930807E-3</v>
          </cell>
          <cell r="BC235">
            <v>3.4314551594064158E-2</v>
          </cell>
          <cell r="BD235">
            <v>-3.3725231963384283E-2</v>
          </cell>
          <cell r="BE235">
            <v>1.4294316773322491E-2</v>
          </cell>
          <cell r="BF235">
            <v>5.5330065349837199E-2</v>
          </cell>
          <cell r="BG235">
            <v>2.0000000000000018E-2</v>
          </cell>
          <cell r="BH235">
            <v>2.0000000000000018E-2</v>
          </cell>
          <cell r="BI235">
            <v>2.0000000000000018E-2</v>
          </cell>
          <cell r="BJ235">
            <v>2.0000000000000018E-2</v>
          </cell>
          <cell r="BK235">
            <v>2.0000000000000018E-2</v>
          </cell>
          <cell r="BL235">
            <v>2.0000000000000018E-2</v>
          </cell>
          <cell r="BM235">
            <v>2.0000000000000018E-2</v>
          </cell>
          <cell r="BN235">
            <v>2.0000000000000018E-2</v>
          </cell>
          <cell r="BO235">
            <v>2.0000000000000018E-2</v>
          </cell>
          <cell r="BW235">
            <v>-2.4999999999999911E-2</v>
          </cell>
        </row>
        <row r="236">
          <cell r="A236" t="str">
            <v>CER growth %</v>
          </cell>
          <cell r="AL236">
            <v>8.5999999999999993E-2</v>
          </cell>
          <cell r="AM236">
            <v>-7.0000000000000007E-2</v>
          </cell>
          <cell r="AO236">
            <v>1E-3</v>
          </cell>
          <cell r="AQ236">
            <v>-3.5999999999999997E-2</v>
          </cell>
          <cell r="AR236">
            <v>7.0000000000000001E-3</v>
          </cell>
          <cell r="AT236">
            <v>-2.1000000000000001E-2</v>
          </cell>
          <cell r="AU236">
            <v>9.9000000000000005E-2</v>
          </cell>
          <cell r="AW236">
            <v>1.2999999999999999E-2</v>
          </cell>
          <cell r="AY236">
            <v>2.5999999999999999E-2</v>
          </cell>
          <cell r="AZ236">
            <v>3.5000000000000003E-2</v>
          </cell>
          <cell r="BB236">
            <v>3.5000000000000003E-2</v>
          </cell>
          <cell r="BE236">
            <v>3.5000000000000003E-2</v>
          </cell>
          <cell r="BF236">
            <v>0.02</v>
          </cell>
          <cell r="BG236">
            <v>0.02</v>
          </cell>
          <cell r="BH236">
            <v>0.02</v>
          </cell>
          <cell r="BI236">
            <v>0.02</v>
          </cell>
          <cell r="BJ236">
            <v>0.02</v>
          </cell>
          <cell r="BK236">
            <v>0.02</v>
          </cell>
          <cell r="BL236">
            <v>0.02</v>
          </cell>
          <cell r="BM236">
            <v>0.02</v>
          </cell>
          <cell r="BN236">
            <v>0.02</v>
          </cell>
          <cell r="BO236">
            <v>0.02</v>
          </cell>
        </row>
        <row r="237">
          <cell r="A237" t="str">
            <v>Aleve</v>
          </cell>
          <cell r="B237">
            <v>178</v>
          </cell>
          <cell r="C237">
            <v>227</v>
          </cell>
          <cell r="D237">
            <v>69</v>
          </cell>
          <cell r="E237">
            <v>55</v>
          </cell>
          <cell r="F237">
            <v>124</v>
          </cell>
          <cell r="G237">
            <v>53</v>
          </cell>
          <cell r="H237">
            <v>177</v>
          </cell>
          <cell r="I237">
            <v>62</v>
          </cell>
          <cell r="J237">
            <v>239</v>
          </cell>
          <cell r="K237">
            <v>48</v>
          </cell>
          <cell r="L237">
            <v>57</v>
          </cell>
          <cell r="M237">
            <v>105</v>
          </cell>
          <cell r="N237">
            <v>48</v>
          </cell>
          <cell r="O237">
            <v>153</v>
          </cell>
          <cell r="P237">
            <v>67</v>
          </cell>
          <cell r="Q237">
            <v>220</v>
          </cell>
          <cell r="R237">
            <v>43</v>
          </cell>
          <cell r="S237">
            <v>56</v>
          </cell>
          <cell r="T237">
            <v>99</v>
          </cell>
          <cell r="U237">
            <v>60</v>
          </cell>
          <cell r="V237">
            <v>159</v>
          </cell>
          <cell r="W237">
            <v>58</v>
          </cell>
          <cell r="X237">
            <v>217</v>
          </cell>
          <cell r="Y237">
            <v>59</v>
          </cell>
          <cell r="Z237">
            <v>68</v>
          </cell>
          <cell r="AA237">
            <v>127</v>
          </cell>
          <cell r="AB237">
            <v>78</v>
          </cell>
          <cell r="AC237">
            <v>205</v>
          </cell>
          <cell r="AD237">
            <v>68</v>
          </cell>
          <cell r="AE237">
            <v>273</v>
          </cell>
          <cell r="AF237">
            <v>67</v>
          </cell>
          <cell r="AG237">
            <v>68</v>
          </cell>
          <cell r="AH237">
            <v>135</v>
          </cell>
          <cell r="AI237">
            <v>74</v>
          </cell>
          <cell r="AJ237">
            <v>209</v>
          </cell>
          <cell r="AK237">
            <v>76</v>
          </cell>
          <cell r="AL237">
            <v>285</v>
          </cell>
          <cell r="AM237">
            <v>70</v>
          </cell>
          <cell r="AN237">
            <v>70</v>
          </cell>
          <cell r="AO237">
            <v>82</v>
          </cell>
          <cell r="AQ237">
            <v>152</v>
          </cell>
          <cell r="AR237">
            <v>84</v>
          </cell>
          <cell r="AT237">
            <v>236</v>
          </cell>
          <cell r="AU237">
            <v>87</v>
          </cell>
          <cell r="AW237">
            <v>323</v>
          </cell>
          <cell r="AY237">
            <v>75</v>
          </cell>
          <cell r="AZ237">
            <v>82.264216778169796</v>
          </cell>
          <cell r="BA237">
            <v>157.26421677816978</v>
          </cell>
          <cell r="BB237">
            <v>84.586588411102184</v>
          </cell>
          <cell r="BC237">
            <v>241.85080518927197</v>
          </cell>
          <cell r="BD237">
            <v>90.611018316999889</v>
          </cell>
          <cell r="BE237">
            <v>332.46182350627186</v>
          </cell>
          <cell r="BF237">
            <v>369.28949838535516</v>
          </cell>
          <cell r="BG237">
            <v>380.36818333691582</v>
          </cell>
          <cell r="BH237">
            <v>391.77922883702331</v>
          </cell>
          <cell r="BI237">
            <v>399.61481341376378</v>
          </cell>
          <cell r="BJ237">
            <v>391.62251714548847</v>
          </cell>
          <cell r="BK237">
            <v>383.79006680257868</v>
          </cell>
          <cell r="BL237">
            <v>376.11426546652712</v>
          </cell>
          <cell r="BM237">
            <v>368.59198015719659</v>
          </cell>
          <cell r="BN237">
            <v>361.22014055405265</v>
          </cell>
          <cell r="BO237">
            <v>353.99573774297158</v>
          </cell>
          <cell r="BW237">
            <v>118.77922883702331</v>
          </cell>
        </row>
        <row r="238">
          <cell r="A238" t="str">
            <v>Growth %</v>
          </cell>
          <cell r="J238">
            <v>0.13900000000000001</v>
          </cell>
          <cell r="K238">
            <v>-0.20699999999999999</v>
          </cell>
          <cell r="L238">
            <v>-0.19400000000000001</v>
          </cell>
          <cell r="M238">
            <v>-0.15322580645161288</v>
          </cell>
          <cell r="N238">
            <v>-5.8000000000000003E-2</v>
          </cell>
          <cell r="O238">
            <v>-0.13559322033898302</v>
          </cell>
          <cell r="P238">
            <v>8.0645161290322509E-2</v>
          </cell>
          <cell r="Q238">
            <v>-7.9497907949790836E-2</v>
          </cell>
          <cell r="R238">
            <v>-0.17899999999999999</v>
          </cell>
          <cell r="S238">
            <v>-0.11</v>
          </cell>
          <cell r="T238">
            <v>-5.7142857142857162E-2</v>
          </cell>
          <cell r="U238">
            <v>0.25</v>
          </cell>
          <cell r="V238">
            <v>3.9215686274509887E-2</v>
          </cell>
          <cell r="W238">
            <v>-0.13432835820895528</v>
          </cell>
          <cell r="X238">
            <v>-1.3636363636363669E-2</v>
          </cell>
          <cell r="Y238">
            <v>0.37209302325581395</v>
          </cell>
          <cell r="Z238">
            <v>0.21428571428571419</v>
          </cell>
          <cell r="AA238">
            <v>0.28282828282828287</v>
          </cell>
          <cell r="AB238">
            <v>0.30000000000000004</v>
          </cell>
          <cell r="AC238">
            <v>0.28930817610062887</v>
          </cell>
          <cell r="AD238">
            <v>0.17241379310344818</v>
          </cell>
          <cell r="AE238">
            <v>0.25806451612903225</v>
          </cell>
          <cell r="AF238">
            <v>0.13559322033898313</v>
          </cell>
          <cell r="AG238">
            <v>0</v>
          </cell>
          <cell r="AH238">
            <v>6.2992125984252079E-2</v>
          </cell>
          <cell r="AI238">
            <v>-5.1282051282051322E-2</v>
          </cell>
          <cell r="AJ238">
            <v>1.9512195121951237E-2</v>
          </cell>
          <cell r="AK238">
            <v>0.11764705882352944</v>
          </cell>
          <cell r="AL238">
            <v>4.3956043956044022E-2</v>
          </cell>
          <cell r="AM238">
            <v>4.4776119402984982E-2</v>
          </cell>
          <cell r="AN238">
            <v>4.4776119402984982E-2</v>
          </cell>
          <cell r="AO238">
            <v>0.20588235294117641</v>
          </cell>
          <cell r="AQ238">
            <v>0.125925925925926</v>
          </cell>
          <cell r="AR238">
            <v>0.13513513513513509</v>
          </cell>
          <cell r="AT238">
            <v>0.12918660287081329</v>
          </cell>
          <cell r="AU238">
            <v>0.14473684210526305</v>
          </cell>
          <cell r="AW238">
            <v>0.1333333333333333</v>
          </cell>
          <cell r="AY238">
            <v>7.1428571428571397E-2</v>
          </cell>
          <cell r="AZ238">
            <v>3.222155831339002E-3</v>
          </cell>
          <cell r="BA238">
            <v>3.4633005119538041E-2</v>
          </cell>
          <cell r="BB238">
            <v>6.9831953702641503E-3</v>
          </cell>
          <cell r="BC238">
            <v>2.4791547412169379E-2</v>
          </cell>
          <cell r="BD238">
            <v>4.1505957666665427E-2</v>
          </cell>
          <cell r="BE238">
            <v>2.9293571226847837E-2</v>
          </cell>
          <cell r="BF238">
            <v>0.11077264297802469</v>
          </cell>
          <cell r="BG238">
            <v>3.0000000000000027E-2</v>
          </cell>
          <cell r="BH238">
            <v>3.0000000000000027E-2</v>
          </cell>
          <cell r="BI238">
            <v>2.0000000000000018E-2</v>
          </cell>
          <cell r="BJ238">
            <v>-2.0000000000000018E-2</v>
          </cell>
          <cell r="BK238">
            <v>-2.0000000000000018E-2</v>
          </cell>
          <cell r="BL238">
            <v>-2.0000000000000018E-2</v>
          </cell>
          <cell r="BM238">
            <v>-2.0000000000000018E-2</v>
          </cell>
          <cell r="BN238">
            <v>-2.0000000000000018E-2</v>
          </cell>
          <cell r="BO238">
            <v>-2.0000000000000018E-2</v>
          </cell>
          <cell r="BW238">
            <v>-0.22806451612903222</v>
          </cell>
        </row>
        <row r="239">
          <cell r="A239" t="str">
            <v>CER growth %</v>
          </cell>
          <cell r="AL239">
            <v>9.0999999999999998E-2</v>
          </cell>
          <cell r="AM239">
            <v>4.0000000000000001E-3</v>
          </cell>
          <cell r="AO239">
            <v>0.10100000000000001</v>
          </cell>
          <cell r="AQ239">
            <v>5.2999999999999999E-2</v>
          </cell>
          <cell r="AR239">
            <v>1E-3</v>
          </cell>
          <cell r="AT239">
            <v>3.5000000000000003E-2</v>
          </cell>
          <cell r="AU239">
            <v>0.106</v>
          </cell>
          <cell r="AW239">
            <v>5.3999999999999999E-2</v>
          </cell>
          <cell r="AY239">
            <v>7.5999999999999998E-2</v>
          </cell>
          <cell r="AZ239">
            <v>0.05</v>
          </cell>
          <cell r="BB239">
            <v>0.05</v>
          </cell>
          <cell r="BE239">
            <v>0.05</v>
          </cell>
          <cell r="BF239">
            <v>0.04</v>
          </cell>
          <cell r="BG239">
            <v>0.03</v>
          </cell>
          <cell r="BH239">
            <v>0.03</v>
          </cell>
          <cell r="BI239">
            <v>0.02</v>
          </cell>
          <cell r="BJ239">
            <v>-0.02</v>
          </cell>
          <cell r="BK239">
            <v>-0.02</v>
          </cell>
          <cell r="BL239">
            <v>-0.02</v>
          </cell>
          <cell r="BM239">
            <v>-0.02</v>
          </cell>
          <cell r="BN239">
            <v>-0.02</v>
          </cell>
          <cell r="BO239">
            <v>-0.02</v>
          </cell>
        </row>
        <row r="240">
          <cell r="A240" t="str">
            <v>Canesten</v>
          </cell>
          <cell r="B240">
            <v>135</v>
          </cell>
          <cell r="C240">
            <v>162</v>
          </cell>
          <cell r="D240">
            <v>43</v>
          </cell>
          <cell r="E240">
            <v>47</v>
          </cell>
          <cell r="F240">
            <v>90</v>
          </cell>
          <cell r="G240">
            <v>48</v>
          </cell>
          <cell r="H240">
            <v>138</v>
          </cell>
          <cell r="I240">
            <v>44</v>
          </cell>
          <cell r="J240">
            <v>182</v>
          </cell>
          <cell r="K240">
            <v>47</v>
          </cell>
          <cell r="L240">
            <v>54</v>
          </cell>
          <cell r="M240">
            <v>101</v>
          </cell>
          <cell r="N240">
            <v>51</v>
          </cell>
          <cell r="O240">
            <v>152</v>
          </cell>
          <cell r="P240">
            <v>48</v>
          </cell>
          <cell r="Q240">
            <v>200</v>
          </cell>
          <cell r="R240">
            <v>43</v>
          </cell>
          <cell r="S240">
            <v>50</v>
          </cell>
          <cell r="T240">
            <v>93</v>
          </cell>
          <cell r="U240">
            <v>49</v>
          </cell>
          <cell r="V240">
            <v>142</v>
          </cell>
          <cell r="W240">
            <v>46</v>
          </cell>
          <cell r="X240">
            <v>188</v>
          </cell>
          <cell r="Y240">
            <v>55</v>
          </cell>
          <cell r="Z240">
            <v>58</v>
          </cell>
          <cell r="AA240">
            <v>113</v>
          </cell>
          <cell r="AB240">
            <v>57</v>
          </cell>
          <cell r="AC240">
            <v>170</v>
          </cell>
          <cell r="AD240">
            <v>40</v>
          </cell>
          <cell r="AE240">
            <v>210</v>
          </cell>
          <cell r="AF240">
            <v>55</v>
          </cell>
          <cell r="AG240">
            <v>58</v>
          </cell>
          <cell r="AH240">
            <v>113</v>
          </cell>
          <cell r="AI240">
            <v>55</v>
          </cell>
          <cell r="AJ240">
            <v>168</v>
          </cell>
          <cell r="AK240">
            <v>56</v>
          </cell>
          <cell r="AL240">
            <v>224</v>
          </cell>
          <cell r="AM240">
            <v>56</v>
          </cell>
          <cell r="AN240">
            <v>56</v>
          </cell>
          <cell r="AO240">
            <v>61</v>
          </cell>
          <cell r="AQ240">
            <v>117</v>
          </cell>
          <cell r="AR240">
            <v>68</v>
          </cell>
          <cell r="AT240">
            <v>185</v>
          </cell>
          <cell r="AU240">
            <v>65</v>
          </cell>
          <cell r="AW240">
            <v>250</v>
          </cell>
          <cell r="AY240">
            <v>62</v>
          </cell>
          <cell r="AZ240">
            <v>61.955264899483076</v>
          </cell>
          <cell r="BA240">
            <v>123.95526489948307</v>
          </cell>
          <cell r="BB240">
            <v>69.123207678048217</v>
          </cell>
          <cell r="BC240">
            <v>193.07847257753127</v>
          </cell>
          <cell r="BD240">
            <v>64.170086024398415</v>
          </cell>
          <cell r="BE240">
            <v>257.24855860192969</v>
          </cell>
          <cell r="BF240">
            <v>271.48213816052589</v>
          </cell>
          <cell r="BG240">
            <v>276.91178092373639</v>
          </cell>
          <cell r="BH240">
            <v>282.45001654221113</v>
          </cell>
          <cell r="BI240">
            <v>288.09901687305535</v>
          </cell>
          <cell r="BJ240">
            <v>285.21802670432481</v>
          </cell>
          <cell r="BK240">
            <v>282.36584643728156</v>
          </cell>
          <cell r="BL240">
            <v>279.54218797290872</v>
          </cell>
          <cell r="BM240">
            <v>276.74676609317964</v>
          </cell>
          <cell r="BN240">
            <v>273.97929843224784</v>
          </cell>
          <cell r="BO240">
            <v>271.23950544792535</v>
          </cell>
          <cell r="BW240">
            <v>72.450016542211131</v>
          </cell>
        </row>
        <row r="241">
          <cell r="A241" t="str">
            <v>Growth %</v>
          </cell>
          <cell r="J241">
            <v>0.154</v>
          </cell>
          <cell r="K241">
            <v>0.14899999999999999</v>
          </cell>
          <cell r="L241">
            <v>0.23400000000000001</v>
          </cell>
          <cell r="M241">
            <v>0.12222222222222223</v>
          </cell>
          <cell r="N241">
            <v>0.114</v>
          </cell>
          <cell r="O241">
            <v>0.10144927536231885</v>
          </cell>
          <cell r="P241">
            <v>9.0909090909090828E-2</v>
          </cell>
          <cell r="Q241">
            <v>9.8901098901098994E-2</v>
          </cell>
          <cell r="R241">
            <v>-3.1E-2</v>
          </cell>
          <cell r="S241">
            <v>-6.5000000000000002E-2</v>
          </cell>
          <cell r="T241">
            <v>-7.9207920792079167E-2</v>
          </cell>
          <cell r="U241">
            <v>-3.9215686274509776E-2</v>
          </cell>
          <cell r="V241">
            <v>-6.5789473684210509E-2</v>
          </cell>
          <cell r="W241">
            <v>-4.166666666666663E-2</v>
          </cell>
          <cell r="X241">
            <v>-6.0000000000000053E-2</v>
          </cell>
          <cell r="Y241">
            <v>0.27906976744186052</v>
          </cell>
          <cell r="Z241">
            <v>0.15999999999999992</v>
          </cell>
          <cell r="AA241">
            <v>0.21505376344086025</v>
          </cell>
          <cell r="AB241">
            <v>0.16326530612244894</v>
          </cell>
          <cell r="AC241">
            <v>0.19718309859154926</v>
          </cell>
          <cell r="AD241">
            <v>-0.13043478260869568</v>
          </cell>
          <cell r="AE241">
            <v>0.11702127659574457</v>
          </cell>
          <cell r="AF241">
            <v>0</v>
          </cell>
          <cell r="AG241">
            <v>0</v>
          </cell>
          <cell r="AH241">
            <v>0</v>
          </cell>
          <cell r="AI241">
            <v>-3.5087719298245612E-2</v>
          </cell>
          <cell r="AJ241">
            <v>-1.1764705882352899E-2</v>
          </cell>
          <cell r="AK241">
            <v>0.39999999999999991</v>
          </cell>
          <cell r="AL241">
            <v>6.6666666666666652E-2</v>
          </cell>
          <cell r="AM241">
            <v>1.8181818181818077E-2</v>
          </cell>
          <cell r="AN241">
            <v>1.8181818181818077E-2</v>
          </cell>
          <cell r="AO241">
            <v>5.1724137931034475E-2</v>
          </cell>
          <cell r="AQ241">
            <v>3.539823008849563E-2</v>
          </cell>
          <cell r="AR241">
            <v>0.23636363636363633</v>
          </cell>
          <cell r="AT241">
            <v>0.10119047619047628</v>
          </cell>
          <cell r="AU241">
            <v>0.16071428571428581</v>
          </cell>
          <cell r="AW241">
            <v>0.1160714285714286</v>
          </cell>
          <cell r="AY241">
            <v>0.10714285714285721</v>
          </cell>
          <cell r="AZ241">
            <v>1.5660080319394698E-2</v>
          </cell>
          <cell r="BA241">
            <v>5.9446708542590265E-2</v>
          </cell>
          <cell r="BB241">
            <v>1.6517759971297341E-2</v>
          </cell>
          <cell r="BC241">
            <v>4.3667419338006885E-2</v>
          </cell>
          <cell r="BD241">
            <v>-1.2767907316947436E-2</v>
          </cell>
          <cell r="BE241">
            <v>2.8994234407718755E-2</v>
          </cell>
          <cell r="BF241">
            <v>5.5330065349837199E-2</v>
          </cell>
          <cell r="BG241">
            <v>2.0000000000000018E-2</v>
          </cell>
          <cell r="BH241">
            <v>2.0000000000000018E-2</v>
          </cell>
          <cell r="BI241">
            <v>2.0000000000000018E-2</v>
          </cell>
          <cell r="BJ241">
            <v>-1.0000000000000009E-2</v>
          </cell>
          <cell r="BK241">
            <v>-1.0000000000000009E-2</v>
          </cell>
          <cell r="BL241">
            <v>-1.0000000000000009E-2</v>
          </cell>
          <cell r="BM241">
            <v>-1.0000000000000009E-2</v>
          </cell>
          <cell r="BN241">
            <v>-1.0000000000000009E-2</v>
          </cell>
          <cell r="BO241">
            <v>-1.0000000000000009E-2</v>
          </cell>
          <cell r="BW241">
            <v>-9.7021276595744554E-2</v>
          </cell>
        </row>
        <row r="242">
          <cell r="A242" t="str">
            <v>CER growth %</v>
          </cell>
          <cell r="AL242">
            <v>6.9000000000000006E-2</v>
          </cell>
          <cell r="AM242">
            <v>1.4E-2</v>
          </cell>
          <cell r="AO242">
            <v>0</v>
          </cell>
          <cell r="AQ242">
            <v>7.0000000000000001E-3</v>
          </cell>
          <cell r="AR242">
            <v>0.184</v>
          </cell>
          <cell r="AT242">
            <v>6.4000000000000001E-2</v>
          </cell>
          <cell r="AU242">
            <v>0.11799999999999999</v>
          </cell>
          <cell r="AW242">
            <v>7.8E-2</v>
          </cell>
          <cell r="AY242">
            <v>0.11600000000000001</v>
          </cell>
          <cell r="AZ242">
            <v>0.05</v>
          </cell>
          <cell r="BB242">
            <v>0.05</v>
          </cell>
          <cell r="BE242">
            <v>0.05</v>
          </cell>
          <cell r="BF242">
            <v>0.02</v>
          </cell>
          <cell r="BG242">
            <v>0.02</v>
          </cell>
          <cell r="BH242">
            <v>0.02</v>
          </cell>
          <cell r="BI242">
            <v>0.02</v>
          </cell>
          <cell r="BJ242">
            <v>-0.01</v>
          </cell>
          <cell r="BK242">
            <v>-0.01</v>
          </cell>
          <cell r="BL242">
            <v>-0.01</v>
          </cell>
          <cell r="BM242">
            <v>-0.01</v>
          </cell>
          <cell r="BN242">
            <v>-0.01</v>
          </cell>
          <cell r="BO242">
            <v>-0.01</v>
          </cell>
        </row>
        <row r="243">
          <cell r="A243" t="str">
            <v>Bepanthen</v>
          </cell>
          <cell r="B243">
            <v>120</v>
          </cell>
          <cell r="C243">
            <v>131</v>
          </cell>
          <cell r="D243">
            <v>36</v>
          </cell>
          <cell r="E243">
            <v>40</v>
          </cell>
          <cell r="F243">
            <v>76</v>
          </cell>
          <cell r="G243">
            <v>34</v>
          </cell>
          <cell r="H243">
            <v>110</v>
          </cell>
          <cell r="I243">
            <v>35</v>
          </cell>
          <cell r="J243">
            <v>145</v>
          </cell>
          <cell r="K243">
            <v>46</v>
          </cell>
          <cell r="L243">
            <v>45</v>
          </cell>
          <cell r="M243">
            <v>91</v>
          </cell>
          <cell r="N243">
            <v>41</v>
          </cell>
          <cell r="O243">
            <v>132</v>
          </cell>
          <cell r="P243">
            <v>41</v>
          </cell>
          <cell r="Q243">
            <v>173</v>
          </cell>
          <cell r="R243">
            <v>48</v>
          </cell>
          <cell r="S243">
            <v>50</v>
          </cell>
          <cell r="T243">
            <v>98</v>
          </cell>
          <cell r="U243">
            <v>44</v>
          </cell>
          <cell r="V243">
            <v>142</v>
          </cell>
          <cell r="W243">
            <v>44</v>
          </cell>
          <cell r="X243">
            <v>186</v>
          </cell>
          <cell r="Y243">
            <v>55</v>
          </cell>
          <cell r="Z243">
            <v>55</v>
          </cell>
          <cell r="AA243">
            <v>110</v>
          </cell>
          <cell r="AB243">
            <v>51</v>
          </cell>
          <cell r="AC243">
            <v>161</v>
          </cell>
          <cell r="AD243">
            <v>51</v>
          </cell>
          <cell r="AE243">
            <v>212</v>
          </cell>
          <cell r="AF243">
            <v>63</v>
          </cell>
          <cell r="AG243">
            <v>59</v>
          </cell>
          <cell r="AH243">
            <v>122</v>
          </cell>
          <cell r="AI243">
            <v>53</v>
          </cell>
          <cell r="AJ243">
            <v>175</v>
          </cell>
          <cell r="AK243">
            <v>60</v>
          </cell>
          <cell r="AL243">
            <v>235</v>
          </cell>
          <cell r="AM243">
            <v>67</v>
          </cell>
          <cell r="AN243">
            <v>67</v>
          </cell>
          <cell r="AO243">
            <v>70</v>
          </cell>
          <cell r="AQ243">
            <v>137</v>
          </cell>
          <cell r="AR243">
            <v>65</v>
          </cell>
          <cell r="AT243">
            <v>202</v>
          </cell>
          <cell r="AU243">
            <v>67</v>
          </cell>
          <cell r="AW243">
            <v>269</v>
          </cell>
          <cell r="AY243">
            <v>76</v>
          </cell>
          <cell r="AZ243">
            <v>76.5966150198241</v>
          </cell>
          <cell r="BA243">
            <v>152.5966150198241</v>
          </cell>
          <cell r="BB243">
            <v>71.133456148880612</v>
          </cell>
          <cell r="BC243">
            <v>223.73007116870471</v>
          </cell>
          <cell r="BD243">
            <v>71.204944671339518</v>
          </cell>
          <cell r="BE243">
            <v>294.93501584004423</v>
          </cell>
          <cell r="BF243">
            <v>305.42089546122202</v>
          </cell>
          <cell r="BG243">
            <v>314.58352232505871</v>
          </cell>
          <cell r="BH243">
            <v>324.02102799481048</v>
          </cell>
          <cell r="BI243">
            <v>333.7416588346548</v>
          </cell>
          <cell r="BJ243">
            <v>343.75390859969446</v>
          </cell>
          <cell r="BK243">
            <v>354.06652585768529</v>
          </cell>
          <cell r="BL243">
            <v>364.68852163341586</v>
          </cell>
          <cell r="BM243">
            <v>375.62917728241837</v>
          </cell>
          <cell r="BN243">
            <v>386.89805260089094</v>
          </cell>
          <cell r="BO243">
            <v>398.50499417891768</v>
          </cell>
          <cell r="BW243">
            <v>112.02102799481048</v>
          </cell>
        </row>
        <row r="244">
          <cell r="A244" t="str">
            <v>Growth %</v>
          </cell>
          <cell r="J244">
            <v>0.112</v>
          </cell>
          <cell r="K244">
            <v>0.27800000000000002</v>
          </cell>
          <cell r="L244">
            <v>0.13900000000000001</v>
          </cell>
          <cell r="M244">
            <v>0.19736842105263164</v>
          </cell>
          <cell r="N244">
            <v>0.214</v>
          </cell>
          <cell r="O244">
            <v>0.19999999999999996</v>
          </cell>
          <cell r="P244">
            <v>0.17142857142857149</v>
          </cell>
          <cell r="Q244">
            <v>0.19310344827586201</v>
          </cell>
          <cell r="R244">
            <v>8.3000000000000004E-2</v>
          </cell>
          <cell r="S244">
            <v>0.14599999999999999</v>
          </cell>
          <cell r="T244">
            <v>7.6923076923076872E-2</v>
          </cell>
          <cell r="U244">
            <v>7.3170731707317138E-2</v>
          </cell>
          <cell r="V244">
            <v>7.575757575757569E-2</v>
          </cell>
          <cell r="W244">
            <v>7.3170731707317138E-2</v>
          </cell>
          <cell r="X244">
            <v>7.5144508670520249E-2</v>
          </cell>
          <cell r="Y244">
            <v>0.14583333333333326</v>
          </cell>
          <cell r="Z244">
            <v>0.10000000000000009</v>
          </cell>
          <cell r="AA244">
            <v>0.12244897959183665</v>
          </cell>
          <cell r="AB244">
            <v>0.15909090909090917</v>
          </cell>
          <cell r="AC244">
            <v>0.13380281690140849</v>
          </cell>
          <cell r="AD244">
            <v>0.15909090909090917</v>
          </cell>
          <cell r="AE244">
            <v>0.13978494623655924</v>
          </cell>
          <cell r="AF244">
            <v>0.1454545454545455</v>
          </cell>
          <cell r="AG244">
            <v>7.2727272727272751E-2</v>
          </cell>
          <cell r="AH244">
            <v>0.10909090909090913</v>
          </cell>
          <cell r="AI244">
            <v>3.9215686274509887E-2</v>
          </cell>
          <cell r="AJ244">
            <v>8.6956521739130377E-2</v>
          </cell>
          <cell r="AK244">
            <v>0.17647058823529416</v>
          </cell>
          <cell r="AL244">
            <v>0.10849056603773577</v>
          </cell>
          <cell r="AM244">
            <v>6.3492063492063489E-2</v>
          </cell>
          <cell r="AN244">
            <v>6.3492063492063489E-2</v>
          </cell>
          <cell r="AO244">
            <v>0.18644067796610164</v>
          </cell>
          <cell r="AQ244">
            <v>0.12295081967213117</v>
          </cell>
          <cell r="AR244">
            <v>0.22641509433962259</v>
          </cell>
          <cell r="AT244">
            <v>0.15428571428571436</v>
          </cell>
          <cell r="AU244">
            <v>0.1166666666666667</v>
          </cell>
          <cell r="AW244">
            <v>0.14468085106382977</v>
          </cell>
          <cell r="AY244">
            <v>0.13432835820895517</v>
          </cell>
          <cell r="AZ244">
            <v>9.4237357426058654E-2</v>
          </cell>
          <cell r="BA244">
            <v>0.11384390525419041</v>
          </cell>
          <cell r="BB244">
            <v>9.4360863828932384E-2</v>
          </cell>
          <cell r="BC244">
            <v>0.10757460974606303</v>
          </cell>
          <cell r="BD244">
            <v>6.2760368228947927E-2</v>
          </cell>
          <cell r="BE244">
            <v>9.6412698290127219E-2</v>
          </cell>
          <cell r="BF244">
            <v>3.5553186491985578E-2</v>
          </cell>
          <cell r="BG244">
            <v>3.0000000000000027E-2</v>
          </cell>
          <cell r="BH244">
            <v>3.0000000000000027E-2</v>
          </cell>
          <cell r="BI244">
            <v>3.0000000000000027E-2</v>
          </cell>
          <cell r="BJ244">
            <v>3.0000000000000027E-2</v>
          </cell>
          <cell r="BK244">
            <v>3.0000000000000027E-2</v>
          </cell>
          <cell r="BL244">
            <v>3.0000000000000027E-2</v>
          </cell>
          <cell r="BM244">
            <v>3.0000000000000027E-2</v>
          </cell>
          <cell r="BN244">
            <v>3.0000000000000027E-2</v>
          </cell>
          <cell r="BO244">
            <v>3.0000000000000027E-2</v>
          </cell>
          <cell r="BW244">
            <v>-0.10978494623655921</v>
          </cell>
        </row>
        <row r="245">
          <cell r="A245" t="str">
            <v>CER growth %</v>
          </cell>
          <cell r="AL245">
            <v>0.106</v>
          </cell>
          <cell r="AM245">
            <v>7.6999999999999999E-2</v>
          </cell>
          <cell r="AO245">
            <v>0.183</v>
          </cell>
          <cell r="AQ245">
            <v>0.128</v>
          </cell>
          <cell r="AR245">
            <v>0.19500000000000001</v>
          </cell>
          <cell r="AT245">
            <v>0.14799999999999999</v>
          </cell>
          <cell r="AU245">
            <v>0.112</v>
          </cell>
          <cell r="AW245">
            <v>0.13900000000000001</v>
          </cell>
          <cell r="AY245">
            <v>0.13900000000000001</v>
          </cell>
          <cell r="AZ245">
            <v>0.1</v>
          </cell>
          <cell r="BB245">
            <v>0.1</v>
          </cell>
          <cell r="BE245">
            <v>0.1</v>
          </cell>
          <cell r="BF245">
            <v>0.03</v>
          </cell>
          <cell r="BG245">
            <v>0.03</v>
          </cell>
          <cell r="BH245">
            <v>0.03</v>
          </cell>
          <cell r="BI245">
            <v>0.03</v>
          </cell>
          <cell r="BJ245">
            <v>0.03</v>
          </cell>
          <cell r="BK245">
            <v>0.03</v>
          </cell>
          <cell r="BL245">
            <v>0.03</v>
          </cell>
          <cell r="BM245">
            <v>0.03</v>
          </cell>
          <cell r="BN245">
            <v>0.03</v>
          </cell>
          <cell r="BO245">
            <v>0.03</v>
          </cell>
        </row>
        <row r="246">
          <cell r="A246" t="str">
            <v>Alka-Seltzer Plus</v>
          </cell>
          <cell r="AN246">
            <v>21</v>
          </cell>
          <cell r="AO246">
            <v>22.05</v>
          </cell>
          <cell r="AQ246">
            <v>43.05</v>
          </cell>
          <cell r="AR246">
            <v>23.152500000000003</v>
          </cell>
          <cell r="AT246">
            <v>66.202500000000001</v>
          </cell>
          <cell r="AU246">
            <v>24.310125000000003</v>
          </cell>
          <cell r="AW246">
            <v>90.512625</v>
          </cell>
          <cell r="AY246">
            <v>41</v>
          </cell>
          <cell r="AZ246">
            <v>44.1</v>
          </cell>
          <cell r="BA246">
            <v>85.1</v>
          </cell>
          <cell r="BB246">
            <v>46.305000000000007</v>
          </cell>
          <cell r="BC246">
            <v>131.405</v>
          </cell>
          <cell r="BD246">
            <v>48.620250000000006</v>
          </cell>
          <cell r="BE246">
            <v>180.02525</v>
          </cell>
          <cell r="BF246">
            <v>282.18005806309367</v>
          </cell>
          <cell r="BG246">
            <v>310.39806386940307</v>
          </cell>
          <cell r="BH246">
            <v>325.91796706287323</v>
          </cell>
          <cell r="BI246">
            <v>335.69550607475946</v>
          </cell>
          <cell r="BJ246">
            <v>345.76637125700228</v>
          </cell>
          <cell r="BK246">
            <v>356.13936239471235</v>
          </cell>
          <cell r="BL246">
            <v>366.82354326655371</v>
          </cell>
          <cell r="BM246">
            <v>377.82824956455033</v>
          </cell>
          <cell r="BN246">
            <v>389.16309705148683</v>
          </cell>
          <cell r="BO246">
            <v>400.83798996303142</v>
          </cell>
        </row>
        <row r="247">
          <cell r="A247" t="str">
            <v>Growth %</v>
          </cell>
          <cell r="AY247">
            <v>0.95238095238095233</v>
          </cell>
          <cell r="AZ247">
            <v>1</v>
          </cell>
          <cell r="BE247">
            <v>0.9889518174950731</v>
          </cell>
          <cell r="BF247">
            <v>0.5674471112418602</v>
          </cell>
          <cell r="BG247">
            <v>0.10000000000000009</v>
          </cell>
          <cell r="BH247">
            <v>5.0000000000000044E-2</v>
          </cell>
          <cell r="BI247">
            <v>3.0000000000000027E-2</v>
          </cell>
          <cell r="BJ247">
            <v>3.0000000000000027E-2</v>
          </cell>
          <cell r="BK247">
            <v>3.0000000000000027E-2</v>
          </cell>
          <cell r="BL247">
            <v>3.0000000000000027E-2</v>
          </cell>
          <cell r="BM247">
            <v>3.0000000000000027E-2</v>
          </cell>
          <cell r="BN247">
            <v>3.0000000000000027E-2</v>
          </cell>
          <cell r="BO247">
            <v>3.0000000000000027E-2</v>
          </cell>
        </row>
        <row r="248">
          <cell r="A248" t="str">
            <v>CER growth %</v>
          </cell>
          <cell r="AY248">
            <v>0</v>
          </cell>
          <cell r="AZ248">
            <v>1</v>
          </cell>
          <cell r="BB248">
            <v>1</v>
          </cell>
          <cell r="BD248">
            <v>1</v>
          </cell>
          <cell r="BF248">
            <v>0.5</v>
          </cell>
          <cell r="BG248">
            <v>0.1</v>
          </cell>
          <cell r="BH248">
            <v>0.05</v>
          </cell>
          <cell r="BI248">
            <v>0.03</v>
          </cell>
          <cell r="BJ248">
            <v>0.03</v>
          </cell>
          <cell r="BK248">
            <v>0.03</v>
          </cell>
          <cell r="BL248">
            <v>0.03</v>
          </cell>
          <cell r="BM248">
            <v>0.03</v>
          </cell>
          <cell r="BN248">
            <v>0.03</v>
          </cell>
          <cell r="BO248">
            <v>0.03</v>
          </cell>
        </row>
        <row r="249">
          <cell r="A249" t="str">
            <v>One A Day</v>
          </cell>
          <cell r="AF249">
            <v>41</v>
          </cell>
          <cell r="AG249">
            <v>44</v>
          </cell>
          <cell r="AH249">
            <v>85</v>
          </cell>
          <cell r="AI249">
            <v>42</v>
          </cell>
          <cell r="AJ249">
            <v>127</v>
          </cell>
          <cell r="AK249">
            <v>47</v>
          </cell>
          <cell r="AL249">
            <v>174</v>
          </cell>
          <cell r="AM249">
            <v>43</v>
          </cell>
          <cell r="AO249">
            <v>50</v>
          </cell>
          <cell r="AQ249">
            <v>93</v>
          </cell>
          <cell r="AR249">
            <v>50</v>
          </cell>
          <cell r="AT249">
            <v>143</v>
          </cell>
          <cell r="AU249">
            <v>53</v>
          </cell>
          <cell r="AW249">
            <v>196</v>
          </cell>
          <cell r="AZ249">
            <v>49.316246268656712</v>
          </cell>
          <cell r="BA249">
            <v>49.316246268656712</v>
          </cell>
          <cell r="BB249">
            <v>49.562015384615393</v>
          </cell>
          <cell r="BC249">
            <v>98.878261653272105</v>
          </cell>
          <cell r="BD249">
            <v>100.05166049232177</v>
          </cell>
          <cell r="BE249">
            <v>198.92992214559388</v>
          </cell>
          <cell r="BF249">
            <v>220.52919987793817</v>
          </cell>
          <cell r="BG249">
            <v>227.14507587427633</v>
          </cell>
          <cell r="BH249">
            <v>233.95942815050464</v>
          </cell>
          <cell r="BI249">
            <v>240.97821099501979</v>
          </cell>
          <cell r="BJ249">
            <v>248.20755732487041</v>
          </cell>
          <cell r="BK249">
            <v>255.65378404461651</v>
          </cell>
          <cell r="BL249">
            <v>263.32339756595502</v>
          </cell>
          <cell r="BM249">
            <v>271.22309949293367</v>
          </cell>
          <cell r="BN249">
            <v>279.35979247772167</v>
          </cell>
          <cell r="BO249">
            <v>287.74058625205333</v>
          </cell>
        </row>
        <row r="250">
          <cell r="A250" t="str">
            <v>Growth %</v>
          </cell>
          <cell r="AM250">
            <v>4.8780487804878092E-2</v>
          </cell>
          <cell r="AO250">
            <v>0.13636363636363646</v>
          </cell>
          <cell r="AQ250">
            <v>9.4117647058823639E-2</v>
          </cell>
          <cell r="AR250">
            <v>0.19047619047619047</v>
          </cell>
          <cell r="AT250">
            <v>0.12598425196850394</v>
          </cell>
          <cell r="AU250">
            <v>0.12765957446808507</v>
          </cell>
          <cell r="AW250">
            <v>0.12643678160919536</v>
          </cell>
          <cell r="AZ250">
            <v>-1.367507462686568E-2</v>
          </cell>
          <cell r="BA250">
            <v>-0.46971778205745474</v>
          </cell>
          <cell r="BB250">
            <v>-8.7596923076921351E-3</v>
          </cell>
          <cell r="BC250">
            <v>-0.30854362480229303</v>
          </cell>
          <cell r="BD250">
            <v>0.8877671791004107</v>
          </cell>
          <cell r="BE250">
            <v>1.4948582375478914E-2</v>
          </cell>
          <cell r="BF250">
            <v>0.10857731958762895</v>
          </cell>
          <cell r="BG250">
            <v>3.0000000000000027E-2</v>
          </cell>
          <cell r="BH250">
            <v>3.0000000000000027E-2</v>
          </cell>
          <cell r="BI250">
            <v>3.0000000000000027E-2</v>
          </cell>
          <cell r="BJ250">
            <v>3.0000000000000027E-2</v>
          </cell>
          <cell r="BK250">
            <v>3.0000000000000027E-2</v>
          </cell>
          <cell r="BL250">
            <v>3.0000000000000027E-2</v>
          </cell>
          <cell r="BM250">
            <v>3.0000000000000027E-2</v>
          </cell>
          <cell r="BN250">
            <v>3.0000000000000027E-2</v>
          </cell>
          <cell r="BO250">
            <v>3.0000000000000027E-2</v>
          </cell>
        </row>
        <row r="251">
          <cell r="A251" t="str">
            <v>CER growth %</v>
          </cell>
          <cell r="AL251">
            <v>2.3E-2</v>
          </cell>
          <cell r="AM251">
            <v>5.0000000000000001E-3</v>
          </cell>
          <cell r="AO251">
            <v>2.4E-2</v>
          </cell>
          <cell r="AQ251">
            <v>1.4999999999999999E-2</v>
          </cell>
          <cell r="AR251">
            <v>5.3999999999999999E-2</v>
          </cell>
          <cell r="AT251">
            <v>2.8000000000000001E-2</v>
          </cell>
          <cell r="AU251">
            <v>7.2999999999999995E-2</v>
          </cell>
          <cell r="AW251">
            <v>0.04</v>
          </cell>
          <cell r="AZ251">
            <v>0.03</v>
          </cell>
          <cell r="BB251">
            <v>0.03</v>
          </cell>
          <cell r="BE251">
            <v>0.03</v>
          </cell>
          <cell r="BF251">
            <v>0.03</v>
          </cell>
          <cell r="BG251">
            <v>0.03</v>
          </cell>
          <cell r="BH251">
            <v>0.03</v>
          </cell>
          <cell r="BI251">
            <v>0.03</v>
          </cell>
          <cell r="BJ251">
            <v>0.03</v>
          </cell>
          <cell r="BK251">
            <v>0.03</v>
          </cell>
          <cell r="BL251">
            <v>0.03</v>
          </cell>
          <cell r="BM251">
            <v>0.03</v>
          </cell>
          <cell r="BN251">
            <v>0.03</v>
          </cell>
          <cell r="BO251">
            <v>0.03</v>
          </cell>
        </row>
        <row r="252">
          <cell r="A252" t="str">
            <v>Other consumer care</v>
          </cell>
          <cell r="B252">
            <v>1309</v>
          </cell>
          <cell r="C252">
            <v>1416</v>
          </cell>
          <cell r="D252">
            <v>365</v>
          </cell>
          <cell r="E252">
            <v>343</v>
          </cell>
          <cell r="F252">
            <v>708</v>
          </cell>
          <cell r="G252">
            <v>371</v>
          </cell>
          <cell r="H252">
            <v>1079</v>
          </cell>
          <cell r="I252">
            <v>639</v>
          </cell>
          <cell r="J252">
            <v>1474</v>
          </cell>
          <cell r="K252">
            <v>365</v>
          </cell>
          <cell r="L252">
            <v>347</v>
          </cell>
          <cell r="M252">
            <v>712</v>
          </cell>
          <cell r="N252">
            <v>413</v>
          </cell>
          <cell r="O252">
            <v>1125</v>
          </cell>
          <cell r="P252">
            <v>463</v>
          </cell>
          <cell r="Q252">
            <v>1588</v>
          </cell>
          <cell r="R252">
            <v>385</v>
          </cell>
          <cell r="S252">
            <v>403</v>
          </cell>
          <cell r="T252">
            <v>788</v>
          </cell>
          <cell r="U252">
            <v>426</v>
          </cell>
          <cell r="V252">
            <v>1214</v>
          </cell>
          <cell r="W252">
            <v>488</v>
          </cell>
          <cell r="X252">
            <v>1702</v>
          </cell>
          <cell r="Y252">
            <v>394</v>
          </cell>
          <cell r="Z252">
            <v>451</v>
          </cell>
          <cell r="AA252">
            <v>845</v>
          </cell>
          <cell r="AB252">
            <v>483</v>
          </cell>
          <cell r="AC252">
            <v>1328</v>
          </cell>
          <cell r="AD252">
            <v>525</v>
          </cell>
          <cell r="AE252">
            <v>1853</v>
          </cell>
          <cell r="AF252">
            <v>526</v>
          </cell>
          <cell r="AG252">
            <v>506</v>
          </cell>
          <cell r="AH252">
            <v>1032</v>
          </cell>
          <cell r="AI252">
            <v>553</v>
          </cell>
          <cell r="AJ252">
            <v>1585</v>
          </cell>
          <cell r="AK252">
            <v>584</v>
          </cell>
          <cell r="AL252">
            <v>2169</v>
          </cell>
          <cell r="AM252">
            <v>546</v>
          </cell>
          <cell r="AN252">
            <v>557</v>
          </cell>
          <cell r="AO252">
            <v>553</v>
          </cell>
          <cell r="AQ252">
            <v>1099</v>
          </cell>
          <cell r="AR252">
            <v>601</v>
          </cell>
          <cell r="AT252">
            <v>1700</v>
          </cell>
          <cell r="AU252">
            <v>646</v>
          </cell>
          <cell r="AW252">
            <v>2346</v>
          </cell>
          <cell r="AY252">
            <v>585</v>
          </cell>
          <cell r="AZ252">
            <v>517.5600244166252</v>
          </cell>
          <cell r="BA252">
            <v>1102.5600244166253</v>
          </cell>
          <cell r="BB252">
            <v>564.62217374274974</v>
          </cell>
          <cell r="BC252">
            <v>1667.182198159375</v>
          </cell>
          <cell r="BD252">
            <v>566.81302576113308</v>
          </cell>
          <cell r="BE252">
            <v>2233.9952239205081</v>
          </cell>
          <cell r="BF252">
            <v>2426.9435705233495</v>
          </cell>
          <cell r="BG252">
            <v>2548.2907490495172</v>
          </cell>
          <cell r="BH252">
            <v>2675.7052865019932</v>
          </cell>
          <cell r="BI252">
            <v>2809.4905508270931</v>
          </cell>
          <cell r="BJ252">
            <v>2921.8701728601768</v>
          </cell>
          <cell r="BK252">
            <v>3038.744979774584</v>
          </cell>
          <cell r="BL252">
            <v>3160.2947789655673</v>
          </cell>
          <cell r="BM252">
            <v>3255.1036223345345</v>
          </cell>
          <cell r="BN252">
            <v>3352.7567310045706</v>
          </cell>
          <cell r="BO252">
            <v>3453.3394329347079</v>
          </cell>
          <cell r="BW252">
            <v>822.70528650199321</v>
          </cell>
        </row>
        <row r="253">
          <cell r="A253" t="str">
            <v>Growth %</v>
          </cell>
          <cell r="C253">
            <v>8.1741787624140638E-2</v>
          </cell>
          <cell r="J253">
            <v>4.0960451977401169E-2</v>
          </cell>
          <cell r="K253">
            <v>0</v>
          </cell>
          <cell r="L253">
            <v>1.1661807580174877E-2</v>
          </cell>
          <cell r="M253">
            <v>5.6497175141243527E-3</v>
          </cell>
          <cell r="N253">
            <v>0.1132075471698113</v>
          </cell>
          <cell r="O253">
            <v>4.2632066728452322E-2</v>
          </cell>
          <cell r="P253">
            <v>-0.27543035993740217</v>
          </cell>
          <cell r="Q253">
            <v>7.7340569877883292E-2</v>
          </cell>
          <cell r="R253">
            <v>5.4794520547945202E-2</v>
          </cell>
          <cell r="S253">
            <v>0.1613832853025936</v>
          </cell>
          <cell r="T253">
            <v>0.10674157303370779</v>
          </cell>
          <cell r="U253">
            <v>3.14769975786926E-2</v>
          </cell>
          <cell r="V253">
            <v>7.9111111111111132E-2</v>
          </cell>
          <cell r="W253">
            <v>5.3995680345572339E-2</v>
          </cell>
          <cell r="X253">
            <v>7.1788413098236692E-2</v>
          </cell>
          <cell r="Y253">
            <v>2.3376623376623273E-2</v>
          </cell>
          <cell r="Z253">
            <v>0.11910669975186106</v>
          </cell>
          <cell r="AA253">
            <v>7.2335025380710682E-2</v>
          </cell>
          <cell r="AB253">
            <v>0.13380281690140849</v>
          </cell>
          <cell r="AC253">
            <v>9.3904448105436522E-2</v>
          </cell>
          <cell r="AD253">
            <v>7.5819672131147486E-2</v>
          </cell>
          <cell r="AE253">
            <v>8.8719153936545281E-2</v>
          </cell>
          <cell r="AL253">
            <v>0.17053426875337285</v>
          </cell>
          <cell r="AM253">
            <v>3.8022813688213031E-2</v>
          </cell>
          <cell r="AN253">
            <v>5.8935361216730042E-2</v>
          </cell>
          <cell r="AO253">
            <v>9.2885375494071054E-2</v>
          </cell>
          <cell r="AQ253">
            <v>6.4922480620154932E-2</v>
          </cell>
          <cell r="AR253">
            <v>8.6799276672694381E-2</v>
          </cell>
          <cell r="AT253">
            <v>7.2555205047318605E-2</v>
          </cell>
          <cell r="AU253">
            <v>0.10616438356164393</v>
          </cell>
          <cell r="AW253">
            <v>8.1604426002766184E-2</v>
          </cell>
          <cell r="AY253">
            <v>7.1428571428571397E-2</v>
          </cell>
          <cell r="AZ253">
            <v>1.5660080319394698E-2</v>
          </cell>
          <cell r="BA253">
            <v>3.23933067936788E-3</v>
          </cell>
          <cell r="BB253">
            <v>1.6517759971297341E-2</v>
          </cell>
          <cell r="BC253">
            <v>-1.9304589318014709E-2</v>
          </cell>
          <cell r="BD253">
            <v>-0.12258045547812213</v>
          </cell>
          <cell r="BE253">
            <v>2.8994234407718755E-2</v>
          </cell>
          <cell r="BF253">
            <v>8.636918491895007E-2</v>
          </cell>
          <cell r="BG253">
            <v>5.0000000000000044E-2</v>
          </cell>
          <cell r="BH253">
            <v>5.0000000000000044E-2</v>
          </cell>
          <cell r="BI253">
            <v>5.0000000000000044E-2</v>
          </cell>
          <cell r="BJ253">
            <v>4.0000000000000036E-2</v>
          </cell>
          <cell r="BK253">
            <v>4.0000000000000036E-2</v>
          </cell>
          <cell r="BL253">
            <v>4.0000000000000036E-2</v>
          </cell>
          <cell r="BM253">
            <v>3.0000000000000027E-2</v>
          </cell>
          <cell r="BN253">
            <v>3.0000000000000027E-2</v>
          </cell>
          <cell r="BO253">
            <v>3.0000000000000027E-2</v>
          </cell>
          <cell r="BW253">
            <v>-3.8719153936545236E-2</v>
          </cell>
        </row>
        <row r="254">
          <cell r="A254" t="str">
            <v>CER growth %</v>
          </cell>
          <cell r="AZ254">
            <v>0.05</v>
          </cell>
          <cell r="BB254">
            <v>0.05</v>
          </cell>
          <cell r="BE254">
            <v>0.05</v>
          </cell>
          <cell r="BF254">
            <v>0.05</v>
          </cell>
          <cell r="BG254">
            <v>0.05</v>
          </cell>
          <cell r="BH254">
            <v>0.05</v>
          </cell>
          <cell r="BI254">
            <v>0.05</v>
          </cell>
          <cell r="BJ254">
            <v>0.04</v>
          </cell>
          <cell r="BK254">
            <v>0.04</v>
          </cell>
          <cell r="BL254">
            <v>0.04</v>
          </cell>
          <cell r="BM254">
            <v>0.03</v>
          </cell>
          <cell r="BN254">
            <v>0.03</v>
          </cell>
          <cell r="BO254">
            <v>0.03</v>
          </cell>
        </row>
        <row r="255">
          <cell r="A255" t="str">
            <v>Supradyn</v>
          </cell>
          <cell r="B255">
            <v>160</v>
          </cell>
          <cell r="C255">
            <v>130</v>
          </cell>
          <cell r="D255">
            <v>33</v>
          </cell>
          <cell r="E255">
            <v>32</v>
          </cell>
          <cell r="F255">
            <v>65</v>
          </cell>
          <cell r="G255">
            <v>36</v>
          </cell>
          <cell r="H255">
            <v>101</v>
          </cell>
          <cell r="I255">
            <v>33</v>
          </cell>
          <cell r="J255">
            <v>134</v>
          </cell>
          <cell r="K255">
            <v>35</v>
          </cell>
          <cell r="L255">
            <v>33</v>
          </cell>
          <cell r="M255">
            <v>68</v>
          </cell>
          <cell r="N255">
            <v>35</v>
          </cell>
          <cell r="O255">
            <v>103</v>
          </cell>
          <cell r="P255">
            <v>37</v>
          </cell>
          <cell r="Q255">
            <v>140</v>
          </cell>
          <cell r="R255">
            <v>31</v>
          </cell>
          <cell r="S255">
            <v>31</v>
          </cell>
          <cell r="T255">
            <v>62</v>
          </cell>
          <cell r="U255">
            <v>37</v>
          </cell>
          <cell r="V255">
            <v>99</v>
          </cell>
          <cell r="W255">
            <v>37</v>
          </cell>
          <cell r="X255">
            <v>136</v>
          </cell>
          <cell r="Y255">
            <v>31</v>
          </cell>
          <cell r="Z255">
            <v>32</v>
          </cell>
          <cell r="AA255">
            <v>63</v>
          </cell>
          <cell r="AB255">
            <v>37</v>
          </cell>
          <cell r="AC255">
            <v>100</v>
          </cell>
          <cell r="AD255">
            <v>38</v>
          </cell>
          <cell r="AE255">
            <v>138</v>
          </cell>
          <cell r="AF255">
            <v>33</v>
          </cell>
          <cell r="AG255">
            <v>32</v>
          </cell>
          <cell r="AH255">
            <v>65</v>
          </cell>
          <cell r="AI255">
            <v>36</v>
          </cell>
          <cell r="AJ255">
            <v>101</v>
          </cell>
          <cell r="AK255">
            <v>40</v>
          </cell>
          <cell r="AL255">
            <v>141</v>
          </cell>
          <cell r="AM255">
            <v>34</v>
          </cell>
          <cell r="AO255">
            <v>33</v>
          </cell>
          <cell r="AQ255">
            <v>67</v>
          </cell>
          <cell r="AR255">
            <v>37.44</v>
          </cell>
          <cell r="AT255">
            <v>104.44</v>
          </cell>
          <cell r="AU255">
            <v>41.6</v>
          </cell>
          <cell r="AW255">
            <v>146.04</v>
          </cell>
          <cell r="BW255">
            <v>-138</v>
          </cell>
        </row>
        <row r="256">
          <cell r="A256" t="str">
            <v>Currency adjusted growth %</v>
          </cell>
          <cell r="J256">
            <v>4.2999999999999997E-2</v>
          </cell>
          <cell r="K256">
            <v>0.107</v>
          </cell>
          <cell r="L256">
            <v>4.1000000000000002E-2</v>
          </cell>
          <cell r="M256">
            <v>4.6153846153846212E-2</v>
          </cell>
          <cell r="N256">
            <v>4.0000000000000001E-3</v>
          </cell>
          <cell r="O256">
            <v>1.980198019801982E-2</v>
          </cell>
          <cell r="P256">
            <v>0.1212121212121211</v>
          </cell>
          <cell r="Q256">
            <v>4.4776119402984982E-2</v>
          </cell>
          <cell r="R256">
            <v>0.05</v>
          </cell>
          <cell r="S256">
            <v>-8.9999999999999993E-3</v>
          </cell>
          <cell r="T256">
            <v>-8.8235294117647078E-2</v>
          </cell>
          <cell r="U256">
            <v>5.7142857142857162E-2</v>
          </cell>
          <cell r="V256">
            <v>-3.8834951456310662E-2</v>
          </cell>
          <cell r="W256">
            <v>0</v>
          </cell>
          <cell r="X256">
            <v>-2.8571428571428581E-2</v>
          </cell>
          <cell r="Y256">
            <v>0</v>
          </cell>
          <cell r="Z256">
            <v>3.2258064516129004E-2</v>
          </cell>
          <cell r="AA256">
            <v>1.6129032258064502E-2</v>
          </cell>
          <cell r="AB256">
            <v>0</v>
          </cell>
          <cell r="AC256">
            <v>1.0101010101010166E-2</v>
          </cell>
          <cell r="AD256">
            <v>2.7027027027026973E-2</v>
          </cell>
          <cell r="AE256">
            <v>1.4705882352941124E-2</v>
          </cell>
          <cell r="AF256">
            <v>6.4516129032258007E-2</v>
          </cell>
          <cell r="AG256">
            <v>0</v>
          </cell>
          <cell r="AH256">
            <v>3.1746031746031855E-2</v>
          </cell>
          <cell r="AI256">
            <v>-2.7027027027026973E-2</v>
          </cell>
          <cell r="AJ256">
            <v>1.0000000000000009E-2</v>
          </cell>
          <cell r="AK256">
            <v>5.2631578947368363E-2</v>
          </cell>
          <cell r="AL256">
            <v>2.1739130434782705E-2</v>
          </cell>
          <cell r="AM256">
            <v>3.0303030303030276E-2</v>
          </cell>
          <cell r="AO256">
            <v>3.125E-2</v>
          </cell>
          <cell r="AQ256">
            <v>3.076923076923066E-2</v>
          </cell>
          <cell r="AR256">
            <v>0.04</v>
          </cell>
          <cell r="AT256">
            <v>3.405940594059409E-2</v>
          </cell>
          <cell r="AU256">
            <v>0.04</v>
          </cell>
          <cell r="AW256">
            <v>3.5744680851063748E-2</v>
          </cell>
          <cell r="BW256">
            <v>-1.4705882352941124E-2</v>
          </cell>
        </row>
        <row r="257">
          <cell r="A257" t="str">
            <v>Dermatology</v>
          </cell>
          <cell r="B257">
            <v>0</v>
          </cell>
          <cell r="C257">
            <v>118</v>
          </cell>
          <cell r="D257">
            <v>58</v>
          </cell>
          <cell r="E257">
            <v>66</v>
          </cell>
          <cell r="F257">
            <v>124</v>
          </cell>
          <cell r="G257">
            <v>61</v>
          </cell>
          <cell r="H257">
            <v>185</v>
          </cell>
          <cell r="I257">
            <v>59</v>
          </cell>
          <cell r="J257">
            <v>244</v>
          </cell>
          <cell r="K257">
            <v>60</v>
          </cell>
          <cell r="L257">
            <v>65</v>
          </cell>
          <cell r="M257">
            <v>125</v>
          </cell>
          <cell r="N257">
            <v>60</v>
          </cell>
          <cell r="O257">
            <v>185</v>
          </cell>
          <cell r="P257">
            <v>65</v>
          </cell>
          <cell r="Q257">
            <v>250</v>
          </cell>
          <cell r="R257">
            <v>58</v>
          </cell>
          <cell r="S257">
            <v>65</v>
          </cell>
          <cell r="T257">
            <v>123</v>
          </cell>
          <cell r="U257">
            <v>62</v>
          </cell>
          <cell r="V257">
            <v>185</v>
          </cell>
          <cell r="W257">
            <v>66</v>
          </cell>
          <cell r="X257">
            <v>251</v>
          </cell>
          <cell r="Y257">
            <v>60</v>
          </cell>
          <cell r="Z257">
            <v>67</v>
          </cell>
          <cell r="AA257">
            <v>127</v>
          </cell>
          <cell r="AB257">
            <v>64</v>
          </cell>
          <cell r="AC257">
            <v>191</v>
          </cell>
          <cell r="AD257">
            <v>76</v>
          </cell>
          <cell r="AE257">
            <v>267</v>
          </cell>
          <cell r="AF257">
            <v>68</v>
          </cell>
          <cell r="AG257">
            <v>68</v>
          </cell>
          <cell r="AH257">
            <v>136</v>
          </cell>
          <cell r="AI257">
            <v>66</v>
          </cell>
          <cell r="AJ257">
            <v>202</v>
          </cell>
          <cell r="AK257">
            <v>62</v>
          </cell>
          <cell r="AL257">
            <v>264</v>
          </cell>
          <cell r="AM257">
            <v>70</v>
          </cell>
          <cell r="AO257">
            <v>70</v>
          </cell>
          <cell r="AQ257">
            <v>140</v>
          </cell>
          <cell r="AR257">
            <v>67.98</v>
          </cell>
          <cell r="AT257">
            <v>207.98000000000002</v>
          </cell>
          <cell r="AU257">
            <v>63.86</v>
          </cell>
          <cell r="AW257">
            <v>271.84000000000003</v>
          </cell>
          <cell r="BR257">
            <v>-1.7654023198893847E-2</v>
          </cell>
          <cell r="BS257">
            <v>0</v>
          </cell>
          <cell r="BW257">
            <v>-267</v>
          </cell>
        </row>
        <row r="258">
          <cell r="A258" t="str">
            <v>Growth %</v>
          </cell>
          <cell r="K258">
            <v>3.4482758620689724E-2</v>
          </cell>
          <cell r="L258">
            <v>-1.5151515151515138E-2</v>
          </cell>
          <cell r="M258">
            <v>8.0645161290322509E-3</v>
          </cell>
          <cell r="N258">
            <v>-1.6393442622950838E-2</v>
          </cell>
          <cell r="O258">
            <v>0</v>
          </cell>
          <cell r="P258">
            <v>0.10169491525423724</v>
          </cell>
          <cell r="Q258">
            <v>2.4590163934426146E-2</v>
          </cell>
          <cell r="R258">
            <v>-3.3333333333333326E-2</v>
          </cell>
          <cell r="S258">
            <v>-0.48</v>
          </cell>
          <cell r="T258">
            <v>-1.6000000000000014E-2</v>
          </cell>
          <cell r="U258">
            <v>-0.66486486486486485</v>
          </cell>
          <cell r="V258">
            <v>1.8461538461538463</v>
          </cell>
          <cell r="W258">
            <v>-0.73599999999999999</v>
          </cell>
          <cell r="X258">
            <v>4.0000000000000036E-3</v>
          </cell>
          <cell r="Y258">
            <v>-7.6923076923076872E-2</v>
          </cell>
          <cell r="Z258">
            <v>-0.45528455284552849</v>
          </cell>
          <cell r="AA258">
            <v>3.2520325203251987E-2</v>
          </cell>
          <cell r="AB258">
            <v>3.2258064516129004E-2</v>
          </cell>
          <cell r="AC258">
            <v>3.2432432432432323E-2</v>
          </cell>
          <cell r="AD258">
            <v>0.1515151515151516</v>
          </cell>
          <cell r="AE258">
            <v>6.3745019920318668E-2</v>
          </cell>
          <cell r="AF258">
            <v>0.1333333333333333</v>
          </cell>
          <cell r="AG258">
            <v>1.4925373134328401E-2</v>
          </cell>
          <cell r="AH258">
            <v>7.0866141732283561E-2</v>
          </cell>
          <cell r="AI258">
            <v>3.125E-2</v>
          </cell>
          <cell r="AJ258">
            <v>5.7591623036649109E-2</v>
          </cell>
          <cell r="AK258">
            <v>-0.18421052631578949</v>
          </cell>
          <cell r="AL258">
            <v>-1.1235955056179803E-2</v>
          </cell>
          <cell r="AM258">
            <v>2.9411764705882248E-2</v>
          </cell>
          <cell r="AO258">
            <v>2.9411764705882248E-2</v>
          </cell>
          <cell r="AQ258">
            <v>2.9411764705882248E-2</v>
          </cell>
          <cell r="AR258">
            <v>0.03</v>
          </cell>
          <cell r="AT258">
            <v>2.960396039603963E-2</v>
          </cell>
          <cell r="AU258">
            <v>0.03</v>
          </cell>
          <cell r="AW258">
            <v>2.9696969696969777E-2</v>
          </cell>
          <cell r="BW258">
            <v>-6.3745019920318668E-2</v>
          </cell>
        </row>
        <row r="259">
          <cell r="A259" t="str">
            <v>Consumer Care</v>
          </cell>
          <cell r="B259">
            <v>2355</v>
          </cell>
          <cell r="C259">
            <v>2531</v>
          </cell>
          <cell r="D259">
            <v>659</v>
          </cell>
          <cell r="E259">
            <v>624</v>
          </cell>
          <cell r="F259">
            <v>1283</v>
          </cell>
          <cell r="G259">
            <v>654</v>
          </cell>
          <cell r="H259">
            <v>1937</v>
          </cell>
          <cell r="I259">
            <v>941</v>
          </cell>
          <cell r="J259">
            <v>2878</v>
          </cell>
          <cell r="K259">
            <v>715</v>
          </cell>
          <cell r="L259">
            <v>706</v>
          </cell>
          <cell r="M259">
            <v>1421</v>
          </cell>
          <cell r="N259">
            <v>753</v>
          </cell>
          <cell r="O259">
            <v>2174</v>
          </cell>
          <cell r="P259">
            <v>846</v>
          </cell>
          <cell r="Q259">
            <v>3020</v>
          </cell>
          <cell r="R259">
            <v>704</v>
          </cell>
          <cell r="S259">
            <v>749</v>
          </cell>
          <cell r="T259">
            <v>1453</v>
          </cell>
          <cell r="U259">
            <v>777</v>
          </cell>
          <cell r="V259">
            <v>2230</v>
          </cell>
          <cell r="W259">
            <v>850</v>
          </cell>
          <cell r="X259">
            <v>3080</v>
          </cell>
          <cell r="Y259">
            <v>744</v>
          </cell>
          <cell r="Z259">
            <v>836</v>
          </cell>
          <cell r="AA259">
            <v>1580</v>
          </cell>
          <cell r="AB259">
            <v>880</v>
          </cell>
          <cell r="AC259">
            <v>2460</v>
          </cell>
          <cell r="AD259">
            <v>911</v>
          </cell>
          <cell r="AE259">
            <v>3371</v>
          </cell>
          <cell r="AF259">
            <v>864</v>
          </cell>
          <cell r="AG259">
            <v>839</v>
          </cell>
          <cell r="AH259">
            <v>1703</v>
          </cell>
          <cell r="AI259">
            <v>885</v>
          </cell>
          <cell r="AJ259">
            <v>2588</v>
          </cell>
          <cell r="AK259">
            <v>946</v>
          </cell>
          <cell r="AL259">
            <v>3534</v>
          </cell>
          <cell r="AM259">
            <v>887</v>
          </cell>
          <cell r="AN259">
            <v>886</v>
          </cell>
          <cell r="AO259">
            <v>926</v>
          </cell>
          <cell r="AQ259">
            <v>1813</v>
          </cell>
          <cell r="AR259">
            <v>984</v>
          </cell>
          <cell r="AT259">
            <v>2797</v>
          </cell>
          <cell r="AU259">
            <v>1056</v>
          </cell>
          <cell r="AW259">
            <v>3853</v>
          </cell>
          <cell r="AY259">
            <v>955</v>
          </cell>
          <cell r="AZ259">
            <v>941.918938948819</v>
          </cell>
          <cell r="BA259">
            <v>1896.9189389488192</v>
          </cell>
          <cell r="BB259">
            <v>1001.5639863769713</v>
          </cell>
          <cell r="BC259">
            <v>2898.4829253257903</v>
          </cell>
          <cell r="BD259">
            <v>1074.8169032552455</v>
          </cell>
          <cell r="BE259">
            <v>3973.2998285810359</v>
          </cell>
          <cell r="BF259">
            <v>4377.8701303579292</v>
          </cell>
          <cell r="BG259">
            <v>4569.7626406630807</v>
          </cell>
          <cell r="BH259">
            <v>4756.139525679273</v>
          </cell>
          <cell r="BI259">
            <v>4940.37245902</v>
          </cell>
          <cell r="BJ259">
            <v>5079.8463099332439</v>
          </cell>
          <cell r="BK259">
            <v>5225.0364764739788</v>
          </cell>
          <cell r="BL259">
            <v>5376.1481242566988</v>
          </cell>
          <cell r="BM259">
            <v>5501.7915528982994</v>
          </cell>
          <cell r="BN259">
            <v>5631.5791432539263</v>
          </cell>
          <cell r="BO259">
            <v>5765.6243182752223</v>
          </cell>
          <cell r="BR259">
            <v>9.1285376057730142E-2</v>
          </cell>
          <cell r="BS259">
            <v>9.6459192556256443E-2</v>
          </cell>
          <cell r="BW259">
            <v>1385.139525679273</v>
          </cell>
        </row>
        <row r="260">
          <cell r="A260" t="str">
            <v>Growth %</v>
          </cell>
          <cell r="C260">
            <v>7.4734607218683635E-2</v>
          </cell>
          <cell r="J260">
            <v>0.13709996048992501</v>
          </cell>
          <cell r="K260">
            <v>8.4977238239757114E-2</v>
          </cell>
          <cell r="L260">
            <v>0.13141025641025639</v>
          </cell>
          <cell r="M260">
            <v>0.10756040530007804</v>
          </cell>
          <cell r="N260">
            <v>0.15137614678899092</v>
          </cell>
          <cell r="O260">
            <v>0.12235415591120291</v>
          </cell>
          <cell r="P260">
            <v>-0.10095642933049942</v>
          </cell>
          <cell r="Q260">
            <v>4.9339819318971578E-2</v>
          </cell>
          <cell r="R260">
            <v>-1.538461538461533E-2</v>
          </cell>
          <cell r="S260">
            <v>6.0906515580736453E-2</v>
          </cell>
          <cell r="T260">
            <v>2.2519352568613593E-2</v>
          </cell>
          <cell r="U260">
            <v>3.1872509960159334E-2</v>
          </cell>
          <cell r="V260">
            <v>2.575896964121438E-2</v>
          </cell>
          <cell r="W260">
            <v>4.7281323877068626E-3</v>
          </cell>
          <cell r="X260">
            <v>1.9867549668874274E-2</v>
          </cell>
          <cell r="Y260">
            <v>5.6818181818181879E-2</v>
          </cell>
          <cell r="Z260">
            <v>0.11615487316421902</v>
          </cell>
          <cell r="AA260">
            <v>8.740536820371636E-2</v>
          </cell>
          <cell r="AB260">
            <v>0.13256113256113267</v>
          </cell>
          <cell r="AC260">
            <v>0.10313901345291487</v>
          </cell>
          <cell r="AD260">
            <v>7.1764705882352953E-2</v>
          </cell>
          <cell r="AE260">
            <v>9.4480519480519387E-2</v>
          </cell>
          <cell r="AF260">
            <v>0.16129032258064524</v>
          </cell>
          <cell r="AG260">
            <v>3.5885167464115852E-3</v>
          </cell>
          <cell r="AH260">
            <v>7.7848101265822756E-2</v>
          </cell>
          <cell r="AI260">
            <v>5.6818181818181213E-3</v>
          </cell>
          <cell r="AJ260">
            <v>5.2032520325203224E-2</v>
          </cell>
          <cell r="AK260">
            <v>3.8419319429198628E-2</v>
          </cell>
          <cell r="AL260">
            <v>4.8353604271729411E-2</v>
          </cell>
          <cell r="AM260">
            <v>2.6620370370370461E-2</v>
          </cell>
          <cell r="AN260">
            <v>2.5462962962963021E-2</v>
          </cell>
          <cell r="AO260">
            <v>0.10369487485101314</v>
          </cell>
          <cell r="AQ260">
            <v>6.4591896652965275E-2</v>
          </cell>
          <cell r="AR260">
            <v>0.11186440677966103</v>
          </cell>
          <cell r="AT260">
            <v>8.0757341576507047E-2</v>
          </cell>
          <cell r="AU260">
            <v>0.11627906976744184</v>
          </cell>
          <cell r="AW260">
            <v>9.0265987549518867E-2</v>
          </cell>
          <cell r="AY260">
            <v>7.666290868094694E-2</v>
          </cell>
          <cell r="AZ260">
            <v>1.7191078778422186E-2</v>
          </cell>
          <cell r="BA260">
            <v>4.6287335327534151E-2</v>
          </cell>
          <cell r="BB260">
            <v>1.7849579651393555E-2</v>
          </cell>
          <cell r="BC260">
            <v>3.6282776305252229E-2</v>
          </cell>
          <cell r="BD260">
            <v>1.7819037173527841E-2</v>
          </cell>
          <cell r="BE260">
            <v>3.1222379595389427E-2</v>
          </cell>
          <cell r="BF260">
            <v>0.10182224328169442</v>
          </cell>
          <cell r="BG260">
            <v>4.3832389858824428E-2</v>
          </cell>
          <cell r="BH260">
            <v>4.0784806492520254E-2</v>
          </cell>
          <cell r="BI260">
            <v>3.8735813435669675E-2</v>
          </cell>
          <cell r="BJ260">
            <v>2.8231444505483871E-2</v>
          </cell>
          <cell r="BK260">
            <v>2.8581606151514283E-2</v>
          </cell>
          <cell r="BL260">
            <v>2.8920687628327224E-2</v>
          </cell>
          <cell r="BM260">
            <v>2.3370529557158015E-2</v>
          </cell>
          <cell r="BN260">
            <v>2.3590059548376674E-2</v>
          </cell>
          <cell r="BO260">
            <v>2.3802413428188895E-2</v>
          </cell>
          <cell r="BW260">
            <v>-5.3695712987999134E-2</v>
          </cell>
        </row>
        <row r="261">
          <cell r="A261" t="str">
            <v>CER growth %</v>
          </cell>
          <cell r="AL261">
            <v>7.0999999999999994E-2</v>
          </cell>
          <cell r="AM261">
            <v>1.7000000000000001E-2</v>
          </cell>
          <cell r="AO261">
            <v>0.06</v>
          </cell>
          <cell r="AQ261">
            <v>3.7999999999999999E-2</v>
          </cell>
          <cell r="AR261">
            <v>5.0999999999999997E-2</v>
          </cell>
          <cell r="AT261">
            <v>4.2000000000000003E-2</v>
          </cell>
          <cell r="AU261">
            <v>9.5000000000000001E-2</v>
          </cell>
          <cell r="AW261">
            <v>5.6000000000000001E-2</v>
          </cell>
          <cell r="AY261">
            <v>9.5000000000000001E-2</v>
          </cell>
          <cell r="BW261">
            <v>0</v>
          </cell>
        </row>
        <row r="263">
          <cell r="A263" t="str">
            <v>Contour</v>
          </cell>
          <cell r="AF263">
            <v>152</v>
          </cell>
          <cell r="AG263">
            <v>159</v>
          </cell>
          <cell r="AH263">
            <v>311</v>
          </cell>
          <cell r="AI263">
            <v>159</v>
          </cell>
          <cell r="AJ263">
            <v>470</v>
          </cell>
          <cell r="AK263">
            <v>170</v>
          </cell>
          <cell r="AL263">
            <v>640</v>
          </cell>
          <cell r="AM263">
            <v>166</v>
          </cell>
          <cell r="AN263">
            <v>166</v>
          </cell>
          <cell r="AO263">
            <v>174</v>
          </cell>
          <cell r="AQ263">
            <v>340</v>
          </cell>
          <cell r="AR263">
            <v>189</v>
          </cell>
          <cell r="AT263">
            <v>529</v>
          </cell>
          <cell r="AU263">
            <v>193</v>
          </cell>
          <cell r="AW263">
            <v>722</v>
          </cell>
          <cell r="AY263">
            <v>170</v>
          </cell>
          <cell r="AZ263">
            <v>176.72485397557469</v>
          </cell>
          <cell r="BA263">
            <v>346.72485397557466</v>
          </cell>
          <cell r="BB263">
            <v>192.12185663457521</v>
          </cell>
          <cell r="BC263">
            <v>538.8467106101499</v>
          </cell>
          <cell r="BD263">
            <v>204.08712663222309</v>
          </cell>
          <cell r="BE263">
            <v>742.93383724237299</v>
          </cell>
          <cell r="BF263">
            <v>807.10042721370462</v>
          </cell>
          <cell r="BG263">
            <v>823.24243575797868</v>
          </cell>
          <cell r="BH263">
            <v>839.70728447313832</v>
          </cell>
          <cell r="BI263">
            <v>856.50143016260108</v>
          </cell>
          <cell r="BJ263">
            <v>873.63145876585315</v>
          </cell>
          <cell r="BK263">
            <v>891.10408794117018</v>
          </cell>
          <cell r="BL263">
            <v>900.01512882058194</v>
          </cell>
          <cell r="BM263">
            <v>909.01528010878781</v>
          </cell>
          <cell r="BN263">
            <v>918.10543290987573</v>
          </cell>
          <cell r="BO263">
            <v>927.28648723897447</v>
          </cell>
        </row>
        <row r="264">
          <cell r="A264" t="str">
            <v>Growth %</v>
          </cell>
          <cell r="AM264">
            <v>9.210526315789469E-2</v>
          </cell>
          <cell r="AN264">
            <v>9.210526315789469E-2</v>
          </cell>
          <cell r="AO264">
            <v>9.4339622641509413E-2</v>
          </cell>
          <cell r="AQ264">
            <v>9.3247588424437255E-2</v>
          </cell>
          <cell r="AR264">
            <v>0.18867924528301883</v>
          </cell>
          <cell r="AT264">
            <v>0.12553191489361692</v>
          </cell>
          <cell r="AU264">
            <v>0.13529411764705879</v>
          </cell>
          <cell r="AW264">
            <v>0.12812500000000004</v>
          </cell>
          <cell r="AY264">
            <v>2.4096385542168752E-2</v>
          </cell>
          <cell r="AZ264">
            <v>1.5660080319394698E-2</v>
          </cell>
          <cell r="BA264">
            <v>1.9778982281101865E-2</v>
          </cell>
          <cell r="BB264">
            <v>1.6517759971297341E-2</v>
          </cell>
          <cell r="BC264">
            <v>1.8613819678922283E-2</v>
          </cell>
          <cell r="BD264">
            <v>5.7446251980430407E-2</v>
          </cell>
          <cell r="BE264">
            <v>2.8994234407718755E-2</v>
          </cell>
          <cell r="BF264">
            <v>8.636918491895007E-2</v>
          </cell>
          <cell r="BG264">
            <v>2.0000000000000018E-2</v>
          </cell>
          <cell r="BH264">
            <v>2.0000000000000018E-2</v>
          </cell>
          <cell r="BI264">
            <v>2.0000000000000018E-2</v>
          </cell>
          <cell r="BJ264">
            <v>2.0000000000000018E-2</v>
          </cell>
          <cell r="BK264">
            <v>2.0000000000000018E-2</v>
          </cell>
          <cell r="BL264">
            <v>1.0000000000000009E-2</v>
          </cell>
          <cell r="BM264">
            <v>1.0000000000000009E-2</v>
          </cell>
          <cell r="BN264">
            <v>1.0000000000000009E-2</v>
          </cell>
          <cell r="BO264">
            <v>1.0000000000000009E-2</v>
          </cell>
        </row>
        <row r="265">
          <cell r="A265" t="str">
            <v>CER growth %</v>
          </cell>
          <cell r="AL265">
            <v>7.6999999999999999E-2</v>
          </cell>
          <cell r="AM265">
            <v>7.2999999999999995E-2</v>
          </cell>
          <cell r="AO265">
            <v>4.2000000000000003E-2</v>
          </cell>
          <cell r="AQ265">
            <v>5.8000000000000003E-2</v>
          </cell>
          <cell r="AR265">
            <v>0.11700000000000001</v>
          </cell>
          <cell r="AT265">
            <v>7.8E-2</v>
          </cell>
          <cell r="AU265">
            <v>0.107</v>
          </cell>
          <cell r="AW265">
            <v>8.5000000000000006E-2</v>
          </cell>
          <cell r="AY265">
            <v>2.5999999999999999E-2</v>
          </cell>
          <cell r="AZ265">
            <v>0.05</v>
          </cell>
          <cell r="BB265">
            <v>0.05</v>
          </cell>
          <cell r="BE265">
            <v>0.05</v>
          </cell>
          <cell r="BF265">
            <v>0.05</v>
          </cell>
          <cell r="BG265">
            <v>0.02</v>
          </cell>
          <cell r="BH265">
            <v>0.02</v>
          </cell>
          <cell r="BI265">
            <v>0.02</v>
          </cell>
          <cell r="BJ265">
            <v>0.02</v>
          </cell>
          <cell r="BK265">
            <v>0.02</v>
          </cell>
          <cell r="BL265">
            <v>0.01</v>
          </cell>
          <cell r="BM265">
            <v>0.01</v>
          </cell>
          <cell r="BN265">
            <v>0.01</v>
          </cell>
          <cell r="BO265">
            <v>0.01</v>
          </cell>
        </row>
        <row r="266">
          <cell r="A266" t="str">
            <v>Ultravist</v>
          </cell>
          <cell r="X266">
            <v>262</v>
          </cell>
          <cell r="Y266">
            <v>68</v>
          </cell>
          <cell r="Z266">
            <v>82</v>
          </cell>
          <cell r="AA266">
            <v>150</v>
          </cell>
          <cell r="AB266">
            <v>81</v>
          </cell>
          <cell r="AC266">
            <v>231</v>
          </cell>
          <cell r="AD266">
            <v>82</v>
          </cell>
          <cell r="AE266">
            <v>313</v>
          </cell>
          <cell r="AF266">
            <v>75</v>
          </cell>
          <cell r="AG266">
            <v>82</v>
          </cell>
          <cell r="AH266">
            <v>157</v>
          </cell>
          <cell r="AI266">
            <v>76</v>
          </cell>
          <cell r="AJ266">
            <v>233</v>
          </cell>
          <cell r="AK266">
            <v>83</v>
          </cell>
          <cell r="AL266">
            <v>316</v>
          </cell>
          <cell r="AM266">
            <v>76</v>
          </cell>
          <cell r="AN266">
            <v>76</v>
          </cell>
          <cell r="AO266">
            <v>87</v>
          </cell>
          <cell r="AQ266">
            <v>163</v>
          </cell>
          <cell r="AR266">
            <v>77</v>
          </cell>
          <cell r="AT266">
            <v>240</v>
          </cell>
          <cell r="AU266">
            <v>84</v>
          </cell>
          <cell r="AW266">
            <v>324</v>
          </cell>
          <cell r="AY266">
            <v>78</v>
          </cell>
          <cell r="AZ266">
            <v>82.110070671188566</v>
          </cell>
          <cell r="BA266">
            <v>160.11007067118857</v>
          </cell>
          <cell r="BB266">
            <v>72.769781231988517</v>
          </cell>
          <cell r="BC266">
            <v>232.8798519031771</v>
          </cell>
          <cell r="BD266">
            <v>77.824011754130822</v>
          </cell>
          <cell r="BE266">
            <v>310.70386365730792</v>
          </cell>
          <cell r="BF266">
            <v>317.35940801080278</v>
          </cell>
          <cell r="BG266">
            <v>301.49143761026261</v>
          </cell>
          <cell r="BH266">
            <v>286.41686572974947</v>
          </cell>
          <cell r="BI266">
            <v>272.09602244326197</v>
          </cell>
          <cell r="BJ266">
            <v>258.49122132109886</v>
          </cell>
          <cell r="BK266">
            <v>245.5666602550439</v>
          </cell>
          <cell r="BL266">
            <v>233.2883272422917</v>
          </cell>
          <cell r="BM266">
            <v>221.62391088017711</v>
          </cell>
          <cell r="BN266">
            <v>210.54271533616824</v>
          </cell>
          <cell r="BO266">
            <v>200.01557956935983</v>
          </cell>
        </row>
        <row r="267">
          <cell r="A267" t="str">
            <v>Growth %</v>
          </cell>
          <cell r="AE267">
            <v>0.19465648854961826</v>
          </cell>
          <cell r="AF267">
            <v>0.10294117647058831</v>
          </cell>
          <cell r="AG267">
            <v>0</v>
          </cell>
          <cell r="AH267">
            <v>4.6666666666666634E-2</v>
          </cell>
          <cell r="AI267">
            <v>-6.1728395061728447E-2</v>
          </cell>
          <cell r="AJ267">
            <v>8.6580086580085869E-3</v>
          </cell>
          <cell r="AK267">
            <v>1.2195121951219523E-2</v>
          </cell>
          <cell r="AL267">
            <v>9.5846645367412275E-3</v>
          </cell>
          <cell r="AM267">
            <v>1.3333333333333419E-2</v>
          </cell>
          <cell r="AN267">
            <v>1.3333333333333419E-2</v>
          </cell>
          <cell r="AO267">
            <v>6.0975609756097615E-2</v>
          </cell>
          <cell r="AQ267">
            <v>3.8216560509554132E-2</v>
          </cell>
          <cell r="AR267">
            <v>1.3157894736842035E-2</v>
          </cell>
          <cell r="AT267">
            <v>3.0042918454935563E-2</v>
          </cell>
          <cell r="AU267">
            <v>1.2048192771084265E-2</v>
          </cell>
          <cell r="AW267">
            <v>2.5316455696202445E-2</v>
          </cell>
          <cell r="AY267">
            <v>2.6315789473684292E-2</v>
          </cell>
          <cell r="AZ267">
            <v>-5.6206084239211807E-2</v>
          </cell>
          <cell r="BA267">
            <v>-1.772962778411924E-2</v>
          </cell>
          <cell r="BB267">
            <v>-5.4937906078071252E-2</v>
          </cell>
          <cell r="BC267">
            <v>-2.9667283736762085E-2</v>
          </cell>
          <cell r="BD267">
            <v>-7.3523669593680729E-2</v>
          </cell>
          <cell r="BE267">
            <v>-4.1037457847815095E-2</v>
          </cell>
          <cell r="BF267">
            <v>2.142086125081355E-2</v>
          </cell>
          <cell r="BG267">
            <v>-5.0000000000000044E-2</v>
          </cell>
          <cell r="BH267">
            <v>-5.0000000000000044E-2</v>
          </cell>
          <cell r="BI267">
            <v>-5.0000000000000044E-2</v>
          </cell>
          <cell r="BJ267">
            <v>-5.0000000000000044E-2</v>
          </cell>
          <cell r="BK267">
            <v>-5.0000000000000044E-2</v>
          </cell>
          <cell r="BL267">
            <v>-5.0000000000000044E-2</v>
          </cell>
          <cell r="BM267">
            <v>-5.0000000000000044E-2</v>
          </cell>
          <cell r="BN267">
            <v>-5.0000000000000044E-2</v>
          </cell>
          <cell r="BO267">
            <v>-5.0000000000000044E-2</v>
          </cell>
        </row>
        <row r="268">
          <cell r="A268" t="str">
            <v>CER growth %</v>
          </cell>
          <cell r="AL268">
            <v>0.02</v>
          </cell>
          <cell r="AM268">
            <v>-0.01</v>
          </cell>
          <cell r="AO268">
            <v>3.0000000000000001E-3</v>
          </cell>
          <cell r="AQ268">
            <v>-3.0000000000000001E-3</v>
          </cell>
          <cell r="AR268">
            <v>-3.2000000000000001E-2</v>
          </cell>
          <cell r="AT268">
            <v>-1.2E-2</v>
          </cell>
          <cell r="AU268">
            <v>-2.1000000000000001E-2</v>
          </cell>
          <cell r="AW268">
            <v>-1.4999999999999999E-2</v>
          </cell>
          <cell r="AY268">
            <v>2.9000000000000001E-2</v>
          </cell>
          <cell r="AZ268">
            <v>-0.02</v>
          </cell>
          <cell r="BB268">
            <v>-0.02</v>
          </cell>
          <cell r="BE268">
            <v>-0.02</v>
          </cell>
          <cell r="BF268">
            <v>-0.02</v>
          </cell>
          <cell r="BG268">
            <v>-0.05</v>
          </cell>
          <cell r="BH268">
            <v>-0.05</v>
          </cell>
          <cell r="BI268">
            <v>-0.05</v>
          </cell>
          <cell r="BJ268">
            <v>-0.05</v>
          </cell>
          <cell r="BK268">
            <v>-0.05</v>
          </cell>
          <cell r="BL268">
            <v>-0.05</v>
          </cell>
          <cell r="BM268">
            <v>-0.05</v>
          </cell>
          <cell r="BN268">
            <v>-0.05</v>
          </cell>
          <cell r="BO268">
            <v>-0.05</v>
          </cell>
        </row>
        <row r="269">
          <cell r="A269" t="str">
            <v>Gadovist/Gadavist</v>
          </cell>
          <cell r="AF269">
            <v>37</v>
          </cell>
          <cell r="AG269">
            <v>39</v>
          </cell>
          <cell r="AH269">
            <v>76</v>
          </cell>
          <cell r="AI269">
            <v>40</v>
          </cell>
          <cell r="AJ269">
            <v>116</v>
          </cell>
          <cell r="AK269">
            <v>44</v>
          </cell>
          <cell r="AL269">
            <v>160</v>
          </cell>
          <cell r="AM269">
            <v>47</v>
          </cell>
          <cell r="AN269">
            <v>47</v>
          </cell>
          <cell r="AO269">
            <v>51</v>
          </cell>
          <cell r="AQ269">
            <v>98</v>
          </cell>
          <cell r="AR269">
            <v>51</v>
          </cell>
          <cell r="AT269">
            <v>149</v>
          </cell>
          <cell r="AU269">
            <v>60</v>
          </cell>
          <cell r="AW269">
            <v>209</v>
          </cell>
          <cell r="AY269">
            <v>50</v>
          </cell>
          <cell r="AZ269">
            <v>59.406078267827226</v>
          </cell>
          <cell r="BA269">
            <v>109.40607826782723</v>
          </cell>
          <cell r="BB269">
            <v>59.432703970195178</v>
          </cell>
          <cell r="BC269">
            <v>168.83878223802242</v>
          </cell>
          <cell r="BD269">
            <v>77.237036379193313</v>
          </cell>
          <cell r="BE269">
            <v>246.07581861721573</v>
          </cell>
          <cell r="BF269">
            <v>278.40714185324885</v>
          </cell>
          <cell r="BG269">
            <v>306.24785603857373</v>
          </cell>
          <cell r="BH269">
            <v>312.37281315934518</v>
          </cell>
          <cell r="BI269">
            <v>318.62026942253209</v>
          </cell>
          <cell r="BJ269">
            <v>324.99267481098275</v>
          </cell>
          <cell r="BK269">
            <v>331.49252830720241</v>
          </cell>
          <cell r="BL269">
            <v>338.12237887334646</v>
          </cell>
          <cell r="BM269">
            <v>344.88482645081342</v>
          </cell>
          <cell r="BN269">
            <v>351.78252297982971</v>
          </cell>
          <cell r="BO269">
            <v>358.81817343942629</v>
          </cell>
        </row>
        <row r="270">
          <cell r="A270" t="str">
            <v>Growth %</v>
          </cell>
          <cell r="AM270">
            <v>0.27027027027027017</v>
          </cell>
          <cell r="AN270">
            <v>0.27027027027027017</v>
          </cell>
          <cell r="AO270">
            <v>0.30769230769230771</v>
          </cell>
          <cell r="AQ270">
            <v>0.28947368421052633</v>
          </cell>
          <cell r="AR270">
            <v>0.27499999999999991</v>
          </cell>
          <cell r="AT270">
            <v>0.28448275862068972</v>
          </cell>
          <cell r="AU270">
            <v>0.36363636363636354</v>
          </cell>
          <cell r="AW270">
            <v>0.30624999999999991</v>
          </cell>
          <cell r="AY270">
            <v>6.3829787234042534E-2</v>
          </cell>
          <cell r="AZ270">
            <v>0.16482506407504371</v>
          </cell>
          <cell r="BA270">
            <v>0.11638855375333912</v>
          </cell>
          <cell r="BB270">
            <v>0.16534713667049372</v>
          </cell>
          <cell r="BC270">
            <v>0.13314618951692903</v>
          </cell>
          <cell r="BD270">
            <v>0.28728393965322185</v>
          </cell>
          <cell r="BE270">
            <v>0.17739626132639108</v>
          </cell>
          <cell r="BF270">
            <v>0.1313876488056156</v>
          </cell>
          <cell r="BG270">
            <v>0.10000000000000009</v>
          </cell>
          <cell r="BH270">
            <v>2.0000000000000018E-2</v>
          </cell>
          <cell r="BI270">
            <v>2.0000000000000018E-2</v>
          </cell>
          <cell r="BJ270">
            <v>2.0000000000000018E-2</v>
          </cell>
          <cell r="BK270">
            <v>2.0000000000000018E-2</v>
          </cell>
          <cell r="BL270">
            <v>2.0000000000000018E-2</v>
          </cell>
          <cell r="BM270">
            <v>2.0000000000000018E-2</v>
          </cell>
          <cell r="BN270">
            <v>2.0000000000000018E-2</v>
          </cell>
          <cell r="BO270">
            <v>2.0000000000000018E-2</v>
          </cell>
        </row>
        <row r="271">
          <cell r="A271" t="str">
            <v>CER growth %</v>
          </cell>
          <cell r="AM271">
            <v>0.26500000000000001</v>
          </cell>
          <cell r="AO271">
            <v>0.28199999999999997</v>
          </cell>
          <cell r="AQ271">
            <v>0.27400000000000002</v>
          </cell>
          <cell r="AR271">
            <v>0.20499999999999999</v>
          </cell>
          <cell r="AT271">
            <v>0.25</v>
          </cell>
          <cell r="AU271">
            <v>0.33</v>
          </cell>
          <cell r="AW271">
            <v>0.27200000000000002</v>
          </cell>
          <cell r="AY271">
            <v>5.7000000000000002E-2</v>
          </cell>
          <cell r="AZ271">
            <v>0.2</v>
          </cell>
          <cell r="BB271">
            <v>0.2</v>
          </cell>
          <cell r="BE271">
            <v>0.2</v>
          </cell>
          <cell r="BF271">
            <v>0.1</v>
          </cell>
          <cell r="BG271">
            <v>0.1</v>
          </cell>
          <cell r="BH271">
            <v>0.02</v>
          </cell>
          <cell r="BI271">
            <v>0.02</v>
          </cell>
          <cell r="BJ271">
            <v>0.02</v>
          </cell>
          <cell r="BK271">
            <v>0.02</v>
          </cell>
          <cell r="BL271">
            <v>0.02</v>
          </cell>
          <cell r="BM271">
            <v>0.02</v>
          </cell>
          <cell r="BN271">
            <v>0.02</v>
          </cell>
          <cell r="BO271">
            <v>0.02</v>
          </cell>
        </row>
        <row r="272">
          <cell r="A272" t="str">
            <v>Iopamiron</v>
          </cell>
          <cell r="X272">
            <v>199</v>
          </cell>
          <cell r="Y272">
            <v>39</v>
          </cell>
          <cell r="Z272">
            <v>52</v>
          </cell>
          <cell r="AA272">
            <v>91</v>
          </cell>
          <cell r="AB272">
            <v>44</v>
          </cell>
          <cell r="AC272">
            <v>135</v>
          </cell>
          <cell r="AD272">
            <v>50</v>
          </cell>
          <cell r="AE272">
            <v>185</v>
          </cell>
          <cell r="AF272">
            <v>44</v>
          </cell>
          <cell r="AG272">
            <v>42</v>
          </cell>
          <cell r="AH272">
            <v>86</v>
          </cell>
          <cell r="AI272">
            <v>47</v>
          </cell>
          <cell r="AJ272">
            <v>133</v>
          </cell>
          <cell r="AK272">
            <v>52</v>
          </cell>
          <cell r="AL272">
            <v>185</v>
          </cell>
          <cell r="AM272">
            <v>40</v>
          </cell>
          <cell r="AN272">
            <v>0</v>
          </cell>
          <cell r="AO272">
            <v>44</v>
          </cell>
          <cell r="AQ272">
            <v>84</v>
          </cell>
          <cell r="AR272">
            <v>44</v>
          </cell>
          <cell r="AT272">
            <v>128</v>
          </cell>
          <cell r="AU272">
            <v>46</v>
          </cell>
          <cell r="AW272">
            <v>174</v>
          </cell>
          <cell r="AY272">
            <v>0</v>
          </cell>
          <cell r="AZ272">
            <v>6.3209535129933005</v>
          </cell>
          <cell r="BA272">
            <v>6.3209535129933005</v>
          </cell>
          <cell r="BB272">
            <v>6.346058058254882</v>
          </cell>
          <cell r="BC272">
            <v>12.667011571248182</v>
          </cell>
          <cell r="BD272">
            <v>12.976704656701493</v>
          </cell>
          <cell r="BE272">
            <v>25.643716227949675</v>
          </cell>
          <cell r="BF272">
            <v>1.3693736532040983</v>
          </cell>
          <cell r="BG272">
            <v>1.2324362878836885</v>
          </cell>
          <cell r="BH272">
            <v>1.1091926590953196</v>
          </cell>
          <cell r="BI272">
            <v>0.99827339318578767</v>
          </cell>
          <cell r="BJ272">
            <v>0.89844605386720888</v>
          </cell>
          <cell r="BK272">
            <v>0.85352375117384838</v>
          </cell>
          <cell r="BL272">
            <v>0.81084756361515598</v>
          </cell>
          <cell r="BM272">
            <v>0.77030518543439819</v>
          </cell>
          <cell r="BN272">
            <v>0.73178992616267824</v>
          </cell>
          <cell r="BO272">
            <v>0.69520042985454433</v>
          </cell>
        </row>
        <row r="273">
          <cell r="A273" t="str">
            <v>Growth %</v>
          </cell>
          <cell r="AE273">
            <v>-7.0351758793969821E-2</v>
          </cell>
          <cell r="AF273">
            <v>0.12820512820512819</v>
          </cell>
          <cell r="AG273">
            <v>-0.19230769230769229</v>
          </cell>
          <cell r="AH273">
            <v>-5.4945054945054972E-2</v>
          </cell>
          <cell r="AI273">
            <v>6.8181818181818121E-2</v>
          </cell>
          <cell r="AJ273">
            <v>-1.4814814814814836E-2</v>
          </cell>
          <cell r="AK273">
            <v>4.0000000000000036E-2</v>
          </cell>
          <cell r="AL273">
            <v>0</v>
          </cell>
          <cell r="AM273">
            <v>-9.0909090909090939E-2</v>
          </cell>
          <cell r="AO273">
            <v>4.7619047619047672E-2</v>
          </cell>
          <cell r="AQ273">
            <v>-2.3255813953488413E-2</v>
          </cell>
          <cell r="AR273">
            <v>-6.3829787234042534E-2</v>
          </cell>
          <cell r="AT273">
            <v>-3.7593984962406068E-2</v>
          </cell>
          <cell r="AU273">
            <v>-0.11538461538461542</v>
          </cell>
          <cell r="AW273">
            <v>-5.9459459459459407E-2</v>
          </cell>
          <cell r="AZ273">
            <v>-0.85634196561378861</v>
          </cell>
          <cell r="BA273">
            <v>-0.92475055341674639</v>
          </cell>
          <cell r="BB273">
            <v>-0.8557714077669345</v>
          </cell>
          <cell r="BC273">
            <v>-0.90103897209962358</v>
          </cell>
          <cell r="BD273">
            <v>-0.71789772485431536</v>
          </cell>
          <cell r="BE273">
            <v>-0.85262232052902487</v>
          </cell>
          <cell r="BF273">
            <v>-0.94660003093812173</v>
          </cell>
          <cell r="BG273">
            <v>-9.9999999999999978E-2</v>
          </cell>
          <cell r="BH273">
            <v>-9.9999999999999978E-2</v>
          </cell>
          <cell r="BI273">
            <v>-9.9999999999999978E-2</v>
          </cell>
          <cell r="BJ273">
            <v>-9.9999999999999978E-2</v>
          </cell>
          <cell r="BK273">
            <v>-5.0000000000000044E-2</v>
          </cell>
          <cell r="BL273">
            <v>-5.0000000000000044E-2</v>
          </cell>
          <cell r="BM273">
            <v>-5.0000000000000044E-2</v>
          </cell>
          <cell r="BN273">
            <v>-5.0000000000000044E-2</v>
          </cell>
          <cell r="BO273">
            <v>-5.0000000000000044E-2</v>
          </cell>
        </row>
        <row r="274">
          <cell r="A274" t="str">
            <v>CER growth %</v>
          </cell>
          <cell r="AL274">
            <v>-4.7E-2</v>
          </cell>
          <cell r="AO274">
            <v>-8.4000000000000005E-2</v>
          </cell>
          <cell r="AQ274">
            <v>-0.122</v>
          </cell>
          <cell r="AR274">
            <v>-0.17199999999999999</v>
          </cell>
          <cell r="AT274">
            <v>-0.14000000000000001</v>
          </cell>
          <cell r="AU274">
            <v>-8.1000000000000003E-2</v>
          </cell>
          <cell r="AW274">
            <v>-0.123</v>
          </cell>
          <cell r="AZ274">
            <v>-0.85</v>
          </cell>
          <cell r="BB274">
            <v>-0.85</v>
          </cell>
          <cell r="BE274">
            <v>-0.85</v>
          </cell>
          <cell r="BF274">
            <v>-0.95</v>
          </cell>
          <cell r="BG274">
            <v>-0.1</v>
          </cell>
          <cell r="BH274">
            <v>-0.1</v>
          </cell>
          <cell r="BI274">
            <v>-0.1</v>
          </cell>
          <cell r="BJ274">
            <v>-0.1</v>
          </cell>
          <cell r="BK274">
            <v>-0.05</v>
          </cell>
          <cell r="BL274">
            <v>-0.05</v>
          </cell>
          <cell r="BM274">
            <v>-0.05</v>
          </cell>
          <cell r="BN274">
            <v>-0.05</v>
          </cell>
          <cell r="BO274">
            <v>-0.05</v>
          </cell>
        </row>
        <row r="275">
          <cell r="A275" t="str">
            <v>Other medical care</v>
          </cell>
          <cell r="AC275">
            <v>17</v>
          </cell>
          <cell r="AD275">
            <v>27</v>
          </cell>
          <cell r="AE275">
            <v>44</v>
          </cell>
          <cell r="AF275">
            <v>279</v>
          </cell>
          <cell r="AG275">
            <v>291</v>
          </cell>
          <cell r="AH275">
            <v>570</v>
          </cell>
          <cell r="AI275">
            <v>291</v>
          </cell>
          <cell r="AJ275">
            <v>861</v>
          </cell>
          <cell r="AK275">
            <v>338</v>
          </cell>
          <cell r="AL275">
            <v>1199</v>
          </cell>
          <cell r="AM275">
            <v>290</v>
          </cell>
          <cell r="AN275">
            <v>330</v>
          </cell>
          <cell r="AO275">
            <v>301</v>
          </cell>
          <cell r="AQ275">
            <v>591</v>
          </cell>
          <cell r="AR275">
            <v>300</v>
          </cell>
          <cell r="AT275">
            <v>891</v>
          </cell>
          <cell r="AU275">
            <v>333</v>
          </cell>
          <cell r="AW275">
            <v>1224</v>
          </cell>
          <cell r="AY275">
            <v>299</v>
          </cell>
          <cell r="AZ275">
            <v>299.89056638230659</v>
          </cell>
          <cell r="BA275">
            <v>598.89056638230659</v>
          </cell>
          <cell r="BB275">
            <v>299.1466550772675</v>
          </cell>
          <cell r="BC275">
            <v>898.03722145957408</v>
          </cell>
          <cell r="BD275">
            <v>337.46145587613933</v>
          </cell>
          <cell r="BE275">
            <v>1235.4986773357134</v>
          </cell>
          <cell r="BF275">
            <v>1316.641830283437</v>
          </cell>
          <cell r="BG275">
            <v>1342.9746668891057</v>
          </cell>
          <cell r="BH275">
            <v>1369.8341602268879</v>
          </cell>
          <cell r="BI275">
            <v>1397.2308434314257</v>
          </cell>
          <cell r="BJ275">
            <v>1425.1754603000543</v>
          </cell>
          <cell r="BK275">
            <v>1453.6789695060554</v>
          </cell>
          <cell r="BL275">
            <v>1482.7525488961764</v>
          </cell>
          <cell r="BM275">
            <v>1512.4075998741</v>
          </cell>
          <cell r="BN275">
            <v>1542.655751871582</v>
          </cell>
          <cell r="BO275">
            <v>1573.5088669090137</v>
          </cell>
        </row>
        <row r="276">
          <cell r="AM276">
            <v>3.9426523297491078E-2</v>
          </cell>
          <cell r="AN276">
            <v>0.18279569892473124</v>
          </cell>
          <cell r="AO276">
            <v>3.436426116838498E-2</v>
          </cell>
          <cell r="AQ276">
            <v>3.6842105263157787E-2</v>
          </cell>
          <cell r="AR276">
            <v>3.0927835051546282E-2</v>
          </cell>
          <cell r="AT276">
            <v>3.4843205574912828E-2</v>
          </cell>
          <cell r="AU276">
            <v>-1.4792899408283988E-2</v>
          </cell>
          <cell r="AW276">
            <v>2.0850708924103456E-2</v>
          </cell>
          <cell r="AY276">
            <v>3.1034482758620641E-2</v>
          </cell>
          <cell r="AZ276">
            <v>-3.6858259724033005E-3</v>
          </cell>
          <cell r="BA276">
            <v>1.3351212152802994E-2</v>
          </cell>
          <cell r="BB276">
            <v>-2.8444830757750061E-3</v>
          </cell>
          <cell r="BC276">
            <v>7.8981161162448021E-3</v>
          </cell>
          <cell r="BD276">
            <v>1.3397765393811767E-2</v>
          </cell>
          <cell r="BE276">
            <v>9.3943442285240319E-3</v>
          </cell>
          <cell r="BF276">
            <v>6.5676438539541415E-2</v>
          </cell>
          <cell r="BG276">
            <v>2.0000000000000018E-2</v>
          </cell>
          <cell r="BH276">
            <v>2.0000000000000018E-2</v>
          </cell>
          <cell r="BI276">
            <v>2.0000000000000018E-2</v>
          </cell>
          <cell r="BJ276">
            <v>2.0000000000000018E-2</v>
          </cell>
          <cell r="BK276">
            <v>2.0000000000000018E-2</v>
          </cell>
          <cell r="BL276">
            <v>2.0000000000000018E-2</v>
          </cell>
          <cell r="BM276">
            <v>2.0000000000000018E-2</v>
          </cell>
          <cell r="BN276">
            <v>2.0000000000000018E-2</v>
          </cell>
          <cell r="BO276">
            <v>2.0000000000000018E-2</v>
          </cell>
        </row>
        <row r="277">
          <cell r="AZ277">
            <v>0.03</v>
          </cell>
          <cell r="BB277">
            <v>0.03</v>
          </cell>
          <cell r="BE277">
            <v>0.03</v>
          </cell>
          <cell r="BF277">
            <v>0.03</v>
          </cell>
          <cell r="BG277">
            <v>0.02</v>
          </cell>
          <cell r="BH277">
            <v>0.02</v>
          </cell>
          <cell r="BI277">
            <v>0.02</v>
          </cell>
          <cell r="BJ277">
            <v>0.02</v>
          </cell>
          <cell r="BK277">
            <v>0.02</v>
          </cell>
          <cell r="BL277">
            <v>0.02</v>
          </cell>
          <cell r="BM277">
            <v>0.02</v>
          </cell>
          <cell r="BN277">
            <v>0.02</v>
          </cell>
          <cell r="BO277">
            <v>0.02</v>
          </cell>
        </row>
        <row r="278">
          <cell r="A278" t="str">
            <v>Medical Care</v>
          </cell>
          <cell r="AC278">
            <v>1803</v>
          </cell>
          <cell r="AD278">
            <v>665</v>
          </cell>
          <cell r="AE278">
            <v>2468</v>
          </cell>
          <cell r="AF278">
            <v>587</v>
          </cell>
          <cell r="AG278">
            <v>613</v>
          </cell>
          <cell r="AH278">
            <v>1200</v>
          </cell>
          <cell r="AI278">
            <v>613</v>
          </cell>
          <cell r="AJ278">
            <v>1813</v>
          </cell>
          <cell r="AK278">
            <v>687</v>
          </cell>
          <cell r="AL278">
            <v>2500</v>
          </cell>
          <cell r="AM278">
            <v>619</v>
          </cell>
          <cell r="AN278">
            <v>619</v>
          </cell>
          <cell r="AO278">
            <v>657</v>
          </cell>
          <cell r="AQ278">
            <v>1276</v>
          </cell>
          <cell r="AR278">
            <v>661</v>
          </cell>
          <cell r="AT278">
            <v>1937</v>
          </cell>
          <cell r="AU278">
            <v>716</v>
          </cell>
          <cell r="AW278">
            <v>2653</v>
          </cell>
          <cell r="AY278">
            <v>597</v>
          </cell>
          <cell r="AZ278">
            <v>624.45252280989041</v>
          </cell>
          <cell r="BA278">
            <v>1221.4525228098905</v>
          </cell>
          <cell r="BB278">
            <v>629.81705497228131</v>
          </cell>
          <cell r="BC278">
            <v>1851.2695777821718</v>
          </cell>
          <cell r="BD278">
            <v>709.58633529838801</v>
          </cell>
          <cell r="BE278">
            <v>2560.8559130805597</v>
          </cell>
          <cell r="BF278">
            <v>2720.8781810143973</v>
          </cell>
          <cell r="BG278">
            <v>2775.1888325838045</v>
          </cell>
          <cell r="BH278">
            <v>2809.4403162482163</v>
          </cell>
          <cell r="BI278">
            <v>2845.4468388530067</v>
          </cell>
          <cell r="BJ278">
            <v>2883.1892612518559</v>
          </cell>
          <cell r="BK278">
            <v>2922.6957697606458</v>
          </cell>
          <cell r="BL278">
            <v>2954.9892313960117</v>
          </cell>
          <cell r="BM278">
            <v>2988.7019224993128</v>
          </cell>
          <cell r="BN278">
            <v>3023.8182130236182</v>
          </cell>
          <cell r="BO278">
            <v>3060.3243075866289</v>
          </cell>
          <cell r="BW278">
            <v>341.44031624821628</v>
          </cell>
        </row>
        <row r="279">
          <cell r="A279" t="str">
            <v>Growth %</v>
          </cell>
          <cell r="AJ279">
            <v>5.5463117027176878E-3</v>
          </cell>
          <cell r="AK279">
            <v>3.3082706766917269E-2</v>
          </cell>
          <cell r="AL279">
            <v>1.296596434359798E-2</v>
          </cell>
          <cell r="AM279">
            <v>5.4514480408858645E-2</v>
          </cell>
          <cell r="AN279">
            <v>5.4514480408858645E-2</v>
          </cell>
          <cell r="AO279">
            <v>7.1778140293637938E-2</v>
          </cell>
          <cell r="AQ279">
            <v>6.3333333333333242E-2</v>
          </cell>
          <cell r="AR279">
            <v>7.8303425774877589E-2</v>
          </cell>
          <cell r="AT279">
            <v>6.8394925537782703E-2</v>
          </cell>
          <cell r="AU279">
            <v>4.2212518195051008E-2</v>
          </cell>
          <cell r="AW279">
            <v>6.1199999999999921E-2</v>
          </cell>
          <cell r="AY279">
            <v>-3.5541195476575083E-2</v>
          </cell>
          <cell r="AZ279">
            <v>-4.953953910214548E-2</v>
          </cell>
          <cell r="BA279">
            <v>-4.2748806575320875E-2</v>
          </cell>
          <cell r="BB279">
            <v>-4.7175408513946526E-2</v>
          </cell>
          <cell r="BC279">
            <v>-4.4259381630267547E-2</v>
          </cell>
          <cell r="BD279">
            <v>-8.9576322648212692E-3</v>
          </cell>
          <cell r="BE279">
            <v>-3.4732034270426038E-2</v>
          </cell>
          <cell r="BF279">
            <v>6.2487806173108895E-2</v>
          </cell>
          <cell r="BG279">
            <v>1.9960706785174365E-2</v>
          </cell>
          <cell r="BH279">
            <v>1.2342037147981211E-2</v>
          </cell>
          <cell r="BI279">
            <v>1.2816261800099094E-2</v>
          </cell>
          <cell r="BJ279">
            <v>1.3264146032706536E-2</v>
          </cell>
          <cell r="BK279">
            <v>1.3702363920305549E-2</v>
          </cell>
          <cell r="BL279">
            <v>1.1049203947084196E-2</v>
          </cell>
          <cell r="BM279">
            <v>1.1408735688479776E-2</v>
          </cell>
          <cell r="BN279">
            <v>1.1749679772327104E-2</v>
          </cell>
          <cell r="BO279">
            <v>1.2072846973994134E-2</v>
          </cell>
        </row>
        <row r="280">
          <cell r="A280" t="str">
            <v>CER growth %</v>
          </cell>
          <cell r="AL280">
            <v>2.4E-2</v>
          </cell>
          <cell r="AW280">
            <v>2.1999999999999999E-2</v>
          </cell>
          <cell r="AY280">
            <v>-1.6E-2</v>
          </cell>
        </row>
        <row r="281">
          <cell r="A281" t="str">
            <v>Ascensia (Contour/Breeze/Elite)</v>
          </cell>
          <cell r="B281">
            <v>701</v>
          </cell>
          <cell r="C281">
            <v>788</v>
          </cell>
          <cell r="D281">
            <v>223</v>
          </cell>
          <cell r="E281">
            <v>241</v>
          </cell>
          <cell r="F281">
            <v>464</v>
          </cell>
          <cell r="G281">
            <v>213</v>
          </cell>
          <cell r="H281">
            <v>677</v>
          </cell>
          <cell r="I281">
            <v>257</v>
          </cell>
          <cell r="J281">
            <v>934</v>
          </cell>
          <cell r="K281">
            <v>224</v>
          </cell>
          <cell r="L281">
            <v>246</v>
          </cell>
          <cell r="M281">
            <v>470</v>
          </cell>
          <cell r="N281">
            <v>230</v>
          </cell>
          <cell r="O281">
            <v>700</v>
          </cell>
          <cell r="P281">
            <v>258</v>
          </cell>
          <cell r="Q281">
            <v>958</v>
          </cell>
          <cell r="R281">
            <v>231</v>
          </cell>
          <cell r="S281">
            <v>298</v>
          </cell>
          <cell r="T281">
            <v>529</v>
          </cell>
          <cell r="U281">
            <v>267</v>
          </cell>
          <cell r="V281">
            <v>796</v>
          </cell>
          <cell r="W281">
            <v>296</v>
          </cell>
          <cell r="X281">
            <v>1092</v>
          </cell>
          <cell r="Y281">
            <v>242</v>
          </cell>
          <cell r="Z281">
            <v>306</v>
          </cell>
          <cell r="AA281">
            <v>548</v>
          </cell>
          <cell r="AB281">
            <v>282</v>
          </cell>
          <cell r="AC281">
            <v>830</v>
          </cell>
          <cell r="AD281">
            <v>312</v>
          </cell>
          <cell r="AE281">
            <v>1142</v>
          </cell>
          <cell r="AF281">
            <v>255</v>
          </cell>
          <cell r="AG281">
            <v>275</v>
          </cell>
          <cell r="AH281">
            <v>530</v>
          </cell>
          <cell r="AI281">
            <v>268</v>
          </cell>
          <cell r="AJ281">
            <v>798</v>
          </cell>
          <cell r="AK281">
            <v>315.15000000000003</v>
          </cell>
          <cell r="AL281">
            <v>1113.1500000000001</v>
          </cell>
          <cell r="AM281">
            <v>267.49499999999995</v>
          </cell>
          <cell r="AO281">
            <v>290</v>
          </cell>
          <cell r="AQ281">
            <v>557.49499999999989</v>
          </cell>
          <cell r="AR281">
            <v>279.10000000000002</v>
          </cell>
          <cell r="AT281">
            <v>836.59499999999991</v>
          </cell>
          <cell r="AU281">
            <v>327.66450000000003</v>
          </cell>
          <cell r="AW281">
            <v>1160.5695000000001</v>
          </cell>
          <cell r="BE281">
            <v>1207.6265850000002</v>
          </cell>
          <cell r="BF281">
            <v>1256.0953825500003</v>
          </cell>
          <cell r="BG281">
            <v>1306.0182440265003</v>
          </cell>
          <cell r="BH281">
            <v>1357.4387913472954</v>
          </cell>
          <cell r="BI281">
            <v>1410.4019550877142</v>
          </cell>
          <cell r="BJ281">
            <v>1464.9540137403458</v>
          </cell>
          <cell r="BK281">
            <v>1521.1426341525562</v>
          </cell>
          <cell r="BL281">
            <v>1579.0169131771329</v>
          </cell>
          <cell r="BM281">
            <v>1638.6274205724469</v>
          </cell>
          <cell r="BN281">
            <v>1700.0262431896203</v>
          </cell>
          <cell r="BO281">
            <v>1763.2670304853091</v>
          </cell>
          <cell r="BW281">
            <v>215.43879134729536</v>
          </cell>
        </row>
        <row r="282">
          <cell r="A282" t="str">
            <v>Currency adjusted growth %</v>
          </cell>
          <cell r="J282">
            <v>0.24</v>
          </cell>
          <cell r="L282">
            <v>2.0746887966804906E-2</v>
          </cell>
          <cell r="M282">
            <v>1.2931034482758674E-2</v>
          </cell>
          <cell r="N282">
            <v>7.9812206572769995E-2</v>
          </cell>
          <cell r="O282">
            <v>3.3973412112259904E-2</v>
          </cell>
          <cell r="P282">
            <v>3.8910505836575737E-3</v>
          </cell>
          <cell r="Q282">
            <v>2.5695931477516032E-2</v>
          </cell>
          <cell r="R282">
            <v>3.125E-2</v>
          </cell>
          <cell r="S282">
            <v>0.21138211382113825</v>
          </cell>
          <cell r="T282">
            <v>0.12553191489361692</v>
          </cell>
          <cell r="U282">
            <v>0.16086956521739126</v>
          </cell>
          <cell r="V282">
            <v>0.13714285714285723</v>
          </cell>
          <cell r="W282">
            <v>0.1472868217054264</v>
          </cell>
          <cell r="X282">
            <v>0.13987473903966596</v>
          </cell>
          <cell r="Y282">
            <v>4.7619047619047672E-2</v>
          </cell>
          <cell r="Z282">
            <v>2.6845637583892579E-2</v>
          </cell>
          <cell r="AA282">
            <v>3.5916824196597252E-2</v>
          </cell>
          <cell r="AB282">
            <v>5.6179775280898792E-2</v>
          </cell>
          <cell r="AC282">
            <v>4.2713567839195887E-2</v>
          </cell>
          <cell r="AD282">
            <v>5.4054054054053946E-2</v>
          </cell>
          <cell r="AE282">
            <v>4.5787545787545847E-2</v>
          </cell>
          <cell r="AF282">
            <v>5.3719008264462742E-2</v>
          </cell>
          <cell r="AG282">
            <v>-0.10130718954248363</v>
          </cell>
          <cell r="AH282">
            <v>-3.2846715328467169E-2</v>
          </cell>
          <cell r="AI282">
            <v>-4.9645390070921946E-2</v>
          </cell>
          <cell r="AJ282">
            <v>-3.8554216867469848E-2</v>
          </cell>
          <cell r="AK282">
            <v>1.0096153846153921E-2</v>
          </cell>
          <cell r="AL282">
            <v>-2.5262697022766956E-2</v>
          </cell>
          <cell r="AM282">
            <v>4.899999999999971E-2</v>
          </cell>
          <cell r="AO282">
            <v>5.4545454545454453E-2</v>
          </cell>
          <cell r="AQ282">
            <v>5.187735849056585E-2</v>
          </cell>
          <cell r="AR282">
            <v>4.1417910447761219E-2</v>
          </cell>
          <cell r="AT282">
            <v>4.8364661654135332E-2</v>
          </cell>
          <cell r="AU282">
            <v>3.9709662065682938E-2</v>
          </cell>
          <cell r="AW282">
            <v>4.2599380137447795E-2</v>
          </cell>
          <cell r="BE282">
            <v>4.0546546329194522E-2</v>
          </cell>
          <cell r="BF282">
            <v>4.013558342622936E-2</v>
          </cell>
          <cell r="BG282">
            <v>3.9744482919084945E-2</v>
          </cell>
          <cell r="BH282">
            <v>3.9371997715945906E-2</v>
          </cell>
          <cell r="BI282">
            <v>3.9016981154525121E-2</v>
          </cell>
          <cell r="BJ282">
            <v>3.8678377079560233E-2</v>
          </cell>
          <cell r="BK282">
            <v>3.8355211075021156E-2</v>
          </cell>
          <cell r="BL282">
            <v>3.8046582697236042E-2</v>
          </cell>
          <cell r="BM282">
            <v>3.7751658578103475E-2</v>
          </cell>
          <cell r="BN282">
            <v>3.7469666286753522E-2</v>
          </cell>
          <cell r="BO282">
            <v>3.7199888854089203E-2</v>
          </cell>
          <cell r="BW282">
            <v>-6.4155480715999413E-3</v>
          </cell>
        </row>
        <row r="283">
          <cell r="A283" t="str">
            <v>Other diabetes care</v>
          </cell>
          <cell r="B283">
            <v>17</v>
          </cell>
          <cell r="C283">
            <v>22</v>
          </cell>
          <cell r="D283">
            <v>3</v>
          </cell>
          <cell r="E283">
            <v>3</v>
          </cell>
          <cell r="F283">
            <v>6</v>
          </cell>
          <cell r="G283">
            <v>7</v>
          </cell>
          <cell r="H283">
            <v>13</v>
          </cell>
          <cell r="I283">
            <v>3</v>
          </cell>
          <cell r="J283">
            <v>16</v>
          </cell>
          <cell r="K283">
            <v>3</v>
          </cell>
          <cell r="L283">
            <v>3</v>
          </cell>
          <cell r="M283">
            <v>6</v>
          </cell>
          <cell r="N283">
            <v>3</v>
          </cell>
          <cell r="O283">
            <v>9</v>
          </cell>
          <cell r="P283">
            <v>3</v>
          </cell>
          <cell r="Q283">
            <v>12</v>
          </cell>
          <cell r="R283">
            <v>3</v>
          </cell>
          <cell r="S283">
            <v>3</v>
          </cell>
          <cell r="T283">
            <v>6</v>
          </cell>
          <cell r="U283">
            <v>3</v>
          </cell>
          <cell r="V283">
            <v>9</v>
          </cell>
          <cell r="W283">
            <v>3</v>
          </cell>
          <cell r="X283">
            <v>12</v>
          </cell>
          <cell r="Y283">
            <v>3</v>
          </cell>
          <cell r="Z283">
            <v>3</v>
          </cell>
          <cell r="AA283">
            <v>6</v>
          </cell>
          <cell r="AB283">
            <v>3</v>
          </cell>
          <cell r="AC283">
            <v>9</v>
          </cell>
          <cell r="AD283">
            <v>3</v>
          </cell>
          <cell r="AE283">
            <v>12</v>
          </cell>
          <cell r="AF283">
            <v>12</v>
          </cell>
          <cell r="AG283">
            <v>12</v>
          </cell>
          <cell r="AH283">
            <v>24</v>
          </cell>
          <cell r="AI283">
            <v>12</v>
          </cell>
          <cell r="AJ283">
            <v>36</v>
          </cell>
          <cell r="AK283">
            <v>12</v>
          </cell>
          <cell r="AL283">
            <v>48</v>
          </cell>
          <cell r="AM283">
            <v>12</v>
          </cell>
          <cell r="AO283">
            <v>12</v>
          </cell>
          <cell r="AQ283">
            <v>24</v>
          </cell>
          <cell r="AR283">
            <v>12</v>
          </cell>
          <cell r="AT283">
            <v>36</v>
          </cell>
          <cell r="AU283">
            <v>12</v>
          </cell>
          <cell r="AW283">
            <v>48</v>
          </cell>
          <cell r="BE283">
            <v>48</v>
          </cell>
          <cell r="BF283">
            <v>48</v>
          </cell>
          <cell r="BG283">
            <v>48</v>
          </cell>
          <cell r="BH283">
            <v>48</v>
          </cell>
          <cell r="BI283">
            <v>48</v>
          </cell>
          <cell r="BJ283">
            <v>48</v>
          </cell>
          <cell r="BK283">
            <v>48</v>
          </cell>
          <cell r="BL283">
            <v>48</v>
          </cell>
          <cell r="BM283">
            <v>48</v>
          </cell>
          <cell r="BN283">
            <v>48</v>
          </cell>
          <cell r="BO283">
            <v>48</v>
          </cell>
          <cell r="BW283">
            <v>36</v>
          </cell>
        </row>
        <row r="284">
          <cell r="A284" t="str">
            <v>Growth %</v>
          </cell>
          <cell r="C284">
            <v>0.29411764705882359</v>
          </cell>
          <cell r="J284">
            <v>-0.27272727272727271</v>
          </cell>
          <cell r="K284">
            <v>0</v>
          </cell>
          <cell r="L284">
            <v>0</v>
          </cell>
          <cell r="M284">
            <v>0</v>
          </cell>
          <cell r="N284">
            <v>-0.5714285714285714</v>
          </cell>
          <cell r="O284">
            <v>-0.30769230769230771</v>
          </cell>
          <cell r="P284">
            <v>0</v>
          </cell>
          <cell r="Q284">
            <v>-0.25</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3</v>
          </cell>
          <cell r="AG284">
            <v>3</v>
          </cell>
          <cell r="AH284">
            <v>3</v>
          </cell>
          <cell r="AI284">
            <v>0</v>
          </cell>
          <cell r="AJ284">
            <v>3</v>
          </cell>
          <cell r="AK284">
            <v>3</v>
          </cell>
          <cell r="AL284">
            <v>3</v>
          </cell>
          <cell r="AM284">
            <v>0</v>
          </cell>
          <cell r="AO284">
            <v>0</v>
          </cell>
          <cell r="AQ284">
            <v>0</v>
          </cell>
          <cell r="AR284">
            <v>0</v>
          </cell>
          <cell r="AT284">
            <v>0</v>
          </cell>
          <cell r="AU284">
            <v>0</v>
          </cell>
          <cell r="AW284">
            <v>0</v>
          </cell>
          <cell r="BE284">
            <v>0</v>
          </cell>
          <cell r="BF284">
            <v>0</v>
          </cell>
          <cell r="BG284">
            <v>0</v>
          </cell>
          <cell r="BH284">
            <v>0</v>
          </cell>
          <cell r="BI284">
            <v>0</v>
          </cell>
          <cell r="BJ284">
            <v>0</v>
          </cell>
          <cell r="BK284">
            <v>0</v>
          </cell>
          <cell r="BL284">
            <v>0</v>
          </cell>
          <cell r="BM284">
            <v>0</v>
          </cell>
          <cell r="BN284">
            <v>0</v>
          </cell>
          <cell r="BO284">
            <v>0</v>
          </cell>
          <cell r="BW284">
            <v>0</v>
          </cell>
        </row>
        <row r="285">
          <cell r="A285" t="str">
            <v>Medrad</v>
          </cell>
          <cell r="K285">
            <v>85</v>
          </cell>
          <cell r="L285">
            <v>85</v>
          </cell>
          <cell r="M285">
            <v>170</v>
          </cell>
          <cell r="N285">
            <v>85</v>
          </cell>
          <cell r="O285">
            <v>255</v>
          </cell>
          <cell r="P285">
            <v>85</v>
          </cell>
          <cell r="Q285">
            <v>340</v>
          </cell>
          <cell r="R285">
            <v>90</v>
          </cell>
          <cell r="S285">
            <v>90</v>
          </cell>
          <cell r="T285">
            <v>180</v>
          </cell>
          <cell r="U285">
            <v>90</v>
          </cell>
          <cell r="V285">
            <v>270</v>
          </cell>
          <cell r="W285">
            <v>90</v>
          </cell>
          <cell r="X285">
            <v>360</v>
          </cell>
          <cell r="Y285">
            <v>90</v>
          </cell>
          <cell r="Z285">
            <v>90</v>
          </cell>
          <cell r="AA285">
            <v>180</v>
          </cell>
          <cell r="AB285">
            <v>90</v>
          </cell>
          <cell r="AC285">
            <v>270</v>
          </cell>
          <cell r="AD285">
            <v>90</v>
          </cell>
          <cell r="AE285">
            <v>360</v>
          </cell>
          <cell r="AF285">
            <v>90</v>
          </cell>
          <cell r="AG285">
            <v>90</v>
          </cell>
          <cell r="AH285">
            <v>180</v>
          </cell>
          <cell r="AI285">
            <v>90</v>
          </cell>
          <cell r="AJ285">
            <v>270</v>
          </cell>
          <cell r="AK285">
            <v>90</v>
          </cell>
          <cell r="AL285">
            <v>360</v>
          </cell>
          <cell r="AM285">
            <v>90</v>
          </cell>
          <cell r="AO285">
            <v>90</v>
          </cell>
          <cell r="AQ285">
            <v>180</v>
          </cell>
          <cell r="AR285">
            <v>90</v>
          </cell>
          <cell r="AT285">
            <v>270</v>
          </cell>
          <cell r="AU285">
            <v>90</v>
          </cell>
          <cell r="AW285">
            <v>360</v>
          </cell>
          <cell r="BE285">
            <v>360</v>
          </cell>
          <cell r="BF285">
            <v>360</v>
          </cell>
          <cell r="BG285">
            <v>360</v>
          </cell>
          <cell r="BH285">
            <v>360</v>
          </cell>
          <cell r="BI285">
            <v>360</v>
          </cell>
          <cell r="BJ285">
            <v>360</v>
          </cell>
          <cell r="BK285">
            <v>360</v>
          </cell>
          <cell r="BL285">
            <v>360</v>
          </cell>
          <cell r="BM285">
            <v>360</v>
          </cell>
          <cell r="BN285">
            <v>360</v>
          </cell>
          <cell r="BO285">
            <v>360</v>
          </cell>
          <cell r="BW285">
            <v>0</v>
          </cell>
        </row>
        <row r="286">
          <cell r="A286" t="str">
            <v>Magnevist</v>
          </cell>
          <cell r="X286">
            <v>219</v>
          </cell>
          <cell r="Y286">
            <v>51</v>
          </cell>
          <cell r="Z286">
            <v>58</v>
          </cell>
          <cell r="AA286">
            <v>109</v>
          </cell>
          <cell r="AB286">
            <v>55</v>
          </cell>
          <cell r="AC286">
            <v>164</v>
          </cell>
          <cell r="AD286">
            <v>51</v>
          </cell>
          <cell r="AE286">
            <v>215</v>
          </cell>
          <cell r="AF286">
            <v>45</v>
          </cell>
          <cell r="AG286">
            <v>46</v>
          </cell>
          <cell r="AH286">
            <v>91</v>
          </cell>
          <cell r="AI286">
            <v>48</v>
          </cell>
          <cell r="AJ286">
            <v>139</v>
          </cell>
          <cell r="AK286">
            <v>48</v>
          </cell>
          <cell r="AL286">
            <v>187</v>
          </cell>
          <cell r="AM286">
            <v>42</v>
          </cell>
          <cell r="AO286">
            <v>45</v>
          </cell>
          <cell r="AQ286">
            <v>87</v>
          </cell>
          <cell r="AR286">
            <v>39.549999999999997</v>
          </cell>
          <cell r="AT286">
            <v>126.55</v>
          </cell>
          <cell r="AU286">
            <v>34.702500000000001</v>
          </cell>
          <cell r="AW286">
            <v>161.2525</v>
          </cell>
          <cell r="BE286">
            <v>137.06462500000001</v>
          </cell>
          <cell r="BF286">
            <v>130.21139375000001</v>
          </cell>
          <cell r="BG286">
            <v>123.70082406250002</v>
          </cell>
          <cell r="BH286">
            <v>117.51578285937499</v>
          </cell>
          <cell r="BI286">
            <v>111.63999371640624</v>
          </cell>
          <cell r="BJ286">
            <v>0</v>
          </cell>
          <cell r="BK286">
            <v>0</v>
          </cell>
          <cell r="BL286">
            <v>0</v>
          </cell>
          <cell r="BM286">
            <v>0</v>
          </cell>
          <cell r="BN286">
            <v>0</v>
          </cell>
          <cell r="BO286">
            <v>0</v>
          </cell>
        </row>
        <row r="287">
          <cell r="AE287">
            <v>-1.8264840182648401E-2</v>
          </cell>
          <cell r="AF287">
            <v>-0.11764705882352944</v>
          </cell>
          <cell r="AG287">
            <v>-0.2068965517241379</v>
          </cell>
          <cell r="AH287">
            <v>-0.16513761467889909</v>
          </cell>
          <cell r="AI287">
            <v>-0.12727272727272732</v>
          </cell>
          <cell r="AJ287">
            <v>-0.15243902439024393</v>
          </cell>
          <cell r="AK287">
            <v>-5.8823529411764719E-2</v>
          </cell>
          <cell r="AL287">
            <v>-0.13023255813953494</v>
          </cell>
          <cell r="AM287">
            <v>-6.6666666666666652E-2</v>
          </cell>
          <cell r="AO287">
            <v>-2.1739130434782594E-2</v>
          </cell>
          <cell r="AQ287">
            <v>-4.3956043956043911E-2</v>
          </cell>
          <cell r="AR287">
            <v>-0.17604166666666676</v>
          </cell>
          <cell r="AT287">
            <v>-8.9568345323741028E-2</v>
          </cell>
          <cell r="AU287">
            <v>-0.27703125000000001</v>
          </cell>
          <cell r="AW287">
            <v>-0.13768716577540108</v>
          </cell>
          <cell r="BE287">
            <v>-0.15</v>
          </cell>
          <cell r="BF287">
            <v>-0.05</v>
          </cell>
          <cell r="BG287">
            <v>-4.9999999999999933E-2</v>
          </cell>
          <cell r="BH287">
            <v>-5.0000000000000155E-2</v>
          </cell>
          <cell r="BI287">
            <v>-0.05</v>
          </cell>
          <cell r="BJ287">
            <v>-1</v>
          </cell>
          <cell r="BK287" t="e">
            <v>#DIV/0!</v>
          </cell>
          <cell r="BL287" t="e">
            <v>#DIV/0!</v>
          </cell>
          <cell r="BM287" t="e">
            <v>#DIV/0!</v>
          </cell>
          <cell r="BN287" t="e">
            <v>#DIV/0!</v>
          </cell>
          <cell r="BO287" t="e">
            <v>#DIV/0!</v>
          </cell>
        </row>
        <row r="288">
          <cell r="A288" t="str">
            <v>Other diagnostic imaging</v>
          </cell>
          <cell r="X288">
            <v>219</v>
          </cell>
          <cell r="Y288">
            <v>52</v>
          </cell>
          <cell r="Z288">
            <v>48</v>
          </cell>
          <cell r="AA288">
            <v>100</v>
          </cell>
          <cell r="AB288">
            <v>47</v>
          </cell>
          <cell r="AC288">
            <v>147</v>
          </cell>
          <cell r="AD288">
            <v>50</v>
          </cell>
          <cell r="AE288">
            <v>197</v>
          </cell>
          <cell r="AF288">
            <v>48</v>
          </cell>
          <cell r="AG288">
            <v>40</v>
          </cell>
          <cell r="AH288">
            <v>88</v>
          </cell>
          <cell r="AI288">
            <v>42</v>
          </cell>
          <cell r="AJ288">
            <v>130</v>
          </cell>
          <cell r="AK288">
            <v>40</v>
          </cell>
          <cell r="AL288">
            <v>170</v>
          </cell>
          <cell r="AM288">
            <v>0</v>
          </cell>
          <cell r="AO288">
            <v>46</v>
          </cell>
          <cell r="AQ288">
            <v>46</v>
          </cell>
          <cell r="AR288">
            <v>40.74</v>
          </cell>
          <cell r="AT288">
            <v>86.740000000000009</v>
          </cell>
          <cell r="AU288">
            <v>47.045000000000002</v>
          </cell>
          <cell r="AW288">
            <v>133.78500000000003</v>
          </cell>
          <cell r="BE288">
            <v>131.10930000000002</v>
          </cell>
          <cell r="BF288">
            <v>128.48711400000002</v>
          </cell>
          <cell r="BG288">
            <v>125.91737172000002</v>
          </cell>
          <cell r="BH288">
            <v>123.39902428560002</v>
          </cell>
          <cell r="BI288">
            <v>120.93104379988802</v>
          </cell>
          <cell r="BJ288">
            <v>0</v>
          </cell>
          <cell r="BK288">
            <v>0</v>
          </cell>
          <cell r="BL288">
            <v>0</v>
          </cell>
          <cell r="BM288">
            <v>0</v>
          </cell>
          <cell r="BN288">
            <v>0</v>
          </cell>
          <cell r="BO288">
            <v>0</v>
          </cell>
        </row>
        <row r="289">
          <cell r="AE289">
            <v>-0.1004566210045662</v>
          </cell>
          <cell r="AF289">
            <v>-7.6923076923076872E-2</v>
          </cell>
          <cell r="AG289">
            <v>-0.16666666666666663</v>
          </cell>
          <cell r="AH289">
            <v>-0.12</v>
          </cell>
          <cell r="AI289">
            <v>-0.1063829787234043</v>
          </cell>
          <cell r="AJ289">
            <v>-0.11564625850340138</v>
          </cell>
          <cell r="AK289">
            <v>-0.19999999999999996</v>
          </cell>
          <cell r="AL289">
            <v>-0.13705583756345174</v>
          </cell>
          <cell r="AM289">
            <v>-1</v>
          </cell>
          <cell r="AO289">
            <v>0.14999999999999991</v>
          </cell>
          <cell r="AQ289">
            <v>-0.47727272727272729</v>
          </cell>
          <cell r="AR289">
            <v>-2.9999999999999916E-2</v>
          </cell>
          <cell r="AT289">
            <v>-0.33276923076923071</v>
          </cell>
          <cell r="AU289">
            <v>0.17612500000000009</v>
          </cell>
          <cell r="AW289">
            <v>-0.21302941176470569</v>
          </cell>
          <cell r="BE289">
            <v>-0.02</v>
          </cell>
          <cell r="BF289">
            <v>-0.02</v>
          </cell>
          <cell r="BG289">
            <v>-0.02</v>
          </cell>
          <cell r="BH289">
            <v>-0.02</v>
          </cell>
          <cell r="BI289">
            <v>-0.02</v>
          </cell>
          <cell r="BJ289">
            <v>-1</v>
          </cell>
          <cell r="BK289" t="e">
            <v>#DIV/0!</v>
          </cell>
          <cell r="BL289" t="e">
            <v>#DIV/0!</v>
          </cell>
          <cell r="BM289" t="e">
            <v>#DIV/0!</v>
          </cell>
          <cell r="BN289" t="e">
            <v>#DIV/0!</v>
          </cell>
          <cell r="BO289" t="e">
            <v>#DIV/0!</v>
          </cell>
        </row>
        <row r="290">
          <cell r="A290" t="str">
            <v>Medical Care</v>
          </cell>
          <cell r="B290">
            <v>718</v>
          </cell>
          <cell r="C290">
            <v>810</v>
          </cell>
          <cell r="D290">
            <v>226</v>
          </cell>
          <cell r="E290">
            <v>244</v>
          </cell>
          <cell r="F290">
            <v>470</v>
          </cell>
          <cell r="G290">
            <v>220</v>
          </cell>
          <cell r="H290">
            <v>690</v>
          </cell>
          <cell r="I290">
            <v>260</v>
          </cell>
          <cell r="J290">
            <v>950</v>
          </cell>
          <cell r="K290">
            <v>312</v>
          </cell>
          <cell r="L290">
            <v>334</v>
          </cell>
          <cell r="M290">
            <v>646</v>
          </cell>
          <cell r="N290">
            <v>318</v>
          </cell>
          <cell r="O290">
            <v>964</v>
          </cell>
          <cell r="P290">
            <v>346</v>
          </cell>
          <cell r="Q290">
            <v>1310</v>
          </cell>
          <cell r="R290">
            <v>324</v>
          </cell>
          <cell r="S290">
            <v>391</v>
          </cell>
          <cell r="T290">
            <v>715</v>
          </cell>
          <cell r="U290">
            <v>360</v>
          </cell>
          <cell r="V290">
            <v>1075</v>
          </cell>
          <cell r="W290">
            <v>389</v>
          </cell>
          <cell r="X290">
            <v>1464</v>
          </cell>
          <cell r="Y290">
            <v>335</v>
          </cell>
          <cell r="Z290">
            <v>399</v>
          </cell>
          <cell r="AA290">
            <v>734</v>
          </cell>
          <cell r="AB290">
            <v>375</v>
          </cell>
          <cell r="AC290">
            <v>1109</v>
          </cell>
          <cell r="AD290">
            <v>405</v>
          </cell>
          <cell r="AE290">
            <v>1514</v>
          </cell>
          <cell r="AF290">
            <v>357</v>
          </cell>
          <cell r="AG290">
            <v>377</v>
          </cell>
          <cell r="AH290">
            <v>734</v>
          </cell>
          <cell r="AI290">
            <v>370</v>
          </cell>
          <cell r="AJ290">
            <v>1104</v>
          </cell>
          <cell r="AK290">
            <v>417.15000000000003</v>
          </cell>
          <cell r="AL290">
            <v>1521.15</v>
          </cell>
          <cell r="AM290">
            <v>369.49499999999995</v>
          </cell>
          <cell r="AO290">
            <v>388.31</v>
          </cell>
          <cell r="AQ290">
            <v>757.80499999999995</v>
          </cell>
          <cell r="AR290">
            <v>381.1</v>
          </cell>
          <cell r="AT290">
            <v>1138.905</v>
          </cell>
          <cell r="AU290">
            <v>429.66450000000003</v>
          </cell>
          <cell r="AW290">
            <v>1568.5695000000001</v>
          </cell>
          <cell r="BE290">
            <v>1615.6265850000002</v>
          </cell>
          <cell r="BF290">
            <v>1664.0953825500003</v>
          </cell>
          <cell r="BG290">
            <v>1714.0182440265003</v>
          </cell>
          <cell r="BH290">
            <v>1765.4387913472954</v>
          </cell>
          <cell r="BI290">
            <v>1818.4019550877142</v>
          </cell>
          <cell r="BJ290">
            <v>1872.9540137403458</v>
          </cell>
          <cell r="BK290">
            <v>1929.1426341525562</v>
          </cell>
          <cell r="BL290">
            <v>1987.0169131771329</v>
          </cell>
          <cell r="BM290">
            <v>2046.6274205724469</v>
          </cell>
          <cell r="BN290">
            <v>2108.0262431896203</v>
          </cell>
          <cell r="BO290">
            <v>2171.2670304853091</v>
          </cell>
          <cell r="BR290">
            <v>1.4073659464259938E-2</v>
          </cell>
          <cell r="BS290">
            <v>3.6665614136032858E-2</v>
          </cell>
          <cell r="BW290">
            <v>251.43879134729536</v>
          </cell>
        </row>
        <row r="291">
          <cell r="A291" t="str">
            <v>Growth %</v>
          </cell>
          <cell r="C291">
            <v>0.12813370473537611</v>
          </cell>
          <cell r="J291">
            <v>0.17283950617283961</v>
          </cell>
          <cell r="K291">
            <v>6.6000000000000003E-2</v>
          </cell>
          <cell r="L291">
            <v>0.05</v>
          </cell>
          <cell r="M291">
            <v>0.37446808510638308</v>
          </cell>
          <cell r="N291">
            <v>0.05</v>
          </cell>
          <cell r="O291">
            <v>0.39710144927536239</v>
          </cell>
          <cell r="P291">
            <v>0.3307692307692307</v>
          </cell>
          <cell r="Q291">
            <v>0.3789473684210527</v>
          </cell>
          <cell r="R291">
            <v>3.8461538461538547E-2</v>
          </cell>
          <cell r="S291">
            <v>0.1706586826347305</v>
          </cell>
          <cell r="T291">
            <v>0.10681114551083581</v>
          </cell>
          <cell r="U291">
            <v>0.13207547169811318</v>
          </cell>
          <cell r="V291">
            <v>0.11514522821576767</v>
          </cell>
          <cell r="W291">
            <v>0.12427745664739875</v>
          </cell>
          <cell r="X291">
            <v>0.11755725190839694</v>
          </cell>
          <cell r="Y291">
            <v>3.3950617283950546E-2</v>
          </cell>
          <cell r="Z291">
            <v>2.0460358056265893E-2</v>
          </cell>
          <cell r="AA291">
            <v>2.657342657342654E-2</v>
          </cell>
          <cell r="AB291">
            <v>4.1666666666666741E-2</v>
          </cell>
          <cell r="AC291">
            <v>3.1627906976744224E-2</v>
          </cell>
          <cell r="AD291">
            <v>4.1131105398457546E-2</v>
          </cell>
          <cell r="AE291">
            <v>3.4153005464480968E-2</v>
          </cell>
          <cell r="AF291">
            <v>6.5671641791044788E-2</v>
          </cell>
          <cell r="AG291">
            <v>-5.5137844611528819E-2</v>
          </cell>
          <cell r="AH291">
            <v>0</v>
          </cell>
          <cell r="AI291">
            <v>-1.3333333333333308E-2</v>
          </cell>
          <cell r="AJ291">
            <v>-4.5085662759242195E-3</v>
          </cell>
          <cell r="AK291">
            <v>0.03</v>
          </cell>
          <cell r="AL291">
            <v>4.7225891677675769E-3</v>
          </cell>
          <cell r="AM291">
            <v>3.5000000000000003E-2</v>
          </cell>
          <cell r="AO291">
            <v>0.03</v>
          </cell>
          <cell r="AQ291">
            <v>3.2431880108991784E-2</v>
          </cell>
          <cell r="AR291">
            <v>0.03</v>
          </cell>
          <cell r="AT291">
            <v>3.161684782608698E-2</v>
          </cell>
          <cell r="AU291">
            <v>0.03</v>
          </cell>
          <cell r="AW291">
            <v>3.1173454294448177E-2</v>
          </cell>
          <cell r="BE291">
            <v>0.03</v>
          </cell>
          <cell r="BF291">
            <v>0.03</v>
          </cell>
          <cell r="BG291">
            <v>0.03</v>
          </cell>
          <cell r="BH291">
            <v>0.03</v>
          </cell>
          <cell r="BI291">
            <v>0.03</v>
          </cell>
          <cell r="BJ291">
            <v>0.03</v>
          </cell>
          <cell r="BK291">
            <v>0.03</v>
          </cell>
          <cell r="BL291">
            <v>0.03</v>
          </cell>
          <cell r="BM291">
            <v>0.03</v>
          </cell>
          <cell r="BN291">
            <v>0.03</v>
          </cell>
          <cell r="BO291">
            <v>0.03</v>
          </cell>
          <cell r="BW291">
            <v>-4.1530054644809689E-3</v>
          </cell>
        </row>
        <row r="292">
          <cell r="BW292">
            <v>0</v>
          </cell>
        </row>
        <row r="293">
          <cell r="A293" t="str">
            <v>Advantage</v>
          </cell>
          <cell r="B293">
            <v>249</v>
          </cell>
          <cell r="C293">
            <v>275</v>
          </cell>
          <cell r="D293">
            <v>75</v>
          </cell>
          <cell r="E293">
            <v>105</v>
          </cell>
          <cell r="F293">
            <v>180</v>
          </cell>
          <cell r="G293">
            <v>76</v>
          </cell>
          <cell r="H293">
            <v>256</v>
          </cell>
          <cell r="I293">
            <v>58</v>
          </cell>
          <cell r="J293">
            <v>314</v>
          </cell>
          <cell r="K293">
            <v>77</v>
          </cell>
          <cell r="L293">
            <v>100</v>
          </cell>
          <cell r="M293">
            <v>177</v>
          </cell>
          <cell r="N293">
            <v>85</v>
          </cell>
          <cell r="O293">
            <v>262</v>
          </cell>
          <cell r="P293">
            <v>67</v>
          </cell>
          <cell r="Q293">
            <v>329</v>
          </cell>
          <cell r="R293">
            <v>78</v>
          </cell>
          <cell r="S293">
            <v>109</v>
          </cell>
          <cell r="T293">
            <v>187</v>
          </cell>
          <cell r="U293">
            <v>88</v>
          </cell>
          <cell r="V293">
            <v>275</v>
          </cell>
          <cell r="W293">
            <v>61</v>
          </cell>
          <cell r="X293">
            <v>336</v>
          </cell>
          <cell r="Y293">
            <v>89</v>
          </cell>
          <cell r="Z293">
            <v>141</v>
          </cell>
          <cell r="AA293">
            <v>230</v>
          </cell>
          <cell r="AB293">
            <v>103</v>
          </cell>
          <cell r="AC293">
            <v>333</v>
          </cell>
          <cell r="AD293">
            <v>63</v>
          </cell>
          <cell r="AE293">
            <v>396</v>
          </cell>
          <cell r="AF293">
            <v>102</v>
          </cell>
          <cell r="AG293">
            <v>143</v>
          </cell>
          <cell r="AH293">
            <v>245</v>
          </cell>
          <cell r="AI293">
            <v>91</v>
          </cell>
          <cell r="AJ293">
            <v>336</v>
          </cell>
          <cell r="AK293">
            <v>84</v>
          </cell>
          <cell r="AL293">
            <v>420</v>
          </cell>
          <cell r="AM293">
            <v>122</v>
          </cell>
          <cell r="AN293">
            <v>122</v>
          </cell>
          <cell r="AO293">
            <v>156</v>
          </cell>
          <cell r="AQ293">
            <v>278</v>
          </cell>
          <cell r="AR293">
            <v>125</v>
          </cell>
          <cell r="AT293">
            <v>403</v>
          </cell>
          <cell r="AU293">
            <v>92</v>
          </cell>
          <cell r="AW293">
            <v>495</v>
          </cell>
          <cell r="AY293">
            <v>123</v>
          </cell>
          <cell r="AZ293">
            <v>155.87309721639272</v>
          </cell>
          <cell r="BA293">
            <v>278.87309721639269</v>
          </cell>
          <cell r="BB293">
            <v>125.23727576564295</v>
          </cell>
          <cell r="BC293">
            <v>404.11037298203564</v>
          </cell>
          <cell r="BD293">
            <v>102.4315783946127</v>
          </cell>
          <cell r="BE293">
            <v>506.54195137664834</v>
          </cell>
          <cell r="BF293">
            <v>565.30453030835258</v>
          </cell>
          <cell r="BG293">
            <v>593.56975682377026</v>
          </cell>
          <cell r="BH293">
            <v>623.24824466495875</v>
          </cell>
          <cell r="BI293">
            <v>654.41065689820675</v>
          </cell>
          <cell r="BJ293">
            <v>674.04297660515294</v>
          </cell>
          <cell r="BK293">
            <v>694.26426590330755</v>
          </cell>
          <cell r="BL293">
            <v>715.09219388040674</v>
          </cell>
          <cell r="BM293">
            <v>736.54495969681898</v>
          </cell>
          <cell r="BN293">
            <v>758.64130848772356</v>
          </cell>
          <cell r="BO293">
            <v>781.40054774235534</v>
          </cell>
          <cell r="BW293">
            <v>227.24824466495875</v>
          </cell>
        </row>
        <row r="294">
          <cell r="A294" t="str">
            <v>Growth %</v>
          </cell>
          <cell r="J294">
            <v>0.20799999999999999</v>
          </cell>
          <cell r="K294">
            <v>2.6666666666666616E-2</v>
          </cell>
          <cell r="L294">
            <v>6.2E-2</v>
          </cell>
          <cell r="M294">
            <v>-1.6666666666666718E-2</v>
          </cell>
          <cell r="N294">
            <v>0.19</v>
          </cell>
          <cell r="O294">
            <v>2.34375E-2</v>
          </cell>
          <cell r="P294">
            <v>0.15517241379310343</v>
          </cell>
          <cell r="Q294">
            <v>4.7770700636942776E-2</v>
          </cell>
          <cell r="R294">
            <v>-3.1E-2</v>
          </cell>
          <cell r="S294">
            <v>2.9000000000000001E-2</v>
          </cell>
          <cell r="T294">
            <v>5.6497175141242861E-2</v>
          </cell>
          <cell r="U294">
            <v>3.529411764705892E-2</v>
          </cell>
          <cell r="V294">
            <v>4.961832061068705E-2</v>
          </cell>
          <cell r="W294">
            <v>-8.9552238805970186E-2</v>
          </cell>
          <cell r="X294">
            <v>2.1276595744680771E-2</v>
          </cell>
          <cell r="Y294">
            <v>0.14102564102564097</v>
          </cell>
          <cell r="Z294">
            <v>0.29357798165137616</v>
          </cell>
          <cell r="AA294">
            <v>0.22994652406417115</v>
          </cell>
          <cell r="AB294">
            <v>0.17045454545454541</v>
          </cell>
          <cell r="AC294">
            <v>0.21090909090909093</v>
          </cell>
          <cell r="AD294">
            <v>3.2786885245901676E-2</v>
          </cell>
          <cell r="AE294">
            <v>0.1785714285714286</v>
          </cell>
          <cell r="AF294">
            <v>0.14606741573033699</v>
          </cell>
          <cell r="AG294">
            <v>1.4184397163120588E-2</v>
          </cell>
          <cell r="AH294">
            <v>6.5217391304347894E-2</v>
          </cell>
          <cell r="AI294">
            <v>-0.11650485436893199</v>
          </cell>
          <cell r="AJ294">
            <v>9.009009009008917E-3</v>
          </cell>
          <cell r="AK294">
            <v>0.33333333333333326</v>
          </cell>
          <cell r="AL294">
            <v>6.0606060606060552E-2</v>
          </cell>
          <cell r="AM294">
            <v>0.19607843137254899</v>
          </cell>
          <cell r="AN294">
            <v>0.19607843137254899</v>
          </cell>
          <cell r="AO294">
            <v>9.0909090909090828E-2</v>
          </cell>
          <cell r="AQ294">
            <v>0.13469387755102047</v>
          </cell>
          <cell r="AR294">
            <v>0.37362637362637363</v>
          </cell>
          <cell r="AT294">
            <v>0.19940476190476186</v>
          </cell>
          <cell r="AU294">
            <v>9.5238095238095344E-2</v>
          </cell>
          <cell r="AW294">
            <v>0.1785714285714286</v>
          </cell>
          <cell r="AY294">
            <v>8.1967213114753079E-3</v>
          </cell>
          <cell r="AZ294">
            <v>-8.1347938209785919E-4</v>
          </cell>
          <cell r="BA294">
            <v>3.1406374690383654E-3</v>
          </cell>
          <cell r="BB294">
            <v>1.8982061251435756E-3</v>
          </cell>
          <cell r="BC294">
            <v>2.7552679454978524E-3</v>
          </cell>
          <cell r="BD294">
            <v>0.11338672168057284</v>
          </cell>
          <cell r="BE294">
            <v>2.3317073488178464E-2</v>
          </cell>
          <cell r="BF294">
            <v>0.11600732924884682</v>
          </cell>
          <cell r="BG294">
            <v>5.0000000000000044E-2</v>
          </cell>
          <cell r="BH294">
            <v>5.0000000000000044E-2</v>
          </cell>
          <cell r="BI294">
            <v>5.0000000000000044E-2</v>
          </cell>
          <cell r="BJ294">
            <v>3.0000000000000027E-2</v>
          </cell>
          <cell r="BK294">
            <v>3.0000000000000027E-2</v>
          </cell>
          <cell r="BL294">
            <v>3.0000000000000027E-2</v>
          </cell>
          <cell r="BM294">
            <v>3.0000000000000027E-2</v>
          </cell>
          <cell r="BN294">
            <v>3.0000000000000027E-2</v>
          </cell>
          <cell r="BO294">
            <v>3.0000000000000027E-2</v>
          </cell>
          <cell r="BW294">
            <v>-0.12857142857142856</v>
          </cell>
        </row>
        <row r="295">
          <cell r="A295" t="str">
            <v>CER growth %</v>
          </cell>
          <cell r="AL295">
            <v>6.2E-2</v>
          </cell>
          <cell r="AM295">
            <v>0.16200000000000001</v>
          </cell>
          <cell r="AO295">
            <v>4.0000000000000001E-3</v>
          </cell>
          <cell r="AQ295">
            <v>6.9000000000000006E-2</v>
          </cell>
          <cell r="AR295">
            <v>0.251</v>
          </cell>
          <cell r="AT295">
            <v>0.11899999999999999</v>
          </cell>
          <cell r="AU295">
            <v>5.8000000000000003E-2</v>
          </cell>
          <cell r="AW295">
            <v>0.106</v>
          </cell>
          <cell r="AY295">
            <v>1.7000000000000001E-2</v>
          </cell>
          <cell r="AZ295">
            <v>0.05</v>
          </cell>
          <cell r="BB295">
            <v>0.05</v>
          </cell>
          <cell r="BE295">
            <v>0.05</v>
          </cell>
          <cell r="BF295">
            <v>0.05</v>
          </cell>
          <cell r="BG295">
            <v>0.05</v>
          </cell>
          <cell r="BH295">
            <v>0.05</v>
          </cell>
          <cell r="BI295">
            <v>0.05</v>
          </cell>
          <cell r="BJ295">
            <v>0.03</v>
          </cell>
          <cell r="BK295">
            <v>0.03</v>
          </cell>
          <cell r="BL295">
            <v>0.03</v>
          </cell>
          <cell r="BM295">
            <v>0.03</v>
          </cell>
          <cell r="BN295">
            <v>0.03</v>
          </cell>
          <cell r="BO295">
            <v>0.03</v>
          </cell>
        </row>
        <row r="296">
          <cell r="A296" t="str">
            <v>Baytril</v>
          </cell>
          <cell r="B296">
            <v>163</v>
          </cell>
          <cell r="C296">
            <v>162</v>
          </cell>
          <cell r="D296">
            <v>40</v>
          </cell>
          <cell r="E296">
            <v>33</v>
          </cell>
          <cell r="F296">
            <v>73</v>
          </cell>
          <cell r="G296">
            <v>38</v>
          </cell>
          <cell r="H296">
            <v>111</v>
          </cell>
          <cell r="I296">
            <v>45</v>
          </cell>
          <cell r="J296">
            <v>156</v>
          </cell>
          <cell r="K296">
            <v>38</v>
          </cell>
          <cell r="L296">
            <v>31</v>
          </cell>
          <cell r="M296">
            <v>69</v>
          </cell>
          <cell r="N296">
            <v>38</v>
          </cell>
          <cell r="O296">
            <v>107</v>
          </cell>
          <cell r="P296">
            <v>45</v>
          </cell>
          <cell r="Q296">
            <v>152</v>
          </cell>
          <cell r="R296">
            <v>35</v>
          </cell>
          <cell r="S296">
            <v>33</v>
          </cell>
          <cell r="T296">
            <v>68</v>
          </cell>
          <cell r="U296">
            <v>37</v>
          </cell>
          <cell r="V296">
            <v>105</v>
          </cell>
          <cell r="W296">
            <v>44</v>
          </cell>
          <cell r="X296">
            <v>149</v>
          </cell>
          <cell r="Y296">
            <v>38</v>
          </cell>
          <cell r="Z296">
            <v>35</v>
          </cell>
          <cell r="AA296">
            <v>73</v>
          </cell>
          <cell r="AB296">
            <v>44</v>
          </cell>
          <cell r="AC296">
            <v>117</v>
          </cell>
          <cell r="AD296">
            <v>49</v>
          </cell>
          <cell r="AE296">
            <v>166</v>
          </cell>
          <cell r="AF296">
            <v>43</v>
          </cell>
          <cell r="AG296">
            <v>31</v>
          </cell>
          <cell r="AH296">
            <v>74</v>
          </cell>
          <cell r="AI296">
            <v>40</v>
          </cell>
          <cell r="AJ296">
            <v>114</v>
          </cell>
          <cell r="AK296">
            <v>41</v>
          </cell>
          <cell r="AL296">
            <v>155</v>
          </cell>
          <cell r="BE296">
            <v>0</v>
          </cell>
          <cell r="BF296">
            <v>0</v>
          </cell>
          <cell r="BG296">
            <v>0</v>
          </cell>
          <cell r="BH296">
            <v>0</v>
          </cell>
          <cell r="BI296">
            <v>0</v>
          </cell>
          <cell r="BJ296">
            <v>0</v>
          </cell>
          <cell r="BK296">
            <v>0</v>
          </cell>
          <cell r="BL296">
            <v>0</v>
          </cell>
          <cell r="BM296">
            <v>0</v>
          </cell>
          <cell r="BW296">
            <v>-166</v>
          </cell>
        </row>
        <row r="297">
          <cell r="A297" t="str">
            <v>Currency adjusted growth %</v>
          </cell>
          <cell r="J297">
            <v>1.2E-2</v>
          </cell>
          <cell r="K297">
            <v>0.02</v>
          </cell>
          <cell r="L297">
            <v>-1.4E-2</v>
          </cell>
          <cell r="M297">
            <v>-5.4794520547945202E-2</v>
          </cell>
          <cell r="N297">
            <v>5.6000000000000001E-2</v>
          </cell>
          <cell r="O297">
            <v>-3.6036036036036001E-2</v>
          </cell>
          <cell r="P297">
            <v>0</v>
          </cell>
          <cell r="Q297">
            <v>-2.5641025641025661E-2</v>
          </cell>
          <cell r="R297">
            <v>-0.11700000000000001</v>
          </cell>
          <cell r="S297">
            <v>1.9E-2</v>
          </cell>
          <cell r="T297">
            <v>-1.4492753623188359E-2</v>
          </cell>
          <cell r="U297">
            <v>-2.6315789473684181E-2</v>
          </cell>
          <cell r="V297">
            <v>-1.8691588785046731E-2</v>
          </cell>
          <cell r="W297">
            <v>-2.2222222222222254E-2</v>
          </cell>
          <cell r="X297">
            <v>-1.9736842105263164E-2</v>
          </cell>
          <cell r="Y297">
            <v>8.5714285714285632E-2</v>
          </cell>
          <cell r="Z297">
            <v>6.0606060606060552E-2</v>
          </cell>
          <cell r="AA297">
            <v>7.3529411764705843E-2</v>
          </cell>
          <cell r="AB297">
            <v>0.18918918918918926</v>
          </cell>
          <cell r="AC297">
            <v>0.11428571428571432</v>
          </cell>
          <cell r="AD297">
            <v>0.11363636363636354</v>
          </cell>
          <cell r="AE297">
            <v>0.11409395973154357</v>
          </cell>
          <cell r="AF297">
            <v>0.13157894736842102</v>
          </cell>
          <cell r="AG297">
            <v>-0.11428571428571432</v>
          </cell>
          <cell r="AH297">
            <v>1.3698630136986356E-2</v>
          </cell>
          <cell r="AI297">
            <v>-9.0909090909090939E-2</v>
          </cell>
          <cell r="AJ297">
            <v>-2.5641025641025661E-2</v>
          </cell>
          <cell r="AK297">
            <v>-0.16326530612244894</v>
          </cell>
          <cell r="AL297">
            <v>-6.6265060240963902E-2</v>
          </cell>
          <cell r="BE297">
            <v>0.02</v>
          </cell>
          <cell r="BF297">
            <v>0.02</v>
          </cell>
          <cell r="BG297">
            <v>0.02</v>
          </cell>
          <cell r="BH297">
            <v>0.02</v>
          </cell>
          <cell r="BI297">
            <v>0.02</v>
          </cell>
          <cell r="BJ297">
            <v>0</v>
          </cell>
          <cell r="BK297">
            <v>0</v>
          </cell>
          <cell r="BL297">
            <v>0</v>
          </cell>
          <cell r="BM297">
            <v>0</v>
          </cell>
          <cell r="BW297">
            <v>-9.4093959731543567E-2</v>
          </cell>
        </row>
        <row r="298">
          <cell r="A298" t="str">
            <v>Other animal health</v>
          </cell>
          <cell r="B298">
            <v>444</v>
          </cell>
          <cell r="C298">
            <v>468</v>
          </cell>
          <cell r="D298">
            <v>115</v>
          </cell>
          <cell r="E298">
            <v>128</v>
          </cell>
          <cell r="F298">
            <v>243</v>
          </cell>
          <cell r="G298">
            <v>122</v>
          </cell>
          <cell r="H298">
            <v>365</v>
          </cell>
          <cell r="I298">
            <v>121</v>
          </cell>
          <cell r="J298">
            <v>486</v>
          </cell>
          <cell r="K298">
            <v>120</v>
          </cell>
          <cell r="L298">
            <v>129</v>
          </cell>
          <cell r="M298">
            <v>249</v>
          </cell>
          <cell r="N298">
            <v>115</v>
          </cell>
          <cell r="O298">
            <v>364</v>
          </cell>
          <cell r="P298">
            <v>118</v>
          </cell>
          <cell r="Q298">
            <v>482</v>
          </cell>
          <cell r="R298">
            <v>115</v>
          </cell>
          <cell r="S298">
            <v>129</v>
          </cell>
          <cell r="T298">
            <v>244</v>
          </cell>
          <cell r="U298">
            <v>126</v>
          </cell>
          <cell r="V298">
            <v>370</v>
          </cell>
          <cell r="W298">
            <v>122</v>
          </cell>
          <cell r="X298">
            <v>492</v>
          </cell>
          <cell r="Y298">
            <v>132</v>
          </cell>
          <cell r="Z298">
            <v>146</v>
          </cell>
          <cell r="AA298">
            <v>278</v>
          </cell>
          <cell r="AB298">
            <v>137</v>
          </cell>
          <cell r="AC298">
            <v>415</v>
          </cell>
          <cell r="AD298">
            <v>143</v>
          </cell>
          <cell r="AE298">
            <v>558</v>
          </cell>
          <cell r="AF298">
            <v>151</v>
          </cell>
          <cell r="AG298">
            <v>152</v>
          </cell>
          <cell r="AH298">
            <v>303</v>
          </cell>
          <cell r="AI298">
            <v>151</v>
          </cell>
          <cell r="AJ298">
            <v>454</v>
          </cell>
          <cell r="AK298">
            <v>157</v>
          </cell>
          <cell r="AL298">
            <v>611</v>
          </cell>
          <cell r="AM298">
            <v>197</v>
          </cell>
          <cell r="AN298">
            <v>197</v>
          </cell>
          <cell r="AO298">
            <v>204</v>
          </cell>
          <cell r="AQ298">
            <v>401</v>
          </cell>
          <cell r="AR298">
            <v>215</v>
          </cell>
          <cell r="AT298">
            <v>616</v>
          </cell>
          <cell r="AU298">
            <v>192</v>
          </cell>
          <cell r="AW298">
            <v>808</v>
          </cell>
          <cell r="AY298">
            <v>204</v>
          </cell>
          <cell r="AZ298">
            <v>201.53950545389617</v>
          </cell>
          <cell r="BA298">
            <v>405.53950545389614</v>
          </cell>
          <cell r="BB298">
            <v>212.55456784191733</v>
          </cell>
          <cell r="BC298">
            <v>618.09407329581347</v>
          </cell>
          <cell r="BD298">
            <v>189.93950537395665</v>
          </cell>
          <cell r="BE298">
            <v>808.03357866977012</v>
          </cell>
          <cell r="BF298">
            <v>850.85582913960673</v>
          </cell>
          <cell r="BG298">
            <v>867.87294572239887</v>
          </cell>
          <cell r="BH298">
            <v>885.23040463684686</v>
          </cell>
          <cell r="BI298">
            <v>902.93501272958383</v>
          </cell>
          <cell r="BJ298">
            <v>920.99371298417554</v>
          </cell>
          <cell r="BK298">
            <v>939.41358724385907</v>
          </cell>
          <cell r="BL298">
            <v>958.20185898873626</v>
          </cell>
          <cell r="BM298">
            <v>977.36589616851097</v>
          </cell>
          <cell r="BN298">
            <v>996.91321409188117</v>
          </cell>
          <cell r="BO298">
            <v>1016.8514783737188</v>
          </cell>
          <cell r="BW298">
            <v>327.23040463684686</v>
          </cell>
        </row>
        <row r="299">
          <cell r="A299" t="str">
            <v>Growth %</v>
          </cell>
          <cell r="C299">
            <v>5.4054054054053946E-2</v>
          </cell>
          <cell r="J299">
            <v>3.8461538461538547E-2</v>
          </cell>
          <cell r="K299">
            <v>4.3478260869565188E-2</v>
          </cell>
          <cell r="L299">
            <v>7.8125E-3</v>
          </cell>
          <cell r="M299">
            <v>2.4691358024691468E-2</v>
          </cell>
          <cell r="N299">
            <v>-5.7377049180327822E-2</v>
          </cell>
          <cell r="O299">
            <v>-2.739726027397249E-3</v>
          </cell>
          <cell r="P299">
            <v>-2.4793388429752095E-2</v>
          </cell>
          <cell r="Q299">
            <v>-8.2304526748970819E-3</v>
          </cell>
          <cell r="R299">
            <v>-0.08</v>
          </cell>
          <cell r="S299">
            <v>-0.15</v>
          </cell>
          <cell r="T299">
            <v>-2.008032128514059E-2</v>
          </cell>
          <cell r="U299">
            <v>9.565217391304337E-2</v>
          </cell>
          <cell r="V299">
            <v>1.6483516483516425E-2</v>
          </cell>
          <cell r="W299">
            <v>3.3898305084745672E-2</v>
          </cell>
          <cell r="X299">
            <v>2.0746887966804906E-2</v>
          </cell>
          <cell r="Y299">
            <v>0.14782608695652177</v>
          </cell>
          <cell r="Z299">
            <v>0.13178294573643412</v>
          </cell>
          <cell r="AA299">
            <v>0.13934426229508201</v>
          </cell>
          <cell r="AB299">
            <v>8.7301587301587213E-2</v>
          </cell>
          <cell r="AC299">
            <v>0.12162162162162171</v>
          </cell>
          <cell r="AD299">
            <v>0.17213114754098369</v>
          </cell>
          <cell r="AE299">
            <v>0.13414634146341453</v>
          </cell>
          <cell r="AF299">
            <v>0.14393939393939403</v>
          </cell>
          <cell r="AG299">
            <v>4.1095890410958846E-2</v>
          </cell>
          <cell r="AH299">
            <v>8.9928057553956942E-2</v>
          </cell>
          <cell r="AI299">
            <v>0.10218978102189791</v>
          </cell>
          <cell r="AJ299">
            <v>9.3975903614457845E-2</v>
          </cell>
          <cell r="AK299">
            <v>9.7902097902097918E-2</v>
          </cell>
          <cell r="AL299">
            <v>9.4982078853046659E-2</v>
          </cell>
          <cell r="AZ299">
            <v>-1.2061247775018824E-2</v>
          </cell>
          <cell r="BA299">
            <v>1.1320462478543902E-2</v>
          </cell>
          <cell r="BB299">
            <v>-1.1374103060849627E-2</v>
          </cell>
          <cell r="BC299">
            <v>3.3994696360608589E-3</v>
          </cell>
          <cell r="BD299">
            <v>-1.0731742843975822E-2</v>
          </cell>
          <cell r="BE299">
            <v>4.1557759616450696E-5</v>
          </cell>
          <cell r="BF299">
            <v>5.2995632360146372E-2</v>
          </cell>
          <cell r="BG299">
            <v>2.0000000000000018E-2</v>
          </cell>
          <cell r="BH299">
            <v>2.0000000000000018E-2</v>
          </cell>
          <cell r="BI299">
            <v>2.0000000000000018E-2</v>
          </cell>
          <cell r="BJ299">
            <v>2.0000000000000018E-2</v>
          </cell>
          <cell r="BK299">
            <v>2.0000000000000018E-2</v>
          </cell>
          <cell r="BL299">
            <v>2.0000000000000018E-2</v>
          </cell>
          <cell r="BM299">
            <v>2.0000000000000018E-2</v>
          </cell>
          <cell r="BN299">
            <v>2.0000000000000018E-2</v>
          </cell>
          <cell r="BO299">
            <v>2.0000000000000018E-2</v>
          </cell>
          <cell r="BW299">
            <v>-0.11414634146341451</v>
          </cell>
        </row>
        <row r="300">
          <cell r="A300" t="str">
            <v>CER growth %</v>
          </cell>
          <cell r="AZ300">
            <v>0.02</v>
          </cell>
          <cell r="BB300">
            <v>0.02</v>
          </cell>
          <cell r="BE300">
            <v>0.02</v>
          </cell>
          <cell r="BF300">
            <v>0.02</v>
          </cell>
          <cell r="BG300">
            <v>0.02</v>
          </cell>
          <cell r="BH300">
            <v>0.02</v>
          </cell>
          <cell r="BI300">
            <v>0.02</v>
          </cell>
          <cell r="BJ300">
            <v>0.02</v>
          </cell>
          <cell r="BK300">
            <v>0.02</v>
          </cell>
          <cell r="BL300">
            <v>0.02</v>
          </cell>
          <cell r="BM300">
            <v>0.02</v>
          </cell>
          <cell r="BN300">
            <v>0.02</v>
          </cell>
          <cell r="BO300">
            <v>0.02</v>
          </cell>
        </row>
        <row r="301">
          <cell r="A301" t="str">
            <v>Animal Health</v>
          </cell>
          <cell r="B301">
            <v>856</v>
          </cell>
          <cell r="C301">
            <v>905</v>
          </cell>
          <cell r="D301">
            <v>230</v>
          </cell>
          <cell r="E301">
            <v>266</v>
          </cell>
          <cell r="F301">
            <v>496</v>
          </cell>
          <cell r="G301">
            <v>236</v>
          </cell>
          <cell r="H301">
            <v>732</v>
          </cell>
          <cell r="I301">
            <v>224</v>
          </cell>
          <cell r="J301">
            <v>956</v>
          </cell>
          <cell r="K301">
            <v>235</v>
          </cell>
          <cell r="L301">
            <v>260</v>
          </cell>
          <cell r="M301">
            <v>495</v>
          </cell>
          <cell r="N301">
            <v>238</v>
          </cell>
          <cell r="O301">
            <v>733</v>
          </cell>
          <cell r="P301">
            <v>230</v>
          </cell>
          <cell r="Q301">
            <v>963</v>
          </cell>
          <cell r="R301">
            <v>228</v>
          </cell>
          <cell r="S301">
            <v>271</v>
          </cell>
          <cell r="T301">
            <v>499</v>
          </cell>
          <cell r="U301">
            <v>251</v>
          </cell>
          <cell r="V301">
            <v>750</v>
          </cell>
          <cell r="W301">
            <v>227</v>
          </cell>
          <cell r="X301">
            <v>977</v>
          </cell>
          <cell r="Y301">
            <v>259</v>
          </cell>
          <cell r="Z301">
            <v>322</v>
          </cell>
          <cell r="AA301">
            <v>581</v>
          </cell>
          <cell r="AB301">
            <v>284</v>
          </cell>
          <cell r="AC301">
            <v>865</v>
          </cell>
          <cell r="AD301">
            <v>255</v>
          </cell>
          <cell r="AE301">
            <v>1120</v>
          </cell>
          <cell r="AF301">
            <v>296</v>
          </cell>
          <cell r="AG301">
            <v>326</v>
          </cell>
          <cell r="AH301">
            <v>622</v>
          </cell>
          <cell r="AI301">
            <v>282</v>
          </cell>
          <cell r="AJ301">
            <v>904</v>
          </cell>
          <cell r="AK301">
            <v>282</v>
          </cell>
          <cell r="AL301">
            <v>1186</v>
          </cell>
          <cell r="AM301">
            <v>319</v>
          </cell>
          <cell r="AN301">
            <v>319</v>
          </cell>
          <cell r="AO301">
            <v>360</v>
          </cell>
          <cell r="AQ301">
            <v>679</v>
          </cell>
          <cell r="AR301">
            <v>340</v>
          </cell>
          <cell r="AT301">
            <v>1019</v>
          </cell>
          <cell r="AU301">
            <v>284</v>
          </cell>
          <cell r="AW301">
            <v>1303</v>
          </cell>
          <cell r="AY301">
            <v>327</v>
          </cell>
          <cell r="AZ301">
            <v>357.41260267028889</v>
          </cell>
          <cell r="BA301">
            <v>684.41260267028883</v>
          </cell>
          <cell r="BB301">
            <v>337.79184360756028</v>
          </cell>
          <cell r="BC301">
            <v>1022.2044462778491</v>
          </cell>
          <cell r="BD301">
            <v>292.37108376856935</v>
          </cell>
          <cell r="BE301">
            <v>1314.5755300464184</v>
          </cell>
          <cell r="BF301">
            <v>1416.1603594479593</v>
          </cell>
          <cell r="BG301">
            <v>1461.4427025461691</v>
          </cell>
          <cell r="BH301">
            <v>1508.4786493018055</v>
          </cell>
          <cell r="BI301">
            <v>1557.3456696277906</v>
          </cell>
          <cell r="BJ301">
            <v>1595.0366895893285</v>
          </cell>
          <cell r="BK301">
            <v>1633.6778531471666</v>
          </cell>
          <cell r="BL301">
            <v>1673.2940528691429</v>
          </cell>
          <cell r="BM301">
            <v>1713.9108558653299</v>
          </cell>
          <cell r="BN301">
            <v>1755.5545225796047</v>
          </cell>
          <cell r="BO301">
            <v>1798.2520261160741</v>
          </cell>
          <cell r="BR301">
            <v>3.088823575190771E-2</v>
          </cell>
          <cell r="BS301">
            <v>3.1202772292233269E-2</v>
          </cell>
          <cell r="BW301">
            <v>388.47864930180549</v>
          </cell>
        </row>
        <row r="302">
          <cell r="A302" t="str">
            <v>Growth %</v>
          </cell>
          <cell r="C302">
            <v>5.7242990654205572E-2</v>
          </cell>
          <cell r="J302">
            <v>5.6353591160221095E-2</v>
          </cell>
          <cell r="K302">
            <v>2.1739130434782705E-2</v>
          </cell>
          <cell r="L302">
            <v>-2.2556390977443663E-2</v>
          </cell>
          <cell r="M302">
            <v>-2.0161290322581182E-3</v>
          </cell>
          <cell r="N302">
            <v>8.4745762711864181E-3</v>
          </cell>
          <cell r="O302">
            <v>1.366120218579292E-3</v>
          </cell>
          <cell r="P302">
            <v>2.6785714285714191E-2</v>
          </cell>
          <cell r="Q302">
            <v>7.3221757322174952E-3</v>
          </cell>
          <cell r="R302">
            <v>-2.9787234042553234E-2</v>
          </cell>
          <cell r="S302">
            <v>4.2307692307692379E-2</v>
          </cell>
          <cell r="T302">
            <v>8.0808080808081328E-3</v>
          </cell>
          <cell r="U302">
            <v>5.4621848739495826E-2</v>
          </cell>
          <cell r="V302">
            <v>2.3192360163710735E-2</v>
          </cell>
          <cell r="W302">
            <v>-1.3043478260869601E-2</v>
          </cell>
          <cell r="X302">
            <v>1.4537902388369606E-2</v>
          </cell>
          <cell r="Y302">
            <v>0.13596491228070184</v>
          </cell>
          <cell r="Z302">
            <v>0.18819188191881908</v>
          </cell>
          <cell r="AA302">
            <v>0.1643286573146292</v>
          </cell>
          <cell r="AB302">
            <v>0.13147410358565748</v>
          </cell>
          <cell r="AC302">
            <v>0.15333333333333332</v>
          </cell>
          <cell r="AD302">
            <v>0.12334801762114544</v>
          </cell>
          <cell r="AE302">
            <v>0.14636642784032761</v>
          </cell>
          <cell r="AF302">
            <v>0.14285714285714279</v>
          </cell>
          <cell r="AG302">
            <v>1.2422360248447228E-2</v>
          </cell>
          <cell r="AH302">
            <v>7.0567986230636759E-2</v>
          </cell>
          <cell r="AI302">
            <v>-7.0422535211267512E-3</v>
          </cell>
          <cell r="AJ302">
            <v>4.5086705202312061E-2</v>
          </cell>
          <cell r="AK302">
            <v>0.10588235294117654</v>
          </cell>
          <cell r="AL302">
            <v>5.8928571428571441E-2</v>
          </cell>
          <cell r="AM302">
            <v>7.7702702702702631E-2</v>
          </cell>
          <cell r="AN302">
            <v>7.7702702702702631E-2</v>
          </cell>
          <cell r="AO302">
            <v>0.10429447852760743</v>
          </cell>
          <cell r="AQ302">
            <v>9.1639871382636739E-2</v>
          </cell>
          <cell r="AR302">
            <v>0.20567375886524819</v>
          </cell>
          <cell r="AT302">
            <v>0.12721238938053103</v>
          </cell>
          <cell r="AU302">
            <v>7.0921985815601829E-3</v>
          </cell>
          <cell r="AW302">
            <v>9.865092748735238E-2</v>
          </cell>
          <cell r="AY302">
            <v>2.5078369905956022E-2</v>
          </cell>
          <cell r="AZ302">
            <v>-7.1872148047530393E-3</v>
          </cell>
          <cell r="BA302">
            <v>7.9714325041073675E-3</v>
          </cell>
          <cell r="BB302">
            <v>-6.4945776248227505E-3</v>
          </cell>
          <cell r="BC302">
            <v>3.1446970341992841E-3</v>
          </cell>
          <cell r="BD302">
            <v>2.9475647072427336E-2</v>
          </cell>
          <cell r="BE302">
            <v>8.8837529135981086E-3</v>
          </cell>
          <cell r="BF302">
            <v>7.7275764746628006E-2</v>
          </cell>
          <cell r="BG302">
            <v>3.1975434699966776E-2</v>
          </cell>
          <cell r="BH302">
            <v>3.218459859814482E-2</v>
          </cell>
          <cell r="BI302">
            <v>3.2394903533174313E-2</v>
          </cell>
          <cell r="BJ302">
            <v>2.4202089938418103E-2</v>
          </cell>
          <cell r="BK302">
            <v>2.4225877567610743E-2</v>
          </cell>
          <cell r="BL302">
            <v>2.4249701154764658E-2</v>
          </cell>
          <cell r="BM302">
            <v>2.4273559645145992E-2</v>
          </cell>
          <cell r="BN302">
            <v>2.4297451977599804E-2</v>
          </cell>
          <cell r="BO302">
            <v>2.4321377084734364E-2</v>
          </cell>
          <cell r="BW302">
            <v>-0.11418182924218279</v>
          </cell>
        </row>
        <row r="303">
          <cell r="A303" t="str">
            <v>CER growth %</v>
          </cell>
          <cell r="AL303">
            <v>5.0999999999999997E-2</v>
          </cell>
          <cell r="AM303">
            <v>4.7E-2</v>
          </cell>
          <cell r="AO303">
            <v>3.4000000000000002E-2</v>
          </cell>
          <cell r="AQ303">
            <v>0.04</v>
          </cell>
          <cell r="AR303">
            <v>0.113</v>
          </cell>
          <cell r="AT303">
            <v>6.3E-2</v>
          </cell>
          <cell r="AU303">
            <v>-2.5000000000000001E-2</v>
          </cell>
          <cell r="AW303">
            <v>4.2000000000000003E-2</v>
          </cell>
          <cell r="AY303">
            <v>3.4000000000000002E-2</v>
          </cell>
          <cell r="BW303">
            <v>0</v>
          </cell>
        </row>
        <row r="305">
          <cell r="A305" t="str">
            <v>Total Consumer Health</v>
          </cell>
          <cell r="B305">
            <v>3929</v>
          </cell>
          <cell r="C305">
            <v>4246</v>
          </cell>
          <cell r="D305">
            <v>1115</v>
          </cell>
          <cell r="E305">
            <v>1134</v>
          </cell>
          <cell r="F305">
            <v>2249</v>
          </cell>
          <cell r="G305">
            <v>1110</v>
          </cell>
          <cell r="H305">
            <v>3359</v>
          </cell>
          <cell r="I305">
            <v>1425</v>
          </cell>
          <cell r="J305">
            <v>4784</v>
          </cell>
          <cell r="K305">
            <v>1262</v>
          </cell>
          <cell r="L305">
            <v>1300</v>
          </cell>
          <cell r="M305">
            <v>2562</v>
          </cell>
          <cell r="N305">
            <v>1309</v>
          </cell>
          <cell r="O305">
            <v>3871</v>
          </cell>
          <cell r="P305">
            <v>1422</v>
          </cell>
          <cell r="Q305">
            <v>5293</v>
          </cell>
          <cell r="R305">
            <v>1256</v>
          </cell>
          <cell r="S305">
            <v>1411</v>
          </cell>
          <cell r="T305">
            <v>2667</v>
          </cell>
          <cell r="U305">
            <v>1388</v>
          </cell>
          <cell r="V305">
            <v>4055</v>
          </cell>
          <cell r="W305">
            <v>1466</v>
          </cell>
          <cell r="X305">
            <v>5521</v>
          </cell>
          <cell r="Y305">
            <v>1338</v>
          </cell>
          <cell r="Z305">
            <v>1557</v>
          </cell>
          <cell r="AA305">
            <v>2895</v>
          </cell>
          <cell r="AB305">
            <v>1539</v>
          </cell>
          <cell r="AC305">
            <v>4434</v>
          </cell>
          <cell r="AD305">
            <v>1571</v>
          </cell>
          <cell r="AE305">
            <v>6959</v>
          </cell>
          <cell r="AF305">
            <v>1747</v>
          </cell>
          <cell r="AG305">
            <v>1778</v>
          </cell>
          <cell r="AH305">
            <v>3525</v>
          </cell>
          <cell r="AI305">
            <v>1780</v>
          </cell>
          <cell r="AJ305">
            <v>5305</v>
          </cell>
          <cell r="AK305">
            <v>1915</v>
          </cell>
          <cell r="AL305">
            <v>7220</v>
          </cell>
          <cell r="AM305">
            <v>1825</v>
          </cell>
          <cell r="AN305">
            <v>1824</v>
          </cell>
          <cell r="AO305">
            <v>1943</v>
          </cell>
          <cell r="AP305">
            <v>1942</v>
          </cell>
          <cell r="AQ305">
            <v>3768</v>
          </cell>
          <cell r="AR305">
            <v>1985</v>
          </cell>
          <cell r="AS305">
            <v>1984</v>
          </cell>
          <cell r="AT305">
            <v>5753</v>
          </cell>
          <cell r="AU305">
            <v>2056</v>
          </cell>
          <cell r="AV305">
            <v>2056</v>
          </cell>
          <cell r="AW305">
            <v>7809</v>
          </cell>
          <cell r="AX305">
            <v>7806</v>
          </cell>
          <cell r="AY305">
            <v>1879</v>
          </cell>
          <cell r="AZ305">
            <v>1923.7840644289981</v>
          </cell>
          <cell r="BA305">
            <v>3802.7840644289986</v>
          </cell>
          <cell r="BB305">
            <v>1969.172884956813</v>
          </cell>
          <cell r="BC305">
            <v>5771.9569493858116</v>
          </cell>
          <cell r="BD305">
            <v>2076.7743223222028</v>
          </cell>
          <cell r="BE305">
            <v>7848.7312717080149</v>
          </cell>
          <cell r="BF305">
            <v>8514.9086708202849</v>
          </cell>
          <cell r="BG305">
            <v>8806.3941757930552</v>
          </cell>
          <cell r="BH305">
            <v>9074.0584912292943</v>
          </cell>
          <cell r="BI305">
            <v>9343.1649675007975</v>
          </cell>
          <cell r="BJ305">
            <v>9558.0722607744283</v>
          </cell>
          <cell r="BK305">
            <v>9781.410099381792</v>
          </cell>
          <cell r="BL305">
            <v>10004.431408521854</v>
          </cell>
          <cell r="BM305">
            <v>10204.404331262942</v>
          </cell>
          <cell r="BN305">
            <v>10410.951878857149</v>
          </cell>
          <cell r="BO305">
            <v>10624.200651977924</v>
          </cell>
          <cell r="BR305">
            <v>0.21057582920330978</v>
          </cell>
          <cell r="BS305">
            <v>0.18761205577618165</v>
          </cell>
          <cell r="BW305">
            <v>2115.0584912292943</v>
          </cell>
        </row>
        <row r="306">
          <cell r="A306" t="str">
            <v>Growth %</v>
          </cell>
          <cell r="C306">
            <v>8.0682107406464754E-2</v>
          </cell>
          <cell r="J306">
            <v>0.12670748940178989</v>
          </cell>
          <cell r="K306">
            <v>0.13183856502242142</v>
          </cell>
          <cell r="L306">
            <v>0.1463844797178131</v>
          </cell>
          <cell r="M306">
            <v>0.13917296576256111</v>
          </cell>
          <cell r="N306">
            <v>0.17927927927927922</v>
          </cell>
          <cell r="O306">
            <v>0.15242631735635603</v>
          </cell>
          <cell r="P306">
            <v>-2.1052631578947212E-3</v>
          </cell>
          <cell r="Q306">
            <v>0.10639632107023411</v>
          </cell>
          <cell r="R306">
            <v>-4.7543581616481534E-3</v>
          </cell>
          <cell r="S306">
            <v>8.5384615384615392E-2</v>
          </cell>
          <cell r="T306">
            <v>4.0983606557376984E-2</v>
          </cell>
          <cell r="U306">
            <v>6.0351413292589751E-2</v>
          </cell>
          <cell r="V306">
            <v>4.7532937225523098E-2</v>
          </cell>
          <cell r="W306">
            <v>3.0942334739803012E-2</v>
          </cell>
          <cell r="X306">
            <v>4.3075760438314736E-2</v>
          </cell>
          <cell r="Y306">
            <v>6.5286624203821697E-2</v>
          </cell>
          <cell r="Z306">
            <v>0.1034727143869596</v>
          </cell>
          <cell r="AA306">
            <v>8.5489313835770631E-2</v>
          </cell>
          <cell r="AB306">
            <v>0.10878962536023051</v>
          </cell>
          <cell r="AC306">
            <v>9.3464858199753476E-2</v>
          </cell>
          <cell r="AD306">
            <v>7.1623465211459791E-2</v>
          </cell>
          <cell r="AE306">
            <v>0.26046006158304658</v>
          </cell>
          <cell r="AF306">
            <v>0.3056801195814649</v>
          </cell>
          <cell r="AG306">
            <v>0.14193962748876054</v>
          </cell>
          <cell r="AH306">
            <v>0.21761658031088094</v>
          </cell>
          <cell r="AI306">
            <v>0.15659519168291092</v>
          </cell>
          <cell r="AJ306">
            <v>0.19643662607126755</v>
          </cell>
          <cell r="AK306">
            <v>0.21896880967536592</v>
          </cell>
          <cell r="AL306">
            <v>3.7505388705273646E-2</v>
          </cell>
          <cell r="AM306">
            <v>4.4647967945048661E-2</v>
          </cell>
          <cell r="AN306">
            <v>4.4075558099599288E-2</v>
          </cell>
          <cell r="AO306">
            <v>9.2800899887514054E-2</v>
          </cell>
          <cell r="AP306">
            <v>9.2238470191225996E-2</v>
          </cell>
          <cell r="AQ306">
            <v>6.893617021276599E-2</v>
          </cell>
          <cell r="AR306">
            <v>0.11516853932584259</v>
          </cell>
          <cell r="AS306">
            <v>0.11460674157303363</v>
          </cell>
          <cell r="AT306">
            <v>8.4448633364750281E-2</v>
          </cell>
          <cell r="AU306">
            <v>7.3629242819843288E-2</v>
          </cell>
          <cell r="AV306">
            <v>7.3629242819843288E-2</v>
          </cell>
          <cell r="AW306">
            <v>8.1578947368420973E-2</v>
          </cell>
          <cell r="AX306">
            <v>8.1163434903047005E-2</v>
          </cell>
          <cell r="AY306">
            <v>2.9589041095890334E-2</v>
          </cell>
          <cell r="AZ306">
            <v>-9.8898278800833017E-3</v>
          </cell>
          <cell r="BA306">
            <v>9.2314396042989522E-3</v>
          </cell>
          <cell r="BB306">
            <v>-7.9733577043763493E-3</v>
          </cell>
          <cell r="BC306">
            <v>3.2951415584585586E-3</v>
          </cell>
          <cell r="BD306">
            <v>1.0104242374612271E-2</v>
          </cell>
          <cell r="BE306">
            <v>5.0878821498290261E-3</v>
          </cell>
          <cell r="BF306">
            <v>8.4877080900146451E-2</v>
          </cell>
          <cell r="BG306">
            <v>3.4232370098303155E-2</v>
          </cell>
          <cell r="BH306">
            <v>3.0394314641512654E-2</v>
          </cell>
          <cell r="BI306">
            <v>2.9656683008117302E-2</v>
          </cell>
          <cell r="BJ306">
            <v>2.3001551831864475E-2</v>
          </cell>
          <cell r="BK306">
            <v>2.3366410350748712E-2</v>
          </cell>
          <cell r="BL306">
            <v>2.2800527416201311E-2</v>
          </cell>
          <cell r="BM306">
            <v>1.9988434582174142E-2</v>
          </cell>
          <cell r="BN306">
            <v>2.0241019552842854E-2</v>
          </cell>
          <cell r="BO306">
            <v>2.0483119661118154E-2</v>
          </cell>
          <cell r="BW306">
            <v>-0.23006574694153392</v>
          </cell>
        </row>
        <row r="307">
          <cell r="A307" t="str">
            <v>Total Healthcare</v>
          </cell>
          <cell r="B307">
            <v>7996</v>
          </cell>
          <cell r="C307">
            <v>11724</v>
          </cell>
          <cell r="D307">
            <v>3610</v>
          </cell>
          <cell r="E307">
            <v>3651</v>
          </cell>
          <cell r="F307">
            <v>5794</v>
          </cell>
          <cell r="G307">
            <v>3619</v>
          </cell>
          <cell r="H307">
            <v>8746</v>
          </cell>
          <cell r="I307">
            <v>6061</v>
          </cell>
          <cell r="J307">
            <v>14807</v>
          </cell>
          <cell r="K307">
            <v>3731</v>
          </cell>
          <cell r="L307">
            <v>3734</v>
          </cell>
          <cell r="M307">
            <v>7465</v>
          </cell>
          <cell r="N307">
            <v>3802</v>
          </cell>
          <cell r="O307">
            <v>11267</v>
          </cell>
          <cell r="P307">
            <v>4140</v>
          </cell>
          <cell r="Q307">
            <v>15407</v>
          </cell>
          <cell r="R307">
            <v>3843</v>
          </cell>
          <cell r="S307">
            <v>4045</v>
          </cell>
          <cell r="T307">
            <v>7888</v>
          </cell>
          <cell r="U307">
            <v>3936</v>
          </cell>
          <cell r="V307">
            <v>11824</v>
          </cell>
          <cell r="W307">
            <v>4164</v>
          </cell>
          <cell r="X307">
            <v>15988</v>
          </cell>
          <cell r="Y307">
            <v>3869</v>
          </cell>
          <cell r="Z307">
            <v>4305</v>
          </cell>
          <cell r="AA307">
            <v>8174</v>
          </cell>
          <cell r="AB307">
            <v>4271</v>
          </cell>
          <cell r="AC307">
            <v>12445</v>
          </cell>
          <cell r="AD307">
            <v>4424</v>
          </cell>
          <cell r="AE307">
            <v>16913</v>
          </cell>
          <cell r="AF307">
            <v>4166</v>
          </cell>
          <cell r="AG307">
            <v>4208</v>
          </cell>
          <cell r="AH307">
            <v>8375</v>
          </cell>
          <cell r="AI307">
            <v>4200</v>
          </cell>
          <cell r="AJ307">
            <v>12575</v>
          </cell>
          <cell r="AK307">
            <v>4596</v>
          </cell>
          <cell r="AL307">
            <v>17169</v>
          </cell>
          <cell r="AM307">
            <v>4342</v>
          </cell>
          <cell r="AN307">
            <v>4341</v>
          </cell>
          <cell r="AO307">
            <v>4628</v>
          </cell>
          <cell r="AP307">
            <v>4625</v>
          </cell>
          <cell r="AQ307">
            <v>8970</v>
          </cell>
          <cell r="AR307">
            <v>4719</v>
          </cell>
          <cell r="AS307">
            <v>4716</v>
          </cell>
          <cell r="AT307">
            <v>13689</v>
          </cell>
          <cell r="AU307">
            <v>4923</v>
          </cell>
          <cell r="AV307">
            <v>4922</v>
          </cell>
          <cell r="AW307">
            <v>18612</v>
          </cell>
          <cell r="AX307">
            <v>18604</v>
          </cell>
          <cell r="AY307">
            <v>4443</v>
          </cell>
          <cell r="AZ307">
            <v>4732.0982531739892</v>
          </cell>
          <cell r="BA307">
            <v>9136.6382531739891</v>
          </cell>
          <cell r="BB307">
            <v>4881.8790403399016</v>
          </cell>
          <cell r="BC307">
            <v>14018.517293513891</v>
          </cell>
          <cell r="BD307">
            <v>5310.7349149622914</v>
          </cell>
          <cell r="BE307">
            <v>19329.25220847618</v>
          </cell>
          <cell r="BF307">
            <v>21647.448840141427</v>
          </cell>
          <cell r="BG307">
            <v>22941.532569637689</v>
          </cell>
          <cell r="BH307">
            <v>24324.296692231568</v>
          </cell>
          <cell r="BI307">
            <v>25973.045871189908</v>
          </cell>
          <cell r="BJ307">
            <v>26296.839815103154</v>
          </cell>
          <cell r="BK307">
            <v>27005.208648257369</v>
          </cell>
          <cell r="BL307">
            <v>28006.973769152901</v>
          </cell>
          <cell r="BM307">
            <v>27381.82791572217</v>
          </cell>
          <cell r="BN307">
            <v>27362.707352189042</v>
          </cell>
          <cell r="BO307">
            <v>27628.829155720003</v>
          </cell>
          <cell r="BW307">
            <v>7411.2966922315682</v>
          </cell>
        </row>
        <row r="308">
          <cell r="A308" t="str">
            <v>Growth %</v>
          </cell>
          <cell r="C308">
            <v>0.46623311655827915</v>
          </cell>
          <cell r="J308">
            <v>0.26296485841009898</v>
          </cell>
          <cell r="K308">
            <v>3.3518005540166262E-2</v>
          </cell>
          <cell r="L308">
            <v>2.2733497671870717E-2</v>
          </cell>
          <cell r="M308">
            <v>0.28840179496030371</v>
          </cell>
          <cell r="N308">
            <v>5.056645482177391E-2</v>
          </cell>
          <cell r="O308">
            <v>0.28824605533958381</v>
          </cell>
          <cell r="P308">
            <v>-0.31694439861409007</v>
          </cell>
          <cell r="Q308">
            <v>4.0521375025325934E-2</v>
          </cell>
          <cell r="R308">
            <v>3.0018761726078758E-2</v>
          </cell>
          <cell r="S308">
            <v>8.3288698446706055E-2</v>
          </cell>
          <cell r="T308">
            <v>5.6664434025452071E-2</v>
          </cell>
          <cell r="U308">
            <v>3.5244608100999386E-2</v>
          </cell>
          <cell r="V308">
            <v>4.9436407206887356E-2</v>
          </cell>
          <cell r="W308">
            <v>5.7971014492752548E-3</v>
          </cell>
          <cell r="X308">
            <v>3.7710131758291743E-2</v>
          </cell>
          <cell r="Y308">
            <v>6.7655477491543881E-3</v>
          </cell>
          <cell r="Z308">
            <v>6.4276885043263343E-2</v>
          </cell>
          <cell r="AA308">
            <v>3.6257606490872174E-2</v>
          </cell>
          <cell r="AB308">
            <v>8.5111788617886264E-2</v>
          </cell>
          <cell r="AC308">
            <v>5.2520297699593987E-2</v>
          </cell>
          <cell r="AD308">
            <v>6.243996157540832E-2</v>
          </cell>
          <cell r="AE308">
            <v>5.785589191893914E-2</v>
          </cell>
          <cell r="AF308">
            <v>7.6764021711036357E-2</v>
          </cell>
          <cell r="AG308">
            <v>-2.2531939605110352E-2</v>
          </cell>
          <cell r="AH308">
            <v>2.4590163934426146E-2</v>
          </cell>
          <cell r="AI308">
            <v>-1.6623741512526324E-2</v>
          </cell>
          <cell r="AJ308">
            <v>1.0445962233828876E-2</v>
          </cell>
          <cell r="AK308">
            <v>3.8878842676310921E-2</v>
          </cell>
          <cell r="AL308">
            <v>1.5136285697392449E-2</v>
          </cell>
          <cell r="AM308">
            <v>4.2246759481517016E-2</v>
          </cell>
          <cell r="AN308">
            <v>4.2006721075372067E-2</v>
          </cell>
          <cell r="AO308">
            <v>9.9809885931559039E-2</v>
          </cell>
          <cell r="AP308">
            <v>9.9096958174905048E-2</v>
          </cell>
          <cell r="AQ308">
            <v>7.1044776119403075E-2</v>
          </cell>
          <cell r="AR308">
            <v>0.12357142857142867</v>
          </cell>
          <cell r="AS308">
            <v>0.12285714285714278</v>
          </cell>
          <cell r="AT308">
            <v>8.8588469184890606E-2</v>
          </cell>
          <cell r="AU308">
            <v>7.1148825065274091E-2</v>
          </cell>
          <cell r="AV308">
            <v>7.0931244560487272E-2</v>
          </cell>
          <cell r="AW308">
            <v>8.4046828586405775E-2</v>
          </cell>
          <cell r="AX308">
            <v>8.358087250276669E-2</v>
          </cell>
          <cell r="AY308">
            <v>2.3261169967756734E-2</v>
          </cell>
          <cell r="AZ308">
            <v>2.2493140270956946E-2</v>
          </cell>
          <cell r="BA308">
            <v>1.8577285749608707E-2</v>
          </cell>
          <cell r="BB308">
            <v>3.4515583882157586E-2</v>
          </cell>
          <cell r="BC308">
            <v>2.407168482094324E-2</v>
          </cell>
          <cell r="BD308">
            <v>7.8759885224922055E-2</v>
          </cell>
          <cell r="BE308">
            <v>3.8537084057391979E-2</v>
          </cell>
          <cell r="BF308">
            <v>0.11993203910126859</v>
          </cell>
          <cell r="BG308">
            <v>5.9779964791814688E-2</v>
          </cell>
          <cell r="BH308">
            <v>6.0273397969232478E-2</v>
          </cell>
          <cell r="BI308">
            <v>6.7781987689901069E-2</v>
          </cell>
          <cell r="BJ308">
            <v>1.2466537252467935E-2</v>
          </cell>
          <cell r="BK308">
            <v>2.6937412941435479E-2</v>
          </cell>
          <cell r="BL308">
            <v>3.709525573171879E-2</v>
          </cell>
          <cell r="BM308">
            <v>-2.2321078263702776E-2</v>
          </cell>
          <cell r="BN308">
            <v>-6.9829390470133035E-4</v>
          </cell>
          <cell r="BO308">
            <v>9.7257117179843089E-3</v>
          </cell>
        </row>
        <row r="309">
          <cell r="A309" t="str">
            <v>CER</v>
          </cell>
          <cell r="C309">
            <v>0.1</v>
          </cell>
          <cell r="J309">
            <v>7.2999999999999995E-2</v>
          </cell>
          <cell r="K309">
            <v>8.5999999999999993E-2</v>
          </cell>
          <cell r="L309">
            <v>6.6000000000000003E-2</v>
          </cell>
          <cell r="M309">
            <v>9.5171901967552625E-2</v>
          </cell>
          <cell r="N309">
            <v>6.0999999999999999E-2</v>
          </cell>
          <cell r="O309">
            <v>8.8290075463068829E-2</v>
          </cell>
          <cell r="P309">
            <v>4.1164494307870017E-2</v>
          </cell>
          <cell r="Q309">
            <v>6.9000000000000006E-2</v>
          </cell>
          <cell r="R309">
            <v>3.018761726078757E-3</v>
          </cell>
          <cell r="S309">
            <v>4.7288698446706058E-2</v>
          </cell>
          <cell r="T309">
            <v>2.466443402545207E-2</v>
          </cell>
          <cell r="U309">
            <v>4.2244608100999385E-2</v>
          </cell>
          <cell r="V309">
            <v>3.1436407206887354E-2</v>
          </cell>
          <cell r="W309">
            <v>5.6170772946859793E-2</v>
          </cell>
          <cell r="X309">
            <v>3.7710131758291743E-2</v>
          </cell>
          <cell r="Y309">
            <v>2.5765547749154388E-2</v>
          </cell>
          <cell r="Z309">
            <v>2.0276885043263342E-2</v>
          </cell>
          <cell r="AA309">
            <v>2.3257606490872176E-2</v>
          </cell>
          <cell r="AB309">
            <v>9.1117886178862656E-3</v>
          </cell>
          <cell r="AC309">
            <v>1.7520297699593991E-2</v>
          </cell>
          <cell r="AD309">
            <v>2.0631604226705527E-3</v>
          </cell>
          <cell r="AE309">
            <v>1.6855891918939138E-2</v>
          </cell>
          <cell r="AF309">
            <v>4.0764021711036352E-2</v>
          </cell>
          <cell r="AG309">
            <v>1.8468060394889647E-2</v>
          </cell>
          <cell r="AH309">
            <v>2.9590163934426143E-2</v>
          </cell>
          <cell r="AI309">
            <v>1.6376258487473677E-2</v>
          </cell>
          <cell r="AJ309">
            <v>2.4445962233828878E-2</v>
          </cell>
          <cell r="AK309">
            <v>3.5878842676310918E-2</v>
          </cell>
          <cell r="AL309">
            <v>2.413628569739245E-2</v>
          </cell>
          <cell r="AM309">
            <v>2.1246759481517014E-2</v>
          </cell>
          <cell r="AN309">
            <v>2.1006721075372065E-2</v>
          </cell>
          <cell r="AO309">
            <v>4.0809885931559042E-2</v>
          </cell>
          <cell r="AQ309">
            <v>3.1044776119403074E-2</v>
          </cell>
          <cell r="AR309">
            <v>5.4571428571428673E-2</v>
          </cell>
          <cell r="AT309">
            <v>3.858846918489061E-2</v>
          </cell>
          <cell r="AU309">
            <v>5.1148825065274087E-2</v>
          </cell>
          <cell r="AW309">
            <v>4.2046828586405779E-2</v>
          </cell>
          <cell r="AY309">
            <v>4.9261169967756729E-2</v>
          </cell>
          <cell r="AZ309">
            <v>6.9493140270956946E-2</v>
          </cell>
          <cell r="BA309">
            <v>5.5577285749608706E-2</v>
          </cell>
          <cell r="BB309">
            <v>8.2515583882157587E-2</v>
          </cell>
          <cell r="BC309">
            <v>6.5885243832102036E-2</v>
          </cell>
          <cell r="BD309">
            <v>8.4234190857111549E-2</v>
          </cell>
          <cell r="BE309">
            <v>6.9537084057391979E-2</v>
          </cell>
          <cell r="BF309">
            <v>8.1932039101268589E-2</v>
          </cell>
          <cell r="BG309">
            <v>5.9779964791814688E-2</v>
          </cell>
          <cell r="BH309">
            <v>6.0273397969232478E-2</v>
          </cell>
          <cell r="BI309">
            <v>6.7781987689901069E-2</v>
          </cell>
          <cell r="BJ309">
            <v>1.2466537252467935E-2</v>
          </cell>
          <cell r="BK309">
            <v>2.6937412941435479E-2</v>
          </cell>
          <cell r="BL309">
            <v>3.709525573171879E-2</v>
          </cell>
          <cell r="BM309">
            <v>-2.2321078263702776E-2</v>
          </cell>
          <cell r="BN309">
            <v>-6.9829390470133035E-4</v>
          </cell>
          <cell r="BO309">
            <v>9.7257117179843089E-3</v>
          </cell>
        </row>
        <row r="310">
          <cell r="A310" t="str">
            <v>VOLUME</v>
          </cell>
          <cell r="R310">
            <v>-1E-3</v>
          </cell>
          <cell r="S310">
            <v>1.9E-2</v>
          </cell>
          <cell r="T310">
            <v>8.9999999999999993E-3</v>
          </cell>
          <cell r="U310">
            <v>1.4E-2</v>
          </cell>
          <cell r="V310">
            <v>1.0999999999999999E-2</v>
          </cell>
          <cell r="W310">
            <v>4.1615942028985504E-2</v>
          </cell>
          <cell r="X310">
            <v>1.9E-2</v>
          </cell>
          <cell r="Y310">
            <v>2.1999999999999999E-2</v>
          </cell>
          <cell r="Z310">
            <v>1.4999999999999999E-2</v>
          </cell>
          <cell r="AA310">
            <v>1.9E-2</v>
          </cell>
          <cell r="AB310">
            <v>1.4999999999999999E-2</v>
          </cell>
          <cell r="AC310">
            <v>1.7000000000000001E-2</v>
          </cell>
          <cell r="AD310">
            <v>2.3897934678194042E-2</v>
          </cell>
          <cell r="AE310">
            <v>1.9E-2</v>
          </cell>
          <cell r="AF310">
            <v>4.1000000000000002E-2</v>
          </cell>
          <cell r="AG310">
            <v>2.5999999999999999E-2</v>
          </cell>
          <cell r="AH310">
            <v>3.4000000000000002E-2</v>
          </cell>
          <cell r="AI310">
            <v>0.01</v>
          </cell>
          <cell r="AJ310">
            <v>2.5000000000000001E-2</v>
          </cell>
          <cell r="AK310">
            <v>1.6E-2</v>
          </cell>
          <cell r="AL310">
            <v>2.1999999999999999E-2</v>
          </cell>
          <cell r="AM310">
            <v>2.3E-2</v>
          </cell>
          <cell r="AN310">
            <v>2.3E-2</v>
          </cell>
          <cell r="AO310">
            <v>3.3000000000000002E-2</v>
          </cell>
          <cell r="AQ310">
            <v>2.8000000000000001E-2</v>
          </cell>
          <cell r="AR310">
            <v>0.04</v>
          </cell>
          <cell r="AT310">
            <v>3.2000000000000001E-2</v>
          </cell>
          <cell r="AU310">
            <v>5.2999999999999999E-2</v>
          </cell>
          <cell r="AW310">
            <v>3.6999999999999998E-2</v>
          </cell>
          <cell r="AY310">
            <v>4.2000000000000003E-2</v>
          </cell>
          <cell r="AZ310">
            <v>0.04</v>
          </cell>
          <cell r="BB310">
            <v>0.04</v>
          </cell>
          <cell r="BD310">
            <v>0.04</v>
          </cell>
          <cell r="BE310">
            <v>0.05</v>
          </cell>
          <cell r="BF310">
            <v>0.05</v>
          </cell>
          <cell r="BG310">
            <v>0.03</v>
          </cell>
          <cell r="BH310">
            <v>0.03</v>
          </cell>
          <cell r="BI310">
            <v>0.03</v>
          </cell>
          <cell r="BJ310">
            <v>0.03</v>
          </cell>
          <cell r="BK310">
            <v>0.03</v>
          </cell>
          <cell r="BL310">
            <v>0.03</v>
          </cell>
          <cell r="BM310">
            <v>0.03</v>
          </cell>
          <cell r="BN310">
            <v>0.03</v>
          </cell>
          <cell r="BO310">
            <v>0.03</v>
          </cell>
        </row>
        <row r="311">
          <cell r="A311" t="str">
            <v>PRICE</v>
          </cell>
          <cell r="R311">
            <v>4.0000000000000001E-3</v>
          </cell>
          <cell r="S311">
            <v>2.8000000000000001E-2</v>
          </cell>
          <cell r="T311">
            <v>1.6E-2</v>
          </cell>
          <cell r="U311">
            <v>2.8000000000000001E-2</v>
          </cell>
          <cell r="V311">
            <v>0.02</v>
          </cell>
          <cell r="W311">
            <v>1.6135507246376808E-2</v>
          </cell>
          <cell r="X311">
            <v>1.9E-2</v>
          </cell>
          <cell r="Y311">
            <v>4.0000000000000001E-3</v>
          </cell>
          <cell r="Z311">
            <v>5.0000000000000001E-3</v>
          </cell>
          <cell r="AA311">
            <v>4.0000000000000001E-3</v>
          </cell>
          <cell r="AB311">
            <v>-6.0000000000000001E-3</v>
          </cell>
          <cell r="AC311">
            <v>1E-3</v>
          </cell>
          <cell r="AD311">
            <v>-1.0556436119116235E-2</v>
          </cell>
          <cell r="AE311">
            <v>-2E-3</v>
          </cell>
          <cell r="AF311">
            <v>0</v>
          </cell>
          <cell r="AG311">
            <v>-8.0000000000000002E-3</v>
          </cell>
          <cell r="AH311">
            <v>-5.0000000000000001E-3</v>
          </cell>
          <cell r="AI311">
            <v>6.0000000000000001E-3</v>
          </cell>
          <cell r="AJ311">
            <v>-1E-3</v>
          </cell>
          <cell r="AK311">
            <v>8.9999999999999993E-3</v>
          </cell>
          <cell r="AL311">
            <v>2E-3</v>
          </cell>
          <cell r="AM311">
            <v>-2E-3</v>
          </cell>
          <cell r="AN311">
            <v>-2E-3</v>
          </cell>
          <cell r="AO311">
            <v>8.0000000000000002E-3</v>
          </cell>
          <cell r="AQ311">
            <v>3.0000000000000001E-3</v>
          </cell>
          <cell r="AR311">
            <v>1.4999999999999999E-2</v>
          </cell>
          <cell r="AT311">
            <v>7.0000000000000001E-3</v>
          </cell>
          <cell r="AU311">
            <v>-2E-3</v>
          </cell>
          <cell r="AW311">
            <v>5.0000000000000001E-3</v>
          </cell>
          <cell r="AY311">
            <v>7.0000000000000001E-3</v>
          </cell>
          <cell r="AZ311">
            <v>2.9493140270956945E-2</v>
          </cell>
          <cell r="BB311">
            <v>4.2515583882157586E-2</v>
          </cell>
          <cell r="BD311">
            <v>4.4234190857111548E-2</v>
          </cell>
          <cell r="BE311">
            <v>1.9537084057391976E-2</v>
          </cell>
          <cell r="BF311">
            <v>3.1932039101268586E-2</v>
          </cell>
          <cell r="BG311">
            <v>2.9779964791814689E-2</v>
          </cell>
          <cell r="BH311">
            <v>3.0273397969232479E-2</v>
          </cell>
          <cell r="BI311">
            <v>3.778198768990107E-2</v>
          </cell>
          <cell r="BJ311">
            <v>-1.7533462747532064E-2</v>
          </cell>
          <cell r="BK311">
            <v>-3.0625870585645198E-3</v>
          </cell>
          <cell r="BL311">
            <v>7.0952557317187914E-3</v>
          </cell>
          <cell r="BM311">
            <v>-5.2321078263702775E-2</v>
          </cell>
          <cell r="BN311">
            <v>-3.0698293904701329E-2</v>
          </cell>
          <cell r="BO311">
            <v>-2.027428828201569E-2</v>
          </cell>
        </row>
        <row r="312">
          <cell r="A312" t="str">
            <v>FX</v>
          </cell>
          <cell r="R312">
            <v>2.4E-2</v>
          </cell>
          <cell r="S312">
            <v>3.7999999999999999E-2</v>
          </cell>
          <cell r="T312">
            <v>3.1E-2</v>
          </cell>
          <cell r="U312">
            <v>3.0000000000000001E-3</v>
          </cell>
          <cell r="V312">
            <v>2.1000000000000001E-2</v>
          </cell>
          <cell r="W312">
            <v>-3.632850241545893E-2</v>
          </cell>
          <cell r="X312">
            <v>6.0000000000000001E-3</v>
          </cell>
          <cell r="Y312">
            <v>-6.0000000000000001E-3</v>
          </cell>
          <cell r="Z312">
            <v>5.6000000000000001E-2</v>
          </cell>
          <cell r="AA312">
            <v>2.5999999999999999E-2</v>
          </cell>
          <cell r="AB312">
            <v>7.5999999999999998E-2</v>
          </cell>
          <cell r="AC312">
            <v>4.2999999999999997E-2</v>
          </cell>
          <cell r="AD312">
            <v>5.9759365994236327E-2</v>
          </cell>
          <cell r="AE312">
            <v>4.7E-2</v>
          </cell>
          <cell r="AF312">
            <v>3.5000000000000003E-2</v>
          </cell>
          <cell r="AG312">
            <v>-4.3999999999999997E-2</v>
          </cell>
          <cell r="AH312">
            <v>-7.0000000000000001E-3</v>
          </cell>
          <cell r="AI312">
            <v>-3.5000000000000003E-2</v>
          </cell>
          <cell r="AJ312">
            <v>-1.7000000000000001E-2</v>
          </cell>
          <cell r="AK312">
            <v>1E-3</v>
          </cell>
          <cell r="AL312">
            <v>-1.2E-2</v>
          </cell>
          <cell r="AM312">
            <v>2.4E-2</v>
          </cell>
          <cell r="AN312">
            <v>2.4E-2</v>
          </cell>
          <cell r="AO312">
            <v>6.2E-2</v>
          </cell>
          <cell r="AQ312">
            <v>4.2000000000000003E-2</v>
          </cell>
          <cell r="AR312">
            <v>7.0999999999999994E-2</v>
          </cell>
          <cell r="AT312">
            <v>5.1999999999999998E-2</v>
          </cell>
          <cell r="AU312">
            <v>2.4E-2</v>
          </cell>
          <cell r="AW312">
            <v>4.4999999999999998E-2</v>
          </cell>
          <cell r="AY312">
            <v>-2.5999999999999999E-2</v>
          </cell>
          <cell r="AZ312">
            <v>-4.7E-2</v>
          </cell>
          <cell r="BA312">
            <v>-3.6999999999999998E-2</v>
          </cell>
          <cell r="BB312">
            <v>-4.8000000000000001E-2</v>
          </cell>
          <cell r="BC312">
            <v>-4.1813559011158796E-2</v>
          </cell>
          <cell r="BD312">
            <v>-5.4743056321894905E-3</v>
          </cell>
          <cell r="BE312">
            <v>-3.1E-2</v>
          </cell>
          <cell r="BF312">
            <v>3.7999999999999999E-2</v>
          </cell>
          <cell r="BG312">
            <v>0</v>
          </cell>
          <cell r="BH312">
            <v>0</v>
          </cell>
          <cell r="BI312">
            <v>0</v>
          </cell>
          <cell r="BJ312">
            <v>0</v>
          </cell>
          <cell r="BK312">
            <v>0</v>
          </cell>
          <cell r="BL312">
            <v>0</v>
          </cell>
          <cell r="BM312">
            <v>0</v>
          </cell>
          <cell r="BN312">
            <v>0</v>
          </cell>
          <cell r="BO312">
            <v>0</v>
          </cell>
        </row>
        <row r="313">
          <cell r="A313" t="str">
            <v>PORTFOLIO</v>
          </cell>
          <cell r="R313">
            <v>3.0000000000000001E-3</v>
          </cell>
          <cell r="S313">
            <v>-2E-3</v>
          </cell>
          <cell r="T313">
            <v>1E-3</v>
          </cell>
          <cell r="U313">
            <v>-0.01</v>
          </cell>
          <cell r="V313">
            <v>-3.0000000000000001E-3</v>
          </cell>
          <cell r="W313">
            <v>-1.4045169082125605E-2</v>
          </cell>
          <cell r="X313">
            <v>-6.0000000000000001E-3</v>
          </cell>
          <cell r="Y313">
            <v>-1.2999999999999999E-2</v>
          </cell>
          <cell r="Z313">
            <v>-1.2E-2</v>
          </cell>
          <cell r="AA313">
            <v>-1.2999999999999999E-2</v>
          </cell>
          <cell r="AB313">
            <v>0</v>
          </cell>
          <cell r="AC313">
            <v>-8.0000000000000002E-3</v>
          </cell>
          <cell r="AD313">
            <v>6.1743515850144043E-4</v>
          </cell>
          <cell r="AE313">
            <v>-6.0000000000000001E-3</v>
          </cell>
          <cell r="AF313">
            <v>1E-3</v>
          </cell>
          <cell r="AG313">
            <v>3.0000000000000001E-3</v>
          </cell>
          <cell r="AH313">
            <v>2E-3</v>
          </cell>
          <cell r="AI313">
            <v>2E-3</v>
          </cell>
          <cell r="AJ313">
            <v>3.0000000000000001E-3</v>
          </cell>
          <cell r="AK313">
            <v>2E-3</v>
          </cell>
          <cell r="AL313">
            <v>3.0000000000000001E-3</v>
          </cell>
          <cell r="AM313">
            <v>-3.0000000000000001E-3</v>
          </cell>
          <cell r="AN313">
            <v>-3.0000000000000001E-3</v>
          </cell>
          <cell r="AO313">
            <v>-3.0000000000000001E-3</v>
          </cell>
          <cell r="AQ313">
            <v>-2E-3</v>
          </cell>
          <cell r="AR313">
            <v>-2E-3</v>
          </cell>
          <cell r="AT313">
            <v>-2E-3</v>
          </cell>
          <cell r="AU313">
            <v>-4.0000000000000001E-3</v>
          </cell>
          <cell r="AW313">
            <v>-3.0000000000000001E-3</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cell r="BM313">
            <v>0</v>
          </cell>
          <cell r="BN313">
            <v>0</v>
          </cell>
          <cell r="BO313">
            <v>0</v>
          </cell>
        </row>
        <row r="315">
          <cell r="A315" t="str">
            <v>EU</v>
          </cell>
          <cell r="B315">
            <v>3192</v>
          </cell>
          <cell r="C315">
            <v>4737</v>
          </cell>
          <cell r="D315">
            <v>1495</v>
          </cell>
          <cell r="E315">
            <v>1566</v>
          </cell>
          <cell r="F315">
            <v>3061</v>
          </cell>
          <cell r="G315">
            <v>1540</v>
          </cell>
          <cell r="H315">
            <v>4602</v>
          </cell>
          <cell r="I315">
            <v>1582</v>
          </cell>
          <cell r="J315">
            <v>6184</v>
          </cell>
          <cell r="K315">
            <v>1626</v>
          </cell>
          <cell r="L315">
            <v>1538</v>
          </cell>
          <cell r="M315">
            <v>3164</v>
          </cell>
          <cell r="N315">
            <v>1588</v>
          </cell>
          <cell r="O315">
            <v>4753</v>
          </cell>
          <cell r="P315">
            <v>1626</v>
          </cell>
          <cell r="Q315">
            <v>6379</v>
          </cell>
          <cell r="R315">
            <v>1572</v>
          </cell>
          <cell r="S315">
            <v>1576</v>
          </cell>
          <cell r="T315">
            <v>3148</v>
          </cell>
          <cell r="U315">
            <v>1541</v>
          </cell>
          <cell r="V315">
            <v>4689</v>
          </cell>
          <cell r="W315">
            <v>1655</v>
          </cell>
          <cell r="X315">
            <v>6344</v>
          </cell>
          <cell r="Y315">
            <v>1523</v>
          </cell>
          <cell r="Z315">
            <v>1599</v>
          </cell>
          <cell r="AA315">
            <v>3122</v>
          </cell>
          <cell r="AB315">
            <v>1590</v>
          </cell>
          <cell r="AC315">
            <v>4712</v>
          </cell>
          <cell r="AD315">
            <v>1663</v>
          </cell>
          <cell r="AE315">
            <v>6375</v>
          </cell>
          <cell r="AF315">
            <v>1596</v>
          </cell>
          <cell r="AG315">
            <v>1592</v>
          </cell>
          <cell r="AH315">
            <v>3188</v>
          </cell>
          <cell r="AI315">
            <v>1537</v>
          </cell>
          <cell r="AJ315">
            <v>4725</v>
          </cell>
          <cell r="AK315">
            <v>1651</v>
          </cell>
          <cell r="AL315">
            <v>6376</v>
          </cell>
          <cell r="AM315">
            <v>1601</v>
          </cell>
          <cell r="AN315">
            <v>1601</v>
          </cell>
          <cell r="AO315">
            <v>1578</v>
          </cell>
          <cell r="AQ315">
            <v>3179</v>
          </cell>
          <cell r="AR315">
            <v>1573</v>
          </cell>
          <cell r="AT315">
            <v>4752</v>
          </cell>
          <cell r="AU315">
            <v>1732</v>
          </cell>
          <cell r="AW315">
            <v>6484</v>
          </cell>
          <cell r="AY315">
            <v>1622</v>
          </cell>
        </row>
        <row r="316">
          <cell r="A316" t="str">
            <v>North America</v>
          </cell>
          <cell r="B316">
            <v>2450</v>
          </cell>
          <cell r="C316">
            <v>3689</v>
          </cell>
          <cell r="D316">
            <v>1145</v>
          </cell>
          <cell r="E316">
            <v>1093</v>
          </cell>
          <cell r="F316">
            <v>2238</v>
          </cell>
          <cell r="G316">
            <v>1086</v>
          </cell>
          <cell r="H316">
            <v>3323</v>
          </cell>
          <cell r="I316">
            <v>1116</v>
          </cell>
          <cell r="J316">
            <v>4439</v>
          </cell>
          <cell r="K316">
            <v>1045</v>
          </cell>
          <cell r="L316">
            <v>1085</v>
          </cell>
          <cell r="M316">
            <v>2130</v>
          </cell>
          <cell r="N316">
            <v>1093</v>
          </cell>
          <cell r="O316">
            <v>3222</v>
          </cell>
          <cell r="P316">
            <v>1290</v>
          </cell>
          <cell r="Q316">
            <v>4512</v>
          </cell>
          <cell r="R316">
            <v>1104</v>
          </cell>
          <cell r="S316">
            <v>1223</v>
          </cell>
          <cell r="T316">
            <v>2327</v>
          </cell>
          <cell r="U316">
            <v>1146</v>
          </cell>
          <cell r="V316">
            <v>3473</v>
          </cell>
          <cell r="W316">
            <v>1161</v>
          </cell>
          <cell r="X316">
            <v>4634</v>
          </cell>
          <cell r="Y316">
            <v>1134</v>
          </cell>
          <cell r="Z316">
            <v>1205</v>
          </cell>
          <cell r="AA316">
            <v>2339</v>
          </cell>
          <cell r="AB316">
            <v>1161</v>
          </cell>
          <cell r="AC316">
            <v>3500</v>
          </cell>
          <cell r="AD316">
            <v>1166</v>
          </cell>
          <cell r="AE316">
            <v>4666</v>
          </cell>
          <cell r="AF316">
            <v>1076</v>
          </cell>
          <cell r="AG316">
            <v>1062</v>
          </cell>
          <cell r="AH316">
            <v>2138</v>
          </cell>
          <cell r="AI316">
            <v>1061</v>
          </cell>
          <cell r="AJ316">
            <v>3199</v>
          </cell>
          <cell r="AK316">
            <v>1161</v>
          </cell>
          <cell r="AL316">
            <v>4360</v>
          </cell>
          <cell r="AM316">
            <v>1125</v>
          </cell>
          <cell r="AN316">
            <v>1125</v>
          </cell>
          <cell r="AO316">
            <v>1257</v>
          </cell>
          <cell r="AQ316">
            <v>2382</v>
          </cell>
          <cell r="AR316">
            <v>1298</v>
          </cell>
          <cell r="AT316">
            <v>3680</v>
          </cell>
          <cell r="AU316">
            <v>1281</v>
          </cell>
          <cell r="AW316">
            <v>4961</v>
          </cell>
          <cell r="AY316">
            <v>1176</v>
          </cell>
        </row>
        <row r="317">
          <cell r="A317" t="str">
            <v>Asia Pac</v>
          </cell>
          <cell r="B317">
            <v>1201</v>
          </cell>
          <cell r="C317">
            <v>1649</v>
          </cell>
          <cell r="D317">
            <v>466</v>
          </cell>
          <cell r="E317">
            <v>523</v>
          </cell>
          <cell r="F317">
            <v>989</v>
          </cell>
          <cell r="G317">
            <v>514</v>
          </cell>
          <cell r="H317">
            <v>1503</v>
          </cell>
          <cell r="I317">
            <v>520</v>
          </cell>
          <cell r="J317">
            <v>2023</v>
          </cell>
          <cell r="K317">
            <v>526</v>
          </cell>
          <cell r="L317">
            <v>545</v>
          </cell>
          <cell r="M317">
            <v>1071</v>
          </cell>
          <cell r="N317">
            <v>561</v>
          </cell>
          <cell r="O317">
            <v>1632</v>
          </cell>
          <cell r="P317">
            <v>646</v>
          </cell>
          <cell r="Q317">
            <v>2278</v>
          </cell>
          <cell r="R317">
            <v>635</v>
          </cell>
          <cell r="S317">
            <v>652</v>
          </cell>
          <cell r="T317">
            <v>1287</v>
          </cell>
          <cell r="U317">
            <v>680</v>
          </cell>
          <cell r="V317">
            <v>1967</v>
          </cell>
          <cell r="W317">
            <v>710</v>
          </cell>
          <cell r="X317">
            <v>2677</v>
          </cell>
          <cell r="Y317">
            <v>667</v>
          </cell>
          <cell r="Z317">
            <v>845</v>
          </cell>
          <cell r="AA317">
            <v>1512</v>
          </cell>
          <cell r="AB317">
            <v>854</v>
          </cell>
          <cell r="AC317">
            <v>2366</v>
          </cell>
          <cell r="AD317">
            <v>903</v>
          </cell>
          <cell r="AE317">
            <v>3269</v>
          </cell>
          <cell r="AF317">
            <v>850</v>
          </cell>
          <cell r="AG317">
            <v>878</v>
          </cell>
          <cell r="AH317">
            <v>1728</v>
          </cell>
          <cell r="AI317">
            <v>924</v>
          </cell>
          <cell r="AJ317">
            <v>2652</v>
          </cell>
          <cell r="AK317">
            <v>1004</v>
          </cell>
          <cell r="AL317">
            <v>3656</v>
          </cell>
          <cell r="AM317">
            <v>924</v>
          </cell>
          <cell r="AN317">
            <v>923</v>
          </cell>
          <cell r="AO317">
            <v>1066</v>
          </cell>
          <cell r="AQ317">
            <v>1990</v>
          </cell>
          <cell r="AR317">
            <v>1108</v>
          </cell>
          <cell r="AT317">
            <v>3098</v>
          </cell>
          <cell r="AU317">
            <v>1105</v>
          </cell>
          <cell r="AW317">
            <v>4203</v>
          </cell>
          <cell r="AY317">
            <v>993</v>
          </cell>
        </row>
        <row r="318">
          <cell r="A318" t="str">
            <v>Latam/Africa/Middle East</v>
          </cell>
          <cell r="B318">
            <v>1153</v>
          </cell>
          <cell r="C318">
            <v>1649</v>
          </cell>
          <cell r="D318">
            <v>504</v>
          </cell>
          <cell r="E318">
            <v>535</v>
          </cell>
          <cell r="F318">
            <v>1039</v>
          </cell>
          <cell r="G318">
            <v>540</v>
          </cell>
          <cell r="H318">
            <v>1579</v>
          </cell>
          <cell r="I318">
            <v>582</v>
          </cell>
          <cell r="J318">
            <v>2161</v>
          </cell>
          <cell r="K318">
            <v>534</v>
          </cell>
          <cell r="L318">
            <v>566</v>
          </cell>
          <cell r="M318">
            <v>1100</v>
          </cell>
          <cell r="N318">
            <v>560</v>
          </cell>
          <cell r="O318">
            <v>1660</v>
          </cell>
          <cell r="P318">
            <v>578</v>
          </cell>
          <cell r="Q318">
            <v>2238</v>
          </cell>
          <cell r="R318">
            <v>532</v>
          </cell>
          <cell r="S318">
            <v>594</v>
          </cell>
          <cell r="T318">
            <v>1126</v>
          </cell>
          <cell r="U318">
            <v>569</v>
          </cell>
          <cell r="V318">
            <v>1695</v>
          </cell>
          <cell r="W318">
            <v>638</v>
          </cell>
          <cell r="X318">
            <v>2333</v>
          </cell>
          <cell r="Y318">
            <v>545</v>
          </cell>
          <cell r="Z318">
            <v>656</v>
          </cell>
          <cell r="AA318">
            <v>1201</v>
          </cell>
          <cell r="AB318">
            <v>666</v>
          </cell>
          <cell r="AC318">
            <v>1867</v>
          </cell>
          <cell r="AD318">
            <v>736</v>
          </cell>
          <cell r="AE318">
            <v>2603</v>
          </cell>
          <cell r="AF318">
            <v>644</v>
          </cell>
          <cell r="AG318">
            <v>676</v>
          </cell>
          <cell r="AH318">
            <v>1320</v>
          </cell>
          <cell r="AI318">
            <v>678</v>
          </cell>
          <cell r="AJ318">
            <v>1998</v>
          </cell>
          <cell r="AK318">
            <v>779</v>
          </cell>
          <cell r="AL318">
            <v>2777</v>
          </cell>
          <cell r="AM318">
            <v>692</v>
          </cell>
          <cell r="AN318">
            <v>692</v>
          </cell>
          <cell r="AO318">
            <v>727</v>
          </cell>
          <cell r="AQ318">
            <v>1419</v>
          </cell>
          <cell r="AR318">
            <v>740</v>
          </cell>
          <cell r="AT318">
            <v>2159</v>
          </cell>
          <cell r="AU318">
            <v>805</v>
          </cell>
          <cell r="AW318">
            <v>2964</v>
          </cell>
          <cell r="AY318">
            <v>652</v>
          </cell>
        </row>
        <row r="320">
          <cell r="A320" t="str">
            <v xml:space="preserve">Growth </v>
          </cell>
        </row>
        <row r="321">
          <cell r="A321" t="str">
            <v>EU</v>
          </cell>
          <cell r="C321">
            <v>0.48402255639097747</v>
          </cell>
          <cell r="J321">
            <v>0.30546759552459357</v>
          </cell>
          <cell r="K321">
            <v>8.7625418060200744E-2</v>
          </cell>
          <cell r="L321">
            <v>-1.7879948914431676E-2</v>
          </cell>
          <cell r="M321">
            <v>3.3649134269846392E-2</v>
          </cell>
          <cell r="N321">
            <v>3.1168831168831179E-2</v>
          </cell>
          <cell r="O321">
            <v>3.2811820947414194E-2</v>
          </cell>
          <cell r="P321">
            <v>2.7812895069532217E-2</v>
          </cell>
          <cell r="Q321">
            <v>3.153298835705054E-2</v>
          </cell>
          <cell r="R321">
            <v>-3.3210332103321027E-2</v>
          </cell>
          <cell r="S321">
            <v>2.4707412223667014E-2</v>
          </cell>
          <cell r="T321">
            <v>-5.0568900126422012E-3</v>
          </cell>
          <cell r="U321">
            <v>-2.9596977329974794E-2</v>
          </cell>
          <cell r="V321">
            <v>-1.3465179886387513E-2</v>
          </cell>
          <cell r="W321">
            <v>1.7835178351783609E-2</v>
          </cell>
          <cell r="X321">
            <v>-5.4867534096253445E-3</v>
          </cell>
          <cell r="Y321">
            <v>-3.1170483460559839E-2</v>
          </cell>
          <cell r="Z321">
            <v>1.4593908629441543E-2</v>
          </cell>
          <cell r="AA321">
            <v>-8.259212198221122E-3</v>
          </cell>
          <cell r="AB321">
            <v>3.1797534068786604E-2</v>
          </cell>
          <cell r="AC321">
            <v>4.9050970356152579E-3</v>
          </cell>
          <cell r="AD321">
            <v>4.8338368580060909E-3</v>
          </cell>
          <cell r="AE321">
            <v>4.8865069356873736E-3</v>
          </cell>
          <cell r="AF321">
            <v>4.7931713722915381E-2</v>
          </cell>
          <cell r="AG321">
            <v>-4.3777360850532077E-3</v>
          </cell>
          <cell r="AH321">
            <v>2.1140294682895577E-2</v>
          </cell>
          <cell r="AI321">
            <v>-3.3333333333333326E-2</v>
          </cell>
          <cell r="AJ321">
            <v>2.7589134125636239E-3</v>
          </cell>
          <cell r="AK321">
            <v>-7.2158749248346643E-3</v>
          </cell>
          <cell r="AL321">
            <v>1.5686274509807419E-4</v>
          </cell>
          <cell r="AM321">
            <v>3.1328320802004317E-3</v>
          </cell>
          <cell r="AN321">
            <v>3.1328320802004317E-3</v>
          </cell>
          <cell r="AO321">
            <v>-8.793969849246186E-3</v>
          </cell>
          <cell r="AQ321">
            <v>-2.8230865746549094E-3</v>
          </cell>
          <cell r="AR321">
            <v>2.3422251138581762E-2</v>
          </cell>
          <cell r="AT321">
            <v>5.7142857142857828E-3</v>
          </cell>
          <cell r="AU321">
            <v>4.9061175045427063E-2</v>
          </cell>
          <cell r="AW321">
            <v>1.6938519447929679E-2</v>
          </cell>
          <cell r="AY321">
            <v>1.3116801998750871E-2</v>
          </cell>
        </row>
        <row r="322">
          <cell r="A322" t="str">
            <v>North America</v>
          </cell>
          <cell r="C322">
            <v>0.50571428571428578</v>
          </cell>
          <cell r="J322">
            <v>0.20330712930333417</v>
          </cell>
          <cell r="K322">
            <v>-8.7336244541484698E-2</v>
          </cell>
          <cell r="L322">
            <v>-7.3193046660566807E-3</v>
          </cell>
          <cell r="M322">
            <v>-4.8257372654155528E-2</v>
          </cell>
          <cell r="N322">
            <v>6.4456721915284731E-3</v>
          </cell>
          <cell r="O322">
            <v>-3.039422208847431E-2</v>
          </cell>
          <cell r="P322">
            <v>0.15591397849462374</v>
          </cell>
          <cell r="Q322">
            <v>1.6445145302996123E-2</v>
          </cell>
          <cell r="R322">
            <v>5.6459330143540765E-2</v>
          </cell>
          <cell r="S322">
            <v>0.12718894009216597</v>
          </cell>
          <cell r="T322">
            <v>9.2488262910798147E-2</v>
          </cell>
          <cell r="U322">
            <v>4.8490393412625732E-2</v>
          </cell>
          <cell r="V322">
            <v>7.7901924270639356E-2</v>
          </cell>
          <cell r="W322">
            <v>-9.9999999999999978E-2</v>
          </cell>
          <cell r="X322">
            <v>2.7039007092198641E-2</v>
          </cell>
          <cell r="Y322">
            <v>2.7173913043478271E-2</v>
          </cell>
          <cell r="Z322">
            <v>-1.4717906786590351E-2</v>
          </cell>
          <cell r="AA322">
            <v>5.1568543188655891E-3</v>
          </cell>
          <cell r="AB322">
            <v>1.308900523560208E-2</v>
          </cell>
          <cell r="AC322">
            <v>7.7742585660811603E-3</v>
          </cell>
          <cell r="AD322">
            <v>4.3066322136089408E-3</v>
          </cell>
          <cell r="AE322">
            <v>6.9054812257229869E-3</v>
          </cell>
          <cell r="AF322">
            <v>-5.1146384479717866E-2</v>
          </cell>
          <cell r="AG322">
            <v>-0.1186721991701245</v>
          </cell>
          <cell r="AH322">
            <v>-8.593415989739206E-2</v>
          </cell>
          <cell r="AI322">
            <v>-8.6132644272179149E-2</v>
          </cell>
          <cell r="AJ322">
            <v>-8.5999999999999965E-2</v>
          </cell>
          <cell r="AK322">
            <v>-4.2881646655231753E-3</v>
          </cell>
          <cell r="AL322">
            <v>-6.5580797256750922E-2</v>
          </cell>
          <cell r="AM322">
            <v>4.5539033457248967E-2</v>
          </cell>
          <cell r="AN322">
            <v>4.5539033457248967E-2</v>
          </cell>
          <cell r="AO322">
            <v>0.18361581920903958</v>
          </cell>
          <cell r="AQ322">
            <v>0.11412535079513564</v>
          </cell>
          <cell r="AR322">
            <v>0.22337417530631476</v>
          </cell>
          <cell r="AT322">
            <v>0.15035948733979376</v>
          </cell>
          <cell r="AU322">
            <v>0.10335917312661502</v>
          </cell>
          <cell r="AW322">
            <v>0.13784403669724776</v>
          </cell>
          <cell r="AY322">
            <v>4.5333333333333226E-2</v>
          </cell>
        </row>
        <row r="323">
          <cell r="A323" t="str">
            <v>Asia Pac</v>
          </cell>
          <cell r="C323">
            <v>0.37302248126561199</v>
          </cell>
          <cell r="J323">
            <v>0.22680412371134029</v>
          </cell>
          <cell r="K323">
            <v>0.12875536480686689</v>
          </cell>
          <cell r="L323">
            <v>4.2065009560229516E-2</v>
          </cell>
          <cell r="M323">
            <v>8.2912032355915155E-2</v>
          </cell>
          <cell r="N323">
            <v>9.1439688715953205E-2</v>
          </cell>
          <cell r="O323">
            <v>8.5828343313373301E-2</v>
          </cell>
          <cell r="P323">
            <v>0.24230769230769234</v>
          </cell>
          <cell r="Q323">
            <v>0.12605042016806722</v>
          </cell>
          <cell r="R323">
            <v>0.20722433460076051</v>
          </cell>
          <cell r="S323">
            <v>0.19633027522935786</v>
          </cell>
          <cell r="T323">
            <v>0.20168067226890751</v>
          </cell>
          <cell r="U323">
            <v>0.21212121212121215</v>
          </cell>
          <cell r="V323">
            <v>0.2052696078431373</v>
          </cell>
          <cell r="W323">
            <v>9.9071207430340591E-2</v>
          </cell>
          <cell r="X323">
            <v>0.17515364354697094</v>
          </cell>
          <cell r="Y323">
            <v>5.0393700787401574E-2</v>
          </cell>
          <cell r="Z323">
            <v>0.29601226993865026</v>
          </cell>
          <cell r="AA323">
            <v>0.17482517482517479</v>
          </cell>
          <cell r="AB323">
            <v>0.25588235294117645</v>
          </cell>
          <cell r="AC323">
            <v>0.20284697508896787</v>
          </cell>
          <cell r="AD323">
            <v>0.27183098591549304</v>
          </cell>
          <cell r="AE323">
            <v>0.22114307060141947</v>
          </cell>
          <cell r="AF323">
            <v>0.27436281859070455</v>
          </cell>
          <cell r="AG323">
            <v>3.9053254437869889E-2</v>
          </cell>
          <cell r="AH323">
            <v>0.14285714285714279</v>
          </cell>
          <cell r="AI323">
            <v>8.1967213114754189E-2</v>
          </cell>
          <cell r="AJ323">
            <v>0.12087912087912089</v>
          </cell>
          <cell r="AK323">
            <v>0.11184939091915846</v>
          </cell>
          <cell r="AL323">
            <v>0.11838482716427046</v>
          </cell>
          <cell r="AM323">
            <v>8.7058823529411855E-2</v>
          </cell>
          <cell r="AN323">
            <v>8.5882352941176521E-2</v>
          </cell>
          <cell r="AO323">
            <v>0.21412300683371299</v>
          </cell>
          <cell r="AQ323">
            <v>0.15162037037037046</v>
          </cell>
          <cell r="AR323">
            <v>0.19913419913419905</v>
          </cell>
          <cell r="AT323">
            <v>0.16817496229260942</v>
          </cell>
          <cell r="AU323">
            <v>0.1005976095617529</v>
          </cell>
          <cell r="AW323">
            <v>0.1496170678336981</v>
          </cell>
          <cell r="AY323">
            <v>7.4675324675324672E-2</v>
          </cell>
        </row>
        <row r="324">
          <cell r="A324" t="str">
            <v>Latam/Africa/Middle East</v>
          </cell>
          <cell r="C324">
            <v>0.4301821335646141</v>
          </cell>
          <cell r="J324">
            <v>0.31049120679199516</v>
          </cell>
          <cell r="K324">
            <v>5.9523809523809534E-2</v>
          </cell>
          <cell r="L324">
            <v>5.7943925233644888E-2</v>
          </cell>
          <cell r="M324">
            <v>5.8710298363811253E-2</v>
          </cell>
          <cell r="N324">
            <v>3.7037037037036979E-2</v>
          </cell>
          <cell r="O324">
            <v>5.1298290056998042E-2</v>
          </cell>
          <cell r="P324">
            <v>-6.8728522336769515E-3</v>
          </cell>
          <cell r="Q324">
            <v>3.5631652012956927E-2</v>
          </cell>
          <cell r="R324">
            <v>-3.7453183520599342E-3</v>
          </cell>
          <cell r="S324">
            <v>4.9469964664310861E-2</v>
          </cell>
          <cell r="T324">
            <v>2.3636363636363678E-2</v>
          </cell>
          <cell r="U324">
            <v>1.6071428571428514E-2</v>
          </cell>
          <cell r="V324">
            <v>2.108433734939763E-2</v>
          </cell>
          <cell r="W324">
            <v>0.10380622837370246</v>
          </cell>
          <cell r="X324">
            <v>4.2448614834673881E-2</v>
          </cell>
          <cell r="Y324">
            <v>2.4436090225563811E-2</v>
          </cell>
          <cell r="Z324">
            <v>0.10437710437710446</v>
          </cell>
          <cell r="AA324">
            <v>6.660746003552398E-2</v>
          </cell>
          <cell r="AB324">
            <v>0.17047451669595781</v>
          </cell>
          <cell r="AC324">
            <v>0.10147492625368737</v>
          </cell>
          <cell r="AD324">
            <v>0.15360501567398122</v>
          </cell>
          <cell r="AE324">
            <v>0.11573081868838409</v>
          </cell>
          <cell r="AF324">
            <v>0.18165137614678906</v>
          </cell>
          <cell r="AG324">
            <v>3.0487804878048808E-2</v>
          </cell>
          <cell r="AH324">
            <v>9.9084096586178116E-2</v>
          </cell>
          <cell r="AI324">
            <v>1.8018018018018056E-2</v>
          </cell>
          <cell r="AJ324">
            <v>7.0166041778253918E-2</v>
          </cell>
          <cell r="AK324">
            <v>5.8423913043478271E-2</v>
          </cell>
          <cell r="AL324">
            <v>6.6845946984248839E-2</v>
          </cell>
          <cell r="AM324">
            <v>7.4534161490683148E-2</v>
          </cell>
          <cell r="AN324">
            <v>7.4534161490683148E-2</v>
          </cell>
          <cell r="AO324">
            <v>7.5443786982248628E-2</v>
          </cell>
          <cell r="AQ324">
            <v>7.4999999999999956E-2</v>
          </cell>
          <cell r="AR324">
            <v>9.1445427728613637E-2</v>
          </cell>
          <cell r="AT324">
            <v>8.0580580580580596E-2</v>
          </cell>
          <cell r="AU324">
            <v>3.3376123234916566E-2</v>
          </cell>
          <cell r="AW324">
            <v>6.7338854879366306E-2</v>
          </cell>
          <cell r="AY324">
            <v>-5.7803468208092457E-2</v>
          </cell>
        </row>
        <row r="325">
          <cell r="A325" t="str">
            <v>Share</v>
          </cell>
        </row>
        <row r="326">
          <cell r="A326" t="str">
            <v>EU</v>
          </cell>
          <cell r="B326">
            <v>0.39919959979989994</v>
          </cell>
          <cell r="C326">
            <v>0.404042988741044</v>
          </cell>
          <cell r="D326">
            <v>0.41412742382271467</v>
          </cell>
          <cell r="E326">
            <v>0.42892358258011504</v>
          </cell>
          <cell r="F326">
            <v>0.52830514325163958</v>
          </cell>
          <cell r="G326">
            <v>0.42553191489361702</v>
          </cell>
          <cell r="H326">
            <v>0.52618339812485704</v>
          </cell>
          <cell r="I326">
            <v>0.26101303415278004</v>
          </cell>
          <cell r="J326">
            <v>0.41764030526102519</v>
          </cell>
          <cell r="K326">
            <v>0.43580809434467971</v>
          </cell>
          <cell r="L326">
            <v>0.41189073379753616</v>
          </cell>
          <cell r="M326">
            <v>0.42384460817146685</v>
          </cell>
          <cell r="N326">
            <v>0.41767490794318779</v>
          </cell>
          <cell r="O326">
            <v>0.42185142451406765</v>
          </cell>
          <cell r="P326">
            <v>0.39275362318840579</v>
          </cell>
          <cell r="Q326">
            <v>0.41403258259232817</v>
          </cell>
          <cell r="R326">
            <v>0.40905542544886808</v>
          </cell>
          <cell r="S326">
            <v>0.38961681087762667</v>
          </cell>
          <cell r="T326">
            <v>0.39908722109533468</v>
          </cell>
          <cell r="U326">
            <v>0.39151422764227645</v>
          </cell>
          <cell r="V326">
            <v>0.39656630581867386</v>
          </cell>
          <cell r="W326">
            <v>0.39745437079731027</v>
          </cell>
          <cell r="X326">
            <v>0.39679759819864896</v>
          </cell>
          <cell r="Y326">
            <v>0.39364176789868183</v>
          </cell>
          <cell r="Z326">
            <v>0.37142857142857144</v>
          </cell>
          <cell r="AA326">
            <v>0.38194274528994371</v>
          </cell>
          <cell r="AB326">
            <v>0.37227815499882932</v>
          </cell>
          <cell r="AC326">
            <v>0.37862595419847328</v>
          </cell>
          <cell r="AD326">
            <v>0.37590415913200725</v>
          </cell>
          <cell r="AE326">
            <v>0.37692898953467746</v>
          </cell>
          <cell r="AF326">
            <v>0.38310129620739319</v>
          </cell>
          <cell r="AG326">
            <v>0.37832699619771865</v>
          </cell>
          <cell r="AH326">
            <v>0.38065671641791043</v>
          </cell>
          <cell r="AI326">
            <v>0.36595238095238097</v>
          </cell>
          <cell r="AJ326">
            <v>0.37574552683896623</v>
          </cell>
          <cell r="AK326">
            <v>0.3592254134029591</v>
          </cell>
          <cell r="AL326">
            <v>0.37136699866037626</v>
          </cell>
          <cell r="AM326">
            <v>0.36872409028097652</v>
          </cell>
          <cell r="AN326">
            <v>0.36880903017737848</v>
          </cell>
          <cell r="AO326">
            <v>0.34096802074330163</v>
          </cell>
          <cell r="AQ326">
            <v>0.35440356744704571</v>
          </cell>
          <cell r="AR326">
            <v>0.33333333333333331</v>
          </cell>
          <cell r="AT326">
            <v>0.34714003944773175</v>
          </cell>
          <cell r="AU326">
            <v>0.35181799715620554</v>
          </cell>
          <cell r="AW326">
            <v>0.3483773909305824</v>
          </cell>
          <cell r="AY326">
            <v>0.36506864731037586</v>
          </cell>
        </row>
        <row r="327">
          <cell r="A327" t="str">
            <v>North America</v>
          </cell>
          <cell r="B327">
            <v>0.30640320160080042</v>
          </cell>
          <cell r="C327">
            <v>0.31465370180825658</v>
          </cell>
          <cell r="D327">
            <v>0.31717451523545709</v>
          </cell>
          <cell r="E327">
            <v>0.29937003560668313</v>
          </cell>
          <cell r="F327">
            <v>0.38626164998274076</v>
          </cell>
          <cell r="G327">
            <v>0.30008289582757669</v>
          </cell>
          <cell r="H327">
            <v>0.37994511776812256</v>
          </cell>
          <cell r="I327">
            <v>0.18412803167794092</v>
          </cell>
          <cell r="J327">
            <v>0.29979063956236918</v>
          </cell>
          <cell r="K327">
            <v>0.28008576789064593</v>
          </cell>
          <cell r="L327">
            <v>0.29057311194429564</v>
          </cell>
          <cell r="M327">
            <v>0.28533154722036169</v>
          </cell>
          <cell r="N327">
            <v>0.28748027354024197</v>
          </cell>
          <cell r="O327">
            <v>0.28596787077305408</v>
          </cell>
          <cell r="P327">
            <v>0.31159420289855072</v>
          </cell>
          <cell r="Q327">
            <v>0.29285389757902253</v>
          </cell>
          <cell r="R327">
            <v>0.28727556596409054</v>
          </cell>
          <cell r="S327">
            <v>0.30234857849196539</v>
          </cell>
          <cell r="T327">
            <v>0.29500507099391482</v>
          </cell>
          <cell r="U327">
            <v>0.29115853658536583</v>
          </cell>
          <cell r="V327">
            <v>0.29372462787550746</v>
          </cell>
          <cell r="W327">
            <v>0.27881844380403459</v>
          </cell>
          <cell r="X327">
            <v>0.28984238178633975</v>
          </cell>
          <cell r="Y327">
            <v>0.2930989919875937</v>
          </cell>
          <cell r="Z327">
            <v>0.27990708478513354</v>
          </cell>
          <cell r="AA327">
            <v>0.28615121115732811</v>
          </cell>
          <cell r="AB327">
            <v>0.27183329431046593</v>
          </cell>
          <cell r="AC327">
            <v>0.28123744475693052</v>
          </cell>
          <cell r="AD327">
            <v>0.26356238698010848</v>
          </cell>
          <cell r="AE327">
            <v>0.27588245728138117</v>
          </cell>
          <cell r="AF327">
            <v>0.25828132501200191</v>
          </cell>
          <cell r="AG327">
            <v>0.25237642585551329</v>
          </cell>
          <cell r="AH327">
            <v>0.25528358208955226</v>
          </cell>
          <cell r="AI327">
            <v>0.25261904761904763</v>
          </cell>
          <cell r="AJ327">
            <v>0.25439363817097416</v>
          </cell>
          <cell r="AK327">
            <v>0.25261096605744127</v>
          </cell>
          <cell r="AL327">
            <v>0.25394606558331878</v>
          </cell>
          <cell r="AM327">
            <v>0.25909719023491479</v>
          </cell>
          <cell r="AN327">
            <v>0.25915687629578438</v>
          </cell>
          <cell r="AO327">
            <v>0.27160760587726879</v>
          </cell>
          <cell r="AQ327">
            <v>0.26555183946488292</v>
          </cell>
          <cell r="AR327">
            <v>0.27505827505827507</v>
          </cell>
          <cell r="AT327">
            <v>0.26882898677770473</v>
          </cell>
          <cell r="AU327">
            <v>0.26020719073735527</v>
          </cell>
          <cell r="AW327">
            <v>0.26654846335697402</v>
          </cell>
          <cell r="AY327">
            <v>0.26468602295746119</v>
          </cell>
        </row>
        <row r="328">
          <cell r="A328" t="str">
            <v>Asia Pac</v>
          </cell>
          <cell r="B328">
            <v>0.15020010005002501</v>
          </cell>
          <cell r="C328">
            <v>0.14065165472534971</v>
          </cell>
          <cell r="D328">
            <v>0.12908587257617729</v>
          </cell>
          <cell r="E328">
            <v>0.1432484250890167</v>
          </cell>
          <cell r="F328">
            <v>0.17069382119433898</v>
          </cell>
          <cell r="G328">
            <v>0.14202818458137606</v>
          </cell>
          <cell r="H328">
            <v>0.17184998856620171</v>
          </cell>
          <cell r="I328">
            <v>8.5794423362481442E-2</v>
          </cell>
          <cell r="J328">
            <v>0.13662456946039037</v>
          </cell>
          <cell r="K328">
            <v>0.14098097024926293</v>
          </cell>
          <cell r="L328">
            <v>0.14595607927155865</v>
          </cell>
          <cell r="M328">
            <v>0.14346952444742131</v>
          </cell>
          <cell r="N328">
            <v>0.14755391899000525</v>
          </cell>
          <cell r="O328">
            <v>0.1448477855684743</v>
          </cell>
          <cell r="P328">
            <v>0.15603864734299516</v>
          </cell>
          <cell r="Q328">
            <v>0.14785487116245863</v>
          </cell>
          <cell r="R328">
            <v>0.16523549310434557</v>
          </cell>
          <cell r="S328">
            <v>0.16118665018541409</v>
          </cell>
          <cell r="T328">
            <v>0.16315922920892495</v>
          </cell>
          <cell r="U328">
            <v>0.17276422764227642</v>
          </cell>
          <cell r="V328">
            <v>0.16635656292286874</v>
          </cell>
          <cell r="W328">
            <v>0.17050912584053796</v>
          </cell>
          <cell r="X328">
            <v>0.16743807855891918</v>
          </cell>
          <cell r="Y328">
            <v>0.17239596795037476</v>
          </cell>
          <cell r="Z328">
            <v>0.19628339140534262</v>
          </cell>
          <cell r="AA328">
            <v>0.18497675556643015</v>
          </cell>
          <cell r="AB328">
            <v>0.19995317255911965</v>
          </cell>
          <cell r="AC328">
            <v>0.19011651265568502</v>
          </cell>
          <cell r="AD328">
            <v>0.20411392405063292</v>
          </cell>
          <cell r="AE328">
            <v>0.19328327322178207</v>
          </cell>
          <cell r="AF328">
            <v>0.20403264522323572</v>
          </cell>
          <cell r="AG328">
            <v>0.20865019011406843</v>
          </cell>
          <cell r="AH328">
            <v>0.20632835820895523</v>
          </cell>
          <cell r="AI328">
            <v>0.22</v>
          </cell>
          <cell r="AJ328">
            <v>0.21089463220675944</v>
          </cell>
          <cell r="AK328">
            <v>0.21845082680591818</v>
          </cell>
          <cell r="AL328">
            <v>0.21294193022307648</v>
          </cell>
          <cell r="AM328">
            <v>0.21280515891294335</v>
          </cell>
          <cell r="AN328">
            <v>0.21262381939645242</v>
          </cell>
          <cell r="AO328">
            <v>0.2303370786516854</v>
          </cell>
          <cell r="AQ328">
            <v>0.22185061315496099</v>
          </cell>
          <cell r="AR328">
            <v>0.23479550752278025</v>
          </cell>
          <cell r="AT328">
            <v>0.2263130981079699</v>
          </cell>
          <cell r="AU328">
            <v>0.2244566321348771</v>
          </cell>
          <cell r="AW328">
            <v>0.22582205029013538</v>
          </cell>
          <cell r="AY328">
            <v>0.22349763673193787</v>
          </cell>
        </row>
        <row r="329">
          <cell r="A329" t="str">
            <v>Latam/Africa/Middle East</v>
          </cell>
          <cell r="B329">
            <v>0.14419709854927465</v>
          </cell>
          <cell r="C329">
            <v>0.14065165472534971</v>
          </cell>
          <cell r="D329">
            <v>0.13961218836565098</v>
          </cell>
          <cell r="E329">
            <v>0.14653519583675706</v>
          </cell>
          <cell r="F329">
            <v>0.17932343803935105</v>
          </cell>
          <cell r="G329">
            <v>0.14921248963802156</v>
          </cell>
          <cell r="H329">
            <v>0.18053967528012807</v>
          </cell>
          <cell r="I329">
            <v>9.6023758455700381E-2</v>
          </cell>
          <cell r="J329">
            <v>0.14594448571621529</v>
          </cell>
          <cell r="K329">
            <v>0.14312516751541141</v>
          </cell>
          <cell r="L329">
            <v>0.15158007498660953</v>
          </cell>
          <cell r="M329">
            <v>0.14735432016075017</v>
          </cell>
          <cell r="N329">
            <v>0.14729089952656496</v>
          </cell>
          <cell r="O329">
            <v>0.14733291914440402</v>
          </cell>
          <cell r="P329">
            <v>0.1396135265700483</v>
          </cell>
          <cell r="Q329">
            <v>0.1452586486661907</v>
          </cell>
          <cell r="R329">
            <v>0.13843351548269581</v>
          </cell>
          <cell r="S329">
            <v>0.14684796044499382</v>
          </cell>
          <cell r="T329">
            <v>0.14274847870182555</v>
          </cell>
          <cell r="U329">
            <v>0.1445630081300813</v>
          </cell>
          <cell r="V329">
            <v>0.14335250338294994</v>
          </cell>
          <cell r="W329">
            <v>0.15321805955811718</v>
          </cell>
          <cell r="X329">
            <v>0.14592194145609208</v>
          </cell>
          <cell r="Y329">
            <v>0.14086327216334971</v>
          </cell>
          <cell r="Z329">
            <v>0.15238095238095239</v>
          </cell>
          <cell r="AA329">
            <v>0.14692928798629801</v>
          </cell>
          <cell r="AB329">
            <v>0.15593537813158512</v>
          </cell>
          <cell r="AC329">
            <v>0.1500200883889112</v>
          </cell>
          <cell r="AD329">
            <v>0.16636528028933092</v>
          </cell>
          <cell r="AE329">
            <v>0.15390527996215927</v>
          </cell>
          <cell r="AF329">
            <v>0.15458473355736918</v>
          </cell>
          <cell r="AG329">
            <v>0.16064638783269963</v>
          </cell>
          <cell r="AH329">
            <v>0.15761194029850747</v>
          </cell>
          <cell r="AI329">
            <v>0.16142857142857142</v>
          </cell>
          <cell r="AJ329">
            <v>0.15888667992047714</v>
          </cell>
          <cell r="AK329">
            <v>0.16949521322889469</v>
          </cell>
          <cell r="AL329">
            <v>0.16174500553322849</v>
          </cell>
          <cell r="AM329">
            <v>0.15937356057116536</v>
          </cell>
          <cell r="AN329">
            <v>0.15941027413038469</v>
          </cell>
          <cell r="AO329">
            <v>0.15708729472774416</v>
          </cell>
          <cell r="AQ329">
            <v>0.15819397993311038</v>
          </cell>
          <cell r="AR329">
            <v>0.15681288408561136</v>
          </cell>
          <cell r="AT329">
            <v>0.15771787566659362</v>
          </cell>
          <cell r="AU329">
            <v>0.16351817997156207</v>
          </cell>
          <cell r="AW329">
            <v>0.1592520954223082</v>
          </cell>
          <cell r="AY329">
            <v>0.14674769300022508</v>
          </cell>
        </row>
        <row r="334">
          <cell r="A334" t="str">
            <v>Seeds</v>
          </cell>
          <cell r="B334">
            <v>328</v>
          </cell>
          <cell r="C334">
            <v>342</v>
          </cell>
          <cell r="D334">
            <v>164</v>
          </cell>
          <cell r="E334">
            <v>100</v>
          </cell>
          <cell r="F334">
            <v>264</v>
          </cell>
          <cell r="G334">
            <v>45</v>
          </cell>
          <cell r="H334">
            <v>309</v>
          </cell>
          <cell r="I334">
            <v>73</v>
          </cell>
          <cell r="J334">
            <v>382</v>
          </cell>
          <cell r="K334">
            <v>191</v>
          </cell>
          <cell r="L334">
            <v>113</v>
          </cell>
          <cell r="M334">
            <v>304</v>
          </cell>
          <cell r="N334">
            <v>52</v>
          </cell>
          <cell r="O334">
            <v>356</v>
          </cell>
          <cell r="P334">
            <v>96</v>
          </cell>
          <cell r="Q334">
            <v>452</v>
          </cell>
          <cell r="R334">
            <v>222</v>
          </cell>
          <cell r="S334">
            <v>140</v>
          </cell>
          <cell r="T334">
            <v>362</v>
          </cell>
          <cell r="U334">
            <v>51</v>
          </cell>
          <cell r="V334">
            <v>413</v>
          </cell>
          <cell r="W334">
            <v>90</v>
          </cell>
          <cell r="X334">
            <v>503</v>
          </cell>
          <cell r="Y334">
            <v>306</v>
          </cell>
          <cell r="Z334">
            <v>165</v>
          </cell>
          <cell r="AA334">
            <v>471</v>
          </cell>
          <cell r="AB334">
            <v>86</v>
          </cell>
          <cell r="AC334">
            <v>557</v>
          </cell>
          <cell r="AD334">
            <v>130</v>
          </cell>
          <cell r="AE334">
            <v>687</v>
          </cell>
          <cell r="AF334">
            <v>403</v>
          </cell>
          <cell r="AG334">
            <v>195</v>
          </cell>
          <cell r="AH334">
            <v>598</v>
          </cell>
          <cell r="AI334">
            <v>65</v>
          </cell>
          <cell r="AJ334">
            <v>663</v>
          </cell>
          <cell r="AK334">
            <v>157</v>
          </cell>
          <cell r="AL334">
            <v>820</v>
          </cell>
          <cell r="AM334">
            <v>486</v>
          </cell>
          <cell r="AN334">
            <v>486</v>
          </cell>
          <cell r="AO334">
            <v>237</v>
          </cell>
          <cell r="AQ334">
            <v>723</v>
          </cell>
          <cell r="AR334">
            <v>97</v>
          </cell>
          <cell r="AT334">
            <v>820</v>
          </cell>
          <cell r="AU334">
            <v>142</v>
          </cell>
          <cell r="AW334">
            <v>962</v>
          </cell>
          <cell r="AY334">
            <v>489</v>
          </cell>
          <cell r="AZ334">
            <v>230.29542730351812</v>
          </cell>
          <cell r="BA334">
            <v>719.29542730351818</v>
          </cell>
          <cell r="BB334">
            <v>99.030483179340422</v>
          </cell>
          <cell r="BC334">
            <v>818.3259104828586</v>
          </cell>
          <cell r="BD334">
            <v>173.98583436389617</v>
          </cell>
          <cell r="BE334">
            <v>992.31174484675478</v>
          </cell>
          <cell r="BF334">
            <v>1123.3218742181193</v>
          </cell>
          <cell r="BG334">
            <v>1235.6540616399313</v>
          </cell>
          <cell r="BH334">
            <v>1359.2194678039245</v>
          </cell>
          <cell r="BI334">
            <v>1495.1414145843171</v>
          </cell>
          <cell r="BJ334">
            <v>1644.6555560427489</v>
          </cell>
          <cell r="BK334">
            <v>1809.121111647024</v>
          </cell>
          <cell r="BL334">
            <v>1990.0332228117265</v>
          </cell>
          <cell r="BM334">
            <v>2089.5348839523131</v>
          </cell>
          <cell r="BN334">
            <v>2194.011628149929</v>
          </cell>
          <cell r="BO334">
            <v>2303.7122095574255</v>
          </cell>
          <cell r="BW334">
            <v>672.21946780392454</v>
          </cell>
        </row>
        <row r="335">
          <cell r="A335" t="str">
            <v>Growth %</v>
          </cell>
          <cell r="C335">
            <v>4.2682926829268331E-2</v>
          </cell>
          <cell r="J335">
            <v>0.11695906432748537</v>
          </cell>
          <cell r="K335">
            <v>0.16463414634146334</v>
          </cell>
          <cell r="L335">
            <v>0.12999999999999989</v>
          </cell>
          <cell r="M335">
            <v>0.1515151515151516</v>
          </cell>
          <cell r="N335">
            <v>0.15555555555555545</v>
          </cell>
          <cell r="O335">
            <v>0.15210355987055024</v>
          </cell>
          <cell r="P335">
            <v>0.31506849315068486</v>
          </cell>
          <cell r="Q335">
            <v>0.18324607329842935</v>
          </cell>
          <cell r="R335">
            <v>0.16230366492146597</v>
          </cell>
          <cell r="S335">
            <v>0.23893805309734506</v>
          </cell>
          <cell r="T335">
            <v>0.19078947368421062</v>
          </cell>
          <cell r="U335">
            <v>-1.9230769230769273E-2</v>
          </cell>
          <cell r="V335">
            <v>0.1601123595505618</v>
          </cell>
          <cell r="W335">
            <v>-6.25E-2</v>
          </cell>
          <cell r="X335">
            <v>0.11283185840707954</v>
          </cell>
          <cell r="Y335">
            <v>0.37837837837837829</v>
          </cell>
          <cell r="Z335">
            <v>0.1785714285714286</v>
          </cell>
          <cell r="AA335">
            <v>0.30110497237569067</v>
          </cell>
          <cell r="AB335">
            <v>0.68627450980392157</v>
          </cell>
          <cell r="AC335">
            <v>0.34866828087167079</v>
          </cell>
          <cell r="AD335">
            <v>0.44444444444444442</v>
          </cell>
          <cell r="AE335">
            <v>0.36580516898608351</v>
          </cell>
          <cell r="AF335">
            <v>0.31699346405228757</v>
          </cell>
          <cell r="AG335">
            <v>0.18181818181818188</v>
          </cell>
          <cell r="AH335">
            <v>0.26963906581740971</v>
          </cell>
          <cell r="AI335">
            <v>-0.2441860465116279</v>
          </cell>
          <cell r="AJ335">
            <v>0.1903052064631956</v>
          </cell>
          <cell r="AK335">
            <v>0.20769230769230762</v>
          </cell>
          <cell r="AL335">
            <v>0.19359534206695783</v>
          </cell>
          <cell r="AM335">
            <v>0.20595533498759311</v>
          </cell>
          <cell r="AN335">
            <v>0.20595533498759311</v>
          </cell>
          <cell r="AO335">
            <v>0.21538461538461529</v>
          </cell>
          <cell r="AQ335">
            <v>0.20903010033444813</v>
          </cell>
          <cell r="AR335">
            <v>0.49230769230769234</v>
          </cell>
          <cell r="AT335">
            <v>0.23680241327300156</v>
          </cell>
          <cell r="AU335">
            <v>-9.5541401273885329E-2</v>
          </cell>
          <cell r="AW335">
            <v>0.173170731707317</v>
          </cell>
          <cell r="AY335">
            <v>6.1728395061728669E-3</v>
          </cell>
          <cell r="AZ335">
            <v>-2.8289336272075416E-2</v>
          </cell>
          <cell r="BA335">
            <v>-5.1238903132528879E-3</v>
          </cell>
          <cell r="BB335">
            <v>2.0932816281860056E-2</v>
          </cell>
          <cell r="BC335">
            <v>-2.0415725818797581E-3</v>
          </cell>
          <cell r="BD335">
            <v>0.22525235467532512</v>
          </cell>
          <cell r="BE335">
            <v>3.1509090277291874E-2</v>
          </cell>
          <cell r="BF335">
            <v>0.13202517258484803</v>
          </cell>
          <cell r="BG335">
            <v>0.10000000000000009</v>
          </cell>
          <cell r="BH335">
            <v>0.10000000000000009</v>
          </cell>
          <cell r="BI335">
            <v>0.10000000000000009</v>
          </cell>
          <cell r="BJ335">
            <v>0.10000000000000009</v>
          </cell>
          <cell r="BK335">
            <v>0.10000000000000009</v>
          </cell>
          <cell r="BL335">
            <v>0.10000000000000009</v>
          </cell>
          <cell r="BM335">
            <v>5.0000000000000044E-2</v>
          </cell>
          <cell r="BN335">
            <v>5.0000000000000044E-2</v>
          </cell>
          <cell r="BO335">
            <v>5.0000000000000044E-2</v>
          </cell>
          <cell r="BW335">
            <v>-0.26580516898608342</v>
          </cell>
        </row>
        <row r="336">
          <cell r="A336" t="str">
            <v>CER growth %</v>
          </cell>
          <cell r="AL336">
            <v>0.191</v>
          </cell>
          <cell r="AM336">
            <v>0.17100000000000001</v>
          </cell>
          <cell r="AO336">
            <v>0.20499999999999999</v>
          </cell>
          <cell r="AQ336">
            <v>0.182</v>
          </cell>
          <cell r="AR336">
            <v>0.39100000000000001</v>
          </cell>
          <cell r="AT336">
            <v>0.20100000000000001</v>
          </cell>
          <cell r="AU336">
            <v>-0.108</v>
          </cell>
          <cell r="AW336">
            <v>0.14099999999999999</v>
          </cell>
          <cell r="AY336">
            <v>2E-3</v>
          </cell>
          <cell r="AZ336">
            <v>0</v>
          </cell>
          <cell r="BB336">
            <v>0.05</v>
          </cell>
          <cell r="BE336">
            <v>0.05</v>
          </cell>
          <cell r="BF336">
            <v>0.1</v>
          </cell>
          <cell r="BG336">
            <v>0.1</v>
          </cell>
          <cell r="BH336">
            <v>0.1</v>
          </cell>
          <cell r="BI336">
            <v>0.1</v>
          </cell>
          <cell r="BJ336">
            <v>0.1</v>
          </cell>
          <cell r="BK336">
            <v>0.1</v>
          </cell>
          <cell r="BL336">
            <v>0.1</v>
          </cell>
          <cell r="BM336">
            <v>0.05</v>
          </cell>
          <cell r="BN336">
            <v>0.05</v>
          </cell>
          <cell r="BO336">
            <v>0.05</v>
          </cell>
        </row>
        <row r="337">
          <cell r="A337" t="str">
            <v>Herbicides</v>
          </cell>
          <cell r="B337">
            <v>1840</v>
          </cell>
          <cell r="C337">
            <v>1758</v>
          </cell>
          <cell r="D337">
            <v>568</v>
          </cell>
          <cell r="E337">
            <v>479</v>
          </cell>
          <cell r="F337">
            <v>1047</v>
          </cell>
          <cell r="G337">
            <v>306</v>
          </cell>
          <cell r="H337">
            <v>1353</v>
          </cell>
          <cell r="I337">
            <v>372</v>
          </cell>
          <cell r="J337">
            <v>1725</v>
          </cell>
          <cell r="K337">
            <v>664</v>
          </cell>
          <cell r="L337">
            <v>521</v>
          </cell>
          <cell r="M337">
            <v>1185</v>
          </cell>
          <cell r="N337">
            <v>307</v>
          </cell>
          <cell r="O337">
            <v>1492</v>
          </cell>
          <cell r="P337">
            <v>364</v>
          </cell>
          <cell r="Q337">
            <v>1856</v>
          </cell>
          <cell r="R337">
            <v>739</v>
          </cell>
          <cell r="S337">
            <v>542</v>
          </cell>
          <cell r="T337">
            <v>1281</v>
          </cell>
          <cell r="U337">
            <v>282</v>
          </cell>
          <cell r="V337">
            <v>1563</v>
          </cell>
          <cell r="W337">
            <v>423</v>
          </cell>
          <cell r="X337">
            <v>1986</v>
          </cell>
          <cell r="Y337">
            <v>603</v>
          </cell>
          <cell r="Z337">
            <v>587</v>
          </cell>
          <cell r="AA337">
            <v>1190</v>
          </cell>
          <cell r="AB337">
            <v>322</v>
          </cell>
          <cell r="AC337">
            <v>1512</v>
          </cell>
          <cell r="AD337">
            <v>432</v>
          </cell>
          <cell r="AE337">
            <v>1944</v>
          </cell>
          <cell r="AF337">
            <v>701</v>
          </cell>
          <cell r="AG337">
            <v>607</v>
          </cell>
          <cell r="AH337">
            <v>1308</v>
          </cell>
          <cell r="AI337">
            <v>328</v>
          </cell>
          <cell r="AJ337">
            <v>1636</v>
          </cell>
          <cell r="AK337">
            <v>443</v>
          </cell>
          <cell r="AL337">
            <v>2079</v>
          </cell>
          <cell r="AM337">
            <v>848</v>
          </cell>
          <cell r="AN337">
            <v>848</v>
          </cell>
          <cell r="AO337">
            <v>697</v>
          </cell>
          <cell r="AQ337">
            <v>1545</v>
          </cell>
          <cell r="AR337">
            <v>360</v>
          </cell>
          <cell r="AT337">
            <v>1905</v>
          </cell>
          <cell r="AU337">
            <v>451</v>
          </cell>
          <cell r="AW337">
            <v>2356</v>
          </cell>
          <cell r="AY337">
            <v>947</v>
          </cell>
          <cell r="AZ337">
            <v>778.19492025738657</v>
          </cell>
          <cell r="BA337">
            <v>1725.1949202573865</v>
          </cell>
          <cell r="BB337">
            <v>402.22764193618826</v>
          </cell>
          <cell r="BC337">
            <v>2127.4225621935748</v>
          </cell>
          <cell r="BD337">
            <v>533.47199586843499</v>
          </cell>
          <cell r="BE337">
            <v>2660.8945580620098</v>
          </cell>
          <cell r="BF337">
            <v>2879.5443743881956</v>
          </cell>
          <cell r="BG337">
            <v>3023.5215931076054</v>
          </cell>
          <cell r="BH337">
            <v>3174.6976727629858</v>
          </cell>
          <cell r="BI337">
            <v>3333.4325564011351</v>
          </cell>
          <cell r="BJ337">
            <v>3500.1041842211921</v>
          </cell>
          <cell r="BK337">
            <v>3675.1093934322516</v>
          </cell>
          <cell r="BL337">
            <v>3858.8648631038645</v>
          </cell>
          <cell r="BM337">
            <v>3936.042160365942</v>
          </cell>
          <cell r="BN337">
            <v>4014.7630035732609</v>
          </cell>
          <cell r="BO337">
            <v>4095.0582636447261</v>
          </cell>
          <cell r="BW337">
            <v>1230.6976727629858</v>
          </cell>
        </row>
        <row r="338">
          <cell r="A338" t="str">
            <v>Growth %</v>
          </cell>
          <cell r="C338">
            <v>-4.4565217391304368E-2</v>
          </cell>
          <cell r="J338">
            <v>-1.8771331058020424E-2</v>
          </cell>
          <cell r="K338">
            <v>0.16901408450704225</v>
          </cell>
          <cell r="L338">
            <v>8.7682672233820425E-2</v>
          </cell>
          <cell r="M338">
            <v>0.13180515759312317</v>
          </cell>
          <cell r="N338">
            <v>3.2679738562091387E-3</v>
          </cell>
          <cell r="O338">
            <v>0.10273466371027351</v>
          </cell>
          <cell r="P338">
            <v>-2.1505376344086002E-2</v>
          </cell>
          <cell r="Q338">
            <v>7.5942028985507282E-2</v>
          </cell>
          <cell r="R338">
            <v>0.11295180722891573</v>
          </cell>
          <cell r="S338">
            <v>4.0307101727447225E-2</v>
          </cell>
          <cell r="T338">
            <v>8.1012658227848089E-2</v>
          </cell>
          <cell r="U338">
            <v>-8.1433224755700362E-2</v>
          </cell>
          <cell r="V338">
            <v>4.7587131367292201E-2</v>
          </cell>
          <cell r="W338">
            <v>0.16208791208791218</v>
          </cell>
          <cell r="X338">
            <v>7.0043103448275801E-2</v>
          </cell>
          <cell r="Y338">
            <v>-0.18403247631935049</v>
          </cell>
          <cell r="Z338">
            <v>8.302583025830268E-2</v>
          </cell>
          <cell r="AA338">
            <v>-7.1038251366120186E-2</v>
          </cell>
          <cell r="AB338">
            <v>0.14184397163120566</v>
          </cell>
          <cell r="AC338">
            <v>-3.2629558541266812E-2</v>
          </cell>
          <cell r="AD338">
            <v>2.1276595744680771E-2</v>
          </cell>
          <cell r="AE338">
            <v>-2.1148036253776481E-2</v>
          </cell>
          <cell r="AF338">
            <v>0.16252072968490872</v>
          </cell>
          <cell r="AG338">
            <v>3.4071550255536653E-2</v>
          </cell>
          <cell r="AH338">
            <v>9.915966386554631E-2</v>
          </cell>
          <cell r="AI338">
            <v>1.8633540372670732E-2</v>
          </cell>
          <cell r="AJ338">
            <v>8.2010582010582089E-2</v>
          </cell>
          <cell r="AK338">
            <v>2.5462962962963021E-2</v>
          </cell>
          <cell r="AL338">
            <v>6.944444444444442E-2</v>
          </cell>
          <cell r="AM338">
            <v>0.20970042796005717</v>
          </cell>
          <cell r="AN338">
            <v>0.20970042796005717</v>
          </cell>
          <cell r="AO338">
            <v>0.14827018121911029</v>
          </cell>
          <cell r="AQ338">
            <v>0.1811926605504588</v>
          </cell>
          <cell r="AR338">
            <v>9.7560975609756184E-2</v>
          </cell>
          <cell r="AT338">
            <v>0.16442542787286074</v>
          </cell>
          <cell r="AU338">
            <v>1.8058690744920947E-2</v>
          </cell>
          <cell r="AW338">
            <v>0.13323713323713315</v>
          </cell>
          <cell r="AY338">
            <v>0.116745283018868</v>
          </cell>
          <cell r="AZ338">
            <v>0.11649199463039683</v>
          </cell>
          <cell r="BA338">
            <v>0.11663101634782302</v>
          </cell>
          <cell r="BB338">
            <v>0.11729900537830074</v>
          </cell>
          <cell r="BC338">
            <v>0.11675725049531493</v>
          </cell>
          <cell r="BD338">
            <v>0.18286473585018848</v>
          </cell>
          <cell r="BE338">
            <v>0.12941195163922314</v>
          </cell>
          <cell r="BF338">
            <v>8.2171544777570382E-2</v>
          </cell>
          <cell r="BG338">
            <v>5.0000000000000044E-2</v>
          </cell>
          <cell r="BH338">
            <v>5.0000000000000044E-2</v>
          </cell>
          <cell r="BI338">
            <v>5.0000000000000044E-2</v>
          </cell>
          <cell r="BJ338">
            <v>5.0000000000000044E-2</v>
          </cell>
          <cell r="BK338">
            <v>5.0000000000000044E-2</v>
          </cell>
          <cell r="BL338">
            <v>5.0000000000000044E-2</v>
          </cell>
          <cell r="BM338">
            <v>2.0000000000000018E-2</v>
          </cell>
          <cell r="BN338">
            <v>2.0000000000000018E-2</v>
          </cell>
          <cell r="BO338">
            <v>2.0000000000000018E-2</v>
          </cell>
          <cell r="BW338">
            <v>7.1148036253776525E-2</v>
          </cell>
        </row>
        <row r="339">
          <cell r="A339" t="str">
            <v>CER growth %</v>
          </cell>
          <cell r="AL339">
            <v>0.09</v>
          </cell>
          <cell r="AM339">
            <v>0.19</v>
          </cell>
          <cell r="AO339">
            <v>9.7000000000000003E-2</v>
          </cell>
          <cell r="AQ339">
            <v>0.14699999999999999</v>
          </cell>
          <cell r="AR339">
            <v>4.2999999999999997E-2</v>
          </cell>
          <cell r="AT339">
            <v>0.127</v>
          </cell>
          <cell r="AU339">
            <v>5.0000000000000001E-3</v>
          </cell>
          <cell r="AW339">
            <v>0.10100000000000001</v>
          </cell>
          <cell r="AY339">
            <v>0.13300000000000001</v>
          </cell>
          <cell r="AZ339">
            <v>0.15</v>
          </cell>
          <cell r="BB339">
            <v>0.15</v>
          </cell>
          <cell r="BE339">
            <v>0.15</v>
          </cell>
          <cell r="BF339">
            <v>0.05</v>
          </cell>
          <cell r="BG339">
            <v>0.05</v>
          </cell>
          <cell r="BH339">
            <v>0.05</v>
          </cell>
          <cell r="BI339">
            <v>0.05</v>
          </cell>
          <cell r="BJ339">
            <v>0.05</v>
          </cell>
          <cell r="BK339">
            <v>0.05</v>
          </cell>
          <cell r="BL339">
            <v>0.05</v>
          </cell>
          <cell r="BM339">
            <v>0.02</v>
          </cell>
          <cell r="BN339">
            <v>0.02</v>
          </cell>
          <cell r="BO339">
            <v>0.02</v>
          </cell>
        </row>
        <row r="340">
          <cell r="A340" t="str">
            <v>Fungicides</v>
          </cell>
          <cell r="B340">
            <v>1248</v>
          </cell>
          <cell r="C340">
            <v>1200</v>
          </cell>
          <cell r="D340">
            <v>384</v>
          </cell>
          <cell r="E340">
            <v>385</v>
          </cell>
          <cell r="F340">
            <v>769</v>
          </cell>
          <cell r="G340">
            <v>194</v>
          </cell>
          <cell r="H340">
            <v>963</v>
          </cell>
          <cell r="I340">
            <v>307</v>
          </cell>
          <cell r="J340">
            <v>1270</v>
          </cell>
          <cell r="K340">
            <v>448</v>
          </cell>
          <cell r="L340">
            <v>576</v>
          </cell>
          <cell r="M340">
            <v>1024</v>
          </cell>
          <cell r="N340">
            <v>210</v>
          </cell>
          <cell r="O340">
            <v>1234</v>
          </cell>
          <cell r="P340">
            <v>331</v>
          </cell>
          <cell r="Q340">
            <v>1565</v>
          </cell>
          <cell r="R340">
            <v>509</v>
          </cell>
          <cell r="S340">
            <v>493</v>
          </cell>
          <cell r="T340">
            <v>1002</v>
          </cell>
          <cell r="U340">
            <v>225</v>
          </cell>
          <cell r="V340">
            <v>1227</v>
          </cell>
          <cell r="W340">
            <v>337</v>
          </cell>
          <cell r="X340">
            <v>1564</v>
          </cell>
          <cell r="Y340">
            <v>417</v>
          </cell>
          <cell r="Z340">
            <v>477</v>
          </cell>
          <cell r="AA340">
            <v>894</v>
          </cell>
          <cell r="AB340">
            <v>286</v>
          </cell>
          <cell r="AC340">
            <v>1180</v>
          </cell>
          <cell r="AD340">
            <v>390</v>
          </cell>
          <cell r="AE340">
            <v>1570</v>
          </cell>
          <cell r="AF340">
            <v>497</v>
          </cell>
          <cell r="AG340">
            <v>518</v>
          </cell>
          <cell r="AH340">
            <v>1015</v>
          </cell>
          <cell r="AI340">
            <v>297</v>
          </cell>
          <cell r="AJ340">
            <v>1312</v>
          </cell>
          <cell r="AK340">
            <v>397</v>
          </cell>
          <cell r="AL340">
            <v>1709</v>
          </cell>
          <cell r="AM340">
            <v>554</v>
          </cell>
          <cell r="AN340">
            <v>554</v>
          </cell>
          <cell r="AO340">
            <v>614</v>
          </cell>
          <cell r="AQ340">
            <v>1168</v>
          </cell>
          <cell r="AR340">
            <v>361</v>
          </cell>
          <cell r="AT340">
            <v>1529</v>
          </cell>
          <cell r="AU340">
            <v>445</v>
          </cell>
          <cell r="AW340">
            <v>1974</v>
          </cell>
          <cell r="AY340">
            <v>597</v>
          </cell>
          <cell r="AZ340">
            <v>663.35326357282997</v>
          </cell>
          <cell r="BA340">
            <v>1260.35326357283</v>
          </cell>
          <cell r="BB340">
            <v>390.24565660365676</v>
          </cell>
          <cell r="BC340">
            <v>1650.5989201764867</v>
          </cell>
          <cell r="BD340">
            <v>497.97054277580742</v>
          </cell>
          <cell r="BE340">
            <v>2148.5694629522941</v>
          </cell>
          <cell r="BF340">
            <v>2323.0077102993582</v>
          </cell>
          <cell r="BG340">
            <v>2462.3881729173199</v>
          </cell>
          <cell r="BH340">
            <v>2610.1314632923591</v>
          </cell>
          <cell r="BI340">
            <v>2766.7393510899005</v>
          </cell>
          <cell r="BJ340">
            <v>2932.7437121552948</v>
          </cell>
          <cell r="BK340">
            <v>3108.7083348846127</v>
          </cell>
          <cell r="BL340">
            <v>3295.2308349776895</v>
          </cell>
          <cell r="BM340">
            <v>3394.0877600270201</v>
          </cell>
          <cell r="BN340">
            <v>3495.9103928278309</v>
          </cell>
          <cell r="BO340">
            <v>3600.7877046126659</v>
          </cell>
          <cell r="BW340">
            <v>1040.1314632923591</v>
          </cell>
        </row>
        <row r="341">
          <cell r="A341" t="str">
            <v>Growth %</v>
          </cell>
          <cell r="C341">
            <v>-3.8461538461538436E-2</v>
          </cell>
          <cell r="J341">
            <v>5.8333333333333348E-2</v>
          </cell>
          <cell r="K341">
            <v>0.16666666666666674</v>
          </cell>
          <cell r="L341">
            <v>0.49610389610389616</v>
          </cell>
          <cell r="M341">
            <v>0.33159947984395322</v>
          </cell>
          <cell r="N341">
            <v>8.247422680412364E-2</v>
          </cell>
          <cell r="O341">
            <v>0.28141225337487019</v>
          </cell>
          <cell r="P341">
            <v>7.8175895765472347E-2</v>
          </cell>
          <cell r="Q341">
            <v>0.23228346456692917</v>
          </cell>
          <cell r="R341">
            <v>0.13616071428571419</v>
          </cell>
          <cell r="S341">
            <v>-0.14409722222222221</v>
          </cell>
          <cell r="T341">
            <v>-2.1484375E-2</v>
          </cell>
          <cell r="U341">
            <v>7.1428571428571397E-2</v>
          </cell>
          <cell r="V341">
            <v>-5.6726094003241023E-3</v>
          </cell>
          <cell r="W341">
            <v>1.812688821752273E-2</v>
          </cell>
          <cell r="X341">
            <v>-6.3897763578280031E-4</v>
          </cell>
          <cell r="Y341">
            <v>-0.18074656188605109</v>
          </cell>
          <cell r="Z341">
            <v>-3.2454361054766734E-2</v>
          </cell>
          <cell r="AA341">
            <v>-0.10778443113772451</v>
          </cell>
          <cell r="AB341">
            <v>0.27111111111111108</v>
          </cell>
          <cell r="AC341">
            <v>-3.830480847595763E-2</v>
          </cell>
          <cell r="AD341">
            <v>0.15727002967359049</v>
          </cell>
          <cell r="AE341">
            <v>3.8363171355497716E-3</v>
          </cell>
          <cell r="AF341">
            <v>0.1918465227817745</v>
          </cell>
          <cell r="AG341">
            <v>8.595387840670865E-2</v>
          </cell>
          <cell r="AH341">
            <v>0.13534675615212532</v>
          </cell>
          <cell r="AI341">
            <v>3.8461538461538547E-2</v>
          </cell>
          <cell r="AJ341">
            <v>0.11186440677966103</v>
          </cell>
          <cell r="AK341">
            <v>1.7948717948717885E-2</v>
          </cell>
          <cell r="AL341">
            <v>8.8535031847133849E-2</v>
          </cell>
          <cell r="AM341">
            <v>0.11468812877263579</v>
          </cell>
          <cell r="AN341">
            <v>0.11468812877263579</v>
          </cell>
          <cell r="AO341">
            <v>0.1853281853281854</v>
          </cell>
          <cell r="AQ341">
            <v>0.15073891625615765</v>
          </cell>
          <cell r="AR341">
            <v>0.2154882154882154</v>
          </cell>
          <cell r="AT341">
            <v>0.16539634146341453</v>
          </cell>
          <cell r="AU341">
            <v>0.12090680100755669</v>
          </cell>
          <cell r="AW341">
            <v>0.15506143943826789</v>
          </cell>
          <cell r="AY341">
            <v>7.7617328519855588E-2</v>
          </cell>
          <cell r="AZ341">
            <v>8.0379908099071695E-2</v>
          </cell>
          <cell r="BA341">
            <v>7.9069574976738055E-2</v>
          </cell>
          <cell r="BB341">
            <v>8.1012899179104592E-2</v>
          </cell>
          <cell r="BC341">
            <v>7.9528397760946223E-2</v>
          </cell>
          <cell r="BD341">
            <v>0.11903492758608403</v>
          </cell>
          <cell r="BE341">
            <v>8.8434378395285673E-2</v>
          </cell>
          <cell r="BF341">
            <v>8.1188088332677433E-2</v>
          </cell>
          <cell r="BG341">
            <v>6.0000000000000053E-2</v>
          </cell>
          <cell r="BH341">
            <v>6.0000000000000053E-2</v>
          </cell>
          <cell r="BI341">
            <v>6.0000000000000053E-2</v>
          </cell>
          <cell r="BJ341">
            <v>6.0000000000000053E-2</v>
          </cell>
          <cell r="BK341">
            <v>6.0000000000000053E-2</v>
          </cell>
          <cell r="BL341">
            <v>6.0000000000000053E-2</v>
          </cell>
          <cell r="BM341">
            <v>3.0000000000000027E-2</v>
          </cell>
          <cell r="BN341">
            <v>3.0000000000000027E-2</v>
          </cell>
          <cell r="BO341">
            <v>3.0000000000000027E-2</v>
          </cell>
          <cell r="BW341">
            <v>5.6163682864450282E-2</v>
          </cell>
        </row>
        <row r="342">
          <cell r="A342" t="str">
            <v>CER growth %</v>
          </cell>
          <cell r="AL342">
            <v>0.12</v>
          </cell>
          <cell r="AM342">
            <v>0.123</v>
          </cell>
          <cell r="AO342">
            <v>0.151</v>
          </cell>
          <cell r="AQ342">
            <v>0.13700000000000001</v>
          </cell>
          <cell r="AR342">
            <v>0.155</v>
          </cell>
          <cell r="AT342">
            <v>0.14099999999999999</v>
          </cell>
          <cell r="AU342">
            <v>0.10299999999999999</v>
          </cell>
          <cell r="AW342">
            <v>0.13200000000000001</v>
          </cell>
          <cell r="AY342">
            <v>8.6999999999999994E-2</v>
          </cell>
          <cell r="AZ342">
            <v>0.1</v>
          </cell>
          <cell r="BB342">
            <v>0.1</v>
          </cell>
          <cell r="BE342">
            <v>0.1</v>
          </cell>
          <cell r="BF342">
            <v>0.06</v>
          </cell>
          <cell r="BG342">
            <v>0.06</v>
          </cell>
          <cell r="BH342">
            <v>0.06</v>
          </cell>
          <cell r="BI342">
            <v>0.06</v>
          </cell>
          <cell r="BJ342">
            <v>0.06</v>
          </cell>
          <cell r="BK342">
            <v>0.06</v>
          </cell>
          <cell r="BL342">
            <v>0.06</v>
          </cell>
          <cell r="BM342">
            <v>0.03</v>
          </cell>
          <cell r="BN342">
            <v>0.03</v>
          </cell>
          <cell r="BO342">
            <v>0.03</v>
          </cell>
        </row>
        <row r="343">
          <cell r="A343" t="str">
            <v>Insecticides</v>
          </cell>
          <cell r="B343">
            <v>1311</v>
          </cell>
          <cell r="C343">
            <v>1219</v>
          </cell>
          <cell r="D343">
            <v>311</v>
          </cell>
          <cell r="E343">
            <v>313</v>
          </cell>
          <cell r="F343">
            <v>624</v>
          </cell>
          <cell r="G343">
            <v>281</v>
          </cell>
          <cell r="H343">
            <v>905</v>
          </cell>
          <cell r="I343">
            <v>276</v>
          </cell>
          <cell r="J343">
            <v>1181</v>
          </cell>
          <cell r="K343">
            <v>322</v>
          </cell>
          <cell r="L343">
            <v>321</v>
          </cell>
          <cell r="M343">
            <v>643</v>
          </cell>
          <cell r="N343">
            <v>311</v>
          </cell>
          <cell r="O343">
            <v>954</v>
          </cell>
          <cell r="P343">
            <v>321</v>
          </cell>
          <cell r="Q343">
            <v>1275</v>
          </cell>
          <cell r="R343">
            <v>290</v>
          </cell>
          <cell r="S343">
            <v>361</v>
          </cell>
          <cell r="T343">
            <v>651</v>
          </cell>
          <cell r="U343">
            <v>279</v>
          </cell>
          <cell r="V343">
            <v>930</v>
          </cell>
          <cell r="W343">
            <v>304</v>
          </cell>
          <cell r="X343">
            <v>1234</v>
          </cell>
          <cell r="Y343">
            <v>296</v>
          </cell>
          <cell r="Z343">
            <v>344</v>
          </cell>
          <cell r="AA343">
            <v>640</v>
          </cell>
          <cell r="AB343">
            <v>334</v>
          </cell>
          <cell r="AC343">
            <v>974</v>
          </cell>
          <cell r="AD343">
            <v>396</v>
          </cell>
          <cell r="AE343">
            <v>1370</v>
          </cell>
          <cell r="AF343">
            <v>288</v>
          </cell>
          <cell r="AG343">
            <v>317</v>
          </cell>
          <cell r="AH343">
            <v>605</v>
          </cell>
          <cell r="AI343">
            <v>334</v>
          </cell>
          <cell r="AJ343">
            <v>939</v>
          </cell>
          <cell r="AK343">
            <v>351</v>
          </cell>
          <cell r="AL343">
            <v>1290</v>
          </cell>
          <cell r="AM343">
            <v>336</v>
          </cell>
          <cell r="AN343">
            <v>336</v>
          </cell>
          <cell r="AO343">
            <v>378</v>
          </cell>
          <cell r="AQ343">
            <v>714</v>
          </cell>
          <cell r="AR343">
            <v>376</v>
          </cell>
          <cell r="AT343">
            <v>1090</v>
          </cell>
          <cell r="AU343">
            <v>424</v>
          </cell>
          <cell r="AW343">
            <v>1514</v>
          </cell>
          <cell r="AY343">
            <v>342</v>
          </cell>
          <cell r="AZ343">
            <v>376.99009871293407</v>
          </cell>
          <cell r="BA343">
            <v>718.99009871293401</v>
          </cell>
          <cell r="BB343">
            <v>375.22259358761886</v>
          </cell>
          <cell r="BC343">
            <v>1094.2126923005528</v>
          </cell>
          <cell r="BD343">
            <v>429.24558851309575</v>
          </cell>
          <cell r="BE343">
            <v>1523.4582808136486</v>
          </cell>
          <cell r="BF343">
            <v>1590.9955039322354</v>
          </cell>
          <cell r="BG343">
            <v>1622.81541401088</v>
          </cell>
          <cell r="BH343">
            <v>1655.2717222910976</v>
          </cell>
          <cell r="BI343">
            <v>1688.3771567369197</v>
          </cell>
          <cell r="BJ343">
            <v>1722.1446998716581</v>
          </cell>
          <cell r="BK343">
            <v>1756.5875938690913</v>
          </cell>
          <cell r="BL343">
            <v>1791.7193457464732</v>
          </cell>
          <cell r="BM343">
            <v>1827.5537326614026</v>
          </cell>
          <cell r="BN343">
            <v>1864.1048073146308</v>
          </cell>
          <cell r="BO343">
            <v>1901.3869034609233</v>
          </cell>
          <cell r="BW343">
            <v>285.2717222910976</v>
          </cell>
        </row>
        <row r="344">
          <cell r="A344" t="str">
            <v>Growth %</v>
          </cell>
          <cell r="C344">
            <v>-7.0175438596491224E-2</v>
          </cell>
          <cell r="J344">
            <v>-3.1173092698933536E-2</v>
          </cell>
          <cell r="K344">
            <v>3.5369774919614239E-2</v>
          </cell>
          <cell r="L344">
            <v>2.5559105431310014E-2</v>
          </cell>
          <cell r="M344">
            <v>3.0448717948717841E-2</v>
          </cell>
          <cell r="N344">
            <v>0.10676156583629903</v>
          </cell>
          <cell r="O344">
            <v>5.4143646408839841E-2</v>
          </cell>
          <cell r="P344">
            <v>0.16304347826086962</v>
          </cell>
          <cell r="Q344">
            <v>7.9593564775613856E-2</v>
          </cell>
          <cell r="R344">
            <v>-9.9378881987577605E-2</v>
          </cell>
          <cell r="S344">
            <v>0.12461059190031154</v>
          </cell>
          <cell r="T344">
            <v>1.2441679626749691E-2</v>
          </cell>
          <cell r="U344">
            <v>-0.10289389067524113</v>
          </cell>
          <cell r="V344">
            <v>-2.515723270440251E-2</v>
          </cell>
          <cell r="W344">
            <v>-5.2959501557632405E-2</v>
          </cell>
          <cell r="X344">
            <v>-3.2156862745097992E-2</v>
          </cell>
          <cell r="Y344">
            <v>2.0689655172413834E-2</v>
          </cell>
          <cell r="Z344">
            <v>-4.7091412742382266E-2</v>
          </cell>
          <cell r="AA344">
            <v>-1.6897081413210446E-2</v>
          </cell>
          <cell r="AB344">
            <v>0.19713261648745517</v>
          </cell>
          <cell r="AC344">
            <v>4.7311827956989294E-2</v>
          </cell>
          <cell r="AD344">
            <v>0.30263157894736836</v>
          </cell>
          <cell r="AE344">
            <v>0.11021069692058338</v>
          </cell>
          <cell r="AF344">
            <v>-2.7027027027026973E-2</v>
          </cell>
          <cell r="AG344">
            <v>-7.8488372093023284E-2</v>
          </cell>
          <cell r="AH344">
            <v>-5.46875E-2</v>
          </cell>
          <cell r="AI344">
            <v>0</v>
          </cell>
          <cell r="AJ344">
            <v>-3.5934291581108835E-2</v>
          </cell>
          <cell r="AK344">
            <v>-0.11363636363636365</v>
          </cell>
          <cell r="AL344">
            <v>-5.8394160583941646E-2</v>
          </cell>
          <cell r="AM344">
            <v>0.16666666666666674</v>
          </cell>
          <cell r="AN344">
            <v>0.16666666666666674</v>
          </cell>
          <cell r="AO344">
            <v>0.19242902208201884</v>
          </cell>
          <cell r="AQ344">
            <v>0.18016528925619846</v>
          </cell>
          <cell r="AR344">
            <v>0.12574850299401197</v>
          </cell>
          <cell r="AT344">
            <v>0.16080937167199139</v>
          </cell>
          <cell r="AU344">
            <v>0.20797720797720798</v>
          </cell>
          <cell r="AW344">
            <v>0.17364341085271318</v>
          </cell>
          <cell r="AY344">
            <v>1.7857142857142794E-2</v>
          </cell>
          <cell r="AZ344">
            <v>-2.6716965266294634E-3</v>
          </cell>
          <cell r="BA344">
            <v>6.9889337716162458E-3</v>
          </cell>
          <cell r="BB344">
            <v>-2.0675702456944833E-3</v>
          </cell>
          <cell r="BC344">
            <v>3.8648553216080739E-3</v>
          </cell>
          <cell r="BD344">
            <v>1.2371671021452313E-2</v>
          </cell>
          <cell r="BE344">
            <v>6.247213219054526E-3</v>
          </cell>
          <cell r="BF344">
            <v>4.4331521229788118E-2</v>
          </cell>
          <cell r="BG344">
            <v>2.0000000000000018E-2</v>
          </cell>
          <cell r="BH344">
            <v>2.0000000000000018E-2</v>
          </cell>
          <cell r="BI344">
            <v>2.0000000000000018E-2</v>
          </cell>
          <cell r="BJ344">
            <v>2.0000000000000018E-2</v>
          </cell>
          <cell r="BK344">
            <v>2.0000000000000018E-2</v>
          </cell>
          <cell r="BL344">
            <v>2.0000000000000018E-2</v>
          </cell>
          <cell r="BM344">
            <v>2.0000000000000018E-2</v>
          </cell>
          <cell r="BN344">
            <v>2.0000000000000018E-2</v>
          </cell>
          <cell r="BO344">
            <v>2.0000000000000018E-2</v>
          </cell>
          <cell r="BW344">
            <v>-9.0210696920583366E-2</v>
          </cell>
        </row>
        <row r="345">
          <cell r="A345" t="str">
            <v>CER growth %</v>
          </cell>
          <cell r="AL345">
            <v>0</v>
          </cell>
          <cell r="AM345">
            <v>0.17399999999999999</v>
          </cell>
          <cell r="AO345">
            <v>0.14499999999999999</v>
          </cell>
          <cell r="AQ345">
            <v>0.159</v>
          </cell>
          <cell r="AR345">
            <v>7.4999999999999997E-2</v>
          </cell>
          <cell r="AT345">
            <v>0.129</v>
          </cell>
          <cell r="AU345">
            <v>0.20300000000000001</v>
          </cell>
          <cell r="AW345">
            <v>0.14799999999999999</v>
          </cell>
          <cell r="AY345">
            <v>4.8000000000000001E-2</v>
          </cell>
          <cell r="AZ345">
            <v>0.02</v>
          </cell>
          <cell r="BB345">
            <v>0.02</v>
          </cell>
          <cell r="BE345">
            <v>0.02</v>
          </cell>
          <cell r="BF345">
            <v>0.02</v>
          </cell>
          <cell r="BG345">
            <v>0.02</v>
          </cell>
          <cell r="BH345">
            <v>0.02</v>
          </cell>
          <cell r="BI345">
            <v>0.02</v>
          </cell>
          <cell r="BJ345">
            <v>0.02</v>
          </cell>
          <cell r="BK345">
            <v>0.02</v>
          </cell>
          <cell r="BL345">
            <v>0.02</v>
          </cell>
          <cell r="BM345">
            <v>0.02</v>
          </cell>
          <cell r="BN345">
            <v>0.02</v>
          </cell>
          <cell r="BO345">
            <v>0.02</v>
          </cell>
        </row>
        <row r="346">
          <cell r="A346" t="str">
            <v>Seed Growth</v>
          </cell>
          <cell r="B346">
            <v>475</v>
          </cell>
          <cell r="C346">
            <v>467</v>
          </cell>
          <cell r="D346">
            <v>171</v>
          </cell>
          <cell r="E346">
            <v>85</v>
          </cell>
          <cell r="F346">
            <v>256</v>
          </cell>
          <cell r="G346">
            <v>204</v>
          </cell>
          <cell r="H346">
            <v>460</v>
          </cell>
          <cell r="I346">
            <v>145</v>
          </cell>
          <cell r="J346">
            <v>605</v>
          </cell>
          <cell r="K346">
            <v>188</v>
          </cell>
          <cell r="L346">
            <v>108</v>
          </cell>
          <cell r="M346">
            <v>296</v>
          </cell>
          <cell r="N346">
            <v>239</v>
          </cell>
          <cell r="O346">
            <v>535</v>
          </cell>
          <cell r="P346">
            <v>108</v>
          </cell>
          <cell r="Q346">
            <v>643</v>
          </cell>
          <cell r="R346">
            <v>196</v>
          </cell>
          <cell r="S346">
            <v>144</v>
          </cell>
          <cell r="T346">
            <v>340</v>
          </cell>
          <cell r="U346">
            <v>187</v>
          </cell>
          <cell r="V346">
            <v>527</v>
          </cell>
          <cell r="W346">
            <v>113</v>
          </cell>
          <cell r="X346">
            <v>640</v>
          </cell>
          <cell r="Y346">
            <v>160</v>
          </cell>
          <cell r="Z346">
            <v>112</v>
          </cell>
          <cell r="AA346">
            <v>272</v>
          </cell>
          <cell r="AB346">
            <v>188</v>
          </cell>
          <cell r="AC346">
            <v>460</v>
          </cell>
          <cell r="AD346">
            <v>149</v>
          </cell>
          <cell r="AE346">
            <v>609</v>
          </cell>
          <cell r="AF346">
            <v>190</v>
          </cell>
          <cell r="AG346">
            <v>120</v>
          </cell>
          <cell r="AH346">
            <v>310</v>
          </cell>
          <cell r="AI346">
            <v>241</v>
          </cell>
          <cell r="AJ346">
            <v>551</v>
          </cell>
          <cell r="AK346">
            <v>180</v>
          </cell>
          <cell r="AL346">
            <v>731</v>
          </cell>
          <cell r="AM346">
            <v>199</v>
          </cell>
          <cell r="AN346">
            <v>199</v>
          </cell>
          <cell r="AO346">
            <v>161</v>
          </cell>
          <cell r="AQ346">
            <v>360</v>
          </cell>
          <cell r="AR346">
            <v>317</v>
          </cell>
          <cell r="AT346">
            <v>677</v>
          </cell>
          <cell r="AU346">
            <v>220</v>
          </cell>
          <cell r="AW346">
            <v>897</v>
          </cell>
          <cell r="AY346">
            <v>225</v>
          </cell>
          <cell r="AZ346">
            <v>177.76007233960351</v>
          </cell>
          <cell r="BA346">
            <v>402.76007233960354</v>
          </cell>
          <cell r="BB346">
            <v>350.59317466358783</v>
          </cell>
          <cell r="BC346">
            <v>753.35324700319143</v>
          </cell>
          <cell r="BD346">
            <v>254.99749718548446</v>
          </cell>
          <cell r="BE346">
            <v>1008.3507441886759</v>
          </cell>
          <cell r="BF346">
            <v>1214.8078867358959</v>
          </cell>
          <cell r="BG346">
            <v>1397.0290697462801</v>
          </cell>
          <cell r="BH346">
            <v>1606.5834302082221</v>
          </cell>
          <cell r="BI346">
            <v>1847.5709447394554</v>
          </cell>
          <cell r="BJ346">
            <v>2124.7065864503734</v>
          </cell>
          <cell r="BK346">
            <v>2443.4125744179291</v>
          </cell>
          <cell r="BL346">
            <v>2809.9244605806184</v>
          </cell>
          <cell r="BM346">
            <v>2950.4206836096496</v>
          </cell>
          <cell r="BN346">
            <v>3097.9417177901323</v>
          </cell>
          <cell r="BO346">
            <v>3252.8388036796391</v>
          </cell>
          <cell r="BW346">
            <v>997.58343020822213</v>
          </cell>
        </row>
        <row r="347">
          <cell r="A347" t="str">
            <v>Growth %</v>
          </cell>
          <cell r="C347">
            <v>-1.684210526315788E-2</v>
          </cell>
          <cell r="J347">
            <v>0.2955032119914347</v>
          </cell>
          <cell r="K347">
            <v>9.9415204678362512E-2</v>
          </cell>
          <cell r="L347">
            <v>0.27058823529411757</v>
          </cell>
          <cell r="M347">
            <v>0.15625</v>
          </cell>
          <cell r="N347">
            <v>0.17156862745098045</v>
          </cell>
          <cell r="O347">
            <v>0.16304347826086962</v>
          </cell>
          <cell r="P347">
            <v>-0.2551724137931034</v>
          </cell>
          <cell r="Q347">
            <v>6.2809917355372002E-2</v>
          </cell>
          <cell r="R347">
            <v>4.2553191489361764E-2</v>
          </cell>
          <cell r="S347">
            <v>0.33333333333333326</v>
          </cell>
          <cell r="T347">
            <v>0.14864864864864868</v>
          </cell>
          <cell r="U347">
            <v>-0.21757322175732219</v>
          </cell>
          <cell r="V347">
            <v>-1.495327102803734E-2</v>
          </cell>
          <cell r="W347">
            <v>4.629629629629628E-2</v>
          </cell>
          <cell r="X347">
            <v>-4.6656298600310508E-3</v>
          </cell>
          <cell r="Y347">
            <v>-0.18367346938775508</v>
          </cell>
          <cell r="Z347">
            <v>-0.22222222222222221</v>
          </cell>
          <cell r="AA347">
            <v>-0.19999999999999996</v>
          </cell>
          <cell r="AB347">
            <v>5.3475935828877219E-3</v>
          </cell>
          <cell r="AC347">
            <v>-0.19465240641711223</v>
          </cell>
          <cell r="AD347">
            <v>0.31858407079646023</v>
          </cell>
          <cell r="AE347">
            <v>-4.8437500000000022E-2</v>
          </cell>
          <cell r="AF347">
            <v>0.1875</v>
          </cell>
          <cell r="AG347">
            <v>7.1428571428571397E-2</v>
          </cell>
          <cell r="AH347">
            <v>0.13970588235294112</v>
          </cell>
          <cell r="AI347">
            <v>0.28191489361702127</v>
          </cell>
          <cell r="AJ347">
            <v>0.19782608695652182</v>
          </cell>
          <cell r="AK347">
            <v>0.20805369127516782</v>
          </cell>
          <cell r="AL347">
            <v>0.20032840722495893</v>
          </cell>
          <cell r="AM347">
            <v>4.7368421052631504E-2</v>
          </cell>
          <cell r="AN347">
            <v>4.7368421052631504E-2</v>
          </cell>
          <cell r="AO347">
            <v>0.34166666666666656</v>
          </cell>
          <cell r="AQ347">
            <v>0.16129032258064524</v>
          </cell>
          <cell r="AR347">
            <v>0.31535269709543567</v>
          </cell>
          <cell r="AT347">
            <v>0.22867513611615253</v>
          </cell>
          <cell r="AU347">
            <v>0.22222222222222232</v>
          </cell>
          <cell r="AW347">
            <v>0.22708618331053354</v>
          </cell>
          <cell r="AY347">
            <v>0.13065326633165819</v>
          </cell>
          <cell r="AZ347">
            <v>0.10409982819629504</v>
          </cell>
          <cell r="BA347">
            <v>0.11877797872112095</v>
          </cell>
          <cell r="BB347">
            <v>0.10597215982204355</v>
          </cell>
          <cell r="BC347">
            <v>0.11278175332820006</v>
          </cell>
          <cell r="BD347">
            <v>0.15907953266129304</v>
          </cell>
          <cell r="BE347">
            <v>0.1241368385603967</v>
          </cell>
          <cell r="BF347">
            <v>0.20474734980568332</v>
          </cell>
          <cell r="BG347">
            <v>0.14999999999999991</v>
          </cell>
          <cell r="BH347">
            <v>0.14999999999999991</v>
          </cell>
          <cell r="BI347">
            <v>0.14999999999999991</v>
          </cell>
          <cell r="BJ347">
            <v>0.14999999999999991</v>
          </cell>
          <cell r="BK347">
            <v>0.14999999999999991</v>
          </cell>
          <cell r="BL347">
            <v>0.14999999999999991</v>
          </cell>
          <cell r="BM347">
            <v>5.0000000000000044E-2</v>
          </cell>
          <cell r="BN347">
            <v>5.0000000000000044E-2</v>
          </cell>
          <cell r="BO347">
            <v>5.0000000000000044E-2</v>
          </cell>
          <cell r="BW347">
            <v>0.19843749999999993</v>
          </cell>
        </row>
        <row r="348">
          <cell r="A348" t="str">
            <v>CER growth %</v>
          </cell>
          <cell r="AL348">
            <v>0.23599999999999999</v>
          </cell>
          <cell r="AM348">
            <v>3.2000000000000001E-2</v>
          </cell>
          <cell r="AO348">
            <v>0.25800000000000001</v>
          </cell>
          <cell r="AQ348">
            <v>0.11899999999999999</v>
          </cell>
          <cell r="AR348">
            <v>0.23699999999999999</v>
          </cell>
          <cell r="AT348">
            <v>0.17100000000000001</v>
          </cell>
          <cell r="AU348">
            <v>0.183</v>
          </cell>
          <cell r="AW348">
            <v>0.17199999999999999</v>
          </cell>
          <cell r="AY348">
            <v>0.14599999999999999</v>
          </cell>
          <cell r="AZ348">
            <v>0.15</v>
          </cell>
          <cell r="BB348">
            <v>0.15</v>
          </cell>
          <cell r="BE348">
            <v>0.15</v>
          </cell>
          <cell r="BF348">
            <v>0.15</v>
          </cell>
          <cell r="BG348">
            <v>0.15</v>
          </cell>
          <cell r="BH348">
            <v>0.15</v>
          </cell>
          <cell r="BI348">
            <v>0.15</v>
          </cell>
          <cell r="BJ348">
            <v>0.15</v>
          </cell>
          <cell r="BK348">
            <v>0.15</v>
          </cell>
          <cell r="BL348">
            <v>0.15</v>
          </cell>
          <cell r="BM348">
            <v>0.05</v>
          </cell>
          <cell r="BN348">
            <v>0.05</v>
          </cell>
          <cell r="BO348">
            <v>0.05</v>
          </cell>
        </row>
        <row r="349">
          <cell r="A349" t="str">
            <v>Crop Protection/Seeds</v>
          </cell>
          <cell r="B349">
            <v>5202</v>
          </cell>
          <cell r="C349">
            <v>4986</v>
          </cell>
          <cell r="D349">
            <v>1598</v>
          </cell>
          <cell r="E349">
            <v>1362</v>
          </cell>
          <cell r="F349">
            <v>2960</v>
          </cell>
          <cell r="G349">
            <v>1030</v>
          </cell>
          <cell r="H349">
            <v>3990</v>
          </cell>
          <cell r="I349">
            <v>1173</v>
          </cell>
          <cell r="J349">
            <v>5163</v>
          </cell>
          <cell r="K349">
            <v>1813</v>
          </cell>
          <cell r="L349">
            <v>1639</v>
          </cell>
          <cell r="M349">
            <v>3452</v>
          </cell>
          <cell r="N349">
            <v>1119</v>
          </cell>
          <cell r="O349">
            <v>4571</v>
          </cell>
          <cell r="P349">
            <v>1220</v>
          </cell>
          <cell r="Q349">
            <v>5791</v>
          </cell>
          <cell r="R349">
            <v>1956</v>
          </cell>
          <cell r="S349">
            <v>1680</v>
          </cell>
          <cell r="T349">
            <v>3636</v>
          </cell>
          <cell r="U349">
            <v>1024</v>
          </cell>
          <cell r="V349">
            <v>4660</v>
          </cell>
          <cell r="W349">
            <v>1267</v>
          </cell>
          <cell r="X349">
            <v>5927</v>
          </cell>
          <cell r="Y349">
            <v>1782</v>
          </cell>
          <cell r="Z349">
            <v>1685</v>
          </cell>
          <cell r="AA349">
            <v>3467</v>
          </cell>
          <cell r="AB349">
            <v>1216</v>
          </cell>
          <cell r="AC349">
            <v>4683</v>
          </cell>
          <cell r="AD349">
            <v>1497</v>
          </cell>
          <cell r="AE349">
            <v>6180</v>
          </cell>
          <cell r="AF349">
            <v>2079</v>
          </cell>
          <cell r="AG349">
            <v>1757</v>
          </cell>
          <cell r="AH349">
            <v>3836</v>
          </cell>
          <cell r="AI349">
            <v>1265</v>
          </cell>
          <cell r="AJ349">
            <v>5101</v>
          </cell>
          <cell r="AK349">
            <v>1528</v>
          </cell>
          <cell r="AL349">
            <v>6629</v>
          </cell>
          <cell r="AM349">
            <v>2423</v>
          </cell>
          <cell r="AN349">
            <v>2423</v>
          </cell>
          <cell r="AO349">
            <v>2087</v>
          </cell>
          <cell r="AP349">
            <v>2087</v>
          </cell>
          <cell r="AQ349">
            <v>4510</v>
          </cell>
          <cell r="AR349">
            <v>1511</v>
          </cell>
          <cell r="AS349">
            <v>1511</v>
          </cell>
          <cell r="AT349">
            <v>6021</v>
          </cell>
          <cell r="AU349">
            <v>1682</v>
          </cell>
          <cell r="AV349">
            <v>1682</v>
          </cell>
          <cell r="AW349">
            <v>7703</v>
          </cell>
          <cell r="AX349">
            <v>7703</v>
          </cell>
          <cell r="AY349">
            <v>2600</v>
          </cell>
          <cell r="AZ349">
            <v>2226.5937821862722</v>
          </cell>
          <cell r="BA349">
            <v>4826.5937821862726</v>
          </cell>
          <cell r="BB349">
            <v>1617.319549970392</v>
          </cell>
          <cell r="BC349">
            <v>6443.9133321566642</v>
          </cell>
          <cell r="BD349">
            <v>1889.6714587067188</v>
          </cell>
          <cell r="BE349">
            <v>8333.5847908633841</v>
          </cell>
          <cell r="BF349">
            <v>9131.6773495738053</v>
          </cell>
          <cell r="BG349">
            <v>9741.4083114220157</v>
          </cell>
          <cell r="BH349">
            <v>10405.90375635859</v>
          </cell>
          <cell r="BI349">
            <v>11131.261423551729</v>
          </cell>
          <cell r="BJ349">
            <v>11924.354738741267</v>
          </cell>
          <cell r="BK349">
            <v>12792.939008250909</v>
          </cell>
          <cell r="BL349">
            <v>13745.77272722037</v>
          </cell>
          <cell r="BM349">
            <v>14197.639220616325</v>
          </cell>
          <cell r="BN349">
            <v>14666.731549655784</v>
          </cell>
          <cell r="BO349">
            <v>15153.783884955379</v>
          </cell>
          <cell r="BR349">
            <v>0.22540019232807015</v>
          </cell>
          <cell r="BS349">
            <v>0.20120154266707979</v>
          </cell>
          <cell r="BW349">
            <v>4225.9037563585898</v>
          </cell>
        </row>
        <row r="350">
          <cell r="A350" t="str">
            <v>Growth %</v>
          </cell>
          <cell r="C350">
            <v>-4.1522491349480939E-2</v>
          </cell>
          <cell r="J350">
            <v>3.5499398315282704E-2</v>
          </cell>
          <cell r="K350">
            <v>0.13454317897371704</v>
          </cell>
          <cell r="L350">
            <v>0.20337738619676937</v>
          </cell>
          <cell r="M350">
            <v>0.16621621621621618</v>
          </cell>
          <cell r="N350">
            <v>8.6407766990291179E-2</v>
          </cell>
          <cell r="O350">
            <v>0.14561403508771931</v>
          </cell>
          <cell r="P350">
            <v>4.0068201193520947E-2</v>
          </cell>
          <cell r="Q350">
            <v>0.12163470850280844</v>
          </cell>
          <cell r="R350">
            <v>7.8874793160507384E-2</v>
          </cell>
          <cell r="S350">
            <v>2.501525320317266E-2</v>
          </cell>
          <cell r="T350">
            <v>5.330243337195828E-2</v>
          </cell>
          <cell r="U350">
            <v>-8.4897229669347651E-2</v>
          </cell>
          <cell r="V350">
            <v>1.947057536644059E-2</v>
          </cell>
          <cell r="W350">
            <v>3.8524590163934391E-2</v>
          </cell>
          <cell r="X350">
            <v>2.3484717665342769E-2</v>
          </cell>
          <cell r="Y350">
            <v>-8.8957055214723968E-2</v>
          </cell>
          <cell r="Z350">
            <v>2.9761904761904656E-3</v>
          </cell>
          <cell r="AA350">
            <v>-4.6479647964796533E-2</v>
          </cell>
          <cell r="AB350">
            <v>0.1875</v>
          </cell>
          <cell r="AC350">
            <v>0.14102035203520347</v>
          </cell>
          <cell r="AD350">
            <v>0.18153117600631408</v>
          </cell>
          <cell r="AE350">
            <v>4.2686013160114777E-2</v>
          </cell>
          <cell r="AF350">
            <v>0.16666666666666674</v>
          </cell>
          <cell r="AG350">
            <v>4.2729970326409461E-2</v>
          </cell>
          <cell r="AH350">
            <v>0.10643207383905384</v>
          </cell>
          <cell r="AI350">
            <v>4.0296052631578982E-2</v>
          </cell>
          <cell r="AJ350">
            <v>8.9259021994448018E-2</v>
          </cell>
          <cell r="AK350">
            <v>2.0708082832331387E-2</v>
          </cell>
          <cell r="AL350">
            <v>7.2653721682848005E-2</v>
          </cell>
          <cell r="AM350">
            <v>0.16546416546416554</v>
          </cell>
          <cell r="AN350">
            <v>0.16546416546416554</v>
          </cell>
          <cell r="AO350">
            <v>0.18782014797951052</v>
          </cell>
          <cell r="AP350">
            <v>0.18782014797951052</v>
          </cell>
          <cell r="AQ350">
            <v>0.17570385818561007</v>
          </cell>
          <cell r="AR350">
            <v>0.19446640316205532</v>
          </cell>
          <cell r="AS350">
            <v>0.19446640316205532</v>
          </cell>
          <cell r="AT350">
            <v>0.18035679278572836</v>
          </cell>
          <cell r="AU350">
            <v>0.10078534031413611</v>
          </cell>
          <cell r="AV350">
            <v>0.10078534031413611</v>
          </cell>
          <cell r="AW350">
            <v>0.16201538693618955</v>
          </cell>
          <cell r="AX350">
            <v>0.16201538693618955</v>
          </cell>
          <cell r="AY350">
            <v>7.3049938093272759E-2</v>
          </cell>
          <cell r="AZ350">
            <v>6.6887293812301074E-2</v>
          </cell>
          <cell r="BA350">
            <v>7.019817786835314E-2</v>
          </cell>
          <cell r="BB350">
            <v>7.0363699517135725E-2</v>
          </cell>
          <cell r="BC350">
            <v>7.0239716352211268E-2</v>
          </cell>
          <cell r="BD350">
            <v>0.12346697901707415</v>
          </cell>
          <cell r="BE350">
            <v>8.1862234306553816E-2</v>
          </cell>
          <cell r="BF350">
            <v>9.5768217248526577E-2</v>
          </cell>
          <cell r="BG350">
            <v>6.6770970820236863E-2</v>
          </cell>
          <cell r="BH350">
            <v>6.8213488614109252E-2</v>
          </cell>
          <cell r="BI350">
            <v>6.9706359406784379E-2</v>
          </cell>
          <cell r="BJ350">
            <v>7.1249185964808781E-2</v>
          </cell>
          <cell r="BK350">
            <v>7.2841196738946401E-2</v>
          </cell>
          <cell r="BL350">
            <v>7.4481221113844365E-2</v>
          </cell>
          <cell r="BM350">
            <v>3.2873124149734867E-2</v>
          </cell>
          <cell r="BN350">
            <v>3.3040164054759957E-2</v>
          </cell>
          <cell r="BO350">
            <v>3.320796686368932E-2</v>
          </cell>
          <cell r="BW350">
            <v>2.5527475453994475E-2</v>
          </cell>
        </row>
        <row r="351">
          <cell r="A351" t="str">
            <v>CER</v>
          </cell>
          <cell r="Z351">
            <v>-0.39369868018531939</v>
          </cell>
          <cell r="AA351">
            <v>-0.38814789713757758</v>
          </cell>
          <cell r="AG351">
            <v>0.105</v>
          </cell>
          <cell r="AH351">
            <v>0.126</v>
          </cell>
          <cell r="AL351">
            <v>0.1</v>
          </cell>
          <cell r="AM351">
            <v>0.153</v>
          </cell>
          <cell r="AO351">
            <v>0.14499999999999999</v>
          </cell>
          <cell r="AQ351">
            <v>0.14899999999999999</v>
          </cell>
          <cell r="AR351">
            <v>0.13100000000000001</v>
          </cell>
          <cell r="AT351">
            <v>0.13700000000000001</v>
          </cell>
          <cell r="AU351">
            <v>8.4000000000000005E-2</v>
          </cell>
          <cell r="AW351">
            <v>0.13100000000000001</v>
          </cell>
          <cell r="AY351">
            <v>8.5000000000000006E-2</v>
          </cell>
        </row>
        <row r="352">
          <cell r="BW352">
            <v>0</v>
          </cell>
        </row>
        <row r="353">
          <cell r="A353" t="str">
            <v xml:space="preserve">Environmental Science </v>
          </cell>
          <cell r="B353">
            <v>694</v>
          </cell>
          <cell r="C353">
            <v>714</v>
          </cell>
          <cell r="D353">
            <v>188</v>
          </cell>
          <cell r="E353">
            <v>200</v>
          </cell>
          <cell r="F353">
            <v>388</v>
          </cell>
          <cell r="G353">
            <v>127</v>
          </cell>
          <cell r="H353">
            <v>515</v>
          </cell>
          <cell r="I353">
            <v>148</v>
          </cell>
          <cell r="J353">
            <v>663</v>
          </cell>
          <cell r="K353">
            <v>165</v>
          </cell>
          <cell r="L353">
            <v>165</v>
          </cell>
          <cell r="M353">
            <v>330</v>
          </cell>
          <cell r="N353">
            <v>129</v>
          </cell>
          <cell r="O353">
            <v>459</v>
          </cell>
          <cell r="P353">
            <v>132</v>
          </cell>
          <cell r="Q353">
            <v>591</v>
          </cell>
          <cell r="R353">
            <v>164</v>
          </cell>
          <cell r="S353">
            <v>172</v>
          </cell>
          <cell r="T353">
            <v>336</v>
          </cell>
          <cell r="U353">
            <v>116</v>
          </cell>
          <cell r="V353">
            <v>452</v>
          </cell>
          <cell r="W353">
            <v>131</v>
          </cell>
          <cell r="X353">
            <v>583</v>
          </cell>
          <cell r="Y353">
            <v>170</v>
          </cell>
          <cell r="Z353">
            <v>199</v>
          </cell>
          <cell r="AA353">
            <v>369</v>
          </cell>
          <cell r="AB353">
            <v>125</v>
          </cell>
          <cell r="AC353">
            <v>494</v>
          </cell>
          <cell r="AD353">
            <v>156</v>
          </cell>
          <cell r="AE353">
            <v>650</v>
          </cell>
          <cell r="AF353">
            <v>178</v>
          </cell>
          <cell r="AG353">
            <v>186</v>
          </cell>
          <cell r="AH353">
            <v>364</v>
          </cell>
          <cell r="AI353">
            <v>114</v>
          </cell>
          <cell r="AJ353">
            <v>478</v>
          </cell>
          <cell r="AK353">
            <v>148</v>
          </cell>
          <cell r="AL353">
            <v>626</v>
          </cell>
          <cell r="AM353">
            <v>187</v>
          </cell>
          <cell r="AN353">
            <v>187</v>
          </cell>
          <cell r="AO353">
            <v>189</v>
          </cell>
          <cell r="AP353">
            <v>189</v>
          </cell>
          <cell r="AQ353">
            <v>376</v>
          </cell>
          <cell r="AR353">
            <v>130</v>
          </cell>
          <cell r="AS353">
            <v>130</v>
          </cell>
          <cell r="AT353">
            <v>506</v>
          </cell>
          <cell r="AU353">
            <v>174</v>
          </cell>
          <cell r="AV353">
            <v>174</v>
          </cell>
          <cell r="AW353">
            <v>680</v>
          </cell>
          <cell r="AX353">
            <v>680</v>
          </cell>
          <cell r="AY353">
            <v>164</v>
          </cell>
          <cell r="AZ353">
            <v>188.55101656435008</v>
          </cell>
          <cell r="BA353">
            <v>352.55101656435011</v>
          </cell>
          <cell r="BB353">
            <v>129.78138000014926</v>
          </cell>
          <cell r="BC353">
            <v>482.33239656449939</v>
          </cell>
          <cell r="BD353">
            <v>204.36280643043722</v>
          </cell>
          <cell r="BE353">
            <v>686.69520299493661</v>
          </cell>
          <cell r="BF353">
            <v>730.17613823708064</v>
          </cell>
          <cell r="BG353">
            <v>752.08142238419305</v>
          </cell>
          <cell r="BH353">
            <v>774.64386505571883</v>
          </cell>
          <cell r="BI353">
            <v>797.88318100739048</v>
          </cell>
          <cell r="BJ353">
            <v>821.8196764376122</v>
          </cell>
          <cell r="BK353">
            <v>846.47426673074062</v>
          </cell>
          <cell r="BL353">
            <v>871.86849473266284</v>
          </cell>
          <cell r="BM353">
            <v>898.02454957464272</v>
          </cell>
          <cell r="BN353">
            <v>924.96528606188201</v>
          </cell>
          <cell r="BO353">
            <v>952.71424464373854</v>
          </cell>
          <cell r="BR353">
            <v>1.0351597445263065E-2</v>
          </cell>
          <cell r="BS353">
            <v>1.6088234374471003E-2</v>
          </cell>
          <cell r="BW353">
            <v>124.64386505571883</v>
          </cell>
        </row>
        <row r="354">
          <cell r="A354" t="str">
            <v>Growth %</v>
          </cell>
          <cell r="C354">
            <v>2.8818443804034644E-2</v>
          </cell>
          <cell r="J354">
            <v>-7.1428571428571397E-2</v>
          </cell>
          <cell r="K354">
            <v>-0.12234042553191493</v>
          </cell>
          <cell r="L354">
            <v>-0.17500000000000004</v>
          </cell>
          <cell r="M354">
            <v>-0.14948453608247425</v>
          </cell>
          <cell r="N354">
            <v>1.5748031496062964E-2</v>
          </cell>
          <cell r="O354">
            <v>-0.10873786407766994</v>
          </cell>
          <cell r="P354">
            <v>-0.10810810810810811</v>
          </cell>
          <cell r="Q354">
            <v>-0.10859728506787325</v>
          </cell>
          <cell r="R354">
            <v>-6.0606060606060996E-3</v>
          </cell>
          <cell r="S354">
            <v>4.2424242424242475E-2</v>
          </cell>
          <cell r="T354">
            <v>1.8181818181818077E-2</v>
          </cell>
          <cell r="U354">
            <v>-0.10077519379844957</v>
          </cell>
          <cell r="V354">
            <v>-1.5250544662309351E-2</v>
          </cell>
          <cell r="W354">
            <v>-7.575757575757569E-3</v>
          </cell>
          <cell r="X354">
            <v>-1.3536379018612488E-2</v>
          </cell>
          <cell r="Y354">
            <v>3.6585365853658569E-2</v>
          </cell>
          <cell r="Z354">
            <v>0.15697674418604657</v>
          </cell>
          <cell r="AA354">
            <v>9.8214285714285809E-2</v>
          </cell>
          <cell r="AB354">
            <v>7.7586206896551824E-2</v>
          </cell>
          <cell r="AC354">
            <v>9.2920353982300918E-2</v>
          </cell>
          <cell r="AD354">
            <v>0.19083969465648853</v>
          </cell>
          <cell r="AE354">
            <v>0.11492281303602048</v>
          </cell>
          <cell r="AF354">
            <v>4.705882352941182E-2</v>
          </cell>
          <cell r="AG354">
            <v>-6.5326633165829096E-2</v>
          </cell>
          <cell r="AH354">
            <v>-1.3550135501354976E-2</v>
          </cell>
          <cell r="AI354">
            <v>-8.7999999999999967E-2</v>
          </cell>
          <cell r="AJ354">
            <v>-3.2388663967611309E-2</v>
          </cell>
          <cell r="AK354">
            <v>-5.1282051282051322E-2</v>
          </cell>
          <cell r="AL354">
            <v>-3.6923076923076947E-2</v>
          </cell>
          <cell r="AM354">
            <v>5.0561797752809001E-2</v>
          </cell>
          <cell r="AN354">
            <v>5.0561797752809001E-2</v>
          </cell>
          <cell r="AO354">
            <v>1.6129032258064502E-2</v>
          </cell>
          <cell r="AP354">
            <v>1.6129032258064502E-2</v>
          </cell>
          <cell r="AQ354">
            <v>3.2967032967033072E-2</v>
          </cell>
          <cell r="AR354">
            <v>0.14035087719298245</v>
          </cell>
          <cell r="AS354">
            <v>0.14035087719298245</v>
          </cell>
          <cell r="AT354">
            <v>5.8577405857740628E-2</v>
          </cell>
          <cell r="AU354">
            <v>0.17567567567567566</v>
          </cell>
          <cell r="AV354">
            <v>0.17567567567567566</v>
          </cell>
          <cell r="AW354">
            <v>8.6261980830670826E-2</v>
          </cell>
          <cell r="AX354">
            <v>8.6261980830670826E-2</v>
          </cell>
          <cell r="AY354">
            <v>-0.12299465240641716</v>
          </cell>
          <cell r="AZ354">
            <v>-2.3755737335974247E-3</v>
          </cell>
          <cell r="BA354">
            <v>-6.2364317648004985E-2</v>
          </cell>
          <cell r="BB354">
            <v>-1.6816923065441358E-3</v>
          </cell>
          <cell r="BC354">
            <v>-4.6773919833005162E-2</v>
          </cell>
          <cell r="BD354">
            <v>0.17449888753124831</v>
          </cell>
          <cell r="BE354">
            <v>9.8458867572597253E-3</v>
          </cell>
          <cell r="BF354">
            <v>6.3319118951912445E-2</v>
          </cell>
          <cell r="BG354">
            <v>3.0000000000000027E-2</v>
          </cell>
          <cell r="BH354">
            <v>3.0000000000000027E-2</v>
          </cell>
          <cell r="BI354">
            <v>3.0000000000000027E-2</v>
          </cell>
          <cell r="BJ354">
            <v>3.0000000000000027E-2</v>
          </cell>
          <cell r="BK354">
            <v>3.0000000000000027E-2</v>
          </cell>
          <cell r="BL354">
            <v>3.0000000000000027E-2</v>
          </cell>
          <cell r="BM354">
            <v>3.0000000000000027E-2</v>
          </cell>
          <cell r="BN354">
            <v>3.0000000000000027E-2</v>
          </cell>
          <cell r="BO354">
            <v>3.0000000000000027E-2</v>
          </cell>
          <cell r="BW354">
            <v>-8.492281303602045E-2</v>
          </cell>
        </row>
        <row r="355">
          <cell r="A355" t="str">
            <v>CER</v>
          </cell>
          <cell r="Z355">
            <v>0.23969812647546332</v>
          </cell>
          <cell r="AA355">
            <v>0.24345396345849524</v>
          </cell>
          <cell r="AG355">
            <v>-1.7000000000000001E-2</v>
          </cell>
          <cell r="AH355">
            <v>5.0000000000000001E-3</v>
          </cell>
          <cell r="AL355">
            <v>-1.4999999999999999E-2</v>
          </cell>
          <cell r="AM355">
            <v>3.4000000000000002E-2</v>
          </cell>
          <cell r="AO355">
            <v>-3.7999999999999999E-2</v>
          </cell>
          <cell r="AQ355">
            <v>-3.0000000000000001E-3</v>
          </cell>
          <cell r="AR355">
            <v>8.7999999999999995E-2</v>
          </cell>
          <cell r="AT355">
            <v>1.9E-2</v>
          </cell>
          <cell r="AU355">
            <v>0.16200000000000001</v>
          </cell>
          <cell r="AW355">
            <v>5.2999999999999999E-2</v>
          </cell>
          <cell r="AY355">
            <v>-0.10199999999999999</v>
          </cell>
          <cell r="AZ355">
            <v>0.03</v>
          </cell>
          <cell r="BB355">
            <v>0.03</v>
          </cell>
          <cell r="BE355">
            <v>0.03</v>
          </cell>
          <cell r="BF355">
            <v>0.03</v>
          </cell>
          <cell r="BG355">
            <v>0.03</v>
          </cell>
          <cell r="BH355">
            <v>0.03</v>
          </cell>
          <cell r="BI355">
            <v>0.03</v>
          </cell>
          <cell r="BJ355">
            <v>0.03</v>
          </cell>
          <cell r="BK355">
            <v>0.03</v>
          </cell>
          <cell r="BL355">
            <v>0.03</v>
          </cell>
          <cell r="BM355">
            <v>0.03</v>
          </cell>
          <cell r="BN355">
            <v>0.03</v>
          </cell>
          <cell r="BO355">
            <v>0.03</v>
          </cell>
        </row>
        <row r="356">
          <cell r="A356" t="str">
            <v>Total Cropscience</v>
          </cell>
          <cell r="B356">
            <v>5896</v>
          </cell>
          <cell r="C356">
            <v>5700</v>
          </cell>
          <cell r="D356">
            <v>1786</v>
          </cell>
          <cell r="E356">
            <v>1562</v>
          </cell>
          <cell r="F356">
            <v>3348</v>
          </cell>
          <cell r="G356">
            <v>1157</v>
          </cell>
          <cell r="H356">
            <v>4505</v>
          </cell>
          <cell r="I356">
            <v>1321</v>
          </cell>
          <cell r="J356">
            <v>5826</v>
          </cell>
          <cell r="K356">
            <v>1978</v>
          </cell>
          <cell r="L356">
            <v>1804</v>
          </cell>
          <cell r="M356">
            <v>3782</v>
          </cell>
          <cell r="N356">
            <v>1248</v>
          </cell>
          <cell r="O356">
            <v>5030</v>
          </cell>
          <cell r="P356">
            <v>1352</v>
          </cell>
          <cell r="Q356">
            <v>6382</v>
          </cell>
          <cell r="R356">
            <v>2120</v>
          </cell>
          <cell r="S356">
            <v>1852</v>
          </cell>
          <cell r="T356">
            <v>3972</v>
          </cell>
          <cell r="U356">
            <v>1140</v>
          </cell>
          <cell r="V356">
            <v>5112</v>
          </cell>
          <cell r="W356">
            <v>1398</v>
          </cell>
          <cell r="X356">
            <v>6510</v>
          </cell>
          <cell r="Y356">
            <v>1952</v>
          </cell>
          <cell r="Z356">
            <v>1884</v>
          </cell>
          <cell r="AA356">
            <v>3836</v>
          </cell>
          <cell r="AB356">
            <v>1341</v>
          </cell>
          <cell r="AC356">
            <v>5177</v>
          </cell>
          <cell r="AD356">
            <v>1653</v>
          </cell>
          <cell r="AE356">
            <v>6830</v>
          </cell>
          <cell r="AF356">
            <v>2257</v>
          </cell>
          <cell r="AG356">
            <v>1943</v>
          </cell>
          <cell r="AH356">
            <v>4200</v>
          </cell>
          <cell r="AI356">
            <v>1379</v>
          </cell>
          <cell r="AJ356">
            <v>5579</v>
          </cell>
          <cell r="AK356">
            <v>1676</v>
          </cell>
          <cell r="AL356">
            <v>7255</v>
          </cell>
          <cell r="AM356">
            <v>2610</v>
          </cell>
          <cell r="AN356">
            <v>2610</v>
          </cell>
          <cell r="AO356">
            <v>2276</v>
          </cell>
          <cell r="AP356">
            <v>2276</v>
          </cell>
          <cell r="AQ356">
            <v>4886</v>
          </cell>
          <cell r="AR356">
            <v>1641</v>
          </cell>
          <cell r="AS356">
            <v>1641</v>
          </cell>
          <cell r="AT356">
            <v>6527</v>
          </cell>
          <cell r="AU356">
            <v>1856</v>
          </cell>
          <cell r="AV356">
            <v>1856</v>
          </cell>
          <cell r="AW356">
            <v>8383</v>
          </cell>
          <cell r="AX356">
            <v>8383</v>
          </cell>
          <cell r="AY356">
            <v>2764</v>
          </cell>
          <cell r="AZ356">
            <v>2415.1447987506222</v>
          </cell>
          <cell r="BA356">
            <v>5179.1447987506226</v>
          </cell>
          <cell r="BB356">
            <v>1747.1009299705413</v>
          </cell>
          <cell r="BC356">
            <v>6926.2457287211637</v>
          </cell>
          <cell r="BD356">
            <v>2094.0342651371561</v>
          </cell>
          <cell r="BE356">
            <v>9020.2799938583212</v>
          </cell>
          <cell r="BF356">
            <v>9861.8534878108858</v>
          </cell>
          <cell r="BG356">
            <v>10493.489733806209</v>
          </cell>
          <cell r="BH356">
            <v>11180.547621414309</v>
          </cell>
          <cell r="BI356">
            <v>11929.144604559118</v>
          </cell>
          <cell r="BJ356">
            <v>12746.174415178879</v>
          </cell>
          <cell r="BK356">
            <v>13639.413274981649</v>
          </cell>
          <cell r="BL356">
            <v>14617.641221953032</v>
          </cell>
          <cell r="BM356">
            <v>15095.663770190968</v>
          </cell>
          <cell r="BN356">
            <v>15591.696835717667</v>
          </cell>
          <cell r="BO356">
            <v>16106.498129599118</v>
          </cell>
          <cell r="BR356">
            <v>0.23575178977333322</v>
          </cell>
          <cell r="BS356">
            <v>0.21728977704155081</v>
          </cell>
          <cell r="BW356">
            <v>4350.5476214143091</v>
          </cell>
        </row>
        <row r="357">
          <cell r="A357" t="str">
            <v>Growth %</v>
          </cell>
          <cell r="C357">
            <v>-3.3242876526458631E-2</v>
          </cell>
          <cell r="J357">
            <v>2.2105263157894628E-2</v>
          </cell>
          <cell r="K357">
            <v>0.10750279955207165</v>
          </cell>
          <cell r="L357">
            <v>0.15492957746478875</v>
          </cell>
          <cell r="M357">
            <v>0.12962962962962954</v>
          </cell>
          <cell r="N357">
            <v>7.8651685393258397E-2</v>
          </cell>
          <cell r="O357">
            <v>0.1165371809100999</v>
          </cell>
          <cell r="P357">
            <v>2.346707040121121E-2</v>
          </cell>
          <cell r="Q357">
            <v>9.5434260212839073E-2</v>
          </cell>
          <cell r="R357">
            <v>7.1789686552072851E-2</v>
          </cell>
          <cell r="S357">
            <v>2.6607538802660757E-2</v>
          </cell>
          <cell r="T357">
            <v>5.0237969328397636E-2</v>
          </cell>
          <cell r="U357">
            <v>-8.6538461538461564E-2</v>
          </cell>
          <cell r="V357">
            <v>1.6302186878727642E-2</v>
          </cell>
          <cell r="W357">
            <v>3.4023668639053151E-2</v>
          </cell>
          <cell r="X357">
            <v>2.0056408649326229E-2</v>
          </cell>
          <cell r="Y357">
            <v>-7.9245283018867907E-2</v>
          </cell>
          <cell r="Z357">
            <v>1.7278617710583255E-2</v>
          </cell>
          <cell r="AA357">
            <v>-3.423967774420944E-2</v>
          </cell>
          <cell r="AB357">
            <v>0.1763157894736842</v>
          </cell>
          <cell r="AC357">
            <v>1.2715179968701085E-2</v>
          </cell>
          <cell r="AD357">
            <v>0.18240343347639487</v>
          </cell>
          <cell r="AE357">
            <v>4.9155145929339561E-2</v>
          </cell>
          <cell r="AF357">
            <v>0.15625</v>
          </cell>
          <cell r="AG357">
            <v>3.1316348195329136E-2</v>
          </cell>
          <cell r="AH357">
            <v>9.4890510948905105E-2</v>
          </cell>
          <cell r="AI357">
            <v>2.8337061894108784E-2</v>
          </cell>
          <cell r="AJ357">
            <v>7.7651149314274637E-2</v>
          </cell>
          <cell r="AK357">
            <v>1.3914095583787089E-2</v>
          </cell>
          <cell r="AL357">
            <v>6.2225475841874101E-2</v>
          </cell>
          <cell r="AM357">
            <v>0.15640230394328758</v>
          </cell>
          <cell r="AN357">
            <v>0.15640230394328758</v>
          </cell>
          <cell r="AO357">
            <v>0.17138445702521876</v>
          </cell>
          <cell r="AP357">
            <v>0.17138445702521876</v>
          </cell>
          <cell r="AQ357">
            <v>0.16333333333333333</v>
          </cell>
          <cell r="AR357">
            <v>0.18999274836838298</v>
          </cell>
          <cell r="AS357">
            <v>0.18999274836838298</v>
          </cell>
          <cell r="AT357">
            <v>0.16992292525542219</v>
          </cell>
          <cell r="AU357">
            <v>0.10739856801909298</v>
          </cell>
          <cell r="AV357">
            <v>0.10739856801909298</v>
          </cell>
          <cell r="AW357">
            <v>0.15547898001378369</v>
          </cell>
          <cell r="AX357">
            <v>0.15547898001378369</v>
          </cell>
          <cell r="AY357">
            <v>5.9003831417624442E-2</v>
          </cell>
          <cell r="AZ357">
            <v>6.1135676076723211E-2</v>
          </cell>
          <cell r="BA357">
            <v>5.9996888815109006E-2</v>
          </cell>
          <cell r="BB357">
            <v>6.4656264454930668E-2</v>
          </cell>
          <cell r="BC357">
            <v>6.1168335946248487E-2</v>
          </cell>
          <cell r="BD357">
            <v>0.12825122044027815</v>
          </cell>
          <cell r="BE357">
            <v>7.6020516981787134E-2</v>
          </cell>
          <cell r="BF357">
            <v>9.329793471217851E-2</v>
          </cell>
          <cell r="BG357">
            <v>6.404843133960747E-2</v>
          </cell>
          <cell r="BH357">
            <v>6.5474680495912541E-2</v>
          </cell>
          <cell r="BI357">
            <v>6.6955305633778384E-2</v>
          </cell>
          <cell r="BJ357">
            <v>6.8490226055898829E-2</v>
          </cell>
          <cell r="BK357">
            <v>7.0078976695866491E-2</v>
          </cell>
          <cell r="BL357">
            <v>7.1720676487288193E-2</v>
          </cell>
          <cell r="BM357">
            <v>3.2701756800545434E-2</v>
          </cell>
          <cell r="BN357">
            <v>3.2859308015736444E-2</v>
          </cell>
          <cell r="BO357">
            <v>3.301765672496515E-2</v>
          </cell>
          <cell r="BW357">
            <v>1.631953456657298E-2</v>
          </cell>
        </row>
        <row r="358">
          <cell r="A358" t="str">
            <v>CER</v>
          </cell>
          <cell r="C358">
            <v>-2.3E-2</v>
          </cell>
          <cell r="J358">
            <v>5.6000000000000001E-2</v>
          </cell>
          <cell r="K358">
            <v>0.14799999999999999</v>
          </cell>
          <cell r="L358">
            <v>0.23</v>
          </cell>
          <cell r="M358">
            <v>0.1862568697729988</v>
          </cell>
          <cell r="N358">
            <v>0.14000000000000001</v>
          </cell>
          <cell r="O358">
            <v>0.17437691453940066</v>
          </cell>
          <cell r="P358">
            <v>1.835427706283126E-2</v>
          </cell>
          <cell r="Q358">
            <v>0.13900000000000001</v>
          </cell>
          <cell r="R358">
            <v>7.3789686552072853E-2</v>
          </cell>
          <cell r="S358">
            <v>1.9607538802660758E-2</v>
          </cell>
          <cell r="T358">
            <v>4.8237969328397634E-2</v>
          </cell>
          <cell r="U358">
            <v>-9.1538461538461569E-2</v>
          </cell>
          <cell r="V358">
            <v>1.6302186878727642E-2</v>
          </cell>
          <cell r="W358">
            <v>6.8655325443786872E-2</v>
          </cell>
          <cell r="X358">
            <v>2.5056408649326227E-2</v>
          </cell>
          <cell r="Y358">
            <v>-0.10024528301886791</v>
          </cell>
          <cell r="Z358">
            <v>-5.4721382289416753E-2</v>
          </cell>
          <cell r="AA358">
            <v>-7.9239677744209439E-2</v>
          </cell>
          <cell r="AB358">
            <v>8.3315789473684204E-2</v>
          </cell>
          <cell r="AC358">
            <v>-4.3284820031298916E-2</v>
          </cell>
          <cell r="AD358">
            <v>9.6755364806867028E-2</v>
          </cell>
          <cell r="AE358">
            <v>-1.2844854070660437E-2</v>
          </cell>
          <cell r="AF358">
            <v>0.13625000000000001</v>
          </cell>
          <cell r="AG358">
            <v>9.2316348195329134E-2</v>
          </cell>
          <cell r="AH358">
            <v>0.11389051094890511</v>
          </cell>
          <cell r="AI358">
            <v>9.4337061894108787E-2</v>
          </cell>
          <cell r="AJ358">
            <v>4.1651149314274639E-2</v>
          </cell>
          <cell r="AK358">
            <v>2.7914095583787088E-2</v>
          </cell>
          <cell r="AL358">
            <v>8.9225475841874097E-2</v>
          </cell>
          <cell r="AM358">
            <v>0.1444023039432876</v>
          </cell>
          <cell r="AN358">
            <v>0.1444023039432876</v>
          </cell>
          <cell r="AO358">
            <v>0.12738445702521878</v>
          </cell>
          <cell r="AQ358">
            <v>0.13633333333333333</v>
          </cell>
          <cell r="AR358">
            <v>0.12799274836838298</v>
          </cell>
          <cell r="AT358">
            <v>0.13392292525542221</v>
          </cell>
          <cell r="AU358">
            <v>9.1398568019092977E-2</v>
          </cell>
          <cell r="AW358">
            <v>0.12447898001378369</v>
          </cell>
          <cell r="AY358">
            <v>7.2003831417624439E-2</v>
          </cell>
          <cell r="AZ358">
            <v>9.0135676076723209E-2</v>
          </cell>
          <cell r="BA358">
            <v>8.0996888815109011E-2</v>
          </cell>
          <cell r="BB358">
            <v>9.3656264454930666E-2</v>
          </cell>
          <cell r="BC358">
            <v>8.5594254092856231E-2</v>
          </cell>
          <cell r="BD358">
            <v>0.12686970845565315</v>
          </cell>
          <cell r="BE358">
            <v>9.4020516981787136E-2</v>
          </cell>
          <cell r="BF358">
            <v>6.229793471217851E-2</v>
          </cell>
          <cell r="BG358">
            <v>6.404843133960747E-2</v>
          </cell>
          <cell r="BH358">
            <v>6.5474680495912541E-2</v>
          </cell>
          <cell r="BI358">
            <v>6.6955305633778384E-2</v>
          </cell>
          <cell r="BJ358">
            <v>6.8490226055898829E-2</v>
          </cell>
          <cell r="BK358">
            <v>7.0078976695866491E-2</v>
          </cell>
          <cell r="BL358">
            <v>7.1720676487288193E-2</v>
          </cell>
          <cell r="BM358">
            <v>3.2701756800545434E-2</v>
          </cell>
          <cell r="BN358">
            <v>3.2859308015736444E-2</v>
          </cell>
          <cell r="BO358">
            <v>3.301765672496515E-2</v>
          </cell>
        </row>
        <row r="359">
          <cell r="A359" t="str">
            <v>VOLUME</v>
          </cell>
          <cell r="R359">
            <v>3.4000000000000002E-2</v>
          </cell>
          <cell r="S359">
            <v>-1.6E-2</v>
          </cell>
          <cell r="T359">
            <v>0.01</v>
          </cell>
          <cell r="U359">
            <v>7.1999999999999995E-2</v>
          </cell>
          <cell r="V359">
            <v>-1.0999999999999999E-2</v>
          </cell>
          <cell r="W359">
            <v>-3.821005917159763E-2</v>
          </cell>
          <cell r="X359">
            <v>1.2E-2</v>
          </cell>
          <cell r="Y359">
            <v>-9.9000000000000005E-2</v>
          </cell>
          <cell r="Z359">
            <v>-2.8000000000000001E-2</v>
          </cell>
          <cell r="AA359">
            <v>-6.6000000000000003E-2</v>
          </cell>
          <cell r="AB359">
            <v>8.5999999999999993E-2</v>
          </cell>
          <cell r="AC359">
            <v>-3.2000000000000001E-2</v>
          </cell>
          <cell r="AD359">
            <v>8.4496423462088743E-2</v>
          </cell>
          <cell r="AE359">
            <v>-7.0000000000000001E-3</v>
          </cell>
          <cell r="AF359">
            <v>0.129</v>
          </cell>
          <cell r="AG359">
            <v>0.111</v>
          </cell>
          <cell r="AH359">
            <v>0.12</v>
          </cell>
          <cell r="AI359">
            <v>0.113</v>
          </cell>
          <cell r="AJ359">
            <v>0.124</v>
          </cell>
          <cell r="AK359">
            <v>3.3000000000000002E-2</v>
          </cell>
          <cell r="AL359">
            <v>9.7000000000000003E-2</v>
          </cell>
          <cell r="AM359">
            <v>0.13700000000000001</v>
          </cell>
          <cell r="AN359">
            <v>0.13700000000000001</v>
          </cell>
          <cell r="AO359">
            <v>0.112</v>
          </cell>
          <cell r="AQ359">
            <v>0.125</v>
          </cell>
          <cell r="AR359">
            <v>0.122</v>
          </cell>
          <cell r="AT359">
            <v>0.124</v>
          </cell>
          <cell r="AU359">
            <v>0.09</v>
          </cell>
          <cell r="AW359">
            <v>0.11600000000000001</v>
          </cell>
          <cell r="AY359">
            <v>3.9E-2</v>
          </cell>
          <cell r="AZ359">
            <v>8.5135676076723205E-2</v>
          </cell>
          <cell r="BB359">
            <v>8.8656264454930661E-2</v>
          </cell>
          <cell r="BD359">
            <v>0.12186970845565315</v>
          </cell>
          <cell r="BE359">
            <v>8.9020516981787132E-2</v>
          </cell>
          <cell r="BF359">
            <v>5.7297934712178512E-2</v>
          </cell>
          <cell r="BG359">
            <v>5.4048431339607468E-2</v>
          </cell>
          <cell r="BH359">
            <v>5.5474680495912539E-2</v>
          </cell>
          <cell r="BI359">
            <v>5.6955305633778382E-2</v>
          </cell>
          <cell r="BJ359">
            <v>5.8490226055898827E-2</v>
          </cell>
          <cell r="BK359">
            <v>6.0078976695866489E-2</v>
          </cell>
          <cell r="BL359">
            <v>6.1720676487288191E-2</v>
          </cell>
          <cell r="BM359">
            <v>2.2701756800545432E-2</v>
          </cell>
          <cell r="BN359">
            <v>2.2859308015736442E-2</v>
          </cell>
          <cell r="BO359">
            <v>2.3017656724965148E-2</v>
          </cell>
        </row>
        <row r="360">
          <cell r="A360" t="str">
            <v>PRICE</v>
          </cell>
          <cell r="R360">
            <v>0.04</v>
          </cell>
          <cell r="S360">
            <v>3.5999999999999997E-2</v>
          </cell>
          <cell r="T360">
            <v>3.7999999999999999E-2</v>
          </cell>
          <cell r="U360">
            <v>0.01</v>
          </cell>
          <cell r="V360">
            <v>2.7E-2</v>
          </cell>
          <cell r="W360">
            <v>-5.4421597633136087E-2</v>
          </cell>
          <cell r="X360">
            <v>1.2999999999999999E-2</v>
          </cell>
          <cell r="Y360">
            <v>-1E-3</v>
          </cell>
          <cell r="Z360">
            <v>-2.7E-2</v>
          </cell>
          <cell r="AA360">
            <v>-1.2999999999999999E-2</v>
          </cell>
          <cell r="AB360">
            <v>-3.0000000000000001E-3</v>
          </cell>
          <cell r="AC360">
            <v>-1.0999999999999999E-2</v>
          </cell>
          <cell r="AD360">
            <v>1.1791130185979968E-2</v>
          </cell>
          <cell r="AE360">
            <v>-6.0000000000000001E-3</v>
          </cell>
          <cell r="AF360">
            <v>7.0000000000000001E-3</v>
          </cell>
          <cell r="AG360">
            <v>-1.9E-2</v>
          </cell>
          <cell r="AH360">
            <v>-6.0000000000000001E-3</v>
          </cell>
          <cell r="AI360">
            <v>-1.9E-2</v>
          </cell>
          <cell r="AJ360">
            <v>0.01</v>
          </cell>
          <cell r="AK360">
            <v>-5.0000000000000001E-3</v>
          </cell>
          <cell r="AL360">
            <v>-8.0000000000000002E-3</v>
          </cell>
          <cell r="AM360">
            <v>7.0000000000000001E-3</v>
          </cell>
          <cell r="AN360">
            <v>7.0000000000000001E-3</v>
          </cell>
          <cell r="AO360">
            <v>1.4999999999999999E-2</v>
          </cell>
          <cell r="AQ360">
            <v>1.0999999999999999E-2</v>
          </cell>
          <cell r="AR360">
            <v>6.0000000000000001E-3</v>
          </cell>
          <cell r="AT360">
            <v>0.01</v>
          </cell>
          <cell r="AU360">
            <v>1E-3</v>
          </cell>
          <cell r="AW360">
            <v>8.0000000000000002E-3</v>
          </cell>
          <cell r="AY360">
            <v>3.3000000000000002E-2</v>
          </cell>
          <cell r="AZ360">
            <v>5.0000000000000001E-3</v>
          </cell>
          <cell r="BB360">
            <v>5.0000000000000001E-3</v>
          </cell>
          <cell r="BD360">
            <v>5.0000000000000001E-3</v>
          </cell>
          <cell r="BE360">
            <v>5.0000000000000001E-3</v>
          </cell>
          <cell r="BF360">
            <v>5.0000000000000001E-3</v>
          </cell>
          <cell r="BG360">
            <v>0.01</v>
          </cell>
          <cell r="BH360">
            <v>0.01</v>
          </cell>
          <cell r="BI360">
            <v>0.01</v>
          </cell>
          <cell r="BJ360">
            <v>0.01</v>
          </cell>
          <cell r="BK360">
            <v>0.01</v>
          </cell>
          <cell r="BL360">
            <v>0.01</v>
          </cell>
          <cell r="BM360">
            <v>0.01</v>
          </cell>
          <cell r="BN360">
            <v>0.01</v>
          </cell>
          <cell r="BO360">
            <v>0.01</v>
          </cell>
        </row>
        <row r="361">
          <cell r="A361" t="str">
            <v>FX</v>
          </cell>
          <cell r="R361">
            <v>-2E-3</v>
          </cell>
          <cell r="S361">
            <v>7.0000000000000001E-3</v>
          </cell>
          <cell r="T361">
            <v>2E-3</v>
          </cell>
          <cell r="U361">
            <v>5.0000000000000001E-3</v>
          </cell>
          <cell r="V361">
            <v>0</v>
          </cell>
          <cell r="W361">
            <v>-3.9352071005917158E-2</v>
          </cell>
          <cell r="X361">
            <v>-6.0000000000000001E-3</v>
          </cell>
          <cell r="Y361">
            <v>0.02</v>
          </cell>
          <cell r="Z361">
            <v>7.0000000000000007E-2</v>
          </cell>
          <cell r="AA361">
            <v>4.2999999999999997E-2</v>
          </cell>
          <cell r="AB361">
            <v>9.0999999999999998E-2</v>
          </cell>
          <cell r="AC361">
            <v>5.3999999999999999E-2</v>
          </cell>
          <cell r="AD361">
            <v>8.2131616595135862E-2</v>
          </cell>
          <cell r="AE361">
            <v>0.06</v>
          </cell>
          <cell r="AF361">
            <v>0.02</v>
          </cell>
          <cell r="AG361">
            <v>-5.8000000000000003E-2</v>
          </cell>
          <cell r="AH361">
            <v>-1.7999999999999999E-2</v>
          </cell>
          <cell r="AI361">
            <v>-5.8999999999999997E-2</v>
          </cell>
          <cell r="AJ361">
            <v>4.3999999999999997E-2</v>
          </cell>
          <cell r="AK361">
            <v>-4.0000000000000001E-3</v>
          </cell>
          <cell r="AL361">
            <v>-2.3E-2</v>
          </cell>
          <cell r="AM361">
            <v>0.02</v>
          </cell>
          <cell r="AN361">
            <v>0.02</v>
          </cell>
          <cell r="AO361">
            <v>5.1999999999999998E-2</v>
          </cell>
          <cell r="AQ361">
            <v>3.5000000000000003E-2</v>
          </cell>
          <cell r="AR361">
            <v>7.2999999999999995E-2</v>
          </cell>
          <cell r="AT361">
            <v>4.3999999999999997E-2</v>
          </cell>
          <cell r="AU361">
            <v>1.9E-2</v>
          </cell>
          <cell r="AW361">
            <v>3.7999999999999999E-2</v>
          </cell>
          <cell r="AY361">
            <v>-1.6E-2</v>
          </cell>
          <cell r="AZ361">
            <v>-2.9000000000000001E-2</v>
          </cell>
          <cell r="BA361">
            <v>-2.1000000000000001E-2</v>
          </cell>
          <cell r="BB361">
            <v>-2.9000000000000001E-2</v>
          </cell>
          <cell r="BC361">
            <v>-2.4425918146607748E-2</v>
          </cell>
          <cell r="BD361">
            <v>1.381511984624987E-3</v>
          </cell>
          <cell r="BE361">
            <v>-1.7999999999999999E-2</v>
          </cell>
          <cell r="BF361">
            <v>3.1E-2</v>
          </cell>
          <cell r="BG361">
            <v>0</v>
          </cell>
          <cell r="BH361">
            <v>0</v>
          </cell>
          <cell r="BI361">
            <v>0</v>
          </cell>
          <cell r="BJ361">
            <v>0</v>
          </cell>
          <cell r="BK361">
            <v>0</v>
          </cell>
          <cell r="BL361">
            <v>0</v>
          </cell>
          <cell r="BM361">
            <v>0</v>
          </cell>
          <cell r="BN361">
            <v>0</v>
          </cell>
          <cell r="BO361">
            <v>0</v>
          </cell>
        </row>
        <row r="362">
          <cell r="A362" t="str">
            <v>PORTFOLIO</v>
          </cell>
          <cell r="R362">
            <v>0</v>
          </cell>
          <cell r="S362">
            <v>0</v>
          </cell>
          <cell r="T362">
            <v>0</v>
          </cell>
          <cell r="U362">
            <v>0</v>
          </cell>
          <cell r="V362">
            <v>0</v>
          </cell>
          <cell r="W362">
            <v>4.7204142011834328E-3</v>
          </cell>
          <cell r="X362">
            <v>1E-3</v>
          </cell>
          <cell r="Y362">
            <v>1E-3</v>
          </cell>
          <cell r="Z362">
            <v>2E-3</v>
          </cell>
          <cell r="AA362">
            <v>2E-3</v>
          </cell>
          <cell r="AB362">
            <v>2E-3</v>
          </cell>
          <cell r="AC362">
            <v>2E-3</v>
          </cell>
          <cell r="AD362">
            <v>3.5164520743919889E-3</v>
          </cell>
          <cell r="AE362">
            <v>2E-3</v>
          </cell>
          <cell r="AF362">
            <v>0</v>
          </cell>
          <cell r="AG362">
            <v>-3.0000000000000001E-3</v>
          </cell>
          <cell r="AH362">
            <v>-1E-3</v>
          </cell>
          <cell r="AI362">
            <v>-7.0000000000000001E-3</v>
          </cell>
          <cell r="AJ362">
            <v>-8.0000000000000002E-3</v>
          </cell>
          <cell r="AK362">
            <v>-0.01</v>
          </cell>
          <cell r="AL362">
            <v>-4.0000000000000001E-3</v>
          </cell>
          <cell r="AM362">
            <v>-8.0000000000000002E-3</v>
          </cell>
          <cell r="AN362">
            <v>-8.0000000000000002E-3</v>
          </cell>
          <cell r="AO362">
            <v>-8.0000000000000002E-3</v>
          </cell>
          <cell r="AQ362">
            <v>-8.0000000000000002E-3</v>
          </cell>
          <cell r="AR362">
            <v>-1.0999999999999999E-2</v>
          </cell>
          <cell r="AT362">
            <v>-8.0000000000000002E-3</v>
          </cell>
          <cell r="AU362">
            <v>-3.0000000000000001E-3</v>
          </cell>
          <cell r="AW362">
            <v>-7.0000000000000001E-3</v>
          </cell>
          <cell r="AY362">
            <v>3.0000000000000001E-3</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row>
        <row r="364">
          <cell r="A364" t="str">
            <v>EU</v>
          </cell>
          <cell r="B364">
            <v>2241</v>
          </cell>
          <cell r="C364">
            <v>2251</v>
          </cell>
          <cell r="D364">
            <v>862</v>
          </cell>
          <cell r="E364">
            <v>675</v>
          </cell>
          <cell r="F364">
            <v>1537</v>
          </cell>
          <cell r="G364">
            <v>415</v>
          </cell>
          <cell r="H364">
            <v>1953</v>
          </cell>
          <cell r="I364">
            <v>430</v>
          </cell>
          <cell r="J364">
            <v>2383</v>
          </cell>
          <cell r="K364">
            <v>1022</v>
          </cell>
          <cell r="L364">
            <v>798</v>
          </cell>
          <cell r="M364">
            <v>1820</v>
          </cell>
          <cell r="N364">
            <v>424</v>
          </cell>
          <cell r="O364">
            <v>2244</v>
          </cell>
          <cell r="P364">
            <v>381</v>
          </cell>
          <cell r="Q364">
            <v>2625</v>
          </cell>
          <cell r="R364">
            <v>1041</v>
          </cell>
          <cell r="S364">
            <v>737</v>
          </cell>
          <cell r="T364">
            <v>1778</v>
          </cell>
          <cell r="U364">
            <v>352</v>
          </cell>
          <cell r="V364">
            <v>2130</v>
          </cell>
          <cell r="W364">
            <v>410</v>
          </cell>
          <cell r="X364">
            <v>2540</v>
          </cell>
          <cell r="Y364">
            <v>918</v>
          </cell>
          <cell r="Z364">
            <v>737</v>
          </cell>
          <cell r="AA364">
            <v>1655</v>
          </cell>
          <cell r="AB364">
            <v>342</v>
          </cell>
          <cell r="AC364">
            <v>1997</v>
          </cell>
          <cell r="AD364">
            <v>384</v>
          </cell>
          <cell r="AE364">
            <v>2381</v>
          </cell>
          <cell r="AF364">
            <v>1002</v>
          </cell>
          <cell r="AG364">
            <v>777</v>
          </cell>
          <cell r="AH364">
            <v>1779</v>
          </cell>
          <cell r="AI364">
            <v>346</v>
          </cell>
          <cell r="AJ364">
            <v>2125</v>
          </cell>
          <cell r="AK364">
            <v>380</v>
          </cell>
          <cell r="AL364">
            <v>2505</v>
          </cell>
          <cell r="AM364">
            <v>1052</v>
          </cell>
          <cell r="AN364">
            <v>1052</v>
          </cell>
          <cell r="AO364">
            <v>847</v>
          </cell>
          <cell r="AQ364">
            <v>1899</v>
          </cell>
          <cell r="AR364">
            <v>414</v>
          </cell>
          <cell r="AT364">
            <v>2313</v>
          </cell>
          <cell r="AU364">
            <v>393</v>
          </cell>
          <cell r="AW364">
            <v>2706</v>
          </cell>
          <cell r="AY364">
            <v>1077</v>
          </cell>
        </row>
        <row r="365">
          <cell r="A365" t="str">
            <v>North America</v>
          </cell>
          <cell r="B365">
            <v>1528</v>
          </cell>
          <cell r="C365">
            <v>1457</v>
          </cell>
          <cell r="D365">
            <v>447</v>
          </cell>
          <cell r="E365">
            <v>431</v>
          </cell>
          <cell r="F365">
            <v>878</v>
          </cell>
          <cell r="G365">
            <v>206</v>
          </cell>
          <cell r="H365">
            <v>1083</v>
          </cell>
          <cell r="I365">
            <v>249</v>
          </cell>
          <cell r="J365">
            <v>1332</v>
          </cell>
          <cell r="K365">
            <v>456</v>
          </cell>
          <cell r="L365">
            <v>453</v>
          </cell>
          <cell r="M365">
            <v>909</v>
          </cell>
          <cell r="N365">
            <v>213</v>
          </cell>
          <cell r="O365">
            <v>1122</v>
          </cell>
          <cell r="P365">
            <v>274</v>
          </cell>
          <cell r="Q365">
            <v>1396</v>
          </cell>
          <cell r="R365">
            <v>576</v>
          </cell>
          <cell r="S365">
            <v>562</v>
          </cell>
          <cell r="T365">
            <v>1138</v>
          </cell>
          <cell r="U365">
            <v>149</v>
          </cell>
          <cell r="V365">
            <v>1287</v>
          </cell>
          <cell r="W365">
            <v>242</v>
          </cell>
          <cell r="X365">
            <v>1529</v>
          </cell>
          <cell r="Y365">
            <v>527</v>
          </cell>
          <cell r="Z365">
            <v>494</v>
          </cell>
          <cell r="AA365">
            <v>1021</v>
          </cell>
          <cell r="AB365">
            <v>227</v>
          </cell>
          <cell r="AC365">
            <v>1248</v>
          </cell>
          <cell r="AD365">
            <v>287</v>
          </cell>
          <cell r="AE365">
            <v>1535</v>
          </cell>
          <cell r="AF365">
            <v>670</v>
          </cell>
          <cell r="AG365">
            <v>535</v>
          </cell>
          <cell r="AH365">
            <v>1205</v>
          </cell>
          <cell r="AI365">
            <v>212</v>
          </cell>
          <cell r="AJ365">
            <v>1417</v>
          </cell>
          <cell r="AK365">
            <v>286</v>
          </cell>
          <cell r="AL365">
            <v>1703</v>
          </cell>
          <cell r="AM365">
            <v>867</v>
          </cell>
          <cell r="AN365">
            <v>867</v>
          </cell>
          <cell r="AO365">
            <v>721</v>
          </cell>
          <cell r="AQ365">
            <v>1588</v>
          </cell>
          <cell r="AR365">
            <v>279</v>
          </cell>
          <cell r="AT365">
            <v>1867</v>
          </cell>
          <cell r="AU365">
            <v>287</v>
          </cell>
          <cell r="AW365">
            <v>2154</v>
          </cell>
          <cell r="AY365">
            <v>984</v>
          </cell>
        </row>
        <row r="366">
          <cell r="A366" t="str">
            <v>Asia Pac</v>
          </cell>
          <cell r="B366">
            <v>933</v>
          </cell>
          <cell r="C366">
            <v>907</v>
          </cell>
          <cell r="D366">
            <v>219</v>
          </cell>
          <cell r="E366">
            <v>237</v>
          </cell>
          <cell r="F366">
            <v>456</v>
          </cell>
          <cell r="G366">
            <v>218</v>
          </cell>
          <cell r="H366">
            <v>674</v>
          </cell>
          <cell r="I366">
            <v>239</v>
          </cell>
          <cell r="J366">
            <v>913</v>
          </cell>
          <cell r="K366">
            <v>211</v>
          </cell>
          <cell r="L366">
            <v>260</v>
          </cell>
          <cell r="M366">
            <v>471</v>
          </cell>
          <cell r="N366">
            <v>230</v>
          </cell>
          <cell r="O366">
            <v>701</v>
          </cell>
          <cell r="P366">
            <v>263</v>
          </cell>
          <cell r="Q366">
            <v>964</v>
          </cell>
          <cell r="R366">
            <v>239</v>
          </cell>
          <cell r="S366">
            <v>280</v>
          </cell>
          <cell r="T366">
            <v>519</v>
          </cell>
          <cell r="U366">
            <v>224</v>
          </cell>
          <cell r="V366">
            <v>743</v>
          </cell>
          <cell r="W366">
            <v>285</v>
          </cell>
          <cell r="X366">
            <v>1028</v>
          </cell>
          <cell r="Y366">
            <v>240</v>
          </cell>
          <cell r="Z366">
            <v>343</v>
          </cell>
          <cell r="AA366">
            <v>583</v>
          </cell>
          <cell r="AB366">
            <v>279</v>
          </cell>
          <cell r="AC366">
            <v>862</v>
          </cell>
          <cell r="AD366">
            <v>367</v>
          </cell>
          <cell r="AE366">
            <v>1229</v>
          </cell>
          <cell r="AF366">
            <v>269</v>
          </cell>
          <cell r="AG366">
            <v>334</v>
          </cell>
          <cell r="AH366">
            <v>603</v>
          </cell>
          <cell r="AI366">
            <v>304</v>
          </cell>
          <cell r="AJ366">
            <v>907</v>
          </cell>
          <cell r="AK366">
            <v>337</v>
          </cell>
          <cell r="AL366">
            <v>1244</v>
          </cell>
          <cell r="AM366">
            <v>344</v>
          </cell>
          <cell r="AN366">
            <v>344</v>
          </cell>
          <cell r="AO366">
            <v>354</v>
          </cell>
          <cell r="AQ366">
            <v>698</v>
          </cell>
          <cell r="AR366">
            <v>325</v>
          </cell>
          <cell r="AT366">
            <v>1023</v>
          </cell>
          <cell r="AU366">
            <v>363</v>
          </cell>
          <cell r="AW366">
            <v>1386</v>
          </cell>
          <cell r="AY366">
            <v>341</v>
          </cell>
        </row>
        <row r="367">
          <cell r="A367" t="str">
            <v>Latam/Africa/Middle East</v>
          </cell>
          <cell r="B367">
            <v>1194</v>
          </cell>
          <cell r="C367">
            <v>1085</v>
          </cell>
          <cell r="D367">
            <v>258</v>
          </cell>
          <cell r="E367">
            <v>219</v>
          </cell>
          <cell r="F367">
            <v>477</v>
          </cell>
          <cell r="G367">
            <v>318</v>
          </cell>
          <cell r="H367">
            <v>795</v>
          </cell>
          <cell r="I367">
            <v>403</v>
          </cell>
          <cell r="J367">
            <v>1198</v>
          </cell>
          <cell r="K367">
            <v>289</v>
          </cell>
          <cell r="L367">
            <v>293</v>
          </cell>
          <cell r="M367">
            <v>582</v>
          </cell>
          <cell r="N367">
            <v>381</v>
          </cell>
          <cell r="O367">
            <v>963</v>
          </cell>
          <cell r="P367">
            <v>434</v>
          </cell>
          <cell r="Q367">
            <v>1397</v>
          </cell>
          <cell r="R367">
            <v>264</v>
          </cell>
          <cell r="S367">
            <v>273</v>
          </cell>
          <cell r="T367">
            <v>537</v>
          </cell>
          <cell r="U367">
            <v>415</v>
          </cell>
          <cell r="V367">
            <v>952</v>
          </cell>
          <cell r="W367">
            <v>461</v>
          </cell>
          <cell r="X367">
            <v>1413</v>
          </cell>
          <cell r="Y367">
            <v>267</v>
          </cell>
          <cell r="Z367">
            <v>310</v>
          </cell>
          <cell r="AA367">
            <v>577</v>
          </cell>
          <cell r="AB367">
            <v>493</v>
          </cell>
          <cell r="AC367">
            <v>1070</v>
          </cell>
          <cell r="AD367">
            <v>615</v>
          </cell>
          <cell r="AE367">
            <v>1685</v>
          </cell>
          <cell r="AF367">
            <v>316</v>
          </cell>
          <cell r="AG367">
            <v>297</v>
          </cell>
          <cell r="AH367">
            <v>613</v>
          </cell>
          <cell r="AI367">
            <v>517</v>
          </cell>
          <cell r="AJ367">
            <v>1130</v>
          </cell>
          <cell r="AK367">
            <v>673</v>
          </cell>
          <cell r="AL367">
            <v>1803</v>
          </cell>
          <cell r="AM367">
            <v>347</v>
          </cell>
          <cell r="AN367">
            <v>347</v>
          </cell>
          <cell r="AO367">
            <v>354</v>
          </cell>
          <cell r="AQ367">
            <v>701</v>
          </cell>
          <cell r="AR367">
            <v>623</v>
          </cell>
          <cell r="AT367">
            <v>1324</v>
          </cell>
          <cell r="AU367">
            <v>813</v>
          </cell>
          <cell r="AW367">
            <v>2137</v>
          </cell>
          <cell r="AY367">
            <v>362</v>
          </cell>
        </row>
        <row r="369">
          <cell r="A369" t="str">
            <v xml:space="preserve">Growth </v>
          </cell>
        </row>
        <row r="370">
          <cell r="A370" t="str">
            <v>EU</v>
          </cell>
          <cell r="C370">
            <v>4.4622936189200324E-3</v>
          </cell>
          <cell r="J370">
            <v>5.8640604175921762E-2</v>
          </cell>
          <cell r="K370">
            <v>0.18561484918793503</v>
          </cell>
          <cell r="L370">
            <v>0.18222222222222229</v>
          </cell>
          <cell r="M370">
            <v>0.18412491867273917</v>
          </cell>
          <cell r="N370">
            <v>2.168674698795181E-2</v>
          </cell>
          <cell r="O370">
            <v>0.14900153609831035</v>
          </cell>
          <cell r="P370">
            <v>-0.11395348837209307</v>
          </cell>
          <cell r="Q370">
            <v>0.10155266470835089</v>
          </cell>
          <cell r="R370">
            <v>1.8590998043052753E-2</v>
          </cell>
          <cell r="S370">
            <v>-7.6441102756892199E-2</v>
          </cell>
          <cell r="T370">
            <v>-2.3076923076923106E-2</v>
          </cell>
          <cell r="U370">
            <v>-0.16981132075471694</v>
          </cell>
          <cell r="V370">
            <v>-5.0802139037433136E-2</v>
          </cell>
          <cell r="W370">
            <v>7.6115485564304475E-2</v>
          </cell>
          <cell r="X370">
            <v>-3.2380952380952399E-2</v>
          </cell>
          <cell r="Y370">
            <v>-0.11815561959654175</v>
          </cell>
          <cell r="Z370">
            <v>0</v>
          </cell>
          <cell r="AA370">
            <v>-6.9178852643419608E-2</v>
          </cell>
          <cell r="AB370">
            <v>-2.8409090909090939E-2</v>
          </cell>
          <cell r="AC370">
            <v>-6.2441314553990601E-2</v>
          </cell>
          <cell r="AD370">
            <v>-6.3414634146341409E-2</v>
          </cell>
          <cell r="AE370">
            <v>-6.2598425196850438E-2</v>
          </cell>
          <cell r="AF370">
            <v>9.1503267973856106E-2</v>
          </cell>
          <cell r="AG370">
            <v>5.4274084124830368E-2</v>
          </cell>
          <cell r="AH370">
            <v>7.4924471299093742E-2</v>
          </cell>
          <cell r="AI370">
            <v>1.1695906432748648E-2</v>
          </cell>
          <cell r="AJ370">
            <v>6.4096144216324591E-2</v>
          </cell>
          <cell r="AK370">
            <v>-1.041666666666663E-2</v>
          </cell>
          <cell r="AL370">
            <v>5.2078958420831656E-2</v>
          </cell>
          <cell r="AM370">
            <v>4.9900199600798389E-2</v>
          </cell>
          <cell r="AN370">
            <v>4.9900199600798389E-2</v>
          </cell>
          <cell r="AO370">
            <v>9.0090090090090058E-2</v>
          </cell>
          <cell r="AQ370">
            <v>6.7453625632377667E-2</v>
          </cell>
          <cell r="AR370">
            <v>0.19653179190751446</v>
          </cell>
          <cell r="AT370">
            <v>8.8470588235294079E-2</v>
          </cell>
          <cell r="AU370">
            <v>3.4210526315789469E-2</v>
          </cell>
          <cell r="AW370">
            <v>8.0239520958083732E-2</v>
          </cell>
          <cell r="AY370">
            <v>2.3764258555132978E-2</v>
          </cell>
        </row>
        <row r="371">
          <cell r="A371" t="str">
            <v>North America</v>
          </cell>
          <cell r="C371">
            <v>-4.6465968586387407E-2</v>
          </cell>
          <cell r="J371">
            <v>-8.5792724776938889E-2</v>
          </cell>
          <cell r="K371">
            <v>2.0134228187919545E-2</v>
          </cell>
          <cell r="L371">
            <v>5.1044083526682105E-2</v>
          </cell>
          <cell r="M371">
            <v>3.530751708428248E-2</v>
          </cell>
          <cell r="N371">
            <v>3.398058252427183E-2</v>
          </cell>
          <cell r="O371">
            <v>3.6011080332410073E-2</v>
          </cell>
          <cell r="P371">
            <v>0.10040160642570273</v>
          </cell>
          <cell r="Q371">
            <v>4.8048048048048075E-2</v>
          </cell>
          <cell r="R371">
            <v>0.26315789473684204</v>
          </cell>
          <cell r="S371">
            <v>0.24061810154525376</v>
          </cell>
          <cell r="T371">
            <v>0.25192519251925183</v>
          </cell>
          <cell r="U371">
            <v>-0.30046948356807512</v>
          </cell>
          <cell r="V371">
            <v>0.14705882352941169</v>
          </cell>
          <cell r="W371">
            <v>-0.11678832116788318</v>
          </cell>
          <cell r="X371">
            <v>9.5272206303725016E-2</v>
          </cell>
          <cell r="Y371">
            <v>-8.506944444444442E-2</v>
          </cell>
          <cell r="Z371">
            <v>-0.12099644128113884</v>
          </cell>
          <cell r="AA371">
            <v>-0.10281195079086114</v>
          </cell>
          <cell r="AB371">
            <v>0.52348993288590595</v>
          </cell>
          <cell r="AC371">
            <v>-3.0303030303030276E-2</v>
          </cell>
          <cell r="AD371">
            <v>0.18595041322314043</v>
          </cell>
          <cell r="AE371">
            <v>3.9241334205362133E-3</v>
          </cell>
          <cell r="AF371">
            <v>0.27134724857685</v>
          </cell>
          <cell r="AG371">
            <v>8.2995951417003999E-2</v>
          </cell>
          <cell r="AH371">
            <v>0.18021547502448576</v>
          </cell>
          <cell r="AI371">
            <v>-6.607929515418498E-2</v>
          </cell>
          <cell r="AJ371">
            <v>0.13541666666666674</v>
          </cell>
          <cell r="AK371">
            <v>-3.4843205574912606E-3</v>
          </cell>
          <cell r="AL371">
            <v>0.1094462540716612</v>
          </cell>
          <cell r="AM371">
            <v>0.29402985074626864</v>
          </cell>
          <cell r="AN371">
            <v>0.29402985074626864</v>
          </cell>
          <cell r="AO371">
            <v>0.34766355140186911</v>
          </cell>
          <cell r="AQ371">
            <v>0.31784232365145226</v>
          </cell>
          <cell r="AR371">
            <v>0.3160377358490567</v>
          </cell>
          <cell r="AT371">
            <v>0.31757233592095968</v>
          </cell>
          <cell r="AU371">
            <v>3.4965034965035446E-3</v>
          </cell>
          <cell r="AW371">
            <v>0.26482677627715789</v>
          </cell>
          <cell r="AY371">
            <v>0.13494809688581322</v>
          </cell>
        </row>
        <row r="372">
          <cell r="A372" t="str">
            <v>Asia Pac</v>
          </cell>
          <cell r="C372">
            <v>-2.7867095391211127E-2</v>
          </cell>
          <cell r="J372">
            <v>6.6152149944873617E-3</v>
          </cell>
          <cell r="K372">
            <v>-3.6529680365296802E-2</v>
          </cell>
          <cell r="L372">
            <v>9.704641350210963E-2</v>
          </cell>
          <cell r="M372">
            <v>3.289473684210531E-2</v>
          </cell>
          <cell r="N372">
            <v>5.504587155963292E-2</v>
          </cell>
          <cell r="O372">
            <v>4.0059347181008897E-2</v>
          </cell>
          <cell r="P372">
            <v>0.10041841004184104</v>
          </cell>
          <cell r="Q372">
            <v>5.5859802847754603E-2</v>
          </cell>
          <cell r="R372">
            <v>0.13270142180094791</v>
          </cell>
          <cell r="S372">
            <v>7.6923076923076872E-2</v>
          </cell>
          <cell r="T372">
            <v>0.10191082802547768</v>
          </cell>
          <cell r="U372">
            <v>-2.6086956521739091E-2</v>
          </cell>
          <cell r="V372">
            <v>5.9914407988587826E-2</v>
          </cell>
          <cell r="W372">
            <v>8.365019011406849E-2</v>
          </cell>
          <cell r="X372">
            <v>6.639004149377592E-2</v>
          </cell>
          <cell r="Y372">
            <v>4.1841004184099972E-3</v>
          </cell>
          <cell r="Z372">
            <v>0.22500000000000009</v>
          </cell>
          <cell r="AA372">
            <v>0.12331406551059731</v>
          </cell>
          <cell r="AB372">
            <v>0.24553571428571419</v>
          </cell>
          <cell r="AC372">
            <v>0.16016150740242252</v>
          </cell>
          <cell r="AD372">
            <v>0.28771929824561404</v>
          </cell>
          <cell r="AE372">
            <v>0.19552529182879375</v>
          </cell>
          <cell r="AF372">
            <v>0.12083333333333335</v>
          </cell>
          <cell r="AG372">
            <v>-2.6239067055393583E-2</v>
          </cell>
          <cell r="AH372">
            <v>3.4305317324185181E-2</v>
          </cell>
          <cell r="AI372">
            <v>8.9605734767025158E-2</v>
          </cell>
          <cell r="AJ372">
            <v>5.2204176334106789E-2</v>
          </cell>
          <cell r="AK372">
            <v>-8.174386920980925E-2</v>
          </cell>
          <cell r="AL372">
            <v>1.2205044751830707E-2</v>
          </cell>
          <cell r="AM372">
            <v>0.27881040892193298</v>
          </cell>
          <cell r="AN372">
            <v>0.27881040892193298</v>
          </cell>
          <cell r="AO372">
            <v>5.9880239520958112E-2</v>
          </cell>
          <cell r="AQ372">
            <v>0.1575456053067994</v>
          </cell>
          <cell r="AR372">
            <v>6.9078947368421018E-2</v>
          </cell>
          <cell r="AT372">
            <v>0.12789415656008818</v>
          </cell>
          <cell r="AU372">
            <v>7.71513353115727E-2</v>
          </cell>
          <cell r="AW372">
            <v>0.11414790996784574</v>
          </cell>
          <cell r="AY372">
            <v>-8.720930232558155E-3</v>
          </cell>
        </row>
        <row r="373">
          <cell r="A373" t="str">
            <v>Latam/Africa/Middle East</v>
          </cell>
          <cell r="C373">
            <v>-9.1289782244556084E-2</v>
          </cell>
          <cell r="J373">
            <v>0.10414746543778808</v>
          </cell>
          <cell r="K373">
            <v>0.12015503875968991</v>
          </cell>
          <cell r="L373">
            <v>0.33789954337899553</v>
          </cell>
          <cell r="M373">
            <v>0.22012578616352196</v>
          </cell>
          <cell r="N373">
            <v>0.19811320754716988</v>
          </cell>
          <cell r="O373">
            <v>0.21132075471698109</v>
          </cell>
          <cell r="P373">
            <v>7.6923076923076872E-2</v>
          </cell>
          <cell r="Q373">
            <v>0.166110183639399</v>
          </cell>
          <cell r="R373">
            <v>-8.6505190311418678E-2</v>
          </cell>
          <cell r="S373">
            <v>-6.8259385665529027E-2</v>
          </cell>
          <cell r="T373">
            <v>-7.7319587628865927E-2</v>
          </cell>
          <cell r="U373">
            <v>8.9238845144356871E-2</v>
          </cell>
          <cell r="V373">
            <v>-1.1422637590861928E-2</v>
          </cell>
          <cell r="W373">
            <v>6.2211981566820285E-2</v>
          </cell>
          <cell r="X373">
            <v>1.1453113815318439E-2</v>
          </cell>
          <cell r="Y373">
            <v>1.1363636363636465E-2</v>
          </cell>
          <cell r="Z373">
            <v>0.13553113553113549</v>
          </cell>
          <cell r="AA373">
            <v>7.4487895716945918E-2</v>
          </cell>
          <cell r="AB373">
            <v>0.18795180722891569</v>
          </cell>
          <cell r="AC373">
            <v>0.12394957983193278</v>
          </cell>
          <cell r="AD373">
            <v>0.3340563991323211</v>
          </cell>
          <cell r="AE373">
            <v>0.19249823071479133</v>
          </cell>
          <cell r="AF373">
            <v>0.18352059925093633</v>
          </cell>
          <cell r="AG373">
            <v>-4.1935483870967794E-2</v>
          </cell>
          <cell r="AH373">
            <v>6.239168110918536E-2</v>
          </cell>
          <cell r="AI373">
            <v>4.8681541582150212E-2</v>
          </cell>
          <cell r="AJ373">
            <v>5.6074766355140193E-2</v>
          </cell>
          <cell r="AK373">
            <v>9.430894308943083E-2</v>
          </cell>
          <cell r="AL373">
            <v>7.0029673590504382E-2</v>
          </cell>
          <cell r="AM373">
            <v>9.8101265822784889E-2</v>
          </cell>
          <cell r="AN373">
            <v>9.8101265822784889E-2</v>
          </cell>
          <cell r="AO373">
            <v>0.19191919191919182</v>
          </cell>
          <cell r="AQ373">
            <v>0.14355628058727565</v>
          </cell>
          <cell r="AR373">
            <v>0.20502901353965175</v>
          </cell>
          <cell r="AT373">
            <v>0.1716814159292035</v>
          </cell>
          <cell r="AU373">
            <v>0.20802377414561657</v>
          </cell>
          <cell r="AW373">
            <v>0.18524681087077099</v>
          </cell>
          <cell r="AY373">
            <v>4.3227665706051965E-2</v>
          </cell>
        </row>
        <row r="374">
          <cell r="A374" t="str">
            <v>Share</v>
          </cell>
        </row>
        <row r="375">
          <cell r="A375" t="str">
            <v>EU</v>
          </cell>
          <cell r="B375">
            <v>0.38008819538670285</v>
          </cell>
          <cell r="C375">
            <v>0.39491228070175438</v>
          </cell>
          <cell r="D375">
            <v>0.48264277715565512</v>
          </cell>
          <cell r="E375">
            <v>0.43213828425096029</v>
          </cell>
          <cell r="F375">
            <v>0.45908004778972522</v>
          </cell>
          <cell r="G375">
            <v>0.35868625756266204</v>
          </cell>
          <cell r="H375">
            <v>0.43351831298557159</v>
          </cell>
          <cell r="I375">
            <v>0.3255109765329296</v>
          </cell>
          <cell r="J375">
            <v>0.40902849296258154</v>
          </cell>
          <cell r="K375">
            <v>0.51668351870576334</v>
          </cell>
          <cell r="L375">
            <v>0.44235033259423501</v>
          </cell>
          <cell r="M375">
            <v>0.48122686409307247</v>
          </cell>
          <cell r="N375">
            <v>0.33974358974358976</v>
          </cell>
          <cell r="O375">
            <v>0.44612326043737577</v>
          </cell>
          <cell r="P375">
            <v>0.28180473372781067</v>
          </cell>
          <cell r="Q375">
            <v>0.41131306800376055</v>
          </cell>
          <cell r="R375">
            <v>0.49103773584905658</v>
          </cell>
          <cell r="S375">
            <v>0.39794816414686823</v>
          </cell>
          <cell r="T375">
            <v>0.44763343403826789</v>
          </cell>
          <cell r="U375">
            <v>0.30877192982456142</v>
          </cell>
          <cell r="V375">
            <v>0.41666666666666669</v>
          </cell>
          <cell r="W375">
            <v>0.29327610872675253</v>
          </cell>
          <cell r="X375">
            <v>0.3901689708141321</v>
          </cell>
          <cell r="Y375">
            <v>0.47028688524590162</v>
          </cell>
          <cell r="Z375">
            <v>0.39118895966029726</v>
          </cell>
          <cell r="AA375">
            <v>0.43143899895724713</v>
          </cell>
          <cell r="AB375">
            <v>0.25503355704697989</v>
          </cell>
          <cell r="AC375">
            <v>0.38574463975275258</v>
          </cell>
          <cell r="AD375">
            <v>0.23230490018148819</v>
          </cell>
          <cell r="AE375">
            <v>0.3486090775988287</v>
          </cell>
          <cell r="AF375">
            <v>0.44395214887018164</v>
          </cell>
          <cell r="AG375">
            <v>0.39989706639217704</v>
          </cell>
          <cell r="AH375">
            <v>0.4235714285714286</v>
          </cell>
          <cell r="AI375">
            <v>0.25090645395213923</v>
          </cell>
          <cell r="AJ375">
            <v>0.38089263308836707</v>
          </cell>
          <cell r="AK375">
            <v>0.22673031026252982</v>
          </cell>
          <cell r="AL375">
            <v>0.34527911784975879</v>
          </cell>
          <cell r="AM375">
            <v>0.40306513409961686</v>
          </cell>
          <cell r="AN375">
            <v>0.40306513409961686</v>
          </cell>
          <cell r="AO375">
            <v>0.37214411247803164</v>
          </cell>
          <cell r="AQ375">
            <v>0.38866148178469095</v>
          </cell>
          <cell r="AR375">
            <v>0.25228519195612431</v>
          </cell>
          <cell r="AT375">
            <v>0.3543741381951892</v>
          </cell>
          <cell r="AU375">
            <v>0.2117456896551724</v>
          </cell>
          <cell r="AW375">
            <v>0.32279613503519028</v>
          </cell>
          <cell r="AY375">
            <v>0.38965267727930536</v>
          </cell>
        </row>
        <row r="376">
          <cell r="A376" t="str">
            <v>North America</v>
          </cell>
          <cell r="B376">
            <v>0.25915875169606511</v>
          </cell>
          <cell r="C376">
            <v>0.25561403508771929</v>
          </cell>
          <cell r="D376">
            <v>0.25027995520716684</v>
          </cell>
          <cell r="E376">
            <v>0.27592829705505761</v>
          </cell>
          <cell r="F376">
            <v>0.26224611708482676</v>
          </cell>
          <cell r="G376">
            <v>0.1780466724286949</v>
          </cell>
          <cell r="H376">
            <v>0.24039955604883462</v>
          </cell>
          <cell r="I376">
            <v>0.18849356548069643</v>
          </cell>
          <cell r="J376">
            <v>0.22863027806385169</v>
          </cell>
          <cell r="K376">
            <v>0.23053589484327602</v>
          </cell>
          <cell r="L376">
            <v>0.25110864745011086</v>
          </cell>
          <cell r="M376">
            <v>0.24034902168164993</v>
          </cell>
          <cell r="N376">
            <v>0.17067307692307693</v>
          </cell>
          <cell r="O376">
            <v>0.22306163021868788</v>
          </cell>
          <cell r="P376">
            <v>0.20266272189349113</v>
          </cell>
          <cell r="Q376">
            <v>0.21874020683171419</v>
          </cell>
          <cell r="R376">
            <v>0.27169811320754716</v>
          </cell>
          <cell r="S376">
            <v>0.30345572354211664</v>
          </cell>
          <cell r="T376">
            <v>0.28650553877139978</v>
          </cell>
          <cell r="U376">
            <v>0.1307017543859649</v>
          </cell>
          <cell r="V376">
            <v>0.25176056338028169</v>
          </cell>
          <cell r="W376">
            <v>0.17310443490701002</v>
          </cell>
          <cell r="X376">
            <v>0.2348694316436252</v>
          </cell>
          <cell r="Y376">
            <v>0.26997950819672129</v>
          </cell>
          <cell r="Z376">
            <v>0.26220806794055201</v>
          </cell>
          <cell r="AA376">
            <v>0.26616266944734096</v>
          </cell>
          <cell r="AB376">
            <v>0.16927665920954513</v>
          </cell>
          <cell r="AC376">
            <v>0.241066254587599</v>
          </cell>
          <cell r="AD376">
            <v>0.1736237144585602</v>
          </cell>
          <cell r="AE376">
            <v>0.2247437774524158</v>
          </cell>
          <cell r="AF376">
            <v>0.29685423128046079</v>
          </cell>
          <cell r="AG376">
            <v>0.27534740092640247</v>
          </cell>
          <cell r="AH376">
            <v>0.28690476190476188</v>
          </cell>
          <cell r="AI376">
            <v>0.15373459028281364</v>
          </cell>
          <cell r="AJ376">
            <v>0.25398816992292528</v>
          </cell>
          <cell r="AK376">
            <v>0.17064439140811455</v>
          </cell>
          <cell r="AL376">
            <v>0.23473466574776017</v>
          </cell>
          <cell r="AM376">
            <v>0.33218390804597703</v>
          </cell>
          <cell r="AN376">
            <v>0.33218390804597703</v>
          </cell>
          <cell r="AO376">
            <v>0.31678383128295257</v>
          </cell>
          <cell r="AQ376">
            <v>0.32501023331968892</v>
          </cell>
          <cell r="AR376">
            <v>0.17001828153564899</v>
          </cell>
          <cell r="AT376">
            <v>0.28604259230887086</v>
          </cell>
          <cell r="AU376">
            <v>0.15463362068965517</v>
          </cell>
          <cell r="AW376">
            <v>0.25694858642490753</v>
          </cell>
          <cell r="AY376">
            <v>0.35600578871201155</v>
          </cell>
        </row>
        <row r="377">
          <cell r="A377" t="str">
            <v>Asia Pac</v>
          </cell>
          <cell r="B377">
            <v>0.1582428765264586</v>
          </cell>
          <cell r="C377">
            <v>0.15912280701754386</v>
          </cell>
          <cell r="D377">
            <v>0.12262038073908174</v>
          </cell>
          <cell r="E377">
            <v>0.15172855313700384</v>
          </cell>
          <cell r="F377">
            <v>0.13620071684587814</v>
          </cell>
          <cell r="G377">
            <v>0.18841832324978391</v>
          </cell>
          <cell r="H377">
            <v>0.14961154273029967</v>
          </cell>
          <cell r="I377">
            <v>0.1809235427706283</v>
          </cell>
          <cell r="J377">
            <v>0.15671129419842086</v>
          </cell>
          <cell r="K377">
            <v>0.10667340748230536</v>
          </cell>
          <cell r="L377">
            <v>0.14412416851441243</v>
          </cell>
          <cell r="M377">
            <v>0.12453728186144897</v>
          </cell>
          <cell r="N377">
            <v>0.18429487179487181</v>
          </cell>
          <cell r="O377">
            <v>0.13936381709741549</v>
          </cell>
          <cell r="P377">
            <v>0.19452662721893491</v>
          </cell>
          <cell r="Q377">
            <v>0.15104982764023817</v>
          </cell>
          <cell r="R377">
            <v>0.11273584905660378</v>
          </cell>
          <cell r="S377">
            <v>0.15118790496760259</v>
          </cell>
          <cell r="T377">
            <v>0.13066465256797583</v>
          </cell>
          <cell r="U377">
            <v>0.19649122807017544</v>
          </cell>
          <cell r="V377">
            <v>0.14534428794992174</v>
          </cell>
          <cell r="W377">
            <v>0.20386266094420602</v>
          </cell>
          <cell r="X377">
            <v>0.15791090629800308</v>
          </cell>
          <cell r="Y377">
            <v>0.12295081967213115</v>
          </cell>
          <cell r="Z377">
            <v>0.18205944798301485</v>
          </cell>
          <cell r="AA377">
            <v>0.15198123044838374</v>
          </cell>
          <cell r="AB377">
            <v>0.20805369127516779</v>
          </cell>
          <cell r="AC377">
            <v>0.16650569828085765</v>
          </cell>
          <cell r="AD377">
            <v>0.2220205686630369</v>
          </cell>
          <cell r="AE377">
            <v>0.17994143484626648</v>
          </cell>
          <cell r="AF377">
            <v>0.11918475852902083</v>
          </cell>
          <cell r="AG377">
            <v>0.1718991250643335</v>
          </cell>
          <cell r="AH377">
            <v>0.14357142857142857</v>
          </cell>
          <cell r="AI377">
            <v>0.22044960116026105</v>
          </cell>
          <cell r="AJ377">
            <v>0.16257393798171715</v>
          </cell>
          <cell r="AK377">
            <v>0.20107398568019094</v>
          </cell>
          <cell r="AL377">
            <v>0.17146795313576843</v>
          </cell>
          <cell r="AM377">
            <v>0.13180076628352491</v>
          </cell>
          <cell r="AN377">
            <v>0.13180076628352491</v>
          </cell>
          <cell r="AO377">
            <v>0.1555360281195079</v>
          </cell>
          <cell r="AQ377">
            <v>0.14285714285714285</v>
          </cell>
          <cell r="AR377">
            <v>0.19804996953077392</v>
          </cell>
          <cell r="AT377">
            <v>0.156733568254941</v>
          </cell>
          <cell r="AU377">
            <v>0.19558189655172414</v>
          </cell>
          <cell r="AW377">
            <v>0.16533460574973161</v>
          </cell>
          <cell r="AY377">
            <v>0.12337192474674386</v>
          </cell>
        </row>
        <row r="378">
          <cell r="A378" t="str">
            <v>Latam/Africa/Middle East</v>
          </cell>
          <cell r="B378">
            <v>0.2025101763907734</v>
          </cell>
          <cell r="C378">
            <v>0.19035087719298247</v>
          </cell>
          <cell r="D378">
            <v>0.1444568868980963</v>
          </cell>
          <cell r="E378">
            <v>0.14020486555697823</v>
          </cell>
          <cell r="F378">
            <v>0.1424731182795699</v>
          </cell>
          <cell r="G378">
            <v>0.27484874675885912</v>
          </cell>
          <cell r="H378">
            <v>0.17647058823529413</v>
          </cell>
          <cell r="I378">
            <v>0.30507191521574567</v>
          </cell>
          <cell r="J378">
            <v>0.20562993477514591</v>
          </cell>
          <cell r="K378">
            <v>0.14610717896865522</v>
          </cell>
          <cell r="L378">
            <v>0.16241685144124168</v>
          </cell>
          <cell r="M378">
            <v>0.15388683236382866</v>
          </cell>
          <cell r="N378">
            <v>0.30528846153846156</v>
          </cell>
          <cell r="O378">
            <v>0.19145129224652088</v>
          </cell>
          <cell r="P378">
            <v>0.32100591715976329</v>
          </cell>
          <cell r="Q378">
            <v>0.21889689752428707</v>
          </cell>
          <cell r="R378">
            <v>0.12452830188679245</v>
          </cell>
          <cell r="S378">
            <v>0.14740820734341253</v>
          </cell>
          <cell r="T378">
            <v>0.13519637462235651</v>
          </cell>
          <cell r="U378">
            <v>0.36403508771929827</v>
          </cell>
          <cell r="V378">
            <v>0.18622848200312989</v>
          </cell>
          <cell r="W378">
            <v>0.32975679542203146</v>
          </cell>
          <cell r="X378">
            <v>0.21705069124423962</v>
          </cell>
          <cell r="Y378">
            <v>0.13678278688524589</v>
          </cell>
          <cell r="Z378">
            <v>0.16454352441613587</v>
          </cell>
          <cell r="AA378">
            <v>0.15041710114702816</v>
          </cell>
          <cell r="AB378">
            <v>0.36763609246830725</v>
          </cell>
          <cell r="AC378">
            <v>0.20668340737879082</v>
          </cell>
          <cell r="AD378">
            <v>0.3720508166969147</v>
          </cell>
          <cell r="AE378">
            <v>0.24670571010248901</v>
          </cell>
          <cell r="AF378">
            <v>0.14000886132033674</v>
          </cell>
          <cell r="AG378">
            <v>0.15285640761708699</v>
          </cell>
          <cell r="AH378">
            <v>0.14595238095238094</v>
          </cell>
          <cell r="AI378">
            <v>0.37490935460478608</v>
          </cell>
          <cell r="AJ378">
            <v>0.2025452590069905</v>
          </cell>
          <cell r="AK378">
            <v>0.40155131264916466</v>
          </cell>
          <cell r="AL378">
            <v>0.24851826326671261</v>
          </cell>
          <cell r="AM378">
            <v>0.13295019157088123</v>
          </cell>
          <cell r="AN378">
            <v>0.13295019157088123</v>
          </cell>
          <cell r="AO378">
            <v>0.1555360281195079</v>
          </cell>
          <cell r="AQ378">
            <v>0.14347114203847727</v>
          </cell>
          <cell r="AR378">
            <v>0.37964655697745275</v>
          </cell>
          <cell r="AT378">
            <v>0.20284970124099894</v>
          </cell>
          <cell r="AU378">
            <v>0.43803879310344829</v>
          </cell>
          <cell r="AW378">
            <v>0.25492067279017061</v>
          </cell>
          <cell r="AY378">
            <v>0.13096960926193921</v>
          </cell>
        </row>
        <row r="379">
          <cell r="BW379">
            <v>0</v>
          </cell>
        </row>
        <row r="380">
          <cell r="A380" t="str">
            <v>Polycarbonates</v>
          </cell>
          <cell r="B380">
            <v>2645</v>
          </cell>
          <cell r="C380">
            <v>2720</v>
          </cell>
          <cell r="D380">
            <v>683</v>
          </cell>
          <cell r="E380">
            <v>703</v>
          </cell>
          <cell r="F380">
            <v>1386</v>
          </cell>
          <cell r="G380">
            <v>706</v>
          </cell>
          <cell r="H380">
            <v>2092</v>
          </cell>
          <cell r="I380">
            <v>719</v>
          </cell>
          <cell r="J380">
            <v>2811</v>
          </cell>
          <cell r="K380">
            <v>610</v>
          </cell>
          <cell r="L380">
            <v>625</v>
          </cell>
          <cell r="M380">
            <v>1235</v>
          </cell>
          <cell r="N380">
            <v>638</v>
          </cell>
          <cell r="O380">
            <v>1873</v>
          </cell>
          <cell r="P380">
            <v>499</v>
          </cell>
          <cell r="Q380">
            <v>2372</v>
          </cell>
          <cell r="R380">
            <v>374</v>
          </cell>
          <cell r="S380">
            <v>450</v>
          </cell>
          <cell r="T380">
            <v>824</v>
          </cell>
          <cell r="U380">
            <v>526</v>
          </cell>
          <cell r="V380">
            <v>1350</v>
          </cell>
          <cell r="W380">
            <v>523</v>
          </cell>
          <cell r="X380">
            <v>1873</v>
          </cell>
          <cell r="Y380">
            <v>575</v>
          </cell>
          <cell r="Z380">
            <v>753</v>
          </cell>
          <cell r="AA380">
            <v>1328</v>
          </cell>
          <cell r="AB380">
            <v>726</v>
          </cell>
          <cell r="AC380">
            <v>2054</v>
          </cell>
          <cell r="AD380">
            <v>737</v>
          </cell>
          <cell r="AE380">
            <v>2791</v>
          </cell>
          <cell r="AF380">
            <v>716</v>
          </cell>
          <cell r="AG380">
            <v>761</v>
          </cell>
          <cell r="AH380">
            <v>1477</v>
          </cell>
          <cell r="AI380">
            <v>749</v>
          </cell>
          <cell r="AJ380">
            <v>2226</v>
          </cell>
          <cell r="AK380">
            <v>667</v>
          </cell>
          <cell r="AL380">
            <v>2893</v>
          </cell>
          <cell r="AM380">
            <v>706</v>
          </cell>
          <cell r="AN380">
            <v>705</v>
          </cell>
          <cell r="AO380">
            <v>728</v>
          </cell>
          <cell r="AP380">
            <v>727</v>
          </cell>
          <cell r="AQ380">
            <v>1434</v>
          </cell>
          <cell r="AR380">
            <v>720</v>
          </cell>
          <cell r="AS380">
            <v>719</v>
          </cell>
          <cell r="AT380">
            <v>2154</v>
          </cell>
          <cell r="AU380">
            <v>669</v>
          </cell>
          <cell r="AV380">
            <v>668</v>
          </cell>
          <cell r="AW380">
            <v>2823</v>
          </cell>
          <cell r="AX380">
            <v>2819</v>
          </cell>
          <cell r="AY380">
            <v>663</v>
          </cell>
          <cell r="AZ380">
            <v>676.77716804334091</v>
          </cell>
          <cell r="BA380">
            <v>1339.7771680433409</v>
          </cell>
          <cell r="BB380">
            <v>670.61044806530424</v>
          </cell>
          <cell r="BC380">
            <v>2010.387616108645</v>
          </cell>
          <cell r="BD380">
            <v>664.73799825191327</v>
          </cell>
          <cell r="BE380">
            <v>2675.1256143605583</v>
          </cell>
          <cell r="BF380">
            <v>2866.8547998222607</v>
          </cell>
          <cell r="BG380">
            <v>2924.1918958187061</v>
          </cell>
          <cell r="BH380">
            <v>2982.6757337350805</v>
          </cell>
          <cell r="BI380">
            <v>3042.3292484097819</v>
          </cell>
          <cell r="BJ380">
            <v>3103.1758333779776</v>
          </cell>
          <cell r="BK380">
            <v>3165.2393500455373</v>
          </cell>
          <cell r="BL380">
            <v>3228.5441370464482</v>
          </cell>
          <cell r="BM380">
            <v>3293.1150197873772</v>
          </cell>
          <cell r="BN380">
            <v>3358.9773201831249</v>
          </cell>
          <cell r="BO380">
            <v>3426.1568665867876</v>
          </cell>
          <cell r="BW380">
            <v>191.67573373508048</v>
          </cell>
        </row>
        <row r="381">
          <cell r="A381" t="str">
            <v>Growth %</v>
          </cell>
          <cell r="C381">
            <v>2.8355387523629538E-2</v>
          </cell>
          <cell r="J381">
            <v>3.3455882352941169E-2</v>
          </cell>
          <cell r="K381">
            <v>-0.10688140556368964</v>
          </cell>
          <cell r="L381">
            <v>-0.11095305832147939</v>
          </cell>
          <cell r="M381">
            <v>-0.1089466089466089</v>
          </cell>
          <cell r="N381">
            <v>-9.6317280453257825E-2</v>
          </cell>
          <cell r="O381">
            <v>-0.10468451242829824</v>
          </cell>
          <cell r="P381">
            <v>-0.305980528511822</v>
          </cell>
          <cell r="Q381">
            <v>-0.1561721807186055</v>
          </cell>
          <cell r="R381">
            <v>-0.38688524590163931</v>
          </cell>
          <cell r="S381">
            <v>-0.28000000000000003</v>
          </cell>
          <cell r="T381">
            <v>-0.33279352226720649</v>
          </cell>
          <cell r="U381">
            <v>-0.17554858934169282</v>
          </cell>
          <cell r="V381">
            <v>-0.27923117992525359</v>
          </cell>
          <cell r="W381">
            <v>4.8096192384769587E-2</v>
          </cell>
          <cell r="X381">
            <v>-0.21037099494097811</v>
          </cell>
          <cell r="Y381">
            <v>0.53743315508021383</v>
          </cell>
          <cell r="Z381">
            <v>0.67333333333333334</v>
          </cell>
          <cell r="AA381">
            <v>0.61165048543689315</v>
          </cell>
          <cell r="AB381">
            <v>0.3802281368821292</v>
          </cell>
          <cell r="AC381">
            <v>0.52148148148148143</v>
          </cell>
          <cell r="AD381">
            <v>0.40917782026768634</v>
          </cell>
          <cell r="AE381">
            <v>0.49012279765082756</v>
          </cell>
          <cell r="AF381">
            <v>0.24521739130434783</v>
          </cell>
          <cell r="AG381">
            <v>1.0624169986719778E-2</v>
          </cell>
          <cell r="AH381">
            <v>0.11219879518072284</v>
          </cell>
          <cell r="AI381">
            <v>3.1680440771349794E-2</v>
          </cell>
          <cell r="AJ381">
            <v>8.3739045764362308E-2</v>
          </cell>
          <cell r="AK381">
            <v>-9.49796472184532E-2</v>
          </cell>
          <cell r="AL381">
            <v>3.6546040845575112E-2</v>
          </cell>
          <cell r="AM381">
            <v>-1.3966480446927387E-2</v>
          </cell>
          <cell r="AN381">
            <v>-1.5363128491620137E-2</v>
          </cell>
          <cell r="AO381">
            <v>-4.3363994743758183E-2</v>
          </cell>
          <cell r="AQ381">
            <v>-2.9113067027758954E-2</v>
          </cell>
          <cell r="AR381">
            <v>-3.8718291054739673E-2</v>
          </cell>
          <cell r="AT381">
            <v>-3.2345013477088957E-2</v>
          </cell>
          <cell r="AU381">
            <v>2.9985007496251548E-3</v>
          </cell>
          <cell r="AV381">
            <v>1.4992503748125774E-3</v>
          </cell>
          <cell r="AW381">
            <v>-2.4196335983408201E-2</v>
          </cell>
          <cell r="AX381">
            <v>-2.5578983753888673E-2</v>
          </cell>
          <cell r="AY381">
            <v>-6.0906515580736564E-2</v>
          </cell>
          <cell r="AZ381">
            <v>-7.0361032907498733E-2</v>
          </cell>
          <cell r="BA381">
            <v>-6.5706298435606048E-2</v>
          </cell>
          <cell r="BB381">
            <v>-6.8596599909299671E-2</v>
          </cell>
          <cell r="BC381">
            <v>-6.6672415919849071E-2</v>
          </cell>
          <cell r="BD381">
            <v>-6.3707051540907722E-3</v>
          </cell>
          <cell r="BE381">
            <v>-5.2381999872278318E-2</v>
          </cell>
          <cell r="BF381">
            <v>7.1671096277672097E-2</v>
          </cell>
          <cell r="BG381">
            <v>2.0000000000000018E-2</v>
          </cell>
          <cell r="BH381">
            <v>2.0000000000000018E-2</v>
          </cell>
          <cell r="BI381">
            <v>2.0000000000000018E-2</v>
          </cell>
          <cell r="BJ381">
            <v>2.0000000000000018E-2</v>
          </cell>
          <cell r="BK381">
            <v>2.0000000000000018E-2</v>
          </cell>
          <cell r="BL381">
            <v>2.0000000000000018E-2</v>
          </cell>
          <cell r="BM381">
            <v>2.0000000000000018E-2</v>
          </cell>
          <cell r="BN381">
            <v>2.0000000000000018E-2</v>
          </cell>
          <cell r="BO381">
            <v>2.0000000000000018E-2</v>
          </cell>
          <cell r="BW381">
            <v>-0.47012279765082754</v>
          </cell>
        </row>
        <row r="382">
          <cell r="A382" t="str">
            <v>CER growth %</v>
          </cell>
          <cell r="AL382">
            <v>5.6000000000000001E-2</v>
          </cell>
          <cell r="AM382">
            <v>-4.2000000000000003E-2</v>
          </cell>
          <cell r="AO382">
            <v>-0.10199999999999999</v>
          </cell>
          <cell r="AQ382">
            <v>-7.2999999999999995E-2</v>
          </cell>
          <cell r="AR382">
            <v>-0.105</v>
          </cell>
          <cell r="AT382">
            <v>-8.4000000000000005E-2</v>
          </cell>
          <cell r="AU382">
            <v>-2.7E-2</v>
          </cell>
          <cell r="AW382">
            <v>-7.0999999999999994E-2</v>
          </cell>
          <cell r="AY382">
            <v>-5.8000000000000003E-2</v>
          </cell>
          <cell r="AZ382">
            <v>-0.03</v>
          </cell>
          <cell r="BB382">
            <v>-0.03</v>
          </cell>
          <cell r="BE382">
            <v>-0.03</v>
          </cell>
          <cell r="BF382">
            <v>0.02</v>
          </cell>
          <cell r="BG382">
            <v>0.02</v>
          </cell>
          <cell r="BH382">
            <v>0.02</v>
          </cell>
          <cell r="BI382">
            <v>0.02</v>
          </cell>
          <cell r="BJ382">
            <v>0.02</v>
          </cell>
          <cell r="BK382">
            <v>0.02</v>
          </cell>
          <cell r="BL382">
            <v>0.02</v>
          </cell>
          <cell r="BM382">
            <v>0.02</v>
          </cell>
          <cell r="BN382">
            <v>0.02</v>
          </cell>
          <cell r="BO382">
            <v>0.02</v>
          </cell>
        </row>
        <row r="383">
          <cell r="A383" t="str">
            <v>Thermoplastic polyurethanes</v>
          </cell>
          <cell r="B383">
            <v>192</v>
          </cell>
          <cell r="C383">
            <v>205</v>
          </cell>
          <cell r="D383">
            <v>56</v>
          </cell>
          <cell r="E383">
            <v>54</v>
          </cell>
          <cell r="F383">
            <v>110</v>
          </cell>
          <cell r="G383">
            <v>61</v>
          </cell>
          <cell r="H383">
            <v>171</v>
          </cell>
          <cell r="I383">
            <v>59</v>
          </cell>
          <cell r="J383">
            <v>230</v>
          </cell>
          <cell r="K383">
            <v>63</v>
          </cell>
          <cell r="L383">
            <v>62</v>
          </cell>
          <cell r="M383">
            <v>125</v>
          </cell>
          <cell r="N383">
            <v>61</v>
          </cell>
          <cell r="O383">
            <v>186</v>
          </cell>
          <cell r="P383">
            <v>50</v>
          </cell>
          <cell r="Q383">
            <v>236</v>
          </cell>
          <cell r="R383">
            <v>43</v>
          </cell>
          <cell r="S383">
            <v>45</v>
          </cell>
          <cell r="T383">
            <v>88</v>
          </cell>
          <cell r="U383">
            <v>40</v>
          </cell>
          <cell r="V383">
            <v>128</v>
          </cell>
          <cell r="W383">
            <v>20</v>
          </cell>
          <cell r="X383">
            <v>148</v>
          </cell>
          <cell r="Y383">
            <v>40</v>
          </cell>
          <cell r="Z383">
            <v>55</v>
          </cell>
          <cell r="AA383">
            <v>95</v>
          </cell>
          <cell r="AB383">
            <v>44</v>
          </cell>
          <cell r="AC383">
            <v>139</v>
          </cell>
          <cell r="AD383">
            <v>21</v>
          </cell>
          <cell r="AE383">
            <v>160</v>
          </cell>
          <cell r="BE383">
            <v>0</v>
          </cell>
          <cell r="BF383">
            <v>0</v>
          </cell>
          <cell r="BG383">
            <v>0</v>
          </cell>
          <cell r="BH383">
            <v>0</v>
          </cell>
          <cell r="BI383">
            <v>0</v>
          </cell>
          <cell r="BJ383">
            <v>0</v>
          </cell>
          <cell r="BK383">
            <v>0</v>
          </cell>
          <cell r="BL383">
            <v>0</v>
          </cell>
          <cell r="BM383">
            <v>0</v>
          </cell>
          <cell r="BN383">
            <v>0</v>
          </cell>
          <cell r="BO383">
            <v>0</v>
          </cell>
          <cell r="BW383">
            <v>-160</v>
          </cell>
        </row>
        <row r="384">
          <cell r="A384" t="str">
            <v>Growth %</v>
          </cell>
          <cell r="C384">
            <v>6.7708333333333259E-2</v>
          </cell>
          <cell r="J384">
            <v>0.12195121951219523</v>
          </cell>
          <cell r="K384">
            <v>0.125</v>
          </cell>
          <cell r="L384">
            <v>0.14814814814814814</v>
          </cell>
          <cell r="M384">
            <v>0.13636363636363646</v>
          </cell>
          <cell r="N384">
            <v>0</v>
          </cell>
          <cell r="O384">
            <v>8.7719298245614086E-2</v>
          </cell>
          <cell r="P384">
            <v>-0.15254237288135597</v>
          </cell>
          <cell r="Q384">
            <v>2.6086956521739202E-2</v>
          </cell>
          <cell r="R384">
            <v>-0.31746031746031744</v>
          </cell>
          <cell r="S384">
            <v>-0.27419354838709675</v>
          </cell>
          <cell r="T384">
            <v>-0.29600000000000004</v>
          </cell>
          <cell r="U384">
            <v>-0.34426229508196726</v>
          </cell>
          <cell r="V384">
            <v>-0.31182795698924726</v>
          </cell>
          <cell r="W384">
            <v>-0.6</v>
          </cell>
          <cell r="X384">
            <v>-0.3728813559322034</v>
          </cell>
          <cell r="Y384">
            <v>-6.9767441860465129E-2</v>
          </cell>
          <cell r="Z384">
            <v>0.22222222222222232</v>
          </cell>
          <cell r="AA384">
            <v>7.9545454545454586E-2</v>
          </cell>
          <cell r="AB384">
            <v>0.10000000000000009</v>
          </cell>
          <cell r="AC384">
            <v>8.59375E-2</v>
          </cell>
          <cell r="AD384">
            <v>5.0000000000000044E-2</v>
          </cell>
          <cell r="AE384">
            <v>8.1081081081081141E-2</v>
          </cell>
          <cell r="BE384">
            <v>0.03</v>
          </cell>
          <cell r="BF384">
            <v>0.02</v>
          </cell>
          <cell r="BG384">
            <v>0.02</v>
          </cell>
          <cell r="BH384">
            <v>0.02</v>
          </cell>
          <cell r="BI384">
            <v>0.02</v>
          </cell>
          <cell r="BJ384">
            <v>0.02</v>
          </cell>
          <cell r="BK384">
            <v>0.02</v>
          </cell>
          <cell r="BL384">
            <v>0.02</v>
          </cell>
          <cell r="BM384">
            <v>0.02</v>
          </cell>
          <cell r="BN384">
            <v>0.02</v>
          </cell>
          <cell r="BO384">
            <v>0.02</v>
          </cell>
          <cell r="BW384">
            <v>-6.1081081081081137E-2</v>
          </cell>
        </row>
        <row r="385">
          <cell r="A385" t="str">
            <v>Materials</v>
          </cell>
          <cell r="B385">
            <v>2837</v>
          </cell>
          <cell r="C385">
            <v>2925</v>
          </cell>
          <cell r="D385">
            <v>739</v>
          </cell>
          <cell r="E385">
            <v>757</v>
          </cell>
          <cell r="F385">
            <v>1496</v>
          </cell>
          <cell r="G385">
            <v>767</v>
          </cell>
          <cell r="H385">
            <v>2263</v>
          </cell>
          <cell r="I385">
            <v>778</v>
          </cell>
          <cell r="J385">
            <v>3041</v>
          </cell>
          <cell r="K385">
            <v>673</v>
          </cell>
          <cell r="L385">
            <v>687</v>
          </cell>
          <cell r="M385">
            <v>1360</v>
          </cell>
          <cell r="N385">
            <v>699</v>
          </cell>
          <cell r="O385">
            <v>2059</v>
          </cell>
          <cell r="P385">
            <v>549</v>
          </cell>
          <cell r="Q385">
            <v>2608</v>
          </cell>
          <cell r="R385">
            <v>417</v>
          </cell>
          <cell r="S385">
            <v>495</v>
          </cell>
          <cell r="T385">
            <v>912</v>
          </cell>
          <cell r="U385">
            <v>566</v>
          </cell>
          <cell r="V385">
            <v>1478</v>
          </cell>
          <cell r="W385">
            <v>543</v>
          </cell>
          <cell r="X385">
            <v>2021</v>
          </cell>
          <cell r="Y385">
            <v>615</v>
          </cell>
          <cell r="Z385">
            <v>808</v>
          </cell>
          <cell r="AA385">
            <v>1423</v>
          </cell>
          <cell r="AB385">
            <v>770</v>
          </cell>
          <cell r="AC385">
            <v>2193</v>
          </cell>
          <cell r="AD385">
            <v>758</v>
          </cell>
          <cell r="AE385">
            <v>2951</v>
          </cell>
          <cell r="BE385">
            <v>2675.1256143605583</v>
          </cell>
          <cell r="BF385">
            <v>2866.8547998222607</v>
          </cell>
          <cell r="BG385">
            <v>2924.1918958187061</v>
          </cell>
          <cell r="BH385">
            <v>2982.6757337350805</v>
          </cell>
          <cell r="BI385">
            <v>3042.3292484097819</v>
          </cell>
          <cell r="BJ385">
            <v>3103.1758333779776</v>
          </cell>
          <cell r="BK385">
            <v>3165.2393500455373</v>
          </cell>
          <cell r="BL385">
            <v>3228.5441370464482</v>
          </cell>
          <cell r="BM385">
            <v>3293.1150197873772</v>
          </cell>
          <cell r="BN385">
            <v>3358.9773201831249</v>
          </cell>
          <cell r="BO385">
            <v>3426.1568665867876</v>
          </cell>
          <cell r="BR385">
            <v>5.9492989079513559E-2</v>
          </cell>
          <cell r="BS385">
            <v>6.3166446452872352E-2</v>
          </cell>
          <cell r="BW385">
            <v>31.675733735080485</v>
          </cell>
        </row>
        <row r="386">
          <cell r="A386" t="str">
            <v>Growth %</v>
          </cell>
          <cell r="C386">
            <v>3.1018681706027396E-2</v>
          </cell>
          <cell r="J386">
            <v>3.9658119658119606E-2</v>
          </cell>
          <cell r="K386">
            <v>-8.9309878213802429E-2</v>
          </cell>
          <cell r="L386">
            <v>-9.2470277410832247E-2</v>
          </cell>
          <cell r="M386">
            <v>-9.0909090909090939E-2</v>
          </cell>
          <cell r="N386">
            <v>-8.8657105606258169E-2</v>
          </cell>
          <cell r="O386">
            <v>-9.0145824127264684E-2</v>
          </cell>
          <cell r="P386">
            <v>-0.29434447300771205</v>
          </cell>
          <cell r="Q386">
            <v>-0.14238737257481093</v>
          </cell>
          <cell r="R386">
            <v>-0.38038632986627041</v>
          </cell>
          <cell r="S386">
            <v>-0.27947598253275108</v>
          </cell>
          <cell r="T386">
            <v>-0.3294117647058824</v>
          </cell>
          <cell r="U386">
            <v>-0.19027181688125894</v>
          </cell>
          <cell r="V386">
            <v>-0.28217581350169985</v>
          </cell>
          <cell r="W386">
            <v>-1.0928961748633892E-2</v>
          </cell>
          <cell r="X386">
            <v>-0.22507668711656437</v>
          </cell>
          <cell r="Y386">
            <v>0.47482014388489202</v>
          </cell>
          <cell r="Z386">
            <v>0.6323232323232324</v>
          </cell>
          <cell r="AA386">
            <v>0.56030701754385959</v>
          </cell>
          <cell r="AB386">
            <v>0.36042402826855113</v>
          </cell>
          <cell r="AC386">
            <v>0.48376184032476321</v>
          </cell>
          <cell r="AD386">
            <v>0.39594843462246776</v>
          </cell>
          <cell r="AE386">
            <v>0.46016823354774861</v>
          </cell>
          <cell r="BE386" t="e">
            <v>#DIV/0!</v>
          </cell>
          <cell r="BF386">
            <v>7.1671096277672097E-2</v>
          </cell>
          <cell r="BG386">
            <v>2.0000000000000018E-2</v>
          </cell>
          <cell r="BH386">
            <v>2.0000000000000018E-2</v>
          </cell>
          <cell r="BI386">
            <v>2.0000000000000018E-2</v>
          </cell>
          <cell r="BJ386">
            <v>2.0000000000000018E-2</v>
          </cell>
          <cell r="BK386">
            <v>2.0000000000000018E-2</v>
          </cell>
          <cell r="BL386">
            <v>2.0000000000000018E-2</v>
          </cell>
          <cell r="BM386">
            <v>2.0000000000000018E-2</v>
          </cell>
          <cell r="BN386">
            <v>2.0000000000000018E-2</v>
          </cell>
          <cell r="BO386">
            <v>2.0000000000000018E-2</v>
          </cell>
          <cell r="BW386">
            <v>-0.44016823354774859</v>
          </cell>
        </row>
        <row r="387">
          <cell r="BW387">
            <v>0</v>
          </cell>
        </row>
        <row r="388">
          <cell r="A388" t="str">
            <v>Polyurethanes</v>
          </cell>
          <cell r="B388">
            <v>4792</v>
          </cell>
          <cell r="C388">
            <v>5182</v>
          </cell>
          <cell r="D388">
            <v>1332</v>
          </cell>
          <cell r="E388">
            <v>1313</v>
          </cell>
          <cell r="F388">
            <v>2645</v>
          </cell>
          <cell r="G388">
            <v>1299</v>
          </cell>
          <cell r="H388">
            <v>3944</v>
          </cell>
          <cell r="I388">
            <v>1280</v>
          </cell>
          <cell r="J388">
            <v>5224</v>
          </cell>
          <cell r="K388">
            <v>1259</v>
          </cell>
          <cell r="L388">
            <v>1351</v>
          </cell>
          <cell r="M388">
            <v>2610</v>
          </cell>
          <cell r="N388">
            <v>1269</v>
          </cell>
          <cell r="O388">
            <v>3879</v>
          </cell>
          <cell r="P388">
            <v>1015</v>
          </cell>
          <cell r="Q388">
            <v>4894</v>
          </cell>
          <cell r="R388">
            <v>813</v>
          </cell>
          <cell r="S388">
            <v>860</v>
          </cell>
          <cell r="T388">
            <v>1673</v>
          </cell>
          <cell r="U388">
            <v>1011</v>
          </cell>
          <cell r="V388">
            <v>2684</v>
          </cell>
          <cell r="W388">
            <v>1099</v>
          </cell>
          <cell r="X388">
            <v>3783</v>
          </cell>
          <cell r="Y388">
            <v>1066</v>
          </cell>
          <cell r="Z388">
            <v>1266</v>
          </cell>
          <cell r="AA388">
            <v>2332</v>
          </cell>
          <cell r="AB388">
            <v>1277</v>
          </cell>
          <cell r="AC388">
            <v>3609</v>
          </cell>
          <cell r="AD388">
            <v>1255</v>
          </cell>
          <cell r="AE388">
            <v>4864</v>
          </cell>
          <cell r="AF388">
            <v>1353</v>
          </cell>
          <cell r="AG388">
            <v>1374</v>
          </cell>
          <cell r="AH388">
            <v>2727</v>
          </cell>
          <cell r="AI388">
            <v>1352</v>
          </cell>
          <cell r="AJ388">
            <v>4079</v>
          </cell>
          <cell r="AK388">
            <v>1322</v>
          </cell>
          <cell r="AL388">
            <v>5357</v>
          </cell>
          <cell r="AM388">
            <v>1443</v>
          </cell>
          <cell r="AN388">
            <v>1423</v>
          </cell>
          <cell r="AO388">
            <v>1547</v>
          </cell>
          <cell r="AP388">
            <v>1521</v>
          </cell>
          <cell r="AQ388">
            <v>2990</v>
          </cell>
          <cell r="AR388">
            <v>1572</v>
          </cell>
          <cell r="AS388">
            <v>1570</v>
          </cell>
          <cell r="AT388">
            <v>4562</v>
          </cell>
          <cell r="AU388">
            <v>1473</v>
          </cell>
          <cell r="AV388">
            <v>1473</v>
          </cell>
          <cell r="AW388">
            <v>5995</v>
          </cell>
          <cell r="AX388">
            <v>5987</v>
          </cell>
          <cell r="AY388">
            <v>1469</v>
          </cell>
          <cell r="AZ388">
            <v>1567.7822798138047</v>
          </cell>
          <cell r="BA388">
            <v>3036.782279813805</v>
          </cell>
          <cell r="BB388">
            <v>1594.8602512902642</v>
          </cell>
          <cell r="BC388">
            <v>4631.6425311040693</v>
          </cell>
          <cell r="BD388">
            <v>1532.5786366414686</v>
          </cell>
          <cell r="BE388">
            <v>6164.221167745538</v>
          </cell>
          <cell r="BF388">
            <v>6849.3335100930553</v>
          </cell>
          <cell r="BG388">
            <v>6986.320180294917</v>
          </cell>
          <cell r="BH388">
            <v>6986.320180294917</v>
          </cell>
          <cell r="BI388">
            <v>6986.320180294917</v>
          </cell>
          <cell r="BJ388">
            <v>7195.909785703765</v>
          </cell>
          <cell r="BK388">
            <v>7411.7870792748781</v>
          </cell>
          <cell r="BL388">
            <v>7634.140691653125</v>
          </cell>
          <cell r="BM388">
            <v>7863.164912402719</v>
          </cell>
          <cell r="BN388">
            <v>8099.0598597748003</v>
          </cell>
          <cell r="BO388">
            <v>8342.0316555680438</v>
          </cell>
          <cell r="BW388">
            <v>2122.320180294917</v>
          </cell>
        </row>
        <row r="389">
          <cell r="A389" t="str">
            <v>Growth %</v>
          </cell>
          <cell r="C389">
            <v>8.1385642737896502E-2</v>
          </cell>
          <cell r="J389">
            <v>8.1049787726745759E-3</v>
          </cell>
          <cell r="K389">
            <v>-5.4804804804804763E-2</v>
          </cell>
          <cell r="L389">
            <v>2.8941355674029001E-2</v>
          </cell>
          <cell r="M389">
            <v>-1.3232514177693777E-2</v>
          </cell>
          <cell r="N389">
            <v>-2.3094688221709014E-2</v>
          </cell>
          <cell r="O389">
            <v>-1.6480730223123685E-2</v>
          </cell>
          <cell r="P389">
            <v>-0.20703125</v>
          </cell>
          <cell r="Q389">
            <v>-6.3169984686064273E-2</v>
          </cell>
          <cell r="R389">
            <v>-0.35424940428911833</v>
          </cell>
          <cell r="S389">
            <v>-0.36343449296817176</v>
          </cell>
          <cell r="T389">
            <v>-0.35900383141762449</v>
          </cell>
          <cell r="U389">
            <v>-0.20330969267139476</v>
          </cell>
          <cell r="V389">
            <v>-0.30806908997164217</v>
          </cell>
          <cell r="W389">
            <v>8.2758620689655116E-2</v>
          </cell>
          <cell r="X389">
            <v>-0.22701266857376379</v>
          </cell>
          <cell r="Y389">
            <v>0.31119311193111932</v>
          </cell>
          <cell r="Z389">
            <v>0.47209302325581404</v>
          </cell>
          <cell r="AA389">
            <v>0.39390316796174529</v>
          </cell>
          <cell r="AB389">
            <v>0.26310583580613245</v>
          </cell>
          <cell r="AC389">
            <v>0.34463487332339793</v>
          </cell>
          <cell r="AD389">
            <v>0.14194722474977262</v>
          </cell>
          <cell r="AE389">
            <v>0.28575204863864667</v>
          </cell>
          <cell r="AM389">
            <v>6.6518847006651782E-2</v>
          </cell>
          <cell r="AN389">
            <v>5.1736881005173707E-2</v>
          </cell>
          <cell r="AO389">
            <v>0.12590975254730719</v>
          </cell>
          <cell r="AQ389">
            <v>9.6442977631096438E-2</v>
          </cell>
          <cell r="AR389">
            <v>0.16272189349112431</v>
          </cell>
          <cell r="AT389">
            <v>0.11841137533709234</v>
          </cell>
          <cell r="AU389">
            <v>0.11422087745839637</v>
          </cell>
          <cell r="AV389">
            <v>0.11422087745839637</v>
          </cell>
          <cell r="AW389">
            <v>0.11909650924024651</v>
          </cell>
          <cell r="AX389">
            <v>0.11760313608362893</v>
          </cell>
          <cell r="AY389">
            <v>1.8018018018018056E-2</v>
          </cell>
          <cell r="AZ389">
            <v>1.3433923602976572E-2</v>
          </cell>
          <cell r="BA389">
            <v>1.5646247429366156E-2</v>
          </cell>
          <cell r="BB389">
            <v>1.4542144586682015E-2</v>
          </cell>
          <cell r="BC389">
            <v>1.5265789369589999E-2</v>
          </cell>
          <cell r="BD389">
            <v>4.0447139607242777E-2</v>
          </cell>
          <cell r="BE389">
            <v>2.8227050499672668E-2</v>
          </cell>
          <cell r="BF389">
            <v>0.11114337459732737</v>
          </cell>
          <cell r="BG389">
            <v>2.0000000000000018E-2</v>
          </cell>
          <cell r="BH389">
            <v>0</v>
          </cell>
          <cell r="BI389">
            <v>0</v>
          </cell>
          <cell r="BJ389">
            <v>3.0000000000000027E-2</v>
          </cell>
          <cell r="BK389">
            <v>3.0000000000000027E-2</v>
          </cell>
          <cell r="BL389">
            <v>3.0000000000000027E-2</v>
          </cell>
          <cell r="BM389">
            <v>3.0000000000000027E-2</v>
          </cell>
          <cell r="BN389">
            <v>3.0000000000000027E-2</v>
          </cell>
          <cell r="BO389">
            <v>3.0000000000000027E-2</v>
          </cell>
          <cell r="BW389">
            <v>-0.28575204863864667</v>
          </cell>
        </row>
        <row r="390">
          <cell r="A390" t="str">
            <v>CER growth %</v>
          </cell>
          <cell r="AL390">
            <v>9.5000000000000001E-2</v>
          </cell>
          <cell r="AM390">
            <v>4.7E-2</v>
          </cell>
          <cell r="AO390">
            <v>7.4999999999999997E-2</v>
          </cell>
          <cell r="AQ390">
            <v>6.0999999999999999E-2</v>
          </cell>
          <cell r="AR390">
            <v>0.10199999999999999</v>
          </cell>
          <cell r="AT390">
            <v>7.5999999999999998E-2</v>
          </cell>
          <cell r="AU390">
            <v>9.0999999999999998E-2</v>
          </cell>
          <cell r="AW390">
            <v>7.9000000000000001E-2</v>
          </cell>
          <cell r="AY390">
            <v>4.3999999999999997E-2</v>
          </cell>
          <cell r="AZ390">
            <v>0.05</v>
          </cell>
          <cell r="BB390">
            <v>0.05</v>
          </cell>
          <cell r="BE390">
            <v>0.05</v>
          </cell>
          <cell r="BF390">
            <v>7.0000000000000007E-2</v>
          </cell>
          <cell r="BG390">
            <v>0.02</v>
          </cell>
          <cell r="BH390">
            <v>0</v>
          </cell>
          <cell r="BI390">
            <v>0</v>
          </cell>
          <cell r="BJ390">
            <v>0.03</v>
          </cell>
          <cell r="BK390">
            <v>0.03</v>
          </cell>
          <cell r="BL390">
            <v>0.03</v>
          </cell>
          <cell r="BM390">
            <v>0.03</v>
          </cell>
          <cell r="BN390">
            <v>0.03</v>
          </cell>
          <cell r="BO390">
            <v>0.03</v>
          </cell>
        </row>
        <row r="391">
          <cell r="A391" t="str">
            <v>Coatings/Adhesives/Sealants</v>
          </cell>
          <cell r="B391">
            <v>1330</v>
          </cell>
          <cell r="C391">
            <v>1488</v>
          </cell>
          <cell r="D391">
            <v>393</v>
          </cell>
          <cell r="E391">
            <v>410</v>
          </cell>
          <cell r="F391">
            <v>803</v>
          </cell>
          <cell r="G391">
            <v>415</v>
          </cell>
          <cell r="H391">
            <v>1218</v>
          </cell>
          <cell r="I391">
            <v>380</v>
          </cell>
          <cell r="J391">
            <v>1598</v>
          </cell>
          <cell r="K391">
            <v>423</v>
          </cell>
          <cell r="L391">
            <v>432</v>
          </cell>
          <cell r="M391">
            <v>855</v>
          </cell>
          <cell r="N391">
            <v>412</v>
          </cell>
          <cell r="O391">
            <v>1267</v>
          </cell>
          <cell r="P391">
            <v>319</v>
          </cell>
          <cell r="Q391">
            <v>1586</v>
          </cell>
          <cell r="R391">
            <v>264</v>
          </cell>
          <cell r="S391">
            <v>350</v>
          </cell>
          <cell r="T391">
            <v>614</v>
          </cell>
          <cell r="U391">
            <v>383</v>
          </cell>
          <cell r="V391">
            <v>997</v>
          </cell>
          <cell r="W391">
            <v>367</v>
          </cell>
          <cell r="X391">
            <v>1364</v>
          </cell>
          <cell r="Y391">
            <v>413</v>
          </cell>
          <cell r="Z391">
            <v>481</v>
          </cell>
          <cell r="AA391">
            <v>894</v>
          </cell>
          <cell r="AB391">
            <v>475</v>
          </cell>
          <cell r="AC391">
            <v>1369</v>
          </cell>
          <cell r="AD391">
            <v>422</v>
          </cell>
          <cell r="AE391">
            <v>1791</v>
          </cell>
          <cell r="AF391">
            <v>460</v>
          </cell>
          <cell r="AG391">
            <v>490</v>
          </cell>
          <cell r="AH391">
            <v>950</v>
          </cell>
          <cell r="AI391">
            <v>494</v>
          </cell>
          <cell r="AJ391">
            <v>1444</v>
          </cell>
          <cell r="AK391">
            <v>439</v>
          </cell>
          <cell r="AL391">
            <v>1923</v>
          </cell>
          <cell r="AM391">
            <v>462</v>
          </cell>
          <cell r="AN391">
            <v>483</v>
          </cell>
          <cell r="AO391">
            <v>507</v>
          </cell>
          <cell r="AP391">
            <v>525</v>
          </cell>
          <cell r="AQ391">
            <v>969</v>
          </cell>
          <cell r="AR391">
            <v>512</v>
          </cell>
          <cell r="AS391">
            <v>513</v>
          </cell>
          <cell r="AT391">
            <v>1481</v>
          </cell>
          <cell r="AU391">
            <v>451</v>
          </cell>
          <cell r="AV391">
            <v>451</v>
          </cell>
          <cell r="AW391">
            <v>1972</v>
          </cell>
          <cell r="AX391">
            <v>1972</v>
          </cell>
          <cell r="AY391">
            <v>467</v>
          </cell>
          <cell r="AZ391">
            <v>507</v>
          </cell>
          <cell r="BA391">
            <v>974</v>
          </cell>
          <cell r="BB391">
            <v>512</v>
          </cell>
          <cell r="BC391">
            <v>1486</v>
          </cell>
          <cell r="BD391">
            <v>486</v>
          </cell>
          <cell r="BE391">
            <v>1972</v>
          </cell>
          <cell r="BF391">
            <v>2031.16</v>
          </cell>
          <cell r="BG391">
            <v>2092.0948000000003</v>
          </cell>
          <cell r="BH391">
            <v>2154.8576440000002</v>
          </cell>
          <cell r="BI391">
            <v>2219.5033733200003</v>
          </cell>
          <cell r="BJ391">
            <v>2286.0884745196004</v>
          </cell>
          <cell r="BK391">
            <v>2354.6711287551884</v>
          </cell>
          <cell r="BL391">
            <v>2425.311262617844</v>
          </cell>
          <cell r="BM391">
            <v>2498.0706004963795</v>
          </cell>
          <cell r="BN391">
            <v>2573.012718511271</v>
          </cell>
          <cell r="BO391">
            <v>2650.2031000666093</v>
          </cell>
          <cell r="BW391">
            <v>363.85764400000016</v>
          </cell>
        </row>
        <row r="392">
          <cell r="A392" t="str">
            <v>Growth %</v>
          </cell>
          <cell r="C392">
            <v>0.1187969924812029</v>
          </cell>
          <cell r="J392">
            <v>7.3924731182795744E-2</v>
          </cell>
          <cell r="K392">
            <v>7.6335877862595325E-2</v>
          </cell>
          <cell r="L392">
            <v>5.3658536585365901E-2</v>
          </cell>
          <cell r="M392">
            <v>6.4757160647571643E-2</v>
          </cell>
          <cell r="N392">
            <v>-7.2289156626506035E-3</v>
          </cell>
          <cell r="O392">
            <v>4.022988505747116E-2</v>
          </cell>
          <cell r="P392">
            <v>-0.16052631578947374</v>
          </cell>
          <cell r="Q392">
            <v>-7.509386733416723E-3</v>
          </cell>
          <cell r="R392">
            <v>-0.37588652482269502</v>
          </cell>
          <cell r="S392">
            <v>-0.18981481481481477</v>
          </cell>
          <cell r="T392">
            <v>-0.28187134502923972</v>
          </cell>
          <cell r="U392">
            <v>-7.0388349514563076E-2</v>
          </cell>
          <cell r="V392">
            <v>-0.21310181531176009</v>
          </cell>
          <cell r="W392">
            <v>0.15047021943573657</v>
          </cell>
          <cell r="X392">
            <v>-0.13997477931904156</v>
          </cell>
          <cell r="Y392">
            <v>0.56439393939393945</v>
          </cell>
          <cell r="Z392">
            <v>0.37428571428571433</v>
          </cell>
          <cell r="AA392">
            <v>0.4560260586319218</v>
          </cell>
          <cell r="AB392">
            <v>0.24020887728459539</v>
          </cell>
          <cell r="AC392">
            <v>0.3731193580742227</v>
          </cell>
          <cell r="AD392">
            <v>0.14986376021798375</v>
          </cell>
          <cell r="AE392">
            <v>0.31304985337243396</v>
          </cell>
          <cell r="AF392">
            <v>0.11380145278450371</v>
          </cell>
          <cell r="AG392">
            <v>1.8711018711018657E-2</v>
          </cell>
          <cell r="AH392">
            <v>6.2639821029082832E-2</v>
          </cell>
          <cell r="AI392">
            <v>4.0000000000000036E-2</v>
          </cell>
          <cell r="AJ392">
            <v>5.4784514243973792E-2</v>
          </cell>
          <cell r="AK392">
            <v>4.0284360189573487E-2</v>
          </cell>
          <cell r="AL392">
            <v>7.3701842546063601E-2</v>
          </cell>
          <cell r="AM392">
            <v>4.3478260869564966E-3</v>
          </cell>
          <cell r="AN392">
            <v>5.0000000000000044E-2</v>
          </cell>
          <cell r="AO392">
            <v>3.469387755102038E-2</v>
          </cell>
          <cell r="AQ392">
            <v>2.0000000000000018E-2</v>
          </cell>
          <cell r="AR392">
            <v>3.6437246963562764E-2</v>
          </cell>
          <cell r="AT392">
            <v>2.5623268698060864E-2</v>
          </cell>
          <cell r="AU392">
            <v>2.7334851936218652E-2</v>
          </cell>
          <cell r="AV392">
            <v>2.7334851936218652E-2</v>
          </cell>
          <cell r="AW392">
            <v>2.5481019240769731E-2</v>
          </cell>
          <cell r="AX392">
            <v>2.5481019240769731E-2</v>
          </cell>
          <cell r="AY392">
            <v>1.0822510822510845E-2</v>
          </cell>
          <cell r="AZ392">
            <v>0</v>
          </cell>
          <cell r="BA392">
            <v>5.1599587203301489E-3</v>
          </cell>
          <cell r="BB392">
            <v>0</v>
          </cell>
          <cell r="BC392">
            <v>3.3760972316003723E-3</v>
          </cell>
          <cell r="BD392">
            <v>7.7605321507760561E-2</v>
          </cell>
          <cell r="BE392">
            <v>0</v>
          </cell>
          <cell r="BF392">
            <v>3.0000000000000027E-2</v>
          </cell>
          <cell r="BG392">
            <v>3.0000000000000027E-2</v>
          </cell>
          <cell r="BH392">
            <v>3.0000000000000027E-2</v>
          </cell>
          <cell r="BI392">
            <v>3.0000000000000027E-2</v>
          </cell>
          <cell r="BJ392">
            <v>3.0000000000000027E-2</v>
          </cell>
          <cell r="BK392">
            <v>3.0000000000000027E-2</v>
          </cell>
          <cell r="BL392">
            <v>3.0000000000000027E-2</v>
          </cell>
          <cell r="BM392">
            <v>3.0000000000000027E-2</v>
          </cell>
          <cell r="BN392">
            <v>3.0000000000000027E-2</v>
          </cell>
          <cell r="BO392">
            <v>3.0000000000000027E-2</v>
          </cell>
          <cell r="BW392">
            <v>-0.28304985337243393</v>
          </cell>
        </row>
        <row r="393">
          <cell r="A393" t="str">
            <v>CER growth %</v>
          </cell>
          <cell r="AL393">
            <v>4.4999999999999998E-2</v>
          </cell>
          <cell r="AM393">
            <v>3.9E-2</v>
          </cell>
          <cell r="AO393">
            <v>2.9000000000000001E-2</v>
          </cell>
          <cell r="AQ393">
            <v>3.4000000000000002E-2</v>
          </cell>
          <cell r="AR393">
            <v>2.8000000000000001E-2</v>
          </cell>
          <cell r="AT393">
            <v>0.03</v>
          </cell>
          <cell r="AU393">
            <v>5.5E-2</v>
          </cell>
          <cell r="AW393">
            <v>3.5000000000000003E-2</v>
          </cell>
          <cell r="AY393">
            <v>-3.1E-2</v>
          </cell>
          <cell r="AZ393">
            <v>0</v>
          </cell>
          <cell r="BB393">
            <v>0</v>
          </cell>
          <cell r="BE393">
            <v>0</v>
          </cell>
          <cell r="BF393">
            <v>0.03</v>
          </cell>
          <cell r="BG393">
            <v>0.03</v>
          </cell>
          <cell r="BH393">
            <v>0.03</v>
          </cell>
          <cell r="BI393">
            <v>0.03</v>
          </cell>
          <cell r="BJ393">
            <v>0.03</v>
          </cell>
          <cell r="BK393">
            <v>0.03</v>
          </cell>
          <cell r="BL393">
            <v>0.03</v>
          </cell>
          <cell r="BM393">
            <v>0.03</v>
          </cell>
          <cell r="BN393">
            <v>0.03</v>
          </cell>
          <cell r="BO393">
            <v>0.03</v>
          </cell>
        </row>
        <row r="394">
          <cell r="A394" t="str">
            <v>Industrial Operations</v>
          </cell>
          <cell r="AF394">
            <v>157</v>
          </cell>
          <cell r="AG394">
            <v>157</v>
          </cell>
          <cell r="AH394">
            <v>314</v>
          </cell>
          <cell r="AI394">
            <v>173</v>
          </cell>
          <cell r="AJ394">
            <v>487</v>
          </cell>
          <cell r="AK394">
            <v>168</v>
          </cell>
          <cell r="AL394">
            <v>659</v>
          </cell>
          <cell r="AM394">
            <v>177</v>
          </cell>
          <cell r="AN394">
            <v>176</v>
          </cell>
          <cell r="AO394">
            <v>180</v>
          </cell>
          <cell r="AP394">
            <v>182</v>
          </cell>
          <cell r="AQ394">
            <v>357</v>
          </cell>
          <cell r="AR394">
            <v>188</v>
          </cell>
          <cell r="AS394">
            <v>188</v>
          </cell>
          <cell r="AT394">
            <v>545</v>
          </cell>
          <cell r="AU394">
            <v>168</v>
          </cell>
          <cell r="AV394">
            <v>167</v>
          </cell>
          <cell r="AW394">
            <v>713</v>
          </cell>
          <cell r="AX394">
            <v>713</v>
          </cell>
          <cell r="AY394">
            <v>176</v>
          </cell>
          <cell r="AZ394">
            <v>183.27721203693889</v>
          </cell>
          <cell r="BA394">
            <v>359.27721203693886</v>
          </cell>
          <cell r="BB394">
            <v>191.51067671211942</v>
          </cell>
          <cell r="BC394">
            <v>550.78788874905831</v>
          </cell>
          <cell r="BD394">
            <v>181.0591804731057</v>
          </cell>
          <cell r="BE394">
            <v>731.84706922216401</v>
          </cell>
          <cell r="BF394">
            <v>785.01141267144226</v>
          </cell>
          <cell r="BG394">
            <v>824.26198330501438</v>
          </cell>
          <cell r="BH394">
            <v>865.47508247026519</v>
          </cell>
          <cell r="BI394">
            <v>908.74883659377849</v>
          </cell>
          <cell r="BJ394">
            <v>954.18627842346746</v>
          </cell>
          <cell r="BK394">
            <v>1001.8955923446408</v>
          </cell>
          <cell r="BL394">
            <v>1051.9903719618728</v>
          </cell>
          <cell r="BM394">
            <v>1104.5898905599665</v>
          </cell>
          <cell r="BN394">
            <v>1159.819385087965</v>
          </cell>
          <cell r="BO394">
            <v>1217.8103543423633</v>
          </cell>
        </row>
        <row r="395">
          <cell r="A395" t="str">
            <v>Growth %</v>
          </cell>
          <cell r="AM395">
            <v>0.12738853503184711</v>
          </cell>
          <cell r="AN395">
            <v>0.12101910828025475</v>
          </cell>
          <cell r="AO395">
            <v>0.14649681528662417</v>
          </cell>
          <cell r="AQ395">
            <v>0.13694267515923575</v>
          </cell>
          <cell r="AR395">
            <v>8.6705202312138629E-2</v>
          </cell>
          <cell r="AT395">
            <v>0.11909650924024651</v>
          </cell>
          <cell r="AU395">
            <v>0</v>
          </cell>
          <cell r="AV395">
            <v>-5.9523809523809312E-3</v>
          </cell>
          <cell r="AW395">
            <v>8.1942336874051502E-2</v>
          </cell>
          <cell r="AX395">
            <v>8.1942336874051502E-2</v>
          </cell>
          <cell r="AY395">
            <v>-5.6497175141242417E-3</v>
          </cell>
          <cell r="AZ395">
            <v>1.8206733538549402E-2</v>
          </cell>
          <cell r="BA395">
            <v>6.3787452015093837E-3</v>
          </cell>
          <cell r="BB395">
            <v>1.8673812298507508E-2</v>
          </cell>
          <cell r="BC395">
            <v>1.0619979356070397E-2</v>
          </cell>
          <cell r="BD395">
            <v>7.7733217101819685E-2</v>
          </cell>
          <cell r="BE395">
            <v>2.6433477169935493E-2</v>
          </cell>
          <cell r="BF395">
            <v>7.2644061423629669E-2</v>
          </cell>
          <cell r="BG395">
            <v>5.0000000000000044E-2</v>
          </cell>
          <cell r="BH395">
            <v>5.0000000000000044E-2</v>
          </cell>
          <cell r="BI395">
            <v>5.0000000000000044E-2</v>
          </cell>
          <cell r="BJ395">
            <v>5.0000000000000044E-2</v>
          </cell>
          <cell r="BK395">
            <v>5.0000000000000044E-2</v>
          </cell>
          <cell r="BL395">
            <v>5.0000000000000044E-2</v>
          </cell>
          <cell r="BM395">
            <v>5.0000000000000044E-2</v>
          </cell>
          <cell r="BN395">
            <v>5.0000000000000044E-2</v>
          </cell>
          <cell r="BO395">
            <v>5.0000000000000044E-2</v>
          </cell>
        </row>
        <row r="396">
          <cell r="A396" t="str">
            <v>CER growth %</v>
          </cell>
          <cell r="AL396">
            <v>0.219</v>
          </cell>
          <cell r="AM396">
            <v>8.8999999999999996E-2</v>
          </cell>
          <cell r="AO396">
            <v>9.9000000000000005E-2</v>
          </cell>
          <cell r="AQ396">
            <v>0.10100000000000001</v>
          </cell>
          <cell r="AR396">
            <v>4.5999999999999999E-2</v>
          </cell>
          <cell r="AT396">
            <v>8.4000000000000005E-2</v>
          </cell>
          <cell r="AU396">
            <v>-6.0000000000000001E-3</v>
          </cell>
          <cell r="AW396">
            <v>6.0999999999999999E-2</v>
          </cell>
          <cell r="AY396">
            <v>6.0000000000000001E-3</v>
          </cell>
          <cell r="AZ396">
            <v>0.04</v>
          </cell>
          <cell r="BB396">
            <v>0.04</v>
          </cell>
          <cell r="BE396">
            <v>0.04</v>
          </cell>
          <cell r="BF396">
            <v>0.05</v>
          </cell>
          <cell r="BG396">
            <v>0.05</v>
          </cell>
          <cell r="BH396">
            <v>0.05</v>
          </cell>
          <cell r="BI396">
            <v>0.05</v>
          </cell>
          <cell r="BJ396">
            <v>0.05</v>
          </cell>
          <cell r="BK396">
            <v>0.05</v>
          </cell>
          <cell r="BL396">
            <v>0.05</v>
          </cell>
          <cell r="BM396">
            <v>0.05</v>
          </cell>
          <cell r="BN396">
            <v>0.05</v>
          </cell>
          <cell r="BO396">
            <v>0.05</v>
          </cell>
        </row>
        <row r="397">
          <cell r="A397" t="str">
            <v>Basic inorganic chemicals</v>
          </cell>
          <cell r="B397">
            <v>380</v>
          </cell>
          <cell r="C397">
            <v>403</v>
          </cell>
          <cell r="D397">
            <v>106</v>
          </cell>
          <cell r="E397">
            <v>104</v>
          </cell>
          <cell r="F397">
            <v>210</v>
          </cell>
          <cell r="G397">
            <v>107</v>
          </cell>
          <cell r="H397">
            <v>317</v>
          </cell>
          <cell r="I397">
            <v>106</v>
          </cell>
          <cell r="J397">
            <v>423</v>
          </cell>
          <cell r="K397">
            <v>117</v>
          </cell>
          <cell r="L397">
            <v>113</v>
          </cell>
          <cell r="M397">
            <v>230</v>
          </cell>
          <cell r="N397">
            <v>127</v>
          </cell>
          <cell r="O397">
            <v>357</v>
          </cell>
          <cell r="P397">
            <v>132</v>
          </cell>
          <cell r="Q397">
            <v>489</v>
          </cell>
          <cell r="R397">
            <v>103</v>
          </cell>
          <cell r="S397">
            <v>95</v>
          </cell>
          <cell r="T397">
            <v>198</v>
          </cell>
          <cell r="U397">
            <v>55</v>
          </cell>
          <cell r="V397">
            <v>253</v>
          </cell>
          <cell r="W397">
            <v>0</v>
          </cell>
          <cell r="X397">
            <v>253</v>
          </cell>
          <cell r="Y397">
            <v>97</v>
          </cell>
          <cell r="Z397">
            <v>99</v>
          </cell>
          <cell r="AA397">
            <v>196</v>
          </cell>
          <cell r="AB397">
            <v>106</v>
          </cell>
          <cell r="AC397">
            <v>302</v>
          </cell>
          <cell r="AD397">
            <v>129</v>
          </cell>
          <cell r="AE397">
            <v>431</v>
          </cell>
          <cell r="AF397">
            <v>157</v>
          </cell>
          <cell r="AG397">
            <v>100</v>
          </cell>
          <cell r="AH397">
            <v>257</v>
          </cell>
          <cell r="AI397">
            <v>173</v>
          </cell>
          <cell r="AJ397">
            <v>430</v>
          </cell>
          <cell r="AK397">
            <v>168</v>
          </cell>
          <cell r="AL397">
            <v>598</v>
          </cell>
          <cell r="AM397">
            <v>177</v>
          </cell>
          <cell r="AO397">
            <v>157</v>
          </cell>
          <cell r="AQ397">
            <v>334</v>
          </cell>
          <cell r="AR397">
            <v>188</v>
          </cell>
          <cell r="AT397">
            <v>522</v>
          </cell>
          <cell r="AU397">
            <v>168</v>
          </cell>
          <cell r="AW397">
            <v>690</v>
          </cell>
          <cell r="BE397">
            <v>717.6</v>
          </cell>
          <cell r="BF397">
            <v>739.12800000000004</v>
          </cell>
          <cell r="BG397">
            <v>761.30184000000008</v>
          </cell>
          <cell r="BH397">
            <v>784.14089520000016</v>
          </cell>
          <cell r="BI397">
            <v>807.6651220560002</v>
          </cell>
          <cell r="BJ397">
            <v>831.89507571768024</v>
          </cell>
          <cell r="BK397">
            <v>856.85192798921071</v>
          </cell>
          <cell r="BL397">
            <v>882.55748582888702</v>
          </cell>
          <cell r="BM397">
            <v>909.0342104037536</v>
          </cell>
          <cell r="BN397">
            <v>936.30523671586627</v>
          </cell>
          <cell r="BO397">
            <v>964.39439381734223</v>
          </cell>
          <cell r="BW397">
            <v>353.14089520000016</v>
          </cell>
        </row>
        <row r="398">
          <cell r="A398" t="str">
            <v>Growth %</v>
          </cell>
          <cell r="C398">
            <v>6.0526315789473761E-2</v>
          </cell>
          <cell r="J398">
            <v>4.9627791563275458E-2</v>
          </cell>
          <cell r="K398">
            <v>0.10377358490566047</v>
          </cell>
          <cell r="L398">
            <v>8.6538461538461453E-2</v>
          </cell>
          <cell r="M398">
            <v>9.5238095238095344E-2</v>
          </cell>
          <cell r="N398">
            <v>0.18691588785046731</v>
          </cell>
          <cell r="O398">
            <v>0.12618296529968465</v>
          </cell>
          <cell r="P398">
            <v>0.24528301886792447</v>
          </cell>
          <cell r="Q398">
            <v>0.15602836879432624</v>
          </cell>
          <cell r="R398">
            <v>-0.11965811965811968</v>
          </cell>
          <cell r="S398">
            <v>-0.15929203539823011</v>
          </cell>
          <cell r="T398">
            <v>-0.13913043478260867</v>
          </cell>
          <cell r="U398">
            <v>-0.56692913385826771</v>
          </cell>
          <cell r="V398">
            <v>-0.29131652661064422</v>
          </cell>
          <cell r="X398">
            <v>-0.48261758691206547</v>
          </cell>
          <cell r="Y398">
            <v>-5.8252427184465994E-2</v>
          </cell>
          <cell r="Z398">
            <v>4.2105263157894646E-2</v>
          </cell>
          <cell r="AA398">
            <v>-1.0101010101010055E-2</v>
          </cell>
          <cell r="AB398">
            <v>0.92727272727272725</v>
          </cell>
          <cell r="AC398">
            <v>0.19367588932806323</v>
          </cell>
          <cell r="AE398">
            <v>0.70355731225296436</v>
          </cell>
          <cell r="AF398">
            <v>0.61855670103092786</v>
          </cell>
          <cell r="AG398">
            <v>1.0101010101010166E-2</v>
          </cell>
          <cell r="AH398">
            <v>0.31122448979591844</v>
          </cell>
          <cell r="AI398">
            <v>0.63207547169811318</v>
          </cell>
          <cell r="AJ398">
            <v>0.42384105960264895</v>
          </cell>
          <cell r="AK398">
            <v>0.30232558139534893</v>
          </cell>
          <cell r="AL398">
            <v>0.3874709976798143</v>
          </cell>
          <cell r="AM398">
            <v>0.12738853503184711</v>
          </cell>
          <cell r="AO398">
            <v>0.57000000000000006</v>
          </cell>
          <cell r="AQ398">
            <v>0.29961089494163429</v>
          </cell>
          <cell r="AR398">
            <v>8.6705202312138629E-2</v>
          </cell>
          <cell r="AT398">
            <v>0.21395348837209305</v>
          </cell>
          <cell r="AU398">
            <v>0</v>
          </cell>
          <cell r="AW398">
            <v>0.15384615384615374</v>
          </cell>
          <cell r="BE398">
            <v>0.04</v>
          </cell>
          <cell r="BF398">
            <v>0.03</v>
          </cell>
          <cell r="BG398">
            <v>0.03</v>
          </cell>
          <cell r="BH398">
            <v>0.03</v>
          </cell>
          <cell r="BI398">
            <v>0.03</v>
          </cell>
          <cell r="BJ398">
            <v>0.03</v>
          </cell>
          <cell r="BK398">
            <v>0.03</v>
          </cell>
          <cell r="BL398">
            <v>0.03</v>
          </cell>
          <cell r="BM398">
            <v>0.03</v>
          </cell>
          <cell r="BN398">
            <v>0.03</v>
          </cell>
          <cell r="BO398">
            <v>0.03</v>
          </cell>
          <cell r="BW398">
            <v>-0.67355731225296434</v>
          </cell>
        </row>
        <row r="399">
          <cell r="A399" t="str">
            <v>Other</v>
          </cell>
          <cell r="B399">
            <v>107</v>
          </cell>
          <cell r="C399">
            <v>163</v>
          </cell>
          <cell r="D399">
            <v>38</v>
          </cell>
          <cell r="E399">
            <v>39</v>
          </cell>
          <cell r="F399">
            <v>77</v>
          </cell>
          <cell r="G399">
            <v>37</v>
          </cell>
          <cell r="H399">
            <v>114</v>
          </cell>
          <cell r="I399">
            <v>35</v>
          </cell>
          <cell r="J399">
            <v>149</v>
          </cell>
          <cell r="K399">
            <v>40</v>
          </cell>
          <cell r="L399">
            <v>39</v>
          </cell>
          <cell r="M399">
            <v>79</v>
          </cell>
          <cell r="N399">
            <v>42</v>
          </cell>
          <cell r="O399">
            <v>121</v>
          </cell>
          <cell r="P399">
            <v>40</v>
          </cell>
          <cell r="Q399">
            <v>161</v>
          </cell>
          <cell r="R399">
            <v>39</v>
          </cell>
          <cell r="S399">
            <v>30</v>
          </cell>
          <cell r="T399">
            <v>69</v>
          </cell>
          <cell r="U399">
            <v>23</v>
          </cell>
          <cell r="V399">
            <v>92</v>
          </cell>
          <cell r="W399">
            <v>7</v>
          </cell>
          <cell r="X399">
            <v>99</v>
          </cell>
          <cell r="Y399">
            <v>25</v>
          </cell>
          <cell r="Z399">
            <v>35</v>
          </cell>
          <cell r="AA399">
            <v>60</v>
          </cell>
          <cell r="AB399">
            <v>37</v>
          </cell>
          <cell r="AC399">
            <v>97</v>
          </cell>
          <cell r="AD399">
            <v>20</v>
          </cell>
          <cell r="AE399">
            <v>117</v>
          </cell>
          <cell r="BE399">
            <v>0</v>
          </cell>
          <cell r="BF399">
            <v>0</v>
          </cell>
          <cell r="BG399">
            <v>0</v>
          </cell>
          <cell r="BH399">
            <v>0</v>
          </cell>
          <cell r="BI399">
            <v>0</v>
          </cell>
          <cell r="BJ399">
            <v>0</v>
          </cell>
          <cell r="BK399">
            <v>0</v>
          </cell>
          <cell r="BL399">
            <v>0</v>
          </cell>
          <cell r="BM399">
            <v>0</v>
          </cell>
          <cell r="BN399">
            <v>0</v>
          </cell>
          <cell r="BO399">
            <v>0</v>
          </cell>
          <cell r="BW399">
            <v>-117</v>
          </cell>
        </row>
        <row r="400">
          <cell r="A400" t="str">
            <v>Growth %</v>
          </cell>
          <cell r="C400">
            <v>0.52336448598130847</v>
          </cell>
          <cell r="J400">
            <v>-8.5889570552147187E-2</v>
          </cell>
          <cell r="K400">
            <v>5.2631578947368363E-2</v>
          </cell>
          <cell r="L400">
            <v>0</v>
          </cell>
          <cell r="M400">
            <v>2.5974025974025983E-2</v>
          </cell>
          <cell r="N400">
            <v>0.13513513513513509</v>
          </cell>
          <cell r="O400">
            <v>6.1403508771929793E-2</v>
          </cell>
          <cell r="P400">
            <v>0.14285714285714279</v>
          </cell>
          <cell r="Q400">
            <v>8.0536912751677958E-2</v>
          </cell>
          <cell r="R400">
            <v>-2.5000000000000022E-2</v>
          </cell>
          <cell r="S400">
            <v>-0.23076923076923073</v>
          </cell>
          <cell r="T400">
            <v>-0.12658227848101267</v>
          </cell>
          <cell r="U400">
            <v>-0.45238095238095233</v>
          </cell>
          <cell r="V400">
            <v>-0.23966942148760328</v>
          </cell>
          <cell r="W400">
            <v>-0.82499999999999996</v>
          </cell>
          <cell r="X400">
            <v>-0.3850931677018633</v>
          </cell>
          <cell r="Y400">
            <v>-0.35897435897435892</v>
          </cell>
          <cell r="Z400">
            <v>0.16666666666666674</v>
          </cell>
          <cell r="AA400">
            <v>-0.13043478260869568</v>
          </cell>
          <cell r="AB400">
            <v>0.60869565217391308</v>
          </cell>
          <cell r="AC400">
            <v>5.4347826086956541E-2</v>
          </cell>
          <cell r="AD400">
            <v>1.8571428571428572</v>
          </cell>
          <cell r="AE400">
            <v>0.18181818181818188</v>
          </cell>
          <cell r="BE400">
            <v>-0.05</v>
          </cell>
          <cell r="BF400">
            <v>-0.05</v>
          </cell>
          <cell r="BG400">
            <v>-0.05</v>
          </cell>
          <cell r="BH400">
            <v>-0.05</v>
          </cell>
          <cell r="BI400">
            <v>-0.05</v>
          </cell>
          <cell r="BJ400">
            <v>-0.05</v>
          </cell>
          <cell r="BK400">
            <v>-0.05</v>
          </cell>
          <cell r="BL400">
            <v>-0.05</v>
          </cell>
          <cell r="BM400">
            <v>0</v>
          </cell>
          <cell r="BN400">
            <v>0</v>
          </cell>
          <cell r="BO400">
            <v>0</v>
          </cell>
          <cell r="BW400">
            <v>-0.23181818181818187</v>
          </cell>
        </row>
        <row r="401">
          <cell r="A401" t="str">
            <v>Systems</v>
          </cell>
          <cell r="B401">
            <v>6609</v>
          </cell>
          <cell r="C401">
            <v>7236</v>
          </cell>
          <cell r="D401">
            <v>1869</v>
          </cell>
          <cell r="E401">
            <v>1866</v>
          </cell>
          <cell r="F401">
            <v>3735</v>
          </cell>
          <cell r="G401">
            <v>1858</v>
          </cell>
          <cell r="H401">
            <v>5593</v>
          </cell>
          <cell r="I401">
            <v>1801</v>
          </cell>
          <cell r="J401">
            <v>7394</v>
          </cell>
          <cell r="K401">
            <v>1839</v>
          </cell>
          <cell r="L401">
            <v>1935</v>
          </cell>
          <cell r="M401">
            <v>3774</v>
          </cell>
          <cell r="N401">
            <v>1850</v>
          </cell>
          <cell r="O401">
            <v>5624</v>
          </cell>
          <cell r="P401">
            <v>1506</v>
          </cell>
          <cell r="Q401">
            <v>7130</v>
          </cell>
          <cell r="R401">
            <v>1219</v>
          </cell>
          <cell r="S401">
            <v>1335</v>
          </cell>
          <cell r="T401">
            <v>2554</v>
          </cell>
          <cell r="U401">
            <v>1472</v>
          </cell>
          <cell r="V401">
            <v>4026</v>
          </cell>
          <cell r="W401">
            <v>1473</v>
          </cell>
          <cell r="X401">
            <v>5499</v>
          </cell>
          <cell r="Y401">
            <v>1601</v>
          </cell>
          <cell r="Z401">
            <v>1881</v>
          </cell>
          <cell r="AA401">
            <v>3482</v>
          </cell>
          <cell r="AB401">
            <v>1895</v>
          </cell>
          <cell r="AC401">
            <v>5377</v>
          </cell>
          <cell r="AD401">
            <v>1826</v>
          </cell>
          <cell r="AE401">
            <v>7203</v>
          </cell>
          <cell r="BE401">
            <v>8853.8211677455383</v>
          </cell>
          <cell r="BF401">
            <v>9619.6215100930567</v>
          </cell>
          <cell r="BG401">
            <v>9839.7168202949179</v>
          </cell>
          <cell r="BH401">
            <v>9925.3187194949169</v>
          </cell>
          <cell r="BI401">
            <v>10013.488675670917</v>
          </cell>
          <cell r="BJ401">
            <v>10313.893335941046</v>
          </cell>
          <cell r="BK401">
            <v>10623.310136019278</v>
          </cell>
          <cell r="BL401">
            <v>10942.009440099857</v>
          </cell>
          <cell r="BM401">
            <v>11270.269723302852</v>
          </cell>
          <cell r="BN401">
            <v>11608.377815001939</v>
          </cell>
          <cell r="BO401">
            <v>11956.629149451996</v>
          </cell>
          <cell r="BR401">
            <v>0.28982289933483596</v>
          </cell>
          <cell r="BS401">
            <v>0.21195259245493162</v>
          </cell>
          <cell r="BW401">
            <v>2722.3187194949169</v>
          </cell>
        </row>
        <row r="402">
          <cell r="A402" t="str">
            <v>Growth %</v>
          </cell>
          <cell r="C402">
            <v>9.4870630957784918E-2</v>
          </cell>
          <cell r="J402">
            <v>2.1835268103924887E-2</v>
          </cell>
          <cell r="K402">
            <v>-1.6051364365971099E-2</v>
          </cell>
          <cell r="L402">
            <v>3.6977491961414755E-2</v>
          </cell>
          <cell r="M402">
            <v>1.0441767068273045E-2</v>
          </cell>
          <cell r="N402">
            <v>-4.3057050592034685E-3</v>
          </cell>
          <cell r="O402">
            <v>5.5426425889504305E-3</v>
          </cell>
          <cell r="P402">
            <v>-0.16379789006107714</v>
          </cell>
          <cell r="Q402">
            <v>-3.5704625371923204E-2</v>
          </cell>
          <cell r="R402">
            <v>-0.33713974986405659</v>
          </cell>
          <cell r="S402">
            <v>-0.31007751937984496</v>
          </cell>
          <cell r="T402">
            <v>-0.32326444091149975</v>
          </cell>
          <cell r="U402">
            <v>-0.20432432432432435</v>
          </cell>
          <cell r="V402">
            <v>-0.28413940256045522</v>
          </cell>
          <cell r="W402">
            <v>-2.1912350597609542E-2</v>
          </cell>
          <cell r="X402">
            <v>-0.22875175315568019</v>
          </cell>
          <cell r="Y402">
            <v>0.31337161607875297</v>
          </cell>
          <cell r="Z402">
            <v>0.40898876404494389</v>
          </cell>
          <cell r="AA402">
            <v>0.36335160532498034</v>
          </cell>
          <cell r="AB402">
            <v>0.28736413043478271</v>
          </cell>
          <cell r="AC402">
            <v>0.33556880278191747</v>
          </cell>
          <cell r="AD402">
            <v>0.23964697895451459</v>
          </cell>
          <cell r="AE402">
            <v>0.30987452264047999</v>
          </cell>
          <cell r="BE402" t="e">
            <v>#DIV/0!</v>
          </cell>
          <cell r="BF402">
            <v>8.6493766684302198E-2</v>
          </cell>
          <cell r="BG402">
            <v>2.2879830559958458E-2</v>
          </cell>
          <cell r="BH402">
            <v>8.699630361662436E-3</v>
          </cell>
          <cell r="BI402">
            <v>8.8833375197130415E-3</v>
          </cell>
          <cell r="BJ402">
            <v>3.0000000000000249E-2</v>
          </cell>
          <cell r="BK402">
            <v>3.0000000000000027E-2</v>
          </cell>
          <cell r="BL402">
            <v>3.0000000000000027E-2</v>
          </cell>
          <cell r="BM402">
            <v>3.0000000000000027E-2</v>
          </cell>
          <cell r="BN402">
            <v>3.0000000000000027E-2</v>
          </cell>
          <cell r="BO402">
            <v>2.9999999999999805E-2</v>
          </cell>
          <cell r="BW402">
            <v>-0.30117489227881755</v>
          </cell>
        </row>
        <row r="403">
          <cell r="A403" t="str">
            <v>Total Materials Science</v>
          </cell>
          <cell r="B403">
            <v>9446</v>
          </cell>
          <cell r="C403">
            <v>10161</v>
          </cell>
          <cell r="D403">
            <v>2608</v>
          </cell>
          <cell r="E403">
            <v>2623</v>
          </cell>
          <cell r="F403">
            <v>5231</v>
          </cell>
          <cell r="G403">
            <v>2625</v>
          </cell>
          <cell r="H403">
            <v>7856</v>
          </cell>
          <cell r="I403">
            <v>2579</v>
          </cell>
          <cell r="J403">
            <v>10435</v>
          </cell>
          <cell r="K403">
            <v>2512</v>
          </cell>
          <cell r="L403">
            <v>2622</v>
          </cell>
          <cell r="M403">
            <v>5134</v>
          </cell>
          <cell r="N403">
            <v>2549</v>
          </cell>
          <cell r="O403">
            <v>7683</v>
          </cell>
          <cell r="P403">
            <v>2055</v>
          </cell>
          <cell r="Q403">
            <v>9738</v>
          </cell>
          <cell r="R403">
            <v>1636</v>
          </cell>
          <cell r="S403">
            <v>1830</v>
          </cell>
          <cell r="T403">
            <v>3466</v>
          </cell>
          <cell r="U403">
            <v>2038</v>
          </cell>
          <cell r="V403">
            <v>5504</v>
          </cell>
          <cell r="W403">
            <v>2016</v>
          </cell>
          <cell r="X403">
            <v>7520</v>
          </cell>
          <cell r="Y403">
            <v>2216</v>
          </cell>
          <cell r="Z403">
            <v>2689</v>
          </cell>
          <cell r="AA403">
            <v>4905</v>
          </cell>
          <cell r="AB403">
            <v>2665</v>
          </cell>
          <cell r="AC403">
            <v>7570</v>
          </cell>
          <cell r="AD403">
            <v>2584</v>
          </cell>
          <cell r="AE403">
            <v>10154</v>
          </cell>
          <cell r="AF403">
            <v>2686</v>
          </cell>
          <cell r="AG403">
            <v>2782</v>
          </cell>
          <cell r="AH403">
            <v>5468</v>
          </cell>
          <cell r="AI403">
            <v>2768</v>
          </cell>
          <cell r="AJ403">
            <v>8236</v>
          </cell>
          <cell r="AK403">
            <v>2596</v>
          </cell>
          <cell r="AL403">
            <v>10832</v>
          </cell>
          <cell r="AM403">
            <v>2788</v>
          </cell>
          <cell r="AN403">
            <v>2787</v>
          </cell>
          <cell r="AO403">
            <v>2962</v>
          </cell>
          <cell r="AP403">
            <v>2955</v>
          </cell>
          <cell r="AQ403">
            <v>5750</v>
          </cell>
          <cell r="AR403">
            <v>2992</v>
          </cell>
          <cell r="AS403">
            <v>2990</v>
          </cell>
          <cell r="AT403">
            <v>8742</v>
          </cell>
          <cell r="AU403">
            <v>2761</v>
          </cell>
          <cell r="AV403">
            <v>2759</v>
          </cell>
          <cell r="AW403">
            <v>11503</v>
          </cell>
          <cell r="AX403">
            <v>11491</v>
          </cell>
          <cell r="AY403">
            <v>2775</v>
          </cell>
          <cell r="AZ403">
            <v>2934.8366598940847</v>
          </cell>
          <cell r="BA403">
            <v>5709.8366598940847</v>
          </cell>
          <cell r="BB403">
            <v>2968.9813760676875</v>
          </cell>
          <cell r="BC403">
            <v>8678.8180359617727</v>
          </cell>
          <cell r="BD403">
            <v>2864.3758153664876</v>
          </cell>
          <cell r="BE403">
            <v>11543.19385132826</v>
          </cell>
          <cell r="BF403">
            <v>12532.359722586758</v>
          </cell>
          <cell r="BG403">
            <v>12826.868859418639</v>
          </cell>
          <cell r="BH403">
            <v>12989.328640500264</v>
          </cell>
          <cell r="BI403">
            <v>13156.901638618478</v>
          </cell>
          <cell r="BJ403">
            <v>13539.36037202481</v>
          </cell>
          <cell r="BK403">
            <v>13933.593150420245</v>
          </cell>
          <cell r="BL403">
            <v>14339.986463279291</v>
          </cell>
          <cell r="BM403">
            <v>14758.940423246442</v>
          </cell>
          <cell r="BN403">
            <v>15190.869283557162</v>
          </cell>
          <cell r="BO403">
            <v>15636.201976563803</v>
          </cell>
          <cell r="BR403">
            <v>0.35254308694720221</v>
          </cell>
          <cell r="BS403">
            <v>0.27613000469852533</v>
          </cell>
          <cell r="BW403">
            <v>2835.3286405002636</v>
          </cell>
        </row>
        <row r="404">
          <cell r="A404" t="str">
            <v>Growth %</v>
          </cell>
          <cell r="C404">
            <v>7.5693415202201964E-2</v>
          </cell>
          <cell r="J404">
            <v>2.6965849817931264E-2</v>
          </cell>
          <cell r="K404">
            <v>-3.6809815950920255E-2</v>
          </cell>
          <cell r="L404">
            <v>-3.8124285169649497E-4</v>
          </cell>
          <cell r="M404">
            <v>-1.8543299560313531E-2</v>
          </cell>
          <cell r="N404">
            <v>-2.8952380952380952E-2</v>
          </cell>
          <cell r="O404">
            <v>-2.2021384928716858E-2</v>
          </cell>
          <cell r="P404">
            <v>-0.20317952694842967</v>
          </cell>
          <cell r="Q404">
            <v>-6.6794441782462854E-2</v>
          </cell>
          <cell r="R404">
            <v>-0.34872611464968151</v>
          </cell>
          <cell r="S404">
            <v>-0.30205949656750575</v>
          </cell>
          <cell r="T404">
            <v>-0.32489287105570708</v>
          </cell>
          <cell r="U404">
            <v>-0.20047077285209891</v>
          </cell>
          <cell r="V404">
            <v>-0.28361317193804503</v>
          </cell>
          <cell r="W404">
            <v>-1.8978102189781021E-2</v>
          </cell>
          <cell r="X404">
            <v>-0.22776750872869167</v>
          </cell>
          <cell r="Y404">
            <v>0.35452322738386299</v>
          </cell>
          <cell r="Z404">
            <v>0.46939890710382515</v>
          </cell>
          <cell r="AA404">
            <v>0.41517599538372774</v>
          </cell>
          <cell r="AB404">
            <v>0.30765456329735041</v>
          </cell>
          <cell r="AC404">
            <v>0.37536337209302317</v>
          </cell>
          <cell r="AD404">
            <v>0.28174603174603186</v>
          </cell>
          <cell r="AE404">
            <v>0.35026595744680855</v>
          </cell>
          <cell r="AF404">
            <v>0.21209386281588438</v>
          </cell>
          <cell r="AG404">
            <v>3.4585347712904335E-2</v>
          </cell>
          <cell r="AH404">
            <v>0.11478083588175325</v>
          </cell>
          <cell r="AI404">
            <v>3.8649155722326523E-2</v>
          </cell>
          <cell r="AJ404">
            <v>8.7978863936591711E-2</v>
          </cell>
          <cell r="AK404">
            <v>4.6439628482972672E-3</v>
          </cell>
          <cell r="AL404">
            <v>6.6771715580066893E-2</v>
          </cell>
          <cell r="AM404">
            <v>3.7974683544303778E-2</v>
          </cell>
          <cell r="AN404">
            <v>3.7602382725242078E-2</v>
          </cell>
          <cell r="AO404">
            <v>6.4701653486700206E-2</v>
          </cell>
          <cell r="AP404">
            <v>6.2185478073328637E-2</v>
          </cell>
          <cell r="AQ404">
            <v>5.1572787125091502E-2</v>
          </cell>
          <cell r="AR404">
            <v>8.092485549132955E-2</v>
          </cell>
          <cell r="AS404">
            <v>8.0202312138728304E-2</v>
          </cell>
          <cell r="AT404">
            <v>6.143759106362312E-2</v>
          </cell>
          <cell r="AU404">
            <v>6.3559322033898358E-2</v>
          </cell>
          <cell r="AV404">
            <v>6.2788906009245027E-2</v>
          </cell>
          <cell r="AW404">
            <v>6.1946085672082818E-2</v>
          </cell>
          <cell r="AX404">
            <v>6.0838257016248232E-2</v>
          </cell>
          <cell r="AY404">
            <v>-4.6628407460544974E-3</v>
          </cell>
          <cell r="AZ404">
            <v>-9.170607733259728E-3</v>
          </cell>
          <cell r="BA404">
            <v>-6.9849287140721916E-3</v>
          </cell>
          <cell r="BB404">
            <v>-7.6933903517086843E-3</v>
          </cell>
          <cell r="BC404">
            <v>-7.2274038021308273E-3</v>
          </cell>
          <cell r="BD404">
            <v>3.7441439828499679E-2</v>
          </cell>
          <cell r="BE404">
            <v>3.4942059748117593E-3</v>
          </cell>
          <cell r="BF404">
            <v>8.5692563427294033E-2</v>
          </cell>
          <cell r="BG404">
            <v>2.3499894940064214E-2</v>
          </cell>
          <cell r="BH404">
            <v>1.2665583694833948E-2</v>
          </cell>
          <cell r="BI404">
            <v>1.2900820570181493E-2</v>
          </cell>
          <cell r="BJ404">
            <v>2.9069057739531168E-2</v>
          </cell>
          <cell r="BK404">
            <v>2.9117533440501608E-2</v>
          </cell>
          <cell r="BL404">
            <v>2.9166440305226526E-2</v>
          </cell>
          <cell r="BM404">
            <v>2.9215784899098374E-2</v>
          </cell>
          <cell r="BN404">
            <v>2.9265573809783785E-2</v>
          </cell>
          <cell r="BO404">
            <v>2.931581364396818E-2</v>
          </cell>
          <cell r="BW404">
            <v>-0.3376003737519746</v>
          </cell>
        </row>
        <row r="405">
          <cell r="A405" t="str">
            <v>CER</v>
          </cell>
          <cell r="C405">
            <v>7.1999999999999995E-2</v>
          </cell>
          <cell r="J405">
            <v>6.2E-2</v>
          </cell>
          <cell r="K405">
            <v>6.0000000000000001E-3</v>
          </cell>
          <cell r="L405">
            <v>5.2999999999999999E-2</v>
          </cell>
          <cell r="M405">
            <v>2.9567386732938253E-2</v>
          </cell>
          <cell r="N405">
            <v>-5.0000000000000001E-3</v>
          </cell>
          <cell r="O405">
            <v>1.8017057026476577E-2</v>
          </cell>
          <cell r="P405">
            <v>-0.24100504071345483</v>
          </cell>
          <cell r="Q405">
            <v>-4.5999999999999999E-2</v>
          </cell>
          <cell r="R405">
            <v>-0.38372611464968154</v>
          </cell>
          <cell r="S405">
            <v>-0.34405949656750573</v>
          </cell>
          <cell r="T405">
            <v>-0.36389287105570711</v>
          </cell>
          <cell r="U405">
            <v>-0.21847077285209893</v>
          </cell>
          <cell r="V405">
            <v>-0.31461317193804506</v>
          </cell>
          <cell r="W405">
            <v>9.6856447688564475E-3</v>
          </cell>
          <cell r="X405">
            <v>-0.24676750872869169</v>
          </cell>
          <cell r="Y405">
            <v>0.37852322738386301</v>
          </cell>
          <cell r="Z405">
            <v>0.40539890710382515</v>
          </cell>
          <cell r="AA405">
            <v>0.39117599538372771</v>
          </cell>
          <cell r="AB405">
            <v>0.2296545632973504</v>
          </cell>
          <cell r="AC405">
            <v>0.33236337209302319</v>
          </cell>
          <cell r="AD405">
            <v>0.21643849206349217</v>
          </cell>
          <cell r="AE405">
            <v>0.30126595744680856</v>
          </cell>
          <cell r="AF405">
            <v>0.18709386281588439</v>
          </cell>
          <cell r="AG405">
            <v>8.2585347712904336E-2</v>
          </cell>
          <cell r="AH405">
            <v>0.12978083588175326</v>
          </cell>
          <cell r="AI405">
            <v>7.3649155722326526E-2</v>
          </cell>
          <cell r="AJ405">
            <v>0.1099788639365917</v>
          </cell>
          <cell r="AK405">
            <v>-3.5603715170273286E-4</v>
          </cell>
          <cell r="AL405">
            <v>8.1771715580066892E-2</v>
          </cell>
          <cell r="AM405">
            <v>2.497468354430378E-2</v>
          </cell>
          <cell r="AN405">
            <v>2.4602382725242081E-2</v>
          </cell>
          <cell r="AO405">
            <v>1.8701653486700207E-2</v>
          </cell>
          <cell r="AQ405">
            <v>2.1572787125091503E-2</v>
          </cell>
          <cell r="AR405">
            <v>2.8924855491329553E-2</v>
          </cell>
          <cell r="AT405">
            <v>2.5437591063623123E-2</v>
          </cell>
          <cell r="AU405">
            <v>4.7559322033898357E-2</v>
          </cell>
          <cell r="AW405">
            <v>2.9946085672082817E-2</v>
          </cell>
          <cell r="AY405">
            <v>2.3371592539455028E-3</v>
          </cell>
          <cell r="AZ405">
            <v>2.1829392266740272E-2</v>
          </cell>
          <cell r="BA405">
            <v>1.6015071285927808E-2</v>
          </cell>
          <cell r="BB405">
            <v>2.2306609648291315E-2</v>
          </cell>
          <cell r="BC405">
            <v>1.7983724596358601E-2</v>
          </cell>
          <cell r="BD405">
            <v>3.7433512115772921E-2</v>
          </cell>
          <cell r="BE405">
            <v>2.1494205974811758E-2</v>
          </cell>
          <cell r="BF405">
            <v>5.069256342729403E-2</v>
          </cell>
          <cell r="BG405">
            <v>2.3499894940064214E-2</v>
          </cell>
          <cell r="BH405">
            <v>1.2665583694833948E-2</v>
          </cell>
          <cell r="BI405">
            <v>1.2900820570181493E-2</v>
          </cell>
          <cell r="BJ405">
            <v>2.9069057739531168E-2</v>
          </cell>
          <cell r="BK405">
            <v>2.9117533440501608E-2</v>
          </cell>
          <cell r="BL405">
            <v>2.9166440305226526E-2</v>
          </cell>
          <cell r="BM405">
            <v>2.9215784899098374E-2</v>
          </cell>
          <cell r="BN405">
            <v>2.9265573809783785E-2</v>
          </cell>
          <cell r="BO405">
            <v>2.931581364396818E-2</v>
          </cell>
        </row>
        <row r="406">
          <cell r="A406" t="str">
            <v>VOLUME</v>
          </cell>
          <cell r="R406">
            <v>-0.33500000000000002</v>
          </cell>
          <cell r="S406">
            <v>-0.221</v>
          </cell>
          <cell r="T406">
            <v>-0.27700000000000002</v>
          </cell>
          <cell r="U406">
            <v>-6.5000000000000002E-2</v>
          </cell>
          <cell r="V406">
            <v>-0.20599999999999999</v>
          </cell>
          <cell r="W406">
            <v>0.18450364963503649</v>
          </cell>
          <cell r="X406">
            <v>-0.124</v>
          </cell>
          <cell r="Y406">
            <v>0.41199999999999998</v>
          </cell>
          <cell r="Z406">
            <v>0.32700000000000001</v>
          </cell>
          <cell r="AA406">
            <v>0.36799999999999999</v>
          </cell>
          <cell r="AB406">
            <v>0.127</v>
          </cell>
          <cell r="AC406">
            <v>0.27800000000000002</v>
          </cell>
          <cell r="AD406">
            <v>0.12822023809523808</v>
          </cell>
          <cell r="AE406">
            <v>0.23799999999999999</v>
          </cell>
          <cell r="AF406">
            <v>9.8000000000000004E-2</v>
          </cell>
          <cell r="AG406">
            <v>-0.01</v>
          </cell>
          <cell r="AH406">
            <v>3.9E-2</v>
          </cell>
          <cell r="AI406">
            <v>3.0000000000000001E-3</v>
          </cell>
          <cell r="AJ406">
            <v>2.5999999999999999E-2</v>
          </cell>
          <cell r="AK406">
            <v>-3.5999999999999997E-2</v>
          </cell>
          <cell r="AL406">
            <v>0.01</v>
          </cell>
          <cell r="AM406">
            <v>2.8000000000000001E-2</v>
          </cell>
          <cell r="AN406">
            <v>2.8000000000000001E-2</v>
          </cell>
          <cell r="AO406">
            <v>0.01</v>
          </cell>
          <cell r="AQ406">
            <v>1.9E-2</v>
          </cell>
          <cell r="AR406">
            <v>3.3000000000000002E-2</v>
          </cell>
          <cell r="AT406">
            <v>2.4E-2</v>
          </cell>
          <cell r="AU406">
            <v>2.5999999999999999E-2</v>
          </cell>
          <cell r="AW406">
            <v>2.4E-2</v>
          </cell>
          <cell r="AY406">
            <v>-3.9E-2</v>
          </cell>
          <cell r="AZ406">
            <v>0.03</v>
          </cell>
          <cell r="BA406">
            <v>0.03</v>
          </cell>
          <cell r="BB406">
            <v>0.03</v>
          </cell>
          <cell r="BC406">
            <v>0.03</v>
          </cell>
          <cell r="BD406">
            <v>0.03</v>
          </cell>
          <cell r="BE406">
            <v>0.03</v>
          </cell>
          <cell r="BF406">
            <v>0.03</v>
          </cell>
          <cell r="BG406">
            <v>1.4999999999999999E-2</v>
          </cell>
          <cell r="BH406">
            <v>1.4999999999999999E-2</v>
          </cell>
          <cell r="BI406">
            <v>1.4999999999999999E-2</v>
          </cell>
          <cell r="BJ406">
            <v>1.4999999999999999E-2</v>
          </cell>
          <cell r="BK406">
            <v>1.4999999999999999E-2</v>
          </cell>
          <cell r="BL406">
            <v>1.4999999999999999E-2</v>
          </cell>
          <cell r="BM406">
            <v>1.4999999999999999E-2</v>
          </cell>
          <cell r="BN406">
            <v>1.4999999999999999E-2</v>
          </cell>
          <cell r="BO406">
            <v>1.4999999999999999E-2</v>
          </cell>
        </row>
        <row r="407">
          <cell r="A407" t="str">
            <v>PRICE</v>
          </cell>
          <cell r="R407">
            <v>-4.9000000000000002E-2</v>
          </cell>
          <cell r="S407">
            <v>-0.123</v>
          </cell>
          <cell r="T407">
            <v>-8.6999999999999994E-2</v>
          </cell>
          <cell r="U407">
            <v>-0.153</v>
          </cell>
          <cell r="V407">
            <v>-0.109</v>
          </cell>
          <cell r="W407">
            <v>-0.17624476885644763</v>
          </cell>
          <cell r="X407">
            <v>-0.123</v>
          </cell>
          <cell r="Y407">
            <v>-3.3000000000000002E-2</v>
          </cell>
          <cell r="Z407">
            <v>7.8E-2</v>
          </cell>
          <cell r="AA407">
            <v>2.5000000000000001E-2</v>
          </cell>
          <cell r="AB407">
            <v>0.10299999999999999</v>
          </cell>
          <cell r="AC407">
            <v>5.3999999999999999E-2</v>
          </cell>
          <cell r="AD407">
            <v>8.6852182539682535E-2</v>
          </cell>
          <cell r="AE407">
            <v>6.3E-2</v>
          </cell>
          <cell r="AF407">
            <v>8.8999999999999996E-2</v>
          </cell>
          <cell r="AG407">
            <v>9.2999999999999999E-2</v>
          </cell>
          <cell r="AH407">
            <v>9.0999999999999998E-2</v>
          </cell>
          <cell r="AI407">
            <v>7.0999999999999994E-2</v>
          </cell>
          <cell r="AJ407">
            <v>8.4000000000000005E-2</v>
          </cell>
          <cell r="AK407">
            <v>3.5999999999999997E-2</v>
          </cell>
          <cell r="AL407">
            <v>7.1999999999999995E-2</v>
          </cell>
          <cell r="AM407">
            <v>-3.0000000000000001E-3</v>
          </cell>
          <cell r="AN407">
            <v>-3.0000000000000001E-3</v>
          </cell>
          <cell r="AO407">
            <v>8.9999999999999993E-3</v>
          </cell>
          <cell r="AQ407">
            <v>3.0000000000000001E-3</v>
          </cell>
          <cell r="AR407">
            <v>-4.0000000000000001E-3</v>
          </cell>
          <cell r="AT407">
            <v>1E-3</v>
          </cell>
          <cell r="AU407">
            <v>2.1999999999999999E-2</v>
          </cell>
          <cell r="AW407">
            <v>6.0000000000000001E-3</v>
          </cell>
          <cell r="AY407">
            <v>4.2000000000000003E-2</v>
          </cell>
          <cell r="AZ407">
            <v>-8.1706077332597271E-3</v>
          </cell>
          <cell r="BA407">
            <v>-1.3984928714072191E-2</v>
          </cell>
          <cell r="BB407">
            <v>-7.6933903517086843E-3</v>
          </cell>
          <cell r="BC407">
            <v>-1.2016275403641398E-2</v>
          </cell>
          <cell r="BD407">
            <v>7.4335121157729223E-3</v>
          </cell>
          <cell r="BE407">
            <v>-8.5057940251882409E-3</v>
          </cell>
          <cell r="BF407">
            <v>2.0692563427294031E-2</v>
          </cell>
          <cell r="BG407">
            <v>8.4998949400642149E-3</v>
          </cell>
          <cell r="BH407">
            <v>-2.334416305166051E-3</v>
          </cell>
          <cell r="BI407">
            <v>-2.0991794298185068E-3</v>
          </cell>
          <cell r="BJ407">
            <v>1.4069057739531168E-2</v>
          </cell>
          <cell r="BK407">
            <v>1.4117533440501609E-2</v>
          </cell>
          <cell r="BL407">
            <v>1.4166440305226527E-2</v>
          </cell>
          <cell r="BM407">
            <v>1.4215784899098374E-2</v>
          </cell>
          <cell r="BN407">
            <v>1.4265573809783785E-2</v>
          </cell>
          <cell r="BO407">
            <v>1.4315813643968181E-2</v>
          </cell>
        </row>
        <row r="408">
          <cell r="A408" t="str">
            <v>FX</v>
          </cell>
          <cell r="R408">
            <v>0.03</v>
          </cell>
          <cell r="S408">
            <v>3.6999999999999998E-2</v>
          </cell>
          <cell r="T408">
            <v>3.4000000000000002E-2</v>
          </cell>
          <cell r="U408">
            <v>1.7000000000000001E-2</v>
          </cell>
          <cell r="V408">
            <v>2.8000000000000001E-2</v>
          </cell>
          <cell r="W408">
            <v>-2.9147931873479319E-2</v>
          </cell>
          <cell r="X408">
            <v>1.6E-2</v>
          </cell>
          <cell r="Y408">
            <v>-2.4E-2</v>
          </cell>
          <cell r="Z408">
            <v>6.4000000000000001E-2</v>
          </cell>
          <cell r="AA408">
            <v>2.1999999999999999E-2</v>
          </cell>
          <cell r="AB408">
            <v>7.8E-2</v>
          </cell>
          <cell r="AC408">
            <v>4.2999999999999997E-2</v>
          </cell>
          <cell r="AD408">
            <v>6.5307539682539689E-2</v>
          </cell>
          <cell r="AE408">
            <v>4.9000000000000002E-2</v>
          </cell>
          <cell r="AF408">
            <v>2.3E-2</v>
          </cell>
          <cell r="AG408">
            <v>-0.05</v>
          </cell>
          <cell r="AH408">
            <v>-1.7000000000000001E-2</v>
          </cell>
          <cell r="AI408">
            <v>-3.6999999999999998E-2</v>
          </cell>
          <cell r="AJ408">
            <v>-2.4E-2</v>
          </cell>
          <cell r="AK408">
            <v>4.0000000000000001E-3</v>
          </cell>
          <cell r="AL408">
            <v>-1.7000000000000001E-2</v>
          </cell>
          <cell r="AM408">
            <v>2.1999999999999999E-2</v>
          </cell>
          <cell r="AN408">
            <v>2.1999999999999999E-2</v>
          </cell>
          <cell r="AO408">
            <v>5.2999999999999999E-2</v>
          </cell>
          <cell r="AQ408">
            <v>3.7999999999999999E-2</v>
          </cell>
          <cell r="AR408">
            <v>5.8999999999999997E-2</v>
          </cell>
          <cell r="AT408">
            <v>4.3999999999999997E-2</v>
          </cell>
          <cell r="AU408">
            <v>2.1999999999999999E-2</v>
          </cell>
          <cell r="AW408">
            <v>3.9E-2</v>
          </cell>
          <cell r="AY408">
            <v>-0.01</v>
          </cell>
          <cell r="AZ408">
            <v>-3.1E-2</v>
          </cell>
          <cell r="BA408">
            <v>-2.3E-2</v>
          </cell>
          <cell r="BB408">
            <v>-0.03</v>
          </cell>
          <cell r="BC408">
            <v>-2.5211128398489428E-2</v>
          </cell>
          <cell r="BD408">
            <v>7.9277127267552257E-6</v>
          </cell>
          <cell r="BE408">
            <v>-1.7999999999999999E-2</v>
          </cell>
          <cell r="BF408">
            <v>3.5000000000000003E-2</v>
          </cell>
          <cell r="BG408">
            <v>0</v>
          </cell>
          <cell r="BH408">
            <v>0</v>
          </cell>
          <cell r="BI408">
            <v>0</v>
          </cell>
          <cell r="BJ408">
            <v>0</v>
          </cell>
          <cell r="BK408">
            <v>0</v>
          </cell>
          <cell r="BL408">
            <v>0</v>
          </cell>
          <cell r="BM408">
            <v>0</v>
          </cell>
          <cell r="BN408">
            <v>0</v>
          </cell>
          <cell r="BO408">
            <v>0</v>
          </cell>
        </row>
        <row r="409">
          <cell r="A409" t="str">
            <v>PORTFOLIO</v>
          </cell>
          <cell r="R409">
            <v>5.0000000000000001E-3</v>
          </cell>
          <cell r="S409">
            <v>5.0000000000000001E-3</v>
          </cell>
          <cell r="T409">
            <v>5.0000000000000001E-3</v>
          </cell>
          <cell r="U409">
            <v>1E-3</v>
          </cell>
          <cell r="V409">
            <v>3.0000000000000001E-3</v>
          </cell>
          <cell r="W409">
            <v>4.8418491484184965E-4</v>
          </cell>
          <cell r="X409">
            <v>3.0000000000000001E-3</v>
          </cell>
          <cell r="Y409">
            <v>0</v>
          </cell>
          <cell r="Z409">
            <v>0</v>
          </cell>
          <cell r="AA409">
            <v>2E-3</v>
          </cell>
          <cell r="AB409">
            <v>0</v>
          </cell>
          <cell r="AC409">
            <v>0</v>
          </cell>
          <cell r="AD409">
            <v>0</v>
          </cell>
          <cell r="AE409">
            <v>0</v>
          </cell>
          <cell r="AF409">
            <v>2E-3</v>
          </cell>
          <cell r="AG409">
            <v>2E-3</v>
          </cell>
          <cell r="AH409">
            <v>2E-3</v>
          </cell>
          <cell r="AI409">
            <v>2E-3</v>
          </cell>
          <cell r="AJ409">
            <v>2E-3</v>
          </cell>
          <cell r="AK409">
            <v>1E-3</v>
          </cell>
          <cell r="AL409">
            <v>2E-3</v>
          </cell>
          <cell r="AM409">
            <v>-8.9999999999999993E-3</v>
          </cell>
          <cell r="AN409">
            <v>-8.9999999999999993E-3</v>
          </cell>
          <cell r="AO409">
            <v>-7.0000000000000001E-3</v>
          </cell>
          <cell r="AQ409">
            <v>-8.0000000000000002E-3</v>
          </cell>
          <cell r="AR409">
            <v>-7.0000000000000001E-3</v>
          </cell>
          <cell r="AT409">
            <v>-8.0000000000000002E-3</v>
          </cell>
          <cell r="AU409">
            <v>-6.0000000000000001E-3</v>
          </cell>
          <cell r="AW409">
            <v>-7.0000000000000001E-3</v>
          </cell>
          <cell r="AY409">
            <v>3.0000000000000001E-3</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cell r="BM409">
            <v>0</v>
          </cell>
          <cell r="BN409">
            <v>0</v>
          </cell>
          <cell r="BO409">
            <v>0</v>
          </cell>
        </row>
        <row r="411">
          <cell r="A411" t="str">
            <v>EU</v>
          </cell>
          <cell r="B411">
            <v>4098</v>
          </cell>
          <cell r="C411">
            <v>4402</v>
          </cell>
          <cell r="D411">
            <v>1185</v>
          </cell>
          <cell r="E411">
            <v>1169</v>
          </cell>
          <cell r="F411">
            <v>2354</v>
          </cell>
          <cell r="G411">
            <v>1122</v>
          </cell>
          <cell r="H411">
            <v>3476</v>
          </cell>
          <cell r="I411">
            <v>1109</v>
          </cell>
          <cell r="J411">
            <v>4585</v>
          </cell>
          <cell r="K411">
            <v>1135</v>
          </cell>
          <cell r="L411">
            <v>1169</v>
          </cell>
          <cell r="M411">
            <v>2304</v>
          </cell>
          <cell r="N411">
            <v>1111</v>
          </cell>
          <cell r="O411">
            <v>3415</v>
          </cell>
          <cell r="P411">
            <v>852</v>
          </cell>
          <cell r="Q411">
            <v>4267</v>
          </cell>
          <cell r="R411">
            <v>681</v>
          </cell>
          <cell r="S411">
            <v>726</v>
          </cell>
          <cell r="T411">
            <v>1407</v>
          </cell>
          <cell r="U411">
            <v>825</v>
          </cell>
          <cell r="V411">
            <v>2232</v>
          </cell>
          <cell r="W411">
            <v>822</v>
          </cell>
          <cell r="X411">
            <v>3054</v>
          </cell>
          <cell r="Y411">
            <v>878</v>
          </cell>
          <cell r="Z411">
            <v>1000</v>
          </cell>
          <cell r="AA411">
            <v>1878</v>
          </cell>
          <cell r="AB411">
            <v>1046</v>
          </cell>
          <cell r="AC411">
            <v>2924</v>
          </cell>
          <cell r="AD411">
            <v>1026</v>
          </cell>
          <cell r="AE411">
            <v>3950</v>
          </cell>
          <cell r="AF411">
            <v>1120</v>
          </cell>
          <cell r="AG411">
            <v>1169</v>
          </cell>
          <cell r="AH411">
            <v>2289</v>
          </cell>
          <cell r="AI411">
            <v>1120</v>
          </cell>
          <cell r="AJ411">
            <v>3409</v>
          </cell>
          <cell r="AK411">
            <v>1322</v>
          </cell>
          <cell r="AL411">
            <v>5357</v>
          </cell>
          <cell r="AM411">
            <v>1130</v>
          </cell>
          <cell r="AN411">
            <v>1130</v>
          </cell>
          <cell r="AO411">
            <v>1137</v>
          </cell>
          <cell r="AQ411">
            <v>2267</v>
          </cell>
          <cell r="AR411">
            <v>1117</v>
          </cell>
          <cell r="AT411">
            <v>3384</v>
          </cell>
          <cell r="AU411">
            <v>1473</v>
          </cell>
          <cell r="AW411">
            <v>5995</v>
          </cell>
          <cell r="AY411">
            <v>1086</v>
          </cell>
        </row>
        <row r="412">
          <cell r="A412" t="str">
            <v>North America</v>
          </cell>
          <cell r="B412">
            <v>2500</v>
          </cell>
          <cell r="C412">
            <v>2622</v>
          </cell>
          <cell r="D412">
            <v>631</v>
          </cell>
          <cell r="E412">
            <v>613</v>
          </cell>
          <cell r="F412">
            <v>1244</v>
          </cell>
          <cell r="G412">
            <v>596</v>
          </cell>
          <cell r="H412">
            <v>1840</v>
          </cell>
          <cell r="I412">
            <v>536</v>
          </cell>
          <cell r="J412">
            <v>2376</v>
          </cell>
          <cell r="K412">
            <v>521</v>
          </cell>
          <cell r="L412">
            <v>548</v>
          </cell>
          <cell r="M412">
            <v>1069</v>
          </cell>
          <cell r="N412">
            <v>558</v>
          </cell>
          <cell r="O412">
            <v>1627</v>
          </cell>
          <cell r="P412">
            <v>481</v>
          </cell>
          <cell r="Q412">
            <v>2108</v>
          </cell>
          <cell r="R412">
            <v>374</v>
          </cell>
          <cell r="S412">
            <v>380</v>
          </cell>
          <cell r="T412">
            <v>754</v>
          </cell>
          <cell r="U412">
            <v>395</v>
          </cell>
          <cell r="V412">
            <v>1149</v>
          </cell>
          <cell r="W412">
            <v>387</v>
          </cell>
          <cell r="X412">
            <v>1536</v>
          </cell>
          <cell r="Y412">
            <v>436</v>
          </cell>
          <cell r="Z412">
            <v>575</v>
          </cell>
          <cell r="AA412">
            <v>1011</v>
          </cell>
          <cell r="AB412">
            <v>540</v>
          </cell>
          <cell r="AC412">
            <v>1551</v>
          </cell>
          <cell r="AD412">
            <v>471</v>
          </cell>
          <cell r="AE412">
            <v>2022</v>
          </cell>
          <cell r="AF412">
            <v>511</v>
          </cell>
          <cell r="AG412">
            <v>537</v>
          </cell>
          <cell r="AH412">
            <v>1048</v>
          </cell>
          <cell r="AI412">
            <v>542</v>
          </cell>
          <cell r="AJ412">
            <v>1590</v>
          </cell>
          <cell r="AK412">
            <v>667</v>
          </cell>
          <cell r="AL412">
            <v>2893</v>
          </cell>
          <cell r="AM412">
            <v>574</v>
          </cell>
          <cell r="AN412">
            <v>574</v>
          </cell>
          <cell r="AO412">
            <v>642</v>
          </cell>
          <cell r="AQ412">
            <v>1216</v>
          </cell>
          <cell r="AR412">
            <v>646</v>
          </cell>
          <cell r="AT412">
            <v>1862</v>
          </cell>
          <cell r="AU412">
            <v>669</v>
          </cell>
          <cell r="AW412">
            <v>2823</v>
          </cell>
          <cell r="AY412">
            <v>594</v>
          </cell>
        </row>
        <row r="413">
          <cell r="A413" t="str">
            <v>Asia Pac</v>
          </cell>
          <cell r="B413">
            <v>1887</v>
          </cell>
          <cell r="C413">
            <v>2007</v>
          </cell>
          <cell r="D413">
            <v>506</v>
          </cell>
          <cell r="E413">
            <v>537</v>
          </cell>
          <cell r="F413">
            <v>1043</v>
          </cell>
          <cell r="G413">
            <v>582</v>
          </cell>
          <cell r="H413">
            <v>1625</v>
          </cell>
          <cell r="I413">
            <v>604</v>
          </cell>
          <cell r="J413">
            <v>2229</v>
          </cell>
          <cell r="K413">
            <v>529</v>
          </cell>
          <cell r="L413">
            <v>577</v>
          </cell>
          <cell r="M413">
            <v>1106</v>
          </cell>
          <cell r="N413">
            <v>547</v>
          </cell>
          <cell r="O413">
            <v>1653</v>
          </cell>
          <cell r="P413">
            <v>445</v>
          </cell>
          <cell r="Q413">
            <v>2098</v>
          </cell>
          <cell r="R413">
            <v>372</v>
          </cell>
          <cell r="S413">
            <v>480</v>
          </cell>
          <cell r="T413">
            <v>852</v>
          </cell>
          <cell r="U413">
            <v>546</v>
          </cell>
          <cell r="V413">
            <v>1398</v>
          </cell>
          <cell r="W413">
            <v>553</v>
          </cell>
          <cell r="X413">
            <v>1951</v>
          </cell>
          <cell r="Y413">
            <v>617</v>
          </cell>
          <cell r="Z413">
            <v>773</v>
          </cell>
          <cell r="AA413">
            <v>1390</v>
          </cell>
          <cell r="AB413">
            <v>754</v>
          </cell>
          <cell r="AC413">
            <v>2144</v>
          </cell>
          <cell r="AD413">
            <v>763</v>
          </cell>
          <cell r="AE413">
            <v>2907</v>
          </cell>
          <cell r="AF413">
            <v>712</v>
          </cell>
          <cell r="AG413">
            <v>712</v>
          </cell>
          <cell r="AH413">
            <v>1424</v>
          </cell>
          <cell r="AI413">
            <v>743</v>
          </cell>
          <cell r="AJ413">
            <v>2167</v>
          </cell>
          <cell r="AK413">
            <v>439</v>
          </cell>
          <cell r="AL413">
            <v>1923</v>
          </cell>
          <cell r="AM413">
            <v>724</v>
          </cell>
          <cell r="AN413">
            <v>724</v>
          </cell>
          <cell r="AO413">
            <v>806</v>
          </cell>
          <cell r="AQ413">
            <v>1530</v>
          </cell>
          <cell r="AR413">
            <v>848</v>
          </cell>
          <cell r="AT413">
            <v>2378</v>
          </cell>
          <cell r="AU413">
            <v>451</v>
          </cell>
          <cell r="AW413">
            <v>1972</v>
          </cell>
          <cell r="AY413">
            <v>731</v>
          </cell>
        </row>
        <row r="414">
          <cell r="A414" t="str">
            <v>Latam/Africa/Middle East</v>
          </cell>
          <cell r="B414">
            <v>961</v>
          </cell>
          <cell r="C414">
            <v>1130</v>
          </cell>
          <cell r="D414">
            <v>286</v>
          </cell>
          <cell r="E414">
            <v>304</v>
          </cell>
          <cell r="F414">
            <v>590</v>
          </cell>
          <cell r="G414">
            <v>325</v>
          </cell>
          <cell r="H414">
            <v>915</v>
          </cell>
          <cell r="I414">
            <v>330</v>
          </cell>
          <cell r="J414">
            <v>1245</v>
          </cell>
          <cell r="K414">
            <v>327</v>
          </cell>
          <cell r="L414">
            <v>328</v>
          </cell>
          <cell r="M414">
            <v>655</v>
          </cell>
          <cell r="N414">
            <v>333</v>
          </cell>
          <cell r="O414">
            <v>988</v>
          </cell>
          <cell r="P414">
            <v>277</v>
          </cell>
          <cell r="Q414">
            <v>1265</v>
          </cell>
          <cell r="R414">
            <v>209</v>
          </cell>
          <cell r="S414">
            <v>244</v>
          </cell>
          <cell r="T414">
            <v>453</v>
          </cell>
          <cell r="U414">
            <v>272</v>
          </cell>
          <cell r="V414">
            <v>725</v>
          </cell>
          <cell r="W414">
            <v>254</v>
          </cell>
          <cell r="X414">
            <v>979</v>
          </cell>
          <cell r="Y414">
            <v>285</v>
          </cell>
          <cell r="Z414">
            <v>341</v>
          </cell>
          <cell r="AA414">
            <v>626</v>
          </cell>
          <cell r="AB414">
            <v>325</v>
          </cell>
          <cell r="AC414">
            <v>951</v>
          </cell>
          <cell r="AD414">
            <v>324</v>
          </cell>
          <cell r="AE414">
            <v>1275</v>
          </cell>
          <cell r="AF414">
            <v>343</v>
          </cell>
          <cell r="AG414">
            <v>364</v>
          </cell>
          <cell r="AH414">
            <v>707</v>
          </cell>
          <cell r="AI414">
            <v>363</v>
          </cell>
          <cell r="AJ414">
            <v>1070</v>
          </cell>
          <cell r="AK414">
            <v>168</v>
          </cell>
          <cell r="AL414">
            <v>659</v>
          </cell>
          <cell r="AM414">
            <v>360</v>
          </cell>
          <cell r="AN414">
            <v>359</v>
          </cell>
          <cell r="AO414">
            <v>377</v>
          </cell>
          <cell r="AQ414">
            <v>737</v>
          </cell>
          <cell r="AR414">
            <v>381</v>
          </cell>
          <cell r="AT414">
            <v>1118</v>
          </cell>
          <cell r="AU414">
            <v>168</v>
          </cell>
          <cell r="AW414">
            <v>713</v>
          </cell>
          <cell r="AY414">
            <v>364</v>
          </cell>
        </row>
        <row r="416">
          <cell r="A416" t="str">
            <v xml:space="preserve">Growth </v>
          </cell>
        </row>
        <row r="417">
          <cell r="A417" t="str">
            <v>EU</v>
          </cell>
          <cell r="J417">
            <v>4.1572012721490248E-2</v>
          </cell>
          <cell r="K417">
            <v>-4.2194092827004259E-2</v>
          </cell>
          <cell r="L417">
            <v>0</v>
          </cell>
          <cell r="M417">
            <v>-2.1240441801189447E-2</v>
          </cell>
          <cell r="N417">
            <v>-9.8039215686274161E-3</v>
          </cell>
          <cell r="O417">
            <v>-1.7548906789413121E-2</v>
          </cell>
          <cell r="P417">
            <v>-0.23174030658250677</v>
          </cell>
          <cell r="Q417">
            <v>-6.9356597600872427E-2</v>
          </cell>
          <cell r="R417">
            <v>-0.4</v>
          </cell>
          <cell r="S417">
            <v>-0.37895637296834905</v>
          </cell>
          <cell r="T417">
            <v>-0.38932291666666663</v>
          </cell>
          <cell r="U417">
            <v>-0.25742574257425743</v>
          </cell>
          <cell r="V417">
            <v>-0.34641288433382134</v>
          </cell>
          <cell r="W417">
            <v>-3.5211267605633756E-2</v>
          </cell>
          <cell r="X417">
            <v>-0.28427466604171547</v>
          </cell>
          <cell r="Y417">
            <v>0.28928046989721001</v>
          </cell>
          <cell r="Z417">
            <v>0.37741046831955916</v>
          </cell>
          <cell r="AA417">
            <v>0.33475479744136472</v>
          </cell>
          <cell r="AB417">
            <v>0.26787878787878783</v>
          </cell>
          <cell r="AC417">
            <v>0.3100358422939069</v>
          </cell>
          <cell r="AD417">
            <v>0.24817518248175174</v>
          </cell>
          <cell r="AE417">
            <v>0.29338572364112636</v>
          </cell>
          <cell r="AF417">
            <v>0.27562642369020507</v>
          </cell>
          <cell r="AG417">
            <v>0.16900000000000004</v>
          </cell>
          <cell r="AH417">
            <v>0.21884984025559095</v>
          </cell>
          <cell r="AI417">
            <v>7.074569789674956E-2</v>
          </cell>
          <cell r="AJ417">
            <v>0.16586867305061559</v>
          </cell>
          <cell r="AK417">
            <v>0.28849902534113059</v>
          </cell>
          <cell r="AL417">
            <v>0.3562025316455697</v>
          </cell>
          <cell r="AM417">
            <v>8.9285714285713969E-3</v>
          </cell>
          <cell r="AN417">
            <v>8.9285714285713969E-3</v>
          </cell>
          <cell r="AO417">
            <v>-2.7373823781009388E-2</v>
          </cell>
          <cell r="AQ417">
            <v>-9.6111839231105556E-3</v>
          </cell>
          <cell r="AR417">
            <v>-2.6785714285714191E-3</v>
          </cell>
          <cell r="AT417">
            <v>-7.3335288941038801E-3</v>
          </cell>
          <cell r="AU417">
            <v>0.11422087745839637</v>
          </cell>
          <cell r="AW417">
            <v>0.11909650924024651</v>
          </cell>
          <cell r="AY417">
            <v>-3.8938053097345104E-2</v>
          </cell>
        </row>
        <row r="418">
          <cell r="A418" t="str">
            <v>North America</v>
          </cell>
          <cell r="J418">
            <v>-9.3821510297482869E-2</v>
          </cell>
          <cell r="K418">
            <v>-0.17432646592709988</v>
          </cell>
          <cell r="L418">
            <v>-0.10603588907014683</v>
          </cell>
          <cell r="M418">
            <v>-0.14067524115755625</v>
          </cell>
          <cell r="N418">
            <v>-6.375838926174493E-2</v>
          </cell>
          <cell r="O418">
            <v>-0.11576086956521736</v>
          </cell>
          <cell r="P418">
            <v>-0.10261194029850751</v>
          </cell>
          <cell r="Q418">
            <v>-0.11279461279461278</v>
          </cell>
          <cell r="R418">
            <v>-0.28214971209213047</v>
          </cell>
          <cell r="S418">
            <v>-0.30656934306569339</v>
          </cell>
          <cell r="T418">
            <v>-0.29466791393826008</v>
          </cell>
          <cell r="U418">
            <v>-0.29211469534050183</v>
          </cell>
          <cell r="V418">
            <v>-0.29379225568531042</v>
          </cell>
          <cell r="W418">
            <v>-0.19542619542619544</v>
          </cell>
          <cell r="X418">
            <v>-0.27134724857685011</v>
          </cell>
          <cell r="Y418">
            <v>0.16577540106951871</v>
          </cell>
          <cell r="Z418">
            <v>0.51315789473684204</v>
          </cell>
          <cell r="AA418">
            <v>0.34084880636604775</v>
          </cell>
          <cell r="AB418">
            <v>0.36708860759493667</v>
          </cell>
          <cell r="AC418">
            <v>0.34986945169712791</v>
          </cell>
          <cell r="AD418">
            <v>0.21705426356589141</v>
          </cell>
          <cell r="AE418">
            <v>0.31640625</v>
          </cell>
          <cell r="AF418">
            <v>0.17201834862385312</v>
          </cell>
          <cell r="AG418">
            <v>-6.6086956521739126E-2</v>
          </cell>
          <cell r="AH418">
            <v>3.6597428288822842E-2</v>
          </cell>
          <cell r="AI418">
            <v>3.7037037037037646E-3</v>
          </cell>
          <cell r="AJ418">
            <v>2.5145067698259194E-2</v>
          </cell>
          <cell r="AK418">
            <v>0.41613588110403388</v>
          </cell>
          <cell r="AL418">
            <v>0.43076162215628089</v>
          </cell>
          <cell r="AM418">
            <v>0.12328767123287676</v>
          </cell>
          <cell r="AN418">
            <v>0.12328767123287676</v>
          </cell>
          <cell r="AO418">
            <v>0.1955307262569832</v>
          </cell>
          <cell r="AQ418">
            <v>0.16030534351145032</v>
          </cell>
          <cell r="AR418">
            <v>0.19188191881918826</v>
          </cell>
          <cell r="AT418">
            <v>0.17106918238993707</v>
          </cell>
          <cell r="AU418">
            <v>2.9985007496251548E-3</v>
          </cell>
          <cell r="AW418">
            <v>-2.4196335983408201E-2</v>
          </cell>
          <cell r="AY418">
            <v>3.4843205574912828E-2</v>
          </cell>
        </row>
        <row r="419">
          <cell r="A419" t="str">
            <v>Asia Pac</v>
          </cell>
          <cell r="J419">
            <v>0.11061285500747386</v>
          </cell>
          <cell r="K419">
            <v>4.5454545454545414E-2</v>
          </cell>
          <cell r="L419">
            <v>7.4487895716945918E-2</v>
          </cell>
          <cell r="M419">
            <v>6.0402684563758413E-2</v>
          </cell>
          <cell r="N419">
            <v>-6.0137457044673548E-2</v>
          </cell>
          <cell r="O419">
            <v>1.7230769230769161E-2</v>
          </cell>
          <cell r="P419">
            <v>-0.26324503311258274</v>
          </cell>
          <cell r="Q419">
            <v>-5.8770749214894558E-2</v>
          </cell>
          <cell r="R419">
            <v>-0.2967863894139886</v>
          </cell>
          <cell r="S419">
            <v>-0.16811091854419413</v>
          </cell>
          <cell r="T419">
            <v>-0.22965641952983729</v>
          </cell>
          <cell r="U419">
            <v>-1.8281535648994041E-3</v>
          </cell>
          <cell r="V419">
            <v>-0.15426497277676954</v>
          </cell>
          <cell r="W419">
            <v>0.24269662921348312</v>
          </cell>
          <cell r="X419">
            <v>-7.0066730219256468E-2</v>
          </cell>
          <cell r="Y419">
            <v>0.65860215053763449</v>
          </cell>
          <cell r="Z419">
            <v>0.61041666666666661</v>
          </cell>
          <cell r="AA419">
            <v>0.63145539906103276</v>
          </cell>
          <cell r="AB419">
            <v>0.38095238095238093</v>
          </cell>
          <cell r="AC419">
            <v>0.53361945636623753</v>
          </cell>
          <cell r="AD419">
            <v>0.379746835443038</v>
          </cell>
          <cell r="AE419">
            <v>0.49000512557662734</v>
          </cell>
          <cell r="AF419">
            <v>0.15397082658022687</v>
          </cell>
          <cell r="AG419">
            <v>-7.8913324708926313E-2</v>
          </cell>
          <cell r="AH419">
            <v>2.4460431654676151E-2</v>
          </cell>
          <cell r="AI419">
            <v>-1.458885941644561E-2</v>
          </cell>
          <cell r="AJ419">
            <v>1.0727611940298587E-2</v>
          </cell>
          <cell r="AK419">
            <v>-0.42463958060288332</v>
          </cell>
          <cell r="AL419">
            <v>-0.33849329205366352</v>
          </cell>
          <cell r="AM419">
            <v>1.6853932584269593E-2</v>
          </cell>
          <cell r="AN419">
            <v>1.6853932584269593E-2</v>
          </cell>
          <cell r="AO419">
            <v>0.1320224719101124</v>
          </cell>
          <cell r="AQ419">
            <v>7.4438202247190999E-2</v>
          </cell>
          <cell r="AR419">
            <v>0.14131897711978469</v>
          </cell>
          <cell r="AT419">
            <v>9.736963544070143E-2</v>
          </cell>
          <cell r="AU419">
            <v>2.7334851936218652E-2</v>
          </cell>
          <cell r="AW419">
            <v>2.5481019240769731E-2</v>
          </cell>
          <cell r="AY419">
            <v>9.6685082872927097E-3</v>
          </cell>
        </row>
        <row r="420">
          <cell r="A420" t="str">
            <v>Latam/Africa/Middle East</v>
          </cell>
          <cell r="J420">
            <v>0.10176991150442483</v>
          </cell>
          <cell r="K420">
            <v>0.14335664335664333</v>
          </cell>
          <cell r="L420">
            <v>7.8947368421052655E-2</v>
          </cell>
          <cell r="M420">
            <v>0.11016949152542366</v>
          </cell>
          <cell r="N420">
            <v>2.4615384615384706E-2</v>
          </cell>
          <cell r="O420">
            <v>7.9781420765027367E-2</v>
          </cell>
          <cell r="P420">
            <v>-0.16060606060606064</v>
          </cell>
          <cell r="Q420">
            <v>1.6064257028112428E-2</v>
          </cell>
          <cell r="R420">
            <v>-0.36085626911314983</v>
          </cell>
          <cell r="S420">
            <v>-0.25609756097560976</v>
          </cell>
          <cell r="T420">
            <v>-0.30839694656488548</v>
          </cell>
          <cell r="U420">
            <v>-0.18318318318318316</v>
          </cell>
          <cell r="V420">
            <v>-0.26619433198380571</v>
          </cell>
          <cell r="W420">
            <v>-8.3032490974729201E-2</v>
          </cell>
          <cell r="X420">
            <v>-0.22608695652173916</v>
          </cell>
          <cell r="Y420">
            <v>0.36363636363636354</v>
          </cell>
          <cell r="Z420">
            <v>0.39754098360655732</v>
          </cell>
          <cell r="AA420">
            <v>0.38189845474613682</v>
          </cell>
          <cell r="AB420">
            <v>0.19485294117647056</v>
          </cell>
          <cell r="AC420">
            <v>0.31172413793103448</v>
          </cell>
          <cell r="AD420">
            <v>0.27559055118110232</v>
          </cell>
          <cell r="AE420">
            <v>0.30234933605720116</v>
          </cell>
          <cell r="AF420">
            <v>0.20350877192982453</v>
          </cell>
          <cell r="AG420">
            <v>6.7448680351906098E-2</v>
          </cell>
          <cell r="AH420">
            <v>0.12939297124600646</v>
          </cell>
          <cell r="AI420">
            <v>0.11692307692307691</v>
          </cell>
          <cell r="AJ420">
            <v>0.12513144058885395</v>
          </cell>
          <cell r="AK420">
            <v>-0.48148148148148151</v>
          </cell>
          <cell r="AL420">
            <v>-0.4831372549019608</v>
          </cell>
          <cell r="AM420">
            <v>4.9562682215743337E-2</v>
          </cell>
          <cell r="AN420">
            <v>4.6647230320699729E-2</v>
          </cell>
          <cell r="AO420">
            <v>3.5714285714285809E-2</v>
          </cell>
          <cell r="AQ420">
            <v>4.2432814710042344E-2</v>
          </cell>
          <cell r="AR420">
            <v>4.9586776859504189E-2</v>
          </cell>
          <cell r="AT420">
            <v>4.4859813084112243E-2</v>
          </cell>
          <cell r="AU420">
            <v>0</v>
          </cell>
          <cell r="AW420">
            <v>8.1942336874051502E-2</v>
          </cell>
          <cell r="AY420">
            <v>1.1111111111111072E-2</v>
          </cell>
        </row>
        <row r="421">
          <cell r="A421" t="str">
            <v>Share</v>
          </cell>
        </row>
        <row r="422">
          <cell r="A422" t="str">
            <v>EU</v>
          </cell>
          <cell r="B422">
            <v>0.43383442727080246</v>
          </cell>
          <cell r="C422">
            <v>0.43322507627202045</v>
          </cell>
          <cell r="D422">
            <v>0.45437116564417179</v>
          </cell>
          <cell r="E422">
            <v>0.44567289363324436</v>
          </cell>
          <cell r="F422">
            <v>0.45000955840183521</v>
          </cell>
          <cell r="G422">
            <v>0.42742857142857144</v>
          </cell>
          <cell r="H422">
            <v>0.4424643584521385</v>
          </cell>
          <cell r="I422">
            <v>0.43001163241566498</v>
          </cell>
          <cell r="J422">
            <v>0.43938667944417825</v>
          </cell>
          <cell r="K422">
            <v>0.4518312101910828</v>
          </cell>
          <cell r="L422">
            <v>0.44584286803966439</v>
          </cell>
          <cell r="M422">
            <v>0.44877288663809894</v>
          </cell>
          <cell r="N422">
            <v>0.43585719890153002</v>
          </cell>
          <cell r="O422">
            <v>0.44448783027463229</v>
          </cell>
          <cell r="P422">
            <v>0.41459854014598541</v>
          </cell>
          <cell r="Q422">
            <v>0.4381803245019511</v>
          </cell>
          <cell r="R422">
            <v>0.41625916870415647</v>
          </cell>
          <cell r="S422">
            <v>0.39672131147540984</v>
          </cell>
          <cell r="T422">
            <v>0.40594345066358917</v>
          </cell>
          <cell r="U422">
            <v>0.40480863591756622</v>
          </cell>
          <cell r="V422">
            <v>0.40552325581395349</v>
          </cell>
          <cell r="W422">
            <v>0.40773809523809523</v>
          </cell>
          <cell r="X422">
            <v>0.40611702127659577</v>
          </cell>
          <cell r="Y422">
            <v>0.39620938628158847</v>
          </cell>
          <cell r="Z422">
            <v>0.37188545927854222</v>
          </cell>
          <cell r="AA422">
            <v>0.38287461773700304</v>
          </cell>
          <cell r="AB422">
            <v>0.39249530956848028</v>
          </cell>
          <cell r="AC422">
            <v>0.38626155878467633</v>
          </cell>
          <cell r="AD422">
            <v>0.39705882352941174</v>
          </cell>
          <cell r="AE422">
            <v>0.38900925743549342</v>
          </cell>
          <cell r="AF422">
            <v>0.41697691734921816</v>
          </cell>
          <cell r="AG422">
            <v>0.42020129403306972</v>
          </cell>
          <cell r="AH422">
            <v>0.41861741038771033</v>
          </cell>
          <cell r="AI422">
            <v>0.40462427745664742</v>
          </cell>
          <cell r="AJ422">
            <v>0.41391452161243319</v>
          </cell>
          <cell r="AK422">
            <v>0.50924499229583975</v>
          </cell>
          <cell r="AL422">
            <v>0.49455317577548008</v>
          </cell>
          <cell r="AM422">
            <v>0.4053084648493544</v>
          </cell>
          <cell r="AN422">
            <v>0.40545389307499102</v>
          </cell>
          <cell r="AO422">
            <v>0.3838622552329507</v>
          </cell>
          <cell r="AQ422">
            <v>0.39426086956521739</v>
          </cell>
          <cell r="AR422">
            <v>0.37332887700534761</v>
          </cell>
          <cell r="AT422">
            <v>0.38709677419354838</v>
          </cell>
          <cell r="AU422">
            <v>0.53350235421948566</v>
          </cell>
          <cell r="AW422">
            <v>0.52116839085455968</v>
          </cell>
          <cell r="AY422">
            <v>0.39135135135135135</v>
          </cell>
        </row>
        <row r="423">
          <cell r="A423" t="str">
            <v>North America</v>
          </cell>
          <cell r="B423">
            <v>0.26466229091679017</v>
          </cell>
          <cell r="C423">
            <v>0.2580454679657514</v>
          </cell>
          <cell r="D423">
            <v>0.24194785276073619</v>
          </cell>
          <cell r="E423">
            <v>0.23370186808997331</v>
          </cell>
          <cell r="F423">
            <v>0.23781303766010323</v>
          </cell>
          <cell r="G423">
            <v>0.22704761904761905</v>
          </cell>
          <cell r="H423">
            <v>0.23421588594704684</v>
          </cell>
          <cell r="I423">
            <v>0.20783249321442421</v>
          </cell>
          <cell r="J423">
            <v>0.22769525634882606</v>
          </cell>
          <cell r="K423">
            <v>0.20740445859872611</v>
          </cell>
          <cell r="L423">
            <v>0.20900076277650648</v>
          </cell>
          <cell r="M423">
            <v>0.20821971172574991</v>
          </cell>
          <cell r="N423">
            <v>0.21890937622597098</v>
          </cell>
          <cell r="O423">
            <v>0.21176623714694781</v>
          </cell>
          <cell r="P423">
            <v>0.2340632603406326</v>
          </cell>
          <cell r="Q423">
            <v>0.21647155473403162</v>
          </cell>
          <cell r="R423">
            <v>0.22860635696821516</v>
          </cell>
          <cell r="S423">
            <v>0.20765027322404372</v>
          </cell>
          <cell r="T423">
            <v>0.21754183496826313</v>
          </cell>
          <cell r="U423">
            <v>0.19381746810598627</v>
          </cell>
          <cell r="V423">
            <v>0.20875726744186046</v>
          </cell>
          <cell r="W423">
            <v>0.19196428571428573</v>
          </cell>
          <cell r="X423">
            <v>0.20425531914893616</v>
          </cell>
          <cell r="Y423">
            <v>0.1967509025270758</v>
          </cell>
          <cell r="Z423">
            <v>0.21383413908516177</v>
          </cell>
          <cell r="AA423">
            <v>0.20611620795107033</v>
          </cell>
          <cell r="AB423">
            <v>0.20262664165103189</v>
          </cell>
          <cell r="AC423">
            <v>0.20488771466314398</v>
          </cell>
          <cell r="AD423">
            <v>0.18227554179566563</v>
          </cell>
          <cell r="AE423">
            <v>0.1991333464644475</v>
          </cell>
          <cell r="AF423">
            <v>0.19024571854058078</v>
          </cell>
          <cell r="AG423">
            <v>0.19302659956865564</v>
          </cell>
          <cell r="AH423">
            <v>0.19166057059253841</v>
          </cell>
          <cell r="AI423">
            <v>0.1958092485549133</v>
          </cell>
          <cell r="AJ423">
            <v>0.19305488101019913</v>
          </cell>
          <cell r="AK423">
            <v>0.25693374422187981</v>
          </cell>
          <cell r="AL423">
            <v>0.26707902511078285</v>
          </cell>
          <cell r="AM423">
            <v>0.20588235294117646</v>
          </cell>
          <cell r="AN423">
            <v>0.20595622533189809</v>
          </cell>
          <cell r="AO423">
            <v>0.21674544226873735</v>
          </cell>
          <cell r="AQ423">
            <v>0.21147826086956523</v>
          </cell>
          <cell r="AR423">
            <v>0.21590909090909091</v>
          </cell>
          <cell r="AT423">
            <v>0.21299473804621369</v>
          </cell>
          <cell r="AU423">
            <v>0.24230351321984789</v>
          </cell>
          <cell r="AW423">
            <v>0.24541423976353996</v>
          </cell>
          <cell r="AY423">
            <v>0.21405405405405406</v>
          </cell>
        </row>
        <row r="424">
          <cell r="A424" t="str">
            <v>Asia Pac</v>
          </cell>
          <cell r="B424">
            <v>0.19976709718399321</v>
          </cell>
          <cell r="C424">
            <v>0.19751992914083261</v>
          </cell>
          <cell r="D424">
            <v>0.19401840490797545</v>
          </cell>
          <cell r="E424">
            <v>0.20472741136103698</v>
          </cell>
          <cell r="F424">
            <v>0.19938826228254636</v>
          </cell>
          <cell r="G424">
            <v>0.22171428571428572</v>
          </cell>
          <cell r="H424">
            <v>0.20684826883910387</v>
          </cell>
          <cell r="I424">
            <v>0.23419930205506009</v>
          </cell>
          <cell r="J424">
            <v>0.21360804983229517</v>
          </cell>
          <cell r="K424">
            <v>0.21058917197452229</v>
          </cell>
          <cell r="L424">
            <v>0.2200610221205187</v>
          </cell>
          <cell r="M424">
            <v>0.21542656797818466</v>
          </cell>
          <cell r="N424">
            <v>0.21459395841506473</v>
          </cell>
          <cell r="O424">
            <v>0.21515033190160093</v>
          </cell>
          <cell r="P424">
            <v>0.21654501216545013</v>
          </cell>
          <cell r="Q424">
            <v>0.21544464982542616</v>
          </cell>
          <cell r="R424">
            <v>0.22738386308068459</v>
          </cell>
          <cell r="S424">
            <v>0.26229508196721313</v>
          </cell>
          <cell r="T424">
            <v>0.24581650317368725</v>
          </cell>
          <cell r="U424">
            <v>0.26790971540726199</v>
          </cell>
          <cell r="V424">
            <v>0.25399709302325579</v>
          </cell>
          <cell r="W424">
            <v>0.27430555555555558</v>
          </cell>
          <cell r="X424">
            <v>0.25944148936170214</v>
          </cell>
          <cell r="Y424">
            <v>0.27842960288808666</v>
          </cell>
          <cell r="Z424">
            <v>0.2874674600223131</v>
          </cell>
          <cell r="AA424">
            <v>0.28338430173292556</v>
          </cell>
          <cell r="AB424">
            <v>0.28292682926829266</v>
          </cell>
          <cell r="AC424">
            <v>0.28322324966974899</v>
          </cell>
          <cell r="AD424">
            <v>0.29527863777089786</v>
          </cell>
          <cell r="AE424">
            <v>0.28629111680126057</v>
          </cell>
          <cell r="AF424">
            <v>0.26507818317200299</v>
          </cell>
          <cell r="AG424">
            <v>0.25593098490294752</v>
          </cell>
          <cell r="AH424">
            <v>0.26042428675932699</v>
          </cell>
          <cell r="AI424">
            <v>0.26842485549132949</v>
          </cell>
          <cell r="AJ424">
            <v>0.26311316172899468</v>
          </cell>
          <cell r="AK424">
            <v>0.16910631741140217</v>
          </cell>
          <cell r="AL424">
            <v>0.17752954209748892</v>
          </cell>
          <cell r="AM424">
            <v>0.25968436154949787</v>
          </cell>
          <cell r="AN424">
            <v>0.25977753857194114</v>
          </cell>
          <cell r="AO424">
            <v>0.27211343686698175</v>
          </cell>
          <cell r="AQ424">
            <v>0.26608695652173914</v>
          </cell>
          <cell r="AR424">
            <v>0.28342245989304815</v>
          </cell>
          <cell r="AT424">
            <v>0.27202013269274766</v>
          </cell>
          <cell r="AU424">
            <v>0.16334661354581673</v>
          </cell>
          <cell r="AW424">
            <v>0.17143353907676259</v>
          </cell>
          <cell r="AY424">
            <v>0.2634234234234234</v>
          </cell>
        </row>
        <row r="425">
          <cell r="A425" t="str">
            <v>Latam/Africa/Middle East</v>
          </cell>
          <cell r="B425">
            <v>0.10173618462841415</v>
          </cell>
          <cell r="C425">
            <v>0.11120952662139554</v>
          </cell>
          <cell r="D425">
            <v>0.10966257668711657</v>
          </cell>
          <cell r="E425">
            <v>0.11589782691574534</v>
          </cell>
          <cell r="F425">
            <v>0.11278914165551519</v>
          </cell>
          <cell r="G425">
            <v>0.12380952380952381</v>
          </cell>
          <cell r="H425">
            <v>0.11647148676171079</v>
          </cell>
          <cell r="I425">
            <v>0.12795657231485072</v>
          </cell>
          <cell r="J425">
            <v>0.11931001437470053</v>
          </cell>
          <cell r="K425">
            <v>0.1301751592356688</v>
          </cell>
          <cell r="L425">
            <v>0.12509534706331046</v>
          </cell>
          <cell r="M425">
            <v>0.12758083365796649</v>
          </cell>
          <cell r="N425">
            <v>0.13063946645743429</v>
          </cell>
          <cell r="O425">
            <v>0.12859560067681894</v>
          </cell>
          <cell r="P425">
            <v>0.13479318734793189</v>
          </cell>
          <cell r="Q425">
            <v>0.12990347093859109</v>
          </cell>
          <cell r="R425">
            <v>0.12775061124694376</v>
          </cell>
          <cell r="S425">
            <v>0.13333333333333333</v>
          </cell>
          <cell r="T425">
            <v>0.13069821119446048</v>
          </cell>
          <cell r="U425">
            <v>0.13346418056918546</v>
          </cell>
          <cell r="V425">
            <v>0.13172238372093023</v>
          </cell>
          <cell r="W425">
            <v>0.12599206349206349</v>
          </cell>
          <cell r="X425">
            <v>0.13018617021276596</v>
          </cell>
          <cell r="Y425">
            <v>0.12861010830324909</v>
          </cell>
          <cell r="Z425">
            <v>0.1268129416139829</v>
          </cell>
          <cell r="AA425">
            <v>0.12762487257900101</v>
          </cell>
          <cell r="AB425">
            <v>0.12195121951219512</v>
          </cell>
          <cell r="AC425">
            <v>0.12562747688243064</v>
          </cell>
          <cell r="AD425">
            <v>0.12538699690402477</v>
          </cell>
          <cell r="AE425">
            <v>0.12556627929879852</v>
          </cell>
          <cell r="AF425">
            <v>0.12769918093819807</v>
          </cell>
          <cell r="AG425">
            <v>0.13084112149532709</v>
          </cell>
          <cell r="AH425">
            <v>0.12929773226042429</v>
          </cell>
          <cell r="AI425">
            <v>0.13114161849710981</v>
          </cell>
          <cell r="AJ425">
            <v>0.12991743564837299</v>
          </cell>
          <cell r="AK425">
            <v>6.4714946070878271E-2</v>
          </cell>
          <cell r="AL425">
            <v>6.0838257016248155E-2</v>
          </cell>
          <cell r="AM425">
            <v>0.1291248206599713</v>
          </cell>
          <cell r="AN425">
            <v>0.12881234302116973</v>
          </cell>
          <cell r="AO425">
            <v>0.12727886563133017</v>
          </cell>
          <cell r="AQ425">
            <v>0.12817391304347825</v>
          </cell>
          <cell r="AR425">
            <v>0.12733957219251338</v>
          </cell>
          <cell r="AT425">
            <v>0.12788835506749027</v>
          </cell>
          <cell r="AU425">
            <v>6.0847519014849694E-2</v>
          </cell>
          <cell r="AW425">
            <v>6.1983830305137787E-2</v>
          </cell>
          <cell r="AY425">
            <v>0.13117117117117116</v>
          </cell>
        </row>
        <row r="426">
          <cell r="BW426">
            <v>0</v>
          </cell>
        </row>
        <row r="427">
          <cell r="A427" t="str">
            <v>Reconciliation</v>
          </cell>
          <cell r="B427">
            <v>1363</v>
          </cell>
          <cell r="C427">
            <v>1371</v>
          </cell>
          <cell r="D427">
            <v>331</v>
          </cell>
          <cell r="E427">
            <v>315</v>
          </cell>
          <cell r="F427">
            <v>646</v>
          </cell>
          <cell r="G427">
            <v>331</v>
          </cell>
          <cell r="H427">
            <v>977</v>
          </cell>
          <cell r="I427">
            <v>340</v>
          </cell>
          <cell r="J427">
            <v>1317</v>
          </cell>
          <cell r="K427">
            <v>315</v>
          </cell>
          <cell r="L427">
            <v>351</v>
          </cell>
          <cell r="M427">
            <v>666</v>
          </cell>
          <cell r="N427">
            <v>349</v>
          </cell>
          <cell r="O427">
            <v>1015</v>
          </cell>
          <cell r="P427">
            <v>376</v>
          </cell>
          <cell r="Q427">
            <v>1391</v>
          </cell>
          <cell r="R427">
            <v>296</v>
          </cell>
          <cell r="S427">
            <v>282</v>
          </cell>
          <cell r="T427">
            <v>578</v>
          </cell>
          <cell r="U427">
            <v>278</v>
          </cell>
          <cell r="V427">
            <v>856</v>
          </cell>
          <cell r="W427">
            <v>294</v>
          </cell>
          <cell r="X427">
            <v>1150</v>
          </cell>
          <cell r="Y427">
            <v>279</v>
          </cell>
          <cell r="Z427">
            <v>301</v>
          </cell>
          <cell r="AA427">
            <v>580</v>
          </cell>
          <cell r="AB427">
            <v>304</v>
          </cell>
          <cell r="AC427">
            <v>884</v>
          </cell>
          <cell r="AD427">
            <v>307</v>
          </cell>
          <cell r="AE427">
            <v>1191</v>
          </cell>
          <cell r="AF427">
            <v>306</v>
          </cell>
          <cell r="AG427">
            <v>319</v>
          </cell>
          <cell r="AH427">
            <v>625</v>
          </cell>
          <cell r="AI427">
            <v>323</v>
          </cell>
          <cell r="AJ427">
            <v>948</v>
          </cell>
          <cell r="AK427">
            <v>324</v>
          </cell>
          <cell r="AL427">
            <v>1272</v>
          </cell>
          <cell r="AM427">
            <v>316</v>
          </cell>
          <cell r="AN427">
            <v>316</v>
          </cell>
          <cell r="AO427">
            <v>311</v>
          </cell>
          <cell r="AP427">
            <v>310</v>
          </cell>
          <cell r="AQ427">
            <v>627</v>
          </cell>
          <cell r="AR427">
            <v>313</v>
          </cell>
          <cell r="AS427">
            <v>314</v>
          </cell>
          <cell r="AT427">
            <v>940</v>
          </cell>
          <cell r="AU427">
            <v>322</v>
          </cell>
          <cell r="AV427">
            <v>323</v>
          </cell>
          <cell r="AW427">
            <v>1262</v>
          </cell>
          <cell r="AX427">
            <v>1263</v>
          </cell>
          <cell r="AY427">
            <v>284</v>
          </cell>
          <cell r="AZ427">
            <v>311.81689830367105</v>
          </cell>
          <cell r="BA427">
            <v>619.34906325212467</v>
          </cell>
          <cell r="BB427">
            <v>296.84416535190087</v>
          </cell>
          <cell r="BC427">
            <v>916.19322860402565</v>
          </cell>
          <cell r="BD427">
            <v>386.19077139597437</v>
          </cell>
          <cell r="BE427">
            <v>1302.384</v>
          </cell>
          <cell r="BF427">
            <v>1344.0602880000001</v>
          </cell>
          <cell r="BG427">
            <v>1387.0702172160002</v>
          </cell>
          <cell r="BH427">
            <v>1431.4564641669122</v>
          </cell>
          <cell r="BI427">
            <v>1477.2630710202534</v>
          </cell>
          <cell r="BJ427">
            <v>1524.5354892929015</v>
          </cell>
          <cell r="BK427">
            <v>1573.3206249502744</v>
          </cell>
          <cell r="BL427">
            <v>1623.6668849486832</v>
          </cell>
          <cell r="BM427">
            <v>1675.6242252670411</v>
          </cell>
          <cell r="BN427">
            <v>1729.2442004755865</v>
          </cell>
          <cell r="BO427">
            <v>1784.5800148908054</v>
          </cell>
          <cell r="BR427">
            <v>1.364918257504392E-2</v>
          </cell>
          <cell r="BS427">
            <v>2.9614165397092242E-2</v>
          </cell>
          <cell r="BW427">
            <v>240.45646416691216</v>
          </cell>
        </row>
        <row r="428">
          <cell r="X428">
            <v>-0.17325664989216394</v>
          </cell>
          <cell r="Y428">
            <v>-5.7432432432432456E-2</v>
          </cell>
          <cell r="Z428">
            <v>6.7375886524822626E-2</v>
          </cell>
          <cell r="AA428">
            <v>3.4602076124568004E-3</v>
          </cell>
          <cell r="AB428">
            <v>9.3525179856115193E-2</v>
          </cell>
          <cell r="AC428">
            <v>3.2710280373831724E-2</v>
          </cell>
          <cell r="AD428">
            <v>4.421768707482987E-2</v>
          </cell>
          <cell r="AE428">
            <v>3.5652173913043539E-2</v>
          </cell>
          <cell r="AF428">
            <v>9.6774193548387011E-2</v>
          </cell>
          <cell r="AG428">
            <v>5.980066445182719E-2</v>
          </cell>
          <cell r="AH428">
            <v>7.7586206896551824E-2</v>
          </cell>
          <cell r="AI428">
            <v>6.25E-2</v>
          </cell>
          <cell r="BW428">
            <v>-3.5652173913043539E-2</v>
          </cell>
        </row>
        <row r="429">
          <cell r="B429">
            <v>5.5179952228654711E-2</v>
          </cell>
          <cell r="C429">
            <v>4.734769995855781E-2</v>
          </cell>
          <cell r="D429">
            <v>3.9712057588482307E-2</v>
          </cell>
          <cell r="E429">
            <v>3.8645564961354434E-2</v>
          </cell>
          <cell r="F429">
            <v>4.3012184566216125E-2</v>
          </cell>
          <cell r="G429">
            <v>4.2809105018106572E-2</v>
          </cell>
          <cell r="H429">
            <v>4.42401738815432E-2</v>
          </cell>
          <cell r="I429">
            <v>3.3006504222890982E-2</v>
          </cell>
          <cell r="J429">
            <v>4.0666975451597961E-2</v>
          </cell>
          <cell r="K429">
            <v>3.6902530459231489E-2</v>
          </cell>
          <cell r="L429">
            <v>4.1240747268241097E-2</v>
          </cell>
          <cell r="M429">
            <v>3.9068457793160087E-2</v>
          </cell>
          <cell r="N429">
            <v>4.3910417715148468E-2</v>
          </cell>
          <cell r="O429">
            <v>4.0608121624324867E-2</v>
          </cell>
          <cell r="P429">
            <v>4.7456771424965294E-2</v>
          </cell>
          <cell r="Q429">
            <v>4.2256516191749194E-2</v>
          </cell>
          <cell r="R429">
            <v>3.7492083597213427E-2</v>
          </cell>
          <cell r="S429">
            <v>3.5210388313147711E-2</v>
          </cell>
          <cell r="T429">
            <v>3.6343058350100606E-2</v>
          </cell>
          <cell r="U429">
            <v>3.7608225108225111E-2</v>
          </cell>
          <cell r="V429">
            <v>3.6744505494505496E-2</v>
          </cell>
          <cell r="W429">
            <v>3.7347560975609755E-2</v>
          </cell>
          <cell r="X429">
            <v>3.6896817248459959E-2</v>
          </cell>
          <cell r="Y429">
            <v>3.3549783549783552E-2</v>
          </cell>
          <cell r="Z429">
            <v>3.279224316374333E-2</v>
          </cell>
          <cell r="AA429">
            <v>3.3152329236924835E-2</v>
          </cell>
          <cell r="AB429">
            <v>3.5427106397855727E-2</v>
          </cell>
          <cell r="AC429">
            <v>3.390090504678632E-2</v>
          </cell>
          <cell r="AD429">
            <v>3.4232827832292596E-2</v>
          </cell>
          <cell r="AE429">
            <v>3.3943228454172365E-2</v>
          </cell>
          <cell r="AF429">
            <v>3.2501327668613911E-2</v>
          </cell>
          <cell r="AG429">
            <v>3.4479031560743625E-2</v>
          </cell>
          <cell r="AH429">
            <v>3.3479751446325264E-2</v>
          </cell>
          <cell r="AI429">
            <v>3.7254901960784313E-2</v>
          </cell>
          <cell r="AJ429">
            <v>3.4677006364766991E-2</v>
          </cell>
          <cell r="AK429">
            <v>3.5248041775456922E-2</v>
          </cell>
          <cell r="AL429">
            <v>3.4822601839684622E-2</v>
          </cell>
          <cell r="AM429">
            <v>3.1424025457438345E-2</v>
          </cell>
          <cell r="AN429">
            <v>3.1430276506862941E-2</v>
          </cell>
          <cell r="AO429">
            <v>3.0559103861648815E-2</v>
          </cell>
          <cell r="AQ429">
            <v>3.0988978401621115E-2</v>
          </cell>
          <cell r="AR429">
            <v>3.2384893947232284E-2</v>
          </cell>
          <cell r="AT429">
            <v>3.1440230115726803E-2</v>
          </cell>
          <cell r="AU429">
            <v>3.265057797606976E-2</v>
          </cell>
          <cell r="AW429">
            <v>3.1740442655935612E-2</v>
          </cell>
          <cell r="AY429">
            <v>2.7664134034677577E-2</v>
          </cell>
          <cell r="AZ429">
            <v>0.03</v>
          </cell>
          <cell r="BA429">
            <v>0.03</v>
          </cell>
          <cell r="BB429">
            <v>0.03</v>
          </cell>
          <cell r="BC429">
            <v>0.03</v>
          </cell>
          <cell r="BD429">
            <v>3.6243885678105763E-2</v>
          </cell>
          <cell r="BE429">
            <v>3.2000000000000001E-2</v>
          </cell>
          <cell r="BF429">
            <v>3.2000000000000001E-2</v>
          </cell>
          <cell r="BG429">
            <v>3.2000000000000001E-2</v>
          </cell>
          <cell r="BH429">
            <v>3.2000000000000001E-2</v>
          </cell>
          <cell r="BI429">
            <v>3.2000000000000001E-2</v>
          </cell>
          <cell r="BJ429">
            <v>3.2000000000000001E-2</v>
          </cell>
          <cell r="BK429">
            <v>3.2000000000000001E-2</v>
          </cell>
          <cell r="BL429">
            <v>3.2000000000000001E-2</v>
          </cell>
          <cell r="BM429">
            <v>3.2000000000000001E-2</v>
          </cell>
          <cell r="BN429">
            <v>3.2000000000000001E-2</v>
          </cell>
          <cell r="BO429">
            <v>3.2000000000000001E-2</v>
          </cell>
        </row>
        <row r="431">
          <cell r="A431" t="str">
            <v>Total Sales</v>
          </cell>
          <cell r="B431">
            <v>24701</v>
          </cell>
          <cell r="C431">
            <v>28956</v>
          </cell>
          <cell r="D431">
            <v>8335</v>
          </cell>
          <cell r="E431">
            <v>8151</v>
          </cell>
          <cell r="F431">
            <v>15019</v>
          </cell>
          <cell r="G431">
            <v>7732</v>
          </cell>
          <cell r="H431">
            <v>22084</v>
          </cell>
          <cell r="I431">
            <v>10301</v>
          </cell>
          <cell r="J431">
            <v>32385</v>
          </cell>
          <cell r="K431">
            <v>8536</v>
          </cell>
          <cell r="L431">
            <v>8511</v>
          </cell>
          <cell r="M431">
            <v>17047</v>
          </cell>
          <cell r="N431">
            <v>7948</v>
          </cell>
          <cell r="O431">
            <v>24995</v>
          </cell>
          <cell r="P431">
            <v>7923</v>
          </cell>
          <cell r="Q431">
            <v>32918</v>
          </cell>
          <cell r="R431">
            <v>7895</v>
          </cell>
          <cell r="S431">
            <v>8009</v>
          </cell>
          <cell r="T431">
            <v>15904</v>
          </cell>
          <cell r="U431">
            <v>7392</v>
          </cell>
          <cell r="V431">
            <v>23296</v>
          </cell>
          <cell r="W431">
            <v>7872</v>
          </cell>
          <cell r="X431">
            <v>31168</v>
          </cell>
          <cell r="Y431">
            <v>8316</v>
          </cell>
          <cell r="Z431">
            <v>9179</v>
          </cell>
          <cell r="AA431">
            <v>17495</v>
          </cell>
          <cell r="AB431">
            <v>8581</v>
          </cell>
          <cell r="AC431">
            <v>26076</v>
          </cell>
          <cell r="AD431">
            <v>8968</v>
          </cell>
          <cell r="AE431">
            <v>35088</v>
          </cell>
          <cell r="AF431">
            <v>9415</v>
          </cell>
          <cell r="AG431">
            <v>9252</v>
          </cell>
          <cell r="AH431">
            <v>18668</v>
          </cell>
          <cell r="AI431">
            <v>8670</v>
          </cell>
          <cell r="AJ431">
            <v>27338</v>
          </cell>
          <cell r="AK431">
            <v>9192</v>
          </cell>
          <cell r="AL431">
            <v>36528</v>
          </cell>
          <cell r="AM431">
            <v>10056</v>
          </cell>
          <cell r="AN431">
            <v>10054</v>
          </cell>
          <cell r="AO431">
            <v>10177</v>
          </cell>
          <cell r="AP431">
            <v>10166</v>
          </cell>
          <cell r="AQ431">
            <v>20233</v>
          </cell>
          <cell r="AR431">
            <v>9665</v>
          </cell>
          <cell r="AS431">
            <v>9661</v>
          </cell>
          <cell r="AT431">
            <v>29898</v>
          </cell>
          <cell r="AU431">
            <v>9862</v>
          </cell>
          <cell r="AV431">
            <v>9860</v>
          </cell>
          <cell r="AW431">
            <v>39760</v>
          </cell>
          <cell r="AX431">
            <v>39741</v>
          </cell>
          <cell r="AY431">
            <v>10266</v>
          </cell>
          <cell r="AZ431">
            <v>10393.896610122367</v>
          </cell>
          <cell r="BA431">
            <v>20644.968775070822</v>
          </cell>
          <cell r="BB431">
            <v>9894.80551173003</v>
          </cell>
          <cell r="BC431">
            <v>30539.774286800854</v>
          </cell>
          <cell r="BD431">
            <v>10655.335766861908</v>
          </cell>
          <cell r="BE431">
            <v>41195.110053662756</v>
          </cell>
          <cell r="BF431">
            <v>45385.722338539068</v>
          </cell>
          <cell r="BG431">
            <v>47648.961380078537</v>
          </cell>
          <cell r="BH431">
            <v>49925.629418313059</v>
          </cell>
          <cell r="BI431">
            <v>52536.355185387758</v>
          </cell>
          <cell r="BJ431">
            <v>54106.910091599741</v>
          </cell>
          <cell r="BK431">
            <v>56151.535698609536</v>
          </cell>
          <cell r="BL431">
            <v>58588.268339333903</v>
          </cell>
          <cell r="BM431">
            <v>58912.056334426619</v>
          </cell>
          <cell r="BN431">
            <v>59874.517671939459</v>
          </cell>
          <cell r="BO431">
            <v>61156.109276773728</v>
          </cell>
          <cell r="BR431">
            <v>1</v>
          </cell>
          <cell r="BS431">
            <v>1</v>
          </cell>
          <cell r="BW431">
            <v>14837.629418313059</v>
          </cell>
        </row>
        <row r="432">
          <cell r="A432" t="str">
            <v>Growth %</v>
          </cell>
          <cell r="C432">
            <v>0.17226023237925592</v>
          </cell>
          <cell r="J432">
            <v>0.11842105263157898</v>
          </cell>
          <cell r="K432">
            <v>2.4115176964607077E-2</v>
          </cell>
          <cell r="L432">
            <v>4.4166359955833734E-2</v>
          </cell>
          <cell r="M432">
            <v>0.13502896331313674</v>
          </cell>
          <cell r="N432">
            <v>2.7935851008794588E-2</v>
          </cell>
          <cell r="O432">
            <v>0.13181488860713642</v>
          </cell>
          <cell r="P432">
            <v>-0.23085137365304342</v>
          </cell>
          <cell r="Q432">
            <v>1.6458236838042373E-2</v>
          </cell>
          <cell r="R432">
            <v>-7.5093720712277379E-2</v>
          </cell>
          <cell r="S432">
            <v>-5.8982493244037149E-2</v>
          </cell>
          <cell r="T432">
            <v>-6.7049920807180197E-2</v>
          </cell>
          <cell r="U432">
            <v>-6.9954705586311006E-2</v>
          </cell>
          <cell r="V432">
            <v>-6.7973594718943819E-2</v>
          </cell>
          <cell r="W432">
            <v>-6.4369556985990339E-3</v>
          </cell>
          <cell r="X432">
            <v>-5.3162403548210668E-2</v>
          </cell>
          <cell r="Y432">
            <v>5.3324889170361045E-2</v>
          </cell>
          <cell r="Z432">
            <v>0.14608565363965531</v>
          </cell>
          <cell r="AA432">
            <v>0.10003772635814889</v>
          </cell>
          <cell r="AB432">
            <v>0.1608495670995671</v>
          </cell>
          <cell r="AC432">
            <v>0.11933379120879128</v>
          </cell>
          <cell r="AD432">
            <v>0.1392276422764227</v>
          </cell>
          <cell r="AE432">
            <v>0.12577002053388098</v>
          </cell>
          <cell r="AF432">
            <v>0.13215488215488214</v>
          </cell>
          <cell r="AG432">
            <v>7.9529360496786161E-3</v>
          </cell>
          <cell r="AH432">
            <v>6.7047727922263434E-2</v>
          </cell>
          <cell r="AI432">
            <v>1.0371751544109076E-2</v>
          </cell>
          <cell r="AJ432">
            <v>4.839699340389636E-2</v>
          </cell>
          <cell r="AK432">
            <v>2.4977698483496846E-2</v>
          </cell>
          <cell r="AL432">
            <v>4.1039671682626455E-2</v>
          </cell>
          <cell r="AM432">
            <v>6.80828465215082E-2</v>
          </cell>
          <cell r="AN432">
            <v>6.787041954328199E-2</v>
          </cell>
          <cell r="AO432">
            <v>9.9978383052313102E-2</v>
          </cell>
          <cell r="AP432">
            <v>9.8789450929528844E-2</v>
          </cell>
          <cell r="AQ432">
            <v>8.3833297621598524E-2</v>
          </cell>
          <cell r="AR432">
            <v>0.1147635524798154</v>
          </cell>
          <cell r="AS432">
            <v>0.11430219146482123</v>
          </cell>
          <cell r="AT432">
            <v>9.364254883312606E-2</v>
          </cell>
          <cell r="AU432">
            <v>7.2889469103568416E-2</v>
          </cell>
          <cell r="AV432">
            <v>7.2671888598781598E-2</v>
          </cell>
          <cell r="AW432">
            <v>8.8480070083223783E-2</v>
          </cell>
          <cell r="AX432">
            <v>8.79599211563733E-2</v>
          </cell>
          <cell r="AY432">
            <v>2.0883054892601338E-2</v>
          </cell>
          <cell r="AZ432">
            <v>2.1312430983823072E-2</v>
          </cell>
          <cell r="BA432">
            <v>2.0361230419157827E-2</v>
          </cell>
          <cell r="BB432">
            <v>2.3777083469221916E-2</v>
          </cell>
          <cell r="BC432">
            <v>2.1465458786569469E-2</v>
          </cell>
          <cell r="BD432">
            <v>8.0443699742639208E-2</v>
          </cell>
          <cell r="BE432">
            <v>3.6094317245039198E-2</v>
          </cell>
          <cell r="BF432">
            <v>0.10172596406266221</v>
          </cell>
          <cell r="BG432">
            <v>4.9866762605597081E-2</v>
          </cell>
          <cell r="BH432">
            <v>4.778001392463449E-2</v>
          </cell>
          <cell r="BI432">
            <v>5.2292295510190767E-2</v>
          </cell>
          <cell r="BJ432">
            <v>2.9894630121748644E-2</v>
          </cell>
          <cell r="BK432">
            <v>3.7788622627837443E-2</v>
          </cell>
          <cell r="BL432">
            <v>4.3395654462656363E-2</v>
          </cell>
          <cell r="BM432">
            <v>5.526498807191027E-3</v>
          </cell>
          <cell r="BN432">
            <v>1.63372558589574E-2</v>
          </cell>
          <cell r="BO432">
            <v>2.1404625117087184E-2</v>
          </cell>
          <cell r="BW432">
            <v>-7.7990006609246487E-2</v>
          </cell>
        </row>
        <row r="433">
          <cell r="A433" t="str">
            <v>CER</v>
          </cell>
          <cell r="AF433">
            <v>0.10415488215488214</v>
          </cell>
          <cell r="AG433">
            <v>5.3952936049678615E-2</v>
          </cell>
          <cell r="AH433">
            <v>7.804772792226343E-2</v>
          </cell>
          <cell r="AI433">
            <v>4.8371751544109075E-2</v>
          </cell>
          <cell r="AJ433">
            <v>6.8396993403896364E-2</v>
          </cell>
          <cell r="AK433">
            <v>2.1977698483496844E-2</v>
          </cell>
          <cell r="AL433">
            <v>5.5039671682626454E-2</v>
          </cell>
          <cell r="AM433">
            <v>5.20828465215082E-2</v>
          </cell>
          <cell r="AN433">
            <v>5.187041954328199E-2</v>
          </cell>
          <cell r="AO433">
            <v>4.99783830523131E-2</v>
          </cell>
          <cell r="AQ433">
            <v>5.8833297621598522E-2</v>
          </cell>
          <cell r="AR433">
            <v>5.4763552479815396E-2</v>
          </cell>
          <cell r="AT433">
            <v>5.1642548833126058E-2</v>
          </cell>
          <cell r="AU433">
            <v>5.2889469103568412E-2</v>
          </cell>
          <cell r="AW433">
            <v>5.348007008322378E-2</v>
          </cell>
          <cell r="AX433">
            <v>5.2959921156373296E-2</v>
          </cell>
          <cell r="AY433">
            <v>3.6883054892601339E-2</v>
          </cell>
          <cell r="BW433">
            <v>0</v>
          </cell>
        </row>
        <row r="434">
          <cell r="A434" t="str">
            <v>VOLUME</v>
          </cell>
          <cell r="AF434">
            <v>7.6999999999999999E-2</v>
          </cell>
          <cell r="AG434">
            <v>3.2000000000000001E-2</v>
          </cell>
          <cell r="AH434">
            <v>5.3999999999999999E-2</v>
          </cell>
          <cell r="AI434">
            <v>2.5999999999999999E-2</v>
          </cell>
          <cell r="AJ434">
            <v>4.4999999999999998E-2</v>
          </cell>
          <cell r="AK434">
            <v>1.6E-2</v>
          </cell>
          <cell r="AL434">
            <v>3.4000000000000002E-2</v>
          </cell>
          <cell r="AM434">
            <v>5.0999999999999997E-2</v>
          </cell>
          <cell r="AN434">
            <v>5.0999999999999997E-2</v>
          </cell>
          <cell r="AO434">
            <v>3.9E-2</v>
          </cell>
          <cell r="AQ434">
            <v>4.4999999999999998E-2</v>
          </cell>
          <cell r="AR434">
            <v>4.9000000000000002E-2</v>
          </cell>
          <cell r="AT434">
            <v>4.5999999999999999E-2</v>
          </cell>
          <cell r="AU434">
            <v>5.2999999999999999E-2</v>
          </cell>
          <cell r="AW434">
            <v>4.7E-2</v>
          </cell>
          <cell r="AX434">
            <v>4.7E-2</v>
          </cell>
          <cell r="AY434">
            <v>1.4E-2</v>
          </cell>
          <cell r="BW434">
            <v>0</v>
          </cell>
        </row>
        <row r="435">
          <cell r="A435" t="str">
            <v>PRICE</v>
          </cell>
          <cell r="AF435">
            <v>2.7E-2</v>
          </cell>
          <cell r="AG435">
            <v>2.1999999999999999E-2</v>
          </cell>
          <cell r="AH435">
            <v>2.4E-2</v>
          </cell>
          <cell r="AI435">
            <v>2.1999999999999999E-2</v>
          </cell>
          <cell r="AJ435">
            <v>2.3E-2</v>
          </cell>
          <cell r="AK435">
            <v>8.9999999999999993E-3</v>
          </cell>
          <cell r="AL435">
            <v>2.1000000000000001E-2</v>
          </cell>
          <cell r="AM435">
            <v>1E-3</v>
          </cell>
          <cell r="AN435">
            <v>1E-3</v>
          </cell>
          <cell r="AO435">
            <v>1.0999999999999999E-2</v>
          </cell>
          <cell r="AQ435">
            <v>6.0000000000000001E-3</v>
          </cell>
          <cell r="AR435">
            <v>6.0000000000000001E-3</v>
          </cell>
          <cell r="AT435">
            <v>6.0000000000000001E-3</v>
          </cell>
          <cell r="AU435">
            <v>-2E-3</v>
          </cell>
          <cell r="AW435">
            <v>6.0000000000000001E-3</v>
          </cell>
          <cell r="AX435">
            <v>6.0000000000000001E-3</v>
          </cell>
          <cell r="AY435">
            <v>2.3E-2</v>
          </cell>
          <cell r="BW435">
            <v>0</v>
          </cell>
        </row>
        <row r="436">
          <cell r="A436" t="str">
            <v>FX</v>
          </cell>
          <cell r="AF436">
            <v>2.7E-2</v>
          </cell>
          <cell r="AG436">
            <v>-4.7E-2</v>
          </cell>
          <cell r="AH436">
            <v>-1.2E-2</v>
          </cell>
          <cell r="AI436">
            <v>-3.9E-2</v>
          </cell>
          <cell r="AJ436">
            <v>-2.1000000000000001E-2</v>
          </cell>
          <cell r="AK436">
            <v>1E-3</v>
          </cell>
          <cell r="AL436">
            <v>-1.4999999999999999E-2</v>
          </cell>
          <cell r="AM436">
            <v>2.1999999999999999E-2</v>
          </cell>
          <cell r="AN436">
            <v>2.1999999999999999E-2</v>
          </cell>
          <cell r="AO436">
            <v>5.5E-2</v>
          </cell>
          <cell r="AQ436">
            <v>0.03</v>
          </cell>
          <cell r="AR436">
            <v>6.5000000000000002E-2</v>
          </cell>
          <cell r="AT436">
            <v>4.7E-2</v>
          </cell>
          <cell r="AU436">
            <v>2.4E-2</v>
          </cell>
          <cell r="AW436">
            <v>0.04</v>
          </cell>
          <cell r="AX436">
            <v>0.04</v>
          </cell>
          <cell r="AY436">
            <v>-1.7999999999999999E-2</v>
          </cell>
          <cell r="BW436">
            <v>0</v>
          </cell>
        </row>
        <row r="437">
          <cell r="A437" t="str">
            <v>PORTFOLIO</v>
          </cell>
          <cell r="AF437">
            <v>1E-3</v>
          </cell>
          <cell r="AG437">
            <v>1E-3</v>
          </cell>
          <cell r="AH437">
            <v>1E-3</v>
          </cell>
          <cell r="AI437">
            <v>1E-3</v>
          </cell>
          <cell r="AJ437">
            <v>1E-3</v>
          </cell>
          <cell r="AK437">
            <v>2E-3</v>
          </cell>
          <cell r="AL437">
            <v>1E-3</v>
          </cell>
          <cell r="AM437">
            <v>-6.0000000000000001E-3</v>
          </cell>
          <cell r="AN437">
            <v>-6.0000000000000001E-3</v>
          </cell>
          <cell r="AO437">
            <v>-5.0000000000000001E-3</v>
          </cell>
          <cell r="AQ437">
            <v>-5.0000000000000001E-3</v>
          </cell>
          <cell r="AR437">
            <v>-5.0000000000000001E-3</v>
          </cell>
          <cell r="AT437">
            <v>-5.0000000000000001E-3</v>
          </cell>
          <cell r="AU437">
            <v>-4.0000000000000001E-3</v>
          </cell>
          <cell r="AW437">
            <v>-5.0000000000000001E-3</v>
          </cell>
          <cell r="AX437">
            <v>-5.0000000000000001E-3</v>
          </cell>
          <cell r="AY437">
            <v>2E-3</v>
          </cell>
          <cell r="BW437">
            <v>0</v>
          </cell>
        </row>
        <row r="438">
          <cell r="BW438">
            <v>0</v>
          </cell>
        </row>
        <row r="439">
          <cell r="AL439" t="str">
            <v>2011-FY</v>
          </cell>
          <cell r="AW439" t="str">
            <v>2012-FY</v>
          </cell>
          <cell r="BE439" t="str">
            <v>2013-FY</v>
          </cell>
          <cell r="BF439" t="str">
            <v>2014-FY</v>
          </cell>
          <cell r="BG439" t="str">
            <v>2015-FY</v>
          </cell>
          <cell r="BH439" t="str">
            <v>2016-FY</v>
          </cell>
          <cell r="BI439" t="str">
            <v>2017-FY</v>
          </cell>
          <cell r="BJ439" t="str">
            <v>2018-FY</v>
          </cell>
        </row>
        <row r="440">
          <cell r="BW440">
            <v>0</v>
          </cell>
        </row>
        <row r="441">
          <cell r="BW441">
            <v>0</v>
          </cell>
        </row>
        <row r="442">
          <cell r="BW442">
            <v>0</v>
          </cell>
        </row>
        <row r="443">
          <cell r="BW443">
            <v>0</v>
          </cell>
        </row>
        <row r="444">
          <cell r="BW444">
            <v>0</v>
          </cell>
        </row>
        <row r="445">
          <cell r="BW445">
            <v>0</v>
          </cell>
        </row>
        <row r="446">
          <cell r="BW446">
            <v>0</v>
          </cell>
        </row>
        <row r="447">
          <cell r="BW447">
            <v>0</v>
          </cell>
        </row>
        <row r="448">
          <cell r="BW448">
            <v>0</v>
          </cell>
        </row>
        <row r="449">
          <cell r="BW449">
            <v>0</v>
          </cell>
        </row>
        <row r="450">
          <cell r="BW450">
            <v>0</v>
          </cell>
        </row>
        <row r="451">
          <cell r="BW451">
            <v>0</v>
          </cell>
        </row>
        <row r="452">
          <cell r="BW452">
            <v>0</v>
          </cell>
        </row>
        <row r="453">
          <cell r="BW453">
            <v>0</v>
          </cell>
        </row>
        <row r="454">
          <cell r="BW454">
            <v>0</v>
          </cell>
        </row>
        <row r="455">
          <cell r="BW455">
            <v>0</v>
          </cell>
        </row>
        <row r="456">
          <cell r="BW456">
            <v>0</v>
          </cell>
        </row>
        <row r="457">
          <cell r="BW457">
            <v>0</v>
          </cell>
        </row>
        <row r="458">
          <cell r="BW458">
            <v>0</v>
          </cell>
        </row>
        <row r="459">
          <cell r="BW459">
            <v>0</v>
          </cell>
        </row>
        <row r="460">
          <cell r="BW460">
            <v>0</v>
          </cell>
        </row>
        <row r="461">
          <cell r="BW461">
            <v>0</v>
          </cell>
        </row>
        <row r="462">
          <cell r="BW462">
            <v>0</v>
          </cell>
        </row>
        <row r="463">
          <cell r="BW463">
            <v>0</v>
          </cell>
        </row>
        <row r="464">
          <cell r="BW464">
            <v>0</v>
          </cell>
        </row>
        <row r="465">
          <cell r="BW465">
            <v>0</v>
          </cell>
        </row>
        <row r="466">
          <cell r="BW466">
            <v>0</v>
          </cell>
        </row>
        <row r="467">
          <cell r="BW467">
            <v>0</v>
          </cell>
        </row>
        <row r="468">
          <cell r="BW468">
            <v>0</v>
          </cell>
        </row>
        <row r="469">
          <cell r="BW469">
            <v>0</v>
          </cell>
        </row>
        <row r="470">
          <cell r="BW470">
            <v>0</v>
          </cell>
        </row>
        <row r="471">
          <cell r="BW471">
            <v>0</v>
          </cell>
        </row>
        <row r="472">
          <cell r="BW472">
            <v>0</v>
          </cell>
        </row>
        <row r="473">
          <cell r="BW473">
            <v>0</v>
          </cell>
        </row>
        <row r="474">
          <cell r="BW474">
            <v>0</v>
          </cell>
        </row>
      </sheetData>
      <sheetData sheetId="10">
        <row r="1">
          <cell r="I1" t="str">
            <v>Return to contents</v>
          </cell>
        </row>
        <row r="2">
          <cell r="A2" t="str">
            <v>Bayer</v>
          </cell>
        </row>
        <row r="3">
          <cell r="A3" t="str">
            <v>Annual Sales Model</v>
          </cell>
          <cell r="L3" t="str">
            <v>Morgan Stanley Equity Research- Pharmaceuticals</v>
          </cell>
        </row>
        <row r="5">
          <cell r="A5" t="str">
            <v>€ mlns</v>
          </cell>
          <cell r="B5" t="str">
            <v>FY05A</v>
          </cell>
          <cell r="C5" t="str">
            <v>FY06A</v>
          </cell>
          <cell r="D5" t="str">
            <v>FY07A</v>
          </cell>
          <cell r="E5" t="str">
            <v>FY08A</v>
          </cell>
          <cell r="F5" t="str">
            <v>FY09A</v>
          </cell>
          <cell r="G5" t="str">
            <v>FY10A</v>
          </cell>
          <cell r="H5" t="str">
            <v>FY11A</v>
          </cell>
          <cell r="I5" t="str">
            <v>FY12A</v>
          </cell>
          <cell r="J5" t="str">
            <v>FY13E</v>
          </cell>
          <cell r="K5" t="str">
            <v>FY14E</v>
          </cell>
          <cell r="L5" t="str">
            <v>FY15E</v>
          </cell>
          <cell r="M5" t="str">
            <v>FY16E</v>
          </cell>
          <cell r="N5" t="str">
            <v>FY17E</v>
          </cell>
          <cell r="O5" t="str">
            <v>FY18E</v>
          </cell>
          <cell r="P5" t="str">
            <v>FY19E</v>
          </cell>
          <cell r="Q5" t="str">
            <v>FY20E</v>
          </cell>
          <cell r="R5" t="str">
            <v>FY21E</v>
          </cell>
          <cell r="S5" t="str">
            <v>FY22E</v>
          </cell>
          <cell r="T5" t="str">
            <v>FY23E</v>
          </cell>
        </row>
        <row r="7">
          <cell r="A7" t="str">
            <v>General Medicine</v>
          </cell>
          <cell r="B7">
            <v>2831</v>
          </cell>
          <cell r="C7">
            <v>3091</v>
          </cell>
          <cell r="D7">
            <v>3055</v>
          </cell>
          <cell r="E7">
            <v>3158</v>
          </cell>
          <cell r="F7">
            <v>3463</v>
          </cell>
          <cell r="G7">
            <v>3921</v>
          </cell>
          <cell r="H7">
            <v>3991</v>
          </cell>
          <cell r="I7">
            <v>4288.6499999999996</v>
          </cell>
          <cell r="J7">
            <v>0</v>
          </cell>
          <cell r="K7">
            <v>0</v>
          </cell>
          <cell r="L7">
            <v>0</v>
          </cell>
          <cell r="M7">
            <v>0</v>
          </cell>
          <cell r="N7">
            <v>0</v>
          </cell>
          <cell r="O7">
            <v>0</v>
          </cell>
          <cell r="P7">
            <v>0</v>
          </cell>
          <cell r="Q7">
            <v>0</v>
          </cell>
          <cell r="R7">
            <v>0</v>
          </cell>
          <cell r="S7">
            <v>0</v>
          </cell>
          <cell r="T7">
            <v>0</v>
          </cell>
        </row>
        <row r="8">
          <cell r="A8" t="str">
            <v>Women's Health</v>
          </cell>
          <cell r="B8">
            <v>0</v>
          </cell>
          <cell r="C8">
            <v>1320</v>
          </cell>
          <cell r="D8">
            <v>2630</v>
          </cell>
          <cell r="E8">
            <v>2873</v>
          </cell>
          <cell r="F8">
            <v>2946</v>
          </cell>
          <cell r="G8">
            <v>2889</v>
          </cell>
          <cell r="H8">
            <v>2796</v>
          </cell>
          <cell r="I8">
            <v>2860.45</v>
          </cell>
          <cell r="J8">
            <v>0</v>
          </cell>
          <cell r="K8">
            <v>0</v>
          </cell>
          <cell r="L8">
            <v>0</v>
          </cell>
          <cell r="M8">
            <v>0</v>
          </cell>
          <cell r="N8">
            <v>0</v>
          </cell>
          <cell r="O8">
            <v>0</v>
          </cell>
          <cell r="P8">
            <v>0</v>
          </cell>
          <cell r="Q8">
            <v>0</v>
          </cell>
          <cell r="R8">
            <v>0</v>
          </cell>
          <cell r="S8">
            <v>0</v>
          </cell>
          <cell r="T8">
            <v>0</v>
          </cell>
        </row>
        <row r="9">
          <cell r="A9" t="str">
            <v>Diagnostic Imaging</v>
          </cell>
          <cell r="B9">
            <v>0</v>
          </cell>
          <cell r="C9">
            <v>697</v>
          </cell>
          <cell r="D9">
            <v>1298</v>
          </cell>
          <cell r="E9">
            <v>983</v>
          </cell>
          <cell r="F9">
            <v>899</v>
          </cell>
          <cell r="G9">
            <v>910</v>
          </cell>
          <cell r="H9">
            <v>867.91000000000008</v>
          </cell>
          <cell r="I9">
            <v>0</v>
          </cell>
          <cell r="J9">
            <v>0</v>
          </cell>
          <cell r="K9">
            <v>0</v>
          </cell>
          <cell r="L9">
            <v>0</v>
          </cell>
          <cell r="M9">
            <v>0</v>
          </cell>
          <cell r="N9">
            <v>0</v>
          </cell>
          <cell r="O9">
            <v>0</v>
          </cell>
          <cell r="P9">
            <v>0</v>
          </cell>
          <cell r="Q9">
            <v>0</v>
          </cell>
          <cell r="R9">
            <v>0</v>
          </cell>
          <cell r="S9">
            <v>0</v>
          </cell>
          <cell r="T9">
            <v>0</v>
          </cell>
        </row>
        <row r="10">
          <cell r="A10" t="str">
            <v>Specialised Therapeutics</v>
          </cell>
          <cell r="B10">
            <v>0</v>
          </cell>
          <cell r="C10">
            <v>678</v>
          </cell>
          <cell r="D10">
            <v>1253</v>
          </cell>
          <cell r="E10">
            <v>1364</v>
          </cell>
          <cell r="F10">
            <v>1364</v>
          </cell>
          <cell r="G10">
            <v>1283</v>
          </cell>
          <cell r="H10">
            <v>1205</v>
          </cell>
          <cell r="I10">
            <v>1301.5999999999999</v>
          </cell>
          <cell r="J10">
            <v>0</v>
          </cell>
          <cell r="K10">
            <v>0</v>
          </cell>
          <cell r="L10">
            <v>0</v>
          </cell>
          <cell r="M10">
            <v>0</v>
          </cell>
          <cell r="N10">
            <v>0</v>
          </cell>
          <cell r="O10">
            <v>0</v>
          </cell>
          <cell r="P10">
            <v>0</v>
          </cell>
          <cell r="Q10">
            <v>0</v>
          </cell>
          <cell r="R10">
            <v>0</v>
          </cell>
          <cell r="S10">
            <v>0</v>
          </cell>
          <cell r="T10">
            <v>0</v>
          </cell>
        </row>
        <row r="11">
          <cell r="A11" t="str">
            <v>Cardiology / Haematology</v>
          </cell>
          <cell r="B11">
            <v>1201</v>
          </cell>
          <cell r="C11">
            <v>1142</v>
          </cell>
          <cell r="D11">
            <v>1033</v>
          </cell>
          <cell r="E11">
            <v>851</v>
          </cell>
          <cell r="F11">
            <v>915</v>
          </cell>
          <cell r="G11">
            <v>1070</v>
          </cell>
          <cell r="H11">
            <v>1161</v>
          </cell>
          <cell r="I11">
            <v>1504</v>
          </cell>
          <cell r="J11">
            <v>0</v>
          </cell>
          <cell r="K11">
            <v>0</v>
          </cell>
          <cell r="L11">
            <v>0</v>
          </cell>
          <cell r="M11">
            <v>0</v>
          </cell>
          <cell r="N11">
            <v>0</v>
          </cell>
          <cell r="O11">
            <v>0</v>
          </cell>
          <cell r="P11">
            <v>0</v>
          </cell>
          <cell r="Q11">
            <v>0</v>
          </cell>
          <cell r="R11">
            <v>0</v>
          </cell>
          <cell r="S11">
            <v>0</v>
          </cell>
          <cell r="T11">
            <v>0</v>
          </cell>
        </row>
        <row r="12">
          <cell r="A12" t="str">
            <v>Oncology</v>
          </cell>
          <cell r="B12">
            <v>35</v>
          </cell>
          <cell r="C12">
            <v>432</v>
          </cell>
          <cell r="D12">
            <v>754</v>
          </cell>
          <cell r="E12">
            <v>885</v>
          </cell>
          <cell r="F12">
            <v>880</v>
          </cell>
          <cell r="G12">
            <v>791</v>
          </cell>
          <cell r="H12">
            <v>798</v>
          </cell>
          <cell r="I12">
            <v>848.3</v>
          </cell>
          <cell r="J12">
            <v>0</v>
          </cell>
          <cell r="K12">
            <v>0</v>
          </cell>
          <cell r="L12">
            <v>0</v>
          </cell>
          <cell r="M12">
            <v>0</v>
          </cell>
          <cell r="N12">
            <v>0</v>
          </cell>
          <cell r="O12">
            <v>0</v>
          </cell>
          <cell r="P12">
            <v>0</v>
          </cell>
          <cell r="Q12">
            <v>0</v>
          </cell>
          <cell r="R12">
            <v>0</v>
          </cell>
          <cell r="S12">
            <v>0</v>
          </cell>
          <cell r="T12">
            <v>0</v>
          </cell>
        </row>
        <row r="13">
          <cell r="A13" t="str">
            <v>Dermatology</v>
          </cell>
          <cell r="B13">
            <v>0</v>
          </cell>
          <cell r="C13">
            <v>118</v>
          </cell>
          <cell r="D13">
            <v>244</v>
          </cell>
          <cell r="E13">
            <v>250</v>
          </cell>
          <cell r="F13">
            <v>251</v>
          </cell>
          <cell r="G13">
            <v>267</v>
          </cell>
          <cell r="H13">
            <v>264</v>
          </cell>
          <cell r="I13">
            <v>271.84000000000003</v>
          </cell>
          <cell r="J13">
            <v>0</v>
          </cell>
          <cell r="K13">
            <v>0</v>
          </cell>
          <cell r="L13">
            <v>0</v>
          </cell>
          <cell r="M13">
            <v>0</v>
          </cell>
          <cell r="N13">
            <v>0</v>
          </cell>
          <cell r="O13">
            <v>0</v>
          </cell>
          <cell r="P13">
            <v>0</v>
          </cell>
          <cell r="Q13">
            <v>0</v>
          </cell>
          <cell r="R13">
            <v>0</v>
          </cell>
          <cell r="S13">
            <v>0</v>
          </cell>
          <cell r="T13">
            <v>0</v>
          </cell>
        </row>
        <row r="14">
          <cell r="A14" t="str">
            <v>Pharmaceuticals</v>
          </cell>
          <cell r="B14">
            <v>4067</v>
          </cell>
          <cell r="C14">
            <v>7478</v>
          </cell>
          <cell r="D14">
            <v>10023</v>
          </cell>
          <cell r="E14">
            <v>10114</v>
          </cell>
          <cell r="F14">
            <v>10467</v>
          </cell>
          <cell r="G14">
            <v>9954</v>
          </cell>
          <cell r="H14">
            <v>9949</v>
          </cell>
          <cell r="I14">
            <v>10803</v>
          </cell>
          <cell r="J14">
            <v>11362.280936768168</v>
          </cell>
          <cell r="K14">
            <v>12342.833468290213</v>
          </cell>
          <cell r="L14">
            <v>12840.338393844635</v>
          </cell>
          <cell r="M14">
            <v>13155.538201002273</v>
          </cell>
          <cell r="N14">
            <v>13351.127501627256</v>
          </cell>
          <cell r="O14">
            <v>13431.685554328726</v>
          </cell>
          <cell r="P14">
            <v>13578.774548875577</v>
          </cell>
          <cell r="Q14">
            <v>13471.558319393933</v>
          </cell>
          <cell r="R14">
            <v>13380.715584459229</v>
          </cell>
          <cell r="S14">
            <v>13092.251473331889</v>
          </cell>
          <cell r="T14">
            <v>13087.528503742078</v>
          </cell>
        </row>
        <row r="15">
          <cell r="A15" t="str">
            <v>Pipeline</v>
          </cell>
          <cell r="B15">
            <v>0</v>
          </cell>
          <cell r="C15">
            <v>0</v>
          </cell>
          <cell r="D15">
            <v>0</v>
          </cell>
          <cell r="E15">
            <v>0</v>
          </cell>
          <cell r="F15">
            <v>0</v>
          </cell>
          <cell r="G15">
            <v>0</v>
          </cell>
          <cell r="H15">
            <v>0</v>
          </cell>
          <cell r="I15">
            <v>0</v>
          </cell>
          <cell r="J15">
            <v>118.24000000000001</v>
          </cell>
          <cell r="K15">
            <v>789.70670103092789</v>
          </cell>
          <cell r="L15">
            <v>1294.8</v>
          </cell>
          <cell r="M15">
            <v>2094.6999999999998</v>
          </cell>
          <cell r="N15">
            <v>3278.7534020618555</v>
          </cell>
          <cell r="O15">
            <v>3307.0820000000003</v>
          </cell>
          <cell r="P15">
            <v>3645.0239999999994</v>
          </cell>
          <cell r="Q15">
            <v>4530.9840412371141</v>
          </cell>
          <cell r="R15">
            <v>3796.7080000000001</v>
          </cell>
          <cell r="S15">
            <v>3859.5039999999999</v>
          </cell>
          <cell r="T15">
            <v>3917.1000000000004</v>
          </cell>
        </row>
        <row r="16">
          <cell r="A16" t="str">
            <v>Total Pharma</v>
          </cell>
          <cell r="B16">
            <v>4067</v>
          </cell>
          <cell r="C16">
            <v>7478</v>
          </cell>
          <cell r="D16">
            <v>10023</v>
          </cell>
          <cell r="E16">
            <v>10114</v>
          </cell>
          <cell r="F16">
            <v>10467</v>
          </cell>
          <cell r="G16">
            <v>9954</v>
          </cell>
          <cell r="H16">
            <v>9949</v>
          </cell>
          <cell r="I16">
            <v>10803</v>
          </cell>
          <cell r="J16">
            <v>11480.520936768167</v>
          </cell>
          <cell r="K16">
            <v>13132.540169321141</v>
          </cell>
          <cell r="L16">
            <v>14135.138393844634</v>
          </cell>
          <cell r="M16">
            <v>15250.238201002272</v>
          </cell>
          <cell r="N16">
            <v>16629.880903689111</v>
          </cell>
          <cell r="O16">
            <v>16738.767554328726</v>
          </cell>
          <cell r="P16">
            <v>17223.798548875577</v>
          </cell>
          <cell r="Q16">
            <v>18002.542360631047</v>
          </cell>
          <cell r="R16">
            <v>17177.423584459229</v>
          </cell>
          <cell r="S16">
            <v>16951.75547333189</v>
          </cell>
          <cell r="T16">
            <v>17004.628503742078</v>
          </cell>
        </row>
        <row r="17">
          <cell r="A17" t="str">
            <v>Growth %</v>
          </cell>
          <cell r="C17">
            <v>0.83870174575854439</v>
          </cell>
          <cell r="D17">
            <v>0.34033163947579559</v>
          </cell>
          <cell r="E17">
            <v>9.0791180285343387E-3</v>
          </cell>
          <cell r="F17">
            <v>3.4902115878979734E-2</v>
          </cell>
          <cell r="G17">
            <v>-4.9011177987962173E-2</v>
          </cell>
          <cell r="H17">
            <v>-5.0231062889294353E-4</v>
          </cell>
          <cell r="I17">
            <v>8.5837772640466437E-2</v>
          </cell>
          <cell r="J17">
            <v>6.2715998960304331E-2</v>
          </cell>
          <cell r="K17">
            <v>0.1438975845827799</v>
          </cell>
          <cell r="L17">
            <v>7.6344577027501304E-2</v>
          </cell>
          <cell r="M17">
            <v>7.8888495894969379E-2</v>
          </cell>
          <cell r="N17">
            <v>9.0466960876464553E-2</v>
          </cell>
          <cell r="O17">
            <v>6.547650657886539E-3</v>
          </cell>
          <cell r="P17">
            <v>2.8976505765588412E-2</v>
          </cell>
          <cell r="Q17">
            <v>4.5213244311099299E-2</v>
          </cell>
          <cell r="R17">
            <v>-4.5833458388423676E-2</v>
          </cell>
          <cell r="S17">
            <v>-1.3137483046730347E-2</v>
          </cell>
          <cell r="T17">
            <v>3.1190297956673607E-3</v>
          </cell>
        </row>
        <row r="19">
          <cell r="A19" t="str">
            <v>Consumer Care</v>
          </cell>
          <cell r="B19">
            <v>2355</v>
          </cell>
          <cell r="C19">
            <v>2531</v>
          </cell>
          <cell r="D19">
            <v>2878</v>
          </cell>
          <cell r="E19">
            <v>3020</v>
          </cell>
          <cell r="F19">
            <v>3080</v>
          </cell>
          <cell r="G19">
            <v>3371</v>
          </cell>
          <cell r="H19">
            <v>3534</v>
          </cell>
          <cell r="I19">
            <v>3853</v>
          </cell>
          <cell r="J19">
            <v>3973.2998285810359</v>
          </cell>
          <cell r="K19">
            <v>4377.8701303579292</v>
          </cell>
          <cell r="L19">
            <v>4569.7626406630807</v>
          </cell>
          <cell r="M19">
            <v>4756.139525679273</v>
          </cell>
          <cell r="N19">
            <v>4940.37245902</v>
          </cell>
          <cell r="O19">
            <v>5079.8463099332439</v>
          </cell>
          <cell r="P19">
            <v>5225.0364764739788</v>
          </cell>
          <cell r="Q19">
            <v>5376.1481242566988</v>
          </cell>
          <cell r="R19">
            <v>5501.7915528982994</v>
          </cell>
          <cell r="S19">
            <v>5631.5791432539263</v>
          </cell>
          <cell r="T19">
            <v>5765.6243182752223</v>
          </cell>
        </row>
        <row r="20">
          <cell r="A20" t="str">
            <v>Medical Care</v>
          </cell>
          <cell r="B20">
            <v>718</v>
          </cell>
          <cell r="C20">
            <v>810</v>
          </cell>
          <cell r="D20">
            <v>950</v>
          </cell>
          <cell r="E20">
            <v>1310</v>
          </cell>
          <cell r="F20">
            <v>1464</v>
          </cell>
          <cell r="G20">
            <v>2468</v>
          </cell>
          <cell r="H20">
            <v>2500</v>
          </cell>
          <cell r="I20">
            <v>2653</v>
          </cell>
          <cell r="J20">
            <v>2560.8559130805597</v>
          </cell>
          <cell r="K20">
            <v>2720.8781810143973</v>
          </cell>
          <cell r="L20">
            <v>2775.1888325838045</v>
          </cell>
          <cell r="M20">
            <v>2809.4403162482163</v>
          </cell>
          <cell r="N20">
            <v>2845.4468388530067</v>
          </cell>
          <cell r="O20">
            <v>2883.1892612518559</v>
          </cell>
          <cell r="P20">
            <v>2922.6957697606458</v>
          </cell>
          <cell r="Q20">
            <v>2954.9892313960117</v>
          </cell>
          <cell r="R20">
            <v>2988.7019224993128</v>
          </cell>
          <cell r="S20">
            <v>3023.8182130236182</v>
          </cell>
          <cell r="T20">
            <v>3060.3243075866289</v>
          </cell>
        </row>
        <row r="21">
          <cell r="A21" t="str">
            <v>Animal Health</v>
          </cell>
          <cell r="B21">
            <v>856</v>
          </cell>
          <cell r="C21">
            <v>905</v>
          </cell>
          <cell r="D21">
            <v>956</v>
          </cell>
          <cell r="E21">
            <v>963</v>
          </cell>
          <cell r="F21">
            <v>977</v>
          </cell>
          <cell r="G21">
            <v>1120</v>
          </cell>
          <cell r="H21">
            <v>1186</v>
          </cell>
          <cell r="I21">
            <v>1303</v>
          </cell>
          <cell r="J21">
            <v>1314.5755300464184</v>
          </cell>
          <cell r="K21">
            <v>1416.1603594479593</v>
          </cell>
          <cell r="L21">
            <v>1461.4427025461691</v>
          </cell>
          <cell r="M21">
            <v>1508.4786493018055</v>
          </cell>
          <cell r="N21">
            <v>1557.3456696277906</v>
          </cell>
          <cell r="O21">
            <v>1595.0366895893285</v>
          </cell>
          <cell r="P21">
            <v>1633.6778531471666</v>
          </cell>
          <cell r="Q21">
            <v>1673.2940528691429</v>
          </cell>
          <cell r="R21">
            <v>1713.9108558653299</v>
          </cell>
          <cell r="S21">
            <v>1755.5545225796047</v>
          </cell>
          <cell r="T21">
            <v>1798.2520261160741</v>
          </cell>
        </row>
        <row r="22">
          <cell r="A22" t="str">
            <v>Total Consumer Health</v>
          </cell>
          <cell r="B22">
            <v>3929</v>
          </cell>
          <cell r="C22">
            <v>4246</v>
          </cell>
          <cell r="D22">
            <v>4784</v>
          </cell>
          <cell r="E22">
            <v>5293</v>
          </cell>
          <cell r="F22">
            <v>5521</v>
          </cell>
          <cell r="G22">
            <v>6959</v>
          </cell>
          <cell r="H22">
            <v>7220</v>
          </cell>
          <cell r="I22">
            <v>7809</v>
          </cell>
          <cell r="J22">
            <v>7848.7312717080149</v>
          </cell>
          <cell r="K22">
            <v>8514.9086708202849</v>
          </cell>
          <cell r="L22">
            <v>8806.3941757930552</v>
          </cell>
          <cell r="M22">
            <v>9074.0584912292943</v>
          </cell>
          <cell r="N22">
            <v>9343.1649675007975</v>
          </cell>
          <cell r="O22">
            <v>9558.0722607744283</v>
          </cell>
          <cell r="P22">
            <v>9781.410099381792</v>
          </cell>
          <cell r="Q22">
            <v>10004.431408521854</v>
          </cell>
          <cell r="R22">
            <v>10204.404331262942</v>
          </cell>
          <cell r="S22">
            <v>10410.951878857149</v>
          </cell>
          <cell r="T22">
            <v>10624.200651977924</v>
          </cell>
        </row>
        <row r="23">
          <cell r="A23" t="str">
            <v>Growth %</v>
          </cell>
          <cell r="C23">
            <v>8.0682107406464754E-2</v>
          </cell>
          <cell r="D23">
            <v>0.12670748940178989</v>
          </cell>
          <cell r="E23">
            <v>0.10639632107023411</v>
          </cell>
          <cell r="F23">
            <v>4.3075760438314736E-2</v>
          </cell>
          <cell r="G23">
            <v>0.26046006158304658</v>
          </cell>
          <cell r="H23">
            <v>3.7505388705273646E-2</v>
          </cell>
          <cell r="I23">
            <v>8.1578947368420973E-2</v>
          </cell>
          <cell r="J23">
            <v>5.0878821498290261E-3</v>
          </cell>
          <cell r="K23">
            <v>8.4877080900146451E-2</v>
          </cell>
          <cell r="L23">
            <v>3.4232370098303155E-2</v>
          </cell>
          <cell r="M23">
            <v>3.0394314641512654E-2</v>
          </cell>
          <cell r="N23">
            <v>2.9656683008117302E-2</v>
          </cell>
          <cell r="O23">
            <v>2.3001551831864475E-2</v>
          </cell>
          <cell r="P23">
            <v>2.3366410350748712E-2</v>
          </cell>
          <cell r="Q23">
            <v>2.2800527416201311E-2</v>
          </cell>
          <cell r="R23">
            <v>1.9988434582174142E-2</v>
          </cell>
          <cell r="S23">
            <v>2.0241019552842854E-2</v>
          </cell>
          <cell r="T23">
            <v>2.0483119661118154E-2</v>
          </cell>
        </row>
        <row r="25">
          <cell r="A25" t="str">
            <v>Crop Protection/Seeds</v>
          </cell>
          <cell r="B25">
            <v>5202</v>
          </cell>
          <cell r="C25">
            <v>4986</v>
          </cell>
          <cell r="D25">
            <v>5163</v>
          </cell>
          <cell r="E25">
            <v>5791</v>
          </cell>
          <cell r="F25">
            <v>5927</v>
          </cell>
          <cell r="G25">
            <v>6180</v>
          </cell>
          <cell r="H25">
            <v>6629</v>
          </cell>
          <cell r="I25">
            <v>7703</v>
          </cell>
          <cell r="J25">
            <v>8333.5847908633841</v>
          </cell>
          <cell r="K25">
            <v>9131.6773495738053</v>
          </cell>
          <cell r="L25">
            <v>9741.4083114220157</v>
          </cell>
          <cell r="M25">
            <v>10405.90375635859</v>
          </cell>
          <cell r="N25">
            <v>11131.261423551729</v>
          </cell>
          <cell r="O25">
            <v>11924.354738741267</v>
          </cell>
          <cell r="P25">
            <v>12792.939008250909</v>
          </cell>
          <cell r="Q25">
            <v>13745.77272722037</v>
          </cell>
          <cell r="R25">
            <v>14197.639220616325</v>
          </cell>
          <cell r="S25">
            <v>14666.731549655784</v>
          </cell>
          <cell r="T25">
            <v>15153.783884955379</v>
          </cell>
        </row>
        <row r="26">
          <cell r="A26" t="str">
            <v xml:space="preserve">Environmental Science </v>
          </cell>
          <cell r="B26">
            <v>694</v>
          </cell>
          <cell r="C26">
            <v>714</v>
          </cell>
          <cell r="D26">
            <v>663</v>
          </cell>
          <cell r="E26">
            <v>591</v>
          </cell>
          <cell r="F26">
            <v>583</v>
          </cell>
          <cell r="G26">
            <v>650</v>
          </cell>
          <cell r="H26">
            <v>626</v>
          </cell>
          <cell r="I26">
            <v>680</v>
          </cell>
          <cell r="J26">
            <v>686.69520299493661</v>
          </cell>
          <cell r="K26">
            <v>730.17613823708064</v>
          </cell>
          <cell r="L26">
            <v>752.08142238419305</v>
          </cell>
          <cell r="M26">
            <v>774.64386505571883</v>
          </cell>
          <cell r="N26">
            <v>797.88318100739048</v>
          </cell>
          <cell r="O26">
            <v>821.8196764376122</v>
          </cell>
          <cell r="P26">
            <v>846.47426673074062</v>
          </cell>
          <cell r="Q26">
            <v>871.86849473266284</v>
          </cell>
          <cell r="R26">
            <v>898.02454957464272</v>
          </cell>
          <cell r="S26">
            <v>924.96528606188201</v>
          </cell>
          <cell r="T26">
            <v>952.71424464373854</v>
          </cell>
        </row>
        <row r="27">
          <cell r="A27" t="str">
            <v>Total Cropscience</v>
          </cell>
          <cell r="B27">
            <v>5896</v>
          </cell>
          <cell r="C27">
            <v>5700</v>
          </cell>
          <cell r="D27">
            <v>5826</v>
          </cell>
          <cell r="E27">
            <v>6382</v>
          </cell>
          <cell r="F27">
            <v>6510</v>
          </cell>
          <cell r="G27">
            <v>6830</v>
          </cell>
          <cell r="H27">
            <v>7255</v>
          </cell>
          <cell r="I27">
            <v>8383</v>
          </cell>
          <cell r="J27">
            <v>9020.2799938583212</v>
          </cell>
          <cell r="K27">
            <v>9861.8534878108858</v>
          </cell>
          <cell r="L27">
            <v>10493.489733806209</v>
          </cell>
          <cell r="M27">
            <v>11180.547621414309</v>
          </cell>
          <cell r="N27">
            <v>11929.144604559118</v>
          </cell>
          <cell r="O27">
            <v>12746.174415178879</v>
          </cell>
          <cell r="P27">
            <v>13639.413274981649</v>
          </cell>
          <cell r="Q27">
            <v>14617.641221953032</v>
          </cell>
          <cell r="R27">
            <v>15095.663770190968</v>
          </cell>
          <cell r="S27">
            <v>15591.696835717667</v>
          </cell>
          <cell r="T27">
            <v>16106.498129599118</v>
          </cell>
        </row>
        <row r="28">
          <cell r="A28" t="str">
            <v>Growth %</v>
          </cell>
          <cell r="C28">
            <v>-3.3242876526458631E-2</v>
          </cell>
          <cell r="D28">
            <v>2.2105263157894628E-2</v>
          </cell>
          <cell r="E28">
            <v>9.5434260212839073E-2</v>
          </cell>
          <cell r="F28">
            <v>2.0056408649326229E-2</v>
          </cell>
          <cell r="G28">
            <v>4.9155145929339561E-2</v>
          </cell>
          <cell r="H28">
            <v>6.2225475841874101E-2</v>
          </cell>
          <cell r="I28">
            <v>0.15547898001378369</v>
          </cell>
          <cell r="J28">
            <v>7.6020516981787134E-2</v>
          </cell>
          <cell r="K28">
            <v>9.329793471217851E-2</v>
          </cell>
          <cell r="L28">
            <v>6.404843133960747E-2</v>
          </cell>
          <cell r="M28">
            <v>6.5474680495912541E-2</v>
          </cell>
          <cell r="N28">
            <v>6.6955305633778384E-2</v>
          </cell>
          <cell r="O28">
            <v>6.8490226055898829E-2</v>
          </cell>
          <cell r="P28">
            <v>7.0078976695866491E-2</v>
          </cell>
          <cell r="Q28">
            <v>7.1720676487288193E-2</v>
          </cell>
          <cell r="R28">
            <v>3.2701756800545434E-2</v>
          </cell>
          <cell r="S28">
            <v>3.2859308015736444E-2</v>
          </cell>
          <cell r="T28">
            <v>3.301765672496515E-2</v>
          </cell>
        </row>
        <row r="30">
          <cell r="A30" t="str">
            <v>Materials</v>
          </cell>
          <cell r="B30">
            <v>2837</v>
          </cell>
          <cell r="C30">
            <v>2925</v>
          </cell>
          <cell r="D30">
            <v>3041</v>
          </cell>
          <cell r="E30">
            <v>2608</v>
          </cell>
          <cell r="F30">
            <v>2021</v>
          </cell>
          <cell r="G30">
            <v>2951</v>
          </cell>
          <cell r="H30">
            <v>0</v>
          </cell>
          <cell r="I30">
            <v>0</v>
          </cell>
          <cell r="J30">
            <v>2675.1256143605583</v>
          </cell>
          <cell r="K30">
            <v>2866.8547998222607</v>
          </cell>
          <cell r="L30">
            <v>2924.1918958187061</v>
          </cell>
          <cell r="M30">
            <v>2982.6757337350805</v>
          </cell>
          <cell r="N30">
            <v>3042.3292484097819</v>
          </cell>
          <cell r="O30">
            <v>3103.1758333779776</v>
          </cell>
          <cell r="P30">
            <v>3165.2393500455373</v>
          </cell>
          <cell r="Q30">
            <v>3228.5441370464482</v>
          </cell>
          <cell r="R30">
            <v>3293.1150197873772</v>
          </cell>
          <cell r="S30">
            <v>3358.9773201831249</v>
          </cell>
          <cell r="T30">
            <v>3426.1568665867876</v>
          </cell>
        </row>
        <row r="31">
          <cell r="A31" t="str">
            <v>Systems</v>
          </cell>
          <cell r="B31">
            <v>6609</v>
          </cell>
          <cell r="C31">
            <v>7236</v>
          </cell>
          <cell r="D31">
            <v>7394</v>
          </cell>
          <cell r="E31">
            <v>7130</v>
          </cell>
          <cell r="F31">
            <v>5499</v>
          </cell>
          <cell r="G31">
            <v>7203</v>
          </cell>
          <cell r="H31">
            <v>0</v>
          </cell>
          <cell r="I31">
            <v>0</v>
          </cell>
          <cell r="J31">
            <v>8853.8211677455383</v>
          </cell>
          <cell r="K31">
            <v>9619.6215100930567</v>
          </cell>
          <cell r="L31">
            <v>9839.7168202949179</v>
          </cell>
          <cell r="M31">
            <v>9925.3187194949169</v>
          </cell>
          <cell r="N31">
            <v>10013.488675670917</v>
          </cell>
          <cell r="O31">
            <v>10313.893335941046</v>
          </cell>
          <cell r="P31">
            <v>10623.310136019278</v>
          </cell>
          <cell r="Q31">
            <v>10942.009440099857</v>
          </cell>
          <cell r="R31">
            <v>11270.269723302852</v>
          </cell>
          <cell r="S31">
            <v>11608.377815001939</v>
          </cell>
          <cell r="T31">
            <v>11956.629149451996</v>
          </cell>
        </row>
        <row r="32">
          <cell r="A32" t="str">
            <v>Total Materials Science</v>
          </cell>
          <cell r="B32">
            <v>9446</v>
          </cell>
          <cell r="C32">
            <v>10161</v>
          </cell>
          <cell r="D32">
            <v>10435</v>
          </cell>
          <cell r="E32">
            <v>9738</v>
          </cell>
          <cell r="F32">
            <v>7520</v>
          </cell>
          <cell r="G32">
            <v>10154</v>
          </cell>
          <cell r="H32">
            <v>10832</v>
          </cell>
          <cell r="I32">
            <v>11503</v>
          </cell>
          <cell r="J32">
            <v>11543.19385132826</v>
          </cell>
          <cell r="K32">
            <v>12532.359722586758</v>
          </cell>
          <cell r="L32">
            <v>12826.868859418639</v>
          </cell>
          <cell r="M32">
            <v>12989.328640500264</v>
          </cell>
          <cell r="N32">
            <v>13156.901638618478</v>
          </cell>
          <cell r="O32">
            <v>13539.36037202481</v>
          </cell>
          <cell r="P32">
            <v>13933.593150420245</v>
          </cell>
          <cell r="Q32">
            <v>14339.986463279291</v>
          </cell>
          <cell r="R32">
            <v>14758.940423246442</v>
          </cell>
          <cell r="S32">
            <v>15190.869283557162</v>
          </cell>
          <cell r="T32">
            <v>15636.201976563803</v>
          </cell>
        </row>
        <row r="33">
          <cell r="A33" t="str">
            <v>Growth %</v>
          </cell>
          <cell r="C33">
            <v>7.5693415202201964E-2</v>
          </cell>
          <cell r="D33">
            <v>2.6965849817931264E-2</v>
          </cell>
          <cell r="E33">
            <v>-6.6794441782462854E-2</v>
          </cell>
          <cell r="F33">
            <v>-0.22776750872869167</v>
          </cell>
          <cell r="G33">
            <v>0.35026595744680855</v>
          </cell>
          <cell r="H33">
            <v>6.6771715580066893E-2</v>
          </cell>
          <cell r="I33">
            <v>6.1946085672082818E-2</v>
          </cell>
          <cell r="J33">
            <v>3.4942059748117593E-3</v>
          </cell>
          <cell r="K33">
            <v>8.5692563427294033E-2</v>
          </cell>
          <cell r="L33">
            <v>2.3499894940064214E-2</v>
          </cell>
          <cell r="M33">
            <v>1.2665583694833948E-2</v>
          </cell>
          <cell r="N33">
            <v>1.2900820570181493E-2</v>
          </cell>
          <cell r="O33">
            <v>2.9069057739531168E-2</v>
          </cell>
          <cell r="P33">
            <v>2.9117533440501608E-2</v>
          </cell>
          <cell r="Q33">
            <v>2.9166440305226526E-2</v>
          </cell>
          <cell r="R33">
            <v>2.9215784899098374E-2</v>
          </cell>
          <cell r="S33">
            <v>2.9265573809783785E-2</v>
          </cell>
          <cell r="T33">
            <v>2.931581364396818E-2</v>
          </cell>
        </row>
        <row r="35">
          <cell r="A35" t="str">
            <v>Reconciliation</v>
          </cell>
          <cell r="B35">
            <v>1363</v>
          </cell>
          <cell r="C35">
            <v>1371</v>
          </cell>
          <cell r="D35">
            <v>1317</v>
          </cell>
          <cell r="E35">
            <v>1391</v>
          </cell>
          <cell r="F35">
            <v>1150</v>
          </cell>
          <cell r="G35">
            <v>1191</v>
          </cell>
          <cell r="H35">
            <v>1272</v>
          </cell>
          <cell r="I35">
            <v>1262</v>
          </cell>
          <cell r="J35">
            <v>1302.384</v>
          </cell>
          <cell r="K35">
            <v>1344.0602880000001</v>
          </cell>
          <cell r="L35">
            <v>1387.0702172160002</v>
          </cell>
          <cell r="M35">
            <v>1431.4564641669122</v>
          </cell>
          <cell r="N35">
            <v>1477.2630710202534</v>
          </cell>
          <cell r="O35">
            <v>1524.5354892929015</v>
          </cell>
          <cell r="P35">
            <v>1573.3206249502744</v>
          </cell>
          <cell r="Q35">
            <v>1623.6668849486832</v>
          </cell>
          <cell r="R35">
            <v>1675.6242252670411</v>
          </cell>
          <cell r="S35">
            <v>1729.2442004755865</v>
          </cell>
          <cell r="T35">
            <v>1784.5800148908054</v>
          </cell>
        </row>
        <row r="37">
          <cell r="A37" t="str">
            <v>Total Sales</v>
          </cell>
          <cell r="B37">
            <v>24701</v>
          </cell>
          <cell r="C37">
            <v>28956</v>
          </cell>
          <cell r="D37">
            <v>32385</v>
          </cell>
          <cell r="E37">
            <v>32918</v>
          </cell>
          <cell r="F37">
            <v>31168</v>
          </cell>
          <cell r="G37">
            <v>35088</v>
          </cell>
          <cell r="H37">
            <v>36528</v>
          </cell>
          <cell r="I37">
            <v>39760</v>
          </cell>
          <cell r="J37">
            <v>41195.110053662756</v>
          </cell>
          <cell r="K37">
            <v>45385.722338539068</v>
          </cell>
          <cell r="L37">
            <v>47648.961380078537</v>
          </cell>
          <cell r="M37">
            <v>49925.629418313059</v>
          </cell>
          <cell r="N37">
            <v>52536.355185387758</v>
          </cell>
          <cell r="O37">
            <v>54106.910091599741</v>
          </cell>
          <cell r="P37">
            <v>56151.535698609536</v>
          </cell>
          <cell r="Q37">
            <v>58588.268339333903</v>
          </cell>
          <cell r="R37">
            <v>58912.056334426619</v>
          </cell>
          <cell r="S37">
            <v>59874.517671939459</v>
          </cell>
          <cell r="T37">
            <v>61156.109276773728</v>
          </cell>
        </row>
        <row r="38">
          <cell r="A38" t="str">
            <v>Growth %</v>
          </cell>
          <cell r="B38">
            <v>0</v>
          </cell>
          <cell r="C38">
            <v>0.17226023237925592</v>
          </cell>
          <cell r="D38">
            <v>0.11842105263157898</v>
          </cell>
          <cell r="E38">
            <v>1.6458236838042373E-2</v>
          </cell>
          <cell r="F38">
            <v>-5.3162403548210668E-2</v>
          </cell>
          <cell r="G38">
            <v>0.12577002053388098</v>
          </cell>
          <cell r="H38">
            <v>4.1039671682626455E-2</v>
          </cell>
          <cell r="I38">
            <v>8.8480070083223783E-2</v>
          </cell>
          <cell r="J38">
            <v>3.6094317245039198E-2</v>
          </cell>
          <cell r="K38">
            <v>0.10172596406266221</v>
          </cell>
          <cell r="L38">
            <v>4.9866762605597081E-2</v>
          </cell>
          <cell r="M38">
            <v>4.778001392463449E-2</v>
          </cell>
          <cell r="N38">
            <v>5.2292295510190767E-2</v>
          </cell>
          <cell r="O38">
            <v>2.9894630121748644E-2</v>
          </cell>
          <cell r="P38">
            <v>3.7788622627837443E-2</v>
          </cell>
          <cell r="Q38">
            <v>4.3395654462656363E-2</v>
          </cell>
          <cell r="R38">
            <v>5.526498807191027E-3</v>
          </cell>
          <cell r="S38">
            <v>1.63372558589574E-2</v>
          </cell>
          <cell r="T38">
            <v>2.1404625117087184E-2</v>
          </cell>
        </row>
        <row r="48">
          <cell r="B48" t="str">
            <v>FY05A</v>
          </cell>
          <cell r="C48" t="str">
            <v>FY06A</v>
          </cell>
          <cell r="D48" t="str">
            <v>FY07A</v>
          </cell>
          <cell r="E48" t="str">
            <v>FY08A</v>
          </cell>
          <cell r="F48" t="str">
            <v>FY09A</v>
          </cell>
          <cell r="G48" t="str">
            <v>FY10A</v>
          </cell>
          <cell r="H48" t="str">
            <v>FY11A</v>
          </cell>
          <cell r="I48" t="str">
            <v>FY12A</v>
          </cell>
          <cell r="J48" t="str">
            <v>FY13E</v>
          </cell>
          <cell r="K48" t="str">
            <v>FY14E</v>
          </cell>
          <cell r="L48" t="str">
            <v>FY15E</v>
          </cell>
          <cell r="M48" t="str">
            <v>FY16E</v>
          </cell>
          <cell r="N48" t="str">
            <v>FY17E</v>
          </cell>
          <cell r="O48" t="str">
            <v>FY18E</v>
          </cell>
          <cell r="P48" t="str">
            <v>FY19E</v>
          </cell>
          <cell r="Q48" t="str">
            <v>FY20E</v>
          </cell>
        </row>
        <row r="49">
          <cell r="A49" t="str">
            <v>Pharmaceuticals</v>
          </cell>
          <cell r="B49">
            <v>0.16464920448564835</v>
          </cell>
          <cell r="C49">
            <v>0.25825390247271723</v>
          </cell>
          <cell r="D49">
            <v>0.30949513663733208</v>
          </cell>
          <cell r="E49">
            <v>0.30724831399234459</v>
          </cell>
          <cell r="F49">
            <v>0.33582520533880905</v>
          </cell>
          <cell r="G49">
            <v>0.28368673050615595</v>
          </cell>
          <cell r="H49">
            <v>0.27236640385457733</v>
          </cell>
          <cell r="I49">
            <v>0.27170523138832997</v>
          </cell>
          <cell r="J49">
            <v>0.27868649754335117</v>
          </cell>
          <cell r="K49">
            <v>0.28935399708665005</v>
          </cell>
          <cell r="L49">
            <v>0.29665155303373236</v>
          </cell>
          <cell r="M49">
            <v>0.30545910745009819</v>
          </cell>
        </row>
        <row r="50">
          <cell r="A50" t="str">
            <v>Consumer Health</v>
          </cell>
          <cell r="B50">
            <v>0.15906238613821302</v>
          </cell>
          <cell r="C50">
            <v>0.14663627572869181</v>
          </cell>
          <cell r="D50">
            <v>0.14772271113169677</v>
          </cell>
          <cell r="E50">
            <v>0.16079348684610242</v>
          </cell>
          <cell r="F50">
            <v>0.17713680698151951</v>
          </cell>
          <cell r="G50">
            <v>0.19832991336069311</v>
          </cell>
          <cell r="H50">
            <v>0.19765659220324136</v>
          </cell>
          <cell r="I50">
            <v>0.19640342052313883</v>
          </cell>
          <cell r="J50">
            <v>0.19052579933598612</v>
          </cell>
          <cell r="K50">
            <v>0.18761205577618165</v>
          </cell>
          <cell r="L50">
            <v>0.18481817694928612</v>
          </cell>
          <cell r="M50">
            <v>0.18175150913372096</v>
          </cell>
        </row>
        <row r="51">
          <cell r="A51" t="str">
            <v>Cropscience</v>
          </cell>
          <cell r="B51">
            <v>0.23869478968462815</v>
          </cell>
          <cell r="C51">
            <v>0.19685039370078741</v>
          </cell>
          <cell r="D51">
            <v>0.17989810097267253</v>
          </cell>
          <cell r="E51">
            <v>0.19387569111124614</v>
          </cell>
          <cell r="F51">
            <v>0.20886806981519507</v>
          </cell>
          <cell r="G51">
            <v>0.19465344277245783</v>
          </cell>
          <cell r="H51">
            <v>0.19861476127901884</v>
          </cell>
          <cell r="I51">
            <v>0.2108400402414487</v>
          </cell>
          <cell r="J51">
            <v>0.21896482330325287</v>
          </cell>
          <cell r="K51">
            <v>0.21728977704155081</v>
          </cell>
          <cell r="L51">
            <v>0.22022494152817804</v>
          </cell>
          <cell r="M51">
            <v>0.22394404941268919</v>
          </cell>
        </row>
        <row r="52">
          <cell r="A52" t="str">
            <v>Materials Science</v>
          </cell>
          <cell r="B52">
            <v>0.38241366746285577</v>
          </cell>
          <cell r="C52">
            <v>0.35091172813924576</v>
          </cell>
          <cell r="D52">
            <v>0.32221707580670061</v>
          </cell>
          <cell r="E52">
            <v>0.29582599185855762</v>
          </cell>
          <cell r="F52">
            <v>0.24127310061601642</v>
          </cell>
          <cell r="G52">
            <v>0.28938668490652075</v>
          </cell>
          <cell r="H52">
            <v>0.29653964082347789</v>
          </cell>
          <cell r="I52">
            <v>0.2893108651911469</v>
          </cell>
          <cell r="J52">
            <v>0.28020786535808578</v>
          </cell>
          <cell r="K52">
            <v>0.27613000469852533</v>
          </cell>
          <cell r="L52">
            <v>0.26919514062653627</v>
          </cell>
          <cell r="M52">
            <v>0.2601735579869463</v>
          </cell>
        </row>
        <row r="53">
          <cell r="A53" t="str">
            <v>Reconciliation</v>
          </cell>
          <cell r="B53">
            <v>5.5179952228654711E-2</v>
          </cell>
          <cell r="C53">
            <v>4.734769995855781E-2</v>
          </cell>
          <cell r="D53">
            <v>4.0666975451597961E-2</v>
          </cell>
          <cell r="E53">
            <v>4.2256516191749194E-2</v>
          </cell>
          <cell r="F53">
            <v>3.6896817248459959E-2</v>
          </cell>
          <cell r="G53">
            <v>3.3943228454172365E-2</v>
          </cell>
          <cell r="H53">
            <v>3.4822601839684622E-2</v>
          </cell>
          <cell r="I53">
            <v>3.1740442655935612E-2</v>
          </cell>
          <cell r="J53">
            <v>3.1615014459324207E-2</v>
          </cell>
          <cell r="K53">
            <v>2.9614165397092242E-2</v>
          </cell>
          <cell r="L53">
            <v>2.9110187862267187E-2</v>
          </cell>
          <cell r="M53">
            <v>2.8671776016545206E-2</v>
          </cell>
        </row>
      </sheetData>
      <sheetData sheetId="11"/>
      <sheetData sheetId="12">
        <row r="1">
          <cell r="A1" t="str">
            <v>Current Year:</v>
          </cell>
          <cell r="B1">
            <v>2013</v>
          </cell>
          <cell r="C1" t="str">
            <v>Line extension</v>
          </cell>
          <cell r="U1">
            <v>75.199999999999989</v>
          </cell>
        </row>
        <row r="2">
          <cell r="A2" t="str">
            <v>Bayer: Pipeline Model (€ million)</v>
          </cell>
        </row>
        <row r="3">
          <cell r="A3" t="str">
            <v>Product</v>
          </cell>
          <cell r="B3" t="str">
            <v>Indication</v>
          </cell>
          <cell r="C3" t="str">
            <v>Preclin.</v>
          </cell>
          <cell r="D3" t="str">
            <v>I</v>
          </cell>
          <cell r="E3" t="str">
            <v>II</v>
          </cell>
          <cell r="F3" t="str">
            <v>III</v>
          </cell>
          <cell r="G3" t="str">
            <v>Filed</v>
          </cell>
          <cell r="H3" t="str">
            <v>Specialty or Primary Care Mkt</v>
          </cell>
          <cell r="I3" t="str">
            <v>Launch Year</v>
          </cell>
          <cell r="K3" t="str">
            <v>Launch</v>
          </cell>
          <cell r="L3" t="str">
            <v>Success Prob</v>
          </cell>
          <cell r="M3" t="str">
            <v>Peak Sales</v>
          </cell>
          <cell r="N3" t="str">
            <v>Risk Adj Peak Sales</v>
          </cell>
          <cell r="O3">
            <v>2013</v>
          </cell>
          <cell r="P3">
            <v>2014</v>
          </cell>
          <cell r="Q3">
            <v>2015</v>
          </cell>
          <cell r="R3">
            <v>2016</v>
          </cell>
          <cell r="S3">
            <v>2017</v>
          </cell>
          <cell r="T3">
            <v>2018</v>
          </cell>
          <cell r="U3">
            <v>2019</v>
          </cell>
          <cell r="V3">
            <v>2020</v>
          </cell>
          <cell r="W3">
            <v>2021</v>
          </cell>
          <cell r="X3">
            <v>2022</v>
          </cell>
          <cell r="Y3">
            <v>2023</v>
          </cell>
          <cell r="Z3">
            <v>2024</v>
          </cell>
          <cell r="AA3">
            <v>2025</v>
          </cell>
        </row>
        <row r="4">
          <cell r="O4">
            <v>2013</v>
          </cell>
          <cell r="P4">
            <v>2014</v>
          </cell>
          <cell r="Q4">
            <v>2015</v>
          </cell>
          <cell r="R4">
            <v>2016</v>
          </cell>
          <cell r="S4">
            <v>2017</v>
          </cell>
          <cell r="T4">
            <v>2018</v>
          </cell>
          <cell r="U4">
            <v>2019</v>
          </cell>
          <cell r="V4">
            <v>2020</v>
          </cell>
          <cell r="W4">
            <v>2021</v>
          </cell>
          <cell r="X4">
            <v>2022</v>
          </cell>
          <cell r="Y4">
            <v>2023</v>
          </cell>
          <cell r="Z4">
            <v>2024</v>
          </cell>
          <cell r="AA4">
            <v>2025</v>
          </cell>
        </row>
        <row r="5">
          <cell r="A5" t="str">
            <v>Cardiology/Haematology</v>
          </cell>
          <cell r="M5">
            <v>3400</v>
          </cell>
          <cell r="N5">
            <v>1335</v>
          </cell>
          <cell r="O5">
            <v>40</v>
          </cell>
          <cell r="P5">
            <v>190</v>
          </cell>
          <cell r="Q5">
            <v>422.5</v>
          </cell>
          <cell r="R5">
            <v>676.25</v>
          </cell>
          <cell r="S5">
            <v>911.5</v>
          </cell>
          <cell r="T5">
            <v>1055.45</v>
          </cell>
          <cell r="U5">
            <v>1171.8999999999999</v>
          </cell>
          <cell r="V5">
            <v>1233.1000000000001</v>
          </cell>
          <cell r="W5">
            <v>1279.3000000000002</v>
          </cell>
          <cell r="X5">
            <v>1298.3999999999999</v>
          </cell>
          <cell r="Y5">
            <v>1317.5</v>
          </cell>
          <cell r="Z5">
            <v>1324.75</v>
          </cell>
          <cell r="AA5">
            <v>1332</v>
          </cell>
        </row>
        <row r="6">
          <cell r="A6" t="str">
            <v>Rivaroxaban/Xarelto (US)</v>
          </cell>
          <cell r="B6" t="str">
            <v>Secondary prevention of ACS / MI</v>
          </cell>
          <cell r="C6">
            <v>1</v>
          </cell>
          <cell r="D6">
            <v>1</v>
          </cell>
          <cell r="E6">
            <v>1</v>
          </cell>
          <cell r="F6">
            <v>1</v>
          </cell>
          <cell r="G6">
            <v>1</v>
          </cell>
          <cell r="H6" t="str">
            <v>S</v>
          </cell>
          <cell r="I6">
            <v>2013</v>
          </cell>
          <cell r="J6">
            <v>0</v>
          </cell>
          <cell r="K6">
            <v>0</v>
          </cell>
          <cell r="L6">
            <v>0</v>
          </cell>
          <cell r="M6">
            <v>100</v>
          </cell>
          <cell r="N6">
            <v>0</v>
          </cell>
          <cell r="O6">
            <v>0</v>
          </cell>
          <cell r="P6">
            <v>0</v>
          </cell>
          <cell r="Q6">
            <v>0</v>
          </cell>
          <cell r="R6">
            <v>0</v>
          </cell>
          <cell r="S6">
            <v>0</v>
          </cell>
          <cell r="T6">
            <v>0</v>
          </cell>
          <cell r="U6">
            <v>0</v>
          </cell>
          <cell r="V6">
            <v>0</v>
          </cell>
          <cell r="W6">
            <v>0</v>
          </cell>
          <cell r="X6">
            <v>0</v>
          </cell>
          <cell r="Y6">
            <v>0</v>
          </cell>
          <cell r="Z6">
            <v>0</v>
          </cell>
          <cell r="AA6">
            <v>0</v>
          </cell>
          <cell r="AC6">
            <v>1700</v>
          </cell>
        </row>
        <row r="7">
          <cell r="A7" t="str">
            <v>Rivaroxaban/Xarelto</v>
          </cell>
          <cell r="B7" t="str">
            <v>Prevention of major adv cardiac events (MACE)</v>
          </cell>
          <cell r="C7">
            <v>1</v>
          </cell>
          <cell r="D7">
            <v>1</v>
          </cell>
          <cell r="E7">
            <v>1</v>
          </cell>
          <cell r="F7">
            <v>1</v>
          </cell>
          <cell r="H7" t="str">
            <v>S</v>
          </cell>
          <cell r="I7">
            <v>2015</v>
          </cell>
          <cell r="J7">
            <v>0</v>
          </cell>
          <cell r="K7">
            <v>2</v>
          </cell>
          <cell r="L7">
            <v>0.5</v>
          </cell>
          <cell r="M7">
            <v>100</v>
          </cell>
          <cell r="N7">
            <v>50</v>
          </cell>
          <cell r="O7">
            <v>0</v>
          </cell>
          <cell r="P7">
            <v>0</v>
          </cell>
          <cell r="Q7">
            <v>5</v>
          </cell>
          <cell r="R7">
            <v>12.5</v>
          </cell>
          <cell r="S7">
            <v>25</v>
          </cell>
          <cell r="T7">
            <v>37.5</v>
          </cell>
          <cell r="U7">
            <v>45</v>
          </cell>
          <cell r="V7">
            <v>46</v>
          </cell>
          <cell r="W7">
            <v>47</v>
          </cell>
          <cell r="X7">
            <v>48</v>
          </cell>
          <cell r="Y7">
            <v>49</v>
          </cell>
          <cell r="Z7">
            <v>49.5</v>
          </cell>
          <cell r="AA7">
            <v>50</v>
          </cell>
        </row>
        <row r="8">
          <cell r="A8" t="str">
            <v>MR antagonist (BAY 94-8862)</v>
          </cell>
          <cell r="B8" t="str">
            <v>Chronic heart failure</v>
          </cell>
          <cell r="C8">
            <v>1</v>
          </cell>
          <cell r="D8">
            <v>1</v>
          </cell>
          <cell r="E8">
            <v>1</v>
          </cell>
          <cell r="H8" t="str">
            <v>S</v>
          </cell>
          <cell r="I8">
            <v>2017</v>
          </cell>
          <cell r="J8">
            <v>0</v>
          </cell>
          <cell r="K8">
            <v>4</v>
          </cell>
          <cell r="L8">
            <v>0.1</v>
          </cell>
          <cell r="M8">
            <v>500</v>
          </cell>
          <cell r="N8">
            <v>50</v>
          </cell>
          <cell r="O8">
            <v>0</v>
          </cell>
          <cell r="P8">
            <v>0</v>
          </cell>
          <cell r="Q8">
            <v>0</v>
          </cell>
          <cell r="R8">
            <v>0</v>
          </cell>
          <cell r="S8">
            <v>5</v>
          </cell>
          <cell r="T8">
            <v>12.5</v>
          </cell>
          <cell r="U8">
            <v>25</v>
          </cell>
          <cell r="V8">
            <v>37.5</v>
          </cell>
          <cell r="W8">
            <v>45</v>
          </cell>
          <cell r="X8">
            <v>46</v>
          </cell>
          <cell r="Y8">
            <v>47</v>
          </cell>
          <cell r="Z8">
            <v>48</v>
          </cell>
          <cell r="AA8">
            <v>49</v>
          </cell>
        </row>
        <row r="9">
          <cell r="A9" t="str">
            <v>rFVIIa mutein (BAY 86-6150)</v>
          </cell>
          <cell r="B9" t="str">
            <v>Treatment of haemophilia A</v>
          </cell>
          <cell r="C9">
            <v>1</v>
          </cell>
          <cell r="D9">
            <v>1</v>
          </cell>
          <cell r="E9">
            <v>1</v>
          </cell>
          <cell r="F9">
            <v>1</v>
          </cell>
          <cell r="H9" t="str">
            <v>S</v>
          </cell>
          <cell r="I9">
            <v>2015</v>
          </cell>
          <cell r="J9">
            <v>0</v>
          </cell>
          <cell r="K9">
            <v>2</v>
          </cell>
          <cell r="L9">
            <v>0.5</v>
          </cell>
          <cell r="M9">
            <v>250</v>
          </cell>
          <cell r="N9">
            <v>125</v>
          </cell>
          <cell r="O9">
            <v>0</v>
          </cell>
          <cell r="P9">
            <v>0</v>
          </cell>
          <cell r="Q9">
            <v>12.5</v>
          </cell>
          <cell r="R9">
            <v>31.25</v>
          </cell>
          <cell r="S9">
            <v>62.5</v>
          </cell>
          <cell r="T9">
            <v>93.75</v>
          </cell>
          <cell r="U9">
            <v>112.5</v>
          </cell>
          <cell r="V9">
            <v>115</v>
          </cell>
          <cell r="W9">
            <v>117.5</v>
          </cell>
          <cell r="X9">
            <v>120</v>
          </cell>
          <cell r="Y9">
            <v>122.5</v>
          </cell>
          <cell r="Z9">
            <v>123.75</v>
          </cell>
          <cell r="AA9">
            <v>125</v>
          </cell>
        </row>
        <row r="10">
          <cell r="A10" t="str">
            <v>rFVIII mutein (BAY 94-9027)</v>
          </cell>
          <cell r="B10" t="str">
            <v>Treatment of haemophilia A</v>
          </cell>
          <cell r="C10">
            <v>1</v>
          </cell>
          <cell r="D10">
            <v>1</v>
          </cell>
          <cell r="E10">
            <v>1</v>
          </cell>
          <cell r="F10">
            <v>1</v>
          </cell>
          <cell r="H10" t="str">
            <v>S</v>
          </cell>
          <cell r="I10">
            <v>2015</v>
          </cell>
          <cell r="J10">
            <v>0</v>
          </cell>
          <cell r="K10">
            <v>2</v>
          </cell>
          <cell r="L10">
            <v>0.5</v>
          </cell>
          <cell r="M10">
            <v>500</v>
          </cell>
          <cell r="N10">
            <v>250</v>
          </cell>
          <cell r="O10">
            <v>0</v>
          </cell>
          <cell r="P10">
            <v>0</v>
          </cell>
          <cell r="Q10">
            <v>25</v>
          </cell>
          <cell r="R10">
            <v>62.5</v>
          </cell>
          <cell r="S10">
            <v>125</v>
          </cell>
          <cell r="T10">
            <v>187.5</v>
          </cell>
          <cell r="U10">
            <v>225</v>
          </cell>
          <cell r="V10">
            <v>230</v>
          </cell>
          <cell r="W10">
            <v>235</v>
          </cell>
          <cell r="X10">
            <v>240</v>
          </cell>
          <cell r="Y10">
            <v>245</v>
          </cell>
          <cell r="Z10">
            <v>247.5</v>
          </cell>
          <cell r="AA10">
            <v>250</v>
          </cell>
        </row>
        <row r="11">
          <cell r="A11" t="str">
            <v>Kogenate</v>
          </cell>
          <cell r="B11" t="str">
            <v>Prophylaxis of haemophilia A in adults</v>
          </cell>
          <cell r="C11">
            <v>1</v>
          </cell>
          <cell r="D11">
            <v>1</v>
          </cell>
          <cell r="E11">
            <v>1</v>
          </cell>
          <cell r="F11">
            <v>1</v>
          </cell>
          <cell r="G11">
            <v>1</v>
          </cell>
          <cell r="H11" t="str">
            <v>S</v>
          </cell>
          <cell r="I11">
            <v>2013</v>
          </cell>
          <cell r="J11">
            <v>0</v>
          </cell>
          <cell r="K11">
            <v>0</v>
          </cell>
          <cell r="L11">
            <v>0.8</v>
          </cell>
          <cell r="M11">
            <v>50</v>
          </cell>
          <cell r="N11">
            <v>40</v>
          </cell>
          <cell r="O11">
            <v>4</v>
          </cell>
          <cell r="P11">
            <v>10</v>
          </cell>
          <cell r="Q11">
            <v>20</v>
          </cell>
          <cell r="R11">
            <v>30</v>
          </cell>
          <cell r="S11">
            <v>36</v>
          </cell>
          <cell r="T11">
            <v>36.800000000000004</v>
          </cell>
          <cell r="U11">
            <v>37.599999999999994</v>
          </cell>
          <cell r="V11">
            <v>38.4</v>
          </cell>
          <cell r="W11">
            <v>39.200000000000003</v>
          </cell>
          <cell r="X11">
            <v>39.6</v>
          </cell>
          <cell r="Y11">
            <v>40</v>
          </cell>
          <cell r="Z11">
            <v>40</v>
          </cell>
          <cell r="AA11">
            <v>40</v>
          </cell>
        </row>
        <row r="12">
          <cell r="A12" t="str">
            <v>Riociguat</v>
          </cell>
          <cell r="B12" t="str">
            <v>PAH (US)</v>
          </cell>
          <cell r="C12">
            <v>1</v>
          </cell>
          <cell r="D12">
            <v>1</v>
          </cell>
          <cell r="E12">
            <v>1</v>
          </cell>
          <cell r="F12">
            <v>1</v>
          </cell>
          <cell r="G12">
            <v>1</v>
          </cell>
          <cell r="H12" t="str">
            <v>S</v>
          </cell>
          <cell r="I12">
            <v>2013</v>
          </cell>
          <cell r="J12">
            <v>0</v>
          </cell>
          <cell r="K12">
            <v>0</v>
          </cell>
          <cell r="L12">
            <v>0.8</v>
          </cell>
          <cell r="M12">
            <v>500</v>
          </cell>
          <cell r="N12">
            <v>400</v>
          </cell>
          <cell r="O12">
            <v>20</v>
          </cell>
          <cell r="P12">
            <v>100</v>
          </cell>
          <cell r="Q12">
            <v>200</v>
          </cell>
          <cell r="R12">
            <v>300</v>
          </cell>
          <cell r="S12">
            <v>360</v>
          </cell>
          <cell r="T12">
            <v>368</v>
          </cell>
          <cell r="U12">
            <v>376</v>
          </cell>
          <cell r="V12">
            <v>384</v>
          </cell>
          <cell r="W12">
            <v>392</v>
          </cell>
          <cell r="X12">
            <v>396</v>
          </cell>
          <cell r="Y12">
            <v>400</v>
          </cell>
          <cell r="Z12">
            <v>400</v>
          </cell>
          <cell r="AA12">
            <v>400</v>
          </cell>
        </row>
        <row r="13">
          <cell r="A13" t="str">
            <v>Riociguat</v>
          </cell>
          <cell r="B13" t="str">
            <v>PAH (ex US)</v>
          </cell>
          <cell r="C13">
            <v>1</v>
          </cell>
          <cell r="D13">
            <v>1</v>
          </cell>
          <cell r="E13">
            <v>1</v>
          </cell>
          <cell r="F13">
            <v>1</v>
          </cell>
          <cell r="G13">
            <v>1</v>
          </cell>
          <cell r="H13" t="str">
            <v>S</v>
          </cell>
          <cell r="I13">
            <v>2013</v>
          </cell>
          <cell r="J13">
            <v>0</v>
          </cell>
          <cell r="K13">
            <v>0</v>
          </cell>
          <cell r="L13">
            <v>0.8</v>
          </cell>
          <cell r="M13">
            <v>250</v>
          </cell>
          <cell r="N13">
            <v>200</v>
          </cell>
          <cell r="O13">
            <v>10</v>
          </cell>
          <cell r="P13">
            <v>50</v>
          </cell>
          <cell r="Q13">
            <v>100</v>
          </cell>
          <cell r="R13">
            <v>150</v>
          </cell>
          <cell r="S13">
            <v>180</v>
          </cell>
          <cell r="T13">
            <v>184</v>
          </cell>
          <cell r="U13">
            <v>188</v>
          </cell>
          <cell r="V13">
            <v>192</v>
          </cell>
          <cell r="W13">
            <v>196</v>
          </cell>
          <cell r="X13">
            <v>198</v>
          </cell>
          <cell r="Y13">
            <v>200</v>
          </cell>
          <cell r="Z13">
            <v>200</v>
          </cell>
          <cell r="AA13">
            <v>200</v>
          </cell>
        </row>
        <row r="14">
          <cell r="A14" t="str">
            <v>Riociguat</v>
          </cell>
          <cell r="B14" t="str">
            <v>CTEPH (US)</v>
          </cell>
          <cell r="C14">
            <v>1</v>
          </cell>
          <cell r="D14">
            <v>1</v>
          </cell>
          <cell r="E14">
            <v>1</v>
          </cell>
          <cell r="F14">
            <v>1</v>
          </cell>
          <cell r="G14">
            <v>1</v>
          </cell>
          <cell r="H14" t="str">
            <v>S</v>
          </cell>
          <cell r="I14">
            <v>2013</v>
          </cell>
          <cell r="J14">
            <v>0</v>
          </cell>
          <cell r="K14">
            <v>0</v>
          </cell>
          <cell r="L14">
            <v>0.8</v>
          </cell>
          <cell r="M14">
            <v>100</v>
          </cell>
          <cell r="N14">
            <v>80</v>
          </cell>
          <cell r="O14">
            <v>4</v>
          </cell>
          <cell r="P14">
            <v>20</v>
          </cell>
          <cell r="Q14">
            <v>40</v>
          </cell>
          <cell r="R14">
            <v>60</v>
          </cell>
          <cell r="S14">
            <v>72</v>
          </cell>
          <cell r="T14">
            <v>73.600000000000009</v>
          </cell>
          <cell r="U14">
            <v>75.199999999999989</v>
          </cell>
          <cell r="V14">
            <v>76.8</v>
          </cell>
          <cell r="W14">
            <v>78.400000000000006</v>
          </cell>
          <cell r="X14">
            <v>79.2</v>
          </cell>
          <cell r="Y14">
            <v>80</v>
          </cell>
          <cell r="Z14">
            <v>80</v>
          </cell>
          <cell r="AA14">
            <v>80</v>
          </cell>
        </row>
        <row r="15">
          <cell r="A15" t="str">
            <v>Riociguat</v>
          </cell>
          <cell r="B15" t="str">
            <v>CTEPH (ex US)</v>
          </cell>
          <cell r="C15">
            <v>1</v>
          </cell>
          <cell r="D15">
            <v>1</v>
          </cell>
          <cell r="E15">
            <v>1</v>
          </cell>
          <cell r="F15">
            <v>1</v>
          </cell>
          <cell r="G15">
            <v>1</v>
          </cell>
          <cell r="H15" t="str">
            <v>S</v>
          </cell>
          <cell r="I15">
            <v>2013</v>
          </cell>
          <cell r="J15">
            <v>0</v>
          </cell>
          <cell r="K15">
            <v>0</v>
          </cell>
          <cell r="L15">
            <v>0.8</v>
          </cell>
          <cell r="M15">
            <v>50</v>
          </cell>
          <cell r="N15">
            <v>40</v>
          </cell>
          <cell r="O15">
            <v>2</v>
          </cell>
          <cell r="P15">
            <v>10</v>
          </cell>
          <cell r="Q15">
            <v>20</v>
          </cell>
          <cell r="R15">
            <v>30</v>
          </cell>
          <cell r="S15">
            <v>36</v>
          </cell>
          <cell r="T15">
            <v>36.800000000000004</v>
          </cell>
          <cell r="U15">
            <v>37.599999999999994</v>
          </cell>
          <cell r="V15">
            <v>38.4</v>
          </cell>
          <cell r="W15">
            <v>39.200000000000003</v>
          </cell>
          <cell r="X15">
            <v>39.6</v>
          </cell>
          <cell r="Y15">
            <v>40</v>
          </cell>
          <cell r="Z15">
            <v>40</v>
          </cell>
          <cell r="AA15">
            <v>40</v>
          </cell>
        </row>
        <row r="16">
          <cell r="A16" t="str">
            <v>Riociguat</v>
          </cell>
          <cell r="B16" t="str">
            <v>PH</v>
          </cell>
          <cell r="C16">
            <v>1</v>
          </cell>
          <cell r="D16">
            <v>1</v>
          </cell>
          <cell r="E16">
            <v>1</v>
          </cell>
          <cell r="H16" t="str">
            <v>S</v>
          </cell>
          <cell r="I16">
            <v>2017</v>
          </cell>
          <cell r="J16">
            <v>0</v>
          </cell>
          <cell r="K16">
            <v>4</v>
          </cell>
          <cell r="L16">
            <v>0.1</v>
          </cell>
          <cell r="M16">
            <v>1000</v>
          </cell>
          <cell r="N16">
            <v>100</v>
          </cell>
          <cell r="O16">
            <v>0</v>
          </cell>
          <cell r="P16">
            <v>0</v>
          </cell>
          <cell r="Q16">
            <v>0</v>
          </cell>
          <cell r="R16">
            <v>0</v>
          </cell>
          <cell r="S16">
            <v>10</v>
          </cell>
          <cell r="T16">
            <v>25</v>
          </cell>
          <cell r="U16">
            <v>50</v>
          </cell>
          <cell r="V16">
            <v>75</v>
          </cell>
          <cell r="W16">
            <v>90</v>
          </cell>
          <cell r="X16">
            <v>92</v>
          </cell>
          <cell r="Y16">
            <v>94</v>
          </cell>
          <cell r="Z16">
            <v>96</v>
          </cell>
          <cell r="AA16">
            <v>98</v>
          </cell>
        </row>
        <row r="17">
          <cell r="A17" t="str">
            <v>Part. Aden. A1 agonist (BAY1067197)</v>
          </cell>
          <cell r="B17" t="str">
            <v>Heart failure</v>
          </cell>
          <cell r="C17">
            <v>1</v>
          </cell>
          <cell r="D17">
            <v>1</v>
          </cell>
          <cell r="H17" t="str">
            <v>S</v>
          </cell>
          <cell r="I17">
            <v>2018</v>
          </cell>
          <cell r="J17">
            <v>0</v>
          </cell>
          <cell r="K17">
            <v>5</v>
          </cell>
          <cell r="L17">
            <v>0.05</v>
          </cell>
          <cell r="M17">
            <v>100</v>
          </cell>
          <cell r="N17">
            <v>5</v>
          </cell>
          <cell r="O17">
            <v>0</v>
          </cell>
          <cell r="P17">
            <v>0</v>
          </cell>
          <cell r="Q17">
            <v>0</v>
          </cell>
          <cell r="R17">
            <v>0</v>
          </cell>
          <cell r="S17">
            <v>0</v>
          </cell>
          <cell r="T17">
            <v>0.5</v>
          </cell>
          <cell r="U17">
            <v>1.25</v>
          </cell>
          <cell r="V17">
            <v>2.5</v>
          </cell>
          <cell r="W17">
            <v>3.75</v>
          </cell>
          <cell r="X17">
            <v>4.5</v>
          </cell>
          <cell r="Y17">
            <v>4.6000000000000005</v>
          </cell>
          <cell r="Z17">
            <v>4.6999999999999993</v>
          </cell>
          <cell r="AA17">
            <v>4.8</v>
          </cell>
        </row>
        <row r="18">
          <cell r="A18" t="str">
            <v>Vasopr. Rec. Antag. (BAY 86-8050)</v>
          </cell>
          <cell r="B18" t="str">
            <v>Heart failure</v>
          </cell>
          <cell r="C18">
            <v>1</v>
          </cell>
          <cell r="D18">
            <v>1</v>
          </cell>
          <cell r="H18" t="str">
            <v>S</v>
          </cell>
          <cell r="I18">
            <v>2018</v>
          </cell>
          <cell r="J18">
            <v>0</v>
          </cell>
          <cell r="K18">
            <v>5</v>
          </cell>
          <cell r="L18">
            <v>0.05</v>
          </cell>
          <cell r="M18">
            <v>100</v>
          </cell>
          <cell r="N18">
            <v>5</v>
          </cell>
          <cell r="O18">
            <v>0</v>
          </cell>
          <cell r="P18">
            <v>0</v>
          </cell>
          <cell r="Q18">
            <v>0</v>
          </cell>
          <cell r="R18">
            <v>0</v>
          </cell>
          <cell r="S18">
            <v>0</v>
          </cell>
          <cell r="T18">
            <v>0.5</v>
          </cell>
          <cell r="U18">
            <v>1.25</v>
          </cell>
          <cell r="V18">
            <v>2.5</v>
          </cell>
          <cell r="W18">
            <v>3.75</v>
          </cell>
          <cell r="X18">
            <v>4.5</v>
          </cell>
          <cell r="Y18">
            <v>4.6000000000000005</v>
          </cell>
          <cell r="Z18">
            <v>4.6999999999999993</v>
          </cell>
          <cell r="AA18">
            <v>4.8</v>
          </cell>
        </row>
        <row r="19">
          <cell r="A19" t="str">
            <v>sGC Stimulator (BAY 1021189)</v>
          </cell>
          <cell r="B19" t="str">
            <v>Heart failure</v>
          </cell>
          <cell r="C19">
            <v>1</v>
          </cell>
          <cell r="D19">
            <v>1</v>
          </cell>
          <cell r="H19" t="str">
            <v>S</v>
          </cell>
          <cell r="I19">
            <v>2018</v>
          </cell>
          <cell r="J19">
            <v>0</v>
          </cell>
          <cell r="K19">
            <v>5</v>
          </cell>
          <cell r="L19">
            <v>0.05</v>
          </cell>
          <cell r="M19">
            <v>100</v>
          </cell>
          <cell r="N19">
            <v>5</v>
          </cell>
          <cell r="O19">
            <v>0</v>
          </cell>
          <cell r="P19">
            <v>0</v>
          </cell>
          <cell r="Q19">
            <v>0</v>
          </cell>
          <cell r="R19">
            <v>0</v>
          </cell>
          <cell r="S19">
            <v>0</v>
          </cell>
          <cell r="T19">
            <v>0.5</v>
          </cell>
          <cell r="U19">
            <v>1.25</v>
          </cell>
          <cell r="V19">
            <v>2.5</v>
          </cell>
          <cell r="W19">
            <v>3.75</v>
          </cell>
          <cell r="X19">
            <v>4.5</v>
          </cell>
          <cell r="Y19">
            <v>4.6000000000000005</v>
          </cell>
          <cell r="Z19">
            <v>4.6999999999999993</v>
          </cell>
          <cell r="AA19">
            <v>4.8</v>
          </cell>
        </row>
        <row r="20">
          <cell r="A20" t="str">
            <v>HIF-PH (BAY 85-3934)</v>
          </cell>
          <cell r="B20" t="str">
            <v>Anaemia</v>
          </cell>
          <cell r="C20">
            <v>1</v>
          </cell>
          <cell r="D20">
            <v>1</v>
          </cell>
          <cell r="H20" t="str">
            <v>S</v>
          </cell>
          <cell r="I20">
            <v>2018</v>
          </cell>
          <cell r="J20">
            <v>0</v>
          </cell>
          <cell r="K20">
            <v>5</v>
          </cell>
          <cell r="L20">
            <v>0.05</v>
          </cell>
          <cell r="M20">
            <v>100</v>
          </cell>
          <cell r="N20">
            <v>5</v>
          </cell>
          <cell r="O20">
            <v>0</v>
          </cell>
          <cell r="P20">
            <v>0</v>
          </cell>
          <cell r="Q20">
            <v>0</v>
          </cell>
          <cell r="R20">
            <v>0</v>
          </cell>
          <cell r="S20">
            <v>0</v>
          </cell>
          <cell r="T20">
            <v>0.5</v>
          </cell>
          <cell r="U20">
            <v>1.25</v>
          </cell>
          <cell r="V20">
            <v>2.5</v>
          </cell>
          <cell r="W20">
            <v>3.75</v>
          </cell>
          <cell r="X20">
            <v>4.5</v>
          </cell>
          <cell r="Y20">
            <v>4.6000000000000005</v>
          </cell>
          <cell r="Z20">
            <v>4.6999999999999993</v>
          </cell>
          <cell r="AA20">
            <v>4.8</v>
          </cell>
        </row>
        <row r="21">
          <cell r="A21" t="str">
            <v>Women's Health</v>
          </cell>
          <cell r="M21">
            <v>300</v>
          </cell>
          <cell r="N21">
            <v>195</v>
          </cell>
          <cell r="O21">
            <v>12</v>
          </cell>
          <cell r="P21">
            <v>30</v>
          </cell>
          <cell r="Q21">
            <v>67.5</v>
          </cell>
          <cell r="R21">
            <v>108.75</v>
          </cell>
          <cell r="S21">
            <v>145.5</v>
          </cell>
          <cell r="T21">
            <v>166.65000000000003</v>
          </cell>
          <cell r="U21">
            <v>180.29999999999998</v>
          </cell>
          <cell r="V21">
            <v>184.2</v>
          </cell>
          <cell r="W21">
            <v>188.10000000000002</v>
          </cell>
          <cell r="X21">
            <v>190.8</v>
          </cell>
          <cell r="Y21">
            <v>193.5</v>
          </cell>
          <cell r="Z21">
            <v>194.25</v>
          </cell>
          <cell r="AA21">
            <v>195</v>
          </cell>
        </row>
        <row r="22">
          <cell r="A22" t="str">
            <v>YAZ flex (US)</v>
          </cell>
          <cell r="B22" t="str">
            <v>Fertility control (flexible dose + folic acid)</v>
          </cell>
          <cell r="C22">
            <v>1</v>
          </cell>
          <cell r="D22">
            <v>1</v>
          </cell>
          <cell r="E22">
            <v>1</v>
          </cell>
          <cell r="F22">
            <v>1</v>
          </cell>
          <cell r="G22">
            <v>1</v>
          </cell>
          <cell r="H22" t="str">
            <v>PC</v>
          </cell>
          <cell r="I22">
            <v>2013</v>
          </cell>
          <cell r="J22">
            <v>4</v>
          </cell>
          <cell r="K22">
            <v>0</v>
          </cell>
          <cell r="L22">
            <v>0.8</v>
          </cell>
          <cell r="M22">
            <v>50</v>
          </cell>
          <cell r="N22">
            <v>40</v>
          </cell>
          <cell r="O22">
            <v>4</v>
          </cell>
          <cell r="P22">
            <v>10</v>
          </cell>
          <cell r="Q22">
            <v>20</v>
          </cell>
          <cell r="R22">
            <v>30</v>
          </cell>
          <cell r="S22">
            <v>36</v>
          </cell>
          <cell r="T22">
            <v>36.800000000000004</v>
          </cell>
          <cell r="U22">
            <v>37.599999999999994</v>
          </cell>
          <cell r="V22">
            <v>38.4</v>
          </cell>
          <cell r="W22">
            <v>39.200000000000003</v>
          </cell>
          <cell r="X22">
            <v>39.6</v>
          </cell>
          <cell r="Y22">
            <v>40</v>
          </cell>
          <cell r="Z22">
            <v>40</v>
          </cell>
          <cell r="AA22">
            <v>40</v>
          </cell>
        </row>
        <row r="23">
          <cell r="A23" t="str">
            <v>LCS-16 (yr duration of use)</v>
          </cell>
          <cell r="B23" t="str">
            <v>Intrauterine fertility control</v>
          </cell>
          <cell r="C23">
            <v>1</v>
          </cell>
          <cell r="D23">
            <v>1</v>
          </cell>
          <cell r="E23">
            <v>1</v>
          </cell>
          <cell r="F23">
            <v>1</v>
          </cell>
          <cell r="H23" t="str">
            <v>PC</v>
          </cell>
          <cell r="I23">
            <v>2015</v>
          </cell>
          <cell r="J23">
            <v>4</v>
          </cell>
          <cell r="K23">
            <v>2</v>
          </cell>
          <cell r="L23">
            <v>0.5</v>
          </cell>
          <cell r="M23">
            <v>50</v>
          </cell>
          <cell r="N23">
            <v>25</v>
          </cell>
          <cell r="O23">
            <v>0</v>
          </cell>
          <cell r="P23">
            <v>0</v>
          </cell>
          <cell r="Q23">
            <v>2.5</v>
          </cell>
          <cell r="R23">
            <v>6.25</v>
          </cell>
          <cell r="S23">
            <v>12.5</v>
          </cell>
          <cell r="T23">
            <v>18.75</v>
          </cell>
          <cell r="U23">
            <v>22.5</v>
          </cell>
          <cell r="V23">
            <v>23</v>
          </cell>
          <cell r="W23">
            <v>23.5</v>
          </cell>
          <cell r="X23">
            <v>24</v>
          </cell>
          <cell r="Y23">
            <v>24.5</v>
          </cell>
          <cell r="Z23">
            <v>24.75</v>
          </cell>
          <cell r="AA23">
            <v>25</v>
          </cell>
        </row>
        <row r="24">
          <cell r="A24" t="str">
            <v>Prasterone/Vaginorm</v>
          </cell>
          <cell r="B24" t="str">
            <v>Treatment of vulvovaginal atrophy</v>
          </cell>
          <cell r="C24">
            <v>1</v>
          </cell>
          <cell r="D24">
            <v>1</v>
          </cell>
          <cell r="E24">
            <v>1</v>
          </cell>
          <cell r="F24">
            <v>1</v>
          </cell>
          <cell r="H24" t="str">
            <v>PC</v>
          </cell>
          <cell r="I24">
            <v>2015</v>
          </cell>
          <cell r="J24">
            <v>4</v>
          </cell>
          <cell r="K24">
            <v>2</v>
          </cell>
          <cell r="L24">
            <v>0.5</v>
          </cell>
          <cell r="M24">
            <v>100</v>
          </cell>
          <cell r="N24">
            <v>50</v>
          </cell>
          <cell r="O24">
            <v>0</v>
          </cell>
          <cell r="P24">
            <v>0</v>
          </cell>
          <cell r="Q24">
            <v>5</v>
          </cell>
          <cell r="R24">
            <v>12.5</v>
          </cell>
          <cell r="S24">
            <v>25</v>
          </cell>
          <cell r="T24">
            <v>37.5</v>
          </cell>
          <cell r="U24">
            <v>45</v>
          </cell>
          <cell r="V24">
            <v>46</v>
          </cell>
          <cell r="W24">
            <v>47</v>
          </cell>
          <cell r="X24">
            <v>48</v>
          </cell>
          <cell r="Y24">
            <v>49</v>
          </cell>
          <cell r="Z24">
            <v>49.5</v>
          </cell>
          <cell r="AA24">
            <v>50</v>
          </cell>
        </row>
        <row r="25">
          <cell r="A25" t="str">
            <v>FC Patch Low (EU)</v>
          </cell>
          <cell r="B25" t="str">
            <v>Fertility control</v>
          </cell>
          <cell r="C25">
            <v>1</v>
          </cell>
          <cell r="D25">
            <v>1</v>
          </cell>
          <cell r="E25">
            <v>1</v>
          </cell>
          <cell r="F25">
            <v>1</v>
          </cell>
          <cell r="G25">
            <v>1</v>
          </cell>
          <cell r="H25" t="str">
            <v>PC</v>
          </cell>
          <cell r="I25">
            <v>2013</v>
          </cell>
          <cell r="J25">
            <v>4</v>
          </cell>
          <cell r="K25">
            <v>0</v>
          </cell>
          <cell r="L25">
            <v>0.8</v>
          </cell>
          <cell r="M25">
            <v>100</v>
          </cell>
          <cell r="N25">
            <v>80</v>
          </cell>
          <cell r="O25">
            <v>8</v>
          </cell>
          <cell r="P25">
            <v>20</v>
          </cell>
          <cell r="Q25">
            <v>40</v>
          </cell>
          <cell r="R25">
            <v>60</v>
          </cell>
          <cell r="S25">
            <v>72</v>
          </cell>
          <cell r="T25">
            <v>73.600000000000009</v>
          </cell>
          <cell r="U25">
            <v>75.199999999999989</v>
          </cell>
          <cell r="V25">
            <v>76.8</v>
          </cell>
          <cell r="W25">
            <v>78.400000000000006</v>
          </cell>
          <cell r="X25">
            <v>79.2</v>
          </cell>
          <cell r="Y25">
            <v>80</v>
          </cell>
          <cell r="Z25">
            <v>80</v>
          </cell>
          <cell r="AA25">
            <v>80</v>
          </cell>
        </row>
        <row r="26">
          <cell r="A26" t="str">
            <v>BAY 1026153</v>
          </cell>
          <cell r="B26" t="str">
            <v>Endometriosis</v>
          </cell>
          <cell r="C26">
            <v>1</v>
          </cell>
          <cell r="D26">
            <v>1</v>
          </cell>
          <cell r="H26" t="str">
            <v>PC</v>
          </cell>
          <cell r="I26">
            <v>2019</v>
          </cell>
          <cell r="J26">
            <v>4</v>
          </cell>
          <cell r="K26">
            <v>6</v>
          </cell>
          <cell r="L26">
            <v>0.05</v>
          </cell>
          <cell r="M26">
            <v>100</v>
          </cell>
          <cell r="N26">
            <v>5</v>
          </cell>
          <cell r="O26">
            <v>0</v>
          </cell>
          <cell r="P26">
            <v>0</v>
          </cell>
          <cell r="Q26">
            <v>0</v>
          </cell>
          <cell r="R26">
            <v>0</v>
          </cell>
          <cell r="S26">
            <v>0</v>
          </cell>
          <cell r="T26">
            <v>0</v>
          </cell>
          <cell r="U26">
            <v>0.5</v>
          </cell>
          <cell r="V26">
            <v>1.25</v>
          </cell>
          <cell r="W26">
            <v>2.5</v>
          </cell>
          <cell r="X26">
            <v>3.75</v>
          </cell>
          <cell r="Y26">
            <v>4.5</v>
          </cell>
          <cell r="Z26">
            <v>4.6000000000000005</v>
          </cell>
          <cell r="AA26">
            <v>4.6999999999999993</v>
          </cell>
        </row>
        <row r="27">
          <cell r="A27" t="str">
            <v>S-PRAnt (BAY 1002670)</v>
          </cell>
          <cell r="B27" t="str">
            <v>Sympt. Uterine Fibroids</v>
          </cell>
          <cell r="C27">
            <v>1</v>
          </cell>
          <cell r="D27">
            <v>1</v>
          </cell>
          <cell r="H27" t="str">
            <v>PC</v>
          </cell>
          <cell r="I27">
            <v>2019</v>
          </cell>
          <cell r="J27">
            <v>4</v>
          </cell>
          <cell r="K27">
            <v>6</v>
          </cell>
          <cell r="L27">
            <v>0.05</v>
          </cell>
          <cell r="M27">
            <v>100</v>
          </cell>
          <cell r="N27">
            <v>5</v>
          </cell>
          <cell r="O27">
            <v>0</v>
          </cell>
          <cell r="P27">
            <v>0</v>
          </cell>
          <cell r="Q27">
            <v>0</v>
          </cell>
          <cell r="R27">
            <v>0</v>
          </cell>
          <cell r="S27">
            <v>0</v>
          </cell>
          <cell r="T27">
            <v>0</v>
          </cell>
          <cell r="U27">
            <v>0.5</v>
          </cell>
          <cell r="V27">
            <v>1.25</v>
          </cell>
          <cell r="W27">
            <v>2.5</v>
          </cell>
          <cell r="X27">
            <v>3.75</v>
          </cell>
          <cell r="Y27">
            <v>4.5</v>
          </cell>
          <cell r="Z27">
            <v>4.6000000000000005</v>
          </cell>
          <cell r="AA27">
            <v>4.6999999999999993</v>
          </cell>
        </row>
        <row r="28">
          <cell r="A28" t="str">
            <v>Specialised Therapeutics</v>
          </cell>
          <cell r="M28">
            <v>865</v>
          </cell>
          <cell r="N28">
            <v>520</v>
          </cell>
          <cell r="O28">
            <v>19.5</v>
          </cell>
          <cell r="P28">
            <v>267.30670103092785</v>
          </cell>
          <cell r="Q28">
            <v>130</v>
          </cell>
          <cell r="R28">
            <v>227.5</v>
          </cell>
          <cell r="S28">
            <v>775.11340206185571</v>
          </cell>
          <cell r="T28">
            <v>423.15000000000003</v>
          </cell>
          <cell r="U28">
            <v>475.79999999999995</v>
          </cell>
          <cell r="V28">
            <v>1228.4680412371135</v>
          </cell>
          <cell r="W28">
            <v>383.9</v>
          </cell>
          <cell r="X28">
            <v>391.2</v>
          </cell>
          <cell r="Y28">
            <v>398.5</v>
          </cell>
          <cell r="Z28">
            <v>401.75</v>
          </cell>
          <cell r="AA28">
            <v>405</v>
          </cell>
        </row>
        <row r="29">
          <cell r="A29" t="str">
            <v>Aflibercept/Eylea (EU/Japan)</v>
          </cell>
          <cell r="B29" t="str">
            <v>CRVO</v>
          </cell>
          <cell r="C29">
            <v>1</v>
          </cell>
          <cell r="D29">
            <v>1</v>
          </cell>
          <cell r="E29">
            <v>1</v>
          </cell>
          <cell r="F29">
            <v>1</v>
          </cell>
          <cell r="G29">
            <v>1</v>
          </cell>
          <cell r="H29" t="str">
            <v>S</v>
          </cell>
          <cell r="I29">
            <v>2013</v>
          </cell>
          <cell r="J29">
            <v>0</v>
          </cell>
          <cell r="K29">
            <v>0</v>
          </cell>
          <cell r="L29">
            <v>0.8</v>
          </cell>
          <cell r="M29">
            <v>100</v>
          </cell>
          <cell r="N29">
            <v>80</v>
          </cell>
          <cell r="O29">
            <v>8</v>
          </cell>
          <cell r="P29">
            <v>20</v>
          </cell>
          <cell r="Q29">
            <v>40</v>
          </cell>
          <cell r="R29">
            <v>60</v>
          </cell>
          <cell r="S29">
            <v>72</v>
          </cell>
          <cell r="T29">
            <v>73.600000000000009</v>
          </cell>
          <cell r="U29">
            <v>75.199999999999989</v>
          </cell>
          <cell r="V29">
            <v>76.8</v>
          </cell>
          <cell r="W29">
            <v>78.400000000000006</v>
          </cell>
          <cell r="X29">
            <v>79.2</v>
          </cell>
          <cell r="Y29">
            <v>80</v>
          </cell>
          <cell r="Z29">
            <v>80</v>
          </cell>
          <cell r="AA29">
            <v>80</v>
          </cell>
          <cell r="AC29">
            <v>175.20000000000002</v>
          </cell>
        </row>
        <row r="30">
          <cell r="A30" t="str">
            <v xml:space="preserve">Aflibercept/Eylea </v>
          </cell>
          <cell r="B30" t="str">
            <v>Treatment of diabetic macular edema (DME)</v>
          </cell>
          <cell r="C30">
            <v>1</v>
          </cell>
          <cell r="D30">
            <v>1</v>
          </cell>
          <cell r="E30">
            <v>1</v>
          </cell>
          <cell r="F30">
            <v>1</v>
          </cell>
          <cell r="H30" t="str">
            <v>S</v>
          </cell>
          <cell r="I30">
            <v>2015</v>
          </cell>
          <cell r="J30">
            <v>0</v>
          </cell>
          <cell r="K30">
            <v>2</v>
          </cell>
          <cell r="L30">
            <v>0.5</v>
          </cell>
          <cell r="M30">
            <v>250</v>
          </cell>
          <cell r="N30">
            <v>125</v>
          </cell>
          <cell r="O30">
            <v>0</v>
          </cell>
          <cell r="P30">
            <v>0</v>
          </cell>
          <cell r="Q30">
            <v>12.5</v>
          </cell>
          <cell r="R30">
            <v>31.25</v>
          </cell>
          <cell r="S30">
            <v>62.5</v>
          </cell>
          <cell r="T30">
            <v>93.75</v>
          </cell>
          <cell r="U30">
            <v>112.5</v>
          </cell>
          <cell r="V30">
            <v>115</v>
          </cell>
          <cell r="W30">
            <v>117.5</v>
          </cell>
          <cell r="X30">
            <v>120</v>
          </cell>
          <cell r="Y30">
            <v>122.5</v>
          </cell>
          <cell r="Z30">
            <v>123.75</v>
          </cell>
          <cell r="AA30">
            <v>125</v>
          </cell>
        </row>
        <row r="31">
          <cell r="A31" t="str">
            <v xml:space="preserve">Aflibercept/Eylea </v>
          </cell>
          <cell r="B31" t="str">
            <v>Prevention of abnormal retinal angiogenesis post pathological myopia</v>
          </cell>
          <cell r="C31">
            <v>1</v>
          </cell>
          <cell r="D31">
            <v>1</v>
          </cell>
          <cell r="E31">
            <v>1</v>
          </cell>
          <cell r="F31">
            <v>1</v>
          </cell>
          <cell r="H31" t="str">
            <v>S</v>
          </cell>
          <cell r="I31">
            <v>2015</v>
          </cell>
          <cell r="J31">
            <v>0</v>
          </cell>
          <cell r="K31">
            <v>2</v>
          </cell>
          <cell r="L31">
            <v>0.5</v>
          </cell>
          <cell r="M31">
            <v>50</v>
          </cell>
          <cell r="N31">
            <v>25</v>
          </cell>
          <cell r="O31">
            <v>0</v>
          </cell>
          <cell r="P31">
            <v>0</v>
          </cell>
          <cell r="Q31">
            <v>2.5</v>
          </cell>
          <cell r="R31">
            <v>6.25</v>
          </cell>
          <cell r="S31">
            <v>12.5</v>
          </cell>
          <cell r="T31">
            <v>18.75</v>
          </cell>
          <cell r="U31">
            <v>22.5</v>
          </cell>
          <cell r="V31">
            <v>23</v>
          </cell>
          <cell r="W31">
            <v>23.5</v>
          </cell>
          <cell r="X31">
            <v>24</v>
          </cell>
          <cell r="Y31">
            <v>24.5</v>
          </cell>
          <cell r="Z31">
            <v>24.75</v>
          </cell>
          <cell r="AA31">
            <v>25</v>
          </cell>
        </row>
        <row r="32">
          <cell r="A32" t="str">
            <v>Alemtuzumab (Campath/Lemtrada)</v>
          </cell>
          <cell r="B32" t="str">
            <v>Multiple Sclerosis</v>
          </cell>
          <cell r="C32">
            <v>1</v>
          </cell>
          <cell r="D32">
            <v>1</v>
          </cell>
          <cell r="E32">
            <v>1</v>
          </cell>
          <cell r="F32">
            <v>1</v>
          </cell>
          <cell r="G32">
            <v>1</v>
          </cell>
          <cell r="H32" t="str">
            <v>S</v>
          </cell>
          <cell r="I32">
            <v>2013</v>
          </cell>
          <cell r="J32">
            <v>0</v>
          </cell>
          <cell r="K32">
            <v>0</v>
          </cell>
          <cell r="L32">
            <v>1</v>
          </cell>
          <cell r="M32">
            <v>115</v>
          </cell>
          <cell r="N32">
            <v>115</v>
          </cell>
          <cell r="O32">
            <v>11.5</v>
          </cell>
          <cell r="P32">
            <v>247.30670103092785</v>
          </cell>
          <cell r="Q32">
            <v>57.5</v>
          </cell>
          <cell r="R32">
            <v>86.25</v>
          </cell>
          <cell r="S32">
            <v>540.61340206185571</v>
          </cell>
          <cell r="T32">
            <v>105.80000000000001</v>
          </cell>
          <cell r="U32">
            <v>108.1</v>
          </cell>
          <cell r="V32">
            <v>852.66804123711347</v>
          </cell>
        </row>
        <row r="33">
          <cell r="A33" t="str">
            <v>Amikacin inhale</v>
          </cell>
          <cell r="B33" t="str">
            <v>Pneumonia</v>
          </cell>
          <cell r="C33">
            <v>1</v>
          </cell>
          <cell r="D33">
            <v>1</v>
          </cell>
          <cell r="E33">
            <v>1</v>
          </cell>
          <cell r="F33">
            <v>1</v>
          </cell>
          <cell r="H33" t="str">
            <v>PC</v>
          </cell>
          <cell r="I33">
            <v>2015</v>
          </cell>
          <cell r="J33">
            <v>4</v>
          </cell>
          <cell r="K33">
            <v>2</v>
          </cell>
          <cell r="L33">
            <v>0.5</v>
          </cell>
          <cell r="M33">
            <v>100</v>
          </cell>
          <cell r="N33">
            <v>50</v>
          </cell>
          <cell r="O33">
            <v>0</v>
          </cell>
          <cell r="P33">
            <v>0</v>
          </cell>
          <cell r="Q33">
            <v>5</v>
          </cell>
          <cell r="R33">
            <v>12.5</v>
          </cell>
          <cell r="S33">
            <v>25</v>
          </cell>
          <cell r="T33">
            <v>37.5</v>
          </cell>
          <cell r="U33">
            <v>45</v>
          </cell>
          <cell r="V33">
            <v>46</v>
          </cell>
          <cell r="W33">
            <v>47</v>
          </cell>
          <cell r="X33">
            <v>48</v>
          </cell>
          <cell r="Y33">
            <v>49</v>
          </cell>
          <cell r="Z33">
            <v>49.5</v>
          </cell>
          <cell r="AA33">
            <v>50</v>
          </cell>
        </row>
        <row r="34">
          <cell r="A34" t="str">
            <v>Cipro inhale (Ciprofloxacin)</v>
          </cell>
          <cell r="B34" t="str">
            <v>Lung infection</v>
          </cell>
          <cell r="C34">
            <v>1</v>
          </cell>
          <cell r="D34">
            <v>1</v>
          </cell>
          <cell r="E34">
            <v>1</v>
          </cell>
          <cell r="F34">
            <v>1</v>
          </cell>
          <cell r="H34" t="str">
            <v>PC</v>
          </cell>
          <cell r="I34">
            <v>2015</v>
          </cell>
          <cell r="J34">
            <v>4</v>
          </cell>
          <cell r="K34">
            <v>2</v>
          </cell>
          <cell r="L34">
            <v>0.5</v>
          </cell>
          <cell r="M34">
            <v>100</v>
          </cell>
          <cell r="N34">
            <v>50</v>
          </cell>
          <cell r="O34">
            <v>0</v>
          </cell>
          <cell r="P34">
            <v>0</v>
          </cell>
          <cell r="Q34">
            <v>5</v>
          </cell>
          <cell r="R34">
            <v>12.5</v>
          </cell>
          <cell r="S34">
            <v>25</v>
          </cell>
          <cell r="T34">
            <v>37.5</v>
          </cell>
          <cell r="U34">
            <v>45</v>
          </cell>
          <cell r="V34">
            <v>46</v>
          </cell>
          <cell r="W34">
            <v>47</v>
          </cell>
          <cell r="X34">
            <v>48</v>
          </cell>
          <cell r="Y34">
            <v>49</v>
          </cell>
          <cell r="Z34">
            <v>49.5</v>
          </cell>
          <cell r="AA34">
            <v>50</v>
          </cell>
        </row>
        <row r="35">
          <cell r="A35" t="str">
            <v>Tedizolid</v>
          </cell>
          <cell r="B35" t="str">
            <v>Skin and lung infections</v>
          </cell>
          <cell r="C35">
            <v>1</v>
          </cell>
          <cell r="D35">
            <v>1</v>
          </cell>
          <cell r="E35">
            <v>1</v>
          </cell>
          <cell r="F35">
            <v>1</v>
          </cell>
          <cell r="H35" t="str">
            <v>PC</v>
          </cell>
          <cell r="I35">
            <v>2015</v>
          </cell>
          <cell r="J35">
            <v>4</v>
          </cell>
          <cell r="K35">
            <v>2</v>
          </cell>
          <cell r="L35">
            <v>0.5</v>
          </cell>
          <cell r="M35">
            <v>100</v>
          </cell>
          <cell r="N35">
            <v>50</v>
          </cell>
          <cell r="O35">
            <v>0</v>
          </cell>
          <cell r="P35">
            <v>0</v>
          </cell>
          <cell r="Q35">
            <v>5</v>
          </cell>
          <cell r="R35">
            <v>12.5</v>
          </cell>
          <cell r="S35">
            <v>25</v>
          </cell>
          <cell r="T35">
            <v>37.5</v>
          </cell>
          <cell r="U35">
            <v>45</v>
          </cell>
          <cell r="V35">
            <v>46</v>
          </cell>
          <cell r="W35">
            <v>47</v>
          </cell>
          <cell r="X35">
            <v>48</v>
          </cell>
          <cell r="Y35">
            <v>49</v>
          </cell>
          <cell r="Z35">
            <v>49.5</v>
          </cell>
          <cell r="AA35">
            <v>50</v>
          </cell>
        </row>
        <row r="36">
          <cell r="A36" t="str">
            <v>Sodium deoxycholate</v>
          </cell>
          <cell r="B36" t="str">
            <v>Injection for reduction of submental fat</v>
          </cell>
          <cell r="C36">
            <v>1</v>
          </cell>
          <cell r="D36">
            <v>1</v>
          </cell>
          <cell r="E36">
            <v>1</v>
          </cell>
          <cell r="F36">
            <v>1</v>
          </cell>
          <cell r="H36" t="str">
            <v>PC</v>
          </cell>
          <cell r="I36">
            <v>2015</v>
          </cell>
          <cell r="J36">
            <v>4</v>
          </cell>
          <cell r="K36">
            <v>2</v>
          </cell>
          <cell r="L36">
            <v>0.5</v>
          </cell>
          <cell r="M36">
            <v>50</v>
          </cell>
          <cell r="N36">
            <v>25</v>
          </cell>
          <cell r="O36">
            <v>0</v>
          </cell>
          <cell r="P36">
            <v>0</v>
          </cell>
          <cell r="Q36">
            <v>2.5</v>
          </cell>
          <cell r="R36">
            <v>6.25</v>
          </cell>
          <cell r="S36">
            <v>12.5</v>
          </cell>
          <cell r="T36">
            <v>18.75</v>
          </cell>
          <cell r="U36">
            <v>22.5</v>
          </cell>
          <cell r="V36">
            <v>23</v>
          </cell>
          <cell r="W36">
            <v>23.5</v>
          </cell>
          <cell r="X36">
            <v>24</v>
          </cell>
          <cell r="Y36">
            <v>24.5</v>
          </cell>
          <cell r="Z36">
            <v>24.75</v>
          </cell>
          <cell r="AA36">
            <v>25</v>
          </cell>
        </row>
        <row r="37">
          <cell r="A37" t="str">
            <v>Neutroph. Elastase Inhib. (BAY 85-8501)</v>
          </cell>
          <cell r="B37" t="str">
            <v>Bronchiectiasis</v>
          </cell>
          <cell r="C37">
            <v>1</v>
          </cell>
          <cell r="D37">
            <v>1</v>
          </cell>
          <cell r="H37" t="str">
            <v>PC</v>
          </cell>
          <cell r="I37">
            <v>2019</v>
          </cell>
          <cell r="J37">
            <v>4</v>
          </cell>
          <cell r="K37">
            <v>6</v>
          </cell>
          <cell r="L37">
            <v>0.05</v>
          </cell>
          <cell r="M37">
            <v>100</v>
          </cell>
          <cell r="N37">
            <v>5</v>
          </cell>
          <cell r="O37">
            <v>0</v>
          </cell>
          <cell r="P37">
            <v>0</v>
          </cell>
          <cell r="Q37">
            <v>0</v>
          </cell>
          <cell r="R37">
            <v>0</v>
          </cell>
          <cell r="S37">
            <v>0</v>
          </cell>
          <cell r="T37">
            <v>0</v>
          </cell>
          <cell r="U37">
            <v>0.5</v>
          </cell>
          <cell r="V37">
            <v>1.25</v>
          </cell>
          <cell r="W37">
            <v>2.5</v>
          </cell>
          <cell r="X37">
            <v>3.75</v>
          </cell>
          <cell r="Y37">
            <v>4.5</v>
          </cell>
          <cell r="Z37">
            <v>4.6000000000000005</v>
          </cell>
          <cell r="AA37">
            <v>4.6999999999999993</v>
          </cell>
        </row>
        <row r="38">
          <cell r="A38" t="str">
            <v>Oncology</v>
          </cell>
          <cell r="M38">
            <v>5512</v>
          </cell>
          <cell r="N38">
            <v>2029.6</v>
          </cell>
          <cell r="O38">
            <v>46.74</v>
          </cell>
          <cell r="P38">
            <v>302.39999999999998</v>
          </cell>
          <cell r="Q38">
            <v>674.8</v>
          </cell>
          <cell r="R38">
            <v>1082.2</v>
          </cell>
          <cell r="S38">
            <v>1446.6399999999999</v>
          </cell>
          <cell r="T38">
            <v>1661.8319999999999</v>
          </cell>
          <cell r="U38">
            <v>1817.0239999999999</v>
          </cell>
          <cell r="V38">
            <v>1885.2159999999999</v>
          </cell>
          <cell r="W38">
            <v>1945.4079999999999</v>
          </cell>
          <cell r="X38">
            <v>1979.1040000000003</v>
          </cell>
          <cell r="Y38">
            <v>2007.6000000000001</v>
          </cell>
          <cell r="Z38">
            <v>2017.0000000000007</v>
          </cell>
          <cell r="AA38">
            <v>2026.3999999999992</v>
          </cell>
        </row>
        <row r="39">
          <cell r="A39" t="str">
            <v>Nexavar</v>
          </cell>
          <cell r="B39" t="str">
            <v>Kidney cancer - adjuvant therapy</v>
          </cell>
          <cell r="C39">
            <v>1</v>
          </cell>
          <cell r="D39">
            <v>1</v>
          </cell>
          <cell r="E39">
            <v>1</v>
          </cell>
          <cell r="F39">
            <v>1</v>
          </cell>
          <cell r="H39" t="str">
            <v>S</v>
          </cell>
          <cell r="I39">
            <v>2015</v>
          </cell>
          <cell r="J39">
            <v>0</v>
          </cell>
          <cell r="K39">
            <v>2</v>
          </cell>
          <cell r="L39">
            <v>0.5</v>
          </cell>
          <cell r="M39">
            <v>200</v>
          </cell>
          <cell r="N39">
            <v>100</v>
          </cell>
          <cell r="O39">
            <v>0</v>
          </cell>
          <cell r="P39">
            <v>0</v>
          </cell>
          <cell r="Q39">
            <v>10</v>
          </cell>
          <cell r="R39">
            <v>25</v>
          </cell>
          <cell r="S39">
            <v>50</v>
          </cell>
          <cell r="T39">
            <v>75</v>
          </cell>
          <cell r="U39">
            <v>90</v>
          </cell>
          <cell r="V39">
            <v>92</v>
          </cell>
          <cell r="W39">
            <v>94</v>
          </cell>
          <cell r="X39">
            <v>96</v>
          </cell>
          <cell r="Y39">
            <v>98</v>
          </cell>
          <cell r="Z39">
            <v>99</v>
          </cell>
          <cell r="AA39">
            <v>100</v>
          </cell>
        </row>
        <row r="40">
          <cell r="A40" t="str">
            <v>Nexavar</v>
          </cell>
          <cell r="B40" t="str">
            <v>Liver cancer - adjuvant therapy</v>
          </cell>
          <cell r="C40">
            <v>1</v>
          </cell>
          <cell r="D40">
            <v>1</v>
          </cell>
          <cell r="E40">
            <v>1</v>
          </cell>
          <cell r="F40">
            <v>1</v>
          </cell>
          <cell r="H40" t="str">
            <v>S</v>
          </cell>
          <cell r="I40">
            <v>2015</v>
          </cell>
          <cell r="J40">
            <v>0</v>
          </cell>
          <cell r="K40">
            <v>2</v>
          </cell>
          <cell r="L40">
            <v>0.5</v>
          </cell>
          <cell r="M40">
            <v>600</v>
          </cell>
          <cell r="N40">
            <v>300</v>
          </cell>
          <cell r="O40">
            <v>0</v>
          </cell>
          <cell r="P40">
            <v>0</v>
          </cell>
          <cell r="Q40">
            <v>30</v>
          </cell>
          <cell r="R40">
            <v>75</v>
          </cell>
          <cell r="S40">
            <v>150</v>
          </cell>
          <cell r="T40">
            <v>225</v>
          </cell>
          <cell r="U40">
            <v>270</v>
          </cell>
          <cell r="V40">
            <v>276</v>
          </cell>
          <cell r="W40">
            <v>282</v>
          </cell>
          <cell r="X40">
            <v>288</v>
          </cell>
          <cell r="Y40">
            <v>294</v>
          </cell>
          <cell r="Z40">
            <v>297</v>
          </cell>
          <cell r="AA40">
            <v>300</v>
          </cell>
        </row>
        <row r="41">
          <cell r="A41" t="str">
            <v>Nexavar</v>
          </cell>
          <cell r="B41" t="str">
            <v>Thyroid cancer</v>
          </cell>
          <cell r="C41">
            <v>1</v>
          </cell>
          <cell r="D41">
            <v>1</v>
          </cell>
          <cell r="E41">
            <v>1</v>
          </cell>
          <cell r="F41">
            <v>1</v>
          </cell>
          <cell r="H41" t="str">
            <v>S</v>
          </cell>
          <cell r="I41">
            <v>2015</v>
          </cell>
          <cell r="J41">
            <v>0</v>
          </cell>
          <cell r="K41">
            <v>2</v>
          </cell>
          <cell r="L41">
            <v>0.5</v>
          </cell>
          <cell r="M41">
            <v>100</v>
          </cell>
          <cell r="N41">
            <v>50</v>
          </cell>
          <cell r="O41">
            <v>0</v>
          </cell>
          <cell r="P41">
            <v>0</v>
          </cell>
          <cell r="Q41">
            <v>5</v>
          </cell>
          <cell r="R41">
            <v>12.5</v>
          </cell>
          <cell r="S41">
            <v>25</v>
          </cell>
          <cell r="T41">
            <v>37.5</v>
          </cell>
          <cell r="U41">
            <v>45</v>
          </cell>
          <cell r="V41">
            <v>46</v>
          </cell>
          <cell r="W41">
            <v>47</v>
          </cell>
          <cell r="X41">
            <v>48</v>
          </cell>
          <cell r="Y41">
            <v>49</v>
          </cell>
          <cell r="Z41">
            <v>49.5</v>
          </cell>
          <cell r="AA41">
            <v>50</v>
          </cell>
        </row>
        <row r="42">
          <cell r="A42" t="str">
            <v>Nexavar</v>
          </cell>
          <cell r="B42" t="str">
            <v>Breast cancer</v>
          </cell>
          <cell r="C42">
            <v>1</v>
          </cell>
          <cell r="D42">
            <v>1</v>
          </cell>
          <cell r="E42">
            <v>1</v>
          </cell>
          <cell r="F42">
            <v>1</v>
          </cell>
          <cell r="H42" t="str">
            <v>S</v>
          </cell>
          <cell r="I42">
            <v>2015</v>
          </cell>
          <cell r="J42">
            <v>0</v>
          </cell>
          <cell r="K42">
            <v>2</v>
          </cell>
          <cell r="L42">
            <v>0.5</v>
          </cell>
          <cell r="M42">
            <v>500</v>
          </cell>
          <cell r="N42">
            <v>250</v>
          </cell>
          <cell r="O42">
            <v>0</v>
          </cell>
          <cell r="P42">
            <v>0</v>
          </cell>
          <cell r="Q42">
            <v>25</v>
          </cell>
          <cell r="R42">
            <v>62.5</v>
          </cell>
          <cell r="S42">
            <v>125</v>
          </cell>
          <cell r="T42">
            <v>187.5</v>
          </cell>
          <cell r="U42">
            <v>225</v>
          </cell>
          <cell r="V42">
            <v>230</v>
          </cell>
          <cell r="W42">
            <v>235</v>
          </cell>
          <cell r="X42">
            <v>240</v>
          </cell>
          <cell r="Y42">
            <v>245</v>
          </cell>
          <cell r="Z42">
            <v>247.5</v>
          </cell>
          <cell r="AA42">
            <v>250</v>
          </cell>
        </row>
        <row r="43">
          <cell r="A43" t="str">
            <v>Nexavar</v>
          </cell>
          <cell r="B43" t="str">
            <v>Additional indications</v>
          </cell>
          <cell r="C43">
            <v>1</v>
          </cell>
          <cell r="D43">
            <v>1</v>
          </cell>
          <cell r="E43">
            <v>1</v>
          </cell>
          <cell r="H43" t="str">
            <v>S</v>
          </cell>
          <cell r="I43">
            <v>2017</v>
          </cell>
          <cell r="J43">
            <v>0</v>
          </cell>
          <cell r="K43">
            <v>4</v>
          </cell>
          <cell r="L43">
            <v>0.1</v>
          </cell>
          <cell r="M43">
            <v>100</v>
          </cell>
          <cell r="N43">
            <v>10</v>
          </cell>
          <cell r="O43">
            <v>0</v>
          </cell>
          <cell r="P43">
            <v>0</v>
          </cell>
          <cell r="Q43">
            <v>0</v>
          </cell>
          <cell r="R43">
            <v>0</v>
          </cell>
          <cell r="S43">
            <v>1</v>
          </cell>
          <cell r="T43">
            <v>2.5</v>
          </cell>
          <cell r="U43">
            <v>5</v>
          </cell>
          <cell r="V43">
            <v>7.5</v>
          </cell>
          <cell r="W43">
            <v>9</v>
          </cell>
          <cell r="X43">
            <v>9.2000000000000011</v>
          </cell>
          <cell r="Y43">
            <v>9.3999999999999986</v>
          </cell>
          <cell r="Z43">
            <v>9.6</v>
          </cell>
          <cell r="AA43">
            <v>9.8000000000000007</v>
          </cell>
        </row>
        <row r="44">
          <cell r="A44" t="str">
            <v>Stivarga/Regorafenib (ex-US)</v>
          </cell>
          <cell r="B44" t="str">
            <v>mCRC</v>
          </cell>
          <cell r="C44">
            <v>1</v>
          </cell>
          <cell r="D44">
            <v>1</v>
          </cell>
          <cell r="E44">
            <v>1</v>
          </cell>
          <cell r="F44">
            <v>1</v>
          </cell>
          <cell r="G44">
            <v>1</v>
          </cell>
          <cell r="H44" t="str">
            <v>S</v>
          </cell>
          <cell r="I44">
            <v>2013</v>
          </cell>
          <cell r="J44">
            <v>0</v>
          </cell>
          <cell r="K44">
            <v>0</v>
          </cell>
          <cell r="L44">
            <v>0.8</v>
          </cell>
          <cell r="M44">
            <v>250</v>
          </cell>
          <cell r="N44">
            <v>200</v>
          </cell>
          <cell r="O44">
            <v>20</v>
          </cell>
          <cell r="P44">
            <v>50</v>
          </cell>
          <cell r="Q44">
            <v>100</v>
          </cell>
          <cell r="R44">
            <v>150</v>
          </cell>
          <cell r="S44">
            <v>180</v>
          </cell>
          <cell r="T44">
            <v>184</v>
          </cell>
          <cell r="U44">
            <v>188</v>
          </cell>
          <cell r="V44">
            <v>192</v>
          </cell>
          <cell r="W44">
            <v>196</v>
          </cell>
          <cell r="X44">
            <v>198</v>
          </cell>
          <cell r="Y44">
            <v>200</v>
          </cell>
          <cell r="Z44">
            <v>200</v>
          </cell>
          <cell r="AA44">
            <v>200</v>
          </cell>
        </row>
        <row r="45">
          <cell r="A45" t="str">
            <v>Stivarga/Regorafenib (ex-US)</v>
          </cell>
          <cell r="B45" t="str">
            <v>GIST</v>
          </cell>
          <cell r="C45">
            <v>1</v>
          </cell>
          <cell r="D45">
            <v>1</v>
          </cell>
          <cell r="E45">
            <v>1</v>
          </cell>
          <cell r="F45">
            <v>1</v>
          </cell>
          <cell r="G45">
            <v>1</v>
          </cell>
          <cell r="H45" t="str">
            <v>S</v>
          </cell>
          <cell r="I45">
            <v>2013</v>
          </cell>
          <cell r="J45">
            <v>0</v>
          </cell>
          <cell r="K45">
            <v>0</v>
          </cell>
          <cell r="L45">
            <v>0.8</v>
          </cell>
          <cell r="M45">
            <v>25</v>
          </cell>
          <cell r="N45">
            <v>20</v>
          </cell>
          <cell r="O45">
            <v>2</v>
          </cell>
          <cell r="P45">
            <v>5</v>
          </cell>
          <cell r="Q45">
            <v>10</v>
          </cell>
          <cell r="R45">
            <v>15</v>
          </cell>
          <cell r="S45">
            <v>18</v>
          </cell>
          <cell r="T45">
            <v>18.400000000000002</v>
          </cell>
          <cell r="U45">
            <v>18.799999999999997</v>
          </cell>
          <cell r="V45">
            <v>19.2</v>
          </cell>
          <cell r="W45">
            <v>19.600000000000001</v>
          </cell>
          <cell r="X45">
            <v>19.8</v>
          </cell>
          <cell r="Y45">
            <v>20</v>
          </cell>
          <cell r="Z45">
            <v>20</v>
          </cell>
          <cell r="AA45">
            <v>20</v>
          </cell>
        </row>
        <row r="46">
          <cell r="A46" t="str">
            <v xml:space="preserve">Stivarga/Regorafenib </v>
          </cell>
          <cell r="B46" t="str">
            <v>Additional indications</v>
          </cell>
          <cell r="C46">
            <v>1</v>
          </cell>
          <cell r="D46">
            <v>1</v>
          </cell>
          <cell r="E46">
            <v>1</v>
          </cell>
          <cell r="H46" t="str">
            <v>S</v>
          </cell>
          <cell r="I46">
            <v>2017</v>
          </cell>
          <cell r="J46">
            <v>0</v>
          </cell>
          <cell r="K46">
            <v>4</v>
          </cell>
          <cell r="L46">
            <v>0.1</v>
          </cell>
          <cell r="M46">
            <v>100</v>
          </cell>
          <cell r="N46">
            <v>10</v>
          </cell>
          <cell r="O46">
            <v>0</v>
          </cell>
          <cell r="P46">
            <v>0</v>
          </cell>
          <cell r="Q46">
            <v>0</v>
          </cell>
          <cell r="R46">
            <v>0</v>
          </cell>
          <cell r="S46">
            <v>1</v>
          </cell>
          <cell r="T46">
            <v>2.5</v>
          </cell>
          <cell r="U46">
            <v>5</v>
          </cell>
          <cell r="V46">
            <v>7.5</v>
          </cell>
          <cell r="W46">
            <v>9</v>
          </cell>
          <cell r="X46">
            <v>9.2000000000000011</v>
          </cell>
          <cell r="Y46">
            <v>9.3999999999999986</v>
          </cell>
          <cell r="Z46">
            <v>9.6</v>
          </cell>
          <cell r="AA46">
            <v>9.8000000000000007</v>
          </cell>
        </row>
        <row r="47">
          <cell r="A47" t="str">
            <v xml:space="preserve">Stivarga/Regorafenib </v>
          </cell>
          <cell r="B47" t="str">
            <v>Adjuvant CRC</v>
          </cell>
          <cell r="C47">
            <v>1</v>
          </cell>
          <cell r="H47" t="str">
            <v>S</v>
          </cell>
          <cell r="I47">
            <v>2013</v>
          </cell>
          <cell r="J47">
            <v>0</v>
          </cell>
          <cell r="K47">
            <v>0</v>
          </cell>
          <cell r="L47">
            <v>0</v>
          </cell>
          <cell r="M47">
            <v>1000</v>
          </cell>
          <cell r="N47">
            <v>0</v>
          </cell>
          <cell r="O47">
            <v>0</v>
          </cell>
          <cell r="P47">
            <v>0</v>
          </cell>
          <cell r="Q47">
            <v>0</v>
          </cell>
          <cell r="R47">
            <v>0</v>
          </cell>
          <cell r="S47">
            <v>0</v>
          </cell>
          <cell r="T47">
            <v>0</v>
          </cell>
          <cell r="U47">
            <v>0</v>
          </cell>
          <cell r="V47">
            <v>0</v>
          </cell>
          <cell r="W47">
            <v>0</v>
          </cell>
          <cell r="X47">
            <v>0</v>
          </cell>
          <cell r="Y47">
            <v>0</v>
          </cell>
          <cell r="Z47">
            <v>0</v>
          </cell>
          <cell r="AA47">
            <v>0</v>
          </cell>
        </row>
        <row r="48">
          <cell r="A48" t="str">
            <v>Alpharadin/Radium-233 dichloride</v>
          </cell>
          <cell r="B48" t="str">
            <v>Hormone-refractory PC with bone metastases</v>
          </cell>
          <cell r="C48">
            <v>1</v>
          </cell>
          <cell r="D48">
            <v>1</v>
          </cell>
          <cell r="E48">
            <v>1</v>
          </cell>
          <cell r="F48">
            <v>1</v>
          </cell>
          <cell r="G48">
            <v>1</v>
          </cell>
          <cell r="H48" t="str">
            <v>S</v>
          </cell>
          <cell r="I48">
            <v>2013</v>
          </cell>
          <cell r="J48">
            <v>0</v>
          </cell>
          <cell r="K48">
            <v>0</v>
          </cell>
          <cell r="L48">
            <v>0.8</v>
          </cell>
          <cell r="M48">
            <v>1237</v>
          </cell>
          <cell r="N48">
            <v>989.6</v>
          </cell>
          <cell r="O48">
            <v>24.740000000000002</v>
          </cell>
          <cell r="P48">
            <v>247.4</v>
          </cell>
          <cell r="Q48">
            <v>494.8</v>
          </cell>
          <cell r="R48">
            <v>742.2</v>
          </cell>
          <cell r="S48">
            <v>890.64</v>
          </cell>
          <cell r="T48">
            <v>910.43200000000002</v>
          </cell>
          <cell r="U48">
            <v>930.22399999999993</v>
          </cell>
          <cell r="V48">
            <v>950.01599999999996</v>
          </cell>
          <cell r="W48">
            <v>969.80799999999999</v>
          </cell>
          <cell r="X48">
            <v>979.70400000000006</v>
          </cell>
          <cell r="Y48">
            <v>989.6</v>
          </cell>
          <cell r="Z48">
            <v>989.6</v>
          </cell>
          <cell r="AA48">
            <v>989.6</v>
          </cell>
        </row>
        <row r="49">
          <cell r="A49" t="str">
            <v>Alpharadin/Radium-233 dichloride</v>
          </cell>
          <cell r="B49" t="str">
            <v>Treatment of bone metastases</v>
          </cell>
          <cell r="C49">
            <v>1</v>
          </cell>
          <cell r="D49">
            <v>1</v>
          </cell>
          <cell r="E49">
            <v>1</v>
          </cell>
          <cell r="H49" t="str">
            <v>S</v>
          </cell>
          <cell r="I49">
            <v>2017</v>
          </cell>
          <cell r="J49">
            <v>0</v>
          </cell>
          <cell r="K49">
            <v>4</v>
          </cell>
          <cell r="L49">
            <v>0.1</v>
          </cell>
          <cell r="M49">
            <v>200</v>
          </cell>
          <cell r="N49">
            <v>20</v>
          </cell>
          <cell r="O49">
            <v>0</v>
          </cell>
          <cell r="P49">
            <v>0</v>
          </cell>
          <cell r="Q49">
            <v>0</v>
          </cell>
          <cell r="R49">
            <v>0</v>
          </cell>
          <cell r="S49">
            <v>2</v>
          </cell>
          <cell r="T49">
            <v>5</v>
          </cell>
          <cell r="U49">
            <v>10</v>
          </cell>
          <cell r="V49">
            <v>15</v>
          </cell>
          <cell r="W49">
            <v>18</v>
          </cell>
          <cell r="X49">
            <v>18.400000000000002</v>
          </cell>
          <cell r="Y49">
            <v>18.799999999999997</v>
          </cell>
          <cell r="Z49">
            <v>19.2</v>
          </cell>
          <cell r="AA49">
            <v>19.600000000000001</v>
          </cell>
        </row>
        <row r="50">
          <cell r="A50" t="str">
            <v>Refametinib (MEK inhibitor)</v>
          </cell>
          <cell r="B50" t="str">
            <v>Cancer therapy</v>
          </cell>
          <cell r="C50">
            <v>1</v>
          </cell>
          <cell r="D50">
            <v>1</v>
          </cell>
          <cell r="E50">
            <v>1</v>
          </cell>
          <cell r="H50" t="str">
            <v>S</v>
          </cell>
          <cell r="I50">
            <v>2017</v>
          </cell>
          <cell r="J50">
            <v>0</v>
          </cell>
          <cell r="K50">
            <v>4</v>
          </cell>
          <cell r="L50">
            <v>0.1</v>
          </cell>
          <cell r="M50">
            <v>200</v>
          </cell>
          <cell r="N50">
            <v>20</v>
          </cell>
          <cell r="O50">
            <v>0</v>
          </cell>
          <cell r="P50">
            <v>0</v>
          </cell>
          <cell r="Q50">
            <v>0</v>
          </cell>
          <cell r="R50">
            <v>0</v>
          </cell>
          <cell r="S50">
            <v>2</v>
          </cell>
          <cell r="T50">
            <v>5</v>
          </cell>
          <cell r="U50">
            <v>10</v>
          </cell>
          <cell r="V50">
            <v>15</v>
          </cell>
          <cell r="W50">
            <v>18</v>
          </cell>
          <cell r="X50">
            <v>18.400000000000002</v>
          </cell>
          <cell r="Y50">
            <v>18.799999999999997</v>
          </cell>
          <cell r="Z50">
            <v>19.2</v>
          </cell>
          <cell r="AA50">
            <v>19.600000000000001</v>
          </cell>
        </row>
        <row r="51">
          <cell r="A51" t="str">
            <v>PI3K inhibitor (BAY 80-6946)</v>
          </cell>
          <cell r="B51" t="str">
            <v>Aggressive NHL</v>
          </cell>
          <cell r="C51">
            <v>1</v>
          </cell>
          <cell r="D51">
            <v>1</v>
          </cell>
          <cell r="E51">
            <v>1</v>
          </cell>
          <cell r="H51" t="str">
            <v>S</v>
          </cell>
          <cell r="I51">
            <v>2017</v>
          </cell>
          <cell r="J51">
            <v>0</v>
          </cell>
          <cell r="K51">
            <v>4</v>
          </cell>
          <cell r="L51">
            <v>0.1</v>
          </cell>
          <cell r="M51">
            <v>200</v>
          </cell>
          <cell r="N51">
            <v>20</v>
          </cell>
          <cell r="O51">
            <v>0</v>
          </cell>
          <cell r="P51">
            <v>0</v>
          </cell>
          <cell r="Q51">
            <v>0</v>
          </cell>
          <cell r="R51">
            <v>0</v>
          </cell>
          <cell r="S51">
            <v>2</v>
          </cell>
          <cell r="T51">
            <v>5</v>
          </cell>
          <cell r="U51">
            <v>10</v>
          </cell>
          <cell r="V51">
            <v>15</v>
          </cell>
          <cell r="W51">
            <v>18</v>
          </cell>
          <cell r="X51">
            <v>18.400000000000002</v>
          </cell>
          <cell r="Y51">
            <v>18.799999999999997</v>
          </cell>
          <cell r="Z51">
            <v>19.2</v>
          </cell>
          <cell r="AA51">
            <v>19.600000000000001</v>
          </cell>
        </row>
        <row r="52">
          <cell r="A52" t="str">
            <v>CDK-inhibitor (BAY 1000394)</v>
          </cell>
          <cell r="B52" t="str">
            <v>Cancer therapy</v>
          </cell>
          <cell r="C52">
            <v>1</v>
          </cell>
          <cell r="D52">
            <v>1</v>
          </cell>
          <cell r="H52" t="str">
            <v>S</v>
          </cell>
          <cell r="I52">
            <v>2018</v>
          </cell>
          <cell r="J52">
            <v>0</v>
          </cell>
          <cell r="K52">
            <v>5</v>
          </cell>
          <cell r="L52">
            <v>0.05</v>
          </cell>
          <cell r="M52">
            <v>200</v>
          </cell>
          <cell r="N52">
            <v>10</v>
          </cell>
          <cell r="O52">
            <v>0</v>
          </cell>
          <cell r="P52">
            <v>0</v>
          </cell>
          <cell r="Q52">
            <v>0</v>
          </cell>
          <cell r="R52">
            <v>0</v>
          </cell>
          <cell r="S52">
            <v>0</v>
          </cell>
          <cell r="T52">
            <v>1</v>
          </cell>
          <cell r="U52">
            <v>2.5</v>
          </cell>
          <cell r="V52">
            <v>5</v>
          </cell>
          <cell r="W52">
            <v>7.5</v>
          </cell>
          <cell r="X52">
            <v>9</v>
          </cell>
          <cell r="Y52">
            <v>9.2000000000000011</v>
          </cell>
          <cell r="Z52">
            <v>9.3999999999999986</v>
          </cell>
          <cell r="AA52">
            <v>9.6</v>
          </cell>
        </row>
        <row r="53">
          <cell r="A53" t="str">
            <v>Mesothelin-ADC (BAY 94-9343)</v>
          </cell>
          <cell r="B53" t="str">
            <v>Cancer therapy</v>
          </cell>
          <cell r="C53">
            <v>1</v>
          </cell>
          <cell r="D53">
            <v>1</v>
          </cell>
          <cell r="H53" t="str">
            <v>S</v>
          </cell>
          <cell r="I53">
            <v>2018</v>
          </cell>
          <cell r="J53">
            <v>0</v>
          </cell>
          <cell r="K53">
            <v>5</v>
          </cell>
          <cell r="L53">
            <v>0.05</v>
          </cell>
          <cell r="M53">
            <v>200</v>
          </cell>
          <cell r="N53">
            <v>10</v>
          </cell>
          <cell r="O53">
            <v>0</v>
          </cell>
          <cell r="P53">
            <v>0</v>
          </cell>
          <cell r="Q53">
            <v>0</v>
          </cell>
          <cell r="R53">
            <v>0</v>
          </cell>
          <cell r="S53">
            <v>0</v>
          </cell>
          <cell r="T53">
            <v>1</v>
          </cell>
          <cell r="U53">
            <v>2.5</v>
          </cell>
          <cell r="V53">
            <v>5</v>
          </cell>
          <cell r="W53">
            <v>7.5</v>
          </cell>
          <cell r="X53">
            <v>9</v>
          </cell>
          <cell r="Y53">
            <v>9.2000000000000011</v>
          </cell>
          <cell r="Z53">
            <v>9.3999999999999986</v>
          </cell>
          <cell r="AA53">
            <v>9.6</v>
          </cell>
        </row>
        <row r="54">
          <cell r="A54" t="str">
            <v>PSMA BiTE Antibody (BAY 2010112)</v>
          </cell>
          <cell r="B54" t="str">
            <v>Cancer therapy</v>
          </cell>
          <cell r="C54">
            <v>1</v>
          </cell>
          <cell r="D54">
            <v>1</v>
          </cell>
          <cell r="H54" t="str">
            <v>S</v>
          </cell>
          <cell r="I54">
            <v>2018</v>
          </cell>
          <cell r="J54">
            <v>0</v>
          </cell>
          <cell r="K54">
            <v>5</v>
          </cell>
          <cell r="L54">
            <v>0.05</v>
          </cell>
          <cell r="M54">
            <v>200</v>
          </cell>
          <cell r="N54">
            <v>10</v>
          </cell>
          <cell r="O54">
            <v>0</v>
          </cell>
          <cell r="P54">
            <v>0</v>
          </cell>
          <cell r="Q54">
            <v>0</v>
          </cell>
          <cell r="R54">
            <v>0</v>
          </cell>
          <cell r="S54">
            <v>0</v>
          </cell>
          <cell r="T54">
            <v>1</v>
          </cell>
          <cell r="U54">
            <v>2.5</v>
          </cell>
          <cell r="V54">
            <v>5</v>
          </cell>
          <cell r="W54">
            <v>7.5</v>
          </cell>
          <cell r="X54">
            <v>9</v>
          </cell>
          <cell r="Y54">
            <v>9.2000000000000011</v>
          </cell>
          <cell r="Z54">
            <v>9.3999999999999986</v>
          </cell>
          <cell r="AA54">
            <v>9.6</v>
          </cell>
        </row>
        <row r="55">
          <cell r="A55" t="str">
            <v>PI3Ka/b inhibitor (BAY 1082439)</v>
          </cell>
          <cell r="B55" t="str">
            <v>Cancer therapy</v>
          </cell>
          <cell r="C55">
            <v>1</v>
          </cell>
          <cell r="D55">
            <v>1</v>
          </cell>
          <cell r="H55" t="str">
            <v>S</v>
          </cell>
          <cell r="I55">
            <v>2018</v>
          </cell>
          <cell r="J55">
            <v>0</v>
          </cell>
          <cell r="K55">
            <v>5</v>
          </cell>
          <cell r="L55">
            <v>0.05</v>
          </cell>
          <cell r="M55">
            <v>200</v>
          </cell>
          <cell r="N55">
            <v>10</v>
          </cell>
          <cell r="O55">
            <v>0</v>
          </cell>
          <cell r="P55">
            <v>0</v>
          </cell>
          <cell r="Q55">
            <v>0</v>
          </cell>
          <cell r="R55">
            <v>0</v>
          </cell>
          <cell r="S55">
            <v>0</v>
          </cell>
          <cell r="T55">
            <v>1</v>
          </cell>
          <cell r="U55">
            <v>2.5</v>
          </cell>
          <cell r="V55">
            <v>5</v>
          </cell>
          <cell r="W55">
            <v>7.5</v>
          </cell>
          <cell r="X55">
            <v>9</v>
          </cell>
          <cell r="Y55">
            <v>9.2000000000000011</v>
          </cell>
          <cell r="Z55">
            <v>9.3999999999999986</v>
          </cell>
          <cell r="AA55">
            <v>9.6</v>
          </cell>
        </row>
        <row r="56">
          <cell r="A56" t="str">
            <v>TOTAL (€)</v>
          </cell>
          <cell r="M56">
            <v>10077</v>
          </cell>
          <cell r="N56">
            <v>4079.6</v>
          </cell>
          <cell r="O56">
            <v>118.24000000000001</v>
          </cell>
          <cell r="P56">
            <v>789.70670103092789</v>
          </cell>
          <cell r="Q56">
            <v>1294.8</v>
          </cell>
          <cell r="R56">
            <v>2094.6999999999998</v>
          </cell>
          <cell r="S56">
            <v>3278.7534020618555</v>
          </cell>
          <cell r="T56">
            <v>3307.0820000000003</v>
          </cell>
          <cell r="U56">
            <v>3645.0239999999994</v>
          </cell>
          <cell r="V56">
            <v>4530.9840412371141</v>
          </cell>
          <cell r="W56">
            <v>3796.7080000000001</v>
          </cell>
          <cell r="X56">
            <v>3859.5039999999999</v>
          </cell>
          <cell r="Y56">
            <v>3917.1000000000004</v>
          </cell>
          <cell r="Z56">
            <v>3937.7500000000009</v>
          </cell>
          <cell r="AA56">
            <v>3958.3999999999992</v>
          </cell>
        </row>
        <row r="58">
          <cell r="A58" t="str">
            <v>TOTAL (€) booked by Bayer</v>
          </cell>
          <cell r="M58">
            <v>10007</v>
          </cell>
          <cell r="N58">
            <v>4079.6</v>
          </cell>
          <cell r="O58">
            <v>118.24000000000001</v>
          </cell>
          <cell r="P58">
            <v>789.70670103092789</v>
          </cell>
          <cell r="Q58">
            <v>1294.8</v>
          </cell>
          <cell r="R58">
            <v>2094.6999999999998</v>
          </cell>
          <cell r="S58">
            <v>3278.7534020618555</v>
          </cell>
          <cell r="T58">
            <v>3307.0820000000003</v>
          </cell>
          <cell r="U58">
            <v>3645.0239999999994</v>
          </cell>
          <cell r="V58">
            <v>4530.9840412371141</v>
          </cell>
          <cell r="W58">
            <v>3796.7080000000001</v>
          </cell>
          <cell r="X58">
            <v>3859.5039999999999</v>
          </cell>
          <cell r="Y58">
            <v>3917.1000000000004</v>
          </cell>
          <cell r="Z58">
            <v>3937.7500000000009</v>
          </cell>
          <cell r="AA58">
            <v>3958.3999999999992</v>
          </cell>
        </row>
        <row r="64">
          <cell r="Q64" t="str">
            <v xml:space="preserve"> </v>
          </cell>
        </row>
        <row r="65">
          <cell r="A65" t="str">
            <v>ASSUMPTIONS:</v>
          </cell>
        </row>
        <row r="66">
          <cell r="A66" t="str">
            <v>Clinical success probabilities:</v>
          </cell>
        </row>
        <row r="67">
          <cell r="A67" t="str">
            <v>Phase I</v>
          </cell>
          <cell r="B67">
            <v>0.05</v>
          </cell>
        </row>
        <row r="68">
          <cell r="A68" t="str">
            <v>Phase II</v>
          </cell>
          <cell r="B68">
            <v>0.1</v>
          </cell>
        </row>
        <row r="69">
          <cell r="A69" t="str">
            <v>Phase III</v>
          </cell>
          <cell r="B69">
            <v>0.5</v>
          </cell>
        </row>
        <row r="70">
          <cell r="A70" t="str">
            <v>Filed</v>
          </cell>
          <cell r="B70">
            <v>0.8</v>
          </cell>
        </row>
        <row r="71">
          <cell r="A71" t="str">
            <v>Estimated years to market (Specialty Products):</v>
          </cell>
        </row>
        <row r="72">
          <cell r="A72" t="str">
            <v>Phase I</v>
          </cell>
          <cell r="B72">
            <v>5</v>
          </cell>
        </row>
        <row r="73">
          <cell r="A73" t="str">
            <v>Phase II</v>
          </cell>
          <cell r="B73">
            <v>4</v>
          </cell>
        </row>
        <row r="74">
          <cell r="A74" t="str">
            <v>Phase III</v>
          </cell>
          <cell r="B74">
            <v>2</v>
          </cell>
        </row>
        <row r="75">
          <cell r="A75" t="str">
            <v>Estimated years to market (Primary Care Products):</v>
          </cell>
        </row>
        <row r="76">
          <cell r="A76" t="str">
            <v>Phase I</v>
          </cell>
          <cell r="B76">
            <v>6</v>
          </cell>
        </row>
        <row r="77">
          <cell r="A77" t="str">
            <v>Phase II</v>
          </cell>
          <cell r="B77">
            <v>4</v>
          </cell>
        </row>
        <row r="78">
          <cell r="A78" t="str">
            <v>Phase III</v>
          </cell>
          <cell r="B78">
            <v>2</v>
          </cell>
        </row>
        <row r="79">
          <cell r="A79" t="str">
            <v>Estimated sales ramp curve (% of peak sales):</v>
          </cell>
        </row>
        <row r="80">
          <cell r="A80" t="str">
            <v>Year 1</v>
          </cell>
          <cell r="B80">
            <v>0.1</v>
          </cell>
        </row>
        <row r="81">
          <cell r="A81" t="str">
            <v>Year 2</v>
          </cell>
          <cell r="B81">
            <v>0.25</v>
          </cell>
        </row>
        <row r="82">
          <cell r="A82" t="str">
            <v>Year 3</v>
          </cell>
          <cell r="B82">
            <v>0.5</v>
          </cell>
        </row>
        <row r="83">
          <cell r="A83" t="str">
            <v>Year 4</v>
          </cell>
          <cell r="B83">
            <v>0.75</v>
          </cell>
        </row>
        <row r="84">
          <cell r="A84" t="str">
            <v>Year 5</v>
          </cell>
          <cell r="B84">
            <v>0.9</v>
          </cell>
        </row>
        <row r="85">
          <cell r="A85" t="str">
            <v>Year 6</v>
          </cell>
          <cell r="B85">
            <v>0.92</v>
          </cell>
        </row>
        <row r="86">
          <cell r="A86" t="str">
            <v>Year 7</v>
          </cell>
          <cell r="B86">
            <v>0.94</v>
          </cell>
        </row>
        <row r="87">
          <cell r="A87" t="str">
            <v>Year 8</v>
          </cell>
          <cell r="B87">
            <v>0.96</v>
          </cell>
        </row>
        <row r="88">
          <cell r="A88" t="str">
            <v>Year 9</v>
          </cell>
          <cell r="B88">
            <v>0.98</v>
          </cell>
        </row>
        <row r="89">
          <cell r="A89" t="str">
            <v>Year 10</v>
          </cell>
          <cell r="B89">
            <v>0.99</v>
          </cell>
        </row>
        <row r="90">
          <cell r="A90" t="str">
            <v>Year 11</v>
          </cell>
          <cell r="B90">
            <v>1</v>
          </cell>
        </row>
        <row r="91">
          <cell r="A91" t="str">
            <v>Year 12</v>
          </cell>
          <cell r="B91">
            <v>1</v>
          </cell>
        </row>
        <row r="92">
          <cell r="A92" t="str">
            <v>Year 13</v>
          </cell>
          <cell r="B92">
            <v>1</v>
          </cell>
        </row>
        <row r="337">
          <cell r="B337" t="str">
            <v>English</v>
          </cell>
        </row>
      </sheetData>
      <sheetData sheetId="13"/>
      <sheetData sheetId="14"/>
      <sheetData sheetId="15">
        <row r="1">
          <cell r="C1" t="str">
            <v>Peer</v>
          </cell>
        </row>
      </sheetData>
      <sheetData sheetId="16">
        <row r="2">
          <cell r="A2" t="str">
            <v>€m (except per share)</v>
          </cell>
        </row>
      </sheetData>
      <sheetData sheetId="17"/>
      <sheetData sheetId="18"/>
      <sheetData sheetId="19"/>
      <sheetData sheetId="20">
        <row r="1">
          <cell r="A1" t="str">
            <v xml:space="preserve">Group </v>
          </cell>
          <cell r="C1" t="str">
            <v>Q4 08</v>
          </cell>
          <cell r="D1" t="str">
            <v>FY 08</v>
          </cell>
          <cell r="E1" t="str">
            <v>FY 09</v>
          </cell>
          <cell r="F1" t="str">
            <v>FY 10</v>
          </cell>
          <cell r="G1" t="str">
            <v>FY 11</v>
          </cell>
          <cell r="H1" t="str">
            <v>FY 12</v>
          </cell>
          <cell r="I1" t="str">
            <v>FY 13</v>
          </cell>
          <cell r="J1" t="str">
            <v>FY 14</v>
          </cell>
          <cell r="K1" t="str">
            <v>FY 15</v>
          </cell>
          <cell r="L1" t="str">
            <v>11-14 CAGR</v>
          </cell>
          <cell r="O1" t="str">
            <v>Product Sales</v>
          </cell>
          <cell r="Q1" t="str">
            <v>FY 11</v>
          </cell>
          <cell r="R1" t="str">
            <v>FY 12</v>
          </cell>
          <cell r="S1" t="str">
            <v>FY 13</v>
          </cell>
          <cell r="T1" t="str">
            <v>FY 14</v>
          </cell>
          <cell r="U1" t="str">
            <v>11-14 CAGR</v>
          </cell>
        </row>
        <row r="3">
          <cell r="A3" t="str">
            <v>Sales</v>
          </cell>
          <cell r="B3" t="str">
            <v>MS</v>
          </cell>
          <cell r="C3">
            <v>7923</v>
          </cell>
          <cell r="D3">
            <v>32918</v>
          </cell>
          <cell r="E3">
            <v>31168</v>
          </cell>
          <cell r="F3">
            <v>35088</v>
          </cell>
          <cell r="G3">
            <v>36528</v>
          </cell>
          <cell r="H3">
            <v>39760</v>
          </cell>
          <cell r="I3">
            <v>41195.110053662756</v>
          </cell>
          <cell r="J3">
            <v>45385.722338539068</v>
          </cell>
          <cell r="K3">
            <v>47648.961380078537</v>
          </cell>
          <cell r="L3">
            <v>7.5056078882332011E-2</v>
          </cell>
          <cell r="O3" t="str">
            <v>Yaz/Yasmin</v>
          </cell>
          <cell r="P3" t="str">
            <v>MS</v>
          </cell>
          <cell r="Q3">
            <v>1070</v>
          </cell>
          <cell r="R3">
            <v>1045</v>
          </cell>
          <cell r="S3">
            <v>896.56849000199622</v>
          </cell>
          <cell r="T3">
            <v>884.97137337085508</v>
          </cell>
          <cell r="U3">
            <v>-6.1325222695095882E-2</v>
          </cell>
        </row>
        <row r="4">
          <cell r="B4" t="str">
            <v>Cons</v>
          </cell>
          <cell r="F4">
            <v>34279.650600000001</v>
          </cell>
          <cell r="G4">
            <v>36447.812599999997</v>
          </cell>
          <cell r="H4">
            <v>37166.750899999999</v>
          </cell>
          <cell r="I4">
            <v>38987.802799999998</v>
          </cell>
          <cell r="J4">
            <v>40760.453999999998</v>
          </cell>
          <cell r="L4">
            <v>3.7980467360095416E-2</v>
          </cell>
          <cell r="P4" t="str">
            <v>Cons</v>
          </cell>
          <cell r="Q4">
            <v>1031.7445</v>
          </cell>
          <cell r="R4">
            <v>876.77660000000003</v>
          </cell>
          <cell r="S4">
            <v>813.51829999999995</v>
          </cell>
          <cell r="T4">
            <v>783.76390000000004</v>
          </cell>
          <cell r="U4">
            <v>-8.7559897653632812E-2</v>
          </cell>
        </row>
        <row r="5">
          <cell r="B5" t="str">
            <v>+/-</v>
          </cell>
          <cell r="C5" t="e">
            <v>#DIV/0!</v>
          </cell>
          <cell r="D5" t="e">
            <v>#DIV/0!</v>
          </cell>
          <cell r="E5" t="e">
            <v>#DIV/0!</v>
          </cell>
          <cell r="F5">
            <v>2.3581027981656177E-2</v>
          </cell>
          <cell r="G5">
            <v>2.2000606971954717E-3</v>
          </cell>
          <cell r="H5">
            <v>6.9773360253559291E-2</v>
          </cell>
          <cell r="I5">
            <v>5.6615328260118281E-2</v>
          </cell>
          <cell r="J5">
            <v>0.11347440679976417</v>
          </cell>
          <cell r="P5" t="str">
            <v>+/-</v>
          </cell>
          <cell r="Q5">
            <v>3.7078462739563944E-2</v>
          </cell>
          <cell r="R5">
            <v>0.19186575006677864</v>
          </cell>
          <cell r="S5">
            <v>0.10208767276900388</v>
          </cell>
          <cell r="T5">
            <v>0.12913005226555474</v>
          </cell>
        </row>
        <row r="6">
          <cell r="N6">
            <v>-0.15019987991212935</v>
          </cell>
        </row>
        <row r="7">
          <cell r="A7" t="str">
            <v>EBIT (underlying)</v>
          </cell>
          <cell r="B7" t="str">
            <v>MS</v>
          </cell>
          <cell r="C7">
            <v>706</v>
          </cell>
          <cell r="D7">
            <v>4342</v>
          </cell>
          <cell r="E7">
            <v>3772</v>
          </cell>
          <cell r="F7">
            <v>4452</v>
          </cell>
          <cell r="G7">
            <v>5025</v>
          </cell>
          <cell r="H7">
            <v>5671</v>
          </cell>
          <cell r="I7">
            <v>5970.7936164217608</v>
          </cell>
          <cell r="J7">
            <v>7033.5404178260505</v>
          </cell>
          <cell r="L7">
            <v>0.11861157030344227</v>
          </cell>
          <cell r="O7" t="str">
            <v>Betaseron</v>
          </cell>
          <cell r="P7" t="str">
            <v>MS</v>
          </cell>
          <cell r="Q7">
            <v>1117</v>
          </cell>
          <cell r="R7">
            <v>1216</v>
          </cell>
          <cell r="S7">
            <v>1143.8938589874858</v>
          </cell>
          <cell r="T7">
            <v>1097.0979656504269</v>
          </cell>
          <cell r="U7">
            <v>-5.9747595571033596E-3</v>
          </cell>
        </row>
        <row r="8">
          <cell r="B8" t="str">
            <v>Cons</v>
          </cell>
          <cell r="C8">
            <v>701.35500000000002</v>
          </cell>
          <cell r="D8">
            <v>4337.5150000000003</v>
          </cell>
          <cell r="E8">
            <v>4439.6909999999998</v>
          </cell>
          <cell r="F8">
            <v>4879.7443999999996</v>
          </cell>
          <cell r="G8">
            <v>5118.7212</v>
          </cell>
          <cell r="H8">
            <v>5167.7822999999999</v>
          </cell>
          <cell r="I8">
            <v>5796.4566000000004</v>
          </cell>
          <cell r="J8">
            <v>6337.1944999999996</v>
          </cell>
          <cell r="L8">
            <v>7.3771452826050687E-2</v>
          </cell>
          <cell r="P8" t="str">
            <v>Cons</v>
          </cell>
          <cell r="Q8">
            <v>1121.6753000000001</v>
          </cell>
          <cell r="R8">
            <v>1041.3983000000001</v>
          </cell>
          <cell r="S8">
            <v>961.18520000000001</v>
          </cell>
          <cell r="T8">
            <v>889.53710000000001</v>
          </cell>
          <cell r="U8">
            <v>-7.4380909578174559E-2</v>
          </cell>
        </row>
        <row r="9">
          <cell r="B9" t="str">
            <v>+/-</v>
          </cell>
          <cell r="C9">
            <v>6.6228942546926461E-3</v>
          </cell>
          <cell r="D9">
            <v>1.0340021878885164E-3</v>
          </cell>
          <cell r="E9">
            <v>-0.15039132227896035</v>
          </cell>
          <cell r="F9">
            <v>-8.7657132205531063E-2</v>
          </cell>
          <cell r="G9">
            <v>-1.8309494957451489E-2</v>
          </cell>
          <cell r="H9">
            <v>9.7375947899353221E-2</v>
          </cell>
          <cell r="I9">
            <v>3.0076480935225192E-2</v>
          </cell>
          <cell r="J9">
            <v>0.10988236479502889</v>
          </cell>
          <cell r="P9" t="str">
            <v>+/-</v>
          </cell>
          <cell r="Q9">
            <v>-4.1681402808817491E-3</v>
          </cell>
          <cell r="R9">
            <v>0.16766082679412864</v>
          </cell>
          <cell r="S9">
            <v>0.19008684173194279</v>
          </cell>
          <cell r="T9">
            <v>0.23333581662915104</v>
          </cell>
        </row>
        <row r="11">
          <cell r="A11" t="str">
            <v xml:space="preserve">EBITDA (underlying) </v>
          </cell>
          <cell r="B11" t="str">
            <v>MS</v>
          </cell>
          <cell r="C11">
            <v>1076</v>
          </cell>
          <cell r="D11">
            <v>6931</v>
          </cell>
          <cell r="E11">
            <v>6472</v>
          </cell>
          <cell r="F11">
            <v>7101</v>
          </cell>
          <cell r="G11">
            <v>7613</v>
          </cell>
          <cell r="H11">
            <v>8284</v>
          </cell>
          <cell r="I11">
            <v>8692.1293127404879</v>
          </cell>
          <cell r="J11">
            <v>9873.3934878171785</v>
          </cell>
          <cell r="L11">
            <v>9.0528128164280908E-2</v>
          </cell>
          <cell r="O11" t="str">
            <v>Kogenate</v>
          </cell>
          <cell r="P11" t="str">
            <v>MS</v>
          </cell>
          <cell r="Q11">
            <v>1075</v>
          </cell>
          <cell r="R11">
            <v>1182</v>
          </cell>
          <cell r="S11">
            <v>1198.905711640863</v>
          </cell>
          <cell r="T11">
            <v>1285.9564099971117</v>
          </cell>
          <cell r="U11">
            <v>6.154708259385977E-2</v>
          </cell>
        </row>
        <row r="12">
          <cell r="B12" t="str">
            <v>Cons</v>
          </cell>
          <cell r="C12">
            <v>1360.713</v>
          </cell>
          <cell r="D12">
            <v>6932.7317000000003</v>
          </cell>
          <cell r="E12">
            <v>7078.1178</v>
          </cell>
          <cell r="F12">
            <v>7528.8714</v>
          </cell>
          <cell r="G12">
            <v>7651.6758</v>
          </cell>
          <cell r="H12">
            <v>7758.6012000000001</v>
          </cell>
          <cell r="I12">
            <v>8391.8914999999997</v>
          </cell>
          <cell r="J12">
            <v>8969.5563000000002</v>
          </cell>
          <cell r="L12">
            <v>5.4398549495928705E-2</v>
          </cell>
          <cell r="P12" t="str">
            <v>Cons</v>
          </cell>
          <cell r="Q12">
            <v>1071.8176000000001</v>
          </cell>
          <cell r="R12">
            <v>1132.7277999999999</v>
          </cell>
          <cell r="S12">
            <v>1191.6704</v>
          </cell>
          <cell r="T12">
            <v>1238.8666000000001</v>
          </cell>
          <cell r="U12">
            <v>4.9464824715991451E-2</v>
          </cell>
        </row>
        <row r="13">
          <cell r="B13" t="str">
            <v>+/-</v>
          </cell>
          <cell r="C13">
            <v>-0.20923809796775661</v>
          </cell>
          <cell r="D13">
            <v>-2.497860980253952E-4</v>
          </cell>
          <cell r="E13">
            <v>-8.5632623972435207E-2</v>
          </cell>
          <cell r="F13">
            <v>-5.6830748895511762E-2</v>
          </cell>
          <cell r="G13">
            <v>-5.0545528863101818E-3</v>
          </cell>
          <cell r="H13">
            <v>6.771823766376861E-2</v>
          </cell>
          <cell r="I13">
            <v>3.5777132335479855E-2</v>
          </cell>
          <cell r="J13">
            <v>0.10076721273461198</v>
          </cell>
          <cell r="P13" t="str">
            <v>+/-</v>
          </cell>
          <cell r="Q13">
            <v>2.9691619171021699E-3</v>
          </cell>
          <cell r="R13">
            <v>4.3498711694018644E-2</v>
          </cell>
          <cell r="S13">
            <v>6.0715711667111982E-3</v>
          </cell>
          <cell r="T13">
            <v>3.8010395951518561E-2</v>
          </cell>
        </row>
        <row r="15">
          <cell r="A15" t="str">
            <v>Reported EPS</v>
          </cell>
          <cell r="B15" t="str">
            <v>MS</v>
          </cell>
          <cell r="C15">
            <v>0.16136172759116488</v>
          </cell>
          <cell r="D15">
            <v>2.2166004419775103</v>
          </cell>
          <cell r="E15">
            <v>1.7021664558431817</v>
          </cell>
          <cell r="F15">
            <v>1.5732552736871153</v>
          </cell>
          <cell r="G15">
            <v>2.9868874143022093</v>
          </cell>
          <cell r="H15">
            <v>2.957865026470933</v>
          </cell>
          <cell r="I15">
            <v>4.4168945086631544</v>
          </cell>
          <cell r="J15">
            <v>5.6266076649353565</v>
          </cell>
          <cell r="L15">
            <v>0.23502550609638728</v>
          </cell>
          <cell r="O15" t="str">
            <v>Adalat</v>
          </cell>
          <cell r="P15" t="str">
            <v>MS</v>
          </cell>
          <cell r="Q15">
            <v>640</v>
          </cell>
          <cell r="R15">
            <v>670</v>
          </cell>
          <cell r="S15">
            <v>648.84670784512912</v>
          </cell>
          <cell r="T15">
            <v>669.39965454906144</v>
          </cell>
          <cell r="U15">
            <v>1.5083659369135471E-2</v>
          </cell>
        </row>
        <row r="16">
          <cell r="B16" t="str">
            <v>Cons</v>
          </cell>
          <cell r="C16">
            <v>0.2293</v>
          </cell>
          <cell r="D16">
            <v>2.2823000000000002</v>
          </cell>
          <cell r="E16">
            <v>2.8504</v>
          </cell>
          <cell r="F16">
            <v>3.3542000000000001</v>
          </cell>
          <cell r="G16">
            <v>3.1030000000000002</v>
          </cell>
          <cell r="H16">
            <v>3.6364999999999998</v>
          </cell>
          <cell r="I16">
            <v>4.4263000000000003</v>
          </cell>
          <cell r="J16">
            <v>5.0336999999999996</v>
          </cell>
          <cell r="L16">
            <v>0.17499274319382319</v>
          </cell>
          <cell r="P16" t="str">
            <v>Cons</v>
          </cell>
          <cell r="Q16">
            <v>627.91129999999998</v>
          </cell>
          <cell r="R16">
            <v>603.0009</v>
          </cell>
          <cell r="S16">
            <v>581.78060000000005</v>
          </cell>
          <cell r="T16">
            <v>565.95680000000004</v>
          </cell>
          <cell r="U16">
            <v>-3.4034398629365969E-2</v>
          </cell>
        </row>
        <row r="17">
          <cell r="B17" t="str">
            <v>+/-</v>
          </cell>
          <cell r="C17">
            <v>-0.29628553165649862</v>
          </cell>
          <cell r="D17">
            <v>-2.8786556553691445E-2</v>
          </cell>
          <cell r="E17">
            <v>-0.40283242497783411</v>
          </cell>
          <cell r="F17">
            <v>-0.53095961073069131</v>
          </cell>
          <cell r="G17">
            <v>-3.7419460424682915E-2</v>
          </cell>
          <cell r="H17">
            <v>-0.18661761955975986</v>
          </cell>
          <cell r="I17">
            <v>-2.1249104978979805E-3</v>
          </cell>
          <cell r="J17">
            <v>0.11778764426472721</v>
          </cell>
          <cell r="P17" t="str">
            <v>+/-</v>
          </cell>
          <cell r="Q17">
            <v>1.9252241518826096E-2</v>
          </cell>
          <cell r="R17">
            <v>0.11110945273879369</v>
          </cell>
          <cell r="S17">
            <v>0.11527731905314309</v>
          </cell>
          <cell r="T17">
            <v>0.18277517745004812</v>
          </cell>
        </row>
        <row r="19">
          <cell r="A19" t="str">
            <v>Core EPS</v>
          </cell>
          <cell r="B19" t="str">
            <v>MS</v>
          </cell>
          <cell r="C19">
            <v>2.3654691458441461</v>
          </cell>
          <cell r="D19">
            <v>4.1723529939576673</v>
          </cell>
          <cell r="E19">
            <v>3.6355660504246621</v>
          </cell>
          <cell r="F19">
            <v>4.1901072431405488</v>
          </cell>
          <cell r="G19">
            <v>4.8334368400671783</v>
          </cell>
          <cell r="H19">
            <v>5.3522120225512468</v>
          </cell>
          <cell r="I19">
            <v>5.6831428904398136</v>
          </cell>
          <cell r="J19">
            <v>6.764993874460747</v>
          </cell>
          <cell r="L19">
            <v>0.11858876566418664</v>
          </cell>
          <cell r="O19" t="str">
            <v>Avelox</v>
          </cell>
          <cell r="P19" t="str">
            <v>MS</v>
          </cell>
          <cell r="Q19">
            <v>486</v>
          </cell>
          <cell r="R19">
            <v>486</v>
          </cell>
          <cell r="S19">
            <v>451.2703742427957</v>
          </cell>
          <cell r="T19">
            <v>329.99437226561446</v>
          </cell>
          <cell r="U19">
            <v>-0.1210650082704452</v>
          </cell>
        </row>
        <row r="20">
          <cell r="B20" t="str">
            <v>Cons</v>
          </cell>
          <cell r="C20">
            <v>0.6431</v>
          </cell>
          <cell r="D20">
            <v>4.0946999999999996</v>
          </cell>
          <cell r="E20">
            <v>4.1581999999999999</v>
          </cell>
          <cell r="F20">
            <v>4.5951000000000004</v>
          </cell>
          <cell r="G20">
            <v>4.8368000000000002</v>
          </cell>
          <cell r="H20">
            <v>4.9905999999999997</v>
          </cell>
          <cell r="I20">
            <v>5.5834000000000001</v>
          </cell>
          <cell r="J20">
            <v>6.1672000000000002</v>
          </cell>
          <cell r="L20">
            <v>8.4367853508161339E-2</v>
          </cell>
          <cell r="P20" t="str">
            <v>Cons</v>
          </cell>
          <cell r="Q20">
            <v>491.5736</v>
          </cell>
          <cell r="R20">
            <v>508.13170000000002</v>
          </cell>
          <cell r="S20">
            <v>524.0684</v>
          </cell>
          <cell r="T20">
            <v>412.48540000000003</v>
          </cell>
          <cell r="U20">
            <v>-5.6793735108680021E-2</v>
          </cell>
        </row>
        <row r="21">
          <cell r="B21" t="str">
            <v>+/-</v>
          </cell>
          <cell r="C21">
            <v>2.6782291180907265</v>
          </cell>
          <cell r="D21">
            <v>1.8964269411108958E-2</v>
          </cell>
          <cell r="E21">
            <v>-0.12568754498949974</v>
          </cell>
          <cell r="F21">
            <v>-8.8135787438674118E-2</v>
          </cell>
          <cell r="G21">
            <v>-6.9532747536016348E-4</v>
          </cell>
          <cell r="H21">
            <v>7.2458626728499009E-2</v>
          </cell>
          <cell r="I21">
            <v>1.7864184984026421E-2</v>
          </cell>
          <cell r="J21">
            <v>9.6931163974047552E-2</v>
          </cell>
          <cell r="P21" t="str">
            <v>+/-</v>
          </cell>
          <cell r="Q21">
            <v>-1.1338281795442273E-2</v>
          </cell>
          <cell r="R21">
            <v>-4.3555046851042833E-2</v>
          </cell>
          <cell r="S21">
            <v>-0.13890939762291388</v>
          </cell>
          <cell r="T21">
            <v>-0.19998532732161078</v>
          </cell>
        </row>
        <row r="23">
          <cell r="O23" t="str">
            <v>Nexavar</v>
          </cell>
          <cell r="P23" t="str">
            <v>MS</v>
          </cell>
          <cell r="Q23">
            <v>725</v>
          </cell>
          <cell r="R23">
            <v>832</v>
          </cell>
          <cell r="S23">
            <v>859.25988583693697</v>
          </cell>
          <cell r="T23">
            <v>1016.9684564061108</v>
          </cell>
          <cell r="U23">
            <v>0.11941165748147742</v>
          </cell>
        </row>
        <row r="24">
          <cell r="A24" t="str">
            <v>Healthcare</v>
          </cell>
          <cell r="C24" t="str">
            <v>Q4 08</v>
          </cell>
          <cell r="D24" t="str">
            <v>FY 08</v>
          </cell>
          <cell r="E24" t="str">
            <v>FY 09</v>
          </cell>
          <cell r="F24" t="str">
            <v>FY 10</v>
          </cell>
          <cell r="G24" t="str">
            <v>FY 11</v>
          </cell>
          <cell r="H24" t="str">
            <v>FY 12</v>
          </cell>
          <cell r="I24" t="str">
            <v>FY 13</v>
          </cell>
          <cell r="J24" t="str">
            <v>FY 14</v>
          </cell>
          <cell r="P24" t="str">
            <v>Cons</v>
          </cell>
          <cell r="Q24">
            <v>710.58870000000002</v>
          </cell>
          <cell r="R24">
            <v>761.19309999999996</v>
          </cell>
          <cell r="S24">
            <v>820.80179999999996</v>
          </cell>
          <cell r="T24">
            <v>887.86850000000004</v>
          </cell>
          <cell r="U24">
            <v>7.7068811912055724E-2</v>
          </cell>
        </row>
        <row r="25">
          <cell r="P25" t="str">
            <v>+/-</v>
          </cell>
          <cell r="Q25">
            <v>2.0280789717033176E-2</v>
          </cell>
          <cell r="R25">
            <v>9.3020943043230497E-2</v>
          </cell>
          <cell r="S25">
            <v>4.6854290325553549E-2</v>
          </cell>
          <cell r="T25">
            <v>0.14540436608136309</v>
          </cell>
        </row>
        <row r="26">
          <cell r="A26" t="str">
            <v>Sales</v>
          </cell>
          <cell r="B26" t="str">
            <v>MS</v>
          </cell>
          <cell r="C26">
            <v>4140</v>
          </cell>
          <cell r="D26">
            <v>15407</v>
          </cell>
          <cell r="E26">
            <v>15988</v>
          </cell>
          <cell r="F26">
            <v>16913</v>
          </cell>
          <cell r="G26">
            <v>17169</v>
          </cell>
          <cell r="H26">
            <v>18612</v>
          </cell>
          <cell r="I26">
            <v>19329.25220847618</v>
          </cell>
          <cell r="J26">
            <v>21647.448840141427</v>
          </cell>
          <cell r="L26">
            <v>8.0323708489626666E-2</v>
          </cell>
        </row>
        <row r="27">
          <cell r="B27" t="str">
            <v>Cons</v>
          </cell>
          <cell r="C27">
            <v>3965.1898000000001</v>
          </cell>
          <cell r="D27">
            <v>15232.463400000001</v>
          </cell>
          <cell r="E27">
            <v>16058.159799999999</v>
          </cell>
          <cell r="F27">
            <v>16770.996599999999</v>
          </cell>
          <cell r="G27">
            <v>17020.686699999998</v>
          </cell>
          <cell r="H27">
            <v>17636.047500000001</v>
          </cell>
          <cell r="I27">
            <v>18547.5236</v>
          </cell>
          <cell r="J27">
            <v>19540.3403</v>
          </cell>
          <cell r="L27">
            <v>4.7092418361910138E-2</v>
          </cell>
          <cell r="O27" t="str">
            <v>Marina</v>
          </cell>
          <cell r="P27" t="str">
            <v>MS</v>
          </cell>
          <cell r="Q27">
            <v>581</v>
          </cell>
          <cell r="R27">
            <v>677</v>
          </cell>
          <cell r="S27">
            <v>689.4254614901796</v>
          </cell>
          <cell r="T27">
            <v>756.87043199967502</v>
          </cell>
          <cell r="U27">
            <v>9.2148773339322698E-2</v>
          </cell>
        </row>
        <row r="28">
          <cell r="B28" t="str">
            <v>+/-</v>
          </cell>
          <cell r="C28">
            <v>4.4086212468316122E-2</v>
          </cell>
          <cell r="D28">
            <v>1.1458199203682184E-2</v>
          </cell>
          <cell r="E28">
            <v>-4.3691058548315231E-3</v>
          </cell>
          <cell r="F28">
            <v>8.4672010487438776E-3</v>
          </cell>
          <cell r="G28">
            <v>8.7137083605446364E-3</v>
          </cell>
          <cell r="H28">
            <v>5.5338504843559733E-2</v>
          </cell>
          <cell r="I28">
            <v>4.2147330572809283E-2</v>
          </cell>
          <cell r="J28">
            <v>0.10783376890019802</v>
          </cell>
          <cell r="P28" t="str">
            <v>Cons</v>
          </cell>
          <cell r="Q28">
            <v>566.07910000000004</v>
          </cell>
          <cell r="R28">
            <v>599.52210000000002</v>
          </cell>
          <cell r="S28">
            <v>617.50710000000004</v>
          </cell>
          <cell r="T28">
            <v>624.40070000000003</v>
          </cell>
          <cell r="U28">
            <v>3.3226223606371175E-2</v>
          </cell>
        </row>
        <row r="29">
          <cell r="P29" t="str">
            <v>+/-</v>
          </cell>
          <cell r="Q29">
            <v>2.6358330487735726E-2</v>
          </cell>
          <cell r="R29">
            <v>0.12923276723243382</v>
          </cell>
          <cell r="S29">
            <v>0.11646564305119655</v>
          </cell>
          <cell r="T29">
            <v>0.21215500238816998</v>
          </cell>
        </row>
        <row r="30">
          <cell r="A30" t="str">
            <v>EBIT (underlying)</v>
          </cell>
          <cell r="B30" t="str">
            <v>MS</v>
          </cell>
          <cell r="C30">
            <v>759</v>
          </cell>
          <cell r="D30">
            <v>2764</v>
          </cell>
          <cell r="E30">
            <v>3012</v>
          </cell>
          <cell r="F30">
            <v>3030</v>
          </cell>
          <cell r="G30">
            <v>3367</v>
          </cell>
          <cell r="H30">
            <v>3736</v>
          </cell>
          <cell r="I30">
            <v>4070.8546439625297</v>
          </cell>
          <cell r="J30">
            <v>4814.7547391325816</v>
          </cell>
          <cell r="L30">
            <v>0.12661886113251941</v>
          </cell>
        </row>
        <row r="31">
          <cell r="B31" t="str">
            <v>Cons</v>
          </cell>
          <cell r="C31">
            <v>703</v>
          </cell>
          <cell r="D31">
            <v>2665.4895000000001</v>
          </cell>
          <cell r="E31">
            <v>3053.9180000000001</v>
          </cell>
          <cell r="F31">
            <v>3337.6455000000001</v>
          </cell>
          <cell r="G31">
            <v>3333.7573000000002</v>
          </cell>
          <cell r="H31">
            <v>3447.6087000000002</v>
          </cell>
          <cell r="I31">
            <v>3783.9137999999998</v>
          </cell>
          <cell r="J31">
            <v>4207.1161000000002</v>
          </cell>
          <cell r="L31">
            <v>8.0646138127123956E-2</v>
          </cell>
          <cell r="O31" t="str">
            <v>Levitra</v>
          </cell>
          <cell r="P31" t="str">
            <v>MS</v>
          </cell>
          <cell r="Q31">
            <v>332</v>
          </cell>
          <cell r="R31">
            <v>307</v>
          </cell>
          <cell r="S31">
            <v>302.32900131398515</v>
          </cell>
          <cell r="T31">
            <v>319.76679714729994</v>
          </cell>
          <cell r="U31">
            <v>-1.2436353933055977E-2</v>
          </cell>
        </row>
        <row r="32">
          <cell r="B32" t="str">
            <v>+/-</v>
          </cell>
          <cell r="C32">
            <v>7.9658605974395558E-2</v>
          </cell>
          <cell r="D32">
            <v>3.6957752037665159E-2</v>
          </cell>
          <cell r="E32">
            <v>-1.3725974305793476E-2</v>
          </cell>
          <cell r="F32">
            <v>-9.2174408576345179E-2</v>
          </cell>
          <cell r="G32">
            <v>9.9715417196086786E-3</v>
          </cell>
          <cell r="H32">
            <v>8.364966128551643E-2</v>
          </cell>
          <cell r="I32">
            <v>7.5831760216770849E-2</v>
          </cell>
          <cell r="J32">
            <v>0.14443115537804663</v>
          </cell>
          <cell r="P32" t="str">
            <v>Cons</v>
          </cell>
          <cell r="Q32">
            <v>339.26069999999999</v>
          </cell>
          <cell r="R32">
            <v>346.43860000000001</v>
          </cell>
          <cell r="S32">
            <v>350.06079999999997</v>
          </cell>
          <cell r="T32">
            <v>362.32780000000002</v>
          </cell>
          <cell r="U32">
            <v>2.2168989141088558E-2</v>
          </cell>
        </row>
        <row r="33">
          <cell r="P33" t="str">
            <v>+/-</v>
          </cell>
          <cell r="Q33">
            <v>-2.1401535751119916E-2</v>
          </cell>
          <cell r="R33">
            <v>-0.11384008594885209</v>
          </cell>
          <cell r="S33">
            <v>-0.13635288123096001</v>
          </cell>
          <cell r="T33">
            <v>-0.11746546318747852</v>
          </cell>
        </row>
        <row r="34">
          <cell r="A34" t="str">
            <v xml:space="preserve">EBITDA (underlying) </v>
          </cell>
          <cell r="B34" t="str">
            <v>MS</v>
          </cell>
          <cell r="C34">
            <v>1095</v>
          </cell>
          <cell r="D34">
            <v>4157</v>
          </cell>
          <cell r="E34">
            <v>4468</v>
          </cell>
          <cell r="F34">
            <v>4405</v>
          </cell>
          <cell r="G34">
            <v>4702</v>
          </cell>
          <cell r="H34">
            <v>5068</v>
          </cell>
          <cell r="I34">
            <v>5458.0797291123745</v>
          </cell>
          <cell r="J34">
            <v>6262.3951100580252</v>
          </cell>
          <cell r="L34">
            <v>0.10023624224194072</v>
          </cell>
        </row>
        <row r="35">
          <cell r="B35" t="str">
            <v>Cons</v>
          </cell>
          <cell r="C35">
            <v>1025.3202000000001</v>
          </cell>
          <cell r="D35">
            <v>4087.4180999999999</v>
          </cell>
          <cell r="E35">
            <v>4498.134</v>
          </cell>
          <cell r="F35">
            <v>4772.2846</v>
          </cell>
          <cell r="G35">
            <v>4634.9773999999998</v>
          </cell>
          <cell r="H35">
            <v>4768.4628000000002</v>
          </cell>
          <cell r="I35">
            <v>5108.3851000000004</v>
          </cell>
          <cell r="J35">
            <v>5524.4798000000001</v>
          </cell>
          <cell r="L35">
            <v>6.0265401283990494E-2</v>
          </cell>
          <cell r="O35" t="str">
            <v>Bayer Healthcare</v>
          </cell>
          <cell r="P35" t="str">
            <v>MS</v>
          </cell>
          <cell r="Q35">
            <v>17169</v>
          </cell>
          <cell r="R35">
            <v>18612</v>
          </cell>
          <cell r="S35">
            <v>19329.25220847618</v>
          </cell>
          <cell r="T35">
            <v>21647.448840141427</v>
          </cell>
          <cell r="U35">
            <v>8.0323708489626666E-2</v>
          </cell>
        </row>
        <row r="36">
          <cell r="B36" t="str">
            <v>+/-</v>
          </cell>
          <cell r="C36">
            <v>6.7959062934681125E-2</v>
          </cell>
          <cell r="D36">
            <v>1.7023435894654382E-2</v>
          </cell>
          <cell r="E36">
            <v>-6.6992223886616076E-3</v>
          </cell>
          <cell r="F36">
            <v>-7.6962006834211061E-2</v>
          </cell>
          <cell r="G36">
            <v>1.4460178381883848E-2</v>
          </cell>
          <cell r="H36">
            <v>6.2816302142485014E-2</v>
          </cell>
          <cell r="I36">
            <v>6.8455024879070736E-2</v>
          </cell>
          <cell r="J36">
            <v>0.13357190844611733</v>
          </cell>
          <cell r="P36" t="str">
            <v>Cons</v>
          </cell>
          <cell r="Q36">
            <v>17020.686699999998</v>
          </cell>
          <cell r="R36">
            <v>17636.047500000001</v>
          </cell>
          <cell r="S36">
            <v>18547.5236</v>
          </cell>
          <cell r="T36">
            <v>19540.3403</v>
          </cell>
          <cell r="U36">
            <v>4.7092418361910138E-2</v>
          </cell>
        </row>
        <row r="37">
          <cell r="P37" t="str">
            <v>+/-</v>
          </cell>
          <cell r="Q37">
            <v>8.7137083605446364E-3</v>
          </cell>
          <cell r="R37">
            <v>5.5338504843559733E-2</v>
          </cell>
          <cell r="S37">
            <v>4.2147330572809283E-2</v>
          </cell>
          <cell r="T37">
            <v>0.10783376890019802</v>
          </cell>
        </row>
        <row r="39">
          <cell r="A39" t="str">
            <v>Crop Science</v>
          </cell>
          <cell r="C39" t="str">
            <v>Q4 08</v>
          </cell>
          <cell r="D39" t="str">
            <v>FY 08</v>
          </cell>
          <cell r="E39" t="str">
            <v>FY 09</v>
          </cell>
          <cell r="F39" t="str">
            <v>FY 10</v>
          </cell>
          <cell r="G39" t="str">
            <v>FY 11</v>
          </cell>
          <cell r="H39" t="str">
            <v>FY 12</v>
          </cell>
          <cell r="I39" t="str">
            <v>FY 13</v>
          </cell>
          <cell r="J39" t="str">
            <v>FY 14</v>
          </cell>
          <cell r="K39" t="str">
            <v>FY 15</v>
          </cell>
        </row>
        <row r="41">
          <cell r="A41" t="str">
            <v>Sales</v>
          </cell>
          <cell r="B41" t="str">
            <v>MS</v>
          </cell>
          <cell r="C41">
            <v>1220</v>
          </cell>
          <cell r="D41">
            <v>5791</v>
          </cell>
          <cell r="E41">
            <v>6510</v>
          </cell>
          <cell r="F41">
            <v>6830</v>
          </cell>
          <cell r="G41">
            <v>8383</v>
          </cell>
          <cell r="H41">
            <v>9020.2799938583212</v>
          </cell>
          <cell r="I41">
            <v>9861.8534878108858</v>
          </cell>
          <cell r="J41">
            <v>10493.489733806209</v>
          </cell>
          <cell r="L41">
            <v>7.7722190789500933E-2</v>
          </cell>
          <cell r="T41">
            <v>6361.0254613861553</v>
          </cell>
        </row>
        <row r="42">
          <cell r="B42" t="str">
            <v>Cons</v>
          </cell>
          <cell r="C42">
            <v>1398.9641999999999</v>
          </cell>
          <cell r="D42">
            <v>6428.9565000000002</v>
          </cell>
          <cell r="E42">
            <v>6675.3620000000001</v>
          </cell>
          <cell r="F42">
            <v>6888.4549999999999</v>
          </cell>
          <cell r="G42">
            <v>7343.9880999999996</v>
          </cell>
          <cell r="H42">
            <v>7680.49</v>
          </cell>
          <cell r="I42">
            <v>7986.8212000000003</v>
          </cell>
          <cell r="J42">
            <v>8273.8611000000001</v>
          </cell>
          <cell r="L42">
            <v>4.0539937539170401E-2</v>
          </cell>
          <cell r="T42">
            <v>5765.2067999999999</v>
          </cell>
        </row>
        <row r="43">
          <cell r="B43" t="str">
            <v>+/-</v>
          </cell>
          <cell r="C43">
            <v>-0.12792621855512809</v>
          </cell>
          <cell r="D43">
            <v>-9.9231733796923405E-2</v>
          </cell>
          <cell r="E43">
            <v>-2.4771989893581758E-2</v>
          </cell>
          <cell r="F43">
            <v>-8.4859377030117589E-3</v>
          </cell>
          <cell r="G43">
            <v>0.14147788447533038</v>
          </cell>
          <cell r="H43">
            <v>0.17444069243737337</v>
          </cell>
          <cell r="I43">
            <v>0.23476577737972715</v>
          </cell>
          <cell r="J43">
            <v>0.26826998990908968</v>
          </cell>
          <cell r="T43">
            <v>-595.81866138615533</v>
          </cell>
        </row>
        <row r="45">
          <cell r="A45" t="str">
            <v>EBIT (underlying)</v>
          </cell>
          <cell r="B45" t="str">
            <v>MS</v>
          </cell>
          <cell r="C45">
            <v>53</v>
          </cell>
          <cell r="D45">
            <v>1084</v>
          </cell>
          <cell r="E45">
            <v>1017</v>
          </cell>
          <cell r="F45">
            <v>787</v>
          </cell>
          <cell r="G45">
            <v>1168</v>
          </cell>
          <cell r="H45">
            <v>1526</v>
          </cell>
          <cell r="I45">
            <v>1707.9847463614858</v>
          </cell>
          <cell r="J45">
            <v>1842.998997145135</v>
          </cell>
          <cell r="L45">
            <v>0.16419952755701739</v>
          </cell>
          <cell r="T45">
            <v>2107.1085401414275</v>
          </cell>
        </row>
        <row r="46">
          <cell r="B46" t="str">
            <v>Cons</v>
          </cell>
          <cell r="C46">
            <v>61.154400000000003</v>
          </cell>
          <cell r="D46">
            <v>1092.1543999999999</v>
          </cell>
          <cell r="E46">
            <v>1138.0121999999999</v>
          </cell>
          <cell r="F46">
            <v>1170.3732</v>
          </cell>
          <cell r="G46">
            <v>1142.9552000000001</v>
          </cell>
          <cell r="H46">
            <v>1217.6059</v>
          </cell>
          <cell r="I46">
            <v>1316.2628999999999</v>
          </cell>
          <cell r="J46">
            <v>1357.9745</v>
          </cell>
          <cell r="L46">
            <v>5.9141866979778523E-2</v>
          </cell>
          <cell r="T46">
            <v>1511.2898787552722</v>
          </cell>
        </row>
        <row r="47">
          <cell r="B47" t="str">
            <v>+/-</v>
          </cell>
          <cell r="C47">
            <v>-0.13334118231885195</v>
          </cell>
          <cell r="D47">
            <v>-7.4663435865843786E-3</v>
          </cell>
          <cell r="E47">
            <v>-0.10633646985506828</v>
          </cell>
          <cell r="F47">
            <v>-0.32756491690001099</v>
          </cell>
          <cell r="G47">
            <v>2.1912319922950507E-2</v>
          </cell>
          <cell r="H47">
            <v>0.25327907823048501</v>
          </cell>
          <cell r="I47">
            <v>0.29760152501562254</v>
          </cell>
          <cell r="J47">
            <v>0.3571676030331461</v>
          </cell>
        </row>
        <row r="49">
          <cell r="A49" t="str">
            <v xml:space="preserve">EBITDA (underlying) </v>
          </cell>
          <cell r="B49" t="str">
            <v>MS</v>
          </cell>
          <cell r="C49">
            <v>182</v>
          </cell>
          <cell r="D49">
            <v>1603</v>
          </cell>
          <cell r="E49">
            <v>1508</v>
          </cell>
          <cell r="F49">
            <v>1293</v>
          </cell>
          <cell r="G49">
            <v>1654</v>
          </cell>
          <cell r="H49">
            <v>2008</v>
          </cell>
          <cell r="I49">
            <v>2209.9685984952885</v>
          </cell>
          <cell r="J49">
            <v>2366.8448370746123</v>
          </cell>
          <cell r="L49">
            <v>0.12688109802117231</v>
          </cell>
        </row>
        <row r="50">
          <cell r="B50" t="str">
            <v>Cons</v>
          </cell>
          <cell r="C50">
            <v>201.9315</v>
          </cell>
          <cell r="D50">
            <v>1623.1699000000001</v>
          </cell>
          <cell r="E50">
            <v>1685.9798000000001</v>
          </cell>
          <cell r="F50">
            <v>1735.6318000000001</v>
          </cell>
          <cell r="G50">
            <v>1619.5101</v>
          </cell>
          <cell r="H50">
            <v>1725.3423</v>
          </cell>
          <cell r="I50">
            <v>1814.0101</v>
          </cell>
          <cell r="J50">
            <v>1876.9457</v>
          </cell>
          <cell r="L50">
            <v>5.0403151177337513E-2</v>
          </cell>
        </row>
        <row r="51">
          <cell r="B51" t="str">
            <v>+/-</v>
          </cell>
          <cell r="C51">
            <v>-9.8704263574528994E-2</v>
          </cell>
          <cell r="D51">
            <v>-1.2426240777382636E-2</v>
          </cell>
          <cell r="E51">
            <v>-0.10556460996745043</v>
          </cell>
          <cell r="F51">
            <v>-0.25502632528396874</v>
          </cell>
          <cell r="G51">
            <v>2.1296501948336211E-2</v>
          </cell>
          <cell r="H51">
            <v>0.16382702725134601</v>
          </cell>
          <cell r="I51">
            <v>0.2182780010405061</v>
          </cell>
          <cell r="J51">
            <v>0.26100868931616517</v>
          </cell>
        </row>
        <row r="54">
          <cell r="A54" t="str">
            <v>Material Science</v>
          </cell>
          <cell r="C54" t="str">
            <v>Q4 08</v>
          </cell>
          <cell r="D54" t="str">
            <v>FY 08</v>
          </cell>
          <cell r="E54" t="str">
            <v>FY 09</v>
          </cell>
          <cell r="F54" t="str">
            <v>FY 10</v>
          </cell>
          <cell r="G54" t="str">
            <v>FY 11</v>
          </cell>
          <cell r="H54" t="str">
            <v>FY 12</v>
          </cell>
          <cell r="I54" t="str">
            <v>FY 13</v>
          </cell>
          <cell r="J54" t="str">
            <v>FY 14</v>
          </cell>
        </row>
        <row r="56">
          <cell r="A56" t="str">
            <v>Sales</v>
          </cell>
          <cell r="B56" t="str">
            <v>MS</v>
          </cell>
          <cell r="C56">
            <v>2055</v>
          </cell>
          <cell r="D56">
            <v>9738</v>
          </cell>
          <cell r="E56">
            <v>7520</v>
          </cell>
          <cell r="F56">
            <v>10154</v>
          </cell>
          <cell r="G56">
            <v>10832</v>
          </cell>
          <cell r="H56">
            <v>11503</v>
          </cell>
          <cell r="I56">
            <v>11543.19385132826</v>
          </cell>
          <cell r="J56">
            <v>12532.359722586758</v>
          </cell>
          <cell r="L56">
            <v>4.9803622279473325E-2</v>
          </cell>
        </row>
        <row r="57">
          <cell r="B57" t="str">
            <v>Cons</v>
          </cell>
          <cell r="C57">
            <v>2243.165</v>
          </cell>
          <cell r="D57">
            <v>9926.1466999999993</v>
          </cell>
          <cell r="E57">
            <v>9144.9447</v>
          </cell>
          <cell r="F57">
            <v>9271.0192999999999</v>
          </cell>
          <cell r="G57">
            <v>10846.471100000001</v>
          </cell>
          <cell r="H57">
            <v>10605.0717</v>
          </cell>
          <cell r="I57">
            <v>11184.3734</v>
          </cell>
          <cell r="J57">
            <v>11648.5749</v>
          </cell>
          <cell r="L57">
            <v>2.406638590556387E-2</v>
          </cell>
        </row>
        <row r="58">
          <cell r="B58" t="str">
            <v>+/-</v>
          </cell>
          <cell r="C58">
            <v>-8.3883708955872605E-2</v>
          </cell>
          <cell r="D58">
            <v>-1.8954656392495162E-2</v>
          </cell>
          <cell r="E58">
            <v>-0.1776877557280363</v>
          </cell>
          <cell r="F58">
            <v>9.5240951553191122E-2</v>
          </cell>
          <cell r="G58">
            <v>-1.3341758684998206E-3</v>
          </cell>
          <cell r="H58">
            <v>8.4669705722027366E-2</v>
          </cell>
          <cell r="I58">
            <v>3.2082302556910358E-2</v>
          </cell>
          <cell r="J58">
            <v>7.5870639127431749E-2</v>
          </cell>
        </row>
        <row r="60">
          <cell r="A60" t="str">
            <v>EBIT (underlying)</v>
          </cell>
          <cell r="B60" t="str">
            <v>MS</v>
          </cell>
          <cell r="C60">
            <v>-86</v>
          </cell>
          <cell r="D60">
            <v>586</v>
          </cell>
          <cell r="E60">
            <v>-126</v>
          </cell>
          <cell r="F60">
            <v>780</v>
          </cell>
          <cell r="G60">
            <v>589</v>
          </cell>
          <cell r="H60">
            <v>629</v>
          </cell>
          <cell r="I60">
            <v>506.5310946199105</v>
          </cell>
          <cell r="J60">
            <v>702.55933621455392</v>
          </cell>
          <cell r="L60">
            <v>6.0529055723907099E-2</v>
          </cell>
        </row>
        <row r="61">
          <cell r="B61" t="str">
            <v>Cons</v>
          </cell>
          <cell r="C61">
            <v>22.071100000000001</v>
          </cell>
          <cell r="D61">
            <v>694.0711</v>
          </cell>
          <cell r="E61">
            <v>346.5163</v>
          </cell>
          <cell r="F61">
            <v>479.84989999999999</v>
          </cell>
          <cell r="G61">
            <v>742.02589999999998</v>
          </cell>
          <cell r="H61">
            <v>610.36469999999997</v>
          </cell>
          <cell r="I61">
            <v>801.47050000000002</v>
          </cell>
          <cell r="J61">
            <v>886.81880000000001</v>
          </cell>
          <cell r="L61">
            <v>6.1219632124821732E-2</v>
          </cell>
        </row>
        <row r="62">
          <cell r="B62" t="str">
            <v>+/-</v>
          </cell>
          <cell r="C62">
            <v>-4.8964981355709494</v>
          </cell>
          <cell r="D62">
            <v>-0.15570609408747893</v>
          </cell>
          <cell r="E62">
            <v>-1.3636192583148325</v>
          </cell>
          <cell r="F62">
            <v>0.62550830999443785</v>
          </cell>
          <cell r="G62">
            <v>-0.20622716808132979</v>
          </cell>
          <cell r="H62">
            <v>3.0531418347096384E-2</v>
          </cell>
          <cell r="I62">
            <v>-0.36799783071253345</v>
          </cell>
          <cell r="J62">
            <v>-0.20777577537310454</v>
          </cell>
        </row>
        <row r="64">
          <cell r="A64" t="str">
            <v xml:space="preserve">EBITDA (underlying) </v>
          </cell>
          <cell r="B64" t="str">
            <v>MS</v>
          </cell>
          <cell r="C64">
            <v>54</v>
          </cell>
          <cell r="D64">
            <v>1088</v>
          </cell>
          <cell r="E64">
            <v>446</v>
          </cell>
          <cell r="F64">
            <v>1356</v>
          </cell>
          <cell r="G64">
            <v>1171</v>
          </cell>
          <cell r="H64">
            <v>1251</v>
          </cell>
          <cell r="I64">
            <v>1154.319385132826</v>
          </cell>
          <cell r="J64">
            <v>1378.5595694845433</v>
          </cell>
          <cell r="L64">
            <v>5.5900220931456523E-2</v>
          </cell>
        </row>
        <row r="65">
          <cell r="B65" t="str">
            <v>Cons</v>
          </cell>
          <cell r="C65">
            <v>128.77959999999999</v>
          </cell>
          <cell r="D65">
            <v>1163.6543999999999</v>
          </cell>
          <cell r="E65">
            <v>811.32690000000002</v>
          </cell>
          <cell r="F65">
            <v>953.60649999999998</v>
          </cell>
          <cell r="G65">
            <v>1314.4033999999999</v>
          </cell>
          <cell r="H65">
            <v>1176.8493000000001</v>
          </cell>
          <cell r="I65">
            <v>1378.7164</v>
          </cell>
          <cell r="J65">
            <v>1478.3322000000001</v>
          </cell>
          <cell r="L65">
            <v>3.995477711540274E-2</v>
          </cell>
        </row>
        <row r="66">
          <cell r="B66" t="str">
            <v>+/-</v>
          </cell>
          <cell r="C66">
            <v>-0.58067892740775706</v>
          </cell>
          <cell r="D66">
            <v>-6.5014492275369595E-2</v>
          </cell>
          <cell r="E66">
            <v>-0.4502832335523449</v>
          </cell>
          <cell r="F66">
            <v>0.42197017323183106</v>
          </cell>
          <cell r="G66">
            <v>-0.10910151327971296</v>
          </cell>
          <cell r="H66">
            <v>6.3007812470126767E-2</v>
          </cell>
          <cell r="I66">
            <v>-0.16275792096704877</v>
          </cell>
          <cell r="J66">
            <v>-6.7489993463889064E-2</v>
          </cell>
        </row>
        <row r="80">
          <cell r="A80" t="str">
            <v xml:space="preserve">Group </v>
          </cell>
        </row>
        <row r="81">
          <cell r="A81">
            <v>0</v>
          </cell>
        </row>
        <row r="82">
          <cell r="A82" t="str">
            <v>Sales</v>
          </cell>
        </row>
        <row r="83">
          <cell r="A83">
            <v>0</v>
          </cell>
        </row>
        <row r="84">
          <cell r="A84">
            <v>0</v>
          </cell>
        </row>
        <row r="85">
          <cell r="A85">
            <v>0</v>
          </cell>
        </row>
        <row r="86">
          <cell r="A86" t="str">
            <v>EBIT (underlying)</v>
          </cell>
        </row>
        <row r="87">
          <cell r="A87">
            <v>0</v>
          </cell>
        </row>
        <row r="88">
          <cell r="A88">
            <v>0</v>
          </cell>
        </row>
        <row r="89">
          <cell r="A89">
            <v>0</v>
          </cell>
        </row>
        <row r="90">
          <cell r="A90" t="str">
            <v xml:space="preserve">EBITDA (underlying) </v>
          </cell>
        </row>
        <row r="91">
          <cell r="A91">
            <v>0</v>
          </cell>
        </row>
        <row r="92">
          <cell r="A92">
            <v>0</v>
          </cell>
        </row>
        <row r="93">
          <cell r="A93">
            <v>0</v>
          </cell>
        </row>
        <row r="94">
          <cell r="A94" t="str">
            <v>Reported EPS</v>
          </cell>
        </row>
        <row r="95">
          <cell r="A95">
            <v>0</v>
          </cell>
        </row>
        <row r="96">
          <cell r="A96">
            <v>0</v>
          </cell>
        </row>
        <row r="97">
          <cell r="A97">
            <v>0</v>
          </cell>
        </row>
        <row r="98">
          <cell r="A98" t="str">
            <v>Core EPS</v>
          </cell>
        </row>
        <row r="99">
          <cell r="A99">
            <v>0</v>
          </cell>
        </row>
        <row r="100">
          <cell r="A100">
            <v>0</v>
          </cell>
        </row>
        <row r="101">
          <cell r="A101">
            <v>0</v>
          </cell>
        </row>
      </sheetData>
      <sheetData sheetId="21"/>
      <sheetData sheetId="22">
        <row r="1">
          <cell r="B1" t="str">
            <v>IV-5.17</v>
          </cell>
          <cell r="M1" t="str">
            <v>Unit Conversion</v>
          </cell>
        </row>
        <row r="5">
          <cell r="B5" t="str">
            <v>INTRINSIC VALUE</v>
          </cell>
          <cell r="J5" t="str">
            <v>English</v>
          </cell>
          <cell r="M5" t="str">
            <v>Select Language</v>
          </cell>
        </row>
        <row r="6">
          <cell r="B6" t="str">
            <v>BAYGn.DE</v>
          </cell>
          <cell r="M6" t="str">
            <v>Company name / Ticker</v>
          </cell>
          <cell r="BJ6" t="str">
            <v>English</v>
          </cell>
        </row>
        <row r="7">
          <cell r="BJ7" t="str">
            <v>日本語</v>
          </cell>
        </row>
        <row r="8">
          <cell r="D8" t="str">
            <v>Decimals</v>
          </cell>
          <cell r="F8" t="b">
            <v>1</v>
          </cell>
          <cell r="Z8" t="str">
            <v>Target Horizon &amp; Decimals</v>
          </cell>
          <cell r="AB8" t="str">
            <v>Scale Selection</v>
          </cell>
        </row>
        <row r="9">
          <cell r="Z9">
            <v>0</v>
          </cell>
          <cell r="AB9" t="str">
            <v>Millions</v>
          </cell>
          <cell r="AQ9">
            <v>1</v>
          </cell>
          <cell r="AR9" t="str">
            <v>Operating revenue</v>
          </cell>
          <cell r="BB9" t="str">
            <v>2</v>
          </cell>
        </row>
        <row r="10">
          <cell r="B10" t="str">
            <v>Intrinsic Value Model</v>
          </cell>
          <cell r="Z10">
            <v>1</v>
          </cell>
          <cell r="AB10" t="str">
            <v>Millions</v>
          </cell>
          <cell r="AC10">
            <v>1</v>
          </cell>
          <cell r="AQ10">
            <v>2</v>
          </cell>
          <cell r="AR10" t="str">
            <v>Operating revenue growth</v>
          </cell>
        </row>
        <row r="11">
          <cell r="B11" t="str">
            <v>Inputs:</v>
          </cell>
          <cell r="E11" t="str">
            <v>Outputs:</v>
          </cell>
          <cell r="Z11">
            <v>2</v>
          </cell>
          <cell r="AB11" t="str">
            <v>Billions</v>
          </cell>
          <cell r="AC11">
            <v>1E-3</v>
          </cell>
          <cell r="AQ11">
            <v>3</v>
          </cell>
          <cell r="AR11" t="str">
            <v>Operating asset turnover</v>
          </cell>
        </row>
        <row r="12">
          <cell r="B12" t="str">
            <v>Cost of equity</v>
          </cell>
          <cell r="C12">
            <v>8.5000000000000006E-2</v>
          </cell>
          <cell r="E12" t="str">
            <v>Price</v>
          </cell>
          <cell r="I12">
            <v>45</v>
          </cell>
          <cell r="R12" t="str">
            <v>IV per share schedule</v>
          </cell>
          <cell r="Z12">
            <v>3</v>
          </cell>
          <cell r="AA12" t="str">
            <v>KANJI</v>
          </cell>
          <cell r="AQ12">
            <v>4</v>
          </cell>
          <cell r="AR12" t="str">
            <v>NOPAT</v>
          </cell>
        </row>
        <row r="13">
          <cell r="B13" t="str">
            <v>Long-term ROE on new investments</v>
          </cell>
          <cell r="C13">
            <v>8.5000000000000006E-2</v>
          </cell>
          <cell r="E13" t="str">
            <v>IV Per Share (12 Month), Ex. Div</v>
          </cell>
          <cell r="H13">
            <v>41762</v>
          </cell>
          <cell r="I13">
            <v>64.726985492972162</v>
          </cell>
          <cell r="Q13" t="str">
            <v>1)</v>
          </cell>
          <cell r="R13" t="str">
            <v>IV per share beginning of F2011e</v>
          </cell>
          <cell r="W13">
            <v>70.743492663023304</v>
          </cell>
          <cell r="Z13">
            <v>4</v>
          </cell>
          <cell r="AA13" t="str">
            <v>IV per share beginning of F2011e</v>
          </cell>
          <cell r="AD13" t="str">
            <v>1株当たりIV　F2011e期首</v>
          </cell>
          <cell r="AQ13">
            <v>5</v>
          </cell>
          <cell r="AR13" t="str">
            <v>NOPAT margin</v>
          </cell>
        </row>
        <row r="14">
          <cell r="B14" t="str">
            <v>Years to reach steady-state growth</v>
          </cell>
          <cell r="C14">
            <v>15</v>
          </cell>
          <cell r="E14" t="str">
            <v>Expected share price return</v>
          </cell>
          <cell r="I14">
            <v>0.43837745539938139</v>
          </cell>
          <cell r="Q14" t="str">
            <v>2)</v>
          </cell>
          <cell r="R14" t="str">
            <v>Add: Cost of equity from beginning of F2011e to May-14</v>
          </cell>
          <cell r="W14">
            <v>-4.6473751503749439E-2</v>
          </cell>
          <cell r="X14">
            <v>-0.58333333333333337</v>
          </cell>
          <cell r="Z14">
            <v>5</v>
          </cell>
          <cell r="AA14" t="str">
            <v>Add: Cost of equity from beginning of F2011e to May-14</v>
          </cell>
          <cell r="AD14" t="str">
            <v>追加: F2011e 期首 から May-14 の株主資本コスト</v>
          </cell>
          <cell r="AQ14">
            <v>6</v>
          </cell>
          <cell r="AR14" t="str">
            <v>Net operating assets</v>
          </cell>
        </row>
        <row r="15">
          <cell r="B15" t="str">
            <v>Steady-state revenue growth rate (%)</v>
          </cell>
          <cell r="C15">
            <v>0.02</v>
          </cell>
          <cell r="E15" t="str">
            <v>Expected dividend yield</v>
          </cell>
          <cell r="H15">
            <v>1.4</v>
          </cell>
          <cell r="I15">
            <v>3.3333333333333333E-2</v>
          </cell>
          <cell r="Q15" t="str">
            <v>3)</v>
          </cell>
          <cell r="R15" t="str">
            <v>Less: DPS paid out from beginning of F2011e to May-14</v>
          </cell>
          <cell r="W15">
            <v>2.7287916715224729</v>
          </cell>
          <cell r="Z15">
            <v>6</v>
          </cell>
          <cell r="AA15" t="str">
            <v>Less: DPS paid out from beginning of F2011e to May-14</v>
          </cell>
          <cell r="AD15" t="str">
            <v>控除: F2011e 期首 から May-14 のDPS支出</v>
          </cell>
          <cell r="AQ15">
            <v>7</v>
          </cell>
          <cell r="AR15" t="str">
            <v>RNOA</v>
          </cell>
        </row>
        <row r="16">
          <cell r="B16" t="str">
            <v>Shares Outstanding</v>
          </cell>
          <cell r="C16">
            <v>826.94780800000001</v>
          </cell>
          <cell r="E16" t="str">
            <v>Expected total return</v>
          </cell>
          <cell r="I16">
            <v>0.47171078873271471</v>
          </cell>
          <cell r="Q16" t="str">
            <v>4)</v>
          </cell>
          <cell r="R16" t="str">
            <v>IV per share May-14</v>
          </cell>
          <cell r="W16">
            <v>64.726985492972162</v>
          </cell>
          <cell r="Z16">
            <v>7</v>
          </cell>
          <cell r="AA16" t="str">
            <v>IV per share May-14</v>
          </cell>
          <cell r="AD16" t="str">
            <v>1株当たりIV May-14</v>
          </cell>
          <cell r="AQ16">
            <v>8</v>
          </cell>
          <cell r="AR16" t="str">
            <v>FCFO</v>
          </cell>
        </row>
        <row r="17">
          <cell r="B17" t="str">
            <v>Steady-state borrowing cost (net of tax)</v>
          </cell>
          <cell r="C17">
            <v>0.03</v>
          </cell>
          <cell r="Z17">
            <v>8</v>
          </cell>
          <cell r="AQ17">
            <v>14</v>
          </cell>
          <cell r="AR17" t="str">
            <v>Net financial expense (income)</v>
          </cell>
        </row>
        <row r="18">
          <cell r="B18" t="str">
            <v>Steady-state leverage (Net debt/Equity)</v>
          </cell>
          <cell r="C18">
            <v>0.5</v>
          </cell>
          <cell r="E18" t="str">
            <v>WACC</v>
          </cell>
          <cell r="I18">
            <v>7.8995011250947572E-2</v>
          </cell>
          <cell r="R18" t="str">
            <v>DPS of current fiscal year</v>
          </cell>
          <cell r="W18">
            <v>1.5</v>
          </cell>
          <cell r="Z18">
            <v>9</v>
          </cell>
          <cell r="AQ18">
            <v>15</v>
          </cell>
          <cell r="AR18" t="str">
            <v>Other nonoperating expense (income)</v>
          </cell>
        </row>
        <row r="19">
          <cell r="B19" t="str">
            <v>Price target horizon (months)</v>
          </cell>
          <cell r="C19">
            <v>12</v>
          </cell>
          <cell r="E19" t="str">
            <v>Long-term RNOA on new investments</v>
          </cell>
          <cell r="I19">
            <v>6.6666666666666666E-2</v>
          </cell>
          <cell r="Z19">
            <v>10</v>
          </cell>
          <cell r="AQ19">
            <v>16</v>
          </cell>
          <cell r="AR19" t="str">
            <v>Net debt (cash)</v>
          </cell>
        </row>
        <row r="20">
          <cell r="B20" t="str">
            <v>Conv. factor - Model to traded Ccy</v>
          </cell>
          <cell r="C20">
            <v>1</v>
          </cell>
          <cell r="E20" t="str">
            <v>Explicit forecast period (years)</v>
          </cell>
          <cell r="I20">
            <v>10</v>
          </cell>
          <cell r="R20" t="str">
            <v>BAYGn.DE</v>
          </cell>
          <cell r="W20">
            <v>0.16575833430449455</v>
          </cell>
          <cell r="X20">
            <v>2012</v>
          </cell>
          <cell r="Y20">
            <v>0.79166666666666663</v>
          </cell>
          <cell r="Z20">
            <v>11</v>
          </cell>
          <cell r="AQ20">
            <v>17</v>
          </cell>
          <cell r="AR20" t="str">
            <v>Other nonoperating liabilities (assets) (ONOLA)</v>
          </cell>
        </row>
        <row r="21">
          <cell r="B21" t="str">
            <v>Decimals</v>
          </cell>
          <cell r="C21">
            <v>2</v>
          </cell>
          <cell r="E21" t="str">
            <v>Fiscal Year Ending</v>
          </cell>
          <cell r="I21">
            <v>12</v>
          </cell>
          <cell r="R21" t="str">
            <v>Bayer AG</v>
          </cell>
          <cell r="W21">
            <v>1.9371250048558062</v>
          </cell>
          <cell r="Y21">
            <v>1.9371250048558062</v>
          </cell>
          <cell r="Z21">
            <v>12</v>
          </cell>
          <cell r="AQ21">
            <v>18</v>
          </cell>
          <cell r="AR21" t="str">
            <v>Leverage EOP (net debt/equity)</v>
          </cell>
        </row>
        <row r="22">
          <cell r="R22" t="str">
            <v>IV per share (Current)</v>
          </cell>
          <cell r="U22">
            <v>41397</v>
          </cell>
          <cell r="V22">
            <v>61.379556526415961</v>
          </cell>
          <cell r="W22">
            <v>0.19731232133843846</v>
          </cell>
          <cell r="X22">
            <v>2013</v>
          </cell>
          <cell r="Y22">
            <v>2.7287916715224729</v>
          </cell>
          <cell r="Z22">
            <v>13</v>
          </cell>
          <cell r="AQ22">
            <v>24</v>
          </cell>
          <cell r="AR22" t="str">
            <v>Dividends and net rep</v>
          </cell>
        </row>
        <row r="23">
          <cell r="L23" t="str">
            <v xml:space="preserve"> </v>
          </cell>
          <cell r="R23" t="str">
            <v>Conv. factor - Millions</v>
          </cell>
          <cell r="V23">
            <v>1</v>
          </cell>
          <cell r="W23">
            <v>1.7682221024163274</v>
          </cell>
          <cell r="Z23">
            <v>14</v>
          </cell>
        </row>
        <row r="24">
          <cell r="B24" t="str">
            <v>Value Breakdown</v>
          </cell>
          <cell r="W24">
            <v>0.15833333333333333</v>
          </cell>
          <cell r="X24">
            <v>2011</v>
          </cell>
          <cell r="Z24">
            <v>15</v>
          </cell>
        </row>
        <row r="25">
          <cell r="B25" t="str">
            <v>Residual Income (operating):</v>
          </cell>
          <cell r="R25" t="str">
            <v>F2020e</v>
          </cell>
          <cell r="S25" t="str">
            <v>Operating revenue</v>
          </cell>
          <cell r="U25">
            <v>58588.268339333903</v>
          </cell>
          <cell r="W25">
            <v>0</v>
          </cell>
          <cell r="X25">
            <v>2014</v>
          </cell>
          <cell r="Z25">
            <v>16</v>
          </cell>
          <cell r="AB25" t="str">
            <v>Shares Outstanding</v>
          </cell>
          <cell r="AD25">
            <v>826.94780800000001</v>
          </cell>
        </row>
        <row r="26">
          <cell r="B26" t="str">
            <v>Beginning NOA</v>
          </cell>
          <cell r="C26">
            <v>31305</v>
          </cell>
          <cell r="E26" t="str">
            <v>DCF (operating):</v>
          </cell>
          <cell r="R26" t="str">
            <v>F2020e</v>
          </cell>
          <cell r="S26" t="str">
            <v>Operating revenue growth</v>
          </cell>
          <cell r="U26">
            <v>4.3395654462656363E-2</v>
          </cell>
          <cell r="W26">
            <v>2013</v>
          </cell>
          <cell r="X26" t="str">
            <v>RNOA</v>
          </cell>
          <cell r="Z26">
            <v>17</v>
          </cell>
          <cell r="AB26" t="str">
            <v>Beginning NOA</v>
          </cell>
          <cell r="AD26">
            <v>31305</v>
          </cell>
        </row>
        <row r="27">
          <cell r="B27" t="str">
            <v>Sum of PVRI</v>
          </cell>
          <cell r="C27">
            <v>39668.176187951263</v>
          </cell>
          <cell r="E27" t="str">
            <v>Sum of PVFCFO</v>
          </cell>
          <cell r="I27">
            <v>70973.176187951205</v>
          </cell>
          <cell r="R27" t="str">
            <v>F2020e</v>
          </cell>
          <cell r="S27" t="str">
            <v>NOPAT</v>
          </cell>
          <cell r="U27">
            <v>7032.8712843893081</v>
          </cell>
          <cell r="W27">
            <v>70973.176187951205</v>
          </cell>
          <cell r="X27" t="str">
            <v>COE</v>
          </cell>
          <cell r="Z27">
            <v>18</v>
          </cell>
          <cell r="AB27" t="str">
            <v>Beginning NNOAL</v>
          </cell>
          <cell r="AD27">
            <v>-12472</v>
          </cell>
        </row>
        <row r="28">
          <cell r="B28" t="str">
            <v>Beginning NNOAL</v>
          </cell>
          <cell r="C28">
            <v>-12472</v>
          </cell>
          <cell r="E28" t="str">
            <v>Beginning NNOAL</v>
          </cell>
          <cell r="I28">
            <v>-12472</v>
          </cell>
          <cell r="R28" t="str">
            <v>F2025e</v>
          </cell>
          <cell r="S28" t="str">
            <v>NOPAT</v>
          </cell>
          <cell r="U28">
            <v>7914.310367593208</v>
          </cell>
          <cell r="X28" t="str">
            <v>WACC</v>
          </cell>
          <cell r="AB28" t="str">
            <v>Beginning Equity</v>
          </cell>
          <cell r="AD28">
            <v>18833</v>
          </cell>
        </row>
        <row r="29">
          <cell r="B29" t="str">
            <v>ROI equity value</v>
          </cell>
          <cell r="C29">
            <v>58501.176187951263</v>
          </cell>
          <cell r="E29" t="str">
            <v>DCF Equity Value</v>
          </cell>
          <cell r="I29">
            <v>58501.176187951205</v>
          </cell>
          <cell r="R29" t="str">
            <v>F2020e</v>
          </cell>
          <cell r="S29" t="str">
            <v>NOPAT margin</v>
          </cell>
          <cell r="U29">
            <v>0.12003890000052637</v>
          </cell>
          <cell r="W29">
            <v>58501.176187951205</v>
          </cell>
        </row>
        <row r="30">
          <cell r="R30" t="str">
            <v>F2019e</v>
          </cell>
          <cell r="S30" t="str">
            <v>Net operating assets</v>
          </cell>
          <cell r="U30">
            <v>36235.965172893026</v>
          </cell>
        </row>
        <row r="31">
          <cell r="B31" t="str">
            <v>Residual Income (equity):</v>
          </cell>
          <cell r="E31" t="str">
            <v xml:space="preserve">DDM (Equity): </v>
          </cell>
          <cell r="R31" t="str">
            <v>F2024e</v>
          </cell>
          <cell r="S31" t="str">
            <v>Net operating assets</v>
          </cell>
          <cell r="U31">
            <v>42996.710290678406</v>
          </cell>
        </row>
        <row r="32">
          <cell r="B32" t="str">
            <v>Beginning equity</v>
          </cell>
          <cell r="C32">
            <v>18833</v>
          </cell>
          <cell r="E32" t="str">
            <v>Sum of div &amp; net rep</v>
          </cell>
          <cell r="I32">
            <v>58501.176187951198</v>
          </cell>
          <cell r="R32" t="str">
            <v>F2020e</v>
          </cell>
          <cell r="S32" t="str">
            <v>RNOA</v>
          </cell>
          <cell r="U32">
            <v>0.1940853859096425</v>
          </cell>
          <cell r="W32">
            <v>58501.176187951198</v>
          </cell>
        </row>
        <row r="33">
          <cell r="B33" t="str">
            <v>Sum of PVRI</v>
          </cell>
          <cell r="C33">
            <v>39668.176187951191</v>
          </cell>
          <cell r="E33" t="str">
            <v>DDM equity value</v>
          </cell>
          <cell r="I33">
            <v>58501.176187951198</v>
          </cell>
          <cell r="U33">
            <v>-12472</v>
          </cell>
          <cell r="W33">
            <v>58501.176187951198</v>
          </cell>
          <cell r="AB33" t="str">
            <v>FSTicker</v>
          </cell>
          <cell r="AD33" t="str">
            <v>NA</v>
          </cell>
        </row>
        <row r="34">
          <cell r="B34" t="str">
            <v>RI equity value</v>
          </cell>
          <cell r="C34">
            <v>58501.176187951191</v>
          </cell>
        </row>
        <row r="37">
          <cell r="B37" t="str">
            <v>Option: Sum-Of-The-parts (SOTP) Valuation</v>
          </cell>
        </row>
        <row r="38">
          <cell r="B38" t="str">
            <v>BAYGn.DE</v>
          </cell>
          <cell r="C38" t="str">
            <v>2011-FY</v>
          </cell>
          <cell r="D38" t="str">
            <v>2012-FY</v>
          </cell>
          <cell r="E38" t="str">
            <v>2013-FY</v>
          </cell>
          <cell r="F38" t="str">
            <v>2014-FY</v>
          </cell>
          <cell r="G38" t="str">
            <v>2015-FY</v>
          </cell>
          <cell r="H38" t="str">
            <v>2016-FY</v>
          </cell>
          <cell r="I38" t="str">
            <v>2017-FY</v>
          </cell>
          <cell r="J38" t="str">
            <v>2018-FY</v>
          </cell>
          <cell r="K38" t="str">
            <v>2019-FY</v>
          </cell>
          <cell r="L38" t="str">
            <v>2020-FY</v>
          </cell>
          <cell r="M38" t="str">
            <v>2021-FY</v>
          </cell>
          <cell r="N38" t="str">
            <v>2022-FY</v>
          </cell>
          <cell r="O38" t="str">
            <v>2023-FY</v>
          </cell>
          <cell r="P38" t="str">
            <v>2024-FY</v>
          </cell>
          <cell r="Q38" t="str">
            <v>2025-FY</v>
          </cell>
          <cell r="R38" t="str">
            <v>2026-FY</v>
          </cell>
          <cell r="S38" t="str">
            <v>2027-FY</v>
          </cell>
          <cell r="T38" t="str">
            <v>2028-FY</v>
          </cell>
          <cell r="U38" t="str">
            <v>2029-FY</v>
          </cell>
          <cell r="V38" t="str">
            <v>2030-FY</v>
          </cell>
          <cell r="W38" t="str">
            <v>2031-FY</v>
          </cell>
          <cell r="X38" t="str">
            <v>2032-FY</v>
          </cell>
          <cell r="Y38" t="str">
            <v>2033-FY</v>
          </cell>
          <cell r="Z38" t="str">
            <v>2034-FY</v>
          </cell>
          <cell r="AA38" t="str">
            <v>2035-FY</v>
          </cell>
          <cell r="AB38" t="str">
            <v>2036-FY</v>
          </cell>
          <cell r="AC38" t="str">
            <v>2037-FY</v>
          </cell>
          <cell r="AD38" t="str">
            <v>2038-FY</v>
          </cell>
          <cell r="AE38" t="str">
            <v>2039-FY</v>
          </cell>
          <cell r="AF38" t="str">
            <v>2040-FY</v>
          </cell>
          <cell r="AG38" t="str">
            <v>2041-FY</v>
          </cell>
          <cell r="AH38" t="str">
            <v>2042-FY</v>
          </cell>
          <cell r="AI38" t="str">
            <v>2043-FY</v>
          </cell>
          <cell r="AJ38" t="str">
            <v>2044-FY</v>
          </cell>
          <cell r="AK38" t="str">
            <v>2045-FY</v>
          </cell>
          <cell r="AL38" t="str">
            <v>2046-FY</v>
          </cell>
          <cell r="AM38" t="str">
            <v>2047-FY</v>
          </cell>
          <cell r="AN38" t="str">
            <v>2048-FY</v>
          </cell>
          <cell r="AO38" t="str">
            <v>2049-FY</v>
          </cell>
          <cell r="AP38" t="str">
            <v>2050-FY</v>
          </cell>
          <cell r="AQ38" t="str">
            <v>2051-FY</v>
          </cell>
          <cell r="AR38" t="str">
            <v>2052-FY</v>
          </cell>
          <cell r="AS38" t="str">
            <v>2053-FY</v>
          </cell>
          <cell r="AT38" t="str">
            <v>2054-FY</v>
          </cell>
          <cell r="AU38" t="str">
            <v>2055-FY</v>
          </cell>
          <cell r="AV38" t="str">
            <v>2056-FY</v>
          </cell>
          <cell r="AW38" t="str">
            <v>2057-FY</v>
          </cell>
          <cell r="AX38" t="str">
            <v>2058-FY</v>
          </cell>
          <cell r="AY38" t="str">
            <v>2059-FY</v>
          </cell>
          <cell r="AZ38" t="str">
            <v>2060-FY</v>
          </cell>
          <cell r="BA38" t="str">
            <v>2061-FY</v>
          </cell>
          <cell r="BB38" t="str">
            <v>2062-FY</v>
          </cell>
          <cell r="BC38" t="str">
            <v>2063-FY</v>
          </cell>
          <cell r="BD38" t="str">
            <v>2064-FY</v>
          </cell>
          <cell r="BE38" t="str">
            <v>2065-FY</v>
          </cell>
          <cell r="BF38" t="str">
            <v>2066-FY</v>
          </cell>
          <cell r="BG38" t="str">
            <v>2067-FY</v>
          </cell>
          <cell r="BH38" t="str">
            <v>2068-FY</v>
          </cell>
          <cell r="BI38" t="str">
            <v>2069-FY</v>
          </cell>
          <cell r="BJ38" t="str">
            <v>2070-FY</v>
          </cell>
          <cell r="BK38" t="str">
            <v>2071-FY</v>
          </cell>
          <cell r="BL38" t="str">
            <v>2072-FY</v>
          </cell>
          <cell r="BM38" t="str">
            <v>2073-FY</v>
          </cell>
          <cell r="BN38" t="str">
            <v>2074-FY</v>
          </cell>
          <cell r="BO38" t="str">
            <v>2075-FY</v>
          </cell>
          <cell r="BP38" t="str">
            <v>2076-FY</v>
          </cell>
          <cell r="BQ38" t="str">
            <v>2077-FY</v>
          </cell>
          <cell r="BR38" t="str">
            <v>2078-FY</v>
          </cell>
          <cell r="BS38" t="str">
            <v>2079-FY</v>
          </cell>
          <cell r="BT38" t="str">
            <v>2080-FY</v>
          </cell>
          <cell r="BU38" t="str">
            <v>2081-FY</v>
          </cell>
          <cell r="BV38" t="str">
            <v>2082-FY</v>
          </cell>
          <cell r="BW38" t="str">
            <v>2083-FY</v>
          </cell>
          <cell r="BX38" t="str">
            <v>2084-FY</v>
          </cell>
          <cell r="BY38" t="str">
            <v>2085-FY</v>
          </cell>
          <cell r="BZ38" t="str">
            <v>2086-FY</v>
          </cell>
          <cell r="CA38" t="str">
            <v>2087-FY</v>
          </cell>
          <cell r="CB38" t="str">
            <v>2088-FY</v>
          </cell>
          <cell r="CC38" t="str">
            <v>2089-FY</v>
          </cell>
          <cell r="CD38" t="str">
            <v>2090-FY</v>
          </cell>
          <cell r="CE38" t="str">
            <v>2091-FY</v>
          </cell>
          <cell r="CF38" t="str">
            <v>2092-FY</v>
          </cell>
          <cell r="CG38" t="str">
            <v>2093-FY</v>
          </cell>
          <cell r="CH38" t="str">
            <v>2094-FY</v>
          </cell>
          <cell r="CI38" t="str">
            <v>2095-FY</v>
          </cell>
          <cell r="CJ38" t="str">
            <v>2096-FY</v>
          </cell>
          <cell r="CK38" t="str">
            <v>2097-FY</v>
          </cell>
          <cell r="CL38" t="str">
            <v>2098-FY</v>
          </cell>
          <cell r="CM38" t="str">
            <v>2099-FY</v>
          </cell>
          <cell r="CN38" t="str">
            <v>2100-FY</v>
          </cell>
          <cell r="CO38" t="str">
            <v>2101-FY</v>
          </cell>
          <cell r="CP38" t="str">
            <v>2102-FY</v>
          </cell>
          <cell r="CQ38" t="str">
            <v>2103-FY</v>
          </cell>
          <cell r="CR38" t="str">
            <v>2104-FY</v>
          </cell>
          <cell r="CS38" t="str">
            <v>2105-FY</v>
          </cell>
          <cell r="CT38" t="str">
            <v>2106-FY</v>
          </cell>
          <cell r="CU38" t="str">
            <v>2107-FY</v>
          </cell>
          <cell r="CV38" t="str">
            <v>2108-FY</v>
          </cell>
          <cell r="CW38" t="str">
            <v>2109-FY</v>
          </cell>
          <cell r="CX38" t="str">
            <v>2110-FY</v>
          </cell>
          <cell r="CY38" t="str">
            <v>2111-FY</v>
          </cell>
          <cell r="CZ38" t="str">
            <v>2112-FY</v>
          </cell>
          <cell r="DA38" t="str">
            <v>2113-FY</v>
          </cell>
          <cell r="DB38" t="str">
            <v>2114-FY</v>
          </cell>
          <cell r="DC38" t="str">
            <v>2115-FY</v>
          </cell>
          <cell r="DD38" t="str">
            <v>2116-FY</v>
          </cell>
          <cell r="DE38" t="str">
            <v>2117-FY</v>
          </cell>
          <cell r="DF38" t="str">
            <v>2118-FY</v>
          </cell>
          <cell r="DG38" t="str">
            <v>2119-FY</v>
          </cell>
          <cell r="DH38" t="str">
            <v>2120-FY</v>
          </cell>
          <cell r="DI38" t="str">
            <v>2121-FY</v>
          </cell>
          <cell r="DJ38" t="str">
            <v>2122-FY</v>
          </cell>
          <cell r="DK38" t="str">
            <v>2123-FY</v>
          </cell>
          <cell r="DL38" t="str">
            <v>2124-FY</v>
          </cell>
          <cell r="DM38" t="str">
            <v>2125-FY</v>
          </cell>
          <cell r="DN38" t="str">
            <v>2126-FY</v>
          </cell>
          <cell r="DO38" t="str">
            <v>2127-FY</v>
          </cell>
          <cell r="DP38" t="str">
            <v>2128-FY</v>
          </cell>
          <cell r="DQ38" t="str">
            <v>2129-FY</v>
          </cell>
          <cell r="DR38" t="str">
            <v>2130-FY</v>
          </cell>
          <cell r="DS38" t="str">
            <v>2131-FY</v>
          </cell>
          <cell r="DT38" t="str">
            <v>2132-FY</v>
          </cell>
          <cell r="DU38" t="str">
            <v>2133-FY</v>
          </cell>
          <cell r="DV38" t="str">
            <v>2134-FY</v>
          </cell>
          <cell r="DW38" t="str">
            <v>2135-FY</v>
          </cell>
          <cell r="DX38" t="str">
            <v>2136-FY</v>
          </cell>
          <cell r="DY38" t="str">
            <v>2137-FY</v>
          </cell>
          <cell r="DZ38" t="str">
            <v>2138-FY</v>
          </cell>
          <cell r="EA38" t="str">
            <v>2139-FY</v>
          </cell>
          <cell r="EB38" t="str">
            <v>2140-FY</v>
          </cell>
          <cell r="EC38" t="str">
            <v>2141-FY</v>
          </cell>
          <cell r="ED38" t="str">
            <v>2142-FY</v>
          </cell>
          <cell r="EE38" t="str">
            <v>2143-FY</v>
          </cell>
          <cell r="EF38" t="str">
            <v>2144-FY</v>
          </cell>
          <cell r="EG38" t="str">
            <v>2145-FY</v>
          </cell>
          <cell r="EH38" t="str">
            <v>2146-FY</v>
          </cell>
          <cell r="EI38" t="str">
            <v>2147-FY</v>
          </cell>
          <cell r="EJ38" t="str">
            <v>2148-FY</v>
          </cell>
          <cell r="EK38" t="str">
            <v>2149-FY</v>
          </cell>
          <cell r="EL38" t="str">
            <v>2150-FY</v>
          </cell>
          <cell r="EM38" t="str">
            <v>2151-FY</v>
          </cell>
          <cell r="EN38" t="str">
            <v>2152-FY</v>
          </cell>
          <cell r="EO38" t="str">
            <v>2153-FY</v>
          </cell>
          <cell r="EP38" t="str">
            <v>2154-FY</v>
          </cell>
          <cell r="EQ38" t="str">
            <v>2155-FY</v>
          </cell>
          <cell r="ER38" t="str">
            <v>2156-FY</v>
          </cell>
          <cell r="ES38" t="str">
            <v>2157-FY</v>
          </cell>
          <cell r="ET38" t="str">
            <v>2158-FY</v>
          </cell>
          <cell r="EU38" t="str">
            <v>2159-FY</v>
          </cell>
          <cell r="EV38" t="str">
            <v>2160-FY</v>
          </cell>
          <cell r="EW38" t="str">
            <v>2161-FY</v>
          </cell>
          <cell r="EX38" t="str">
            <v>2162-FY</v>
          </cell>
          <cell r="EY38" t="str">
            <v>2163-FY</v>
          </cell>
          <cell r="EZ38" t="str">
            <v>2164-FY</v>
          </cell>
          <cell r="FA38" t="str">
            <v>2165-FY</v>
          </cell>
          <cell r="FB38" t="str">
            <v>2166-FY</v>
          </cell>
          <cell r="FC38" t="str">
            <v>2167-FY</v>
          </cell>
          <cell r="FD38" t="str">
            <v>2168-FY</v>
          </cell>
          <cell r="FE38" t="str">
            <v>2169-FY</v>
          </cell>
          <cell r="FF38" t="str">
            <v>2170-FY</v>
          </cell>
          <cell r="FG38" t="str">
            <v>2171-FY</v>
          </cell>
          <cell r="FH38" t="str">
            <v>2172-FY</v>
          </cell>
          <cell r="FI38" t="str">
            <v>2173-FY</v>
          </cell>
          <cell r="FJ38" t="str">
            <v>2174-FY</v>
          </cell>
          <cell r="FK38" t="str">
            <v>2175-FY</v>
          </cell>
          <cell r="FL38" t="str">
            <v>2176-FY</v>
          </cell>
          <cell r="FM38" t="str">
            <v>2177-FY</v>
          </cell>
          <cell r="FN38" t="str">
            <v>2178-FY</v>
          </cell>
          <cell r="FO38" t="str">
            <v>2179-FY</v>
          </cell>
          <cell r="FP38" t="str">
            <v>2180-FY</v>
          </cell>
          <cell r="FQ38" t="str">
            <v>2181-FY</v>
          </cell>
          <cell r="FR38" t="str">
            <v>2182-FY</v>
          </cell>
          <cell r="FS38" t="str">
            <v>2183-FY</v>
          </cell>
          <cell r="FT38" t="str">
            <v>2184-FY</v>
          </cell>
          <cell r="FU38" t="str">
            <v>2185-FY</v>
          </cell>
          <cell r="FV38" t="str">
            <v>2186-FY</v>
          </cell>
          <cell r="FW38" t="str">
            <v>2187-FY</v>
          </cell>
          <cell r="FX38" t="str">
            <v>2188-FY</v>
          </cell>
          <cell r="FY38" t="str">
            <v>2189-FY</v>
          </cell>
          <cell r="FZ38" t="str">
            <v>2190-FY</v>
          </cell>
          <cell r="GA38" t="str">
            <v>2191-FY</v>
          </cell>
          <cell r="GB38" t="str">
            <v>2192-FY</v>
          </cell>
          <cell r="GC38" t="str">
            <v>2193-FY</v>
          </cell>
          <cell r="GD38" t="str">
            <v>2194-FY</v>
          </cell>
          <cell r="GE38" t="str">
            <v>2195-FY</v>
          </cell>
          <cell r="GF38" t="str">
            <v>2196-FY</v>
          </cell>
          <cell r="GG38" t="str">
            <v>2197-FY</v>
          </cell>
          <cell r="GH38" t="str">
            <v>2198-FY</v>
          </cell>
          <cell r="GI38" t="str">
            <v>2199-FY</v>
          </cell>
          <cell r="GJ38" t="str">
            <v>2200-FY</v>
          </cell>
          <cell r="GK38" t="str">
            <v>2201-FY</v>
          </cell>
          <cell r="GL38" t="str">
            <v>2202-FY</v>
          </cell>
          <cell r="GM38" t="str">
            <v>2203-FY</v>
          </cell>
          <cell r="GN38" t="str">
            <v>2204-FY</v>
          </cell>
          <cell r="GO38" t="str">
            <v>2205-FY</v>
          </cell>
          <cell r="GP38" t="str">
            <v>2206-FY</v>
          </cell>
          <cell r="GQ38" t="str">
            <v>2207-FY</v>
          </cell>
          <cell r="GR38" t="str">
            <v>2208-FY</v>
          </cell>
          <cell r="GS38" t="str">
            <v>2209-FY</v>
          </cell>
          <cell r="GT38" t="str">
            <v>2210-FY</v>
          </cell>
          <cell r="GU38" t="str">
            <v>2211-FY</v>
          </cell>
          <cell r="GV38" t="str">
            <v>2212-FY</v>
          </cell>
          <cell r="GW38" t="str">
            <v>2213-FY</v>
          </cell>
          <cell r="GX38" t="str">
            <v>2214-FY</v>
          </cell>
          <cell r="GY38" t="str">
            <v>2215-FY</v>
          </cell>
          <cell r="GZ38" t="str">
            <v>2216-FY</v>
          </cell>
          <cell r="HA38" t="str">
            <v>2217-FY</v>
          </cell>
          <cell r="HB38" t="str">
            <v>2218-FY</v>
          </cell>
          <cell r="HC38" t="str">
            <v>2219-FY</v>
          </cell>
          <cell r="HD38" t="str">
            <v>2220-FY</v>
          </cell>
          <cell r="HE38" t="str">
            <v>2221-FY</v>
          </cell>
          <cell r="HF38" t="str">
            <v>2222-FY</v>
          </cell>
          <cell r="HG38" t="str">
            <v>2223-FY</v>
          </cell>
          <cell r="HH38" t="str">
            <v>2224-FY</v>
          </cell>
          <cell r="HI38" t="str">
            <v>2225-FY</v>
          </cell>
          <cell r="HJ38" t="str">
            <v>2226-FY</v>
          </cell>
          <cell r="HK38" t="str">
            <v>2227-FY</v>
          </cell>
          <cell r="HL38" t="str">
            <v>2228-FY</v>
          </cell>
          <cell r="HM38" t="str">
            <v>2229-FY</v>
          </cell>
          <cell r="HN38" t="str">
            <v>2230-FY</v>
          </cell>
          <cell r="HO38" t="str">
            <v>2231-FY</v>
          </cell>
          <cell r="HP38" t="str">
            <v>2232-FY</v>
          </cell>
          <cell r="HQ38" t="str">
            <v>2233-FY</v>
          </cell>
          <cell r="HR38" t="str">
            <v>2234-FY</v>
          </cell>
          <cell r="HS38" t="str">
            <v>2235-FY</v>
          </cell>
          <cell r="HT38" t="str">
            <v>2236-FY</v>
          </cell>
          <cell r="HU38" t="str">
            <v>2237-FY</v>
          </cell>
          <cell r="HV38" t="str">
            <v>2238-FY</v>
          </cell>
          <cell r="HW38" t="str">
            <v>2239-FY</v>
          </cell>
          <cell r="HX38" t="str">
            <v>2240-FY</v>
          </cell>
          <cell r="HY38" t="str">
            <v>2241-FY</v>
          </cell>
          <cell r="HZ38" t="str">
            <v>2242-FY</v>
          </cell>
          <cell r="IA38" t="str">
            <v>2243-FY</v>
          </cell>
          <cell r="IB38" t="str">
            <v>2244-FY</v>
          </cell>
          <cell r="IC38" t="str">
            <v>2245-FY</v>
          </cell>
          <cell r="ID38" t="str">
            <v>2246-FY</v>
          </cell>
          <cell r="IE38" t="str">
            <v>2247-FY</v>
          </cell>
          <cell r="IF38" t="str">
            <v>2248-FY</v>
          </cell>
          <cell r="IG38" t="str">
            <v>2249-FY</v>
          </cell>
          <cell r="IH38" t="str">
            <v>2250-FY</v>
          </cell>
          <cell r="II38" t="str">
            <v>2251-FY</v>
          </cell>
          <cell r="IJ38" t="str">
            <v>2252-FY</v>
          </cell>
          <cell r="IK38" t="str">
            <v>2253-FY</v>
          </cell>
          <cell r="IL38" t="str">
            <v>2254-FY</v>
          </cell>
          <cell r="IM38" t="str">
            <v>2255-FY</v>
          </cell>
          <cell r="IN38" t="str">
            <v>2256-FY</v>
          </cell>
          <cell r="IO38" t="str">
            <v>2257-FY</v>
          </cell>
          <cell r="IP38" t="str">
            <v>2258-FY</v>
          </cell>
          <cell r="IQ38" t="str">
            <v>2259-FY</v>
          </cell>
          <cell r="IR38" t="str">
            <v>2260-FY</v>
          </cell>
        </row>
        <row r="39">
          <cell r="C39">
            <v>2011</v>
          </cell>
          <cell r="D39">
            <v>2012</v>
          </cell>
          <cell r="E39">
            <v>2013</v>
          </cell>
          <cell r="F39">
            <v>2014</v>
          </cell>
          <cell r="G39">
            <v>2015</v>
          </cell>
          <cell r="H39">
            <v>2016</v>
          </cell>
          <cell r="I39">
            <v>2017</v>
          </cell>
          <cell r="J39">
            <v>2018</v>
          </cell>
          <cell r="K39">
            <v>2019</v>
          </cell>
          <cell r="L39">
            <v>2020</v>
          </cell>
          <cell r="M39">
            <v>2021</v>
          </cell>
          <cell r="N39">
            <v>2022</v>
          </cell>
          <cell r="O39">
            <v>2023</v>
          </cell>
          <cell r="P39">
            <v>2024</v>
          </cell>
          <cell r="Q39">
            <v>2025</v>
          </cell>
          <cell r="R39">
            <v>2026</v>
          </cell>
          <cell r="S39">
            <v>2027</v>
          </cell>
          <cell r="T39">
            <v>2028</v>
          </cell>
          <cell r="U39">
            <v>2029</v>
          </cell>
          <cell r="V39">
            <v>2030</v>
          </cell>
          <cell r="W39">
            <v>2031</v>
          </cell>
          <cell r="X39">
            <v>2032</v>
          </cell>
          <cell r="Y39">
            <v>2033</v>
          </cell>
          <cell r="Z39">
            <v>2034</v>
          </cell>
          <cell r="AA39">
            <v>2035</v>
          </cell>
          <cell r="AB39">
            <v>2036</v>
          </cell>
          <cell r="AC39">
            <v>2037</v>
          </cell>
          <cell r="AD39">
            <v>2038</v>
          </cell>
          <cell r="AE39">
            <v>2039</v>
          </cell>
          <cell r="AF39">
            <v>2040</v>
          </cell>
          <cell r="AG39">
            <v>2041</v>
          </cell>
          <cell r="AH39">
            <v>2042</v>
          </cell>
          <cell r="AI39">
            <v>2043</v>
          </cell>
          <cell r="AJ39">
            <v>2044</v>
          </cell>
          <cell r="AK39">
            <v>2045</v>
          </cell>
          <cell r="AL39">
            <v>2046</v>
          </cell>
          <cell r="AM39">
            <v>2047</v>
          </cell>
          <cell r="AN39">
            <v>2048</v>
          </cell>
          <cell r="AO39">
            <v>2049</v>
          </cell>
          <cell r="AP39">
            <v>2050</v>
          </cell>
          <cell r="AQ39">
            <v>2051</v>
          </cell>
          <cell r="AR39">
            <v>2052</v>
          </cell>
          <cell r="AS39">
            <v>2053</v>
          </cell>
          <cell r="AT39">
            <v>2054</v>
          </cell>
          <cell r="AU39">
            <v>2055</v>
          </cell>
          <cell r="AV39">
            <v>2056</v>
          </cell>
          <cell r="AW39">
            <v>2057</v>
          </cell>
          <cell r="AX39">
            <v>2058</v>
          </cell>
          <cell r="AY39">
            <v>2059</v>
          </cell>
          <cell r="AZ39">
            <v>2060</v>
          </cell>
          <cell r="BA39">
            <v>2061</v>
          </cell>
          <cell r="BB39">
            <v>2062</v>
          </cell>
          <cell r="BC39">
            <v>2063</v>
          </cell>
          <cell r="BD39">
            <v>2064</v>
          </cell>
          <cell r="BE39">
            <v>2065</v>
          </cell>
          <cell r="BF39">
            <v>2066</v>
          </cell>
          <cell r="BG39">
            <v>2067</v>
          </cell>
          <cell r="BH39">
            <v>2068</v>
          </cell>
          <cell r="BI39">
            <v>2069</v>
          </cell>
          <cell r="BJ39">
            <v>2070</v>
          </cell>
          <cell r="BK39">
            <v>2071</v>
          </cell>
          <cell r="BL39">
            <v>2072</v>
          </cell>
          <cell r="BM39">
            <v>2073</v>
          </cell>
          <cell r="BN39">
            <v>2074</v>
          </cell>
          <cell r="BO39">
            <v>2075</v>
          </cell>
          <cell r="BP39">
            <v>2076</v>
          </cell>
          <cell r="BQ39">
            <v>2077</v>
          </cell>
          <cell r="BR39">
            <v>2078</v>
          </cell>
          <cell r="BS39">
            <v>2079</v>
          </cell>
          <cell r="BT39">
            <v>2080</v>
          </cell>
          <cell r="BU39">
            <v>2081</v>
          </cell>
          <cell r="BV39">
            <v>2082</v>
          </cell>
          <cell r="BW39">
            <v>2083</v>
          </cell>
          <cell r="BX39">
            <v>2084</v>
          </cell>
          <cell r="BY39">
            <v>2085</v>
          </cell>
          <cell r="BZ39">
            <v>2086</v>
          </cell>
          <cell r="CA39">
            <v>2087</v>
          </cell>
          <cell r="CB39">
            <v>2088</v>
          </cell>
          <cell r="CC39">
            <v>2089</v>
          </cell>
          <cell r="CD39">
            <v>2090</v>
          </cell>
          <cell r="CE39">
            <v>2091</v>
          </cell>
          <cell r="CF39">
            <v>2092</v>
          </cell>
          <cell r="CG39">
            <v>2093</v>
          </cell>
          <cell r="CH39">
            <v>2094</v>
          </cell>
          <cell r="CI39">
            <v>2095</v>
          </cell>
          <cell r="CJ39">
            <v>2096</v>
          </cell>
          <cell r="CK39">
            <v>2097</v>
          </cell>
          <cell r="CL39">
            <v>2098</v>
          </cell>
          <cell r="CM39">
            <v>2099</v>
          </cell>
          <cell r="CN39">
            <v>2100</v>
          </cell>
          <cell r="CO39">
            <v>2101</v>
          </cell>
          <cell r="CP39">
            <v>2102</v>
          </cell>
          <cell r="CQ39">
            <v>2103</v>
          </cell>
          <cell r="CR39">
            <v>2104</v>
          </cell>
          <cell r="CS39">
            <v>2105</v>
          </cell>
          <cell r="CT39">
            <v>2106</v>
          </cell>
          <cell r="CU39">
            <v>2107</v>
          </cell>
          <cell r="CV39">
            <v>2108</v>
          </cell>
          <cell r="CW39">
            <v>2109</v>
          </cell>
          <cell r="CX39">
            <v>2110</v>
          </cell>
          <cell r="CY39">
            <v>2111</v>
          </cell>
          <cell r="CZ39">
            <v>2112</v>
          </cell>
          <cell r="DA39">
            <v>2113</v>
          </cell>
          <cell r="DB39">
            <v>2114</v>
          </cell>
          <cell r="DC39">
            <v>2115</v>
          </cell>
          <cell r="DD39">
            <v>2116</v>
          </cell>
          <cell r="DE39">
            <v>2117</v>
          </cell>
          <cell r="DF39">
            <v>2118</v>
          </cell>
          <cell r="DG39">
            <v>2119</v>
          </cell>
          <cell r="DH39">
            <v>2120</v>
          </cell>
          <cell r="DI39">
            <v>2121</v>
          </cell>
          <cell r="DJ39">
            <v>2122</v>
          </cell>
          <cell r="DK39">
            <v>2123</v>
          </cell>
          <cell r="DL39">
            <v>2124</v>
          </cell>
          <cell r="DM39">
            <v>2125</v>
          </cell>
          <cell r="DN39">
            <v>2126</v>
          </cell>
          <cell r="DO39">
            <v>2127</v>
          </cell>
          <cell r="DP39">
            <v>2128</v>
          </cell>
          <cell r="DQ39">
            <v>2129</v>
          </cell>
          <cell r="DR39">
            <v>2130</v>
          </cell>
          <cell r="DS39">
            <v>2131</v>
          </cell>
          <cell r="DT39">
            <v>2132</v>
          </cell>
          <cell r="DU39">
            <v>2133</v>
          </cell>
          <cell r="DV39">
            <v>2134</v>
          </cell>
          <cell r="DW39">
            <v>2135</v>
          </cell>
          <cell r="DX39">
            <v>2136</v>
          </cell>
          <cell r="DY39">
            <v>2137</v>
          </cell>
          <cell r="DZ39">
            <v>2138</v>
          </cell>
          <cell r="EA39">
            <v>2139</v>
          </cell>
          <cell r="EB39">
            <v>2140</v>
          </cell>
          <cell r="EC39">
            <v>2141</v>
          </cell>
          <cell r="ED39">
            <v>2142</v>
          </cell>
          <cell r="EE39">
            <v>2143</v>
          </cell>
          <cell r="EF39">
            <v>2144</v>
          </cell>
          <cell r="EG39">
            <v>2145</v>
          </cell>
          <cell r="EH39">
            <v>2146</v>
          </cell>
          <cell r="EI39">
            <v>2147</v>
          </cell>
          <cell r="EJ39">
            <v>2148</v>
          </cell>
          <cell r="EK39">
            <v>2149</v>
          </cell>
          <cell r="EL39">
            <v>2150</v>
          </cell>
          <cell r="EM39">
            <v>2151</v>
          </cell>
          <cell r="EN39">
            <v>2152</v>
          </cell>
          <cell r="EO39">
            <v>2153</v>
          </cell>
          <cell r="EP39">
            <v>2154</v>
          </cell>
          <cell r="EQ39">
            <v>2155</v>
          </cell>
          <cell r="ER39">
            <v>2156</v>
          </cell>
          <cell r="ES39">
            <v>2157</v>
          </cell>
          <cell r="ET39">
            <v>2158</v>
          </cell>
          <cell r="EU39">
            <v>2159</v>
          </cell>
          <cell r="EV39">
            <v>2160</v>
          </cell>
          <cell r="EW39">
            <v>2161</v>
          </cell>
          <cell r="EX39">
            <v>2162</v>
          </cell>
          <cell r="EY39">
            <v>2163</v>
          </cell>
          <cell r="EZ39">
            <v>2164</v>
          </cell>
          <cell r="FA39">
            <v>2165</v>
          </cell>
          <cell r="FB39">
            <v>2166</v>
          </cell>
          <cell r="FC39">
            <v>2167</v>
          </cell>
          <cell r="FD39">
            <v>2168</v>
          </cell>
          <cell r="FE39">
            <v>2169</v>
          </cell>
          <cell r="FF39">
            <v>2170</v>
          </cell>
          <cell r="FG39">
            <v>2171</v>
          </cell>
          <cell r="FH39">
            <v>2172</v>
          </cell>
          <cell r="FI39">
            <v>2173</v>
          </cell>
          <cell r="FJ39">
            <v>2174</v>
          </cell>
          <cell r="FK39">
            <v>2175</v>
          </cell>
          <cell r="FL39">
            <v>2176</v>
          </cell>
          <cell r="FM39">
            <v>2177</v>
          </cell>
          <cell r="FN39">
            <v>2178</v>
          </cell>
          <cell r="FO39">
            <v>2179</v>
          </cell>
          <cell r="FP39">
            <v>2180</v>
          </cell>
          <cell r="FQ39">
            <v>2181</v>
          </cell>
          <cell r="FR39">
            <v>2182</v>
          </cell>
          <cell r="FS39">
            <v>2183</v>
          </cell>
          <cell r="FT39">
            <v>2184</v>
          </cell>
          <cell r="FU39">
            <v>2185</v>
          </cell>
          <cell r="FV39">
            <v>2186</v>
          </cell>
          <cell r="FW39">
            <v>2187</v>
          </cell>
          <cell r="FX39">
            <v>2188</v>
          </cell>
          <cell r="FY39">
            <v>2189</v>
          </cell>
          <cell r="FZ39">
            <v>2190</v>
          </cell>
          <cell r="GA39">
            <v>2191</v>
          </cell>
          <cell r="GB39">
            <v>2192</v>
          </cell>
          <cell r="GC39">
            <v>2193</v>
          </cell>
          <cell r="GD39">
            <v>2194</v>
          </cell>
          <cell r="GE39">
            <v>2195</v>
          </cell>
          <cell r="GF39">
            <v>2196</v>
          </cell>
          <cell r="GG39">
            <v>2197</v>
          </cell>
          <cell r="GH39">
            <v>2198</v>
          </cell>
          <cell r="GI39">
            <v>2199</v>
          </cell>
          <cell r="GJ39">
            <v>2200</v>
          </cell>
          <cell r="GK39">
            <v>2201</v>
          </cell>
          <cell r="GL39">
            <v>2202</v>
          </cell>
          <cell r="GM39">
            <v>2203</v>
          </cell>
          <cell r="GN39">
            <v>2204</v>
          </cell>
          <cell r="GO39">
            <v>2205</v>
          </cell>
          <cell r="GP39">
            <v>2206</v>
          </cell>
          <cell r="GQ39">
            <v>2207</v>
          </cell>
          <cell r="GR39">
            <v>2208</v>
          </cell>
          <cell r="GS39">
            <v>2209</v>
          </cell>
          <cell r="GT39">
            <v>2210</v>
          </cell>
          <cell r="GU39">
            <v>2211</v>
          </cell>
          <cell r="GV39">
            <v>2212</v>
          </cell>
          <cell r="GW39">
            <v>2213</v>
          </cell>
          <cell r="GX39">
            <v>2214</v>
          </cell>
          <cell r="GY39">
            <v>2215</v>
          </cell>
          <cell r="GZ39">
            <v>2216</v>
          </cell>
          <cell r="HA39">
            <v>2217</v>
          </cell>
          <cell r="HB39">
            <v>2218</v>
          </cell>
          <cell r="HC39">
            <v>2219</v>
          </cell>
          <cell r="HD39">
            <v>2220</v>
          </cell>
          <cell r="HE39">
            <v>2221</v>
          </cell>
          <cell r="HF39">
            <v>2222</v>
          </cell>
          <cell r="HG39">
            <v>2223</v>
          </cell>
          <cell r="HH39">
            <v>2224</v>
          </cell>
          <cell r="HI39">
            <v>2225</v>
          </cell>
          <cell r="HJ39">
            <v>2226</v>
          </cell>
          <cell r="HK39">
            <v>2227</v>
          </cell>
          <cell r="HL39">
            <v>2228</v>
          </cell>
          <cell r="HM39">
            <v>2229</v>
          </cell>
          <cell r="HN39">
            <v>2230</v>
          </cell>
          <cell r="HO39">
            <v>2231</v>
          </cell>
          <cell r="HP39">
            <v>2232</v>
          </cell>
          <cell r="HQ39">
            <v>2233</v>
          </cell>
          <cell r="HR39">
            <v>2234</v>
          </cell>
          <cell r="HS39">
            <v>2235</v>
          </cell>
          <cell r="HT39">
            <v>2236</v>
          </cell>
          <cell r="HU39">
            <v>2237</v>
          </cell>
          <cell r="HV39">
            <v>2238</v>
          </cell>
          <cell r="HW39">
            <v>2239</v>
          </cell>
          <cell r="HX39">
            <v>2240</v>
          </cell>
          <cell r="HY39">
            <v>2241</v>
          </cell>
          <cell r="HZ39">
            <v>2242</v>
          </cell>
          <cell r="IA39">
            <v>2243</v>
          </cell>
          <cell r="IB39">
            <v>2244</v>
          </cell>
          <cell r="IC39">
            <v>2245</v>
          </cell>
          <cell r="ID39">
            <v>2246</v>
          </cell>
          <cell r="IE39">
            <v>2247</v>
          </cell>
          <cell r="IF39">
            <v>2248</v>
          </cell>
          <cell r="IG39">
            <v>2249</v>
          </cell>
          <cell r="IH39">
            <v>2250</v>
          </cell>
          <cell r="II39">
            <v>2251</v>
          </cell>
          <cell r="IJ39">
            <v>2252</v>
          </cell>
          <cell r="IK39">
            <v>2253</v>
          </cell>
          <cell r="IL39">
            <v>2254</v>
          </cell>
          <cell r="IM39">
            <v>2255</v>
          </cell>
          <cell r="IN39">
            <v>2256</v>
          </cell>
          <cell r="IO39">
            <v>2257</v>
          </cell>
          <cell r="IP39">
            <v>2258</v>
          </cell>
          <cell r="IQ39">
            <v>2259</v>
          </cell>
          <cell r="IR39">
            <v>2260</v>
          </cell>
        </row>
        <row r="40">
          <cell r="C40" t="str">
            <v>F2011e</v>
          </cell>
          <cell r="D40" t="str">
            <v>F2012e</v>
          </cell>
          <cell r="E40" t="str">
            <v>F2013e</v>
          </cell>
          <cell r="F40" t="str">
            <v>F2014e</v>
          </cell>
          <cell r="G40" t="str">
            <v>F2015e</v>
          </cell>
          <cell r="H40" t="str">
            <v>F2016e</v>
          </cell>
          <cell r="I40" t="str">
            <v>F2017e</v>
          </cell>
          <cell r="J40" t="str">
            <v>F2018e</v>
          </cell>
          <cell r="K40" t="str">
            <v>F2019e</v>
          </cell>
          <cell r="L40" t="str">
            <v>F2020e</v>
          </cell>
          <cell r="M40" t="str">
            <v>F2021e</v>
          </cell>
          <cell r="N40" t="str">
            <v>F2022e</v>
          </cell>
          <cell r="O40" t="str">
            <v>F2023e</v>
          </cell>
          <cell r="P40" t="str">
            <v>F2024e</v>
          </cell>
          <cell r="Q40" t="str">
            <v>F2025e</v>
          </cell>
          <cell r="R40" t="str">
            <v>F2026e</v>
          </cell>
          <cell r="S40" t="str">
            <v>F2027e</v>
          </cell>
          <cell r="T40" t="str">
            <v>F2028e</v>
          </cell>
          <cell r="U40" t="str">
            <v>F2029e</v>
          </cell>
          <cell r="V40" t="str">
            <v>F2030e</v>
          </cell>
          <cell r="W40" t="str">
            <v>F2031e</v>
          </cell>
          <cell r="X40" t="str">
            <v>F2032e</v>
          </cell>
          <cell r="Y40" t="str">
            <v>F2033e</v>
          </cell>
          <cell r="Z40" t="str">
            <v>F2034e</v>
          </cell>
          <cell r="AA40" t="str">
            <v>F2035e</v>
          </cell>
          <cell r="AB40" t="str">
            <v>F2036e</v>
          </cell>
          <cell r="AC40" t="str">
            <v>F2037e</v>
          </cell>
          <cell r="AD40" t="str">
            <v>F2038e</v>
          </cell>
          <cell r="AE40" t="str">
            <v>F2039e</v>
          </cell>
          <cell r="AF40" t="str">
            <v>F2040e</v>
          </cell>
          <cell r="AG40" t="str">
            <v>F2041e</v>
          </cell>
          <cell r="AH40" t="str">
            <v>F2042e</v>
          </cell>
          <cell r="AI40" t="str">
            <v>F2043e</v>
          </cell>
          <cell r="AJ40" t="str">
            <v>F2044e</v>
          </cell>
          <cell r="AK40" t="str">
            <v>F2045e</v>
          </cell>
          <cell r="AL40" t="str">
            <v>F2046e</v>
          </cell>
          <cell r="AM40" t="str">
            <v>F2047e</v>
          </cell>
          <cell r="AN40" t="str">
            <v>F2048e</v>
          </cell>
          <cell r="AO40" t="str">
            <v>F2049e</v>
          </cell>
          <cell r="AP40" t="str">
            <v>F2050e</v>
          </cell>
          <cell r="AQ40" t="str">
            <v>F2051e</v>
          </cell>
          <cell r="AR40" t="str">
            <v>F2052e</v>
          </cell>
          <cell r="AS40" t="str">
            <v>F2053e</v>
          </cell>
          <cell r="AT40" t="str">
            <v>F2054e</v>
          </cell>
          <cell r="AU40" t="str">
            <v>F2055e</v>
          </cell>
          <cell r="AV40" t="str">
            <v>F2056e</v>
          </cell>
          <cell r="AW40" t="str">
            <v>F2057e</v>
          </cell>
          <cell r="AX40" t="str">
            <v>F2058e</v>
          </cell>
          <cell r="AY40" t="str">
            <v>F2059e</v>
          </cell>
          <cell r="AZ40" t="str">
            <v>F2060e</v>
          </cell>
          <cell r="BA40" t="str">
            <v>F2061e</v>
          </cell>
          <cell r="BB40" t="str">
            <v>F2062e</v>
          </cell>
          <cell r="BC40" t="str">
            <v>F2063e</v>
          </cell>
          <cell r="BD40" t="str">
            <v>F2064e</v>
          </cell>
          <cell r="BE40" t="str">
            <v>F2065e</v>
          </cell>
          <cell r="BF40" t="str">
            <v>F2066e</v>
          </cell>
          <cell r="BG40" t="str">
            <v>F2067e</v>
          </cell>
          <cell r="BH40" t="str">
            <v>F2068e</v>
          </cell>
          <cell r="BI40" t="str">
            <v>F2069e</v>
          </cell>
          <cell r="BJ40" t="str">
            <v>F2070e</v>
          </cell>
          <cell r="BK40" t="str">
            <v>F2071e</v>
          </cell>
          <cell r="BL40" t="str">
            <v>F2072e</v>
          </cell>
          <cell r="BM40" t="str">
            <v>F2073e</v>
          </cell>
          <cell r="BN40" t="str">
            <v>F2074e</v>
          </cell>
          <cell r="BO40" t="str">
            <v>F2075e</v>
          </cell>
          <cell r="BP40" t="str">
            <v>F2076e</v>
          </cell>
          <cell r="BQ40" t="str">
            <v>F2077e</v>
          </cell>
          <cell r="BR40" t="str">
            <v>F2078e</v>
          </cell>
          <cell r="BS40" t="str">
            <v>F2079e</v>
          </cell>
          <cell r="BT40" t="str">
            <v>F2080e</v>
          </cell>
          <cell r="BU40" t="str">
            <v>F2081e</v>
          </cell>
          <cell r="BV40" t="str">
            <v>F2082e</v>
          </cell>
          <cell r="BW40" t="str">
            <v>F2083e</v>
          </cell>
          <cell r="BX40" t="str">
            <v>F2084e</v>
          </cell>
          <cell r="BY40" t="str">
            <v>F2085e</v>
          </cell>
          <cell r="BZ40" t="str">
            <v>F2086e</v>
          </cell>
          <cell r="CA40" t="str">
            <v>F2087e</v>
          </cell>
          <cell r="CB40" t="str">
            <v>F2088e</v>
          </cell>
          <cell r="CC40" t="str">
            <v>F2089e</v>
          </cell>
          <cell r="CD40" t="str">
            <v>F2090e</v>
          </cell>
          <cell r="CE40" t="str">
            <v>F2091e</v>
          </cell>
          <cell r="CF40" t="str">
            <v>F2092e</v>
          </cell>
          <cell r="CG40" t="str">
            <v>F2093e</v>
          </cell>
          <cell r="CH40" t="str">
            <v>F2094e</v>
          </cell>
          <cell r="CI40" t="str">
            <v>F2095e</v>
          </cell>
          <cell r="CJ40" t="str">
            <v>F2096e</v>
          </cell>
          <cell r="CK40" t="str">
            <v>F2097e</v>
          </cell>
          <cell r="CL40" t="str">
            <v>F2098e</v>
          </cell>
          <cell r="CM40" t="str">
            <v>F2099e</v>
          </cell>
          <cell r="CN40" t="str">
            <v>F2100e</v>
          </cell>
          <cell r="CO40" t="str">
            <v>F2101e</v>
          </cell>
          <cell r="CP40" t="str">
            <v>F2102e</v>
          </cell>
          <cell r="CQ40" t="str">
            <v>F2103e</v>
          </cell>
          <cell r="CR40" t="str">
            <v>F2104e</v>
          </cell>
          <cell r="CS40" t="str">
            <v>F2105e</v>
          </cell>
          <cell r="CT40" t="str">
            <v>F2106e</v>
          </cell>
          <cell r="CU40" t="str">
            <v>F2107e</v>
          </cell>
          <cell r="CV40" t="str">
            <v>F2108e</v>
          </cell>
          <cell r="CW40" t="str">
            <v>F2109e</v>
          </cell>
          <cell r="CX40" t="str">
            <v>F2110e</v>
          </cell>
          <cell r="CY40" t="str">
            <v>F2111e</v>
          </cell>
          <cell r="CZ40" t="str">
            <v>F2112e</v>
          </cell>
          <cell r="DA40" t="str">
            <v>F2113e</v>
          </cell>
          <cell r="DB40" t="str">
            <v>F2114e</v>
          </cell>
          <cell r="DC40" t="str">
            <v>F2115e</v>
          </cell>
          <cell r="DD40" t="str">
            <v>F2116e</v>
          </cell>
          <cell r="DE40" t="str">
            <v>F2117e</v>
          </cell>
          <cell r="DF40" t="str">
            <v>F2118e</v>
          </cell>
          <cell r="DG40" t="str">
            <v>F2119e</v>
          </cell>
          <cell r="DH40" t="str">
            <v>F2120e</v>
          </cell>
          <cell r="DI40" t="str">
            <v>F2121e</v>
          </cell>
          <cell r="DJ40" t="str">
            <v>F2122e</v>
          </cell>
          <cell r="DK40" t="str">
            <v>F2123e</v>
          </cell>
          <cell r="DL40" t="str">
            <v>F2124e</v>
          </cell>
          <cell r="DM40" t="str">
            <v>F2125e</v>
          </cell>
          <cell r="DN40" t="str">
            <v>F2126e</v>
          </cell>
          <cell r="DO40" t="str">
            <v>F2127e</v>
          </cell>
          <cell r="DP40" t="str">
            <v>F2128e</v>
          </cell>
          <cell r="DQ40" t="str">
            <v>F2129e</v>
          </cell>
          <cell r="DR40" t="str">
            <v>F2130e</v>
          </cell>
          <cell r="DS40" t="str">
            <v>F2131e</v>
          </cell>
          <cell r="DT40" t="str">
            <v>F2132e</v>
          </cell>
          <cell r="DU40" t="str">
            <v>F2133e</v>
          </cell>
          <cell r="DV40" t="str">
            <v>F2134e</v>
          </cell>
          <cell r="DW40" t="str">
            <v>F2135e</v>
          </cell>
          <cell r="DX40" t="str">
            <v>F2136e</v>
          </cell>
          <cell r="DY40" t="str">
            <v>F2137e</v>
          </cell>
          <cell r="DZ40" t="str">
            <v>F2138e</v>
          </cell>
          <cell r="EA40" t="str">
            <v>F2139e</v>
          </cell>
          <cell r="EB40" t="str">
            <v>F2140e</v>
          </cell>
          <cell r="EC40" t="str">
            <v>F2141e</v>
          </cell>
          <cell r="ED40" t="str">
            <v>F2142e</v>
          </cell>
          <cell r="EE40" t="str">
            <v>F2143e</v>
          </cell>
          <cell r="EF40" t="str">
            <v>F2144e</v>
          </cell>
          <cell r="EG40" t="str">
            <v>F2145e</v>
          </cell>
          <cell r="EH40" t="str">
            <v>F2146e</v>
          </cell>
          <cell r="EI40" t="str">
            <v>F2147e</v>
          </cell>
          <cell r="EJ40" t="str">
            <v>F2148e</v>
          </cell>
          <cell r="EK40" t="str">
            <v>F2149e</v>
          </cell>
          <cell r="EL40" t="str">
            <v>F2150e</v>
          </cell>
          <cell r="EM40" t="str">
            <v>F2151e</v>
          </cell>
          <cell r="EN40" t="str">
            <v>F2152e</v>
          </cell>
          <cell r="EO40" t="str">
            <v>F2153e</v>
          </cell>
          <cell r="EP40" t="str">
            <v>F2154e</v>
          </cell>
          <cell r="EQ40" t="str">
            <v>F2155e</v>
          </cell>
          <cell r="ER40" t="str">
            <v>F2156e</v>
          </cell>
          <cell r="ES40" t="str">
            <v>F2157e</v>
          </cell>
          <cell r="ET40" t="str">
            <v>F2158e</v>
          </cell>
          <cell r="EU40" t="str">
            <v>F2159e</v>
          </cell>
          <cell r="EV40" t="str">
            <v>F2160e</v>
          </cell>
          <cell r="EW40" t="str">
            <v>F2161e</v>
          </cell>
          <cell r="EX40" t="str">
            <v>F2162e</v>
          </cell>
          <cell r="EY40" t="str">
            <v>F2163e</v>
          </cell>
          <cell r="EZ40" t="str">
            <v>F2164e</v>
          </cell>
          <cell r="FA40" t="str">
            <v>F2165e</v>
          </cell>
          <cell r="FB40" t="str">
            <v>F2166e</v>
          </cell>
          <cell r="FC40" t="str">
            <v>F2167e</v>
          </cell>
          <cell r="FD40" t="str">
            <v>F2168e</v>
          </cell>
          <cell r="FE40" t="str">
            <v>F2169e</v>
          </cell>
          <cell r="FF40" t="str">
            <v>F2170e</v>
          </cell>
          <cell r="FG40" t="str">
            <v>F2171e</v>
          </cell>
          <cell r="FH40" t="str">
            <v>F2172e</v>
          </cell>
          <cell r="FI40" t="str">
            <v>F2173e</v>
          </cell>
          <cell r="FJ40" t="str">
            <v>F2174e</v>
          </cell>
          <cell r="FK40" t="str">
            <v>F2175e</v>
          </cell>
          <cell r="FL40" t="str">
            <v>F2176e</v>
          </cell>
          <cell r="FM40" t="str">
            <v>F2177e</v>
          </cell>
          <cell r="FN40" t="str">
            <v>F2178e</v>
          </cell>
          <cell r="FO40" t="str">
            <v>F2179e</v>
          </cell>
          <cell r="FP40" t="str">
            <v>F2180e</v>
          </cell>
          <cell r="FQ40" t="str">
            <v>F2181e</v>
          </cell>
          <cell r="FR40" t="str">
            <v>F2182e</v>
          </cell>
          <cell r="FS40" t="str">
            <v>F2183e</v>
          </cell>
          <cell r="FT40" t="str">
            <v>F2184e</v>
          </cell>
          <cell r="FU40" t="str">
            <v>F2185e</v>
          </cell>
          <cell r="FV40" t="str">
            <v>F2186e</v>
          </cell>
          <cell r="FW40" t="str">
            <v>F2187e</v>
          </cell>
          <cell r="FX40" t="str">
            <v>F2188e</v>
          </cell>
          <cell r="FY40" t="str">
            <v>F2189e</v>
          </cell>
          <cell r="FZ40" t="str">
            <v>F2190e</v>
          </cell>
          <cell r="GA40" t="str">
            <v>F2191e</v>
          </cell>
          <cell r="GB40" t="str">
            <v>F2192e</v>
          </cell>
          <cell r="GC40" t="str">
            <v>F2193e</v>
          </cell>
          <cell r="GD40" t="str">
            <v>F2194e</v>
          </cell>
          <cell r="GE40" t="str">
            <v>F2195e</v>
          </cell>
          <cell r="GF40" t="str">
            <v>F2196e</v>
          </cell>
          <cell r="GG40" t="str">
            <v>F2197e</v>
          </cell>
          <cell r="GH40" t="str">
            <v>F2198e</v>
          </cell>
          <cell r="GI40" t="str">
            <v>F2199e</v>
          </cell>
          <cell r="GJ40" t="str">
            <v>F2200e</v>
          </cell>
          <cell r="GK40" t="str">
            <v>F2201e</v>
          </cell>
          <cell r="GL40" t="str">
            <v>F2202e</v>
          </cell>
          <cell r="GM40" t="str">
            <v>F2203e</v>
          </cell>
          <cell r="GN40" t="str">
            <v>F2204e</v>
          </cell>
          <cell r="GO40" t="str">
            <v>F2205e</v>
          </cell>
          <cell r="GP40" t="str">
            <v>F2206e</v>
          </cell>
          <cell r="GQ40" t="str">
            <v>F2207e</v>
          </cell>
          <cell r="GR40" t="str">
            <v>F2208e</v>
          </cell>
          <cell r="GS40" t="str">
            <v>F2209e</v>
          </cell>
          <cell r="GT40" t="str">
            <v>F2210e</v>
          </cell>
          <cell r="GU40" t="str">
            <v>F2211e</v>
          </cell>
          <cell r="GV40" t="str">
            <v>F2212e</v>
          </cell>
          <cell r="GW40" t="str">
            <v>F2213e</v>
          </cell>
          <cell r="GX40" t="str">
            <v>F2214e</v>
          </cell>
          <cell r="GY40" t="str">
            <v>F2215e</v>
          </cell>
          <cell r="GZ40" t="str">
            <v>F2216e</v>
          </cell>
          <cell r="HA40" t="str">
            <v>F2217e</v>
          </cell>
          <cell r="HB40" t="str">
            <v>F2218e</v>
          </cell>
          <cell r="HC40" t="str">
            <v>F2219e</v>
          </cell>
          <cell r="HD40" t="str">
            <v>F2220e</v>
          </cell>
          <cell r="HE40" t="str">
            <v>F2221e</v>
          </cell>
          <cell r="HF40" t="str">
            <v>F2222e</v>
          </cell>
          <cell r="HG40" t="str">
            <v>F2223e</v>
          </cell>
          <cell r="HH40" t="str">
            <v>F2224e</v>
          </cell>
          <cell r="HI40" t="str">
            <v>F2225e</v>
          </cell>
          <cell r="HJ40" t="str">
            <v>F2226e</v>
          </cell>
          <cell r="HK40" t="str">
            <v>F2227e</v>
          </cell>
          <cell r="HL40" t="str">
            <v>F2228e</v>
          </cell>
          <cell r="HM40" t="str">
            <v>F2229e</v>
          </cell>
          <cell r="HN40" t="str">
            <v>F2230e</v>
          </cell>
          <cell r="HO40" t="str">
            <v>F2231e</v>
          </cell>
          <cell r="HP40" t="str">
            <v>F2232e</v>
          </cell>
          <cell r="HQ40" t="str">
            <v>F2233e</v>
          </cell>
          <cell r="HR40" t="str">
            <v>F2234e</v>
          </cell>
          <cell r="HS40" t="str">
            <v>F2235e</v>
          </cell>
          <cell r="HT40" t="str">
            <v>F2236e</v>
          </cell>
          <cell r="HU40" t="str">
            <v>F2237e</v>
          </cell>
          <cell r="HV40" t="str">
            <v>F2238e</v>
          </cell>
          <cell r="HW40" t="str">
            <v>F2239e</v>
          </cell>
          <cell r="HX40" t="str">
            <v>F2240e</v>
          </cell>
          <cell r="HY40" t="str">
            <v>F2241e</v>
          </cell>
          <cell r="HZ40" t="str">
            <v>F2242e</v>
          </cell>
          <cell r="IA40" t="str">
            <v>F2243e</v>
          </cell>
          <cell r="IB40" t="str">
            <v>F2244e</v>
          </cell>
          <cell r="IC40" t="str">
            <v>F2245e</v>
          </cell>
          <cell r="ID40" t="str">
            <v>F2246e</v>
          </cell>
          <cell r="IE40" t="str">
            <v>F2247e</v>
          </cell>
          <cell r="IF40" t="str">
            <v>F2248e</v>
          </cell>
          <cell r="IG40" t="str">
            <v>F2249e</v>
          </cell>
          <cell r="IH40" t="str">
            <v>F2250e</v>
          </cell>
          <cell r="II40" t="str">
            <v>F2251e</v>
          </cell>
          <cell r="IJ40" t="str">
            <v>F2252e</v>
          </cell>
          <cell r="IK40" t="str">
            <v>F2253e</v>
          </cell>
          <cell r="IL40" t="str">
            <v>F2254e</v>
          </cell>
          <cell r="IM40" t="str">
            <v>F2255e</v>
          </cell>
          <cell r="IN40" t="str">
            <v>F2256e</v>
          </cell>
          <cell r="IO40" t="str">
            <v>F2257e</v>
          </cell>
          <cell r="IP40" t="str">
            <v>F2258e</v>
          </cell>
          <cell r="IQ40" t="str">
            <v>F2259e</v>
          </cell>
          <cell r="IR40" t="str">
            <v>F2260e</v>
          </cell>
        </row>
        <row r="41">
          <cell r="B41" t="str">
            <v>Income Statement</v>
          </cell>
        </row>
        <row r="42">
          <cell r="B42" t="str">
            <v>Operating revenue</v>
          </cell>
          <cell r="C42">
            <v>36528</v>
          </cell>
          <cell r="D42">
            <v>39760</v>
          </cell>
          <cell r="E42">
            <v>41195.110053662756</v>
          </cell>
          <cell r="F42">
            <v>45385.722338539068</v>
          </cell>
          <cell r="G42">
            <v>47648.961380078537</v>
          </cell>
          <cell r="H42">
            <v>49925.629418313059</v>
          </cell>
          <cell r="I42">
            <v>52536.355185387758</v>
          </cell>
          <cell r="J42">
            <v>54106.910091599741</v>
          </cell>
          <cell r="K42">
            <v>56151.535698609536</v>
          </cell>
          <cell r="L42">
            <v>58588.268339333903</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0</v>
          </cell>
          <cell r="GK42">
            <v>0</v>
          </cell>
          <cell r="GL42">
            <v>0</v>
          </cell>
          <cell r="GM42">
            <v>0</v>
          </cell>
          <cell r="GN42">
            <v>0</v>
          </cell>
          <cell r="GO42">
            <v>0</v>
          </cell>
          <cell r="GP42">
            <v>0</v>
          </cell>
          <cell r="GQ42">
            <v>0</v>
          </cell>
          <cell r="GR42">
            <v>0</v>
          </cell>
          <cell r="GS42">
            <v>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row>
        <row r="43">
          <cell r="B43" t="str">
            <v>Operating expenses</v>
          </cell>
          <cell r="C43">
            <v>32379</v>
          </cell>
          <cell r="D43">
            <v>35800</v>
          </cell>
          <cell r="E43">
            <v>35447.316437240996</v>
          </cell>
          <cell r="F43">
            <v>38352.181920713017</v>
          </cell>
          <cell r="G43">
            <v>40084.446643572024</v>
          </cell>
          <cell r="H43">
            <v>42084.94743018911</v>
          </cell>
          <cell r="I43">
            <v>44207.69909720483</v>
          </cell>
          <cell r="J43">
            <v>45735.910343724368</v>
          </cell>
          <cell r="K43">
            <v>47152.866306054362</v>
          </cell>
          <cell r="L43">
            <v>48605.484401236943</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row>
        <row r="44">
          <cell r="B44" t="str">
            <v>Other operating income (expense)</v>
          </cell>
          <cell r="C44">
            <v>-45</v>
          </cell>
          <cell r="D44">
            <v>-46</v>
          </cell>
          <cell r="E44">
            <v>-43.699999999999996</v>
          </cell>
          <cell r="F44">
            <v>-41.514999999999993</v>
          </cell>
          <cell r="G44">
            <v>-39.439249999999994</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row>
        <row r="45">
          <cell r="B45" t="str">
            <v>Tax expense from operations</v>
          </cell>
          <cell r="C45">
            <v>1232.2529999999999</v>
          </cell>
          <cell r="D45">
            <v>993.96</v>
          </cell>
          <cell r="E45">
            <v>1698.4730136526302</v>
          </cell>
          <cell r="F45">
            <v>2078.411193467598</v>
          </cell>
          <cell r="G45">
            <v>2235.3141046376745</v>
          </cell>
          <cell r="H45">
            <v>2316.9215274906269</v>
          </cell>
          <cell r="I45">
            <v>2461.1178740580553</v>
          </cell>
          <cell r="J45">
            <v>2473.6304254971724</v>
          </cell>
          <cell r="K45">
            <v>2659.1068055000537</v>
          </cell>
          <cell r="L45">
            <v>2949.9126537076513</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row>
        <row r="46">
          <cell r="B46" t="str">
            <v>NOPAT</v>
          </cell>
          <cell r="C46">
            <v>2871.7470000000003</v>
          </cell>
          <cell r="D46">
            <v>2920.04</v>
          </cell>
          <cell r="E46">
            <v>4005.6206027691305</v>
          </cell>
          <cell r="F46">
            <v>4913.6142243584527</v>
          </cell>
          <cell r="G46">
            <v>5289.7613818688387</v>
          </cell>
          <cell r="H46">
            <v>5523.7604606333225</v>
          </cell>
          <cell r="I46">
            <v>5867.5382141248729</v>
          </cell>
          <cell r="J46">
            <v>5897.3693223781993</v>
          </cell>
          <cell r="K46">
            <v>6339.5625870551194</v>
          </cell>
          <cell r="L46">
            <v>7032.8712843893081</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row>
        <row r="47">
          <cell r="B47" t="str">
            <v>Net financial income (expense)</v>
          </cell>
          <cell r="C47">
            <v>-520.923</v>
          </cell>
          <cell r="D47">
            <v>-498.834</v>
          </cell>
          <cell r="E47">
            <v>-469.63558811764676</v>
          </cell>
          <cell r="F47">
            <v>-448.58364816456213</v>
          </cell>
          <cell r="G47">
            <v>-434.18863712338702</v>
          </cell>
          <cell r="H47">
            <v>-336.07625227634821</v>
          </cell>
          <cell r="I47">
            <v>-183.75893810331752</v>
          </cell>
          <cell r="J47">
            <v>-114.9242863913278</v>
          </cell>
          <cell r="K47">
            <v>-37.486742441154433</v>
          </cell>
          <cell r="L47">
            <v>43.868588253392559</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row>
        <row r="48">
          <cell r="B48" t="str">
            <v>Other nonoperating income (expense)</v>
          </cell>
          <cell r="C48">
            <v>119.17599999999993</v>
          </cell>
          <cell r="D48">
            <v>24.794000000000096</v>
          </cell>
          <cell r="E48">
            <v>116.55621745474832</v>
          </cell>
          <cell r="F48">
            <v>187.88029880040199</v>
          </cell>
          <cell r="G48">
            <v>206.91556172599326</v>
          </cell>
          <cell r="H48">
            <v>211.40921135084818</v>
          </cell>
          <cell r="I48">
            <v>236.40761433465696</v>
          </cell>
          <cell r="J48">
            <v>241.37941629174338</v>
          </cell>
          <cell r="K48">
            <v>267.56379344754487</v>
          </cell>
          <cell r="L48">
            <v>306.59938322046264</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row>
        <row r="49">
          <cell r="B49" t="str">
            <v>Net Income</v>
          </cell>
          <cell r="C49">
            <v>2470.0000000000005</v>
          </cell>
          <cell r="D49">
            <v>2446</v>
          </cell>
          <cell r="E49">
            <v>3652.5412321062322</v>
          </cell>
          <cell r="F49">
            <v>4652.9108749942925</v>
          </cell>
          <cell r="G49">
            <v>5062.488306471445</v>
          </cell>
          <cell r="H49">
            <v>5399.0934197078222</v>
          </cell>
          <cell r="I49">
            <v>5920.1868903562117</v>
          </cell>
          <cell r="J49">
            <v>6023.8244522786154</v>
          </cell>
          <cell r="K49">
            <v>6569.6396380615097</v>
          </cell>
          <cell r="L49">
            <v>7383.339255863164</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row>
        <row r="50">
          <cell r="B50" t="str">
            <v>Dividends and net share repurchases</v>
          </cell>
          <cell r="C50">
            <v>1240.4217120000001</v>
          </cell>
          <cell r="D50">
            <v>1364.4638832000001</v>
          </cell>
          <cell r="E50">
            <v>1571.2008352</v>
          </cell>
          <cell r="F50">
            <v>1644.8818945299956</v>
          </cell>
          <cell r="G50">
            <v>1958.0038994665597</v>
          </cell>
          <cell r="H50">
            <v>2113.5651331865415</v>
          </cell>
          <cell r="I50">
            <v>2243.9002414052084</v>
          </cell>
          <cell r="J50">
            <v>2439.1309279394918</v>
          </cell>
          <cell r="K50">
            <v>2488.9823756184132</v>
          </cell>
          <cell r="L50">
            <v>2694.3610786949998</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row>
        <row r="52">
          <cell r="B52" t="str">
            <v>Balance Sheet</v>
          </cell>
        </row>
        <row r="53">
          <cell r="B53" t="str">
            <v>Net operating assets</v>
          </cell>
          <cell r="C53">
            <v>30944</v>
          </cell>
          <cell r="D53">
            <v>31556</v>
          </cell>
          <cell r="E53">
            <v>32730.546286126624</v>
          </cell>
          <cell r="F53">
            <v>33818.947867772236</v>
          </cell>
          <cell r="G53">
            <v>34370.612434577604</v>
          </cell>
          <cell r="H53">
            <v>34876.374879240684</v>
          </cell>
          <cell r="I53">
            <v>35410.307971235939</v>
          </cell>
          <cell r="J53">
            <v>35792.390475296765</v>
          </cell>
          <cell r="K53">
            <v>36235.965172893026</v>
          </cell>
          <cell r="L53">
            <v>36695.475069273722</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row>
        <row r="54">
          <cell r="B54" t="str">
            <v>Net debt (cash)</v>
          </cell>
          <cell r="C54">
            <v>13631</v>
          </cell>
          <cell r="D54">
            <v>15030</v>
          </cell>
          <cell r="E54">
            <v>14029.505889220392</v>
          </cell>
          <cell r="F54">
            <v>12018.363490401702</v>
          </cell>
          <cell r="G54">
            <v>9376.1044002021736</v>
          </cell>
          <cell r="H54">
            <v>6546.338558343974</v>
          </cell>
          <cell r="I54">
            <v>3353.9850013882333</v>
          </cell>
          <cell r="J54">
            <v>101.3739811099349</v>
          </cell>
          <cell r="K54">
            <v>-3585.7085837368959</v>
          </cell>
          <cell r="L54">
            <v>-7865.1768645243592</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row>
        <row r="55">
          <cell r="B55" t="str">
            <v>Other nonoperating liabilities (assets) (ONOLA)</v>
          </cell>
          <cell r="C55">
            <v>-1920</v>
          </cell>
          <cell r="D55">
            <v>-1964</v>
          </cell>
          <cell r="E55">
            <v>-1870.3000000000002</v>
          </cell>
          <cell r="F55">
            <v>-1778.7849999999999</v>
          </cell>
          <cell r="G55">
            <v>-1689.34575</v>
          </cell>
          <cell r="H55">
            <v>-1639.34575</v>
          </cell>
          <cell r="I55">
            <v>-1589.34575</v>
          </cell>
          <cell r="J55">
            <v>-1539.34575</v>
          </cell>
          <cell r="K55">
            <v>-1489.34575</v>
          </cell>
          <cell r="L55">
            <v>-1439.34575</v>
          </cell>
          <cell r="M55">
            <v>0</v>
          </cell>
          <cell r="N55">
            <v>0</v>
          </cell>
          <cell r="O55">
            <v>0</v>
          </cell>
          <cell r="P55">
            <v>0</v>
          </cell>
          <cell r="Q55">
            <v>0</v>
          </cell>
          <cell r="R55">
            <v>0</v>
          </cell>
          <cell r="S55">
            <v>0</v>
          </cell>
          <cell r="T55">
            <v>0</v>
          </cell>
          <cell r="U55">
            <v>0</v>
          </cell>
          <cell r="V55">
            <v>0</v>
          </cell>
          <cell r="W55" t="e">
            <v>#VALUE!</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row>
        <row r="56">
          <cell r="B56" t="str">
            <v>Shareholders' equity</v>
          </cell>
          <cell r="C56">
            <v>19233</v>
          </cell>
          <cell r="D56">
            <v>18490</v>
          </cell>
          <cell r="E56">
            <v>20571.340396906231</v>
          </cell>
          <cell r="F56">
            <v>23579.369377370527</v>
          </cell>
          <cell r="G56">
            <v>26683.85378437542</v>
          </cell>
          <cell r="H56">
            <v>29969.3820708967</v>
          </cell>
          <cell r="I56">
            <v>33645.668719847701</v>
          </cell>
          <cell r="J56">
            <v>37230.362244186828</v>
          </cell>
          <cell r="K56">
            <v>41311.019506629927</v>
          </cell>
          <cell r="L56">
            <v>45999.997683798087</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row>
        <row r="57">
          <cell r="B57" t="str">
            <v>NOA = Invested Capital</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t="e">
            <v>#VALUE!</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row>
        <row r="58">
          <cell r="B58" t="str">
            <v>Dividends per share</v>
          </cell>
          <cell r="C58">
            <v>1.5</v>
          </cell>
          <cell r="D58">
            <v>1.6500000000000001</v>
          </cell>
          <cell r="E58">
            <v>1.9</v>
          </cell>
          <cell r="F58">
            <v>1.9891000116539346</v>
          </cell>
          <cell r="G58">
            <v>2.3677478560612615</v>
          </cell>
          <cell r="H58">
            <v>2.5558627917501435</v>
          </cell>
          <cell r="I58">
            <v>2.7134726275315413</v>
          </cell>
          <cell r="J58">
            <v>2.9495584900800558</v>
          </cell>
          <cell r="K58">
            <v>3.0098421587670661</v>
          </cell>
          <cell r="L58">
            <v>3.2581996743076194</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row>
        <row r="59">
          <cell r="B59" t="str">
            <v>Beginning dividend per share</v>
          </cell>
          <cell r="C59">
            <v>1.4</v>
          </cell>
        </row>
        <row r="60">
          <cell r="B60" t="str">
            <v>Operating Level</v>
          </cell>
        </row>
        <row r="61">
          <cell r="B61" t="str">
            <v>Operating revenue</v>
          </cell>
          <cell r="C61">
            <v>36528</v>
          </cell>
          <cell r="D61">
            <v>39760</v>
          </cell>
          <cell r="E61">
            <v>41195.110053662756</v>
          </cell>
          <cell r="F61">
            <v>45385.722338539068</v>
          </cell>
          <cell r="G61">
            <v>47648.961380078537</v>
          </cell>
          <cell r="H61">
            <v>49925.629418313059</v>
          </cell>
          <cell r="I61">
            <v>52536.355185387758</v>
          </cell>
          <cell r="J61">
            <v>54106.910091599741</v>
          </cell>
          <cell r="K61">
            <v>56151.535698609536</v>
          </cell>
          <cell r="L61">
            <v>58588.268339333903</v>
          </cell>
          <cell r="M61">
            <v>60856.602411426531</v>
          </cell>
          <cell r="N61">
            <v>62928.002484728459</v>
          </cell>
          <cell r="O61">
            <v>64775.45925528618</v>
          </cell>
          <cell r="P61">
            <v>66374.061292871222</v>
          </cell>
          <cell r="Q61">
            <v>67701.542518728646</v>
          </cell>
          <cell r="R61">
            <v>69055.573369103222</v>
          </cell>
          <cell r="S61">
            <v>70436.684836485292</v>
          </cell>
          <cell r="T61">
            <v>71845.418533214994</v>
          </cell>
          <cell r="U61">
            <v>73282.326903879293</v>
          </cell>
          <cell r="V61">
            <v>74747.973441956885</v>
          </cell>
          <cell r="W61">
            <v>76242.932910796022</v>
          </cell>
          <cell r="X61">
            <v>77767.791569011941</v>
          </cell>
          <cell r="Y61">
            <v>79323.147400392176</v>
          </cell>
          <cell r="Z61">
            <v>80909.61034840002</v>
          </cell>
          <cell r="AA61">
            <v>82527.80255536802</v>
          </cell>
          <cell r="AB61">
            <v>84178.358606475376</v>
          </cell>
          <cell r="AC61">
            <v>85861.925778604884</v>
          </cell>
          <cell r="AD61">
            <v>87579.164294176982</v>
          </cell>
          <cell r="AE61">
            <v>89330.747580060517</v>
          </cell>
          <cell r="AF61">
            <v>91117.362531661725</v>
          </cell>
          <cell r="AG61">
            <v>92939.709782294958</v>
          </cell>
          <cell r="AH61">
            <v>94798.503977940854</v>
          </cell>
          <cell r="AI61">
            <v>96694.474057499669</v>
          </cell>
          <cell r="AJ61">
            <v>98628.363538649661</v>
          </cell>
          <cell r="AK61">
            <v>100600.93080942266</v>
          </cell>
          <cell r="AL61">
            <v>102612.94942561111</v>
          </cell>
          <cell r="AM61">
            <v>104665.20841412334</v>
          </cell>
          <cell r="AN61">
            <v>106758.51258240581</v>
          </cell>
          <cell r="AO61">
            <v>108893.68283405392</v>
          </cell>
          <cell r="AP61">
            <v>111071.55649073501</v>
          </cell>
          <cell r="AQ61">
            <v>113292.98762054971</v>
          </cell>
          <cell r="AR61">
            <v>115558.84737296071</v>
          </cell>
          <cell r="AS61">
            <v>117870.02432041992</v>
          </cell>
          <cell r="AT61">
            <v>120227.42480682832</v>
          </cell>
          <cell r="AU61">
            <v>122631.97330296489</v>
          </cell>
          <cell r="AV61">
            <v>125084.6127690242</v>
          </cell>
          <cell r="AW61">
            <v>127586.30502440469</v>
          </cell>
          <cell r="AX61">
            <v>130138.03112489279</v>
          </cell>
          <cell r="AY61">
            <v>132740.79174739064</v>
          </cell>
          <cell r="AZ61">
            <v>135395.60758233845</v>
          </cell>
          <cell r="BA61">
            <v>138103.51973398522</v>
          </cell>
          <cell r="BB61">
            <v>140865.59012866492</v>
          </cell>
          <cell r="BC61">
            <v>143682.90193123822</v>
          </cell>
          <cell r="BD61">
            <v>146556.55996986298</v>
          </cell>
          <cell r="BE61">
            <v>149487.69116926024</v>
          </cell>
          <cell r="BF61">
            <v>152477.44499264544</v>
          </cell>
          <cell r="BG61">
            <v>155526.99389249834</v>
          </cell>
          <cell r="BH61">
            <v>158637.53377034832</v>
          </cell>
          <cell r="BI61">
            <v>161810.2844457553</v>
          </cell>
          <cell r="BJ61">
            <v>165046.4901346704</v>
          </cell>
          <cell r="BK61">
            <v>168347.4199373638</v>
          </cell>
          <cell r="BL61">
            <v>171714.36833611107</v>
          </cell>
          <cell r="BM61">
            <v>175148.65570283329</v>
          </cell>
          <cell r="BN61">
            <v>178651.62881688995</v>
          </cell>
          <cell r="BO61">
            <v>182224.66139322775</v>
          </cell>
          <cell r="BP61">
            <v>185869.15462109231</v>
          </cell>
          <cell r="BQ61">
            <v>189586.53771351418</v>
          </cell>
          <cell r="BR61">
            <v>193378.26846778445</v>
          </cell>
          <cell r="BS61">
            <v>197245.83383714015</v>
          </cell>
          <cell r="BT61">
            <v>201190.75051388296</v>
          </cell>
          <cell r="BU61">
            <v>205214.56552416063</v>
          </cell>
          <cell r="BV61">
            <v>209318.85683464384</v>
          </cell>
          <cell r="BW61">
            <v>213505.23397133671</v>
          </cell>
          <cell r="BX61">
            <v>217775.33865076344</v>
          </cell>
          <cell r="BY61">
            <v>222130.84542377872</v>
          </cell>
          <cell r="BZ61">
            <v>226573.4623322543</v>
          </cell>
          <cell r="CA61">
            <v>231104.93157889938</v>
          </cell>
          <cell r="CB61">
            <v>235727.03021047739</v>
          </cell>
          <cell r="CC61">
            <v>240441.57081468694</v>
          </cell>
          <cell r="CD61">
            <v>245250.40223098069</v>
          </cell>
          <cell r="CE61">
            <v>250155.4102756003</v>
          </cell>
          <cell r="CF61">
            <v>255158.51848111232</v>
          </cell>
          <cell r="CG61">
            <v>260261.68885073456</v>
          </cell>
          <cell r="CH61">
            <v>265466.92262774927</v>
          </cell>
          <cell r="CI61">
            <v>270776.26108030428</v>
          </cell>
          <cell r="CJ61">
            <v>276191.78630191035</v>
          </cell>
          <cell r="CK61">
            <v>281715.62202794856</v>
          </cell>
          <cell r="CL61">
            <v>287349.93446850753</v>
          </cell>
          <cell r="CM61">
            <v>293096.93315787771</v>
          </cell>
          <cell r="CN61">
            <v>298958.87182103528</v>
          </cell>
          <cell r="CO61">
            <v>304938.04925745598</v>
          </cell>
          <cell r="CP61">
            <v>311036.8102426051</v>
          </cell>
          <cell r="CQ61">
            <v>317257.54644745722</v>
          </cell>
          <cell r="CR61">
            <v>323602.69737640634</v>
          </cell>
          <cell r="CS61">
            <v>330074.75132393447</v>
          </cell>
          <cell r="CT61">
            <v>336676.24635041319</v>
          </cell>
          <cell r="CU61">
            <v>343409.77127742145</v>
          </cell>
          <cell r="CV61">
            <v>350277.96670296986</v>
          </cell>
          <cell r="CW61">
            <v>357283.52603702928</v>
          </cell>
          <cell r="CX61">
            <v>364429.1965577699</v>
          </cell>
          <cell r="CY61">
            <v>371717.78048892529</v>
          </cell>
          <cell r="CZ61">
            <v>379152.13609870378</v>
          </cell>
          <cell r="DA61">
            <v>386735.17882067786</v>
          </cell>
          <cell r="DB61">
            <v>394469.88239709142</v>
          </cell>
          <cell r="DC61">
            <v>402359.28004503326</v>
          </cell>
          <cell r="DD61">
            <v>410406.46564593393</v>
          </cell>
          <cell r="DE61">
            <v>418614.59495885263</v>
          </cell>
          <cell r="DF61">
            <v>426986.8868580297</v>
          </cell>
          <cell r="DG61">
            <v>435526.62459519028</v>
          </cell>
          <cell r="DH61">
            <v>444237.15708709409</v>
          </cell>
          <cell r="DI61">
            <v>453121.90022883599</v>
          </cell>
          <cell r="DJ61">
            <v>462184.33823341271</v>
          </cell>
          <cell r="DK61">
            <v>471428.02499808097</v>
          </cell>
          <cell r="DL61">
            <v>480856.58549804258</v>
          </cell>
          <cell r="DM61">
            <v>490473.71720800345</v>
          </cell>
          <cell r="DN61">
            <v>500283.19155216351</v>
          </cell>
          <cell r="DO61">
            <v>510288.8553832068</v>
          </cell>
          <cell r="DP61">
            <v>520494.63249087095</v>
          </cell>
          <cell r="DQ61">
            <v>530904.52514068841</v>
          </cell>
          <cell r="DR61">
            <v>541522.61564350221</v>
          </cell>
          <cell r="DS61">
            <v>552353.06795637228</v>
          </cell>
          <cell r="DT61">
            <v>563400.12931549968</v>
          </cell>
          <cell r="DU61">
            <v>574668.13190180971</v>
          </cell>
          <cell r="DV61">
            <v>586161.49453984597</v>
          </cell>
          <cell r="DW61">
            <v>597884.72443064291</v>
          </cell>
          <cell r="DX61">
            <v>609842.41891925572</v>
          </cell>
          <cell r="DY61">
            <v>622039.26729764079</v>
          </cell>
          <cell r="DZ61">
            <v>634480.05264359363</v>
          </cell>
          <cell r="EA61">
            <v>647169.65369646554</v>
          </cell>
          <cell r="EB61">
            <v>660113.0467703949</v>
          </cell>
          <cell r="EC61">
            <v>673315.30770580284</v>
          </cell>
          <cell r="ED61">
            <v>686781.6138599189</v>
          </cell>
          <cell r="EE61">
            <v>700517.24613711727</v>
          </cell>
          <cell r="EF61">
            <v>714527.59105985961</v>
          </cell>
          <cell r="EG61">
            <v>728818.14288105676</v>
          </cell>
          <cell r="EH61">
            <v>743394.50573867792</v>
          </cell>
          <cell r="EI61">
            <v>758262.39585345145</v>
          </cell>
          <cell r="EJ61">
            <v>773427.64377052046</v>
          </cell>
          <cell r="EK61">
            <v>788896.19664593088</v>
          </cell>
          <cell r="EL61">
            <v>804674.12057884946</v>
          </cell>
          <cell r="EM61">
            <v>820767.60299042647</v>
          </cell>
          <cell r="EN61">
            <v>837182.95505023503</v>
          </cell>
          <cell r="EO61">
            <v>853926.61415123974</v>
          </cell>
          <cell r="EP61">
            <v>871005.14643426461</v>
          </cell>
          <cell r="EQ61">
            <v>888425.24936294986</v>
          </cell>
          <cell r="ER61">
            <v>906193.75435020891</v>
          </cell>
          <cell r="ES61">
            <v>924317.62943721307</v>
          </cell>
          <cell r="ET61">
            <v>942803.98202595732</v>
          </cell>
          <cell r="EU61">
            <v>961660.06166647642</v>
          </cell>
          <cell r="EV61">
            <v>980893.26289980602</v>
          </cell>
          <cell r="EW61">
            <v>1000511.1281578022</v>
          </cell>
          <cell r="EX61">
            <v>1020521.3507209582</v>
          </cell>
          <cell r="EY61">
            <v>1040931.7777353774</v>
          </cell>
          <cell r="EZ61">
            <v>1061750.413290085</v>
          </cell>
          <cell r="FA61">
            <v>1082985.4215558867</v>
          </cell>
          <cell r="FB61">
            <v>1104645.1299870044</v>
          </cell>
          <cell r="FC61">
            <v>1126738.0325867445</v>
          </cell>
          <cell r="FD61">
            <v>1149272.7932384794</v>
          </cell>
          <cell r="FE61">
            <v>1172258.2491032491</v>
          </cell>
          <cell r="FF61">
            <v>1195703.4140853141</v>
          </cell>
          <cell r="FG61">
            <v>1219617.4823670203</v>
          </cell>
          <cell r="FH61">
            <v>1244009.8320143607</v>
          </cell>
          <cell r="FI61">
            <v>1268890.028654648</v>
          </cell>
          <cell r="FJ61">
            <v>1294267.8292277409</v>
          </cell>
          <cell r="FK61">
            <v>1320153.1858122956</v>
          </cell>
          <cell r="FL61">
            <v>1346556.2495285417</v>
          </cell>
          <cell r="FM61">
            <v>1373487.3745191125</v>
          </cell>
          <cell r="FN61">
            <v>1400957.1220094948</v>
          </cell>
          <cell r="FO61">
            <v>1428976.2644496846</v>
          </cell>
          <cell r="FP61">
            <v>1457555.7897386784</v>
          </cell>
          <cell r="FQ61">
            <v>1486706.9055334521</v>
          </cell>
          <cell r="FR61">
            <v>1516441.0436441211</v>
          </cell>
          <cell r="FS61">
            <v>1546769.8645170035</v>
          </cell>
          <cell r="FT61">
            <v>1577705.2618073437</v>
          </cell>
          <cell r="FU61">
            <v>1609259.3670434905</v>
          </cell>
          <cell r="FV61">
            <v>1641444.5543843603</v>
          </cell>
          <cell r="FW61">
            <v>1674273.4454720477</v>
          </cell>
          <cell r="FX61">
            <v>1707758.9143814887</v>
          </cell>
          <cell r="FY61">
            <v>1741914.0926691184</v>
          </cell>
          <cell r="FZ61">
            <v>1776752.3745225009</v>
          </cell>
          <cell r="GA61">
            <v>1812287.422012951</v>
          </cell>
          <cell r="GB61">
            <v>1848533.1704532101</v>
          </cell>
          <cell r="GC61">
            <v>1885503.8338622744</v>
          </cell>
          <cell r="GD61">
            <v>1923213.91053952</v>
          </cell>
          <cell r="GE61">
            <v>1961678.1887503103</v>
          </cell>
          <cell r="GF61">
            <v>2000911.7525253166</v>
          </cell>
          <cell r="GG61">
            <v>2040929.987575823</v>
          </cell>
          <cell r="GH61">
            <v>2081748.5873273395</v>
          </cell>
          <cell r="GI61">
            <v>2123383.5590738864</v>
          </cell>
          <cell r="GJ61">
            <v>2165851.230255364</v>
          </cell>
          <cell r="GK61">
            <v>2209168.2548604715</v>
          </cell>
          <cell r="GL61">
            <v>2253351.6199576808</v>
          </cell>
          <cell r="GM61">
            <v>2298418.6523568346</v>
          </cell>
          <cell r="GN61">
            <v>2344387.0254039713</v>
          </cell>
          <cell r="GO61">
            <v>2391274.7659120508</v>
          </cell>
          <cell r="GP61">
            <v>2439100.2612302918</v>
          </cell>
          <cell r="GQ61">
            <v>2487882.2664548978</v>
          </cell>
          <cell r="GR61">
            <v>2537639.911783996</v>
          </cell>
          <cell r="GS61">
            <v>2588392.710019676</v>
          </cell>
          <cell r="GT61">
            <v>2640160.5642200694</v>
          </cell>
          <cell r="GU61">
            <v>2692963.7755044708</v>
          </cell>
          <cell r="GV61">
            <v>2746823.0510145603</v>
          </cell>
          <cell r="GW61">
            <v>2801759.5120348516</v>
          </cell>
          <cell r="GX61">
            <v>2857794.7022755486</v>
          </cell>
          <cell r="GY61">
            <v>2914950.5963210594</v>
          </cell>
          <cell r="GZ61">
            <v>2973249.6082474808</v>
          </cell>
          <cell r="HA61">
            <v>3032714.6004124307</v>
          </cell>
          <cell r="HB61">
            <v>3093368.8924206793</v>
          </cell>
          <cell r="HC61">
            <v>3155236.2702690931</v>
          </cell>
          <cell r="HD61">
            <v>3218340.9956744751</v>
          </cell>
          <cell r="HE61">
            <v>3282707.8155879648</v>
          </cell>
          <cell r="HF61">
            <v>3348361.9718997241</v>
          </cell>
          <cell r="HG61">
            <v>3415329.2113377186</v>
          </cell>
          <cell r="HH61">
            <v>3483635.7955644731</v>
          </cell>
          <cell r="HI61">
            <v>3553308.5114757628</v>
          </cell>
          <cell r="HJ61">
            <v>3624374.6817052783</v>
          </cell>
          <cell r="HK61">
            <v>3696862.175339384</v>
          </cell>
          <cell r="HL61">
            <v>3770799.4188461718</v>
          </cell>
          <cell r="HM61">
            <v>3846215.4072230952</v>
          </cell>
          <cell r="HN61">
            <v>3923139.715367557</v>
          </cell>
          <cell r="HO61">
            <v>4001602.5096749081</v>
          </cell>
          <cell r="HP61">
            <v>4081634.5598684065</v>
          </cell>
          <cell r="HQ61">
            <v>4163267.2510657748</v>
          </cell>
          <cell r="HR61">
            <v>4246532.5960870907</v>
          </cell>
          <cell r="HS61">
            <v>4331463.2480088323</v>
          </cell>
          <cell r="HT61">
            <v>4418092.5129690086</v>
          </cell>
          <cell r="HU61">
            <v>4506454.3632283891</v>
          </cell>
          <cell r="HV61">
            <v>4596583.4504929567</v>
          </cell>
          <cell r="HW61">
            <v>4688515.1195028163</v>
          </cell>
          <cell r="HX61">
            <v>4782285.421892873</v>
          </cell>
          <cell r="HY61">
            <v>4877931.1303307302</v>
          </cell>
          <cell r="HZ61">
            <v>4975489.7529373448</v>
          </cell>
          <cell r="IA61">
            <v>5074999.5479960917</v>
          </cell>
          <cell r="IB61">
            <v>5176499.5389560135</v>
          </cell>
          <cell r="IC61">
            <v>5280029.529735134</v>
          </cell>
          <cell r="ID61">
            <v>5385630.1203298364</v>
          </cell>
          <cell r="IE61">
            <v>5493342.7227364331</v>
          </cell>
          <cell r="IF61">
            <v>5603209.5771911619</v>
          </cell>
          <cell r="IG61">
            <v>5715273.768734985</v>
          </cell>
          <cell r="IH61">
            <v>5829579.2441096846</v>
          </cell>
          <cell r="II61">
            <v>5946170.8289918788</v>
          </cell>
          <cell r="IJ61">
            <v>6065094.2455717167</v>
          </cell>
          <cell r="IK61">
            <v>6186396.1304831514</v>
          </cell>
          <cell r="IL61">
            <v>6310124.053092815</v>
          </cell>
          <cell r="IM61">
            <v>6436326.5341546712</v>
          </cell>
          <cell r="IN61">
            <v>6565053.0648377649</v>
          </cell>
          <cell r="IO61">
            <v>6696354.1261345204</v>
          </cell>
          <cell r="IP61">
            <v>6830281.2086572107</v>
          </cell>
          <cell r="IQ61">
            <v>6966886.8328303546</v>
          </cell>
          <cell r="IR61">
            <v>7106224.5694869617</v>
          </cell>
        </row>
        <row r="62">
          <cell r="B62" t="str">
            <v>Operating revenue growth</v>
          </cell>
          <cell r="D62">
            <v>8.8480070083223783E-2</v>
          </cell>
          <cell r="E62">
            <v>3.6094317245039198E-2</v>
          </cell>
          <cell r="F62">
            <v>0.10172596406266221</v>
          </cell>
          <cell r="G62">
            <v>4.9866762605597081E-2</v>
          </cell>
          <cell r="H62">
            <v>4.778001392463449E-2</v>
          </cell>
          <cell r="I62">
            <v>5.2292295510190767E-2</v>
          </cell>
          <cell r="J62">
            <v>2.9894630121748644E-2</v>
          </cell>
          <cell r="K62">
            <v>3.7788622627837443E-2</v>
          </cell>
          <cell r="L62">
            <v>4.3395654462656363E-2</v>
          </cell>
          <cell r="M62">
            <v>3.8716523570125089E-2</v>
          </cell>
          <cell r="N62">
            <v>3.4037392677593814E-2</v>
          </cell>
          <cell r="O62">
            <v>2.9358261785062539E-2</v>
          </cell>
          <cell r="P62">
            <v>2.4679130892531265E-2</v>
          </cell>
          <cell r="Q62">
            <v>1.999999999999999E-2</v>
          </cell>
          <cell r="R62">
            <v>0.02</v>
          </cell>
          <cell r="S62">
            <v>0.02</v>
          </cell>
          <cell r="T62">
            <v>0.02</v>
          </cell>
          <cell r="U62">
            <v>0.02</v>
          </cell>
          <cell r="V62">
            <v>0.02</v>
          </cell>
          <cell r="W62">
            <v>0.02</v>
          </cell>
          <cell r="X62">
            <v>0.02</v>
          </cell>
          <cell r="Y62">
            <v>0.02</v>
          </cell>
          <cell r="Z62">
            <v>0.02</v>
          </cell>
          <cell r="AA62">
            <v>0.02</v>
          </cell>
          <cell r="AB62">
            <v>0.02</v>
          </cell>
          <cell r="AC62">
            <v>0.02</v>
          </cell>
          <cell r="AD62">
            <v>0.02</v>
          </cell>
          <cell r="AE62">
            <v>0.02</v>
          </cell>
          <cell r="AF62">
            <v>0.02</v>
          </cell>
          <cell r="AG62">
            <v>0.02</v>
          </cell>
          <cell r="AH62">
            <v>0.02</v>
          </cell>
          <cell r="AI62">
            <v>0.02</v>
          </cell>
          <cell r="AJ62">
            <v>0.02</v>
          </cell>
          <cell r="AK62">
            <v>0.02</v>
          </cell>
          <cell r="AL62">
            <v>0.02</v>
          </cell>
          <cell r="AM62">
            <v>0.02</v>
          </cell>
          <cell r="AN62">
            <v>0.02</v>
          </cell>
          <cell r="AO62">
            <v>0.02</v>
          </cell>
          <cell r="AP62">
            <v>0.02</v>
          </cell>
          <cell r="AQ62">
            <v>0.02</v>
          </cell>
          <cell r="AR62">
            <v>0.02</v>
          </cell>
          <cell r="AS62">
            <v>0.02</v>
          </cell>
          <cell r="AT62">
            <v>0.02</v>
          </cell>
          <cell r="AU62">
            <v>0.02</v>
          </cell>
          <cell r="AV62">
            <v>0.02</v>
          </cell>
          <cell r="AW62">
            <v>0.02</v>
          </cell>
          <cell r="AX62">
            <v>0.02</v>
          </cell>
          <cell r="AY62">
            <v>0.02</v>
          </cell>
          <cell r="AZ62">
            <v>0.02</v>
          </cell>
          <cell r="BA62">
            <v>0.02</v>
          </cell>
          <cell r="BB62">
            <v>0.02</v>
          </cell>
          <cell r="BC62">
            <v>0.02</v>
          </cell>
          <cell r="BD62">
            <v>0.02</v>
          </cell>
          <cell r="BE62">
            <v>0.02</v>
          </cell>
          <cell r="BF62">
            <v>0.02</v>
          </cell>
          <cell r="BG62">
            <v>0.02</v>
          </cell>
          <cell r="BH62">
            <v>0.02</v>
          </cell>
          <cell r="BI62">
            <v>0.02</v>
          </cell>
          <cell r="BJ62">
            <v>0.02</v>
          </cell>
          <cell r="BK62">
            <v>0.02</v>
          </cell>
          <cell r="BL62">
            <v>0.02</v>
          </cell>
          <cell r="BM62">
            <v>0.02</v>
          </cell>
          <cell r="BN62">
            <v>0.02</v>
          </cell>
          <cell r="BO62">
            <v>0.02</v>
          </cell>
          <cell r="BP62">
            <v>0.02</v>
          </cell>
          <cell r="BQ62">
            <v>0.02</v>
          </cell>
          <cell r="BR62">
            <v>0.02</v>
          </cell>
          <cell r="BS62">
            <v>0.02</v>
          </cell>
          <cell r="BT62">
            <v>0.02</v>
          </cell>
          <cell r="BU62">
            <v>0.02</v>
          </cell>
          <cell r="BV62">
            <v>0.02</v>
          </cell>
          <cell r="BW62">
            <v>0.02</v>
          </cell>
          <cell r="BX62">
            <v>0.02</v>
          </cell>
          <cell r="BY62">
            <v>0.02</v>
          </cell>
          <cell r="BZ62">
            <v>0.02</v>
          </cell>
          <cell r="CA62">
            <v>0.02</v>
          </cell>
          <cell r="CB62">
            <v>0.02</v>
          </cell>
          <cell r="CC62">
            <v>0.02</v>
          </cell>
          <cell r="CD62">
            <v>0.02</v>
          </cell>
          <cell r="CE62">
            <v>0.02</v>
          </cell>
          <cell r="CF62">
            <v>0.02</v>
          </cell>
          <cell r="CG62">
            <v>0.02</v>
          </cell>
          <cell r="CH62">
            <v>0.02</v>
          </cell>
          <cell r="CI62">
            <v>0.02</v>
          </cell>
          <cell r="CJ62">
            <v>0.02</v>
          </cell>
          <cell r="CK62">
            <v>0.02</v>
          </cell>
          <cell r="CL62">
            <v>0.02</v>
          </cell>
          <cell r="CM62">
            <v>0.02</v>
          </cell>
          <cell r="CN62">
            <v>0.02</v>
          </cell>
          <cell r="CO62">
            <v>0.02</v>
          </cell>
          <cell r="CP62">
            <v>0.02</v>
          </cell>
          <cell r="CQ62">
            <v>0.02</v>
          </cell>
          <cell r="CR62">
            <v>0.02</v>
          </cell>
          <cell r="CS62">
            <v>0.02</v>
          </cell>
          <cell r="CT62">
            <v>0.02</v>
          </cell>
          <cell r="CU62">
            <v>0.02</v>
          </cell>
          <cell r="CV62">
            <v>0.02</v>
          </cell>
          <cell r="CW62">
            <v>0.02</v>
          </cell>
          <cell r="CX62">
            <v>0.02</v>
          </cell>
          <cell r="CY62">
            <v>0.02</v>
          </cell>
          <cell r="CZ62">
            <v>0.02</v>
          </cell>
          <cell r="DA62">
            <v>0.02</v>
          </cell>
          <cell r="DB62">
            <v>0.02</v>
          </cell>
          <cell r="DC62">
            <v>0.02</v>
          </cell>
          <cell r="DD62">
            <v>0.02</v>
          </cell>
          <cell r="DE62">
            <v>0.02</v>
          </cell>
          <cell r="DF62">
            <v>0.02</v>
          </cell>
          <cell r="DG62">
            <v>0.02</v>
          </cell>
          <cell r="DH62">
            <v>0.02</v>
          </cell>
          <cell r="DI62">
            <v>0.02</v>
          </cell>
          <cell r="DJ62">
            <v>0.02</v>
          </cell>
          <cell r="DK62">
            <v>0.02</v>
          </cell>
          <cell r="DL62">
            <v>0.02</v>
          </cell>
          <cell r="DM62">
            <v>0.02</v>
          </cell>
          <cell r="DN62">
            <v>0.02</v>
          </cell>
          <cell r="DO62">
            <v>0.02</v>
          </cell>
          <cell r="DP62">
            <v>0.02</v>
          </cell>
          <cell r="DQ62">
            <v>0.02</v>
          </cell>
          <cell r="DR62">
            <v>0.02</v>
          </cell>
          <cell r="DS62">
            <v>0.02</v>
          </cell>
          <cell r="DT62">
            <v>0.02</v>
          </cell>
          <cell r="DU62">
            <v>0.02</v>
          </cell>
          <cell r="DV62">
            <v>0.02</v>
          </cell>
          <cell r="DW62">
            <v>0.02</v>
          </cell>
          <cell r="DX62">
            <v>0.02</v>
          </cell>
          <cell r="DY62">
            <v>0.02</v>
          </cell>
          <cell r="DZ62">
            <v>0.02</v>
          </cell>
          <cell r="EA62">
            <v>0.02</v>
          </cell>
          <cell r="EB62">
            <v>0.02</v>
          </cell>
          <cell r="EC62">
            <v>0.02</v>
          </cell>
          <cell r="ED62">
            <v>0.02</v>
          </cell>
          <cell r="EE62">
            <v>0.02</v>
          </cell>
          <cell r="EF62">
            <v>0.02</v>
          </cell>
          <cell r="EG62">
            <v>0.02</v>
          </cell>
          <cell r="EH62">
            <v>0.02</v>
          </cell>
          <cell r="EI62">
            <v>0.02</v>
          </cell>
          <cell r="EJ62">
            <v>0.02</v>
          </cell>
          <cell r="EK62">
            <v>0.02</v>
          </cell>
          <cell r="EL62">
            <v>0.02</v>
          </cell>
          <cell r="EM62">
            <v>0.02</v>
          </cell>
          <cell r="EN62">
            <v>0.02</v>
          </cell>
          <cell r="EO62">
            <v>0.02</v>
          </cell>
          <cell r="EP62">
            <v>0.02</v>
          </cell>
          <cell r="EQ62">
            <v>0.02</v>
          </cell>
          <cell r="ER62">
            <v>0.02</v>
          </cell>
          <cell r="ES62">
            <v>0.02</v>
          </cell>
          <cell r="ET62">
            <v>0.02</v>
          </cell>
          <cell r="EU62">
            <v>0.02</v>
          </cell>
          <cell r="EV62">
            <v>0.02</v>
          </cell>
          <cell r="EW62">
            <v>0.02</v>
          </cell>
          <cell r="EX62">
            <v>0.02</v>
          </cell>
          <cell r="EY62">
            <v>0.02</v>
          </cell>
          <cell r="EZ62">
            <v>0.02</v>
          </cell>
          <cell r="FA62">
            <v>0.02</v>
          </cell>
          <cell r="FB62">
            <v>0.02</v>
          </cell>
          <cell r="FC62">
            <v>0.02</v>
          </cell>
          <cell r="FD62">
            <v>0.02</v>
          </cell>
          <cell r="FE62">
            <v>0.02</v>
          </cell>
          <cell r="FF62">
            <v>0.02</v>
          </cell>
          <cell r="FG62">
            <v>0.02</v>
          </cell>
          <cell r="FH62">
            <v>0.02</v>
          </cell>
          <cell r="FI62">
            <v>0.02</v>
          </cell>
          <cell r="FJ62">
            <v>0.02</v>
          </cell>
          <cell r="FK62">
            <v>0.02</v>
          </cell>
          <cell r="FL62">
            <v>0.02</v>
          </cell>
          <cell r="FM62">
            <v>0.02</v>
          </cell>
          <cell r="FN62">
            <v>0.02</v>
          </cell>
          <cell r="FO62">
            <v>0.02</v>
          </cell>
          <cell r="FP62">
            <v>0.02</v>
          </cell>
          <cell r="FQ62">
            <v>0.02</v>
          </cell>
          <cell r="FR62">
            <v>0.02</v>
          </cell>
          <cell r="FS62">
            <v>0.02</v>
          </cell>
          <cell r="FT62">
            <v>0.02</v>
          </cell>
          <cell r="FU62">
            <v>0.02</v>
          </cell>
          <cell r="FV62">
            <v>0.02</v>
          </cell>
          <cell r="FW62">
            <v>0.02</v>
          </cell>
          <cell r="FX62">
            <v>0.02</v>
          </cell>
          <cell r="FY62">
            <v>0.02</v>
          </cell>
          <cell r="FZ62">
            <v>0.02</v>
          </cell>
          <cell r="GA62">
            <v>0.02</v>
          </cell>
          <cell r="GB62">
            <v>0.02</v>
          </cell>
          <cell r="GC62">
            <v>0.02</v>
          </cell>
          <cell r="GD62">
            <v>0.02</v>
          </cell>
          <cell r="GE62">
            <v>0.02</v>
          </cell>
          <cell r="GF62">
            <v>0.02</v>
          </cell>
          <cell r="GG62">
            <v>0.02</v>
          </cell>
          <cell r="GH62">
            <v>0.02</v>
          </cell>
          <cell r="GI62">
            <v>0.02</v>
          </cell>
          <cell r="GJ62">
            <v>0.02</v>
          </cell>
          <cell r="GK62">
            <v>0.02</v>
          </cell>
          <cell r="GL62">
            <v>0.02</v>
          </cell>
          <cell r="GM62">
            <v>0.02</v>
          </cell>
          <cell r="GN62">
            <v>0.02</v>
          </cell>
          <cell r="GO62">
            <v>0.02</v>
          </cell>
          <cell r="GP62">
            <v>0.02</v>
          </cell>
          <cell r="GQ62">
            <v>0.02</v>
          </cell>
          <cell r="GR62">
            <v>0.02</v>
          </cell>
          <cell r="GS62">
            <v>0.02</v>
          </cell>
          <cell r="GT62">
            <v>0.02</v>
          </cell>
          <cell r="GU62">
            <v>0.02</v>
          </cell>
          <cell r="GV62">
            <v>0.02</v>
          </cell>
          <cell r="GW62">
            <v>0.02</v>
          </cell>
          <cell r="GX62">
            <v>0.02</v>
          </cell>
          <cell r="GY62">
            <v>0.02</v>
          </cell>
          <cell r="GZ62">
            <v>0.02</v>
          </cell>
          <cell r="HA62">
            <v>0.02</v>
          </cell>
          <cell r="HB62">
            <v>0.02</v>
          </cell>
          <cell r="HC62">
            <v>0.02</v>
          </cell>
          <cell r="HD62">
            <v>0.02</v>
          </cell>
          <cell r="HE62">
            <v>0.02</v>
          </cell>
          <cell r="HF62">
            <v>0.02</v>
          </cell>
          <cell r="HG62">
            <v>0.02</v>
          </cell>
          <cell r="HH62">
            <v>0.02</v>
          </cell>
          <cell r="HI62">
            <v>0.02</v>
          </cell>
          <cell r="HJ62">
            <v>0.02</v>
          </cell>
          <cell r="HK62">
            <v>0.02</v>
          </cell>
          <cell r="HL62">
            <v>0.02</v>
          </cell>
          <cell r="HM62">
            <v>0.02</v>
          </cell>
          <cell r="HN62">
            <v>0.02</v>
          </cell>
          <cell r="HO62">
            <v>0.02</v>
          </cell>
          <cell r="HP62">
            <v>0.02</v>
          </cell>
          <cell r="HQ62">
            <v>0.02</v>
          </cell>
          <cell r="HR62">
            <v>0.02</v>
          </cell>
          <cell r="HS62">
            <v>0.02</v>
          </cell>
          <cell r="HT62">
            <v>0.02</v>
          </cell>
          <cell r="HU62">
            <v>0.02</v>
          </cell>
          <cell r="HV62">
            <v>0.02</v>
          </cell>
          <cell r="HW62">
            <v>0.02</v>
          </cell>
          <cell r="HX62">
            <v>0.02</v>
          </cell>
          <cell r="HY62">
            <v>0.02</v>
          </cell>
          <cell r="HZ62">
            <v>0.02</v>
          </cell>
          <cell r="IA62">
            <v>0.02</v>
          </cell>
          <cell r="IB62">
            <v>0.02</v>
          </cell>
          <cell r="IC62">
            <v>0.02</v>
          </cell>
          <cell r="ID62">
            <v>0.02</v>
          </cell>
          <cell r="IE62">
            <v>0.02</v>
          </cell>
          <cell r="IF62">
            <v>0.02</v>
          </cell>
          <cell r="IG62">
            <v>0.02</v>
          </cell>
          <cell r="IH62">
            <v>0.02</v>
          </cell>
          <cell r="II62">
            <v>0.02</v>
          </cell>
          <cell r="IJ62">
            <v>0.02</v>
          </cell>
          <cell r="IK62">
            <v>0.02</v>
          </cell>
          <cell r="IL62">
            <v>0.02</v>
          </cell>
          <cell r="IM62">
            <v>0.02</v>
          </cell>
          <cell r="IN62">
            <v>0.02</v>
          </cell>
          <cell r="IO62">
            <v>0.02</v>
          </cell>
          <cell r="IP62">
            <v>0.02</v>
          </cell>
          <cell r="IQ62">
            <v>0.02</v>
          </cell>
          <cell r="IR62">
            <v>0.02</v>
          </cell>
        </row>
        <row r="63">
          <cell r="B63" t="str">
            <v>Operating asset turnover</v>
          </cell>
          <cell r="C63">
            <v>1.1668423574508866</v>
          </cell>
          <cell r="D63">
            <v>1.2849017580144779</v>
          </cell>
          <cell r="E63">
            <v>1.3054604529618064</v>
          </cell>
          <cell r="F63">
            <v>1.3866472603843019</v>
          </cell>
          <cell r="G63">
            <v>1.4089427490878748</v>
          </cell>
          <cell r="H63">
            <v>1.4525673498935607</v>
          </cell>
          <cell r="I63">
            <v>1.5063594013797217</v>
          </cell>
          <cell r="J63">
            <v>1.5279988565914535</v>
          </cell>
          <cell r="K63">
            <v>1.5688121120986391</v>
          </cell>
          <cell r="L63">
            <v>1.6168540857071452</v>
          </cell>
          <cell r="M63">
            <v>1.6584225247538402</v>
          </cell>
          <cell r="N63">
            <v>1.5950792728006729</v>
          </cell>
          <cell r="O63">
            <v>1.5867589188358353</v>
          </cell>
          <cell r="P63">
            <v>1.5799597727650261</v>
          </cell>
          <cell r="Q63">
            <v>1.5745749398275755</v>
          </cell>
          <cell r="R63">
            <v>1.5693104745063551</v>
          </cell>
          <cell r="S63">
            <v>1.4868561138262268</v>
          </cell>
          <cell r="T63">
            <v>1.474574146400156</v>
          </cell>
          <cell r="U63">
            <v>1.4625907688922661</v>
          </cell>
          <cell r="V63">
            <v>1.4508984464557086</v>
          </cell>
          <cell r="W63">
            <v>1.43948982302855</v>
          </cell>
          <cell r="X63">
            <v>1.4283577184326886</v>
          </cell>
          <cell r="Y63">
            <v>1.4174951254357575</v>
          </cell>
          <cell r="Z63">
            <v>1.4068952067807001</v>
          </cell>
          <cell r="AA63">
            <v>1.3965512921877195</v>
          </cell>
          <cell r="AB63">
            <v>1.386456875333302</v>
          </cell>
          <cell r="AC63">
            <v>1.3766056108109916</v>
          </cell>
          <cell r="AD63">
            <v>1.3669913110785075</v>
          </cell>
          <cell r="AE63">
            <v>1.3576079433957335</v>
          </cell>
          <cell r="AF63">
            <v>1.34844962675798</v>
          </cell>
          <cell r="AG63">
            <v>1.3395106288288012</v>
          </cell>
          <cell r="AH63">
            <v>1.3307853628764954</v>
          </cell>
          <cell r="AI63">
            <v>1.3222683847182617</v>
          </cell>
          <cell r="AJ63">
            <v>1.3139543896758146</v>
          </cell>
          <cell r="AK63">
            <v>1.3058382095460725</v>
          </cell>
          <cell r="AL63">
            <v>1.2979148095903532</v>
          </cell>
          <cell r="AM63">
            <v>1.2901792855453058</v>
          </cell>
          <cell r="AN63">
            <v>1.2826268606586235</v>
          </cell>
          <cell r="AO63">
            <v>1.2752528827523728</v>
          </cell>
          <cell r="AP63">
            <v>1.2680528213165774</v>
          </cell>
          <cell r="AQ63">
            <v>1.2610222646354943</v>
          </cell>
          <cell r="AR63">
            <v>1.2541569169488305</v>
          </cell>
          <cell r="AS63">
            <v>1.2474525956499458</v>
          </cell>
          <cell r="AT63">
            <v>1.2409052285228974</v>
          </cell>
          <cell r="AU63">
            <v>1.2345108510200133</v>
          </cell>
          <cell r="AV63">
            <v>1.2282656035814785</v>
          </cell>
          <cell r="AW63">
            <v>1.2221657289982664</v>
          </cell>
          <cell r="AX63">
            <v>1.2162075698195685</v>
          </cell>
          <cell r="AY63">
            <v>1.2103875658057262</v>
          </cell>
          <cell r="AZ63">
            <v>1.2047022514275045</v>
          </cell>
          <cell r="BA63">
            <v>1.1991482534124189</v>
          </cell>
          <cell r="BB63">
            <v>1.1937222883386729</v>
          </cell>
          <cell r="BC63">
            <v>1.1884211602771488</v>
          </cell>
          <cell r="BD63">
            <v>1.1832417584817629</v>
          </cell>
          <cell r="BE63">
            <v>1.178181055128388</v>
          </cell>
          <cell r="BF63">
            <v>1.1732361031024345</v>
          </cell>
          <cell r="BG63">
            <v>1.1684040338350876</v>
          </cell>
          <cell r="BH63">
            <v>1.1636820551880998</v>
          </cell>
          <cell r="BI63">
            <v>1.1590674493869564</v>
          </cell>
          <cell r="BJ63">
            <v>1.1545575710021521</v>
          </cell>
          <cell r="BK63">
            <v>1.1501498449782468</v>
          </cell>
          <cell r="BL63">
            <v>1.1458417647102925</v>
          </cell>
          <cell r="BM63">
            <v>1.141630890167179</v>
          </cell>
          <cell r="BN63">
            <v>1.1375148460613813</v>
          </cell>
          <cell r="BO63">
            <v>1.1334913200645413</v>
          </cell>
          <cell r="BP63">
            <v>1.1295580610682794</v>
          </cell>
          <cell r="BQ63">
            <v>1.1257128774895879</v>
          </cell>
          <cell r="BR63">
            <v>1.1219536356201256</v>
          </cell>
          <cell r="BS63">
            <v>1.1182782580187038</v>
          </cell>
          <cell r="BT63">
            <v>1.1146847219462173</v>
          </cell>
          <cell r="BU63">
            <v>1.1111710578422767</v>
          </cell>
          <cell r="BV63">
            <v>1.1077353478427485</v>
          </cell>
          <cell r="BW63">
            <v>1.1043757243374166</v>
          </cell>
          <cell r="BX63">
            <v>1.1010903685669584</v>
          </cell>
          <cell r="BY63">
            <v>1.0978775092584174</v>
          </cell>
          <cell r="BZ63">
            <v>1.0947354212983544</v>
          </cell>
          <cell r="CA63">
            <v>1.0916624244428423</v>
          </cell>
          <cell r="CB63">
            <v>1.0886568820634848</v>
          </cell>
          <cell r="CC63">
            <v>1.085717199928623</v>
          </cell>
          <cell r="CD63">
            <v>1.0828418250189047</v>
          </cell>
          <cell r="CE63">
            <v>1.0800292443763901</v>
          </cell>
          <cell r="CF63">
            <v>1.0772779839863784</v>
          </cell>
          <cell r="CG63">
            <v>1.0745866076911388</v>
          </cell>
          <cell r="CH63">
            <v>1.0719537161347401</v>
          </cell>
          <cell r="CI63">
            <v>1.0693779457381845</v>
          </cell>
          <cell r="CJ63">
            <v>1.0668579677040593</v>
          </cell>
          <cell r="CK63">
            <v>1.0643924870499224</v>
          </cell>
          <cell r="CL63">
            <v>1.06198024166967</v>
          </cell>
          <cell r="CM63">
            <v>1.0596200014221151</v>
          </cell>
          <cell r="CN63">
            <v>1.0573105672460554</v>
          </cell>
          <cell r="CO63">
            <v>1.0550507703010901</v>
          </cell>
          <cell r="CP63">
            <v>1.0528394711334736</v>
          </cell>
          <cell r="CQ63">
            <v>1.050675558866313</v>
          </cell>
          <cell r="CR63">
            <v>1.0485579504134126</v>
          </cell>
          <cell r="CS63">
            <v>1.0464855897161045</v>
          </cell>
          <cell r="CT63">
            <v>1.0444574470024015</v>
          </cell>
          <cell r="CU63">
            <v>1.0424725180678331</v>
          </cell>
          <cell r="CV63">
            <v>1.0405298235773337</v>
          </cell>
          <cell r="CW63">
            <v>1.038628408387577</v>
          </cell>
          <cell r="CX63">
            <v>1.0367673408891489</v>
          </cell>
          <cell r="CY63">
            <v>1.0349457123679866</v>
          </cell>
          <cell r="CZ63">
            <v>1.0331626363855053</v>
          </cell>
          <cell r="DA63">
            <v>1.0314172481768633</v>
          </cell>
          <cell r="DB63">
            <v>1.0297087040668289</v>
          </cell>
          <cell r="DC63">
            <v>1.0280361809027136</v>
          </cell>
          <cell r="DD63">
            <v>1.0263988755038715</v>
          </cell>
          <cell r="DE63">
            <v>1.0247960041272592</v>
          </cell>
          <cell r="DF63">
            <v>1.023226801948578</v>
          </cell>
          <cell r="DG63">
            <v>1.0216905225585207</v>
          </cell>
          <cell r="DH63">
            <v>1.0201864374736753</v>
          </cell>
          <cell r="DI63">
            <v>1.0187138356616325</v>
          </cell>
          <cell r="DJ63">
            <v>1.0172720230798711</v>
          </cell>
          <cell r="DK63">
            <v>1.0158603222279992</v>
          </cell>
          <cell r="DL63">
            <v>1.0144780717129456</v>
          </cell>
          <cell r="DM63">
            <v>1.0131246258267079</v>
          </cell>
          <cell r="DN63">
            <v>1.0117993541362689</v>
          </cell>
          <cell r="DO63">
            <v>1.0105016410853156</v>
          </cell>
          <cell r="DP63">
            <v>1.0092308856073973</v>
          </cell>
          <cell r="DQ63">
            <v>1.0079865007501712</v>
          </cell>
          <cell r="DR63">
            <v>1.0067679133104004</v>
          </cell>
          <cell r="DS63">
            <v>1.0055745634793705</v>
          </cell>
          <cell r="DT63">
            <v>1.0044059044984113</v>
          </cell>
          <cell r="DU63">
            <v>1.003261402324209</v>
          </cell>
          <cell r="DV63">
            <v>1.0021405353036132</v>
          </cell>
          <cell r="DW63">
            <v>1.001042793857648</v>
          </cell>
          <cell r="DX63">
            <v>0.9999676801744426</v>
          </cell>
          <cell r="DY63">
            <v>0.99891470791081527</v>
          </cell>
          <cell r="DZ63">
            <v>0.99788340190223856</v>
          </cell>
          <cell r="EA63">
            <v>0.99687329788093715</v>
          </cell>
          <cell r="EB63">
            <v>0.99588394220186838</v>
          </cell>
          <cell r="EC63">
            <v>0.99491489157634128</v>
          </cell>
          <cell r="ED63">
            <v>0.99396571281304857</v>
          </cell>
          <cell r="EE63">
            <v>0.99303598256628434</v>
          </cell>
          <cell r="EF63">
            <v>0.99212528709112446</v>
          </cell>
          <cell r="EG63">
            <v>0.99123322200536734</v>
          </cell>
          <cell r="EH63">
            <v>0.99035939205802348</v>
          </cell>
          <cell r="EI63">
            <v>0.98950341090416094</v>
          </cell>
          <cell r="EJ63">
            <v>0.98866490088591064</v>
          </cell>
          <cell r="EK63">
            <v>0.98784349281945172</v>
          </cell>
          <cell r="EL63">
            <v>0.98703882578779167</v>
          </cell>
          <cell r="EM63">
            <v>0.98625054693917058</v>
          </cell>
          <cell r="EN63">
            <v>0.98547831129092145</v>
          </cell>
          <cell r="EO63">
            <v>0.98472178153862289</v>
          </cell>
          <cell r="EP63">
            <v>0.98398062787038465</v>
          </cell>
          <cell r="EQ63">
            <v>0.98325452778611699</v>
          </cell>
          <cell r="ER63">
            <v>0.9825431659216336</v>
          </cell>
          <cell r="ES63">
            <v>0.98184623387744419</v>
          </cell>
          <cell r="ET63">
            <v>0.98116343005210116</v>
          </cell>
          <cell r="EU63">
            <v>0.98049445947996272</v>
          </cell>
          <cell r="EV63">
            <v>0.97983903367324576</v>
          </cell>
          <cell r="EW63">
            <v>0.97919687046824033</v>
          </cell>
          <cell r="EX63">
            <v>0.97856769387556264</v>
          </cell>
          <cell r="EY63">
            <v>0.97795123393433536</v>
          </cell>
          <cell r="EZ63">
            <v>0.97734722657017226</v>
          </cell>
          <cell r="FA63">
            <v>0.97675541345686068</v>
          </cell>
          <cell r="FB63">
            <v>0.97617554188163891</v>
          </cell>
          <cell r="FC63">
            <v>0.97560736461395459</v>
          </cell>
          <cell r="FD63">
            <v>0.97505063977761464</v>
          </cell>
          <cell r="FE63">
            <v>0.97450513072622114</v>
          </cell>
          <cell r="FF63">
            <v>0.9739706059218034</v>
          </cell>
          <cell r="FG63">
            <v>0.9734468388165548</v>
          </cell>
          <cell r="FH63">
            <v>0.97293360773758075</v>
          </cell>
          <cell r="FI63">
            <v>0.97243069577458296</v>
          </cell>
          <cell r="FJ63">
            <v>0.97193789067038272</v>
          </cell>
          <cell r="FK63">
            <v>0.97145498471421654</v>
          </cell>
          <cell r="FL63">
            <v>0.97098177463771651</v>
          </cell>
          <cell r="FM63">
            <v>0.97051806151350395</v>
          </cell>
          <cell r="FN63">
            <v>0.97006365065632327</v>
          </cell>
          <cell r="FO63">
            <v>0.96961835152664544</v>
          </cell>
          <cell r="FP63">
            <v>0.96918197763666913</v>
          </cell>
          <cell r="FQ63">
            <v>0.96875434645865655</v>
          </cell>
          <cell r="FR63">
            <v>0.96833527933553876</v>
          </cell>
          <cell r="FS63">
            <v>0.96792460139372527</v>
          </cell>
          <cell r="FT63">
            <v>0.96752214145806203</v>
          </cell>
          <cell r="FU63">
            <v>0.96712773196887458</v>
          </cell>
          <cell r="FV63">
            <v>0.96674120890103965</v>
          </cell>
          <cell r="FW63">
            <v>0.96636241168503445</v>
          </cell>
          <cell r="FX63">
            <v>0.96599118312990362</v>
          </cell>
          <cell r="FY63">
            <v>0.96562736934809779</v>
          </cell>
          <cell r="FZ63">
            <v>0.96527081968212913</v>
          </cell>
          <cell r="GA63">
            <v>0.96492138663299598</v>
          </cell>
          <cell r="GB63">
            <v>0.96457892579033089</v>
          </cell>
          <cell r="GC63">
            <v>0.96424329576422341</v>
          </cell>
          <cell r="GD63">
            <v>0.9639143581186751</v>
          </cell>
          <cell r="GE63">
            <v>0.96359197730664237</v>
          </cell>
          <cell r="GF63">
            <v>0.96327602060662532</v>
          </cell>
          <cell r="GG63">
            <v>0.96296635806076158</v>
          </cell>
          <cell r="GH63">
            <v>0.96266286241438459</v>
          </cell>
          <cell r="GI63">
            <v>0.96236540905701184</v>
          </cell>
          <cell r="GJ63">
            <v>0.96207387596472083</v>
          </cell>
          <cell r="GK63">
            <v>0.96178814364387721</v>
          </cell>
          <cell r="GL63">
            <v>0.96150809507618518</v>
          </cell>
          <cell r="GM63">
            <v>0.96123361566501886</v>
          </cell>
          <cell r="GN63">
            <v>0.96096459318300564</v>
          </cell>
          <cell r="GO63">
            <v>0.96070091772082944</v>
          </cell>
          <cell r="GP63">
            <v>0.96044248163721846</v>
          </cell>
          <cell r="GQ63">
            <v>0.96018917951009553</v>
          </cell>
          <cell r="GR63">
            <v>0.95994090808884991</v>
          </cell>
          <cell r="GS63">
            <v>0.9596975662477123</v>
          </cell>
          <cell r="GT63">
            <v>0.95945905494019923</v>
          </cell>
          <cell r="GU63">
            <v>0.95922527715460248</v>
          </cell>
          <cell r="GV63">
            <v>0.95899613787049531</v>
          </cell>
          <cell r="GW63">
            <v>0.95877154401623144</v>
          </cell>
          <cell r="GX63">
            <v>0.95855140442741094</v>
          </cell>
          <cell r="GY63">
            <v>0.95833562980629017</v>
          </cell>
          <cell r="GZ63">
            <v>0.95812413268211005</v>
          </cell>
          <cell r="HA63">
            <v>0.95791682737232287</v>
          </cell>
          <cell r="HB63">
            <v>0.95771362994469189</v>
          </cell>
          <cell r="HC63">
            <v>0.95751445818024672</v>
          </cell>
          <cell r="HD63">
            <v>0.95731923153706677</v>
          </cell>
          <cell r="HE63">
            <v>0.95712787111488118</v>
          </cell>
          <cell r="HF63">
            <v>0.9569402996204569</v>
          </cell>
          <cell r="HG63">
            <v>0.95675644133376125</v>
          </cell>
          <cell r="HH63">
            <v>0.95657622207487703</v>
          </cell>
          <cell r="HI63">
            <v>0.95639956917165414</v>
          </cell>
          <cell r="HJ63">
            <v>0.9562264114280794</v>
          </cell>
          <cell r="HK63">
            <v>0.95605667909334391</v>
          </cell>
          <cell r="HL63">
            <v>0.95589030383159812</v>
          </cell>
          <cell r="HM63">
            <v>0.95572721869236921</v>
          </cell>
          <cell r="HN63">
            <v>0.95556735808163584</v>
          </cell>
          <cell r="HO63">
            <v>0.95541065773353195</v>
          </cell>
          <cell r="HP63">
            <v>0.95525705468267608</v>
          </cell>
          <cell r="HQ63">
            <v>0.95510648723710345</v>
          </cell>
          <cell r="HR63">
            <v>0.95495889495179276</v>
          </cell>
          <cell r="HS63">
            <v>0.9548142186027665</v>
          </cell>
          <cell r="HT63">
            <v>0.95467240016175892</v>
          </cell>
          <cell r="HU63">
            <v>0.95453338277143185</v>
          </cell>
          <cell r="HV63">
            <v>0.95439711072113109</v>
          </cell>
          <cell r="HW63">
            <v>0.95426352942316583</v>
          </cell>
          <cell r="HX63">
            <v>0.95413258538960222</v>
          </cell>
          <cell r="HY63">
            <v>0.95400422620955749</v>
          </cell>
          <cell r="HZ63">
            <v>0.95387840052698458</v>
          </cell>
          <cell r="IA63">
            <v>0.95375505801893334</v>
          </cell>
          <cell r="IB63">
            <v>0.95363414937428115</v>
          </cell>
          <cell r="IC63">
            <v>0.95351562627291708</v>
          </cell>
          <cell r="ID63">
            <v>0.95339944136537502</v>
          </cell>
          <cell r="IE63">
            <v>0.95328554825290057</v>
          </cell>
          <cell r="IF63">
            <v>0.95317390146794401</v>
          </cell>
          <cell r="IG63">
            <v>0.95306445645506943</v>
          </cell>
          <cell r="IH63">
            <v>0.95295716955227183</v>
          </cell>
          <cell r="II63">
            <v>0.95285199797268871</v>
          </cell>
          <cell r="IJ63">
            <v>0.95274889978670341</v>
          </cell>
          <cell r="IK63">
            <v>0.95264783390442509</v>
          </cell>
          <cell r="IL63">
            <v>0.9525487600585415</v>
          </cell>
          <cell r="IM63">
            <v>0.95245163878753469</v>
          </cell>
          <cell r="IN63">
            <v>0.95235643141924931</v>
          </cell>
          <cell r="IO63">
            <v>0.95226310005481085</v>
          </cell>
          <cell r="IP63">
            <v>0.95217160755287877</v>
          </cell>
          <cell r="IQ63">
            <v>0.95208191751423465</v>
          </cell>
          <cell r="IR63">
            <v>0</v>
          </cell>
        </row>
        <row r="64">
          <cell r="B64" t="str">
            <v>NOPAT</v>
          </cell>
          <cell r="C64">
            <v>2871.7470000000003</v>
          </cell>
          <cell r="D64">
            <v>2920.04</v>
          </cell>
          <cell r="E64">
            <v>4005.6206027691305</v>
          </cell>
          <cell r="F64">
            <v>4913.6142243584527</v>
          </cell>
          <cell r="G64">
            <v>5289.7613818688387</v>
          </cell>
          <cell r="H64">
            <v>5523.7604606333225</v>
          </cell>
          <cell r="I64">
            <v>5867.5382141248729</v>
          </cell>
          <cell r="J64">
            <v>5897.3693223781993</v>
          </cell>
          <cell r="K64">
            <v>6339.5625870551194</v>
          </cell>
          <cell r="L64">
            <v>7032.8712843893081</v>
          </cell>
          <cell r="M64">
            <v>7092.7803587195049</v>
          </cell>
          <cell r="N64">
            <v>7452.0780774536515</v>
          </cell>
          <cell r="O64">
            <v>7630.844918343907</v>
          </cell>
          <cell r="P64">
            <v>7785.6629771098042</v>
          </cell>
          <cell r="Q64">
            <v>7914.310367593208</v>
          </cell>
          <cell r="R64">
            <v>7981.4475197076754</v>
          </cell>
          <cell r="S64">
            <v>8206.0562962843524</v>
          </cell>
          <cell r="T64">
            <v>8296.0513684978287</v>
          </cell>
          <cell r="U64">
            <v>8388.1606320738392</v>
          </cell>
          <cell r="V64">
            <v>8482.4233327566799</v>
          </cell>
          <cell r="W64">
            <v>8578.8794296825035</v>
          </cell>
          <cell r="X64">
            <v>8677.5696150059739</v>
          </cell>
          <cell r="Y64">
            <v>8778.5353338193727</v>
          </cell>
          <cell r="Z64">
            <v>8881.818804359993</v>
          </cell>
          <cell r="AA64">
            <v>8987.4630385026903</v>
          </cell>
          <cell r="AB64">
            <v>9095.5118625354735</v>
          </cell>
          <cell r="AC64">
            <v>9206.0099382169683</v>
          </cell>
          <cell r="AD64">
            <v>9319.0027841156007</v>
          </cell>
          <cell r="AE64">
            <v>9434.536797231216</v>
          </cell>
          <cell r="AF64">
            <v>9552.6592749008705</v>
          </cell>
          <cell r="AG64">
            <v>9673.4184369912837</v>
          </cell>
          <cell r="AH64">
            <v>9796.8634483814076</v>
          </cell>
          <cell r="AI64">
            <v>9923.0444417392991</v>
          </cell>
          <cell r="AJ64">
            <v>10052.012540598298</v>
          </cell>
          <cell r="AK64">
            <v>10183.819882738266</v>
          </cell>
          <cell r="AL64">
            <v>10318.519643878288</v>
          </cell>
          <cell r="AM64">
            <v>10456.166061688004</v>
          </cell>
          <cell r="AN64">
            <v>10596.81446012527</v>
          </cell>
          <cell r="AO64">
            <v>10740.521274108516</v>
          </cell>
          <cell r="AP64">
            <v>10887.344074532708</v>
          </cell>
          <cell r="AQ64">
            <v>11037.341593638352</v>
          </cell>
          <cell r="AR64">
            <v>11190.573750743482</v>
          </cell>
          <cell r="AS64">
            <v>11347.101678349056</v>
          </cell>
          <cell r="AT64">
            <v>11506.987748628584</v>
          </cell>
          <cell r="AU64">
            <v>11670.295600313315</v>
          </cell>
          <cell r="AV64">
            <v>11837.09016598458</v>
          </cell>
          <cell r="AW64">
            <v>12007.437699785371</v>
          </cell>
          <cell r="AX64">
            <v>12181.405805563529</v>
          </cell>
          <cell r="AY64">
            <v>12359.063465459212</v>
          </cell>
          <cell r="AZ64">
            <v>12540.481068949708</v>
          </cell>
          <cell r="BA64">
            <v>12725.730442364875</v>
          </cell>
          <cell r="BB64">
            <v>12914.884878886794</v>
          </cell>
          <cell r="BC64">
            <v>13108.019169047529</v>
          </cell>
          <cell r="BD64">
            <v>13305.209631739064</v>
          </cell>
          <cell r="BE64">
            <v>13506.534145749813</v>
          </cell>
          <cell r="BF64">
            <v>13712.072181842297</v>
          </cell>
          <cell r="BG64">
            <v>13921.904835386813</v>
          </cell>
          <cell r="BH64">
            <v>14136.114859566151</v>
          </cell>
          <cell r="BI64">
            <v>14354.786699166674</v>
          </cell>
          <cell r="BJ64">
            <v>14578.00652497125</v>
          </cell>
          <cell r="BK64">
            <v>14805.86226876971</v>
          </cell>
          <cell r="BL64">
            <v>15038.443659002873</v>
          </cell>
          <cell r="BM64">
            <v>15275.842257056207</v>
          </cell>
          <cell r="BN64">
            <v>15518.151494219528</v>
          </cell>
          <cell r="BO64">
            <v>15765.466709329357</v>
          </cell>
          <cell r="BP64">
            <v>16017.885187110725</v>
          </cell>
          <cell r="BQ64">
            <v>16275.506197235496</v>
          </cell>
          <cell r="BR64">
            <v>16538.431034114452</v>
          </cell>
          <cell r="BS64">
            <v>16806.763057440676</v>
          </cell>
          <cell r="BT64">
            <v>17080.607733502016</v>
          </cell>
          <cell r="BU64">
            <v>17360.072677280536</v>
          </cell>
          <cell r="BV64">
            <v>17645.267695357288</v>
          </cell>
          <cell r="BW64">
            <v>17936.304829640914</v>
          </cell>
          <cell r="BX64">
            <v>18233.298401938759</v>
          </cell>
          <cell r="BY64">
            <v>18536.365059389678</v>
          </cell>
          <cell r="BZ64">
            <v>18845.623820777746</v>
          </cell>
          <cell r="CA64">
            <v>19161.19612374658</v>
          </cell>
          <cell r="CB64">
            <v>19483.205872934119</v>
          </cell>
          <cell r="CC64">
            <v>19811.779489048127</v>
          </cell>
          <cell r="CD64">
            <v>20147.045958902956</v>
          </cell>
          <cell r="CE64">
            <v>20489.136886438391</v>
          </cell>
          <cell r="CF64">
            <v>20838.186544741839</v>
          </cell>
          <cell r="CG64">
            <v>21194.331929095304</v>
          </cell>
          <cell r="CH64">
            <v>21557.71281106917</v>
          </cell>
          <cell r="CI64">
            <v>21928.471793684912</v>
          </cell>
          <cell r="CJ64">
            <v>22306.754367669429</v>
          </cell>
          <cell r="CK64">
            <v>22692.708968824081</v>
          </cell>
          <cell r="CL64">
            <v>23086.487036531616</v>
          </cell>
          <cell r="CM64">
            <v>23488.243073425107</v>
          </cell>
          <cell r="CN64">
            <v>23898.13470624281</v>
          </cell>
          <cell r="CO64">
            <v>24316.322747893835</v>
          </cell>
          <cell r="CP64">
            <v>24742.971260759597</v>
          </cell>
          <cell r="CQ64">
            <v>25178.247621256571</v>
          </cell>
          <cell r="CR64">
            <v>25622.322585686481</v>
          </cell>
          <cell r="CS64">
            <v>26075.370357400236</v>
          </cell>
          <cell r="CT64">
            <v>26537.568655302613</v>
          </cell>
          <cell r="CU64">
            <v>27009.098783725243</v>
          </cell>
          <cell r="CV64">
            <v>27490.145703695671</v>
          </cell>
          <cell r="CW64">
            <v>27980.898105631146</v>
          </cell>
          <cell r="CX64">
            <v>28481.548483486018</v>
          </cell>
          <cell r="CY64">
            <v>28992.293210382351</v>
          </cell>
          <cell r="CZ64">
            <v>29513.332615753865</v>
          </cell>
          <cell r="DA64">
            <v>30044.87106403389</v>
          </cell>
          <cell r="DB64">
            <v>30587.117034918549</v>
          </cell>
          <cell r="DC64">
            <v>31140.283205237094</v>
          </cell>
          <cell r="DD64">
            <v>31704.586532461843</v>
          </cell>
          <cell r="DE64">
            <v>32280.248339890764</v>
          </cell>
          <cell r="DF64">
            <v>32867.494403536555</v>
          </cell>
          <cell r="DG64">
            <v>33466.555040756437</v>
          </cell>
          <cell r="DH64">
            <v>34077.66520065791</v>
          </cell>
          <cell r="DI64">
            <v>34701.064556316036</v>
          </cell>
          <cell r="DJ64">
            <v>35336.99759883873</v>
          </cell>
          <cell r="DK64">
            <v>35985.71373331725</v>
          </cell>
          <cell r="DL64">
            <v>36647.4673766997</v>
          </cell>
          <cell r="DM64">
            <v>37322.518057626112</v>
          </cell>
          <cell r="DN64">
            <v>38011.130518264566</v>
          </cell>
          <cell r="DO64">
            <v>38713.574818188426</v>
          </cell>
          <cell r="DP64">
            <v>39430.126440335611</v>
          </cell>
          <cell r="DQ64">
            <v>40161.066399091629</v>
          </cell>
          <cell r="DR64">
            <v>40906.681350539002</v>
          </cell>
          <cell r="DS64">
            <v>41667.26370491636</v>
          </cell>
          <cell r="DT64">
            <v>42443.111741331544</v>
          </cell>
          <cell r="DU64">
            <v>43234.529724773856</v>
          </cell>
          <cell r="DV64">
            <v>44041.828025471346</v>
          </cell>
          <cell r="DW64">
            <v>44865.323240640275</v>
          </cell>
          <cell r="DX64">
            <v>45705.338318674454</v>
          </cell>
          <cell r="DY64">
            <v>46562.202685823308</v>
          </cell>
          <cell r="DZ64">
            <v>47436.252375408556</v>
          </cell>
          <cell r="EA64">
            <v>48327.830159630139</v>
          </cell>
          <cell r="EB64">
            <v>49237.285684013179</v>
          </cell>
          <cell r="EC64">
            <v>50164.97560454905</v>
          </cell>
          <cell r="ED64">
            <v>51111.263727583973</v>
          </cell>
          <cell r="EE64">
            <v>52076.521152510497</v>
          </cell>
          <cell r="EF64">
            <v>53061.12641731769</v>
          </cell>
          <cell r="EG64">
            <v>54065.465647057172</v>
          </cell>
          <cell r="EH64">
            <v>55089.932705283405</v>
          </cell>
          <cell r="EI64">
            <v>56134.92934852757</v>
          </cell>
          <cell r="EJ64">
            <v>57200.865383865785</v>
          </cell>
          <cell r="EK64">
            <v>58288.158829643377</v>
          </cell>
          <cell r="EL64">
            <v>59397.236079418377</v>
          </cell>
          <cell r="EM64">
            <v>60528.532069188688</v>
          </cell>
          <cell r="EN64">
            <v>61682.490447968245</v>
          </cell>
          <cell r="EO64">
            <v>62859.56375177938</v>
          </cell>
          <cell r="EP64">
            <v>64060.213581129676</v>
          </cell>
          <cell r="EQ64">
            <v>65284.910782042651</v>
          </cell>
          <cell r="ER64">
            <v>66534.135630713703</v>
          </cell>
          <cell r="ES64">
            <v>67808.37802186342</v>
          </cell>
          <cell r="ET64">
            <v>69108.137660862441</v>
          </cell>
          <cell r="EU64">
            <v>70433.924259702922</v>
          </cell>
          <cell r="EV64">
            <v>71786.257736893836</v>
          </cell>
          <cell r="EW64">
            <v>73165.668421358263</v>
          </cell>
          <cell r="EX64">
            <v>74572.697260412853</v>
          </cell>
          <cell r="EY64">
            <v>76007.896031910786</v>
          </cell>
          <cell r="EZ64">
            <v>77471.827560631747</v>
          </cell>
          <cell r="FA64">
            <v>78965.06593900366</v>
          </cell>
          <cell r="FB64">
            <v>80488.196752242569</v>
          </cell>
          <cell r="FC64">
            <v>82041.817307999503</v>
          </cell>
          <cell r="FD64">
            <v>83626.536870603682</v>
          </cell>
          <cell r="FE64">
            <v>85242.976899994697</v>
          </cell>
          <cell r="FF64">
            <v>86891.7712954366</v>
          </cell>
          <cell r="FG64">
            <v>88573.566644110266</v>
          </cell>
          <cell r="FH64">
            <v>90289.022474681071</v>
          </cell>
          <cell r="FI64">
            <v>92038.811515941168</v>
          </cell>
          <cell r="FJ64">
            <v>93823.619960628464</v>
          </cell>
          <cell r="FK64">
            <v>95644.147734525104</v>
          </cell>
          <cell r="FL64">
            <v>97501.10877094137</v>
          </cell>
          <cell r="FM64">
            <v>99395.23129069242</v>
          </cell>
          <cell r="FN64">
            <v>101327.25808767807</v>
          </cell>
          <cell r="FO64">
            <v>103297.94682017708</v>
          </cell>
          <cell r="FP64">
            <v>105308.07030797048</v>
          </cell>
          <cell r="FQ64">
            <v>107358.41683541068</v>
          </cell>
          <cell r="FR64">
            <v>109449.79046055466</v>
          </cell>
          <cell r="FS64">
            <v>111583.01133048309</v>
          </cell>
          <cell r="FT64">
            <v>113758.91600292847</v>
          </cell>
          <cell r="FU64">
            <v>115978.35777433892</v>
          </cell>
          <cell r="FV64">
            <v>118242.20701450604</v>
          </cell>
          <cell r="FW64">
            <v>120551.35150788794</v>
          </cell>
          <cell r="FX64">
            <v>122906.69680176172</v>
          </cell>
          <cell r="FY64">
            <v>125309.16656134132</v>
          </cell>
          <cell r="FZ64">
            <v>127759.70293200071</v>
          </cell>
          <cell r="GA64">
            <v>130259.26690874397</v>
          </cell>
          <cell r="GB64">
            <v>132808.83871306718</v>
          </cell>
          <cell r="GC64">
            <v>135409.41817736026</v>
          </cell>
          <cell r="GD64">
            <v>138062.02513699923</v>
          </cell>
          <cell r="GE64">
            <v>140767.6998302826</v>
          </cell>
          <cell r="GF64">
            <v>143527.50330636895</v>
          </cell>
          <cell r="GG64">
            <v>146342.51784137555</v>
          </cell>
          <cell r="GH64">
            <v>149213.84736280126</v>
          </cell>
          <cell r="GI64">
            <v>152142.6178824401</v>
          </cell>
          <cell r="GJ64">
            <v>155129.97793795512</v>
          </cell>
          <cell r="GK64">
            <v>158177.09904328632</v>
          </cell>
          <cell r="GL64">
            <v>161285.17614806831</v>
          </cell>
          <cell r="GM64">
            <v>164455.42810623872</v>
          </cell>
          <cell r="GN64">
            <v>167689.09815402082</v>
          </cell>
          <cell r="GO64">
            <v>170987.45439746761</v>
          </cell>
          <cell r="GP64">
            <v>174351.79030975894</v>
          </cell>
          <cell r="GQ64">
            <v>177783.42523844622</v>
          </cell>
          <cell r="GR64">
            <v>181283.70492284439</v>
          </cell>
          <cell r="GS64">
            <v>184854.00202177296</v>
          </cell>
          <cell r="GT64">
            <v>188495.71665185419</v>
          </cell>
          <cell r="GU64">
            <v>192210.27693657883</v>
          </cell>
          <cell r="GV64">
            <v>195999.13956635489</v>
          </cell>
          <cell r="GW64">
            <v>199863.79036975905</v>
          </cell>
          <cell r="GX64">
            <v>203805.74489621507</v>
          </cell>
          <cell r="GY64">
            <v>207826.54901032691</v>
          </cell>
          <cell r="GZ64">
            <v>211927.77949810086</v>
          </cell>
          <cell r="HA64">
            <v>216111.04468529276</v>
          </cell>
          <cell r="HB64">
            <v>220377.98506812472</v>
          </cell>
          <cell r="HC64">
            <v>224730.27395661687</v>
          </cell>
          <cell r="HD64">
            <v>229169.61813078789</v>
          </cell>
          <cell r="HE64">
            <v>233697.75850998051</v>
          </cell>
          <cell r="HF64">
            <v>238316.47083557514</v>
          </cell>
          <cell r="HG64">
            <v>243027.56636735957</v>
          </cell>
          <cell r="HH64">
            <v>247832.89259382678</v>
          </cell>
          <cell r="HI64">
            <v>252734.33395668049</v>
          </cell>
          <cell r="HJ64">
            <v>257733.8125898322</v>
          </cell>
          <cell r="HK64">
            <v>262833.28907317907</v>
          </cell>
          <cell r="HL64">
            <v>268034.76320145925</v>
          </cell>
          <cell r="HM64">
            <v>273340.27476848511</v>
          </cell>
          <cell r="HN64">
            <v>278751.90436706232</v>
          </cell>
          <cell r="HO64">
            <v>284271.77420490922</v>
          </cell>
          <cell r="HP64">
            <v>289902.04893689451</v>
          </cell>
          <cell r="HQ64">
            <v>295644.93651392253</v>
          </cell>
          <cell r="HR64">
            <v>301502.6890487955</v>
          </cell>
          <cell r="HS64">
            <v>307477.6036993959</v>
          </cell>
          <cell r="HT64">
            <v>313572.02356953232</v>
          </cell>
          <cell r="HU64">
            <v>319788.33862780413</v>
          </cell>
          <cell r="HV64">
            <v>326128.98664484371</v>
          </cell>
          <cell r="HW64">
            <v>332596.45414930541</v>
          </cell>
          <cell r="HX64">
            <v>339193.27740297467</v>
          </cell>
          <cell r="HY64">
            <v>345922.04339538055</v>
          </cell>
          <cell r="HZ64">
            <v>352785.39085830166</v>
          </cell>
          <cell r="IA64">
            <v>359786.01130056311</v>
          </cell>
          <cell r="IB64">
            <v>366926.65006352944</v>
          </cell>
          <cell r="IC64">
            <v>374210.10739771038</v>
          </cell>
          <cell r="ID64">
            <v>381639.23956089711</v>
          </cell>
          <cell r="IE64">
            <v>389216.95993826428</v>
          </cell>
          <cell r="IF64">
            <v>396946.24018487369</v>
          </cell>
          <cell r="IG64">
            <v>404830.1113910292</v>
          </cell>
          <cell r="IH64">
            <v>412871.66527093988</v>
          </cell>
          <cell r="II64">
            <v>421074.05537515669</v>
          </cell>
          <cell r="IJ64">
            <v>429440.49832725927</v>
          </cell>
          <cell r="IK64">
            <v>437974.27508527669</v>
          </cell>
          <cell r="IL64">
            <v>446678.73222833825</v>
          </cell>
          <cell r="IM64">
            <v>455557.28326905658</v>
          </cell>
          <cell r="IN64">
            <v>464613.40999216115</v>
          </cell>
          <cell r="IO64">
            <v>473850.66381990304</v>
          </cell>
          <cell r="IP64">
            <v>483272.66720477032</v>
          </cell>
          <cell r="IQ64">
            <v>492883.1150500573</v>
          </cell>
          <cell r="IR64">
            <v>502685.77615884645</v>
          </cell>
        </row>
        <row r="65">
          <cell r="B65" t="str">
            <v>NOPAT margin</v>
          </cell>
          <cell r="C65">
            <v>7.8617690538764787E-2</v>
          </cell>
          <cell r="D65">
            <v>7.3441649899396375E-2</v>
          </cell>
          <cell r="E65">
            <v>9.7235341708062292E-2</v>
          </cell>
          <cell r="F65">
            <v>0.10826343552950529</v>
          </cell>
          <cell r="G65">
            <v>0.11101525046211028</v>
          </cell>
          <cell r="H65">
            <v>0.110639776102796</v>
          </cell>
          <cell r="I65">
            <v>0.11168529284949036</v>
          </cell>
          <cell r="J65">
            <v>0.10899475339460908</v>
          </cell>
          <cell r="K65">
            <v>0.1129009653641958</v>
          </cell>
          <cell r="L65">
            <v>0.12003890000052637</v>
          </cell>
          <cell r="M65">
            <v>0.11654906908486487</v>
          </cell>
          <cell r="N65">
            <v>0.1184222886982968</v>
          </cell>
          <cell r="O65">
            <v>0.11780456682321663</v>
          </cell>
          <cell r="P65">
            <v>0.11729978285878988</v>
          </cell>
          <cell r="Q65">
            <v>0.11690000069649564</v>
          </cell>
          <cell r="R65">
            <v>0.11558006298849627</v>
          </cell>
          <cell r="S65">
            <v>0.11650259116161187</v>
          </cell>
          <cell r="T65">
            <v>0.11547084752053417</v>
          </cell>
          <cell r="U65">
            <v>0.1144636229015512</v>
          </cell>
          <cell r="V65">
            <v>0.11348031180194378</v>
          </cell>
          <cell r="W65">
            <v>0.11252032289628422</v>
          </cell>
          <cell r="X65">
            <v>0.11158307880332964</v>
          </cell>
          <cell r="Y65">
            <v>0.11066801585051543</v>
          </cell>
          <cell r="Z65">
            <v>0.10977458383638886</v>
          </cell>
          <cell r="AA65">
            <v>0.10890224579132576</v>
          </cell>
          <cell r="AB65">
            <v>0.10805047773687293</v>
          </cell>
          <cell r="AC65">
            <v>0.1072187684440561</v>
          </cell>
          <cell r="AD65">
            <v>0.10640661919098957</v>
          </cell>
          <cell r="AE65">
            <v>0.10561354352011597</v>
          </cell>
          <cell r="AF65">
            <v>0.10483906699539822</v>
          </cell>
          <cell r="AG65">
            <v>0.10408272695977444</v>
          </cell>
          <cell r="AH65">
            <v>0.10334407229317764</v>
          </cell>
          <cell r="AI65">
            <v>0.10262266317140864</v>
          </cell>
          <cell r="AJ65">
            <v>0.10191807082613917</v>
          </cell>
          <cell r="AK65">
            <v>0.10122987730630829</v>
          </cell>
          <cell r="AL65">
            <v>0.10055767524116108</v>
          </cell>
          <cell r="AM65">
            <v>9.9901067605164845E-2</v>
          </cell>
          <cell r="AN65">
            <v>9.925966748502324E-2</v>
          </cell>
          <cell r="AO65">
            <v>9.8633097848993614E-2</v>
          </cell>
          <cell r="AP65">
            <v>9.8020991318698875E-2</v>
          </cell>
          <cell r="AQ65">
            <v>9.7422989943610039E-2</v>
          </cell>
          <cell r="AR65">
            <v>9.6838744978360994E-2</v>
          </cell>
          <cell r="AS65">
            <v>9.6267916663043157E-2</v>
          </cell>
          <cell r="AT65">
            <v>9.5710174006613538E-2</v>
          </cell>
          <cell r="AU65">
            <v>9.5165194573535908E-2</v>
          </cell>
          <cell r="AV65">
            <v>9.4632664273761921E-2</v>
          </cell>
          <cell r="AW65">
            <v>9.4112277156146104E-2</v>
          </cell>
          <cell r="AX65">
            <v>9.360373520537664E-2</v>
          </cell>
          <cell r="AY65">
            <v>9.310674814249148E-2</v>
          </cell>
          <cell r="AZ65">
            <v>9.2621033229039099E-2</v>
          </cell>
          <cell r="BA65">
            <v>9.2146315074931887E-2</v>
          </cell>
          <cell r="BB65">
            <v>9.1682325450030036E-2</v>
          </cell>
          <cell r="BC65">
            <v>9.1228803099484904E-2</v>
          </cell>
          <cell r="BD65">
            <v>9.0785493562861114E-2</v>
          </cell>
          <cell r="BE65">
            <v>9.035214899704877E-2</v>
          </cell>
          <cell r="BF65">
            <v>8.9928528002969105E-2</v>
          </cell>
          <cell r="BG65">
            <v>8.9514395456069568E-2</v>
          </cell>
          <cell r="BH65">
            <v>8.9109522340597547E-2</v>
          </cell>
          <cell r="BI65">
            <v>8.871368558763594E-2</v>
          </cell>
          <cell r="BJ65">
            <v>8.8326667916877613E-2</v>
          </cell>
          <cell r="BK65">
            <v>8.7948257682110328E-2</v>
          </cell>
          <cell r="BL65">
            <v>8.7578248720379961E-2</v>
          </cell>
          <cell r="BM65">
            <v>8.721644020479398E-2</v>
          </cell>
          <cell r="BN65">
            <v>8.6862636500924101E-2</v>
          </cell>
          <cell r="BO65">
            <v>8.6516647026763357E-2</v>
          </cell>
          <cell r="BP65">
            <v>8.6178286116189315E-2</v>
          </cell>
          <cell r="BQ65">
            <v>8.5847372885882595E-2</v>
          </cell>
          <cell r="BR65">
            <v>8.5523731105647205E-2</v>
          </cell>
          <cell r="BS65">
            <v>8.5207189072076958E-2</v>
          </cell>
          <cell r="BT65">
            <v>8.4897579485511118E-2</v>
          </cell>
          <cell r="BU65">
            <v>8.4594739330219104E-2</v>
          </cell>
          <cell r="BV65">
            <v>8.4298509757754728E-2</v>
          </cell>
          <cell r="BW65">
            <v>8.400873597341825E-2</v>
          </cell>
          <cell r="BX65">
            <v>8.3725267125763406E-2</v>
          </cell>
          <cell r="BY65">
            <v>8.3447956199087125E-2</v>
          </cell>
          <cell r="BZ65">
            <v>8.3176659908837616E-2</v>
          </cell>
          <cell r="CA65">
            <v>8.2911238599877882E-2</v>
          </cell>
          <cell r="CB65">
            <v>8.2651556147539954E-2</v>
          </cell>
          <cell r="CC65">
            <v>8.2397479861406567E-2</v>
          </cell>
          <cell r="CD65">
            <v>8.2148880391756302E-2</v>
          </cell>
          <cell r="CE65">
            <v>8.1905631638608881E-2</v>
          </cell>
          <cell r="CF65">
            <v>8.1667610663307522E-2</v>
          </cell>
          <cell r="CG65">
            <v>8.1434697602576031E-2</v>
          </cell>
          <cell r="CH65">
            <v>8.1206775584988608E-2</v>
          </cell>
          <cell r="CI65">
            <v>8.0983730649791238E-2</v>
          </cell>
          <cell r="CJ65">
            <v>8.0765451668014132E-2</v>
          </cell>
          <cell r="CK65">
            <v>8.0551830265815985E-2</v>
          </cell>
          <cell r="CL65">
            <v>8.0342760750000478E-2</v>
          </cell>
          <cell r="CM65">
            <v>8.0138140035648481E-2</v>
          </cell>
          <cell r="CN65">
            <v>7.9937867575807786E-2</v>
          </cell>
          <cell r="CO65">
            <v>7.9741845293185509E-2</v>
          </cell>
          <cell r="CP65">
            <v>7.9549977513788048E-2</v>
          </cell>
          <cell r="CQ65">
            <v>7.9362170902454732E-2</v>
          </cell>
          <cell r="CR65">
            <v>7.9178334400232933E-2</v>
          </cell>
          <cell r="CS65">
            <v>7.8998379163542673E-2</v>
          </cell>
          <cell r="CT65">
            <v>7.8822218505080602E-2</v>
          </cell>
          <cell r="CU65">
            <v>7.8649767836414045E-2</v>
          </cell>
          <cell r="CV65">
            <v>7.8480944612216719E-2</v>
          </cell>
          <cell r="CW65">
            <v>7.8315668276099509E-2</v>
          </cell>
          <cell r="CX65">
            <v>7.8153860207989881E-2</v>
          </cell>
          <cell r="CY65">
            <v>7.7995443673015599E-2</v>
          </cell>
          <cell r="CZ65">
            <v>7.7840343771848688E-2</v>
          </cell>
          <cell r="DA65">
            <v>7.768848739246749E-2</v>
          </cell>
          <cell r="DB65">
            <v>7.7539803163294882E-2</v>
          </cell>
          <cell r="DC65">
            <v>7.7394221407672714E-2</v>
          </cell>
          <cell r="DD65">
            <v>7.7251674099632822E-2</v>
          </cell>
          <cell r="DE65">
            <v>7.7112094820926458E-2</v>
          </cell>
          <cell r="DF65">
            <v>7.6975418719275046E-2</v>
          </cell>
          <cell r="DG65">
            <v>7.6841582467805855E-2</v>
          </cell>
          <cell r="DH65">
            <v>7.6710524225637608E-2</v>
          </cell>
          <cell r="DI65">
            <v>7.6582183599581646E-2</v>
          </cell>
          <cell r="DJ65">
            <v>7.6456501606925534E-2</v>
          </cell>
          <cell r="DK65">
            <v>7.6333420639266694E-2</v>
          </cell>
          <cell r="DL65">
            <v>7.6212884427365055E-2</v>
          </cell>
          <cell r="DM65">
            <v>7.6094838006983606E-2</v>
          </cell>
          <cell r="DN65">
            <v>7.5979227685688142E-2</v>
          </cell>
          <cell r="DO65">
            <v>7.5866001010576764E-2</v>
          </cell>
          <cell r="DP65">
            <v>7.5755106736911798E-2</v>
          </cell>
          <cell r="DQ65">
            <v>7.5646494797626834E-2</v>
          </cell>
          <cell r="DR65">
            <v>7.5540116273682803E-2</v>
          </cell>
          <cell r="DS65">
            <v>7.5435923365247709E-2</v>
          </cell>
          <cell r="DT65">
            <v>7.5333869363675157E-2</v>
          </cell>
          <cell r="DU65">
            <v>7.5233908624258106E-2</v>
          </cell>
          <cell r="DV65">
            <v>7.5135996539734295E-2</v>
          </cell>
          <cell r="DW65">
            <v>7.504008951452118E-2</v>
          </cell>
          <cell r="DX65">
            <v>7.4946144939658468E-2</v>
          </cell>
          <cell r="DY65">
            <v>7.4854121168436885E-2</v>
          </cell>
          <cell r="DZ65">
            <v>7.4763977492693395E-2</v>
          </cell>
          <cell r="EA65">
            <v>7.4675674119752192E-2</v>
          </cell>
          <cell r="EB65">
            <v>7.4589172149992722E-2</v>
          </cell>
          <cell r="EC65">
            <v>7.4504433555026256E-2</v>
          </cell>
          <cell r="ED65">
            <v>7.4421421156462414E-2</v>
          </cell>
          <cell r="EE65">
            <v>7.4340098605248595E-2</v>
          </cell>
          <cell r="EF65">
            <v>7.4260430361565266E-2</v>
          </cell>
          <cell r="EG65">
            <v>7.4182381675260603E-2</v>
          </cell>
          <cell r="EH65">
            <v>7.4105918566808621E-2</v>
          </cell>
          <cell r="EI65">
            <v>7.4031007808775348E-2</v>
          </cell>
          <cell r="EJ65">
            <v>7.3957616907778315E-2</v>
          </cell>
          <cell r="EK65">
            <v>7.3885714086924445E-2</v>
          </cell>
          <cell r="EL65">
            <v>7.3815268268712861E-2</v>
          </cell>
          <cell r="EM65">
            <v>7.3746249058388696E-2</v>
          </cell>
          <cell r="EN65">
            <v>7.36786267277348E-2</v>
          </cell>
          <cell r="EO65">
            <v>7.3612372199288623E-2</v>
          </cell>
          <cell r="EP65">
            <v>7.3547457030972138E-2</v>
          </cell>
          <cell r="EQ65">
            <v>7.3483853401122429E-2</v>
          </cell>
          <cell r="ER65">
            <v>7.3421534093911694E-2</v>
          </cell>
          <cell r="ES65">
            <v>7.3360472485145323E-2</v>
          </cell>
          <cell r="ET65">
            <v>7.3300642528427246E-2</v>
          </cell>
          <cell r="EU65">
            <v>7.3242018741681778E-2</v>
          </cell>
          <cell r="EV65">
            <v>7.3184576194022133E-2</v>
          </cell>
          <cell r="EW65">
            <v>7.3128290492955383E-2</v>
          </cell>
          <cell r="EX65">
            <v>7.3073137771914501E-2</v>
          </cell>
          <cell r="EY65">
            <v>7.3019094678107993E-2</v>
          </cell>
          <cell r="EZ65">
            <v>7.2966138360678334E-2</v>
          </cell>
          <cell r="FA65">
            <v>7.2914246459160406E-2</v>
          </cell>
          <cell r="FB65">
            <v>7.2863397092231302E-2</v>
          </cell>
          <cell r="FC65">
            <v>7.2813568846743726E-2</v>
          </cell>
          <cell r="FD65">
            <v>7.2764740767034583E-2</v>
          </cell>
          <cell r="FE65">
            <v>7.2716892344501433E-2</v>
          </cell>
          <cell r="FF65">
            <v>7.2670003507439032E-2</v>
          </cell>
          <cell r="FG65">
            <v>7.2624054611129099E-2</v>
          </cell>
          <cell r="FH65">
            <v>7.2579026428175999E-2</v>
          </cell>
          <cell r="FI65">
            <v>7.253490013908151E-2</v>
          </cell>
          <cell r="FJ65">
            <v>7.249165732305253E-2</v>
          </cell>
          <cell r="FK65">
            <v>7.2449279949034759E-2</v>
          </cell>
          <cell r="FL65">
            <v>7.2407750366966547E-2</v>
          </cell>
          <cell r="FM65">
            <v>7.2367051299246796E-2</v>
          </cell>
          <cell r="FN65">
            <v>7.2327165832411069E-2</v>
          </cell>
          <cell r="FO65">
            <v>7.2288077409010235E-2</v>
          </cell>
          <cell r="FP65">
            <v>7.2249769819686227E-2</v>
          </cell>
          <cell r="FQ65">
            <v>7.2212227195439654E-2</v>
          </cell>
          <cell r="FR65">
            <v>7.217543400008393E-2</v>
          </cell>
          <cell r="FS65">
            <v>7.2139375022881091E-2</v>
          </cell>
          <cell r="FT65">
            <v>7.2104035371354278E-2</v>
          </cell>
          <cell r="FU65">
            <v>7.2069400464272446E-2</v>
          </cell>
          <cell r="FV65">
            <v>7.2035456024802449E-2</v>
          </cell>
          <cell r="FW65">
            <v>7.200218807382415E-2</v>
          </cell>
          <cell r="FX65">
            <v>7.1969582923404454E-2</v>
          </cell>
          <cell r="FY65">
            <v>7.193762717042565E-2</v>
          </cell>
          <cell r="FZ65">
            <v>7.1906307690364518E-2</v>
          </cell>
          <cell r="GA65">
            <v>7.1875611631217903E-2</v>
          </cell>
          <cell r="GB65">
            <v>7.1845526407571067E-2</v>
          </cell>
          <cell r="GC65">
            <v>7.1816039694805073E-2</v>
          </cell>
          <cell r="GD65">
            <v>7.1787139423439714E-2</v>
          </cell>
          <cell r="GE65">
            <v>7.1758813773608224E-2</v>
          </cell>
          <cell r="GF65">
            <v>7.1731051169660706E-2</v>
          </cell>
          <cell r="GG65">
            <v>7.1703840274892697E-2</v>
          </cell>
          <cell r="GH65">
            <v>7.1677169986395908E-2</v>
          </cell>
          <cell r="GI65">
            <v>7.1651029430027754E-2</v>
          </cell>
          <cell r="GJ65">
            <v>7.1625407955496823E-2</v>
          </cell>
          <cell r="GK65">
            <v>7.1600295131561451E-2</v>
          </cell>
          <cell r="GL65">
            <v>7.1575680741338243E-2</v>
          </cell>
          <cell r="GM65">
            <v>7.1551554777717949E-2</v>
          </cell>
          <cell r="GN65">
            <v>7.1527907438886124E-2</v>
          </cell>
          <cell r="GO65">
            <v>7.1504729123945593E-2</v>
          </cell>
          <cell r="GP65">
            <v>7.1482010428638637E-2</v>
          </cell>
          <cell r="GQ65">
            <v>7.1459742141165836E-2</v>
          </cell>
          <cell r="GR65">
            <v>7.1437915238099892E-2</v>
          </cell>
          <cell r="GS65">
            <v>7.1416520880391354E-2</v>
          </cell>
          <cell r="GT65">
            <v>7.1395550409464492E-2</v>
          </cell>
          <cell r="GU65">
            <v>7.1374995343400874E-2</v>
          </cell>
          <cell r="GV65">
            <v>7.1354847373208519E-2</v>
          </cell>
          <cell r="GW65">
            <v>7.1335098359174565E-2</v>
          </cell>
          <cell r="GX65">
            <v>7.1315740327299454E-2</v>
          </cell>
          <cell r="GY65">
            <v>7.1296765465810458E-2</v>
          </cell>
          <cell r="GZ65">
            <v>7.1278166121752959E-2</v>
          </cell>
          <cell r="HA65">
            <v>7.1259934797657173E-2</v>
          </cell>
          <cell r="HB65">
            <v>7.124206414827898E-2</v>
          </cell>
          <cell r="HC65">
            <v>7.1224546977412512E-2</v>
          </cell>
          <cell r="HD65">
            <v>7.1207376234773495E-2</v>
          </cell>
          <cell r="HE65">
            <v>7.1190545012950829E-2</v>
          </cell>
          <cell r="HF65">
            <v>7.1174046544425454E-2</v>
          </cell>
          <cell r="HG65">
            <v>7.1157874198654589E-2</v>
          </cell>
          <cell r="HH65">
            <v>7.1142021479219816E-2</v>
          </cell>
          <cell r="HI65">
            <v>7.1126482021037538E-2</v>
          </cell>
          <cell r="HJ65">
            <v>7.1111249587630307E-2</v>
          </cell>
          <cell r="HK65">
            <v>7.1096318068457648E-2</v>
          </cell>
          <cell r="HL65">
            <v>7.1081681476304906E-2</v>
          </cell>
          <cell r="HM65">
            <v>7.1067333944728889E-2</v>
          </cell>
          <cell r="HN65">
            <v>7.1053269725558629E-2</v>
          </cell>
          <cell r="HO65">
            <v>7.1039483186450619E-2</v>
          </cell>
          <cell r="HP65">
            <v>7.1025968808496431E-2</v>
          </cell>
          <cell r="HQ65">
            <v>7.1012721183882438E-2</v>
          </cell>
          <cell r="HR65">
            <v>7.0999735013599338E-2</v>
          </cell>
          <cell r="HS65">
            <v>7.0987005105201562E-2</v>
          </cell>
          <cell r="HT65">
            <v>7.0974526370614258E-2</v>
          </cell>
          <cell r="HU65">
            <v>7.0962293823987652E-2</v>
          </cell>
          <cell r="HV65">
            <v>7.0950302579597085E-2</v>
          </cell>
          <cell r="HW65">
            <v>7.0938547849788078E-2</v>
          </cell>
          <cell r="HX65">
            <v>7.0927024942965197E-2</v>
          </cell>
          <cell r="HY65">
            <v>7.0915729261623789E-2</v>
          </cell>
          <cell r="HZ65">
            <v>7.0904656300423544E-2</v>
          </cell>
          <cell r="IA65">
            <v>7.0893801644303159E-2</v>
          </cell>
          <cell r="IB65">
            <v>7.0883160966634703E-2</v>
          </cell>
          <cell r="IC65">
            <v>7.0872730027417508E-2</v>
          </cell>
          <cell r="ID65">
            <v>7.0862504671509841E-2</v>
          </cell>
          <cell r="IE65">
            <v>7.0852480826898268E-2</v>
          </cell>
          <cell r="IF65">
            <v>7.0842654503003477E-2</v>
          </cell>
          <cell r="IG65">
            <v>7.0833021789021677E-2</v>
          </cell>
          <cell r="IH65">
            <v>7.0823578852301061E-2</v>
          </cell>
          <cell r="II65">
            <v>7.0814321936752384E-2</v>
          </cell>
          <cell r="IJ65">
            <v>7.0805247361292858E-2</v>
          </cell>
          <cell r="IK65">
            <v>7.0796351518322725E-2</v>
          </cell>
          <cell r="IL65">
            <v>7.0787630872233831E-2</v>
          </cell>
          <cell r="IM65">
            <v>7.07790819579492E-2</v>
          </cell>
          <cell r="IN65">
            <v>7.0770701379493359E-2</v>
          </cell>
          <cell r="IO65">
            <v>7.0762485808592387E-2</v>
          </cell>
          <cell r="IP65">
            <v>7.0754431983303168E-2</v>
          </cell>
          <cell r="IQ65">
            <v>7.0746536706671248E-2</v>
          </cell>
          <cell r="IR65">
            <v>7.0738796845416632E-2</v>
          </cell>
        </row>
        <row r="66">
          <cell r="B66" t="str">
            <v>Net operating assets</v>
          </cell>
          <cell r="C66">
            <v>30944</v>
          </cell>
          <cell r="D66">
            <v>31556</v>
          </cell>
          <cell r="E66">
            <v>32730.546286126624</v>
          </cell>
          <cell r="F66">
            <v>33818.947867772236</v>
          </cell>
          <cell r="G66">
            <v>34370.612434577604</v>
          </cell>
          <cell r="H66">
            <v>34876.374879240684</v>
          </cell>
          <cell r="I66">
            <v>35410.307971235939</v>
          </cell>
          <cell r="J66">
            <v>35792.390475296765</v>
          </cell>
          <cell r="K66">
            <v>36235.965172893026</v>
          </cell>
          <cell r="L66">
            <v>36695.475069273722</v>
          </cell>
          <cell r="M66">
            <v>39451.332330485486</v>
          </cell>
          <cell r="N66">
            <v>40822.495771953996</v>
          </cell>
          <cell r="O66">
            <v>42009.969137829728</v>
          </cell>
          <cell r="P66">
            <v>42996.710290678406</v>
          </cell>
          <cell r="Q66">
            <v>44003.767572395416</v>
          </cell>
          <cell r="R66">
            <v>47372.899221045562</v>
          </cell>
          <cell r="S66">
            <v>48722.825304247708</v>
          </cell>
          <cell r="T66">
            <v>50104.464257887877</v>
          </cell>
          <cell r="U66">
            <v>51518.404768130487</v>
          </cell>
          <cell r="V66">
            <v>52965.246222017828</v>
          </cell>
          <cell r="W66">
            <v>54445.599001869887</v>
          </cell>
          <cell r="X66">
            <v>55960.084784070881</v>
          </cell>
          <cell r="Y66">
            <v>57509.336842180172</v>
          </cell>
          <cell r="Z66">
            <v>59094.000354320633</v>
          </cell>
          <cell r="AA66">
            <v>60714.73271481238</v>
          </cell>
          <cell r="AB66">
            <v>62372.203850034821</v>
          </cell>
          <cell r="AC66">
            <v>64067.096538514306</v>
          </cell>
          <cell r="AD66">
            <v>65800.106735248541</v>
          </cell>
          <cell r="AE66">
            <v>67571.94390029335</v>
          </cell>
          <cell r="AF66">
            <v>69383.331331649548</v>
          </cell>
          <cell r="AG66">
            <v>71235.006502501405</v>
          </cell>
          <cell r="AH66">
            <v>73127.721402869778</v>
          </cell>
          <cell r="AI66">
            <v>75062.242885754764</v>
          </cell>
          <cell r="AJ66">
            <v>77039.353017854286</v>
          </cell>
          <cell r="AK66">
            <v>79059.849434954609</v>
          </cell>
          <cell r="AL66">
            <v>81124.545702100353</v>
          </cell>
          <cell r="AM66">
            <v>83234.271678659337</v>
          </cell>
          <cell r="AN66">
            <v>85389.873888408038</v>
          </cell>
          <cell r="AO66">
            <v>87592.21589477091</v>
          </cell>
          <cell r="AP66">
            <v>89842.178681355566</v>
          </cell>
          <cell r="AQ66">
            <v>92140.661037932528</v>
          </cell>
          <cell r="AR66">
            <v>94488.579952016109</v>
          </cell>
          <cell r="AS66">
            <v>96886.871006209054</v>
          </cell>
          <cell r="AT66">
            <v>99336.488781480017</v>
          </cell>
          <cell r="AU66">
            <v>101838.40726654898</v>
          </cell>
          <cell r="AV66">
            <v>104393.62027356085</v>
          </cell>
          <cell r="AW66">
            <v>107003.14186023323</v>
          </cell>
          <cell r="AX66">
            <v>109668.00675866847</v>
          </cell>
          <cell r="AY66">
            <v>112389.27081102591</v>
          </cell>
          <cell r="AZ66">
            <v>115168.01141225341</v>
          </cell>
          <cell r="BA66">
            <v>118005.32796008221</v>
          </cell>
          <cell r="BB66">
            <v>120902.34231249322</v>
          </cell>
          <cell r="BC66">
            <v>123860.19925286624</v>
          </cell>
          <cell r="BD66">
            <v>126880.06696302748</v>
          </cell>
          <cell r="BE66">
            <v>129963.13750441476</v>
          </cell>
          <cell r="BF66">
            <v>133110.62730758247</v>
          </cell>
          <cell r="BG66">
            <v>136323.77767027254</v>
          </cell>
          <cell r="BH66">
            <v>139603.8552642804</v>
          </cell>
          <cell r="BI66">
            <v>142952.15265134902</v>
          </cell>
          <cell r="BJ66">
            <v>146369.98880832593</v>
          </cell>
          <cell r="BK66">
            <v>149858.70966182338</v>
          </cell>
          <cell r="BL66">
            <v>153419.68863262338</v>
          </cell>
          <cell r="BM66">
            <v>157054.32719007321</v>
          </cell>
          <cell r="BN66">
            <v>160764.05541672063</v>
          </cell>
          <cell r="BO66">
            <v>164550.33258344117</v>
          </cell>
          <cell r="BP66">
            <v>168414.64773531273</v>
          </cell>
          <cell r="BQ66">
            <v>172358.52028849703</v>
          </cell>
          <cell r="BR66">
            <v>176383.5006383904</v>
          </cell>
          <cell r="BS66">
            <v>180491.17077931052</v>
          </cell>
          <cell r="BT66">
            <v>184683.1449359883</v>
          </cell>
          <cell r="BU66">
            <v>188961.07020713962</v>
          </cell>
          <cell r="BV66">
            <v>193326.62722139398</v>
          </cell>
          <cell r="BW66">
            <v>197781.53080586166</v>
          </cell>
          <cell r="BX66">
            <v>202327.53066762545</v>
          </cell>
          <cell r="BY66">
            <v>206966.41208844649</v>
          </cell>
          <cell r="BZ66">
            <v>211699.99663297899</v>
          </cell>
          <cell r="CA66">
            <v>216530.14287079207</v>
          </cell>
          <cell r="CB66">
            <v>221458.7471125022</v>
          </cell>
          <cell r="CC66">
            <v>226487.74416032463</v>
          </cell>
          <cell r="CD66">
            <v>231619.10807335615</v>
          </cell>
          <cell r="CE66">
            <v>236854.85294790787</v>
          </cell>
          <cell r="CF66">
            <v>242197.03371320985</v>
          </cell>
          <cell r="CG66">
            <v>247647.74694281784</v>
          </cell>
          <cell r="CH66">
            <v>253209.13168205394</v>
          </cell>
          <cell r="CI66">
            <v>258883.37029182175</v>
          </cell>
          <cell r="CJ66">
            <v>264672.68930914148</v>
          </cell>
          <cell r="CK66">
            <v>270579.36032475455</v>
          </cell>
          <cell r="CL66">
            <v>276605.70087815687</v>
          </cell>
          <cell r="CM66">
            <v>282754.07537042245</v>
          </cell>
          <cell r="CN66">
            <v>289026.89599518781</v>
          </cell>
          <cell r="CO66">
            <v>295426.62368817424</v>
          </cell>
          <cell r="CP66">
            <v>301955.76909562887</v>
          </cell>
          <cell r="CQ66">
            <v>308616.89356207754</v>
          </cell>
          <cell r="CR66">
            <v>315412.61013778386</v>
          </cell>
          <cell r="CS66">
            <v>322345.58460631955</v>
          </cell>
          <cell r="CT66">
            <v>329418.53653265897</v>
          </cell>
          <cell r="CU66">
            <v>336634.24033221538</v>
          </cell>
          <cell r="CV66">
            <v>343995.52636124752</v>
          </cell>
          <cell r="CW66">
            <v>351505.2820290706</v>
          </cell>
          <cell r="CX66">
            <v>359166.45293251559</v>
          </cell>
          <cell r="CY66">
            <v>366982.04401308828</v>
          </cell>
          <cell r="CZ66">
            <v>374955.12073728867</v>
          </cell>
          <cell r="DA66">
            <v>383088.81030055857</v>
          </cell>
          <cell r="DB66">
            <v>391386.30285533675</v>
          </cell>
          <cell r="DC66">
            <v>399850.85276370798</v>
          </cell>
          <cell r="DD66">
            <v>408485.7798751418</v>
          </cell>
          <cell r="DE66">
            <v>417294.47082982858</v>
          </cell>
          <cell r="DF66">
            <v>426280.38038812682</v>
          </cell>
          <cell r="DG66">
            <v>435447.03278664895</v>
          </cell>
          <cell r="DH66">
            <v>444798.02312152082</v>
          </cell>
          <cell r="DI66">
            <v>454337.01875936124</v>
          </cell>
          <cell r="DJ66">
            <v>464067.7607765391</v>
          </cell>
          <cell r="DK66">
            <v>473994.06542727584</v>
          </cell>
          <cell r="DL66">
            <v>484119.82564117201</v>
          </cell>
          <cell r="DM66">
            <v>494449.01255074877</v>
          </cell>
          <cell r="DN66">
            <v>504985.67704960675</v>
          </cell>
          <cell r="DO66">
            <v>515733.95138181443</v>
          </cell>
          <cell r="DP66">
            <v>526698.05076315475</v>
          </cell>
          <cell r="DQ66">
            <v>537882.27503486536</v>
          </cell>
          <cell r="DR66">
            <v>549291.01035052573</v>
          </cell>
          <cell r="DS66">
            <v>560928.73089675349</v>
          </cell>
          <cell r="DT66">
            <v>572800.00064838817</v>
          </cell>
          <cell r="DU66">
            <v>584909.47515885055</v>
          </cell>
          <cell r="DV66">
            <v>597261.90338638448</v>
          </cell>
          <cell r="DW66">
            <v>609862.1295568971</v>
          </cell>
          <cell r="DX66">
            <v>622715.09506412991</v>
          </cell>
          <cell r="DY66">
            <v>635825.84040790866</v>
          </cell>
          <cell r="DZ66">
            <v>649199.50717123237</v>
          </cell>
          <cell r="EA66">
            <v>662841.34003697801</v>
          </cell>
          <cell r="EB66">
            <v>676756.68884501606</v>
          </cell>
          <cell r="EC66">
            <v>690951.01069053996</v>
          </cell>
          <cell r="ED66">
            <v>705429.87206443783</v>
          </cell>
          <cell r="EE66">
            <v>720198.95103654568</v>
          </cell>
          <cell r="EF66">
            <v>735264.03948263789</v>
          </cell>
          <cell r="EG66">
            <v>750631.04535603139</v>
          </cell>
          <cell r="EH66">
            <v>766305.99500469386</v>
          </cell>
          <cell r="EI66">
            <v>782295.03553476708</v>
          </cell>
          <cell r="EJ66">
            <v>798604.43722143094</v>
          </cell>
          <cell r="EK66">
            <v>815240.595968056</v>
          </cell>
          <cell r="EL66">
            <v>832210.03581461066</v>
          </cell>
          <cell r="EM66">
            <v>849519.41149630398</v>
          </cell>
          <cell r="EN66">
            <v>867175.51105347101</v>
          </cell>
          <cell r="EO66">
            <v>885185.25849372544</v>
          </cell>
          <cell r="EP66">
            <v>903555.71650742006</v>
          </cell>
          <cell r="EQ66">
            <v>922294.08923748578</v>
          </cell>
          <cell r="ER66">
            <v>941407.72510473162</v>
          </cell>
          <cell r="ES66">
            <v>960904.11968971684</v>
          </cell>
          <cell r="ET66">
            <v>980790.91867232404</v>
          </cell>
          <cell r="EU66">
            <v>1001075.9208301879</v>
          </cell>
          <cell r="EV66">
            <v>1021767.0810971543</v>
          </cell>
          <cell r="EW66">
            <v>1042872.5136829731</v>
          </cell>
          <cell r="EX66">
            <v>1064400.4952554421</v>
          </cell>
          <cell r="EY66">
            <v>1086359.4681862565</v>
          </cell>
          <cell r="EZ66">
            <v>1108758.043861835</v>
          </cell>
          <cell r="FA66">
            <v>1131605.0060604187</v>
          </cell>
          <cell r="FB66">
            <v>1154909.3143967728</v>
          </cell>
          <cell r="FC66">
            <v>1178680.1078358355</v>
          </cell>
          <cell r="FD66">
            <v>1202926.7082767007</v>
          </cell>
          <cell r="FE66">
            <v>1227658.6242083292</v>
          </cell>
          <cell r="FF66">
            <v>1252885.5544384343</v>
          </cell>
          <cell r="FG66">
            <v>1278617.3918969962</v>
          </cell>
          <cell r="FH66">
            <v>1304864.2275158977</v>
          </cell>
          <cell r="FI66">
            <v>1331636.3541862073</v>
          </cell>
          <cell r="FJ66">
            <v>1358944.2707946568</v>
          </cell>
          <cell r="FK66">
            <v>1386798.6863409008</v>
          </cell>
          <cell r="FL66">
            <v>1415210.5241371666</v>
          </cell>
          <cell r="FM66">
            <v>1444190.9260919513</v>
          </cell>
          <cell r="FN66">
            <v>1473751.2570794364</v>
          </cell>
          <cell r="FO66">
            <v>1503903.1093963375</v>
          </cell>
          <cell r="FP66">
            <v>1534658.3073079404</v>
          </cell>
          <cell r="FQ66">
            <v>1566028.9116851003</v>
          </cell>
          <cell r="FR66">
            <v>1598027.2247340265</v>
          </cell>
          <cell r="FS66">
            <v>1630665.7948207073</v>
          </cell>
          <cell r="FT66">
            <v>1663957.4213918641</v>
          </cell>
          <cell r="FU66">
            <v>1697915.1599943708</v>
          </cell>
          <cell r="FV66">
            <v>1732552.3273950994</v>
          </cell>
          <cell r="FW66">
            <v>1767882.5068032059</v>
          </cell>
          <cell r="FX66">
            <v>1803919.5531969001</v>
          </cell>
          <cell r="FY66">
            <v>1840677.5987567909</v>
          </cell>
          <cell r="FZ66">
            <v>1878171.0584079397</v>
          </cell>
          <cell r="GA66">
            <v>1916414.6354727878</v>
          </cell>
          <cell r="GB66">
            <v>1955423.3274371841</v>
          </cell>
          <cell r="GC66">
            <v>1995212.4318317687</v>
          </cell>
          <cell r="GD66">
            <v>2035797.5522310191</v>
          </cell>
          <cell r="GE66">
            <v>2077194.6043723144</v>
          </cell>
          <cell r="GF66">
            <v>2119419.8223974132</v>
          </cell>
          <cell r="GG66">
            <v>2162489.765218799</v>
          </cell>
          <cell r="GH66">
            <v>2206421.3230133816</v>
          </cell>
          <cell r="GI66">
            <v>2251231.7238461068</v>
          </cell>
          <cell r="GJ66">
            <v>2296938.540426075</v>
          </cell>
          <cell r="GK66">
            <v>2343559.6969978046</v>
          </cell>
          <cell r="GL66">
            <v>2391113.4763703607</v>
          </cell>
          <cell r="GM66">
            <v>2439618.5270870924</v>
          </cell>
          <cell r="GN66">
            <v>2489093.8707387941</v>
          </cell>
          <cell r="GO66">
            <v>2539558.9094231641</v>
          </cell>
          <cell r="GP66">
            <v>2591033.4333534734</v>
          </cell>
          <cell r="GQ66">
            <v>2643537.628619446</v>
          </cell>
          <cell r="GR66">
            <v>2697092.0851033744</v>
          </cell>
          <cell r="GS66">
            <v>2751717.8045545928</v>
          </cell>
          <cell r="GT66">
            <v>2807436.2088254625</v>
          </cell>
          <cell r="GU66">
            <v>2864269.1482721032</v>
          </cell>
          <cell r="GV66">
            <v>2922238.9103231658</v>
          </cell>
          <cell r="GW66">
            <v>2981368.228220006</v>
          </cell>
          <cell r="GX66">
            <v>3041680.2899316838</v>
          </cell>
          <cell r="GY66">
            <v>3103198.7472482929</v>
          </cell>
          <cell r="GZ66">
            <v>3165947.7250561714</v>
          </cell>
          <cell r="HA66">
            <v>3229951.8307986506</v>
          </cell>
          <cell r="HB66">
            <v>3295236.164126033</v>
          </cell>
          <cell r="HC66">
            <v>3361826.3267385983</v>
          </cell>
          <cell r="HD66">
            <v>3429748.4324264876</v>
          </cell>
          <cell r="HE66">
            <v>3499029.1173104071</v>
          </cell>
          <cell r="HF66">
            <v>3569695.5502871736</v>
          </cell>
          <cell r="HG66">
            <v>3641775.4436841817</v>
          </cell>
          <cell r="HH66">
            <v>3715297.0641269875</v>
          </cell>
          <cell r="HI66">
            <v>3790289.243624263</v>
          </cell>
          <cell r="HJ66">
            <v>3866781.3908744664</v>
          </cell>
          <cell r="HK66">
            <v>3944803.502798669</v>
          </cell>
          <cell r="HL66">
            <v>4024386.1763040568</v>
          </cell>
          <cell r="HM66">
            <v>4105560.6202827152</v>
          </cell>
          <cell r="HN66">
            <v>4188358.6678504185</v>
          </cell>
          <cell r="HO66">
            <v>4272812.7888301983</v>
          </cell>
          <cell r="HP66">
            <v>4358956.1024856186</v>
          </cell>
          <cell r="HQ66">
            <v>4446822.3905087132</v>
          </cell>
          <cell r="HR66">
            <v>4536446.1102677193</v>
          </cell>
          <cell r="HS66">
            <v>4627862.4083197657</v>
          </cell>
          <cell r="HT66">
            <v>4721107.1341938432</v>
          </cell>
          <cell r="HU66">
            <v>4816216.854449437</v>
          </cell>
          <cell r="HV66">
            <v>4913228.867016362</v>
          </cell>
          <cell r="HW66">
            <v>5012181.2158214012</v>
          </cell>
          <cell r="HX66">
            <v>5113112.7057074895</v>
          </cell>
          <cell r="HY66">
            <v>5216062.9176513059</v>
          </cell>
          <cell r="HZ66">
            <v>5321072.2242852272</v>
          </cell>
          <cell r="IA66">
            <v>5428181.8057297226</v>
          </cell>
          <cell r="IB66">
            <v>5537433.6657424364</v>
          </cell>
          <cell r="IC66">
            <v>5648870.6481902376</v>
          </cell>
          <cell r="ID66">
            <v>5762536.4538507452</v>
          </cell>
          <cell r="IE66">
            <v>5878475.657549886</v>
          </cell>
          <cell r="IF66">
            <v>5996733.7256422192</v>
          </cell>
          <cell r="IG66">
            <v>6117357.0338408789</v>
          </cell>
          <cell r="IH66">
            <v>6240392.8854041314</v>
          </cell>
          <cell r="II66">
            <v>6365889.5296856696</v>
          </cell>
          <cell r="IJ66">
            <v>6493896.1810559314</v>
          </cell>
          <cell r="IK66">
            <v>6624463.0382018546</v>
          </cell>
          <cell r="IL66">
            <v>6757641.3038126295</v>
          </cell>
          <cell r="IM66">
            <v>6893483.2046591984</v>
          </cell>
          <cell r="IN66">
            <v>7032042.0120753264</v>
          </cell>
          <cell r="IO66">
            <v>7173372.0628483361</v>
          </cell>
          <cell r="IP66">
            <v>7317528.7805276401</v>
          </cell>
          <cell r="IQ66">
            <v>7464568.6971594775</v>
          </cell>
        </row>
        <row r="67">
          <cell r="B67" t="str">
            <v>RNOA</v>
          </cell>
          <cell r="C67">
            <v>9.1734451365596562E-2</v>
          </cell>
          <cell r="D67">
            <v>9.43653050672182E-2</v>
          </cell>
          <cell r="E67">
            <v>0.12693689323010302</v>
          </cell>
          <cell r="F67">
            <v>0.150123196276781</v>
          </cell>
          <cell r="G67">
            <v>0.15641413217676461</v>
          </cell>
          <cell r="H67">
            <v>0.16071172636645531</v>
          </cell>
          <cell r="I67">
            <v>0.1682381908796772</v>
          </cell>
          <cell r="J67">
            <v>0.16654385856143011</v>
          </cell>
          <cell r="K67">
            <v>0.17712040193097933</v>
          </cell>
          <cell r="L67">
            <v>0.1940853859096425</v>
          </cell>
          <cell r="M67">
            <v>0.19328760140943135</v>
          </cell>
          <cell r="N67">
            <v>0.18889293814027058</v>
          </cell>
          <cell r="O67">
            <v>0.18692744708633113</v>
          </cell>
          <cell r="P67">
            <v>0.18532893827096056</v>
          </cell>
          <cell r="Q67">
            <v>0.18406781156252816</v>
          </cell>
          <cell r="R67">
            <v>0.18138100349195149</v>
          </cell>
          <cell r="S67">
            <v>0.17322258994523995</v>
          </cell>
          <cell r="T67">
            <v>0.17027032641669426</v>
          </cell>
          <cell r="U67">
            <v>0.16741343822977417</v>
          </cell>
          <cell r="V67">
            <v>0.16464840809674963</v>
          </cell>
          <cell r="W67">
            <v>0.16197185969308747</v>
          </cell>
          <cell r="X67">
            <v>0.15938055185521882</v>
          </cell>
          <cell r="Y67">
            <v>0.15687137300975276</v>
          </cell>
          <cell r="Z67">
            <v>0.15444133582576161</v>
          </cell>
          <cell r="AA67">
            <v>0.15208757208202062</v>
          </cell>
          <cell r="AB67">
            <v>0.14980732774133534</v>
          </cell>
          <cell r="AC67">
            <v>0.14759795822433214</v>
          </cell>
          <cell r="AD67">
            <v>0.1454569238753223</v>
          </cell>
          <cell r="AE67">
            <v>0.14338178561308043</v>
          </cell>
          <cell r="AF67">
            <v>0.14137020075959958</v>
          </cell>
          <cell r="AG67">
            <v>0.1394199190401039</v>
          </cell>
          <cell r="AH67">
            <v>0.13752877874781119</v>
          </cell>
          <cell r="AI67">
            <v>0.13569470306714473</v>
          </cell>
          <cell r="AJ67">
            <v>0.13391569654929614</v>
          </cell>
          <cell r="AK67">
            <v>0.13218984173423823</v>
          </cell>
          <cell r="AL67">
            <v>0.13051529591348016</v>
          </cell>
          <cell r="AM67">
            <v>0.12889028802804486</v>
          </cell>
          <cell r="AN67">
            <v>0.12731311569633422</v>
          </cell>
          <cell r="AO67">
            <v>0.12578214236672597</v>
          </cell>
          <cell r="AP67">
            <v>0.12429579458992385</v>
          </cell>
          <cell r="AQ67">
            <v>0.12285255940625212</v>
          </cell>
          <cell r="AR67">
            <v>0.12145098184325527</v>
          </cell>
          <cell r="AS67">
            <v>0.12008966251912585</v>
          </cell>
          <cell r="AT67">
            <v>0.11876725534764304</v>
          </cell>
          <cell r="AU67">
            <v>0.11748246534046096</v>
          </cell>
          <cell r="AV67">
            <v>0.1162340465027356</v>
          </cell>
          <cell r="AW67">
            <v>0.11502079981822819</v>
          </cell>
          <cell r="AX67">
            <v>0.11384157132016551</v>
          </cell>
          <cell r="AY67">
            <v>0.11269525024427707</v>
          </cell>
          <cell r="AZ67">
            <v>0.11158076726056512</v>
          </cell>
          <cell r="BA67">
            <v>0.11049709278049502</v>
          </cell>
          <cell r="BB67">
            <v>0.10944323533642079</v>
          </cell>
          <cell r="BC67">
            <v>0.10841824003018539</v>
          </cell>
          <cell r="BD67">
            <v>0.10742118704795454</v>
          </cell>
          <cell r="BE67">
            <v>0.10645119023846024</v>
          </cell>
          <cell r="BF67">
            <v>0.10550739575194164</v>
          </cell>
          <cell r="BG67">
            <v>0.10458898073718093</v>
          </cell>
          <cell r="BH67">
            <v>0.10369515209413643</v>
          </cell>
          <cell r="BI67">
            <v>0.10282514527977758</v>
          </cell>
          <cell r="BJ67">
            <v>0.10197822316482394</v>
          </cell>
          <cell r="BK67">
            <v>0.1011536749391861</v>
          </cell>
          <cell r="BL67">
            <v>0.1003508150639971</v>
          </cell>
          <cell r="BM67">
            <v>9.9568982268211495E-2</v>
          </cell>
          <cell r="BN67">
            <v>9.8807538587834406E-2</v>
          </cell>
          <cell r="BO67">
            <v>9.8065868445923979E-2</v>
          </cell>
          <cell r="BP67">
            <v>9.7343377771590217E-2</v>
          </cell>
          <cell r="BQ67">
            <v>9.6639493156288517E-2</v>
          </cell>
          <cell r="BR67">
            <v>9.5953661045778904E-2</v>
          </cell>
          <cell r="BS67">
            <v>9.5285346966192563E-2</v>
          </cell>
          <cell r="BT67">
            <v>9.4634034782713844E-2</v>
          </cell>
          <cell r="BU67">
            <v>9.3999225989451207E-2</v>
          </cell>
          <cell r="BV67">
            <v>9.3380439029131762E-2</v>
          </cell>
          <cell r="BW67">
            <v>9.2777208641314571E-2</v>
          </cell>
          <cell r="BX67">
            <v>9.2189085237873877E-2</v>
          </cell>
          <cell r="BY67">
            <v>9.1615634304559296E-2</v>
          </cell>
          <cell r="BZ67">
            <v>9.1056435827491289E-2</v>
          </cell>
          <cell r="CA67">
            <v>9.0511083743501655E-2</v>
          </cell>
          <cell r="CB67">
            <v>8.9979185413275889E-2</v>
          </cell>
          <cell r="CC67">
            <v>8.9460361116301443E-2</v>
          </cell>
          <cell r="CD67">
            <v>8.8954243566669103E-2</v>
          </cell>
          <cell r="CE67">
            <v>8.8460477448817701E-2</v>
          </cell>
          <cell r="CF67">
            <v>8.797871897235239E-2</v>
          </cell>
          <cell r="CG67">
            <v>8.7508635445105898E-2</v>
          </cell>
          <cell r="CH67">
            <v>8.7049904863648414E-2</v>
          </cell>
          <cell r="CI67">
            <v>8.6602215520488204E-2</v>
          </cell>
          <cell r="CJ67">
            <v>8.6165265627237975E-2</v>
          </cell>
          <cell r="CK67">
            <v>8.5738762953055089E-2</v>
          </cell>
          <cell r="CL67">
            <v>8.5322424477693976E-2</v>
          </cell>
          <cell r="CM67">
            <v>8.4915976058539497E-2</v>
          </cell>
          <cell r="CN67">
            <v>8.451915211101739E-2</v>
          </cell>
          <cell r="CO67">
            <v>8.4131695301805726E-2</v>
          </cell>
          <cell r="CP67">
            <v>8.3753356254296335E-2</v>
          </cell>
          <cell r="CQ67">
            <v>8.3383893265780468E-2</v>
          </cell>
          <cell r="CR67">
            <v>8.3023072035856044E-2</v>
          </cell>
          <cell r="CS67">
            <v>8.2670665405576368E-2</v>
          </cell>
          <cell r="CT67">
            <v>8.2326453106881942E-2</v>
          </cell>
          <cell r="CU67">
            <v>8.1990221521877016E-2</v>
          </cell>
          <cell r="CV67">
            <v>8.1661763451532365E-2</v>
          </cell>
          <cell r="CW67">
            <v>8.1340877893414681E-2</v>
          </cell>
          <cell r="CX67">
            <v>8.1027369828059942E-2</v>
          </cell>
          <cell r="CY67">
            <v>8.0721050013626311E-2</v>
          </cell>
          <cell r="CZ67">
            <v>8.0421734788477237E-2</v>
          </cell>
          <cell r="DA67">
            <v>8.0129245881361763E-2</v>
          </cell>
          <cell r="DB67">
            <v>7.9843410228873368E-2</v>
          </cell>
          <cell r="DC67">
            <v>7.9564059799882902E-2</v>
          </cell>
          <cell r="DD67">
            <v>7.9291031426654682E-2</v>
          </cell>
          <cell r="DE67">
            <v>7.9024166642367763E-2</v>
          </cell>
          <cell r="DF67">
            <v>7.8763311524776516E-2</v>
          </cell>
          <cell r="DG67">
            <v>7.8508316545756227E-2</v>
          </cell>
          <cell r="DH67">
            <v>7.8259036426491291E-2</v>
          </cell>
          <cell r="DI67">
            <v>7.8015329998073188E-2</v>
          </cell>
          <cell r="DJ67">
            <v>7.7777060067286546E-2</v>
          </cell>
          <cell r="DK67">
            <v>7.7544093287370858E-2</v>
          </cell>
          <cell r="DL67">
            <v>7.7316300033554872E-2</v>
          </cell>
          <cell r="DM67">
            <v>7.7093554283169219E-2</v>
          </cell>
          <cell r="DN67">
            <v>7.6875733500151783E-2</v>
          </cell>
          <cell r="DO67">
            <v>7.6662718523768034E-2</v>
          </cell>
          <cell r="DP67">
            <v>7.6454393461376405E-2</v>
          </cell>
          <cell r="DQ67">
            <v>7.6250645585075896E-2</v>
          </cell>
          <cell r="DR67">
            <v>7.6051365232080656E-2</v>
          </cell>
          <cell r="DS67">
            <v>7.5856445708672213E-2</v>
          </cell>
          <cell r="DT67">
            <v>7.5665783197587308E-2</v>
          </cell>
          <cell r="DU67">
            <v>7.547927666870459E-2</v>
          </cell>
          <cell r="DV67">
            <v>7.5296827792899756E-2</v>
          </cell>
          <cell r="DW67">
            <v>7.5118340858944282E-2</v>
          </cell>
          <cell r="DX67">
            <v>7.4943722693327816E-2</v>
          </cell>
          <cell r="DY67">
            <v>7.4772882582889902E-2</v>
          </cell>
          <cell r="DZ67">
            <v>7.4605732200151278E-2</v>
          </cell>
          <cell r="EA67">
            <v>7.4442185531239519E-2</v>
          </cell>
          <cell r="EB67">
            <v>7.4282158806308562E-2</v>
          </cell>
          <cell r="EC67">
            <v>7.4125570432355667E-2</v>
          </cell>
          <cell r="ED67">
            <v>7.3972340928343261E-2</v>
          </cell>
          <cell r="EE67">
            <v>7.38223928625375E-2</v>
          </cell>
          <cell r="EF67">
            <v>7.3675650791978395E-2</v>
          </cell>
          <cell r="EG67">
            <v>7.3532041204000489E-2</v>
          </cell>
          <cell r="EH67">
            <v>7.3391492459725982E-2</v>
          </cell>
          <cell r="EI67">
            <v>7.3253934739455781E-2</v>
          </cell>
          <cell r="EJ67">
            <v>7.3119299989886796E-2</v>
          </cell>
          <cell r="EK67">
            <v>7.2987521873086811E-2</v>
          </cell>
          <cell r="EL67">
            <v>7.285853571716118E-2</v>
          </cell>
          <cell r="EM67">
            <v>7.2732278468548142E-2</v>
          </cell>
          <cell r="EN67">
            <v>7.2608688645882241E-2</v>
          </cell>
          <cell r="EO67">
            <v>7.2487706295367688E-2</v>
          </cell>
          <cell r="EP67">
            <v>7.2369272947606103E-2</v>
          </cell>
          <cell r="EQ67">
            <v>7.2253331575824878E-2</v>
          </cell>
          <cell r="ER67">
            <v>7.2139826555455158E-2</v>
          </cell>
          <cell r="ES67">
            <v>7.2028703625009807E-2</v>
          </cell>
          <cell r="ET67">
            <v>7.19199098482146E-2</v>
          </cell>
          <cell r="EU67">
            <v>7.1813393577346576E-2</v>
          </cell>
          <cell r="EV67">
            <v>7.1709104417736674E-2</v>
          </cell>
          <cell r="EW67">
            <v>7.160699319339428E-2</v>
          </cell>
          <cell r="EX67">
            <v>7.1507011913713642E-2</v>
          </cell>
          <cell r="EY67">
            <v>7.1409113741223773E-2</v>
          </cell>
          <cell r="EZ67">
            <v>7.1313252960344423E-2</v>
          </cell>
          <cell r="FA67">
            <v>7.1219384947112663E-2</v>
          </cell>
          <cell r="FB67">
            <v>7.1127466139845927E-2</v>
          </cell>
          <cell r="FC67">
            <v>7.1037454010708392E-2</v>
          </cell>
          <cell r="FD67">
            <v>7.0949307038149348E-2</v>
          </cell>
          <cell r="FE67">
            <v>7.0862984680182914E-2</v>
          </cell>
          <cell r="FF67">
            <v>7.0778447348479975E-2</v>
          </cell>
          <cell r="FG67">
            <v>7.069565638324446E-2</v>
          </cell>
          <cell r="FH67">
            <v>7.0614574028846494E-2</v>
          </cell>
          <cell r="FI67">
            <v>7.0535163410186924E-2</v>
          </cell>
          <cell r="FJ67">
            <v>7.0457388509767876E-2</v>
          </cell>
          <cell r="FK67">
            <v>7.0381214145445556E-2</v>
          </cell>
          <cell r="FL67">
            <v>7.0306605948841944E-2</v>
          </cell>
          <cell r="FM67">
            <v>7.0233530344393294E-2</v>
          </cell>
          <cell r="FN67">
            <v>7.016195452901397E-2</v>
          </cell>
          <cell r="FO67">
            <v>7.0091846452355042E-2</v>
          </cell>
          <cell r="FP67">
            <v>7.002317479763763E-2</v>
          </cell>
          <cell r="FQ67">
            <v>6.9955908963042171E-2</v>
          </cell>
          <cell r="FR67">
            <v>6.989001904363501E-2</v>
          </cell>
          <cell r="FS67">
            <v>6.9825475813814639E-2</v>
          </cell>
          <cell r="FT67">
            <v>6.9762250710260543E-2</v>
          </cell>
          <cell r="FU67">
            <v>6.9700315815368369E-2</v>
          </cell>
          <cell r="FV67">
            <v>6.9639643841155202E-2</v>
          </cell>
          <cell r="FW67">
            <v>6.9580208113620132E-2</v>
          </cell>
          <cell r="FX67">
            <v>6.9521982557545173E-2</v>
          </cell>
          <cell r="FY67">
            <v>6.9464941681722361E-2</v>
          </cell>
          <cell r="FZ67">
            <v>6.9409060564593547E-2</v>
          </cell>
          <cell r="GA67">
            <v>6.9354314840289477E-2</v>
          </cell>
          <cell r="GB67">
            <v>6.9300680685055752E-2</v>
          </cell>
          <cell r="GC67">
            <v>6.9248134804053132E-2</v>
          </cell>
          <cell r="GD67">
            <v>6.9196654418520728E-2</v>
          </cell>
          <cell r="GE67">
            <v>6.9146217253290274E-2</v>
          </cell>
          <cell r="GF67">
            <v>6.9096801524640983E-2</v>
          </cell>
          <cell r="GG67">
            <v>6.9048385928483974E-2</v>
          </cell>
          <cell r="GH67">
            <v>6.9000949628866298E-2</v>
          </cell>
          <cell r="GI67">
            <v>6.8954472246784651E-2</v>
          </cell>
          <cell r="GJ67">
            <v>6.8908933849299178E-2</v>
          </cell>
          <cell r="GK67">
            <v>6.8864314938938229E-2</v>
          </cell>
          <cell r="GL67">
            <v>6.8820596443385326E-2</v>
          </cell>
          <cell r="GM67">
            <v>6.8777759705439478E-2</v>
          </cell>
          <cell r="GN67">
            <v>6.8735786473240884E-2</v>
          </cell>
          <cell r="GO67">
            <v>6.8694658890753851E-2</v>
          </cell>
          <cell r="GP67">
            <v>6.8654359488499225E-2</v>
          </cell>
          <cell r="GQ67">
            <v>6.8614871174529024E-2</v>
          </cell>
          <cell r="GR67">
            <v>6.8576177225635901E-2</v>
          </cell>
          <cell r="GS67">
            <v>6.8538261278790508E-2</v>
          </cell>
          <cell r="GT67">
            <v>6.8501107322800153E-2</v>
          </cell>
          <cell r="GU67">
            <v>6.8464699690182165E-2</v>
          </cell>
          <cell r="GV67">
            <v>6.8429023049245627E-2</v>
          </cell>
          <cell r="GW67">
            <v>6.8394062396375535E-2</v>
          </cell>
          <cell r="GX67">
            <v>6.835980304851344E-2</v>
          </cell>
          <cell r="GY67">
            <v>6.8326230635828822E-2</v>
          </cell>
          <cell r="GZ67">
            <v>6.8293331094575915E-2</v>
          </cell>
          <cell r="HA67">
            <v>6.826109066013035E-2</v>
          </cell>
          <cell r="HB67">
            <v>6.8229495860200856E-2</v>
          </cell>
          <cell r="HC67">
            <v>6.8198533508210674E-2</v>
          </cell>
          <cell r="HD67">
            <v>6.8168190696844155E-2</v>
          </cell>
          <cell r="HE67">
            <v>6.8138454791753747E-2</v>
          </cell>
          <cell r="HF67">
            <v>6.8109313425422841E-2</v>
          </cell>
          <cell r="HG67">
            <v>6.8080754491180229E-2</v>
          </cell>
          <cell r="HH67">
            <v>6.8052766137361845E-2</v>
          </cell>
          <cell r="HI67">
            <v>6.8025336761615707E-2</v>
          </cell>
          <cell r="HJ67">
            <v>6.7998455005346223E-2</v>
          </cell>
          <cell r="HK67">
            <v>6.7972109748293721E-2</v>
          </cell>
          <cell r="HL67">
            <v>6.7946290103245974E-2</v>
          </cell>
          <cell r="HM67">
            <v>6.7920985410877543E-2</v>
          </cell>
          <cell r="HN67">
            <v>6.7896185234713941E-2</v>
          </cell>
          <cell r="HO67">
            <v>6.7871879356216969E-2</v>
          </cell>
          <cell r="HP67">
            <v>6.7848057769987924E-2</v>
          </cell>
          <cell r="HQ67">
            <v>6.7824710679085798E-2</v>
          </cell>
          <cell r="HR67">
            <v>6.7801828490456933E-2</v>
          </cell>
          <cell r="HS67">
            <v>6.7779401810473622E-2</v>
          </cell>
          <cell r="HT67">
            <v>6.7757421440578364E-2</v>
          </cell>
          <cell r="HU67">
            <v>6.7735878373031216E-2</v>
          </cell>
          <cell r="HV67">
            <v>6.7714763786757476E-2</v>
          </cell>
          <cell r="HW67">
            <v>6.7694069043292907E-2</v>
          </cell>
          <cell r="HX67">
            <v>6.7673785682824186E-2</v>
          </cell>
          <cell r="HY67">
            <v>6.7653905420321875E-2</v>
          </cell>
          <cell r="HZ67">
            <v>6.7634420141763588E-2</v>
          </cell>
          <cell r="IA67">
            <v>6.7615321900445113E-2</v>
          </cell>
          <cell r="IB67">
            <v>6.7596602913376935E-2</v>
          </cell>
          <cell r="IC67">
            <v>6.757825555776438E-2</v>
          </cell>
          <cell r="ID67">
            <v>6.7560272367568758E-2</v>
          </cell>
          <cell r="IE67">
            <v>6.754264603014784E-2</v>
          </cell>
          <cell r="IF67">
            <v>6.7525369382973432E-2</v>
          </cell>
          <cell r="IG67">
            <v>6.7508435410424034E-2</v>
          </cell>
          <cell r="IH67">
            <v>6.7491837240650956E-2</v>
          </cell>
          <cell r="II67">
            <v>6.7475568142515707E-2</v>
          </cell>
          <cell r="IJ67">
            <v>6.7459621522597157E-2</v>
          </cell>
          <cell r="IK67">
            <v>6.7443990922266397E-2</v>
          </cell>
          <cell r="IL67">
            <v>6.7428670014828065E-2</v>
          </cell>
          <cell r="IM67">
            <v>6.7413652602725943E-2</v>
          </cell>
          <cell r="IN67">
            <v>6.7398932614811641E-2</v>
          </cell>
          <cell r="IO67">
            <v>6.7384504103674747E-2</v>
          </cell>
          <cell r="IP67">
            <v>6.7370361243032598E-2</v>
          </cell>
          <cell r="IQ67">
            <v>6.7356498325178746E-2</v>
          </cell>
        </row>
        <row r="68">
          <cell r="B68" t="str">
            <v>FCFO</v>
          </cell>
          <cell r="C68">
            <v>3232.7470000000003</v>
          </cell>
          <cell r="D68">
            <v>2308.04</v>
          </cell>
          <cell r="E68">
            <v>2831.0743166425063</v>
          </cell>
          <cell r="F68">
            <v>3825.2126427128405</v>
          </cell>
          <cell r="G68">
            <v>4738.0968150634708</v>
          </cell>
          <cell r="H68">
            <v>5017.9980159702427</v>
          </cell>
          <cell r="I68">
            <v>5333.6051221296175</v>
          </cell>
          <cell r="J68">
            <v>5515.2868183173741</v>
          </cell>
          <cell r="K68">
            <v>5895.9878894588583</v>
          </cell>
          <cell r="L68">
            <v>6573.3613880086123</v>
          </cell>
          <cell r="M68">
            <v>4336.9230975077407</v>
          </cell>
          <cell r="N68">
            <v>6080.9146359851411</v>
          </cell>
          <cell r="O68">
            <v>6443.3715524681747</v>
          </cell>
          <cell r="P68">
            <v>6798.9218242611269</v>
          </cell>
          <cell r="Q68">
            <v>6907.2530858761975</v>
          </cell>
          <cell r="R68">
            <v>4612.3158710575299</v>
          </cell>
          <cell r="S68">
            <v>6856.130213082206</v>
          </cell>
          <cell r="T68">
            <v>6914.4124148576593</v>
          </cell>
          <cell r="U68">
            <v>6974.2201218312293</v>
          </cell>
          <cell r="V68">
            <v>7035.5818788693396</v>
          </cell>
          <cell r="W68">
            <v>7098.5266498304445</v>
          </cell>
          <cell r="X68">
            <v>7163.0838328049795</v>
          </cell>
          <cell r="Y68">
            <v>7229.2832757100823</v>
          </cell>
          <cell r="Z68">
            <v>7297.1552922195315</v>
          </cell>
          <cell r="AA68">
            <v>7366.7306780109429</v>
          </cell>
          <cell r="AB68">
            <v>7438.0407273130331</v>
          </cell>
          <cell r="AC68">
            <v>7511.1172497374828</v>
          </cell>
          <cell r="AD68">
            <v>7585.9925873813663</v>
          </cell>
          <cell r="AE68">
            <v>7662.6996321864062</v>
          </cell>
          <cell r="AF68">
            <v>7741.2718435446732</v>
          </cell>
          <cell r="AG68">
            <v>7821.7432661394269</v>
          </cell>
          <cell r="AH68">
            <v>7904.1485480130341</v>
          </cell>
          <cell r="AI68">
            <v>7988.5229588543134</v>
          </cell>
          <cell r="AJ68">
            <v>8074.9024084987759</v>
          </cell>
          <cell r="AK68">
            <v>8163.3234656379427</v>
          </cell>
          <cell r="AL68">
            <v>8253.8233767325437</v>
          </cell>
          <cell r="AM68">
            <v>8346.4400851290193</v>
          </cell>
          <cell r="AN68">
            <v>8441.2122503765695</v>
          </cell>
          <cell r="AO68">
            <v>8538.1792677456433</v>
          </cell>
          <cell r="AP68">
            <v>8637.381287948052</v>
          </cell>
          <cell r="AQ68">
            <v>8738.8592370613896</v>
          </cell>
          <cell r="AR68">
            <v>8842.6548366599018</v>
          </cell>
          <cell r="AS68">
            <v>8948.8106241561109</v>
          </cell>
          <cell r="AT68">
            <v>9057.3699733576213</v>
          </cell>
          <cell r="AU68">
            <v>9168.3771152443514</v>
          </cell>
          <cell r="AV68">
            <v>9281.8771589727075</v>
          </cell>
          <cell r="AW68">
            <v>9397.9161131129968</v>
          </cell>
          <cell r="AX68">
            <v>9516.5409071282811</v>
          </cell>
          <cell r="AY68">
            <v>9637.7994131017749</v>
          </cell>
          <cell r="AZ68">
            <v>9761.7404677222057</v>
          </cell>
          <cell r="BA68">
            <v>9888.4138945360755</v>
          </cell>
          <cell r="BB68">
            <v>10017.870526475792</v>
          </cell>
          <cell r="BC68">
            <v>10150.162228674508</v>
          </cell>
          <cell r="BD68">
            <v>10285.341921577823</v>
          </cell>
          <cell r="BE68">
            <v>10423.463604362534</v>
          </cell>
          <cell r="BF68">
            <v>10564.582378674582</v>
          </cell>
          <cell r="BG68">
            <v>10708.754472696746</v>
          </cell>
          <cell r="BH68">
            <v>10856.037265558291</v>
          </cell>
          <cell r="BI68">
            <v>11006.489312098049</v>
          </cell>
          <cell r="BJ68">
            <v>11160.170367994346</v>
          </cell>
          <cell r="BK68">
            <v>11317.141415272261</v>
          </cell>
          <cell r="BL68">
            <v>11477.46468820287</v>
          </cell>
          <cell r="BM68">
            <v>11641.20369960638</v>
          </cell>
          <cell r="BN68">
            <v>11808.423267572107</v>
          </cell>
          <cell r="BO68">
            <v>11979.189542608819</v>
          </cell>
          <cell r="BP68">
            <v>12153.570035239165</v>
          </cell>
          <cell r="BQ68">
            <v>12331.633644051188</v>
          </cell>
          <cell r="BR68">
            <v>12513.45068422109</v>
          </cell>
          <cell r="BS68">
            <v>12699.092916520556</v>
          </cell>
          <cell r="BT68">
            <v>12888.633576824235</v>
          </cell>
          <cell r="BU68">
            <v>13082.14740612921</v>
          </cell>
          <cell r="BV68">
            <v>13279.71068110293</v>
          </cell>
          <cell r="BW68">
            <v>13481.401245173231</v>
          </cell>
          <cell r="BX68">
            <v>13687.298540174968</v>
          </cell>
          <cell r="BY68">
            <v>13897.483638568639</v>
          </cell>
          <cell r="BZ68">
            <v>14112.03927624525</v>
          </cell>
          <cell r="CA68">
            <v>14331.049885933498</v>
          </cell>
          <cell r="CB68">
            <v>14554.601631223992</v>
          </cell>
          <cell r="CC68">
            <v>14782.7824412257</v>
          </cell>
          <cell r="CD68">
            <v>15015.682045871428</v>
          </cell>
          <cell r="CE68">
            <v>15253.392011886674</v>
          </cell>
          <cell r="CF68">
            <v>15496.00577943986</v>
          </cell>
          <cell r="CG68">
            <v>15743.61869948731</v>
          </cell>
          <cell r="CH68">
            <v>15996.328071833079</v>
          </cell>
          <cell r="CI68">
            <v>16254.233183917102</v>
          </cell>
          <cell r="CJ68">
            <v>16517.435350349693</v>
          </cell>
          <cell r="CK68">
            <v>16786.037953211009</v>
          </cell>
          <cell r="CL68">
            <v>17060.146483129298</v>
          </cell>
          <cell r="CM68">
            <v>17339.868581159531</v>
          </cell>
          <cell r="CN68">
            <v>17625.314081477452</v>
          </cell>
          <cell r="CO68">
            <v>17916.595054907404</v>
          </cell>
          <cell r="CP68">
            <v>18213.825853304963</v>
          </cell>
          <cell r="CQ68">
            <v>18517.123154807898</v>
          </cell>
          <cell r="CR68">
            <v>18826.606009980162</v>
          </cell>
          <cell r="CS68">
            <v>19142.39588886455</v>
          </cell>
          <cell r="CT68">
            <v>19464.616728963196</v>
          </cell>
          <cell r="CU68">
            <v>19793.394984168826</v>
          </cell>
          <cell r="CV68">
            <v>20128.85967466353</v>
          </cell>
          <cell r="CW68">
            <v>20471.14243780807</v>
          </cell>
          <cell r="CX68">
            <v>20820.377580041029</v>
          </cell>
          <cell r="CY68">
            <v>21176.702129809662</v>
          </cell>
          <cell r="CZ68">
            <v>21540.255891553472</v>
          </cell>
          <cell r="DA68">
            <v>21911.181500763989</v>
          </cell>
          <cell r="DB68">
            <v>22289.624480140374</v>
          </cell>
          <cell r="DC68">
            <v>22675.733296865859</v>
          </cell>
          <cell r="DD68">
            <v>23069.659421028024</v>
          </cell>
          <cell r="DE68">
            <v>23471.557385203982</v>
          </cell>
          <cell r="DF68">
            <v>23881.584845238314</v>
          </cell>
          <cell r="DG68">
            <v>24299.902642234309</v>
          </cell>
          <cell r="DH68">
            <v>24726.674865786044</v>
          </cell>
          <cell r="DI68">
            <v>25162.068918475619</v>
          </cell>
          <cell r="DJ68">
            <v>25606.255581660866</v>
          </cell>
          <cell r="DK68">
            <v>26059.409082580511</v>
          </cell>
          <cell r="DL68">
            <v>26521.707162803534</v>
          </cell>
          <cell r="DM68">
            <v>26993.33114804935</v>
          </cell>
          <cell r="DN68">
            <v>27474.466019406587</v>
          </cell>
          <cell r="DO68">
            <v>27965.300485980741</v>
          </cell>
          <cell r="DP68">
            <v>28466.027058995292</v>
          </cell>
          <cell r="DQ68">
            <v>28976.842127381016</v>
          </cell>
          <cell r="DR68">
            <v>29497.946034878638</v>
          </cell>
          <cell r="DS68">
            <v>30029.543158688597</v>
          </cell>
          <cell r="DT68">
            <v>30571.841989696863</v>
          </cell>
          <cell r="DU68">
            <v>31125.055214311484</v>
          </cell>
          <cell r="DV68">
            <v>31689.399797937411</v>
          </cell>
          <cell r="DW68">
            <v>32265.09707012766</v>
          </cell>
          <cell r="DX68">
            <v>32852.372811441637</v>
          </cell>
          <cell r="DY68">
            <v>33451.457342044559</v>
          </cell>
          <cell r="DZ68">
            <v>34062.585612084848</v>
          </cell>
          <cell r="EA68">
            <v>34685.997293884495</v>
          </cell>
          <cell r="EB68">
            <v>35321.936875975131</v>
          </cell>
          <cell r="EC68">
            <v>35970.653759025154</v>
          </cell>
          <cell r="ED68">
            <v>36632.402353686099</v>
          </cell>
          <cell r="EE68">
            <v>37307.44218040265</v>
          </cell>
          <cell r="EF68">
            <v>37996.03797122548</v>
          </cell>
          <cell r="EG68">
            <v>38698.459773663672</v>
          </cell>
          <cell r="EH68">
            <v>39414.983056620935</v>
          </cell>
          <cell r="EI68">
            <v>40145.888818454347</v>
          </cell>
          <cell r="EJ68">
            <v>40891.463697201929</v>
          </cell>
          <cell r="EK68">
            <v>41652.000083018313</v>
          </cell>
          <cell r="EL68">
            <v>42427.796232863722</v>
          </cell>
          <cell r="EM68">
            <v>43219.156387495372</v>
          </cell>
          <cell r="EN68">
            <v>44026.390890801209</v>
          </cell>
          <cell r="EO68">
            <v>44849.816311524948</v>
          </cell>
          <cell r="EP68">
            <v>45689.755567435059</v>
          </cell>
          <cell r="EQ68">
            <v>46546.538051976931</v>
          </cell>
          <cell r="ER68">
            <v>47420.499763467858</v>
          </cell>
          <cell r="ES68">
            <v>48311.983436878203</v>
          </cell>
          <cell r="ET68">
            <v>49221.338678255241</v>
          </cell>
          <cell r="EU68">
            <v>50148.922101839111</v>
          </cell>
          <cell r="EV68">
            <v>51095.097469927394</v>
          </cell>
          <cell r="EW68">
            <v>52060.235835539454</v>
          </cell>
          <cell r="EX68">
            <v>53044.715687943855</v>
          </cell>
          <cell r="EY68">
            <v>54048.923101096414</v>
          </cell>
          <cell r="EZ68">
            <v>55073.251885053192</v>
          </cell>
          <cell r="FA68">
            <v>56118.103740420018</v>
          </cell>
          <cell r="FB68">
            <v>57183.888415888476</v>
          </cell>
          <cell r="FC68">
            <v>58271.023868936725</v>
          </cell>
          <cell r="FD68">
            <v>59379.936429738533</v>
          </cell>
          <cell r="FE68">
            <v>60511.060968366146</v>
          </cell>
          <cell r="FF68">
            <v>61664.841065331537</v>
          </cell>
          <cell r="FG68">
            <v>62841.729185548393</v>
          </cell>
          <cell r="FH68">
            <v>64042.186855779539</v>
          </cell>
          <cell r="FI68">
            <v>65266.684845631593</v>
          </cell>
          <cell r="FJ68">
            <v>66515.703352178927</v>
          </cell>
          <cell r="FK68">
            <v>67789.732188281094</v>
          </cell>
          <cell r="FL68">
            <v>69089.270974675645</v>
          </cell>
          <cell r="FM68">
            <v>70414.829335907663</v>
          </cell>
          <cell r="FN68">
            <v>71766.927100192945</v>
          </cell>
          <cell r="FO68">
            <v>73146.094503275992</v>
          </cell>
          <cell r="FP68">
            <v>74552.872396367573</v>
          </cell>
          <cell r="FQ68">
            <v>75987.812458250832</v>
          </cell>
          <cell r="FR68">
            <v>77451.477411628483</v>
          </cell>
          <cell r="FS68">
            <v>78944.44124380227</v>
          </cell>
          <cell r="FT68">
            <v>80467.289431771685</v>
          </cell>
          <cell r="FU68">
            <v>82020.619171832222</v>
          </cell>
          <cell r="FV68">
            <v>83605.039613777364</v>
          </cell>
          <cell r="FW68">
            <v>85221.172099781455</v>
          </cell>
          <cell r="FX68">
            <v>86869.650408067595</v>
          </cell>
          <cell r="FY68">
            <v>88551.12100145052</v>
          </cell>
          <cell r="FZ68">
            <v>90266.243280851835</v>
          </cell>
          <cell r="GA68">
            <v>92015.689843895932</v>
          </cell>
          <cell r="GB68">
            <v>93800.146748670901</v>
          </cell>
          <cell r="GC68">
            <v>95620.3137827756</v>
          </cell>
          <cell r="GD68">
            <v>97476.904737748817</v>
          </cell>
          <cell r="GE68">
            <v>99370.647688987316</v>
          </cell>
          <cell r="GF68">
            <v>101302.28528127016</v>
          </cell>
          <cell r="GG68">
            <v>103272.57501998974</v>
          </cell>
          <cell r="GH68">
            <v>105282.28956821869</v>
          </cell>
          <cell r="GI68">
            <v>107332.21704971488</v>
          </cell>
          <cell r="GJ68">
            <v>109423.16135798692</v>
          </cell>
          <cell r="GK68">
            <v>111555.94247155674</v>
          </cell>
          <cell r="GL68">
            <v>113731.39677551217</v>
          </cell>
          <cell r="GM68">
            <v>115950.37738950702</v>
          </cell>
          <cell r="GN68">
            <v>118213.75450231912</v>
          </cell>
          <cell r="GO68">
            <v>120522.41571309761</v>
          </cell>
          <cell r="GP68">
            <v>122877.2663794496</v>
          </cell>
          <cell r="GQ68">
            <v>125279.22997247369</v>
          </cell>
          <cell r="GR68">
            <v>127729.24843891591</v>
          </cell>
          <cell r="GS68">
            <v>130228.28257055458</v>
          </cell>
          <cell r="GT68">
            <v>132777.31238098451</v>
          </cell>
          <cell r="GU68">
            <v>135377.33748993816</v>
          </cell>
          <cell r="GV68">
            <v>138029.37751529223</v>
          </cell>
          <cell r="GW68">
            <v>140734.47247291889</v>
          </cell>
          <cell r="GX68">
            <v>143493.68318453725</v>
          </cell>
          <cell r="GY68">
            <v>146308.09169371781</v>
          </cell>
          <cell r="GZ68">
            <v>149178.80169022235</v>
          </cell>
          <cell r="HA68">
            <v>152106.93894281355</v>
          </cell>
          <cell r="HB68">
            <v>155093.65174074238</v>
          </cell>
          <cell r="HC68">
            <v>158140.11134405155</v>
          </cell>
          <cell r="HD68">
            <v>161247.51244289862</v>
          </cell>
          <cell r="HE68">
            <v>164417.07362606097</v>
          </cell>
          <cell r="HF68">
            <v>167650.03785880865</v>
          </cell>
          <cell r="HG68">
            <v>170947.6729703515</v>
          </cell>
          <cell r="HH68">
            <v>174311.27215102097</v>
          </cell>
          <cell r="HI68">
            <v>177742.15445940499</v>
          </cell>
          <cell r="HJ68">
            <v>181241.66533962879</v>
          </cell>
          <cell r="HK68">
            <v>184811.17714897642</v>
          </cell>
          <cell r="HL68">
            <v>188452.08969607152</v>
          </cell>
          <cell r="HM68">
            <v>192165.83078982669</v>
          </cell>
          <cell r="HN68">
            <v>195953.85679935903</v>
          </cell>
          <cell r="HO68">
            <v>199817.65322512935</v>
          </cell>
          <cell r="HP68">
            <v>203758.73528147431</v>
          </cell>
          <cell r="HQ68">
            <v>207778.64849082788</v>
          </cell>
          <cell r="HR68">
            <v>211878.96928978944</v>
          </cell>
          <cell r="HS68">
            <v>216061.30564734945</v>
          </cell>
          <cell r="HT68">
            <v>220327.29769545479</v>
          </cell>
          <cell r="HU68">
            <v>224678.61837221036</v>
          </cell>
          <cell r="HV68">
            <v>229116.97407791868</v>
          </cell>
          <cell r="HW68">
            <v>233644.10534426622</v>
          </cell>
          <cell r="HX68">
            <v>238261.78751688637</v>
          </cell>
          <cell r="HY68">
            <v>242971.83145156415</v>
          </cell>
          <cell r="HZ68">
            <v>247776.08422438032</v>
          </cell>
          <cell r="IA68">
            <v>252676.42985606776</v>
          </cell>
          <cell r="IB68">
            <v>257674.79005081562</v>
          </cell>
          <cell r="IC68">
            <v>262773.12494990922</v>
          </cell>
          <cell r="ID68">
            <v>267973.43390038947</v>
          </cell>
          <cell r="IE68">
            <v>273277.75623912347</v>
          </cell>
          <cell r="IF68">
            <v>278688.17209254054</v>
          </cell>
          <cell r="IG68">
            <v>284206.80319236952</v>
          </cell>
          <cell r="IH68">
            <v>289835.81370768737</v>
          </cell>
          <cell r="II68">
            <v>295577.41109361849</v>
          </cell>
          <cell r="IJ68">
            <v>301433.84695699747</v>
          </cell>
          <cell r="IK68">
            <v>307407.4179393535</v>
          </cell>
          <cell r="IL68">
            <v>313500.46661756327</v>
          </cell>
          <cell r="IM68">
            <v>319715.38242248772</v>
          </cell>
          <cell r="IN68">
            <v>326054.60257603315</v>
          </cell>
          <cell r="IO68">
            <v>332520.61304689338</v>
          </cell>
          <cell r="IP68">
            <v>339115.94952546625</v>
          </cell>
          <cell r="IQ68">
            <v>345843.19841821992</v>
          </cell>
          <cell r="IR68">
            <v>7967254.4733183235</v>
          </cell>
        </row>
        <row r="69">
          <cell r="B69" t="str">
            <v>PVFCFO</v>
          </cell>
          <cell r="C69">
            <v>2996.0722397150575</v>
          </cell>
          <cell r="D69">
            <v>1982.4601114047982</v>
          </cell>
          <cell r="E69">
            <v>2253.6836797729411</v>
          </cell>
          <cell r="F69">
            <v>2822.1353296582752</v>
          </cell>
          <cell r="G69">
            <v>3239.7145543291881</v>
          </cell>
          <cell r="H69">
            <v>3179.9029451342967</v>
          </cell>
          <cell r="I69">
            <v>3132.4547215401144</v>
          </cell>
          <cell r="J69">
            <v>3002.0132776112919</v>
          </cell>
          <cell r="K69">
            <v>2974.2786407790145</v>
          </cell>
          <cell r="L69">
            <v>3073.2164008407326</v>
          </cell>
          <cell r="M69">
            <v>1879.177991152545</v>
          </cell>
          <cell r="N69">
            <v>2441.9438084175213</v>
          </cell>
          <cell r="O69">
            <v>2398.0625010120934</v>
          </cell>
          <cell r="P69">
            <v>2345.1354596619813</v>
          </cell>
          <cell r="Q69">
            <v>2208.0749879938089</v>
          </cell>
          <cell r="R69">
            <v>1366.4950235912268</v>
          </cell>
          <cell r="S69">
            <v>1882.5591601277108</v>
          </cell>
          <cell r="T69">
            <v>1759.5654216835828</v>
          </cell>
          <cell r="U69">
            <v>1644.8502033769075</v>
          </cell>
          <cell r="V69">
            <v>1537.8404755494175</v>
          </cell>
          <cell r="W69">
            <v>1438.0038407443044</v>
          </cell>
          <cell r="X69">
            <v>1344.8455989758911</v>
          </cell>
          <cell r="Y69">
            <v>1257.9060274220567</v>
          </cell>
          <cell r="Z69">
            <v>1176.7578588069755</v>
          </cell>
          <cell r="AA69">
            <v>1101.0039438934002</v>
          </cell>
          <cell r="AB69">
            <v>1030.2750845714527</v>
          </cell>
          <cell r="AC69">
            <v>964.2280250210556</v>
          </cell>
          <cell r="AD69">
            <v>902.54358934316326</v>
          </cell>
          <cell r="AE69">
            <v>844.92495490597457</v>
          </cell>
          <cell r="AF69">
            <v>791.09605144169677</v>
          </cell>
          <cell r="AG69">
            <v>740.8000766607305</v>
          </cell>
          <cell r="AH69">
            <v>693.79811982859951</v>
          </cell>
          <cell r="AI69">
            <v>649.86788537951918</v>
          </cell>
          <cell r="AJ69">
            <v>608.80250922327514</v>
          </cell>
          <cell r="AK69">
            <v>570.4094609423513</v>
          </cell>
          <cell r="AL69">
            <v>534.50952557667097</v>
          </cell>
          <cell r="AM69">
            <v>500.93585915755961</v>
          </cell>
          <cell r="AN69">
            <v>469.53311258226125</v>
          </cell>
          <cell r="AO69">
            <v>440.15661881895687</v>
          </cell>
          <cell r="AP69">
            <v>412.67163880131238</v>
          </cell>
          <cell r="AQ69">
            <v>386.95266171373606</v>
          </cell>
          <cell r="AR69">
            <v>362.8827556853696</v>
          </cell>
          <cell r="AS69">
            <v>340.3529652044989</v>
          </cell>
          <cell r="AT69">
            <v>319.26175183701832</v>
          </cell>
          <cell r="AU69">
            <v>299.51447508452821</v>
          </cell>
          <cell r="AV69">
            <v>281.02291045102152</v>
          </cell>
          <cell r="AW69">
            <v>263.70480200322964</v>
          </cell>
          <cell r="AX69">
            <v>247.48344690991729</v>
          </cell>
          <cell r="AY69">
            <v>232.28730963075762</v>
          </cell>
          <cell r="AZ69">
            <v>218.04966359716002</v>
          </cell>
          <cell r="BA69">
            <v>204.70825838637836</v>
          </cell>
          <cell r="BB69">
            <v>192.20501053744815</v>
          </cell>
          <cell r="BC69">
            <v>180.48571629386058</v>
          </cell>
          <cell r="BD69">
            <v>169.49978468408585</v>
          </cell>
          <cell r="BE69">
            <v>159.19998946793771</v>
          </cell>
          <cell r="BF69">
            <v>149.54223858502445</v>
          </cell>
          <cell r="BG69">
            <v>140.48535984169766</v>
          </cell>
          <cell r="BH69">
            <v>131.99090166571597</v>
          </cell>
          <cell r="BI69">
            <v>124.02294784372414</v>
          </cell>
          <cell r="BJ69">
            <v>116.54794523620852</v>
          </cell>
          <cell r="BK69">
            <v>109.5345435381917</v>
          </cell>
          <cell r="BL69">
            <v>102.95344622216487</v>
          </cell>
          <cell r="BM69">
            <v>96.777271862854519</v>
          </cell>
          <cell r="BN69">
            <v>90.980425101893246</v>
          </cell>
          <cell r="BO69">
            <v>85.538976564599352</v>
          </cell>
          <cell r="BP69">
            <v>80.430551091196023</v>
          </cell>
          <cell r="BQ69">
            <v>75.634223691213293</v>
          </cell>
          <cell r="BR69">
            <v>71.130422672812074</v>
          </cell>
          <cell r="BS69">
            <v>66.90083943857401</v>
          </cell>
          <cell r="BT69">
            <v>62.928344476186922</v>
          </cell>
          <cell r="BU69">
            <v>59.196909106583924</v>
          </cell>
          <cell r="BV69">
            <v>55.691532583756292</v>
          </cell>
          <cell r="BW69">
            <v>52.39817416974536</v>
          </cell>
          <cell r="BX69">
            <v>49.303689835472873</v>
          </cell>
          <cell r="BY69">
            <v>46.395773263222964</v>
          </cell>
          <cell r="BZ69">
            <v>43.662900849888473</v>
          </cell>
          <cell r="CA69">
            <v>41.094280431694798</v>
          </cell>
          <cell r="CB69">
            <v>38.679803471121119</v>
          </cell>
          <cell r="CC69">
            <v>36.410000465286977</v>
          </cell>
          <cell r="CD69">
            <v>34.275999352267227</v>
          </cell>
          <cell r="CE69">
            <v>32.269486707726138</v>
          </cell>
          <cell r="CF69">
            <v>30.382671539044104</v>
          </cell>
          <cell r="CG69">
            <v>28.608251497796143</v>
          </cell>
          <cell r="CH69">
            <v>26.939381344157034</v>
          </cell>
          <cell r="CI69">
            <v>25.369643508572018</v>
          </cell>
          <cell r="CJ69">
            <v>23.893020606966076</v>
          </cell>
          <cell r="CK69">
            <v>22.503869775897694</v>
          </cell>
          <cell r="CL69">
            <v>21.196898703456458</v>
          </cell>
          <cell r="CM69">
            <v>19.967143240437633</v>
          </cell>
          <cell r="CN69">
            <v>18.80994648441062</v>
          </cell>
          <cell r="CO69">
            <v>17.720939236814448</v>
          </cell>
          <cell r="CP69">
            <v>16.696021740187785</v>
          </cell>
          <cell r="CQ69">
            <v>15.731346609104714</v>
          </cell>
          <cell r="CR69">
            <v>14.823302874408096</v>
          </cell>
          <cell r="CS69">
            <v>13.968501065902037</v>
          </cell>
          <cell r="CT69">
            <v>13.163759263850798</v>
          </cell>
          <cell r="CU69">
            <v>12.406090054446558</v>
          </cell>
          <cell r="CV69">
            <v>11.692688328874508</v>
          </cell>
          <cell r="CW69">
            <v>11.020919869762075</v>
          </cell>
          <cell r="CX69">
            <v>10.388310672656054</v>
          </cell>
          <cell r="CY69">
            <v>9.7925369537602283</v>
          </cell>
          <cell r="CZ69">
            <v>9.2314157984996044</v>
          </cell>
          <cell r="DA69">
            <v>8.7028964085780665</v>
          </cell>
          <cell r="DB69">
            <v>8.2050519080763227</v>
          </cell>
          <cell r="DC69">
            <v>7.7360716718193938</v>
          </cell>
          <cell r="DD69">
            <v>7.2942541417342017</v>
          </cell>
          <cell r="DE69">
            <v>6.8780000992357628</v>
          </cell>
          <cell r="DF69">
            <v>6.4858063638397958</v>
          </cell>
          <cell r="DG69">
            <v>6.1162598902040548</v>
          </cell>
          <cell r="DH69">
            <v>5.7680322376708162</v>
          </cell>
          <cell r="DI69">
            <v>5.439874388120324</v>
          </cell>
          <cell r="DJ69">
            <v>5.1306118895638146</v>
          </cell>
          <cell r="DK69">
            <v>4.8391403044119583</v>
          </cell>
          <cell r="DL69">
            <v>4.564420942757641</v>
          </cell>
          <cell r="DM69">
            <v>4.3054768623189048</v>
          </cell>
          <cell r="DN69">
            <v>4.0613891179054917</v>
          </cell>
          <cell r="DO69">
            <v>3.8312932444069459</v>
          </cell>
          <cell r="DP69">
            <v>3.6143759583561859</v>
          </cell>
          <cell r="DQ69">
            <v>3.4098720641088853</v>
          </cell>
          <cell r="DR69">
            <v>3.217061551595612</v>
          </cell>
          <cell r="DS69">
            <v>3.0352668734606612</v>
          </cell>
          <cell r="DT69">
            <v>2.863850390198877</v>
          </cell>
          <cell r="DU69">
            <v>2.7022119726464182</v>
          </cell>
          <cell r="DV69">
            <v>2.549786751874799</v>
          </cell>
          <cell r="DW69">
            <v>2.4060430071858985</v>
          </cell>
          <cell r="DX69">
            <v>2.2704801835089219</v>
          </cell>
          <cell r="DY69">
            <v>2.1426270300642227</v>
          </cell>
          <cell r="DZ69">
            <v>2.022039852685058</v>
          </cell>
          <cell r="EA69">
            <v>1.9083008726791217</v>
          </cell>
          <cell r="EB69">
            <v>1.8010166855699616</v>
          </cell>
          <cell r="EC69">
            <v>1.6998168134869982</v>
          </cell>
          <cell r="ED69">
            <v>1.6043523453714956</v>
          </cell>
          <cell r="EE69">
            <v>1.5142946595399911</v>
          </cell>
          <cell r="EF69">
            <v>1.429334223494966</v>
          </cell>
          <cell r="EG69">
            <v>1.34917946619818</v>
          </cell>
          <cell r="EH69">
            <v>1.2735557183267501</v>
          </cell>
          <cell r="EI69">
            <v>1.202204216316231</v>
          </cell>
          <cell r="EJ69">
            <v>1.1348811662610636</v>
          </cell>
          <cell r="EK69">
            <v>1.0713568639910058</v>
          </cell>
          <cell r="EL69">
            <v>1.0114148678747092</v>
          </cell>
          <cell r="EM69">
            <v>0.9548512211189234</v>
          </cell>
          <cell r="EN69">
            <v>0.90147372053473607</v>
          </cell>
          <cell r="EO69">
            <v>0.85110122893255769</v>
          </cell>
          <cell r="EP69">
            <v>0.80356302848536276</v>
          </cell>
          <cell r="EQ69">
            <v>0.75869821256575598</v>
          </cell>
          <cell r="ER69">
            <v>0.7163551137184937</v>
          </cell>
          <cell r="ES69">
            <v>0.67639076557540545</v>
          </cell>
          <cell r="ET69">
            <v>0.63867039665624692</v>
          </cell>
          <cell r="EU69">
            <v>0.60306695412651568</v>
          </cell>
          <cell r="EV69">
            <v>0.5694606557028542</v>
          </cell>
          <cell r="EW69">
            <v>0.53773856800848141</v>
          </cell>
          <cell r="EX69">
            <v>0.50779420978602052</v>
          </cell>
          <cell r="EY69">
            <v>0.47952717847304616</v>
          </cell>
          <cell r="EZ69">
            <v>0.45284279873781003</v>
          </cell>
          <cell r="FA69">
            <v>0.42765179165867667</v>
          </cell>
          <cell r="FB69">
            <v>0.40386996331141578</v>
          </cell>
          <cell r="FC69">
            <v>0.38141791160436495</v>
          </cell>
          <cell r="FD69">
            <v>0.36022075027207257</v>
          </cell>
          <cell r="FE69">
            <v>0.34020784900479067</v>
          </cell>
          <cell r="FF69">
            <v>0.32131258875318175</v>
          </cell>
          <cell r="FG69">
            <v>0.30347213130625306</v>
          </cell>
          <cell r="FH69">
            <v>0.28662720229516875</v>
          </cell>
          <cell r="FI69">
            <v>0.27072188682693893</v>
          </cell>
          <cell r="FJ69">
            <v>0.25570343700025278</v>
          </cell>
          <cell r="FK69">
            <v>0.24152209060080873</v>
          </cell>
          <cell r="FL69">
            <v>0.22813090031596209</v>
          </cell>
          <cell r="FM69">
            <v>0.21548557284819522</v>
          </cell>
          <cell r="FN69">
            <v>0.20354431734436465</v>
          </cell>
          <cell r="FO69">
            <v>0.19226770259256257</v>
          </cell>
          <cell r="FP69">
            <v>0.18161852247139487</v>
          </cell>
          <cell r="FQ69">
            <v>0.17156166916732254</v>
          </cell>
          <cell r="FR69">
            <v>0.16206401370463822</v>
          </cell>
          <cell r="FS69">
            <v>0.15309429335989111</v>
          </cell>
          <cell r="FT69">
            <v>0.14462300555809074</v>
          </cell>
          <cell r="FU69">
            <v>0.13662230787198698</v>
          </cell>
          <cell r="FV69">
            <v>0.12906592376828802</v>
          </cell>
          <cell r="FW69">
            <v>0.12192905376577566</v>
          </cell>
          <cell r="FX69">
            <v>0.11518829169019634</v>
          </cell>
          <cell r="FY69">
            <v>0.10882154572944519</v>
          </cell>
          <cell r="FZ69">
            <v>0.10280796401011005</v>
          </cell>
          <cell r="GA69">
            <v>9.7127864432933197E-2</v>
          </cell>
          <cell r="GB69">
            <v>9.1762668520204302E-2</v>
          </cell>
          <cell r="GC69">
            <v>8.6694839042695898E-2</v>
          </cell>
          <cell r="GD69">
            <v>8.1907821207399992E-2</v>
          </cell>
          <cell r="GE69">
            <v>7.7385987200196044E-2</v>
          </cell>
          <cell r="GF69">
            <v>7.3114583889677245E-2</v>
          </cell>
          <cell r="GG69">
            <v>6.907968350971018E-2</v>
          </cell>
          <cell r="GH69">
            <v>6.526813714901275E-2</v>
          </cell>
          <cell r="GI69">
            <v>6.1667530886060487E-2</v>
          </cell>
          <cell r="GJ69">
            <v>5.8266144417097335E-2</v>
          </cell>
          <cell r="GK69">
            <v>5.505291203391946E-2</v>
          </cell>
          <cell r="GL69">
            <v>5.2017385816434669E-2</v>
          </cell>
          <cell r="GM69">
            <v>4.914970091289933E-2</v>
          </cell>
          <cell r="GN69">
            <v>4.6440542788104229E-2</v>
          </cell>
          <cell r="GO69">
            <v>4.3881116326752304E-2</v>
          </cell>
          <cell r="GP69">
            <v>4.1463116685824856E-2</v>
          </cell>
          <cell r="GQ69">
            <v>3.9178701795876902E-2</v>
          </cell>
          <cell r="GR69">
            <v>3.7020466417026242E-2</v>
          </cell>
          <cell r="GS69">
            <v>3.4981417660830655E-2</v>
          </cell>
          <cell r="GT69">
            <v>3.3054951894406319E-2</v>
          </cell>
          <cell r="GU69">
            <v>3.1234832947961318E-2</v>
          </cell>
          <cell r="GV69">
            <v>2.9515171551472569E-2</v>
          </cell>
          <cell r="GW69">
            <v>2.7890405930519918E-2</v>
          </cell>
          <cell r="GX69">
            <v>2.6355283495322387E-2</v>
          </cell>
          <cell r="GY69">
            <v>2.4904843560817468E-2</v>
          </cell>
          <cell r="GZ69">
            <v>2.3534401039205302E-2</v>
          </cell>
          <cell r="HA69">
            <v>2.2239531049736184E-2</v>
          </cell>
          <cell r="HB69">
            <v>2.1016054393703375E-2</v>
          </cell>
          <cell r="HC69">
            <v>1.9860023845576134E-2</v>
          </cell>
          <cell r="HD69">
            <v>1.8767711214030459E-2</v>
          </cell>
          <cell r="HE69">
            <v>1.7735595129276693E-2</v>
          </cell>
          <cell r="HF69">
            <v>1.6760349515581596E-2</v>
          </cell>
          <cell r="HG69">
            <v>1.5838832710234198E-2</v>
          </cell>
          <cell r="HH69">
            <v>1.4968077192413543E-2</v>
          </cell>
          <cell r="HI69">
            <v>1.4145279887508645E-2</v>
          </cell>
          <cell r="HJ69">
            <v>1.3367793014402905E-2</v>
          </cell>
          <cell r="HK69">
            <v>1.2633115445087459E-2</v>
          </cell>
          <cell r="HL69">
            <v>1.1938884547714553E-2</v>
          </cell>
          <cell r="HM69">
            <v>1.1282868485845254E-2</v>
          </cell>
          <cell r="HN69">
            <v>1.0662958948194769E-2</v>
          </cell>
          <cell r="HO69">
            <v>1.0077164284642644E-2</v>
          </cell>
          <cell r="HP69">
            <v>9.5236030256460446E-3</v>
          </cell>
          <cell r="HQ69">
            <v>9.0004977634990258E-3</v>
          </cell>
          <cell r="HR69">
            <v>8.5061693750957141E-3</v>
          </cell>
          <cell r="HS69">
            <v>8.0390315670160646E-3</v>
          </cell>
          <cell r="HT69">
            <v>7.5975857248330942E-3</v>
          </cell>
          <cell r="HU69">
            <v>7.1804160495700679E-3</v>
          </cell>
          <cell r="HV69">
            <v>6.7861849651980671E-3</v>
          </cell>
          <cell r="HW69">
            <v>6.413628781978961E-3</v>
          </cell>
          <cell r="HX69">
            <v>6.0615536013144409E-3</v>
          </cell>
          <cell r="HY69">
            <v>5.7288314485728267E-3</v>
          </cell>
          <cell r="HZ69">
            <v>5.4143966211295169E-3</v>
          </cell>
          <cell r="IA69">
            <v>5.1172422395759903E-3</v>
          </cell>
          <cell r="IB69">
            <v>4.8364169907307185E-3</v>
          </cell>
          <cell r="IC69">
            <v>4.5710220517287325E-3</v>
          </cell>
          <cell r="ID69">
            <v>4.3202081850661793E-3</v>
          </cell>
          <cell r="IE69">
            <v>4.0831729950500601E-3</v>
          </cell>
          <cell r="IF69">
            <v>3.8591583366377117E-3</v>
          </cell>
          <cell r="IG69">
            <v>3.6474478681589886E-3</v>
          </cell>
          <cell r="IH69">
            <v>3.4473647398915136E-3</v>
          </cell>
          <cell r="II69">
            <v>3.2582694109107484E-3</v>
          </cell>
          <cell r="IJ69">
            <v>3.0795575870616351E-3</v>
          </cell>
          <cell r="IK69">
            <v>2.9106582733004187E-3</v>
          </cell>
          <cell r="IL69">
            <v>2.75103193403366E-3</v>
          </cell>
          <cell r="IM69">
            <v>2.6001687554384036E-3</v>
          </cell>
          <cell r="IN69">
            <v>2.4575870040856179E-3</v>
          </cell>
          <cell r="IO69">
            <v>2.3228314765053352E-3</v>
          </cell>
          <cell r="IP69">
            <v>2.1954720346340413E-3</v>
          </cell>
          <cell r="IQ69">
            <v>2.0751022223661256E-3</v>
          </cell>
          <cell r="IR69">
            <v>4.4304670248126669E-2</v>
          </cell>
        </row>
        <row r="70">
          <cell r="B70" t="str">
            <v>Residual income (operating)</v>
          </cell>
          <cell r="C70">
            <v>398.80817278908671</v>
          </cell>
          <cell r="D70">
            <v>475.61837185067816</v>
          </cell>
          <cell r="E70">
            <v>1512.854027734229</v>
          </cell>
          <cell r="F70">
            <v>2328.0643522362197</v>
          </cell>
          <cell r="G70">
            <v>2618.2332145589617</v>
          </cell>
          <cell r="H70">
            <v>2808.6535446619059</v>
          </cell>
          <cell r="I70">
            <v>3112.4785881469898</v>
          </cell>
          <cell r="J70">
            <v>3100.1316457908979</v>
          </cell>
          <cell r="K70">
            <v>3512.1422987607425</v>
          </cell>
          <cell r="L70">
            <v>4170.4108078676791</v>
          </cell>
          <cell r="M70">
            <v>4194.0208927633612</v>
          </cell>
          <cell r="N70">
            <v>4335.6196361420789</v>
          </cell>
          <cell r="O70">
            <v>4406.0714055466415</v>
          </cell>
          <cell r="P70">
            <v>4467.0849924149843</v>
          </cell>
          <cell r="Q70">
            <v>4517.7847544273336</v>
          </cell>
          <cell r="R70">
            <v>4505.3694052422179</v>
          </cell>
          <cell r="S70">
            <v>4463.8335893278527</v>
          </cell>
          <cell r="T70">
            <v>4447.1912354108281</v>
          </cell>
          <cell r="U70">
            <v>4430.1579142992859</v>
          </cell>
          <cell r="V70">
            <v>4412.7263684673408</v>
          </cell>
          <cell r="W70">
            <v>4394.889208464997</v>
          </cell>
          <cell r="X70">
            <v>4376.638909288682</v>
          </cell>
          <cell r="Y70">
            <v>4357.9678066977131</v>
          </cell>
          <cell r="Z70">
            <v>4338.8680934774366</v>
          </cell>
          <cell r="AA70">
            <v>4319.3318156496325</v>
          </cell>
          <cell r="AB70">
            <v>4299.350868630595</v>
          </cell>
          <cell r="AC70">
            <v>4278.9169933370722</v>
          </cell>
          <cell r="AD70">
            <v>4258.0217722401185</v>
          </cell>
          <cell r="AE70">
            <v>4236.6566253667061</v>
          </cell>
          <cell r="AF70">
            <v>4214.8128062487995</v>
          </cell>
          <cell r="AG70">
            <v>4192.4813978194043</v>
          </cell>
          <cell r="AH70">
            <v>4169.6533082549859</v>
          </cell>
          <cell r="AI70">
            <v>4146.3192667634412</v>
          </cell>
          <cell r="AJ70">
            <v>4122.4698193167415</v>
          </cell>
          <cell r="AK70">
            <v>4098.0953243271442</v>
          </cell>
          <cell r="AL70">
            <v>4073.1859482658274</v>
          </cell>
          <cell r="AM70">
            <v>4047.7316612225759</v>
          </cell>
          <cell r="AN70">
            <v>4021.7222324051481</v>
          </cell>
          <cell r="AO70">
            <v>3995.1472255767285</v>
          </cell>
          <cell r="AP70">
            <v>3967.9959944298507</v>
          </cell>
          <cell r="AQ70">
            <v>3940.257677895027</v>
          </cell>
          <cell r="AR70">
            <v>3911.921195382256</v>
          </cell>
          <cell r="AS70">
            <v>3882.9752419534843</v>
          </cell>
          <cell r="AT70">
            <v>3853.4082834239935</v>
          </cell>
          <cell r="AU70">
            <v>3823.2085513906741</v>
          </cell>
          <cell r="AV70">
            <v>3792.3640381849627</v>
          </cell>
          <cell r="AW70">
            <v>3760.862491748283</v>
          </cell>
          <cell r="AX70">
            <v>3728.6914104276657</v>
          </cell>
          <cell r="AY70">
            <v>3695.8380376892019</v>
          </cell>
          <cell r="AZ70">
            <v>3662.2893567469218</v>
          </cell>
          <cell r="BA70">
            <v>3628.0320851046581</v>
          </cell>
          <cell r="BB70">
            <v>3593.0526690083425</v>
          </cell>
          <cell r="BC70">
            <v>3557.337277806213</v>
          </cell>
          <cell r="BD70">
            <v>3520.871798214288</v>
          </cell>
          <cell r="BE70">
            <v>3483.6418284844749</v>
          </cell>
          <cell r="BF70">
            <v>3445.6326724726077</v>
          </cell>
          <cell r="BG70">
            <v>3406.8293336036459</v>
          </cell>
          <cell r="BH70">
            <v>3367.2165087312969</v>
          </cell>
          <cell r="BI70">
            <v>3326.778581889188</v>
          </cell>
          <cell r="BJ70">
            <v>3285.4996179307582</v>
          </cell>
          <cell r="BK70">
            <v>3243.3633560549333</v>
          </cell>
          <cell r="BL70">
            <v>3200.3532032146486</v>
          </cell>
          <cell r="BM70">
            <v>3156.4522274052506</v>
          </cell>
          <cell r="BN70">
            <v>3111.6431508296937</v>
          </cell>
          <cell r="BO70">
            <v>3065.9083429375532</v>
          </cell>
          <cell r="BP70">
            <v>3019.2298133346249</v>
          </cell>
          <cell r="BQ70">
            <v>2971.5892045600958</v>
          </cell>
          <cell r="BR70">
            <v>2922.9677847279527</v>
          </cell>
          <cell r="BS70">
            <v>2873.3464400295088</v>
          </cell>
          <cell r="BT70">
            <v>2822.7056670936818</v>
          </cell>
          <cell r="BU70">
            <v>2771.0255652017586</v>
          </cell>
          <cell r="BV70">
            <v>2718.2858283532005</v>
          </cell>
          <cell r="BW70">
            <v>2664.4657371791491</v>
          </cell>
          <cell r="BX70">
            <v>2609.5441507000833</v>
          </cell>
          <cell r="BY70">
            <v>2553.4994979241656</v>
          </cell>
          <cell r="BZ70">
            <v>2496.3097692826632</v>
          </cell>
          <cell r="CA70">
            <v>2437.9525078988408</v>
          </cell>
          <cell r="CB70">
            <v>2378.4048006866142</v>
          </cell>
          <cell r="CC70">
            <v>2317.6432692752642</v>
          </cell>
          <cell r="CD70">
            <v>2255.6440607563782</v>
          </cell>
          <cell r="CE70">
            <v>2192.3828382491811</v>
          </cell>
          <cell r="CF70">
            <v>2127.8347712803225</v>
          </cell>
          <cell r="CG70">
            <v>2061.9745259741649</v>
          </cell>
          <cell r="CH70">
            <v>1994.776255049459</v>
          </cell>
          <cell r="CI70">
            <v>1926.2135876183966</v>
          </cell>
          <cell r="CJ70">
            <v>1856.2596187837444</v>
          </cell>
          <cell r="CK70">
            <v>1784.8868990298979</v>
          </cell>
          <cell r="CL70">
            <v>1712.0674234034341</v>
          </cell>
          <cell r="CM70">
            <v>1637.7726204788669</v>
          </cell>
          <cell r="CN70">
            <v>1561.9733411050111</v>
          </cell>
          <cell r="CO70">
            <v>1484.6398469275191</v>
          </cell>
          <cell r="CP70">
            <v>1405.7417986828186</v>
          </cell>
          <cell r="CQ70">
            <v>1325.2482442588407</v>
          </cell>
          <cell r="CR70">
            <v>1243.1276065176753</v>
          </cell>
          <cell r="CS70">
            <v>1159.3476708752605</v>
          </cell>
          <cell r="CT70">
            <v>1073.8755726331292</v>
          </cell>
          <cell r="CU70">
            <v>986.67778405716308</v>
          </cell>
          <cell r="CV70">
            <v>897.72010119812694</v>
          </cell>
          <cell r="CW70">
            <v>806.9676304487657</v>
          </cell>
          <cell r="CX70">
            <v>714.38477483208771</v>
          </cell>
          <cell r="CY70">
            <v>619.93522001535166</v>
          </cell>
          <cell r="CZ70">
            <v>523.58192004422017</v>
          </cell>
          <cell r="DA70">
            <v>425.28708279136481</v>
          </cell>
          <cell r="DB70">
            <v>325.0121551138036</v>
          </cell>
          <cell r="DC70">
            <v>222.71780771299382</v>
          </cell>
          <cell r="DD70">
            <v>118.3639196917502</v>
          </cell>
          <cell r="DE70">
            <v>11.909562801844004</v>
          </cell>
          <cell r="DF70">
            <v>-96.687014623967116</v>
          </cell>
          <cell r="DG70">
            <v>-207.4684040618522</v>
          </cell>
          <cell r="DH70">
            <v>-320.47805351515854</v>
          </cell>
          <cell r="DI70">
            <v>-435.76028456773929</v>
          </cell>
          <cell r="DJ70">
            <v>-553.36030977898918</v>
          </cell>
          <cell r="DK70">
            <v>-673.32425042750401</v>
          </cell>
          <cell r="DL70">
            <v>-795.69915461033088</v>
          </cell>
          <cell r="DM70">
            <v>-920.53301570504846</v>
          </cell>
          <cell r="DN70">
            <v>-1047.8747912017498</v>
          </cell>
          <cell r="DO70">
            <v>-1177.7744219126325</v>
          </cell>
          <cell r="DP70">
            <v>-1310.282851566466</v>
          </cell>
          <cell r="DQ70">
            <v>-1445.4520467959373</v>
          </cell>
          <cell r="DR70">
            <v>-1583.3350175254673</v>
          </cell>
          <cell r="DS70">
            <v>-1723.985837767781</v>
          </cell>
          <cell r="DT70">
            <v>-1867.4596668372396</v>
          </cell>
          <cell r="DU70">
            <v>-2013.8127709883411</v>
          </cell>
          <cell r="DV70">
            <v>-2163.1025454878909</v>
          </cell>
          <cell r="DW70">
            <v>-2315.3875371295289</v>
          </cell>
          <cell r="DX70">
            <v>-2470.7274671994746</v>
          </cell>
          <cell r="DY70">
            <v>-2629.1832549025203</v>
          </cell>
          <cell r="DZ70">
            <v>-2790.8170412573818</v>
          </cell>
          <cell r="EA70">
            <v>-2955.6922134709821</v>
          </cell>
          <cell r="EB70">
            <v>-3123.8734298010677</v>
          </cell>
          <cell r="EC70">
            <v>-3295.4266449170173</v>
          </cell>
          <cell r="ED70">
            <v>-3470.4191357688251</v>
          </cell>
          <cell r="EE70">
            <v>-3648.919527974278</v>
          </cell>
          <cell r="EF70">
            <v>-3830.9978227348765</v>
          </cell>
          <cell r="EG70">
            <v>-4016.7254242909694</v>
          </cell>
          <cell r="EH70">
            <v>-4206.1751679268345</v>
          </cell>
          <cell r="EI70">
            <v>-4399.4213485367945</v>
          </cell>
          <cell r="EJ70">
            <v>-4596.5397497635713</v>
          </cell>
          <cell r="EK70">
            <v>-4797.6076737202166</v>
          </cell>
          <cell r="EL70">
            <v>-5002.7039713074118</v>
          </cell>
          <cell r="EM70">
            <v>-5211.9090731379692</v>
          </cell>
          <cell r="EN70">
            <v>-5425.3050210806541</v>
          </cell>
          <cell r="EO70">
            <v>-5642.9755004357721</v>
          </cell>
          <cell r="EP70">
            <v>-5865.0058727551077</v>
          </cell>
          <cell r="EQ70">
            <v>-6091.483209318998</v>
          </cell>
          <cell r="ER70">
            <v>-6322.496325283937</v>
          </cell>
          <cell r="ES70">
            <v>-6558.1358145138074</v>
          </cell>
          <cell r="ET70">
            <v>-6798.4940851086139</v>
          </cell>
          <cell r="EU70">
            <v>-7043.6653956445225</v>
          </cell>
          <cell r="EV70">
            <v>-7293.7458921395591</v>
          </cell>
          <cell r="EW70">
            <v>-7548.8336457592959</v>
          </cell>
          <cell r="EX70">
            <v>-7809.0286912775773</v>
          </cell>
          <cell r="EY70">
            <v>-8074.4330663070286</v>
          </cell>
          <cell r="EZ70">
            <v>-8345.1508513150038</v>
          </cell>
          <cell r="FA70">
            <v>-8621.2882104406162</v>
          </cell>
          <cell r="FB70">
            <v>-8902.9534331288014</v>
          </cell>
          <cell r="FC70">
            <v>-9190.2569765977096</v>
          </cell>
          <cell r="FD70">
            <v>-9483.3115091562504</v>
          </cell>
          <cell r="FE70">
            <v>-9782.2319543885969</v>
          </cell>
          <cell r="FF70">
            <v>-10087.135536223184</v>
          </cell>
          <cell r="FG70">
            <v>-10398.141824903534</v>
          </cell>
          <cell r="FH70">
            <v>-10715.372783879386</v>
          </cell>
          <cell r="FI70">
            <v>-11038.952817636178</v>
          </cell>
          <cell r="FJ70">
            <v>-11369.008820481788</v>
          </cell>
          <cell r="FK70">
            <v>-11705.67022630955</v>
          </cell>
          <cell r="FL70">
            <v>-12049.069059357411</v>
          </cell>
          <cell r="FM70">
            <v>-12399.339985982457</v>
          </cell>
          <cell r="FN70">
            <v>-12756.620367472016</v>
          </cell>
          <cell r="FO70">
            <v>-13121.050313911124</v>
          </cell>
          <cell r="FP70">
            <v>-13492.772739128239</v>
          </cell>
          <cell r="FQ70">
            <v>-13871.933416740227</v>
          </cell>
          <cell r="FR70">
            <v>-14258.681037319009</v>
          </cell>
          <cell r="FS70">
            <v>-14653.167266701857</v>
          </cell>
          <cell r="FT70">
            <v>-15055.546805468664</v>
          </cell>
          <cell r="FU70">
            <v>-15465.977449609083</v>
          </cell>
          <cell r="FV70">
            <v>-15884.620152403717</v>
          </cell>
          <cell r="FW70">
            <v>-16311.639087543328</v>
          </cell>
          <cell r="FX70">
            <v>-16747.201713510934</v>
          </cell>
          <cell r="FY70">
            <v>-17191.478839252115</v>
          </cell>
          <cell r="FZ70">
            <v>-17644.644691159134</v>
          </cell>
          <cell r="GA70">
            <v>-18106.876981395326</v>
          </cell>
          <cell r="GB70">
            <v>-18578.356977586285</v>
          </cell>
          <cell r="GC70">
            <v>-19059.269573905418</v>
          </cell>
          <cell r="GD70">
            <v>-19549.803363581799</v>
          </cell>
          <cell r="GE70">
            <v>-20050.150712858274</v>
          </cell>
          <cell r="GF70">
            <v>-20560.507836429606</v>
          </cell>
          <cell r="GG70">
            <v>-21081.074874389422</v>
          </cell>
          <cell r="GH70">
            <v>-21612.055970716756</v>
          </cell>
          <cell r="GI70">
            <v>-22153.659353332594</v>
          </cell>
          <cell r="GJ70">
            <v>-22706.09741575818</v>
          </cell>
          <cell r="GK70">
            <v>-23269.586800406571</v>
          </cell>
          <cell r="GL70">
            <v>-23844.348483540554</v>
          </cell>
          <cell r="GM70">
            <v>-24430.607861930301</v>
          </cell>
          <cell r="GN70">
            <v>-25028.594841244194</v>
          </cell>
          <cell r="GO70">
            <v>-25638.543926208076</v>
          </cell>
          <cell r="GP70">
            <v>-26260.694312568055</v>
          </cell>
          <cell r="GQ70">
            <v>-26895.289980892732</v>
          </cell>
          <cell r="GR70">
            <v>-27542.579792252014</v>
          </cell>
          <cell r="GS70">
            <v>-28202.817585809738</v>
          </cell>
          <cell r="GT70">
            <v>-28876.262278368609</v>
          </cell>
          <cell r="GU70">
            <v>-29563.177965906187</v>
          </cell>
          <cell r="GV70">
            <v>-30263.834027141915</v>
          </cell>
          <cell r="GW70">
            <v>-30978.505229176197</v>
          </cell>
          <cell r="GX70">
            <v>-31707.471835241944</v>
          </cell>
          <cell r="GY70">
            <v>-32451.019714611932</v>
          </cell>
          <cell r="GZ70">
            <v>-33209.440454704454</v>
          </cell>
          <cell r="HA70">
            <v>-33983.031475431373</v>
          </cell>
          <cell r="HB70">
            <v>-34772.096145833406</v>
          </cell>
          <cell r="HC70">
            <v>-35576.943903048406</v>
          </cell>
          <cell r="HD70">
            <v>-36397.890373659407</v>
          </cell>
          <cell r="HE70">
            <v>-37235.257497469662</v>
          </cell>
          <cell r="HF70">
            <v>-38089.373653753602</v>
          </cell>
          <cell r="HG70">
            <v>-38960.573790033202</v>
          </cell>
          <cell r="HH70">
            <v>-39849.19955342976</v>
          </cell>
          <cell r="HI70">
            <v>-40755.599424643384</v>
          </cell>
          <cell r="HJ70">
            <v>-41680.128854612034</v>
          </cell>
          <cell r="HK70">
            <v>-42623.150403904088</v>
          </cell>
          <cell r="HL70">
            <v>-43585.033884898992</v>
          </cell>
          <cell r="HM70">
            <v>-44566.156506811734</v>
          </cell>
          <cell r="HN70">
            <v>-45566.903023618041</v>
          </cell>
          <cell r="HO70">
            <v>-46587.665884938382</v>
          </cell>
          <cell r="HP70">
            <v>-47628.84538993967</v>
          </cell>
          <cell r="HQ70">
            <v>-48690.849844315497</v>
          </cell>
          <cell r="HR70">
            <v>-49774.095720405865</v>
          </cell>
          <cell r="HS70">
            <v>-50879.00782051991</v>
          </cell>
          <cell r="HT70">
            <v>-52006.019443524885</v>
          </cell>
          <cell r="HU70">
            <v>-53155.572554767365</v>
          </cell>
          <cell r="HV70">
            <v>-54328.117959392897</v>
          </cell>
          <cell r="HW70">
            <v>-55524.11547913251</v>
          </cell>
          <cell r="HX70">
            <v>-56744.034132624976</v>
          </cell>
          <cell r="HY70">
            <v>-57988.352319345577</v>
          </cell>
          <cell r="HZ70">
            <v>-59257.558007213695</v>
          </cell>
          <cell r="IA70">
            <v>-60552.148923953064</v>
          </cell>
          <cell r="IB70">
            <v>-61872.632752278936</v>
          </cell>
          <cell r="IC70">
            <v>-63219.527328989236</v>
          </cell>
          <cell r="ID70">
            <v>-64593.360848038225</v>
          </cell>
          <cell r="IE70">
            <v>-65994.67206767085</v>
          </cell>
          <cell r="IF70">
            <v>-67424.010521700955</v>
          </cell>
          <cell r="IG70">
            <v>-68881.936735014664</v>
          </cell>
          <cell r="IH70">
            <v>-70369.022443383641</v>
          </cell>
          <cell r="II70">
            <v>-71885.850817675877</v>
          </cell>
          <cell r="IJ70">
            <v>-73433.016692549572</v>
          </cell>
          <cell r="IK70">
            <v>-75011.126799722086</v>
          </cell>
          <cell r="IL70">
            <v>-76620.800005903584</v>
          </cell>
          <cell r="IM70">
            <v>-78262.667555490159</v>
          </cell>
          <cell r="IN70">
            <v>-79937.373318110302</v>
          </cell>
          <cell r="IO70">
            <v>-81645.574041123386</v>
          </cell>
          <cell r="IP70">
            <v>-83387.939607166976</v>
          </cell>
          <cell r="IQ70">
            <v>-85165.153296856326</v>
          </cell>
          <cell r="IR70">
            <v>-86977.912056737579</v>
          </cell>
        </row>
        <row r="71">
          <cell r="B71" t="str">
            <v>PVRI (operating)</v>
          </cell>
          <cell r="C71">
            <v>369.61076615796674</v>
          </cell>
          <cell r="D71">
            <v>408.52604393566151</v>
          </cell>
          <cell r="E71">
            <v>1204.3111733735268</v>
          </cell>
          <cell r="F71">
            <v>1717.5810266862234</v>
          </cell>
          <cell r="G71">
            <v>1790.2395377121766</v>
          </cell>
          <cell r="H71">
            <v>1779.8424092850896</v>
          </cell>
          <cell r="I71">
            <v>1827.9752673629987</v>
          </cell>
          <cell r="J71">
            <v>1687.4256352540026</v>
          </cell>
          <cell r="K71">
            <v>1771.7285073221785</v>
          </cell>
          <cell r="L71">
            <v>1949.7748771827617</v>
          </cell>
          <cell r="M71">
            <v>1817.2588212698392</v>
          </cell>
          <cell r="N71">
            <v>1741.0768214830184</v>
          </cell>
          <cell r="O71">
            <v>1639.8300995657562</v>
          </cell>
          <cell r="P71">
            <v>1540.8206900768009</v>
          </cell>
          <cell r="Q71">
            <v>1444.2220942777753</v>
          </cell>
          <cell r="R71">
            <v>1334.8098967671212</v>
          </cell>
          <cell r="S71">
            <v>1225.681332136938</v>
          </cell>
          <cell r="T71">
            <v>1131.7120605401833</v>
          </cell>
          <cell r="U71">
            <v>1044.8402859434918</v>
          </cell>
          <cell r="V71">
            <v>964.53560398956392</v>
          </cell>
          <cell r="W71">
            <v>890.30694300053347</v>
          </cell>
          <cell r="X71">
            <v>821.69966355938595</v>
          </cell>
          <cell r="Y71">
            <v>758.29287113083603</v>
          </cell>
          <cell r="Z71">
            <v>699.69692611179357</v>
          </cell>
          <cell r="AA71">
            <v>645.55113684412913</v>
          </cell>
          <cell r="AB71">
            <v>595.52162218139426</v>
          </cell>
          <cell r="AC71">
            <v>549.29933118253996</v>
          </cell>
          <cell r="AD71">
            <v>506.59820841527198</v>
          </cell>
          <cell r="AE71">
            <v>467.15349419466611</v>
          </cell>
          <cell r="AF71">
            <v>430.7201498639738</v>
          </cell>
          <cell r="AG71">
            <v>397.07139894866737</v>
          </cell>
          <cell r="AH71">
            <v>365.99737568591542</v>
          </cell>
          <cell r="AI71">
            <v>337.30387305369408</v>
          </cell>
          <cell r="AJ71">
            <v>310.81118300027242</v>
          </cell>
          <cell r="AK71">
            <v>286.35302210913187</v>
          </cell>
          <cell r="AL71">
            <v>263.77553642964006</v>
          </cell>
          <cell r="AM71">
            <v>242.93637966280849</v>
          </cell>
          <cell r="AN71">
            <v>223.70385931691618</v>
          </cell>
          <cell r="AO71">
            <v>205.95614584209684</v>
          </cell>
          <cell r="AP71">
            <v>189.58054011847602</v>
          </cell>
          <cell r="AQ71">
            <v>174.4727950111911</v>
          </cell>
          <cell r="AR71">
            <v>160.53648701960711</v>
          </cell>
          <cell r="AS71">
            <v>147.68243433904965</v>
          </cell>
          <cell r="AT71">
            <v>135.82815792310649</v>
          </cell>
          <cell r="AU71">
            <v>124.89738238455284</v>
          </cell>
          <cell r="AV71">
            <v>114.81957380466781</v>
          </cell>
          <cell r="AW71">
            <v>105.52951173548418</v>
          </cell>
          <cell r="AX71">
            <v>96.966892878570249</v>
          </cell>
          <cell r="AY71">
            <v>89.075964108444722</v>
          </cell>
          <cell r="AZ71">
            <v>81.805182679729782</v>
          </cell>
          <cell r="BA71">
            <v>75.106901615642712</v>
          </cell>
          <cell r="BB71">
            <v>68.937078422324475</v>
          </cell>
          <cell r="BC71">
            <v>63.255005409657421</v>
          </cell>
          <cell r="BD71">
            <v>58.023060025411567</v>
          </cell>
          <cell r="BE71">
            <v>53.206473726514538</v>
          </cell>
          <cell r="BF71">
            <v>48.773118019635234</v>
          </cell>
          <cell r="BG71">
            <v>44.693306403730887</v>
          </cell>
          <cell r="BH71">
            <v>40.939611040315626</v>
          </cell>
          <cell r="BI71">
            <v>37.486693063495323</v>
          </cell>
          <cell r="BJ71">
            <v>34.311145521785996</v>
          </cell>
          <cell r="BK71">
            <v>31.391348017844663</v>
          </cell>
          <cell r="BL71">
            <v>28.707332180926379</v>
          </cell>
          <cell r="BM71">
            <v>26.240657170532931</v>
          </cell>
          <cell r="BN71">
            <v>23.974294468704887</v>
          </cell>
          <cell r="BO71">
            <v>21.892521273073651</v>
          </cell>
          <cell r="BP71">
            <v>19.980821853444318</v>
          </cell>
          <cell r="BQ71">
            <v>18.225796281623619</v>
          </cell>
          <cell r="BR71">
            <v>16.615075987703396</v>
          </cell>
          <cell r="BS71">
            <v>15.137245636319165</v>
          </cell>
          <cell r="BT71">
            <v>13.781770853751269</v>
          </cell>
          <cell r="BU71">
            <v>12.538931371344669</v>
          </cell>
          <cell r="BV71">
            <v>11.399759182789824</v>
          </cell>
          <cell r="BW71">
            <v>10.355981342519417</v>
          </cell>
          <cell r="BX71">
            <v>9.3999670600042808</v>
          </cell>
          <cell r="BY71">
            <v>8.5246787702385198</v>
          </cell>
          <cell r="BZ71">
            <v>7.7236268843348324</v>
          </cell>
          <cell r="CA71">
            <v>6.9908279460449778</v>
          </cell>
          <cell r="CB71">
            <v>6.3207659403036969</v>
          </cell>
          <cell r="CC71">
            <v>5.7083565186855898</v>
          </cell>
          <cell r="CD71">
            <v>5.1489139240723798</v>
          </cell>
          <cell r="CE71">
            <v>4.6381204129545104</v>
          </cell>
          <cell r="CF71">
            <v>4.1719979887297107</v>
          </cell>
          <cell r="CG71">
            <v>3.7468822731992919</v>
          </cell>
          <cell r="CH71">
            <v>3.3593983562809475</v>
          </cell>
          <cell r="CI71">
            <v>3.0064384758303158</v>
          </cell>
          <cell r="CJ71">
            <v>2.6851413904604762</v>
          </cell>
          <cell r="CK71">
            <v>2.3928733184349285</v>
          </cell>
          <cell r="CL71">
            <v>2.1272103251433285</v>
          </cell>
          <cell r="CM71">
            <v>1.8859220504070078</v>
          </cell>
          <cell r="CN71">
            <v>1.6669566749529641</v>
          </cell>
          <cell r="CO71">
            <v>1.4684270328892601</v>
          </cell>
          <cell r="CP71">
            <v>1.288597783954339</v>
          </cell>
          <cell r="CQ71">
            <v>1.1258735657396222</v>
          </cell>
          <cell r="CR71">
            <v>0.97878805203556341</v>
          </cell>
          <cell r="CS71">
            <v>0.84599384896185548</v>
          </cell>
          <cell r="CT71">
            <v>0.72625316564480935</v>
          </cell>
          <cell r="CU71">
            <v>0.61842920092916853</v>
          </cell>
          <cell r="CV71">
            <v>0.52147819198559953</v>
          </cell>
          <cell r="CW71">
            <v>0.43444207472476987</v>
          </cell>
          <cell r="CX71">
            <v>0.35644170967799255</v>
          </cell>
          <cell r="CY71">
            <v>0.28667063047518876</v>
          </cell>
          <cell r="CZ71">
            <v>0.22438927526391556</v>
          </cell>
          <cell r="DA71">
            <v>0.16891966438736125</v>
          </cell>
          <cell r="DB71">
            <v>0.11964049039231359</v>
          </cell>
          <cell r="DC71">
            <v>7.5982588986277702E-2</v>
          </cell>
          <cell r="DD71">
            <v>3.7424761921559815E-2</v>
          </cell>
          <cell r="DE71">
            <v>3.4899249669974861E-3</v>
          </cell>
          <cell r="DF71">
            <v>-2.6258443851720829E-2</v>
          </cell>
          <cell r="DG71">
            <v>-5.2219578692578664E-2</v>
          </cell>
          <cell r="DH71">
            <v>-7.4758444237854618E-2</v>
          </cell>
          <cell r="DI71">
            <v>-9.4208517553161467E-2</v>
          </cell>
          <cell r="DJ71">
            <v>-0.1108743516017288</v>
          </cell>
          <cell r="DK71">
            <v>-0.12503393718009259</v>
          </cell>
          <cell r="DL71">
            <v>-0.13694087877313046</v>
          </cell>
          <cell r="DM71">
            <v>-0.14682639865310354</v>
          </cell>
          <cell r="DN71">
            <v>-0.1549011824618601</v>
          </cell>
          <cell r="DO71">
            <v>-0.16135707851132414</v>
          </cell>
          <cell r="DP71">
            <v>-0.16636866210845841</v>
          </cell>
          <cell r="DQ71">
            <v>-0.17009467535184281</v>
          </cell>
          <cell r="DR71">
            <v>-0.1726793520522861</v>
          </cell>
          <cell r="DS71">
            <v>-0.17425363669503083</v>
          </cell>
          <cell r="DT71">
            <v>-0.17493630568138113</v>
          </cell>
          <cell r="DU71">
            <v>-0.17483499845908085</v>
          </cell>
          <cell r="DV71">
            <v>-0.17404716556956271</v>
          </cell>
          <cell r="DW71">
            <v>-0.17266094010278582</v>
          </cell>
          <cell r="DX71">
            <v>-0.17075593855351201</v>
          </cell>
          <cell r="DY71">
            <v>-0.16840399661350183</v>
          </cell>
          <cell r="DZ71">
            <v>-0.16566984500944434</v>
          </cell>
          <cell r="EA71">
            <v>-0.16261173010389449</v>
          </cell>
          <cell r="EB71">
            <v>-0.15928198361361989</v>
          </cell>
          <cell r="EC71">
            <v>-0.15572754546440593</v>
          </cell>
          <cell r="ED71">
            <v>-0.15199044349141852</v>
          </cell>
          <cell r="EE71">
            <v>-0.14810823340778809</v>
          </cell>
          <cell r="EF71">
            <v>-0.14411440219942098</v>
          </cell>
          <cell r="EG71">
            <v>-0.14003873785947557</v>
          </cell>
          <cell r="EH71">
            <v>-0.13590766815000224</v>
          </cell>
          <cell r="EI71">
            <v>-0.1317445708695161</v>
          </cell>
          <cell r="EJ71">
            <v>-0.12757005791245299</v>
          </cell>
          <cell r="EK71">
            <v>-0.12340223522835471</v>
          </cell>
          <cell r="EL71">
            <v>-0.11925694062415013</v>
          </cell>
          <cell r="EM71">
            <v>-0.11514796120098421</v>
          </cell>
          <cell r="EN71">
            <v>-0.11108723207677762</v>
          </cell>
          <cell r="EO71">
            <v>-0.10708501791618377</v>
          </cell>
          <cell r="EP71">
            <v>-0.1031500786700336</v>
          </cell>
          <cell r="EQ71">
            <v>-9.9289820815972568E-2</v>
          </cell>
          <cell r="ER71">
            <v>-9.5510435290113382E-2</v>
          </cell>
          <cell r="ES71">
            <v>-9.1817023205477258E-2</v>
          </cell>
          <cell r="ET71">
            <v>-8.8213710366224815E-2</v>
          </cell>
          <cell r="EU71">
            <v>-8.4703751506593233E-2</v>
          </cell>
          <cell r="EV71">
            <v>-8.1289625109578934E-2</v>
          </cell>
          <cell r="EW71">
            <v>-7.7973119592242138E-2</v>
          </cell>
          <cell r="EX71">
            <v>-7.4755411581646419E-2</v>
          </cell>
          <cell r="EY71">
            <v>-7.1637136947454397E-2</v>
          </cell>
          <cell r="EZ71">
            <v>-6.8618455203738049E-2</v>
          </cell>
          <cell r="FA71">
            <v>-6.5699107843253737E-2</v>
          </cell>
          <cell r="FB71">
            <v>-6.2878471121980029E-2</v>
          </cell>
          <cell r="FC71">
            <v>-6.0155603769817635E-2</v>
          </cell>
          <cell r="FD71">
            <v>-5.7529290064736553E-2</v>
          </cell>
          <cell r="FE71">
            <v>-5.4998078672067498E-2</v>
          </cell>
          <cell r="FF71">
            <v>-5.2560317617850322E-2</v>
          </cell>
          <cell r="FG71">
            <v>-5.0214185734943823E-2</v>
          </cell>
          <cell r="FH71">
            <v>-4.7957720892786292E-2</v>
          </cell>
          <cell r="FI71">
            <v>-4.5788845296070593E-2</v>
          </cell>
          <cell r="FJ71">
            <v>-4.3705388114010701E-2</v>
          </cell>
          <cell r="FK71">
            <v>-4.1705105680158783E-2</v>
          </cell>
          <cell r="FL71">
            <v>-3.9785699482745386E-2</v>
          </cell>
          <cell r="FM71">
            <v>-3.7944832147117802E-2</v>
          </cell>
          <cell r="FN71">
            <v>-3.6180141594934316E-2</v>
          </cell>
          <cell r="FO71">
            <v>-3.4489253549198413E-2</v>
          </cell>
          <cell r="FP71">
            <v>-3.2869792539907329E-2</v>
          </cell>
          <cell r="FQ71">
            <v>-3.1319391551921191E-2</v>
          </cell>
          <cell r="FR71">
            <v>-2.9835700444562324E-2</v>
          </cell>
          <cell r="FS71">
            <v>-2.8416393261332065E-2</v>
          </cell>
          <cell r="FT71">
            <v>-2.7059174537916949E-2</v>
          </cell>
          <cell r="FU71">
            <v>-2.5761784707269707E-2</v>
          </cell>
          <cell r="FV71">
            <v>-2.4522004691933684E-2</v>
          </cell>
          <cell r="FW71">
            <v>-2.333765976586584E-2</v>
          </cell>
          <cell r="FX71">
            <v>-2.2206622760753039E-2</v>
          </cell>
          <cell r="FY71">
            <v>-2.1126816685153184E-2</v>
          </cell>
          <cell r="FZ71">
            <v>-2.0096216818681688E-2</v>
          </cell>
          <cell r="GA71">
            <v>-1.9112852337860618E-2</v>
          </cell>
          <cell r="GB71">
            <v>-1.8174807525111161E-2</v>
          </cell>
          <cell r="GC71">
            <v>-1.7280222607664385E-2</v>
          </cell>
          <cell r="GD71">
            <v>-1.6427294268854375E-2</v>
          </cell>
          <cell r="GE71">
            <v>-1.5614275870310213E-2</v>
          </cell>
          <cell r="GF71">
            <v>-1.4839477419952537E-2</v>
          </cell>
          <cell r="GG71">
            <v>-1.410126531739374E-2</v>
          </cell>
          <cell r="GH71">
            <v>-1.3398061905320578E-2</v>
          </cell>
          <cell r="GI71">
            <v>-1.2728344852674685E-2</v>
          </cell>
          <cell r="GJ71">
            <v>-1.2090646392923647E-2</v>
          </cell>
          <cell r="GK71">
            <v>-1.1483552438410585E-2</v>
          </cell>
          <cell r="GL71">
            <v>-1.090570158966785E-2</v>
          </cell>
          <cell r="GM71">
            <v>-1.035578405666202E-2</v>
          </cell>
          <cell r="GN71">
            <v>-9.8325405071888056E-3</v>
          </cell>
          <cell r="GO71">
            <v>-9.3347608560439953E-3</v>
          </cell>
          <cell r="GP71">
            <v>-8.8612830071461389E-3</v>
          </cell>
          <cell r="GQ71">
            <v>-8.4109915594672447E-3</v>
          </cell>
          <cell r="GR71">
            <v>-7.9828164864287482E-3</v>
          </cell>
          <cell r="GS71">
            <v>-7.5757317973300271E-3</v>
          </cell>
          <cell r="GT71">
            <v>-7.1887541883882255E-3</v>
          </cell>
          <cell r="GU71">
            <v>-6.8209416900709974E-3</v>
          </cell>
          <cell r="GV71">
            <v>-6.4713923165916221E-3</v>
          </cell>
          <cell r="GW71">
            <v>-6.1392427227004789E-3</v>
          </cell>
          <cell r="GX71">
            <v>-5.8236668722418117E-3</v>
          </cell>
          <cell r="GY71">
            <v>-5.5238747223446683E-3</v>
          </cell>
          <cell r="GZ71">
            <v>-5.2391109265750944E-3</v>
          </cell>
          <cell r="HA71">
            <v>-4.968653559888926E-3</v>
          </cell>
          <cell r="HB71">
            <v>-4.711812867785793E-3</v>
          </cell>
          <cell r="HC71">
            <v>-4.4679300416708796E-3</v>
          </cell>
          <cell r="HD71">
            <v>-4.2363760220777476E-3</v>
          </cell>
          <cell r="HE71">
            <v>-4.0165503310892843E-3</v>
          </cell>
          <cell r="HF71">
            <v>-3.8078799350116182E-3</v>
          </cell>
          <cell r="HG71">
            <v>-3.6098181381041487E-3</v>
          </cell>
          <cell r="HH71">
            <v>-3.4218435079451308E-3</v>
          </cell>
          <cell r="HI71">
            <v>-3.2434588328141101E-3</v>
          </cell>
          <cell r="HJ71">
            <v>-3.0741901112970476E-3</v>
          </cell>
          <cell r="HK71">
            <v>-2.9135855741657382E-3</v>
          </cell>
          <cell r="HL71">
            <v>-2.761214738447568E-3</v>
          </cell>
          <cell r="HM71">
            <v>-2.6166674934833094E-3</v>
          </cell>
          <cell r="HN71">
            <v>-2.4795532186677564E-3</v>
          </cell>
          <cell r="HO71">
            <v>-2.3494999324790598E-3</v>
          </cell>
          <cell r="HP71">
            <v>-2.22615347232624E-3</v>
          </cell>
          <cell r="HQ71">
            <v>-2.1091767046794228E-3</v>
          </cell>
          <cell r="HR71">
            <v>-1.9982487648924118E-3</v>
          </cell>
          <cell r="HS71">
            <v>-1.8930643260816305E-3</v>
          </cell>
          <cell r="HT71">
            <v>-1.7933328963879362E-3</v>
          </cell>
          <cell r="HU71">
            <v>-1.6987781439177048E-3</v>
          </cell>
          <cell r="HV71">
            <v>-1.6091372486359624E-3</v>
          </cell>
          <cell r="HW71">
            <v>-1.5241602804666136E-3</v>
          </cell>
          <cell r="HX71">
            <v>-1.4436096028421896E-3</v>
          </cell>
          <cell r="HY71">
            <v>-1.3672593009375752E-3</v>
          </cell>
          <cell r="HZ71">
            <v>-1.2948946338182312E-3</v>
          </cell>
          <cell r="IA71">
            <v>-1.2263115097330378E-3</v>
          </cell>
          <cell r="IB71">
            <v>-1.161315983784641E-3</v>
          </cell>
          <cell r="IC71">
            <v>-1.0997237772156611E-3</v>
          </cell>
          <cell r="ID71">
            <v>-1.0413598175569839E-3</v>
          </cell>
          <cell r="IE71">
            <v>-9.8605779889420842E-4</v>
          </cell>
          <cell r="IF71">
            <v>-9.336597615200176E-4</v>
          </cell>
          <cell r="IG71">
            <v>-8.8401569025331841E-4</v>
          </cell>
          <cell r="IH71">
            <v>-8.3698313072040175E-4</v>
          </cell>
          <cell r="II71">
            <v>-7.9242682290880787E-4</v>
          </cell>
          <cell r="IJ71">
            <v>-7.5021835132079925E-4</v>
          </cell>
          <cell r="IK71">
            <v>-7.1023581107034688E-4</v>
          </cell>
          <cell r="IL71">
            <v>-6.7236348928495753E-4</v>
          </cell>
          <cell r="IM71">
            <v>-6.3649156119156792E-4</v>
          </cell>
          <cell r="IN71">
            <v>-6.0251580028384091E-4</v>
          </cell>
          <cell r="IO71">
            <v>-5.7033730198651855E-4</v>
          </cell>
          <cell r="IP71">
            <v>-5.3986222025083244E-4</v>
          </cell>
          <cell r="IQ71">
            <v>-5.1100151653336065E-4</v>
          </cell>
          <cell r="IR71">
            <v>-4.8367072062897767E-4</v>
          </cell>
        </row>
        <row r="73">
          <cell r="B73" t="str">
            <v>Financing and Other</v>
          </cell>
        </row>
        <row r="74">
          <cell r="B74" t="str">
            <v>Net financial expense (income)</v>
          </cell>
          <cell r="C74">
            <v>520.923</v>
          </cell>
          <cell r="D74">
            <v>498.834</v>
          </cell>
          <cell r="E74">
            <v>469.63558811764676</v>
          </cell>
          <cell r="F74">
            <v>448.58364816456213</v>
          </cell>
          <cell r="G74">
            <v>434.18863712338702</v>
          </cell>
          <cell r="H74">
            <v>336.07625227634821</v>
          </cell>
          <cell r="I74">
            <v>183.75893810331752</v>
          </cell>
          <cell r="J74">
            <v>114.9242863913278</v>
          </cell>
          <cell r="K74">
            <v>37.486742441154433</v>
          </cell>
          <cell r="L74">
            <v>-43.868588253392559</v>
          </cell>
          <cell r="M74">
            <v>-235.95530593573076</v>
          </cell>
          <cell r="N74">
            <v>-46.849133841961752</v>
          </cell>
          <cell r="O74">
            <v>112.54009391086436</v>
          </cell>
          <cell r="P74">
            <v>245.12293893642126</v>
          </cell>
          <cell r="Q74">
            <v>357.03966204251611</v>
          </cell>
          <cell r="R74">
            <v>454.43113322395413</v>
          </cell>
          <cell r="S74">
            <v>488.12244971045561</v>
          </cell>
          <cell r="T74">
            <v>501.62171054247716</v>
          </cell>
          <cell r="U74">
            <v>515.43810007887885</v>
          </cell>
          <cell r="V74">
            <v>529.5775051813049</v>
          </cell>
          <cell r="W74">
            <v>544.04591972017829</v>
          </cell>
          <cell r="X74">
            <v>558.84944751869887</v>
          </cell>
          <cell r="Y74">
            <v>573.99430534070882</v>
          </cell>
          <cell r="Z74">
            <v>589.4868259218016</v>
          </cell>
          <cell r="AA74">
            <v>605.3334610432064</v>
          </cell>
          <cell r="AB74">
            <v>621.5407846481238</v>
          </cell>
          <cell r="AC74">
            <v>638.11549600034823</v>
          </cell>
          <cell r="AD74">
            <v>655.06442288514302</v>
          </cell>
          <cell r="AE74">
            <v>672.39452485248546</v>
          </cell>
          <cell r="AF74">
            <v>690.11289650293361</v>
          </cell>
          <cell r="AG74">
            <v>708.22677081649556</v>
          </cell>
          <cell r="AH74">
            <v>726.74352252501421</v>
          </cell>
          <cell r="AI74">
            <v>745.67067152869799</v>
          </cell>
          <cell r="AJ74">
            <v>765.01588635754774</v>
          </cell>
          <cell r="AK74">
            <v>784.78698767854291</v>
          </cell>
          <cell r="AL74">
            <v>804.99195184954624</v>
          </cell>
          <cell r="AM74">
            <v>825.63891452100358</v>
          </cell>
          <cell r="AN74">
            <v>846.73617428659361</v>
          </cell>
          <cell r="AO74">
            <v>868.29219638408051</v>
          </cell>
          <cell r="AP74">
            <v>890.31561644770932</v>
          </cell>
          <cell r="AQ74">
            <v>912.81524431355581</v>
          </cell>
          <cell r="AR74">
            <v>935.80006787932541</v>
          </cell>
          <cell r="AS74">
            <v>959.27925702016125</v>
          </cell>
          <cell r="AT74">
            <v>983.26216756209067</v>
          </cell>
          <cell r="AU74">
            <v>1007.7583453148003</v>
          </cell>
          <cell r="AV74">
            <v>1032.7775301654897</v>
          </cell>
          <cell r="AW74">
            <v>1058.3296602356088</v>
          </cell>
          <cell r="AX74">
            <v>1084.4248761023323</v>
          </cell>
          <cell r="AY74">
            <v>1111.0735250866846</v>
          </cell>
          <cell r="AZ74">
            <v>1138.2861656102591</v>
          </cell>
          <cell r="BA74">
            <v>1166.0735716225342</v>
          </cell>
          <cell r="BB74">
            <v>1194.446737100822</v>
          </cell>
          <cell r="BC74">
            <v>1223.4168806249322</v>
          </cell>
          <cell r="BD74">
            <v>1252.9954500286624</v>
          </cell>
          <cell r="BE74">
            <v>1283.1941271302746</v>
          </cell>
          <cell r="BF74">
            <v>1314.0248325441478</v>
          </cell>
          <cell r="BG74">
            <v>1345.4997305758245</v>
          </cell>
          <cell r="BH74">
            <v>1377.6312342027252</v>
          </cell>
          <cell r="BI74">
            <v>1410.4320101428038</v>
          </cell>
          <cell r="BJ74">
            <v>1443.9149840134901</v>
          </cell>
          <cell r="BK74">
            <v>1478.093345583259</v>
          </cell>
          <cell r="BL74">
            <v>1512.9805541182334</v>
          </cell>
          <cell r="BM74">
            <v>1548.5903438262337</v>
          </cell>
          <cell r="BN74">
            <v>1584.936729400732</v>
          </cell>
          <cell r="BO74">
            <v>1622.0340116672062</v>
          </cell>
          <cell r="BP74">
            <v>1659.8967833344116</v>
          </cell>
          <cell r="BQ74">
            <v>1698.5399348531273</v>
          </cell>
          <cell r="BR74">
            <v>1737.9786603849702</v>
          </cell>
          <cell r="BS74">
            <v>1778.2284638839037</v>
          </cell>
          <cell r="BT74">
            <v>1819.3051652931049</v>
          </cell>
          <cell r="BU74">
            <v>1861.2249068598828</v>
          </cell>
          <cell r="BV74">
            <v>1904.004159571396</v>
          </cell>
          <cell r="BW74">
            <v>1947.6597297139397</v>
          </cell>
          <cell r="BX74">
            <v>1992.2087655586158</v>
          </cell>
          <cell r="BY74">
            <v>2037.6687641762544</v>
          </cell>
          <cell r="BZ74">
            <v>2084.0575783844647</v>
          </cell>
          <cell r="CA74">
            <v>2131.3934238297893</v>
          </cell>
          <cell r="CB74">
            <v>2179.6948862079203</v>
          </cell>
          <cell r="CC74">
            <v>2228.9809286250215</v>
          </cell>
          <cell r="CD74">
            <v>2279.2708991032455</v>
          </cell>
          <cell r="CE74">
            <v>2330.5845382335606</v>
          </cell>
          <cell r="CF74">
            <v>2382.9419869790786</v>
          </cell>
          <cell r="CG74">
            <v>2436.3637946320982</v>
          </cell>
          <cell r="CH74">
            <v>2490.8709269281785</v>
          </cell>
          <cell r="CI74">
            <v>2546.4847743205387</v>
          </cell>
          <cell r="CJ74">
            <v>2603.2271604182174</v>
          </cell>
          <cell r="CK74">
            <v>2661.120350591415</v>
          </cell>
          <cell r="CL74">
            <v>2720.1870607475457</v>
          </cell>
          <cell r="CM74">
            <v>2780.4504662815689</v>
          </cell>
          <cell r="CN74">
            <v>2841.9342112042241</v>
          </cell>
          <cell r="CO74">
            <v>2904.6624174518784</v>
          </cell>
          <cell r="CP74">
            <v>2968.6596943817426</v>
          </cell>
          <cell r="CQ74">
            <v>3033.951148456289</v>
          </cell>
          <cell r="CR74">
            <v>3100.5623931207756</v>
          </cell>
          <cell r="CS74">
            <v>3168.5195588778388</v>
          </cell>
          <cell r="CT74">
            <v>3237.8493035631955</v>
          </cell>
          <cell r="CU74">
            <v>3308.5788228265897</v>
          </cell>
          <cell r="CV74">
            <v>3380.7358608221543</v>
          </cell>
          <cell r="CW74">
            <v>3454.3487211124752</v>
          </cell>
          <cell r="CX74">
            <v>3529.4462777907061</v>
          </cell>
          <cell r="CY74">
            <v>3606.0579868251561</v>
          </cell>
          <cell r="CZ74">
            <v>3684.2138976308825</v>
          </cell>
          <cell r="DA74">
            <v>3763.9446648728863</v>
          </cell>
          <cell r="DB74">
            <v>3845.2815605055862</v>
          </cell>
          <cell r="DC74">
            <v>3928.2564860533671</v>
          </cell>
          <cell r="DD74">
            <v>4012.9019851370799</v>
          </cell>
          <cell r="DE74">
            <v>4099.2512562514194</v>
          </cell>
          <cell r="DF74">
            <v>4187.3381657982854</v>
          </cell>
          <cell r="DG74">
            <v>4277.1972613812695</v>
          </cell>
          <cell r="DH74">
            <v>4368.8637853664904</v>
          </cell>
          <cell r="DI74">
            <v>4462.3736887152081</v>
          </cell>
          <cell r="DJ74">
            <v>4557.7636450936125</v>
          </cell>
          <cell r="DK74">
            <v>4655.0710652653906</v>
          </cell>
          <cell r="DL74">
            <v>4754.3341117727596</v>
          </cell>
          <cell r="DM74">
            <v>4855.5917139117209</v>
          </cell>
          <cell r="DN74">
            <v>4958.8835830074886</v>
          </cell>
          <cell r="DO74">
            <v>5064.2502279960681</v>
          </cell>
          <cell r="DP74">
            <v>5171.7329713181452</v>
          </cell>
          <cell r="DQ74">
            <v>5281.3739651315482</v>
          </cell>
          <cell r="DR74">
            <v>5393.2162078486544</v>
          </cell>
          <cell r="DS74">
            <v>5507.3035610052575</v>
          </cell>
          <cell r="DT74">
            <v>5623.6807664675352</v>
          </cell>
          <cell r="DU74">
            <v>5742.3934639838826</v>
          </cell>
          <cell r="DV74">
            <v>5863.4882090885058</v>
          </cell>
          <cell r="DW74">
            <v>5987.0124913638456</v>
          </cell>
          <cell r="DX74">
            <v>6113.014753068971</v>
          </cell>
          <cell r="DY74">
            <v>6241.5444081412988</v>
          </cell>
          <cell r="DZ74">
            <v>6372.6518615790865</v>
          </cell>
          <cell r="EA74">
            <v>6506.3885292123241</v>
          </cell>
          <cell r="EB74">
            <v>6642.8068578697803</v>
          </cell>
          <cell r="EC74">
            <v>6781.9603459501614</v>
          </cell>
          <cell r="ED74">
            <v>6923.9035644054002</v>
          </cell>
          <cell r="EE74">
            <v>7068.6921781443789</v>
          </cell>
          <cell r="EF74">
            <v>7216.3829678654574</v>
          </cell>
          <cell r="EG74">
            <v>7367.0338523263799</v>
          </cell>
          <cell r="EH74">
            <v>7520.7039110603146</v>
          </cell>
          <cell r="EI74">
            <v>7677.4534075469392</v>
          </cell>
          <cell r="EJ74">
            <v>7837.3438128476719</v>
          </cell>
          <cell r="EK74">
            <v>8000.4378297143076</v>
          </cell>
          <cell r="EL74">
            <v>8166.7994171805594</v>
          </cell>
          <cell r="EM74">
            <v>8336.4938156461048</v>
          </cell>
          <cell r="EN74">
            <v>8509.5875724630387</v>
          </cell>
          <cell r="EO74">
            <v>8686.1485680347105</v>
          </cell>
          <cell r="EP74">
            <v>8866.246042437253</v>
          </cell>
          <cell r="EQ74">
            <v>9049.9506225742007</v>
          </cell>
          <cell r="ER74">
            <v>9237.3343498748582</v>
          </cell>
          <cell r="ES74">
            <v>9428.4707085473165</v>
          </cell>
          <cell r="ET74">
            <v>9623.4346543971678</v>
          </cell>
          <cell r="EU74">
            <v>9822.3026442232385</v>
          </cell>
          <cell r="EV74">
            <v>10025.152665801877</v>
          </cell>
          <cell r="EW74">
            <v>10232.064268471542</v>
          </cell>
          <cell r="EX74">
            <v>10443.11859432973</v>
          </cell>
          <cell r="EY74">
            <v>10658.398410054417</v>
          </cell>
          <cell r="EZ74">
            <v>10877.98813936256</v>
          </cell>
          <cell r="FA74">
            <v>11101.973896118347</v>
          </cell>
          <cell r="FB74">
            <v>11330.443518104183</v>
          </cell>
          <cell r="FC74">
            <v>11563.486601467723</v>
          </cell>
          <cell r="FD74">
            <v>11801.194535858351</v>
          </cell>
          <cell r="FE74">
            <v>12043.660540267005</v>
          </cell>
          <cell r="FF74">
            <v>12290.979699583291</v>
          </cell>
          <cell r="FG74">
            <v>12543.24900188434</v>
          </cell>
          <cell r="FH74">
            <v>12800.56737646996</v>
          </cell>
          <cell r="FI74">
            <v>13063.035732658975</v>
          </cell>
          <cell r="FJ74">
            <v>13330.756999362069</v>
          </cell>
          <cell r="FK74">
            <v>13603.836165446564</v>
          </cell>
          <cell r="FL74">
            <v>13882.380320909006</v>
          </cell>
          <cell r="FM74">
            <v>14166.498698871661</v>
          </cell>
          <cell r="FN74">
            <v>14456.302718419509</v>
          </cell>
          <cell r="FO74">
            <v>14751.906028294363</v>
          </cell>
          <cell r="FP74">
            <v>15053.424551463373</v>
          </cell>
          <cell r="FQ74">
            <v>15360.976530579401</v>
          </cell>
          <cell r="FR74">
            <v>15674.682574351</v>
          </cell>
          <cell r="FS74">
            <v>15994.665704840261</v>
          </cell>
          <cell r="FT74">
            <v>16321.051405707072</v>
          </cell>
          <cell r="FU74">
            <v>16653.967671418639</v>
          </cell>
          <cell r="FV74">
            <v>16993.545057443705</v>
          </cell>
          <cell r="FW74">
            <v>17339.916731450994</v>
          </cell>
          <cell r="FX74">
            <v>17693.218525532055</v>
          </cell>
          <cell r="FY74">
            <v>18053.588989468994</v>
          </cell>
          <cell r="FZ74">
            <v>18421.169445067902</v>
          </cell>
          <cell r="GA74">
            <v>18796.10404157939</v>
          </cell>
          <cell r="GB74">
            <v>19178.539812227878</v>
          </cell>
          <cell r="GC74">
            <v>19568.626731871838</v>
          </cell>
          <cell r="GD74">
            <v>19966.517775817687</v>
          </cell>
          <cell r="GE74">
            <v>20372.368979810188</v>
          </cell>
          <cell r="GF74">
            <v>20786.339501223141</v>
          </cell>
          <cell r="GG74">
            <v>21208.591681474132</v>
          </cell>
          <cell r="GH74">
            <v>21639.291109687991</v>
          </cell>
          <cell r="GI74">
            <v>22078.606687633815</v>
          </cell>
          <cell r="GJ74">
            <v>22526.710695961072</v>
          </cell>
          <cell r="GK74">
            <v>22983.778861760748</v>
          </cell>
          <cell r="GL74">
            <v>23449.990427478046</v>
          </cell>
          <cell r="GM74">
            <v>23925.528221203607</v>
          </cell>
          <cell r="GN74">
            <v>24410.578728370925</v>
          </cell>
          <cell r="GO74">
            <v>24905.332164887943</v>
          </cell>
          <cell r="GP74">
            <v>25409.982551731646</v>
          </cell>
          <cell r="GQ74">
            <v>25924.727791034737</v>
          </cell>
          <cell r="GR74">
            <v>26449.769743694458</v>
          </cell>
          <cell r="GS74">
            <v>26985.314308533747</v>
          </cell>
          <cell r="GT74">
            <v>27531.571503045932</v>
          </cell>
          <cell r="GU74">
            <v>28088.75554575463</v>
          </cell>
          <cell r="GV74">
            <v>28657.084940221033</v>
          </cell>
          <cell r="GW74">
            <v>29236.782560731655</v>
          </cell>
          <cell r="GX74">
            <v>29828.07573970006</v>
          </cell>
          <cell r="GY74">
            <v>30431.196356816836</v>
          </cell>
          <cell r="GZ74">
            <v>31046.380929982926</v>
          </cell>
          <cell r="HA74">
            <v>31673.870708061717</v>
          </cell>
          <cell r="HB74">
            <v>32313.911765486508</v>
          </cell>
          <cell r="HC74">
            <v>32966.755098760332</v>
          </cell>
          <cell r="HD74">
            <v>33632.656724885986</v>
          </cell>
          <cell r="HE74">
            <v>34311.877781764873</v>
          </cell>
          <cell r="HF74">
            <v>35004.684630604075</v>
          </cell>
          <cell r="HG74">
            <v>35711.348960371746</v>
          </cell>
          <cell r="HH74">
            <v>36432.147894341819</v>
          </cell>
          <cell r="HI74">
            <v>37167.364098769882</v>
          </cell>
          <cell r="HJ74">
            <v>37917.285893742628</v>
          </cell>
          <cell r="HK74">
            <v>38682.207366244664</v>
          </cell>
          <cell r="HL74">
            <v>39462.428485486693</v>
          </cell>
          <cell r="HM74">
            <v>40258.255220540566</v>
          </cell>
          <cell r="HN74">
            <v>41069.99966032715</v>
          </cell>
          <cell r="HO74">
            <v>41897.980136004182</v>
          </cell>
          <cell r="HP74">
            <v>42742.521345801979</v>
          </cell>
          <cell r="HQ74">
            <v>43603.954482356181</v>
          </cell>
          <cell r="HR74">
            <v>44482.617362587123</v>
          </cell>
          <cell r="HS74">
            <v>45378.854560177184</v>
          </cell>
          <cell r="HT74">
            <v>46293.017540697656</v>
          </cell>
          <cell r="HU74">
            <v>47225.464799438421</v>
          </cell>
          <cell r="HV74">
            <v>48176.562001994367</v>
          </cell>
          <cell r="HW74">
            <v>49146.682127663618</v>
          </cell>
          <cell r="HX74">
            <v>50136.20561571401</v>
          </cell>
          <cell r="HY74">
            <v>51145.520514574884</v>
          </cell>
          <cell r="HZ74">
            <v>52175.022634013054</v>
          </cell>
          <cell r="IA74">
            <v>53225.115700352275</v>
          </cell>
          <cell r="IB74">
            <v>54296.211514797222</v>
          </cell>
          <cell r="IC74">
            <v>55388.730114924365</v>
          </cell>
          <cell r="ID74">
            <v>56503.099939402375</v>
          </cell>
          <cell r="IE74">
            <v>57639.757996007451</v>
          </cell>
          <cell r="IF74">
            <v>58799.150032998856</v>
          </cell>
          <cell r="IG74">
            <v>59981.730713922181</v>
          </cell>
          <cell r="IH74">
            <v>61187.963795908785</v>
          </cell>
          <cell r="II74">
            <v>62418.322311541306</v>
          </cell>
          <cell r="IJ74">
            <v>63673.28875435669</v>
          </cell>
          <cell r="IK74">
            <v>64953.355268059298</v>
          </cell>
          <cell r="IL74">
            <v>66259.023839518544</v>
          </cell>
          <cell r="IM74">
            <v>67590.806495626297</v>
          </cell>
          <cell r="IN74">
            <v>68949.22550409197</v>
          </cell>
          <cell r="IO74">
            <v>70334.813578253263</v>
          </cell>
          <cell r="IP74">
            <v>71748.114085983354</v>
          </cell>
          <cell r="IQ74">
            <v>73189.681262776387</v>
          </cell>
          <cell r="IR74">
            <v>74660.080429094771</v>
          </cell>
        </row>
        <row r="75">
          <cell r="B75" t="str">
            <v>Other nonoperating expense (income)</v>
          </cell>
          <cell r="C75">
            <v>-119.17599999999993</v>
          </cell>
          <cell r="D75">
            <v>-24.794000000000096</v>
          </cell>
          <cell r="E75">
            <v>-116.55621745474832</v>
          </cell>
          <cell r="F75">
            <v>-187.88029880040199</v>
          </cell>
          <cell r="G75">
            <v>-206.91556172599326</v>
          </cell>
          <cell r="H75">
            <v>-211.40921135084818</v>
          </cell>
          <cell r="I75">
            <v>-236.40761433465696</v>
          </cell>
          <cell r="J75">
            <v>-241.37941629174338</v>
          </cell>
          <cell r="K75">
            <v>-267.56379344754487</v>
          </cell>
          <cell r="L75">
            <v>-306.59938322046264</v>
          </cell>
          <cell r="M75">
            <v>-306.59938322046264</v>
          </cell>
          <cell r="N75">
            <v>-306.59938322046264</v>
          </cell>
          <cell r="O75">
            <v>-306.59938322046264</v>
          </cell>
          <cell r="P75">
            <v>-306.59938322046264</v>
          </cell>
          <cell r="Q75">
            <v>-306.59938322046264</v>
          </cell>
          <cell r="R75">
            <v>-306.59938322046264</v>
          </cell>
          <cell r="S75">
            <v>-306.59938322046264</v>
          </cell>
          <cell r="T75">
            <v>-306.59938322046264</v>
          </cell>
          <cell r="U75">
            <v>-306.59938322046264</v>
          </cell>
          <cell r="V75">
            <v>-306.59938322046264</v>
          </cell>
          <cell r="W75">
            <v>-306.59938322046264</v>
          </cell>
          <cell r="X75">
            <v>-306.59938322046264</v>
          </cell>
          <cell r="Y75">
            <v>-306.59938322046264</v>
          </cell>
          <cell r="Z75">
            <v>-306.59938322046264</v>
          </cell>
          <cell r="AA75">
            <v>-306.59938322046264</v>
          </cell>
          <cell r="AB75">
            <v>-306.59938322046264</v>
          </cell>
          <cell r="AC75">
            <v>-306.59938322046264</v>
          </cell>
          <cell r="AD75">
            <v>-306.59938322046264</v>
          </cell>
          <cell r="AE75">
            <v>-306.59938322046264</v>
          </cell>
          <cell r="AF75">
            <v>-306.59938322046264</v>
          </cell>
          <cell r="AG75">
            <v>-306.59938322046264</v>
          </cell>
          <cell r="AH75">
            <v>-306.59938322046264</v>
          </cell>
          <cell r="AI75">
            <v>-306.59938322046264</v>
          </cell>
          <cell r="AJ75">
            <v>-306.59938322046264</v>
          </cell>
          <cell r="AK75">
            <v>-306.59938322046264</v>
          </cell>
          <cell r="AL75">
            <v>-306.59938322046264</v>
          </cell>
          <cell r="AM75">
            <v>-306.59938322046264</v>
          </cell>
          <cell r="AN75">
            <v>-306.59938322046264</v>
          </cell>
          <cell r="AO75">
            <v>-306.59938322046264</v>
          </cell>
          <cell r="AP75">
            <v>-306.59938322046264</v>
          </cell>
          <cell r="AQ75">
            <v>-306.59938322046264</v>
          </cell>
          <cell r="AR75">
            <v>-306.59938322046264</v>
          </cell>
          <cell r="AS75">
            <v>-306.59938322046264</v>
          </cell>
          <cell r="AT75">
            <v>-306.59938322046264</v>
          </cell>
          <cell r="AU75">
            <v>-306.59938322046264</v>
          </cell>
          <cell r="AV75">
            <v>-306.59938322046264</v>
          </cell>
          <cell r="AW75">
            <v>-306.59938322046264</v>
          </cell>
          <cell r="AX75">
            <v>-306.59938322046264</v>
          </cell>
          <cell r="AY75">
            <v>-306.59938322046264</v>
          </cell>
          <cell r="AZ75">
            <v>-306.59938322046264</v>
          </cell>
          <cell r="BA75">
            <v>-306.59938322046264</v>
          </cell>
          <cell r="BB75">
            <v>-306.59938322046264</v>
          </cell>
          <cell r="BC75">
            <v>-306.59938322046264</v>
          </cell>
          <cell r="BD75">
            <v>-306.59938322046264</v>
          </cell>
          <cell r="BE75">
            <v>-306.59938322046264</v>
          </cell>
          <cell r="BF75">
            <v>-306.59938322046264</v>
          </cell>
          <cell r="BG75">
            <v>-306.59938322046264</v>
          </cell>
          <cell r="BH75">
            <v>-306.59938322046264</v>
          </cell>
          <cell r="BI75">
            <v>-306.59938322046264</v>
          </cell>
          <cell r="BJ75">
            <v>-306.59938322046264</v>
          </cell>
          <cell r="BK75">
            <v>-306.59938322046264</v>
          </cell>
          <cell r="BL75">
            <v>-306.59938322046264</v>
          </cell>
          <cell r="BM75">
            <v>-306.59938322046264</v>
          </cell>
          <cell r="BN75">
            <v>-306.59938322046264</v>
          </cell>
          <cell r="BO75">
            <v>-306.59938322046264</v>
          </cell>
          <cell r="BP75">
            <v>-306.59938322046264</v>
          </cell>
          <cell r="BQ75">
            <v>-306.59938322046264</v>
          </cell>
          <cell r="BR75">
            <v>-306.59938322046264</v>
          </cell>
          <cell r="BS75">
            <v>-306.59938322046264</v>
          </cell>
          <cell r="BT75">
            <v>-306.59938322046264</v>
          </cell>
          <cell r="BU75">
            <v>-306.59938322046264</v>
          </cell>
          <cell r="BV75">
            <v>-306.59938322046264</v>
          </cell>
          <cell r="BW75">
            <v>-306.59938322046264</v>
          </cell>
          <cell r="BX75">
            <v>-306.59938322046264</v>
          </cell>
          <cell r="BY75">
            <v>-306.59938322046264</v>
          </cell>
          <cell r="BZ75">
            <v>-306.59938322046264</v>
          </cell>
          <cell r="CA75">
            <v>-306.59938322046264</v>
          </cell>
          <cell r="CB75">
            <v>-306.59938322046264</v>
          </cell>
          <cell r="CC75">
            <v>-306.59938322046264</v>
          </cell>
          <cell r="CD75">
            <v>-306.59938322046264</v>
          </cell>
          <cell r="CE75">
            <v>-306.59938322046264</v>
          </cell>
          <cell r="CF75">
            <v>-306.59938322046264</v>
          </cell>
          <cell r="CG75">
            <v>-306.59938322046264</v>
          </cell>
          <cell r="CH75">
            <v>-306.59938322046264</v>
          </cell>
          <cell r="CI75">
            <v>-306.59938322046264</v>
          </cell>
          <cell r="CJ75">
            <v>-306.59938322046264</v>
          </cell>
          <cell r="CK75">
            <v>-306.59938322046264</v>
          </cell>
          <cell r="CL75">
            <v>-306.59938322046264</v>
          </cell>
          <cell r="CM75">
            <v>-306.59938322046264</v>
          </cell>
          <cell r="CN75">
            <v>-306.59938322046264</v>
          </cell>
          <cell r="CO75">
            <v>-306.59938322046264</v>
          </cell>
          <cell r="CP75">
            <v>-306.59938322046264</v>
          </cell>
          <cell r="CQ75">
            <v>-306.59938322046264</v>
          </cell>
          <cell r="CR75">
            <v>-306.59938322046264</v>
          </cell>
          <cell r="CS75">
            <v>-306.59938322046264</v>
          </cell>
          <cell r="CT75">
            <v>-306.59938322046264</v>
          </cell>
          <cell r="CU75">
            <v>-306.59938322046264</v>
          </cell>
          <cell r="CV75">
            <v>-306.59938322046264</v>
          </cell>
          <cell r="CW75">
            <v>-306.59938322046264</v>
          </cell>
          <cell r="CX75">
            <v>-306.59938322046264</v>
          </cell>
          <cell r="CY75">
            <v>-306.59938322046264</v>
          </cell>
          <cell r="CZ75">
            <v>-306.59938322046264</v>
          </cell>
          <cell r="DA75">
            <v>-306.59938322046264</v>
          </cell>
          <cell r="DB75">
            <v>-306.59938322046264</v>
          </cell>
          <cell r="DC75">
            <v>-306.59938322046264</v>
          </cell>
          <cell r="DD75">
            <v>-306.59938322046264</v>
          </cell>
          <cell r="DE75">
            <v>-306.59938322046264</v>
          </cell>
          <cell r="DF75">
            <v>-306.59938322046264</v>
          </cell>
          <cell r="DG75">
            <v>-306.59938322046264</v>
          </cell>
          <cell r="DH75">
            <v>-306.59938322046264</v>
          </cell>
          <cell r="DI75">
            <v>-306.59938322046264</v>
          </cell>
          <cell r="DJ75">
            <v>-306.59938322046264</v>
          </cell>
          <cell r="DK75">
            <v>-306.59938322046264</v>
          </cell>
          <cell r="DL75">
            <v>-306.59938322046264</v>
          </cell>
          <cell r="DM75">
            <v>-306.59938322046264</v>
          </cell>
          <cell r="DN75">
            <v>-306.59938322046264</v>
          </cell>
          <cell r="DO75">
            <v>-306.59938322046264</v>
          </cell>
          <cell r="DP75">
            <v>-306.59938322046264</v>
          </cell>
          <cell r="DQ75">
            <v>-306.59938322046264</v>
          </cell>
          <cell r="DR75">
            <v>-306.59938322046264</v>
          </cell>
          <cell r="DS75">
            <v>-306.59938322046264</v>
          </cell>
          <cell r="DT75">
            <v>-306.59938322046264</v>
          </cell>
          <cell r="DU75">
            <v>-306.59938322046264</v>
          </cell>
          <cell r="DV75">
            <v>-306.59938322046264</v>
          </cell>
          <cell r="DW75">
            <v>-306.59938322046264</v>
          </cell>
          <cell r="DX75">
            <v>-306.59938322046264</v>
          </cell>
          <cell r="DY75">
            <v>-306.59938322046264</v>
          </cell>
          <cell r="DZ75">
            <v>-306.59938322046264</v>
          </cell>
          <cell r="EA75">
            <v>-306.59938322046264</v>
          </cell>
          <cell r="EB75">
            <v>-306.59938322046264</v>
          </cell>
          <cell r="EC75">
            <v>-306.59938322046264</v>
          </cell>
          <cell r="ED75">
            <v>-306.59938322046264</v>
          </cell>
          <cell r="EE75">
            <v>-306.59938322046264</v>
          </cell>
          <cell r="EF75">
            <v>-306.59938322046264</v>
          </cell>
          <cell r="EG75">
            <v>-306.59938322046264</v>
          </cell>
          <cell r="EH75">
            <v>-306.59938322046264</v>
          </cell>
          <cell r="EI75">
            <v>-306.59938322046264</v>
          </cell>
          <cell r="EJ75">
            <v>-306.59938322046264</v>
          </cell>
          <cell r="EK75">
            <v>-306.59938322046264</v>
          </cell>
          <cell r="EL75">
            <v>-306.59938322046264</v>
          </cell>
          <cell r="EM75">
            <v>-306.59938322046264</v>
          </cell>
          <cell r="EN75">
            <v>-306.59938322046264</v>
          </cell>
          <cell r="EO75">
            <v>-306.59938322046264</v>
          </cell>
          <cell r="EP75">
            <v>-306.59938322046264</v>
          </cell>
          <cell r="EQ75">
            <v>-306.59938322046264</v>
          </cell>
          <cell r="ER75">
            <v>-306.59938322046264</v>
          </cell>
          <cell r="ES75">
            <v>-306.59938322046264</v>
          </cell>
          <cell r="ET75">
            <v>-306.59938322046264</v>
          </cell>
          <cell r="EU75">
            <v>-306.59938322046264</v>
          </cell>
          <cell r="EV75">
            <v>-306.59938322046264</v>
          </cell>
          <cell r="EW75">
            <v>-306.59938322046264</v>
          </cell>
          <cell r="EX75">
            <v>-306.59938322046264</v>
          </cell>
          <cell r="EY75">
            <v>-306.59938322046264</v>
          </cell>
          <cell r="EZ75">
            <v>-306.59938322046264</v>
          </cell>
          <cell r="FA75">
            <v>-306.59938322046264</v>
          </cell>
          <cell r="FB75">
            <v>-306.59938322046264</v>
          </cell>
          <cell r="FC75">
            <v>-306.59938322046264</v>
          </cell>
          <cell r="FD75">
            <v>-306.59938322046264</v>
          </cell>
          <cell r="FE75">
            <v>-306.59938322046264</v>
          </cell>
          <cell r="FF75">
            <v>-306.59938322046264</v>
          </cell>
          <cell r="FG75">
            <v>-306.59938322046264</v>
          </cell>
          <cell r="FH75">
            <v>-306.59938322046264</v>
          </cell>
          <cell r="FI75">
            <v>-306.59938322046264</v>
          </cell>
          <cell r="FJ75">
            <v>-306.59938322046264</v>
          </cell>
          <cell r="FK75">
            <v>-306.59938322046264</v>
          </cell>
          <cell r="FL75">
            <v>-306.59938322046264</v>
          </cell>
          <cell r="FM75">
            <v>-306.59938322046264</v>
          </cell>
          <cell r="FN75">
            <v>-306.59938322046264</v>
          </cell>
          <cell r="FO75">
            <v>-306.59938322046264</v>
          </cell>
          <cell r="FP75">
            <v>-306.59938322046264</v>
          </cell>
          <cell r="FQ75">
            <v>-306.59938322046264</v>
          </cell>
          <cell r="FR75">
            <v>-306.59938322046264</v>
          </cell>
          <cell r="FS75">
            <v>-306.59938322046264</v>
          </cell>
          <cell r="FT75">
            <v>-306.59938322046264</v>
          </cell>
          <cell r="FU75">
            <v>-306.59938322046264</v>
          </cell>
          <cell r="FV75">
            <v>-306.59938322046264</v>
          </cell>
          <cell r="FW75">
            <v>-306.59938322046264</v>
          </cell>
          <cell r="FX75">
            <v>-306.59938322046264</v>
          </cell>
          <cell r="FY75">
            <v>-306.59938322046264</v>
          </cell>
          <cell r="FZ75">
            <v>-306.59938322046264</v>
          </cell>
          <cell r="GA75">
            <v>-306.59938322046264</v>
          </cell>
          <cell r="GB75">
            <v>-306.59938322046264</v>
          </cell>
          <cell r="GC75">
            <v>-306.59938322046264</v>
          </cell>
          <cell r="GD75">
            <v>-306.59938322046264</v>
          </cell>
          <cell r="GE75">
            <v>-306.59938322046264</v>
          </cell>
          <cell r="GF75">
            <v>-306.59938322046264</v>
          </cell>
          <cell r="GG75">
            <v>-306.59938322046264</v>
          </cell>
          <cell r="GH75">
            <v>-306.59938322046264</v>
          </cell>
          <cell r="GI75">
            <v>-306.59938322046264</v>
          </cell>
          <cell r="GJ75">
            <v>-306.59938322046264</v>
          </cell>
          <cell r="GK75">
            <v>-306.59938322046264</v>
          </cell>
          <cell r="GL75">
            <v>-306.59938322046264</v>
          </cell>
          <cell r="GM75">
            <v>-306.59938322046264</v>
          </cell>
          <cell r="GN75">
            <v>-306.59938322046264</v>
          </cell>
          <cell r="GO75">
            <v>-306.59938322046264</v>
          </cell>
          <cell r="GP75">
            <v>-306.59938322046264</v>
          </cell>
          <cell r="GQ75">
            <v>-306.59938322046264</v>
          </cell>
          <cell r="GR75">
            <v>-306.59938322046264</v>
          </cell>
          <cell r="GS75">
            <v>-306.59938322046264</v>
          </cell>
          <cell r="GT75">
            <v>-306.59938322046264</v>
          </cell>
          <cell r="GU75">
            <v>-306.59938322046264</v>
          </cell>
          <cell r="GV75">
            <v>-306.59938322046264</v>
          </cell>
          <cell r="GW75">
            <v>-306.59938322046264</v>
          </cell>
          <cell r="GX75">
            <v>-306.59938322046264</v>
          </cell>
          <cell r="GY75">
            <v>-306.59938322046264</v>
          </cell>
          <cell r="GZ75">
            <v>-306.59938322046264</v>
          </cell>
          <cell r="HA75">
            <v>-306.59938322046264</v>
          </cell>
          <cell r="HB75">
            <v>-306.59938322046264</v>
          </cell>
          <cell r="HC75">
            <v>-306.59938322046264</v>
          </cell>
          <cell r="HD75">
            <v>-306.59938322046264</v>
          </cell>
          <cell r="HE75">
            <v>-306.59938322046264</v>
          </cell>
          <cell r="HF75">
            <v>-306.59938322046264</v>
          </cell>
          <cell r="HG75">
            <v>-306.59938322046264</v>
          </cell>
          <cell r="HH75">
            <v>-306.59938322046264</v>
          </cell>
          <cell r="HI75">
            <v>-306.59938322046264</v>
          </cell>
          <cell r="HJ75">
            <v>-306.59938322046264</v>
          </cell>
          <cell r="HK75">
            <v>-306.59938322046264</v>
          </cell>
          <cell r="HL75">
            <v>-306.59938322046264</v>
          </cell>
          <cell r="HM75">
            <v>-306.59938322046264</v>
          </cell>
          <cell r="HN75">
            <v>-306.59938322046264</v>
          </cell>
          <cell r="HO75">
            <v>-306.59938322046264</v>
          </cell>
          <cell r="HP75">
            <v>-306.59938322046264</v>
          </cell>
          <cell r="HQ75">
            <v>-306.59938322046264</v>
          </cell>
          <cell r="HR75">
            <v>-306.59938322046264</v>
          </cell>
          <cell r="HS75">
            <v>-306.59938322046264</v>
          </cell>
          <cell r="HT75">
            <v>-306.59938322046264</v>
          </cell>
          <cell r="HU75">
            <v>-306.59938322046264</v>
          </cell>
          <cell r="HV75">
            <v>-306.59938322046264</v>
          </cell>
          <cell r="HW75">
            <v>-306.59938322046264</v>
          </cell>
          <cell r="HX75">
            <v>-306.59938322046264</v>
          </cell>
          <cell r="HY75">
            <v>-306.59938322046264</v>
          </cell>
          <cell r="HZ75">
            <v>-306.59938322046264</v>
          </cell>
          <cell r="IA75">
            <v>-306.59938322046264</v>
          </cell>
          <cell r="IB75">
            <v>-306.59938322046264</v>
          </cell>
          <cell r="IC75">
            <v>-306.59938322046264</v>
          </cell>
          <cell r="ID75">
            <v>-306.59938322046264</v>
          </cell>
          <cell r="IE75">
            <v>-306.59938322046264</v>
          </cell>
          <cell r="IF75">
            <v>-306.59938322046264</v>
          </cell>
          <cell r="IG75">
            <v>-306.59938322046264</v>
          </cell>
          <cell r="IH75">
            <v>-306.59938322046264</v>
          </cell>
          <cell r="II75">
            <v>-306.59938322046264</v>
          </cell>
          <cell r="IJ75">
            <v>-306.59938322046264</v>
          </cell>
          <cell r="IK75">
            <v>-306.59938322046264</v>
          </cell>
          <cell r="IL75">
            <v>-306.59938322046264</v>
          </cell>
          <cell r="IM75">
            <v>-306.59938322046264</v>
          </cell>
          <cell r="IN75">
            <v>-306.59938322046264</v>
          </cell>
          <cell r="IO75">
            <v>-306.59938322046264</v>
          </cell>
          <cell r="IP75">
            <v>-306.59938322046264</v>
          </cell>
          <cell r="IQ75">
            <v>-306.59938322046264</v>
          </cell>
          <cell r="IR75">
            <v>-306.59938322046264</v>
          </cell>
        </row>
        <row r="76">
          <cell r="B76" t="str">
            <v>Net debt (cash)</v>
          </cell>
          <cell r="C76">
            <v>13631</v>
          </cell>
          <cell r="D76">
            <v>15030</v>
          </cell>
          <cell r="E76">
            <v>14029.505889220392</v>
          </cell>
          <cell r="F76">
            <v>12018.363490401702</v>
          </cell>
          <cell r="G76">
            <v>9376.1044002021736</v>
          </cell>
          <cell r="H76">
            <v>6546.338558343974</v>
          </cell>
          <cell r="I76">
            <v>3353.9850013882333</v>
          </cell>
          <cell r="J76">
            <v>101.3739811099349</v>
          </cell>
          <cell r="K76">
            <v>-3585.7085837368959</v>
          </cell>
          <cell r="L76">
            <v>-7865.1768645243592</v>
          </cell>
          <cell r="M76">
            <v>-1561.6377947320584</v>
          </cell>
          <cell r="N76">
            <v>3751.3364636954789</v>
          </cell>
          <cell r="O76">
            <v>8170.7646312140423</v>
          </cell>
          <cell r="P76">
            <v>11901.322068083871</v>
          </cell>
          <cell r="Q76">
            <v>15147.704440798472</v>
          </cell>
          <cell r="R76">
            <v>16270.748323681855</v>
          </cell>
          <cell r="S76">
            <v>16720.723684749239</v>
          </cell>
          <cell r="T76">
            <v>17181.270002629295</v>
          </cell>
          <cell r="U76">
            <v>17652.583506043498</v>
          </cell>
          <cell r="V76">
            <v>18134.863990672609</v>
          </cell>
          <cell r="W76">
            <v>18628.314917289965</v>
          </cell>
          <cell r="X76">
            <v>19133.143511356961</v>
          </cell>
          <cell r="Y76">
            <v>19649.560864060055</v>
          </cell>
          <cell r="Z76">
            <v>20177.782034773547</v>
          </cell>
          <cell r="AA76">
            <v>20718.026154937463</v>
          </cell>
          <cell r="AB76">
            <v>21270.51653334494</v>
          </cell>
          <cell r="AC76">
            <v>21835.480762838102</v>
          </cell>
          <cell r="AD76">
            <v>22413.150828416183</v>
          </cell>
          <cell r="AE76">
            <v>23003.763216764455</v>
          </cell>
          <cell r="AF76">
            <v>23607.559027216521</v>
          </cell>
          <cell r="AG76">
            <v>24224.784084167142</v>
          </cell>
          <cell r="AH76">
            <v>24855.6890509566</v>
          </cell>
          <cell r="AI76">
            <v>25500.529545251593</v>
          </cell>
          <cell r="AJ76">
            <v>26159.566255951431</v>
          </cell>
          <cell r="AK76">
            <v>26833.065061651541</v>
          </cell>
          <cell r="AL76">
            <v>27521.29715070012</v>
          </cell>
          <cell r="AM76">
            <v>28224.539142886453</v>
          </cell>
          <cell r="AN76">
            <v>28943.073212802687</v>
          </cell>
          <cell r="AO76">
            <v>29677.187214923644</v>
          </cell>
          <cell r="AP76">
            <v>30427.174810451863</v>
          </cell>
          <cell r="AQ76">
            <v>31193.335595977514</v>
          </cell>
          <cell r="AR76">
            <v>31975.975234005375</v>
          </cell>
          <cell r="AS76">
            <v>32775.405585403023</v>
          </cell>
          <cell r="AT76">
            <v>33591.944843826677</v>
          </cell>
          <cell r="AU76">
            <v>34425.917672182994</v>
          </cell>
          <cell r="AV76">
            <v>35277.655341186961</v>
          </cell>
          <cell r="AW76">
            <v>36147.495870077742</v>
          </cell>
          <cell r="AX76">
            <v>37035.784169556158</v>
          </cell>
          <cell r="AY76">
            <v>37942.872187008637</v>
          </cell>
          <cell r="AZ76">
            <v>38869.119054084476</v>
          </cell>
          <cell r="BA76">
            <v>39814.891236694071</v>
          </cell>
          <cell r="BB76">
            <v>40780.562687497739</v>
          </cell>
          <cell r="BC76">
            <v>41766.515000955413</v>
          </cell>
          <cell r="BD76">
            <v>42773.13757100916</v>
          </cell>
          <cell r="BE76">
            <v>43800.827751471596</v>
          </cell>
          <cell r="BF76">
            <v>44849.991019194153</v>
          </cell>
          <cell r="BG76">
            <v>45921.041140090842</v>
          </cell>
          <cell r="BH76">
            <v>47014.400338093466</v>
          </cell>
          <cell r="BI76">
            <v>48130.499467116337</v>
          </cell>
          <cell r="BJ76">
            <v>49269.778186108633</v>
          </cell>
          <cell r="BK76">
            <v>50432.68513727445</v>
          </cell>
          <cell r="BL76">
            <v>51619.678127541127</v>
          </cell>
          <cell r="BM76">
            <v>52831.224313357736</v>
          </cell>
          <cell r="BN76">
            <v>54067.800388906871</v>
          </cell>
          <cell r="BO76">
            <v>55329.892777813722</v>
          </cell>
          <cell r="BP76">
            <v>56617.997828437576</v>
          </cell>
          <cell r="BQ76">
            <v>57932.62201283234</v>
          </cell>
          <cell r="BR76">
            <v>59274.282129463456</v>
          </cell>
          <cell r="BS76">
            <v>60643.505509770162</v>
          </cell>
          <cell r="BT76">
            <v>62040.830228662766</v>
          </cell>
          <cell r="BU76">
            <v>63466.805319046536</v>
          </cell>
          <cell r="BV76">
            <v>64921.990990464656</v>
          </cell>
          <cell r="BW76">
            <v>66406.958851953867</v>
          </cell>
          <cell r="BX76">
            <v>67922.292139208483</v>
          </cell>
          <cell r="BY76">
            <v>69468.585946148829</v>
          </cell>
          <cell r="BZ76">
            <v>71046.447460992975</v>
          </cell>
          <cell r="CA76">
            <v>72656.496206930678</v>
          </cell>
          <cell r="CB76">
            <v>74299.364287500721</v>
          </cell>
          <cell r="CC76">
            <v>75975.696636774854</v>
          </cell>
          <cell r="CD76">
            <v>77686.15127445203</v>
          </cell>
          <cell r="CE76">
            <v>79431.399565969288</v>
          </cell>
          <cell r="CF76">
            <v>81212.126487736605</v>
          </cell>
          <cell r="CG76">
            <v>83029.030897605946</v>
          </cell>
          <cell r="CH76">
            <v>84882.825810684633</v>
          </cell>
          <cell r="CI76">
            <v>86774.238680607246</v>
          </cell>
          <cell r="CJ76">
            <v>88704.011686380501</v>
          </cell>
          <cell r="CK76">
            <v>90672.902024918192</v>
          </cell>
          <cell r="CL76">
            <v>92681.682209385632</v>
          </cell>
          <cell r="CM76">
            <v>94731.140373474147</v>
          </cell>
          <cell r="CN76">
            <v>96822.080581729286</v>
          </cell>
          <cell r="CO76">
            <v>98955.323146058086</v>
          </cell>
          <cell r="CP76">
            <v>101131.70494854297</v>
          </cell>
          <cell r="CQ76">
            <v>103352.07977069252</v>
          </cell>
          <cell r="CR76">
            <v>105617.3186292613</v>
          </cell>
          <cell r="CS76">
            <v>107928.31011877318</v>
          </cell>
          <cell r="CT76">
            <v>110285.96076088633</v>
          </cell>
          <cell r="CU76">
            <v>112691.19536073848</v>
          </cell>
          <cell r="CV76">
            <v>115144.95737041584</v>
          </cell>
          <cell r="CW76">
            <v>117648.20925969021</v>
          </cell>
          <cell r="CX76">
            <v>120201.93289417187</v>
          </cell>
          <cell r="CY76">
            <v>122807.12992102942</v>
          </cell>
          <cell r="CZ76">
            <v>125464.82216242955</v>
          </cell>
          <cell r="DA76">
            <v>128176.05201685287</v>
          </cell>
          <cell r="DB76">
            <v>130941.88286844558</v>
          </cell>
          <cell r="DC76">
            <v>133763.39950456933</v>
          </cell>
          <cell r="DD76">
            <v>136641.70854171398</v>
          </cell>
          <cell r="DE76">
            <v>139577.93885994286</v>
          </cell>
          <cell r="DF76">
            <v>142573.24204604232</v>
          </cell>
          <cell r="DG76">
            <v>145628.79284554967</v>
          </cell>
          <cell r="DH76">
            <v>148745.78962384028</v>
          </cell>
          <cell r="DI76">
            <v>151925.45483645375</v>
          </cell>
          <cell r="DJ76">
            <v>155169.03550884637</v>
          </cell>
          <cell r="DK76">
            <v>158477.80372575865</v>
          </cell>
          <cell r="DL76">
            <v>161853.05713039069</v>
          </cell>
          <cell r="DM76">
            <v>165296.11943358296</v>
          </cell>
          <cell r="DN76">
            <v>168808.34093320227</v>
          </cell>
          <cell r="DO76">
            <v>172391.09904393819</v>
          </cell>
          <cell r="DP76">
            <v>176045.79883771829</v>
          </cell>
          <cell r="DQ76">
            <v>179773.87359495516</v>
          </cell>
          <cell r="DR76">
            <v>183576.78536684191</v>
          </cell>
          <cell r="DS76">
            <v>187456.02554891785</v>
          </cell>
          <cell r="DT76">
            <v>191413.11546612941</v>
          </cell>
          <cell r="DU76">
            <v>195449.60696961687</v>
          </cell>
          <cell r="DV76">
            <v>199567.08304546154</v>
          </cell>
          <cell r="DW76">
            <v>203767.15843563239</v>
          </cell>
          <cell r="DX76">
            <v>208051.48027137664</v>
          </cell>
          <cell r="DY76">
            <v>212421.72871930289</v>
          </cell>
          <cell r="DZ76">
            <v>216879.61764041081</v>
          </cell>
          <cell r="EA76">
            <v>221426.89526232603</v>
          </cell>
          <cell r="EB76">
            <v>226065.34486500538</v>
          </cell>
          <cell r="EC76">
            <v>230796.78548018003</v>
          </cell>
          <cell r="ED76">
            <v>235623.07260481265</v>
          </cell>
          <cell r="EE76">
            <v>240546.0989288486</v>
          </cell>
          <cell r="EF76">
            <v>245567.795077546</v>
          </cell>
          <cell r="EG76">
            <v>250690.13036867717</v>
          </cell>
          <cell r="EH76">
            <v>255915.11358489798</v>
          </cell>
          <cell r="EI76">
            <v>261244.79376158907</v>
          </cell>
          <cell r="EJ76">
            <v>266681.26099047693</v>
          </cell>
          <cell r="EK76">
            <v>272226.64723935199</v>
          </cell>
          <cell r="EL76">
            <v>277883.12718820351</v>
          </cell>
          <cell r="EM76">
            <v>283652.91908210132</v>
          </cell>
          <cell r="EN76">
            <v>289538.285601157</v>
          </cell>
          <cell r="EO76">
            <v>295541.53474790847</v>
          </cell>
          <cell r="EP76">
            <v>301665.02075247339</v>
          </cell>
          <cell r="EQ76">
            <v>307911.14499582862</v>
          </cell>
          <cell r="ER76">
            <v>314282.35695157724</v>
          </cell>
          <cell r="ES76">
            <v>320781.15514657227</v>
          </cell>
          <cell r="ET76">
            <v>327410.08814077463</v>
          </cell>
          <cell r="EU76">
            <v>334171.75552672928</v>
          </cell>
          <cell r="EV76">
            <v>341068.80894905142</v>
          </cell>
          <cell r="EW76">
            <v>348103.95314432436</v>
          </cell>
          <cell r="EX76">
            <v>355279.94700181391</v>
          </cell>
          <cell r="EY76">
            <v>362599.6046454187</v>
          </cell>
          <cell r="EZ76">
            <v>370065.79653727822</v>
          </cell>
          <cell r="FA76">
            <v>377681.45060347277</v>
          </cell>
          <cell r="FB76">
            <v>385449.55338225747</v>
          </cell>
          <cell r="FC76">
            <v>393373.15119527839</v>
          </cell>
          <cell r="FD76">
            <v>401455.35134223348</v>
          </cell>
          <cell r="FE76">
            <v>409699.32331944304</v>
          </cell>
          <cell r="FF76">
            <v>418108.30006281135</v>
          </cell>
          <cell r="FG76">
            <v>426685.57921566535</v>
          </cell>
          <cell r="FH76">
            <v>435434.52442196582</v>
          </cell>
          <cell r="FI76">
            <v>444358.56664540234</v>
          </cell>
          <cell r="FJ76">
            <v>453461.20551488549</v>
          </cell>
          <cell r="FK76">
            <v>462746.0106969669</v>
          </cell>
          <cell r="FL76">
            <v>472216.62329572206</v>
          </cell>
          <cell r="FM76">
            <v>481876.75728065032</v>
          </cell>
          <cell r="FN76">
            <v>491730.20094314544</v>
          </cell>
          <cell r="FO76">
            <v>501780.81838211243</v>
          </cell>
          <cell r="FP76">
            <v>512032.5510193134</v>
          </cell>
          <cell r="FQ76">
            <v>522489.41914503335</v>
          </cell>
          <cell r="FR76">
            <v>533155.52349467541</v>
          </cell>
          <cell r="FS76">
            <v>544035.04685690242</v>
          </cell>
          <cell r="FT76">
            <v>555132.25571395468</v>
          </cell>
          <cell r="FU76">
            <v>566451.50191479025</v>
          </cell>
          <cell r="FV76">
            <v>577997.22438169981</v>
          </cell>
          <cell r="FW76">
            <v>589773.95085106848</v>
          </cell>
          <cell r="FX76">
            <v>601786.29964896652</v>
          </cell>
          <cell r="FY76">
            <v>614038.98150226346</v>
          </cell>
          <cell r="FZ76">
            <v>626536.80138597975</v>
          </cell>
          <cell r="GA76">
            <v>639284.66040759592</v>
          </cell>
          <cell r="GB76">
            <v>652287.55772906134</v>
          </cell>
          <cell r="GC76">
            <v>665550.59252725623</v>
          </cell>
          <cell r="GD76">
            <v>679078.96599367296</v>
          </cell>
          <cell r="GE76">
            <v>692877.98337410472</v>
          </cell>
          <cell r="GF76">
            <v>706953.05604913773</v>
          </cell>
          <cell r="GG76">
            <v>721309.70365626633</v>
          </cell>
          <cell r="GH76">
            <v>735953.55625446059</v>
          </cell>
          <cell r="GI76">
            <v>750890.35653203574</v>
          </cell>
          <cell r="GJ76">
            <v>766125.96205869166</v>
          </cell>
          <cell r="GK76">
            <v>781666.34758260159</v>
          </cell>
          <cell r="GL76">
            <v>797517.60737345356</v>
          </cell>
          <cell r="GM76">
            <v>813685.9576123642</v>
          </cell>
          <cell r="GN76">
            <v>830177.73882959818</v>
          </cell>
          <cell r="GO76">
            <v>846999.41839105485</v>
          </cell>
          <cell r="GP76">
            <v>864157.59303449129</v>
          </cell>
          <cell r="GQ76">
            <v>881658.99145648198</v>
          </cell>
          <cell r="GR76">
            <v>899510.47695112496</v>
          </cell>
          <cell r="GS76">
            <v>917719.05010153109</v>
          </cell>
          <cell r="GT76">
            <v>936291.85152515431</v>
          </cell>
          <cell r="GU76">
            <v>955236.16467403446</v>
          </cell>
          <cell r="GV76">
            <v>974559.41869105527</v>
          </cell>
          <cell r="GW76">
            <v>994269.1913233354</v>
          </cell>
          <cell r="GX76">
            <v>1014373.2118938946</v>
          </cell>
          <cell r="GY76">
            <v>1034879.3643327643</v>
          </cell>
          <cell r="GZ76">
            <v>1055795.690268724</v>
          </cell>
          <cell r="HA76">
            <v>1077130.3921828836</v>
          </cell>
          <cell r="HB76">
            <v>1098891.8366253444</v>
          </cell>
          <cell r="HC76">
            <v>1121088.5574961996</v>
          </cell>
          <cell r="HD76">
            <v>1143729.2593921626</v>
          </cell>
          <cell r="HE76">
            <v>1166822.8210201359</v>
          </cell>
          <cell r="HF76">
            <v>1190378.2986790582</v>
          </cell>
          <cell r="HG76">
            <v>1214404.9298113941</v>
          </cell>
          <cell r="HH76">
            <v>1238912.1366256627</v>
          </cell>
          <cell r="HI76">
            <v>1263909.529791421</v>
          </cell>
          <cell r="HJ76">
            <v>1289406.9122081555</v>
          </cell>
          <cell r="HK76">
            <v>1315414.2828495565</v>
          </cell>
          <cell r="HL76">
            <v>1341941.8406846856</v>
          </cell>
          <cell r="HM76">
            <v>1368999.9886775718</v>
          </cell>
          <cell r="HN76">
            <v>1396599.3378668062</v>
          </cell>
          <cell r="HO76">
            <v>1424750.7115267327</v>
          </cell>
          <cell r="HP76">
            <v>1453465.1494118727</v>
          </cell>
          <cell r="HQ76">
            <v>1482753.9120862375</v>
          </cell>
          <cell r="HR76">
            <v>1512628.4853392395</v>
          </cell>
          <cell r="HS76">
            <v>1543100.5846899219</v>
          </cell>
          <cell r="HT76">
            <v>1574182.1599812808</v>
          </cell>
          <cell r="HU76">
            <v>1605885.4000664789</v>
          </cell>
          <cell r="HV76">
            <v>1638222.7375887872</v>
          </cell>
          <cell r="HW76">
            <v>1671206.8538571338</v>
          </cell>
          <cell r="HX76">
            <v>1704850.6838191629</v>
          </cell>
          <cell r="HY76">
            <v>1739167.4211337685</v>
          </cell>
          <cell r="HZ76">
            <v>1774170.5233450758</v>
          </cell>
          <cell r="IA76">
            <v>1809873.7171599076</v>
          </cell>
          <cell r="IB76">
            <v>1846291.0038308122</v>
          </cell>
          <cell r="IC76">
            <v>1883436.6646467459</v>
          </cell>
          <cell r="ID76">
            <v>1921325.2665335818</v>
          </cell>
          <cell r="IE76">
            <v>1959971.6677666286</v>
          </cell>
          <cell r="IF76">
            <v>1999391.0237974061</v>
          </cell>
          <cell r="IG76">
            <v>2039598.7931969597</v>
          </cell>
          <cell r="IH76">
            <v>2080610.7437180437</v>
          </cell>
          <cell r="II76">
            <v>2122442.9584785565</v>
          </cell>
          <cell r="IJ76">
            <v>2165111.8422686434</v>
          </cell>
          <cell r="IK76">
            <v>2208634.1279839515</v>
          </cell>
          <cell r="IL76">
            <v>2253026.8831875431</v>
          </cell>
          <cell r="IM76">
            <v>2298307.5168030658</v>
          </cell>
          <cell r="IN76">
            <v>2344493.7859417754</v>
          </cell>
          <cell r="IO76">
            <v>2391603.802866112</v>
          </cell>
          <cell r="IP76">
            <v>2439656.0420925464</v>
          </cell>
          <cell r="IQ76">
            <v>2488669.3476364925</v>
          </cell>
          <cell r="IR76">
            <v>1439.34575</v>
          </cell>
        </row>
        <row r="77">
          <cell r="B77" t="str">
            <v>Other nonoperating liabilities (assets) (ONOLA)</v>
          </cell>
          <cell r="C77">
            <v>-1920</v>
          </cell>
          <cell r="D77">
            <v>-1964</v>
          </cell>
          <cell r="E77">
            <v>-1870.3000000000002</v>
          </cell>
          <cell r="F77">
            <v>-1778.7849999999999</v>
          </cell>
          <cell r="G77">
            <v>-1689.34575</v>
          </cell>
          <cell r="H77">
            <v>-1639.34575</v>
          </cell>
          <cell r="I77">
            <v>-1589.34575</v>
          </cell>
          <cell r="J77">
            <v>-1539.34575</v>
          </cell>
          <cell r="K77">
            <v>-1489.34575</v>
          </cell>
          <cell r="L77">
            <v>-1439.34575</v>
          </cell>
          <cell r="M77">
            <v>-1439.34575</v>
          </cell>
          <cell r="N77">
            <v>-1439.34575</v>
          </cell>
          <cell r="O77">
            <v>-1439.34575</v>
          </cell>
          <cell r="P77">
            <v>-1439.34575</v>
          </cell>
          <cell r="Q77">
            <v>-1439.34575</v>
          </cell>
          <cell r="R77">
            <v>-1439.34575</v>
          </cell>
          <cell r="S77">
            <v>-1439.34575</v>
          </cell>
          <cell r="T77">
            <v>-1439.34575</v>
          </cell>
          <cell r="U77">
            <v>-1439.34575</v>
          </cell>
          <cell r="V77">
            <v>-1439.34575</v>
          </cell>
          <cell r="W77">
            <v>-1439.34575</v>
          </cell>
          <cell r="X77">
            <v>-1439.34575</v>
          </cell>
          <cell r="Y77">
            <v>-1439.34575</v>
          </cell>
          <cell r="Z77">
            <v>-1439.34575</v>
          </cell>
          <cell r="AA77">
            <v>-1439.34575</v>
          </cell>
          <cell r="AB77">
            <v>-1439.34575</v>
          </cell>
          <cell r="AC77">
            <v>-1439.34575</v>
          </cell>
          <cell r="AD77">
            <v>-1439.34575</v>
          </cell>
          <cell r="AE77">
            <v>-1439.34575</v>
          </cell>
          <cell r="AF77">
            <v>-1439.34575</v>
          </cell>
          <cell r="AG77">
            <v>-1439.34575</v>
          </cell>
          <cell r="AH77">
            <v>-1439.34575</v>
          </cell>
          <cell r="AI77">
            <v>-1439.34575</v>
          </cell>
          <cell r="AJ77">
            <v>-1439.34575</v>
          </cell>
          <cell r="AK77">
            <v>-1439.34575</v>
          </cell>
          <cell r="AL77">
            <v>-1439.34575</v>
          </cell>
          <cell r="AM77">
            <v>-1439.34575</v>
          </cell>
          <cell r="AN77">
            <v>-1439.34575</v>
          </cell>
          <cell r="AO77">
            <v>-1439.34575</v>
          </cell>
          <cell r="AP77">
            <v>-1439.34575</v>
          </cell>
          <cell r="AQ77">
            <v>-1439.34575</v>
          </cell>
          <cell r="AR77">
            <v>-1439.34575</v>
          </cell>
          <cell r="AS77">
            <v>-1439.34575</v>
          </cell>
          <cell r="AT77">
            <v>-1439.34575</v>
          </cell>
          <cell r="AU77">
            <v>-1439.34575</v>
          </cell>
          <cell r="AV77">
            <v>-1439.34575</v>
          </cell>
          <cell r="AW77">
            <v>-1439.34575</v>
          </cell>
          <cell r="AX77">
            <v>-1439.34575</v>
          </cell>
          <cell r="AY77">
            <v>-1439.34575</v>
          </cell>
          <cell r="AZ77">
            <v>-1439.34575</v>
          </cell>
          <cell r="BA77">
            <v>-1439.34575</v>
          </cell>
          <cell r="BB77">
            <v>-1439.34575</v>
          </cell>
          <cell r="BC77">
            <v>-1439.34575</v>
          </cell>
          <cell r="BD77">
            <v>-1439.34575</v>
          </cell>
          <cell r="BE77">
            <v>-1439.34575</v>
          </cell>
          <cell r="BF77">
            <v>-1439.34575</v>
          </cell>
          <cell r="BG77">
            <v>-1439.34575</v>
          </cell>
          <cell r="BH77">
            <v>-1439.34575</v>
          </cell>
          <cell r="BI77">
            <v>-1439.34575</v>
          </cell>
          <cell r="BJ77">
            <v>-1439.34575</v>
          </cell>
          <cell r="BK77">
            <v>-1439.34575</v>
          </cell>
          <cell r="BL77">
            <v>-1439.34575</v>
          </cell>
          <cell r="BM77">
            <v>-1439.34575</v>
          </cell>
          <cell r="BN77">
            <v>-1439.34575</v>
          </cell>
          <cell r="BO77">
            <v>-1439.34575</v>
          </cell>
          <cell r="BP77">
            <v>-1439.34575</v>
          </cell>
          <cell r="BQ77">
            <v>-1439.34575</v>
          </cell>
          <cell r="BR77">
            <v>-1439.34575</v>
          </cell>
          <cell r="BS77">
            <v>-1439.34575</v>
          </cell>
          <cell r="BT77">
            <v>-1439.34575</v>
          </cell>
          <cell r="BU77">
            <v>-1439.34575</v>
          </cell>
          <cell r="BV77">
            <v>-1439.34575</v>
          </cell>
          <cell r="BW77">
            <v>-1439.34575</v>
          </cell>
          <cell r="BX77">
            <v>-1439.34575</v>
          </cell>
          <cell r="BY77">
            <v>-1439.34575</v>
          </cell>
          <cell r="BZ77">
            <v>-1439.34575</v>
          </cell>
          <cell r="CA77">
            <v>-1439.34575</v>
          </cell>
          <cell r="CB77">
            <v>-1439.34575</v>
          </cell>
          <cell r="CC77">
            <v>-1439.34575</v>
          </cell>
          <cell r="CD77">
            <v>-1439.34575</v>
          </cell>
          <cell r="CE77">
            <v>-1439.34575</v>
          </cell>
          <cell r="CF77">
            <v>-1439.34575</v>
          </cell>
          <cell r="CG77">
            <v>-1439.34575</v>
          </cell>
          <cell r="CH77">
            <v>-1439.34575</v>
          </cell>
          <cell r="CI77">
            <v>-1439.34575</v>
          </cell>
          <cell r="CJ77">
            <v>-1439.34575</v>
          </cell>
          <cell r="CK77">
            <v>-1439.34575</v>
          </cell>
          <cell r="CL77">
            <v>-1439.34575</v>
          </cell>
          <cell r="CM77">
            <v>-1439.34575</v>
          </cell>
          <cell r="CN77">
            <v>-1439.34575</v>
          </cell>
          <cell r="CO77">
            <v>-1439.34575</v>
          </cell>
          <cell r="CP77">
            <v>-1439.34575</v>
          </cell>
          <cell r="CQ77">
            <v>-1439.34575</v>
          </cell>
          <cell r="CR77">
            <v>-1439.34575</v>
          </cell>
          <cell r="CS77">
            <v>-1439.34575</v>
          </cell>
          <cell r="CT77">
            <v>-1439.34575</v>
          </cell>
          <cell r="CU77">
            <v>-1439.34575</v>
          </cell>
          <cell r="CV77">
            <v>-1439.34575</v>
          </cell>
          <cell r="CW77">
            <v>-1439.34575</v>
          </cell>
          <cell r="CX77">
            <v>-1439.34575</v>
          </cell>
          <cell r="CY77">
            <v>-1439.34575</v>
          </cell>
          <cell r="CZ77">
            <v>-1439.34575</v>
          </cell>
          <cell r="DA77">
            <v>-1439.34575</v>
          </cell>
          <cell r="DB77">
            <v>-1439.34575</v>
          </cell>
          <cell r="DC77">
            <v>-1439.34575</v>
          </cell>
          <cell r="DD77">
            <v>-1439.34575</v>
          </cell>
          <cell r="DE77">
            <v>-1439.34575</v>
          </cell>
          <cell r="DF77">
            <v>-1439.34575</v>
          </cell>
          <cell r="DG77">
            <v>-1439.34575</v>
          </cell>
          <cell r="DH77">
            <v>-1439.34575</v>
          </cell>
          <cell r="DI77">
            <v>-1439.34575</v>
          </cell>
          <cell r="DJ77">
            <v>-1439.34575</v>
          </cell>
          <cell r="DK77">
            <v>-1439.34575</v>
          </cell>
          <cell r="DL77">
            <v>-1439.34575</v>
          </cell>
          <cell r="DM77">
            <v>-1439.34575</v>
          </cell>
          <cell r="DN77">
            <v>-1439.34575</v>
          </cell>
          <cell r="DO77">
            <v>-1439.34575</v>
          </cell>
          <cell r="DP77">
            <v>-1439.34575</v>
          </cell>
          <cell r="DQ77">
            <v>-1439.34575</v>
          </cell>
          <cell r="DR77">
            <v>-1439.34575</v>
          </cell>
          <cell r="DS77">
            <v>-1439.34575</v>
          </cell>
          <cell r="DT77">
            <v>-1439.34575</v>
          </cell>
          <cell r="DU77">
            <v>-1439.34575</v>
          </cell>
          <cell r="DV77">
            <v>-1439.34575</v>
          </cell>
          <cell r="DW77">
            <v>-1439.34575</v>
          </cell>
          <cell r="DX77">
            <v>-1439.34575</v>
          </cell>
          <cell r="DY77">
            <v>-1439.34575</v>
          </cell>
          <cell r="DZ77">
            <v>-1439.34575</v>
          </cell>
          <cell r="EA77">
            <v>-1439.34575</v>
          </cell>
          <cell r="EB77">
            <v>-1439.34575</v>
          </cell>
          <cell r="EC77">
            <v>-1439.34575</v>
          </cell>
          <cell r="ED77">
            <v>-1439.34575</v>
          </cell>
          <cell r="EE77">
            <v>-1439.34575</v>
          </cell>
          <cell r="EF77">
            <v>-1439.34575</v>
          </cell>
          <cell r="EG77">
            <v>-1439.34575</v>
          </cell>
          <cell r="EH77">
            <v>-1439.34575</v>
          </cell>
          <cell r="EI77">
            <v>-1439.34575</v>
          </cell>
          <cell r="EJ77">
            <v>-1439.34575</v>
          </cell>
          <cell r="EK77">
            <v>-1439.34575</v>
          </cell>
          <cell r="EL77">
            <v>-1439.34575</v>
          </cell>
          <cell r="EM77">
            <v>-1439.34575</v>
          </cell>
          <cell r="EN77">
            <v>-1439.34575</v>
          </cell>
          <cell r="EO77">
            <v>-1439.34575</v>
          </cell>
          <cell r="EP77">
            <v>-1439.34575</v>
          </cell>
          <cell r="EQ77">
            <v>-1439.34575</v>
          </cell>
          <cell r="ER77">
            <v>-1439.34575</v>
          </cell>
          <cell r="ES77">
            <v>-1439.34575</v>
          </cell>
          <cell r="ET77">
            <v>-1439.34575</v>
          </cell>
          <cell r="EU77">
            <v>-1439.34575</v>
          </cell>
          <cell r="EV77">
            <v>-1439.34575</v>
          </cell>
          <cell r="EW77">
            <v>-1439.34575</v>
          </cell>
          <cell r="EX77">
            <v>-1439.34575</v>
          </cell>
          <cell r="EY77">
            <v>-1439.34575</v>
          </cell>
          <cell r="EZ77">
            <v>-1439.34575</v>
          </cell>
          <cell r="FA77">
            <v>-1439.34575</v>
          </cell>
          <cell r="FB77">
            <v>-1439.34575</v>
          </cell>
          <cell r="FC77">
            <v>-1439.34575</v>
          </cell>
          <cell r="FD77">
            <v>-1439.34575</v>
          </cell>
          <cell r="FE77">
            <v>-1439.34575</v>
          </cell>
          <cell r="FF77">
            <v>-1439.34575</v>
          </cell>
          <cell r="FG77">
            <v>-1439.34575</v>
          </cell>
          <cell r="FH77">
            <v>-1439.34575</v>
          </cell>
          <cell r="FI77">
            <v>-1439.34575</v>
          </cell>
          <cell r="FJ77">
            <v>-1439.34575</v>
          </cell>
          <cell r="FK77">
            <v>-1439.34575</v>
          </cell>
          <cell r="FL77">
            <v>-1439.34575</v>
          </cell>
          <cell r="FM77">
            <v>-1439.34575</v>
          </cell>
          <cell r="FN77">
            <v>-1439.34575</v>
          </cell>
          <cell r="FO77">
            <v>-1439.34575</v>
          </cell>
          <cell r="FP77">
            <v>-1439.34575</v>
          </cell>
          <cell r="FQ77">
            <v>-1439.34575</v>
          </cell>
          <cell r="FR77">
            <v>-1439.34575</v>
          </cell>
          <cell r="FS77">
            <v>-1439.34575</v>
          </cell>
          <cell r="FT77">
            <v>-1439.34575</v>
          </cell>
          <cell r="FU77">
            <v>-1439.34575</v>
          </cell>
          <cell r="FV77">
            <v>-1439.34575</v>
          </cell>
          <cell r="FW77">
            <v>-1439.34575</v>
          </cell>
          <cell r="FX77">
            <v>-1439.34575</v>
          </cell>
          <cell r="FY77">
            <v>-1439.34575</v>
          </cell>
          <cell r="FZ77">
            <v>-1439.34575</v>
          </cell>
          <cell r="GA77">
            <v>-1439.34575</v>
          </cell>
          <cell r="GB77">
            <v>-1439.34575</v>
          </cell>
          <cell r="GC77">
            <v>-1439.34575</v>
          </cell>
          <cell r="GD77">
            <v>-1439.34575</v>
          </cell>
          <cell r="GE77">
            <v>-1439.34575</v>
          </cell>
          <cell r="GF77">
            <v>-1439.34575</v>
          </cell>
          <cell r="GG77">
            <v>-1439.34575</v>
          </cell>
          <cell r="GH77">
            <v>-1439.34575</v>
          </cell>
          <cell r="GI77">
            <v>-1439.34575</v>
          </cell>
          <cell r="GJ77">
            <v>-1439.34575</v>
          </cell>
          <cell r="GK77">
            <v>-1439.34575</v>
          </cell>
          <cell r="GL77">
            <v>-1439.34575</v>
          </cell>
          <cell r="GM77">
            <v>-1439.34575</v>
          </cell>
          <cell r="GN77">
            <v>-1439.34575</v>
          </cell>
          <cell r="GO77">
            <v>-1439.34575</v>
          </cell>
          <cell r="GP77">
            <v>-1439.34575</v>
          </cell>
          <cell r="GQ77">
            <v>-1439.34575</v>
          </cell>
          <cell r="GR77">
            <v>-1439.34575</v>
          </cell>
          <cell r="GS77">
            <v>-1439.34575</v>
          </cell>
          <cell r="GT77">
            <v>-1439.34575</v>
          </cell>
          <cell r="GU77">
            <v>-1439.34575</v>
          </cell>
          <cell r="GV77">
            <v>-1439.34575</v>
          </cell>
          <cell r="GW77">
            <v>-1439.34575</v>
          </cell>
          <cell r="GX77">
            <v>-1439.34575</v>
          </cell>
          <cell r="GY77">
            <v>-1439.34575</v>
          </cell>
          <cell r="GZ77">
            <v>-1439.34575</v>
          </cell>
          <cell r="HA77">
            <v>-1439.34575</v>
          </cell>
          <cell r="HB77">
            <v>-1439.34575</v>
          </cell>
          <cell r="HC77">
            <v>-1439.34575</v>
          </cell>
          <cell r="HD77">
            <v>-1439.34575</v>
          </cell>
          <cell r="HE77">
            <v>-1439.34575</v>
          </cell>
          <cell r="HF77">
            <v>-1439.34575</v>
          </cell>
          <cell r="HG77">
            <v>-1439.34575</v>
          </cell>
          <cell r="HH77">
            <v>-1439.34575</v>
          </cell>
          <cell r="HI77">
            <v>-1439.34575</v>
          </cell>
          <cell r="HJ77">
            <v>-1439.34575</v>
          </cell>
          <cell r="HK77">
            <v>-1439.34575</v>
          </cell>
          <cell r="HL77">
            <v>-1439.34575</v>
          </cell>
          <cell r="HM77">
            <v>-1439.34575</v>
          </cell>
          <cell r="HN77">
            <v>-1439.34575</v>
          </cell>
          <cell r="HO77">
            <v>-1439.34575</v>
          </cell>
          <cell r="HP77">
            <v>-1439.34575</v>
          </cell>
          <cell r="HQ77">
            <v>-1439.34575</v>
          </cell>
          <cell r="HR77">
            <v>-1439.34575</v>
          </cell>
          <cell r="HS77">
            <v>-1439.34575</v>
          </cell>
          <cell r="HT77">
            <v>-1439.34575</v>
          </cell>
          <cell r="HU77">
            <v>-1439.34575</v>
          </cell>
          <cell r="HV77">
            <v>-1439.34575</v>
          </cell>
          <cell r="HW77">
            <v>-1439.34575</v>
          </cell>
          <cell r="HX77">
            <v>-1439.34575</v>
          </cell>
          <cell r="HY77">
            <v>-1439.34575</v>
          </cell>
          <cell r="HZ77">
            <v>-1439.34575</v>
          </cell>
          <cell r="IA77">
            <v>-1439.34575</v>
          </cell>
          <cell r="IB77">
            <v>-1439.34575</v>
          </cell>
          <cell r="IC77">
            <v>-1439.34575</v>
          </cell>
          <cell r="ID77">
            <v>-1439.34575</v>
          </cell>
          <cell r="IE77">
            <v>-1439.34575</v>
          </cell>
          <cell r="IF77">
            <v>-1439.34575</v>
          </cell>
          <cell r="IG77">
            <v>-1439.34575</v>
          </cell>
          <cell r="IH77">
            <v>-1439.34575</v>
          </cell>
          <cell r="II77">
            <v>-1439.34575</v>
          </cell>
          <cell r="IJ77">
            <v>-1439.34575</v>
          </cell>
          <cell r="IK77">
            <v>-1439.34575</v>
          </cell>
          <cell r="IL77">
            <v>-1439.34575</v>
          </cell>
          <cell r="IM77">
            <v>-1439.34575</v>
          </cell>
          <cell r="IN77">
            <v>-1439.34575</v>
          </cell>
          <cell r="IO77">
            <v>-1439.34575</v>
          </cell>
          <cell r="IP77">
            <v>-1439.34575</v>
          </cell>
          <cell r="IQ77">
            <v>-1439.34575</v>
          </cell>
          <cell r="IR77">
            <v>-1439.34575</v>
          </cell>
        </row>
        <row r="78">
          <cell r="B78" t="str">
            <v>Leverage EOP (net debt/equity)</v>
          </cell>
          <cell r="C78">
            <v>0.70872978734466807</v>
          </cell>
          <cell r="D78">
            <v>0.81287182260681445</v>
          </cell>
          <cell r="E78">
            <v>0.68199279281433312</v>
          </cell>
          <cell r="F78">
            <v>0.50969825774627819</v>
          </cell>
          <cell r="G78">
            <v>0.35137744630021539</v>
          </cell>
          <cell r="H78">
            <v>0.21843421872555494</v>
          </cell>
          <cell r="I78">
            <v>9.9685490852191194E-2</v>
          </cell>
          <cell r="J78">
            <v>2.7228846296214458E-3</v>
          </cell>
          <cell r="K78">
            <v>-8.679787200994718E-2</v>
          </cell>
          <cell r="L78">
            <v>-0.17098211435985783</v>
          </cell>
          <cell r="M78">
            <v>-3.6785691487886268E-2</v>
          </cell>
          <cell r="N78">
            <v>9.7410731384085292E-2</v>
          </cell>
          <cell r="O78">
            <v>0.23160715425605685</v>
          </cell>
          <cell r="P78">
            <v>0.36580357712802841</v>
          </cell>
          <cell r="Q78">
            <v>0.5</v>
          </cell>
          <cell r="R78">
            <v>0.5</v>
          </cell>
          <cell r="S78">
            <v>0.5</v>
          </cell>
          <cell r="T78">
            <v>0.5</v>
          </cell>
          <cell r="U78">
            <v>0.5</v>
          </cell>
          <cell r="V78">
            <v>0.5</v>
          </cell>
          <cell r="W78">
            <v>0.5</v>
          </cell>
          <cell r="X78">
            <v>0.5</v>
          </cell>
          <cell r="Y78">
            <v>0.5</v>
          </cell>
          <cell r="Z78">
            <v>0.5</v>
          </cell>
          <cell r="AA78">
            <v>0.5</v>
          </cell>
          <cell r="AB78">
            <v>0.5</v>
          </cell>
          <cell r="AC78">
            <v>0.5</v>
          </cell>
          <cell r="AD78">
            <v>0.5</v>
          </cell>
          <cell r="AE78">
            <v>0.5</v>
          </cell>
          <cell r="AF78">
            <v>0.5</v>
          </cell>
          <cell r="AG78">
            <v>0.5</v>
          </cell>
          <cell r="AH78">
            <v>0.5</v>
          </cell>
          <cell r="AI78">
            <v>0.5</v>
          </cell>
          <cell r="AJ78">
            <v>0.5</v>
          </cell>
          <cell r="AK78">
            <v>0.5</v>
          </cell>
          <cell r="AL78">
            <v>0.5</v>
          </cell>
          <cell r="AM78">
            <v>0.5</v>
          </cell>
          <cell r="AN78">
            <v>0.5</v>
          </cell>
          <cell r="AO78">
            <v>0.5</v>
          </cell>
          <cell r="AP78">
            <v>0.5</v>
          </cell>
          <cell r="AQ78">
            <v>0.5</v>
          </cell>
          <cell r="AR78">
            <v>0.5</v>
          </cell>
          <cell r="AS78">
            <v>0.5</v>
          </cell>
          <cell r="AT78">
            <v>0.5</v>
          </cell>
          <cell r="AU78">
            <v>0.5</v>
          </cell>
          <cell r="AV78">
            <v>0.5</v>
          </cell>
          <cell r="AW78">
            <v>0.5</v>
          </cell>
          <cell r="AX78">
            <v>0.5</v>
          </cell>
          <cell r="AY78">
            <v>0.5</v>
          </cell>
          <cell r="AZ78">
            <v>0.5</v>
          </cell>
          <cell r="BA78">
            <v>0.5</v>
          </cell>
          <cell r="BB78">
            <v>0.5</v>
          </cell>
          <cell r="BC78">
            <v>0.5</v>
          </cell>
          <cell r="BD78">
            <v>0.5</v>
          </cell>
          <cell r="BE78">
            <v>0.5</v>
          </cell>
          <cell r="BF78">
            <v>0.5</v>
          </cell>
          <cell r="BG78">
            <v>0.5</v>
          </cell>
          <cell r="BH78">
            <v>0.5</v>
          </cell>
          <cell r="BI78">
            <v>0.5</v>
          </cell>
          <cell r="BJ78">
            <v>0.5</v>
          </cell>
          <cell r="BK78">
            <v>0.5</v>
          </cell>
          <cell r="BL78">
            <v>0.5</v>
          </cell>
          <cell r="BM78">
            <v>0.5</v>
          </cell>
          <cell r="BN78">
            <v>0.5</v>
          </cell>
          <cell r="BO78">
            <v>0.5</v>
          </cell>
          <cell r="BP78">
            <v>0.5</v>
          </cell>
          <cell r="BQ78">
            <v>0.5</v>
          </cell>
          <cell r="BR78">
            <v>0.5</v>
          </cell>
          <cell r="BS78">
            <v>0.5</v>
          </cell>
          <cell r="BT78">
            <v>0.5</v>
          </cell>
          <cell r="BU78">
            <v>0.5</v>
          </cell>
          <cell r="BV78">
            <v>0.5</v>
          </cell>
          <cell r="BW78">
            <v>0.5</v>
          </cell>
          <cell r="BX78">
            <v>0.5</v>
          </cell>
          <cell r="BY78">
            <v>0.5</v>
          </cell>
          <cell r="BZ78">
            <v>0.5</v>
          </cell>
          <cell r="CA78">
            <v>0.5</v>
          </cell>
          <cell r="CB78">
            <v>0.5</v>
          </cell>
          <cell r="CC78">
            <v>0.5</v>
          </cell>
          <cell r="CD78">
            <v>0.5</v>
          </cell>
          <cell r="CE78">
            <v>0.5</v>
          </cell>
          <cell r="CF78">
            <v>0.5</v>
          </cell>
          <cell r="CG78">
            <v>0.5</v>
          </cell>
          <cell r="CH78">
            <v>0.5</v>
          </cell>
          <cell r="CI78">
            <v>0.5</v>
          </cell>
          <cell r="CJ78">
            <v>0.5</v>
          </cell>
          <cell r="CK78">
            <v>0.5</v>
          </cell>
          <cell r="CL78">
            <v>0.5</v>
          </cell>
          <cell r="CM78">
            <v>0.5</v>
          </cell>
          <cell r="CN78">
            <v>0.5</v>
          </cell>
          <cell r="CO78">
            <v>0.5</v>
          </cell>
          <cell r="CP78">
            <v>0.5</v>
          </cell>
          <cell r="CQ78">
            <v>0.5</v>
          </cell>
          <cell r="CR78">
            <v>0.5</v>
          </cell>
          <cell r="CS78">
            <v>0.5</v>
          </cell>
          <cell r="CT78">
            <v>0.5</v>
          </cell>
          <cell r="CU78">
            <v>0.5</v>
          </cell>
          <cell r="CV78">
            <v>0.5</v>
          </cell>
          <cell r="CW78">
            <v>0.5</v>
          </cell>
          <cell r="CX78">
            <v>0.5</v>
          </cell>
          <cell r="CY78">
            <v>0.5</v>
          </cell>
          <cell r="CZ78">
            <v>0.5</v>
          </cell>
          <cell r="DA78">
            <v>0.5</v>
          </cell>
          <cell r="DB78">
            <v>0.5</v>
          </cell>
          <cell r="DC78">
            <v>0.5</v>
          </cell>
          <cell r="DD78">
            <v>0.5</v>
          </cell>
          <cell r="DE78">
            <v>0.5</v>
          </cell>
          <cell r="DF78">
            <v>0.5</v>
          </cell>
          <cell r="DG78">
            <v>0.5</v>
          </cell>
          <cell r="DH78">
            <v>0.5</v>
          </cell>
          <cell r="DI78">
            <v>0.5</v>
          </cell>
          <cell r="DJ78">
            <v>0.5</v>
          </cell>
          <cell r="DK78">
            <v>0.5</v>
          </cell>
          <cell r="DL78">
            <v>0.5</v>
          </cell>
          <cell r="DM78">
            <v>0.5</v>
          </cell>
          <cell r="DN78">
            <v>0.5</v>
          </cell>
          <cell r="DO78">
            <v>0.5</v>
          </cell>
          <cell r="DP78">
            <v>0.5</v>
          </cell>
          <cell r="DQ78">
            <v>0.5</v>
          </cell>
          <cell r="DR78">
            <v>0.5</v>
          </cell>
          <cell r="DS78">
            <v>0.5</v>
          </cell>
          <cell r="DT78">
            <v>0.5</v>
          </cell>
          <cell r="DU78">
            <v>0.5</v>
          </cell>
          <cell r="DV78">
            <v>0.5</v>
          </cell>
          <cell r="DW78">
            <v>0.5</v>
          </cell>
          <cell r="DX78">
            <v>0.5</v>
          </cell>
          <cell r="DY78">
            <v>0.5</v>
          </cell>
          <cell r="DZ78">
            <v>0.5</v>
          </cell>
          <cell r="EA78">
            <v>0.5</v>
          </cell>
          <cell r="EB78">
            <v>0.5</v>
          </cell>
          <cell r="EC78">
            <v>0.5</v>
          </cell>
          <cell r="ED78">
            <v>0.5</v>
          </cell>
          <cell r="EE78">
            <v>0.5</v>
          </cell>
          <cell r="EF78">
            <v>0.5</v>
          </cell>
          <cell r="EG78">
            <v>0.5</v>
          </cell>
          <cell r="EH78">
            <v>0.5</v>
          </cell>
          <cell r="EI78">
            <v>0.5</v>
          </cell>
          <cell r="EJ78">
            <v>0.5</v>
          </cell>
          <cell r="EK78">
            <v>0.5</v>
          </cell>
          <cell r="EL78">
            <v>0.5</v>
          </cell>
          <cell r="EM78">
            <v>0.5</v>
          </cell>
          <cell r="EN78">
            <v>0.5</v>
          </cell>
          <cell r="EO78">
            <v>0.5</v>
          </cell>
          <cell r="EP78">
            <v>0.5</v>
          </cell>
          <cell r="EQ78">
            <v>0.5</v>
          </cell>
          <cell r="ER78">
            <v>0.5</v>
          </cell>
          <cell r="ES78">
            <v>0.5</v>
          </cell>
          <cell r="ET78">
            <v>0.5</v>
          </cell>
          <cell r="EU78">
            <v>0.5</v>
          </cell>
          <cell r="EV78">
            <v>0.5</v>
          </cell>
          <cell r="EW78">
            <v>0.5</v>
          </cell>
          <cell r="EX78">
            <v>0.5</v>
          </cell>
          <cell r="EY78">
            <v>0.5</v>
          </cell>
          <cell r="EZ78">
            <v>0.5</v>
          </cell>
          <cell r="FA78">
            <v>0.5</v>
          </cell>
          <cell r="FB78">
            <v>0.5</v>
          </cell>
          <cell r="FC78">
            <v>0.5</v>
          </cell>
          <cell r="FD78">
            <v>0.5</v>
          </cell>
          <cell r="FE78">
            <v>0.5</v>
          </cell>
          <cell r="FF78">
            <v>0.5</v>
          </cell>
          <cell r="FG78">
            <v>0.5</v>
          </cell>
          <cell r="FH78">
            <v>0.5</v>
          </cell>
          <cell r="FI78">
            <v>0.5</v>
          </cell>
          <cell r="FJ78">
            <v>0.5</v>
          </cell>
          <cell r="FK78">
            <v>0.5</v>
          </cell>
          <cell r="FL78">
            <v>0.5</v>
          </cell>
          <cell r="FM78">
            <v>0.5</v>
          </cell>
          <cell r="FN78">
            <v>0.5</v>
          </cell>
          <cell r="FO78">
            <v>0.5</v>
          </cell>
          <cell r="FP78">
            <v>0.5</v>
          </cell>
          <cell r="FQ78">
            <v>0.5</v>
          </cell>
          <cell r="FR78">
            <v>0.5</v>
          </cell>
          <cell r="FS78">
            <v>0.5</v>
          </cell>
          <cell r="FT78">
            <v>0.5</v>
          </cell>
          <cell r="FU78">
            <v>0.5</v>
          </cell>
          <cell r="FV78">
            <v>0.5</v>
          </cell>
          <cell r="FW78">
            <v>0.5</v>
          </cell>
          <cell r="FX78">
            <v>0.5</v>
          </cell>
          <cell r="FY78">
            <v>0.5</v>
          </cell>
          <cell r="FZ78">
            <v>0.5</v>
          </cell>
          <cell r="GA78">
            <v>0.5</v>
          </cell>
          <cell r="GB78">
            <v>0.5</v>
          </cell>
          <cell r="GC78">
            <v>0.5</v>
          </cell>
          <cell r="GD78">
            <v>0.5</v>
          </cell>
          <cell r="GE78">
            <v>0.5</v>
          </cell>
          <cell r="GF78">
            <v>0.5</v>
          </cell>
          <cell r="GG78">
            <v>0.5</v>
          </cell>
          <cell r="GH78">
            <v>0.5</v>
          </cell>
          <cell r="GI78">
            <v>0.5</v>
          </cell>
          <cell r="GJ78">
            <v>0.5</v>
          </cell>
          <cell r="GK78">
            <v>0.5</v>
          </cell>
          <cell r="GL78">
            <v>0.5</v>
          </cell>
          <cell r="GM78">
            <v>0.5</v>
          </cell>
          <cell r="GN78">
            <v>0.5</v>
          </cell>
          <cell r="GO78">
            <v>0.5</v>
          </cell>
          <cell r="GP78">
            <v>0.5</v>
          </cell>
          <cell r="GQ78">
            <v>0.5</v>
          </cell>
          <cell r="GR78">
            <v>0.5</v>
          </cell>
          <cell r="GS78">
            <v>0.5</v>
          </cell>
          <cell r="GT78">
            <v>0.5</v>
          </cell>
          <cell r="GU78">
            <v>0.5</v>
          </cell>
          <cell r="GV78">
            <v>0.5</v>
          </cell>
          <cell r="GW78">
            <v>0.5</v>
          </cell>
          <cell r="GX78">
            <v>0.5</v>
          </cell>
          <cell r="GY78">
            <v>0.5</v>
          </cell>
          <cell r="GZ78">
            <v>0.5</v>
          </cell>
          <cell r="HA78">
            <v>0.5</v>
          </cell>
          <cell r="HB78">
            <v>0.5</v>
          </cell>
          <cell r="HC78">
            <v>0.5</v>
          </cell>
          <cell r="HD78">
            <v>0.5</v>
          </cell>
          <cell r="HE78">
            <v>0.5</v>
          </cell>
          <cell r="HF78">
            <v>0.5</v>
          </cell>
          <cell r="HG78">
            <v>0.5</v>
          </cell>
          <cell r="HH78">
            <v>0.5</v>
          </cell>
          <cell r="HI78">
            <v>0.5</v>
          </cell>
          <cell r="HJ78">
            <v>0.5</v>
          </cell>
          <cell r="HK78">
            <v>0.5</v>
          </cell>
          <cell r="HL78">
            <v>0.5</v>
          </cell>
          <cell r="HM78">
            <v>0.5</v>
          </cell>
          <cell r="HN78">
            <v>0.5</v>
          </cell>
          <cell r="HO78">
            <v>0.5</v>
          </cell>
          <cell r="HP78">
            <v>0.5</v>
          </cell>
          <cell r="HQ78">
            <v>0.5</v>
          </cell>
          <cell r="HR78">
            <v>0.5</v>
          </cell>
          <cell r="HS78">
            <v>0.5</v>
          </cell>
          <cell r="HT78">
            <v>0.5</v>
          </cell>
          <cell r="HU78">
            <v>0.5</v>
          </cell>
          <cell r="HV78">
            <v>0.5</v>
          </cell>
          <cell r="HW78">
            <v>0.5</v>
          </cell>
          <cell r="HX78">
            <v>0.5</v>
          </cell>
          <cell r="HY78">
            <v>0.5</v>
          </cell>
          <cell r="HZ78">
            <v>0.5</v>
          </cell>
          <cell r="IA78">
            <v>0.5</v>
          </cell>
          <cell r="IB78">
            <v>0.5</v>
          </cell>
          <cell r="IC78">
            <v>0.5</v>
          </cell>
          <cell r="ID78">
            <v>0.5</v>
          </cell>
          <cell r="IE78">
            <v>0.5</v>
          </cell>
          <cell r="IF78">
            <v>0.5</v>
          </cell>
          <cell r="IG78">
            <v>0.5</v>
          </cell>
          <cell r="IH78">
            <v>0.5</v>
          </cell>
          <cell r="II78">
            <v>0.5</v>
          </cell>
          <cell r="IJ78">
            <v>0.5</v>
          </cell>
          <cell r="IK78">
            <v>0.5</v>
          </cell>
          <cell r="IL78">
            <v>0.5</v>
          </cell>
          <cell r="IM78">
            <v>0.5</v>
          </cell>
          <cell r="IN78">
            <v>0.5</v>
          </cell>
          <cell r="IO78">
            <v>0.5</v>
          </cell>
          <cell r="IP78">
            <v>0.5</v>
          </cell>
          <cell r="IQ78">
            <v>0.5</v>
          </cell>
        </row>
        <row r="80">
          <cell r="B80" t="str">
            <v>Equity Level</v>
          </cell>
        </row>
        <row r="81">
          <cell r="B81" t="str">
            <v>Net income</v>
          </cell>
          <cell r="C81">
            <v>2470.0000000000005</v>
          </cell>
          <cell r="D81">
            <v>2446</v>
          </cell>
          <cell r="E81">
            <v>3652.5412321062322</v>
          </cell>
          <cell r="F81">
            <v>4652.9108749942925</v>
          </cell>
          <cell r="G81">
            <v>5062.488306471445</v>
          </cell>
          <cell r="H81">
            <v>5399.0934197078222</v>
          </cell>
          <cell r="I81">
            <v>5920.1868903562117</v>
          </cell>
          <cell r="J81">
            <v>6023.8244522786154</v>
          </cell>
          <cell r="K81">
            <v>6569.6396380615097</v>
          </cell>
          <cell r="L81">
            <v>7383.339255863164</v>
          </cell>
          <cell r="M81">
            <v>7635.3350478756984</v>
          </cell>
          <cell r="N81">
            <v>7805.5265945160754</v>
          </cell>
          <cell r="O81">
            <v>7824.9042076535061</v>
          </cell>
          <cell r="P81">
            <v>7847.1394213938456</v>
          </cell>
          <cell r="Q81">
            <v>7863.8700887711548</v>
          </cell>
          <cell r="R81">
            <v>7833.6157697041835</v>
          </cell>
          <cell r="S81">
            <v>8024.5332297943587</v>
          </cell>
          <cell r="T81">
            <v>8101.0290411758142</v>
          </cell>
          <cell r="U81">
            <v>8179.3219152154234</v>
          </cell>
          <cell r="V81">
            <v>8259.4452107958368</v>
          </cell>
          <cell r="W81">
            <v>8341.4328931827877</v>
          </cell>
          <cell r="X81">
            <v>8425.319550707738</v>
          </cell>
          <cell r="Y81">
            <v>8511.1404116991253</v>
          </cell>
          <cell r="Z81">
            <v>8598.9313616586533</v>
          </cell>
          <cell r="AA81">
            <v>8688.7289606799459</v>
          </cell>
          <cell r="AB81">
            <v>8780.5704611078127</v>
          </cell>
          <cell r="AC81">
            <v>8874.4938254370827</v>
          </cell>
          <cell r="AD81">
            <v>8970.5377444509195</v>
          </cell>
          <cell r="AE81">
            <v>9068.7416555991931</v>
          </cell>
          <cell r="AF81">
            <v>9169.1457616183998</v>
          </cell>
          <cell r="AG81">
            <v>9271.7910493952495</v>
          </cell>
          <cell r="AH81">
            <v>9376.719309076856</v>
          </cell>
          <cell r="AI81">
            <v>9483.9731534310631</v>
          </cell>
          <cell r="AJ81">
            <v>9593.5960374612132</v>
          </cell>
          <cell r="AK81">
            <v>9705.6322782801853</v>
          </cell>
          <cell r="AL81">
            <v>9820.1270752492037</v>
          </cell>
          <cell r="AM81">
            <v>9937.1265303874625</v>
          </cell>
          <cell r="AN81">
            <v>10056.677669059138</v>
          </cell>
          <cell r="AO81">
            <v>10178.828460944898</v>
          </cell>
          <cell r="AP81">
            <v>10303.627841305461</v>
          </cell>
          <cell r="AQ81">
            <v>10431.125732545259</v>
          </cell>
          <cell r="AR81">
            <v>10561.373066084619</v>
          </cell>
          <cell r="AS81">
            <v>10694.421804549356</v>
          </cell>
          <cell r="AT81">
            <v>10830.324964286956</v>
          </cell>
          <cell r="AU81">
            <v>10969.136638218977</v>
          </cell>
          <cell r="AV81">
            <v>11110.912019039553</v>
          </cell>
          <cell r="AW81">
            <v>11255.707422770223</v>
          </cell>
          <cell r="AX81">
            <v>11403.580312681659</v>
          </cell>
          <cell r="AY81">
            <v>11554.589323592991</v>
          </cell>
          <cell r="AZ81">
            <v>11708.794286559911</v>
          </cell>
          <cell r="BA81">
            <v>11866.256253962803</v>
          </cell>
          <cell r="BB81">
            <v>12027.037525006435</v>
          </cell>
          <cell r="BC81">
            <v>12191.201671643059</v>
          </cell>
          <cell r="BD81">
            <v>12358.813564930864</v>
          </cell>
          <cell r="BE81">
            <v>12529.93940184</v>
          </cell>
          <cell r="BF81">
            <v>12704.646732518611</v>
          </cell>
          <cell r="BG81">
            <v>12883.004488031451</v>
          </cell>
          <cell r="BH81">
            <v>13065.083008583888</v>
          </cell>
          <cell r="BI81">
            <v>13250.954072244333</v>
          </cell>
          <cell r="BJ81">
            <v>13440.690924178221</v>
          </cell>
          <cell r="BK81">
            <v>13634.368306406914</v>
          </cell>
          <cell r="BL81">
            <v>13832.062488105101</v>
          </cell>
          <cell r="BM81">
            <v>14033.851296450435</v>
          </cell>
          <cell r="BN81">
            <v>14239.814148039259</v>
          </cell>
          <cell r="BO81">
            <v>14450.032080882613</v>
          </cell>
          <cell r="BP81">
            <v>14664.587786996775</v>
          </cell>
          <cell r="BQ81">
            <v>14883.56564560283</v>
          </cell>
          <cell r="BR81">
            <v>15107.051756949944</v>
          </cell>
          <cell r="BS81">
            <v>15335.133976777233</v>
          </cell>
          <cell r="BT81">
            <v>15567.901951429374</v>
          </cell>
          <cell r="BU81">
            <v>15805.447153641115</v>
          </cell>
          <cell r="BV81">
            <v>16047.862919006355</v>
          </cell>
          <cell r="BW81">
            <v>16295.244483147437</v>
          </cell>
          <cell r="BX81">
            <v>16547.689019600606</v>
          </cell>
          <cell r="BY81">
            <v>16805.295678433886</v>
          </cell>
          <cell r="BZ81">
            <v>17068.165625613743</v>
          </cell>
          <cell r="CA81">
            <v>17336.402083137255</v>
          </cell>
          <cell r="CB81">
            <v>17610.110369946662</v>
          </cell>
          <cell r="CC81">
            <v>17889.397943643569</v>
          </cell>
          <cell r="CD81">
            <v>18174.374443020173</v>
          </cell>
          <cell r="CE81">
            <v>18465.151731425292</v>
          </cell>
          <cell r="CF81">
            <v>18761.843940983221</v>
          </cell>
          <cell r="CG81">
            <v>19064.567517683667</v>
          </cell>
          <cell r="CH81">
            <v>19373.441267361453</v>
          </cell>
          <cell r="CI81">
            <v>19688.586402584835</v>
          </cell>
          <cell r="CJ81">
            <v>20010.126590471675</v>
          </cell>
          <cell r="CK81">
            <v>20338.188001453127</v>
          </cell>
          <cell r="CL81">
            <v>20672.899359004532</v>
          </cell>
          <cell r="CM81">
            <v>21014.391990363998</v>
          </cell>
          <cell r="CN81">
            <v>21362.799878259048</v>
          </cell>
          <cell r="CO81">
            <v>21718.259713662417</v>
          </cell>
          <cell r="CP81">
            <v>22080.910949598318</v>
          </cell>
          <cell r="CQ81">
            <v>22450.895856020743</v>
          </cell>
          <cell r="CR81">
            <v>22828.359575786169</v>
          </cell>
          <cell r="CS81">
            <v>23213.450181742861</v>
          </cell>
          <cell r="CT81">
            <v>23606.318734959881</v>
          </cell>
          <cell r="CU81">
            <v>24007.119344119117</v>
          </cell>
          <cell r="CV81">
            <v>24416.009226093978</v>
          </cell>
          <cell r="CW81">
            <v>24833.148767739134</v>
          </cell>
          <cell r="CX81">
            <v>25258.701588915774</v>
          </cell>
          <cell r="CY81">
            <v>25692.834606777658</v>
          </cell>
          <cell r="CZ81">
            <v>26135.718101343446</v>
          </cell>
          <cell r="DA81">
            <v>26587.525782381468</v>
          </cell>
          <cell r="DB81">
            <v>27048.434857633423</v>
          </cell>
          <cell r="DC81">
            <v>27518.626102404189</v>
          </cell>
          <cell r="DD81">
            <v>27998.283930545225</v>
          </cell>
          <cell r="DE81">
            <v>28487.596466859806</v>
          </cell>
          <cell r="DF81">
            <v>28986.755620958731</v>
          </cell>
          <cell r="DG81">
            <v>29495.957162595631</v>
          </cell>
          <cell r="DH81">
            <v>30015.400798511881</v>
          </cell>
          <cell r="DI81">
            <v>30545.29025082129</v>
          </cell>
          <cell r="DJ81">
            <v>31085.833336965581</v>
          </cell>
          <cell r="DK81">
            <v>31637.242051272322</v>
          </cell>
          <cell r="DL81">
            <v>32199.732648147401</v>
          </cell>
          <cell r="DM81">
            <v>32773.525726934851</v>
          </cell>
          <cell r="DN81">
            <v>33358.846318477539</v>
          </cell>
          <cell r="DO81">
            <v>33955.92397341282</v>
          </cell>
          <cell r="DP81">
            <v>34564.992852237927</v>
          </cell>
          <cell r="DQ81">
            <v>35186.291817180543</v>
          </cell>
          <cell r="DR81">
            <v>35820.064525910806</v>
          </cell>
          <cell r="DS81">
            <v>36466.559527131561</v>
          </cell>
          <cell r="DT81">
            <v>37126.03035808447</v>
          </cell>
          <cell r="DU81">
            <v>37798.735644010434</v>
          </cell>
          <cell r="DV81">
            <v>38484.939199603301</v>
          </cell>
          <cell r="DW81">
            <v>39184.910132496894</v>
          </cell>
          <cell r="DX81">
            <v>39898.922948825944</v>
          </cell>
          <cell r="DY81">
            <v>40627.257660902469</v>
          </cell>
          <cell r="DZ81">
            <v>41370.199897049933</v>
          </cell>
          <cell r="EA81">
            <v>42128.041013638278</v>
          </cell>
          <cell r="EB81">
            <v>42901.078209363863</v>
          </cell>
          <cell r="EC81">
            <v>43689.614641819353</v>
          </cell>
          <cell r="ED81">
            <v>44493.959546399034</v>
          </cell>
          <cell r="EE81">
            <v>45314.428357586577</v>
          </cell>
          <cell r="EF81">
            <v>46151.342832672693</v>
          </cell>
          <cell r="EG81">
            <v>47005.031177951256</v>
          </cell>
          <cell r="EH81">
            <v>47875.828177443553</v>
          </cell>
          <cell r="EI81">
            <v>48764.075324201091</v>
          </cell>
          <cell r="EJ81">
            <v>49670.120954238577</v>
          </cell>
          <cell r="EK81">
            <v>50594.320383149534</v>
          </cell>
          <cell r="EL81">
            <v>51537.036045458277</v>
          </cell>
          <cell r="EM81">
            <v>52498.637636763044</v>
          </cell>
          <cell r="EN81">
            <v>53479.502258725668</v>
          </cell>
          <cell r="EO81">
            <v>54480.014566965132</v>
          </cell>
          <cell r="EP81">
            <v>55500.566921912883</v>
          </cell>
          <cell r="EQ81">
            <v>56541.559542688912</v>
          </cell>
          <cell r="ER81">
            <v>57603.400664059307</v>
          </cell>
          <cell r="ES81">
            <v>58686.506696536562</v>
          </cell>
          <cell r="ET81">
            <v>59791.302389685734</v>
          </cell>
          <cell r="EU81">
            <v>60918.220998700148</v>
          </cell>
          <cell r="EV81">
            <v>62067.704454312421</v>
          </cell>
          <cell r="EW81">
            <v>63240.203536107183</v>
          </cell>
          <cell r="EX81">
            <v>64436.178049303584</v>
          </cell>
          <cell r="EY81">
            <v>65656.097005076837</v>
          </cell>
          <cell r="EZ81">
            <v>66900.438804489662</v>
          </cell>
          <cell r="FA81">
            <v>68169.691426105783</v>
          </cell>
          <cell r="FB81">
            <v>69464.352617358862</v>
          </cell>
          <cell r="FC81">
            <v>70784.930089752248</v>
          </cell>
          <cell r="FD81">
            <v>72131.941717965805</v>
          </cell>
          <cell r="FE81">
            <v>73505.915742948157</v>
          </cell>
          <cell r="FF81">
            <v>74907.390979073782</v>
          </cell>
          <cell r="FG81">
            <v>76336.917025446397</v>
          </cell>
          <cell r="FH81">
            <v>77795.05448143158</v>
          </cell>
          <cell r="FI81">
            <v>79282.375166502665</v>
          </cell>
          <cell r="FJ81">
            <v>80799.462344486863</v>
          </cell>
          <cell r="FK81">
            <v>82346.910952299004</v>
          </cell>
          <cell r="FL81">
            <v>83925.327833252828</v>
          </cell>
          <cell r="FM81">
            <v>85535.331975041234</v>
          </cell>
          <cell r="FN81">
            <v>87177.554752479031</v>
          </cell>
          <cell r="FO81">
            <v>88852.640175103181</v>
          </cell>
          <cell r="FP81">
            <v>90561.245139727587</v>
          </cell>
          <cell r="FQ81">
            <v>92304.039688051751</v>
          </cell>
          <cell r="FR81">
            <v>94081.707269424136</v>
          </cell>
          <cell r="FS81">
            <v>95894.945008863302</v>
          </cell>
          <cell r="FT81">
            <v>97744.463980441869</v>
          </cell>
          <cell r="FU81">
            <v>99630.989486140752</v>
          </cell>
          <cell r="FV81">
            <v>101555.26134028281</v>
          </cell>
          <cell r="FW81">
            <v>103518.03415965741</v>
          </cell>
          <cell r="FX81">
            <v>105520.07765945014</v>
          </cell>
          <cell r="FY81">
            <v>107562.1769550928</v>
          </cell>
          <cell r="FZ81">
            <v>109645.13287015328</v>
          </cell>
          <cell r="GA81">
            <v>111769.76225038506</v>
          </cell>
          <cell r="GB81">
            <v>113936.89828405976</v>
          </cell>
          <cell r="GC81">
            <v>116147.3908287089</v>
          </cell>
          <cell r="GD81">
            <v>118402.10674440202</v>
          </cell>
          <cell r="GE81">
            <v>120701.93023369288</v>
          </cell>
          <cell r="GF81">
            <v>123047.76318836627</v>
          </cell>
          <cell r="GG81">
            <v>125440.52554312188</v>
          </cell>
          <cell r="GH81">
            <v>127881.15563633373</v>
          </cell>
          <cell r="GI81">
            <v>130370.61057802675</v>
          </cell>
          <cell r="GJ81">
            <v>132909.86662521449</v>
          </cell>
          <cell r="GK81">
            <v>135499.91956474603</v>
          </cell>
          <cell r="GL81">
            <v>138141.78510381072</v>
          </cell>
          <cell r="GM81">
            <v>140836.49926825557</v>
          </cell>
          <cell r="GN81">
            <v>143585.11880887035</v>
          </cell>
          <cell r="GO81">
            <v>146388.72161580011</v>
          </cell>
          <cell r="GP81">
            <v>149248.40714124776</v>
          </cell>
          <cell r="GQ81">
            <v>152165.29683063194</v>
          </cell>
          <cell r="GR81">
            <v>155140.53456237039</v>
          </cell>
          <cell r="GS81">
            <v>158175.28709645968</v>
          </cell>
          <cell r="GT81">
            <v>161270.74453202871</v>
          </cell>
          <cell r="GU81">
            <v>164428.12077404466</v>
          </cell>
          <cell r="GV81">
            <v>167648.6540093543</v>
          </cell>
          <cell r="GW81">
            <v>170933.60719224784</v>
          </cell>
          <cell r="GX81">
            <v>174284.26853973547</v>
          </cell>
          <cell r="GY81">
            <v>177701.95203673054</v>
          </cell>
          <cell r="GZ81">
            <v>181187.99795133839</v>
          </cell>
          <cell r="HA81">
            <v>184743.77336045148</v>
          </cell>
          <cell r="HB81">
            <v>188370.67268585868</v>
          </cell>
          <cell r="HC81">
            <v>192070.118241077</v>
          </cell>
          <cell r="HD81">
            <v>195843.56078912236</v>
          </cell>
          <cell r="HE81">
            <v>199692.4801114361</v>
          </cell>
          <cell r="HF81">
            <v>203618.38558819151</v>
          </cell>
          <cell r="HG81">
            <v>207622.81679020828</v>
          </cell>
          <cell r="HH81">
            <v>211707.34408270541</v>
          </cell>
          <cell r="HI81">
            <v>215873.56924113107</v>
          </cell>
          <cell r="HJ81">
            <v>220123.12607931002</v>
          </cell>
          <cell r="HK81">
            <v>224457.68109015486</v>
          </cell>
          <cell r="HL81">
            <v>228878.93409919302</v>
          </cell>
          <cell r="HM81">
            <v>233388.61893116499</v>
          </cell>
          <cell r="HN81">
            <v>237988.50408995562</v>
          </cell>
          <cell r="HO81">
            <v>242680.39345212549</v>
          </cell>
          <cell r="HP81">
            <v>247466.126974313</v>
          </cell>
          <cell r="HQ81">
            <v>252347.58141478681</v>
          </cell>
          <cell r="HR81">
            <v>257326.67106942882</v>
          </cell>
          <cell r="HS81">
            <v>262405.34852243919</v>
          </cell>
          <cell r="HT81">
            <v>267585.60541205516</v>
          </cell>
          <cell r="HU81">
            <v>272869.47321158618</v>
          </cell>
          <cell r="HV81">
            <v>278259.02402606985</v>
          </cell>
          <cell r="HW81">
            <v>283756.37140486226</v>
          </cell>
          <cell r="HX81">
            <v>289363.67117048113</v>
          </cell>
          <cell r="HY81">
            <v>295083.12226402614</v>
          </cell>
          <cell r="HZ81">
            <v>300916.96760750911</v>
          </cell>
          <cell r="IA81">
            <v>306867.4949834313</v>
          </cell>
          <cell r="IB81">
            <v>312937.03793195268</v>
          </cell>
          <cell r="IC81">
            <v>319127.97666600649</v>
          </cell>
          <cell r="ID81">
            <v>325442.73900471523</v>
          </cell>
          <cell r="IE81">
            <v>331883.80132547731</v>
          </cell>
          <cell r="IF81">
            <v>338453.6895350953</v>
          </cell>
          <cell r="IG81">
            <v>345154.98006032751</v>
          </cell>
          <cell r="IH81">
            <v>351990.30085825158</v>
          </cell>
          <cell r="II81">
            <v>358962.33244683588</v>
          </cell>
          <cell r="IJ81">
            <v>366073.80895612307</v>
          </cell>
          <cell r="IK81">
            <v>373327.51920043788</v>
          </cell>
          <cell r="IL81">
            <v>380726.30777204019</v>
          </cell>
          <cell r="IM81">
            <v>388273.07615665079</v>
          </cell>
          <cell r="IN81">
            <v>395970.78387128963</v>
          </cell>
          <cell r="IO81">
            <v>403822.44962487026</v>
          </cell>
          <cell r="IP81">
            <v>411831.15250200743</v>
          </cell>
          <cell r="IQ81">
            <v>420000.03317050141</v>
          </cell>
          <cell r="IR81">
            <v>428332.29511297215</v>
          </cell>
        </row>
        <row r="82">
          <cell r="B82" t="str">
            <v>Equity</v>
          </cell>
          <cell r="C82">
            <v>19233</v>
          </cell>
          <cell r="D82">
            <v>18490</v>
          </cell>
          <cell r="E82">
            <v>20571.340396906231</v>
          </cell>
          <cell r="F82">
            <v>23579.369377370527</v>
          </cell>
          <cell r="G82">
            <v>26683.85378437542</v>
          </cell>
          <cell r="H82">
            <v>29969.3820708967</v>
          </cell>
          <cell r="I82">
            <v>33645.668719847701</v>
          </cell>
          <cell r="J82">
            <v>37230.362244186828</v>
          </cell>
          <cell r="K82">
            <v>41311.019506629927</v>
          </cell>
          <cell r="L82">
            <v>45999.997683798087</v>
          </cell>
          <cell r="M82">
            <v>42452.315875217544</v>
          </cell>
          <cell r="N82">
            <v>38510.505058258517</v>
          </cell>
          <cell r="O82">
            <v>35278.550256615687</v>
          </cell>
          <cell r="P82">
            <v>32534.733972594535</v>
          </cell>
          <cell r="Q82">
            <v>30295.408881596944</v>
          </cell>
          <cell r="R82">
            <v>32541.496647363707</v>
          </cell>
          <cell r="S82">
            <v>33441.44736949847</v>
          </cell>
          <cell r="T82">
            <v>34362.540005258583</v>
          </cell>
          <cell r="U82">
            <v>35305.167012086989</v>
          </cell>
          <cell r="V82">
            <v>36269.727981345219</v>
          </cell>
          <cell r="W82">
            <v>37256.629834579922</v>
          </cell>
          <cell r="X82">
            <v>38266.287022713921</v>
          </cell>
          <cell r="Y82">
            <v>39299.121728120117</v>
          </cell>
          <cell r="Z82">
            <v>40355.564069547087</v>
          </cell>
          <cell r="AA82">
            <v>41436.052309874918</v>
          </cell>
          <cell r="AB82">
            <v>42541.033066689881</v>
          </cell>
          <cell r="AC82">
            <v>43670.961525676204</v>
          </cell>
          <cell r="AD82">
            <v>44826.301656832358</v>
          </cell>
          <cell r="AE82">
            <v>46007.526433528896</v>
          </cell>
          <cell r="AF82">
            <v>47215.118054433027</v>
          </cell>
          <cell r="AG82">
            <v>48449.568168334263</v>
          </cell>
          <cell r="AH82">
            <v>49711.378101913178</v>
          </cell>
          <cell r="AI82">
            <v>51001.059090503171</v>
          </cell>
          <cell r="AJ82">
            <v>52319.132511902855</v>
          </cell>
          <cell r="AK82">
            <v>53666.130123303068</v>
          </cell>
          <cell r="AL82">
            <v>55042.594301400233</v>
          </cell>
          <cell r="AM82">
            <v>56449.078285772885</v>
          </cell>
          <cell r="AN82">
            <v>57886.146425605351</v>
          </cell>
          <cell r="AO82">
            <v>59354.374429847267</v>
          </cell>
          <cell r="AP82">
            <v>60854.349620903704</v>
          </cell>
          <cell r="AQ82">
            <v>62386.671191955014</v>
          </cell>
          <cell r="AR82">
            <v>63951.950468010735</v>
          </cell>
          <cell r="AS82">
            <v>65550.811170806031</v>
          </cell>
          <cell r="AT82">
            <v>67183.88968765334</v>
          </cell>
          <cell r="AU82">
            <v>68851.835344365987</v>
          </cell>
          <cell r="AV82">
            <v>70555.310682373893</v>
          </cell>
          <cell r="AW82">
            <v>72294.991740155485</v>
          </cell>
          <cell r="AX82">
            <v>74071.568339112317</v>
          </cell>
          <cell r="AY82">
            <v>75885.744374017275</v>
          </cell>
          <cell r="AZ82">
            <v>77738.238108168938</v>
          </cell>
          <cell r="BA82">
            <v>79629.782473388143</v>
          </cell>
          <cell r="BB82">
            <v>81561.125374995478</v>
          </cell>
          <cell r="BC82">
            <v>83533.030001910825</v>
          </cell>
          <cell r="BD82">
            <v>85546.275142018319</v>
          </cell>
          <cell r="BE82">
            <v>87601.655502943162</v>
          </cell>
          <cell r="BF82">
            <v>89699.98203838832</v>
          </cell>
          <cell r="BG82">
            <v>91842.082280181698</v>
          </cell>
          <cell r="BH82">
            <v>94028.800676186933</v>
          </cell>
          <cell r="BI82">
            <v>96260.998934232688</v>
          </cell>
          <cell r="BJ82">
            <v>98539.556372217296</v>
          </cell>
          <cell r="BK82">
            <v>100865.37027454893</v>
          </cell>
          <cell r="BL82">
            <v>103239.35625508225</v>
          </cell>
          <cell r="BM82">
            <v>105662.44862671547</v>
          </cell>
          <cell r="BN82">
            <v>108135.60077781376</v>
          </cell>
          <cell r="BO82">
            <v>110659.78555562744</v>
          </cell>
          <cell r="BP82">
            <v>113235.99565687515</v>
          </cell>
          <cell r="BQ82">
            <v>115865.2440256647</v>
          </cell>
          <cell r="BR82">
            <v>118548.56425892694</v>
          </cell>
          <cell r="BS82">
            <v>121287.01101954035</v>
          </cell>
          <cell r="BT82">
            <v>124081.66045732553</v>
          </cell>
          <cell r="BU82">
            <v>126933.61063809309</v>
          </cell>
          <cell r="BV82">
            <v>129843.98198092933</v>
          </cell>
          <cell r="BW82">
            <v>132813.91770390779</v>
          </cell>
          <cell r="BX82">
            <v>135844.58427841697</v>
          </cell>
          <cell r="BY82">
            <v>138937.17189229766</v>
          </cell>
          <cell r="BZ82">
            <v>142092.89492198601</v>
          </cell>
          <cell r="CA82">
            <v>145312.99241386139</v>
          </cell>
          <cell r="CB82">
            <v>148598.72857500147</v>
          </cell>
          <cell r="CC82">
            <v>151951.39327354977</v>
          </cell>
          <cell r="CD82">
            <v>155372.30254890412</v>
          </cell>
          <cell r="CE82">
            <v>158862.79913193858</v>
          </cell>
          <cell r="CF82">
            <v>162424.25297547324</v>
          </cell>
          <cell r="CG82">
            <v>166058.06179521189</v>
          </cell>
          <cell r="CH82">
            <v>169765.6516213693</v>
          </cell>
          <cell r="CI82">
            <v>173548.47736121449</v>
          </cell>
          <cell r="CJ82">
            <v>177408.02337276097</v>
          </cell>
          <cell r="CK82">
            <v>181345.80404983636</v>
          </cell>
          <cell r="CL82">
            <v>185363.36441877123</v>
          </cell>
          <cell r="CM82">
            <v>189462.28074694829</v>
          </cell>
          <cell r="CN82">
            <v>193644.16116345851</v>
          </cell>
          <cell r="CO82">
            <v>197910.64629211614</v>
          </cell>
          <cell r="CP82">
            <v>202263.40989708589</v>
          </cell>
          <cell r="CQ82">
            <v>206704.15954138502</v>
          </cell>
          <cell r="CR82">
            <v>211234.63725852256</v>
          </cell>
          <cell r="CS82">
            <v>215856.62023754636</v>
          </cell>
          <cell r="CT82">
            <v>220571.92152177263</v>
          </cell>
          <cell r="CU82">
            <v>225382.3907214769</v>
          </cell>
          <cell r="CV82">
            <v>230289.91474083168</v>
          </cell>
          <cell r="CW82">
            <v>235296.41851938039</v>
          </cell>
          <cell r="CX82">
            <v>240403.86578834371</v>
          </cell>
          <cell r="CY82">
            <v>245614.25984205885</v>
          </cell>
          <cell r="CZ82">
            <v>250929.64432485911</v>
          </cell>
          <cell r="DA82">
            <v>256352.10403370569</v>
          </cell>
          <cell r="DB82">
            <v>261883.76573689116</v>
          </cell>
          <cell r="DC82">
            <v>267526.79900913866</v>
          </cell>
          <cell r="DD82">
            <v>273283.41708342783</v>
          </cell>
          <cell r="DE82">
            <v>279155.87771988573</v>
          </cell>
          <cell r="DF82">
            <v>285146.48409208452</v>
          </cell>
          <cell r="DG82">
            <v>291257.58569109929</v>
          </cell>
          <cell r="DH82">
            <v>297491.57924768055</v>
          </cell>
          <cell r="DI82">
            <v>303850.9096729075</v>
          </cell>
          <cell r="DJ82">
            <v>310338.07101769274</v>
          </cell>
          <cell r="DK82">
            <v>316955.60745151719</v>
          </cell>
          <cell r="DL82">
            <v>323706.11426078132</v>
          </cell>
          <cell r="DM82">
            <v>330592.23886716581</v>
          </cell>
          <cell r="DN82">
            <v>337616.68186640448</v>
          </cell>
          <cell r="DO82">
            <v>344782.19808787626</v>
          </cell>
          <cell r="DP82">
            <v>352091.59767543647</v>
          </cell>
          <cell r="DQ82">
            <v>359547.74718991021</v>
          </cell>
          <cell r="DR82">
            <v>367153.57073368382</v>
          </cell>
          <cell r="DS82">
            <v>374912.05109783565</v>
          </cell>
          <cell r="DT82">
            <v>382826.23093225877</v>
          </cell>
          <cell r="DU82">
            <v>390899.21393923368</v>
          </cell>
          <cell r="DV82">
            <v>399134.16609092295</v>
          </cell>
          <cell r="DW82">
            <v>407534.31687126472</v>
          </cell>
          <cell r="DX82">
            <v>416102.96054275328</v>
          </cell>
          <cell r="DY82">
            <v>424843.45743860578</v>
          </cell>
          <cell r="DZ82">
            <v>433759.23528082157</v>
          </cell>
          <cell r="EA82">
            <v>442853.79052465199</v>
          </cell>
          <cell r="EB82">
            <v>452130.68973001069</v>
          </cell>
          <cell r="EC82">
            <v>461593.57096035994</v>
          </cell>
          <cell r="ED82">
            <v>471246.14520962519</v>
          </cell>
          <cell r="EE82">
            <v>481092.19785769709</v>
          </cell>
          <cell r="EF82">
            <v>491135.59015509189</v>
          </cell>
          <cell r="EG82">
            <v>501380.26073735423</v>
          </cell>
          <cell r="EH82">
            <v>511830.22716979589</v>
          </cell>
          <cell r="EI82">
            <v>522489.58752317802</v>
          </cell>
          <cell r="EJ82">
            <v>533362.52198095398</v>
          </cell>
          <cell r="EK82">
            <v>544453.29447870399</v>
          </cell>
          <cell r="EL82">
            <v>555766.25437640713</v>
          </cell>
          <cell r="EM82">
            <v>567305.83816420264</v>
          </cell>
          <cell r="EN82">
            <v>579076.57120231399</v>
          </cell>
          <cell r="EO82">
            <v>591083.06949581695</v>
          </cell>
          <cell r="EP82">
            <v>603330.04150494665</v>
          </cell>
          <cell r="EQ82">
            <v>615822.28999165713</v>
          </cell>
          <cell r="ER82">
            <v>628564.71390315436</v>
          </cell>
          <cell r="ES82">
            <v>641562.31029314455</v>
          </cell>
          <cell r="ET82">
            <v>654820.17628154939</v>
          </cell>
          <cell r="EU82">
            <v>668343.51105345855</v>
          </cell>
          <cell r="EV82">
            <v>682137.61789810285</v>
          </cell>
          <cell r="EW82">
            <v>696207.90628864872</v>
          </cell>
          <cell r="EX82">
            <v>710559.89400362817</v>
          </cell>
          <cell r="EY82">
            <v>725199.20929083775</v>
          </cell>
          <cell r="EZ82">
            <v>740131.59307455679</v>
          </cell>
          <cell r="FA82">
            <v>755362.90120694588</v>
          </cell>
          <cell r="FB82">
            <v>770899.10676451528</v>
          </cell>
          <cell r="FC82">
            <v>786746.30239055713</v>
          </cell>
          <cell r="FD82">
            <v>802910.70268446719</v>
          </cell>
          <cell r="FE82">
            <v>819398.64663888619</v>
          </cell>
          <cell r="FF82">
            <v>836216.60012562294</v>
          </cell>
          <cell r="FG82">
            <v>853371.15843133081</v>
          </cell>
          <cell r="FH82">
            <v>870869.04884393187</v>
          </cell>
          <cell r="FI82">
            <v>888717.13329080492</v>
          </cell>
          <cell r="FJ82">
            <v>906922.41102977132</v>
          </cell>
          <cell r="FK82">
            <v>925492.02139393392</v>
          </cell>
          <cell r="FL82">
            <v>944433.24659144448</v>
          </cell>
          <cell r="FM82">
            <v>963753.51456130098</v>
          </cell>
          <cell r="FN82">
            <v>983460.40188629099</v>
          </cell>
          <cell r="FO82">
            <v>1003561.6367642251</v>
          </cell>
          <cell r="FP82">
            <v>1024065.102038627</v>
          </cell>
          <cell r="FQ82">
            <v>1044978.8382900669</v>
          </cell>
          <cell r="FR82">
            <v>1066311.046989351</v>
          </cell>
          <cell r="FS82">
            <v>1088070.0937138048</v>
          </cell>
          <cell r="FT82">
            <v>1110264.5114279094</v>
          </cell>
          <cell r="FU82">
            <v>1132903.0038295805</v>
          </cell>
          <cell r="FV82">
            <v>1155994.4487633996</v>
          </cell>
          <cell r="FW82">
            <v>1179547.9017021374</v>
          </cell>
          <cell r="FX82">
            <v>1203572.5992979335</v>
          </cell>
          <cell r="FY82">
            <v>1228077.9630045274</v>
          </cell>
          <cell r="FZ82">
            <v>1253073.60277196</v>
          </cell>
          <cell r="GA82">
            <v>1278569.3208151918</v>
          </cell>
          <cell r="GB82">
            <v>1304575.1154581227</v>
          </cell>
          <cell r="GC82">
            <v>1331101.1850545125</v>
          </cell>
          <cell r="GD82">
            <v>1358157.9319873461</v>
          </cell>
          <cell r="GE82">
            <v>1385755.9667482097</v>
          </cell>
          <cell r="GF82">
            <v>1413906.1120982755</v>
          </cell>
          <cell r="GG82">
            <v>1442619.4073125327</v>
          </cell>
          <cell r="GH82">
            <v>1471907.112508921</v>
          </cell>
          <cell r="GI82">
            <v>1501780.713064071</v>
          </cell>
          <cell r="GJ82">
            <v>1532251.9241173833</v>
          </cell>
          <cell r="GK82">
            <v>1563332.695165203</v>
          </cell>
          <cell r="GL82">
            <v>1595035.2147469071</v>
          </cell>
          <cell r="GM82">
            <v>1627371.9152247282</v>
          </cell>
          <cell r="GN82">
            <v>1660355.4776591959</v>
          </cell>
          <cell r="GO82">
            <v>1693998.8367821092</v>
          </cell>
          <cell r="GP82">
            <v>1728315.1860689821</v>
          </cell>
          <cell r="GQ82">
            <v>1763317.982912964</v>
          </cell>
          <cell r="GR82">
            <v>1799020.9539022495</v>
          </cell>
          <cell r="GS82">
            <v>1835438.1002030617</v>
          </cell>
          <cell r="GT82">
            <v>1872583.7030503082</v>
          </cell>
          <cell r="GU82">
            <v>1910472.3293480687</v>
          </cell>
          <cell r="GV82">
            <v>1949118.8373821105</v>
          </cell>
          <cell r="GW82">
            <v>1988538.3826466706</v>
          </cell>
          <cell r="GX82">
            <v>2028746.4237877892</v>
          </cell>
          <cell r="GY82">
            <v>2069758.7286655286</v>
          </cell>
          <cell r="GZ82">
            <v>2111591.3805374475</v>
          </cell>
          <cell r="HA82">
            <v>2154260.7843657671</v>
          </cell>
          <cell r="HB82">
            <v>2197783.6732506887</v>
          </cell>
          <cell r="HC82">
            <v>2242177.1149923988</v>
          </cell>
          <cell r="HD82">
            <v>2287458.5187843251</v>
          </cell>
          <cell r="HE82">
            <v>2333645.6420402713</v>
          </cell>
          <cell r="HF82">
            <v>2380756.5973581155</v>
          </cell>
          <cell r="HG82">
            <v>2428809.8596227877</v>
          </cell>
          <cell r="HH82">
            <v>2477824.2732513249</v>
          </cell>
          <cell r="HI82">
            <v>2527819.059582842</v>
          </cell>
          <cell r="HJ82">
            <v>2578813.824416311</v>
          </cell>
          <cell r="HK82">
            <v>2630828.5656991126</v>
          </cell>
          <cell r="HL82">
            <v>2683883.6813693712</v>
          </cell>
          <cell r="HM82">
            <v>2737999.9773551435</v>
          </cell>
          <cell r="HN82">
            <v>2793198.6757336124</v>
          </cell>
          <cell r="HO82">
            <v>2849501.4230534658</v>
          </cell>
          <cell r="HP82">
            <v>2906930.2988237459</v>
          </cell>
          <cell r="HQ82">
            <v>2965507.8241724758</v>
          </cell>
          <cell r="HR82">
            <v>3025256.9706784799</v>
          </cell>
          <cell r="HS82">
            <v>3086201.1693798439</v>
          </cell>
          <cell r="HT82">
            <v>3148364.3199625625</v>
          </cell>
          <cell r="HU82">
            <v>3211770.8001329582</v>
          </cell>
          <cell r="HV82">
            <v>3276445.4751775749</v>
          </cell>
          <cell r="HW82">
            <v>3342413.7077142675</v>
          </cell>
          <cell r="HX82">
            <v>3409701.3676383267</v>
          </cell>
          <cell r="HY82">
            <v>3478334.8422675375</v>
          </cell>
          <cell r="HZ82">
            <v>3548341.0466901516</v>
          </cell>
          <cell r="IA82">
            <v>3619747.4343198151</v>
          </cell>
          <cell r="IB82">
            <v>3692582.0076616243</v>
          </cell>
          <cell r="IC82">
            <v>3766873.3292934918</v>
          </cell>
          <cell r="ID82">
            <v>3842650.5330671635</v>
          </cell>
          <cell r="IE82">
            <v>3919943.3355332576</v>
          </cell>
          <cell r="IF82">
            <v>3998782.0475948132</v>
          </cell>
          <cell r="IG82">
            <v>4079197.5863939193</v>
          </cell>
          <cell r="IH82">
            <v>4161221.4874360878</v>
          </cell>
          <cell r="II82">
            <v>4244885.916957113</v>
          </cell>
          <cell r="IJ82">
            <v>4330223.6845372878</v>
          </cell>
          <cell r="IK82">
            <v>4417268.255967903</v>
          </cell>
          <cell r="IL82">
            <v>4506053.7663750863</v>
          </cell>
          <cell r="IM82">
            <v>4596615.0336061325</v>
          </cell>
          <cell r="IN82">
            <v>4688987.5718835508</v>
          </cell>
          <cell r="IO82">
            <v>4783207.605732224</v>
          </cell>
          <cell r="IP82">
            <v>4879312.0841850936</v>
          </cell>
          <cell r="IQ82">
            <v>4977338.6952729849</v>
          </cell>
        </row>
        <row r="83">
          <cell r="B83" t="str">
            <v>ROE</v>
          </cell>
          <cell r="C83">
            <v>0.1311527637657304</v>
          </cell>
          <cell r="D83">
            <v>0.12717724743929704</v>
          </cell>
          <cell r="E83">
            <v>0.19754144035187843</v>
          </cell>
          <cell r="F83">
            <v>0.2261841370188038</v>
          </cell>
          <cell r="G83">
            <v>0.21469990250587409</v>
          </cell>
          <cell r="H83">
            <v>0.20233559452605121</v>
          </cell>
          <cell r="I83">
            <v>0.19754117306627125</v>
          </cell>
          <cell r="J83">
            <v>0.17903714449655564</v>
          </cell>
          <cell r="K83">
            <v>0.17645919196199325</v>
          </cell>
          <cell r="L83">
            <v>0.17872566070847576</v>
          </cell>
          <cell r="M83">
            <v>0.16598555287677724</v>
          </cell>
          <cell r="N83">
            <v>0.18386574285980756</v>
          </cell>
          <cell r="O83">
            <v>0.20318882330460289</v>
          </cell>
          <cell r="P83">
            <v>0.22243372713203524</v>
          </cell>
          <cell r="Q83">
            <v>0.24170691223094817</v>
          </cell>
          <cell r="R83">
            <v>0.25857435363622844</v>
          </cell>
          <cell r="S83">
            <v>0.24659385881209778</v>
          </cell>
          <cell r="T83">
            <v>0.24224516814917116</v>
          </cell>
          <cell r="U83">
            <v>0.23803018967642445</v>
          </cell>
          <cell r="V83">
            <v>0.23394437443018337</v>
          </cell>
          <cell r="W83">
            <v>0.22998333203582549</v>
          </cell>
          <cell r="X83">
            <v>0.2261428258035228</v>
          </cell>
          <cell r="Y83">
            <v>0.22241876789998263</v>
          </cell>
          <cell r="Z83">
            <v>0.21880721460260444</v>
          </cell>
          <cell r="AA83">
            <v>0.21530436164158565</v>
          </cell>
          <cell r="AB83">
            <v>0.21190653963469519</v>
          </cell>
          <cell r="AC83">
            <v>0.20861020961867316</v>
          </cell>
          <cell r="AD83">
            <v>0.20541195868052323</v>
          </cell>
          <cell r="AE83">
            <v>0.20230849569132253</v>
          </cell>
          <cell r="AF83">
            <v>0.19929664714458986</v>
          </cell>
          <cell r="AG83">
            <v>0.19637335310071774</v>
          </cell>
          <cell r="AH83">
            <v>0.19353566323848692</v>
          </cell>
          <cell r="AI83">
            <v>0.19078073301424056</v>
          </cell>
          <cell r="AJ83">
            <v>0.18810581992889677</v>
          </cell>
          <cell r="AK83">
            <v>0.18550827990261703</v>
          </cell>
          <cell r="AL83">
            <v>0.18298556375662867</v>
          </cell>
          <cell r="AM83">
            <v>0.18053521380140819</v>
          </cell>
          <cell r="AN83">
            <v>0.17815486053018101</v>
          </cell>
          <cell r="AO83">
            <v>0.17584221941646466</v>
          </cell>
          <cell r="AP83">
            <v>0.17359508781418681</v>
          </cell>
          <cell r="AQ83">
            <v>0.17141134195873695</v>
          </cell>
          <cell r="AR83">
            <v>0.16928893406716253</v>
          </cell>
          <cell r="AS83">
            <v>0.16722588953559422</v>
          </cell>
          <cell r="AT83">
            <v>0.16522030423187795</v>
          </cell>
          <cell r="AU83">
            <v>0.16327034188130404</v>
          </cell>
          <cell r="AV83">
            <v>0.16137423154325164</v>
          </cell>
          <cell r="AW83">
            <v>0.15953026517651095</v>
          </cell>
          <cell r="AX83">
            <v>0.15773679529100301</v>
          </cell>
          <cell r="AY83">
            <v>0.15599223268358656</v>
          </cell>
          <cell r="AZ83">
            <v>0.15429504425562329</v>
          </cell>
          <cell r="BA83">
            <v>0.1526437509099639</v>
          </cell>
          <cell r="BB83">
            <v>0.15103692552501707</v>
          </cell>
          <cell r="BC83">
            <v>0.14947319100357295</v>
          </cell>
          <cell r="BD83">
            <v>0.14795121839406705</v>
          </cell>
          <cell r="BE83">
            <v>0.14646972508199352</v>
          </cell>
          <cell r="BF83">
            <v>0.14502747304920249</v>
          </cell>
          <cell r="BG83">
            <v>0.14362326719884955</v>
          </cell>
          <cell r="BH83">
            <v>0.14225595374380096</v>
          </cell>
          <cell r="BI83">
            <v>0.14092441865633809</v>
          </cell>
          <cell r="BJ83">
            <v>0.13962758617704718</v>
          </cell>
          <cell r="BK83">
            <v>0.13836441738082608</v>
          </cell>
          <cell r="BL83">
            <v>0.1371339087979862</v>
          </cell>
          <cell r="BM83">
            <v>0.13593509108847798</v>
          </cell>
          <cell r="BN83">
            <v>0.13476702776731689</v>
          </cell>
          <cell r="BO83">
            <v>0.13362881397933968</v>
          </cell>
          <cell r="BP83">
            <v>0.13251957532147077</v>
          </cell>
          <cell r="BQ83">
            <v>0.13143846671073245</v>
          </cell>
          <cell r="BR83">
            <v>0.13038467129628331</v>
          </cell>
          <cell r="BS83">
            <v>0.12935739941382265</v>
          </cell>
          <cell r="BT83">
            <v>0.12835588758075053</v>
          </cell>
          <cell r="BU83">
            <v>0.12737939753052355</v>
          </cell>
          <cell r="BV83">
            <v>0.126427215284699</v>
          </cell>
          <cell r="BW83">
            <v>0.12549865026120949</v>
          </cell>
          <cell r="BX83">
            <v>0.12459303441745942</v>
          </cell>
          <cell r="BY83">
            <v>0.12370972142688443</v>
          </cell>
          <cell r="BZ83">
            <v>0.12284808588766129</v>
          </cell>
          <cell r="CA83">
            <v>0.12200752256230368</v>
          </cell>
          <cell r="CB83">
            <v>0.1211874456469237</v>
          </cell>
          <cell r="CC83">
            <v>0.12038728806898469</v>
          </cell>
          <cell r="CD83">
            <v>0.11960650081241336</v>
          </cell>
          <cell r="CE83">
            <v>0.11884455226898182</v>
          </cell>
          <cell r="CF83">
            <v>0.11810092761491098</v>
          </cell>
          <cell r="CG83">
            <v>0.11737512821168707</v>
          </cell>
          <cell r="CH83">
            <v>0.11666667103012078</v>
          </cell>
          <cell r="CI83">
            <v>0.11597508809671679</v>
          </cell>
          <cell r="CJ83">
            <v>0.11529992596145727</v>
          </cell>
          <cell r="CK83">
            <v>0.11464074518613812</v>
          </cell>
          <cell r="CL83">
            <v>0.11399711985243029</v>
          </cell>
          <cell r="CM83">
            <v>0.11336863708887196</v>
          </cell>
          <cell r="CN83">
            <v>0.11275489661602811</v>
          </cell>
          <cell r="CO83">
            <v>0.11215551030908515</v>
          </cell>
          <cell r="CP83">
            <v>0.11157010177717722</v>
          </cell>
          <cell r="CQ83">
            <v>0.11099830595876949</v>
          </cell>
          <cell r="CR83">
            <v>0.11043976873245077</v>
          </cell>
          <cell r="CS83">
            <v>0.10989414654251398</v>
          </cell>
          <cell r="CT83">
            <v>0.10936110603872862</v>
          </cell>
          <cell r="CU83">
            <v>0.10884032372973355</v>
          </cell>
          <cell r="CV83">
            <v>0.10833148564950133</v>
          </cell>
          <cell r="CW83">
            <v>0.10783428703634879</v>
          </cell>
          <cell r="CX83">
            <v>0.10734843202398901</v>
          </cell>
          <cell r="CY83">
            <v>0.10687363334414154</v>
          </cell>
          <cell r="CZ83">
            <v>0.10640961204023701</v>
          </cell>
          <cell r="DA83">
            <v>0.10595609719177167</v>
          </cell>
          <cell r="DB83">
            <v>0.1055128256488858</v>
          </cell>
          <cell r="DC83">
            <v>0.10507954177675735</v>
          </cell>
          <cell r="DD83">
            <v>0.10465599720941904</v>
          </cell>
          <cell r="DE83">
            <v>0.10424195061262398</v>
          </cell>
          <cell r="DF83">
            <v>0.10383716745539925</v>
          </cell>
          <cell r="DG83">
            <v>0.10344141978994305</v>
          </cell>
          <cell r="DH83">
            <v>0.10305448603953438</v>
          </cell>
          <cell r="DI83">
            <v>0.10267615079413862</v>
          </cell>
          <cell r="DJ83">
            <v>0.10230620461340456</v>
          </cell>
          <cell r="DK83">
            <v>0.10194444383676228</v>
          </cell>
          <cell r="DL83">
            <v>0.10159067040034242</v>
          </cell>
          <cell r="DM83">
            <v>0.10124469166044892</v>
          </cell>
          <cell r="DN83">
            <v>0.1009063202233291</v>
          </cell>
          <cell r="DO83">
            <v>0.10057537378099474</v>
          </cell>
          <cell r="DP83">
            <v>0.10025167495285875</v>
          </cell>
          <cell r="DQ83">
            <v>9.9935051132960626E-2</v>
          </cell>
          <cell r="DR83">
            <v>9.9625334342564903E-2</v>
          </cell>
          <cell r="DS83">
            <v>9.9322361087923916E-2</v>
          </cell>
          <cell r="DT83">
            <v>9.9025972223005979E-2</v>
          </cell>
          <cell r="DU83">
            <v>9.8736012816997731E-2</v>
          </cell>
          <cell r="DV83">
            <v>9.8452332026397693E-2</v>
          </cell>
          <cell r="DW83">
            <v>9.8174782971524807E-2</v>
          </cell>
          <cell r="DX83">
            <v>9.7903222617273591E-2</v>
          </cell>
          <cell r="DY83">
            <v>9.7637511657954534E-2</v>
          </cell>
          <cell r="DZ83">
            <v>9.7377514406064139E-2</v>
          </cell>
          <cell r="EA83">
            <v>9.7123098684836109E-2</v>
          </cell>
          <cell r="EB83">
            <v>9.6874135724430974E-2</v>
          </cell>
          <cell r="EC83">
            <v>9.6630500061627211E-2</v>
          </cell>
          <cell r="ED83">
            <v>9.6392069442882297E-2</v>
          </cell>
          <cell r="EE83">
            <v>9.6158724730637926E-2</v>
          </cell>
          <cell r="EF83">
            <v>9.5930349812748075E-2</v>
          </cell>
          <cell r="EG83">
            <v>9.5706831514914048E-2</v>
          </cell>
          <cell r="EH83">
            <v>9.5488059516014911E-2</v>
          </cell>
          <cell r="EI83">
            <v>9.5273926266226494E-2</v>
          </cell>
          <cell r="EJ83">
            <v>9.5064326907826027E-2</v>
          </cell>
          <cell r="EK83">
            <v>9.4859159198583926E-2</v>
          </cell>
          <cell r="EL83">
            <v>9.4658323437648184E-2</v>
          </cell>
          <cell r="EM83">
            <v>9.44617223938303E-2</v>
          </cell>
          <cell r="EN83">
            <v>9.4269261236205382E-2</v>
          </cell>
          <cell r="EO83">
            <v>9.4080847466942785E-2</v>
          </cell>
          <cell r="EP83">
            <v>9.3896390856286663E-2</v>
          </cell>
          <cell r="EQ83">
            <v>9.3715803379608997E-2</v>
          </cell>
          <cell r="ER83">
            <v>9.3538999156460689E-2</v>
          </cell>
          <cell r="ES83">
            <v>9.33658943915497E-2</v>
          </cell>
          <cell r="ET83">
            <v>9.3196407317577168E-2</v>
          </cell>
          <cell r="EU83">
            <v>9.3030458139865685E-2</v>
          </cell>
          <cell r="EV83">
            <v>9.2867968982716487E-2</v>
          </cell>
          <cell r="EW83">
            <v>9.2708863837434569E-2</v>
          </cell>
          <cell r="EX83">
            <v>9.2553068511962946E-2</v>
          </cell>
          <cell r="EY83">
            <v>9.2400510582070078E-2</v>
          </cell>
          <cell r="EZ83">
            <v>9.225111934403607E-2</v>
          </cell>
          <cell r="FA83">
            <v>9.2104825768785606E-2</v>
          </cell>
          <cell r="FB83">
            <v>9.1961562457417795E-2</v>
          </cell>
          <cell r="FC83">
            <v>9.1821263598084249E-2</v>
          </cell>
          <cell r="FD83">
            <v>9.1683864924169689E-2</v>
          </cell>
          <cell r="FE83">
            <v>9.1549303673729918E-2</v>
          </cell>
          <cell r="FF83">
            <v>9.1417518550144627E-2</v>
          </cell>
          <cell r="FG83">
            <v>9.1288449683943701E-2</v>
          </cell>
          <cell r="FH83">
            <v>9.1162038595767242E-2</v>
          </cell>
          <cell r="FI83">
            <v>9.1038228160420967E-2</v>
          </cell>
          <cell r="FJ83">
            <v>9.091696257199057E-2</v>
          </cell>
          <cell r="FK83">
            <v>9.0798187309979073E-2</v>
          </cell>
          <cell r="FL83">
            <v>9.0681849106433482E-2</v>
          </cell>
          <cell r="FM83">
            <v>9.0567895914027738E-2</v>
          </cell>
          <cell r="FN83">
            <v>9.0456276875070185E-2</v>
          </cell>
          <cell r="FO83">
            <v>9.0346942291405483E-2</v>
          </cell>
          <cell r="FP83">
            <v>9.0239843595181071E-2</v>
          </cell>
          <cell r="FQ83">
            <v>9.0134933320450278E-2</v>
          </cell>
          <cell r="FR83">
            <v>9.00321650755848E-2</v>
          </cell>
          <cell r="FS83">
            <v>8.9931493516470132E-2</v>
          </cell>
          <cell r="FT83">
            <v>8.9832874320458625E-2</v>
          </cell>
          <cell r="FU83">
            <v>8.9736264161056095E-2</v>
          </cell>
          <cell r="FV83">
            <v>8.9641620683318005E-2</v>
          </cell>
          <cell r="FW83">
            <v>8.9548902479932857E-2</v>
          </cell>
          <cell r="FX83">
            <v>8.9458069067971047E-2</v>
          </cell>
          <cell r="FY83">
            <v>8.9369080866277484E-2</v>
          </cell>
          <cell r="FZ83">
            <v>8.9281899173488444E-2</v>
          </cell>
          <cell r="GA83">
            <v>8.9196486146652501E-2</v>
          </cell>
          <cell r="GB83">
            <v>8.9112804780436719E-2</v>
          </cell>
          <cell r="GC83">
            <v>8.9030818886900093E-2</v>
          </cell>
          <cell r="GD83">
            <v>8.8950493075816095E-2</v>
          </cell>
          <cell r="GE83">
            <v>8.8871792735528088E-2</v>
          </cell>
          <cell r="GF83">
            <v>8.8794684014320335E-2</v>
          </cell>
          <cell r="GG83">
            <v>8.8719133802289532E-2</v>
          </cell>
          <cell r="GH83">
            <v>8.8645109713700973E-2</v>
          </cell>
          <cell r="GI83">
            <v>8.857258006981511E-2</v>
          </cell>
          <cell r="GJ83">
            <v>8.8501513882169633E-2</v>
          </cell>
          <cell r="GK83">
            <v>8.8431880836304044E-2</v>
          </cell>
          <cell r="GL83">
            <v>8.8363651275912697E-2</v>
          </cell>
          <cell r="GM83">
            <v>8.8296796187413873E-2</v>
          </cell>
          <cell r="GN83">
            <v>8.8231287184922499E-2</v>
          </cell>
          <cell r="GO83">
            <v>8.8167096495614314E-2</v>
          </cell>
          <cell r="GP83">
            <v>8.8104196945469837E-2</v>
          </cell>
          <cell r="GQ83">
            <v>8.8042561945387302E-2</v>
          </cell>
          <cell r="GR83">
            <v>8.798216547765339E-2</v>
          </cell>
          <cell r="GS83">
            <v>8.7922982082761336E-2</v>
          </cell>
          <cell r="GT83">
            <v>8.7864986846566323E-2</v>
          </cell>
          <cell r="GU83">
            <v>8.7808155387768635E-2</v>
          </cell>
          <cell r="GV83">
            <v>8.7752463845714473E-2</v>
          </cell>
          <cell r="GW83">
            <v>8.7697888868505949E-2</v>
          </cell>
          <cell r="GX83">
            <v>8.764440760141104E-2</v>
          </cell>
          <cell r="GY83">
            <v>8.7591997675564859E-2</v>
          </cell>
          <cell r="GZ83">
            <v>8.7540637196954291E-2</v>
          </cell>
          <cell r="HA83">
            <v>8.7490304735677621E-2</v>
          </cell>
          <cell r="HB83">
            <v>8.7440979315471609E-2</v>
          </cell>
          <cell r="HC83">
            <v>8.7392640403498284E-2</v>
          </cell>
          <cell r="HD83">
            <v>8.7345267900384535E-2</v>
          </cell>
          <cell r="HE83">
            <v>8.7298842130506968E-2</v>
          </cell>
          <cell r="HF83">
            <v>8.7253343832515637E-2</v>
          </cell>
          <cell r="HG83">
            <v>8.7208754150089829E-2</v>
          </cell>
          <cell r="HH83">
            <v>8.7165054622919375E-2</v>
          </cell>
          <cell r="HI83">
            <v>8.7122227177905728E-2</v>
          </cell>
          <cell r="HJ83">
            <v>8.7080254120576267E-2</v>
          </cell>
          <cell r="HK83">
            <v>8.7039118126706422E-2</v>
          </cell>
          <cell r="HL83">
            <v>8.6998802234143705E-2</v>
          </cell>
          <cell r="HM83">
            <v>8.6959289834828257E-2</v>
          </cell>
          <cell r="HN83">
            <v>8.6920564667004874E-2</v>
          </cell>
          <cell r="HO83">
            <v>8.6882610807620886E-2</v>
          </cell>
          <cell r="HP83">
            <v>8.6845412664905253E-2</v>
          </cell>
          <cell r="HQ83">
            <v>8.6808954971124078E-2</v>
          </cell>
          <cell r="HR83">
            <v>8.6773222775507516E-2</v>
          </cell>
          <cell r="HS83">
            <v>8.6738201437344037E-2</v>
          </cell>
          <cell r="HT83">
            <v>8.6703876619237077E-2</v>
          </cell>
          <cell r="HU83">
            <v>8.6670234280520272E-2</v>
          </cell>
          <cell r="HV83">
            <v>8.663726067082704E-2</v>
          </cell>
          <cell r="HW83">
            <v>8.6604942323810039E-2</v>
          </cell>
          <cell r="HX83">
            <v>8.6573266051007333E-2</v>
          </cell>
          <cell r="HY83">
            <v>8.6542218935850845E-2</v>
          </cell>
          <cell r="HZ83">
            <v>8.6511788327813893E-2</v>
          </cell>
          <cell r="IA83">
            <v>8.6481961836693655E-2</v>
          </cell>
          <cell r="IB83">
            <v>8.6452727327025927E-2</v>
          </cell>
          <cell r="IC83">
            <v>8.6424072912627992E-2</v>
          </cell>
          <cell r="ID83">
            <v>8.639598695126674E-2</v>
          </cell>
          <cell r="IE83">
            <v>8.6368458039448912E-2</v>
          </cell>
          <cell r="IF83">
            <v>8.6341475007330193E-2</v>
          </cell>
          <cell r="IG83">
            <v>8.6315026913740212E-2</v>
          </cell>
          <cell r="IH83">
            <v>8.6289103041320689E-2</v>
          </cell>
          <cell r="II83">
            <v>8.6263692891773561E-2</v>
          </cell>
          <cell r="IJ83">
            <v>8.6238786181216845E-2</v>
          </cell>
          <cell r="IK83">
            <v>8.621437283564494E-2</v>
          </cell>
          <cell r="IL83">
            <v>8.6190442986491478E-2</v>
          </cell>
          <cell r="IM83">
            <v>8.6166986966291506E-2</v>
          </cell>
          <cell r="IN83">
            <v>8.6143995304441015E-2</v>
          </cell>
          <cell r="IO83">
            <v>8.6121458723051408E-2</v>
          </cell>
          <cell r="IP83">
            <v>8.6099368132896134E-2</v>
          </cell>
          <cell r="IQ83">
            <v>8.6077714629447952E-2</v>
          </cell>
        </row>
        <row r="84">
          <cell r="B84" t="str">
            <v>Dividends and net rep</v>
          </cell>
          <cell r="C84">
            <v>1240.4217120000001</v>
          </cell>
          <cell r="D84">
            <v>1364.4638832000001</v>
          </cell>
          <cell r="E84">
            <v>1571.2008352</v>
          </cell>
          <cell r="F84">
            <v>1644.8818945299956</v>
          </cell>
          <cell r="G84">
            <v>1958.0038994665597</v>
          </cell>
          <cell r="H84">
            <v>2113.5651331865415</v>
          </cell>
          <cell r="I84">
            <v>2243.9002414052084</v>
          </cell>
          <cell r="J84">
            <v>2439.1309279394918</v>
          </cell>
          <cell r="K84">
            <v>2488.9823756184132</v>
          </cell>
          <cell r="L84">
            <v>2694.3610786949998</v>
          </cell>
          <cell r="M84">
            <v>11183.016856456241</v>
          </cell>
          <cell r="N84">
            <v>11747.337411475099</v>
          </cell>
          <cell r="O84">
            <v>11056.859009296335</v>
          </cell>
          <cell r="P84">
            <v>10590.955705414999</v>
          </cell>
          <cell r="Q84">
            <v>10103.195179768743</v>
          </cell>
          <cell r="R84">
            <v>5587.5280039374229</v>
          </cell>
          <cell r="S84">
            <v>7124.5825076595938</v>
          </cell>
          <cell r="T84">
            <v>7179.9364054156977</v>
          </cell>
          <cell r="U84">
            <v>7236.6949083870204</v>
          </cell>
          <cell r="V84">
            <v>7294.8842415376057</v>
          </cell>
          <cell r="W84">
            <v>7354.5310399480877</v>
          </cell>
          <cell r="X84">
            <v>7415.6623625737411</v>
          </cell>
          <cell r="Y84">
            <v>7478.3057062929292</v>
          </cell>
          <cell r="Z84">
            <v>7542.4890202316819</v>
          </cell>
          <cell r="AA84">
            <v>7608.2407203521143</v>
          </cell>
          <cell r="AB84">
            <v>7675.5897042928482</v>
          </cell>
          <cell r="AC84">
            <v>7744.5653664507554</v>
          </cell>
          <cell r="AD84">
            <v>7815.1976132947675</v>
          </cell>
          <cell r="AE84">
            <v>7887.5168789026575</v>
          </cell>
          <cell r="AF84">
            <v>7961.5541407142664</v>
          </cell>
          <cell r="AG84">
            <v>8037.3409354940159</v>
          </cell>
          <cell r="AH84">
            <v>8114.9093754979403</v>
          </cell>
          <cell r="AI84">
            <v>8194.2921648410702</v>
          </cell>
          <cell r="AJ84">
            <v>8275.5226160615275</v>
          </cell>
          <cell r="AK84">
            <v>8358.6346668799742</v>
          </cell>
          <cell r="AL84">
            <v>8443.6628971520404</v>
          </cell>
          <cell r="AM84">
            <v>8530.6425460148093</v>
          </cell>
          <cell r="AN84">
            <v>8619.6095292266764</v>
          </cell>
          <cell r="AO84">
            <v>8710.6004567029813</v>
          </cell>
          <cell r="AP84">
            <v>8803.6526502490233</v>
          </cell>
          <cell r="AQ84">
            <v>8898.804161493943</v>
          </cell>
          <cell r="AR84">
            <v>8996.0937900288991</v>
          </cell>
          <cell r="AS84">
            <v>9095.561101754065</v>
          </cell>
          <cell r="AT84">
            <v>9197.2464474396547</v>
          </cell>
          <cell r="AU84">
            <v>9301.1909815063264</v>
          </cell>
          <cell r="AV84">
            <v>9407.4366810316424</v>
          </cell>
          <cell r="AW84">
            <v>9516.0263649886328</v>
          </cell>
          <cell r="AX84">
            <v>9627.0037137248291</v>
          </cell>
          <cell r="AY84">
            <v>9740.4132886880398</v>
          </cell>
          <cell r="AZ84">
            <v>9856.30055240824</v>
          </cell>
          <cell r="BA84">
            <v>9974.7118887435936</v>
          </cell>
          <cell r="BB84">
            <v>10095.694623399104</v>
          </cell>
          <cell r="BC84">
            <v>10219.297044727704</v>
          </cell>
          <cell r="BD84">
            <v>10345.568424823374</v>
          </cell>
          <cell r="BE84">
            <v>10474.559040915163</v>
          </cell>
          <cell r="BF84">
            <v>10606.320197073452</v>
          </cell>
          <cell r="BG84">
            <v>10740.904246238075</v>
          </cell>
          <cell r="BH84">
            <v>10878.364612578647</v>
          </cell>
          <cell r="BI84">
            <v>11018.755814198579</v>
          </cell>
          <cell r="BJ84">
            <v>11162.133486193619</v>
          </cell>
          <cell r="BK84">
            <v>11308.554404075287</v>
          </cell>
          <cell r="BL84">
            <v>11458.076507571779</v>
          </cell>
          <cell r="BM84">
            <v>11610.758924817215</v>
          </cell>
          <cell r="BN84">
            <v>11766.661996940966</v>
          </cell>
          <cell r="BO84">
            <v>11925.84730306892</v>
          </cell>
          <cell r="BP84">
            <v>12088.377685749074</v>
          </cell>
          <cell r="BQ84">
            <v>12254.317276813294</v>
          </cell>
          <cell r="BR84">
            <v>12423.731523687704</v>
          </cell>
          <cell r="BS84">
            <v>12596.687216163831</v>
          </cell>
          <cell r="BT84">
            <v>12773.252513644184</v>
          </cell>
          <cell r="BU84">
            <v>12953.496972873574</v>
          </cell>
          <cell r="BV84">
            <v>13137.491576170112</v>
          </cell>
          <cell r="BW84">
            <v>13325.308760168962</v>
          </cell>
          <cell r="BX84">
            <v>13517.022445091425</v>
          </cell>
          <cell r="BY84">
            <v>13712.708064553182</v>
          </cell>
          <cell r="BZ84">
            <v>13912.442595925386</v>
          </cell>
          <cell r="CA84">
            <v>14116.304591261869</v>
          </cell>
          <cell r="CB84">
            <v>14324.374208806577</v>
          </cell>
          <cell r="CC84">
            <v>14536.733245095267</v>
          </cell>
          <cell r="CD84">
            <v>14753.465167665825</v>
          </cell>
          <cell r="CE84">
            <v>14974.655148390826</v>
          </cell>
          <cell r="CF84">
            <v>15200.390097448544</v>
          </cell>
          <cell r="CG84">
            <v>15430.758697945013</v>
          </cell>
          <cell r="CH84">
            <v>15665.851441204053</v>
          </cell>
          <cell r="CI84">
            <v>15905.760662739631</v>
          </cell>
          <cell r="CJ84">
            <v>16150.580578925204</v>
          </cell>
          <cell r="CK84">
            <v>16400.407324377738</v>
          </cell>
          <cell r="CL84">
            <v>16655.338990069664</v>
          </cell>
          <cell r="CM84">
            <v>16915.475662186946</v>
          </cell>
          <cell r="CN84">
            <v>17180.919461748825</v>
          </cell>
          <cell r="CO84">
            <v>17451.77458500478</v>
          </cell>
          <cell r="CP84">
            <v>17728.147344628582</v>
          </cell>
          <cell r="CQ84">
            <v>18010.146211721614</v>
          </cell>
          <cell r="CR84">
            <v>18297.881858648616</v>
          </cell>
          <cell r="CS84">
            <v>18591.467202719068</v>
          </cell>
          <cell r="CT84">
            <v>18891.017450733605</v>
          </cell>
          <cell r="CU84">
            <v>19196.65014441486</v>
          </cell>
          <cell r="CV84">
            <v>19508.485206739191</v>
          </cell>
          <cell r="CW84">
            <v>19826.644989190419</v>
          </cell>
          <cell r="CX84">
            <v>20151.254319952452</v>
          </cell>
          <cell r="CY84">
            <v>20482.440553062508</v>
          </cell>
          <cell r="CZ84">
            <v>20820.333618543198</v>
          </cell>
          <cell r="DA84">
            <v>21165.066073534865</v>
          </cell>
          <cell r="DB84">
            <v>21516.773154447932</v>
          </cell>
          <cell r="DC84">
            <v>21875.592830156675</v>
          </cell>
          <cell r="DD84">
            <v>22241.665856256033</v>
          </cell>
          <cell r="DE84">
            <v>22615.135830401909</v>
          </cell>
          <cell r="DF84">
            <v>22996.149248759961</v>
          </cell>
          <cell r="DG84">
            <v>23384.855563580873</v>
          </cell>
          <cell r="DH84">
            <v>23781.407241930603</v>
          </cell>
          <cell r="DI84">
            <v>24185.959825594327</v>
          </cell>
          <cell r="DJ84">
            <v>24598.671992180345</v>
          </cell>
          <cell r="DK84">
            <v>25019.705617447849</v>
          </cell>
          <cell r="DL84">
            <v>25449.225838883256</v>
          </cell>
          <cell r="DM84">
            <v>25887.401120550348</v>
          </cell>
          <cell r="DN84">
            <v>26334.40331923886</v>
          </cell>
          <cell r="DO84">
            <v>26790.407751941064</v>
          </cell>
          <cell r="DP84">
            <v>27255.593264677736</v>
          </cell>
          <cell r="DQ84">
            <v>27730.142302706779</v>
          </cell>
          <cell r="DR84">
            <v>28214.240982137213</v>
          </cell>
          <cell r="DS84">
            <v>28708.079162979731</v>
          </cell>
          <cell r="DT84">
            <v>29211.850523661356</v>
          </cell>
          <cell r="DU84">
            <v>29725.752637035504</v>
          </cell>
          <cell r="DV84">
            <v>30249.987047914008</v>
          </cell>
          <cell r="DW84">
            <v>30784.759352155146</v>
          </cell>
          <cell r="DX84">
            <v>31330.279277337366</v>
          </cell>
          <cell r="DY84">
            <v>31886.760765049956</v>
          </cell>
          <cell r="DZ84">
            <v>32454.42205483414</v>
          </cell>
          <cell r="EA84">
            <v>33033.485769807827</v>
          </cell>
          <cell r="EB84">
            <v>33624.179004005156</v>
          </cell>
          <cell r="EC84">
            <v>34226.733411470137</v>
          </cell>
          <cell r="ED84">
            <v>34841.385297133762</v>
          </cell>
          <cell r="EE84">
            <v>35468.375709514658</v>
          </cell>
          <cell r="EF84">
            <v>36107.950535277894</v>
          </cell>
          <cell r="EG84">
            <v>36760.360595688864</v>
          </cell>
          <cell r="EH84">
            <v>37425.861745001865</v>
          </cell>
          <cell r="EI84">
            <v>38104.714970819012</v>
          </cell>
          <cell r="EJ84">
            <v>38797.186496462557</v>
          </cell>
          <cell r="EK84">
            <v>39503.547885399545</v>
          </cell>
          <cell r="EL84">
            <v>40224.076147755142</v>
          </cell>
          <cell r="EM84">
            <v>40959.053848967538</v>
          </cell>
          <cell r="EN84">
            <v>41708.76922061434</v>
          </cell>
          <cell r="EO84">
            <v>42473.516273462214</v>
          </cell>
          <cell r="EP84">
            <v>43253.594912783126</v>
          </cell>
          <cell r="EQ84">
            <v>44049.311055978411</v>
          </cell>
          <cell r="ER84">
            <v>44860.976752562099</v>
          </cell>
          <cell r="ES84">
            <v>45688.910306546371</v>
          </cell>
          <cell r="ET84">
            <v>46533.436401280924</v>
          </cell>
          <cell r="EU84">
            <v>47394.886226790957</v>
          </cell>
          <cell r="EV84">
            <v>48273.597609668155</v>
          </cell>
          <cell r="EW84">
            <v>49169.915145561332</v>
          </cell>
          <cell r="EX84">
            <v>50084.190334324143</v>
          </cell>
          <cell r="EY84">
            <v>51016.781717867241</v>
          </cell>
          <cell r="EZ84">
            <v>51968.05502077064</v>
          </cell>
          <cell r="FA84">
            <v>52938.383293716703</v>
          </cell>
          <cell r="FB84">
            <v>53928.14705978951</v>
          </cell>
          <cell r="FC84">
            <v>54937.734463710454</v>
          </cell>
          <cell r="FD84">
            <v>55967.5414240557</v>
          </cell>
          <cell r="FE84">
            <v>57017.97178852919</v>
          </cell>
          <cell r="FF84">
            <v>58089.437492337078</v>
          </cell>
          <cell r="FG84">
            <v>59182.35871973855</v>
          </cell>
          <cell r="FH84">
            <v>60297.164068830549</v>
          </cell>
          <cell r="FI84">
            <v>61434.290719629615</v>
          </cell>
          <cell r="FJ84">
            <v>62594.184605520451</v>
          </cell>
          <cell r="FK84">
            <v>63777.300588136422</v>
          </cell>
          <cell r="FL84">
            <v>64984.102635742282</v>
          </cell>
          <cell r="FM84">
            <v>66215.064005184686</v>
          </cell>
          <cell r="FN84">
            <v>67470.667427488952</v>
          </cell>
          <cell r="FO84">
            <v>68751.405297168996</v>
          </cell>
          <cell r="FP84">
            <v>70057.779865325661</v>
          </cell>
          <cell r="FQ84">
            <v>71390.303436611779</v>
          </cell>
          <cell r="FR84">
            <v>72749.498570139986</v>
          </cell>
          <cell r="FS84">
            <v>74135.898284409428</v>
          </cell>
          <cell r="FT84">
            <v>75550.046266337391</v>
          </cell>
          <cell r="FU84">
            <v>76992.497084469534</v>
          </cell>
          <cell r="FV84">
            <v>78463.816406463739</v>
          </cell>
          <cell r="FW84">
            <v>79964.581220919499</v>
          </cell>
          <cell r="FX84">
            <v>81495.380063654156</v>
          </cell>
          <cell r="FY84">
            <v>83056.813248498831</v>
          </cell>
          <cell r="FZ84">
            <v>84649.493102720706</v>
          </cell>
          <cell r="GA84">
            <v>86274.044207153143</v>
          </cell>
          <cell r="GB84">
            <v>87931.103641128866</v>
          </cell>
          <cell r="GC84">
            <v>89621.321232319111</v>
          </cell>
          <cell r="GD84">
            <v>91345.3598115684</v>
          </cell>
          <cell r="GE84">
            <v>93103.895472829463</v>
          </cell>
          <cell r="GF84">
            <v>94897.617838300532</v>
          </cell>
          <cell r="GG84">
            <v>96727.230328864651</v>
          </cell>
          <cell r="GH84">
            <v>98593.450439945329</v>
          </cell>
          <cell r="GI84">
            <v>100497.01002287678</v>
          </cell>
          <cell r="GJ84">
            <v>102438.65557190217</v>
          </cell>
          <cell r="GK84">
            <v>104419.14851692645</v>
          </cell>
          <cell r="GL84">
            <v>106439.26552210655</v>
          </cell>
          <cell r="GM84">
            <v>108499.79879043461</v>
          </cell>
          <cell r="GN84">
            <v>110601.55637440272</v>
          </cell>
          <cell r="GO84">
            <v>112745.36249288684</v>
          </cell>
          <cell r="GP84">
            <v>114932.05785437487</v>
          </cell>
          <cell r="GQ84">
            <v>117162.49998665019</v>
          </cell>
          <cell r="GR84">
            <v>119437.563573085</v>
          </cell>
          <cell r="GS84">
            <v>121758.1407956474</v>
          </cell>
          <cell r="GT84">
            <v>124125.14168478223</v>
          </cell>
          <cell r="GU84">
            <v>126539.49447628413</v>
          </cell>
          <cell r="GV84">
            <v>129002.14597531245</v>
          </cell>
          <cell r="GW84">
            <v>131514.06192768784</v>
          </cell>
          <cell r="GX84">
            <v>134076.22739861696</v>
          </cell>
          <cell r="GY84">
            <v>136689.64715899131</v>
          </cell>
          <cell r="GZ84">
            <v>139355.34607941937</v>
          </cell>
          <cell r="HA84">
            <v>142074.36953213206</v>
          </cell>
          <cell r="HB84">
            <v>144847.78380093724</v>
          </cell>
          <cell r="HC84">
            <v>147676.67649936676</v>
          </cell>
          <cell r="HD84">
            <v>150562.15699719591</v>
          </cell>
          <cell r="HE84">
            <v>153505.35685548978</v>
          </cell>
          <cell r="HF84">
            <v>156507.43027034728</v>
          </cell>
          <cell r="HG84">
            <v>159569.55452553602</v>
          </cell>
          <cell r="HH84">
            <v>162692.930454168</v>
          </cell>
          <cell r="HI84">
            <v>165878.78290961403</v>
          </cell>
          <cell r="HJ84">
            <v>169128.36124584125</v>
          </cell>
          <cell r="HK84">
            <v>172442.93980735308</v>
          </cell>
          <cell r="HL84">
            <v>175823.81842893455</v>
          </cell>
          <cell r="HM84">
            <v>179272.32294539269</v>
          </cell>
          <cell r="HN84">
            <v>182789.80571148684</v>
          </cell>
          <cell r="HO84">
            <v>186377.6461322722</v>
          </cell>
          <cell r="HP84">
            <v>190037.25120403292</v>
          </cell>
          <cell r="HQ84">
            <v>193770.05606605671</v>
          </cell>
          <cell r="HR84">
            <v>197577.52456342475</v>
          </cell>
          <cell r="HS84">
            <v>201461.14982107515</v>
          </cell>
          <cell r="HT84">
            <v>205422.45482933661</v>
          </cell>
          <cell r="HU84">
            <v>209462.99304119032</v>
          </cell>
          <cell r="HV84">
            <v>213584.34898145311</v>
          </cell>
          <cell r="HW84">
            <v>217788.13886816939</v>
          </cell>
          <cell r="HX84">
            <v>222076.01124642184</v>
          </cell>
          <cell r="HY84">
            <v>226449.64763481542</v>
          </cell>
          <cell r="HZ84">
            <v>230910.76318489527</v>
          </cell>
          <cell r="IA84">
            <v>235461.10735376785</v>
          </cell>
          <cell r="IB84">
            <v>240102.46459014341</v>
          </cell>
          <cell r="IC84">
            <v>244836.65503413929</v>
          </cell>
          <cell r="ID84">
            <v>249665.53523104358</v>
          </cell>
          <cell r="IE84">
            <v>254590.99885938317</v>
          </cell>
          <cell r="IF84">
            <v>259614.97747353977</v>
          </cell>
          <cell r="IG84">
            <v>264739.44126122119</v>
          </cell>
          <cell r="IH84">
            <v>269966.39981608279</v>
          </cell>
          <cell r="II84">
            <v>275297.90292581078</v>
          </cell>
          <cell r="IJ84">
            <v>280736.04137594812</v>
          </cell>
          <cell r="IK84">
            <v>286282.94776982255</v>
          </cell>
          <cell r="IL84">
            <v>291940.79736485705</v>
          </cell>
          <cell r="IM84">
            <v>297711.80892560445</v>
          </cell>
          <cell r="IN84">
            <v>303598.24559387099</v>
          </cell>
          <cell r="IO84">
            <v>309602.41577619687</v>
          </cell>
          <cell r="IP84">
            <v>315726.67404913809</v>
          </cell>
          <cell r="IQ84">
            <v>321973.42208261043</v>
          </cell>
          <cell r="IR84">
            <v>5404231.6446359567</v>
          </cell>
        </row>
        <row r="85">
          <cell r="B85" t="str">
            <v>PV div and net rep</v>
          </cell>
          <cell r="C85">
            <v>1143.2458175115207</v>
          </cell>
          <cell r="D85">
            <v>1159.0510592282699</v>
          </cell>
          <cell r="E85">
            <v>1230.1058581392056</v>
          </cell>
          <cell r="F85">
            <v>1186.9044757507966</v>
          </cell>
          <cell r="G85">
            <v>1302.161532121147</v>
          </cell>
          <cell r="H85">
            <v>1295.4993720255518</v>
          </cell>
          <cell r="I85">
            <v>1267.6383748751095</v>
          </cell>
          <cell r="J85">
            <v>1269.9809531592432</v>
          </cell>
          <cell r="K85">
            <v>1194.4120542765997</v>
          </cell>
          <cell r="L85">
            <v>1191.6766079498748</v>
          </cell>
          <cell r="M85">
            <v>4558.6039186381058</v>
          </cell>
          <cell r="N85">
            <v>4413.4944489054451</v>
          </cell>
          <cell r="O85">
            <v>3828.6456685608005</v>
          </cell>
          <cell r="P85">
            <v>3380.0164747635076</v>
          </cell>
          <cell r="Q85">
            <v>2971.7527295099758</v>
          </cell>
          <cell r="R85">
            <v>1514.7602565520376</v>
          </cell>
          <cell r="S85">
            <v>1780.1388202198061</v>
          </cell>
          <cell r="T85">
            <v>1653.428085116477</v>
          </cell>
          <cell r="U85">
            <v>1535.9434919371347</v>
          </cell>
          <cell r="V85">
            <v>1426.9989087927122</v>
          </cell>
          <cell r="W85">
            <v>1325.9601844006186</v>
          </cell>
          <cell r="X85">
            <v>1232.2411506908422</v>
          </cell>
          <cell r="Y85">
            <v>1145.2999361243403</v>
          </cell>
          <cell r="Z85">
            <v>1064.6355654257757</v>
          </cell>
          <cell r="AA85">
            <v>989.78482333593058</v>
          </cell>
          <cell r="AB85">
            <v>920.31936174336238</v>
          </cell>
          <cell r="AC85">
            <v>855.84303117199784</v>
          </cell>
          <cell r="AD85">
            <v>795.98941909205962</v>
          </cell>
          <cell r="AE85">
            <v>740.41957889561115</v>
          </cell>
          <cell r="AF85">
            <v>688.81993464465563</v>
          </cell>
          <cell r="AG85">
            <v>640.90034786684828</v>
          </cell>
          <cell r="AH85">
            <v>596.39233374994046</v>
          </cell>
          <cell r="AI85">
            <v>555.04741507763185</v>
          </cell>
          <cell r="AJ85">
            <v>516.63560316338442</v>
          </cell>
          <cell r="AK85">
            <v>480.94399588111736</v>
          </cell>
          <cell r="AL85">
            <v>447.77548366778035</v>
          </cell>
          <cell r="AM85">
            <v>416.94755508830195</v>
          </cell>
          <cell r="AN85">
            <v>388.29119421244764</v>
          </cell>
          <cell r="AO85">
            <v>361.64986266071503</v>
          </cell>
          <cell r="AP85">
            <v>336.87855973607606</v>
          </cell>
          <cell r="AQ85">
            <v>313.84295457424321</v>
          </cell>
          <cell r="AR85">
            <v>292.41858472039183</v>
          </cell>
          <cell r="AS85">
            <v>272.49011597824034</v>
          </cell>
          <cell r="AT85">
            <v>253.950658780927</v>
          </cell>
          <cell r="AU85">
            <v>236.7011367049233</v>
          </cell>
          <cell r="AV85">
            <v>220.64970309084623</v>
          </cell>
          <cell r="AW85">
            <v>205.71120205065259</v>
          </cell>
          <cell r="AX85">
            <v>191.80667043159787</v>
          </cell>
          <cell r="AY85">
            <v>178.86287757525233</v>
          </cell>
          <cell r="AZ85">
            <v>166.81189995684528</v>
          </cell>
          <cell r="BA85">
            <v>155.59072801766317</v>
          </cell>
          <cell r="BB85">
            <v>145.14090271285377</v>
          </cell>
          <cell r="BC85">
            <v>135.4081794901461</v>
          </cell>
          <cell r="BD85">
            <v>126.34221759294775</v>
          </cell>
          <cell r="BE85">
            <v>117.89629274525227</v>
          </cell>
          <cell r="BF85">
            <v>110.02703142692269</v>
          </cell>
          <cell r="BG85">
            <v>102.6941650871246</v>
          </cell>
          <cell r="BH85">
            <v>95.860302772003507</v>
          </cell>
          <cell r="BI85">
            <v>89.490720760947255</v>
          </cell>
          <cell r="BJ85">
            <v>83.553167914733649</v>
          </cell>
          <cell r="BK85">
            <v>78.017685539284116</v>
          </cell>
          <cell r="BL85">
            <v>72.856440661318302</v>
          </cell>
          <cell r="BM85">
            <v>68.043571697496176</v>
          </cell>
          <cell r="BN85">
            <v>63.555045577274782</v>
          </cell>
          <cell r="BO85">
            <v>59.368525452188287</v>
          </cell>
          <cell r="BP85">
            <v>55.463248191080574</v>
          </cell>
          <cell r="BQ85">
            <v>51.819910922414536</v>
          </cell>
          <cell r="BR85">
            <v>48.420565941578175</v>
          </cell>
          <cell r="BS85">
            <v>45.248523353469338</v>
          </cell>
          <cell r="BT85">
            <v>42.288260868931076</v>
          </cell>
          <cell r="BU85">
            <v>39.525340218125464</v>
          </cell>
          <cell r="BV85">
            <v>36.946329685007285</v>
          </cell>
          <cell r="BW85">
            <v>34.538732304927102</v>
          </cell>
          <cell r="BX85">
            <v>32.290919302325221</v>
          </cell>
          <cell r="BY85">
            <v>30.192068377706214</v>
          </cell>
          <cell r="BZ85">
            <v>28.232106482811076</v>
          </cell>
          <cell r="CA85">
            <v>26.401656750331526</v>
          </cell>
          <cell r="CB85">
            <v>24.691989269821534</v>
          </cell>
          <cell r="CC85">
            <v>23.094975424815516</v>
          </cell>
          <cell r="CD85">
            <v>21.603045527717487</v>
          </cell>
          <cell r="CE85">
            <v>20.209149508918362</v>
          </cell>
          <cell r="CF85">
            <v>18.906720434966918</v>
          </cell>
          <cell r="CG85">
            <v>17.689640647567618</v>
          </cell>
          <cell r="CH85">
            <v>16.55221033083787</v>
          </cell>
          <cell r="CI85">
            <v>15.489118328706686</v>
          </cell>
          <cell r="CJ85">
            <v>14.495415047685611</v>
          </cell>
          <cell r="CK85">
            <v>13.5664872925731</v>
          </cell>
          <cell r="CL85">
            <v>12.698034894036583</v>
          </cell>
          <cell r="CM85">
            <v>11.886048997540469</v>
          </cell>
          <cell r="CN85">
            <v>11.126791892804967</v>
          </cell>
          <cell r="CO85">
            <v>10.416778271961538</v>
          </cell>
          <cell r="CP85">
            <v>9.7527578128730816</v>
          </cell>
          <cell r="CQ85">
            <v>9.1316989917525131</v>
          </cell>
          <cell r="CR85">
            <v>8.5507740363109477</v>
          </cell>
          <cell r="CS85">
            <v>8.0073449372153434</v>
          </cell>
          <cell r="CT85">
            <v>7.498950441700214</v>
          </cell>
          <cell r="CU85">
            <v>7.0232939587819079</v>
          </cell>
          <cell r="CV85">
            <v>6.5782323107058804</v>
          </cell>
          <cell r="CW85">
            <v>6.1617652700534524</v>
          </cell>
          <cell r="CX85">
            <v>5.7720258263677549</v>
          </cell>
          <cell r="CY85">
            <v>5.4072711302634078</v>
          </cell>
          <cell r="CZ85">
            <v>5.0658740667799345</v>
          </cell>
          <cell r="DA85">
            <v>4.7463154132533623</v>
          </cell>
          <cell r="DB85">
            <v>4.4471765402319896</v>
          </cell>
          <cell r="DC85">
            <v>4.1671326169729417</v>
          </cell>
          <cell r="DD85">
            <v>3.904946285843061</v>
          </cell>
          <cell r="DE85">
            <v>3.6594617725279042</v>
          </cell>
          <cell r="DF85">
            <v>3.42959940134305</v>
          </cell>
          <cell r="DG85">
            <v>3.2143504871538986</v>
          </cell>
          <cell r="DH85">
            <v>3.0127725774620053</v>
          </cell>
          <cell r="DI85">
            <v>2.8239850201135384</v>
          </cell>
          <cell r="DJ85">
            <v>2.6471648338464822</v>
          </cell>
          <cell r="DK85">
            <v>2.4815428605234091</v>
          </cell>
          <cell r="DL85">
            <v>2.3264001794081284</v>
          </cell>
          <cell r="DM85">
            <v>2.1810647652454267</v>
          </cell>
          <cell r="DN85">
            <v>2.044908373201801</v>
          </cell>
          <cell r="DO85">
            <v>1.9173436349295714</v>
          </cell>
          <cell r="DP85">
            <v>1.7978213511326764</v>
          </cell>
          <cell r="DQ85">
            <v>1.6858279670489518</v>
          </cell>
          <cell r="DR85">
            <v>1.5808832182233838</v>
          </cell>
          <cell r="DS85">
            <v>1.4825379348385213</v>
          </cell>
          <cell r="DT85">
            <v>1.3903719936946999</v>
          </cell>
          <cell r="DU85">
            <v>1.3039924077000793</v>
          </cell>
          <cell r="DV85">
            <v>1.2230315434422121</v>
          </cell>
          <cell r="DW85">
            <v>1.1471454580740759</v>
          </cell>
          <cell r="DX85">
            <v>1.0760123473607062</v>
          </cell>
          <cell r="DY85">
            <v>1.0093310973022038</v>
          </cell>
          <cell r="DZ85">
            <v>0.94681993227783257</v>
          </cell>
          <cell r="EA85">
            <v>0.88821515314703126</v>
          </cell>
          <cell r="EB85">
            <v>0.83326995919929014</v>
          </cell>
          <cell r="EC85">
            <v>0.78175334826881893</v>
          </cell>
          <cell r="ED85">
            <v>0.73344908972334522</v>
          </cell>
          <cell r="EE85">
            <v>0.68815476540247156</v>
          </cell>
          <cell r="EF85">
            <v>0.64568087392081297</v>
          </cell>
          <cell r="EG85">
            <v>0.60584999406714146</v>
          </cell>
          <cell r="EH85">
            <v>0.5684960033245019</v>
          </cell>
          <cell r="EI85">
            <v>0.53346334780921623</v>
          </cell>
          <cell r="EJ85">
            <v>0.5006063601806805</v>
          </cell>
          <cell r="EK85">
            <v>0.46978862230983931</v>
          </cell>
          <cell r="EL85">
            <v>0.44088236971375211</v>
          </cell>
          <cell r="EM85">
            <v>0.41376793496807601</v>
          </cell>
          <cell r="EN85">
            <v>0.38833322749896343</v>
          </cell>
          <cell r="EO85">
            <v>0.36447324733288594</v>
          </cell>
          <cell r="EP85">
            <v>0.3420896305472349</v>
          </cell>
          <cell r="EQ85">
            <v>0.32109022431758422</v>
          </cell>
          <cell r="ER85">
            <v>0.3013886896000359</v>
          </cell>
          <cell r="ES85">
            <v>0.28290412961958061</v>
          </cell>
          <cell r="ET85">
            <v>0.26556074245891337</v>
          </cell>
          <cell r="EU85">
            <v>0.24928749615702425</v>
          </cell>
          <cell r="EV85">
            <v>0.23401782483396572</v>
          </cell>
          <cell r="EW85">
            <v>0.21968934445781646</v>
          </cell>
          <cell r="EX85">
            <v>0.20624358696275413</v>
          </cell>
          <cell r="EY85">
            <v>0.19362575151356762</v>
          </cell>
          <cell r="EZ85">
            <v>0.18178447179255128</v>
          </cell>
          <cell r="FA85">
            <v>0.17067159825979414</v>
          </cell>
          <cell r="FB85">
            <v>0.16024199440777293</v>
          </cell>
          <cell r="FC85">
            <v>0.15045334609643402</v>
          </cell>
          <cell r="FD85">
            <v>0.1412659831156258</v>
          </cell>
          <cell r="FE85">
            <v>0.13264271217846879</v>
          </cell>
          <cell r="FF85">
            <v>0.12454866060197503</v>
          </cell>
          <cell r="FG85">
            <v>0.11695112998053923</v>
          </cell>
          <cell r="FH85">
            <v>0.10981945920378633</v>
          </cell>
          <cell r="FI85">
            <v>0.10312489621309076</v>
          </cell>
          <cell r="FJ85">
            <v>9.6840477931028998E-2</v>
          </cell>
          <cell r="FK85">
            <v>9.0940917835265284E-2</v>
          </cell>
          <cell r="FL85">
            <v>8.5402500683130336E-2</v>
          </cell>
          <cell r="FM85">
            <v>8.020298392556649E-2</v>
          </cell>
          <cell r="FN85">
            <v>7.532150537938441E-2</v>
          </cell>
          <cell r="FO85">
            <v>7.0738496754990263E-2</v>
          </cell>
          <cell r="FP85">
            <v>6.6435602663103124E-2</v>
          </cell>
          <cell r="FQ85">
            <v>6.2395604748577749E-2</v>
          </cell>
          <cell r="FR85">
            <v>5.8602350622401551E-2</v>
          </cell>
          <cell r="FS85">
            <v>5.5040687284368575E-2</v>
          </cell>
          <cell r="FT85">
            <v>5.1696398748952738E-2</v>
          </cell>
          <cell r="FU85">
            <v>4.8556147605576624E-2</v>
          </cell>
          <cell r="FV85">
            <v>4.5607420261939778E-2</v>
          </cell>
          <cell r="FW85">
            <v>4.2838475635348899E-2</v>
          </cell>
          <cell r="FX85">
            <v>4.0238297072235751E-2</v>
          </cell>
          <cell r="FY85">
            <v>3.7796547290249012E-2</v>
          </cell>
          <cell r="FZ85">
            <v>3.5503526150610636E-2</v>
          </cell>
          <cell r="GA85">
            <v>3.3350131080823651E-2</v>
          </cell>
          <cell r="GB85">
            <v>3.1327819979423979E-2</v>
          </cell>
          <cell r="GC85">
            <v>2.9428576445307813E-2</v>
          </cell>
          <cell r="GD85">
            <v>2.7644877184289162E-2</v>
          </cell>
          <cell r="GE85">
            <v>2.5969661455013993E-2</v>
          </cell>
          <cell r="GF85">
            <v>2.4396302425204547E-2</v>
          </cell>
          <cell r="GG85">
            <v>2.2918580317478003E-2</v>
          </cell>
          <cell r="GH85">
            <v>2.153065723172079E-2</v>
          </cell>
          <cell r="GI85">
            <v>2.0227053538225532E-2</v>
          </cell>
          <cell r="GJ85">
            <v>1.9002625742562243E-2</v>
          </cell>
          <cell r="GK85">
            <v>1.7852545729479242E-2</v>
          </cell>
          <cell r="GL85">
            <v>1.6772281299033239E-2</v>
          </cell>
          <cell r="GM85">
            <v>1.5757577913691721E-2</v>
          </cell>
          <cell r="GN85">
            <v>1.4804441580310232E-2</v>
          </cell>
          <cell r="GO85">
            <v>1.3909122795734467E-2</v>
          </cell>
          <cell r="GP85">
            <v>1.3068101489300604E-2</v>
          </cell>
          <cell r="GQ85">
            <v>1.227807289974046E-2</v>
          </cell>
          <cell r="GR85">
            <v>1.1535934327965788E-2</v>
          </cell>
          <cell r="GS85">
            <v>1.0838772710907052E-2</v>
          </cell>
          <cell r="GT85">
            <v>1.0183852965058311E-2</v>
          </cell>
          <cell r="GU85">
            <v>9.5686070516217726E-3</v>
          </cell>
          <cell r="GV85">
            <v>8.9906237181880452E-3</v>
          </cell>
          <cell r="GW85">
            <v>8.4476388747313103E-3</v>
          </cell>
          <cell r="GX85">
            <v>7.9375265643616931E-3</v>
          </cell>
          <cell r="GY85">
            <v>7.4582904917697632E-3</v>
          </cell>
          <cell r="GZ85">
            <v>7.0080560746322382E-3</v>
          </cell>
          <cell r="HA85">
            <v>6.5850629854315515E-3</v>
          </cell>
          <cell r="HB85">
            <v>6.1876581531897261E-3</v>
          </cell>
          <cell r="HC85">
            <v>5.814289196530523E-3</v>
          </cell>
          <cell r="HD85">
            <v>5.4634982612795499E-3</v>
          </cell>
          <cell r="HE85">
            <v>5.1339162374905607E-3</v>
          </cell>
          <cell r="HF85">
            <v>4.824257332360353E-3</v>
          </cell>
          <cell r="HG85">
            <v>4.5333139769688831E-3</v>
          </cell>
          <cell r="HH85">
            <v>4.2599520461600471E-3</v>
          </cell>
          <cell r="HI85">
            <v>4.0031063721732308E-3</v>
          </cell>
          <cell r="HJ85">
            <v>3.7617765338464168E-3</v>
          </cell>
          <cell r="HK85">
            <v>3.535022904346331E-3</v>
          </cell>
          <cell r="HL85">
            <v>3.3219629414448855E-3</v>
          </cell>
          <cell r="HM85">
            <v>3.1217677053569644E-3</v>
          </cell>
          <cell r="HN85">
            <v>2.9336585900882105E-3</v>
          </cell>
          <cell r="HO85">
            <v>2.7569042551166098E-3</v>
          </cell>
          <cell r="HP85">
            <v>2.5908177450505452E-3</v>
          </cell>
          <cell r="HQ85">
            <v>2.4347537856754071E-3</v>
          </cell>
          <cell r="HR85">
            <v>2.2881062455195784E-3</v>
          </cell>
          <cell r="HS85">
            <v>2.1503057527466401E-3</v>
          </cell>
          <cell r="HT85">
            <v>2.0208174578122775E-3</v>
          </cell>
          <cell r="HU85">
            <v>1.8991389329179916E-3</v>
          </cell>
          <cell r="HV85">
            <v>1.7847981998487987E-3</v>
          </cell>
          <cell r="HW85">
            <v>1.6773518783040839E-3</v>
          </cell>
          <cell r="HX85">
            <v>1.5763834473184247E-3</v>
          </cell>
          <cell r="HY85">
            <v>1.4815016128276318E-3</v>
          </cell>
          <cell r="HZ85">
            <v>1.3923387748646415E-3</v>
          </cell>
          <cell r="IA85">
            <v>1.3085495882725182E-3</v>
          </cell>
          <cell r="IB85">
            <v>1.2298096111990461E-3</v>
          </cell>
          <cell r="IC85">
            <v>1.1558140359921429E-3</v>
          </cell>
          <cell r="ID85">
            <v>1.0862764974464403E-3</v>
          </cell>
          <cell r="IE85">
            <v>1.020927953663546E-3</v>
          </cell>
          <cell r="IF85">
            <v>9.5951563507991995E-4</v>
          </cell>
          <cell r="IG85">
            <v>9.0180205749047098E-4</v>
          </cell>
          <cell r="IH85">
            <v>8.4756409515276076E-4</v>
          </cell>
          <cell r="II85">
            <v>7.965921102976633E-4</v>
          </cell>
          <cell r="IJ85">
            <v>7.4868913559822262E-4</v>
          </cell>
          <cell r="IK85">
            <v>7.0367010636066451E-4</v>
          </cell>
          <cell r="IL85">
            <v>6.6136113940012627E-4</v>
          </cell>
          <cell r="IM85">
            <v>6.2159885575041032E-4</v>
          </cell>
          <cell r="IN85">
            <v>5.8422974453209821E-4</v>
          </cell>
          <cell r="IO85">
            <v>5.4910956546734416E-4</v>
          </cell>
          <cell r="IP85">
            <v>5.1610278768409931E-4</v>
          </cell>
          <cell r="IQ85">
            <v>4.8508206259665802E-4</v>
          </cell>
          <cell r="IR85">
            <v>7.5041137743995616E-3</v>
          </cell>
        </row>
        <row r="86">
          <cell r="B86" t="str">
            <v>Residual income</v>
          </cell>
          <cell r="C86">
            <v>39.616712000000007</v>
          </cell>
          <cell r="D86">
            <v>-1013.3411168</v>
          </cell>
          <cell r="E86">
            <v>2080.8912321062312</v>
          </cell>
          <cell r="F86">
            <v>2904.3469412572617</v>
          </cell>
          <cell r="G86">
            <v>3058.2419093949575</v>
          </cell>
          <cell r="H86">
            <v>3130.9658480359094</v>
          </cell>
          <cell r="I86">
            <v>3372.7894143299904</v>
          </cell>
          <cell r="J86">
            <v>3163.9426110915642</v>
          </cell>
          <cell r="K86">
            <v>3405.0588473056318</v>
          </cell>
          <cell r="L86">
            <v>3871.9025977996143</v>
          </cell>
          <cell r="M86">
            <v>3725.3352447528609</v>
          </cell>
          <cell r="N86">
            <v>4197.0797451225808</v>
          </cell>
          <cell r="O86">
            <v>4551.5112777015302</v>
          </cell>
          <cell r="P86">
            <v>4848.4626495815137</v>
          </cell>
          <cell r="Q86">
            <v>5098.4177011006177</v>
          </cell>
          <cell r="R86">
            <v>5258.5060147684453</v>
          </cell>
          <cell r="S86">
            <v>5258.5060147684417</v>
          </cell>
          <cell r="T86">
            <v>5258.5060147684399</v>
          </cell>
          <cell r="U86">
            <v>5258.5060147684471</v>
          </cell>
          <cell r="V86">
            <v>5258.5060147684408</v>
          </cell>
          <cell r="W86">
            <v>5258.5060147684471</v>
          </cell>
          <cell r="X86">
            <v>5258.5060147684462</v>
          </cell>
          <cell r="Y86">
            <v>5258.5060147684417</v>
          </cell>
          <cell r="Z86">
            <v>5258.5060147684417</v>
          </cell>
          <cell r="AA86">
            <v>5258.5060147684435</v>
          </cell>
          <cell r="AB86">
            <v>5258.5060147684426</v>
          </cell>
          <cell r="AC86">
            <v>5258.5060147684389</v>
          </cell>
          <cell r="AD86">
            <v>5258.5060147684435</v>
          </cell>
          <cell r="AE86">
            <v>5258.5060147684444</v>
          </cell>
          <cell r="AF86">
            <v>5258.5060147684417</v>
          </cell>
          <cell r="AG86">
            <v>5258.5060147684435</v>
          </cell>
          <cell r="AH86">
            <v>5258.5060147684435</v>
          </cell>
          <cell r="AI86">
            <v>5258.5060147684426</v>
          </cell>
          <cell r="AJ86">
            <v>5258.5060147684417</v>
          </cell>
          <cell r="AK86">
            <v>5258.5060147684444</v>
          </cell>
          <cell r="AL86">
            <v>5258.5060147684444</v>
          </cell>
          <cell r="AM86">
            <v>5258.5060147684408</v>
          </cell>
          <cell r="AN86">
            <v>5258.506014768448</v>
          </cell>
          <cell r="AO86">
            <v>5258.5060147684417</v>
          </cell>
          <cell r="AP86">
            <v>5258.5060147684426</v>
          </cell>
          <cell r="AQ86">
            <v>5258.506014768438</v>
          </cell>
          <cell r="AR86">
            <v>5258.5060147684426</v>
          </cell>
          <cell r="AS86">
            <v>5258.5060147684489</v>
          </cell>
          <cell r="AT86">
            <v>5258.5060147684499</v>
          </cell>
          <cell r="AU86">
            <v>5258.5060147684389</v>
          </cell>
          <cell r="AV86">
            <v>5258.5060147684389</v>
          </cell>
          <cell r="AW86">
            <v>5258.5060147684435</v>
          </cell>
          <cell r="AX86">
            <v>5258.5060147684444</v>
          </cell>
          <cell r="AY86">
            <v>5258.5060147684508</v>
          </cell>
          <cell r="AZ86">
            <v>5258.5060147684344</v>
          </cell>
          <cell r="BA86">
            <v>5258.506014768438</v>
          </cell>
          <cell r="BB86">
            <v>5258.5060147684462</v>
          </cell>
          <cell r="BC86">
            <v>5258.5060147684353</v>
          </cell>
          <cell r="BD86">
            <v>5258.5060147684471</v>
          </cell>
          <cell r="BE86">
            <v>5258.506014768448</v>
          </cell>
          <cell r="BF86">
            <v>5258.5060147684399</v>
          </cell>
          <cell r="BG86">
            <v>5258.5060147684453</v>
          </cell>
          <cell r="BH86">
            <v>5258.506014768438</v>
          </cell>
          <cell r="BI86">
            <v>5258.5060147684444</v>
          </cell>
          <cell r="BJ86">
            <v>5258.506014768448</v>
          </cell>
          <cell r="BK86">
            <v>5258.5060147684489</v>
          </cell>
          <cell r="BL86">
            <v>5258.5060147684453</v>
          </cell>
          <cell r="BM86">
            <v>5258.5060147684417</v>
          </cell>
          <cell r="BN86">
            <v>5258.5060147684362</v>
          </cell>
          <cell r="BO86">
            <v>5258.506014768438</v>
          </cell>
          <cell r="BP86">
            <v>5258.5060147684471</v>
          </cell>
          <cell r="BQ86">
            <v>5258.5060147684489</v>
          </cell>
          <cell r="BR86">
            <v>5258.5060147684508</v>
          </cell>
          <cell r="BS86">
            <v>5258.5060147684544</v>
          </cell>
          <cell r="BT86">
            <v>5258.5060147684308</v>
          </cell>
          <cell r="BU86">
            <v>5258.506014768458</v>
          </cell>
          <cell r="BV86">
            <v>5258.506014768438</v>
          </cell>
          <cell r="BW86">
            <v>5258.5060147684344</v>
          </cell>
          <cell r="BX86">
            <v>5258.5060147684362</v>
          </cell>
          <cell r="BY86">
            <v>5258.5060147684326</v>
          </cell>
          <cell r="BZ86">
            <v>5258.5060147684344</v>
          </cell>
          <cell r="CA86">
            <v>5258.5060147684362</v>
          </cell>
          <cell r="CB86">
            <v>5258.5060147684435</v>
          </cell>
          <cell r="CC86">
            <v>5258.5060147684362</v>
          </cell>
          <cell r="CD86">
            <v>5258.5060147684453</v>
          </cell>
          <cell r="CE86">
            <v>5258.5060147684344</v>
          </cell>
          <cell r="CF86">
            <v>5258.5060147684271</v>
          </cell>
          <cell r="CG86">
            <v>5258.5060147684399</v>
          </cell>
          <cell r="CH86">
            <v>5258.5060147684453</v>
          </cell>
          <cell r="CI86">
            <v>5258.5060147684362</v>
          </cell>
          <cell r="CJ86">
            <v>5258.5060147684526</v>
          </cell>
          <cell r="CK86">
            <v>5258.5060147684362</v>
          </cell>
          <cell r="CL86">
            <v>5258.5060147684508</v>
          </cell>
          <cell r="CM86">
            <v>5258.5060147684489</v>
          </cell>
          <cell r="CN86">
            <v>5258.506014768438</v>
          </cell>
          <cell r="CO86">
            <v>5258.5060147684344</v>
          </cell>
          <cell r="CP86">
            <v>5258.5060147684562</v>
          </cell>
          <cell r="CQ86">
            <v>5258.506014768438</v>
          </cell>
          <cell r="CR86">
            <v>5258.5060147684344</v>
          </cell>
          <cell r="CS86">
            <v>5258.5060147684489</v>
          </cell>
          <cell r="CT86">
            <v>5258.5060147684308</v>
          </cell>
          <cell r="CU86">
            <v>5258.5060147684526</v>
          </cell>
          <cell r="CV86">
            <v>5258.5060147684344</v>
          </cell>
          <cell r="CW86">
            <v>5258.5060147684344</v>
          </cell>
          <cell r="CX86">
            <v>5258.5060147684417</v>
          </cell>
          <cell r="CY86">
            <v>5258.5060147684271</v>
          </cell>
          <cell r="CZ86">
            <v>5258.5060147684562</v>
          </cell>
          <cell r="DA86">
            <v>5258.5060147684198</v>
          </cell>
          <cell r="DB86">
            <v>5258.5060147684162</v>
          </cell>
          <cell r="DC86">
            <v>5258.5060147684235</v>
          </cell>
          <cell r="DD86">
            <v>5258.5060147684198</v>
          </cell>
          <cell r="DE86">
            <v>5258.5060147684344</v>
          </cell>
          <cell r="DF86">
            <v>5258.5060147684599</v>
          </cell>
          <cell r="DG86">
            <v>5258.5060147684599</v>
          </cell>
          <cell r="DH86">
            <v>5258.5060147684235</v>
          </cell>
          <cell r="DI86">
            <v>5258.5060147684235</v>
          </cell>
          <cell r="DJ86">
            <v>5258.5060147684489</v>
          </cell>
          <cell r="DK86">
            <v>5258.5060147684198</v>
          </cell>
          <cell r="DL86">
            <v>5258.5060147684235</v>
          </cell>
          <cell r="DM86">
            <v>5258.5060147684235</v>
          </cell>
          <cell r="DN86">
            <v>5258.5060147684344</v>
          </cell>
          <cell r="DO86">
            <v>5258.5060147684526</v>
          </cell>
          <cell r="DP86">
            <v>5258.5060147684635</v>
          </cell>
          <cell r="DQ86">
            <v>5258.5060147684198</v>
          </cell>
          <cell r="DR86">
            <v>5258.5060147684562</v>
          </cell>
          <cell r="DS86">
            <v>5258.5060147684271</v>
          </cell>
          <cell r="DT86">
            <v>5258.5060147684453</v>
          </cell>
          <cell r="DU86">
            <v>5258.5060147684235</v>
          </cell>
          <cell r="DV86">
            <v>5258.5060147684126</v>
          </cell>
          <cell r="DW86">
            <v>5258.5060147684562</v>
          </cell>
          <cell r="DX86">
            <v>5258.5060147684271</v>
          </cell>
          <cell r="DY86">
            <v>5258.5060147684198</v>
          </cell>
          <cell r="DZ86">
            <v>5258.5060147684344</v>
          </cell>
          <cell r="EA86">
            <v>5258.5060147684198</v>
          </cell>
          <cell r="EB86">
            <v>5258.5060147684344</v>
          </cell>
          <cell r="EC86">
            <v>5258.5060147684708</v>
          </cell>
          <cell r="ED86">
            <v>5258.5060147684126</v>
          </cell>
          <cell r="EE86">
            <v>5258.5060147684126</v>
          </cell>
          <cell r="EF86">
            <v>5258.5060147684489</v>
          </cell>
          <cell r="EG86">
            <v>5258.5060147683835</v>
          </cell>
          <cell r="EH86">
            <v>5258.5060147684198</v>
          </cell>
          <cell r="EI86">
            <v>5258.5060147684853</v>
          </cell>
          <cell r="EJ86">
            <v>5258.5060147683835</v>
          </cell>
          <cell r="EK86">
            <v>5258.5060147684562</v>
          </cell>
          <cell r="EL86">
            <v>5258.5060147684417</v>
          </cell>
          <cell r="EM86">
            <v>5258.5060147684344</v>
          </cell>
          <cell r="EN86">
            <v>5258.5060147684708</v>
          </cell>
          <cell r="EO86">
            <v>5258.5060147684781</v>
          </cell>
          <cell r="EP86">
            <v>5258.5060147683907</v>
          </cell>
          <cell r="EQ86">
            <v>5258.5060147684198</v>
          </cell>
          <cell r="ER86">
            <v>5258.5060147684708</v>
          </cell>
          <cell r="ES86">
            <v>5258.5060147684271</v>
          </cell>
          <cell r="ET86">
            <v>5258.5060147684708</v>
          </cell>
          <cell r="EU86">
            <v>5258.5060147684271</v>
          </cell>
          <cell r="EV86">
            <v>5258.5060147684708</v>
          </cell>
          <cell r="EW86">
            <v>5258.5060147684562</v>
          </cell>
          <cell r="EX86">
            <v>5258.5060147684489</v>
          </cell>
          <cell r="EY86">
            <v>5258.5060147684271</v>
          </cell>
          <cell r="EZ86">
            <v>5258.5060147684635</v>
          </cell>
          <cell r="FA86">
            <v>5258.5060147684635</v>
          </cell>
          <cell r="FB86">
            <v>5258.5060147684999</v>
          </cell>
          <cell r="FC86">
            <v>5258.5060147684999</v>
          </cell>
          <cell r="FD86">
            <v>5258.506014768398</v>
          </cell>
          <cell r="FE86">
            <v>5258.5060147684708</v>
          </cell>
          <cell r="FF86">
            <v>5258.5060147684999</v>
          </cell>
          <cell r="FG86">
            <v>5258.5060147684708</v>
          </cell>
          <cell r="FH86">
            <v>5258.5060147684853</v>
          </cell>
          <cell r="FI86">
            <v>5258.5060147684562</v>
          </cell>
          <cell r="FJ86">
            <v>5258.5060147684271</v>
          </cell>
          <cell r="FK86">
            <v>5258.5060147684562</v>
          </cell>
          <cell r="FL86">
            <v>5258.5060147684562</v>
          </cell>
          <cell r="FM86">
            <v>5258.506014768398</v>
          </cell>
          <cell r="FN86">
            <v>5258.5060147683689</v>
          </cell>
          <cell r="FO86">
            <v>5258.5060147683544</v>
          </cell>
          <cell r="FP86">
            <v>5258.5060147684562</v>
          </cell>
          <cell r="FQ86">
            <v>5258.5060147683689</v>
          </cell>
          <cell r="FR86">
            <v>5258.5060147684126</v>
          </cell>
          <cell r="FS86">
            <v>5258.5060147683835</v>
          </cell>
          <cell r="FT86">
            <v>5258.5060147684999</v>
          </cell>
          <cell r="FU86">
            <v>5258.5060147683544</v>
          </cell>
          <cell r="FV86">
            <v>5258.5060147685144</v>
          </cell>
          <cell r="FW86">
            <v>5258.5060147683398</v>
          </cell>
          <cell r="FX86">
            <v>5258.5060147685435</v>
          </cell>
          <cell r="FY86">
            <v>5258.5060147683398</v>
          </cell>
          <cell r="FZ86">
            <v>5258.5060147684562</v>
          </cell>
          <cell r="GA86">
            <v>5258.5060147684126</v>
          </cell>
          <cell r="GB86">
            <v>5258.506014768398</v>
          </cell>
          <cell r="GC86">
            <v>5258.5060147684417</v>
          </cell>
          <cell r="GD86">
            <v>5258.5060147685144</v>
          </cell>
          <cell r="GE86">
            <v>5258.5060147685581</v>
          </cell>
          <cell r="GF86">
            <v>5258.5060147684853</v>
          </cell>
          <cell r="GG86">
            <v>5258.5060147684271</v>
          </cell>
          <cell r="GH86">
            <v>5258.5060147683398</v>
          </cell>
          <cell r="GI86">
            <v>5258.5060147685726</v>
          </cell>
          <cell r="GJ86">
            <v>5258.5060147684126</v>
          </cell>
          <cell r="GK86">
            <v>5258.5060147684999</v>
          </cell>
          <cell r="GL86">
            <v>5258.5060147684708</v>
          </cell>
          <cell r="GM86">
            <v>5258.5060147685581</v>
          </cell>
          <cell r="GN86">
            <v>5258.506014768529</v>
          </cell>
          <cell r="GO86">
            <v>5258.5060147684999</v>
          </cell>
          <cell r="GP86">
            <v>5258.5060147684708</v>
          </cell>
          <cell r="GQ86">
            <v>5258.506014768529</v>
          </cell>
          <cell r="GR86">
            <v>5258.5060147685581</v>
          </cell>
          <cell r="GS86">
            <v>5258.5060147684417</v>
          </cell>
          <cell r="GT86">
            <v>5258.5060147684126</v>
          </cell>
          <cell r="GU86">
            <v>5258.5060147684417</v>
          </cell>
          <cell r="GV86">
            <v>5258.5060147684417</v>
          </cell>
          <cell r="GW86">
            <v>5258.5060147684708</v>
          </cell>
          <cell r="GX86">
            <v>5258.5060147685581</v>
          </cell>
          <cell r="GY86">
            <v>5258.5060147686163</v>
          </cell>
          <cell r="GZ86">
            <v>5258.5060147683544</v>
          </cell>
          <cell r="HA86">
            <v>5258.5060147686454</v>
          </cell>
          <cell r="HB86">
            <v>5258.5060147685872</v>
          </cell>
          <cell r="HC86">
            <v>5258.5060147682671</v>
          </cell>
          <cell r="HD86">
            <v>5258.5060147683253</v>
          </cell>
          <cell r="HE86">
            <v>5258.5060147683253</v>
          </cell>
          <cell r="HF86">
            <v>5258.5060147683835</v>
          </cell>
          <cell r="HG86">
            <v>5258.5060147683835</v>
          </cell>
          <cell r="HH86">
            <v>5258.5060147682379</v>
          </cell>
          <cell r="HI86">
            <v>5258.5060147685581</v>
          </cell>
          <cell r="HJ86">
            <v>5258.5060147686163</v>
          </cell>
          <cell r="HK86">
            <v>5258.5060147682379</v>
          </cell>
          <cell r="HL86">
            <v>5258.5060147686163</v>
          </cell>
          <cell r="HM86">
            <v>5258.5060147683835</v>
          </cell>
          <cell r="HN86">
            <v>5258.5060147684999</v>
          </cell>
          <cell r="HO86">
            <v>5258.506014768529</v>
          </cell>
          <cell r="HP86">
            <v>5258.5060147684417</v>
          </cell>
          <cell r="HQ86">
            <v>5258.5060147682088</v>
          </cell>
          <cell r="HR86">
            <v>5258.5060147683253</v>
          </cell>
          <cell r="HS86">
            <v>5258.5060147683253</v>
          </cell>
          <cell r="HT86">
            <v>5258.5060147684999</v>
          </cell>
          <cell r="HU86">
            <v>5258.5060147681506</v>
          </cell>
          <cell r="HV86">
            <v>5258.5060147683253</v>
          </cell>
          <cell r="HW86">
            <v>5258.5060147681506</v>
          </cell>
          <cell r="HX86">
            <v>5258.5060147682671</v>
          </cell>
          <cell r="HY86">
            <v>5258.5060147683835</v>
          </cell>
          <cell r="HZ86">
            <v>5258.5060147686163</v>
          </cell>
          <cell r="IA86">
            <v>5258.5060147684999</v>
          </cell>
          <cell r="IB86">
            <v>5258.5060147683253</v>
          </cell>
          <cell r="IC86">
            <v>5258.5060147686163</v>
          </cell>
          <cell r="ID86">
            <v>5258.5060147684999</v>
          </cell>
          <cell r="IE86">
            <v>5258.5060147682671</v>
          </cell>
          <cell r="IF86">
            <v>5258.5060147684417</v>
          </cell>
          <cell r="IG86">
            <v>5258.5060147682088</v>
          </cell>
          <cell r="IH86">
            <v>5258.5060147680924</v>
          </cell>
          <cell r="II86">
            <v>5258.5060147684417</v>
          </cell>
          <cell r="IJ86">
            <v>5258.5060147683253</v>
          </cell>
          <cell r="IK86">
            <v>5258.5060147682088</v>
          </cell>
          <cell r="IL86">
            <v>5258.5060147686163</v>
          </cell>
          <cell r="IM86">
            <v>5258.5060147683253</v>
          </cell>
          <cell r="IN86">
            <v>5258.5060147680342</v>
          </cell>
          <cell r="IO86">
            <v>5258.5060147681506</v>
          </cell>
          <cell r="IP86">
            <v>5258.5060147687327</v>
          </cell>
          <cell r="IQ86">
            <v>5258.5060147687327</v>
          </cell>
          <cell r="IR86">
            <v>3819.1602647680556</v>
          </cell>
        </row>
        <row r="87">
          <cell r="B87" t="str">
            <v>PVRI</v>
          </cell>
          <cell r="C87">
            <v>36.513098617511531</v>
          </cell>
          <cell r="D87">
            <v>-860.78796899488202</v>
          </cell>
          <cell r="E87">
            <v>1629.1465975694666</v>
          </cell>
          <cell r="F87">
            <v>2095.7020654035282</v>
          </cell>
          <cell r="G87">
            <v>2033.8697851520049</v>
          </cell>
          <cell r="H87">
            <v>1919.1101453536214</v>
          </cell>
          <cell r="I87">
            <v>1905.3776157623608</v>
          </cell>
          <cell r="J87">
            <v>1647.3682519247236</v>
          </cell>
          <cell r="K87">
            <v>1634.0185340736018</v>
          </cell>
          <cell r="L87">
            <v>1712.4860474502354</v>
          </cell>
          <cell r="M87">
            <v>1518.581976845247</v>
          </cell>
          <cell r="N87">
            <v>1576.8499284456989</v>
          </cell>
          <cell r="O87">
            <v>1576.0464996547521</v>
          </cell>
          <cell r="P87">
            <v>1547.3470089655991</v>
          </cell>
          <cell r="Q87">
            <v>1499.6480271674352</v>
          </cell>
          <cell r="R87">
            <v>1425.5634896859644</v>
          </cell>
          <cell r="S87">
            <v>1313.8834006322245</v>
          </cell>
          <cell r="T87">
            <v>1210.9524429790081</v>
          </cell>
          <cell r="U87">
            <v>1116.0852009023131</v>
          </cell>
          <cell r="V87">
            <v>1028.6499547486746</v>
          </cell>
          <cell r="W87">
            <v>948.06447442274282</v>
          </cell>
          <cell r="X87">
            <v>873.79214232510856</v>
          </cell>
          <cell r="Y87">
            <v>805.33838002314064</v>
          </cell>
          <cell r="Z87">
            <v>742.2473548600376</v>
          </cell>
          <cell r="AA87">
            <v>684.09894457146345</v>
          </cell>
          <cell r="AB87">
            <v>630.50593969720126</v>
          </cell>
          <cell r="AC87">
            <v>581.11146515871042</v>
          </cell>
          <cell r="AD87">
            <v>535.5866038329134</v>
          </cell>
          <cell r="AE87">
            <v>493.62820629761609</v>
          </cell>
          <cell r="AF87">
            <v>454.95687216370123</v>
          </cell>
          <cell r="AG87">
            <v>419.31508955179851</v>
          </cell>
          <cell r="AH87">
            <v>386.4655203242383</v>
          </cell>
          <cell r="AI87">
            <v>356.18941965367577</v>
          </cell>
          <cell r="AJ87">
            <v>328.28517940430942</v>
          </cell>
          <cell r="AK87">
            <v>302.56698562609176</v>
          </cell>
          <cell r="AL87">
            <v>278.86358122220446</v>
          </cell>
          <cell r="AM87">
            <v>257.01712555041865</v>
          </cell>
          <cell r="AN87">
            <v>236.8821433644415</v>
          </cell>
          <cell r="AO87">
            <v>218.32455609625916</v>
          </cell>
          <cell r="AP87">
            <v>201.22078902881034</v>
          </cell>
          <cell r="AQ87">
            <v>185.45694841364997</v>
          </cell>
          <cell r="AR87">
            <v>170.9280630540554</v>
          </cell>
          <cell r="AS87">
            <v>157.53738530327703</v>
          </cell>
          <cell r="AT87">
            <v>145.19574682329687</v>
          </cell>
          <cell r="AU87">
            <v>133.8209648140982</v>
          </cell>
          <cell r="AV87">
            <v>123.33729475953754</v>
          </cell>
          <cell r="AW87">
            <v>113.6749260456568</v>
          </cell>
          <cell r="AX87">
            <v>104.76951709277128</v>
          </cell>
          <cell r="AY87">
            <v>96.561766905780104</v>
          </cell>
          <cell r="AZ87">
            <v>88.997020189658798</v>
          </cell>
          <cell r="BA87">
            <v>82.024903400607243</v>
          </cell>
          <cell r="BB87">
            <v>75.59898930931557</v>
          </cell>
          <cell r="BC87">
            <v>69.67648784268701</v>
          </cell>
          <cell r="BD87">
            <v>64.217961145333803</v>
          </cell>
          <cell r="BE87">
            <v>59.187060963441283</v>
          </cell>
          <cell r="BF87">
            <v>54.550286602249962</v>
          </cell>
          <cell r="BG87">
            <v>50.276761845391725</v>
          </cell>
          <cell r="BH87">
            <v>46.338029350591384</v>
          </cell>
          <cell r="BI87">
            <v>42.70786115261884</v>
          </cell>
          <cell r="BJ87">
            <v>39.362084011630301</v>
          </cell>
          <cell r="BK87">
            <v>36.278418443898893</v>
          </cell>
          <cell r="BL87">
            <v>33.43633036304044</v>
          </cell>
          <cell r="BM87">
            <v>30.816894343816053</v>
          </cell>
          <cell r="BN87">
            <v>28.402667597987115</v>
          </cell>
          <cell r="BO87">
            <v>26.177573823029608</v>
          </cell>
          <cell r="BP87">
            <v>24.126796150257746</v>
          </cell>
          <cell r="BQ87">
            <v>22.236678479500235</v>
          </cell>
          <cell r="BR87">
            <v>20.494634543318199</v>
          </cell>
          <cell r="BS87">
            <v>18.889064095224157</v>
          </cell>
          <cell r="BT87">
            <v>17.409275663800994</v>
          </cell>
          <cell r="BU87">
            <v>16.045415358342009</v>
          </cell>
          <cell r="BV87">
            <v>14.788401251928065</v>
          </cell>
          <cell r="BW87">
            <v>13.629862905002815</v>
          </cell>
          <cell r="BX87">
            <v>12.56208562673071</v>
          </cell>
          <cell r="BY87">
            <v>11.577959102977605</v>
          </cell>
          <cell r="BZ87">
            <v>10.670930048827291</v>
          </cell>
          <cell r="CA87">
            <v>9.8349585703477356</v>
          </cell>
          <cell r="CB87">
            <v>9.0644779450209683</v>
          </cell>
          <cell r="CC87">
            <v>8.3543575530147063</v>
          </cell>
          <cell r="CD87">
            <v>7.6998687124559639</v>
          </cell>
          <cell r="CE87">
            <v>7.0966531912036386</v>
          </cell>
          <cell r="CF87">
            <v>6.5406941854411329</v>
          </cell>
          <cell r="CG87">
            <v>6.0282895718351597</v>
          </cell>
          <cell r="CH87">
            <v>5.5560272551476189</v>
          </cell>
          <cell r="CI87">
            <v>5.1207624471406543</v>
          </cell>
          <cell r="CJ87">
            <v>4.719596725475272</v>
          </cell>
          <cell r="CK87">
            <v>4.3498587331569185</v>
          </cell>
          <cell r="CL87">
            <v>4.0090863900063889</v>
          </cell>
          <cell r="CM87">
            <v>3.6950104977017393</v>
          </cell>
          <cell r="CN87">
            <v>3.4055396292181861</v>
          </cell>
          <cell r="CO87">
            <v>3.138746202044409</v>
          </cell>
          <cell r="CP87">
            <v>2.8928536424372555</v>
          </cell>
          <cell r="CQ87">
            <v>2.6662245552417012</v>
          </cell>
          <cell r="CR87">
            <v>2.4573498204992621</v>
          </cell>
          <cell r="CS87">
            <v>2.2648385442389571</v>
          </cell>
          <cell r="CT87">
            <v>2.0874087965335941</v>
          </cell>
          <cell r="CU87">
            <v>1.9238790751461776</v>
          </cell>
          <cell r="CV87">
            <v>1.7731604379227384</v>
          </cell>
          <cell r="CW87">
            <v>1.6342492515416944</v>
          </cell>
          <cell r="CX87">
            <v>1.5062205083333611</v>
          </cell>
          <cell r="CY87">
            <v>1.3882216666666884</v>
          </cell>
          <cell r="CZ87">
            <v>1.2794669738863558</v>
          </cell>
          <cell r="DA87">
            <v>1.179232233996633</v>
          </cell>
          <cell r="DB87">
            <v>1.0868499852503524</v>
          </cell>
          <cell r="DC87">
            <v>1.0017050555302804</v>
          </cell>
          <cell r="DD87">
            <v>0.92323046592652491</v>
          </cell>
          <cell r="DE87">
            <v>0.85090365523182243</v>
          </cell>
          <cell r="DF87">
            <v>0.78424300021366533</v>
          </cell>
          <cell r="DG87">
            <v>0.72280460849185735</v>
          </cell>
          <cell r="DH87">
            <v>0.66617936266530176</v>
          </cell>
          <cell r="DI87">
            <v>0.61399019600488636</v>
          </cell>
          <cell r="DJ87">
            <v>0.56588958157132663</v>
          </cell>
          <cell r="DK87">
            <v>0.52155721803808619</v>
          </cell>
          <cell r="DL87">
            <v>0.48069789680929637</v>
          </cell>
          <cell r="DM87">
            <v>0.44303953622976622</v>
          </cell>
          <cell r="DN87">
            <v>0.40833136979702045</v>
          </cell>
          <cell r="DO87">
            <v>0.37634227631061923</v>
          </cell>
          <cell r="DP87">
            <v>0.34685924083928116</v>
          </cell>
          <cell r="DQ87">
            <v>0.31968593625739927</v>
          </cell>
          <cell r="DR87">
            <v>0.29464141590543919</v>
          </cell>
          <cell r="DS87">
            <v>0.2715589086686061</v>
          </cell>
          <cell r="DT87">
            <v>0.25028470845032902</v>
          </cell>
          <cell r="DU87">
            <v>0.2306771506454636</v>
          </cell>
          <cell r="DV87">
            <v>0.21260566879766191</v>
          </cell>
          <cell r="DW87">
            <v>0.19594992515913698</v>
          </cell>
          <cell r="DX87">
            <v>0.18059900936325893</v>
          </cell>
          <cell r="DY87">
            <v>0.16645069987397113</v>
          </cell>
          <cell r="DZ87">
            <v>0.15341078329398306</v>
          </cell>
          <cell r="EA87">
            <v>0.14139242699906232</v>
          </cell>
          <cell r="EB87">
            <v>0.13031560092079514</v>
          </cell>
          <cell r="EC87">
            <v>0.12010654462746179</v>
          </cell>
          <cell r="ED87">
            <v>0.11069727615434145</v>
          </cell>
          <cell r="EE87">
            <v>0.1020251393127571</v>
          </cell>
          <cell r="EF87">
            <v>9.4032386463371254E-2</v>
          </cell>
          <cell r="EG87">
            <v>8.666579397545629E-2</v>
          </cell>
          <cell r="EH87">
            <v>7.9876307811481015E-2</v>
          </cell>
          <cell r="EI87">
            <v>7.3618716876941936E-2</v>
          </cell>
          <cell r="EJ87">
            <v>6.7851351960313833E-2</v>
          </cell>
          <cell r="EK87">
            <v>6.2535808258354642E-2</v>
          </cell>
          <cell r="EL87">
            <v>5.7636689639036384E-2</v>
          </cell>
          <cell r="EM87">
            <v>5.3121372939203965E-2</v>
          </cell>
          <cell r="EN87">
            <v>4.8959790727377259E-2</v>
          </cell>
          <cell r="EO87">
            <v>4.5124231085140389E-2</v>
          </cell>
          <cell r="EP87">
            <v>4.1589153073861428E-2</v>
          </cell>
          <cell r="EQ87">
            <v>3.833101665793702E-2</v>
          </cell>
          <cell r="ER87">
            <v>3.5328125952016023E-2</v>
          </cell>
          <cell r="ES87">
            <v>3.2560484748401591E-2</v>
          </cell>
          <cell r="ET87">
            <v>3.0009663362582369E-2</v>
          </cell>
          <cell r="EU87">
            <v>2.7658675910213936E-2</v>
          </cell>
          <cell r="EV87">
            <v>2.5491867198354071E-2</v>
          </cell>
          <cell r="EW87">
            <v>2.349480847774562E-2</v>
          </cell>
          <cell r="EX87">
            <v>2.1654201361977501E-2</v>
          </cell>
          <cell r="EY87">
            <v>1.99577892737119E-2</v>
          </cell>
          <cell r="EZ87">
            <v>1.8394275828306026E-2</v>
          </cell>
          <cell r="FA87">
            <v>1.695324961134196E-2</v>
          </cell>
          <cell r="FB87">
            <v>1.5625114849163207E-2</v>
          </cell>
          <cell r="FC87">
            <v>1.4401027510749499E-2</v>
          </cell>
          <cell r="FD87">
            <v>1.327283641543707E-2</v>
          </cell>
          <cell r="FE87">
            <v>1.2233028954320048E-2</v>
          </cell>
          <cell r="FF87">
            <v>1.127468106388951E-2</v>
          </cell>
          <cell r="FG87">
            <v>1.0391411118792118E-2</v>
          </cell>
          <cell r="FH87">
            <v>9.5773374366747883E-3</v>
          </cell>
          <cell r="FI87">
            <v>8.827039112142613E-3</v>
          </cell>
          <cell r="FJ87">
            <v>8.1355199190254069E-3</v>
          </cell>
          <cell r="FK87">
            <v>7.4981750405764529E-3</v>
          </cell>
          <cell r="FL87">
            <v>6.9107604060612473E-3</v>
          </cell>
          <cell r="FM87">
            <v>6.3693644295494652E-3</v>
          </cell>
          <cell r="FN87">
            <v>5.8703819627183695E-3</v>
          </cell>
          <cell r="FO87">
            <v>5.4104902882196812E-3</v>
          </cell>
          <cell r="FP87">
            <v>4.9866269937509549E-3</v>
          </cell>
          <cell r="FQ87">
            <v>4.5959695794938905E-3</v>
          </cell>
          <cell r="FR87">
            <v>4.2359166631280466E-3</v>
          </cell>
          <cell r="FS87">
            <v>3.9040706572608498E-3</v>
          </cell>
          <cell r="FT87">
            <v>3.5982218039271306E-3</v>
          </cell>
          <cell r="FU87">
            <v>3.3163334598405808E-3</v>
          </cell>
          <cell r="FV87">
            <v>3.0565285344153759E-3</v>
          </cell>
          <cell r="FW87">
            <v>2.8170769902444927E-3</v>
          </cell>
          <cell r="FX87">
            <v>2.5963843228060846E-3</v>
          </cell>
          <cell r="FY87">
            <v>2.3929809426783263E-3</v>
          </cell>
          <cell r="FZ87">
            <v>2.2055123895653268E-3</v>
          </cell>
          <cell r="GA87">
            <v>2.0327303129634177E-3</v>
          </cell>
          <cell r="GB87">
            <v>1.8734841594132833E-3</v>
          </cell>
          <cell r="GC87">
            <v>1.7267135109799985E-3</v>
          </cell>
          <cell r="GD87">
            <v>1.5914410239447215E-3</v>
          </cell>
          <cell r="GE87">
            <v>1.4667659206863916E-3</v>
          </cell>
          <cell r="GF87">
            <v>1.3518579914160102E-3</v>
          </cell>
          <cell r="GG87">
            <v>1.245952065821194E-3</v>
          </cell>
          <cell r="GH87">
            <v>1.148342917807533E-3</v>
          </cell>
          <cell r="GI87">
            <v>1.0583805694079113E-3</v>
          </cell>
          <cell r="GJ87">
            <v>9.7546596258790718E-4</v>
          </cell>
          <cell r="GK87">
            <v>8.990469701271182E-4</v>
          </cell>
          <cell r="GL87">
            <v>8.2861471901116439E-4</v>
          </cell>
          <cell r="GM87">
            <v>7.6370020185362038E-4</v>
          </cell>
          <cell r="GN87">
            <v>7.0387115378213471E-4</v>
          </cell>
          <cell r="GO87">
            <v>6.4872917399274731E-4</v>
          </cell>
          <cell r="GP87">
            <v>5.9790707280437218E-4</v>
          </cell>
          <cell r="GQ87">
            <v>5.5106642654781444E-4</v>
          </cell>
          <cell r="GR87">
            <v>5.0789532400720525E-4</v>
          </cell>
          <cell r="GS87">
            <v>4.6810628940755199E-4</v>
          </cell>
          <cell r="GT87">
            <v>4.3143436811755707E-4</v>
          </cell>
          <cell r="GU87">
            <v>3.9763536232033137E-4</v>
          </cell>
          <cell r="GV87">
            <v>3.6648420490353119E-4</v>
          </cell>
          <cell r="GW87">
            <v>3.3777346074058363E-4</v>
          </cell>
          <cell r="GX87">
            <v>3.1131194538303161E-4</v>
          </cell>
          <cell r="GY87">
            <v>2.8692345196593084E-4</v>
          </cell>
          <cell r="GZ87">
            <v>2.6444557784877104E-4</v>
          </cell>
          <cell r="HA87">
            <v>2.4372864317860431E-4</v>
          </cell>
          <cell r="HB87">
            <v>2.2463469417382639E-4</v>
          </cell>
          <cell r="HC87">
            <v>2.0703658449199331E-4</v>
          </cell>
          <cell r="HD87">
            <v>1.9081712856405125E-4</v>
          </cell>
          <cell r="HE87">
            <v>1.7586832125719007E-4</v>
          </cell>
          <cell r="HF87">
            <v>1.6209061867022311E-4</v>
          </cell>
          <cell r="HG87">
            <v>1.4939227527209503E-4</v>
          </cell>
          <cell r="HH87">
            <v>1.3768873296966902E-4</v>
          </cell>
          <cell r="HI87">
            <v>1.2690205803656901E-4</v>
          </cell>
          <cell r="HJ87">
            <v>1.1696042215352116E-4</v>
          </cell>
          <cell r="HK87">
            <v>1.0779762410462005E-4</v>
          </cell>
          <cell r="HL87">
            <v>9.9352648944357419E-5</v>
          </cell>
          <cell r="HM87">
            <v>9.1569261699864528E-5</v>
          </cell>
          <cell r="HN87">
            <v>8.4395632903102818E-5</v>
          </cell>
          <cell r="HO87">
            <v>7.7783993459081381E-5</v>
          </cell>
          <cell r="HP87">
            <v>7.1690316552147545E-5</v>
          </cell>
          <cell r="HQ87">
            <v>6.6074024472022463E-5</v>
          </cell>
          <cell r="HR87">
            <v>6.089771840739533E-5</v>
          </cell>
          <cell r="HS87">
            <v>5.6126929407737631E-5</v>
          </cell>
          <cell r="HT87">
            <v>5.172988885505944E-5</v>
          </cell>
          <cell r="HU87">
            <v>4.7677316917102307E-5</v>
          </cell>
          <cell r="HV87">
            <v>4.3942227573367655E-5</v>
          </cell>
          <cell r="HW87">
            <v>4.0499748915544874E-5</v>
          </cell>
          <cell r="HX87">
            <v>3.7326957525848637E-5</v>
          </cell>
          <cell r="HY87">
            <v>3.4402725830276003E-5</v>
          </cell>
          <cell r="HZ87">
            <v>3.1707581410394032E-5</v>
          </cell>
          <cell r="IA87">
            <v>2.9223577336768058E-5</v>
          </cell>
          <cell r="IB87">
            <v>2.6934172660614823E-5</v>
          </cell>
          <cell r="IC87">
            <v>2.4824122267849133E-5</v>
          </cell>
          <cell r="ID87">
            <v>2.2879375362072434E-5</v>
          </cell>
          <cell r="IE87">
            <v>2.1086981900526654E-5</v>
          </cell>
          <cell r="IF87">
            <v>1.9435006359933047E-5</v>
          </cell>
          <cell r="IG87">
            <v>1.7912448258002014E-5</v>
          </cell>
          <cell r="IH87">
            <v>1.6509168901383982E-5</v>
          </cell>
          <cell r="II87">
            <v>1.5215823872244309E-5</v>
          </cell>
          <cell r="IJ87">
            <v>1.4023800803911495E-5</v>
          </cell>
          <cell r="IK87">
            <v>1.2925162031254549E-5</v>
          </cell>
          <cell r="IL87">
            <v>1.1912591733876085E-5</v>
          </cell>
          <cell r="IM87">
            <v>1.0979347220161683E-5</v>
          </cell>
          <cell r="IN87">
            <v>1.0119214027798227E-5</v>
          </cell>
          <cell r="IO87">
            <v>9.3264645417497228E-6</v>
          </cell>
          <cell r="IP87">
            <v>8.5958198541481632E-6</v>
          </cell>
          <cell r="IQ87">
            <v>7.9224146121181228E-6</v>
          </cell>
          <cell r="IR87">
            <v>5.3031429875756219E-6</v>
          </cell>
        </row>
        <row r="89">
          <cell r="B89" t="str">
            <v>WACC Calculation</v>
          </cell>
        </row>
        <row r="90">
          <cell r="B90">
            <v>-70973.176187951205</v>
          </cell>
          <cell r="C90">
            <v>3232.7470000000003</v>
          </cell>
          <cell r="D90">
            <v>2308.04</v>
          </cell>
          <cell r="E90">
            <v>2831.0743166425063</v>
          </cell>
          <cell r="F90">
            <v>3825.2126427128405</v>
          </cell>
          <cell r="G90">
            <v>4738.0968150634708</v>
          </cell>
          <cell r="H90">
            <v>5017.9980159702427</v>
          </cell>
          <cell r="I90">
            <v>5333.6051221296175</v>
          </cell>
          <cell r="J90">
            <v>5515.2868183173741</v>
          </cell>
          <cell r="K90">
            <v>5895.9878894588583</v>
          </cell>
          <cell r="L90">
            <v>6573.3613880086123</v>
          </cell>
          <cell r="M90">
            <v>4336.9230975077407</v>
          </cell>
          <cell r="N90">
            <v>6080.9146359851411</v>
          </cell>
          <cell r="O90">
            <v>6443.3715524681747</v>
          </cell>
          <cell r="P90">
            <v>6798.9218242611269</v>
          </cell>
          <cell r="Q90">
            <v>6907.2530858761975</v>
          </cell>
          <cell r="R90">
            <v>4612.3158710575299</v>
          </cell>
          <cell r="S90">
            <v>6856.130213082206</v>
          </cell>
          <cell r="T90">
            <v>6914.4124148576593</v>
          </cell>
          <cell r="U90">
            <v>6974.2201218312293</v>
          </cell>
          <cell r="V90">
            <v>7035.5818788693396</v>
          </cell>
          <cell r="W90">
            <v>7098.5266498304445</v>
          </cell>
          <cell r="X90">
            <v>7163.0838328049795</v>
          </cell>
          <cell r="Y90">
            <v>7229.2832757100823</v>
          </cell>
          <cell r="Z90">
            <v>7297.1552922195315</v>
          </cell>
          <cell r="AA90">
            <v>7366.7306780109429</v>
          </cell>
          <cell r="AB90">
            <v>7438.0407273130331</v>
          </cell>
          <cell r="AC90">
            <v>7511.1172497374828</v>
          </cell>
          <cell r="AD90">
            <v>7585.9925873813663</v>
          </cell>
          <cell r="AE90">
            <v>7662.6996321864062</v>
          </cell>
          <cell r="AF90">
            <v>7741.2718435446732</v>
          </cell>
          <cell r="AG90">
            <v>7821.7432661394269</v>
          </cell>
          <cell r="AH90">
            <v>7904.1485480130341</v>
          </cell>
          <cell r="AI90">
            <v>7988.5229588543134</v>
          </cell>
          <cell r="AJ90">
            <v>8074.9024084987759</v>
          </cell>
          <cell r="AK90">
            <v>8163.3234656379427</v>
          </cell>
          <cell r="AL90">
            <v>8253.8233767325437</v>
          </cell>
          <cell r="AM90">
            <v>8346.4400851290193</v>
          </cell>
          <cell r="AN90">
            <v>8441.2122503765695</v>
          </cell>
          <cell r="AO90">
            <v>8538.1792677456433</v>
          </cell>
          <cell r="AP90">
            <v>8637.381287948052</v>
          </cell>
          <cell r="AQ90">
            <v>8738.8592370613896</v>
          </cell>
          <cell r="AR90">
            <v>8842.6548366599018</v>
          </cell>
          <cell r="AS90">
            <v>8948.8106241561109</v>
          </cell>
          <cell r="AT90">
            <v>9057.3699733576213</v>
          </cell>
          <cell r="AU90">
            <v>9168.3771152443514</v>
          </cell>
          <cell r="AV90">
            <v>9281.8771589727075</v>
          </cell>
          <cell r="AW90">
            <v>9397.9161131129968</v>
          </cell>
          <cell r="AX90">
            <v>9516.5409071282811</v>
          </cell>
          <cell r="AY90">
            <v>9637.7994131017749</v>
          </cell>
          <cell r="AZ90">
            <v>9761.7404677222057</v>
          </cell>
          <cell r="BA90">
            <v>9888.4138945360755</v>
          </cell>
          <cell r="BB90">
            <v>10017.870526475792</v>
          </cell>
          <cell r="BC90">
            <v>10150.162228674508</v>
          </cell>
          <cell r="BD90">
            <v>10285.341921577823</v>
          </cell>
          <cell r="BE90">
            <v>10423.463604362534</v>
          </cell>
          <cell r="BF90">
            <v>10564.582378674582</v>
          </cell>
          <cell r="BG90">
            <v>10708.754472696746</v>
          </cell>
          <cell r="BH90">
            <v>10856.037265558291</v>
          </cell>
          <cell r="BI90">
            <v>11006.489312098049</v>
          </cell>
          <cell r="BJ90">
            <v>11160.170367994346</v>
          </cell>
          <cell r="BK90">
            <v>11317.141415272261</v>
          </cell>
          <cell r="BL90">
            <v>11477.46468820287</v>
          </cell>
          <cell r="BM90">
            <v>11641.20369960638</v>
          </cell>
          <cell r="BN90">
            <v>11808.423267572107</v>
          </cell>
          <cell r="BO90">
            <v>11979.189542608819</v>
          </cell>
          <cell r="BP90">
            <v>12153.570035239165</v>
          </cell>
          <cell r="BQ90">
            <v>12331.633644051188</v>
          </cell>
          <cell r="BR90">
            <v>12513.45068422109</v>
          </cell>
          <cell r="BS90">
            <v>12699.092916520556</v>
          </cell>
          <cell r="BT90">
            <v>12888.633576824235</v>
          </cell>
          <cell r="BU90">
            <v>13082.14740612921</v>
          </cell>
          <cell r="BV90">
            <v>13279.71068110293</v>
          </cell>
          <cell r="BW90">
            <v>13481.401245173231</v>
          </cell>
          <cell r="BX90">
            <v>13687.298540174968</v>
          </cell>
          <cell r="BY90">
            <v>13897.483638568639</v>
          </cell>
          <cell r="BZ90">
            <v>14112.03927624525</v>
          </cell>
          <cell r="CA90">
            <v>14331.049885933498</v>
          </cell>
          <cell r="CB90">
            <v>14554.601631223992</v>
          </cell>
          <cell r="CC90">
            <v>14782.7824412257</v>
          </cell>
          <cell r="CD90">
            <v>15015.682045871428</v>
          </cell>
          <cell r="CE90">
            <v>15253.392011886674</v>
          </cell>
          <cell r="CF90">
            <v>15496.00577943986</v>
          </cell>
          <cell r="CG90">
            <v>15743.61869948731</v>
          </cell>
          <cell r="CH90">
            <v>15996.328071833079</v>
          </cell>
          <cell r="CI90">
            <v>16254.233183917102</v>
          </cell>
          <cell r="CJ90">
            <v>16517.435350349693</v>
          </cell>
          <cell r="CK90">
            <v>16786.037953211009</v>
          </cell>
          <cell r="CL90">
            <v>17060.146483129298</v>
          </cell>
          <cell r="CM90">
            <v>17339.868581159531</v>
          </cell>
          <cell r="CN90">
            <v>17625.314081477452</v>
          </cell>
          <cell r="CO90">
            <v>17916.595054907404</v>
          </cell>
          <cell r="CP90">
            <v>18213.825853304963</v>
          </cell>
          <cell r="CQ90">
            <v>18517.123154807898</v>
          </cell>
          <cell r="CR90">
            <v>18826.606009980162</v>
          </cell>
          <cell r="CS90">
            <v>19142.39588886455</v>
          </cell>
          <cell r="CT90">
            <v>19464.616728963196</v>
          </cell>
          <cell r="CU90">
            <v>19793.394984168826</v>
          </cell>
          <cell r="CV90">
            <v>20128.85967466353</v>
          </cell>
          <cell r="CW90">
            <v>20471.14243780807</v>
          </cell>
          <cell r="CX90">
            <v>20820.377580041029</v>
          </cell>
          <cell r="CY90">
            <v>21176.702129809662</v>
          </cell>
          <cell r="CZ90">
            <v>21540.255891553472</v>
          </cell>
          <cell r="DA90">
            <v>21911.181500763989</v>
          </cell>
          <cell r="DB90">
            <v>22289.624480140374</v>
          </cell>
          <cell r="DC90">
            <v>22675.733296865859</v>
          </cell>
          <cell r="DD90">
            <v>23069.659421028024</v>
          </cell>
          <cell r="DE90">
            <v>23471.557385203982</v>
          </cell>
          <cell r="DF90">
            <v>23881.584845238314</v>
          </cell>
          <cell r="DG90">
            <v>24299.902642234309</v>
          </cell>
          <cell r="DH90">
            <v>24726.674865786044</v>
          </cell>
          <cell r="DI90">
            <v>25162.068918475619</v>
          </cell>
          <cell r="DJ90">
            <v>25606.255581660866</v>
          </cell>
          <cell r="DK90">
            <v>26059.409082580511</v>
          </cell>
          <cell r="DL90">
            <v>26521.707162803534</v>
          </cell>
          <cell r="DM90">
            <v>26993.33114804935</v>
          </cell>
          <cell r="DN90">
            <v>27474.466019406587</v>
          </cell>
          <cell r="DO90">
            <v>27965.300485980741</v>
          </cell>
          <cell r="DP90">
            <v>28466.027058995292</v>
          </cell>
          <cell r="DQ90">
            <v>28976.842127381016</v>
          </cell>
          <cell r="DR90">
            <v>29497.946034878638</v>
          </cell>
          <cell r="DS90">
            <v>30029.543158688597</v>
          </cell>
          <cell r="DT90">
            <v>30571.841989696863</v>
          </cell>
          <cell r="DU90">
            <v>31125.055214311484</v>
          </cell>
          <cell r="DV90">
            <v>31689.399797937411</v>
          </cell>
          <cell r="DW90">
            <v>32265.09707012766</v>
          </cell>
          <cell r="DX90">
            <v>32852.372811441637</v>
          </cell>
          <cell r="DY90">
            <v>33451.457342044559</v>
          </cell>
          <cell r="DZ90">
            <v>34062.585612084848</v>
          </cell>
          <cell r="EA90">
            <v>34685.997293884495</v>
          </cell>
          <cell r="EB90">
            <v>35321.936875975131</v>
          </cell>
          <cell r="EC90">
            <v>35970.653759025154</v>
          </cell>
          <cell r="ED90">
            <v>36632.402353686099</v>
          </cell>
          <cell r="EE90">
            <v>37307.44218040265</v>
          </cell>
          <cell r="EF90">
            <v>37996.03797122548</v>
          </cell>
          <cell r="EG90">
            <v>38698.459773663672</v>
          </cell>
          <cell r="EH90">
            <v>39414.983056620935</v>
          </cell>
          <cell r="EI90">
            <v>40145.888818454347</v>
          </cell>
          <cell r="EJ90">
            <v>40891.463697201929</v>
          </cell>
          <cell r="EK90">
            <v>41652.000083018313</v>
          </cell>
          <cell r="EL90">
            <v>42427.796232863722</v>
          </cell>
          <cell r="EM90">
            <v>43219.156387495372</v>
          </cell>
          <cell r="EN90">
            <v>44026.390890801209</v>
          </cell>
          <cell r="EO90">
            <v>44849.816311524948</v>
          </cell>
          <cell r="EP90">
            <v>45689.755567435059</v>
          </cell>
          <cell r="EQ90">
            <v>46546.538051976931</v>
          </cell>
          <cell r="ER90">
            <v>47420.499763467858</v>
          </cell>
          <cell r="ES90">
            <v>48311.983436878203</v>
          </cell>
          <cell r="ET90">
            <v>49221.338678255241</v>
          </cell>
          <cell r="EU90">
            <v>50148.922101839111</v>
          </cell>
          <cell r="EV90">
            <v>51095.097469927394</v>
          </cell>
          <cell r="EW90">
            <v>52060.235835539454</v>
          </cell>
          <cell r="EX90">
            <v>53044.715687943855</v>
          </cell>
          <cell r="EY90">
            <v>54048.923101096414</v>
          </cell>
          <cell r="EZ90">
            <v>55073.251885053192</v>
          </cell>
          <cell r="FA90">
            <v>56118.103740420018</v>
          </cell>
          <cell r="FB90">
            <v>57183.888415888476</v>
          </cell>
          <cell r="FC90">
            <v>58271.023868936725</v>
          </cell>
          <cell r="FD90">
            <v>59379.936429738533</v>
          </cell>
          <cell r="FE90">
            <v>60511.060968366146</v>
          </cell>
          <cell r="FF90">
            <v>61664.841065331537</v>
          </cell>
          <cell r="FG90">
            <v>62841.729185548393</v>
          </cell>
          <cell r="FH90">
            <v>64042.186855779539</v>
          </cell>
          <cell r="FI90">
            <v>65266.684845631593</v>
          </cell>
          <cell r="FJ90">
            <v>66515.703352178927</v>
          </cell>
          <cell r="FK90">
            <v>67789.732188281094</v>
          </cell>
          <cell r="FL90">
            <v>69089.270974675645</v>
          </cell>
          <cell r="FM90">
            <v>70414.829335907663</v>
          </cell>
          <cell r="FN90">
            <v>71766.927100192945</v>
          </cell>
          <cell r="FO90">
            <v>73146.094503275992</v>
          </cell>
          <cell r="FP90">
            <v>74552.872396367573</v>
          </cell>
          <cell r="FQ90">
            <v>75987.812458250832</v>
          </cell>
          <cell r="FR90">
            <v>77451.477411628483</v>
          </cell>
          <cell r="FS90">
            <v>78944.44124380227</v>
          </cell>
          <cell r="FT90">
            <v>80467.289431771685</v>
          </cell>
          <cell r="FU90">
            <v>82020.619171832222</v>
          </cell>
          <cell r="FV90">
            <v>83605.039613777364</v>
          </cell>
          <cell r="FW90">
            <v>85221.172099781455</v>
          </cell>
          <cell r="FX90">
            <v>86869.650408067595</v>
          </cell>
          <cell r="FY90">
            <v>88551.12100145052</v>
          </cell>
          <cell r="FZ90">
            <v>90266.243280851835</v>
          </cell>
          <cell r="GA90">
            <v>92015.689843895932</v>
          </cell>
          <cell r="GB90">
            <v>93800.146748670901</v>
          </cell>
          <cell r="GC90">
            <v>95620.3137827756</v>
          </cell>
          <cell r="GD90">
            <v>97476.904737748817</v>
          </cell>
          <cell r="GE90">
            <v>99370.647688987316</v>
          </cell>
          <cell r="GF90">
            <v>101302.28528127016</v>
          </cell>
          <cell r="GG90">
            <v>103272.57501998974</v>
          </cell>
          <cell r="GH90">
            <v>105282.28956821869</v>
          </cell>
          <cell r="GI90">
            <v>107332.21704971488</v>
          </cell>
          <cell r="GJ90">
            <v>109423.16135798692</v>
          </cell>
          <cell r="GK90">
            <v>111555.94247155674</v>
          </cell>
          <cell r="GL90">
            <v>113731.39677551217</v>
          </cell>
          <cell r="GM90">
            <v>115950.37738950702</v>
          </cell>
          <cell r="GN90">
            <v>118213.75450231912</v>
          </cell>
          <cell r="GO90">
            <v>120522.41571309761</v>
          </cell>
          <cell r="GP90">
            <v>122877.2663794496</v>
          </cell>
          <cell r="GQ90">
            <v>125279.22997247369</v>
          </cell>
          <cell r="GR90">
            <v>127729.24843891591</v>
          </cell>
          <cell r="GS90">
            <v>130228.28257055458</v>
          </cell>
          <cell r="GT90">
            <v>132777.31238098451</v>
          </cell>
          <cell r="GU90">
            <v>135377.33748993816</v>
          </cell>
          <cell r="GV90">
            <v>138029.37751529223</v>
          </cell>
          <cell r="GW90">
            <v>140734.47247291889</v>
          </cell>
          <cell r="GX90">
            <v>143493.68318453725</v>
          </cell>
          <cell r="GY90">
            <v>146308.09169371781</v>
          </cell>
          <cell r="GZ90">
            <v>149178.80169022235</v>
          </cell>
          <cell r="HA90">
            <v>152106.93894281355</v>
          </cell>
          <cell r="HB90">
            <v>155093.65174074238</v>
          </cell>
          <cell r="HC90">
            <v>158140.11134405155</v>
          </cell>
          <cell r="HD90">
            <v>161247.51244289862</v>
          </cell>
          <cell r="HE90">
            <v>164417.07362606097</v>
          </cell>
          <cell r="HF90">
            <v>167650.03785880865</v>
          </cell>
          <cell r="HG90">
            <v>170947.6729703515</v>
          </cell>
          <cell r="HH90">
            <v>174311.27215102097</v>
          </cell>
          <cell r="HI90">
            <v>177742.15445940499</v>
          </cell>
          <cell r="HJ90">
            <v>181241.66533962879</v>
          </cell>
          <cell r="HK90">
            <v>184811.17714897642</v>
          </cell>
          <cell r="HL90">
            <v>188452.08969607152</v>
          </cell>
          <cell r="HM90">
            <v>192165.83078982669</v>
          </cell>
          <cell r="HN90">
            <v>195953.85679935903</v>
          </cell>
          <cell r="HO90">
            <v>199817.65322512935</v>
          </cell>
          <cell r="HP90">
            <v>203758.73528147431</v>
          </cell>
          <cell r="HQ90">
            <v>207778.64849082788</v>
          </cell>
          <cell r="HR90">
            <v>211878.96928978944</v>
          </cell>
          <cell r="HS90">
            <v>216061.30564734945</v>
          </cell>
          <cell r="HT90">
            <v>220327.29769545479</v>
          </cell>
          <cell r="HU90">
            <v>224678.61837221036</v>
          </cell>
          <cell r="HV90">
            <v>229116.97407791868</v>
          </cell>
          <cell r="HW90">
            <v>233644.10534426622</v>
          </cell>
          <cell r="HX90">
            <v>238261.78751688637</v>
          </cell>
          <cell r="HY90">
            <v>242971.83145156415</v>
          </cell>
          <cell r="HZ90">
            <v>247776.08422438032</v>
          </cell>
          <cell r="IA90">
            <v>252676.42985606776</v>
          </cell>
          <cell r="IB90">
            <v>257674.79005081562</v>
          </cell>
          <cell r="IC90">
            <v>262773.12494990922</v>
          </cell>
          <cell r="ID90">
            <v>267973.43390038947</v>
          </cell>
          <cell r="IE90">
            <v>273277.75623912347</v>
          </cell>
          <cell r="IF90">
            <v>278688.17209254054</v>
          </cell>
          <cell r="IG90">
            <v>284206.80319236952</v>
          </cell>
          <cell r="IH90">
            <v>289835.81370768737</v>
          </cell>
          <cell r="II90">
            <v>295577.41109361849</v>
          </cell>
          <cell r="IJ90">
            <v>301433.84695699747</v>
          </cell>
          <cell r="IK90">
            <v>307407.4179393535</v>
          </cell>
          <cell r="IL90">
            <v>313500.46661756327</v>
          </cell>
          <cell r="IM90">
            <v>319715.38242248772</v>
          </cell>
          <cell r="IN90">
            <v>326054.60257603315</v>
          </cell>
          <cell r="IO90">
            <v>332520.61304689338</v>
          </cell>
          <cell r="IP90">
            <v>339115.94952546625</v>
          </cell>
          <cell r="IQ90">
            <v>345843.19841821992</v>
          </cell>
          <cell r="IR90">
            <v>7967254.4733183235</v>
          </cell>
        </row>
        <row r="92">
          <cell r="B92" t="str">
            <v>Pls check. If Common Dividends or Net Share Repurchases tags are missing, pls tag &amp; re-run IV</v>
          </cell>
          <cell r="C92" t="str">
            <v>Check</v>
          </cell>
        </row>
        <row r="95">
          <cell r="B95" t="str">
            <v>Source: Morgan Stanley Research, ModelWare</v>
          </cell>
        </row>
        <row r="97">
          <cell r="C97">
            <v>1</v>
          </cell>
          <cell r="D97">
            <v>2</v>
          </cell>
          <cell r="E97">
            <v>3</v>
          </cell>
          <cell r="F97">
            <v>4</v>
          </cell>
          <cell r="G97">
            <v>5</v>
          </cell>
          <cell r="H97">
            <v>6</v>
          </cell>
          <cell r="I97">
            <v>7</v>
          </cell>
          <cell r="J97">
            <v>8</v>
          </cell>
          <cell r="K97">
            <v>9</v>
          </cell>
          <cell r="L97">
            <v>10</v>
          </cell>
          <cell r="M97">
            <v>11</v>
          </cell>
          <cell r="N97">
            <v>12</v>
          </cell>
          <cell r="O97">
            <v>13</v>
          </cell>
          <cell r="P97">
            <v>14</v>
          </cell>
          <cell r="Q97">
            <v>15</v>
          </cell>
          <cell r="R97">
            <v>16</v>
          </cell>
          <cell r="S97">
            <v>17</v>
          </cell>
          <cell r="T97">
            <v>18</v>
          </cell>
          <cell r="U97">
            <v>19</v>
          </cell>
          <cell r="V97">
            <v>20</v>
          </cell>
          <cell r="W97">
            <v>21</v>
          </cell>
          <cell r="X97">
            <v>22</v>
          </cell>
          <cell r="Y97">
            <v>23</v>
          </cell>
          <cell r="Z97">
            <v>24</v>
          </cell>
          <cell r="AA97">
            <v>25</v>
          </cell>
          <cell r="AB97">
            <v>26</v>
          </cell>
          <cell r="AC97">
            <v>27</v>
          </cell>
          <cell r="AD97">
            <v>28</v>
          </cell>
          <cell r="AE97">
            <v>29</v>
          </cell>
          <cell r="AF97">
            <v>30</v>
          </cell>
          <cell r="AG97">
            <v>31</v>
          </cell>
          <cell r="AH97">
            <v>32</v>
          </cell>
          <cell r="AI97">
            <v>33</v>
          </cell>
          <cell r="AJ97">
            <v>34</v>
          </cell>
          <cell r="AK97">
            <v>35</v>
          </cell>
          <cell r="AL97">
            <v>36</v>
          </cell>
          <cell r="AM97">
            <v>37</v>
          </cell>
          <cell r="AN97">
            <v>38</v>
          </cell>
          <cell r="AO97">
            <v>39</v>
          </cell>
          <cell r="AP97">
            <v>40</v>
          </cell>
          <cell r="AQ97">
            <v>41</v>
          </cell>
          <cell r="AR97">
            <v>42</v>
          </cell>
          <cell r="AS97">
            <v>43</v>
          </cell>
          <cell r="AT97">
            <v>44</v>
          </cell>
          <cell r="AU97">
            <v>45</v>
          </cell>
          <cell r="AV97">
            <v>46</v>
          </cell>
          <cell r="AW97">
            <v>47</v>
          </cell>
          <cell r="AX97">
            <v>48</v>
          </cell>
          <cell r="AY97">
            <v>49</v>
          </cell>
          <cell r="AZ97">
            <v>50</v>
          </cell>
          <cell r="BA97">
            <v>51</v>
          </cell>
          <cell r="BB97">
            <v>52</v>
          </cell>
          <cell r="BC97">
            <v>53</v>
          </cell>
          <cell r="BD97">
            <v>54</v>
          </cell>
          <cell r="BE97">
            <v>55</v>
          </cell>
          <cell r="BF97">
            <v>56</v>
          </cell>
          <cell r="BG97">
            <v>57</v>
          </cell>
          <cell r="BH97">
            <v>58</v>
          </cell>
          <cell r="BI97">
            <v>59</v>
          </cell>
          <cell r="BJ97">
            <v>60</v>
          </cell>
          <cell r="BK97">
            <v>61</v>
          </cell>
          <cell r="BL97">
            <v>62</v>
          </cell>
          <cell r="BM97">
            <v>63</v>
          </cell>
          <cell r="BN97">
            <v>64</v>
          </cell>
          <cell r="BO97">
            <v>65</v>
          </cell>
          <cell r="BP97">
            <v>66</v>
          </cell>
          <cell r="BQ97">
            <v>67</v>
          </cell>
          <cell r="BR97">
            <v>68</v>
          </cell>
          <cell r="BS97">
            <v>69</v>
          </cell>
          <cell r="BT97">
            <v>70</v>
          </cell>
          <cell r="BU97">
            <v>71</v>
          </cell>
          <cell r="BV97">
            <v>72</v>
          </cell>
          <cell r="BW97">
            <v>73</v>
          </cell>
          <cell r="BX97">
            <v>74</v>
          </cell>
          <cell r="BY97">
            <v>75</v>
          </cell>
          <cell r="BZ97">
            <v>76</v>
          </cell>
          <cell r="CA97">
            <v>77</v>
          </cell>
          <cell r="CB97">
            <v>78</v>
          </cell>
          <cell r="CC97">
            <v>79</v>
          </cell>
          <cell r="CD97">
            <v>80</v>
          </cell>
          <cell r="CE97">
            <v>81</v>
          </cell>
          <cell r="CF97">
            <v>82</v>
          </cell>
          <cell r="CG97">
            <v>83</v>
          </cell>
          <cell r="CH97">
            <v>84</v>
          </cell>
          <cell r="CI97">
            <v>85</v>
          </cell>
          <cell r="CJ97">
            <v>86</v>
          </cell>
          <cell r="CK97">
            <v>87</v>
          </cell>
          <cell r="CL97">
            <v>88</v>
          </cell>
          <cell r="CM97">
            <v>89</v>
          </cell>
          <cell r="CN97">
            <v>90</v>
          </cell>
          <cell r="CO97">
            <v>91</v>
          </cell>
          <cell r="CP97">
            <v>92</v>
          </cell>
          <cell r="CQ97">
            <v>93</v>
          </cell>
          <cell r="CR97">
            <v>94</v>
          </cell>
          <cell r="CS97">
            <v>95</v>
          </cell>
          <cell r="CT97">
            <v>96</v>
          </cell>
          <cell r="CU97">
            <v>97</v>
          </cell>
          <cell r="CV97">
            <v>98</v>
          </cell>
          <cell r="CW97">
            <v>99</v>
          </cell>
          <cell r="CX97">
            <v>100</v>
          </cell>
          <cell r="CY97">
            <v>101</v>
          </cell>
          <cell r="CZ97">
            <v>102</v>
          </cell>
          <cell r="DA97">
            <v>103</v>
          </cell>
          <cell r="DB97">
            <v>104</v>
          </cell>
          <cell r="DC97">
            <v>105</v>
          </cell>
          <cell r="DD97">
            <v>106</v>
          </cell>
          <cell r="DE97">
            <v>107</v>
          </cell>
          <cell r="DF97">
            <v>108</v>
          </cell>
          <cell r="DG97">
            <v>109</v>
          </cell>
          <cell r="DH97">
            <v>110</v>
          </cell>
          <cell r="DI97">
            <v>111</v>
          </cell>
          <cell r="DJ97">
            <v>112</v>
          </cell>
          <cell r="DK97">
            <v>113</v>
          </cell>
          <cell r="DL97">
            <v>114</v>
          </cell>
          <cell r="DM97">
            <v>115</v>
          </cell>
          <cell r="DN97">
            <v>116</v>
          </cell>
          <cell r="DO97">
            <v>117</v>
          </cell>
          <cell r="DP97">
            <v>118</v>
          </cell>
          <cell r="DQ97">
            <v>119</v>
          </cell>
          <cell r="DR97">
            <v>120</v>
          </cell>
          <cell r="DS97">
            <v>121</v>
          </cell>
          <cell r="DT97">
            <v>122</v>
          </cell>
          <cell r="DU97">
            <v>123</v>
          </cell>
          <cell r="DV97">
            <v>124</v>
          </cell>
          <cell r="DW97">
            <v>125</v>
          </cell>
          <cell r="DX97">
            <v>126</v>
          </cell>
          <cell r="DY97">
            <v>127</v>
          </cell>
          <cell r="DZ97">
            <v>128</v>
          </cell>
          <cell r="EA97">
            <v>129</v>
          </cell>
          <cell r="EB97">
            <v>130</v>
          </cell>
          <cell r="EC97">
            <v>131</v>
          </cell>
          <cell r="ED97">
            <v>132</v>
          </cell>
          <cell r="EE97">
            <v>133</v>
          </cell>
          <cell r="EF97">
            <v>134</v>
          </cell>
          <cell r="EG97">
            <v>135</v>
          </cell>
          <cell r="EH97">
            <v>136</v>
          </cell>
          <cell r="EI97">
            <v>137</v>
          </cell>
          <cell r="EJ97">
            <v>138</v>
          </cell>
          <cell r="EK97">
            <v>139</v>
          </cell>
          <cell r="EL97">
            <v>140</v>
          </cell>
          <cell r="EM97">
            <v>141</v>
          </cell>
          <cell r="EN97">
            <v>142</v>
          </cell>
          <cell r="EO97">
            <v>143</v>
          </cell>
          <cell r="EP97">
            <v>144</v>
          </cell>
          <cell r="EQ97">
            <v>145</v>
          </cell>
          <cell r="ER97">
            <v>146</v>
          </cell>
          <cell r="ES97">
            <v>147</v>
          </cell>
          <cell r="ET97">
            <v>148</v>
          </cell>
          <cell r="EU97">
            <v>149</v>
          </cell>
          <cell r="EV97">
            <v>150</v>
          </cell>
          <cell r="EW97">
            <v>151</v>
          </cell>
          <cell r="EX97">
            <v>152</v>
          </cell>
          <cell r="EY97">
            <v>153</v>
          </cell>
          <cell r="EZ97">
            <v>154</v>
          </cell>
          <cell r="FA97">
            <v>155</v>
          </cell>
          <cell r="FB97">
            <v>156</v>
          </cell>
          <cell r="FC97">
            <v>157</v>
          </cell>
          <cell r="FD97">
            <v>158</v>
          </cell>
          <cell r="FE97">
            <v>159</v>
          </cell>
          <cell r="FF97">
            <v>160</v>
          </cell>
          <cell r="FG97">
            <v>161</v>
          </cell>
          <cell r="FH97">
            <v>162</v>
          </cell>
          <cell r="FI97">
            <v>163</v>
          </cell>
          <cell r="FJ97">
            <v>164</v>
          </cell>
          <cell r="FK97">
            <v>165</v>
          </cell>
          <cell r="FL97">
            <v>166</v>
          </cell>
          <cell r="FM97">
            <v>167</v>
          </cell>
          <cell r="FN97">
            <v>168</v>
          </cell>
          <cell r="FO97">
            <v>169</v>
          </cell>
          <cell r="FP97">
            <v>170</v>
          </cell>
          <cell r="FQ97">
            <v>171</v>
          </cell>
          <cell r="FR97">
            <v>172</v>
          </cell>
          <cell r="FS97">
            <v>173</v>
          </cell>
          <cell r="FT97">
            <v>174</v>
          </cell>
          <cell r="FU97">
            <v>175</v>
          </cell>
          <cell r="FV97">
            <v>176</v>
          </cell>
          <cell r="FW97">
            <v>177</v>
          </cell>
          <cell r="FX97">
            <v>178</v>
          </cell>
          <cell r="FY97">
            <v>179</v>
          </cell>
          <cell r="FZ97">
            <v>180</v>
          </cell>
          <cell r="GA97">
            <v>181</v>
          </cell>
          <cell r="GB97">
            <v>182</v>
          </cell>
          <cell r="GC97">
            <v>183</v>
          </cell>
          <cell r="GD97">
            <v>184</v>
          </cell>
          <cell r="GE97">
            <v>185</v>
          </cell>
          <cell r="GF97">
            <v>186</v>
          </cell>
          <cell r="GG97">
            <v>187</v>
          </cell>
          <cell r="GH97">
            <v>188</v>
          </cell>
          <cell r="GI97">
            <v>189</v>
          </cell>
          <cell r="GJ97">
            <v>190</v>
          </cell>
          <cell r="GK97">
            <v>191</v>
          </cell>
          <cell r="GL97">
            <v>192</v>
          </cell>
          <cell r="GM97">
            <v>193</v>
          </cell>
          <cell r="GN97">
            <v>194</v>
          </cell>
          <cell r="GO97">
            <v>195</v>
          </cell>
          <cell r="GP97">
            <v>196</v>
          </cell>
          <cell r="GQ97">
            <v>197</v>
          </cell>
          <cell r="GR97">
            <v>198</v>
          </cell>
          <cell r="GS97">
            <v>199</v>
          </cell>
          <cell r="GT97">
            <v>200</v>
          </cell>
          <cell r="GU97">
            <v>201</v>
          </cell>
          <cell r="GV97">
            <v>202</v>
          </cell>
          <cell r="GW97">
            <v>203</v>
          </cell>
          <cell r="GX97">
            <v>204</v>
          </cell>
          <cell r="GY97">
            <v>205</v>
          </cell>
          <cell r="GZ97">
            <v>206</v>
          </cell>
          <cell r="HA97">
            <v>207</v>
          </cell>
          <cell r="HB97">
            <v>208</v>
          </cell>
          <cell r="HC97">
            <v>209</v>
          </cell>
          <cell r="HD97">
            <v>210</v>
          </cell>
          <cell r="HE97">
            <v>211</v>
          </cell>
          <cell r="HF97">
            <v>212</v>
          </cell>
          <cell r="HG97">
            <v>213</v>
          </cell>
          <cell r="HH97">
            <v>214</v>
          </cell>
          <cell r="HI97">
            <v>215</v>
          </cell>
          <cell r="HJ97">
            <v>216</v>
          </cell>
          <cell r="HK97">
            <v>217</v>
          </cell>
          <cell r="HL97">
            <v>218</v>
          </cell>
          <cell r="HM97">
            <v>219</v>
          </cell>
          <cell r="HN97">
            <v>220</v>
          </cell>
          <cell r="HO97">
            <v>221</v>
          </cell>
          <cell r="HP97">
            <v>222</v>
          </cell>
          <cell r="HQ97">
            <v>223</v>
          </cell>
          <cell r="HR97">
            <v>224</v>
          </cell>
          <cell r="HS97">
            <v>225</v>
          </cell>
          <cell r="HT97">
            <v>226</v>
          </cell>
          <cell r="HU97">
            <v>227</v>
          </cell>
          <cell r="HV97">
            <v>228</v>
          </cell>
          <cell r="HW97">
            <v>229</v>
          </cell>
          <cell r="HX97">
            <v>230</v>
          </cell>
          <cell r="HY97">
            <v>231</v>
          </cell>
          <cell r="HZ97">
            <v>232</v>
          </cell>
          <cell r="IA97">
            <v>233</v>
          </cell>
          <cell r="IB97">
            <v>234</v>
          </cell>
          <cell r="IC97">
            <v>235</v>
          </cell>
          <cell r="ID97">
            <v>236</v>
          </cell>
          <cell r="IE97">
            <v>237</v>
          </cell>
          <cell r="IF97">
            <v>238</v>
          </cell>
          <cell r="IG97">
            <v>239</v>
          </cell>
          <cell r="IH97">
            <v>240</v>
          </cell>
          <cell r="II97">
            <v>241</v>
          </cell>
          <cell r="IJ97">
            <v>242</v>
          </cell>
          <cell r="IK97">
            <v>243</v>
          </cell>
          <cell r="IL97">
            <v>244</v>
          </cell>
          <cell r="IM97">
            <v>245</v>
          </cell>
          <cell r="IN97">
            <v>246</v>
          </cell>
          <cell r="IO97">
            <v>247</v>
          </cell>
          <cell r="IP97">
            <v>248</v>
          </cell>
          <cell r="IQ97">
            <v>249</v>
          </cell>
          <cell r="IR97">
            <v>250</v>
          </cell>
        </row>
        <row r="98">
          <cell r="C98" t="str">
            <v>E</v>
          </cell>
          <cell r="D98" t="str">
            <v>E</v>
          </cell>
          <cell r="E98" t="str">
            <v>E</v>
          </cell>
          <cell r="F98" t="str">
            <v>E</v>
          </cell>
          <cell r="G98" t="str">
            <v>E</v>
          </cell>
          <cell r="H98" t="str">
            <v>E</v>
          </cell>
          <cell r="I98" t="str">
            <v>E</v>
          </cell>
          <cell r="J98" t="str">
            <v>E</v>
          </cell>
          <cell r="K98" t="str">
            <v>E</v>
          </cell>
          <cell r="L98" t="str">
            <v>E</v>
          </cell>
          <cell r="M98" t="str">
            <v>T</v>
          </cell>
          <cell r="N98" t="str">
            <v>T</v>
          </cell>
          <cell r="O98" t="str">
            <v>T</v>
          </cell>
          <cell r="P98" t="str">
            <v>T</v>
          </cell>
          <cell r="Q98" t="str">
            <v>T</v>
          </cell>
          <cell r="R98" t="str">
            <v>S</v>
          </cell>
          <cell r="S98" t="str">
            <v>S</v>
          </cell>
          <cell r="T98" t="str">
            <v>S</v>
          </cell>
          <cell r="U98" t="str">
            <v>S</v>
          </cell>
          <cell r="V98" t="str">
            <v>S</v>
          </cell>
          <cell r="W98" t="str">
            <v>S</v>
          </cell>
          <cell r="X98" t="str">
            <v>S</v>
          </cell>
          <cell r="Y98" t="str">
            <v>S</v>
          </cell>
          <cell r="Z98" t="str">
            <v>S</v>
          </cell>
          <cell r="AA98" t="str">
            <v>S</v>
          </cell>
          <cell r="AB98" t="str">
            <v>S</v>
          </cell>
          <cell r="AC98" t="str">
            <v>S</v>
          </cell>
          <cell r="AD98" t="str">
            <v>S</v>
          </cell>
          <cell r="AE98" t="str">
            <v>S</v>
          </cell>
          <cell r="AF98" t="str">
            <v>S</v>
          </cell>
          <cell r="AG98" t="str">
            <v>S</v>
          </cell>
          <cell r="AH98" t="str">
            <v>S</v>
          </cell>
          <cell r="AI98" t="str">
            <v>S</v>
          </cell>
          <cell r="AJ98" t="str">
            <v>S</v>
          </cell>
          <cell r="AK98" t="str">
            <v>S</v>
          </cell>
          <cell r="AL98" t="str">
            <v>S</v>
          </cell>
          <cell r="AM98" t="str">
            <v>S</v>
          </cell>
          <cell r="AN98" t="str">
            <v>S</v>
          </cell>
          <cell r="AO98" t="str">
            <v>S</v>
          </cell>
          <cell r="AP98" t="str">
            <v>S</v>
          </cell>
          <cell r="AQ98" t="str">
            <v>S</v>
          </cell>
          <cell r="AR98" t="str">
            <v>S</v>
          </cell>
          <cell r="AS98" t="str">
            <v>S</v>
          </cell>
          <cell r="AT98" t="str">
            <v>S</v>
          </cell>
          <cell r="AU98" t="str">
            <v>S</v>
          </cell>
          <cell r="AV98" t="str">
            <v>S</v>
          </cell>
          <cell r="AW98" t="str">
            <v>S</v>
          </cell>
          <cell r="AX98" t="str">
            <v>S</v>
          </cell>
          <cell r="AY98" t="str">
            <v>S</v>
          </cell>
          <cell r="AZ98" t="str">
            <v>S</v>
          </cell>
          <cell r="BA98" t="str">
            <v>S</v>
          </cell>
          <cell r="BB98" t="str">
            <v>S</v>
          </cell>
          <cell r="BC98" t="str">
            <v>S</v>
          </cell>
          <cell r="BD98" t="str">
            <v>S</v>
          </cell>
          <cell r="BE98" t="str">
            <v>S</v>
          </cell>
          <cell r="BF98" t="str">
            <v>S</v>
          </cell>
          <cell r="BG98" t="str">
            <v>S</v>
          </cell>
          <cell r="BH98" t="str">
            <v>S</v>
          </cell>
          <cell r="BI98" t="str">
            <v>S</v>
          </cell>
          <cell r="BJ98" t="str">
            <v>S</v>
          </cell>
          <cell r="BK98" t="str">
            <v>S</v>
          </cell>
          <cell r="BL98" t="str">
            <v>S</v>
          </cell>
          <cell r="BM98" t="str">
            <v>S</v>
          </cell>
          <cell r="BN98" t="str">
            <v>S</v>
          </cell>
          <cell r="BO98" t="str">
            <v>S</v>
          </cell>
          <cell r="BP98" t="str">
            <v>S</v>
          </cell>
          <cell r="BQ98" t="str">
            <v>S</v>
          </cell>
          <cell r="BR98" t="str">
            <v>S</v>
          </cell>
          <cell r="BS98" t="str">
            <v>S</v>
          </cell>
          <cell r="BT98" t="str">
            <v>S</v>
          </cell>
          <cell r="BU98" t="str">
            <v>S</v>
          </cell>
          <cell r="BV98" t="str">
            <v>S</v>
          </cell>
          <cell r="BW98" t="str">
            <v>S</v>
          </cell>
          <cell r="BX98" t="str">
            <v>S</v>
          </cell>
          <cell r="BY98" t="str">
            <v>S</v>
          </cell>
          <cell r="BZ98" t="str">
            <v>S</v>
          </cell>
          <cell r="CA98" t="str">
            <v>S</v>
          </cell>
          <cell r="CB98" t="str">
            <v>S</v>
          </cell>
          <cell r="CC98" t="str">
            <v>S</v>
          </cell>
          <cell r="CD98" t="str">
            <v>S</v>
          </cell>
          <cell r="CE98" t="str">
            <v>S</v>
          </cell>
          <cell r="CF98" t="str">
            <v>S</v>
          </cell>
          <cell r="CG98" t="str">
            <v>S</v>
          </cell>
          <cell r="CH98" t="str">
            <v>S</v>
          </cell>
          <cell r="CI98" t="str">
            <v>S</v>
          </cell>
          <cell r="CJ98" t="str">
            <v>S</v>
          </cell>
          <cell r="CK98" t="str">
            <v>S</v>
          </cell>
          <cell r="CL98" t="str">
            <v>S</v>
          </cell>
          <cell r="CM98" t="str">
            <v>S</v>
          </cell>
          <cell r="CN98" t="str">
            <v>S</v>
          </cell>
          <cell r="CO98" t="str">
            <v>S</v>
          </cell>
          <cell r="CP98" t="str">
            <v>S</v>
          </cell>
          <cell r="CQ98" t="str">
            <v>S</v>
          </cell>
          <cell r="CR98" t="str">
            <v>S</v>
          </cell>
          <cell r="CS98" t="str">
            <v>S</v>
          </cell>
          <cell r="CT98" t="str">
            <v>S</v>
          </cell>
          <cell r="CU98" t="str">
            <v>S</v>
          </cell>
          <cell r="CV98" t="str">
            <v>S</v>
          </cell>
          <cell r="CW98" t="str">
            <v>S</v>
          </cell>
          <cell r="CX98" t="str">
            <v>S</v>
          </cell>
          <cell r="CY98" t="str">
            <v>S</v>
          </cell>
          <cell r="CZ98" t="str">
            <v>S</v>
          </cell>
          <cell r="DA98" t="str">
            <v>S</v>
          </cell>
          <cell r="DB98" t="str">
            <v>S</v>
          </cell>
          <cell r="DC98" t="str">
            <v>S</v>
          </cell>
          <cell r="DD98" t="str">
            <v>S</v>
          </cell>
          <cell r="DE98" t="str">
            <v>S</v>
          </cell>
          <cell r="DF98" t="str">
            <v>S</v>
          </cell>
          <cell r="DG98" t="str">
            <v>S</v>
          </cell>
          <cell r="DH98" t="str">
            <v>S</v>
          </cell>
          <cell r="DI98" t="str">
            <v>S</v>
          </cell>
          <cell r="DJ98" t="str">
            <v>S</v>
          </cell>
          <cell r="DK98" t="str">
            <v>S</v>
          </cell>
          <cell r="DL98" t="str">
            <v>S</v>
          </cell>
          <cell r="DM98" t="str">
            <v>S</v>
          </cell>
          <cell r="DN98" t="str">
            <v>S</v>
          </cell>
          <cell r="DO98" t="str">
            <v>S</v>
          </cell>
          <cell r="DP98" t="str">
            <v>S</v>
          </cell>
          <cell r="DQ98" t="str">
            <v>S</v>
          </cell>
          <cell r="DR98" t="str">
            <v>S</v>
          </cell>
          <cell r="DS98" t="str">
            <v>S</v>
          </cell>
          <cell r="DT98" t="str">
            <v>S</v>
          </cell>
          <cell r="DU98" t="str">
            <v>S</v>
          </cell>
          <cell r="DV98" t="str">
            <v>S</v>
          </cell>
          <cell r="DW98" t="str">
            <v>S</v>
          </cell>
          <cell r="DX98" t="str">
            <v>S</v>
          </cell>
          <cell r="DY98" t="str">
            <v>S</v>
          </cell>
          <cell r="DZ98" t="str">
            <v>S</v>
          </cell>
          <cell r="EA98" t="str">
            <v>S</v>
          </cell>
          <cell r="EB98" t="str">
            <v>S</v>
          </cell>
          <cell r="EC98" t="str">
            <v>S</v>
          </cell>
          <cell r="ED98" t="str">
            <v>S</v>
          </cell>
          <cell r="EE98" t="str">
            <v>S</v>
          </cell>
          <cell r="EF98" t="str">
            <v>S</v>
          </cell>
          <cell r="EG98" t="str">
            <v>S</v>
          </cell>
          <cell r="EH98" t="str">
            <v>S</v>
          </cell>
          <cell r="EI98" t="str">
            <v>S</v>
          </cell>
          <cell r="EJ98" t="str">
            <v>S</v>
          </cell>
          <cell r="EK98" t="str">
            <v>S</v>
          </cell>
          <cell r="EL98" t="str">
            <v>S</v>
          </cell>
          <cell r="EM98" t="str">
            <v>S</v>
          </cell>
          <cell r="EN98" t="str">
            <v>S</v>
          </cell>
          <cell r="EO98" t="str">
            <v>S</v>
          </cell>
          <cell r="EP98" t="str">
            <v>S</v>
          </cell>
          <cell r="EQ98" t="str">
            <v>S</v>
          </cell>
          <cell r="ER98" t="str">
            <v>S</v>
          </cell>
          <cell r="ES98" t="str">
            <v>S</v>
          </cell>
          <cell r="ET98" t="str">
            <v>S</v>
          </cell>
          <cell r="EU98" t="str">
            <v>S</v>
          </cell>
          <cell r="EV98" t="str">
            <v>S</v>
          </cell>
          <cell r="EW98" t="str">
            <v>S</v>
          </cell>
          <cell r="EX98" t="str">
            <v>S</v>
          </cell>
          <cell r="EY98" t="str">
            <v>S</v>
          </cell>
          <cell r="EZ98" t="str">
            <v>S</v>
          </cell>
          <cell r="FA98" t="str">
            <v>S</v>
          </cell>
          <cell r="FB98" t="str">
            <v>S</v>
          </cell>
          <cell r="FC98" t="str">
            <v>S</v>
          </cell>
          <cell r="FD98" t="str">
            <v>S</v>
          </cell>
          <cell r="FE98" t="str">
            <v>S</v>
          </cell>
          <cell r="FF98" t="str">
            <v>S</v>
          </cell>
          <cell r="FG98" t="str">
            <v>S</v>
          </cell>
          <cell r="FH98" t="str">
            <v>S</v>
          </cell>
          <cell r="FI98" t="str">
            <v>S</v>
          </cell>
          <cell r="FJ98" t="str">
            <v>S</v>
          </cell>
          <cell r="FK98" t="str">
            <v>S</v>
          </cell>
          <cell r="FL98" t="str">
            <v>S</v>
          </cell>
          <cell r="FM98" t="str">
            <v>S</v>
          </cell>
          <cell r="FN98" t="str">
            <v>S</v>
          </cell>
          <cell r="FO98" t="str">
            <v>S</v>
          </cell>
          <cell r="FP98" t="str">
            <v>S</v>
          </cell>
          <cell r="FQ98" t="str">
            <v>S</v>
          </cell>
          <cell r="FR98" t="str">
            <v>S</v>
          </cell>
          <cell r="FS98" t="str">
            <v>S</v>
          </cell>
          <cell r="FT98" t="str">
            <v>S</v>
          </cell>
          <cell r="FU98" t="str">
            <v>S</v>
          </cell>
          <cell r="FV98" t="str">
            <v>S</v>
          </cell>
          <cell r="FW98" t="str">
            <v>S</v>
          </cell>
          <cell r="FX98" t="str">
            <v>S</v>
          </cell>
          <cell r="FY98" t="str">
            <v>S</v>
          </cell>
          <cell r="FZ98" t="str">
            <v>S</v>
          </cell>
          <cell r="GA98" t="str">
            <v>S</v>
          </cell>
          <cell r="GB98" t="str">
            <v>S</v>
          </cell>
          <cell r="GC98" t="str">
            <v>S</v>
          </cell>
          <cell r="GD98" t="str">
            <v>S</v>
          </cell>
          <cell r="GE98" t="str">
            <v>S</v>
          </cell>
          <cell r="GF98" t="str">
            <v>S</v>
          </cell>
          <cell r="GG98" t="str">
            <v>S</v>
          </cell>
          <cell r="GH98" t="str">
            <v>S</v>
          </cell>
          <cell r="GI98" t="str">
            <v>S</v>
          </cell>
          <cell r="GJ98" t="str">
            <v>S</v>
          </cell>
          <cell r="GK98" t="str">
            <v>S</v>
          </cell>
          <cell r="GL98" t="str">
            <v>S</v>
          </cell>
          <cell r="GM98" t="str">
            <v>S</v>
          </cell>
          <cell r="GN98" t="str">
            <v>S</v>
          </cell>
          <cell r="GO98" t="str">
            <v>S</v>
          </cell>
          <cell r="GP98" t="str">
            <v>S</v>
          </cell>
          <cell r="GQ98" t="str">
            <v>S</v>
          </cell>
          <cell r="GR98" t="str">
            <v>S</v>
          </cell>
          <cell r="GS98" t="str">
            <v>S</v>
          </cell>
          <cell r="GT98" t="str">
            <v>S</v>
          </cell>
          <cell r="GU98" t="str">
            <v>S</v>
          </cell>
          <cell r="GV98" t="str">
            <v>S</v>
          </cell>
          <cell r="GW98" t="str">
            <v>S</v>
          </cell>
          <cell r="GX98" t="str">
            <v>S</v>
          </cell>
          <cell r="GY98" t="str">
            <v>S</v>
          </cell>
          <cell r="GZ98" t="str">
            <v>S</v>
          </cell>
          <cell r="HA98" t="str">
            <v>S</v>
          </cell>
          <cell r="HB98" t="str">
            <v>S</v>
          </cell>
          <cell r="HC98" t="str">
            <v>S</v>
          </cell>
          <cell r="HD98" t="str">
            <v>S</v>
          </cell>
          <cell r="HE98" t="str">
            <v>S</v>
          </cell>
          <cell r="HF98" t="str">
            <v>S</v>
          </cell>
          <cell r="HG98" t="str">
            <v>S</v>
          </cell>
          <cell r="HH98" t="str">
            <v>S</v>
          </cell>
          <cell r="HI98" t="str">
            <v>S</v>
          </cell>
          <cell r="HJ98" t="str">
            <v>S</v>
          </cell>
          <cell r="HK98" t="str">
            <v>S</v>
          </cell>
          <cell r="HL98" t="str">
            <v>S</v>
          </cell>
          <cell r="HM98" t="str">
            <v>S</v>
          </cell>
          <cell r="HN98" t="str">
            <v>S</v>
          </cell>
          <cell r="HO98" t="str">
            <v>S</v>
          </cell>
          <cell r="HP98" t="str">
            <v>S</v>
          </cell>
          <cell r="HQ98" t="str">
            <v>S</v>
          </cell>
          <cell r="HR98" t="str">
            <v>S</v>
          </cell>
          <cell r="HS98" t="str">
            <v>S</v>
          </cell>
          <cell r="HT98" t="str">
            <v>S</v>
          </cell>
          <cell r="HU98" t="str">
            <v>S</v>
          </cell>
          <cell r="HV98" t="str">
            <v>S</v>
          </cell>
          <cell r="HW98" t="str">
            <v>S</v>
          </cell>
          <cell r="HX98" t="str">
            <v>S</v>
          </cell>
          <cell r="HY98" t="str">
            <v>S</v>
          </cell>
          <cell r="HZ98" t="str">
            <v>S</v>
          </cell>
          <cell r="IA98" t="str">
            <v>S</v>
          </cell>
          <cell r="IB98" t="str">
            <v>S</v>
          </cell>
          <cell r="IC98" t="str">
            <v>S</v>
          </cell>
          <cell r="ID98" t="str">
            <v>S</v>
          </cell>
          <cell r="IE98" t="str">
            <v>S</v>
          </cell>
          <cell r="IF98" t="str">
            <v>S</v>
          </cell>
          <cell r="IG98" t="str">
            <v>S</v>
          </cell>
          <cell r="IH98" t="str">
            <v>S</v>
          </cell>
          <cell r="II98" t="str">
            <v>S</v>
          </cell>
          <cell r="IJ98" t="str">
            <v>S</v>
          </cell>
          <cell r="IK98" t="str">
            <v>S</v>
          </cell>
          <cell r="IL98" t="str">
            <v>S</v>
          </cell>
          <cell r="IM98" t="str">
            <v>S</v>
          </cell>
          <cell r="IN98" t="str">
            <v>S</v>
          </cell>
          <cell r="IO98" t="str">
            <v>S</v>
          </cell>
          <cell r="IP98" t="str">
            <v>S</v>
          </cell>
          <cell r="IQ98" t="str">
            <v>S</v>
          </cell>
          <cell r="IR98" t="str">
            <v>S</v>
          </cell>
        </row>
        <row r="99">
          <cell r="B99" t="str">
            <v>DIAGNOSTIC SUMMARY</v>
          </cell>
        </row>
        <row r="100">
          <cell r="B100" t="str">
            <v>&lt;&lt;&lt; Balance Sheet in Balance &gt;&gt;&gt;</v>
          </cell>
          <cell r="C100">
            <v>0</v>
          </cell>
          <cell r="D100">
            <v>0</v>
          </cell>
          <cell r="E100">
            <v>0</v>
          </cell>
          <cell r="F100">
            <v>7.2759576141834259E-12</v>
          </cell>
          <cell r="G100">
            <v>1.0913936421275139E-11</v>
          </cell>
          <cell r="H100">
            <v>1.0913936421275139E-11</v>
          </cell>
          <cell r="I100">
            <v>7.2759576141834259E-12</v>
          </cell>
          <cell r="J100">
            <v>0</v>
          </cell>
          <cell r="K100">
            <v>-7.2759576141834259E-12</v>
          </cell>
          <cell r="L100">
            <v>-7.2759576141834259E-12</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row>
        <row r="102">
          <cell r="B102">
            <v>-7</v>
          </cell>
        </row>
        <row r="104">
          <cell r="B104" t="str">
            <v>PRICE IMPLIED CALCULATION</v>
          </cell>
        </row>
        <row r="105">
          <cell r="B105" t="str">
            <v>Price implied Cost of Equity</v>
          </cell>
          <cell r="C105">
            <v>0.115051094494151</v>
          </cell>
        </row>
        <row r="106">
          <cell r="B106">
            <v>-39026.352361758116</v>
          </cell>
          <cell r="C106">
            <v>2070.0000000000005</v>
          </cell>
          <cell r="D106">
            <v>3189</v>
          </cell>
          <cell r="E106">
            <v>1571.2008352000012</v>
          </cell>
          <cell r="F106">
            <v>1644.8818945299963</v>
          </cell>
          <cell r="G106">
            <v>1958.003899466552</v>
          </cell>
          <cell r="H106">
            <v>2113.5651331865429</v>
          </cell>
          <cell r="I106">
            <v>2243.9002414052102</v>
          </cell>
          <cell r="J106">
            <v>2439.1309279394882</v>
          </cell>
          <cell r="K106">
            <v>2488.9823756184105</v>
          </cell>
          <cell r="L106">
            <v>2694.3610786950048</v>
          </cell>
          <cell r="M106">
            <v>11183.016856456241</v>
          </cell>
          <cell r="N106">
            <v>11747.337411475102</v>
          </cell>
          <cell r="O106">
            <v>11056.859009296337</v>
          </cell>
          <cell r="P106">
            <v>10590.955705414997</v>
          </cell>
          <cell r="Q106">
            <v>10103.195179768745</v>
          </cell>
          <cell r="R106">
            <v>5587.5280039374211</v>
          </cell>
          <cell r="S106">
            <v>7124.5825076595956</v>
          </cell>
          <cell r="T106">
            <v>7179.9364054157013</v>
          </cell>
          <cell r="U106">
            <v>7236.6949083870168</v>
          </cell>
          <cell r="V106">
            <v>7294.8842415376075</v>
          </cell>
          <cell r="W106">
            <v>7354.5310399480841</v>
          </cell>
          <cell r="X106">
            <v>7415.6623625737393</v>
          </cell>
          <cell r="Y106">
            <v>7478.3057062929292</v>
          </cell>
          <cell r="Z106">
            <v>7542.4890202316838</v>
          </cell>
          <cell r="AA106">
            <v>7608.2407203521143</v>
          </cell>
          <cell r="AB106">
            <v>7675.58970429285</v>
          </cell>
          <cell r="AC106">
            <v>7744.565366450759</v>
          </cell>
          <cell r="AD106">
            <v>7815.1976132947657</v>
          </cell>
          <cell r="AE106">
            <v>7887.5168789026557</v>
          </cell>
          <cell r="AF106">
            <v>7961.5541407142682</v>
          </cell>
          <cell r="AG106">
            <v>8037.340935494014</v>
          </cell>
          <cell r="AH106">
            <v>8114.9093754979403</v>
          </cell>
          <cell r="AI106">
            <v>8194.2921648410702</v>
          </cell>
          <cell r="AJ106">
            <v>8275.5226160615293</v>
          </cell>
          <cell r="AK106">
            <v>8358.6346668799724</v>
          </cell>
          <cell r="AL106">
            <v>8443.6628971520386</v>
          </cell>
          <cell r="AM106">
            <v>8530.6425460148112</v>
          </cell>
          <cell r="AN106">
            <v>8619.6095292266709</v>
          </cell>
          <cell r="AO106">
            <v>8710.6004567029831</v>
          </cell>
          <cell r="AP106">
            <v>8803.6526502490233</v>
          </cell>
          <cell r="AQ106">
            <v>8898.8041614939484</v>
          </cell>
          <cell r="AR106">
            <v>8996.0937900288991</v>
          </cell>
          <cell r="AS106">
            <v>9095.5611017540596</v>
          </cell>
          <cell r="AT106">
            <v>9197.2464474396475</v>
          </cell>
          <cell r="AU106">
            <v>9301.19098150633</v>
          </cell>
          <cell r="AV106">
            <v>9407.4366810316478</v>
          </cell>
          <cell r="AW106">
            <v>9516.026364988631</v>
          </cell>
          <cell r="AX106">
            <v>9627.0037137248273</v>
          </cell>
          <cell r="AY106">
            <v>9740.4132886880325</v>
          </cell>
          <cell r="AZ106">
            <v>9856.3005524082473</v>
          </cell>
          <cell r="BA106">
            <v>9974.711888743599</v>
          </cell>
          <cell r="BB106">
            <v>10095.6946233991</v>
          </cell>
          <cell r="BC106">
            <v>10219.297044727711</v>
          </cell>
          <cell r="BD106">
            <v>10345.56842482337</v>
          </cell>
          <cell r="BE106">
            <v>10474.559040915157</v>
          </cell>
          <cell r="BF106">
            <v>10606.320197073454</v>
          </cell>
          <cell r="BG106">
            <v>10740.904246238073</v>
          </cell>
          <cell r="BH106">
            <v>10878.364612578653</v>
          </cell>
          <cell r="BI106">
            <v>11018.755814198577</v>
          </cell>
          <cell r="BJ106">
            <v>11162.133486193614</v>
          </cell>
          <cell r="BK106">
            <v>11308.554404075281</v>
          </cell>
          <cell r="BL106">
            <v>11458.076507571775</v>
          </cell>
          <cell r="BM106">
            <v>11610.758924817217</v>
          </cell>
          <cell r="BN106">
            <v>11766.661996940973</v>
          </cell>
          <cell r="BO106">
            <v>11925.847303068926</v>
          </cell>
          <cell r="BP106">
            <v>12088.377685749068</v>
          </cell>
          <cell r="BQ106">
            <v>12254.317276813286</v>
          </cell>
          <cell r="BR106">
            <v>12423.731523687698</v>
          </cell>
          <cell r="BS106">
            <v>12596.68721616382</v>
          </cell>
          <cell r="BT106">
            <v>12773.252513644196</v>
          </cell>
          <cell r="BU106">
            <v>12953.49697287356</v>
          </cell>
          <cell r="BV106">
            <v>13137.491576170116</v>
          </cell>
          <cell r="BW106">
            <v>13325.308760168971</v>
          </cell>
          <cell r="BX106">
            <v>13517.022445091432</v>
          </cell>
          <cell r="BY106">
            <v>13712.708064553193</v>
          </cell>
          <cell r="BZ106">
            <v>13912.442595925393</v>
          </cell>
          <cell r="CA106">
            <v>14116.304591261876</v>
          </cell>
          <cell r="CB106">
            <v>14324.374208806577</v>
          </cell>
          <cell r="CC106">
            <v>14536.733245095274</v>
          </cell>
          <cell r="CD106">
            <v>14753.465167665821</v>
          </cell>
          <cell r="CE106">
            <v>14974.655148390833</v>
          </cell>
          <cell r="CF106">
            <v>15200.390097448559</v>
          </cell>
          <cell r="CG106">
            <v>15430.758697945013</v>
          </cell>
          <cell r="CH106">
            <v>15665.851441204049</v>
          </cell>
          <cell r="CI106">
            <v>15905.760662739638</v>
          </cell>
          <cell r="CJ106">
            <v>16150.580578925194</v>
          </cell>
          <cell r="CK106">
            <v>16400.407324377746</v>
          </cell>
          <cell r="CL106">
            <v>16655.338990069653</v>
          </cell>
          <cell r="CM106">
            <v>16915.475662186938</v>
          </cell>
          <cell r="CN106">
            <v>17180.919461748828</v>
          </cell>
          <cell r="CO106">
            <v>17451.774585004787</v>
          </cell>
          <cell r="CP106">
            <v>17728.147344628571</v>
          </cell>
          <cell r="CQ106">
            <v>18010.146211721618</v>
          </cell>
          <cell r="CR106">
            <v>18297.881858648623</v>
          </cell>
          <cell r="CS106">
            <v>18591.467202719061</v>
          </cell>
          <cell r="CT106">
            <v>18891.017450733612</v>
          </cell>
          <cell r="CU106">
            <v>19196.650144414849</v>
          </cell>
          <cell r="CV106">
            <v>19508.485206739198</v>
          </cell>
          <cell r="CW106">
            <v>19826.644989190427</v>
          </cell>
          <cell r="CX106">
            <v>20151.254319952448</v>
          </cell>
          <cell r="CY106">
            <v>20482.440553062523</v>
          </cell>
          <cell r="CZ106">
            <v>20820.333618543184</v>
          </cell>
          <cell r="DA106">
            <v>21165.066073534887</v>
          </cell>
          <cell r="DB106">
            <v>21516.773154447954</v>
          </cell>
          <cell r="DC106">
            <v>21875.592830156689</v>
          </cell>
          <cell r="DD106">
            <v>22241.665856256051</v>
          </cell>
          <cell r="DE106">
            <v>22615.135830401912</v>
          </cell>
          <cell r="DF106">
            <v>22996.149248759943</v>
          </cell>
          <cell r="DG106">
            <v>23384.855563580859</v>
          </cell>
          <cell r="DH106">
            <v>23781.407241930618</v>
          </cell>
          <cell r="DI106">
            <v>24185.959825594346</v>
          </cell>
          <cell r="DJ106">
            <v>24598.671992180338</v>
          </cell>
          <cell r="DK106">
            <v>25019.705617447868</v>
          </cell>
          <cell r="DL106">
            <v>25449.225838883271</v>
          </cell>
          <cell r="DM106">
            <v>25887.401120550363</v>
          </cell>
          <cell r="DN106">
            <v>26334.403319238867</v>
          </cell>
          <cell r="DO106">
            <v>26790.407751941049</v>
          </cell>
          <cell r="DP106">
            <v>27255.593264677715</v>
          </cell>
          <cell r="DQ106">
            <v>27730.142302706801</v>
          </cell>
          <cell r="DR106">
            <v>28214.240982137191</v>
          </cell>
          <cell r="DS106">
            <v>28708.079162979739</v>
          </cell>
          <cell r="DT106">
            <v>29211.850523661349</v>
          </cell>
          <cell r="DU106">
            <v>29725.752637035519</v>
          </cell>
          <cell r="DV106">
            <v>30249.98704791403</v>
          </cell>
          <cell r="DW106">
            <v>30784.759352155132</v>
          </cell>
          <cell r="DX106">
            <v>31330.27927733738</v>
          </cell>
          <cell r="DY106">
            <v>31886.76076504997</v>
          </cell>
          <cell r="DZ106">
            <v>32454.422054834147</v>
          </cell>
          <cell r="EA106">
            <v>33033.485769807849</v>
          </cell>
          <cell r="EB106">
            <v>33624.179004005164</v>
          </cell>
          <cell r="EC106">
            <v>34226.733411470108</v>
          </cell>
          <cell r="ED106">
            <v>34841.385297133784</v>
          </cell>
          <cell r="EE106">
            <v>35468.375709514679</v>
          </cell>
          <cell r="EF106">
            <v>36107.950535277887</v>
          </cell>
          <cell r="EG106">
            <v>36760.360595688922</v>
          </cell>
          <cell r="EH106">
            <v>37425.861745001886</v>
          </cell>
          <cell r="EI106">
            <v>38104.714970818961</v>
          </cell>
          <cell r="EJ106">
            <v>38797.186496462615</v>
          </cell>
          <cell r="EK106">
            <v>39503.54788539953</v>
          </cell>
          <cell r="EL106">
            <v>40224.076147755135</v>
          </cell>
          <cell r="EM106">
            <v>40959.053848967538</v>
          </cell>
          <cell r="EN106">
            <v>41708.769220614311</v>
          </cell>
          <cell r="EO106">
            <v>42473.516273462177</v>
          </cell>
          <cell r="EP106">
            <v>43253.594912783177</v>
          </cell>
          <cell r="EQ106">
            <v>44049.311055978433</v>
          </cell>
          <cell r="ER106">
            <v>44860.976752562077</v>
          </cell>
          <cell r="ES106">
            <v>45688.910306546379</v>
          </cell>
          <cell r="ET106">
            <v>46533.436401280895</v>
          </cell>
          <cell r="EU106">
            <v>47394.886226790979</v>
          </cell>
          <cell r="EV106">
            <v>48273.597609668126</v>
          </cell>
          <cell r="EW106">
            <v>49169.91514556131</v>
          </cell>
          <cell r="EX106">
            <v>50084.190334324136</v>
          </cell>
          <cell r="EY106">
            <v>51016.781717867256</v>
          </cell>
          <cell r="EZ106">
            <v>51968.055020770626</v>
          </cell>
          <cell r="FA106">
            <v>52938.383293716688</v>
          </cell>
          <cell r="FB106">
            <v>53928.147059789466</v>
          </cell>
          <cell r="FC106">
            <v>54937.734463710396</v>
          </cell>
          <cell r="FD106">
            <v>55967.541424055744</v>
          </cell>
          <cell r="FE106">
            <v>57017.971788529161</v>
          </cell>
          <cell r="FF106">
            <v>58089.437492337034</v>
          </cell>
          <cell r="FG106">
            <v>59182.35871973852</v>
          </cell>
          <cell r="FH106">
            <v>60297.16406883052</v>
          </cell>
          <cell r="FI106">
            <v>61434.290719629615</v>
          </cell>
          <cell r="FJ106">
            <v>62594.184605520466</v>
          </cell>
          <cell r="FK106">
            <v>63777.300588136408</v>
          </cell>
          <cell r="FL106">
            <v>64984.102635742267</v>
          </cell>
          <cell r="FM106">
            <v>66215.064005184729</v>
          </cell>
          <cell r="FN106">
            <v>67470.667427489025</v>
          </cell>
          <cell r="FO106">
            <v>68751.405297169083</v>
          </cell>
          <cell r="FP106">
            <v>70057.779865325647</v>
          </cell>
          <cell r="FQ106">
            <v>71390.303436611852</v>
          </cell>
          <cell r="FR106">
            <v>72749.498570140015</v>
          </cell>
          <cell r="FS106">
            <v>74135.898284409501</v>
          </cell>
          <cell r="FT106">
            <v>75550.046266337347</v>
          </cell>
          <cell r="FU106">
            <v>76992.497084469622</v>
          </cell>
          <cell r="FV106">
            <v>78463.816406463695</v>
          </cell>
          <cell r="FW106">
            <v>79964.581220919601</v>
          </cell>
          <cell r="FX106">
            <v>81495.380063654055</v>
          </cell>
          <cell r="FY106">
            <v>83056.813248498933</v>
          </cell>
          <cell r="FZ106">
            <v>84649.493102720691</v>
          </cell>
          <cell r="GA106">
            <v>86274.044207153187</v>
          </cell>
          <cell r="GB106">
            <v>87931.10364112891</v>
          </cell>
          <cell r="GC106">
            <v>89621.321232319126</v>
          </cell>
          <cell r="GD106">
            <v>91345.359811568327</v>
          </cell>
          <cell r="GE106">
            <v>93103.895472829361</v>
          </cell>
          <cell r="GF106">
            <v>94897.617838300488</v>
          </cell>
          <cell r="GG106">
            <v>96727.23032886468</v>
          </cell>
          <cell r="GH106">
            <v>98593.450439945431</v>
          </cell>
          <cell r="GI106">
            <v>100497.01002287668</v>
          </cell>
          <cell r="GJ106">
            <v>102438.6555719022</v>
          </cell>
          <cell r="GK106">
            <v>104419.14851692639</v>
          </cell>
          <cell r="GL106">
            <v>106439.26552210655</v>
          </cell>
          <cell r="GM106">
            <v>108499.79879043452</v>
          </cell>
          <cell r="GN106">
            <v>110601.55637440263</v>
          </cell>
          <cell r="GO106">
            <v>112745.36249288678</v>
          </cell>
          <cell r="GP106">
            <v>114932.05785437487</v>
          </cell>
          <cell r="GQ106">
            <v>117162.4999866501</v>
          </cell>
          <cell r="GR106">
            <v>119437.56357308489</v>
          </cell>
          <cell r="GS106">
            <v>121758.14079564743</v>
          </cell>
          <cell r="GT106">
            <v>124125.14168478225</v>
          </cell>
          <cell r="GU106">
            <v>126539.49447628413</v>
          </cell>
          <cell r="GV106">
            <v>129002.14597531245</v>
          </cell>
          <cell r="GW106">
            <v>131514.06192768781</v>
          </cell>
          <cell r="GX106">
            <v>134076.22739861684</v>
          </cell>
          <cell r="GY106">
            <v>136689.64715899114</v>
          </cell>
          <cell r="GZ106">
            <v>139355.34607941945</v>
          </cell>
          <cell r="HA106">
            <v>142074.36953213185</v>
          </cell>
          <cell r="HB106">
            <v>144847.78380093712</v>
          </cell>
          <cell r="HC106">
            <v>147676.67649936693</v>
          </cell>
          <cell r="HD106">
            <v>150562.15699719603</v>
          </cell>
          <cell r="HE106">
            <v>153505.3568554899</v>
          </cell>
          <cell r="HF106">
            <v>156507.43027034734</v>
          </cell>
          <cell r="HG106">
            <v>159569.55452553608</v>
          </cell>
          <cell r="HH106">
            <v>162692.93045416821</v>
          </cell>
          <cell r="HI106">
            <v>165878.78290961392</v>
          </cell>
          <cell r="HJ106">
            <v>169128.36124584108</v>
          </cell>
          <cell r="HK106">
            <v>172442.93980735325</v>
          </cell>
          <cell r="HL106">
            <v>175823.81842893438</v>
          </cell>
          <cell r="HM106">
            <v>179272.32294539272</v>
          </cell>
          <cell r="HN106">
            <v>182789.80571148676</v>
          </cell>
          <cell r="HO106">
            <v>186377.64613227209</v>
          </cell>
          <cell r="HP106">
            <v>190037.25120403286</v>
          </cell>
          <cell r="HQ106">
            <v>193770.05606605689</v>
          </cell>
          <cell r="HR106">
            <v>197577.52456342478</v>
          </cell>
          <cell r="HS106">
            <v>201461.1498210752</v>
          </cell>
          <cell r="HT106">
            <v>205422.45482933649</v>
          </cell>
          <cell r="HU106">
            <v>209462.99304119049</v>
          </cell>
          <cell r="HV106">
            <v>213584.34898145316</v>
          </cell>
          <cell r="HW106">
            <v>217788.13886816963</v>
          </cell>
          <cell r="HX106">
            <v>222076.01124642196</v>
          </cell>
          <cell r="HY106">
            <v>226449.64763481537</v>
          </cell>
          <cell r="HZ106">
            <v>230910.76318489504</v>
          </cell>
          <cell r="IA106">
            <v>235461.10735376773</v>
          </cell>
          <cell r="IB106">
            <v>240102.46459014347</v>
          </cell>
          <cell r="IC106">
            <v>244836.65503413905</v>
          </cell>
          <cell r="ID106">
            <v>249665.53523104347</v>
          </cell>
          <cell r="IE106">
            <v>254590.99885938328</v>
          </cell>
          <cell r="IF106">
            <v>259614.97747353971</v>
          </cell>
          <cell r="IG106">
            <v>264739.44126122136</v>
          </cell>
          <cell r="IH106">
            <v>269966.39981608308</v>
          </cell>
          <cell r="II106">
            <v>275297.90292581072</v>
          </cell>
          <cell r="IJ106">
            <v>280736.04137594823</v>
          </cell>
          <cell r="IK106">
            <v>286282.94776982273</v>
          </cell>
          <cell r="IL106">
            <v>291940.79736485687</v>
          </cell>
          <cell r="IM106">
            <v>297711.80892560456</v>
          </cell>
          <cell r="IN106">
            <v>303598.24559387128</v>
          </cell>
          <cell r="IO106">
            <v>309602.41577619716</v>
          </cell>
          <cell r="IP106">
            <v>315726.67404913774</v>
          </cell>
          <cell r="IQ106">
            <v>321973.42208261014</v>
          </cell>
          <cell r="IR106">
            <v>5405670.9903859571</v>
          </cell>
        </row>
        <row r="108">
          <cell r="B108" t="str">
            <v>Price implied WACC</v>
          </cell>
          <cell r="C108">
            <v>0.10085765567697767</v>
          </cell>
        </row>
        <row r="109">
          <cell r="B109">
            <v>-51498.352361758116</v>
          </cell>
          <cell r="C109">
            <v>3232.7470000000003</v>
          </cell>
          <cell r="D109">
            <v>2308.04</v>
          </cell>
          <cell r="E109">
            <v>2831.0743166425063</v>
          </cell>
          <cell r="F109">
            <v>3825.2126427128405</v>
          </cell>
          <cell r="G109">
            <v>4738.0968150634708</v>
          </cell>
          <cell r="H109">
            <v>5017.9980159702427</v>
          </cell>
          <cell r="I109">
            <v>5333.6051221296175</v>
          </cell>
          <cell r="J109">
            <v>5515.2868183173741</v>
          </cell>
          <cell r="K109">
            <v>5895.9878894588583</v>
          </cell>
          <cell r="L109">
            <v>6573.3613880086123</v>
          </cell>
          <cell r="M109">
            <v>4336.9230975077407</v>
          </cell>
          <cell r="N109">
            <v>6080.9146359851411</v>
          </cell>
          <cell r="O109">
            <v>6443.3715524681747</v>
          </cell>
          <cell r="P109">
            <v>6798.9218242611269</v>
          </cell>
          <cell r="Q109">
            <v>6907.2530858761975</v>
          </cell>
          <cell r="R109">
            <v>4612.3158710575299</v>
          </cell>
          <cell r="S109">
            <v>6856.130213082206</v>
          </cell>
          <cell r="T109">
            <v>6914.4124148576593</v>
          </cell>
          <cell r="U109">
            <v>6974.2201218312293</v>
          </cell>
          <cell r="V109">
            <v>7035.5818788693396</v>
          </cell>
          <cell r="W109">
            <v>7098.5266498304445</v>
          </cell>
          <cell r="X109">
            <v>7163.0838328049795</v>
          </cell>
          <cell r="Y109">
            <v>7229.2832757100823</v>
          </cell>
          <cell r="Z109">
            <v>7297.1552922195315</v>
          </cell>
          <cell r="AA109">
            <v>7366.7306780109429</v>
          </cell>
          <cell r="AB109">
            <v>7438.0407273130331</v>
          </cell>
          <cell r="AC109">
            <v>7511.1172497374828</v>
          </cell>
          <cell r="AD109">
            <v>7585.9925873813663</v>
          </cell>
          <cell r="AE109">
            <v>7662.6996321864062</v>
          </cell>
          <cell r="AF109">
            <v>7741.2718435446732</v>
          </cell>
          <cell r="AG109">
            <v>7821.7432661394269</v>
          </cell>
          <cell r="AH109">
            <v>7904.1485480130341</v>
          </cell>
          <cell r="AI109">
            <v>7988.5229588543134</v>
          </cell>
          <cell r="AJ109">
            <v>8074.9024084987759</v>
          </cell>
          <cell r="AK109">
            <v>8163.3234656379427</v>
          </cell>
          <cell r="AL109">
            <v>8253.8233767325437</v>
          </cell>
          <cell r="AM109">
            <v>8346.4400851290193</v>
          </cell>
          <cell r="AN109">
            <v>8441.2122503765695</v>
          </cell>
          <cell r="AO109">
            <v>8538.1792677456433</v>
          </cell>
          <cell r="AP109">
            <v>8637.381287948052</v>
          </cell>
          <cell r="AQ109">
            <v>8738.8592370613896</v>
          </cell>
          <cell r="AR109">
            <v>8842.6548366599018</v>
          </cell>
          <cell r="AS109">
            <v>8948.8106241561109</v>
          </cell>
          <cell r="AT109">
            <v>9057.3699733576213</v>
          </cell>
          <cell r="AU109">
            <v>9168.3771152443514</v>
          </cell>
          <cell r="AV109">
            <v>9281.8771589727075</v>
          </cell>
          <cell r="AW109">
            <v>9397.9161131129968</v>
          </cell>
          <cell r="AX109">
            <v>9516.5409071282811</v>
          </cell>
          <cell r="AY109">
            <v>9637.7994131017749</v>
          </cell>
          <cell r="AZ109">
            <v>9761.7404677222057</v>
          </cell>
          <cell r="BA109">
            <v>9888.4138945360755</v>
          </cell>
          <cell r="BB109">
            <v>10017.870526475792</v>
          </cell>
          <cell r="BC109">
            <v>10150.162228674508</v>
          </cell>
          <cell r="BD109">
            <v>10285.341921577823</v>
          </cell>
          <cell r="BE109">
            <v>10423.463604362534</v>
          </cell>
          <cell r="BF109">
            <v>10564.582378674582</v>
          </cell>
          <cell r="BG109">
            <v>10708.754472696746</v>
          </cell>
          <cell r="BH109">
            <v>10856.037265558291</v>
          </cell>
          <cell r="BI109">
            <v>11006.489312098049</v>
          </cell>
          <cell r="BJ109">
            <v>11160.170367994346</v>
          </cell>
          <cell r="BK109">
            <v>11317.141415272261</v>
          </cell>
          <cell r="BL109">
            <v>11477.46468820287</v>
          </cell>
          <cell r="BM109">
            <v>11641.20369960638</v>
          </cell>
          <cell r="BN109">
            <v>11808.423267572107</v>
          </cell>
          <cell r="BO109">
            <v>11979.189542608819</v>
          </cell>
          <cell r="BP109">
            <v>12153.570035239165</v>
          </cell>
          <cell r="BQ109">
            <v>12331.633644051188</v>
          </cell>
          <cell r="BR109">
            <v>12513.45068422109</v>
          </cell>
          <cell r="BS109">
            <v>12699.092916520556</v>
          </cell>
          <cell r="BT109">
            <v>12888.633576824235</v>
          </cell>
          <cell r="BU109">
            <v>13082.14740612921</v>
          </cell>
          <cell r="BV109">
            <v>13279.71068110293</v>
          </cell>
          <cell r="BW109">
            <v>13481.401245173231</v>
          </cell>
          <cell r="BX109">
            <v>13687.298540174968</v>
          </cell>
          <cell r="BY109">
            <v>13897.483638568639</v>
          </cell>
          <cell r="BZ109">
            <v>14112.03927624525</v>
          </cell>
          <cell r="CA109">
            <v>14331.049885933498</v>
          </cell>
          <cell r="CB109">
            <v>14554.601631223992</v>
          </cell>
          <cell r="CC109">
            <v>14782.7824412257</v>
          </cell>
          <cell r="CD109">
            <v>15015.682045871428</v>
          </cell>
          <cell r="CE109">
            <v>15253.392011886674</v>
          </cell>
          <cell r="CF109">
            <v>15496.00577943986</v>
          </cell>
          <cell r="CG109">
            <v>15743.61869948731</v>
          </cell>
          <cell r="CH109">
            <v>15996.328071833079</v>
          </cell>
          <cell r="CI109">
            <v>16254.233183917102</v>
          </cell>
          <cell r="CJ109">
            <v>16517.435350349693</v>
          </cell>
          <cell r="CK109">
            <v>16786.037953211009</v>
          </cell>
          <cell r="CL109">
            <v>17060.146483129298</v>
          </cell>
          <cell r="CM109">
            <v>17339.868581159531</v>
          </cell>
          <cell r="CN109">
            <v>17625.314081477452</v>
          </cell>
          <cell r="CO109">
            <v>17916.595054907404</v>
          </cell>
          <cell r="CP109">
            <v>18213.825853304963</v>
          </cell>
          <cell r="CQ109">
            <v>18517.123154807898</v>
          </cell>
          <cell r="CR109">
            <v>18826.606009980162</v>
          </cell>
          <cell r="CS109">
            <v>19142.39588886455</v>
          </cell>
          <cell r="CT109">
            <v>19464.616728963196</v>
          </cell>
          <cell r="CU109">
            <v>19793.394984168826</v>
          </cell>
          <cell r="CV109">
            <v>20128.85967466353</v>
          </cell>
          <cell r="CW109">
            <v>20471.14243780807</v>
          </cell>
          <cell r="CX109">
            <v>20820.377580041029</v>
          </cell>
          <cell r="CY109">
            <v>21176.702129809662</v>
          </cell>
          <cell r="CZ109">
            <v>21540.255891553472</v>
          </cell>
          <cell r="DA109">
            <v>21911.181500763989</v>
          </cell>
          <cell r="DB109">
            <v>22289.624480140374</v>
          </cell>
          <cell r="DC109">
            <v>22675.733296865859</v>
          </cell>
          <cell r="DD109">
            <v>23069.659421028024</v>
          </cell>
          <cell r="DE109">
            <v>23471.557385203982</v>
          </cell>
          <cell r="DF109">
            <v>23881.584845238314</v>
          </cell>
          <cell r="DG109">
            <v>24299.902642234309</v>
          </cell>
          <cell r="DH109">
            <v>24726.674865786044</v>
          </cell>
          <cell r="DI109">
            <v>25162.068918475619</v>
          </cell>
          <cell r="DJ109">
            <v>25606.255581660866</v>
          </cell>
          <cell r="DK109">
            <v>26059.409082580511</v>
          </cell>
          <cell r="DL109">
            <v>26521.707162803534</v>
          </cell>
          <cell r="DM109">
            <v>26993.33114804935</v>
          </cell>
          <cell r="DN109">
            <v>27474.466019406587</v>
          </cell>
          <cell r="DO109">
            <v>27965.300485980741</v>
          </cell>
          <cell r="DP109">
            <v>28466.027058995292</v>
          </cell>
          <cell r="DQ109">
            <v>28976.842127381016</v>
          </cell>
          <cell r="DR109">
            <v>29497.946034878638</v>
          </cell>
          <cell r="DS109">
            <v>30029.543158688597</v>
          </cell>
          <cell r="DT109">
            <v>30571.841989696863</v>
          </cell>
          <cell r="DU109">
            <v>31125.055214311484</v>
          </cell>
          <cell r="DV109">
            <v>31689.399797937411</v>
          </cell>
          <cell r="DW109">
            <v>32265.09707012766</v>
          </cell>
          <cell r="DX109">
            <v>32852.372811441637</v>
          </cell>
          <cell r="DY109">
            <v>33451.457342044559</v>
          </cell>
          <cell r="DZ109">
            <v>34062.585612084848</v>
          </cell>
          <cell r="EA109">
            <v>34685.997293884495</v>
          </cell>
          <cell r="EB109">
            <v>35321.936875975131</v>
          </cell>
          <cell r="EC109">
            <v>35970.653759025154</v>
          </cell>
          <cell r="ED109">
            <v>36632.402353686099</v>
          </cell>
          <cell r="EE109">
            <v>37307.44218040265</v>
          </cell>
          <cell r="EF109">
            <v>37996.03797122548</v>
          </cell>
          <cell r="EG109">
            <v>38698.459773663672</v>
          </cell>
          <cell r="EH109">
            <v>39414.983056620935</v>
          </cell>
          <cell r="EI109">
            <v>40145.888818454347</v>
          </cell>
          <cell r="EJ109">
            <v>40891.463697201929</v>
          </cell>
          <cell r="EK109">
            <v>41652.000083018313</v>
          </cell>
          <cell r="EL109">
            <v>42427.796232863722</v>
          </cell>
          <cell r="EM109">
            <v>43219.156387495372</v>
          </cell>
          <cell r="EN109">
            <v>44026.390890801209</v>
          </cell>
          <cell r="EO109">
            <v>44849.816311524948</v>
          </cell>
          <cell r="EP109">
            <v>45689.755567435059</v>
          </cell>
          <cell r="EQ109">
            <v>46546.538051976931</v>
          </cell>
          <cell r="ER109">
            <v>47420.499763467858</v>
          </cell>
          <cell r="ES109">
            <v>48311.983436878203</v>
          </cell>
          <cell r="ET109">
            <v>49221.338678255241</v>
          </cell>
          <cell r="EU109">
            <v>50148.922101839111</v>
          </cell>
          <cell r="EV109">
            <v>51095.097469927394</v>
          </cell>
          <cell r="EW109">
            <v>52060.235835539454</v>
          </cell>
          <cell r="EX109">
            <v>53044.715687943855</v>
          </cell>
          <cell r="EY109">
            <v>54048.923101096414</v>
          </cell>
          <cell r="EZ109">
            <v>55073.251885053192</v>
          </cell>
          <cell r="FA109">
            <v>56118.103740420018</v>
          </cell>
          <cell r="FB109">
            <v>57183.888415888476</v>
          </cell>
          <cell r="FC109">
            <v>58271.023868936725</v>
          </cell>
          <cell r="FD109">
            <v>59379.936429738533</v>
          </cell>
          <cell r="FE109">
            <v>60511.060968366146</v>
          </cell>
          <cell r="FF109">
            <v>61664.841065331537</v>
          </cell>
          <cell r="FG109">
            <v>62841.729185548393</v>
          </cell>
          <cell r="FH109">
            <v>64042.186855779539</v>
          </cell>
          <cell r="FI109">
            <v>65266.684845631593</v>
          </cell>
          <cell r="FJ109">
            <v>66515.703352178927</v>
          </cell>
          <cell r="FK109">
            <v>67789.732188281094</v>
          </cell>
          <cell r="FL109">
            <v>69089.270974675645</v>
          </cell>
          <cell r="FM109">
            <v>70414.829335907663</v>
          </cell>
          <cell r="FN109">
            <v>71766.927100192945</v>
          </cell>
          <cell r="FO109">
            <v>73146.094503275992</v>
          </cell>
          <cell r="FP109">
            <v>74552.872396367573</v>
          </cell>
          <cell r="FQ109">
            <v>75987.812458250832</v>
          </cell>
          <cell r="FR109">
            <v>77451.477411628483</v>
          </cell>
          <cell r="FS109">
            <v>78944.44124380227</v>
          </cell>
          <cell r="FT109">
            <v>80467.289431771685</v>
          </cell>
          <cell r="FU109">
            <v>82020.619171832222</v>
          </cell>
          <cell r="FV109">
            <v>83605.039613777364</v>
          </cell>
          <cell r="FW109">
            <v>85221.172099781455</v>
          </cell>
          <cell r="FX109">
            <v>86869.650408067595</v>
          </cell>
          <cell r="FY109">
            <v>88551.12100145052</v>
          </cell>
          <cell r="FZ109">
            <v>90266.243280851835</v>
          </cell>
          <cell r="GA109">
            <v>92015.689843895932</v>
          </cell>
          <cell r="GB109">
            <v>93800.146748670901</v>
          </cell>
          <cell r="GC109">
            <v>95620.3137827756</v>
          </cell>
          <cell r="GD109">
            <v>97476.904737748817</v>
          </cell>
          <cell r="GE109">
            <v>99370.647688987316</v>
          </cell>
          <cell r="GF109">
            <v>101302.28528127016</v>
          </cell>
          <cell r="GG109">
            <v>103272.57501998974</v>
          </cell>
          <cell r="GH109">
            <v>105282.28956821869</v>
          </cell>
          <cell r="GI109">
            <v>107332.21704971488</v>
          </cell>
          <cell r="GJ109">
            <v>109423.16135798692</v>
          </cell>
          <cell r="GK109">
            <v>111555.94247155674</v>
          </cell>
          <cell r="GL109">
            <v>113731.39677551217</v>
          </cell>
          <cell r="GM109">
            <v>115950.37738950702</v>
          </cell>
          <cell r="GN109">
            <v>118213.75450231912</v>
          </cell>
          <cell r="GO109">
            <v>120522.41571309761</v>
          </cell>
          <cell r="GP109">
            <v>122877.2663794496</v>
          </cell>
          <cell r="GQ109">
            <v>125279.22997247369</v>
          </cell>
          <cell r="GR109">
            <v>127729.24843891591</v>
          </cell>
          <cell r="GS109">
            <v>130228.28257055458</v>
          </cell>
          <cell r="GT109">
            <v>132777.31238098451</v>
          </cell>
          <cell r="GU109">
            <v>135377.33748993816</v>
          </cell>
          <cell r="GV109">
            <v>138029.37751529223</v>
          </cell>
          <cell r="GW109">
            <v>140734.47247291889</v>
          </cell>
          <cell r="GX109">
            <v>143493.68318453725</v>
          </cell>
          <cell r="GY109">
            <v>146308.09169371781</v>
          </cell>
          <cell r="GZ109">
            <v>149178.80169022235</v>
          </cell>
          <cell r="HA109">
            <v>152106.93894281355</v>
          </cell>
          <cell r="HB109">
            <v>155093.65174074238</v>
          </cell>
          <cell r="HC109">
            <v>158140.11134405155</v>
          </cell>
          <cell r="HD109">
            <v>161247.51244289862</v>
          </cell>
          <cell r="HE109">
            <v>164417.07362606097</v>
          </cell>
          <cell r="HF109">
            <v>167650.03785880865</v>
          </cell>
          <cell r="HG109">
            <v>170947.6729703515</v>
          </cell>
          <cell r="HH109">
            <v>174311.27215102097</v>
          </cell>
          <cell r="HI109">
            <v>177742.15445940499</v>
          </cell>
          <cell r="HJ109">
            <v>181241.66533962879</v>
          </cell>
          <cell r="HK109">
            <v>184811.17714897642</v>
          </cell>
          <cell r="HL109">
            <v>188452.08969607152</v>
          </cell>
          <cell r="HM109">
            <v>192165.83078982669</v>
          </cell>
          <cell r="HN109">
            <v>195953.85679935903</v>
          </cell>
          <cell r="HO109">
            <v>199817.65322512935</v>
          </cell>
          <cell r="HP109">
            <v>203758.73528147431</v>
          </cell>
          <cell r="HQ109">
            <v>207778.64849082788</v>
          </cell>
          <cell r="HR109">
            <v>211878.96928978944</v>
          </cell>
          <cell r="HS109">
            <v>216061.30564734945</v>
          </cell>
          <cell r="HT109">
            <v>220327.29769545479</v>
          </cell>
          <cell r="HU109">
            <v>224678.61837221036</v>
          </cell>
          <cell r="HV109">
            <v>229116.97407791868</v>
          </cell>
          <cell r="HW109">
            <v>233644.10534426622</v>
          </cell>
          <cell r="HX109">
            <v>238261.78751688637</v>
          </cell>
          <cell r="HY109">
            <v>242971.83145156415</v>
          </cell>
          <cell r="HZ109">
            <v>247776.08422438032</v>
          </cell>
          <cell r="IA109">
            <v>252676.42985606776</v>
          </cell>
          <cell r="IB109">
            <v>257674.79005081562</v>
          </cell>
          <cell r="IC109">
            <v>262773.12494990922</v>
          </cell>
          <cell r="ID109">
            <v>267973.43390038947</v>
          </cell>
          <cell r="IE109">
            <v>273277.75623912347</v>
          </cell>
          <cell r="IF109">
            <v>278688.17209254054</v>
          </cell>
          <cell r="IG109">
            <v>284206.80319236952</v>
          </cell>
          <cell r="IH109">
            <v>289835.81370768737</v>
          </cell>
          <cell r="II109">
            <v>295577.41109361849</v>
          </cell>
          <cell r="IJ109">
            <v>301433.84695699747</v>
          </cell>
          <cell r="IK109">
            <v>307407.4179393535</v>
          </cell>
          <cell r="IL109">
            <v>313500.46661756327</v>
          </cell>
          <cell r="IM109">
            <v>319715.38242248772</v>
          </cell>
          <cell r="IN109">
            <v>326054.60257603315</v>
          </cell>
          <cell r="IO109">
            <v>332520.61304689338</v>
          </cell>
          <cell r="IP109">
            <v>339115.94952546625</v>
          </cell>
          <cell r="IQ109">
            <v>345843.19841821992</v>
          </cell>
          <cell r="IR109">
            <v>7967254.4733183235</v>
          </cell>
        </row>
        <row r="112">
          <cell r="B112" t="str">
            <v>Cost of Equity</v>
          </cell>
          <cell r="C112">
            <v>8.5000000000000006E-2</v>
          </cell>
        </row>
        <row r="113">
          <cell r="B113" t="str">
            <v>Price-Implied Cost of Equity</v>
          </cell>
          <cell r="C113">
            <v>0.115051094494151</v>
          </cell>
        </row>
        <row r="114">
          <cell r="B114" t="str">
            <v>WACC</v>
          </cell>
          <cell r="C114">
            <v>7.8995011250947572E-2</v>
          </cell>
        </row>
        <row r="115">
          <cell r="B115" t="str">
            <v>Price-Implied WACC</v>
          </cell>
          <cell r="C115">
            <v>0.10085765567697767</v>
          </cell>
        </row>
        <row r="127">
          <cell r="B127" t="str">
            <v>WACC</v>
          </cell>
          <cell r="C127">
            <v>8.5000000000000006E-2</v>
          </cell>
          <cell r="D127">
            <v>8.5000000000000006E-2</v>
          </cell>
          <cell r="E127">
            <v>8.5000000000000006E-2</v>
          </cell>
          <cell r="F127">
            <v>8.5000000000000006E-2</v>
          </cell>
          <cell r="G127">
            <v>8.5000000000000006E-2</v>
          </cell>
          <cell r="H127">
            <v>8.5000000000000006E-2</v>
          </cell>
          <cell r="I127">
            <v>8.5000000000000006E-2</v>
          </cell>
          <cell r="J127">
            <v>8.5000000000000006E-2</v>
          </cell>
          <cell r="K127">
            <v>8.5000000000000006E-2</v>
          </cell>
          <cell r="L127">
            <v>8.5000000000000006E-2</v>
          </cell>
          <cell r="M127">
            <v>8.5000000000000006E-2</v>
          </cell>
          <cell r="N127">
            <v>8.5000000000000006E-2</v>
          </cell>
          <cell r="O127">
            <v>8.5000000000000006E-2</v>
          </cell>
          <cell r="P127">
            <v>8.5000000000000006E-2</v>
          </cell>
          <cell r="Q127">
            <v>8.5000000000000006E-2</v>
          </cell>
          <cell r="R127">
            <v>8.5000000000000006E-2</v>
          </cell>
          <cell r="S127">
            <v>8.5000000000000006E-2</v>
          </cell>
          <cell r="T127">
            <v>8.5000000000000006E-2</v>
          </cell>
          <cell r="U127">
            <v>8.5000000000000006E-2</v>
          </cell>
          <cell r="V127">
            <v>8.5000000000000006E-2</v>
          </cell>
          <cell r="W127">
            <v>8.5000000000000006E-2</v>
          </cell>
          <cell r="X127">
            <v>8.5000000000000006E-2</v>
          </cell>
          <cell r="Y127">
            <v>8.5000000000000006E-2</v>
          </cell>
          <cell r="Z127">
            <v>8.5000000000000006E-2</v>
          </cell>
          <cell r="AA127">
            <v>8.5000000000000006E-2</v>
          </cell>
          <cell r="AB127">
            <v>8.5000000000000006E-2</v>
          </cell>
          <cell r="AC127">
            <v>8.5000000000000006E-2</v>
          </cell>
          <cell r="AD127">
            <v>8.5000000000000006E-2</v>
          </cell>
          <cell r="AE127">
            <v>8.5000000000000006E-2</v>
          </cell>
          <cell r="AF127">
            <v>8.5000000000000006E-2</v>
          </cell>
          <cell r="AG127">
            <v>8.5000000000000006E-2</v>
          </cell>
          <cell r="AH127">
            <v>8.5000000000000006E-2</v>
          </cell>
          <cell r="AI127">
            <v>8.5000000000000006E-2</v>
          </cell>
          <cell r="AJ127">
            <v>8.5000000000000006E-2</v>
          </cell>
          <cell r="AK127">
            <v>8.5000000000000006E-2</v>
          </cell>
          <cell r="AL127">
            <v>8.5000000000000006E-2</v>
          </cell>
          <cell r="AM127">
            <v>8.5000000000000006E-2</v>
          </cell>
          <cell r="AN127">
            <v>8.5000000000000006E-2</v>
          </cell>
          <cell r="AO127">
            <v>8.5000000000000006E-2</v>
          </cell>
          <cell r="AP127">
            <v>8.5000000000000006E-2</v>
          </cell>
          <cell r="AQ127">
            <v>8.5000000000000006E-2</v>
          </cell>
          <cell r="AR127">
            <v>8.5000000000000006E-2</v>
          </cell>
          <cell r="AS127">
            <v>8.5000000000000006E-2</v>
          </cell>
          <cell r="AT127">
            <v>8.5000000000000006E-2</v>
          </cell>
          <cell r="AU127">
            <v>8.5000000000000006E-2</v>
          </cell>
          <cell r="AV127">
            <v>8.5000000000000006E-2</v>
          </cell>
          <cell r="AW127">
            <v>8.5000000000000006E-2</v>
          </cell>
          <cell r="AX127">
            <v>8.5000000000000006E-2</v>
          </cell>
          <cell r="AY127">
            <v>8.5000000000000006E-2</v>
          </cell>
          <cell r="AZ127">
            <v>8.5000000000000006E-2</v>
          </cell>
          <cell r="BA127">
            <v>8.5000000000000006E-2</v>
          </cell>
          <cell r="BB127">
            <v>8.5000000000000006E-2</v>
          </cell>
          <cell r="BC127">
            <v>8.5000000000000006E-2</v>
          </cell>
          <cell r="BD127">
            <v>8.5000000000000006E-2</v>
          </cell>
          <cell r="BE127">
            <v>8.5000000000000006E-2</v>
          </cell>
          <cell r="BF127">
            <v>8.5000000000000006E-2</v>
          </cell>
          <cell r="BG127">
            <v>8.5000000000000006E-2</v>
          </cell>
          <cell r="BH127">
            <v>8.5000000000000006E-2</v>
          </cell>
          <cell r="BI127">
            <v>8.5000000000000006E-2</v>
          </cell>
          <cell r="BJ127">
            <v>8.5000000000000006E-2</v>
          </cell>
          <cell r="BK127">
            <v>8.5000000000000006E-2</v>
          </cell>
          <cell r="BL127">
            <v>8.5000000000000006E-2</v>
          </cell>
          <cell r="BM127">
            <v>8.5000000000000006E-2</v>
          </cell>
          <cell r="BN127">
            <v>8.5000000000000006E-2</v>
          </cell>
          <cell r="BO127">
            <v>8.5000000000000006E-2</v>
          </cell>
          <cell r="BP127">
            <v>8.5000000000000006E-2</v>
          </cell>
          <cell r="BQ127">
            <v>8.5000000000000006E-2</v>
          </cell>
          <cell r="BR127">
            <v>8.5000000000000006E-2</v>
          </cell>
          <cell r="BS127">
            <v>8.5000000000000006E-2</v>
          </cell>
          <cell r="BT127">
            <v>8.5000000000000006E-2</v>
          </cell>
          <cell r="BU127">
            <v>8.5000000000000006E-2</v>
          </cell>
          <cell r="BV127">
            <v>8.5000000000000006E-2</v>
          </cell>
          <cell r="BW127">
            <v>8.5000000000000006E-2</v>
          </cell>
          <cell r="BX127">
            <v>8.5000000000000006E-2</v>
          </cell>
          <cell r="BY127">
            <v>8.5000000000000006E-2</v>
          </cell>
          <cell r="BZ127">
            <v>8.5000000000000006E-2</v>
          </cell>
          <cell r="CA127">
            <v>8.5000000000000006E-2</v>
          </cell>
          <cell r="CB127">
            <v>8.5000000000000006E-2</v>
          </cell>
          <cell r="CC127">
            <v>8.5000000000000006E-2</v>
          </cell>
          <cell r="CD127">
            <v>8.5000000000000006E-2</v>
          </cell>
          <cell r="CE127">
            <v>8.5000000000000006E-2</v>
          </cell>
          <cell r="CF127">
            <v>8.5000000000000006E-2</v>
          </cell>
          <cell r="CG127">
            <v>8.5000000000000006E-2</v>
          </cell>
          <cell r="CH127">
            <v>8.5000000000000006E-2</v>
          </cell>
          <cell r="CI127">
            <v>8.5000000000000006E-2</v>
          </cell>
          <cell r="CJ127">
            <v>8.5000000000000006E-2</v>
          </cell>
          <cell r="CK127">
            <v>8.5000000000000006E-2</v>
          </cell>
          <cell r="CL127">
            <v>8.5000000000000006E-2</v>
          </cell>
          <cell r="CM127">
            <v>8.5000000000000006E-2</v>
          </cell>
          <cell r="CN127">
            <v>8.5000000000000006E-2</v>
          </cell>
          <cell r="CO127">
            <v>8.5000000000000006E-2</v>
          </cell>
          <cell r="CP127">
            <v>8.5000000000000006E-2</v>
          </cell>
          <cell r="CQ127">
            <v>8.5000000000000006E-2</v>
          </cell>
          <cell r="CR127">
            <v>8.5000000000000006E-2</v>
          </cell>
          <cell r="CS127">
            <v>8.5000000000000006E-2</v>
          </cell>
          <cell r="CT127">
            <v>8.5000000000000006E-2</v>
          </cell>
          <cell r="CU127">
            <v>8.5000000000000006E-2</v>
          </cell>
          <cell r="CV127">
            <v>8.5000000000000006E-2</v>
          </cell>
          <cell r="CW127">
            <v>8.5000000000000006E-2</v>
          </cell>
          <cell r="CX127">
            <v>8.5000000000000006E-2</v>
          </cell>
          <cell r="CY127">
            <v>8.5000000000000006E-2</v>
          </cell>
          <cell r="CZ127">
            <v>8.5000000000000006E-2</v>
          </cell>
          <cell r="DA127">
            <v>8.5000000000000006E-2</v>
          </cell>
          <cell r="DB127">
            <v>8.5000000000000006E-2</v>
          </cell>
          <cell r="DC127">
            <v>8.5000000000000006E-2</v>
          </cell>
          <cell r="DD127">
            <v>8.5000000000000006E-2</v>
          </cell>
          <cell r="DE127">
            <v>8.5000000000000006E-2</v>
          </cell>
          <cell r="DF127">
            <v>8.5000000000000006E-2</v>
          </cell>
          <cell r="DG127">
            <v>8.5000000000000006E-2</v>
          </cell>
          <cell r="DH127">
            <v>8.5000000000000006E-2</v>
          </cell>
          <cell r="DI127">
            <v>8.5000000000000006E-2</v>
          </cell>
          <cell r="DJ127">
            <v>8.5000000000000006E-2</v>
          </cell>
          <cell r="DK127">
            <v>8.5000000000000006E-2</v>
          </cell>
          <cell r="DL127">
            <v>8.5000000000000006E-2</v>
          </cell>
          <cell r="DM127">
            <v>8.5000000000000006E-2</v>
          </cell>
          <cell r="DN127">
            <v>8.5000000000000006E-2</v>
          </cell>
          <cell r="DO127">
            <v>8.5000000000000006E-2</v>
          </cell>
          <cell r="DP127">
            <v>8.5000000000000006E-2</v>
          </cell>
          <cell r="DQ127">
            <v>8.5000000000000006E-2</v>
          </cell>
          <cell r="DR127">
            <v>8.5000000000000006E-2</v>
          </cell>
          <cell r="DS127">
            <v>8.5000000000000006E-2</v>
          </cell>
          <cell r="DT127">
            <v>8.5000000000000006E-2</v>
          </cell>
          <cell r="DU127">
            <v>8.5000000000000006E-2</v>
          </cell>
          <cell r="DV127">
            <v>8.5000000000000006E-2</v>
          </cell>
          <cell r="DW127">
            <v>8.5000000000000006E-2</v>
          </cell>
          <cell r="DX127">
            <v>8.5000000000000006E-2</v>
          </cell>
          <cell r="DY127">
            <v>8.5000000000000006E-2</v>
          </cell>
          <cell r="DZ127">
            <v>8.5000000000000006E-2</v>
          </cell>
          <cell r="EA127">
            <v>8.5000000000000006E-2</v>
          </cell>
          <cell r="EB127">
            <v>8.5000000000000006E-2</v>
          </cell>
          <cell r="EC127">
            <v>8.5000000000000006E-2</v>
          </cell>
          <cell r="ED127">
            <v>8.5000000000000006E-2</v>
          </cell>
          <cell r="EE127">
            <v>8.5000000000000006E-2</v>
          </cell>
          <cell r="EF127">
            <v>8.5000000000000006E-2</v>
          </cell>
          <cell r="EG127">
            <v>8.5000000000000006E-2</v>
          </cell>
          <cell r="EH127">
            <v>8.5000000000000006E-2</v>
          </cell>
          <cell r="EI127">
            <v>8.5000000000000006E-2</v>
          </cell>
          <cell r="EJ127">
            <v>8.5000000000000006E-2</v>
          </cell>
          <cell r="EK127">
            <v>8.5000000000000006E-2</v>
          </cell>
          <cell r="EL127">
            <v>8.5000000000000006E-2</v>
          </cell>
          <cell r="EM127">
            <v>8.5000000000000006E-2</v>
          </cell>
          <cell r="EN127">
            <v>8.5000000000000006E-2</v>
          </cell>
          <cell r="EO127">
            <v>8.5000000000000006E-2</v>
          </cell>
          <cell r="EP127">
            <v>8.5000000000000006E-2</v>
          </cell>
          <cell r="EQ127">
            <v>8.5000000000000006E-2</v>
          </cell>
          <cell r="ER127">
            <v>8.5000000000000006E-2</v>
          </cell>
          <cell r="ES127">
            <v>8.5000000000000006E-2</v>
          </cell>
          <cell r="ET127">
            <v>8.5000000000000006E-2</v>
          </cell>
          <cell r="EU127">
            <v>8.5000000000000006E-2</v>
          </cell>
          <cell r="EV127">
            <v>8.5000000000000006E-2</v>
          </cell>
          <cell r="EW127">
            <v>8.5000000000000006E-2</v>
          </cell>
          <cell r="EX127">
            <v>8.5000000000000006E-2</v>
          </cell>
          <cell r="EY127">
            <v>8.5000000000000006E-2</v>
          </cell>
          <cell r="EZ127">
            <v>8.5000000000000006E-2</v>
          </cell>
          <cell r="FA127">
            <v>8.5000000000000006E-2</v>
          </cell>
          <cell r="FB127">
            <v>8.5000000000000006E-2</v>
          </cell>
          <cell r="FC127">
            <v>8.5000000000000006E-2</v>
          </cell>
          <cell r="FD127">
            <v>8.5000000000000006E-2</v>
          </cell>
          <cell r="FE127">
            <v>8.5000000000000006E-2</v>
          </cell>
          <cell r="FF127">
            <v>8.5000000000000006E-2</v>
          </cell>
          <cell r="FG127">
            <v>8.5000000000000006E-2</v>
          </cell>
          <cell r="FH127">
            <v>8.5000000000000006E-2</v>
          </cell>
          <cell r="FI127">
            <v>8.5000000000000006E-2</v>
          </cell>
          <cell r="FJ127">
            <v>8.5000000000000006E-2</v>
          </cell>
          <cell r="FK127">
            <v>8.5000000000000006E-2</v>
          </cell>
          <cell r="FL127">
            <v>8.5000000000000006E-2</v>
          </cell>
          <cell r="FM127">
            <v>8.5000000000000006E-2</v>
          </cell>
          <cell r="FN127">
            <v>8.5000000000000006E-2</v>
          </cell>
          <cell r="FO127">
            <v>8.5000000000000006E-2</v>
          </cell>
          <cell r="FP127">
            <v>8.5000000000000006E-2</v>
          </cell>
          <cell r="FQ127">
            <v>8.5000000000000006E-2</v>
          </cell>
          <cell r="FR127">
            <v>8.5000000000000006E-2</v>
          </cell>
          <cell r="FS127">
            <v>8.5000000000000006E-2</v>
          </cell>
          <cell r="FT127">
            <v>8.5000000000000006E-2</v>
          </cell>
          <cell r="FU127">
            <v>8.5000000000000006E-2</v>
          </cell>
          <cell r="FV127">
            <v>8.5000000000000006E-2</v>
          </cell>
          <cell r="FW127">
            <v>8.5000000000000006E-2</v>
          </cell>
          <cell r="FX127">
            <v>8.5000000000000006E-2</v>
          </cell>
          <cell r="FY127">
            <v>8.5000000000000006E-2</v>
          </cell>
          <cell r="FZ127">
            <v>8.5000000000000006E-2</v>
          </cell>
          <cell r="GA127">
            <v>8.5000000000000006E-2</v>
          </cell>
          <cell r="GB127">
            <v>8.5000000000000006E-2</v>
          </cell>
          <cell r="GC127">
            <v>8.5000000000000006E-2</v>
          </cell>
          <cell r="GD127">
            <v>8.5000000000000006E-2</v>
          </cell>
          <cell r="GE127">
            <v>8.5000000000000006E-2</v>
          </cell>
          <cell r="GF127">
            <v>8.5000000000000006E-2</v>
          </cell>
          <cell r="GG127">
            <v>8.5000000000000006E-2</v>
          </cell>
          <cell r="GH127">
            <v>8.5000000000000006E-2</v>
          </cell>
          <cell r="GI127">
            <v>8.5000000000000006E-2</v>
          </cell>
          <cell r="GJ127">
            <v>8.5000000000000006E-2</v>
          </cell>
          <cell r="GK127">
            <v>8.5000000000000006E-2</v>
          </cell>
          <cell r="GL127">
            <v>8.5000000000000006E-2</v>
          </cell>
          <cell r="GM127">
            <v>8.5000000000000006E-2</v>
          </cell>
          <cell r="GN127">
            <v>8.5000000000000006E-2</v>
          </cell>
          <cell r="GO127">
            <v>8.5000000000000006E-2</v>
          </cell>
          <cell r="GP127">
            <v>8.5000000000000006E-2</v>
          </cell>
          <cell r="GQ127">
            <v>8.5000000000000006E-2</v>
          </cell>
          <cell r="GR127">
            <v>8.5000000000000006E-2</v>
          </cell>
          <cell r="GS127">
            <v>8.5000000000000006E-2</v>
          </cell>
          <cell r="GT127">
            <v>8.5000000000000006E-2</v>
          </cell>
          <cell r="GU127">
            <v>8.5000000000000006E-2</v>
          </cell>
          <cell r="GV127">
            <v>8.5000000000000006E-2</v>
          </cell>
          <cell r="GW127">
            <v>8.5000000000000006E-2</v>
          </cell>
          <cell r="GX127">
            <v>8.5000000000000006E-2</v>
          </cell>
          <cell r="GY127">
            <v>8.5000000000000006E-2</v>
          </cell>
          <cell r="GZ127">
            <v>8.5000000000000006E-2</v>
          </cell>
          <cell r="HA127">
            <v>8.5000000000000006E-2</v>
          </cell>
          <cell r="HB127">
            <v>8.5000000000000006E-2</v>
          </cell>
          <cell r="HC127">
            <v>8.5000000000000006E-2</v>
          </cell>
          <cell r="HD127">
            <v>8.5000000000000006E-2</v>
          </cell>
          <cell r="HE127">
            <v>8.5000000000000006E-2</v>
          </cell>
          <cell r="HF127">
            <v>8.5000000000000006E-2</v>
          </cell>
          <cell r="HG127">
            <v>8.5000000000000006E-2</v>
          </cell>
          <cell r="HH127">
            <v>8.5000000000000006E-2</v>
          </cell>
          <cell r="HI127">
            <v>8.5000000000000006E-2</v>
          </cell>
          <cell r="HJ127">
            <v>8.5000000000000006E-2</v>
          </cell>
          <cell r="HK127">
            <v>8.5000000000000006E-2</v>
          </cell>
          <cell r="HL127">
            <v>8.5000000000000006E-2</v>
          </cell>
          <cell r="HM127">
            <v>8.5000000000000006E-2</v>
          </cell>
          <cell r="HN127">
            <v>8.5000000000000006E-2</v>
          </cell>
          <cell r="HO127">
            <v>8.5000000000000006E-2</v>
          </cell>
          <cell r="HP127">
            <v>8.5000000000000006E-2</v>
          </cell>
          <cell r="HQ127">
            <v>8.5000000000000006E-2</v>
          </cell>
          <cell r="HR127">
            <v>8.5000000000000006E-2</v>
          </cell>
          <cell r="HS127">
            <v>8.5000000000000006E-2</v>
          </cell>
          <cell r="HT127">
            <v>8.5000000000000006E-2</v>
          </cell>
          <cell r="HU127">
            <v>8.5000000000000006E-2</v>
          </cell>
          <cell r="HV127">
            <v>8.5000000000000006E-2</v>
          </cell>
          <cell r="HW127">
            <v>8.5000000000000006E-2</v>
          </cell>
          <cell r="HX127">
            <v>8.5000000000000006E-2</v>
          </cell>
          <cell r="HY127">
            <v>8.5000000000000006E-2</v>
          </cell>
          <cell r="HZ127">
            <v>8.5000000000000006E-2</v>
          </cell>
          <cell r="IA127">
            <v>8.5000000000000006E-2</v>
          </cell>
          <cell r="IB127">
            <v>8.5000000000000006E-2</v>
          </cell>
          <cell r="IC127">
            <v>8.5000000000000006E-2</v>
          </cell>
          <cell r="ID127">
            <v>8.5000000000000006E-2</v>
          </cell>
          <cell r="IE127">
            <v>8.5000000000000006E-2</v>
          </cell>
          <cell r="IF127">
            <v>8.5000000000000006E-2</v>
          </cell>
          <cell r="IG127">
            <v>8.5000000000000006E-2</v>
          </cell>
          <cell r="IH127">
            <v>8.5000000000000006E-2</v>
          </cell>
          <cell r="II127">
            <v>8.5000000000000006E-2</v>
          </cell>
          <cell r="IJ127">
            <v>8.5000000000000006E-2</v>
          </cell>
          <cell r="IK127">
            <v>8.5000000000000006E-2</v>
          </cell>
          <cell r="IL127">
            <v>8.5000000000000006E-2</v>
          </cell>
          <cell r="IM127">
            <v>8.5000000000000006E-2</v>
          </cell>
          <cell r="IN127">
            <v>8.5000000000000006E-2</v>
          </cell>
          <cell r="IO127">
            <v>8.5000000000000006E-2</v>
          </cell>
          <cell r="IP127">
            <v>8.5000000000000006E-2</v>
          </cell>
          <cell r="IQ127">
            <v>8.5000000000000006E-2</v>
          </cell>
          <cell r="IR127">
            <v>8.5000000000000006E-2</v>
          </cell>
        </row>
        <row r="128">
          <cell r="B128" t="str">
            <v>COE</v>
          </cell>
          <cell r="C128">
            <v>8.5000000000000006E-2</v>
          </cell>
          <cell r="D128">
            <v>8.5000000000000006E-2</v>
          </cell>
          <cell r="E128">
            <v>8.5000000000000006E-2</v>
          </cell>
          <cell r="F128">
            <v>8.5000000000000006E-2</v>
          </cell>
          <cell r="G128">
            <v>8.5000000000000006E-2</v>
          </cell>
          <cell r="H128">
            <v>8.5000000000000006E-2</v>
          </cell>
          <cell r="I128">
            <v>8.5000000000000006E-2</v>
          </cell>
          <cell r="J128">
            <v>8.5000000000000006E-2</v>
          </cell>
          <cell r="K128">
            <v>8.5000000000000006E-2</v>
          </cell>
          <cell r="L128">
            <v>8.5000000000000006E-2</v>
          </cell>
          <cell r="M128">
            <v>8.5000000000000006E-2</v>
          </cell>
          <cell r="N128">
            <v>8.5000000000000006E-2</v>
          </cell>
          <cell r="O128">
            <v>8.5000000000000006E-2</v>
          </cell>
          <cell r="P128">
            <v>8.5000000000000006E-2</v>
          </cell>
          <cell r="Q128">
            <v>8.5000000000000006E-2</v>
          </cell>
          <cell r="R128">
            <v>8.5000000000000006E-2</v>
          </cell>
          <cell r="S128">
            <v>8.5000000000000006E-2</v>
          </cell>
          <cell r="T128">
            <v>8.5000000000000006E-2</v>
          </cell>
          <cell r="U128">
            <v>8.5000000000000006E-2</v>
          </cell>
          <cell r="V128">
            <v>8.5000000000000006E-2</v>
          </cell>
          <cell r="W128">
            <v>8.5000000000000006E-2</v>
          </cell>
          <cell r="X128">
            <v>8.5000000000000006E-2</v>
          </cell>
          <cell r="Y128">
            <v>8.5000000000000006E-2</v>
          </cell>
          <cell r="Z128">
            <v>8.5000000000000006E-2</v>
          </cell>
          <cell r="AA128">
            <v>8.5000000000000006E-2</v>
          </cell>
          <cell r="AB128">
            <v>8.5000000000000006E-2</v>
          </cell>
          <cell r="AC128">
            <v>8.5000000000000006E-2</v>
          </cell>
          <cell r="AD128">
            <v>8.5000000000000006E-2</v>
          </cell>
          <cell r="AE128">
            <v>8.5000000000000006E-2</v>
          </cell>
          <cell r="AF128">
            <v>8.5000000000000006E-2</v>
          </cell>
          <cell r="AG128">
            <v>8.5000000000000006E-2</v>
          </cell>
          <cell r="AH128">
            <v>8.5000000000000006E-2</v>
          </cell>
          <cell r="AI128">
            <v>8.5000000000000006E-2</v>
          </cell>
          <cell r="AJ128">
            <v>8.5000000000000006E-2</v>
          </cell>
          <cell r="AK128">
            <v>8.5000000000000006E-2</v>
          </cell>
          <cell r="AL128">
            <v>8.5000000000000006E-2</v>
          </cell>
          <cell r="AM128">
            <v>8.5000000000000006E-2</v>
          </cell>
          <cell r="AN128">
            <v>8.5000000000000006E-2</v>
          </cell>
          <cell r="AO128">
            <v>8.5000000000000006E-2</v>
          </cell>
          <cell r="AP128">
            <v>8.5000000000000006E-2</v>
          </cell>
          <cell r="AQ128">
            <v>8.5000000000000006E-2</v>
          </cell>
          <cell r="AR128">
            <v>8.5000000000000006E-2</v>
          </cell>
          <cell r="AS128">
            <v>8.5000000000000006E-2</v>
          </cell>
          <cell r="AT128">
            <v>8.5000000000000006E-2</v>
          </cell>
          <cell r="AU128">
            <v>8.5000000000000006E-2</v>
          </cell>
          <cell r="AV128">
            <v>8.5000000000000006E-2</v>
          </cell>
          <cell r="AW128">
            <v>8.5000000000000006E-2</v>
          </cell>
          <cell r="AX128">
            <v>8.5000000000000006E-2</v>
          </cell>
          <cell r="AY128">
            <v>8.5000000000000006E-2</v>
          </cell>
          <cell r="AZ128">
            <v>8.5000000000000006E-2</v>
          </cell>
          <cell r="BA128">
            <v>8.5000000000000006E-2</v>
          </cell>
          <cell r="BB128">
            <v>8.5000000000000006E-2</v>
          </cell>
          <cell r="BC128">
            <v>8.5000000000000006E-2</v>
          </cell>
          <cell r="BD128">
            <v>8.5000000000000006E-2</v>
          </cell>
          <cell r="BE128">
            <v>8.5000000000000006E-2</v>
          </cell>
          <cell r="BF128">
            <v>8.5000000000000006E-2</v>
          </cell>
          <cell r="BG128">
            <v>8.5000000000000006E-2</v>
          </cell>
          <cell r="BH128">
            <v>8.5000000000000006E-2</v>
          </cell>
          <cell r="BI128">
            <v>8.5000000000000006E-2</v>
          </cell>
          <cell r="BJ128">
            <v>8.5000000000000006E-2</v>
          </cell>
          <cell r="BK128">
            <v>8.5000000000000006E-2</v>
          </cell>
          <cell r="BL128">
            <v>8.5000000000000006E-2</v>
          </cell>
          <cell r="BM128">
            <v>8.5000000000000006E-2</v>
          </cell>
          <cell r="BN128">
            <v>8.5000000000000006E-2</v>
          </cell>
          <cell r="BO128">
            <v>8.5000000000000006E-2</v>
          </cell>
          <cell r="BP128">
            <v>8.5000000000000006E-2</v>
          </cell>
          <cell r="BQ128">
            <v>8.5000000000000006E-2</v>
          </cell>
          <cell r="BR128">
            <v>8.5000000000000006E-2</v>
          </cell>
          <cell r="BS128">
            <v>8.5000000000000006E-2</v>
          </cell>
          <cell r="BT128">
            <v>8.5000000000000006E-2</v>
          </cell>
          <cell r="BU128">
            <v>8.5000000000000006E-2</v>
          </cell>
          <cell r="BV128">
            <v>8.5000000000000006E-2</v>
          </cell>
          <cell r="BW128">
            <v>8.5000000000000006E-2</v>
          </cell>
          <cell r="BX128">
            <v>8.5000000000000006E-2</v>
          </cell>
          <cell r="BY128">
            <v>8.5000000000000006E-2</v>
          </cell>
          <cell r="BZ128">
            <v>8.5000000000000006E-2</v>
          </cell>
          <cell r="CA128">
            <v>8.5000000000000006E-2</v>
          </cell>
          <cell r="CB128">
            <v>8.5000000000000006E-2</v>
          </cell>
          <cell r="CC128">
            <v>8.5000000000000006E-2</v>
          </cell>
          <cell r="CD128">
            <v>8.5000000000000006E-2</v>
          </cell>
          <cell r="CE128">
            <v>8.5000000000000006E-2</v>
          </cell>
          <cell r="CF128">
            <v>8.5000000000000006E-2</v>
          </cell>
          <cell r="CG128">
            <v>8.5000000000000006E-2</v>
          </cell>
          <cell r="CH128">
            <v>8.5000000000000006E-2</v>
          </cell>
          <cell r="CI128">
            <v>8.5000000000000006E-2</v>
          </cell>
          <cell r="CJ128">
            <v>8.5000000000000006E-2</v>
          </cell>
          <cell r="CK128">
            <v>8.5000000000000006E-2</v>
          </cell>
          <cell r="CL128">
            <v>8.5000000000000006E-2</v>
          </cell>
          <cell r="CM128">
            <v>8.5000000000000006E-2</v>
          </cell>
          <cell r="CN128">
            <v>8.5000000000000006E-2</v>
          </cell>
          <cell r="CO128">
            <v>8.5000000000000006E-2</v>
          </cell>
          <cell r="CP128">
            <v>8.5000000000000006E-2</v>
          </cell>
          <cell r="CQ128">
            <v>8.5000000000000006E-2</v>
          </cell>
          <cell r="CR128">
            <v>8.5000000000000006E-2</v>
          </cell>
          <cell r="CS128">
            <v>8.5000000000000006E-2</v>
          </cell>
          <cell r="CT128">
            <v>8.5000000000000006E-2</v>
          </cell>
          <cell r="CU128">
            <v>8.5000000000000006E-2</v>
          </cell>
          <cell r="CV128">
            <v>8.5000000000000006E-2</v>
          </cell>
          <cell r="CW128">
            <v>8.5000000000000006E-2</v>
          </cell>
          <cell r="CX128">
            <v>8.5000000000000006E-2</v>
          </cell>
          <cell r="CY128">
            <v>8.5000000000000006E-2</v>
          </cell>
          <cell r="CZ128">
            <v>8.5000000000000006E-2</v>
          </cell>
          <cell r="DA128">
            <v>8.5000000000000006E-2</v>
          </cell>
          <cell r="DB128">
            <v>8.5000000000000006E-2</v>
          </cell>
          <cell r="DC128">
            <v>8.5000000000000006E-2</v>
          </cell>
          <cell r="DD128">
            <v>8.5000000000000006E-2</v>
          </cell>
          <cell r="DE128">
            <v>8.5000000000000006E-2</v>
          </cell>
          <cell r="DF128">
            <v>8.5000000000000006E-2</v>
          </cell>
          <cell r="DG128">
            <v>8.5000000000000006E-2</v>
          </cell>
          <cell r="DH128">
            <v>8.5000000000000006E-2</v>
          </cell>
          <cell r="DI128">
            <v>8.5000000000000006E-2</v>
          </cell>
          <cell r="DJ128">
            <v>8.5000000000000006E-2</v>
          </cell>
          <cell r="DK128">
            <v>8.5000000000000006E-2</v>
          </cell>
          <cell r="DL128">
            <v>8.5000000000000006E-2</v>
          </cell>
          <cell r="DM128">
            <v>8.5000000000000006E-2</v>
          </cell>
          <cell r="DN128">
            <v>8.5000000000000006E-2</v>
          </cell>
          <cell r="DO128">
            <v>8.5000000000000006E-2</v>
          </cell>
          <cell r="DP128">
            <v>8.5000000000000006E-2</v>
          </cell>
          <cell r="DQ128">
            <v>8.5000000000000006E-2</v>
          </cell>
          <cell r="DR128">
            <v>8.5000000000000006E-2</v>
          </cell>
          <cell r="DS128">
            <v>8.5000000000000006E-2</v>
          </cell>
          <cell r="DT128">
            <v>8.5000000000000006E-2</v>
          </cell>
          <cell r="DU128">
            <v>8.5000000000000006E-2</v>
          </cell>
          <cell r="DV128">
            <v>8.5000000000000006E-2</v>
          </cell>
          <cell r="DW128">
            <v>8.5000000000000006E-2</v>
          </cell>
          <cell r="DX128">
            <v>8.5000000000000006E-2</v>
          </cell>
          <cell r="DY128">
            <v>8.5000000000000006E-2</v>
          </cell>
          <cell r="DZ128">
            <v>8.5000000000000006E-2</v>
          </cell>
          <cell r="EA128">
            <v>8.5000000000000006E-2</v>
          </cell>
          <cell r="EB128">
            <v>8.5000000000000006E-2</v>
          </cell>
          <cell r="EC128">
            <v>8.5000000000000006E-2</v>
          </cell>
          <cell r="ED128">
            <v>8.5000000000000006E-2</v>
          </cell>
          <cell r="EE128">
            <v>8.5000000000000006E-2</v>
          </cell>
          <cell r="EF128">
            <v>8.5000000000000006E-2</v>
          </cell>
          <cell r="EG128">
            <v>8.5000000000000006E-2</v>
          </cell>
          <cell r="EH128">
            <v>8.5000000000000006E-2</v>
          </cell>
          <cell r="EI128">
            <v>8.5000000000000006E-2</v>
          </cell>
          <cell r="EJ128">
            <v>8.5000000000000006E-2</v>
          </cell>
          <cell r="EK128">
            <v>8.5000000000000006E-2</v>
          </cell>
          <cell r="EL128">
            <v>8.5000000000000006E-2</v>
          </cell>
          <cell r="EM128">
            <v>8.5000000000000006E-2</v>
          </cell>
          <cell r="EN128">
            <v>8.5000000000000006E-2</v>
          </cell>
          <cell r="EO128">
            <v>8.5000000000000006E-2</v>
          </cell>
          <cell r="EP128">
            <v>8.5000000000000006E-2</v>
          </cell>
          <cell r="EQ128">
            <v>8.5000000000000006E-2</v>
          </cell>
          <cell r="ER128">
            <v>8.5000000000000006E-2</v>
          </cell>
          <cell r="ES128">
            <v>8.5000000000000006E-2</v>
          </cell>
          <cell r="ET128">
            <v>8.5000000000000006E-2</v>
          </cell>
          <cell r="EU128">
            <v>8.5000000000000006E-2</v>
          </cell>
          <cell r="EV128">
            <v>8.5000000000000006E-2</v>
          </cell>
          <cell r="EW128">
            <v>8.5000000000000006E-2</v>
          </cell>
          <cell r="EX128">
            <v>8.5000000000000006E-2</v>
          </cell>
          <cell r="EY128">
            <v>8.5000000000000006E-2</v>
          </cell>
          <cell r="EZ128">
            <v>8.5000000000000006E-2</v>
          </cell>
          <cell r="FA128">
            <v>8.5000000000000006E-2</v>
          </cell>
          <cell r="FB128">
            <v>8.5000000000000006E-2</v>
          </cell>
          <cell r="FC128">
            <v>8.5000000000000006E-2</v>
          </cell>
          <cell r="FD128">
            <v>8.5000000000000006E-2</v>
          </cell>
          <cell r="FE128">
            <v>8.5000000000000006E-2</v>
          </cell>
          <cell r="FF128">
            <v>8.5000000000000006E-2</v>
          </cell>
          <cell r="FG128">
            <v>8.5000000000000006E-2</v>
          </cell>
          <cell r="FH128">
            <v>8.5000000000000006E-2</v>
          </cell>
          <cell r="FI128">
            <v>8.5000000000000006E-2</v>
          </cell>
          <cell r="FJ128">
            <v>8.5000000000000006E-2</v>
          </cell>
          <cell r="FK128">
            <v>8.5000000000000006E-2</v>
          </cell>
          <cell r="FL128">
            <v>8.5000000000000006E-2</v>
          </cell>
          <cell r="FM128">
            <v>8.5000000000000006E-2</v>
          </cell>
          <cell r="FN128">
            <v>8.5000000000000006E-2</v>
          </cell>
          <cell r="FO128">
            <v>8.5000000000000006E-2</v>
          </cell>
          <cell r="FP128">
            <v>8.5000000000000006E-2</v>
          </cell>
          <cell r="FQ128">
            <v>8.5000000000000006E-2</v>
          </cell>
          <cell r="FR128">
            <v>8.5000000000000006E-2</v>
          </cell>
          <cell r="FS128">
            <v>8.5000000000000006E-2</v>
          </cell>
          <cell r="FT128">
            <v>8.5000000000000006E-2</v>
          </cell>
          <cell r="FU128">
            <v>8.5000000000000006E-2</v>
          </cell>
          <cell r="FV128">
            <v>8.5000000000000006E-2</v>
          </cell>
          <cell r="FW128">
            <v>8.5000000000000006E-2</v>
          </cell>
          <cell r="FX128">
            <v>8.5000000000000006E-2</v>
          </cell>
          <cell r="FY128">
            <v>8.5000000000000006E-2</v>
          </cell>
          <cell r="FZ128">
            <v>8.5000000000000006E-2</v>
          </cell>
          <cell r="GA128">
            <v>8.5000000000000006E-2</v>
          </cell>
          <cell r="GB128">
            <v>8.5000000000000006E-2</v>
          </cell>
          <cell r="GC128">
            <v>8.5000000000000006E-2</v>
          </cell>
          <cell r="GD128">
            <v>8.5000000000000006E-2</v>
          </cell>
          <cell r="GE128">
            <v>8.5000000000000006E-2</v>
          </cell>
          <cell r="GF128">
            <v>8.5000000000000006E-2</v>
          </cell>
          <cell r="GG128">
            <v>8.5000000000000006E-2</v>
          </cell>
          <cell r="GH128">
            <v>8.5000000000000006E-2</v>
          </cell>
          <cell r="GI128">
            <v>8.5000000000000006E-2</v>
          </cell>
          <cell r="GJ128">
            <v>8.5000000000000006E-2</v>
          </cell>
          <cell r="GK128">
            <v>8.5000000000000006E-2</v>
          </cell>
          <cell r="GL128">
            <v>8.5000000000000006E-2</v>
          </cell>
          <cell r="GM128">
            <v>8.5000000000000006E-2</v>
          </cell>
          <cell r="GN128">
            <v>8.5000000000000006E-2</v>
          </cell>
          <cell r="GO128">
            <v>8.5000000000000006E-2</v>
          </cell>
          <cell r="GP128">
            <v>8.5000000000000006E-2</v>
          </cell>
          <cell r="GQ128">
            <v>8.5000000000000006E-2</v>
          </cell>
          <cell r="GR128">
            <v>8.5000000000000006E-2</v>
          </cell>
          <cell r="GS128">
            <v>8.5000000000000006E-2</v>
          </cell>
          <cell r="GT128">
            <v>8.5000000000000006E-2</v>
          </cell>
          <cell r="GU128">
            <v>8.5000000000000006E-2</v>
          </cell>
          <cell r="GV128">
            <v>8.5000000000000006E-2</v>
          </cell>
          <cell r="GW128">
            <v>8.5000000000000006E-2</v>
          </cell>
          <cell r="GX128">
            <v>8.5000000000000006E-2</v>
          </cell>
          <cell r="GY128">
            <v>8.5000000000000006E-2</v>
          </cell>
          <cell r="GZ128">
            <v>8.5000000000000006E-2</v>
          </cell>
          <cell r="HA128">
            <v>8.5000000000000006E-2</v>
          </cell>
          <cell r="HB128">
            <v>8.5000000000000006E-2</v>
          </cell>
          <cell r="HC128">
            <v>8.5000000000000006E-2</v>
          </cell>
          <cell r="HD128">
            <v>8.5000000000000006E-2</v>
          </cell>
          <cell r="HE128">
            <v>8.5000000000000006E-2</v>
          </cell>
          <cell r="HF128">
            <v>8.5000000000000006E-2</v>
          </cell>
          <cell r="HG128">
            <v>8.5000000000000006E-2</v>
          </cell>
          <cell r="HH128">
            <v>8.5000000000000006E-2</v>
          </cell>
          <cell r="HI128">
            <v>8.5000000000000006E-2</v>
          </cell>
          <cell r="HJ128">
            <v>8.5000000000000006E-2</v>
          </cell>
          <cell r="HK128">
            <v>8.5000000000000006E-2</v>
          </cell>
          <cell r="HL128">
            <v>8.5000000000000006E-2</v>
          </cell>
          <cell r="HM128">
            <v>8.5000000000000006E-2</v>
          </cell>
          <cell r="HN128">
            <v>8.5000000000000006E-2</v>
          </cell>
          <cell r="HO128">
            <v>8.5000000000000006E-2</v>
          </cell>
          <cell r="HP128">
            <v>8.5000000000000006E-2</v>
          </cell>
          <cell r="HQ128">
            <v>8.5000000000000006E-2</v>
          </cell>
          <cell r="HR128">
            <v>8.5000000000000006E-2</v>
          </cell>
          <cell r="HS128">
            <v>8.5000000000000006E-2</v>
          </cell>
          <cell r="HT128">
            <v>8.5000000000000006E-2</v>
          </cell>
          <cell r="HU128">
            <v>8.5000000000000006E-2</v>
          </cell>
          <cell r="HV128">
            <v>8.5000000000000006E-2</v>
          </cell>
          <cell r="HW128">
            <v>8.5000000000000006E-2</v>
          </cell>
          <cell r="HX128">
            <v>8.5000000000000006E-2</v>
          </cell>
          <cell r="HY128">
            <v>8.5000000000000006E-2</v>
          </cell>
          <cell r="HZ128">
            <v>8.5000000000000006E-2</v>
          </cell>
          <cell r="IA128">
            <v>8.5000000000000006E-2</v>
          </cell>
          <cell r="IB128">
            <v>8.5000000000000006E-2</v>
          </cell>
          <cell r="IC128">
            <v>8.5000000000000006E-2</v>
          </cell>
          <cell r="ID128">
            <v>8.5000000000000006E-2</v>
          </cell>
          <cell r="IE128">
            <v>8.5000000000000006E-2</v>
          </cell>
          <cell r="IF128">
            <v>8.5000000000000006E-2</v>
          </cell>
          <cell r="IG128">
            <v>8.5000000000000006E-2</v>
          </cell>
          <cell r="IH128">
            <v>8.5000000000000006E-2</v>
          </cell>
          <cell r="II128">
            <v>8.5000000000000006E-2</v>
          </cell>
          <cell r="IJ128">
            <v>8.5000000000000006E-2</v>
          </cell>
          <cell r="IK128">
            <v>8.5000000000000006E-2</v>
          </cell>
          <cell r="IL128">
            <v>8.5000000000000006E-2</v>
          </cell>
          <cell r="IM128">
            <v>8.5000000000000006E-2</v>
          </cell>
          <cell r="IN128">
            <v>8.5000000000000006E-2</v>
          </cell>
          <cell r="IO128">
            <v>8.5000000000000006E-2</v>
          </cell>
          <cell r="IP128">
            <v>8.5000000000000006E-2</v>
          </cell>
          <cell r="IQ128">
            <v>8.5000000000000006E-2</v>
          </cell>
          <cell r="IR128">
            <v>8.5000000000000006E-2</v>
          </cell>
        </row>
        <row r="129">
          <cell r="B129" t="str">
            <v>PV of Growth in Each Year</v>
          </cell>
          <cell r="D129">
            <v>-11417.271117375982</v>
          </cell>
          <cell r="E129">
            <v>30922.494439502978</v>
          </cell>
          <cell r="F129">
            <v>7584.589922274834</v>
          </cell>
          <cell r="G129">
            <v>1306.4311939576148</v>
          </cell>
          <cell r="H129">
            <v>568.99673596087212</v>
          </cell>
          <cell r="I129">
            <v>1743.8184441004753</v>
          </cell>
          <cell r="J129">
            <v>-1388.0360285180718</v>
          </cell>
          <cell r="K129">
            <v>1476.9630299427558</v>
          </cell>
          <cell r="L129">
            <v>2635.6332636459279</v>
          </cell>
          <cell r="M129">
            <v>-762.64238321344089</v>
          </cell>
          <cell r="N129">
            <v>2262.3552413921861</v>
          </cell>
          <cell r="O129">
            <v>1566.5943962318515</v>
          </cell>
          <cell r="P129">
            <v>1209.7059420343844</v>
          </cell>
          <cell r="Q129">
            <v>938.4835354243337</v>
          </cell>
          <cell r="R129">
            <v>553.98069578630464</v>
          </cell>
          <cell r="S129">
            <v>-1.1602870045947414E-11</v>
          </cell>
          <cell r="T129">
            <v>-5.3469447216347531E-12</v>
          </cell>
          <cell r="U129">
            <v>1.971223860510508E-11</v>
          </cell>
          <cell r="V129">
            <v>-1.5896966617020225E-11</v>
          </cell>
          <cell r="W129">
            <v>1.4651582135502512E-11</v>
          </cell>
          <cell r="X129">
            <v>-1.929108905266954E-12</v>
          </cell>
          <cell r="Y129">
            <v>-8.8899027892486359E-12</v>
          </cell>
          <cell r="Z129">
            <v>0</v>
          </cell>
          <cell r="AA129">
            <v>3.0206299693766733E-12</v>
          </cell>
          <cell r="AB129">
            <v>-1.3919953775929371E-12</v>
          </cell>
          <cell r="AC129">
            <v>-5.1317801938910122E-12</v>
          </cell>
          <cell r="AD129">
            <v>5.9121891634689084E-12</v>
          </cell>
          <cell r="AE129">
            <v>1.0898044540956513E-12</v>
          </cell>
          <cell r="AF129">
            <v>-3.0132842048727686E-12</v>
          </cell>
          <cell r="AG129">
            <v>1.8514803102136828E-12</v>
          </cell>
          <cell r="AH129">
            <v>0</v>
          </cell>
          <cell r="AI129">
            <v>-7.8637486895609721E-13</v>
          </cell>
          <cell r="AJ129">
            <v>-7.247694644756656E-13</v>
          </cell>
          <cell r="AK129">
            <v>2.0039708695179692E-12</v>
          </cell>
          <cell r="AL129">
            <v>0</v>
          </cell>
          <cell r="AM129">
            <v>-2.2697115329332058E-12</v>
          </cell>
          <cell r="AN129">
            <v>4.18380006070637E-12</v>
          </cell>
          <cell r="AO129">
            <v>-3.3740323070212658E-12</v>
          </cell>
          <cell r="AP129">
            <v>4.4424388505875783E-13</v>
          </cell>
          <cell r="AQ129">
            <v>-2.0472068435887459E-12</v>
          </cell>
          <cell r="AR129">
            <v>1.8868265839527616E-12</v>
          </cell>
          <cell r="AS129">
            <v>2.4346149470358212E-12</v>
          </cell>
          <cell r="AT129">
            <v>3.2055496340168808E-13</v>
          </cell>
          <cell r="AU129">
            <v>-3.5453083509864131E-12</v>
          </cell>
          <cell r="AV129">
            <v>0</v>
          </cell>
          <cell r="AW129">
            <v>1.2548253841967384E-12</v>
          </cell>
          <cell r="AX129">
            <v>2.3130421828511303E-13</v>
          </cell>
          <cell r="AY129">
            <v>1.4922852792587941E-12</v>
          </cell>
          <cell r="AZ129">
            <v>-3.5366866394546799E-12</v>
          </cell>
          <cell r="BA129">
            <v>7.2435978278641673E-13</v>
          </cell>
          <cell r="BB129">
            <v>1.5021285818151501E-12</v>
          </cell>
          <cell r="BC129">
            <v>-1.8459337410938866E-12</v>
          </cell>
          <cell r="BD129">
            <v>1.8430982053932817E-12</v>
          </cell>
          <cell r="BE129">
            <v>1.306698479541497E-13</v>
          </cell>
          <cell r="BF129">
            <v>-1.0838973563017024E-12</v>
          </cell>
          <cell r="BG129">
            <v>6.6598915901794332E-13</v>
          </cell>
          <cell r="BH129">
            <v>-8.1841985747212692E-13</v>
          </cell>
          <cell r="BI129">
            <v>6.6001601409042494E-13</v>
          </cell>
          <cell r="BJ129">
            <v>3.4760553737481236E-13</v>
          </cell>
          <cell r="BK129">
            <v>8.0093441791431426E-14</v>
          </cell>
          <cell r="BL129">
            <v>-2.9527536144306515E-13</v>
          </cell>
          <cell r="BM129">
            <v>-2.7214319027010616E-13</v>
          </cell>
          <cell r="BN129">
            <v>-3.7623482525821128E-13</v>
          </cell>
          <cell r="BO129">
            <v>1.1558673587041822E-13</v>
          </cell>
          <cell r="BP129">
            <v>5.326577689881024E-13</v>
          </cell>
          <cell r="BQ129">
            <v>9.8185763868774631E-14</v>
          </cell>
          <cell r="BR129">
            <v>9.049379158412408E-14</v>
          </cell>
          <cell r="BS129">
            <v>1.6680883241313197E-13</v>
          </cell>
          <cell r="BT129">
            <v>-9.9931558588512242E-13</v>
          </cell>
          <cell r="BU129">
            <v>1.0627248343337001E-12</v>
          </cell>
          <cell r="BV129">
            <v>-7.1827792182308448E-13</v>
          </cell>
          <cell r="BW129">
            <v>-1.2036496385807867E-13</v>
          </cell>
          <cell r="BX129">
            <v>5.5467725280220593E-14</v>
          </cell>
          <cell r="BY129">
            <v>-1.0224465489441583E-13</v>
          </cell>
          <cell r="BZ129">
            <v>4.7117352485905914E-14</v>
          </cell>
          <cell r="CA129">
            <v>4.3426131323415597E-14</v>
          </cell>
          <cell r="CB129">
            <v>1.600963366761865E-13</v>
          </cell>
          <cell r="CC129">
            <v>-1.4755422735132398E-13</v>
          </cell>
          <cell r="CD129">
            <v>1.6999334948309215E-13</v>
          </cell>
          <cell r="CE129">
            <v>-1.8801107776931851E-13</v>
          </cell>
          <cell r="CF129">
            <v>-1.1552139955104058E-13</v>
          </cell>
          <cell r="CG129">
            <v>1.8632483798554929E-13</v>
          </cell>
          <cell r="CH129">
            <v>7.3597697690144544E-14</v>
          </cell>
          <cell r="CI129">
            <v>-1.130532990632021E-13</v>
          </cell>
          <cell r="CJ129">
            <v>1.875538601970173E-13</v>
          </cell>
          <cell r="CK129">
            <v>-1.7286070064241228E-13</v>
          </cell>
          <cell r="CL129">
            <v>1.4161654942542735E-13</v>
          </cell>
          <cell r="CM129">
            <v>-1.6315270671132187E-14</v>
          </cell>
          <cell r="CN129">
            <v>-9.0222694955569682E-14</v>
          </cell>
          <cell r="CO129">
            <v>-2.7718185854245682E-14</v>
          </cell>
          <cell r="CP129">
            <v>1.5328029043822495E-13</v>
          </cell>
          <cell r="CQ129">
            <v>-1.1772679757160138E-13</v>
          </cell>
          <cell r="CR129">
            <v>-2.1700792179097027E-14</v>
          </cell>
          <cell r="CS129">
            <v>8.0002920475933735E-14</v>
          </cell>
          <cell r="CT129">
            <v>-9.2169263221121814E-14</v>
          </cell>
          <cell r="CU129">
            <v>1.0193835563626376E-13</v>
          </cell>
          <cell r="CV129">
            <v>-7.8293667923397677E-14</v>
          </cell>
          <cell r="CW129">
            <v>0</v>
          </cell>
          <cell r="CX129">
            <v>2.6602788056114227E-14</v>
          </cell>
          <cell r="CY129">
            <v>-4.9037397338459415E-14</v>
          </cell>
          <cell r="CZ129">
            <v>9.0391515831261578E-14</v>
          </cell>
          <cell r="DA129">
            <v>-1.0413769104984053E-13</v>
          </cell>
          <cell r="DB129">
            <v>-9.5979438755613377E-15</v>
          </cell>
          <cell r="DC129">
            <v>1.7692062443431043E-14</v>
          </cell>
          <cell r="DD129">
            <v>-8.1530241674797442E-15</v>
          </cell>
          <cell r="DE129">
            <v>3.0057231953842373E-14</v>
          </cell>
          <cell r="DF129">
            <v>4.8479406377165107E-14</v>
          </cell>
          <cell r="DG129">
            <v>0</v>
          </cell>
          <cell r="DH129">
            <v>-5.8830125782685219E-14</v>
          </cell>
          <cell r="DI129">
            <v>0</v>
          </cell>
          <cell r="DJ129">
            <v>3.4981492958338169E-14</v>
          </cell>
          <cell r="DK129">
            <v>-3.6846865525570164E-14</v>
          </cell>
          <cell r="DL129">
            <v>4.2450305905034749E-15</v>
          </cell>
          <cell r="DM129">
            <v>0</v>
          </cell>
          <cell r="DN129">
            <v>1.0817891033158848E-14</v>
          </cell>
          <cell r="DO129">
            <v>1.6617344136956759E-14</v>
          </cell>
          <cell r="DP129">
            <v>9.1893147301143361E-15</v>
          </cell>
          <cell r="DQ129">
            <v>-3.3877657991204929E-14</v>
          </cell>
          <cell r="DR129">
            <v>2.6019706598467683E-14</v>
          </cell>
          <cell r="DS129">
            <v>-1.9185037123294146E-14</v>
          </cell>
          <cell r="DT129">
            <v>1.1051288665492022E-14</v>
          </cell>
          <cell r="DU129">
            <v>-1.22226234088391E-14</v>
          </cell>
          <cell r="DV129">
            <v>-5.6325453496954378E-15</v>
          </cell>
          <cell r="DW129">
            <v>2.0765144146342631E-14</v>
          </cell>
          <cell r="DX129">
            <v>-1.2758921134465518E-14</v>
          </cell>
          <cell r="DY129">
            <v>-2.9398435793699354E-15</v>
          </cell>
          <cell r="DZ129">
            <v>5.4190665057510332E-15</v>
          </cell>
          <cell r="EA129">
            <v>-4.9945313417060214E-15</v>
          </cell>
          <cell r="EB129">
            <v>4.6032546928166097E-15</v>
          </cell>
          <cell r="EC129">
            <v>1.0606577633217996E-14</v>
          </cell>
          <cell r="ED129">
            <v>-1.564103614115096E-14</v>
          </cell>
          <cell r="EE129">
            <v>0</v>
          </cell>
          <cell r="EF129">
            <v>8.3039755256806068E-15</v>
          </cell>
          <cell r="EG129">
            <v>-1.3776180595599163E-14</v>
          </cell>
          <cell r="EH129">
            <v>7.0538559117251218E-15</v>
          </cell>
          <cell r="EI129">
            <v>1.1702249438806654E-14</v>
          </cell>
          <cell r="EJ129">
            <v>-1.6777418550260436E-14</v>
          </cell>
          <cell r="EK129">
            <v>1.1045041836906145E-14</v>
          </cell>
          <cell r="EL129">
            <v>-2.0359524123329301E-15</v>
          </cell>
          <cell r="EM129">
            <v>-9.3822691812577459E-16</v>
          </cell>
          <cell r="EN129">
            <v>4.3236263508100208E-15</v>
          </cell>
          <cell r="EO129">
            <v>7.9698181581751525E-16</v>
          </cell>
          <cell r="EP129">
            <v>-8.8145454283964805E-15</v>
          </cell>
          <cell r="EQ129">
            <v>2.7080016677101331E-15</v>
          </cell>
          <cell r="ER129">
            <v>4.3677446253389248E-15</v>
          </cell>
          <cell r="ES129">
            <v>-3.4504894999385839E-15</v>
          </cell>
          <cell r="ET129">
            <v>3.1801746543212756E-15</v>
          </cell>
          <cell r="EU129">
            <v>-2.9310365477615447E-15</v>
          </cell>
          <cell r="EV129">
            <v>2.701416173052115E-15</v>
          </cell>
          <cell r="EW129">
            <v>-8.2992816376409082E-16</v>
          </cell>
          <cell r="EX129">
            <v>-3.8245537500649336E-16</v>
          </cell>
          <cell r="EY129">
            <v>-1.0574802995571247E-15</v>
          </cell>
          <cell r="EZ129">
            <v>1.6243937013166279E-15</v>
          </cell>
          <cell r="FA129">
            <v>0</v>
          </cell>
          <cell r="FB129">
            <v>1.3798498174237106E-15</v>
          </cell>
          <cell r="FC129">
            <v>0</v>
          </cell>
          <cell r="FD129">
            <v>-3.2819380227113676E-15</v>
          </cell>
          <cell r="FE129">
            <v>2.160591193358373E-15</v>
          </cell>
          <cell r="FF129">
            <v>7.9653131552382406E-16</v>
          </cell>
          <cell r="FG129">
            <v>-7.341302447224186E-16</v>
          </cell>
          <cell r="FH129">
            <v>3.3830886853567677E-16</v>
          </cell>
          <cell r="FI129">
            <v>-6.2361081757728435E-16</v>
          </cell>
          <cell r="FJ129">
            <v>-5.7475651389611452E-16</v>
          </cell>
          <cell r="FK129">
            <v>5.2972950589503658E-16</v>
          </cell>
          <cell r="FL129">
            <v>0</v>
          </cell>
          <cell r="FM129">
            <v>-8.9996305871016428E-16</v>
          </cell>
          <cell r="FN129">
            <v>-4.1472952014293279E-16</v>
          </cell>
          <cell r="FO129">
            <v>-1.9111959453591376E-16</v>
          </cell>
          <cell r="FP129">
            <v>1.2330296421671856E-15</v>
          </cell>
          <cell r="FQ129">
            <v>-9.7408529993457708E-16</v>
          </cell>
          <cell r="FR129">
            <v>4.4888723499289265E-16</v>
          </cell>
          <cell r="FS129">
            <v>-2.7581396927366689E-16</v>
          </cell>
          <cell r="FT129">
            <v>1.0168256931748086E-15</v>
          </cell>
          <cell r="FU129">
            <v>-1.1714581718603786E-15</v>
          </cell>
          <cell r="FV129">
            <v>1.1876534461257294E-15</v>
          </cell>
          <cell r="FW129">
            <v>-1.1941216048184964E-15</v>
          </cell>
          <cell r="FX129">
            <v>1.2840017256112864E-15</v>
          </cell>
          <cell r="FY129">
            <v>-1.1834117286739967E-15</v>
          </cell>
          <cell r="FZ129">
            <v>6.2325831661566652E-16</v>
          </cell>
          <cell r="GA129">
            <v>-2.1541186058145159E-16</v>
          </cell>
          <cell r="GB129">
            <v>-6.6178759011198637E-17</v>
          </cell>
          <cell r="GC129">
            <v>1.8298274380976582E-16</v>
          </cell>
          <cell r="GD129">
            <v>2.8107948357874931E-16</v>
          </cell>
          <cell r="GE129">
            <v>1.5543565912188906E-16</v>
          </cell>
          <cell r="GF129">
            <v>-2.387644533362351E-16</v>
          </cell>
          <cell r="GG129">
            <v>-1.7604752319722404E-16</v>
          </cell>
          <cell r="GH129">
            <v>-2.4338367262289038E-16</v>
          </cell>
          <cell r="GI129">
            <v>5.9817799722983827E-16</v>
          </cell>
          <cell r="GJ129">
            <v>-3.7902983695439056E-16</v>
          </cell>
          <cell r="GK129">
            <v>1.9054704832227429E-16</v>
          </cell>
          <cell r="GL129">
            <v>-5.8539799791789332E-17</v>
          </cell>
          <cell r="GM129">
            <v>1.6186119758098433E-16</v>
          </cell>
          <cell r="GN129">
            <v>-4.9726942421193343E-17</v>
          </cell>
          <cell r="GO129">
            <v>-4.5831283337505391E-17</v>
          </cell>
          <cell r="GP129">
            <v>-4.2240814135949666E-17</v>
          </cell>
          <cell r="GQ129">
            <v>7.7863251863501702E-17</v>
          </cell>
          <cell r="GR129">
            <v>3.588168288640631E-17</v>
          </cell>
          <cell r="GS129">
            <v>-1.3228270188536892E-16</v>
          </cell>
          <cell r="GT129">
            <v>-3.0479885227043524E-17</v>
          </cell>
          <cell r="GU129">
            <v>2.8092060117090806E-17</v>
          </cell>
          <cell r="GV129">
            <v>0</v>
          </cell>
          <cell r="GW129">
            <v>2.3862948983491525E-17</v>
          </cell>
          <cell r="GX129">
            <v>6.5980504101819882E-17</v>
          </cell>
          <cell r="GY129">
            <v>4.0541016345204243E-17</v>
          </cell>
          <cell r="GZ129">
            <v>-1.6814246410453367E-16</v>
          </cell>
          <cell r="HA129">
            <v>1.721889033328558E-16</v>
          </cell>
          <cell r="HB129">
            <v>-3.1739890015272958E-17</v>
          </cell>
          <cell r="HC129">
            <v>-1.6089345169032377E-16</v>
          </cell>
          <cell r="HD129">
            <v>2.6961617375839761E-17</v>
          </cell>
          <cell r="HE129">
            <v>0</v>
          </cell>
          <cell r="HF129">
            <v>2.2902688420514142E-17</v>
          </cell>
          <cell r="HG129">
            <v>0</v>
          </cell>
          <cell r="HH129">
            <v>-4.8637024401694979E-17</v>
          </cell>
          <cell r="HI129">
            <v>9.8618851321409166E-17</v>
          </cell>
          <cell r="HJ129">
            <v>1.6525991004844434E-17</v>
          </cell>
          <cell r="HK129">
            <v>-9.9003632747915988E-17</v>
          </cell>
          <cell r="HL129">
            <v>9.1247587786097683E-17</v>
          </cell>
          <cell r="HM129">
            <v>-5.1753328769144374E-17</v>
          </cell>
          <cell r="HN129">
            <v>2.3849460262278514E-17</v>
          </cell>
          <cell r="HO129">
            <v>5.4952673415388283E-18</v>
          </cell>
          <cell r="HP129">
            <v>-1.5194287580291691E-17</v>
          </cell>
          <cell r="HQ129">
            <v>-3.7343871165079431E-17</v>
          </cell>
          <cell r="HR129">
            <v>1.7209157218930611E-17</v>
          </cell>
          <cell r="HS129">
            <v>0</v>
          </cell>
          <cell r="HT129">
            <v>2.1927614371420859E-17</v>
          </cell>
          <cell r="HU129">
            <v>-4.0419565661605269E-17</v>
          </cell>
          <cell r="HV129">
            <v>1.8626527954656806E-17</v>
          </cell>
          <cell r="HW129">
            <v>-1.7167306870651436E-17</v>
          </cell>
          <cell r="HX129">
            <v>1.0548268430507795E-17</v>
          </cell>
          <cell r="HY129">
            <v>9.7219063875647889E-18</v>
          </cell>
          <cell r="HZ129">
            <v>1.7920564769704678E-17</v>
          </cell>
          <cell r="IA129">
            <v>-8.2583247786657509E-18</v>
          </cell>
          <cell r="IB129">
            <v>-1.1417038864514866E-17</v>
          </cell>
          <cell r="IC129">
            <v>1.7537694108317765E-17</v>
          </cell>
          <cell r="ID129">
            <v>-6.4655093486885759E-18</v>
          </cell>
          <cell r="IE129">
            <v>-1.1917989582836087E-17</v>
          </cell>
          <cell r="IF129">
            <v>8.2382416471217179E-18</v>
          </cell>
          <cell r="IG129">
            <v>-1.0123799259135754E-17</v>
          </cell>
          <cell r="IH129">
            <v>-4.6653452807077204E-18</v>
          </cell>
          <cell r="II129">
            <v>1.2899572204721808E-17</v>
          </cell>
          <cell r="IJ129">
            <v>-3.9630022134321991E-18</v>
          </cell>
          <cell r="IK129">
            <v>-3.6525366022416584E-18</v>
          </cell>
          <cell r="IL129">
            <v>1.1782376136263413E-17</v>
          </cell>
          <cell r="IM129">
            <v>-7.7566663174874368E-18</v>
          </cell>
          <cell r="IN129">
            <v>-7.1490012142741359E-18</v>
          </cell>
          <cell r="IO129">
            <v>2.6355764845250265E-18</v>
          </cell>
          <cell r="IP129">
            <v>1.214551375357155E-17</v>
          </cell>
          <cell r="IQ129">
            <v>0</v>
          </cell>
          <cell r="IR129">
            <v>-2.5511817301159683E-5</v>
          </cell>
        </row>
        <row r="130">
          <cell r="B130" t="str">
            <v>Round(ROE - COE)</v>
          </cell>
          <cell r="C130">
            <v>0.05</v>
          </cell>
          <cell r="D130">
            <v>0.04</v>
          </cell>
          <cell r="E130">
            <v>0.11</v>
          </cell>
          <cell r="F130">
            <v>0.14000000000000001</v>
          </cell>
          <cell r="G130">
            <v>0.13</v>
          </cell>
          <cell r="H130">
            <v>0.12</v>
          </cell>
          <cell r="I130">
            <v>0.11</v>
          </cell>
          <cell r="J130">
            <v>0.09</v>
          </cell>
          <cell r="K130">
            <v>0.09</v>
          </cell>
          <cell r="L130">
            <v>0.09</v>
          </cell>
          <cell r="M130">
            <v>0.08</v>
          </cell>
          <cell r="N130">
            <v>0.1</v>
          </cell>
          <cell r="O130">
            <v>0.12</v>
          </cell>
          <cell r="P130">
            <v>0.14000000000000001</v>
          </cell>
          <cell r="Q130">
            <v>0.16</v>
          </cell>
          <cell r="R130">
            <v>0.17</v>
          </cell>
          <cell r="S130">
            <v>0.16</v>
          </cell>
          <cell r="T130">
            <v>0.16</v>
          </cell>
          <cell r="U130">
            <v>0.15</v>
          </cell>
          <cell r="V130">
            <v>0.15</v>
          </cell>
          <cell r="W130">
            <v>0.14000000000000001</v>
          </cell>
          <cell r="X130">
            <v>0.14000000000000001</v>
          </cell>
          <cell r="Y130">
            <v>0.14000000000000001</v>
          </cell>
          <cell r="Z130">
            <v>0.13</v>
          </cell>
          <cell r="AA130">
            <v>0.13</v>
          </cell>
          <cell r="AB130">
            <v>0.13</v>
          </cell>
          <cell r="AC130">
            <v>0.12</v>
          </cell>
          <cell r="AD130">
            <v>0.12</v>
          </cell>
          <cell r="AE130">
            <v>0.12</v>
          </cell>
          <cell r="AF130">
            <v>0.11</v>
          </cell>
          <cell r="AG130">
            <v>0.11</v>
          </cell>
          <cell r="AH130">
            <v>0.11</v>
          </cell>
          <cell r="AI130">
            <v>0.11</v>
          </cell>
          <cell r="AJ130">
            <v>0.1</v>
          </cell>
          <cell r="AK130">
            <v>0.1</v>
          </cell>
          <cell r="AL130">
            <v>0.1</v>
          </cell>
          <cell r="AM130">
            <v>0.1</v>
          </cell>
          <cell r="AN130">
            <v>0.09</v>
          </cell>
          <cell r="AO130">
            <v>0.09</v>
          </cell>
          <cell r="AP130">
            <v>0.09</v>
          </cell>
          <cell r="AQ130">
            <v>0.09</v>
          </cell>
          <cell r="AR130">
            <v>0.08</v>
          </cell>
          <cell r="AS130">
            <v>0.08</v>
          </cell>
          <cell r="AT130">
            <v>0.08</v>
          </cell>
          <cell r="AU130">
            <v>0.08</v>
          </cell>
          <cell r="AV130">
            <v>0.08</v>
          </cell>
          <cell r="AW130">
            <v>7.0000000000000007E-2</v>
          </cell>
          <cell r="AX130">
            <v>7.0000000000000007E-2</v>
          </cell>
          <cell r="AY130">
            <v>7.0000000000000007E-2</v>
          </cell>
          <cell r="AZ130">
            <v>7.0000000000000007E-2</v>
          </cell>
          <cell r="BA130">
            <v>7.0000000000000007E-2</v>
          </cell>
          <cell r="BB130">
            <v>7.0000000000000007E-2</v>
          </cell>
          <cell r="BC130">
            <v>0.06</v>
          </cell>
          <cell r="BD130">
            <v>0.06</v>
          </cell>
          <cell r="BE130">
            <v>0.06</v>
          </cell>
          <cell r="BF130">
            <v>0.06</v>
          </cell>
          <cell r="BG130">
            <v>0.06</v>
          </cell>
          <cell r="BH130">
            <v>0.06</v>
          </cell>
          <cell r="BI130">
            <v>0.06</v>
          </cell>
          <cell r="BJ130">
            <v>0.05</v>
          </cell>
          <cell r="BK130">
            <v>0.05</v>
          </cell>
          <cell r="BL130">
            <v>0.05</v>
          </cell>
          <cell r="BM130">
            <v>0.05</v>
          </cell>
          <cell r="BN130">
            <v>0.05</v>
          </cell>
          <cell r="BO130">
            <v>0.05</v>
          </cell>
          <cell r="BP130">
            <v>0.05</v>
          </cell>
          <cell r="BQ130">
            <v>0.05</v>
          </cell>
          <cell r="BR130">
            <v>0.05</v>
          </cell>
          <cell r="BS130">
            <v>0.04</v>
          </cell>
          <cell r="BT130">
            <v>0.04</v>
          </cell>
          <cell r="BU130">
            <v>0.04</v>
          </cell>
          <cell r="BV130">
            <v>0.04</v>
          </cell>
          <cell r="BW130">
            <v>0.04</v>
          </cell>
          <cell r="BX130">
            <v>0.04</v>
          </cell>
          <cell r="BY130">
            <v>0.04</v>
          </cell>
          <cell r="BZ130">
            <v>0.04</v>
          </cell>
          <cell r="CA130">
            <v>0.04</v>
          </cell>
          <cell r="CB130">
            <v>0.04</v>
          </cell>
          <cell r="CC130">
            <v>0.04</v>
          </cell>
          <cell r="CD130">
            <v>0.03</v>
          </cell>
          <cell r="CE130">
            <v>0.03</v>
          </cell>
          <cell r="CF130">
            <v>0.03</v>
          </cell>
          <cell r="CG130">
            <v>0.03</v>
          </cell>
          <cell r="CH130">
            <v>0.03</v>
          </cell>
          <cell r="CI130">
            <v>0.03</v>
          </cell>
          <cell r="CJ130">
            <v>0.03</v>
          </cell>
          <cell r="CK130">
            <v>0.03</v>
          </cell>
          <cell r="CL130">
            <v>0.03</v>
          </cell>
          <cell r="CM130">
            <v>0.03</v>
          </cell>
          <cell r="CN130">
            <v>0.03</v>
          </cell>
          <cell r="CO130">
            <v>0.03</v>
          </cell>
          <cell r="CP130">
            <v>0.03</v>
          </cell>
          <cell r="CQ130">
            <v>0.03</v>
          </cell>
          <cell r="CR130">
            <v>0.03</v>
          </cell>
          <cell r="CS130">
            <v>0.02</v>
          </cell>
          <cell r="CT130">
            <v>0.02</v>
          </cell>
          <cell r="CU130">
            <v>0.02</v>
          </cell>
          <cell r="CV130">
            <v>0.02</v>
          </cell>
          <cell r="CW130">
            <v>0.02</v>
          </cell>
          <cell r="CX130">
            <v>0.02</v>
          </cell>
          <cell r="CY130">
            <v>0.02</v>
          </cell>
          <cell r="CZ130">
            <v>0.02</v>
          </cell>
          <cell r="DA130">
            <v>0.02</v>
          </cell>
          <cell r="DB130">
            <v>0.02</v>
          </cell>
          <cell r="DC130">
            <v>0.02</v>
          </cell>
          <cell r="DD130">
            <v>0.02</v>
          </cell>
          <cell r="DE130">
            <v>0.02</v>
          </cell>
          <cell r="DF130">
            <v>0.02</v>
          </cell>
          <cell r="DG130">
            <v>0.02</v>
          </cell>
          <cell r="DH130">
            <v>0.02</v>
          </cell>
          <cell r="DI130">
            <v>0.02</v>
          </cell>
          <cell r="DJ130">
            <v>0.02</v>
          </cell>
          <cell r="DK130">
            <v>0.02</v>
          </cell>
          <cell r="DL130">
            <v>0.02</v>
          </cell>
          <cell r="DM130">
            <v>0.02</v>
          </cell>
          <cell r="DN130">
            <v>0.02</v>
          </cell>
          <cell r="DO130">
            <v>0.02</v>
          </cell>
          <cell r="DP130">
            <v>0.02</v>
          </cell>
          <cell r="DQ130">
            <v>0.01</v>
          </cell>
          <cell r="DR130">
            <v>0.01</v>
          </cell>
          <cell r="DS130">
            <v>0.01</v>
          </cell>
          <cell r="DT130">
            <v>0.01</v>
          </cell>
          <cell r="DU130">
            <v>0.01</v>
          </cell>
          <cell r="DV130">
            <v>0.01</v>
          </cell>
          <cell r="DW130">
            <v>0.01</v>
          </cell>
          <cell r="DX130">
            <v>0.01</v>
          </cell>
          <cell r="DY130">
            <v>0.01</v>
          </cell>
          <cell r="DZ130">
            <v>0.01</v>
          </cell>
          <cell r="EA130">
            <v>0.01</v>
          </cell>
          <cell r="EB130">
            <v>0.01</v>
          </cell>
          <cell r="EC130">
            <v>0.01</v>
          </cell>
          <cell r="ED130">
            <v>0.01</v>
          </cell>
          <cell r="EE130">
            <v>0.01</v>
          </cell>
          <cell r="EF130">
            <v>0.01</v>
          </cell>
          <cell r="EG130">
            <v>0.01</v>
          </cell>
          <cell r="EH130">
            <v>0.01</v>
          </cell>
          <cell r="EI130">
            <v>0.01</v>
          </cell>
          <cell r="EJ130">
            <v>0.01</v>
          </cell>
          <cell r="EK130">
            <v>0.01</v>
          </cell>
          <cell r="EL130">
            <v>0.01</v>
          </cell>
          <cell r="EM130">
            <v>0.01</v>
          </cell>
          <cell r="EN130">
            <v>0.01</v>
          </cell>
          <cell r="EO130">
            <v>0.01</v>
          </cell>
          <cell r="EP130">
            <v>0.01</v>
          </cell>
          <cell r="EQ130">
            <v>0.01</v>
          </cell>
          <cell r="ER130">
            <v>0.01</v>
          </cell>
          <cell r="ES130">
            <v>0.01</v>
          </cell>
          <cell r="ET130">
            <v>0.01</v>
          </cell>
          <cell r="EU130">
            <v>0.01</v>
          </cell>
          <cell r="EV130">
            <v>0.01</v>
          </cell>
          <cell r="EW130">
            <v>0.01</v>
          </cell>
          <cell r="EX130">
            <v>0.01</v>
          </cell>
          <cell r="EY130">
            <v>0.01</v>
          </cell>
          <cell r="EZ130">
            <v>0.01</v>
          </cell>
          <cell r="FA130">
            <v>0.01</v>
          </cell>
          <cell r="FB130">
            <v>0.01</v>
          </cell>
          <cell r="FC130">
            <v>0.01</v>
          </cell>
          <cell r="FD130">
            <v>0.01</v>
          </cell>
          <cell r="FE130">
            <v>0.01</v>
          </cell>
          <cell r="FF130">
            <v>0.01</v>
          </cell>
          <cell r="FG130">
            <v>0.01</v>
          </cell>
          <cell r="FH130">
            <v>0.01</v>
          </cell>
          <cell r="FI130">
            <v>0.01</v>
          </cell>
          <cell r="FJ130">
            <v>0.01</v>
          </cell>
          <cell r="FK130">
            <v>0.01</v>
          </cell>
          <cell r="FL130">
            <v>0.01</v>
          </cell>
          <cell r="FM130">
            <v>0.01</v>
          </cell>
          <cell r="FN130">
            <v>0.01</v>
          </cell>
          <cell r="FO130">
            <v>0.01</v>
          </cell>
          <cell r="FP130">
            <v>0.01</v>
          </cell>
          <cell r="FQ130">
            <v>0.01</v>
          </cell>
          <cell r="FR130">
            <v>0.01</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-0.09</v>
          </cell>
        </row>
        <row r="131">
          <cell r="B131" t="str">
            <v>Total Data Points to Plot in ROE, COE Chart</v>
          </cell>
          <cell r="C131">
            <v>0</v>
          </cell>
        </row>
        <row r="132">
          <cell r="B132" t="str">
            <v>X-Axis Labels</v>
          </cell>
          <cell r="C132" t="str">
            <v>Invisible</v>
          </cell>
          <cell r="D132" t="str">
            <v>Input
Bases</v>
          </cell>
          <cell r="E132" t="str">
            <v>Input
Increments</v>
          </cell>
          <cell r="F132" t="str">
            <v>Value
Gap +Ve</v>
          </cell>
          <cell r="G132" t="str">
            <v>+ Data</v>
          </cell>
          <cell r="H132" t="str">
            <v>- Data</v>
          </cell>
          <cell r="I132" t="str">
            <v>Increment
Labels</v>
          </cell>
          <cell r="J132" t="str">
            <v>Value
Gap -ve</v>
          </cell>
          <cell r="K132" t="str">
            <v>Input
Increments +Ve</v>
          </cell>
          <cell r="L132" t="str">
            <v>Input
Increments -Ve</v>
          </cell>
          <cell r="M132" t="str">
            <v>IV per share (Current)</v>
          </cell>
          <cell r="N132" t="str">
            <v>Expected share price return</v>
          </cell>
          <cell r="O132" t="str">
            <v>IV (12 Months) / IV Current</v>
          </cell>
        </row>
        <row r="133">
          <cell r="B133" t="str">
            <v>Value of
current 
earnings</v>
          </cell>
          <cell r="D133">
            <v>37.056258060637489</v>
          </cell>
          <cell r="M133">
            <v>35.139851932967176</v>
          </cell>
          <cell r="N133">
            <v>37.056258060637489</v>
          </cell>
          <cell r="O133">
            <v>1.0545365453254059</v>
          </cell>
        </row>
        <row r="134">
          <cell r="B134" t="str">
            <v>Value of 
growth in
explicit period</v>
          </cell>
          <cell r="C134">
            <v>37.056258060637489</v>
          </cell>
          <cell r="E134">
            <v>27.544662783471704</v>
          </cell>
          <cell r="G134">
            <v>27.544662783471704</v>
          </cell>
          <cell r="H134">
            <v>0</v>
          </cell>
          <cell r="I134">
            <v>27.544662783471704</v>
          </cell>
          <cell r="K134" t="str">
            <v/>
          </cell>
          <cell r="L134" t="str">
            <v/>
          </cell>
          <cell r="M134">
            <v>26.120159519907439</v>
          </cell>
          <cell r="N134">
            <v>27.544662783471704</v>
          </cell>
        </row>
        <row r="135">
          <cell r="B135" t="str">
            <v>Value of
growth in
terminal period</v>
          </cell>
          <cell r="C135">
            <v>64.600920844109197</v>
          </cell>
          <cell r="E135">
            <v>0.12606464886296251</v>
          </cell>
          <cell r="G135">
            <v>0.12606464886296251</v>
          </cell>
          <cell r="H135">
            <v>0</v>
          </cell>
          <cell r="I135">
            <v>0.12606464886296251</v>
          </cell>
          <cell r="K135" t="str">
            <v/>
          </cell>
          <cell r="L135" t="str">
            <v/>
          </cell>
          <cell r="M135">
            <v>0.11954507354134591</v>
          </cell>
          <cell r="N135">
            <v>0.12606464886296251</v>
          </cell>
        </row>
        <row r="136">
          <cell r="B136" t="str">
            <v>Estimated
intrinsic value</v>
          </cell>
          <cell r="D136">
            <v>64.726985492972162</v>
          </cell>
          <cell r="K136">
            <v>64.726985492972162</v>
          </cell>
          <cell r="L136" t="str">
            <v/>
          </cell>
        </row>
        <row r="137">
          <cell r="B137" t="str">
            <v>VALUE GAP</v>
          </cell>
          <cell r="C137">
            <v>45</v>
          </cell>
          <cell r="F137">
            <v>19.726985492972162</v>
          </cell>
          <cell r="J137">
            <v>0</v>
          </cell>
        </row>
        <row r="138">
          <cell r="B138" t="str">
            <v>Current
price</v>
          </cell>
          <cell r="D138">
            <v>45</v>
          </cell>
          <cell r="K138">
            <v>45</v>
          </cell>
          <cell r="L138" t="str">
            <v/>
          </cell>
        </row>
        <row r="139">
          <cell r="B139" t="str">
            <v>Maximum</v>
          </cell>
          <cell r="C139">
            <v>0.25857435363622844</v>
          </cell>
          <cell r="D139">
            <v>0.30000000000000004</v>
          </cell>
          <cell r="E139">
            <v>0.35000000000000003</v>
          </cell>
        </row>
        <row r="140">
          <cell r="C140" t="str">
            <v>X Values</v>
          </cell>
          <cell r="D140" t="str">
            <v>Y Value</v>
          </cell>
        </row>
        <row r="142">
          <cell r="B142" t="str">
            <v>Explicit</v>
          </cell>
          <cell r="C142">
            <v>10</v>
          </cell>
          <cell r="D142">
            <v>0.35000000000000003</v>
          </cell>
        </row>
        <row r="143">
          <cell r="C143">
            <v>10</v>
          </cell>
          <cell r="D143">
            <v>0</v>
          </cell>
        </row>
        <row r="144">
          <cell r="B144" t="str">
            <v>Transition</v>
          </cell>
          <cell r="C144">
            <v>15</v>
          </cell>
          <cell r="D144">
            <v>0.35000000000000003</v>
          </cell>
        </row>
        <row r="145">
          <cell r="C145">
            <v>15</v>
          </cell>
          <cell r="D145">
            <v>0</v>
          </cell>
          <cell r="F145">
            <v>37.056258060637489</v>
          </cell>
        </row>
        <row r="148">
          <cell r="B148" t="str">
            <v>Option: Sum-Of-The-parts (SOTP) Valuation</v>
          </cell>
        </row>
        <row r="150">
          <cell r="B150" t="str">
            <v>Net debt/equity ratio for financing investments</v>
          </cell>
          <cell r="C150">
            <v>0.5</v>
          </cell>
        </row>
        <row r="151">
          <cell r="B151" t="str">
            <v>Borrowing Cost</v>
          </cell>
          <cell r="C151">
            <v>0.03</v>
          </cell>
        </row>
        <row r="153">
          <cell r="A153" t="str">
            <v>A.</v>
          </cell>
          <cell r="B153" t="str">
            <v>Investments under the equity method , operating ("Operating EMI")</v>
          </cell>
        </row>
        <row r="155">
          <cell r="B155" t="str">
            <v>1.Fair Value of Operating EMI ( Market value, etc.)</v>
          </cell>
          <cell r="E155">
            <v>0</v>
          </cell>
          <cell r="W155" t="str">
            <v>currentMarketValueOfInvestmentsUnderTheEquityMethodOperating</v>
          </cell>
        </row>
        <row r="157">
          <cell r="B157" t="str">
            <v>2.Book Value of Operating EMI (exclude from BS)</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row>
        <row r="158">
          <cell r="C158">
            <v>0</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t="str">
            <v>investmentsUnderTheEquityMethodOperating</v>
          </cell>
        </row>
        <row r="159">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row>
        <row r="160">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t="str">
            <v>investmentsInSubsidiaries</v>
          </cell>
        </row>
        <row r="161">
          <cell r="C161">
            <v>0</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t="str">
            <v>investmentsInAssociates</v>
          </cell>
        </row>
        <row r="162">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t="str">
            <v>investmentsInJointVentures</v>
          </cell>
        </row>
        <row r="164">
          <cell r="B164" t="str">
            <v>3.Income from Operating EMI (exclude from IS)</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row>
        <row r="165">
          <cell r="C165">
            <v>-45</v>
          </cell>
          <cell r="D165">
            <v>-46</v>
          </cell>
          <cell r="E165">
            <v>-43.699999999999996</v>
          </cell>
          <cell r="F165">
            <v>-41.514999999999993</v>
          </cell>
          <cell r="G165">
            <v>-39.439249999999994</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t="str">
            <v>incomeLossFromInvestmentsAccountedForUnderTheEquityMethodOperatingIncomeStatement</v>
          </cell>
        </row>
        <row r="166">
          <cell r="C166">
            <v>-31.635000000000002</v>
          </cell>
          <cell r="D166">
            <v>-34.454000000000001</v>
          </cell>
          <cell r="E166">
            <v>-30.786649999999998</v>
          </cell>
          <cell r="F166">
            <v>-29.247317499999998</v>
          </cell>
          <cell r="G166">
            <v>-27.784951624999998</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row>
        <row r="167">
          <cell r="C167">
            <v>-45</v>
          </cell>
          <cell r="D167">
            <v>-46</v>
          </cell>
          <cell r="E167">
            <v>-43.699999999999996</v>
          </cell>
          <cell r="F167">
            <v>-41.514999999999993</v>
          </cell>
          <cell r="G167">
            <v>-39.439249999999994</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t="str">
            <v>incomeLossFromInvestmentsUnderTheEquityMethodOperatingPreTax</v>
          </cell>
        </row>
        <row r="168">
          <cell r="C168">
            <v>0.29699999999999999</v>
          </cell>
          <cell r="D168">
            <v>0.251</v>
          </cell>
          <cell r="E168">
            <v>0.29549999999999998</v>
          </cell>
          <cell r="F168">
            <v>0.29549999999999998</v>
          </cell>
          <cell r="G168">
            <v>0.29549999999999998</v>
          </cell>
          <cell r="H168">
            <v>0.29549999999999998</v>
          </cell>
          <cell r="I168">
            <v>0.29549999999999998</v>
          </cell>
          <cell r="J168">
            <v>0.29549999999999998</v>
          </cell>
          <cell r="K168">
            <v>0.29549999999999998</v>
          </cell>
          <cell r="L168">
            <v>0.29549999999999998</v>
          </cell>
          <cell r="M168">
            <v>0</v>
          </cell>
          <cell r="N168">
            <v>0</v>
          </cell>
          <cell r="O168">
            <v>0</v>
          </cell>
          <cell r="P168">
            <v>0</v>
          </cell>
          <cell r="Q168">
            <v>0</v>
          </cell>
          <cell r="R168">
            <v>0</v>
          </cell>
          <cell r="S168">
            <v>0</v>
          </cell>
          <cell r="T168">
            <v>0</v>
          </cell>
          <cell r="U168">
            <v>0</v>
          </cell>
          <cell r="V168">
            <v>0</v>
          </cell>
          <cell r="W168" t="str">
            <v>statutoryTaxRate</v>
          </cell>
        </row>
        <row r="170">
          <cell r="B170" t="str">
            <v>4.Financing of Operating EMI (exclude from BS)</v>
          </cell>
        </row>
        <row r="171">
          <cell r="B171" t="str">
            <v xml:space="preserve">  Debt used to finance Operating EMI</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row>
        <row r="172">
          <cell r="B172" t="str">
            <v xml:space="preserve">  Equity used to finance Operating EMI</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row>
        <row r="174">
          <cell r="B174" t="str">
            <v>5.Cost of financing (exclude from IS)</v>
          </cell>
        </row>
        <row r="175">
          <cell r="B175" t="str">
            <v xml:space="preserve">   Borrowing cost on debt used to finance Operating EMI</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row>
        <row r="177">
          <cell r="B177" t="str">
            <v>6.Exclusions from Beginning BS</v>
          </cell>
        </row>
        <row r="178">
          <cell r="B178" t="str">
            <v xml:space="preserve">    Operating EMI</v>
          </cell>
          <cell r="C178">
            <v>0</v>
          </cell>
        </row>
        <row r="179">
          <cell r="C179">
            <v>0</v>
          </cell>
        </row>
        <row r="180">
          <cell r="C180">
            <v>0</v>
          </cell>
        </row>
        <row r="181">
          <cell r="C181">
            <v>0</v>
          </cell>
        </row>
        <row r="182">
          <cell r="C182">
            <v>0</v>
          </cell>
        </row>
        <row r="183">
          <cell r="C183">
            <v>0</v>
          </cell>
        </row>
        <row r="184">
          <cell r="B184" t="str">
            <v xml:space="preserve">   Debt used to finance Operating EMI</v>
          </cell>
          <cell r="C184">
            <v>0</v>
          </cell>
        </row>
        <row r="185">
          <cell r="B185" t="str">
            <v xml:space="preserve">    Equity used to finance Operating EMI</v>
          </cell>
          <cell r="C185">
            <v>0</v>
          </cell>
        </row>
        <row r="188">
          <cell r="A188" t="str">
            <v>B.</v>
          </cell>
          <cell r="B188" t="str">
            <v>Investments under the equity method , nonoperating ("Non-op. EMI")</v>
          </cell>
        </row>
        <row r="190">
          <cell r="B190" t="str">
            <v>1.Fair Value of Non-op. EMI ( Market value, etc.)</v>
          </cell>
          <cell r="E190">
            <v>0</v>
          </cell>
          <cell r="W190" t="str">
            <v>currentShareOfMarketValueOfAssociatesAccountedForUnderTheEquityMethodNonOperating</v>
          </cell>
        </row>
        <row r="192">
          <cell r="B192" t="str">
            <v>2.Book Value of Non-op. EMI (exclude from BS)</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t="str">
            <v>investmentsUnderTheEquityMethodNonOperating</v>
          </cell>
        </row>
        <row r="194">
          <cell r="B194" t="str">
            <v>3.Income from Non-op. EMI (exclude from IS)</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row>
        <row r="195">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t="str">
            <v>incomeLossFromInvestmentsAccountedForUnderTheEquityMethodNonOperatingIncomeStatement</v>
          </cell>
        </row>
        <row r="196">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row>
        <row r="197">
          <cell r="C197">
            <v>0</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t="str">
            <v>incomeLossFromInvestmentsUnderTheEquityMethodNonOperatingPreTax</v>
          </cell>
        </row>
        <row r="198">
          <cell r="C198">
            <v>0.29699999999999999</v>
          </cell>
          <cell r="D198">
            <v>0.251</v>
          </cell>
          <cell r="E198">
            <v>0.29549999999999998</v>
          </cell>
          <cell r="F198">
            <v>0.29549999999999998</v>
          </cell>
          <cell r="G198">
            <v>0.29549999999999998</v>
          </cell>
          <cell r="H198">
            <v>0.29549999999999998</v>
          </cell>
          <cell r="I198">
            <v>0.29549999999999998</v>
          </cell>
          <cell r="J198">
            <v>0.29549999999999998</v>
          </cell>
          <cell r="K198">
            <v>0.29549999999999998</v>
          </cell>
          <cell r="L198">
            <v>0.29549999999999998</v>
          </cell>
          <cell r="M198">
            <v>0</v>
          </cell>
          <cell r="N198">
            <v>0</v>
          </cell>
          <cell r="O198">
            <v>0</v>
          </cell>
          <cell r="P198">
            <v>0</v>
          </cell>
          <cell r="Q198">
            <v>0</v>
          </cell>
          <cell r="R198">
            <v>0</v>
          </cell>
          <cell r="S198">
            <v>0</v>
          </cell>
          <cell r="T198">
            <v>0</v>
          </cell>
          <cell r="U198">
            <v>0</v>
          </cell>
          <cell r="V198">
            <v>0</v>
          </cell>
          <cell r="W198" t="str">
            <v>statutoryTaxRate</v>
          </cell>
        </row>
        <row r="200">
          <cell r="B200" t="str">
            <v>4.Financing of Non-op. EMI (exclude from BS)</v>
          </cell>
        </row>
        <row r="201">
          <cell r="B201" t="str">
            <v xml:space="preserve">  Debt used to finance Non-op. EMI</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row>
        <row r="202">
          <cell r="B202" t="str">
            <v xml:space="preserve">  Equity used to finance Non-op. EMI</v>
          </cell>
          <cell r="C202">
            <v>0</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row>
        <row r="204">
          <cell r="B204" t="str">
            <v>5.Cost of financing (exclude from IS)</v>
          </cell>
        </row>
        <row r="205">
          <cell r="B205" t="str">
            <v xml:space="preserve">   Borrowing cost on debt used to finance Nonoperating EMI</v>
          </cell>
          <cell r="C205">
            <v>0</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7">
          <cell r="B207" t="str">
            <v>6.Exclusions from Beginning BS</v>
          </cell>
        </row>
        <row r="208">
          <cell r="B208" t="str">
            <v xml:space="preserve">   Non -op. EMI</v>
          </cell>
          <cell r="C208">
            <v>0</v>
          </cell>
        </row>
        <row r="209">
          <cell r="B209" t="str">
            <v xml:space="preserve">  Debt used to finance Non-op. EMI</v>
          </cell>
          <cell r="C209">
            <v>0</v>
          </cell>
        </row>
        <row r="210">
          <cell r="B210" t="str">
            <v xml:space="preserve">   Equity used to finance Non-op. EMI</v>
          </cell>
          <cell r="C210">
            <v>0</v>
          </cell>
        </row>
        <row r="213">
          <cell r="A213" t="str">
            <v>C.</v>
          </cell>
          <cell r="B213" t="str">
            <v>Investments , nonoperating ("Non-Op. Inv.")</v>
          </cell>
        </row>
        <row r="215">
          <cell r="B215" t="str">
            <v>1.Fair Value of Non-Op Inv. ( Market value, etc.)</v>
          </cell>
          <cell r="E215">
            <v>0</v>
          </cell>
          <cell r="W215" t="str">
            <v>currentMarketValueOfInvestmentsNonOperating</v>
          </cell>
        </row>
        <row r="217">
          <cell r="B217" t="str">
            <v>2.Book Value of Non-Op Inv. (exclude from BS)</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row>
        <row r="218">
          <cell r="C218">
            <v>4148</v>
          </cell>
          <cell r="D218">
            <v>2180</v>
          </cell>
          <cell r="E218">
            <v>2180</v>
          </cell>
          <cell r="F218">
            <v>2180</v>
          </cell>
          <cell r="G218">
            <v>2180</v>
          </cell>
          <cell r="H218">
            <v>2180</v>
          </cell>
          <cell r="I218">
            <v>2180</v>
          </cell>
          <cell r="J218">
            <v>2180</v>
          </cell>
          <cell r="K218">
            <v>2180</v>
          </cell>
          <cell r="L218">
            <v>2180</v>
          </cell>
          <cell r="M218">
            <v>0</v>
          </cell>
          <cell r="N218">
            <v>0</v>
          </cell>
          <cell r="O218">
            <v>0</v>
          </cell>
          <cell r="P218">
            <v>0</v>
          </cell>
          <cell r="Q218">
            <v>0</v>
          </cell>
          <cell r="R218">
            <v>0</v>
          </cell>
          <cell r="S218">
            <v>0</v>
          </cell>
          <cell r="T218">
            <v>0</v>
          </cell>
          <cell r="U218">
            <v>0</v>
          </cell>
          <cell r="V218">
            <v>0</v>
          </cell>
          <cell r="W218" t="str">
            <v>investmentsNonOperating</v>
          </cell>
        </row>
        <row r="219">
          <cell r="C219">
            <v>4148</v>
          </cell>
          <cell r="D219">
            <v>2180</v>
          </cell>
          <cell r="E219">
            <v>2180</v>
          </cell>
          <cell r="F219">
            <v>2180</v>
          </cell>
          <cell r="G219">
            <v>2180</v>
          </cell>
          <cell r="H219">
            <v>2180</v>
          </cell>
          <cell r="I219">
            <v>2180</v>
          </cell>
          <cell r="J219">
            <v>2180</v>
          </cell>
          <cell r="K219">
            <v>2180</v>
          </cell>
          <cell r="L219">
            <v>2180</v>
          </cell>
          <cell r="M219">
            <v>0</v>
          </cell>
          <cell r="N219">
            <v>0</v>
          </cell>
          <cell r="O219">
            <v>0</v>
          </cell>
          <cell r="P219">
            <v>0</v>
          </cell>
          <cell r="Q219">
            <v>0</v>
          </cell>
          <cell r="R219">
            <v>0</v>
          </cell>
          <cell r="S219">
            <v>0</v>
          </cell>
          <cell r="T219">
            <v>0</v>
          </cell>
          <cell r="U219">
            <v>0</v>
          </cell>
          <cell r="V219">
            <v>0</v>
          </cell>
        </row>
        <row r="220">
          <cell r="C220">
            <v>2784</v>
          </cell>
          <cell r="D220">
            <v>856</v>
          </cell>
          <cell r="E220">
            <v>856</v>
          </cell>
          <cell r="F220">
            <v>856</v>
          </cell>
          <cell r="G220">
            <v>856</v>
          </cell>
          <cell r="H220">
            <v>856</v>
          </cell>
          <cell r="I220">
            <v>856</v>
          </cell>
          <cell r="J220">
            <v>856</v>
          </cell>
          <cell r="K220">
            <v>856</v>
          </cell>
          <cell r="L220">
            <v>856</v>
          </cell>
          <cell r="M220">
            <v>0</v>
          </cell>
          <cell r="N220">
            <v>0</v>
          </cell>
          <cell r="O220">
            <v>0</v>
          </cell>
          <cell r="P220">
            <v>0</v>
          </cell>
          <cell r="Q220">
            <v>0</v>
          </cell>
          <cell r="R220">
            <v>0</v>
          </cell>
          <cell r="S220">
            <v>0</v>
          </cell>
          <cell r="T220">
            <v>0</v>
          </cell>
          <cell r="U220">
            <v>0</v>
          </cell>
          <cell r="V220">
            <v>0</v>
          </cell>
          <cell r="W220" t="str">
            <v>shortTermInvestmentsCalc</v>
          </cell>
        </row>
        <row r="221">
          <cell r="C221">
            <v>1364</v>
          </cell>
          <cell r="D221">
            <v>1324</v>
          </cell>
          <cell r="E221">
            <v>1324</v>
          </cell>
          <cell r="F221">
            <v>1324</v>
          </cell>
          <cell r="G221">
            <v>1324</v>
          </cell>
          <cell r="H221">
            <v>1324</v>
          </cell>
          <cell r="I221">
            <v>1324</v>
          </cell>
          <cell r="J221">
            <v>1324</v>
          </cell>
          <cell r="K221">
            <v>1324</v>
          </cell>
          <cell r="L221">
            <v>1324</v>
          </cell>
          <cell r="M221">
            <v>0</v>
          </cell>
          <cell r="N221">
            <v>0</v>
          </cell>
          <cell r="O221">
            <v>0</v>
          </cell>
          <cell r="P221">
            <v>0</v>
          </cell>
          <cell r="Q221">
            <v>0</v>
          </cell>
          <cell r="R221">
            <v>0</v>
          </cell>
          <cell r="S221">
            <v>0</v>
          </cell>
          <cell r="T221">
            <v>0</v>
          </cell>
          <cell r="U221">
            <v>0</v>
          </cell>
          <cell r="V221">
            <v>0</v>
          </cell>
          <cell r="W221" t="str">
            <v>longTermInvestmentsNonOperating</v>
          </cell>
        </row>
        <row r="223">
          <cell r="B223" t="str">
            <v>3.Income from Non-Op Inv. (exclude from IS)</v>
          </cell>
          <cell r="C223">
            <v>0</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row>
        <row r="224">
          <cell r="C224">
            <v>0</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t="str">
            <v>incomeLossesFromInvestmentsNonOperating</v>
          </cell>
        </row>
        <row r="225">
          <cell r="C225">
            <v>0.29699999999999999</v>
          </cell>
          <cell r="D225">
            <v>0.251</v>
          </cell>
          <cell r="E225">
            <v>0.29549999999999998</v>
          </cell>
          <cell r="F225">
            <v>0.29549999999999998</v>
          </cell>
          <cell r="G225">
            <v>0.29549999999999998</v>
          </cell>
          <cell r="H225">
            <v>0.29549999999999998</v>
          </cell>
          <cell r="I225">
            <v>0.29549999999999998</v>
          </cell>
          <cell r="J225">
            <v>0.29549999999999998</v>
          </cell>
          <cell r="K225">
            <v>0.29549999999999998</v>
          </cell>
          <cell r="L225">
            <v>0.29549999999999998</v>
          </cell>
          <cell r="M225">
            <v>0</v>
          </cell>
          <cell r="N225">
            <v>0</v>
          </cell>
          <cell r="O225">
            <v>0</v>
          </cell>
          <cell r="P225">
            <v>0</v>
          </cell>
          <cell r="Q225">
            <v>0</v>
          </cell>
          <cell r="R225">
            <v>0</v>
          </cell>
          <cell r="S225">
            <v>0</v>
          </cell>
          <cell r="T225">
            <v>0</v>
          </cell>
          <cell r="U225">
            <v>0</v>
          </cell>
          <cell r="V225">
            <v>0</v>
          </cell>
          <cell r="W225" t="str">
            <v>statutoryTaxRate</v>
          </cell>
        </row>
        <row r="227">
          <cell r="B227" t="str">
            <v>4.Financing of Non-Op Inv. (exclude from BS)</v>
          </cell>
        </row>
        <row r="228">
          <cell r="B228" t="str">
            <v xml:space="preserve">  Debt used to finance Non-Op Inv.</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row>
        <row r="229">
          <cell r="B229" t="str">
            <v xml:space="preserve">  Equity used to finance Non-Op Inv.</v>
          </cell>
          <cell r="C229">
            <v>0</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row>
        <row r="231">
          <cell r="B231" t="str">
            <v>5.Cost of financing (exclude from IS)</v>
          </cell>
        </row>
        <row r="232">
          <cell r="B232" t="str">
            <v xml:space="preserve">   Borrowing cost on debt used to finance Non - Op Inv.</v>
          </cell>
          <cell r="C232">
            <v>0</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row>
        <row r="234">
          <cell r="B234" t="str">
            <v>6.Exclusions from Beginning BS</v>
          </cell>
        </row>
        <row r="235">
          <cell r="B235" t="str">
            <v xml:space="preserve">   Non-Op Inv.</v>
          </cell>
          <cell r="C235">
            <v>0</v>
          </cell>
        </row>
        <row r="236">
          <cell r="C236">
            <v>2172</v>
          </cell>
        </row>
        <row r="237">
          <cell r="C237">
            <v>2172</v>
          </cell>
        </row>
        <row r="238">
          <cell r="C238">
            <v>1008</v>
          </cell>
        </row>
        <row r="239">
          <cell r="C239">
            <v>1164</v>
          </cell>
        </row>
        <row r="240">
          <cell r="B240" t="str">
            <v xml:space="preserve">  Debt used to finance Non-Op Inv.</v>
          </cell>
          <cell r="C240">
            <v>0</v>
          </cell>
        </row>
        <row r="241">
          <cell r="B241" t="str">
            <v xml:space="preserve">   Equity used to finance Non-Op. Inv.</v>
          </cell>
          <cell r="C241">
            <v>0</v>
          </cell>
        </row>
        <row r="243">
          <cell r="B243" t="str">
            <v xml:space="preserve"> Total market value of investments</v>
          </cell>
          <cell r="C243">
            <v>0</v>
          </cell>
        </row>
        <row r="244">
          <cell r="B244" t="str">
            <v>Total debt used to finance investments at beginning BS</v>
          </cell>
          <cell r="C244">
            <v>0</v>
          </cell>
        </row>
        <row r="245">
          <cell r="B245" t="str">
            <v>Total equity used to finance investments at beginning BS</v>
          </cell>
          <cell r="C245">
            <v>0</v>
          </cell>
        </row>
        <row r="247">
          <cell r="A247" t="str">
            <v>D.</v>
          </cell>
          <cell r="B247" t="str">
            <v>Separate extra cash</v>
          </cell>
        </row>
        <row r="249">
          <cell r="B249" t="str">
            <v>Cash to be removed</v>
          </cell>
        </row>
        <row r="250">
          <cell r="B250" t="str">
            <v>Interest rate applied</v>
          </cell>
        </row>
        <row r="251">
          <cell r="B251" t="str">
            <v>Interest income to be removed</v>
          </cell>
          <cell r="C251">
            <v>0</v>
          </cell>
        </row>
        <row r="252">
          <cell r="B252" t="str">
            <v>Cash to be added back</v>
          </cell>
          <cell r="C252">
            <v>0</v>
          </cell>
        </row>
        <row r="272">
          <cell r="B272" t="str">
            <v>3 Stage presentation</v>
          </cell>
          <cell r="C272" t="str">
            <v>Explicit
 Period</v>
          </cell>
          <cell r="D272" t="str">
            <v/>
          </cell>
          <cell r="E272" t="str">
            <v/>
          </cell>
          <cell r="F272" t="str">
            <v/>
          </cell>
          <cell r="G272" t="str">
            <v/>
          </cell>
          <cell r="H272" t="str">
            <v/>
          </cell>
          <cell r="I272" t="str">
            <v/>
          </cell>
          <cell r="J272" t="str">
            <v/>
          </cell>
          <cell r="K272" t="str">
            <v/>
          </cell>
          <cell r="L272" t="str">
            <v/>
          </cell>
          <cell r="M272" t="str">
            <v>Transition
 Period</v>
          </cell>
          <cell r="N272" t="str">
            <v>Steady 
State</v>
          </cell>
          <cell r="O272" t="str">
            <v/>
          </cell>
          <cell r="P272" t="str">
            <v/>
          </cell>
          <cell r="Q272" t="str">
            <v/>
          </cell>
          <cell r="R272" t="str">
            <v/>
          </cell>
          <cell r="S272" t="str">
            <v/>
          </cell>
          <cell r="T272" t="str">
            <v/>
          </cell>
          <cell r="U272" t="str">
            <v/>
          </cell>
          <cell r="V272" t="str">
            <v/>
          </cell>
        </row>
        <row r="273">
          <cell r="C273" t="str">
            <v>E</v>
          </cell>
          <cell r="D273" t="str">
            <v>E</v>
          </cell>
          <cell r="E273" t="str">
            <v>E</v>
          </cell>
          <cell r="F273" t="str">
            <v>E</v>
          </cell>
          <cell r="G273" t="str">
            <v>E</v>
          </cell>
          <cell r="H273" t="str">
            <v>E</v>
          </cell>
          <cell r="I273" t="str">
            <v>E</v>
          </cell>
          <cell r="J273" t="str">
            <v>E</v>
          </cell>
          <cell r="K273" t="str">
            <v>E</v>
          </cell>
          <cell r="L273" t="str">
            <v>E</v>
          </cell>
          <cell r="M273" t="str">
            <v>T</v>
          </cell>
          <cell r="N273" t="str">
            <v>S</v>
          </cell>
          <cell r="O273" t="str">
            <v/>
          </cell>
          <cell r="P273" t="str">
            <v/>
          </cell>
          <cell r="Q273" t="str">
            <v/>
          </cell>
          <cell r="R273" t="str">
            <v/>
          </cell>
          <cell r="S273" t="str">
            <v/>
          </cell>
          <cell r="T273" t="str">
            <v/>
          </cell>
          <cell r="U273" t="str">
            <v/>
          </cell>
          <cell r="V273" t="str">
            <v/>
          </cell>
        </row>
        <row r="274">
          <cell r="C274" t="str">
            <v>F2011e</v>
          </cell>
          <cell r="D274" t="str">
            <v>F2012e</v>
          </cell>
          <cell r="E274" t="str">
            <v>F2013e</v>
          </cell>
          <cell r="F274" t="str">
            <v>F2014e</v>
          </cell>
          <cell r="G274" t="str">
            <v>F2015e</v>
          </cell>
          <cell r="H274" t="str">
            <v>F2016e</v>
          </cell>
          <cell r="I274" t="str">
            <v>F2017e</v>
          </cell>
          <cell r="J274" t="str">
            <v>F2018e</v>
          </cell>
          <cell r="K274" t="str">
            <v>F2019e</v>
          </cell>
          <cell r="L274" t="str">
            <v>F2020e</v>
          </cell>
          <cell r="M274" t="str">
            <v>F2021e to 
F2025e</v>
          </cell>
          <cell r="N274" t="str">
            <v>F2026e
 and onwards</v>
          </cell>
          <cell r="O274" t="str">
            <v/>
          </cell>
          <cell r="P274" t="str">
            <v/>
          </cell>
          <cell r="Q274" t="str">
            <v/>
          </cell>
          <cell r="R274" t="str">
            <v/>
          </cell>
          <cell r="S274" t="str">
            <v/>
          </cell>
          <cell r="T274" t="str">
            <v/>
          </cell>
          <cell r="U274" t="str">
            <v/>
          </cell>
          <cell r="V274" t="str">
            <v/>
          </cell>
        </row>
        <row r="275">
          <cell r="B275" t="str">
            <v>Operating Level</v>
          </cell>
        </row>
        <row r="276">
          <cell r="B276" t="str">
            <v>Operating revenue</v>
          </cell>
          <cell r="C276">
            <v>36528</v>
          </cell>
          <cell r="D276">
            <v>39760</v>
          </cell>
          <cell r="E276">
            <v>41195.110053662756</v>
          </cell>
          <cell r="F276">
            <v>45385.722338539068</v>
          </cell>
          <cell r="G276">
            <v>47648.961380078537</v>
          </cell>
          <cell r="H276">
            <v>49925.629418313059</v>
          </cell>
          <cell r="I276">
            <v>52536.355185387758</v>
          </cell>
          <cell r="J276">
            <v>54106.910091599741</v>
          </cell>
          <cell r="K276">
            <v>56151.535698609536</v>
          </cell>
          <cell r="L276">
            <v>58588.268339333903</v>
          </cell>
          <cell r="M276" t="str">
            <v/>
          </cell>
          <cell r="N276" t="str">
            <v/>
          </cell>
          <cell r="O276" t="str">
            <v/>
          </cell>
          <cell r="P276" t="str">
            <v/>
          </cell>
          <cell r="Q276" t="str">
            <v/>
          </cell>
          <cell r="R276" t="str">
            <v/>
          </cell>
          <cell r="S276" t="str">
            <v/>
          </cell>
          <cell r="T276" t="str">
            <v/>
          </cell>
          <cell r="U276" t="str">
            <v/>
          </cell>
          <cell r="V276" t="str">
            <v/>
          </cell>
        </row>
        <row r="277">
          <cell r="B277" t="str">
            <v>Operating revenue growth</v>
          </cell>
          <cell r="C277">
            <v>0</v>
          </cell>
          <cell r="D277">
            <v>8.8480070083223783E-2</v>
          </cell>
          <cell r="E277">
            <v>3.6094317245039198E-2</v>
          </cell>
          <cell r="F277">
            <v>0.10172596406266221</v>
          </cell>
          <cell r="G277">
            <v>4.9866762605597081E-2</v>
          </cell>
          <cell r="H277">
            <v>4.778001392463449E-2</v>
          </cell>
          <cell r="I277">
            <v>5.2292295510190767E-2</v>
          </cell>
          <cell r="J277">
            <v>2.9894630121748644E-2</v>
          </cell>
          <cell r="K277">
            <v>3.7788622627837443E-2</v>
          </cell>
          <cell r="L277">
            <v>4.3395654462656363E-2</v>
          </cell>
          <cell r="M277">
            <v>2.9358261785062539E-2</v>
          </cell>
          <cell r="N277">
            <v>1.9999999999999948E-2</v>
          </cell>
          <cell r="O277" t="str">
            <v/>
          </cell>
          <cell r="P277" t="str">
            <v/>
          </cell>
          <cell r="Q277" t="str">
            <v/>
          </cell>
          <cell r="R277" t="str">
            <v/>
          </cell>
          <cell r="S277" t="str">
            <v/>
          </cell>
          <cell r="T277" t="str">
            <v/>
          </cell>
          <cell r="U277" t="str">
            <v/>
          </cell>
          <cell r="V277" t="str">
            <v/>
          </cell>
        </row>
        <row r="278">
          <cell r="B278" t="str">
            <v>Operating asset turnover</v>
          </cell>
          <cell r="C278">
            <v>1.1668423574508866</v>
          </cell>
          <cell r="D278">
            <v>1.2849017580144779</v>
          </cell>
          <cell r="E278">
            <v>1.3054604529618064</v>
          </cell>
          <cell r="F278">
            <v>1.3866472603843019</v>
          </cell>
          <cell r="G278">
            <v>1.4089427490878748</v>
          </cell>
          <cell r="H278">
            <v>1.4525673498935607</v>
          </cell>
          <cell r="I278">
            <v>1.5063594013797217</v>
          </cell>
          <cell r="J278">
            <v>1.5279988565914535</v>
          </cell>
          <cell r="K278">
            <v>1.5688121120986391</v>
          </cell>
          <cell r="L278">
            <v>1.6168540857071452</v>
          </cell>
          <cell r="M278">
            <v>1.5989590857965901</v>
          </cell>
          <cell r="N278">
            <v>1.052055057941407</v>
          </cell>
          <cell r="O278" t="str">
            <v/>
          </cell>
          <cell r="P278" t="str">
            <v/>
          </cell>
          <cell r="Q278" t="str">
            <v/>
          </cell>
          <cell r="R278" t="str">
            <v/>
          </cell>
          <cell r="S278" t="str">
            <v/>
          </cell>
          <cell r="T278" t="str">
            <v/>
          </cell>
          <cell r="U278" t="str">
            <v/>
          </cell>
          <cell r="V278" t="str">
            <v/>
          </cell>
        </row>
        <row r="279">
          <cell r="B279" t="str">
            <v>NOPAT</v>
          </cell>
          <cell r="C279">
            <v>2871.7470000000003</v>
          </cell>
          <cell r="D279">
            <v>2920.04</v>
          </cell>
          <cell r="E279">
            <v>4005.6206027691305</v>
          </cell>
          <cell r="F279">
            <v>4913.6142243584527</v>
          </cell>
          <cell r="G279">
            <v>5289.7613818688387</v>
          </cell>
          <cell r="H279">
            <v>5523.7604606333225</v>
          </cell>
          <cell r="I279">
            <v>5867.5382141248729</v>
          </cell>
          <cell r="J279">
            <v>5897.3693223781993</v>
          </cell>
          <cell r="K279">
            <v>6339.5625870551194</v>
          </cell>
          <cell r="L279">
            <v>7032.8712843893081</v>
          </cell>
          <cell r="M279" t="str">
            <v/>
          </cell>
          <cell r="N279" t="str">
            <v/>
          </cell>
          <cell r="O279" t="str">
            <v/>
          </cell>
          <cell r="P279" t="str">
            <v/>
          </cell>
          <cell r="Q279" t="str">
            <v/>
          </cell>
          <cell r="R279" t="str">
            <v/>
          </cell>
          <cell r="S279" t="str">
            <v/>
          </cell>
          <cell r="T279" t="str">
            <v/>
          </cell>
          <cell r="U279" t="str">
            <v/>
          </cell>
          <cell r="V279" t="str">
            <v/>
          </cell>
        </row>
        <row r="280">
          <cell r="B280" t="str">
            <v>NOPAT margin</v>
          </cell>
          <cell r="C280">
            <v>7.8617690538764787E-2</v>
          </cell>
          <cell r="D280">
            <v>7.3441649899396375E-2</v>
          </cell>
          <cell r="E280">
            <v>9.7235341708062292E-2</v>
          </cell>
          <cell r="F280">
            <v>0.10826343552950529</v>
          </cell>
          <cell r="G280">
            <v>0.11101525046211028</v>
          </cell>
          <cell r="H280">
            <v>0.110639776102796</v>
          </cell>
          <cell r="I280">
            <v>0.11168529284949036</v>
          </cell>
          <cell r="J280">
            <v>0.10899475339460908</v>
          </cell>
          <cell r="K280">
            <v>0.1129009653641958</v>
          </cell>
          <cell r="L280">
            <v>0.12003890000052637</v>
          </cell>
          <cell r="M280">
            <v>0.11739514163233275</v>
          </cell>
          <cell r="N280">
            <v>7.9717945244399541E-2</v>
          </cell>
          <cell r="O280" t="str">
            <v/>
          </cell>
          <cell r="P280" t="str">
            <v/>
          </cell>
          <cell r="Q280" t="str">
            <v/>
          </cell>
          <cell r="R280" t="str">
            <v/>
          </cell>
          <cell r="S280" t="str">
            <v/>
          </cell>
          <cell r="T280" t="str">
            <v/>
          </cell>
          <cell r="U280" t="str">
            <v/>
          </cell>
          <cell r="V280" t="str">
            <v/>
          </cell>
        </row>
        <row r="281">
          <cell r="B281" t="str">
            <v>Net operating assets</v>
          </cell>
          <cell r="C281">
            <v>30944</v>
          </cell>
          <cell r="D281">
            <v>31556</v>
          </cell>
          <cell r="E281">
            <v>32730.546286126624</v>
          </cell>
          <cell r="F281">
            <v>33818.947867772236</v>
          </cell>
          <cell r="G281">
            <v>34370.612434577604</v>
          </cell>
          <cell r="H281">
            <v>34876.374879240684</v>
          </cell>
          <cell r="I281">
            <v>35410.307971235939</v>
          </cell>
          <cell r="J281">
            <v>35792.390475296765</v>
          </cell>
          <cell r="K281">
            <v>36235.965172893026</v>
          </cell>
          <cell r="L281">
            <v>36695.475069273722</v>
          </cell>
          <cell r="M281" t="str">
            <v/>
          </cell>
          <cell r="N281" t="str">
            <v/>
          </cell>
          <cell r="O281" t="str">
            <v/>
          </cell>
          <cell r="P281" t="str">
            <v/>
          </cell>
          <cell r="Q281" t="str">
            <v/>
          </cell>
          <cell r="R281" t="str">
            <v/>
          </cell>
          <cell r="S281" t="str">
            <v/>
          </cell>
          <cell r="T281" t="str">
            <v/>
          </cell>
          <cell r="U281" t="str">
            <v/>
          </cell>
          <cell r="V281" t="str">
            <v/>
          </cell>
        </row>
        <row r="282">
          <cell r="B282" t="str">
            <v>RNOA</v>
          </cell>
          <cell r="C282">
            <v>9.1734451365596562E-2</v>
          </cell>
          <cell r="D282">
            <v>9.43653050672182E-2</v>
          </cell>
          <cell r="E282">
            <v>0.12693689323010302</v>
          </cell>
          <cell r="F282">
            <v>0.150123196276781</v>
          </cell>
          <cell r="G282">
            <v>0.15641413217676461</v>
          </cell>
          <cell r="H282">
            <v>0.16071172636645531</v>
          </cell>
          <cell r="I282">
            <v>0.1682381908796772</v>
          </cell>
          <cell r="J282">
            <v>0.16654385856143011</v>
          </cell>
          <cell r="K282">
            <v>0.17712040193097933</v>
          </cell>
          <cell r="L282">
            <v>0.1940853859096425</v>
          </cell>
          <cell r="M282">
            <v>0.18770094729390435</v>
          </cell>
          <cell r="N282">
            <v>8.5821873863814083E-2</v>
          </cell>
          <cell r="O282" t="str">
            <v/>
          </cell>
          <cell r="P282" t="str">
            <v/>
          </cell>
          <cell r="Q282" t="str">
            <v/>
          </cell>
          <cell r="R282" t="str">
            <v/>
          </cell>
          <cell r="S282" t="str">
            <v/>
          </cell>
          <cell r="T282" t="str">
            <v/>
          </cell>
          <cell r="U282" t="str">
            <v/>
          </cell>
          <cell r="V282" t="str">
            <v/>
          </cell>
        </row>
        <row r="283">
          <cell r="B283" t="str">
            <v>FCFO</v>
          </cell>
          <cell r="C283">
            <v>3232.7470000000003</v>
          </cell>
          <cell r="D283">
            <v>2308.04</v>
          </cell>
          <cell r="E283">
            <v>2831.0743166425063</v>
          </cell>
          <cell r="F283">
            <v>3825.2126427128405</v>
          </cell>
          <cell r="G283">
            <v>4738.0968150634708</v>
          </cell>
          <cell r="H283">
            <v>5017.9980159702427</v>
          </cell>
          <cell r="I283">
            <v>5333.6051221296175</v>
          </cell>
          <cell r="J283">
            <v>5515.2868183173741</v>
          </cell>
          <cell r="K283">
            <v>5895.9878894588583</v>
          </cell>
          <cell r="L283">
            <v>6573.3613880086123</v>
          </cell>
          <cell r="M283" t="str">
            <v/>
          </cell>
          <cell r="N283" t="str">
            <v/>
          </cell>
          <cell r="O283" t="str">
            <v/>
          </cell>
          <cell r="P283" t="str">
            <v/>
          </cell>
          <cell r="Q283" t="str">
            <v/>
          </cell>
          <cell r="R283" t="str">
            <v/>
          </cell>
          <cell r="S283" t="str">
            <v/>
          </cell>
          <cell r="T283" t="str">
            <v/>
          </cell>
          <cell r="U283" t="str">
            <v/>
          </cell>
          <cell r="V283" t="str">
            <v/>
          </cell>
        </row>
        <row r="284">
          <cell r="B284" t="str">
            <v>PVFCFO</v>
          </cell>
          <cell r="C284">
            <v>2996.0722397150575</v>
          </cell>
          <cell r="D284">
            <v>1982.4601114047982</v>
          </cell>
          <cell r="E284">
            <v>2253.6836797729411</v>
          </cell>
          <cell r="F284">
            <v>2822.1353296582752</v>
          </cell>
          <cell r="G284">
            <v>3239.7145543291881</v>
          </cell>
          <cell r="H284">
            <v>3179.9029451342967</v>
          </cell>
          <cell r="I284">
            <v>3132.4547215401144</v>
          </cell>
          <cell r="J284">
            <v>3002.0132776112919</v>
          </cell>
          <cell r="K284">
            <v>2974.2786407790145</v>
          </cell>
          <cell r="L284">
            <v>3073.2164008407326</v>
          </cell>
          <cell r="M284">
            <v>11272.394748237948</v>
          </cell>
          <cell r="N284">
            <v>31044.849538927603</v>
          </cell>
          <cell r="O284" t="str">
            <v/>
          </cell>
          <cell r="P284" t="str">
            <v/>
          </cell>
          <cell r="Q284" t="str">
            <v/>
          </cell>
          <cell r="R284" t="str">
            <v/>
          </cell>
          <cell r="S284" t="str">
            <v/>
          </cell>
          <cell r="T284" t="str">
            <v/>
          </cell>
          <cell r="U284" t="str">
            <v/>
          </cell>
          <cell r="V284" t="str">
            <v/>
          </cell>
        </row>
        <row r="285">
          <cell r="B285" t="str">
            <v>Residual income (operating)</v>
          </cell>
          <cell r="C285">
            <v>398.80817278908671</v>
          </cell>
          <cell r="D285">
            <v>475.61837185067816</v>
          </cell>
          <cell r="E285">
            <v>1512.854027734229</v>
          </cell>
          <cell r="F285">
            <v>2328.0643522362197</v>
          </cell>
          <cell r="G285">
            <v>2618.2332145589617</v>
          </cell>
          <cell r="H285">
            <v>2808.6535446619059</v>
          </cell>
          <cell r="I285">
            <v>3112.4785881469898</v>
          </cell>
          <cell r="J285">
            <v>3100.1316457908979</v>
          </cell>
          <cell r="K285">
            <v>3512.1422987607425</v>
          </cell>
          <cell r="L285">
            <v>4170.4108078676791</v>
          </cell>
          <cell r="M285" t="str">
            <v/>
          </cell>
          <cell r="N285" t="str">
            <v/>
          </cell>
          <cell r="O285" t="str">
            <v/>
          </cell>
          <cell r="P285" t="str">
            <v/>
          </cell>
          <cell r="Q285" t="str">
            <v/>
          </cell>
          <cell r="R285" t="str">
            <v/>
          </cell>
          <cell r="S285" t="str">
            <v/>
          </cell>
          <cell r="T285" t="str">
            <v/>
          </cell>
          <cell r="U285" t="str">
            <v/>
          </cell>
          <cell r="V285" t="str">
            <v/>
          </cell>
        </row>
        <row r="286">
          <cell r="B286" t="str">
            <v>PVRI (operating)</v>
          </cell>
          <cell r="C286">
            <v>369.61076615796674</v>
          </cell>
          <cell r="D286">
            <v>408.52604393566151</v>
          </cell>
          <cell r="E286">
            <v>1204.3111733735268</v>
          </cell>
          <cell r="F286">
            <v>1717.5810266862234</v>
          </cell>
          <cell r="G286">
            <v>1790.2395377121766</v>
          </cell>
          <cell r="H286">
            <v>1779.8424092850896</v>
          </cell>
          <cell r="I286">
            <v>1827.9752673629987</v>
          </cell>
          <cell r="J286">
            <v>1687.4256352540026</v>
          </cell>
          <cell r="K286">
            <v>1771.7285073221785</v>
          </cell>
          <cell r="L286">
            <v>1949.7748771827617</v>
          </cell>
          <cell r="M286">
            <v>8183.2085266731901</v>
          </cell>
          <cell r="N286">
            <v>16977.95241700549</v>
          </cell>
          <cell r="O286" t="str">
            <v/>
          </cell>
          <cell r="P286" t="str">
            <v/>
          </cell>
          <cell r="Q286" t="str">
            <v/>
          </cell>
          <cell r="R286" t="str">
            <v/>
          </cell>
          <cell r="S286" t="str">
            <v/>
          </cell>
          <cell r="T286" t="str">
            <v/>
          </cell>
          <cell r="U286" t="str">
            <v/>
          </cell>
          <cell r="V286" t="str">
            <v/>
          </cell>
        </row>
        <row r="288">
          <cell r="B288" t="str">
            <v>Financing and Other</v>
          </cell>
        </row>
        <row r="289">
          <cell r="B289" t="str">
            <v>Net financial expense (income)</v>
          </cell>
          <cell r="C289">
            <v>520.923</v>
          </cell>
          <cell r="D289">
            <v>498.834</v>
          </cell>
          <cell r="E289">
            <v>469.63558811764676</v>
          </cell>
          <cell r="F289">
            <v>448.58364816456213</v>
          </cell>
          <cell r="G289">
            <v>434.18863712338702</v>
          </cell>
          <cell r="H289">
            <v>336.07625227634821</v>
          </cell>
          <cell r="I289">
            <v>183.75893810331752</v>
          </cell>
          <cell r="J289">
            <v>114.9242863913278</v>
          </cell>
          <cell r="K289">
            <v>37.486742441154433</v>
          </cell>
          <cell r="L289">
            <v>-43.868588253392559</v>
          </cell>
          <cell r="M289" t="str">
            <v/>
          </cell>
          <cell r="N289" t="str">
            <v/>
          </cell>
          <cell r="O289" t="str">
            <v/>
          </cell>
          <cell r="P289" t="str">
            <v/>
          </cell>
          <cell r="Q289" t="str">
            <v/>
          </cell>
          <cell r="R289" t="str">
            <v/>
          </cell>
          <cell r="S289" t="str">
            <v/>
          </cell>
          <cell r="T289" t="str">
            <v/>
          </cell>
          <cell r="U289" t="str">
            <v/>
          </cell>
          <cell r="V289" t="str">
            <v/>
          </cell>
        </row>
        <row r="290">
          <cell r="B290" t="str">
            <v>Other nonoperating expense (income)</v>
          </cell>
          <cell r="C290">
            <v>-119.17599999999993</v>
          </cell>
          <cell r="D290">
            <v>-24.794000000000096</v>
          </cell>
          <cell r="E290">
            <v>-116.55621745474832</v>
          </cell>
          <cell r="F290">
            <v>-187.88029880040199</v>
          </cell>
          <cell r="G290">
            <v>-206.91556172599326</v>
          </cell>
          <cell r="H290">
            <v>-211.40921135084818</v>
          </cell>
          <cell r="I290">
            <v>-236.40761433465696</v>
          </cell>
          <cell r="J290">
            <v>-241.37941629174338</v>
          </cell>
          <cell r="K290">
            <v>-267.56379344754487</v>
          </cell>
          <cell r="L290">
            <v>-306.59938322046264</v>
          </cell>
          <cell r="M290" t="str">
            <v/>
          </cell>
          <cell r="N290" t="str">
            <v/>
          </cell>
          <cell r="O290" t="str">
            <v/>
          </cell>
          <cell r="P290" t="str">
            <v/>
          </cell>
          <cell r="Q290" t="str">
            <v/>
          </cell>
          <cell r="R290" t="str">
            <v/>
          </cell>
          <cell r="S290" t="str">
            <v/>
          </cell>
          <cell r="T290" t="str">
            <v/>
          </cell>
          <cell r="U290" t="str">
            <v/>
          </cell>
          <cell r="V290" t="str">
            <v/>
          </cell>
        </row>
        <row r="291">
          <cell r="B291" t="str">
            <v>Net debt (cash)</v>
          </cell>
          <cell r="C291">
            <v>13631</v>
          </cell>
          <cell r="D291">
            <v>15030</v>
          </cell>
          <cell r="E291">
            <v>14029.505889220392</v>
          </cell>
          <cell r="F291">
            <v>12018.363490401702</v>
          </cell>
          <cell r="G291">
            <v>9376.1044002021736</v>
          </cell>
          <cell r="H291">
            <v>6546.338558343974</v>
          </cell>
          <cell r="I291">
            <v>3353.9850013882333</v>
          </cell>
          <cell r="J291">
            <v>101.3739811099349</v>
          </cell>
          <cell r="K291">
            <v>-3585.7085837368959</v>
          </cell>
          <cell r="L291">
            <v>-7865.1768645243592</v>
          </cell>
          <cell r="M291" t="str">
            <v/>
          </cell>
          <cell r="N291" t="str">
            <v/>
          </cell>
          <cell r="O291" t="str">
            <v/>
          </cell>
          <cell r="P291" t="str">
            <v/>
          </cell>
          <cell r="Q291" t="str">
            <v/>
          </cell>
          <cell r="R291" t="str">
            <v/>
          </cell>
          <cell r="S291" t="str">
            <v/>
          </cell>
          <cell r="T291" t="str">
            <v/>
          </cell>
          <cell r="U291" t="str">
            <v/>
          </cell>
          <cell r="V291" t="str">
            <v/>
          </cell>
        </row>
        <row r="292">
          <cell r="B292" t="str">
            <v>Other nonoperating liabilities (assets) (ONOLA)</v>
          </cell>
          <cell r="C292">
            <v>-1920</v>
          </cell>
          <cell r="D292">
            <v>-1964</v>
          </cell>
          <cell r="E292">
            <v>-1870.3000000000002</v>
          </cell>
          <cell r="F292">
            <v>-1778.7849999999999</v>
          </cell>
          <cell r="G292">
            <v>-1689.34575</v>
          </cell>
          <cell r="H292">
            <v>-1639.34575</v>
          </cell>
          <cell r="I292">
            <v>-1589.34575</v>
          </cell>
          <cell r="J292">
            <v>-1539.34575</v>
          </cell>
          <cell r="K292">
            <v>-1489.34575</v>
          </cell>
          <cell r="L292">
            <v>-1439.34575</v>
          </cell>
          <cell r="M292" t="str">
            <v/>
          </cell>
          <cell r="N292" t="str">
            <v/>
          </cell>
          <cell r="O292" t="str">
            <v/>
          </cell>
          <cell r="P292" t="str">
            <v/>
          </cell>
          <cell r="Q292" t="str">
            <v/>
          </cell>
          <cell r="R292" t="str">
            <v/>
          </cell>
          <cell r="S292" t="str">
            <v/>
          </cell>
          <cell r="T292" t="str">
            <v/>
          </cell>
          <cell r="U292" t="str">
            <v/>
          </cell>
          <cell r="V292" t="str">
            <v/>
          </cell>
        </row>
        <row r="293">
          <cell r="B293" t="str">
            <v>Leverage EOP (net debt/equity)</v>
          </cell>
          <cell r="C293">
            <v>0.70872978734466807</v>
          </cell>
          <cell r="D293">
            <v>0.81287182260681445</v>
          </cell>
          <cell r="E293">
            <v>0.68199279281433312</v>
          </cell>
          <cell r="F293">
            <v>0.50969825774627819</v>
          </cell>
          <cell r="G293">
            <v>0.35137744630021539</v>
          </cell>
          <cell r="H293">
            <v>0.21843421872555494</v>
          </cell>
          <cell r="I293">
            <v>9.9685490852191194E-2</v>
          </cell>
          <cell r="J293">
            <v>2.7228846296214458E-3</v>
          </cell>
          <cell r="K293">
            <v>-8.679787200994718E-2</v>
          </cell>
          <cell r="L293">
            <v>-0.17098211435985783</v>
          </cell>
          <cell r="M293">
            <v>0.23160715425605685</v>
          </cell>
          <cell r="N293">
            <v>0.5</v>
          </cell>
          <cell r="O293" t="str">
            <v/>
          </cell>
          <cell r="P293" t="str">
            <v/>
          </cell>
          <cell r="Q293" t="str">
            <v/>
          </cell>
          <cell r="R293" t="str">
            <v/>
          </cell>
          <cell r="S293" t="str">
            <v/>
          </cell>
          <cell r="T293" t="str">
            <v/>
          </cell>
          <cell r="U293" t="str">
            <v/>
          </cell>
          <cell r="V293" t="str">
            <v/>
          </cell>
        </row>
        <row r="295">
          <cell r="B295" t="str">
            <v>Equity Level</v>
          </cell>
        </row>
        <row r="296">
          <cell r="B296" t="str">
            <v>Net income</v>
          </cell>
          <cell r="C296">
            <v>2470.0000000000005</v>
          </cell>
          <cell r="D296">
            <v>2446</v>
          </cell>
          <cell r="E296">
            <v>3652.5412321062322</v>
          </cell>
          <cell r="F296">
            <v>4652.9108749942925</v>
          </cell>
          <cell r="G296">
            <v>5062.488306471445</v>
          </cell>
          <cell r="H296">
            <v>5399.0934197078222</v>
          </cell>
          <cell r="I296">
            <v>5920.1868903562117</v>
          </cell>
          <cell r="J296">
            <v>6023.8244522786154</v>
          </cell>
          <cell r="K296">
            <v>6569.6396380615097</v>
          </cell>
          <cell r="L296">
            <v>7383.339255863164</v>
          </cell>
          <cell r="M296" t="str">
            <v/>
          </cell>
          <cell r="N296" t="str">
            <v/>
          </cell>
          <cell r="O296" t="str">
            <v/>
          </cell>
          <cell r="P296" t="str">
            <v/>
          </cell>
          <cell r="Q296" t="str">
            <v/>
          </cell>
          <cell r="R296" t="str">
            <v/>
          </cell>
          <cell r="S296" t="str">
            <v/>
          </cell>
          <cell r="T296" t="str">
            <v/>
          </cell>
          <cell r="U296" t="str">
            <v/>
          </cell>
          <cell r="V296" t="str">
            <v/>
          </cell>
        </row>
        <row r="297">
          <cell r="B297" t="str">
            <v>Equity</v>
          </cell>
          <cell r="C297">
            <v>19233</v>
          </cell>
          <cell r="D297">
            <v>18490</v>
          </cell>
          <cell r="E297">
            <v>20571.340396906231</v>
          </cell>
          <cell r="F297">
            <v>23579.369377370527</v>
          </cell>
          <cell r="G297">
            <v>26683.85378437542</v>
          </cell>
          <cell r="H297">
            <v>29969.3820708967</v>
          </cell>
          <cell r="I297">
            <v>33645.668719847701</v>
          </cell>
          <cell r="J297">
            <v>37230.362244186828</v>
          </cell>
          <cell r="K297">
            <v>41311.019506629927</v>
          </cell>
          <cell r="L297">
            <v>45999.997683798087</v>
          </cell>
          <cell r="M297" t="str">
            <v/>
          </cell>
          <cell r="N297" t="str">
            <v/>
          </cell>
          <cell r="O297" t="str">
            <v/>
          </cell>
          <cell r="P297" t="str">
            <v/>
          </cell>
          <cell r="Q297" t="str">
            <v/>
          </cell>
          <cell r="R297" t="str">
            <v/>
          </cell>
          <cell r="S297" t="str">
            <v/>
          </cell>
          <cell r="T297" t="str">
            <v/>
          </cell>
          <cell r="U297" t="str">
            <v/>
          </cell>
          <cell r="V297" t="str">
            <v/>
          </cell>
        </row>
        <row r="298">
          <cell r="B298" t="str">
            <v>ROE</v>
          </cell>
          <cell r="C298">
            <v>0.1311527637657304</v>
          </cell>
          <cell r="D298">
            <v>0.12717724743929704</v>
          </cell>
          <cell r="E298">
            <v>0.19754144035187843</v>
          </cell>
          <cell r="F298">
            <v>0.2261841370188038</v>
          </cell>
          <cell r="G298">
            <v>0.21469990250587409</v>
          </cell>
          <cell r="H298">
            <v>0.20233559452605121</v>
          </cell>
          <cell r="I298">
            <v>0.19754117306627125</v>
          </cell>
          <cell r="J298">
            <v>0.17903714449655564</v>
          </cell>
          <cell r="K298">
            <v>0.17645919196199325</v>
          </cell>
          <cell r="L298">
            <v>0.17872566070847576</v>
          </cell>
          <cell r="M298">
            <v>0.2034361516808342</v>
          </cell>
          <cell r="N298">
            <v>0.11448880509973364</v>
          </cell>
          <cell r="O298" t="str">
            <v/>
          </cell>
          <cell r="P298" t="str">
            <v/>
          </cell>
          <cell r="Q298" t="str">
            <v/>
          </cell>
          <cell r="R298" t="str">
            <v/>
          </cell>
          <cell r="S298" t="str">
            <v/>
          </cell>
          <cell r="T298" t="str">
            <v/>
          </cell>
          <cell r="U298" t="str">
            <v/>
          </cell>
          <cell r="V298" t="str">
            <v/>
          </cell>
        </row>
        <row r="299">
          <cell r="B299" t="str">
            <v>Dividends and net rep</v>
          </cell>
          <cell r="C299">
            <v>1240.4217120000001</v>
          </cell>
          <cell r="D299">
            <v>1364.4638832000001</v>
          </cell>
          <cell r="E299">
            <v>1571.2008352</v>
          </cell>
          <cell r="F299">
            <v>1644.8818945299956</v>
          </cell>
          <cell r="G299">
            <v>1958.0038994665597</v>
          </cell>
          <cell r="H299">
            <v>2113.5651331865415</v>
          </cell>
          <cell r="I299">
            <v>2243.9002414052084</v>
          </cell>
          <cell r="J299">
            <v>2439.1309279394918</v>
          </cell>
          <cell r="K299">
            <v>2488.9823756184132</v>
          </cell>
          <cell r="L299">
            <v>2694.3610786949998</v>
          </cell>
          <cell r="M299" t="str">
            <v/>
          </cell>
          <cell r="N299" t="str">
            <v/>
          </cell>
          <cell r="O299" t="str">
            <v/>
          </cell>
          <cell r="P299" t="str">
            <v/>
          </cell>
          <cell r="Q299" t="str">
            <v/>
          </cell>
          <cell r="R299" t="str">
            <v/>
          </cell>
          <cell r="S299" t="str">
            <v/>
          </cell>
          <cell r="T299" t="str">
            <v/>
          </cell>
          <cell r="U299" t="str">
            <v/>
          </cell>
          <cell r="V299" t="str">
            <v/>
          </cell>
        </row>
        <row r="300">
          <cell r="B300" t="str">
            <v>PV div and net rep</v>
          </cell>
          <cell r="C300">
            <v>1143.2458175115207</v>
          </cell>
          <cell r="D300">
            <v>1159.0510592282699</v>
          </cell>
          <cell r="E300">
            <v>1230.1058581392056</v>
          </cell>
          <cell r="F300">
            <v>1186.9044757507966</v>
          </cell>
          <cell r="G300">
            <v>1302.161532121147</v>
          </cell>
          <cell r="H300">
            <v>1295.4993720255518</v>
          </cell>
          <cell r="I300">
            <v>1267.6383748751095</v>
          </cell>
          <cell r="J300">
            <v>1269.9809531592432</v>
          </cell>
          <cell r="K300">
            <v>1194.4120542765997</v>
          </cell>
          <cell r="L300">
            <v>1191.6766079498748</v>
          </cell>
          <cell r="M300">
            <v>19152.513240377837</v>
          </cell>
          <cell r="N300">
            <v>27107.986842536073</v>
          </cell>
          <cell r="O300" t="str">
            <v/>
          </cell>
          <cell r="P300" t="str">
            <v/>
          </cell>
          <cell r="Q300" t="str">
            <v/>
          </cell>
          <cell r="R300" t="str">
            <v/>
          </cell>
          <cell r="S300" t="str">
            <v/>
          </cell>
          <cell r="T300" t="str">
            <v/>
          </cell>
          <cell r="U300" t="str">
            <v/>
          </cell>
          <cell r="V300" t="str">
            <v/>
          </cell>
        </row>
        <row r="301">
          <cell r="B301" t="str">
            <v>Residual income</v>
          </cell>
          <cell r="C301">
            <v>39.616712000000007</v>
          </cell>
          <cell r="D301">
            <v>-1013.3411168</v>
          </cell>
          <cell r="E301">
            <v>2080.8912321062312</v>
          </cell>
          <cell r="F301">
            <v>2904.3469412572617</v>
          </cell>
          <cell r="G301">
            <v>3058.2419093949575</v>
          </cell>
          <cell r="H301">
            <v>3130.9658480359094</v>
          </cell>
          <cell r="I301">
            <v>3372.7894143299904</v>
          </cell>
          <cell r="J301">
            <v>3163.9426110915642</v>
          </cell>
          <cell r="K301">
            <v>3405.0588473056318</v>
          </cell>
          <cell r="L301">
            <v>3871.9025977996143</v>
          </cell>
          <cell r="M301" t="str">
            <v/>
          </cell>
          <cell r="N301" t="str">
            <v/>
          </cell>
          <cell r="O301" t="str">
            <v/>
          </cell>
          <cell r="P301" t="str">
            <v/>
          </cell>
          <cell r="Q301" t="str">
            <v/>
          </cell>
          <cell r="R301" t="str">
            <v/>
          </cell>
          <cell r="S301" t="str">
            <v/>
          </cell>
          <cell r="T301" t="str">
            <v/>
          </cell>
          <cell r="U301" t="str">
            <v/>
          </cell>
          <cell r="V301" t="str">
            <v/>
          </cell>
        </row>
        <row r="302">
          <cell r="B302" t="str">
            <v>PVRI</v>
          </cell>
          <cell r="C302">
            <v>36.513098617511531</v>
          </cell>
          <cell r="D302">
            <v>-860.78796899488202</v>
          </cell>
          <cell r="E302">
            <v>1629.1465975694666</v>
          </cell>
          <cell r="F302">
            <v>2095.7020654035282</v>
          </cell>
          <cell r="G302">
            <v>2033.8697851520049</v>
          </cell>
          <cell r="H302">
            <v>1919.1101453536214</v>
          </cell>
          <cell r="I302">
            <v>1905.3776157623608</v>
          </cell>
          <cell r="J302">
            <v>1647.3682519247236</v>
          </cell>
          <cell r="K302">
            <v>1634.0185340736018</v>
          </cell>
          <cell r="L302">
            <v>1712.4860474502354</v>
          </cell>
          <cell r="M302">
            <v>7718.4734410787323</v>
          </cell>
          <cell r="N302">
            <v>18196.898574560291</v>
          </cell>
          <cell r="O302" t="str">
            <v/>
          </cell>
          <cell r="P302" t="str">
            <v/>
          </cell>
          <cell r="Q302" t="str">
            <v/>
          </cell>
          <cell r="R302" t="str">
            <v/>
          </cell>
          <cell r="S302" t="str">
            <v/>
          </cell>
          <cell r="T302" t="str">
            <v/>
          </cell>
          <cell r="U302" t="str">
            <v/>
          </cell>
          <cell r="V302" t="str">
            <v/>
          </cell>
        </row>
        <row r="304">
          <cell r="B304" t="str">
            <v>*Average / Sum</v>
          </cell>
        </row>
        <row r="309">
          <cell r="B309" t="str">
            <v>(Model) Net financial income (expense)</v>
          </cell>
          <cell r="C309">
            <v>-520.923</v>
          </cell>
          <cell r="D309">
            <v>-498.834</v>
          </cell>
          <cell r="E309">
            <v>-469.63558811764676</v>
          </cell>
          <cell r="F309">
            <v>-448.58364816456213</v>
          </cell>
          <cell r="G309">
            <v>-434.18863712338702</v>
          </cell>
          <cell r="H309">
            <v>-336.07625227634821</v>
          </cell>
          <cell r="I309">
            <v>-183.75893810331752</v>
          </cell>
          <cell r="J309">
            <v>-114.9242863913278</v>
          </cell>
          <cell r="K309">
            <v>-37.486742441154433</v>
          </cell>
          <cell r="L309">
            <v>43.868588253392559</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row>
        <row r="310">
          <cell r="B310" t="str">
            <v>Other nonoperating income (expense)</v>
          </cell>
          <cell r="C310">
            <v>119.17599999999993</v>
          </cell>
          <cell r="D310">
            <v>24.794000000000096</v>
          </cell>
          <cell r="E310">
            <v>116.55621745474832</v>
          </cell>
          <cell r="F310">
            <v>187.88029880040199</v>
          </cell>
          <cell r="G310">
            <v>206.91556172599326</v>
          </cell>
          <cell r="H310">
            <v>211.40921135084818</v>
          </cell>
          <cell r="I310">
            <v>236.40761433465696</v>
          </cell>
          <cell r="J310">
            <v>241.37941629174338</v>
          </cell>
          <cell r="K310">
            <v>267.56379344754487</v>
          </cell>
          <cell r="L310">
            <v>306.59938322046264</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row>
        <row r="311">
          <cell r="B311" t="str">
            <v>Net operating assets</v>
          </cell>
          <cell r="C311">
            <v>30944</v>
          </cell>
          <cell r="D311">
            <v>31556</v>
          </cell>
          <cell r="E311">
            <v>32730.546286126624</v>
          </cell>
          <cell r="F311">
            <v>33818.947867772236</v>
          </cell>
          <cell r="G311">
            <v>34370.612434577604</v>
          </cell>
          <cell r="H311">
            <v>34876.374879240684</v>
          </cell>
          <cell r="I311">
            <v>35410.307971235939</v>
          </cell>
          <cell r="J311">
            <v>35792.390475296765</v>
          </cell>
          <cell r="K311">
            <v>36235.965172893026</v>
          </cell>
          <cell r="L311">
            <v>36695.475069273722</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row>
        <row r="312">
          <cell r="B312" t="str">
            <v>Net debt (cash)</v>
          </cell>
          <cell r="C312">
            <v>13631</v>
          </cell>
          <cell r="D312">
            <v>15030</v>
          </cell>
          <cell r="E312">
            <v>14029.505889220392</v>
          </cell>
          <cell r="F312">
            <v>12018.363490401702</v>
          </cell>
          <cell r="G312">
            <v>9376.1044002021736</v>
          </cell>
          <cell r="H312">
            <v>6546.338558343974</v>
          </cell>
          <cell r="I312">
            <v>3353.9850013882333</v>
          </cell>
          <cell r="J312">
            <v>101.3739811099349</v>
          </cell>
          <cell r="K312">
            <v>-3585.7085837368959</v>
          </cell>
          <cell r="L312">
            <v>-7865.1768645243592</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row>
        <row r="313">
          <cell r="B313" t="str">
            <v>Other nonoperating liabilities (assets) (ONOLA)</v>
          </cell>
          <cell r="C313">
            <v>-1920</v>
          </cell>
          <cell r="D313">
            <v>-1964</v>
          </cell>
          <cell r="E313">
            <v>-1870.3000000000002</v>
          </cell>
          <cell r="F313">
            <v>-1778.7849999999999</v>
          </cell>
          <cell r="G313">
            <v>-1689.34575</v>
          </cell>
          <cell r="H313">
            <v>-1639.34575</v>
          </cell>
          <cell r="I313">
            <v>-1589.34575</v>
          </cell>
          <cell r="J313">
            <v>-1539.34575</v>
          </cell>
          <cell r="K313">
            <v>-1489.34575</v>
          </cell>
          <cell r="L313">
            <v>-1439.34575</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row>
        <row r="314">
          <cell r="B314" t="str">
            <v>Shareholders' equity</v>
          </cell>
          <cell r="C314">
            <v>19233</v>
          </cell>
          <cell r="D314">
            <v>18490</v>
          </cell>
          <cell r="E314">
            <v>20571.340396906231</v>
          </cell>
          <cell r="F314">
            <v>23579.369377370527</v>
          </cell>
          <cell r="G314">
            <v>26683.85378437542</v>
          </cell>
          <cell r="H314">
            <v>29969.3820708967</v>
          </cell>
          <cell r="I314">
            <v>33645.668719847701</v>
          </cell>
          <cell r="J314">
            <v>37230.362244186828</v>
          </cell>
          <cell r="K314">
            <v>41311.019506629927</v>
          </cell>
          <cell r="L314">
            <v>45999.997683798087</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row>
        <row r="333">
          <cell r="B333" t="str">
            <v>NJ</v>
          </cell>
          <cell r="C333">
            <v>2011</v>
          </cell>
          <cell r="D333">
            <v>2012</v>
          </cell>
          <cell r="E333">
            <v>2013</v>
          </cell>
          <cell r="F333">
            <v>2014</v>
          </cell>
          <cell r="G333">
            <v>2015</v>
          </cell>
          <cell r="H333">
            <v>2016</v>
          </cell>
          <cell r="I333">
            <v>2017</v>
          </cell>
          <cell r="J333">
            <v>2018</v>
          </cell>
          <cell r="K333">
            <v>2019</v>
          </cell>
          <cell r="L333">
            <v>2020</v>
          </cell>
          <cell r="M333">
            <v>2021</v>
          </cell>
          <cell r="N333">
            <v>2022</v>
          </cell>
          <cell r="O333">
            <v>2023</v>
          </cell>
          <cell r="P333">
            <v>2024</v>
          </cell>
          <cell r="Q333">
            <v>2025</v>
          </cell>
          <cell r="R333">
            <v>2026</v>
          </cell>
          <cell r="S333">
            <v>2027</v>
          </cell>
          <cell r="T333">
            <v>2028</v>
          </cell>
          <cell r="U333">
            <v>2029</v>
          </cell>
          <cell r="V333">
            <v>2030</v>
          </cell>
          <cell r="W333">
            <v>2031</v>
          </cell>
          <cell r="X333">
            <v>2032</v>
          </cell>
          <cell r="Y333">
            <v>2033</v>
          </cell>
          <cell r="Z333">
            <v>2034</v>
          </cell>
          <cell r="AA333">
            <v>2035</v>
          </cell>
          <cell r="AB333">
            <v>2036</v>
          </cell>
          <cell r="AC333">
            <v>2037</v>
          </cell>
          <cell r="AD333">
            <v>2038</v>
          </cell>
          <cell r="AE333">
            <v>2039</v>
          </cell>
          <cell r="AF333">
            <v>2040</v>
          </cell>
          <cell r="AG333">
            <v>2041</v>
          </cell>
          <cell r="AH333">
            <v>2042</v>
          </cell>
          <cell r="AI333">
            <v>2043</v>
          </cell>
          <cell r="AJ333">
            <v>2044</v>
          </cell>
          <cell r="AK333">
            <v>2045</v>
          </cell>
          <cell r="AL333">
            <v>2046</v>
          </cell>
          <cell r="AM333">
            <v>2047</v>
          </cell>
          <cell r="AN333">
            <v>2048</v>
          </cell>
          <cell r="AO333">
            <v>2049</v>
          </cell>
          <cell r="AP333">
            <v>2050</v>
          </cell>
          <cell r="AQ333">
            <v>2051</v>
          </cell>
          <cell r="AR333">
            <v>2052</v>
          </cell>
          <cell r="AS333">
            <v>2053</v>
          </cell>
          <cell r="AT333">
            <v>2054</v>
          </cell>
          <cell r="AU333">
            <v>2055</v>
          </cell>
          <cell r="AV333">
            <v>2056</v>
          </cell>
          <cell r="AW333">
            <v>2057</v>
          </cell>
          <cell r="AX333">
            <v>2058</v>
          </cell>
          <cell r="AY333">
            <v>2059</v>
          </cell>
          <cell r="AZ333">
            <v>2060</v>
          </cell>
          <cell r="BA333">
            <v>2061</v>
          </cell>
          <cell r="BB333">
            <v>2062</v>
          </cell>
          <cell r="BC333">
            <v>2063</v>
          </cell>
          <cell r="BD333">
            <v>2064</v>
          </cell>
          <cell r="BE333">
            <v>2065</v>
          </cell>
          <cell r="BF333">
            <v>2066</v>
          </cell>
          <cell r="BG333">
            <v>2067</v>
          </cell>
          <cell r="BH333">
            <v>2068</v>
          </cell>
          <cell r="BI333">
            <v>2069</v>
          </cell>
          <cell r="BJ333">
            <v>2070</v>
          </cell>
          <cell r="BK333">
            <v>2071</v>
          </cell>
          <cell r="BL333">
            <v>2072</v>
          </cell>
          <cell r="BM333">
            <v>2073</v>
          </cell>
          <cell r="BN333">
            <v>2074</v>
          </cell>
          <cell r="BO333">
            <v>2075</v>
          </cell>
          <cell r="BP333">
            <v>2076</v>
          </cell>
          <cell r="BQ333">
            <v>2077</v>
          </cell>
          <cell r="BR333">
            <v>2078</v>
          </cell>
          <cell r="BS333">
            <v>2079</v>
          </cell>
          <cell r="BT333">
            <v>2080</v>
          </cell>
          <cell r="BU333">
            <v>2081</v>
          </cell>
          <cell r="BV333">
            <v>2082</v>
          </cell>
          <cell r="BW333">
            <v>2083</v>
          </cell>
          <cell r="BX333">
            <v>2084</v>
          </cell>
          <cell r="BY333">
            <v>2085</v>
          </cell>
          <cell r="BZ333">
            <v>2086</v>
          </cell>
          <cell r="CA333">
            <v>2087</v>
          </cell>
          <cell r="CB333">
            <v>2088</v>
          </cell>
          <cell r="CC333">
            <v>2089</v>
          </cell>
          <cell r="CD333">
            <v>2090</v>
          </cell>
          <cell r="CE333">
            <v>2091</v>
          </cell>
          <cell r="CF333">
            <v>2092</v>
          </cell>
          <cell r="CG333">
            <v>2093</v>
          </cell>
          <cell r="CH333">
            <v>2094</v>
          </cell>
          <cell r="CI333">
            <v>2095</v>
          </cell>
          <cell r="CJ333">
            <v>2096</v>
          </cell>
          <cell r="CK333">
            <v>2097</v>
          </cell>
          <cell r="CL333">
            <v>2098</v>
          </cell>
          <cell r="CM333">
            <v>2099</v>
          </cell>
          <cell r="CN333">
            <v>2100</v>
          </cell>
          <cell r="CO333">
            <v>2101</v>
          </cell>
          <cell r="CP333">
            <v>2102</v>
          </cell>
          <cell r="CQ333">
            <v>2103</v>
          </cell>
          <cell r="CR333">
            <v>2104</v>
          </cell>
          <cell r="CS333">
            <v>2105</v>
          </cell>
          <cell r="CT333">
            <v>2106</v>
          </cell>
          <cell r="CU333">
            <v>2107</v>
          </cell>
          <cell r="CV333">
            <v>2108</v>
          </cell>
          <cell r="CW333">
            <v>2109</v>
          </cell>
          <cell r="CX333">
            <v>2110</v>
          </cell>
          <cell r="CY333">
            <v>2111</v>
          </cell>
          <cell r="CZ333">
            <v>2112</v>
          </cell>
          <cell r="DA333">
            <v>2113</v>
          </cell>
          <cell r="DB333">
            <v>2114</v>
          </cell>
          <cell r="DC333">
            <v>2115</v>
          </cell>
          <cell r="DD333">
            <v>2116</v>
          </cell>
          <cell r="DE333">
            <v>2117</v>
          </cell>
          <cell r="DF333">
            <v>2118</v>
          </cell>
          <cell r="DG333">
            <v>2119</v>
          </cell>
          <cell r="DH333">
            <v>2120</v>
          </cell>
          <cell r="DI333">
            <v>2121</v>
          </cell>
          <cell r="DJ333">
            <v>2122</v>
          </cell>
          <cell r="DK333">
            <v>2123</v>
          </cell>
          <cell r="DL333">
            <v>2124</v>
          </cell>
          <cell r="DM333">
            <v>2125</v>
          </cell>
          <cell r="DN333">
            <v>2126</v>
          </cell>
          <cell r="DO333">
            <v>2127</v>
          </cell>
          <cell r="DP333">
            <v>2128</v>
          </cell>
          <cell r="DQ333">
            <v>2129</v>
          </cell>
          <cell r="DR333">
            <v>2130</v>
          </cell>
          <cell r="DS333">
            <v>2131</v>
          </cell>
          <cell r="DT333">
            <v>2132</v>
          </cell>
          <cell r="DU333">
            <v>2133</v>
          </cell>
          <cell r="DV333">
            <v>2134</v>
          </cell>
          <cell r="DW333">
            <v>2135</v>
          </cell>
          <cell r="DX333">
            <v>2136</v>
          </cell>
          <cell r="DY333">
            <v>2137</v>
          </cell>
          <cell r="DZ333">
            <v>2138</v>
          </cell>
          <cell r="EA333">
            <v>2139</v>
          </cell>
          <cell r="EB333">
            <v>2140</v>
          </cell>
          <cell r="EC333">
            <v>2141</v>
          </cell>
          <cell r="ED333">
            <v>2142</v>
          </cell>
          <cell r="EE333">
            <v>2143</v>
          </cell>
          <cell r="EF333">
            <v>2144</v>
          </cell>
          <cell r="EG333">
            <v>2145</v>
          </cell>
          <cell r="EH333">
            <v>2146</v>
          </cell>
          <cell r="EI333">
            <v>2147</v>
          </cell>
          <cell r="EJ333">
            <v>2148</v>
          </cell>
          <cell r="EK333">
            <v>2149</v>
          </cell>
          <cell r="EL333">
            <v>2150</v>
          </cell>
          <cell r="EM333">
            <v>2151</v>
          </cell>
          <cell r="EN333">
            <v>2152</v>
          </cell>
          <cell r="EO333">
            <v>2153</v>
          </cell>
          <cell r="EP333">
            <v>2154</v>
          </cell>
          <cell r="EQ333">
            <v>2155</v>
          </cell>
          <cell r="ER333">
            <v>2156</v>
          </cell>
          <cell r="ES333">
            <v>2157</v>
          </cell>
          <cell r="ET333">
            <v>2158</v>
          </cell>
          <cell r="EU333">
            <v>2159</v>
          </cell>
          <cell r="EV333">
            <v>2160</v>
          </cell>
          <cell r="EW333">
            <v>2161</v>
          </cell>
          <cell r="EX333">
            <v>2162</v>
          </cell>
          <cell r="EY333">
            <v>2163</v>
          </cell>
          <cell r="EZ333">
            <v>2164</v>
          </cell>
          <cell r="FA333">
            <v>2165</v>
          </cell>
          <cell r="FB333">
            <v>2166</v>
          </cell>
          <cell r="FC333">
            <v>2167</v>
          </cell>
          <cell r="FD333">
            <v>2168</v>
          </cell>
          <cell r="FE333">
            <v>2169</v>
          </cell>
          <cell r="FF333">
            <v>2170</v>
          </cell>
          <cell r="FG333">
            <v>2171</v>
          </cell>
          <cell r="FH333">
            <v>2172</v>
          </cell>
          <cell r="FI333">
            <v>2173</v>
          </cell>
          <cell r="FJ333">
            <v>2174</v>
          </cell>
          <cell r="FK333">
            <v>2175</v>
          </cell>
          <cell r="FL333">
            <v>2176</v>
          </cell>
          <cell r="FM333">
            <v>2177</v>
          </cell>
          <cell r="FN333">
            <v>2178</v>
          </cell>
          <cell r="FO333">
            <v>2179</v>
          </cell>
          <cell r="FP333">
            <v>2180</v>
          </cell>
          <cell r="FQ333">
            <v>2181</v>
          </cell>
          <cell r="FR333">
            <v>2182</v>
          </cell>
          <cell r="FS333">
            <v>2183</v>
          </cell>
          <cell r="FT333">
            <v>2184</v>
          </cell>
          <cell r="FU333">
            <v>2185</v>
          </cell>
          <cell r="FV333">
            <v>2186</v>
          </cell>
          <cell r="FW333">
            <v>2187</v>
          </cell>
          <cell r="FX333">
            <v>2188</v>
          </cell>
          <cell r="FY333">
            <v>2189</v>
          </cell>
          <cell r="FZ333">
            <v>2190</v>
          </cell>
          <cell r="GA333">
            <v>2191</v>
          </cell>
          <cell r="GB333">
            <v>2192</v>
          </cell>
          <cell r="GC333">
            <v>2193</v>
          </cell>
          <cell r="GD333">
            <v>2194</v>
          </cell>
          <cell r="GE333">
            <v>2195</v>
          </cell>
          <cell r="GF333">
            <v>2196</v>
          </cell>
          <cell r="GG333">
            <v>2197</v>
          </cell>
          <cell r="GH333">
            <v>2198</v>
          </cell>
          <cell r="GI333">
            <v>2199</v>
          </cell>
          <cell r="GJ333">
            <v>2200</v>
          </cell>
          <cell r="GK333">
            <v>2201</v>
          </cell>
          <cell r="GL333">
            <v>2202</v>
          </cell>
          <cell r="GM333">
            <v>2203</v>
          </cell>
          <cell r="GN333">
            <v>2204</v>
          </cell>
          <cell r="GO333">
            <v>2205</v>
          </cell>
          <cell r="GP333">
            <v>2206</v>
          </cell>
          <cell r="GQ333">
            <v>2207</v>
          </cell>
          <cell r="GR333">
            <v>2208</v>
          </cell>
          <cell r="GS333">
            <v>2209</v>
          </cell>
          <cell r="GT333">
            <v>2210</v>
          </cell>
          <cell r="GU333">
            <v>2211</v>
          </cell>
          <cell r="GV333">
            <v>2212</v>
          </cell>
          <cell r="GW333">
            <v>2213</v>
          </cell>
          <cell r="GX333">
            <v>2214</v>
          </cell>
          <cell r="GY333">
            <v>2215</v>
          </cell>
          <cell r="GZ333">
            <v>2216</v>
          </cell>
          <cell r="HA333">
            <v>2217</v>
          </cell>
          <cell r="HB333">
            <v>2218</v>
          </cell>
          <cell r="HC333">
            <v>2219</v>
          </cell>
          <cell r="HD333">
            <v>2220</v>
          </cell>
          <cell r="HE333">
            <v>2221</v>
          </cell>
          <cell r="HF333">
            <v>2222</v>
          </cell>
          <cell r="HG333">
            <v>2223</v>
          </cell>
          <cell r="HH333">
            <v>2224</v>
          </cell>
          <cell r="HI333">
            <v>2225</v>
          </cell>
          <cell r="HJ333">
            <v>2226</v>
          </cell>
          <cell r="HK333">
            <v>2227</v>
          </cell>
          <cell r="HL333">
            <v>2228</v>
          </cell>
          <cell r="HM333">
            <v>2229</v>
          </cell>
          <cell r="HN333">
            <v>2230</v>
          </cell>
          <cell r="HO333">
            <v>2231</v>
          </cell>
          <cell r="HP333">
            <v>2232</v>
          </cell>
          <cell r="HQ333">
            <v>2233</v>
          </cell>
          <cell r="HR333">
            <v>2234</v>
          </cell>
          <cell r="HS333">
            <v>2235</v>
          </cell>
          <cell r="HT333">
            <v>2236</v>
          </cell>
          <cell r="HU333">
            <v>2237</v>
          </cell>
          <cell r="HV333">
            <v>2238</v>
          </cell>
          <cell r="HW333">
            <v>2239</v>
          </cell>
          <cell r="HX333">
            <v>2240</v>
          </cell>
          <cell r="HY333">
            <v>2241</v>
          </cell>
          <cell r="HZ333">
            <v>2242</v>
          </cell>
          <cell r="IA333">
            <v>2243</v>
          </cell>
          <cell r="IB333">
            <v>2244</v>
          </cell>
          <cell r="IC333">
            <v>2245</v>
          </cell>
          <cell r="ID333">
            <v>2246</v>
          </cell>
          <cell r="IE333">
            <v>2247</v>
          </cell>
          <cell r="IF333">
            <v>2248</v>
          </cell>
          <cell r="IG333">
            <v>2249</v>
          </cell>
          <cell r="IH333">
            <v>2250</v>
          </cell>
          <cell r="II333">
            <v>2251</v>
          </cell>
          <cell r="IJ333">
            <v>2252</v>
          </cell>
          <cell r="IK333">
            <v>2253</v>
          </cell>
          <cell r="IL333">
            <v>2254</v>
          </cell>
          <cell r="IM333">
            <v>2255</v>
          </cell>
          <cell r="IN333">
            <v>2256</v>
          </cell>
          <cell r="IO333">
            <v>2257</v>
          </cell>
          <cell r="IP333">
            <v>2258</v>
          </cell>
          <cell r="IQ333">
            <v>2259</v>
          </cell>
          <cell r="IR333">
            <v>2260</v>
          </cell>
        </row>
        <row r="334">
          <cell r="B334">
            <v>12</v>
          </cell>
          <cell r="C334" t="str">
            <v>F12/11</v>
          </cell>
          <cell r="D334" t="str">
            <v>F12/12</v>
          </cell>
          <cell r="E334" t="str">
            <v>F12/13</v>
          </cell>
          <cell r="F334" t="str">
            <v>F12/14</v>
          </cell>
          <cell r="G334" t="str">
            <v>F12/15</v>
          </cell>
          <cell r="H334" t="str">
            <v>F12/16</v>
          </cell>
          <cell r="I334" t="str">
            <v>F12/17</v>
          </cell>
          <cell r="J334" t="str">
            <v>F12/18</v>
          </cell>
          <cell r="K334" t="str">
            <v>F12/19</v>
          </cell>
          <cell r="L334" t="str">
            <v>F12/20</v>
          </cell>
          <cell r="M334" t="str">
            <v>F12/21</v>
          </cell>
          <cell r="N334" t="str">
            <v>F12/22</v>
          </cell>
          <cell r="O334" t="str">
            <v>F12/23</v>
          </cell>
          <cell r="P334" t="str">
            <v>F12/24</v>
          </cell>
          <cell r="Q334" t="str">
            <v>F12/25</v>
          </cell>
          <cell r="R334" t="str">
            <v>F12/26</v>
          </cell>
          <cell r="S334" t="str">
            <v>F12/27</v>
          </cell>
          <cell r="T334" t="str">
            <v>F12/28</v>
          </cell>
          <cell r="U334" t="str">
            <v>F12/29</v>
          </cell>
          <cell r="V334" t="str">
            <v>F12/30</v>
          </cell>
          <cell r="W334" t="str">
            <v>F12/31</v>
          </cell>
          <cell r="X334" t="str">
            <v>F12/32</v>
          </cell>
          <cell r="Y334" t="str">
            <v>F12/33</v>
          </cell>
          <cell r="Z334" t="str">
            <v>F12/34</v>
          </cell>
          <cell r="AA334" t="str">
            <v>F12/35</v>
          </cell>
          <cell r="AB334" t="str">
            <v>F12/36</v>
          </cell>
          <cell r="AC334" t="str">
            <v>F12/37</v>
          </cell>
          <cell r="AD334" t="str">
            <v>F12/38</v>
          </cell>
          <cell r="AE334" t="str">
            <v>F12/39</v>
          </cell>
          <cell r="AF334" t="str">
            <v>F12/40</v>
          </cell>
          <cell r="AG334" t="str">
            <v>F12/41</v>
          </cell>
          <cell r="AH334" t="str">
            <v>F12/42</v>
          </cell>
          <cell r="AI334" t="str">
            <v>F12/43</v>
          </cell>
          <cell r="AJ334" t="str">
            <v>F12/44</v>
          </cell>
          <cell r="AK334" t="str">
            <v>F12/45</v>
          </cell>
          <cell r="AL334" t="str">
            <v>F12/46</v>
          </cell>
          <cell r="AM334" t="str">
            <v>F12/47</v>
          </cell>
          <cell r="AN334" t="str">
            <v>F12/48</v>
          </cell>
          <cell r="AO334" t="str">
            <v>F12/49</v>
          </cell>
          <cell r="AP334" t="str">
            <v>F12/50</v>
          </cell>
          <cell r="AQ334" t="str">
            <v>F12/51</v>
          </cell>
          <cell r="AR334" t="str">
            <v>F12/52</v>
          </cell>
          <cell r="AS334" t="str">
            <v>F12/53</v>
          </cell>
          <cell r="AT334" t="str">
            <v>F12/54</v>
          </cell>
          <cell r="AU334" t="str">
            <v>F12/55</v>
          </cell>
          <cell r="AV334" t="str">
            <v>F12/56</v>
          </cell>
          <cell r="AW334" t="str">
            <v>F12/57</v>
          </cell>
          <cell r="AX334" t="str">
            <v>F12/58</v>
          </cell>
          <cell r="AY334" t="str">
            <v>F12/59</v>
          </cell>
          <cell r="AZ334" t="str">
            <v>F12/60</v>
          </cell>
          <cell r="BA334" t="str">
            <v>F12/61</v>
          </cell>
          <cell r="BB334" t="str">
            <v>F12/62</v>
          </cell>
          <cell r="BC334" t="str">
            <v>F12/63</v>
          </cell>
          <cell r="BD334" t="str">
            <v>F12/64</v>
          </cell>
          <cell r="BE334" t="str">
            <v>F12/65</v>
          </cell>
          <cell r="BF334" t="str">
            <v>F12/66</v>
          </cell>
          <cell r="BG334" t="str">
            <v>F12/67</v>
          </cell>
          <cell r="BH334" t="str">
            <v>F12/68</v>
          </cell>
          <cell r="BI334" t="str">
            <v>F12/69</v>
          </cell>
          <cell r="BJ334" t="str">
            <v>F12/70</v>
          </cell>
          <cell r="BK334" t="str">
            <v>F12/71</v>
          </cell>
          <cell r="BL334" t="str">
            <v>F12/72</v>
          </cell>
          <cell r="BM334" t="str">
            <v>F12/73</v>
          </cell>
          <cell r="BN334" t="str">
            <v>F12/74</v>
          </cell>
          <cell r="BO334" t="str">
            <v>F12/75</v>
          </cell>
          <cell r="BP334" t="str">
            <v>F12/76</v>
          </cell>
          <cell r="BQ334" t="str">
            <v>F12/77</v>
          </cell>
          <cell r="BR334" t="str">
            <v>F12/78</v>
          </cell>
          <cell r="BS334" t="str">
            <v>F12/79</v>
          </cell>
          <cell r="BT334" t="str">
            <v>F12/80</v>
          </cell>
          <cell r="BU334" t="str">
            <v>F12/81</v>
          </cell>
          <cell r="BV334" t="str">
            <v>F12/82</v>
          </cell>
          <cell r="BW334" t="str">
            <v>F12/83</v>
          </cell>
          <cell r="BX334" t="str">
            <v>F12/84</v>
          </cell>
          <cell r="BY334" t="str">
            <v>F12/85</v>
          </cell>
          <cell r="BZ334" t="str">
            <v>F12/86</v>
          </cell>
          <cell r="CA334" t="str">
            <v>F12/87</v>
          </cell>
          <cell r="CB334" t="str">
            <v>F12/88</v>
          </cell>
          <cell r="CC334" t="str">
            <v>F12/89</v>
          </cell>
          <cell r="CD334" t="str">
            <v>F12/90</v>
          </cell>
          <cell r="CE334" t="str">
            <v>F12/91</v>
          </cell>
          <cell r="CF334" t="str">
            <v>F12/92</v>
          </cell>
          <cell r="CG334" t="str">
            <v>F12/93</v>
          </cell>
          <cell r="CH334" t="str">
            <v>F12/94</v>
          </cell>
          <cell r="CI334" t="str">
            <v>F12/95</v>
          </cell>
          <cell r="CJ334" t="str">
            <v>F12/96</v>
          </cell>
          <cell r="CK334" t="str">
            <v>F12/97</v>
          </cell>
          <cell r="CL334" t="str">
            <v>F12/98</v>
          </cell>
          <cell r="CM334" t="str">
            <v>F12/99</v>
          </cell>
          <cell r="CN334" t="str">
            <v>F12/00</v>
          </cell>
          <cell r="CO334" t="str">
            <v>F12/01</v>
          </cell>
          <cell r="CP334" t="str">
            <v>F12/02</v>
          </cell>
          <cell r="CQ334" t="str">
            <v>F12/03</v>
          </cell>
          <cell r="CR334" t="str">
            <v>F12/04</v>
          </cell>
          <cell r="CS334" t="str">
            <v>F12/05</v>
          </cell>
          <cell r="CT334" t="str">
            <v>F12/06</v>
          </cell>
          <cell r="CU334" t="str">
            <v>F12/07</v>
          </cell>
          <cell r="CV334" t="str">
            <v>F12/08</v>
          </cell>
          <cell r="CW334" t="str">
            <v>F12/09</v>
          </cell>
          <cell r="CX334" t="str">
            <v>F12/10</v>
          </cell>
          <cell r="CY334" t="str">
            <v>F12/11</v>
          </cell>
          <cell r="CZ334" t="str">
            <v>F12/12</v>
          </cell>
          <cell r="DA334" t="str">
            <v>F12/13</v>
          </cell>
          <cell r="DB334" t="str">
            <v>F12/14</v>
          </cell>
          <cell r="DC334" t="str">
            <v>F12/15</v>
          </cell>
          <cell r="DD334" t="str">
            <v>F12/16</v>
          </cell>
          <cell r="DE334" t="str">
            <v>F12/17</v>
          </cell>
          <cell r="DF334" t="str">
            <v>F12/18</v>
          </cell>
          <cell r="DG334" t="str">
            <v>F12/19</v>
          </cell>
          <cell r="DH334" t="str">
            <v>F12/20</v>
          </cell>
          <cell r="DI334" t="str">
            <v>F12/21</v>
          </cell>
          <cell r="DJ334" t="str">
            <v>F12/22</v>
          </cell>
          <cell r="DK334" t="str">
            <v>F12/23</v>
          </cell>
          <cell r="DL334" t="str">
            <v>F12/24</v>
          </cell>
          <cell r="DM334" t="str">
            <v>F12/25</v>
          </cell>
          <cell r="DN334" t="str">
            <v>F12/26</v>
          </cell>
          <cell r="DO334" t="str">
            <v>F12/27</v>
          </cell>
          <cell r="DP334" t="str">
            <v>F12/28</v>
          </cell>
          <cell r="DQ334" t="str">
            <v>F12/29</v>
          </cell>
          <cell r="DR334" t="str">
            <v>F12/30</v>
          </cell>
          <cell r="DS334" t="str">
            <v>F12/31</v>
          </cell>
          <cell r="DT334" t="str">
            <v>F12/32</v>
          </cell>
          <cell r="DU334" t="str">
            <v>F12/33</v>
          </cell>
          <cell r="DV334" t="str">
            <v>F12/34</v>
          </cell>
          <cell r="DW334" t="str">
            <v>F12/35</v>
          </cell>
          <cell r="DX334" t="str">
            <v>F12/36</v>
          </cell>
          <cell r="DY334" t="str">
            <v>F12/37</v>
          </cell>
          <cell r="DZ334" t="str">
            <v>F12/38</v>
          </cell>
          <cell r="EA334" t="str">
            <v>F12/39</v>
          </cell>
          <cell r="EB334" t="str">
            <v>F12/40</v>
          </cell>
          <cell r="EC334" t="str">
            <v>F12/41</v>
          </cell>
          <cell r="ED334" t="str">
            <v>F12/42</v>
          </cell>
          <cell r="EE334" t="str">
            <v>F12/43</v>
          </cell>
          <cell r="EF334" t="str">
            <v>F12/44</v>
          </cell>
          <cell r="EG334" t="str">
            <v>F12/45</v>
          </cell>
          <cell r="EH334" t="str">
            <v>F12/46</v>
          </cell>
          <cell r="EI334" t="str">
            <v>F12/47</v>
          </cell>
          <cell r="EJ334" t="str">
            <v>F12/48</v>
          </cell>
          <cell r="EK334" t="str">
            <v>F12/49</v>
          </cell>
          <cell r="EL334" t="str">
            <v>F12/50</v>
          </cell>
          <cell r="EM334" t="str">
            <v>F12/51</v>
          </cell>
          <cell r="EN334" t="str">
            <v>F12/52</v>
          </cell>
          <cell r="EO334" t="str">
            <v>F12/53</v>
          </cell>
          <cell r="EP334" t="str">
            <v>F12/54</v>
          </cell>
          <cell r="EQ334" t="str">
            <v>F12/55</v>
          </cell>
          <cell r="ER334" t="str">
            <v>F12/56</v>
          </cell>
          <cell r="ES334" t="str">
            <v>F12/57</v>
          </cell>
          <cell r="ET334" t="str">
            <v>F12/58</v>
          </cell>
          <cell r="EU334" t="str">
            <v>F12/59</v>
          </cell>
          <cell r="EV334" t="str">
            <v>F12/60</v>
          </cell>
          <cell r="EW334" t="str">
            <v>F12/61</v>
          </cell>
          <cell r="EX334" t="str">
            <v>F12/62</v>
          </cell>
          <cell r="EY334" t="str">
            <v>F12/63</v>
          </cell>
          <cell r="EZ334" t="str">
            <v>F12/64</v>
          </cell>
          <cell r="FA334" t="str">
            <v>F12/65</v>
          </cell>
          <cell r="FB334" t="str">
            <v>F12/66</v>
          </cell>
          <cell r="FC334" t="str">
            <v>F12/67</v>
          </cell>
          <cell r="FD334" t="str">
            <v>F12/68</v>
          </cell>
          <cell r="FE334" t="str">
            <v>F12/69</v>
          </cell>
          <cell r="FF334" t="str">
            <v>F12/70</v>
          </cell>
          <cell r="FG334" t="str">
            <v>F12/71</v>
          </cell>
          <cell r="FH334" t="str">
            <v>F12/72</v>
          </cell>
          <cell r="FI334" t="str">
            <v>F12/73</v>
          </cell>
          <cell r="FJ334" t="str">
            <v>F12/74</v>
          </cell>
          <cell r="FK334" t="str">
            <v>F12/75</v>
          </cell>
          <cell r="FL334" t="str">
            <v>F12/76</v>
          </cell>
          <cell r="FM334" t="str">
            <v>F12/77</v>
          </cell>
          <cell r="FN334" t="str">
            <v>F12/78</v>
          </cell>
          <cell r="FO334" t="str">
            <v>F12/79</v>
          </cell>
          <cell r="FP334" t="str">
            <v>F12/80</v>
          </cell>
          <cell r="FQ334" t="str">
            <v>F12/81</v>
          </cell>
          <cell r="FR334" t="str">
            <v>F12/82</v>
          </cell>
          <cell r="FS334" t="str">
            <v>F12/83</v>
          </cell>
          <cell r="FT334" t="str">
            <v>F12/84</v>
          </cell>
          <cell r="FU334" t="str">
            <v>F12/85</v>
          </cell>
          <cell r="FV334" t="str">
            <v>F12/86</v>
          </cell>
          <cell r="FW334" t="str">
            <v>F12/87</v>
          </cell>
          <cell r="FX334" t="str">
            <v>F12/88</v>
          </cell>
          <cell r="FY334" t="str">
            <v>F12/89</v>
          </cell>
          <cell r="FZ334" t="str">
            <v>F12/90</v>
          </cell>
          <cell r="GA334" t="str">
            <v>F12/91</v>
          </cell>
          <cell r="GB334" t="str">
            <v>F12/92</v>
          </cell>
          <cell r="GC334" t="str">
            <v>F12/93</v>
          </cell>
          <cell r="GD334" t="str">
            <v>F12/94</v>
          </cell>
          <cell r="GE334" t="str">
            <v>F12/95</v>
          </cell>
          <cell r="GF334" t="str">
            <v>F12/96</v>
          </cell>
          <cell r="GG334" t="str">
            <v>F12/97</v>
          </cell>
          <cell r="GH334" t="str">
            <v>F12/98</v>
          </cell>
          <cell r="GI334" t="str">
            <v>F12/99</v>
          </cell>
          <cell r="GJ334" t="str">
            <v>F12/00</v>
          </cell>
          <cell r="GK334" t="str">
            <v>F12/01</v>
          </cell>
          <cell r="GL334" t="str">
            <v>F12/02</v>
          </cell>
          <cell r="GM334" t="str">
            <v>F12/03</v>
          </cell>
          <cell r="GN334" t="str">
            <v>F12/04</v>
          </cell>
          <cell r="GO334" t="str">
            <v>F12/05</v>
          </cell>
          <cell r="GP334" t="str">
            <v>F12/06</v>
          </cell>
          <cell r="GQ334" t="str">
            <v>F12/07</v>
          </cell>
          <cell r="GR334" t="str">
            <v>F12/08</v>
          </cell>
          <cell r="GS334" t="str">
            <v>F12/09</v>
          </cell>
          <cell r="GT334" t="str">
            <v>F12/10</v>
          </cell>
          <cell r="GU334" t="str">
            <v>F12/11</v>
          </cell>
          <cell r="GV334" t="str">
            <v>F12/12</v>
          </cell>
          <cell r="GW334" t="str">
            <v>F12/13</v>
          </cell>
          <cell r="GX334" t="str">
            <v>F12/14</v>
          </cell>
          <cell r="GY334" t="str">
            <v>F12/15</v>
          </cell>
          <cell r="GZ334" t="str">
            <v>F12/16</v>
          </cell>
          <cell r="HA334" t="str">
            <v>F12/17</v>
          </cell>
          <cell r="HB334" t="str">
            <v>F12/18</v>
          </cell>
          <cell r="HC334" t="str">
            <v>F12/19</v>
          </cell>
          <cell r="HD334" t="str">
            <v>F12/20</v>
          </cell>
          <cell r="HE334" t="str">
            <v>F12/21</v>
          </cell>
          <cell r="HF334" t="str">
            <v>F12/22</v>
          </cell>
          <cell r="HG334" t="str">
            <v>F12/23</v>
          </cell>
          <cell r="HH334" t="str">
            <v>F12/24</v>
          </cell>
          <cell r="HI334" t="str">
            <v>F12/25</v>
          </cell>
          <cell r="HJ334" t="str">
            <v>F12/26</v>
          </cell>
          <cell r="HK334" t="str">
            <v>F12/27</v>
          </cell>
          <cell r="HL334" t="str">
            <v>F12/28</v>
          </cell>
          <cell r="HM334" t="str">
            <v>F12/29</v>
          </cell>
          <cell r="HN334" t="str">
            <v>F12/30</v>
          </cell>
          <cell r="HO334" t="str">
            <v>F12/31</v>
          </cell>
          <cell r="HP334" t="str">
            <v>F12/32</v>
          </cell>
          <cell r="HQ334" t="str">
            <v>F12/33</v>
          </cell>
          <cell r="HR334" t="str">
            <v>F12/34</v>
          </cell>
          <cell r="HS334" t="str">
            <v>F12/35</v>
          </cell>
          <cell r="HT334" t="str">
            <v>F12/36</v>
          </cell>
          <cell r="HU334" t="str">
            <v>F12/37</v>
          </cell>
          <cell r="HV334" t="str">
            <v>F12/38</v>
          </cell>
          <cell r="HW334" t="str">
            <v>F12/39</v>
          </cell>
          <cell r="HX334" t="str">
            <v>F12/40</v>
          </cell>
          <cell r="HY334" t="str">
            <v>F12/41</v>
          </cell>
          <cell r="HZ334" t="str">
            <v>F12/42</v>
          </cell>
          <cell r="IA334" t="str">
            <v>F12/43</v>
          </cell>
          <cell r="IB334" t="str">
            <v>F12/44</v>
          </cell>
          <cell r="IC334" t="str">
            <v>F12/45</v>
          </cell>
          <cell r="ID334" t="str">
            <v>F12/46</v>
          </cell>
          <cell r="IE334" t="str">
            <v>F12/47</v>
          </cell>
          <cell r="IF334" t="str">
            <v>F12/48</v>
          </cell>
          <cell r="IG334" t="str">
            <v>F12/49</v>
          </cell>
          <cell r="IH334" t="str">
            <v>F12/50</v>
          </cell>
          <cell r="II334" t="str">
            <v>F12/51</v>
          </cell>
          <cell r="IJ334" t="str">
            <v>F12/52</v>
          </cell>
          <cell r="IK334" t="str">
            <v>F12/53</v>
          </cell>
          <cell r="IL334" t="str">
            <v>F12/54</v>
          </cell>
          <cell r="IM334" t="str">
            <v>F12/55</v>
          </cell>
          <cell r="IN334" t="str">
            <v>F12/56</v>
          </cell>
          <cell r="IO334" t="str">
            <v>F12/57</v>
          </cell>
          <cell r="IP334" t="str">
            <v>F12/58</v>
          </cell>
          <cell r="IQ334" t="str">
            <v>F12/59</v>
          </cell>
          <cell r="IR334" t="str">
            <v>F12/60</v>
          </cell>
        </row>
        <row r="335">
          <cell r="B335" t="str">
            <v>English</v>
          </cell>
          <cell r="C335" t="str">
            <v>F11/12</v>
          </cell>
          <cell r="D335" t="str">
            <v>F12/12</v>
          </cell>
          <cell r="E335" t="str">
            <v>F13/12</v>
          </cell>
          <cell r="F335" t="str">
            <v>F14/12</v>
          </cell>
          <cell r="G335" t="str">
            <v>F15/12</v>
          </cell>
          <cell r="H335" t="str">
            <v>F16/12</v>
          </cell>
          <cell r="I335" t="str">
            <v>F17/12</v>
          </cell>
          <cell r="J335" t="str">
            <v>F18/12</v>
          </cell>
          <cell r="K335" t="str">
            <v>F19/12</v>
          </cell>
          <cell r="L335" t="str">
            <v>F20/12</v>
          </cell>
          <cell r="M335" t="str">
            <v>F21/12</v>
          </cell>
          <cell r="N335" t="str">
            <v>F22/12</v>
          </cell>
          <cell r="O335" t="str">
            <v>F23/12</v>
          </cell>
          <cell r="P335" t="str">
            <v>F24/12</v>
          </cell>
          <cell r="Q335" t="str">
            <v>F25/12</v>
          </cell>
          <cell r="R335" t="str">
            <v>F26/12</v>
          </cell>
          <cell r="S335" t="str">
            <v>F27/12</v>
          </cell>
          <cell r="T335" t="str">
            <v>F28/12</v>
          </cell>
          <cell r="U335" t="str">
            <v>F29/12</v>
          </cell>
          <cell r="V335" t="str">
            <v>F30/12</v>
          </cell>
          <cell r="W335" t="str">
            <v>F31/12</v>
          </cell>
          <cell r="X335" t="str">
            <v>F32/12</v>
          </cell>
          <cell r="Y335" t="str">
            <v>F33/12</v>
          </cell>
          <cell r="Z335" t="str">
            <v>F34/12</v>
          </cell>
          <cell r="AA335" t="str">
            <v>F35/12</v>
          </cell>
          <cell r="AB335" t="str">
            <v>F36/12</v>
          </cell>
          <cell r="AC335" t="str">
            <v>F37/12</v>
          </cell>
          <cell r="AD335" t="str">
            <v>F38/12</v>
          </cell>
          <cell r="AE335" t="str">
            <v>F39/12</v>
          </cell>
          <cell r="AF335" t="str">
            <v>F40/12</v>
          </cell>
          <cell r="AG335" t="str">
            <v>F41/12</v>
          </cell>
          <cell r="AH335" t="str">
            <v>F42/12</v>
          </cell>
          <cell r="AI335" t="str">
            <v>F43/12</v>
          </cell>
          <cell r="AJ335" t="str">
            <v>F44/12</v>
          </cell>
          <cell r="AK335" t="str">
            <v>F45/12</v>
          </cell>
          <cell r="AL335" t="str">
            <v>F46/12</v>
          </cell>
          <cell r="AM335" t="str">
            <v>F47/12</v>
          </cell>
          <cell r="AN335" t="str">
            <v>F48/12</v>
          </cell>
          <cell r="AO335" t="str">
            <v>F49/12</v>
          </cell>
          <cell r="AP335" t="str">
            <v>F50/12</v>
          </cell>
          <cell r="AQ335" t="str">
            <v>F51/12</v>
          </cell>
          <cell r="AR335" t="str">
            <v>F52/12</v>
          </cell>
          <cell r="AS335" t="str">
            <v>F53/12</v>
          </cell>
          <cell r="AT335" t="str">
            <v>F54/12</v>
          </cell>
          <cell r="AU335" t="str">
            <v>F55/12</v>
          </cell>
          <cell r="AV335" t="str">
            <v>F56/12</v>
          </cell>
          <cell r="AW335" t="str">
            <v>F57/12</v>
          </cell>
          <cell r="AX335" t="str">
            <v>F58/12</v>
          </cell>
          <cell r="AY335" t="str">
            <v>F59/12</v>
          </cell>
          <cell r="AZ335" t="str">
            <v>F60/12</v>
          </cell>
          <cell r="BA335" t="str">
            <v>F61/12</v>
          </cell>
          <cell r="BB335" t="str">
            <v>F62/12</v>
          </cell>
          <cell r="BC335" t="str">
            <v>F63/12</v>
          </cell>
          <cell r="BD335" t="str">
            <v>F64/12</v>
          </cell>
          <cell r="BE335" t="str">
            <v>F65/12</v>
          </cell>
          <cell r="BF335" t="str">
            <v>F66/12</v>
          </cell>
          <cell r="BG335" t="str">
            <v>F67/12</v>
          </cell>
          <cell r="BH335" t="str">
            <v>F68/12</v>
          </cell>
          <cell r="BI335" t="str">
            <v>F69/12</v>
          </cell>
          <cell r="BJ335" t="str">
            <v>F70/12</v>
          </cell>
          <cell r="BK335" t="str">
            <v>F71/12</v>
          </cell>
          <cell r="BL335" t="str">
            <v>F72/12</v>
          </cell>
          <cell r="BM335" t="str">
            <v>F73/12</v>
          </cell>
          <cell r="BN335" t="str">
            <v>F74/12</v>
          </cell>
          <cell r="BO335" t="str">
            <v>F75/12</v>
          </cell>
          <cell r="BP335" t="str">
            <v>F76/12</v>
          </cell>
          <cell r="BQ335" t="str">
            <v>F77/12</v>
          </cell>
          <cell r="BR335" t="str">
            <v>F78/12</v>
          </cell>
          <cell r="BS335" t="str">
            <v>F79/12</v>
          </cell>
          <cell r="BT335" t="str">
            <v>F80/12</v>
          </cell>
          <cell r="BU335" t="str">
            <v>F81/12</v>
          </cell>
          <cell r="BV335" t="str">
            <v>F82/12</v>
          </cell>
          <cell r="BW335" t="str">
            <v>F83/12</v>
          </cell>
          <cell r="BX335" t="str">
            <v>F84/12</v>
          </cell>
          <cell r="BY335" t="str">
            <v>F85/12</v>
          </cell>
          <cell r="BZ335" t="str">
            <v>F86/12</v>
          </cell>
          <cell r="CA335" t="str">
            <v>F87/12</v>
          </cell>
          <cell r="CB335" t="str">
            <v>F88/12</v>
          </cell>
          <cell r="CC335" t="str">
            <v>F89/12</v>
          </cell>
          <cell r="CD335" t="str">
            <v>F90/12</v>
          </cell>
          <cell r="CE335" t="str">
            <v>F91/12</v>
          </cell>
          <cell r="CF335" t="str">
            <v>F92/12</v>
          </cell>
          <cell r="CG335" t="str">
            <v>F93/12</v>
          </cell>
          <cell r="CH335" t="str">
            <v>F94/12</v>
          </cell>
          <cell r="CI335" t="str">
            <v>F95/12</v>
          </cell>
          <cell r="CJ335" t="str">
            <v>F96/12</v>
          </cell>
          <cell r="CK335" t="str">
            <v>F97/12</v>
          </cell>
          <cell r="CL335" t="str">
            <v>F98/12</v>
          </cell>
          <cell r="CM335" t="str">
            <v>F99/12</v>
          </cell>
          <cell r="CN335" t="str">
            <v>F00/12</v>
          </cell>
          <cell r="CO335" t="str">
            <v>F01/12</v>
          </cell>
          <cell r="CP335" t="str">
            <v>F02/12</v>
          </cell>
          <cell r="CQ335" t="str">
            <v>F03/12</v>
          </cell>
          <cell r="CR335" t="str">
            <v>F04/12</v>
          </cell>
          <cell r="CS335" t="str">
            <v>F05/12</v>
          </cell>
          <cell r="CT335" t="str">
            <v>F06/12</v>
          </cell>
          <cell r="CU335" t="str">
            <v>F07/12</v>
          </cell>
          <cell r="CV335" t="str">
            <v>F08/12</v>
          </cell>
          <cell r="CW335" t="str">
            <v>F09/12</v>
          </cell>
          <cell r="CX335" t="str">
            <v>F10/12</v>
          </cell>
          <cell r="CY335" t="str">
            <v>F11/12</v>
          </cell>
          <cell r="CZ335" t="str">
            <v>F12/12</v>
          </cell>
          <cell r="DA335" t="str">
            <v>F13/12</v>
          </cell>
          <cell r="DB335" t="str">
            <v>F14/12</v>
          </cell>
          <cell r="DC335" t="str">
            <v>F15/12</v>
          </cell>
          <cell r="DD335" t="str">
            <v>F16/12</v>
          </cell>
          <cell r="DE335" t="str">
            <v>F17/12</v>
          </cell>
          <cell r="DF335" t="str">
            <v>F18/12</v>
          </cell>
          <cell r="DG335" t="str">
            <v>F19/12</v>
          </cell>
          <cell r="DH335" t="str">
            <v>F20/12</v>
          </cell>
          <cell r="DI335" t="str">
            <v>F21/12</v>
          </cell>
          <cell r="DJ335" t="str">
            <v>F22/12</v>
          </cell>
          <cell r="DK335" t="str">
            <v>F23/12</v>
          </cell>
          <cell r="DL335" t="str">
            <v>F24/12</v>
          </cell>
          <cell r="DM335" t="str">
            <v>F25/12</v>
          </cell>
          <cell r="DN335" t="str">
            <v>F26/12</v>
          </cell>
          <cell r="DO335" t="str">
            <v>F27/12</v>
          </cell>
          <cell r="DP335" t="str">
            <v>F28/12</v>
          </cell>
          <cell r="DQ335" t="str">
            <v>F29/12</v>
          </cell>
          <cell r="DR335" t="str">
            <v>F30/12</v>
          </cell>
          <cell r="DS335" t="str">
            <v>F31/12</v>
          </cell>
          <cell r="DT335" t="str">
            <v>F32/12</v>
          </cell>
          <cell r="DU335" t="str">
            <v>F33/12</v>
          </cell>
          <cell r="DV335" t="str">
            <v>F34/12</v>
          </cell>
          <cell r="DW335" t="str">
            <v>F35/12</v>
          </cell>
          <cell r="DX335" t="str">
            <v>F36/12</v>
          </cell>
          <cell r="DY335" t="str">
            <v>F37/12</v>
          </cell>
          <cell r="DZ335" t="str">
            <v>F38/12</v>
          </cell>
          <cell r="EA335" t="str">
            <v>F39/12</v>
          </cell>
          <cell r="EB335" t="str">
            <v>F40/12</v>
          </cell>
          <cell r="EC335" t="str">
            <v>F41/12</v>
          </cell>
          <cell r="ED335" t="str">
            <v>F42/12</v>
          </cell>
          <cell r="EE335" t="str">
            <v>F43/12</v>
          </cell>
          <cell r="EF335" t="str">
            <v>F44/12</v>
          </cell>
          <cell r="EG335" t="str">
            <v>F45/12</v>
          </cell>
          <cell r="EH335" t="str">
            <v>F46/12</v>
          </cell>
          <cell r="EI335" t="str">
            <v>F47/12</v>
          </cell>
          <cell r="EJ335" t="str">
            <v>F48/12</v>
          </cell>
          <cell r="EK335" t="str">
            <v>F49/12</v>
          </cell>
          <cell r="EL335" t="str">
            <v>F50/12</v>
          </cell>
          <cell r="EM335" t="str">
            <v>F51/12</v>
          </cell>
          <cell r="EN335" t="str">
            <v>F52/12</v>
          </cell>
          <cell r="EO335" t="str">
            <v>F53/12</v>
          </cell>
          <cell r="EP335" t="str">
            <v>F54/12</v>
          </cell>
          <cell r="EQ335" t="str">
            <v>F55/12</v>
          </cell>
          <cell r="ER335" t="str">
            <v>F56/12</v>
          </cell>
          <cell r="ES335" t="str">
            <v>F57/12</v>
          </cell>
          <cell r="ET335" t="str">
            <v>F58/12</v>
          </cell>
          <cell r="EU335" t="str">
            <v>F59/12</v>
          </cell>
          <cell r="EV335" t="str">
            <v>F60/12</v>
          </cell>
          <cell r="EW335" t="str">
            <v>F61/12</v>
          </cell>
          <cell r="EX335" t="str">
            <v>F62/12</v>
          </cell>
          <cell r="EY335" t="str">
            <v>F63/12</v>
          </cell>
          <cell r="EZ335" t="str">
            <v>F64/12</v>
          </cell>
          <cell r="FA335" t="str">
            <v>F65/12</v>
          </cell>
          <cell r="FB335" t="str">
            <v>F66/12</v>
          </cell>
          <cell r="FC335" t="str">
            <v>F67/12</v>
          </cell>
          <cell r="FD335" t="str">
            <v>F68/12</v>
          </cell>
          <cell r="FE335" t="str">
            <v>F69/12</v>
          </cell>
          <cell r="FF335" t="str">
            <v>F70/12</v>
          </cell>
          <cell r="FG335" t="str">
            <v>F71/12</v>
          </cell>
          <cell r="FH335" t="str">
            <v>F72/12</v>
          </cell>
          <cell r="FI335" t="str">
            <v>F73/12</v>
          </cell>
          <cell r="FJ335" t="str">
            <v>F74/12</v>
          </cell>
          <cell r="FK335" t="str">
            <v>F75/12</v>
          </cell>
          <cell r="FL335" t="str">
            <v>F76/12</v>
          </cell>
          <cell r="FM335" t="str">
            <v>F77/12</v>
          </cell>
          <cell r="FN335" t="str">
            <v>F78/12</v>
          </cell>
          <cell r="FO335" t="str">
            <v>F79/12</v>
          </cell>
          <cell r="FP335" t="str">
            <v>F80/12</v>
          </cell>
          <cell r="FQ335" t="str">
            <v>F81/12</v>
          </cell>
          <cell r="FR335" t="str">
            <v>F82/12</v>
          </cell>
          <cell r="FS335" t="str">
            <v>F83/12</v>
          </cell>
          <cell r="FT335" t="str">
            <v>F84/12</v>
          </cell>
          <cell r="FU335" t="str">
            <v>F85/12</v>
          </cell>
          <cell r="FV335" t="str">
            <v>F86/12</v>
          </cell>
          <cell r="FW335" t="str">
            <v>F87/12</v>
          </cell>
          <cell r="FX335" t="str">
            <v>F88/12</v>
          </cell>
          <cell r="FY335" t="str">
            <v>F89/12</v>
          </cell>
          <cell r="FZ335" t="str">
            <v>F90/12</v>
          </cell>
          <cell r="GA335" t="str">
            <v>F91/12</v>
          </cell>
          <cell r="GB335" t="str">
            <v>F92/12</v>
          </cell>
          <cell r="GC335" t="str">
            <v>F93/12</v>
          </cell>
          <cell r="GD335" t="str">
            <v>F94/12</v>
          </cell>
          <cell r="GE335" t="str">
            <v>F95/12</v>
          </cell>
          <cell r="GF335" t="str">
            <v>F96/12</v>
          </cell>
          <cell r="GG335" t="str">
            <v>F97/12</v>
          </cell>
          <cell r="GH335" t="str">
            <v>F98/12</v>
          </cell>
          <cell r="GI335" t="str">
            <v>F99/12</v>
          </cell>
          <cell r="GJ335" t="str">
            <v>F00/12</v>
          </cell>
          <cell r="GK335" t="str">
            <v>F01/12</v>
          </cell>
          <cell r="GL335" t="str">
            <v>F02/12</v>
          </cell>
          <cell r="GM335" t="str">
            <v>F03/12</v>
          </cell>
          <cell r="GN335" t="str">
            <v>F04/12</v>
          </cell>
          <cell r="GO335" t="str">
            <v>F05/12</v>
          </cell>
          <cell r="GP335" t="str">
            <v>F06/12</v>
          </cell>
          <cell r="GQ335" t="str">
            <v>F07/12</v>
          </cell>
          <cell r="GR335" t="str">
            <v>F08/12</v>
          </cell>
          <cell r="GS335" t="str">
            <v>F09/12</v>
          </cell>
          <cell r="GT335" t="str">
            <v>F10/12</v>
          </cell>
          <cell r="GU335" t="str">
            <v>F11/12</v>
          </cell>
          <cell r="GV335" t="str">
            <v>F12/12</v>
          </cell>
          <cell r="GW335" t="str">
            <v>F13/12</v>
          </cell>
          <cell r="GX335" t="str">
            <v>F14/12</v>
          </cell>
          <cell r="GY335" t="str">
            <v>F15/12</v>
          </cell>
          <cell r="GZ335" t="str">
            <v>F16/12</v>
          </cell>
          <cell r="HA335" t="str">
            <v>F17/12</v>
          </cell>
          <cell r="HB335" t="str">
            <v>F18/12</v>
          </cell>
          <cell r="HC335" t="str">
            <v>F19/12</v>
          </cell>
          <cell r="HD335" t="str">
            <v>F20/12</v>
          </cell>
          <cell r="HE335" t="str">
            <v>F21/12</v>
          </cell>
          <cell r="HF335" t="str">
            <v>F22/12</v>
          </cell>
          <cell r="HG335" t="str">
            <v>F23/12</v>
          </cell>
          <cell r="HH335" t="str">
            <v>F24/12</v>
          </cell>
          <cell r="HI335" t="str">
            <v>F25/12</v>
          </cell>
          <cell r="HJ335" t="str">
            <v>F26/12</v>
          </cell>
          <cell r="HK335" t="str">
            <v>F27/12</v>
          </cell>
          <cell r="HL335" t="str">
            <v>F28/12</v>
          </cell>
          <cell r="HM335" t="str">
            <v>F29/12</v>
          </cell>
          <cell r="HN335" t="str">
            <v>F30/12</v>
          </cell>
          <cell r="HO335" t="str">
            <v>F31/12</v>
          </cell>
          <cell r="HP335" t="str">
            <v>F32/12</v>
          </cell>
          <cell r="HQ335" t="str">
            <v>F33/12</v>
          </cell>
          <cell r="HR335" t="str">
            <v>F34/12</v>
          </cell>
          <cell r="HS335" t="str">
            <v>F35/12</v>
          </cell>
          <cell r="HT335" t="str">
            <v>F36/12</v>
          </cell>
          <cell r="HU335" t="str">
            <v>F37/12</v>
          </cell>
          <cell r="HV335" t="str">
            <v>F38/12</v>
          </cell>
          <cell r="HW335" t="str">
            <v>F39/12</v>
          </cell>
          <cell r="HX335" t="str">
            <v>F40/12</v>
          </cell>
          <cell r="HY335" t="str">
            <v>F41/12</v>
          </cell>
          <cell r="HZ335" t="str">
            <v>F42/12</v>
          </cell>
          <cell r="IA335" t="str">
            <v>F43/12</v>
          </cell>
          <cell r="IB335" t="str">
            <v>F44/12</v>
          </cell>
          <cell r="IC335" t="str">
            <v>F45/12</v>
          </cell>
          <cell r="ID335" t="str">
            <v>F46/12</v>
          </cell>
          <cell r="IE335" t="str">
            <v>F47/12</v>
          </cell>
          <cell r="IF335" t="str">
            <v>F48/12</v>
          </cell>
          <cell r="IG335" t="str">
            <v>F49/12</v>
          </cell>
          <cell r="IH335" t="str">
            <v>F50/12</v>
          </cell>
          <cell r="II335" t="str">
            <v>F51/12</v>
          </cell>
          <cell r="IJ335" t="str">
            <v>F52/12</v>
          </cell>
          <cell r="IK335" t="str">
            <v>F53/12</v>
          </cell>
          <cell r="IL335" t="str">
            <v>F54/12</v>
          </cell>
          <cell r="IM335" t="str">
            <v>F55/12</v>
          </cell>
          <cell r="IN335" t="str">
            <v>F56/12</v>
          </cell>
          <cell r="IO335" t="str">
            <v>F57/12</v>
          </cell>
          <cell r="IP335" t="str">
            <v>F58/12</v>
          </cell>
          <cell r="IQ335" t="str">
            <v>F59/12</v>
          </cell>
          <cell r="IR335" t="str">
            <v>F60/12</v>
          </cell>
        </row>
        <row r="336">
          <cell r="B336" t="str">
            <v>Source: Morgan Stanley Research, ModelWare</v>
          </cell>
        </row>
        <row r="337">
          <cell r="B337" t="str">
            <v>Select Language</v>
          </cell>
          <cell r="C337">
            <v>12</v>
          </cell>
          <cell r="D337">
            <v>12</v>
          </cell>
          <cell r="E337">
            <v>12</v>
          </cell>
          <cell r="F337">
            <v>12</v>
          </cell>
          <cell r="G337">
            <v>12</v>
          </cell>
          <cell r="H337">
            <v>12</v>
          </cell>
          <cell r="I337">
            <v>12</v>
          </cell>
          <cell r="J337">
            <v>12</v>
          </cell>
          <cell r="K337">
            <v>12</v>
          </cell>
          <cell r="L337">
            <v>12</v>
          </cell>
          <cell r="M337">
            <v>12</v>
          </cell>
          <cell r="N337">
            <v>12</v>
          </cell>
          <cell r="O337">
            <v>12</v>
          </cell>
          <cell r="P337">
            <v>12</v>
          </cell>
          <cell r="Q337">
            <v>12</v>
          </cell>
          <cell r="R337">
            <v>12</v>
          </cell>
          <cell r="S337">
            <v>12</v>
          </cell>
          <cell r="T337">
            <v>12</v>
          </cell>
          <cell r="U337">
            <v>12</v>
          </cell>
          <cell r="V337">
            <v>12</v>
          </cell>
          <cell r="W337">
            <v>12</v>
          </cell>
          <cell r="X337">
            <v>12</v>
          </cell>
          <cell r="Y337">
            <v>12</v>
          </cell>
          <cell r="Z337">
            <v>12</v>
          </cell>
          <cell r="AA337">
            <v>12</v>
          </cell>
          <cell r="AB337">
            <v>12</v>
          </cell>
          <cell r="AC337">
            <v>12</v>
          </cell>
          <cell r="AD337">
            <v>12</v>
          </cell>
          <cell r="AE337">
            <v>12</v>
          </cell>
          <cell r="AF337">
            <v>12</v>
          </cell>
          <cell r="AG337">
            <v>12</v>
          </cell>
          <cell r="AH337">
            <v>12</v>
          </cell>
          <cell r="AI337">
            <v>12</v>
          </cell>
          <cell r="AJ337">
            <v>12</v>
          </cell>
          <cell r="AK337">
            <v>12</v>
          </cell>
          <cell r="AL337">
            <v>12</v>
          </cell>
          <cell r="AM337">
            <v>12</v>
          </cell>
          <cell r="AN337">
            <v>12</v>
          </cell>
          <cell r="AO337">
            <v>12</v>
          </cell>
          <cell r="AP337">
            <v>12</v>
          </cell>
          <cell r="AQ337">
            <v>12</v>
          </cell>
          <cell r="AR337">
            <v>12</v>
          </cell>
          <cell r="AS337">
            <v>12</v>
          </cell>
          <cell r="AT337">
            <v>12</v>
          </cell>
          <cell r="AU337">
            <v>12</v>
          </cell>
          <cell r="AV337">
            <v>12</v>
          </cell>
          <cell r="AW337">
            <v>12</v>
          </cell>
          <cell r="AX337">
            <v>12</v>
          </cell>
          <cell r="AY337">
            <v>12</v>
          </cell>
          <cell r="AZ337">
            <v>12</v>
          </cell>
          <cell r="BA337">
            <v>12</v>
          </cell>
          <cell r="BB337">
            <v>12</v>
          </cell>
          <cell r="BC337">
            <v>12</v>
          </cell>
          <cell r="BD337">
            <v>12</v>
          </cell>
          <cell r="BE337">
            <v>12</v>
          </cell>
          <cell r="BF337">
            <v>12</v>
          </cell>
          <cell r="BG337">
            <v>12</v>
          </cell>
          <cell r="BH337">
            <v>12</v>
          </cell>
          <cell r="BI337">
            <v>12</v>
          </cell>
          <cell r="BJ337">
            <v>12</v>
          </cell>
          <cell r="BK337">
            <v>12</v>
          </cell>
          <cell r="BL337">
            <v>12</v>
          </cell>
          <cell r="BM337">
            <v>12</v>
          </cell>
          <cell r="BN337">
            <v>12</v>
          </cell>
          <cell r="BO337">
            <v>12</v>
          </cell>
          <cell r="BP337">
            <v>12</v>
          </cell>
          <cell r="BQ337">
            <v>12</v>
          </cell>
          <cell r="BR337">
            <v>12</v>
          </cell>
          <cell r="BS337">
            <v>12</v>
          </cell>
          <cell r="BT337">
            <v>12</v>
          </cell>
          <cell r="BU337">
            <v>12</v>
          </cell>
          <cell r="BV337">
            <v>12</v>
          </cell>
          <cell r="BW337">
            <v>12</v>
          </cell>
          <cell r="BX337">
            <v>12</v>
          </cell>
          <cell r="BY337">
            <v>12</v>
          </cell>
          <cell r="BZ337">
            <v>12</v>
          </cell>
          <cell r="CA337">
            <v>12</v>
          </cell>
          <cell r="CB337">
            <v>12</v>
          </cell>
          <cell r="CC337">
            <v>12</v>
          </cell>
          <cell r="CD337">
            <v>12</v>
          </cell>
          <cell r="CE337">
            <v>12</v>
          </cell>
          <cell r="CF337">
            <v>12</v>
          </cell>
          <cell r="CG337">
            <v>12</v>
          </cell>
          <cell r="CH337">
            <v>12</v>
          </cell>
          <cell r="CI337">
            <v>12</v>
          </cell>
          <cell r="CJ337">
            <v>12</v>
          </cell>
          <cell r="CK337">
            <v>12</v>
          </cell>
          <cell r="CL337">
            <v>12</v>
          </cell>
          <cell r="CM337">
            <v>12</v>
          </cell>
          <cell r="CN337">
            <v>12</v>
          </cell>
          <cell r="CO337">
            <v>12</v>
          </cell>
          <cell r="CP337">
            <v>12</v>
          </cell>
          <cell r="CQ337">
            <v>12</v>
          </cell>
          <cell r="CR337">
            <v>12</v>
          </cell>
          <cell r="CS337">
            <v>12</v>
          </cell>
          <cell r="CT337">
            <v>12</v>
          </cell>
          <cell r="CU337">
            <v>12</v>
          </cell>
          <cell r="CV337">
            <v>12</v>
          </cell>
          <cell r="CW337">
            <v>12</v>
          </cell>
          <cell r="CX337">
            <v>12</v>
          </cell>
          <cell r="CY337">
            <v>12</v>
          </cell>
          <cell r="CZ337">
            <v>12</v>
          </cell>
          <cell r="DA337">
            <v>12</v>
          </cell>
          <cell r="DB337">
            <v>12</v>
          </cell>
          <cell r="DC337">
            <v>12</v>
          </cell>
          <cell r="DD337">
            <v>12</v>
          </cell>
          <cell r="DE337">
            <v>12</v>
          </cell>
          <cell r="DF337">
            <v>12</v>
          </cell>
          <cell r="DG337">
            <v>12</v>
          </cell>
          <cell r="DH337">
            <v>12</v>
          </cell>
          <cell r="DI337">
            <v>12</v>
          </cell>
          <cell r="DJ337">
            <v>12</v>
          </cell>
          <cell r="DK337">
            <v>12</v>
          </cell>
          <cell r="DL337">
            <v>12</v>
          </cell>
          <cell r="DM337">
            <v>12</v>
          </cell>
          <cell r="DN337">
            <v>12</v>
          </cell>
          <cell r="DO337">
            <v>12</v>
          </cell>
          <cell r="DP337">
            <v>12</v>
          </cell>
          <cell r="DQ337">
            <v>12</v>
          </cell>
          <cell r="DR337">
            <v>12</v>
          </cell>
          <cell r="DS337">
            <v>12</v>
          </cell>
          <cell r="DT337">
            <v>12</v>
          </cell>
          <cell r="DU337">
            <v>12</v>
          </cell>
          <cell r="DV337">
            <v>12</v>
          </cell>
          <cell r="DW337">
            <v>12</v>
          </cell>
          <cell r="DX337">
            <v>12</v>
          </cell>
          <cell r="DY337">
            <v>12</v>
          </cell>
          <cell r="DZ337">
            <v>12</v>
          </cell>
          <cell r="EA337">
            <v>12</v>
          </cell>
          <cell r="EB337">
            <v>12</v>
          </cell>
          <cell r="EC337">
            <v>12</v>
          </cell>
          <cell r="ED337">
            <v>12</v>
          </cell>
          <cell r="EE337">
            <v>12</v>
          </cell>
          <cell r="EF337">
            <v>12</v>
          </cell>
          <cell r="EG337">
            <v>12</v>
          </cell>
          <cell r="EH337">
            <v>12</v>
          </cell>
          <cell r="EI337">
            <v>12</v>
          </cell>
          <cell r="EJ337">
            <v>12</v>
          </cell>
          <cell r="EK337">
            <v>12</v>
          </cell>
          <cell r="EL337">
            <v>12</v>
          </cell>
          <cell r="EM337">
            <v>12</v>
          </cell>
          <cell r="EN337">
            <v>12</v>
          </cell>
          <cell r="EO337">
            <v>12</v>
          </cell>
          <cell r="EP337">
            <v>12</v>
          </cell>
          <cell r="EQ337">
            <v>12</v>
          </cell>
          <cell r="ER337">
            <v>12</v>
          </cell>
          <cell r="ES337">
            <v>12</v>
          </cell>
          <cell r="ET337">
            <v>12</v>
          </cell>
          <cell r="EU337">
            <v>12</v>
          </cell>
          <cell r="EV337">
            <v>12</v>
          </cell>
          <cell r="EW337">
            <v>12</v>
          </cell>
          <cell r="EX337">
            <v>12</v>
          </cell>
          <cell r="EY337">
            <v>12</v>
          </cell>
          <cell r="EZ337">
            <v>12</v>
          </cell>
          <cell r="FA337">
            <v>12</v>
          </cell>
          <cell r="FB337">
            <v>12</v>
          </cell>
          <cell r="FC337">
            <v>12</v>
          </cell>
          <cell r="FD337">
            <v>12</v>
          </cell>
          <cell r="FE337">
            <v>12</v>
          </cell>
          <cell r="FF337">
            <v>12</v>
          </cell>
          <cell r="FG337">
            <v>12</v>
          </cell>
          <cell r="FH337">
            <v>12</v>
          </cell>
          <cell r="FI337">
            <v>12</v>
          </cell>
          <cell r="FJ337">
            <v>12</v>
          </cell>
          <cell r="FK337">
            <v>12</v>
          </cell>
          <cell r="FL337">
            <v>12</v>
          </cell>
          <cell r="FM337">
            <v>12</v>
          </cell>
          <cell r="FN337">
            <v>12</v>
          </cell>
          <cell r="FO337">
            <v>12</v>
          </cell>
          <cell r="FP337">
            <v>12</v>
          </cell>
          <cell r="FQ337">
            <v>12</v>
          </cell>
          <cell r="FR337">
            <v>12</v>
          </cell>
          <cell r="FS337">
            <v>12</v>
          </cell>
          <cell r="FT337">
            <v>12</v>
          </cell>
          <cell r="FU337">
            <v>12</v>
          </cell>
          <cell r="FV337">
            <v>12</v>
          </cell>
          <cell r="FW337">
            <v>12</v>
          </cell>
          <cell r="FX337">
            <v>12</v>
          </cell>
          <cell r="FY337">
            <v>12</v>
          </cell>
          <cell r="FZ337">
            <v>12</v>
          </cell>
          <cell r="GA337">
            <v>12</v>
          </cell>
          <cell r="GB337">
            <v>12</v>
          </cell>
          <cell r="GC337">
            <v>12</v>
          </cell>
          <cell r="GD337">
            <v>12</v>
          </cell>
          <cell r="GE337">
            <v>12</v>
          </cell>
          <cell r="GF337">
            <v>12</v>
          </cell>
          <cell r="GG337">
            <v>12</v>
          </cell>
          <cell r="GH337">
            <v>12</v>
          </cell>
          <cell r="GI337">
            <v>12</v>
          </cell>
          <cell r="GJ337">
            <v>12</v>
          </cell>
          <cell r="GK337">
            <v>12</v>
          </cell>
          <cell r="GL337">
            <v>12</v>
          </cell>
          <cell r="GM337">
            <v>12</v>
          </cell>
          <cell r="GN337">
            <v>12</v>
          </cell>
          <cell r="GO337">
            <v>12</v>
          </cell>
          <cell r="GP337">
            <v>12</v>
          </cell>
          <cell r="GQ337">
            <v>12</v>
          </cell>
          <cell r="GR337">
            <v>12</v>
          </cell>
          <cell r="GS337">
            <v>12</v>
          </cell>
          <cell r="GT337">
            <v>12</v>
          </cell>
          <cell r="GU337">
            <v>12</v>
          </cell>
          <cell r="GV337">
            <v>12</v>
          </cell>
          <cell r="GW337">
            <v>12</v>
          </cell>
          <cell r="GX337">
            <v>12</v>
          </cell>
          <cell r="GY337">
            <v>12</v>
          </cell>
          <cell r="GZ337">
            <v>12</v>
          </cell>
          <cell r="HA337">
            <v>12</v>
          </cell>
          <cell r="HB337">
            <v>12</v>
          </cell>
          <cell r="HC337">
            <v>12</v>
          </cell>
          <cell r="HD337">
            <v>12</v>
          </cell>
          <cell r="HE337">
            <v>12</v>
          </cell>
          <cell r="HF337">
            <v>12</v>
          </cell>
          <cell r="HG337">
            <v>12</v>
          </cell>
          <cell r="HH337">
            <v>12</v>
          </cell>
          <cell r="HI337">
            <v>12</v>
          </cell>
          <cell r="HJ337">
            <v>12</v>
          </cell>
          <cell r="HK337">
            <v>12</v>
          </cell>
          <cell r="HL337">
            <v>12</v>
          </cell>
          <cell r="HM337">
            <v>12</v>
          </cell>
          <cell r="HN337">
            <v>12</v>
          </cell>
          <cell r="HO337">
            <v>12</v>
          </cell>
          <cell r="HP337">
            <v>12</v>
          </cell>
          <cell r="HQ337">
            <v>12</v>
          </cell>
          <cell r="HR337">
            <v>12</v>
          </cell>
          <cell r="HS337">
            <v>12</v>
          </cell>
          <cell r="HT337">
            <v>12</v>
          </cell>
          <cell r="HU337">
            <v>12</v>
          </cell>
          <cell r="HV337">
            <v>12</v>
          </cell>
          <cell r="HW337">
            <v>12</v>
          </cell>
          <cell r="HX337">
            <v>12</v>
          </cell>
          <cell r="HY337">
            <v>12</v>
          </cell>
          <cell r="HZ337">
            <v>12</v>
          </cell>
          <cell r="IA337">
            <v>12</v>
          </cell>
          <cell r="IB337">
            <v>12</v>
          </cell>
          <cell r="IC337">
            <v>12</v>
          </cell>
          <cell r="ID337">
            <v>12</v>
          </cell>
          <cell r="IE337">
            <v>12</v>
          </cell>
          <cell r="IF337">
            <v>12</v>
          </cell>
          <cell r="IG337">
            <v>12</v>
          </cell>
          <cell r="IH337">
            <v>12</v>
          </cell>
          <cell r="II337">
            <v>12</v>
          </cell>
          <cell r="IJ337">
            <v>12</v>
          </cell>
          <cell r="IK337">
            <v>12</v>
          </cell>
          <cell r="IL337">
            <v>12</v>
          </cell>
          <cell r="IM337">
            <v>12</v>
          </cell>
          <cell r="IN337">
            <v>12</v>
          </cell>
          <cell r="IO337">
            <v>12</v>
          </cell>
          <cell r="IP337">
            <v>12</v>
          </cell>
          <cell r="IQ337">
            <v>12</v>
          </cell>
          <cell r="IR337">
            <v>12</v>
          </cell>
        </row>
        <row r="338">
          <cell r="B338" t="str">
            <v>English</v>
          </cell>
        </row>
        <row r="339">
          <cell r="B339" t="str">
            <v>日本語</v>
          </cell>
          <cell r="C339" t="str">
            <v>Explicit
 Period</v>
          </cell>
        </row>
        <row r="340">
          <cell r="B340" t="str">
            <v>IV Per Share (</v>
          </cell>
          <cell r="C340" t="str">
            <v>Transition
 Period</v>
          </cell>
        </row>
        <row r="341">
          <cell r="B341" t="str">
            <v>Month), Ex. Div</v>
          </cell>
          <cell r="C341" t="str">
            <v>Steady 
State</v>
          </cell>
        </row>
        <row r="344">
          <cell r="B344" t="str">
            <v>2010FY</v>
          </cell>
          <cell r="C344" t="str">
            <v>2011FY</v>
          </cell>
          <cell r="D344" t="str">
            <v>2012FY</v>
          </cell>
          <cell r="E344" t="str">
            <v>2013FY</v>
          </cell>
          <cell r="F344" t="str">
            <v>2014FY</v>
          </cell>
          <cell r="G344" t="str">
            <v>2015FY</v>
          </cell>
          <cell r="H344" t="str">
            <v>2016FY</v>
          </cell>
          <cell r="I344" t="str">
            <v>2017FY</v>
          </cell>
          <cell r="J344" t="str">
            <v>2018FY</v>
          </cell>
          <cell r="K344" t="str">
            <v>2019FY</v>
          </cell>
          <cell r="L344" t="str">
            <v>2020FY</v>
          </cell>
          <cell r="M344" t="str">
            <v>2021FY</v>
          </cell>
          <cell r="N344" t="str">
            <v>2022FY</v>
          </cell>
          <cell r="O344" t="str">
            <v>2023FY</v>
          </cell>
          <cell r="P344" t="str">
            <v>2024FY</v>
          </cell>
          <cell r="Q344" t="str">
            <v>2025FY</v>
          </cell>
          <cell r="R344" t="str">
            <v>2026FY</v>
          </cell>
          <cell r="S344" t="str">
            <v>2027FY</v>
          </cell>
          <cell r="T344" t="str">
            <v>2028FY</v>
          </cell>
          <cell r="U344" t="str">
            <v>2029FY</v>
          </cell>
          <cell r="V344" t="str">
            <v>2030FY</v>
          </cell>
          <cell r="W344" t="str">
            <v>2031FY</v>
          </cell>
          <cell r="X344" t="str">
            <v>2032FY</v>
          </cell>
          <cell r="Y344" t="str">
            <v>2033FY</v>
          </cell>
          <cell r="Z344" t="str">
            <v>2034FY</v>
          </cell>
          <cell r="AA344" t="str">
            <v>2035FY</v>
          </cell>
          <cell r="AB344" t="str">
            <v>2036FY</v>
          </cell>
          <cell r="AC344" t="str">
            <v>2037FY</v>
          </cell>
          <cell r="AD344" t="str">
            <v>2038FY</v>
          </cell>
          <cell r="AE344" t="str">
            <v>2039FY</v>
          </cell>
          <cell r="AF344" t="str">
            <v>2040FY</v>
          </cell>
          <cell r="AG344" t="str">
            <v>2041FY</v>
          </cell>
          <cell r="AH344" t="str">
            <v>2042FY</v>
          </cell>
          <cell r="AI344" t="str">
            <v>2043FY</v>
          </cell>
          <cell r="AJ344" t="str">
            <v>2044FY</v>
          </cell>
          <cell r="AK344" t="str">
            <v>2045FY</v>
          </cell>
          <cell r="AL344" t="str">
            <v>2046FY</v>
          </cell>
          <cell r="AM344" t="str">
            <v>2047FY</v>
          </cell>
          <cell r="AN344" t="str">
            <v>2048FY</v>
          </cell>
          <cell r="AO344" t="str">
            <v>2049FY</v>
          </cell>
          <cell r="AP344" t="str">
            <v>2050FY</v>
          </cell>
          <cell r="AQ344" t="str">
            <v>2051FY</v>
          </cell>
          <cell r="AR344" t="str">
            <v>2052FY</v>
          </cell>
          <cell r="AS344" t="str">
            <v>2053FY</v>
          </cell>
          <cell r="AT344" t="str">
            <v>2054FY</v>
          </cell>
          <cell r="AU344" t="str">
            <v>2055FY</v>
          </cell>
          <cell r="AV344" t="str">
            <v>2056FY</v>
          </cell>
          <cell r="AW344" t="str">
            <v>2057FY</v>
          </cell>
          <cell r="AX344" t="str">
            <v>2058FY</v>
          </cell>
          <cell r="AY344" t="str">
            <v>2059FY</v>
          </cell>
          <cell r="AZ344" t="str">
            <v>2060FY</v>
          </cell>
          <cell r="BA344" t="str">
            <v>2061FY</v>
          </cell>
          <cell r="BB344" t="str">
            <v>2062FY</v>
          </cell>
          <cell r="BC344" t="str">
            <v>2063FY</v>
          </cell>
          <cell r="BD344" t="str">
            <v>2064FY</v>
          </cell>
          <cell r="BE344" t="str">
            <v>2065FY</v>
          </cell>
          <cell r="BF344" t="str">
            <v>2066FY</v>
          </cell>
          <cell r="BG344" t="str">
            <v>2067FY</v>
          </cell>
          <cell r="BH344" t="str">
            <v>2068FY</v>
          </cell>
          <cell r="BI344" t="str">
            <v>2069FY</v>
          </cell>
          <cell r="BJ344" t="str">
            <v>2070FY</v>
          </cell>
          <cell r="BK344" t="str">
            <v>2071FY</v>
          </cell>
          <cell r="BL344" t="str">
            <v>2072FY</v>
          </cell>
          <cell r="BM344" t="str">
            <v>2073FY</v>
          </cell>
          <cell r="BN344" t="str">
            <v>2074FY</v>
          </cell>
          <cell r="BO344" t="str">
            <v>2075FY</v>
          </cell>
          <cell r="BP344" t="str">
            <v>2076FY</v>
          </cell>
          <cell r="BQ344" t="str">
            <v>2077FY</v>
          </cell>
          <cell r="BR344" t="str">
            <v>2078FY</v>
          </cell>
          <cell r="BS344" t="str">
            <v>2079FY</v>
          </cell>
          <cell r="BT344" t="str">
            <v>2080FY</v>
          </cell>
          <cell r="BU344" t="str">
            <v>2081FY</v>
          </cell>
          <cell r="BV344" t="str">
            <v>2082FY</v>
          </cell>
          <cell r="BW344" t="str">
            <v>2083FY</v>
          </cell>
          <cell r="BX344" t="str">
            <v>2084FY</v>
          </cell>
          <cell r="BY344" t="str">
            <v>2085FY</v>
          </cell>
          <cell r="BZ344" t="str">
            <v>2086FY</v>
          </cell>
          <cell r="CA344" t="str">
            <v>2087FY</v>
          </cell>
          <cell r="CB344" t="str">
            <v>2088FY</v>
          </cell>
          <cell r="CC344" t="str">
            <v>2089FY</v>
          </cell>
          <cell r="CD344" t="str">
            <v>2090FY</v>
          </cell>
          <cell r="CE344" t="str">
            <v>2091FY</v>
          </cell>
          <cell r="CF344" t="str">
            <v>2092FY</v>
          </cell>
          <cell r="CG344" t="str">
            <v>2093FY</v>
          </cell>
          <cell r="CH344" t="str">
            <v>2094FY</v>
          </cell>
          <cell r="CI344" t="str">
            <v>2095FY</v>
          </cell>
          <cell r="CJ344" t="str">
            <v>2096FY</v>
          </cell>
          <cell r="CK344" t="str">
            <v>2097FY</v>
          </cell>
          <cell r="CL344" t="str">
            <v>2098FY</v>
          </cell>
          <cell r="CM344" t="str">
            <v>2099FY</v>
          </cell>
          <cell r="CN344" t="str">
            <v>2100FY</v>
          </cell>
          <cell r="CO344" t="str">
            <v>2101FY</v>
          </cell>
          <cell r="CP344" t="str">
            <v>2102FY</v>
          </cell>
          <cell r="CQ344" t="str">
            <v>2103FY</v>
          </cell>
          <cell r="CR344" t="str">
            <v>2104FY</v>
          </cell>
          <cell r="CS344" t="str">
            <v>2105FY</v>
          </cell>
          <cell r="CT344" t="str">
            <v>2106FY</v>
          </cell>
          <cell r="CU344" t="str">
            <v>2107FY</v>
          </cell>
          <cell r="CV344" t="str">
            <v>2108FY</v>
          </cell>
          <cell r="CW344" t="str">
            <v>2109FY</v>
          </cell>
          <cell r="CX344" t="str">
            <v>2110FY</v>
          </cell>
          <cell r="CY344" t="str">
            <v>2111FY</v>
          </cell>
          <cell r="CZ344" t="str">
            <v>2112FY</v>
          </cell>
          <cell r="DA344" t="str">
            <v>2113FY</v>
          </cell>
          <cell r="DB344" t="str">
            <v>2114FY</v>
          </cell>
          <cell r="DC344" t="str">
            <v>2115FY</v>
          </cell>
          <cell r="DD344" t="str">
            <v>2116FY</v>
          </cell>
          <cell r="DE344" t="str">
            <v>2117FY</v>
          </cell>
          <cell r="DF344" t="str">
            <v>2118FY</v>
          </cell>
          <cell r="DG344" t="str">
            <v>2119FY</v>
          </cell>
          <cell r="DH344" t="str">
            <v>2120FY</v>
          </cell>
          <cell r="DI344" t="str">
            <v>2121FY</v>
          </cell>
          <cell r="DJ344" t="str">
            <v>2122FY</v>
          </cell>
          <cell r="DK344" t="str">
            <v>2123FY</v>
          </cell>
          <cell r="DL344" t="str">
            <v>2124FY</v>
          </cell>
          <cell r="DM344" t="str">
            <v>2125FY</v>
          </cell>
          <cell r="DN344" t="str">
            <v>2126FY</v>
          </cell>
          <cell r="DO344" t="str">
            <v>2127FY</v>
          </cell>
          <cell r="DP344" t="str">
            <v>2128FY</v>
          </cell>
          <cell r="DQ344" t="str">
            <v>2129FY</v>
          </cell>
          <cell r="DR344" t="str">
            <v>2130FY</v>
          </cell>
          <cell r="DS344" t="str">
            <v>2131FY</v>
          </cell>
          <cell r="DT344" t="str">
            <v>2132FY</v>
          </cell>
          <cell r="DU344" t="str">
            <v>2133FY</v>
          </cell>
          <cell r="DV344" t="str">
            <v>2134FY</v>
          </cell>
          <cell r="DW344" t="str">
            <v>2135FY</v>
          </cell>
          <cell r="DX344" t="str">
            <v>2136FY</v>
          </cell>
          <cell r="DY344" t="str">
            <v>2137FY</v>
          </cell>
          <cell r="DZ344" t="str">
            <v>2138FY</v>
          </cell>
          <cell r="EA344" t="str">
            <v>2139FY</v>
          </cell>
          <cell r="EB344" t="str">
            <v>2140FY</v>
          </cell>
          <cell r="EC344" t="str">
            <v>2141FY</v>
          </cell>
          <cell r="ED344" t="str">
            <v>2142FY</v>
          </cell>
          <cell r="EE344" t="str">
            <v>2143FY</v>
          </cell>
          <cell r="EF344" t="str">
            <v>2144FY</v>
          </cell>
          <cell r="EG344" t="str">
            <v>2145FY</v>
          </cell>
          <cell r="EH344" t="str">
            <v>2146FY</v>
          </cell>
          <cell r="EI344" t="str">
            <v>2147FY</v>
          </cell>
          <cell r="EJ344" t="str">
            <v>2148FY</v>
          </cell>
          <cell r="EK344" t="str">
            <v>2149FY</v>
          </cell>
          <cell r="EL344" t="str">
            <v>2150FY</v>
          </cell>
          <cell r="EM344" t="str">
            <v>2151FY</v>
          </cell>
          <cell r="EN344" t="str">
            <v>2152FY</v>
          </cell>
          <cell r="EO344" t="str">
            <v>2153FY</v>
          </cell>
          <cell r="EP344" t="str">
            <v>2154FY</v>
          </cell>
          <cell r="EQ344" t="str">
            <v>2155FY</v>
          </cell>
          <cell r="ER344" t="str">
            <v>2156FY</v>
          </cell>
          <cell r="ES344" t="str">
            <v>2157FY</v>
          </cell>
          <cell r="ET344" t="str">
            <v>2158FY</v>
          </cell>
          <cell r="EU344" t="str">
            <v>2159FY</v>
          </cell>
          <cell r="EV344" t="str">
            <v>2160FY</v>
          </cell>
          <cell r="EW344" t="str">
            <v>2161FY</v>
          </cell>
          <cell r="EX344" t="str">
            <v>2162FY</v>
          </cell>
          <cell r="EY344" t="str">
            <v>2163FY</v>
          </cell>
          <cell r="EZ344" t="str">
            <v>2164FY</v>
          </cell>
          <cell r="FA344" t="str">
            <v>2165FY</v>
          </cell>
          <cell r="FB344" t="str">
            <v>2166FY</v>
          </cell>
          <cell r="FC344" t="str">
            <v>2167FY</v>
          </cell>
          <cell r="FD344" t="str">
            <v>2168FY</v>
          </cell>
          <cell r="FE344" t="str">
            <v>2169FY</v>
          </cell>
          <cell r="FF344" t="str">
            <v>2170FY</v>
          </cell>
          <cell r="FG344" t="str">
            <v>2171FY</v>
          </cell>
          <cell r="FH344" t="str">
            <v>2172FY</v>
          </cell>
          <cell r="FI344" t="str">
            <v>2173FY</v>
          </cell>
          <cell r="FJ344" t="str">
            <v>2174FY</v>
          </cell>
          <cell r="FK344" t="str">
            <v>2175FY</v>
          </cell>
          <cell r="FL344" t="str">
            <v>2176FY</v>
          </cell>
          <cell r="FM344" t="str">
            <v>2177FY</v>
          </cell>
          <cell r="FN344" t="str">
            <v>2178FY</v>
          </cell>
          <cell r="FO344" t="str">
            <v>2179FY</v>
          </cell>
          <cell r="FP344" t="str">
            <v>2180FY</v>
          </cell>
          <cell r="FQ344" t="str">
            <v>2181FY</v>
          </cell>
          <cell r="FR344" t="str">
            <v>2182FY</v>
          </cell>
          <cell r="FS344" t="str">
            <v>2183FY</v>
          </cell>
          <cell r="FT344" t="str">
            <v>2184FY</v>
          </cell>
          <cell r="FU344" t="str">
            <v>2185FY</v>
          </cell>
          <cell r="FV344" t="str">
            <v>2186FY</v>
          </cell>
          <cell r="FW344" t="str">
            <v>2187FY</v>
          </cell>
          <cell r="FX344" t="str">
            <v>2188FY</v>
          </cell>
          <cell r="FY344" t="str">
            <v>2189FY</v>
          </cell>
          <cell r="FZ344" t="str">
            <v>2190FY</v>
          </cell>
          <cell r="GA344" t="str">
            <v>2191FY</v>
          </cell>
          <cell r="GB344" t="str">
            <v>2192FY</v>
          </cell>
          <cell r="GC344" t="str">
            <v>2193FY</v>
          </cell>
          <cell r="GD344" t="str">
            <v>2194FY</v>
          </cell>
          <cell r="GE344" t="str">
            <v>2195FY</v>
          </cell>
          <cell r="GF344" t="str">
            <v>2196FY</v>
          </cell>
          <cell r="GG344" t="str">
            <v>2197FY</v>
          </cell>
          <cell r="GH344" t="str">
            <v>2198FY</v>
          </cell>
          <cell r="GI344" t="str">
            <v>2199FY</v>
          </cell>
          <cell r="GJ344" t="str">
            <v>2200FY</v>
          </cell>
          <cell r="GK344" t="str">
            <v>2201FY</v>
          </cell>
          <cell r="GL344" t="str">
            <v>2202FY</v>
          </cell>
          <cell r="GM344" t="str">
            <v>2203FY</v>
          </cell>
          <cell r="GN344" t="str">
            <v>2204FY</v>
          </cell>
          <cell r="GO344" t="str">
            <v>2205FY</v>
          </cell>
          <cell r="GP344" t="str">
            <v>2206FY</v>
          </cell>
          <cell r="GQ344" t="str">
            <v>2207FY</v>
          </cell>
          <cell r="GR344" t="str">
            <v>2208FY</v>
          </cell>
          <cell r="GS344" t="str">
            <v>2209FY</v>
          </cell>
          <cell r="GT344" t="str">
            <v>2210FY</v>
          </cell>
          <cell r="GU344" t="str">
            <v>2211FY</v>
          </cell>
          <cell r="GV344" t="str">
            <v>2212FY</v>
          </cell>
          <cell r="GW344" t="str">
            <v>2213FY</v>
          </cell>
          <cell r="GX344" t="str">
            <v>2214FY</v>
          </cell>
          <cell r="GY344" t="str">
            <v>2215FY</v>
          </cell>
          <cell r="GZ344" t="str">
            <v>2216FY</v>
          </cell>
          <cell r="HA344" t="str">
            <v>2217FY</v>
          </cell>
          <cell r="HB344" t="str">
            <v>2218FY</v>
          </cell>
          <cell r="HC344" t="str">
            <v>2219FY</v>
          </cell>
          <cell r="HD344" t="str">
            <v>2220FY</v>
          </cell>
          <cell r="HE344" t="str">
            <v>2221FY</v>
          </cell>
          <cell r="HF344" t="str">
            <v>2222FY</v>
          </cell>
          <cell r="HG344" t="str">
            <v>2223FY</v>
          </cell>
          <cell r="HH344" t="str">
            <v>2224FY</v>
          </cell>
          <cell r="HI344" t="str">
            <v>2225FY</v>
          </cell>
          <cell r="HJ344" t="str">
            <v>2226FY</v>
          </cell>
          <cell r="HK344" t="str">
            <v>2227FY</v>
          </cell>
          <cell r="HL344" t="str">
            <v>2228FY</v>
          </cell>
          <cell r="HM344" t="str">
            <v>2229FY</v>
          </cell>
          <cell r="HN344" t="str">
            <v>2230FY</v>
          </cell>
          <cell r="HO344" t="str">
            <v>2231FY</v>
          </cell>
          <cell r="HP344" t="str">
            <v>2232FY</v>
          </cell>
          <cell r="HQ344" t="str">
            <v>2233FY</v>
          </cell>
          <cell r="HR344" t="str">
            <v>2234FY</v>
          </cell>
          <cell r="HS344" t="str">
            <v>2235FY</v>
          </cell>
          <cell r="HT344" t="str">
            <v>2236FY</v>
          </cell>
          <cell r="HU344" t="str">
            <v>2237FY</v>
          </cell>
          <cell r="HV344" t="str">
            <v>2238FY</v>
          </cell>
          <cell r="HW344" t="str">
            <v>2239FY</v>
          </cell>
          <cell r="HX344" t="str">
            <v>2240FY</v>
          </cell>
          <cell r="HY344" t="str">
            <v>2241FY</v>
          </cell>
          <cell r="HZ344" t="str">
            <v>2242FY</v>
          </cell>
          <cell r="IA344" t="str">
            <v>2243FY</v>
          </cell>
          <cell r="IB344" t="str">
            <v>2244FY</v>
          </cell>
          <cell r="IC344" t="str">
            <v>2245FY</v>
          </cell>
          <cell r="ID344" t="str">
            <v>2246FY</v>
          </cell>
          <cell r="IE344" t="str">
            <v>2247FY</v>
          </cell>
          <cell r="IF344" t="str">
            <v>2248FY</v>
          </cell>
          <cell r="IG344" t="str">
            <v>2249FY</v>
          </cell>
          <cell r="IH344" t="str">
            <v>2250FY</v>
          </cell>
          <cell r="II344" t="str">
            <v>2251FY</v>
          </cell>
          <cell r="IJ344" t="str">
            <v>2252FY</v>
          </cell>
          <cell r="IK344" t="str">
            <v>2253FY</v>
          </cell>
          <cell r="IL344" t="str">
            <v>2254FY</v>
          </cell>
          <cell r="IM344" t="str">
            <v>2255FY</v>
          </cell>
          <cell r="IN344" t="str">
            <v>2256FY</v>
          </cell>
          <cell r="IO344" t="str">
            <v>2257FY</v>
          </cell>
          <cell r="IP344" t="str">
            <v>2258FY</v>
          </cell>
          <cell r="IQ344" t="str">
            <v>2259FY</v>
          </cell>
          <cell r="IR344" t="str">
            <v>2260FY</v>
          </cell>
        </row>
      </sheetData>
      <sheetData sheetId="23">
        <row r="5">
          <cell r="B5" t="str">
            <v>Divisional Revenues (EURm)</v>
          </cell>
          <cell r="C5" t="str">
            <v>FY10A</v>
          </cell>
          <cell r="D5" t="str">
            <v>FY11A</v>
          </cell>
          <cell r="E5" t="str">
            <v>FY12A</v>
          </cell>
          <cell r="F5" t="str">
            <v>FY13E</v>
          </cell>
          <cell r="G5" t="str">
            <v>FY14E</v>
          </cell>
          <cell r="H5" t="str">
            <v>FY15E</v>
          </cell>
          <cell r="I5" t="str">
            <v>FY16E</v>
          </cell>
          <cell r="J5" t="str">
            <v>FY17E</v>
          </cell>
          <cell r="K5" t="str">
            <v>FY18E</v>
          </cell>
          <cell r="L5" t="str">
            <v>FY19E</v>
          </cell>
          <cell r="M5" t="str">
            <v>FY20E</v>
          </cell>
          <cell r="N5" t="str">
            <v>FY21E</v>
          </cell>
          <cell r="O5" t="str">
            <v>FY22E</v>
          </cell>
          <cell r="P5" t="str">
            <v>FY23E</v>
          </cell>
          <cell r="Q5" t="str">
            <v>2011-16e CAGR</v>
          </cell>
          <cell r="R5" t="str">
            <v>2012-17e CAGR</v>
          </cell>
          <cell r="S5" t="str">
            <v>2018-23e CAGR</v>
          </cell>
        </row>
        <row r="6">
          <cell r="B6" t="str">
            <v>Healthcare</v>
          </cell>
          <cell r="C6">
            <v>16913</v>
          </cell>
          <cell r="D6">
            <v>17169</v>
          </cell>
          <cell r="E6">
            <v>18612</v>
          </cell>
          <cell r="F6">
            <v>19329.25220847618</v>
          </cell>
          <cell r="G6">
            <v>21647.448840141427</v>
          </cell>
          <cell r="H6">
            <v>22941.532569637689</v>
          </cell>
          <cell r="I6">
            <v>24324.296692231568</v>
          </cell>
          <cell r="J6">
            <v>25973.045871189908</v>
          </cell>
          <cell r="K6">
            <v>26296.839815103154</v>
          </cell>
          <cell r="L6">
            <v>27005.208648257369</v>
          </cell>
          <cell r="M6">
            <v>28006.973769152901</v>
          </cell>
          <cell r="N6">
            <v>27381.82791572217</v>
          </cell>
          <cell r="O6">
            <v>27362.707352189042</v>
          </cell>
          <cell r="P6">
            <v>27628.829155720003</v>
          </cell>
          <cell r="Q6">
            <v>7.2158661169922755E-2</v>
          </cell>
          <cell r="R6">
            <v>6.8921882220174702E-2</v>
          </cell>
          <cell r="S6">
            <v>9.9311880335219982E-3</v>
          </cell>
        </row>
        <row r="7">
          <cell r="B7" t="str">
            <v>Pharma</v>
          </cell>
          <cell r="C7">
            <v>9954</v>
          </cell>
          <cell r="D7">
            <v>9949</v>
          </cell>
          <cell r="E7">
            <v>10803</v>
          </cell>
          <cell r="F7">
            <v>11480.520936768167</v>
          </cell>
          <cell r="G7">
            <v>13132.540169321141</v>
          </cell>
          <cell r="H7">
            <v>14135.138393844634</v>
          </cell>
          <cell r="I7">
            <v>15250.238201002272</v>
          </cell>
          <cell r="J7">
            <v>16629.880903689111</v>
          </cell>
          <cell r="K7">
            <v>16738.767554328726</v>
          </cell>
          <cell r="L7">
            <v>17223.798548875577</v>
          </cell>
          <cell r="M7">
            <v>18002.542360631047</v>
          </cell>
          <cell r="N7">
            <v>17177.423584459229</v>
          </cell>
          <cell r="O7">
            <v>16951.75547333189</v>
          </cell>
          <cell r="P7">
            <v>17004.628503742078</v>
          </cell>
          <cell r="Q7">
            <v>8.9179451341130811E-2</v>
          </cell>
          <cell r="R7">
            <v>9.0106558617158328E-2</v>
          </cell>
          <cell r="S7">
            <v>3.1565980709717945E-3</v>
          </cell>
        </row>
        <row r="8">
          <cell r="B8" t="str">
            <v>Consumer</v>
          </cell>
          <cell r="C8">
            <v>6959</v>
          </cell>
          <cell r="D8">
            <v>7220</v>
          </cell>
          <cell r="E8">
            <v>7809</v>
          </cell>
          <cell r="F8">
            <v>7848.7312717080149</v>
          </cell>
          <cell r="G8">
            <v>8514.9086708202849</v>
          </cell>
          <cell r="H8">
            <v>8806.3941757930552</v>
          </cell>
          <cell r="I8">
            <v>9074.0584912292943</v>
          </cell>
          <cell r="J8">
            <v>9343.1649675007975</v>
          </cell>
          <cell r="K8">
            <v>9558.0722607744283</v>
          </cell>
          <cell r="L8">
            <v>9781.410099381792</v>
          </cell>
          <cell r="M8">
            <v>10004.431408521854</v>
          </cell>
          <cell r="N8">
            <v>10204.404331262942</v>
          </cell>
          <cell r="O8">
            <v>10410.951878857149</v>
          </cell>
          <cell r="P8">
            <v>10624.200651977924</v>
          </cell>
          <cell r="Q8">
            <v>4.6773875541853416E-2</v>
          </cell>
          <cell r="R8">
            <v>3.6524850863828728E-2</v>
          </cell>
          <cell r="S8">
            <v>2.1374923446766392E-2</v>
          </cell>
        </row>
        <row r="9">
          <cell r="B9" t="str">
            <v>Crop Science</v>
          </cell>
          <cell r="C9">
            <v>6830</v>
          </cell>
          <cell r="D9">
            <v>7255</v>
          </cell>
          <cell r="E9">
            <v>8383</v>
          </cell>
          <cell r="F9">
            <v>9020.2799938583212</v>
          </cell>
          <cell r="G9">
            <v>9861.8534878108858</v>
          </cell>
          <cell r="H9">
            <v>10493.489733806209</v>
          </cell>
          <cell r="I9">
            <v>11180.547621414309</v>
          </cell>
          <cell r="J9">
            <v>11929.144604559118</v>
          </cell>
          <cell r="K9">
            <v>12746.174415178879</v>
          </cell>
          <cell r="L9">
            <v>13639.413274981649</v>
          </cell>
          <cell r="M9">
            <v>14617.641221953032</v>
          </cell>
          <cell r="N9">
            <v>15095.663770190968</v>
          </cell>
          <cell r="O9">
            <v>15591.696835717667</v>
          </cell>
          <cell r="P9">
            <v>16106.498129599118</v>
          </cell>
          <cell r="Q9">
            <v>9.0348001247564369E-2</v>
          </cell>
          <cell r="R9">
            <v>7.3104379741734338E-2</v>
          </cell>
          <cell r="S9">
            <v>4.7910649419297791E-2</v>
          </cell>
        </row>
        <row r="10">
          <cell r="B10" t="str">
            <v>Crop Protection</v>
          </cell>
          <cell r="C10">
            <v>6180</v>
          </cell>
          <cell r="D10">
            <v>6629</v>
          </cell>
          <cell r="E10">
            <v>7703</v>
          </cell>
          <cell r="F10">
            <v>8333.5847908633841</v>
          </cell>
          <cell r="G10">
            <v>9131.6773495738053</v>
          </cell>
          <cell r="H10">
            <v>9741.4083114220157</v>
          </cell>
          <cell r="I10">
            <v>10405.90375635859</v>
          </cell>
          <cell r="J10">
            <v>11131.261423551729</v>
          </cell>
          <cell r="K10">
            <v>11924.354738741267</v>
          </cell>
          <cell r="L10">
            <v>12792.939008250909</v>
          </cell>
          <cell r="M10">
            <v>13745.77272722037</v>
          </cell>
          <cell r="N10">
            <v>14197.639220616325</v>
          </cell>
          <cell r="O10">
            <v>14666.731549655784</v>
          </cell>
          <cell r="P10">
            <v>15153.783884955379</v>
          </cell>
          <cell r="Q10">
            <v>9.4375488182363076E-2</v>
          </cell>
          <cell r="R10">
            <v>7.6407950662267243E-2</v>
          </cell>
          <cell r="S10">
            <v>4.9100853553409651E-2</v>
          </cell>
        </row>
        <row r="11">
          <cell r="B11" t="str">
            <v>Environmental Science / Bioscience</v>
          </cell>
          <cell r="C11">
            <v>650</v>
          </cell>
          <cell r="D11">
            <v>626</v>
          </cell>
          <cell r="E11">
            <v>680</v>
          </cell>
          <cell r="F11">
            <v>686.69520299493661</v>
          </cell>
          <cell r="G11">
            <v>730.17613823708064</v>
          </cell>
          <cell r="H11">
            <v>752.08142238419305</v>
          </cell>
          <cell r="I11">
            <v>774.64386505571883</v>
          </cell>
          <cell r="J11">
            <v>797.88318100739048</v>
          </cell>
          <cell r="K11">
            <v>821.8196764376122</v>
          </cell>
          <cell r="L11">
            <v>846.47426673074062</v>
          </cell>
          <cell r="M11">
            <v>871.86849473266284</v>
          </cell>
          <cell r="N11">
            <v>898.02454957464272</v>
          </cell>
          <cell r="O11">
            <v>924.96528606188201</v>
          </cell>
          <cell r="P11">
            <v>952.71424464373854</v>
          </cell>
          <cell r="Q11">
            <v>4.3531469513027776E-2</v>
          </cell>
          <cell r="R11">
            <v>3.2490536062331987E-2</v>
          </cell>
          <cell r="S11">
            <v>3.0000000000000027E-2</v>
          </cell>
        </row>
        <row r="12">
          <cell r="B12" t="str">
            <v>Material Science</v>
          </cell>
          <cell r="C12">
            <v>10154</v>
          </cell>
          <cell r="D12">
            <v>10832</v>
          </cell>
          <cell r="E12">
            <v>11503</v>
          </cell>
          <cell r="F12">
            <v>11543.19385132826</v>
          </cell>
          <cell r="G12">
            <v>12532.359722586758</v>
          </cell>
          <cell r="H12">
            <v>12826.868859418639</v>
          </cell>
          <cell r="I12">
            <v>12989.328640500264</v>
          </cell>
          <cell r="J12">
            <v>13156.901638618478</v>
          </cell>
          <cell r="K12">
            <v>13539.36037202481</v>
          </cell>
          <cell r="L12">
            <v>13933.593150420245</v>
          </cell>
          <cell r="M12">
            <v>14339.986463279291</v>
          </cell>
          <cell r="N12">
            <v>14758.940423246442</v>
          </cell>
          <cell r="O12">
            <v>15190.869283557162</v>
          </cell>
          <cell r="P12">
            <v>15636.201976563803</v>
          </cell>
          <cell r="Q12">
            <v>3.6992488858999417E-2</v>
          </cell>
          <cell r="R12">
            <v>2.7231909374929364E-2</v>
          </cell>
          <cell r="S12">
            <v>2.9216226832275538E-2</v>
          </cell>
        </row>
        <row r="13">
          <cell r="B13" t="str">
            <v>Polycarbonates</v>
          </cell>
          <cell r="C13">
            <v>2951</v>
          </cell>
          <cell r="D13">
            <v>2893</v>
          </cell>
          <cell r="E13">
            <v>2823</v>
          </cell>
          <cell r="F13">
            <v>2675.1256143605583</v>
          </cell>
          <cell r="G13">
            <v>2866.8547998222607</v>
          </cell>
          <cell r="H13">
            <v>2924.1918958187061</v>
          </cell>
          <cell r="I13">
            <v>2982.6757337350805</v>
          </cell>
          <cell r="J13">
            <v>3042.3292484097819</v>
          </cell>
          <cell r="K13">
            <v>3103.1758333779776</v>
          </cell>
          <cell r="L13">
            <v>3165.2393500455373</v>
          </cell>
          <cell r="M13">
            <v>3228.5441370464482</v>
          </cell>
          <cell r="N13">
            <v>3293.1150197873772</v>
          </cell>
          <cell r="O13">
            <v>3358.9773201831249</v>
          </cell>
          <cell r="P13">
            <v>3426.1568665867876</v>
          </cell>
          <cell r="Q13">
            <v>6.1240294364475201E-3</v>
          </cell>
          <cell r="R13">
            <v>1.5077185652205394E-2</v>
          </cell>
          <cell r="S13">
            <v>2.0000000000000018E-2</v>
          </cell>
        </row>
        <row r="14">
          <cell r="B14" t="str">
            <v>Polyurethanes</v>
          </cell>
          <cell r="C14">
            <v>7203</v>
          </cell>
          <cell r="D14">
            <v>5357</v>
          </cell>
          <cell r="E14">
            <v>5995</v>
          </cell>
          <cell r="F14">
            <v>6164.221167745538</v>
          </cell>
          <cell r="G14">
            <v>6849.3335100930553</v>
          </cell>
          <cell r="H14">
            <v>6986.320180294917</v>
          </cell>
          <cell r="I14">
            <v>6986.320180294917</v>
          </cell>
          <cell r="J14">
            <v>6986.320180294917</v>
          </cell>
          <cell r="K14">
            <v>7195.909785703765</v>
          </cell>
          <cell r="L14">
            <v>7411.7870792748781</v>
          </cell>
          <cell r="M14">
            <v>7634.140691653125</v>
          </cell>
          <cell r="N14">
            <v>7863.164912402719</v>
          </cell>
          <cell r="O14">
            <v>8099.0598597748003</v>
          </cell>
          <cell r="P14">
            <v>8342.0316555680438</v>
          </cell>
          <cell r="Q14">
            <v>5.454560926233798E-2</v>
          </cell>
          <cell r="R14">
            <v>3.1078805101869333E-2</v>
          </cell>
          <cell r="S14">
            <v>3.0000000000000027E-2</v>
          </cell>
        </row>
        <row r="15">
          <cell r="B15" t="str">
            <v>Coatings/Adhesives/Sealants</v>
          </cell>
          <cell r="D15">
            <v>1923</v>
          </cell>
          <cell r="E15">
            <v>1972</v>
          </cell>
          <cell r="F15">
            <v>1972</v>
          </cell>
          <cell r="G15">
            <v>2031.16</v>
          </cell>
          <cell r="H15">
            <v>2092.0948000000003</v>
          </cell>
          <cell r="I15">
            <v>2154.8576440000002</v>
          </cell>
          <cell r="J15">
            <v>2219.5033733200003</v>
          </cell>
          <cell r="K15">
            <v>2286.0884745196004</v>
          </cell>
          <cell r="L15">
            <v>2354.6711287551884</v>
          </cell>
          <cell r="M15">
            <v>2425.311262617844</v>
          </cell>
          <cell r="N15">
            <v>2498.0706004963795</v>
          </cell>
          <cell r="O15">
            <v>2573.012718511271</v>
          </cell>
          <cell r="P15">
            <v>2650.2031000666093</v>
          </cell>
          <cell r="Q15">
            <v>2.302880019826592E-2</v>
          </cell>
          <cell r="R15">
            <v>2.392885001209244E-2</v>
          </cell>
          <cell r="S15">
            <v>3.0000000000000027E-2</v>
          </cell>
        </row>
        <row r="16">
          <cell r="B16" t="str">
            <v>Industrial Operations</v>
          </cell>
          <cell r="D16">
            <v>659</v>
          </cell>
          <cell r="E16">
            <v>713</v>
          </cell>
          <cell r="F16">
            <v>731.84706922216401</v>
          </cell>
          <cell r="G16">
            <v>785.01141267144226</v>
          </cell>
          <cell r="H16">
            <v>824.26198330501438</v>
          </cell>
          <cell r="I16">
            <v>865.47508247026519</v>
          </cell>
          <cell r="J16">
            <v>908.74883659377849</v>
          </cell>
          <cell r="K16">
            <v>954.18627842346746</v>
          </cell>
          <cell r="L16">
            <v>1001.8955923446408</v>
          </cell>
          <cell r="M16">
            <v>1051.9903719618728</v>
          </cell>
          <cell r="N16">
            <v>1104.5898905599665</v>
          </cell>
          <cell r="O16">
            <v>1159.819385087965</v>
          </cell>
          <cell r="P16">
            <v>1217.8103543423633</v>
          </cell>
          <cell r="Q16">
            <v>5.6024103164121541E-2</v>
          </cell>
          <cell r="R16">
            <v>4.9713705583097401E-2</v>
          </cell>
          <cell r="S16">
            <v>5.0000000000000044E-2</v>
          </cell>
        </row>
        <row r="17">
          <cell r="B17" t="str">
            <v>Reconciliation</v>
          </cell>
          <cell r="C17">
            <v>1191</v>
          </cell>
          <cell r="D17">
            <v>1272</v>
          </cell>
          <cell r="E17">
            <v>1262</v>
          </cell>
          <cell r="F17">
            <v>1302.384</v>
          </cell>
          <cell r="G17">
            <v>1344.0602880000001</v>
          </cell>
          <cell r="H17">
            <v>1387.0702172160002</v>
          </cell>
          <cell r="I17">
            <v>1431.4564641669122</v>
          </cell>
          <cell r="J17">
            <v>1477.2630710202534</v>
          </cell>
          <cell r="K17">
            <v>1524.5354892929015</v>
          </cell>
          <cell r="L17">
            <v>1573.3206249502744</v>
          </cell>
          <cell r="M17">
            <v>1623.6668849486832</v>
          </cell>
          <cell r="N17">
            <v>1675.6242252670411</v>
          </cell>
          <cell r="O17">
            <v>1729.2442004755865</v>
          </cell>
          <cell r="P17">
            <v>1784.5800148908054</v>
          </cell>
          <cell r="Q17">
            <v>2.3901564406825226E-2</v>
          </cell>
          <cell r="R17">
            <v>3.2000000000000028E-2</v>
          </cell>
          <cell r="S17">
            <v>3.2000000000000028E-2</v>
          </cell>
        </row>
        <row r="18">
          <cell r="B18" t="str">
            <v>Group</v>
          </cell>
          <cell r="C18">
            <v>35088</v>
          </cell>
          <cell r="D18">
            <v>36528</v>
          </cell>
          <cell r="E18">
            <v>39760</v>
          </cell>
          <cell r="F18">
            <v>41195.110053662756</v>
          </cell>
          <cell r="G18">
            <v>45385.722338539075</v>
          </cell>
          <cell r="H18">
            <v>47648.961380078537</v>
          </cell>
          <cell r="I18">
            <v>49925.629418313052</v>
          </cell>
          <cell r="J18">
            <v>52536.355185387758</v>
          </cell>
          <cell r="K18">
            <v>54106.910091599741</v>
          </cell>
          <cell r="L18">
            <v>56151.535698609536</v>
          </cell>
          <cell r="M18">
            <v>58588.268339333903</v>
          </cell>
          <cell r="N18">
            <v>58912.056334426619</v>
          </cell>
          <cell r="O18">
            <v>59874.517671939459</v>
          </cell>
          <cell r="P18">
            <v>61156.109276773728</v>
          </cell>
          <cell r="Q18">
            <v>6.448496296966022E-2</v>
          </cell>
          <cell r="R18">
            <v>5.7310908029145846E-2</v>
          </cell>
          <cell r="S18">
            <v>2.4796003231658537E-2</v>
          </cell>
        </row>
        <row r="19">
          <cell r="B19" t="str">
            <v>Check</v>
          </cell>
          <cell r="C19">
            <v>0</v>
          </cell>
          <cell r="D19">
            <v>0</v>
          </cell>
          <cell r="E19">
            <v>0</v>
          </cell>
          <cell r="F19">
            <v>0</v>
          </cell>
          <cell r="G19">
            <v>0</v>
          </cell>
          <cell r="H19">
            <v>0</v>
          </cell>
          <cell r="I19">
            <v>0</v>
          </cell>
          <cell r="J19">
            <v>0</v>
          </cell>
          <cell r="K19">
            <v>0</v>
          </cell>
          <cell r="L19">
            <v>0</v>
          </cell>
          <cell r="M19">
            <v>0</v>
          </cell>
          <cell r="N19">
            <v>0</v>
          </cell>
          <cell r="O19">
            <v>0</v>
          </cell>
          <cell r="P19">
            <v>0</v>
          </cell>
        </row>
        <row r="21">
          <cell r="B21" t="str">
            <v>Share %</v>
          </cell>
        </row>
        <row r="23">
          <cell r="B23" t="str">
            <v>Healthcare</v>
          </cell>
          <cell r="C23">
            <v>0.48201664386684906</v>
          </cell>
          <cell r="D23">
            <v>0.47002299605781866</v>
          </cell>
          <cell r="E23">
            <v>0.46810865191146883</v>
          </cell>
          <cell r="F23">
            <v>0.46921229687933724</v>
          </cell>
          <cell r="G23">
            <v>0.47696605286283161</v>
          </cell>
          <cell r="H23">
            <v>0.48146972998301851</v>
          </cell>
          <cell r="I23">
            <v>0.48721061658381926</v>
          </cell>
          <cell r="J23">
            <v>0.49438233352004485</v>
          </cell>
          <cell r="K23">
            <v>0.48601629201490509</v>
          </cell>
          <cell r="L23">
            <v>0.48093446265132317</v>
          </cell>
          <cell r="M23">
            <v>0.47803040716173717</v>
          </cell>
          <cell r="N23">
            <v>0.46479158290254702</v>
          </cell>
          <cell r="O23">
            <v>0.45700088144530865</v>
          </cell>
          <cell r="P23">
            <v>0.45177545600032248</v>
          </cell>
        </row>
        <row r="24">
          <cell r="B24" t="str">
            <v>Pharma</v>
          </cell>
          <cell r="C24">
            <v>0.28368673050615595</v>
          </cell>
          <cell r="D24">
            <v>0.27236640385457733</v>
          </cell>
          <cell r="E24">
            <v>0.27170523138832997</v>
          </cell>
          <cell r="F24">
            <v>0.27868649754335117</v>
          </cell>
          <cell r="G24">
            <v>0.28935399708664999</v>
          </cell>
          <cell r="H24">
            <v>0.29665155303373236</v>
          </cell>
          <cell r="I24">
            <v>0.30545910745009824</v>
          </cell>
          <cell r="J24">
            <v>0.3165404384260459</v>
          </cell>
          <cell r="K24">
            <v>0.30936469160761537</v>
          </cell>
          <cell r="L24">
            <v>0.30673780039291221</v>
          </cell>
          <cell r="M24">
            <v>0.30727213605910303</v>
          </cell>
          <cell r="N24">
            <v>0.29157738930292959</v>
          </cell>
          <cell r="O24">
            <v>0.28312137003278826</v>
          </cell>
          <cell r="P24">
            <v>0.27805281769617429</v>
          </cell>
        </row>
        <row r="25">
          <cell r="B25" t="str">
            <v>Consumer</v>
          </cell>
          <cell r="C25">
            <v>0.19832991336069311</v>
          </cell>
          <cell r="D25">
            <v>0.19765659220324136</v>
          </cell>
          <cell r="E25">
            <v>0.19640342052313883</v>
          </cell>
          <cell r="F25">
            <v>0.19052579933598612</v>
          </cell>
          <cell r="G25">
            <v>0.18761205577618162</v>
          </cell>
          <cell r="H25">
            <v>0.18481817694928612</v>
          </cell>
          <cell r="I25">
            <v>0.18175150913372098</v>
          </cell>
          <cell r="J25">
            <v>0.17784189509399895</v>
          </cell>
          <cell r="K25">
            <v>0.17665160040728969</v>
          </cell>
          <cell r="L25">
            <v>0.17419666225841096</v>
          </cell>
          <cell r="M25">
            <v>0.17075827110263411</v>
          </cell>
          <cell r="N25">
            <v>0.17321419359961746</v>
          </cell>
          <cell r="O25">
            <v>0.17387951141252037</v>
          </cell>
          <cell r="P25">
            <v>0.17372263830414819</v>
          </cell>
        </row>
        <row r="26">
          <cell r="B26" t="str">
            <v>Crop Science</v>
          </cell>
          <cell r="C26">
            <v>0.19465344277245783</v>
          </cell>
          <cell r="D26">
            <v>0.19861476127901884</v>
          </cell>
          <cell r="E26">
            <v>0.2108400402414487</v>
          </cell>
          <cell r="F26">
            <v>0.21896482330325287</v>
          </cell>
          <cell r="G26">
            <v>0.21728977704155078</v>
          </cell>
          <cell r="H26">
            <v>0.22022494152817804</v>
          </cell>
          <cell r="I26">
            <v>0.22394404941268922</v>
          </cell>
          <cell r="J26">
            <v>0.22706456438525527</v>
          </cell>
          <cell r="K26">
            <v>0.23557387390261933</v>
          </cell>
          <cell r="L26">
            <v>0.24290365535486855</v>
          </cell>
          <cell r="M26">
            <v>0.24949775161965851</v>
          </cell>
          <cell r="N26">
            <v>0.2562406527536108</v>
          </cell>
          <cell r="O26">
            <v>0.26040622024124976</v>
          </cell>
          <cell r="P26">
            <v>0.26336695254281245</v>
          </cell>
        </row>
        <row r="27">
          <cell r="B27" t="str">
            <v>Crop Protection</v>
          </cell>
          <cell r="C27">
            <v>0.17612859097127223</v>
          </cell>
          <cell r="D27">
            <v>0.1814772229522558</v>
          </cell>
          <cell r="E27">
            <v>0.19373742454728371</v>
          </cell>
          <cell r="F27">
            <v>0.20229548555660248</v>
          </cell>
          <cell r="G27">
            <v>0.20120154266707976</v>
          </cell>
          <cell r="H27">
            <v>0.20444114686400661</v>
          </cell>
          <cell r="I27">
            <v>0.2084280934982391</v>
          </cell>
          <cell r="J27">
            <v>0.21187730637712246</v>
          </cell>
          <cell r="K27">
            <v>0.22038506206608457</v>
          </cell>
          <cell r="L27">
            <v>0.22782883582946595</v>
          </cell>
          <cell r="M27">
            <v>0.23461647044433959</v>
          </cell>
          <cell r="N27">
            <v>0.24099717619803415</v>
          </cell>
          <cell r="O27">
            <v>0.24495782379436909</v>
          </cell>
          <cell r="P27">
            <v>0.24778855398360966</v>
          </cell>
        </row>
        <row r="28">
          <cell r="B28" t="str">
            <v>Environmental Science / Bioscience</v>
          </cell>
          <cell r="C28">
            <v>1.8524851801185592E-2</v>
          </cell>
          <cell r="D28">
            <v>1.7137538326763031E-2</v>
          </cell>
          <cell r="E28">
            <v>1.7102615694164991E-2</v>
          </cell>
          <cell r="F28">
            <v>1.6669337746650366E-2</v>
          </cell>
          <cell r="G28">
            <v>1.6088234374470999E-2</v>
          </cell>
          <cell r="H28">
            <v>1.5783794664171406E-2</v>
          </cell>
          <cell r="I28">
            <v>1.5515955914450111E-2</v>
          </cell>
          <cell r="J28">
            <v>1.5187258008132821E-2</v>
          </cell>
          <cell r="K28">
            <v>1.518881183653476E-2</v>
          </cell>
          <cell r="L28">
            <v>1.5074819525402608E-2</v>
          </cell>
          <cell r="M28">
            <v>1.4881281175318915E-2</v>
          </cell>
          <cell r="N28">
            <v>1.5243476555576644E-2</v>
          </cell>
          <cell r="O28">
            <v>1.5448396446880647E-2</v>
          </cell>
          <cell r="P28">
            <v>1.5578398559202762E-2</v>
          </cell>
        </row>
        <row r="29">
          <cell r="B29" t="str">
            <v>Material Science</v>
          </cell>
          <cell r="C29">
            <v>0.28938668490652075</v>
          </cell>
          <cell r="D29">
            <v>0.29653964082347789</v>
          </cell>
          <cell r="E29">
            <v>0.2893108651911469</v>
          </cell>
          <cell r="F29">
            <v>0.28020786535808578</v>
          </cell>
          <cell r="G29">
            <v>0.27613000469852528</v>
          </cell>
          <cell r="H29">
            <v>0.26919514062653627</v>
          </cell>
          <cell r="I29">
            <v>0.2601735579869463</v>
          </cell>
          <cell r="J29">
            <v>0.25043422963376577</v>
          </cell>
          <cell r="K29">
            <v>0.25023347940408147</v>
          </cell>
          <cell r="L29">
            <v>0.24814269061505434</v>
          </cell>
          <cell r="M29">
            <v>0.24475866704618024</v>
          </cell>
          <cell r="N29">
            <v>0.25052495773469913</v>
          </cell>
          <cell r="O29">
            <v>0.25371176043187488</v>
          </cell>
          <cell r="P29">
            <v>0.25567685978516336</v>
          </cell>
        </row>
        <row r="30">
          <cell r="B30" t="str">
            <v>Polycarbonates</v>
          </cell>
          <cell r="C30">
            <v>8.4102827177382586E-2</v>
          </cell>
          <cell r="D30">
            <v>7.9199518177836187E-2</v>
          </cell>
          <cell r="E30">
            <v>7.1001006036217298E-2</v>
          </cell>
          <cell r="F30">
            <v>6.4937940713735431E-2</v>
          </cell>
          <cell r="G30">
            <v>6.3166446452872338E-2</v>
          </cell>
          <cell r="H30">
            <v>6.1369478182189213E-2</v>
          </cell>
          <cell r="I30">
            <v>5.9742376180059037E-2</v>
          </cell>
          <cell r="J30">
            <v>5.7909027713745218E-2</v>
          </cell>
          <cell r="K30">
            <v>5.7352671370893067E-2</v>
          </cell>
          <cell r="L30">
            <v>5.6369595428962013E-2</v>
          </cell>
          <cell r="M30">
            <v>5.5105641940929803E-2</v>
          </cell>
          <cell r="N30">
            <v>5.5898829962636516E-2</v>
          </cell>
          <cell r="O30">
            <v>5.6100281902685442E-2</v>
          </cell>
          <cell r="P30">
            <v>5.60231333730054E-2</v>
          </cell>
        </row>
        <row r="31">
          <cell r="B31" t="str">
            <v>Polyurethanes</v>
          </cell>
          <cell r="C31">
            <v>0.20528385772913818</v>
          </cell>
          <cell r="D31">
            <v>0.14665462111257119</v>
          </cell>
          <cell r="E31">
            <v>0.15077967806841047</v>
          </cell>
          <cell r="F31">
            <v>0.14963477848986745</v>
          </cell>
          <cell r="G31">
            <v>0.15091383715351767</v>
          </cell>
          <cell r="H31">
            <v>0.1466206183292762</v>
          </cell>
          <cell r="I31">
            <v>0.13993454387441912</v>
          </cell>
          <cell r="J31">
            <v>0.13298067891542775</v>
          </cell>
          <cell r="K31">
            <v>0.13299428434411656</v>
          </cell>
          <cell r="L31">
            <v>0.13199615980330906</v>
          </cell>
          <cell r="M31">
            <v>0.13030152465741776</v>
          </cell>
          <cell r="N31">
            <v>0.13347293239546448</v>
          </cell>
          <cell r="O31">
            <v>0.13526722510151379</v>
          </cell>
          <cell r="P31">
            <v>0.13640553256608554</v>
          </cell>
        </row>
        <row r="32">
          <cell r="B32" t="str">
            <v>Coatings/Adhesives/Sealants</v>
          </cell>
          <cell r="D32">
            <v>5.2644546649145862E-2</v>
          </cell>
          <cell r="E32">
            <v>4.9597585513078468E-2</v>
          </cell>
          <cell r="F32">
            <v>4.7869759236743796E-2</v>
          </cell>
          <cell r="G32">
            <v>4.4753281325992031E-2</v>
          </cell>
          <cell r="H32">
            <v>4.3906409277468118E-2</v>
          </cell>
          <cell r="I32">
            <v>4.3161351576462732E-2</v>
          </cell>
          <cell r="J32">
            <v>4.224699953942225E-2</v>
          </cell>
          <cell r="K32">
            <v>4.2251321885677637E-2</v>
          </cell>
          <cell r="L32">
            <v>4.1934224940770343E-2</v>
          </cell>
          <cell r="M32">
            <v>4.1395851616074876E-2</v>
          </cell>
          <cell r="N32">
            <v>4.2403384908439777E-2</v>
          </cell>
          <cell r="O32">
            <v>4.2973418718947415E-2</v>
          </cell>
          <cell r="P32">
            <v>4.3335050764472374E-2</v>
          </cell>
        </row>
        <row r="33">
          <cell r="B33" t="str">
            <v>Industrial Operations</v>
          </cell>
          <cell r="D33">
            <v>1.8040954883924661E-2</v>
          </cell>
          <cell r="E33">
            <v>1.7932595573440645E-2</v>
          </cell>
          <cell r="F33">
            <v>1.7765386917739129E-2</v>
          </cell>
          <cell r="G33">
            <v>1.7296439766143229E-2</v>
          </cell>
          <cell r="H33">
            <v>1.7298634837602744E-2</v>
          </cell>
          <cell r="I33">
            <v>1.7335286356005421E-2</v>
          </cell>
          <cell r="J33">
            <v>1.7297523465170536E-2</v>
          </cell>
          <cell r="K33">
            <v>1.7635201803394198E-2</v>
          </cell>
          <cell r="L33">
            <v>1.7842710442012907E-2</v>
          </cell>
          <cell r="M33">
            <v>1.7955648831757792E-2</v>
          </cell>
          <cell r="N33">
            <v>1.8749810468158348E-2</v>
          </cell>
          <cell r="O33">
            <v>1.9370834708728201E-2</v>
          </cell>
          <cell r="P33">
            <v>1.9913143081600047E-2</v>
          </cell>
        </row>
        <row r="34">
          <cell r="B34" t="str">
            <v>Reconciliation</v>
          </cell>
          <cell r="C34">
            <v>3.3943228454172365E-2</v>
          </cell>
          <cell r="D34">
            <v>3.4822601839684622E-2</v>
          </cell>
          <cell r="E34">
            <v>3.1740442655935612E-2</v>
          </cell>
          <cell r="F34">
            <v>3.1615014459324207E-2</v>
          </cell>
          <cell r="G34">
            <v>2.9614165397092239E-2</v>
          </cell>
          <cell r="H34">
            <v>2.9110187862267187E-2</v>
          </cell>
          <cell r="I34">
            <v>2.8671776016545209E-2</v>
          </cell>
          <cell r="J34">
            <v>2.8118872460934124E-2</v>
          </cell>
          <cell r="K34">
            <v>2.8176354678394216E-2</v>
          </cell>
          <cell r="L34">
            <v>2.801919137875394E-2</v>
          </cell>
          <cell r="M34">
            <v>2.7713174172424138E-2</v>
          </cell>
          <cell r="N34">
            <v>2.8442806609143115E-2</v>
          </cell>
          <cell r="O34">
            <v>2.8881137881566717E-2</v>
          </cell>
          <cell r="P34">
            <v>2.9180731671701769E-2</v>
          </cell>
        </row>
        <row r="36">
          <cell r="B36" t="str">
            <v>Key Products (EURm)</v>
          </cell>
          <cell r="C36" t="str">
            <v>FY10A</v>
          </cell>
          <cell r="D36" t="str">
            <v>FY11A</v>
          </cell>
          <cell r="E36" t="str">
            <v>FY12A</v>
          </cell>
          <cell r="F36" t="str">
            <v>FY13E</v>
          </cell>
          <cell r="G36" t="str">
            <v>FY14E</v>
          </cell>
          <cell r="H36" t="str">
            <v>FY15E</v>
          </cell>
          <cell r="I36" t="str">
            <v>FY16E</v>
          </cell>
          <cell r="J36" t="str">
            <v>FY17E</v>
          </cell>
          <cell r="K36" t="str">
            <v>FY18E</v>
          </cell>
          <cell r="L36" t="str">
            <v>FY19E</v>
          </cell>
          <cell r="M36" t="str">
            <v>FY20E</v>
          </cell>
          <cell r="N36" t="str">
            <v>FY21E</v>
          </cell>
          <cell r="O36" t="str">
            <v>FY22E</v>
          </cell>
          <cell r="P36" t="str">
            <v>FY23E</v>
          </cell>
          <cell r="Q36" t="str">
            <v>2011-16e CAGR</v>
          </cell>
          <cell r="R36" t="str">
            <v>2012-17e CAGR</v>
          </cell>
          <cell r="S36" t="str">
            <v>2018-23e CAGR</v>
          </cell>
        </row>
        <row r="38">
          <cell r="B38" t="str">
            <v>Pharma</v>
          </cell>
        </row>
        <row r="39">
          <cell r="B39" t="str">
            <v>Adalat</v>
          </cell>
          <cell r="C39">
            <v>664</v>
          </cell>
          <cell r="D39">
            <v>640</v>
          </cell>
          <cell r="E39">
            <v>670</v>
          </cell>
          <cell r="F39">
            <v>648.84670784512912</v>
          </cell>
          <cell r="G39">
            <v>669.39965454906144</v>
          </cell>
          <cell r="H39">
            <v>649.38129856207411</v>
          </cell>
          <cell r="I39">
            <v>629.96349325469635</v>
          </cell>
          <cell r="J39">
            <v>611.12822210653997</v>
          </cell>
          <cell r="K39">
            <v>598.94808009739882</v>
          </cell>
          <cell r="L39">
            <v>587.01154092844047</v>
          </cell>
          <cell r="M39">
            <v>575.31373254286132</v>
          </cell>
          <cell r="N39">
            <v>575.31373254286132</v>
          </cell>
          <cell r="O39">
            <v>575.31373254286132</v>
          </cell>
          <cell r="P39">
            <v>575.31373254286132</v>
          </cell>
          <cell r="Q39">
            <v>-3.156269647505594E-3</v>
          </cell>
          <cell r="R39">
            <v>-1.8226043331246444E-2</v>
          </cell>
          <cell r="S39">
            <v>-8.0195510212781596E-3</v>
          </cell>
        </row>
        <row r="40">
          <cell r="B40" t="str">
            <v>Avelox</v>
          </cell>
          <cell r="C40">
            <v>497</v>
          </cell>
          <cell r="D40">
            <v>486</v>
          </cell>
          <cell r="E40">
            <v>486</v>
          </cell>
          <cell r="F40">
            <v>451.2703742427957</v>
          </cell>
          <cell r="G40">
            <v>329.99437226561446</v>
          </cell>
          <cell r="H40">
            <v>233.56261778180641</v>
          </cell>
          <cell r="I40">
            <v>180.30507772810739</v>
          </cell>
          <cell r="J40">
            <v>148.35055369588798</v>
          </cell>
          <cell r="K40">
            <v>135.56874408300021</v>
          </cell>
          <cell r="L40">
            <v>135.56874408300021</v>
          </cell>
          <cell r="M40">
            <v>135.56874408300021</v>
          </cell>
          <cell r="N40">
            <v>135.56874408300021</v>
          </cell>
          <cell r="O40">
            <v>135.56874408300021</v>
          </cell>
          <cell r="P40">
            <v>135.56874408300021</v>
          </cell>
          <cell r="Q40">
            <v>-0.17988578864708338</v>
          </cell>
          <cell r="R40">
            <v>-0.21126596716326218</v>
          </cell>
          <cell r="S40">
            <v>0</v>
          </cell>
        </row>
        <row r="41">
          <cell r="B41" t="str">
            <v>Yasmin / Yaz</v>
          </cell>
          <cell r="C41">
            <v>1111</v>
          </cell>
          <cell r="D41">
            <v>1070</v>
          </cell>
          <cell r="E41">
            <v>1045</v>
          </cell>
          <cell r="F41">
            <v>896.56849000199622</v>
          </cell>
          <cell r="G41">
            <v>884.97137337085508</v>
          </cell>
          <cell r="H41">
            <v>840.72280470231226</v>
          </cell>
          <cell r="I41">
            <v>798.68666446719669</v>
          </cell>
          <cell r="J41">
            <v>758.75233124383681</v>
          </cell>
          <cell r="K41">
            <v>720.814714681645</v>
          </cell>
          <cell r="L41">
            <v>684.7739789475628</v>
          </cell>
          <cell r="M41">
            <v>650.53528000018457</v>
          </cell>
          <cell r="N41">
            <v>618.0085160001754</v>
          </cell>
          <cell r="O41">
            <v>587.10809020016654</v>
          </cell>
          <cell r="P41">
            <v>587.10809020016654</v>
          </cell>
          <cell r="Q41">
            <v>-5.6811425747129163E-2</v>
          </cell>
          <cell r="R41">
            <v>-6.2013150606064049E-2</v>
          </cell>
          <cell r="S41">
            <v>-4.0204113647960726E-2</v>
          </cell>
        </row>
        <row r="42">
          <cell r="B42" t="str">
            <v>Mirena</v>
          </cell>
          <cell r="C42">
            <v>539</v>
          </cell>
          <cell r="D42">
            <v>581</v>
          </cell>
          <cell r="E42">
            <v>677</v>
          </cell>
          <cell r="F42">
            <v>689.4254614901796</v>
          </cell>
          <cell r="G42">
            <v>756.87043199967502</v>
          </cell>
          <cell r="H42">
            <v>744.24905177533537</v>
          </cell>
          <cell r="I42">
            <v>707.03659918656854</v>
          </cell>
          <cell r="J42">
            <v>671.68476922724017</v>
          </cell>
          <cell r="K42">
            <v>638.10053076587815</v>
          </cell>
          <cell r="L42">
            <v>606.19550422758414</v>
          </cell>
          <cell r="M42">
            <v>575.88572901620489</v>
          </cell>
          <cell r="N42">
            <v>547.09144256539469</v>
          </cell>
          <cell r="O42">
            <v>519.73687043712494</v>
          </cell>
          <cell r="P42">
            <v>519.73687043712494</v>
          </cell>
          <cell r="Q42">
            <v>4.0047447717250995E-2</v>
          </cell>
          <cell r="R42">
            <v>-1.5751852633053565E-3</v>
          </cell>
          <cell r="S42">
            <v>-4.0204113647960726E-2</v>
          </cell>
        </row>
        <row r="43">
          <cell r="B43" t="str">
            <v>Betaseron</v>
          </cell>
          <cell r="C43">
            <v>1206</v>
          </cell>
          <cell r="D43">
            <v>1117</v>
          </cell>
          <cell r="E43">
            <v>1216</v>
          </cell>
          <cell r="F43">
            <v>1143.8938589874858</v>
          </cell>
          <cell r="G43">
            <v>1097.0979656504269</v>
          </cell>
          <cell r="H43">
            <v>969.55228867006281</v>
          </cell>
          <cell r="I43">
            <v>858.17694180737726</v>
          </cell>
          <cell r="J43">
            <v>760.78329725906883</v>
          </cell>
          <cell r="K43">
            <v>675.49206765518272</v>
          </cell>
          <cell r="L43">
            <v>615.52005054285769</v>
          </cell>
          <cell r="M43">
            <v>560.9390599695098</v>
          </cell>
          <cell r="N43">
            <v>511.2584872950215</v>
          </cell>
          <cell r="O43">
            <v>466.03290522218515</v>
          </cell>
          <cell r="P43">
            <v>466.03290522218515</v>
          </cell>
          <cell r="Q43">
            <v>-5.1352790279147964E-2</v>
          </cell>
          <cell r="R43">
            <v>-8.9530338564516532E-2</v>
          </cell>
          <cell r="S43">
            <v>-7.1548406970185496E-2</v>
          </cell>
        </row>
        <row r="44">
          <cell r="B44" t="str">
            <v>Kogenate</v>
          </cell>
          <cell r="C44">
            <v>1004</v>
          </cell>
          <cell r="D44">
            <v>1075</v>
          </cell>
          <cell r="E44">
            <v>1182</v>
          </cell>
          <cell r="F44">
            <v>1198.905711640863</v>
          </cell>
          <cell r="G44">
            <v>1285.9564099971117</v>
          </cell>
          <cell r="H44">
            <v>1320.7640449612725</v>
          </cell>
          <cell r="I44">
            <v>1356.5404878276431</v>
          </cell>
          <cell r="J44">
            <v>1385.4664783061216</v>
          </cell>
          <cell r="K44">
            <v>1373.6962541497705</v>
          </cell>
          <cell r="L44">
            <v>1362.2791367181103</v>
          </cell>
          <cell r="M44">
            <v>1351.2045328093996</v>
          </cell>
          <cell r="N44">
            <v>1340.4621670179504</v>
          </cell>
          <cell r="O44">
            <v>1330.0420722002445</v>
          </cell>
          <cell r="P44">
            <v>1330.0420722002445</v>
          </cell>
          <cell r="Q44">
            <v>4.7622601189045266E-2</v>
          </cell>
          <cell r="R44">
            <v>3.2275712113037924E-2</v>
          </cell>
          <cell r="S44">
            <v>-6.4380916147573908E-3</v>
          </cell>
        </row>
        <row r="45">
          <cell r="B45" t="str">
            <v>Xarelto</v>
          </cell>
          <cell r="C45">
            <v>66</v>
          </cell>
          <cell r="D45">
            <v>86</v>
          </cell>
          <cell r="E45">
            <v>322</v>
          </cell>
          <cell r="F45">
            <v>828.80372768063341</v>
          </cell>
          <cell r="G45">
            <v>992.50446049674918</v>
          </cell>
          <cell r="H45">
            <v>1193.7007029219096</v>
          </cell>
          <cell r="I45">
            <v>1360.5345978029779</v>
          </cell>
          <cell r="J45">
            <v>1593.7758316546572</v>
          </cell>
          <cell r="K45">
            <v>1791.8315952850137</v>
          </cell>
          <cell r="L45">
            <v>2006.4077527967568</v>
          </cell>
          <cell r="M45">
            <v>2237.2535581170519</v>
          </cell>
          <cell r="N45">
            <v>2354.9056048558332</v>
          </cell>
          <cell r="O45">
            <v>2134.6422000848811</v>
          </cell>
          <cell r="P45">
            <v>2030.3383703611466</v>
          </cell>
          <cell r="Q45">
            <v>0.73716962826474375</v>
          </cell>
          <cell r="R45">
            <v>0.37693764330471824</v>
          </cell>
          <cell r="S45">
            <v>2.5307764894812568E-2</v>
          </cell>
        </row>
        <row r="46">
          <cell r="B46" t="str">
            <v>Nexavar</v>
          </cell>
          <cell r="C46">
            <v>705</v>
          </cell>
          <cell r="D46">
            <v>725</v>
          </cell>
          <cell r="E46">
            <v>792</v>
          </cell>
          <cell r="F46">
            <v>759.25988583693697</v>
          </cell>
          <cell r="G46">
            <v>815.96845640611082</v>
          </cell>
          <cell r="H46">
            <v>840.44751009829417</v>
          </cell>
          <cell r="I46">
            <v>865.66093540124302</v>
          </cell>
          <cell r="J46">
            <v>891.63076346328035</v>
          </cell>
          <cell r="K46">
            <v>918.37968636717881</v>
          </cell>
          <cell r="L46">
            <v>945.93107695819413</v>
          </cell>
          <cell r="M46">
            <v>679.24331815695302</v>
          </cell>
          <cell r="N46">
            <v>422.13277094961887</v>
          </cell>
          <cell r="O46">
            <v>264.69860819105196</v>
          </cell>
          <cell r="P46">
            <v>183.35640373808414</v>
          </cell>
          <cell r="Q46">
            <v>3.6100689235176731E-2</v>
          </cell>
          <cell r="R46">
            <v>2.3981174890583379E-2</v>
          </cell>
          <cell r="S46">
            <v>-0.27547268590733498</v>
          </cell>
        </row>
        <row r="47">
          <cell r="B47" t="str">
            <v>Pipeline</v>
          </cell>
          <cell r="C47">
            <v>0</v>
          </cell>
          <cell r="D47">
            <v>0</v>
          </cell>
          <cell r="E47">
            <v>0</v>
          </cell>
          <cell r="F47">
            <v>118.24000000000001</v>
          </cell>
          <cell r="G47">
            <v>789.70670103092789</v>
          </cell>
          <cell r="H47">
            <v>1294.8</v>
          </cell>
          <cell r="I47">
            <v>2094.6999999999998</v>
          </cell>
          <cell r="J47">
            <v>3278.7534020618555</v>
          </cell>
          <cell r="K47">
            <v>3307.0820000000003</v>
          </cell>
          <cell r="L47">
            <v>3645.0239999999994</v>
          </cell>
          <cell r="M47">
            <v>4530.9840412371141</v>
          </cell>
          <cell r="N47">
            <v>3796.7080000000001</v>
          </cell>
          <cell r="O47">
            <v>3859.5039999999999</v>
          </cell>
          <cell r="P47">
            <v>3917.1000000000004</v>
          </cell>
          <cell r="S47">
            <v>3.4436745052705886E-2</v>
          </cell>
        </row>
        <row r="48">
          <cell r="B48" t="str">
            <v>Other</v>
          </cell>
          <cell r="C48">
            <v>4162</v>
          </cell>
          <cell r="D48">
            <v>4169</v>
          </cell>
          <cell r="E48">
            <v>4413</v>
          </cell>
          <cell r="F48">
            <v>4745.306719042148</v>
          </cell>
          <cell r="G48">
            <v>5510.0703435546066</v>
          </cell>
          <cell r="H48">
            <v>6047.958074371566</v>
          </cell>
          <cell r="I48">
            <v>6398.6334035264617</v>
          </cell>
          <cell r="J48">
            <v>6529.555254670624</v>
          </cell>
          <cell r="K48">
            <v>6578.8538812436582</v>
          </cell>
          <cell r="L48">
            <v>6635.0867636730691</v>
          </cell>
          <cell r="M48">
            <v>6705.6143646987657</v>
          </cell>
          <cell r="N48">
            <v>6875.9741191493731</v>
          </cell>
          <cell r="O48">
            <v>7079.108250370371</v>
          </cell>
          <cell r="P48">
            <v>7260.0313149572612</v>
          </cell>
          <cell r="Q48">
            <v>8.9459441056920719E-2</v>
          </cell>
          <cell r="R48">
            <v>8.1508494266928633E-2</v>
          </cell>
          <cell r="S48">
            <v>1.9900138263117428E-2</v>
          </cell>
        </row>
        <row r="49">
          <cell r="B49" t="str">
            <v>Consumer</v>
          </cell>
        </row>
        <row r="50">
          <cell r="B50" t="str">
            <v>Consumer Care</v>
          </cell>
          <cell r="C50">
            <v>3371</v>
          </cell>
          <cell r="D50">
            <v>3534</v>
          </cell>
          <cell r="E50">
            <v>3853</v>
          </cell>
          <cell r="F50">
            <v>3973.2998285810359</v>
          </cell>
          <cell r="G50">
            <v>4377.8701303579292</v>
          </cell>
          <cell r="H50">
            <v>4569.7626406630807</v>
          </cell>
          <cell r="I50">
            <v>4756.139525679273</v>
          </cell>
          <cell r="J50">
            <v>4940.37245902</v>
          </cell>
          <cell r="K50">
            <v>5079.8463099332439</v>
          </cell>
          <cell r="L50">
            <v>5225.0364764739788</v>
          </cell>
          <cell r="M50">
            <v>5376.1481242566988</v>
          </cell>
          <cell r="N50">
            <v>5501.7915528982994</v>
          </cell>
          <cell r="O50">
            <v>5631.5791432539263</v>
          </cell>
          <cell r="P50">
            <v>5765.6243182752223</v>
          </cell>
          <cell r="Q50">
            <v>6.120089668545492E-2</v>
          </cell>
          <cell r="R50">
            <v>5.097439791028191E-2</v>
          </cell>
          <cell r="S50">
            <v>2.5649927287303642E-2</v>
          </cell>
        </row>
        <row r="51">
          <cell r="B51" t="str">
            <v>Medical Care</v>
          </cell>
          <cell r="C51">
            <v>2468</v>
          </cell>
          <cell r="D51">
            <v>2500</v>
          </cell>
          <cell r="E51">
            <v>2653</v>
          </cell>
          <cell r="F51">
            <v>2560.8559130805597</v>
          </cell>
          <cell r="G51">
            <v>2720.8781810143973</v>
          </cell>
          <cell r="H51">
            <v>2775.1888325838045</v>
          </cell>
          <cell r="I51">
            <v>2809.4403162482163</v>
          </cell>
          <cell r="J51">
            <v>2845.4468388530067</v>
          </cell>
          <cell r="K51">
            <v>2883.1892612518559</v>
          </cell>
          <cell r="L51">
            <v>2922.6957697606458</v>
          </cell>
          <cell r="M51">
            <v>2954.9892313960117</v>
          </cell>
          <cell r="N51">
            <v>2988.7019224993128</v>
          </cell>
          <cell r="O51">
            <v>3023.8182130236182</v>
          </cell>
          <cell r="P51">
            <v>3060.3243075866289</v>
          </cell>
          <cell r="Q51">
            <v>2.3613394795130027E-2</v>
          </cell>
          <cell r="R51">
            <v>1.4104349082455947E-2</v>
          </cell>
          <cell r="S51">
            <v>1.1996149359913444E-2</v>
          </cell>
        </row>
        <row r="52">
          <cell r="B52" t="str">
            <v>Animal Health</v>
          </cell>
          <cell r="C52">
            <v>1120</v>
          </cell>
          <cell r="D52">
            <v>1186</v>
          </cell>
          <cell r="E52">
            <v>1303</v>
          </cell>
          <cell r="F52">
            <v>1314.5755300464184</v>
          </cell>
          <cell r="G52">
            <v>1416.1603594479593</v>
          </cell>
          <cell r="H52">
            <v>1461.4427025461691</v>
          </cell>
          <cell r="I52">
            <v>1508.4786493018055</v>
          </cell>
          <cell r="J52">
            <v>1557.3456696277906</v>
          </cell>
          <cell r="K52">
            <v>1595.0366895893285</v>
          </cell>
          <cell r="L52">
            <v>1633.6778531471666</v>
          </cell>
          <cell r="M52">
            <v>1673.2940528691429</v>
          </cell>
          <cell r="N52">
            <v>1713.9108558653299</v>
          </cell>
          <cell r="O52">
            <v>1755.5545225796047</v>
          </cell>
          <cell r="P52">
            <v>1798.2520261160741</v>
          </cell>
          <cell r="Q52">
            <v>4.9278793743255278E-2</v>
          </cell>
          <cell r="R52">
            <v>3.6306258040914141E-2</v>
          </cell>
          <cell r="S52">
            <v>2.4273592929464183E-2</v>
          </cell>
        </row>
        <row r="54">
          <cell r="B54" t="str">
            <v>Crop Science</v>
          </cell>
        </row>
        <row r="55">
          <cell r="B55" t="str">
            <v>Herbicides</v>
          </cell>
          <cell r="C55">
            <v>1944</v>
          </cell>
          <cell r="D55">
            <v>2079</v>
          </cell>
          <cell r="E55">
            <v>2356</v>
          </cell>
          <cell r="F55">
            <v>2660.8945580620098</v>
          </cell>
          <cell r="G55">
            <v>2879.5443743881956</v>
          </cell>
          <cell r="H55">
            <v>3023.5215931076054</v>
          </cell>
          <cell r="I55">
            <v>3174.6976727629858</v>
          </cell>
          <cell r="J55">
            <v>3333.4325564011351</v>
          </cell>
          <cell r="K55">
            <v>3500.1041842211921</v>
          </cell>
          <cell r="L55">
            <v>3675.1093934322516</v>
          </cell>
          <cell r="M55">
            <v>3858.8648631038645</v>
          </cell>
          <cell r="N55">
            <v>3936.042160365942</v>
          </cell>
          <cell r="O55">
            <v>4014.7630035732609</v>
          </cell>
          <cell r="P55">
            <v>4095.0582636447261</v>
          </cell>
          <cell r="Q55">
            <v>8.8352494145036209E-2</v>
          </cell>
          <cell r="R55">
            <v>7.1872866574937966E-2</v>
          </cell>
          <cell r="S55">
            <v>3.189574745181134E-2</v>
          </cell>
        </row>
        <row r="56">
          <cell r="B56" t="str">
            <v>Fungicides</v>
          </cell>
          <cell r="C56">
            <v>1570</v>
          </cell>
          <cell r="D56">
            <v>1709</v>
          </cell>
          <cell r="E56">
            <v>1974</v>
          </cell>
          <cell r="F56">
            <v>2148.5694629522941</v>
          </cell>
          <cell r="G56">
            <v>2323.0077102993582</v>
          </cell>
          <cell r="H56">
            <v>2462.3881729173199</v>
          </cell>
          <cell r="I56">
            <v>2610.1314632923591</v>
          </cell>
          <cell r="J56">
            <v>2766.7393510899005</v>
          </cell>
          <cell r="K56">
            <v>2932.7437121552948</v>
          </cell>
          <cell r="L56">
            <v>3108.7083348846127</v>
          </cell>
          <cell r="M56">
            <v>3295.2308349776895</v>
          </cell>
          <cell r="N56">
            <v>3394.0877600270201</v>
          </cell>
          <cell r="O56">
            <v>3495.9103928278309</v>
          </cell>
          <cell r="P56">
            <v>3600.7877046126659</v>
          </cell>
          <cell r="Q56">
            <v>8.8388799414955921E-2</v>
          </cell>
          <cell r="R56">
            <v>6.9853273232955759E-2</v>
          </cell>
          <cell r="S56">
            <v>4.1896744232744698E-2</v>
          </cell>
        </row>
        <row r="57">
          <cell r="B57" t="str">
            <v>Insecticides</v>
          </cell>
          <cell r="C57">
            <v>1370</v>
          </cell>
          <cell r="D57">
            <v>1290</v>
          </cell>
          <cell r="E57">
            <v>1514</v>
          </cell>
          <cell r="F57">
            <v>1523.4582808136486</v>
          </cell>
          <cell r="G57">
            <v>1590.9955039322354</v>
          </cell>
          <cell r="H57">
            <v>1622.81541401088</v>
          </cell>
          <cell r="I57">
            <v>1655.2717222910976</v>
          </cell>
          <cell r="J57">
            <v>1688.3771567369197</v>
          </cell>
          <cell r="K57">
            <v>1722.1446998716581</v>
          </cell>
          <cell r="L57">
            <v>1756.5875938690913</v>
          </cell>
          <cell r="M57">
            <v>1791.7193457464732</v>
          </cell>
          <cell r="N57">
            <v>1827.5537326614026</v>
          </cell>
          <cell r="O57">
            <v>1864.1048073146308</v>
          </cell>
          <cell r="P57">
            <v>1901.3869034609233</v>
          </cell>
          <cell r="Q57">
            <v>5.112875541934514E-2</v>
          </cell>
          <cell r="R57">
            <v>2.2041941978499402E-2</v>
          </cell>
          <cell r="S57">
            <v>2.0000000000000018E-2</v>
          </cell>
        </row>
        <row r="58">
          <cell r="B58" t="str">
            <v>Seed Treatment</v>
          </cell>
          <cell r="C58">
            <v>609</v>
          </cell>
          <cell r="D58">
            <v>731</v>
          </cell>
          <cell r="E58">
            <v>897</v>
          </cell>
          <cell r="F58">
            <v>1008.3507441886759</v>
          </cell>
          <cell r="G58">
            <v>1214.8078867358959</v>
          </cell>
          <cell r="H58">
            <v>1397.0290697462801</v>
          </cell>
          <cell r="I58">
            <v>1606.5834302082221</v>
          </cell>
          <cell r="J58">
            <v>1847.5709447394554</v>
          </cell>
          <cell r="K58">
            <v>2124.7065864503734</v>
          </cell>
          <cell r="L58">
            <v>2443.4125744179291</v>
          </cell>
          <cell r="M58">
            <v>2809.9244605806184</v>
          </cell>
          <cell r="N58">
            <v>2950.4206836096496</v>
          </cell>
          <cell r="O58">
            <v>3097.9417177901323</v>
          </cell>
          <cell r="P58">
            <v>3252.8388036796391</v>
          </cell>
          <cell r="Q58">
            <v>0.17056943860486595</v>
          </cell>
          <cell r="R58">
            <v>0.15547814664305348</v>
          </cell>
          <cell r="S58">
            <v>8.8911828874069343E-2</v>
          </cell>
        </row>
        <row r="59">
          <cell r="B59" t="str">
            <v>Bioscience</v>
          </cell>
          <cell r="C59">
            <v>687</v>
          </cell>
          <cell r="D59">
            <v>820</v>
          </cell>
          <cell r="E59">
            <v>962</v>
          </cell>
          <cell r="F59">
            <v>992.31174484675478</v>
          </cell>
          <cell r="G59">
            <v>1123.3218742181193</v>
          </cell>
          <cell r="H59">
            <v>1235.6540616399313</v>
          </cell>
          <cell r="I59">
            <v>1359.2194678039245</v>
          </cell>
          <cell r="J59">
            <v>1495.1414145843171</v>
          </cell>
          <cell r="K59">
            <v>1644.6555560427489</v>
          </cell>
          <cell r="L59">
            <v>1809.121111647024</v>
          </cell>
          <cell r="M59">
            <v>1990.0332228117265</v>
          </cell>
          <cell r="N59">
            <v>2089.5348839523131</v>
          </cell>
          <cell r="O59">
            <v>2194.011628149929</v>
          </cell>
          <cell r="P59">
            <v>2303.7122095574255</v>
          </cell>
          <cell r="Q59">
            <v>0.10635664017991298</v>
          </cell>
          <cell r="R59">
            <v>9.2198158268639085E-2</v>
          </cell>
          <cell r="S59">
            <v>6.9721324782008987E-2</v>
          </cell>
        </row>
        <row r="61">
          <cell r="B61" t="str">
            <v>Material Science</v>
          </cell>
        </row>
        <row r="62">
          <cell r="B62" t="str">
            <v>Polycarbonates</v>
          </cell>
          <cell r="C62">
            <v>2951</v>
          </cell>
          <cell r="D62">
            <v>2893</v>
          </cell>
          <cell r="E62">
            <v>2823</v>
          </cell>
          <cell r="F62">
            <v>2675.1256143605583</v>
          </cell>
          <cell r="G62">
            <v>2866.8547998222607</v>
          </cell>
          <cell r="H62">
            <v>2924.1918958187061</v>
          </cell>
          <cell r="I62">
            <v>2982.6757337350805</v>
          </cell>
          <cell r="J62">
            <v>3042.3292484097819</v>
          </cell>
          <cell r="K62">
            <v>3103.1758333779776</v>
          </cell>
          <cell r="L62">
            <v>3165.2393500455373</v>
          </cell>
          <cell r="M62">
            <v>3228.5441370464482</v>
          </cell>
          <cell r="N62">
            <v>3293.1150197873772</v>
          </cell>
          <cell r="O62">
            <v>3358.9773201831249</v>
          </cell>
          <cell r="P62">
            <v>3426.1568665867876</v>
          </cell>
          <cell r="Q62">
            <v>6.1240294364475201E-3</v>
          </cell>
          <cell r="R62">
            <v>1.5077185652205394E-2</v>
          </cell>
          <cell r="S62">
            <v>2.0000000000000018E-2</v>
          </cell>
        </row>
        <row r="63">
          <cell r="B63" t="str">
            <v>Polyurethanes</v>
          </cell>
          <cell r="C63">
            <v>7203</v>
          </cell>
          <cell r="D63">
            <v>5357</v>
          </cell>
          <cell r="E63">
            <v>5995</v>
          </cell>
          <cell r="F63">
            <v>6164.221167745538</v>
          </cell>
          <cell r="G63">
            <v>6849.3335100930553</v>
          </cell>
          <cell r="H63">
            <v>6986.320180294917</v>
          </cell>
          <cell r="I63">
            <v>6986.320180294917</v>
          </cell>
          <cell r="J63">
            <v>6986.320180294917</v>
          </cell>
          <cell r="K63">
            <v>7195.909785703765</v>
          </cell>
          <cell r="L63">
            <v>7411.7870792748781</v>
          </cell>
          <cell r="M63">
            <v>7634.140691653125</v>
          </cell>
          <cell r="N63">
            <v>7863.164912402719</v>
          </cell>
          <cell r="O63">
            <v>8099.0598597748003</v>
          </cell>
          <cell r="P63">
            <v>8342.0316555680438</v>
          </cell>
          <cell r="Q63">
            <v>5.454560926233798E-2</v>
          </cell>
          <cell r="R63">
            <v>3.1078805101869333E-2</v>
          </cell>
          <cell r="S63">
            <v>3.0000000000000027E-2</v>
          </cell>
        </row>
        <row r="64">
          <cell r="B64" t="str">
            <v>Coatings/Adhesives/Sealants</v>
          </cell>
          <cell r="D64">
            <v>1923</v>
          </cell>
          <cell r="E64">
            <v>1972</v>
          </cell>
          <cell r="F64">
            <v>1972</v>
          </cell>
          <cell r="G64">
            <v>2031.16</v>
          </cell>
          <cell r="H64">
            <v>2092.0948000000003</v>
          </cell>
          <cell r="I64">
            <v>2154.8576440000002</v>
          </cell>
          <cell r="J64">
            <v>2219.5033733200003</v>
          </cell>
          <cell r="K64">
            <v>2286.0884745196004</v>
          </cell>
          <cell r="L64">
            <v>2354.6711287551884</v>
          </cell>
          <cell r="M64">
            <v>2425.311262617844</v>
          </cell>
          <cell r="N64">
            <v>2498.0706004963795</v>
          </cell>
          <cell r="O64">
            <v>2573.012718511271</v>
          </cell>
          <cell r="P64">
            <v>2650.2031000666093</v>
          </cell>
          <cell r="Q64">
            <v>2.302880019826592E-2</v>
          </cell>
          <cell r="R64">
            <v>2.392885001209244E-2</v>
          </cell>
          <cell r="S64">
            <v>3.0000000000000027E-2</v>
          </cell>
        </row>
        <row r="65">
          <cell r="B65" t="str">
            <v>Others</v>
          </cell>
          <cell r="D65">
            <v>659</v>
          </cell>
          <cell r="E65">
            <v>713</v>
          </cell>
          <cell r="F65">
            <v>731.84706922216401</v>
          </cell>
          <cell r="G65">
            <v>785.01141267144226</v>
          </cell>
          <cell r="H65">
            <v>824.26198330501438</v>
          </cell>
          <cell r="I65">
            <v>865.47508247026519</v>
          </cell>
          <cell r="J65">
            <v>908.74883659377849</v>
          </cell>
          <cell r="K65">
            <v>954.18627842346746</v>
          </cell>
          <cell r="L65">
            <v>1001.8955923446408</v>
          </cell>
          <cell r="M65">
            <v>1051.9903719618728</v>
          </cell>
          <cell r="N65">
            <v>1104.5898905599665</v>
          </cell>
          <cell r="O65">
            <v>1159.819385087965</v>
          </cell>
          <cell r="P65">
            <v>1217.8103543423633</v>
          </cell>
          <cell r="Q65">
            <v>5.6024103164121541E-2</v>
          </cell>
          <cell r="R65">
            <v>4.9713705583097401E-2</v>
          </cell>
          <cell r="S65">
            <v>5.0000000000000044E-2</v>
          </cell>
        </row>
        <row r="67">
          <cell r="B67" t="str">
            <v>Reconciliation</v>
          </cell>
          <cell r="C67">
            <v>1191</v>
          </cell>
          <cell r="D67">
            <v>1272</v>
          </cell>
          <cell r="E67">
            <v>1262</v>
          </cell>
          <cell r="F67">
            <v>1302.384</v>
          </cell>
          <cell r="G67">
            <v>1344.0602880000001</v>
          </cell>
          <cell r="H67">
            <v>1387.0702172160002</v>
          </cell>
          <cell r="I67">
            <v>1431.4564641669122</v>
          </cell>
          <cell r="J67">
            <v>1477.2630710202534</v>
          </cell>
          <cell r="K67">
            <v>1524.5354892929015</v>
          </cell>
          <cell r="L67">
            <v>1573.3206249502744</v>
          </cell>
          <cell r="M67">
            <v>1623.6668849486832</v>
          </cell>
          <cell r="N67">
            <v>1675.6242252670411</v>
          </cell>
          <cell r="O67">
            <v>1729.2442004755865</v>
          </cell>
          <cell r="P67">
            <v>1784.5800148908054</v>
          </cell>
          <cell r="Q67">
            <v>2.3901564406825226E-2</v>
          </cell>
          <cell r="R67">
            <v>3.2000000000000028E-2</v>
          </cell>
        </row>
        <row r="69">
          <cell r="B69" t="str">
            <v>(EURm)</v>
          </cell>
          <cell r="C69" t="str">
            <v>FY10A</v>
          </cell>
          <cell r="D69" t="str">
            <v>FY11A</v>
          </cell>
          <cell r="E69" t="str">
            <v>FY12A</v>
          </cell>
          <cell r="F69" t="str">
            <v>FY13E</v>
          </cell>
          <cell r="G69" t="str">
            <v>FY14E</v>
          </cell>
          <cell r="H69" t="str">
            <v>FY15E</v>
          </cell>
          <cell r="I69" t="str">
            <v>FY16E</v>
          </cell>
          <cell r="J69" t="str">
            <v>FY17E</v>
          </cell>
          <cell r="K69" t="str">
            <v>FY18E</v>
          </cell>
          <cell r="L69" t="str">
            <v>FY19E</v>
          </cell>
          <cell r="M69" t="str">
            <v>FY20E</v>
          </cell>
          <cell r="N69" t="str">
            <v>FY21E</v>
          </cell>
          <cell r="O69" t="str">
            <v>FY22E</v>
          </cell>
          <cell r="P69" t="str">
            <v>FY23E</v>
          </cell>
          <cell r="Q69" t="str">
            <v>2011-16e CAGR</v>
          </cell>
          <cell r="R69" t="str">
            <v>2012-17e CAGR</v>
          </cell>
          <cell r="S69" t="str">
            <v>2018-23e CAGR</v>
          </cell>
        </row>
        <row r="70">
          <cell r="B70" t="str">
            <v>Revenues</v>
          </cell>
          <cell r="C70">
            <v>35088</v>
          </cell>
          <cell r="D70">
            <v>36528</v>
          </cell>
          <cell r="E70">
            <v>39760</v>
          </cell>
          <cell r="F70">
            <v>41195.110053662756</v>
          </cell>
          <cell r="G70">
            <v>45385.722338539068</v>
          </cell>
          <cell r="H70">
            <v>47648.961380078537</v>
          </cell>
          <cell r="I70">
            <v>49925.629418313059</v>
          </cell>
          <cell r="J70">
            <v>52536.355185387758</v>
          </cell>
          <cell r="K70">
            <v>54106.910091599741</v>
          </cell>
          <cell r="L70">
            <v>56151.535698609536</v>
          </cell>
          <cell r="M70">
            <v>58588.268339333903</v>
          </cell>
          <cell r="N70">
            <v>58912.056334426619</v>
          </cell>
          <cell r="O70">
            <v>59874.517671939459</v>
          </cell>
          <cell r="P70">
            <v>61156.109276773728</v>
          </cell>
          <cell r="Q70">
            <v>6.4484962969660442E-2</v>
          </cell>
          <cell r="R70">
            <v>5.7310908029145846E-2</v>
          </cell>
          <cell r="S70">
            <v>2.4796003231658537E-2</v>
          </cell>
        </row>
        <row r="72">
          <cell r="B72" t="str">
            <v>COGS</v>
          </cell>
          <cell r="C72">
            <v>-17103</v>
          </cell>
          <cell r="D72">
            <v>-17975</v>
          </cell>
          <cell r="E72">
            <v>-19059</v>
          </cell>
          <cell r="F72">
            <v>-19904.880406421165</v>
          </cell>
          <cell r="G72">
            <v>-21779.322091009144</v>
          </cell>
          <cell r="H72">
            <v>-22840.65672976042</v>
          </cell>
          <cell r="I72">
            <v>-23787.855612232401</v>
          </cell>
          <cell r="J72">
            <v>-24690.095691316656</v>
          </cell>
          <cell r="K72">
            <v>-25579.275679083992</v>
          </cell>
          <cell r="L72">
            <v>-26486.699737181978</v>
          </cell>
          <cell r="M72">
            <v>-27266.523556486904</v>
          </cell>
          <cell r="N72">
            <v>-27837.386077474956</v>
          </cell>
          <cell r="O72">
            <v>-28456.901267358717</v>
          </cell>
          <cell r="P72">
            <v>-29155.8230815315</v>
          </cell>
          <cell r="Q72">
            <v>5.7638566694041327E-2</v>
          </cell>
          <cell r="R72">
            <v>5.3136179047684085E-2</v>
          </cell>
          <cell r="S72">
            <v>2.6519994008576075E-2</v>
          </cell>
        </row>
        <row r="73">
          <cell r="B73" t="str">
            <v>Gross Profit</v>
          </cell>
          <cell r="C73">
            <v>17985</v>
          </cell>
          <cell r="D73">
            <v>18553</v>
          </cell>
          <cell r="E73">
            <v>20701</v>
          </cell>
          <cell r="F73">
            <v>21290.229647241591</v>
          </cell>
          <cell r="G73">
            <v>23606.400247529924</v>
          </cell>
          <cell r="H73">
            <v>24808.304650318118</v>
          </cell>
          <cell r="I73">
            <v>26137.773806080659</v>
          </cell>
          <cell r="J73">
            <v>27846.259494071102</v>
          </cell>
          <cell r="K73">
            <v>28527.634412515748</v>
          </cell>
          <cell r="L73">
            <v>29664.835961427558</v>
          </cell>
          <cell r="M73">
            <v>31321.744782846999</v>
          </cell>
          <cell r="N73">
            <v>31074.670256951664</v>
          </cell>
          <cell r="O73">
            <v>31417.616404580742</v>
          </cell>
          <cell r="P73">
            <v>32000.286195242228</v>
          </cell>
          <cell r="Q73">
            <v>7.0954179729668665E-2</v>
          </cell>
          <cell r="R73">
            <v>6.109705238984553E-2</v>
          </cell>
          <cell r="S73">
            <v>2.3240262474208517E-2</v>
          </cell>
        </row>
        <row r="74">
          <cell r="B74" t="str">
            <v xml:space="preserve">   Margin</v>
          </cell>
          <cell r="C74">
            <v>0.51256839945280441</v>
          </cell>
          <cell r="D74">
            <v>0.5079117389399912</v>
          </cell>
          <cell r="E74">
            <v>0.52064889336016096</v>
          </cell>
          <cell r="F74">
            <v>0.51681448646472605</v>
          </cell>
          <cell r="G74">
            <v>0.52012833620772103</v>
          </cell>
          <cell r="H74">
            <v>0.52064733273892883</v>
          </cell>
          <cell r="I74">
            <v>0.52353418696196041</v>
          </cell>
          <cell r="J74">
            <v>0.53003790224518932</v>
          </cell>
          <cell r="K74">
            <v>0.52724567646203013</v>
          </cell>
          <cell r="L74">
            <v>0.52829963762081289</v>
          </cell>
          <cell r="M74">
            <v>0.53460779215109155</v>
          </cell>
          <cell r="N74">
            <v>0.52747556596140177</v>
          </cell>
          <cell r="O74">
            <v>0.52472433392653095</v>
          </cell>
          <cell r="P74">
            <v>0.52325575602625052</v>
          </cell>
        </row>
        <row r="76">
          <cell r="B76" t="str">
            <v>Selling</v>
          </cell>
          <cell r="C76">
            <v>-8803</v>
          </cell>
          <cell r="D76">
            <v>-8958</v>
          </cell>
          <cell r="E76">
            <v>-9987</v>
          </cell>
          <cell r="F76">
            <v>-8739.1637293730255</v>
          </cell>
          <cell r="G76">
            <v>-9456.8543921391865</v>
          </cell>
          <cell r="H76">
            <v>-9648.955857530058</v>
          </cell>
          <cell r="I76">
            <v>-10371.350520826485</v>
          </cell>
          <cell r="J76">
            <v>-11664.276246151327</v>
          </cell>
          <cell r="K76">
            <v>-11741.897728552107</v>
          </cell>
          <cell r="L76">
            <v>-12048.129132485563</v>
          </cell>
          <cell r="M76">
            <v>-13197.781952197729</v>
          </cell>
          <cell r="N76">
            <v>-12951.633700808179</v>
          </cell>
          <cell r="O76">
            <v>-13148.369920014984</v>
          </cell>
          <cell r="P76">
            <v>-13476.453032830052</v>
          </cell>
          <cell r="Q76">
            <v>2.973352160928977E-2</v>
          </cell>
          <cell r="R76">
            <v>3.1536380353855531E-2</v>
          </cell>
          <cell r="S76">
            <v>2.7939279857615906E-2</v>
          </cell>
        </row>
        <row r="77">
          <cell r="B77" t="str">
            <v>R&amp;D</v>
          </cell>
          <cell r="C77">
            <v>-3053</v>
          </cell>
          <cell r="D77">
            <v>-2932</v>
          </cell>
          <cell r="E77">
            <v>-3013</v>
          </cell>
          <cell r="F77">
            <v>-3179.2770082955212</v>
          </cell>
          <cell r="G77">
            <v>-3536.4771250600193</v>
          </cell>
          <cell r="H77">
            <v>-3710.0021658223745</v>
          </cell>
          <cell r="I77">
            <v>-3950.0768237992947</v>
          </cell>
          <cell r="J77">
            <v>-4234.9690497631473</v>
          </cell>
          <cell r="K77">
            <v>-4336.7693373727443</v>
          </cell>
          <cell r="L77">
            <v>-4501.7988111072091</v>
          </cell>
          <cell r="M77">
            <v>-4717.9672621681102</v>
          </cell>
          <cell r="N77">
            <v>-4652.6960296640709</v>
          </cell>
          <cell r="O77">
            <v>-4679.4306700478228</v>
          </cell>
          <cell r="P77">
            <v>-4750.1122023103571</v>
          </cell>
          <cell r="Q77">
            <v>6.1422562781404455E-2</v>
          </cell>
          <cell r="R77">
            <v>7.045945332995629E-2</v>
          </cell>
          <cell r="S77">
            <v>1.8374483166444522E-2</v>
          </cell>
        </row>
        <row r="78">
          <cell r="B78" t="str">
            <v>G&amp;A</v>
          </cell>
          <cell r="C78">
            <v>-1647</v>
          </cell>
          <cell r="D78">
            <v>-1713</v>
          </cell>
          <cell r="E78">
            <v>-1866</v>
          </cell>
          <cell r="F78">
            <v>-1853.779952414824</v>
          </cell>
          <cell r="G78">
            <v>-2042.357505234258</v>
          </cell>
          <cell r="H78">
            <v>-2144.2032621035341</v>
          </cell>
          <cell r="I78">
            <v>-2246.6533238240877</v>
          </cell>
          <cell r="J78">
            <v>-2364.135983342449</v>
          </cell>
          <cell r="K78">
            <v>-2434.8109541219883</v>
          </cell>
          <cell r="L78">
            <v>-2526.8191064374291</v>
          </cell>
          <cell r="M78">
            <v>-2636.4720752700255</v>
          </cell>
          <cell r="N78">
            <v>-2651.0425350491978</v>
          </cell>
          <cell r="O78">
            <v>-2694.3532952372757</v>
          </cell>
          <cell r="P78">
            <v>-2752.0249174548176</v>
          </cell>
          <cell r="Q78">
            <v>5.573699403956911E-2</v>
          </cell>
          <cell r="R78">
            <v>4.8460715795805687E-2</v>
          </cell>
          <cell r="S78">
            <v>2.4796003231658537E-2</v>
          </cell>
        </row>
        <row r="79">
          <cell r="B79" t="str">
            <v>Other operating income/expense</v>
          </cell>
          <cell r="C79">
            <v>-1752</v>
          </cell>
          <cell r="D79">
            <v>-801</v>
          </cell>
          <cell r="E79">
            <v>-1875</v>
          </cell>
          <cell r="F79">
            <v>-1770.2153407364601</v>
          </cell>
          <cell r="G79">
            <v>-1537.1708072704096</v>
          </cell>
          <cell r="H79">
            <v>-1740.6286283556306</v>
          </cell>
          <cell r="I79">
            <v>-1729.0111495068422</v>
          </cell>
          <cell r="J79">
            <v>-1254.2221266312556</v>
          </cell>
          <cell r="K79">
            <v>-1643.1566445935323</v>
          </cell>
          <cell r="L79">
            <v>-1589.4195188421813</v>
          </cell>
          <cell r="M79">
            <v>-786.73955511417762</v>
          </cell>
          <cell r="N79">
            <v>-1573.6829333394585</v>
          </cell>
          <cell r="O79">
            <v>-1839.0079122512934</v>
          </cell>
          <cell r="P79">
            <v>-1984.2915898499982</v>
          </cell>
          <cell r="Q79">
            <v>0.1663611771998621</v>
          </cell>
          <cell r="R79">
            <v>-7.7270007413919761E-2</v>
          </cell>
          <cell r="S79">
            <v>3.8449316617255702E-2</v>
          </cell>
        </row>
        <row r="80">
          <cell r="B80" t="str">
            <v>Operating Profit (reported)</v>
          </cell>
          <cell r="C80">
            <v>2730</v>
          </cell>
          <cell r="D80">
            <v>4149</v>
          </cell>
          <cell r="E80">
            <v>3960</v>
          </cell>
          <cell r="F80">
            <v>5747.7936164217608</v>
          </cell>
          <cell r="G80">
            <v>7033.5404178260505</v>
          </cell>
          <cell r="H80">
            <v>7564.5147365065204</v>
          </cell>
          <cell r="I80">
            <v>7840.6819881239498</v>
          </cell>
          <cell r="J80">
            <v>8328.6560881829246</v>
          </cell>
          <cell r="K80">
            <v>8370.9997478753758</v>
          </cell>
          <cell r="L80">
            <v>8998.6693925551754</v>
          </cell>
          <cell r="M80">
            <v>9982.7839380969563</v>
          </cell>
          <cell r="N80">
            <v>9245.6150580907579</v>
          </cell>
          <cell r="O80">
            <v>9056.4546070293691</v>
          </cell>
          <cell r="P80">
            <v>9037.4044527970054</v>
          </cell>
          <cell r="Q80">
            <v>0.13574826212723456</v>
          </cell>
          <cell r="R80">
            <v>0.16031511233020135</v>
          </cell>
          <cell r="S80">
            <v>1.5437687455083449E-2</v>
          </cell>
        </row>
        <row r="81">
          <cell r="B81" t="str">
            <v xml:space="preserve">   Margin</v>
          </cell>
          <cell r="C81">
            <v>7.7804377564979474E-2</v>
          </cell>
          <cell r="D81">
            <v>0.11358409986859395</v>
          </cell>
          <cell r="E81">
            <v>9.9597585513078471E-2</v>
          </cell>
          <cell r="F81">
            <v>0.13952611387454494</v>
          </cell>
          <cell r="G81">
            <v>0.15497253443190334</v>
          </cell>
          <cell r="H81">
            <v>0.15875508127379989</v>
          </cell>
          <cell r="I81">
            <v>0.15704723364484885</v>
          </cell>
          <cell r="J81">
            <v>0.15853128864370519</v>
          </cell>
          <cell r="K81">
            <v>0.15471221205764249</v>
          </cell>
          <cell r="L81">
            <v>0.16025687063760941</v>
          </cell>
          <cell r="M81">
            <v>0.17038878637406152</v>
          </cell>
          <cell r="N81">
            <v>0.15693926902850053</v>
          </cell>
          <cell r="O81">
            <v>0.15125724530510462</v>
          </cell>
          <cell r="P81">
            <v>0.14777598770870942</v>
          </cell>
        </row>
        <row r="83">
          <cell r="B83" t="str">
            <v>Equity method loss</v>
          </cell>
          <cell r="C83">
            <v>-56</v>
          </cell>
          <cell r="D83">
            <v>-45</v>
          </cell>
          <cell r="E83">
            <v>-46</v>
          </cell>
          <cell r="F83">
            <v>-43.699999999999996</v>
          </cell>
          <cell r="G83">
            <v>-41.514999999999993</v>
          </cell>
          <cell r="H83">
            <v>-39.439249999999994</v>
          </cell>
          <cell r="I83">
            <v>0</v>
          </cell>
          <cell r="J83">
            <v>0</v>
          </cell>
          <cell r="K83">
            <v>0</v>
          </cell>
          <cell r="L83">
            <v>0</v>
          </cell>
          <cell r="M83">
            <v>0</v>
          </cell>
          <cell r="N83">
            <v>0</v>
          </cell>
          <cell r="O83">
            <v>0</v>
          </cell>
          <cell r="P83">
            <v>0</v>
          </cell>
          <cell r="Q83">
            <v>-1</v>
          </cell>
        </row>
        <row r="84">
          <cell r="B84" t="str">
            <v>Net Finance Income/(expense)</v>
          </cell>
          <cell r="C84">
            <v>-953</v>
          </cell>
          <cell r="D84">
            <v>-741</v>
          </cell>
          <cell r="E84">
            <v>-666</v>
          </cell>
          <cell r="F84">
            <v>-666.6225523316491</v>
          </cell>
          <cell r="G84">
            <v>-636.74045161754736</v>
          </cell>
          <cell r="H84">
            <v>-616.30750478834216</v>
          </cell>
          <cell r="I84">
            <v>-477.04223176202731</v>
          </cell>
          <cell r="J84">
            <v>-260.83596607993968</v>
          </cell>
          <cell r="K84">
            <v>-163.12886641778255</v>
          </cell>
          <cell r="L84">
            <v>-53.210422201780602</v>
          </cell>
          <cell r="M84">
            <v>62.269110366774385</v>
          </cell>
          <cell r="N84">
            <v>185.12870688022872</v>
          </cell>
          <cell r="O84">
            <v>185.12870688022872</v>
          </cell>
          <cell r="P84">
            <v>185.12870688022872</v>
          </cell>
          <cell r="Q84">
            <v>-8.431157580256432E-2</v>
          </cell>
          <cell r="R84">
            <v>-0.17095396004306551</v>
          </cell>
          <cell r="S84">
            <v>-2.0256249798491934</v>
          </cell>
        </row>
        <row r="86">
          <cell r="B86" t="str">
            <v>Profit before taxes</v>
          </cell>
          <cell r="C86">
            <v>1721</v>
          </cell>
          <cell r="D86">
            <v>3363</v>
          </cell>
          <cell r="E86">
            <v>3248</v>
          </cell>
          <cell r="F86">
            <v>5037.4710640901121</v>
          </cell>
          <cell r="G86">
            <v>6355.2849662085027</v>
          </cell>
          <cell r="H86">
            <v>6908.7679817181779</v>
          </cell>
          <cell r="I86">
            <v>7363.6397563619221</v>
          </cell>
          <cell r="J86">
            <v>8067.8201221029849</v>
          </cell>
          <cell r="K86">
            <v>8207.870881457593</v>
          </cell>
          <cell r="L86">
            <v>8945.4589703533948</v>
          </cell>
          <cell r="M86">
            <v>10045.053048463731</v>
          </cell>
          <cell r="N86">
            <v>9430.7437649709864</v>
          </cell>
          <cell r="O86">
            <v>9241.5833139095976</v>
          </cell>
          <cell r="P86">
            <v>9222.5331596772339</v>
          </cell>
          <cell r="Q86">
            <v>0.16969634621000718</v>
          </cell>
          <cell r="R86">
            <v>0.19957674306507034</v>
          </cell>
          <cell r="S86">
            <v>2.3585068240727924E-2</v>
          </cell>
        </row>
        <row r="87">
          <cell r="B87" t="str">
            <v>% margin</v>
          </cell>
          <cell r="C87">
            <v>4.9048107615139079E-2</v>
          </cell>
          <cell r="D87">
            <v>9.2066360052562413E-2</v>
          </cell>
          <cell r="E87">
            <v>8.1690140845070425E-2</v>
          </cell>
          <cell r="F87">
            <v>0.1222832287018546</v>
          </cell>
          <cell r="G87">
            <v>0.14002828728390521</v>
          </cell>
          <cell r="H87">
            <v>0.14499304458305887</v>
          </cell>
          <cell r="I87">
            <v>0.14749217670675754</v>
          </cell>
          <cell r="J87">
            <v>0.15356642259695499</v>
          </cell>
          <cell r="K87">
            <v>0.15169727614388184</v>
          </cell>
          <cell r="L87">
            <v>0.15930924878649239</v>
          </cell>
          <cell r="M87">
            <v>0.17145161195556055</v>
          </cell>
          <cell r="N87">
            <v>0.16008172777801874</v>
          </cell>
          <cell r="O87">
            <v>0.15434919016041976</v>
          </cell>
          <cell r="P87">
            <v>0.15080313755636232</v>
          </cell>
        </row>
        <row r="89">
          <cell r="B89" t="str">
            <v>Income taxes</v>
          </cell>
          <cell r="C89">
            <v>-411</v>
          </cell>
          <cell r="D89">
            <v>-891</v>
          </cell>
          <cell r="E89">
            <v>-752</v>
          </cell>
          <cell r="F89">
            <v>-1334.9298319838797</v>
          </cell>
          <cell r="G89">
            <v>-1652.3740912142107</v>
          </cell>
          <cell r="H89">
            <v>-1796.2796752467264</v>
          </cell>
          <cell r="I89">
            <v>-1914.5463366540998</v>
          </cell>
          <cell r="J89">
            <v>-2097.6332317467763</v>
          </cell>
          <cell r="K89">
            <v>-2134.0464291789744</v>
          </cell>
          <cell r="L89">
            <v>-2325.8193322918828</v>
          </cell>
          <cell r="M89">
            <v>-2611.7137926005703</v>
          </cell>
          <cell r="N89">
            <v>-2451.9933788924563</v>
          </cell>
          <cell r="O89">
            <v>-2402.8116616164953</v>
          </cell>
          <cell r="P89">
            <v>-2397.8586215160808</v>
          </cell>
          <cell r="Q89">
            <v>0.16529970242292036</v>
          </cell>
          <cell r="R89">
            <v>0.227728515052944</v>
          </cell>
          <cell r="S89">
            <v>2.3585068240727924E-2</v>
          </cell>
        </row>
        <row r="90">
          <cell r="B90" t="str">
            <v>% tax rate</v>
          </cell>
          <cell r="C90">
            <v>0.23881464264962232</v>
          </cell>
          <cell r="D90">
            <v>0.26494201605709189</v>
          </cell>
          <cell r="E90">
            <v>0.23152709359605911</v>
          </cell>
          <cell r="F90">
            <v>0.26500000000000001</v>
          </cell>
          <cell r="G90">
            <v>0.26</v>
          </cell>
          <cell r="H90">
            <v>0.26</v>
          </cell>
          <cell r="I90">
            <v>0.26</v>
          </cell>
          <cell r="J90">
            <v>0.26</v>
          </cell>
          <cell r="K90">
            <v>0.26</v>
          </cell>
          <cell r="L90">
            <v>0.26</v>
          </cell>
          <cell r="M90">
            <v>0.26</v>
          </cell>
          <cell r="N90">
            <v>0.26</v>
          </cell>
          <cell r="O90">
            <v>0.26</v>
          </cell>
          <cell r="P90">
            <v>0.26</v>
          </cell>
        </row>
        <row r="92">
          <cell r="B92" t="str">
            <v>Minority Interest</v>
          </cell>
          <cell r="C92">
            <v>-9</v>
          </cell>
          <cell r="D92">
            <v>-2</v>
          </cell>
          <cell r="E92">
            <v>-50</v>
          </cell>
          <cell r="F92">
            <v>-50</v>
          </cell>
          <cell r="G92">
            <v>-50</v>
          </cell>
          <cell r="H92">
            <v>-50</v>
          </cell>
          <cell r="I92">
            <v>-50</v>
          </cell>
          <cell r="J92">
            <v>-50</v>
          </cell>
          <cell r="K92">
            <v>-50</v>
          </cell>
          <cell r="L92">
            <v>-50</v>
          </cell>
          <cell r="M92">
            <v>-50</v>
          </cell>
          <cell r="N92">
            <v>-50</v>
          </cell>
          <cell r="O92">
            <v>-50</v>
          </cell>
          <cell r="P92">
            <v>-50</v>
          </cell>
        </row>
        <row r="94">
          <cell r="B94" t="str">
            <v>Net Income (continuing)</v>
          </cell>
          <cell r="C94">
            <v>1301</v>
          </cell>
          <cell r="D94">
            <v>2470</v>
          </cell>
          <cell r="E94">
            <v>2446</v>
          </cell>
          <cell r="F94">
            <v>3652.5412321062322</v>
          </cell>
          <cell r="G94">
            <v>4652.9108749942916</v>
          </cell>
          <cell r="H94">
            <v>5062.4883064714513</v>
          </cell>
          <cell r="I94">
            <v>5399.0934197078222</v>
          </cell>
          <cell r="J94">
            <v>5920.1868903562081</v>
          </cell>
          <cell r="K94">
            <v>6023.824452278619</v>
          </cell>
          <cell r="L94">
            <v>6569.6396380615115</v>
          </cell>
          <cell r="M94">
            <v>7383.3392558631604</v>
          </cell>
          <cell r="N94">
            <v>6928.75038607853</v>
          </cell>
          <cell r="O94">
            <v>6788.7716522931023</v>
          </cell>
          <cell r="P94">
            <v>6774.6745381611527</v>
          </cell>
          <cell r="Q94">
            <v>0.16929684471276829</v>
          </cell>
          <cell r="R94">
            <v>0.19337185994075923</v>
          </cell>
          <cell r="S94">
            <v>2.3771948893393846E-2</v>
          </cell>
        </row>
        <row r="96">
          <cell r="B96" t="str">
            <v>Average no. of Shares (Basic)</v>
          </cell>
          <cell r="C96">
            <v>826.94780800000001</v>
          </cell>
          <cell r="D96">
            <v>826.94780800000001</v>
          </cell>
          <cell r="E96">
            <v>826.94780800000001</v>
          </cell>
          <cell r="F96">
            <v>826.94780800000001</v>
          </cell>
          <cell r="G96">
            <v>826.94780800000001</v>
          </cell>
          <cell r="H96">
            <v>826.94780800000001</v>
          </cell>
          <cell r="I96">
            <v>826.94780800000001</v>
          </cell>
          <cell r="J96">
            <v>826.94780800000001</v>
          </cell>
          <cell r="K96">
            <v>826.94780800000001</v>
          </cell>
          <cell r="L96">
            <v>826.94780800000001</v>
          </cell>
          <cell r="M96">
            <v>826.94780800000001</v>
          </cell>
          <cell r="N96">
            <v>826.94780800000001</v>
          </cell>
          <cell r="O96">
            <v>826.94780800000001</v>
          </cell>
          <cell r="P96">
            <v>826.94780800000001</v>
          </cell>
          <cell r="Q96">
            <v>0</v>
          </cell>
          <cell r="R96">
            <v>0</v>
          </cell>
          <cell r="S96">
            <v>0</v>
          </cell>
        </row>
        <row r="98">
          <cell r="B98" t="str">
            <v>EPS (reported)</v>
          </cell>
          <cell r="C98">
            <v>1.5732552736871153</v>
          </cell>
          <cell r="D98">
            <v>2.9868874143022093</v>
          </cell>
          <cell r="E98">
            <v>2.957865026470933</v>
          </cell>
          <cell r="F98">
            <v>4.4168945086631544</v>
          </cell>
          <cell r="G98">
            <v>5.6266076649353565</v>
          </cell>
          <cell r="H98">
            <v>6.1218957925715323</v>
          </cell>
          <cell r="I98">
            <v>6.5289409651688954</v>
          </cell>
          <cell r="J98">
            <v>7.1590816652315352</v>
          </cell>
          <cell r="K98">
            <v>7.2844070617315415</v>
          </cell>
          <cell r="L98">
            <v>7.9444428953145145</v>
          </cell>
          <cell r="M98">
            <v>8.9284223072312212</v>
          </cell>
          <cell r="N98">
            <v>8.3799126366128895</v>
          </cell>
          <cell r="O98">
            <v>8.21185035693704</v>
          </cell>
          <cell r="P98">
            <v>8.1960124600283759</v>
          </cell>
          <cell r="Q98">
            <v>0.16929684471276851</v>
          </cell>
          <cell r="R98">
            <v>0.19337185994075923</v>
          </cell>
          <cell r="S98">
            <v>2.3862603343311584E-2</v>
          </cell>
        </row>
        <row r="99">
          <cell r="B99" t="str">
            <v>EPS (core)</v>
          </cell>
          <cell r="C99">
            <v>4.1901072431405488</v>
          </cell>
          <cell r="D99">
            <v>4.8334368400671783</v>
          </cell>
          <cell r="E99">
            <v>5.3522120225512468</v>
          </cell>
          <cell r="F99">
            <v>5.6831428904398136</v>
          </cell>
          <cell r="G99">
            <v>6.764993874460747</v>
          </cell>
          <cell r="H99">
            <v>7.3024651192861239</v>
          </cell>
          <cell r="I99">
            <v>7.7527789358044039</v>
          </cell>
          <cell r="J99">
            <v>8.4273099716573032</v>
          </cell>
          <cell r="K99">
            <v>8.599549025048761</v>
          </cell>
          <cell r="L99">
            <v>9.3091419265931989</v>
          </cell>
          <cell r="M99">
            <v>10.345448033530376</v>
          </cell>
          <cell r="N99">
            <v>9.8521673308712572</v>
          </cell>
          <cell r="O99">
            <v>9.742375686976537</v>
          </cell>
          <cell r="P99">
            <v>9.7879965726735438</v>
          </cell>
          <cell r="Q99">
            <v>9.9107750941286099E-2</v>
          </cell>
          <cell r="R99">
            <v>9.5042895343605549E-2</v>
          </cell>
          <cell r="S99">
            <v>2.6227448109557239E-2</v>
          </cell>
        </row>
        <row r="101">
          <cell r="B101" t="str">
            <v>DPS</v>
          </cell>
          <cell r="C101">
            <v>1.5</v>
          </cell>
          <cell r="D101">
            <v>1.65</v>
          </cell>
          <cell r="E101">
            <v>1.9</v>
          </cell>
          <cell r="F101">
            <v>1.9891000116539346</v>
          </cell>
          <cell r="G101">
            <v>2.3677478560612615</v>
          </cell>
          <cell r="H101">
            <v>2.5558627917501431</v>
          </cell>
          <cell r="I101">
            <v>2.7134726275315413</v>
          </cell>
          <cell r="J101">
            <v>2.9495584900800558</v>
          </cell>
          <cell r="K101">
            <v>3.0098421587670661</v>
          </cell>
          <cell r="L101">
            <v>3.2581996743076194</v>
          </cell>
          <cell r="M101">
            <v>3.6209068117356313</v>
          </cell>
          <cell r="N101">
            <v>3.4482585658049398</v>
          </cell>
          <cell r="O101">
            <v>3.4098314904417877</v>
          </cell>
          <cell r="P101">
            <v>3.4257988004357403</v>
          </cell>
          <cell r="Q101">
            <v>0.10460829483032219</v>
          </cell>
          <cell r="R101">
            <v>9.1944794677069286E-2</v>
          </cell>
          <cell r="S101">
            <v>2.6227448109557239E-2</v>
          </cell>
        </row>
        <row r="102">
          <cell r="B102" t="str">
            <v>Dividends to Shareholders</v>
          </cell>
          <cell r="C102">
            <v>-1240.4217120000001</v>
          </cell>
          <cell r="D102">
            <v>-1364.4638832000001</v>
          </cell>
          <cell r="E102">
            <v>-1571.2008352</v>
          </cell>
          <cell r="F102">
            <v>-1644.8818945299956</v>
          </cell>
          <cell r="G102">
            <v>-1958.0038994665597</v>
          </cell>
          <cell r="H102">
            <v>-2113.5651331865415</v>
          </cell>
          <cell r="I102">
            <v>-2243.9002414052084</v>
          </cell>
          <cell r="J102">
            <v>-2439.1309279394918</v>
          </cell>
          <cell r="K102">
            <v>-2488.9823756184132</v>
          </cell>
          <cell r="L102">
            <v>-2694.3610786949998</v>
          </cell>
          <cell r="M102">
            <v>-2994.300950937049</v>
          </cell>
          <cell r="N102">
            <v>-2851.529862409619</v>
          </cell>
          <cell r="O102">
            <v>-2819.7526766702094</v>
          </cell>
          <cell r="P102">
            <v>-2832.9568086693648</v>
          </cell>
          <cell r="Q102">
            <v>0.10460829483032219</v>
          </cell>
          <cell r="R102">
            <v>9.1944794677069286E-2</v>
          </cell>
          <cell r="S102">
            <v>2.6227448109557239E-2</v>
          </cell>
        </row>
        <row r="105">
          <cell r="B105" t="str">
            <v>Summary Balance Sheet</v>
          </cell>
          <cell r="C105" t="str">
            <v>FY10A</v>
          </cell>
          <cell r="D105" t="str">
            <v>FY11A</v>
          </cell>
          <cell r="E105" t="str">
            <v>FY12A</v>
          </cell>
          <cell r="F105" t="str">
            <v>FY13E</v>
          </cell>
          <cell r="G105" t="str">
            <v>FY14E</v>
          </cell>
          <cell r="H105" t="str">
            <v>FY15E</v>
          </cell>
          <cell r="I105" t="str">
            <v>FY16E</v>
          </cell>
          <cell r="J105" t="str">
            <v>FY17E</v>
          </cell>
          <cell r="K105" t="str">
            <v>FY18E</v>
          </cell>
          <cell r="L105" t="str">
            <v>FY19E</v>
          </cell>
          <cell r="M105" t="str">
            <v>FY20E</v>
          </cell>
          <cell r="N105" t="str">
            <v>FY21E</v>
          </cell>
          <cell r="O105" t="str">
            <v>FY22E</v>
          </cell>
          <cell r="P105" t="str">
            <v>FY23E</v>
          </cell>
        </row>
        <row r="107">
          <cell r="B107" t="str">
            <v>Tangible Fixed Assets</v>
          </cell>
          <cell r="C107">
            <v>9835</v>
          </cell>
          <cell r="D107">
            <v>9823</v>
          </cell>
          <cell r="E107">
            <v>9863</v>
          </cell>
          <cell r="F107">
            <v>10115.288264361763</v>
          </cell>
          <cell r="G107">
            <v>10474.863774935071</v>
          </cell>
          <cell r="H107">
            <v>10862.552807744847</v>
          </cell>
          <cell r="I107">
            <v>11275.854191010643</v>
          </cell>
          <cell r="J107">
            <v>11724.363457394367</v>
          </cell>
          <cell r="K107">
            <v>12165.428730345615</v>
          </cell>
          <cell r="L107">
            <v>12615.336106556191</v>
          </cell>
          <cell r="M107">
            <v>13086.45076276685</v>
          </cell>
          <cell r="N107">
            <v>13496.233890049436</v>
          </cell>
          <cell r="O107">
            <v>13869.587619694947</v>
          </cell>
          <cell r="P107">
            <v>14218.205995848195</v>
          </cell>
        </row>
        <row r="108">
          <cell r="B108" t="str">
            <v>Goodwill</v>
          </cell>
          <cell r="C108">
            <v>9002</v>
          </cell>
          <cell r="D108">
            <v>9160</v>
          </cell>
          <cell r="E108">
            <v>9293</v>
          </cell>
          <cell r="F108">
            <v>9967.3295019157085</v>
          </cell>
          <cell r="G108">
            <v>9967.3295019157085</v>
          </cell>
          <cell r="H108">
            <v>9967.3295019157085</v>
          </cell>
          <cell r="I108">
            <v>9967.3295019157085</v>
          </cell>
          <cell r="J108">
            <v>9967.3295019157085</v>
          </cell>
          <cell r="K108">
            <v>9967.3295019157085</v>
          </cell>
          <cell r="L108">
            <v>9967.3295019157085</v>
          </cell>
          <cell r="M108">
            <v>9967.3295019157085</v>
          </cell>
          <cell r="N108">
            <v>9967.3295019157085</v>
          </cell>
          <cell r="O108">
            <v>9967.3295019157085</v>
          </cell>
          <cell r="P108">
            <v>9967.3295019157085</v>
          </cell>
        </row>
        <row r="109">
          <cell r="B109" t="str">
            <v>Other Intangibles</v>
          </cell>
          <cell r="C109">
            <v>11161</v>
          </cell>
          <cell r="D109">
            <v>10295</v>
          </cell>
          <cell r="E109">
            <v>9464</v>
          </cell>
          <cell r="F109">
            <v>9139.7364928731495</v>
          </cell>
          <cell r="G109">
            <v>8794.0635155788314</v>
          </cell>
          <cell r="H109">
            <v>8426.5724153110896</v>
          </cell>
          <cell r="I109">
            <v>8036.8376070538179</v>
          </cell>
          <cell r="J109">
            <v>7624.416159066961</v>
          </cell>
          <cell r="K109">
            <v>7210.3125389430206</v>
          </cell>
          <cell r="L109">
            <v>6794.0638600698949</v>
          </cell>
          <cell r="M109">
            <v>6375.191667064988</v>
          </cell>
          <cell r="N109">
            <v>5953.2010058254709</v>
          </cell>
          <cell r="O109">
            <v>5527.5794501112978</v>
          </cell>
          <cell r="P109">
            <v>5097.7960824269976</v>
          </cell>
        </row>
        <row r="110">
          <cell r="B110" t="str">
            <v>Deferred Taxes</v>
          </cell>
          <cell r="C110">
            <v>1174</v>
          </cell>
          <cell r="D110">
            <v>1311</v>
          </cell>
          <cell r="E110">
            <v>1581</v>
          </cell>
          <cell r="F110">
            <v>1638.0651155644071</v>
          </cell>
          <cell r="G110">
            <v>1804.6988686426125</v>
          </cell>
          <cell r="H110">
            <v>1894.6933586998034</v>
          </cell>
          <cell r="I110">
            <v>1985.2218337613924</v>
          </cell>
          <cell r="J110">
            <v>2089.033640545726</v>
          </cell>
          <cell r="K110">
            <v>2151.4845285417305</v>
          </cell>
          <cell r="L110">
            <v>2232.7861654804246</v>
          </cell>
          <cell r="M110">
            <v>2329.6793824066126</v>
          </cell>
          <cell r="N110">
            <v>2342.5543527346204</v>
          </cell>
          <cell r="O110">
            <v>2380.8252625587602</v>
          </cell>
          <cell r="P110">
            <v>2431.785934773121</v>
          </cell>
        </row>
        <row r="111">
          <cell r="B111" t="str">
            <v>Other Financial Assets</v>
          </cell>
          <cell r="C111">
            <v>1164</v>
          </cell>
          <cell r="D111">
            <v>1364</v>
          </cell>
          <cell r="E111">
            <v>1324</v>
          </cell>
          <cell r="F111">
            <v>1324</v>
          </cell>
          <cell r="G111">
            <v>1324</v>
          </cell>
          <cell r="H111">
            <v>1324</v>
          </cell>
          <cell r="I111">
            <v>1324</v>
          </cell>
          <cell r="J111">
            <v>1324</v>
          </cell>
          <cell r="K111">
            <v>1324</v>
          </cell>
          <cell r="L111">
            <v>1324</v>
          </cell>
          <cell r="M111">
            <v>1324</v>
          </cell>
          <cell r="N111">
            <v>1324</v>
          </cell>
          <cell r="O111">
            <v>1324</v>
          </cell>
          <cell r="P111">
            <v>1324</v>
          </cell>
        </row>
        <row r="112">
          <cell r="B112" t="str">
            <v>Others</v>
          </cell>
          <cell r="C112">
            <v>852</v>
          </cell>
          <cell r="D112">
            <v>744</v>
          </cell>
          <cell r="E112">
            <v>825</v>
          </cell>
          <cell r="F112">
            <v>781.3</v>
          </cell>
          <cell r="G112">
            <v>739.78500000000008</v>
          </cell>
          <cell r="H112">
            <v>700.34575000000007</v>
          </cell>
          <cell r="I112">
            <v>700.34575000000007</v>
          </cell>
          <cell r="J112">
            <v>700.34575000000007</v>
          </cell>
          <cell r="K112">
            <v>700.34575000000007</v>
          </cell>
          <cell r="L112">
            <v>700.34575000000007</v>
          </cell>
          <cell r="M112">
            <v>700.34575000000007</v>
          </cell>
          <cell r="N112">
            <v>700.34575000000007</v>
          </cell>
          <cell r="O112">
            <v>700.34575000000007</v>
          </cell>
          <cell r="P112">
            <v>700.34575000000007</v>
          </cell>
        </row>
        <row r="113">
          <cell r="B113" t="str">
            <v>Noncurrent Assets</v>
          </cell>
          <cell r="C113">
            <v>33188</v>
          </cell>
          <cell r="D113">
            <v>32697</v>
          </cell>
          <cell r="E113">
            <v>32350</v>
          </cell>
          <cell r="F113">
            <v>32965.71937471503</v>
          </cell>
          <cell r="G113">
            <v>33104.740661072225</v>
          </cell>
          <cell r="H113">
            <v>33175.493833671448</v>
          </cell>
          <cell r="I113">
            <v>33289.588883741562</v>
          </cell>
          <cell r="J113">
            <v>33429.488508922761</v>
          </cell>
          <cell r="K113">
            <v>33518.901049746077</v>
          </cell>
          <cell r="L113">
            <v>33633.861384022217</v>
          </cell>
          <cell r="M113">
            <v>33782.997064154159</v>
          </cell>
          <cell r="N113">
            <v>33783.664500525236</v>
          </cell>
          <cell r="O113">
            <v>33769.667584280709</v>
          </cell>
          <cell r="P113">
            <v>33739.463264964019</v>
          </cell>
        </row>
        <row r="115">
          <cell r="B115" t="str">
            <v>Inventories</v>
          </cell>
          <cell r="C115">
            <v>6104</v>
          </cell>
          <cell r="D115">
            <v>6368</v>
          </cell>
          <cell r="E115">
            <v>6980</v>
          </cell>
          <cell r="F115">
            <v>7180.719938893033</v>
          </cell>
          <cell r="G115">
            <v>7737.5892584934636</v>
          </cell>
          <cell r="H115">
            <v>7989.4977443131684</v>
          </cell>
          <cell r="I115">
            <v>8190.4766988703714</v>
          </cell>
          <cell r="J115">
            <v>8365.8418242644384</v>
          </cell>
          <cell r="K115">
            <v>8526.9657474001579</v>
          </cell>
          <cell r="L115">
            <v>8684.3270071012666</v>
          </cell>
          <cell r="M115">
            <v>8790.6061430658156</v>
          </cell>
          <cell r="N115">
            <v>8822.1160631078892</v>
          </cell>
          <cell r="O115">
            <v>8862.5221800448089</v>
          </cell>
          <cell r="P115">
            <v>8920.4341181892742</v>
          </cell>
        </row>
        <row r="116">
          <cell r="B116" t="str">
            <v>Accounts receivable</v>
          </cell>
          <cell r="C116">
            <v>8004</v>
          </cell>
          <cell r="D116">
            <v>8689</v>
          </cell>
          <cell r="E116">
            <v>9079</v>
          </cell>
          <cell r="F116">
            <v>9548.4320650860082</v>
          </cell>
          <cell r="G116">
            <v>10352.111133418452</v>
          </cell>
          <cell r="H116">
            <v>10786.156977001363</v>
          </cell>
          <cell r="I116">
            <v>11222.778244607984</v>
          </cell>
          <cell r="J116">
            <v>11723.465378019569</v>
          </cell>
          <cell r="K116">
            <v>12024.667688799951</v>
          </cell>
          <cell r="L116">
            <v>12416.787668226485</v>
          </cell>
          <cell r="M116">
            <v>12884.106256858557</v>
          </cell>
          <cell r="N116">
            <v>13107.60547875148</v>
          </cell>
          <cell r="O116">
            <v>13294.823985500552</v>
          </cell>
          <cell r="P116">
            <v>13544.119886714889</v>
          </cell>
        </row>
        <row r="117">
          <cell r="B117" t="str">
            <v>Other current assets</v>
          </cell>
          <cell r="C117">
            <v>1370</v>
          </cell>
          <cell r="D117">
            <v>3241</v>
          </cell>
          <cell r="E117">
            <v>1232</v>
          </cell>
          <cell r="F117">
            <v>1232</v>
          </cell>
          <cell r="G117">
            <v>1232</v>
          </cell>
          <cell r="H117">
            <v>1232</v>
          </cell>
          <cell r="I117">
            <v>1232</v>
          </cell>
          <cell r="J117">
            <v>1232</v>
          </cell>
          <cell r="K117">
            <v>1232</v>
          </cell>
          <cell r="L117">
            <v>1232</v>
          </cell>
          <cell r="M117">
            <v>1232</v>
          </cell>
          <cell r="N117">
            <v>1232</v>
          </cell>
          <cell r="O117">
            <v>1232</v>
          </cell>
          <cell r="P117">
            <v>1232</v>
          </cell>
        </row>
        <row r="118">
          <cell r="B118" t="str">
            <v>Cash and cash equivalents</v>
          </cell>
          <cell r="C118">
            <v>2840</v>
          </cell>
          <cell r="D118">
            <v>1770</v>
          </cell>
          <cell r="E118">
            <v>1695</v>
          </cell>
          <cell r="F118">
            <v>2940.2381107796036</v>
          </cell>
          <cell r="G118">
            <v>5202.7554415982968</v>
          </cell>
          <cell r="H118">
            <v>8103.1911553998225</v>
          </cell>
          <cell r="I118">
            <v>11198.110107028626</v>
          </cell>
          <cell r="J118">
            <v>14662.772169261332</v>
          </cell>
          <cell r="K118">
            <v>18195.030195090942</v>
          </cell>
          <cell r="L118">
            <v>22169.285647441851</v>
          </cell>
          <cell r="M118">
            <v>26743.644438541887</v>
          </cell>
          <cell r="N118">
            <v>30810.198207093683</v>
          </cell>
          <cell r="O118">
            <v>34998.699215212851</v>
          </cell>
          <cell r="P118">
            <v>39184.297769605837</v>
          </cell>
        </row>
        <row r="119">
          <cell r="B119" t="str">
            <v>Current Assets</v>
          </cell>
          <cell r="C119">
            <v>18318</v>
          </cell>
          <cell r="D119">
            <v>20068</v>
          </cell>
          <cell r="E119">
            <v>18986</v>
          </cell>
          <cell r="F119">
            <v>20901.390114758644</v>
          </cell>
          <cell r="G119">
            <v>24524.455833510212</v>
          </cell>
          <cell r="H119">
            <v>28110.845876714353</v>
          </cell>
          <cell r="I119">
            <v>31843.365050506982</v>
          </cell>
          <cell r="J119">
            <v>35984.07937154534</v>
          </cell>
          <cell r="K119">
            <v>39978.663631291049</v>
          </cell>
          <cell r="L119">
            <v>44502.400322769601</v>
          </cell>
          <cell r="M119">
            <v>49650.356838466258</v>
          </cell>
          <cell r="N119">
            <v>53971.919748953049</v>
          </cell>
          <cell r="O119">
            <v>58388.045380758209</v>
          </cell>
          <cell r="P119">
            <v>62880.851774509996</v>
          </cell>
        </row>
        <row r="120">
          <cell r="B120" t="str">
            <v>Total Assets</v>
          </cell>
          <cell r="C120">
            <v>51506</v>
          </cell>
          <cell r="D120">
            <v>52765</v>
          </cell>
          <cell r="E120">
            <v>51336</v>
          </cell>
          <cell r="F120">
            <v>53867.109489473674</v>
          </cell>
          <cell r="G120">
            <v>57629.196494582437</v>
          </cell>
          <cell r="H120">
            <v>61286.339710385801</v>
          </cell>
          <cell r="I120">
            <v>65132.953934248544</v>
          </cell>
          <cell r="J120">
            <v>69413.567880468094</v>
          </cell>
          <cell r="K120">
            <v>73497.564681037125</v>
          </cell>
          <cell r="L120">
            <v>78136.261706791818</v>
          </cell>
          <cell r="M120">
            <v>83433.353902620409</v>
          </cell>
          <cell r="N120">
            <v>87755.584249478285</v>
          </cell>
          <cell r="O120">
            <v>92157.712965038925</v>
          </cell>
          <cell r="P120">
            <v>96620.315039474022</v>
          </cell>
        </row>
        <row r="122">
          <cell r="B122" t="str">
            <v>Trade Accounts Payable</v>
          </cell>
          <cell r="C122">
            <v>-3497</v>
          </cell>
          <cell r="D122">
            <v>-3779</v>
          </cell>
          <cell r="E122">
            <v>-4295</v>
          </cell>
          <cell r="F122">
            <v>-4450.0250925674436</v>
          </cell>
          <cell r="G122">
            <v>-4902.7081852119045</v>
          </cell>
          <cell r="H122">
            <v>-5147.1903704083834</v>
          </cell>
          <cell r="I122">
            <v>-5393.123197979241</v>
          </cell>
          <cell r="J122">
            <v>-5675.1419899708362</v>
          </cell>
          <cell r="K122">
            <v>-5844.7982606494188</v>
          </cell>
          <cell r="L122">
            <v>-6065.6651364569416</v>
          </cell>
          <cell r="M122">
            <v>-6328.888644804807</v>
          </cell>
          <cell r="N122">
            <v>-6363.865240351166</v>
          </cell>
          <cell r="O122">
            <v>-6467.8333350347084</v>
          </cell>
          <cell r="P122">
            <v>-6606.2748828909262</v>
          </cell>
        </row>
        <row r="123">
          <cell r="B123" t="str">
            <v>Short-term debt</v>
          </cell>
          <cell r="C123">
            <v>-1889</v>
          </cell>
          <cell r="D123">
            <v>-3684</v>
          </cell>
          <cell r="E123">
            <v>-2570</v>
          </cell>
          <cell r="F123">
            <v>-2570</v>
          </cell>
          <cell r="G123">
            <v>-2570</v>
          </cell>
          <cell r="H123">
            <v>-2570</v>
          </cell>
          <cell r="I123">
            <v>-2570</v>
          </cell>
          <cell r="J123">
            <v>-2570</v>
          </cell>
          <cell r="K123">
            <v>-2570</v>
          </cell>
          <cell r="L123">
            <v>-2570</v>
          </cell>
          <cell r="M123">
            <v>-2570</v>
          </cell>
          <cell r="N123">
            <v>-2570</v>
          </cell>
          <cell r="O123">
            <v>-2570</v>
          </cell>
          <cell r="P123">
            <v>-2570</v>
          </cell>
        </row>
        <row r="124">
          <cell r="B124" t="str">
            <v>Provisions</v>
          </cell>
          <cell r="C124">
            <v>-3870</v>
          </cell>
          <cell r="D124">
            <v>-4218</v>
          </cell>
          <cell r="E124">
            <v>-4844</v>
          </cell>
          <cell r="F124">
            <v>-4844</v>
          </cell>
          <cell r="G124">
            <v>-4844</v>
          </cell>
          <cell r="H124">
            <v>-4844</v>
          </cell>
          <cell r="I124">
            <v>-4844</v>
          </cell>
          <cell r="J124">
            <v>-4844</v>
          </cell>
          <cell r="K124">
            <v>-4844</v>
          </cell>
          <cell r="L124">
            <v>-4844</v>
          </cell>
          <cell r="M124">
            <v>-4844</v>
          </cell>
          <cell r="N124">
            <v>-4844</v>
          </cell>
          <cell r="O124">
            <v>-4844</v>
          </cell>
          <cell r="P124">
            <v>-4844</v>
          </cell>
        </row>
        <row r="125">
          <cell r="B125" t="str">
            <v>Other current liabilities</v>
          </cell>
          <cell r="C125">
            <v>-1579</v>
          </cell>
          <cell r="D125">
            <v>-1709</v>
          </cell>
          <cell r="E125">
            <v>-1390</v>
          </cell>
          <cell r="F125">
            <v>-1390</v>
          </cell>
          <cell r="G125">
            <v>-1390</v>
          </cell>
          <cell r="H125">
            <v>-1390</v>
          </cell>
          <cell r="I125">
            <v>-1390</v>
          </cell>
          <cell r="J125">
            <v>-1390</v>
          </cell>
          <cell r="K125">
            <v>-1390</v>
          </cell>
          <cell r="L125">
            <v>-1390</v>
          </cell>
          <cell r="M125">
            <v>-1390</v>
          </cell>
          <cell r="N125">
            <v>-1390</v>
          </cell>
          <cell r="O125">
            <v>-1390</v>
          </cell>
          <cell r="P125">
            <v>-1390</v>
          </cell>
        </row>
        <row r="126">
          <cell r="B126" t="str">
            <v>Current liabilitites</v>
          </cell>
          <cell r="C126">
            <v>-10835</v>
          </cell>
          <cell r="D126">
            <v>-13390</v>
          </cell>
          <cell r="E126">
            <v>-13099</v>
          </cell>
          <cell r="F126">
            <v>-13254.025092567445</v>
          </cell>
          <cell r="G126">
            <v>-13706.708185211904</v>
          </cell>
          <cell r="H126">
            <v>-13951.190370408383</v>
          </cell>
          <cell r="I126">
            <v>-14197.123197979241</v>
          </cell>
          <cell r="J126">
            <v>-14479.141989970836</v>
          </cell>
          <cell r="K126">
            <v>-14648.798260649419</v>
          </cell>
          <cell r="L126">
            <v>-14869.665136456941</v>
          </cell>
          <cell r="M126">
            <v>-15132.888644804807</v>
          </cell>
          <cell r="N126">
            <v>-15167.865240351166</v>
          </cell>
          <cell r="O126">
            <v>-15271.833335034709</v>
          </cell>
          <cell r="P126">
            <v>-15410.274882890926</v>
          </cell>
        </row>
        <row r="128">
          <cell r="B128" t="str">
            <v>Long-term debt</v>
          </cell>
          <cell r="C128">
            <v>-9944</v>
          </cell>
          <cell r="D128">
            <v>-7995</v>
          </cell>
          <cell r="E128">
            <v>-6962</v>
          </cell>
          <cell r="F128">
            <v>-6962</v>
          </cell>
          <cell r="G128">
            <v>-6962</v>
          </cell>
          <cell r="H128">
            <v>-6962</v>
          </cell>
          <cell r="I128">
            <v>-6962</v>
          </cell>
          <cell r="J128">
            <v>-6962</v>
          </cell>
          <cell r="K128">
            <v>-6962</v>
          </cell>
          <cell r="L128">
            <v>-6962</v>
          </cell>
          <cell r="M128">
            <v>-6962</v>
          </cell>
          <cell r="N128">
            <v>-6962</v>
          </cell>
          <cell r="O128">
            <v>-6962</v>
          </cell>
          <cell r="P128">
            <v>-6962</v>
          </cell>
        </row>
        <row r="129">
          <cell r="B129" t="str">
            <v>Deferred taxes</v>
          </cell>
          <cell r="C129">
            <v>-2577</v>
          </cell>
          <cell r="D129">
            <v>-2116</v>
          </cell>
          <cell r="E129">
            <v>-938</v>
          </cell>
          <cell r="F129">
            <v>-938</v>
          </cell>
          <cell r="G129">
            <v>-938</v>
          </cell>
          <cell r="H129">
            <v>-938</v>
          </cell>
          <cell r="I129">
            <v>-938</v>
          </cell>
          <cell r="J129">
            <v>-938</v>
          </cell>
          <cell r="K129">
            <v>-938</v>
          </cell>
          <cell r="L129">
            <v>-938</v>
          </cell>
          <cell r="M129">
            <v>-938</v>
          </cell>
          <cell r="N129">
            <v>-938</v>
          </cell>
          <cell r="O129">
            <v>-938</v>
          </cell>
          <cell r="P129">
            <v>-938</v>
          </cell>
        </row>
        <row r="130">
          <cell r="B130" t="str">
            <v>Liabilities on post-employment benefits</v>
          </cell>
          <cell r="C130">
            <v>-7305</v>
          </cell>
          <cell r="D130">
            <v>-7870</v>
          </cell>
          <cell r="E130">
            <v>-9373</v>
          </cell>
          <cell r="F130">
            <v>-9617.743999999997</v>
          </cell>
          <cell r="G130">
            <v>-9869.1189319999976</v>
          </cell>
          <cell r="H130">
            <v>-10127.295555601995</v>
          </cell>
          <cell r="I130">
            <v>-10392.4486653726</v>
          </cell>
          <cell r="J130">
            <v>-10664.757170649566</v>
          </cell>
          <cell r="K130">
            <v>-10944.404176200876</v>
          </cell>
          <cell r="L130">
            <v>-11231.577063704955</v>
          </cell>
          <cell r="M130">
            <v>-11526.467574017528</v>
          </cell>
          <cell r="N130">
            <v>-11829.271890187554</v>
          </cell>
          <cell r="O130">
            <v>-12140.190721181172</v>
          </cell>
          <cell r="P130">
            <v>-12459.429386269105</v>
          </cell>
        </row>
        <row r="131">
          <cell r="B131" t="str">
            <v>Provisions and other long term liabilities</v>
          </cell>
          <cell r="C131">
            <v>-1949</v>
          </cell>
          <cell r="D131">
            <v>-2123</v>
          </cell>
          <cell r="E131">
            <v>-2395</v>
          </cell>
          <cell r="F131">
            <v>-2395</v>
          </cell>
          <cell r="G131">
            <v>-2395</v>
          </cell>
          <cell r="H131">
            <v>-2395</v>
          </cell>
          <cell r="I131">
            <v>-2395</v>
          </cell>
          <cell r="J131">
            <v>-2395</v>
          </cell>
          <cell r="K131">
            <v>-2395</v>
          </cell>
          <cell r="L131">
            <v>-2395</v>
          </cell>
          <cell r="M131">
            <v>-2395</v>
          </cell>
          <cell r="N131">
            <v>-2395</v>
          </cell>
          <cell r="O131">
            <v>-2395</v>
          </cell>
          <cell r="P131">
            <v>-2395</v>
          </cell>
        </row>
        <row r="132">
          <cell r="B132" t="str">
            <v>Noncurrent</v>
          </cell>
          <cell r="C132">
            <v>-21775</v>
          </cell>
          <cell r="D132">
            <v>-20104</v>
          </cell>
          <cell r="E132">
            <v>-19668</v>
          </cell>
          <cell r="F132">
            <v>-19912.743999999999</v>
          </cell>
          <cell r="G132">
            <v>-20164.118931999998</v>
          </cell>
          <cell r="H132">
            <v>-20422.295555601995</v>
          </cell>
          <cell r="I132">
            <v>-20687.448665372598</v>
          </cell>
          <cell r="J132">
            <v>-20959.757170649566</v>
          </cell>
          <cell r="K132">
            <v>-21239.404176200878</v>
          </cell>
          <cell r="L132">
            <v>-21526.577063704957</v>
          </cell>
          <cell r="M132">
            <v>-21821.46757401753</v>
          </cell>
          <cell r="N132">
            <v>-22124.271890187556</v>
          </cell>
          <cell r="O132">
            <v>-22435.19072118117</v>
          </cell>
          <cell r="P132">
            <v>-22754.429386269105</v>
          </cell>
        </row>
        <row r="133">
          <cell r="B133" t="str">
            <v>Total Liabilities</v>
          </cell>
          <cell r="C133">
            <v>-32610</v>
          </cell>
          <cell r="D133">
            <v>-33494</v>
          </cell>
          <cell r="E133">
            <v>-32767</v>
          </cell>
          <cell r="F133">
            <v>-33166.76909256744</v>
          </cell>
          <cell r="G133">
            <v>-33870.827117211898</v>
          </cell>
          <cell r="H133">
            <v>-34373.485926010377</v>
          </cell>
          <cell r="I133">
            <v>-34884.571863351841</v>
          </cell>
          <cell r="J133">
            <v>-35438.8991606204</v>
          </cell>
          <cell r="K133">
            <v>-35888.202436850297</v>
          </cell>
          <cell r="L133">
            <v>-36396.242200161898</v>
          </cell>
          <cell r="M133">
            <v>-36954.356218822337</v>
          </cell>
          <cell r="N133">
            <v>-37292.137130538722</v>
          </cell>
          <cell r="O133">
            <v>-37707.02405621588</v>
          </cell>
          <cell r="P133">
            <v>-38164.704269160029</v>
          </cell>
        </row>
        <row r="135">
          <cell r="B135" t="str">
            <v>Net Assets</v>
          </cell>
          <cell r="C135">
            <v>18896</v>
          </cell>
          <cell r="D135">
            <v>19271</v>
          </cell>
          <cell r="E135">
            <v>18569</v>
          </cell>
          <cell r="F135">
            <v>20700.340396906235</v>
          </cell>
          <cell r="G135">
            <v>23758.369377370538</v>
          </cell>
          <cell r="H135">
            <v>26912.853784375424</v>
          </cell>
          <cell r="I135">
            <v>30248.382070896703</v>
          </cell>
          <cell r="J135">
            <v>33974.668719847694</v>
          </cell>
          <cell r="K135">
            <v>37609.362244186828</v>
          </cell>
          <cell r="L135">
            <v>41740.01950662992</v>
          </cell>
          <cell r="M135">
            <v>46478.997683798072</v>
          </cell>
          <cell r="N135">
            <v>50463.447118939563</v>
          </cell>
          <cell r="O135">
            <v>54450.688908823045</v>
          </cell>
          <cell r="P135">
            <v>58455.610770313993</v>
          </cell>
        </row>
        <row r="137">
          <cell r="B137" t="str">
            <v>Shareholders' funds</v>
          </cell>
          <cell r="C137">
            <v>18833</v>
          </cell>
          <cell r="D137">
            <v>19212</v>
          </cell>
          <cell r="E137">
            <v>18469</v>
          </cell>
          <cell r="F137">
            <v>20550.340396906231</v>
          </cell>
          <cell r="G137">
            <v>23558.369377370527</v>
          </cell>
          <cell r="H137">
            <v>26662.85378437542</v>
          </cell>
          <cell r="I137">
            <v>29948.3820708967</v>
          </cell>
          <cell r="J137">
            <v>33624.668719847701</v>
          </cell>
          <cell r="K137">
            <v>37209.362244186828</v>
          </cell>
          <cell r="L137">
            <v>41290.019506629927</v>
          </cell>
          <cell r="M137">
            <v>45978.997683798087</v>
          </cell>
          <cell r="N137">
            <v>49913.44711893957</v>
          </cell>
          <cell r="O137">
            <v>53850.688908823053</v>
          </cell>
          <cell r="P137">
            <v>57805.610770313993</v>
          </cell>
        </row>
        <row r="139">
          <cell r="B139" t="str">
            <v>Minority interests</v>
          </cell>
          <cell r="C139">
            <v>63</v>
          </cell>
          <cell r="D139">
            <v>59</v>
          </cell>
          <cell r="E139">
            <v>100</v>
          </cell>
          <cell r="F139">
            <v>150</v>
          </cell>
          <cell r="G139">
            <v>200</v>
          </cell>
          <cell r="H139">
            <v>250</v>
          </cell>
          <cell r="I139">
            <v>300</v>
          </cell>
          <cell r="J139">
            <v>350</v>
          </cell>
          <cell r="K139">
            <v>400</v>
          </cell>
          <cell r="L139">
            <v>450</v>
          </cell>
          <cell r="M139">
            <v>500</v>
          </cell>
          <cell r="N139">
            <v>550</v>
          </cell>
          <cell r="O139">
            <v>600</v>
          </cell>
          <cell r="P139">
            <v>650</v>
          </cell>
        </row>
        <row r="141">
          <cell r="B141" t="str">
            <v>Shareholders' funds &amp; minorities</v>
          </cell>
          <cell r="C141">
            <v>18896</v>
          </cell>
          <cell r="D141">
            <v>19271</v>
          </cell>
          <cell r="E141">
            <v>18569</v>
          </cell>
          <cell r="F141">
            <v>20700.340396906231</v>
          </cell>
          <cell r="G141">
            <v>23758.369377370527</v>
          </cell>
          <cell r="H141">
            <v>26912.85378437542</v>
          </cell>
          <cell r="I141">
            <v>30248.3820708967</v>
          </cell>
          <cell r="J141">
            <v>33974.668719847701</v>
          </cell>
          <cell r="K141">
            <v>37609.362244186828</v>
          </cell>
          <cell r="L141">
            <v>41740.019506629927</v>
          </cell>
          <cell r="M141">
            <v>46478.997683798087</v>
          </cell>
          <cell r="N141">
            <v>50463.44711893957</v>
          </cell>
          <cell r="O141">
            <v>54450.688908823053</v>
          </cell>
          <cell r="P141">
            <v>58455.610770313993</v>
          </cell>
        </row>
        <row r="144">
          <cell r="B144" t="str">
            <v>Summary Cash Flow Statement</v>
          </cell>
          <cell r="C144" t="str">
            <v>FY10A</v>
          </cell>
          <cell r="D144" t="str">
            <v>FY11A</v>
          </cell>
          <cell r="E144" t="str">
            <v>FY12A</v>
          </cell>
          <cell r="F144" t="str">
            <v>FY13E</v>
          </cell>
          <cell r="G144" t="str">
            <v>FY14E</v>
          </cell>
          <cell r="H144" t="str">
            <v>FY15E</v>
          </cell>
          <cell r="I144" t="str">
            <v>FY16E</v>
          </cell>
          <cell r="J144" t="str">
            <v>FY17E</v>
          </cell>
          <cell r="K144" t="str">
            <v>FY18E</v>
          </cell>
          <cell r="L144" t="str">
            <v>FY19E</v>
          </cell>
          <cell r="M144" t="str">
            <v>FY20E</v>
          </cell>
          <cell r="N144" t="str">
            <v>FY21E</v>
          </cell>
          <cell r="O144" t="str">
            <v>FY22E</v>
          </cell>
          <cell r="P144" t="str">
            <v>FY23E</v>
          </cell>
        </row>
        <row r="146">
          <cell r="B146" t="str">
            <v>Net Income</v>
          </cell>
          <cell r="C146">
            <v>1301</v>
          </cell>
          <cell r="D146">
            <v>2470</v>
          </cell>
          <cell r="E146">
            <v>2446</v>
          </cell>
          <cell r="F146">
            <v>3652.5412321062322</v>
          </cell>
          <cell r="G146">
            <v>4652.9108749942916</v>
          </cell>
          <cell r="H146">
            <v>5062.4883064714513</v>
          </cell>
          <cell r="I146">
            <v>5399.0934197078222</v>
          </cell>
          <cell r="J146">
            <v>5920.1868903562081</v>
          </cell>
          <cell r="K146">
            <v>6023.824452278619</v>
          </cell>
          <cell r="L146">
            <v>6569.6396380615115</v>
          </cell>
          <cell r="M146">
            <v>7383.3392558631604</v>
          </cell>
          <cell r="N146">
            <v>6928.75038607853</v>
          </cell>
          <cell r="O146">
            <v>6788.7716522931023</v>
          </cell>
          <cell r="P146">
            <v>6774.6745381611527</v>
          </cell>
        </row>
        <row r="147">
          <cell r="B147" t="str">
            <v>Minority interests</v>
          </cell>
          <cell r="C147">
            <v>9</v>
          </cell>
          <cell r="D147">
            <v>2</v>
          </cell>
          <cell r="E147">
            <v>50</v>
          </cell>
          <cell r="F147">
            <v>50</v>
          </cell>
          <cell r="G147">
            <v>50</v>
          </cell>
          <cell r="H147">
            <v>50</v>
          </cell>
          <cell r="I147">
            <v>50</v>
          </cell>
          <cell r="J147">
            <v>50</v>
          </cell>
          <cell r="K147">
            <v>50</v>
          </cell>
          <cell r="L147">
            <v>50</v>
          </cell>
          <cell r="M147">
            <v>50</v>
          </cell>
          <cell r="N147">
            <v>50</v>
          </cell>
          <cell r="O147">
            <v>50</v>
          </cell>
          <cell r="P147">
            <v>50</v>
          </cell>
        </row>
        <row r="148">
          <cell r="B148" t="str">
            <v>Income tax</v>
          </cell>
          <cell r="C148">
            <v>411</v>
          </cell>
          <cell r="D148">
            <v>891</v>
          </cell>
          <cell r="E148">
            <v>752</v>
          </cell>
          <cell r="F148">
            <v>1334.9298319838797</v>
          </cell>
          <cell r="G148">
            <v>1652.3740912142107</v>
          </cell>
          <cell r="H148">
            <v>1796.2796752467264</v>
          </cell>
          <cell r="I148">
            <v>1914.5463366540998</v>
          </cell>
          <cell r="J148">
            <v>2097.6332317467763</v>
          </cell>
          <cell r="K148">
            <v>2134.0464291789744</v>
          </cell>
          <cell r="L148">
            <v>2325.8193322918828</v>
          </cell>
          <cell r="M148">
            <v>2611.7137926005703</v>
          </cell>
          <cell r="N148">
            <v>2451.9933788924563</v>
          </cell>
          <cell r="O148">
            <v>2402.8116616164953</v>
          </cell>
          <cell r="P148">
            <v>2397.8586215160808</v>
          </cell>
        </row>
        <row r="149">
          <cell r="B149" t="str">
            <v>Associates</v>
          </cell>
          <cell r="C149">
            <v>56</v>
          </cell>
          <cell r="D149">
            <v>45</v>
          </cell>
          <cell r="E149">
            <v>46</v>
          </cell>
          <cell r="F149">
            <v>43.699999999999996</v>
          </cell>
          <cell r="G149">
            <v>41.514999999999993</v>
          </cell>
          <cell r="H149">
            <v>39.439249999999994</v>
          </cell>
          <cell r="I149">
            <v>0</v>
          </cell>
          <cell r="J149">
            <v>0</v>
          </cell>
          <cell r="K149">
            <v>0</v>
          </cell>
          <cell r="L149">
            <v>0</v>
          </cell>
          <cell r="M149">
            <v>0</v>
          </cell>
          <cell r="N149">
            <v>0</v>
          </cell>
          <cell r="O149">
            <v>0</v>
          </cell>
          <cell r="P149">
            <v>0</v>
          </cell>
        </row>
        <row r="150">
          <cell r="B150" t="str">
            <v>Net financials</v>
          </cell>
          <cell r="C150">
            <v>953</v>
          </cell>
          <cell r="D150">
            <v>741</v>
          </cell>
          <cell r="E150">
            <v>666</v>
          </cell>
          <cell r="F150">
            <v>666.6225523316491</v>
          </cell>
          <cell r="G150">
            <v>636.74045161754736</v>
          </cell>
          <cell r="H150">
            <v>616.30750478834216</v>
          </cell>
          <cell r="I150">
            <v>477.04223176202731</v>
          </cell>
          <cell r="J150">
            <v>260.83596607993968</v>
          </cell>
          <cell r="K150">
            <v>163.12886641778255</v>
          </cell>
          <cell r="L150">
            <v>53.210422201780602</v>
          </cell>
          <cell r="M150">
            <v>-62.269110366774385</v>
          </cell>
          <cell r="N150">
            <v>-185.12870688022872</v>
          </cell>
          <cell r="O150">
            <v>-185.12870688022872</v>
          </cell>
          <cell r="P150">
            <v>-185.12870688022872</v>
          </cell>
        </row>
        <row r="151">
          <cell r="B151" t="str">
            <v>Tax Paid</v>
          </cell>
          <cell r="C151">
            <v>-897</v>
          </cell>
          <cell r="D151">
            <v>-1067</v>
          </cell>
          <cell r="E151">
            <v>-1560</v>
          </cell>
          <cell r="F151">
            <v>-1391.9949475482867</v>
          </cell>
          <cell r="G151">
            <v>-1819.0078442924162</v>
          </cell>
          <cell r="H151">
            <v>-1886.2741653039172</v>
          </cell>
          <cell r="I151">
            <v>-2005.0748117156888</v>
          </cell>
          <cell r="J151">
            <v>-2201.4450385311102</v>
          </cell>
          <cell r="K151">
            <v>-2196.4973171749789</v>
          </cell>
          <cell r="L151">
            <v>-2407.120969230577</v>
          </cell>
          <cell r="M151">
            <v>-2708.6070095267582</v>
          </cell>
          <cell r="N151">
            <v>-2464.8683492204641</v>
          </cell>
          <cell r="O151">
            <v>-2441.0825714406351</v>
          </cell>
          <cell r="P151">
            <v>-2448.8192937304416</v>
          </cell>
        </row>
        <row r="152">
          <cell r="B152" t="str">
            <v>Depreciation &amp; Amortisation</v>
          </cell>
          <cell r="C152">
            <v>3556</v>
          </cell>
          <cell r="D152">
            <v>2769</v>
          </cell>
          <cell r="E152">
            <v>2960</v>
          </cell>
          <cell r="F152">
            <v>2729.3356963187271</v>
          </cell>
          <cell r="G152">
            <v>2839.8530699911289</v>
          </cell>
          <cell r="H152">
            <v>2954.7744075654123</v>
          </cell>
          <cell r="I152">
            <v>3074.1082235070371</v>
          </cell>
          <cell r="J152">
            <v>3198.4644652387688</v>
          </cell>
          <cell r="K152">
            <v>3327.6096765972502</v>
          </cell>
          <cell r="L152">
            <v>3462.5514038102147</v>
          </cell>
          <cell r="M152">
            <v>3604.1346493774754</v>
          </cell>
          <cell r="N152">
            <v>3748.5153756013624</v>
          </cell>
          <cell r="O152">
            <v>3897.0829078245538</v>
          </cell>
          <cell r="P152">
            <v>4050.6139154618268</v>
          </cell>
        </row>
        <row r="153">
          <cell r="B153" t="str">
            <v>Increase/(decrease) in working capital</v>
          </cell>
          <cell r="C153">
            <v>1002</v>
          </cell>
          <cell r="D153">
            <v>-112</v>
          </cell>
          <cell r="E153">
            <v>-67</v>
          </cell>
          <cell r="F153">
            <v>-515.12691141159758</v>
          </cell>
          <cell r="G153">
            <v>-907.86529528841311</v>
          </cell>
          <cell r="H153">
            <v>-441.47214420613727</v>
          </cell>
          <cell r="I153">
            <v>-391.66739459296605</v>
          </cell>
          <cell r="J153">
            <v>-394.03346681405765</v>
          </cell>
          <cell r="K153">
            <v>-292.66996323751846</v>
          </cell>
          <cell r="L153">
            <v>-328.61436332011999</v>
          </cell>
          <cell r="M153">
            <v>-310.37421624875515</v>
          </cell>
          <cell r="N153">
            <v>-220.03254638863837</v>
          </cell>
          <cell r="O153">
            <v>-123.65652900244913</v>
          </cell>
          <cell r="P153">
            <v>-168.76629150258395</v>
          </cell>
        </row>
        <row r="154">
          <cell r="B154" t="str">
            <v>Change in pension provisions</v>
          </cell>
          <cell r="C154">
            <v>-590</v>
          </cell>
          <cell r="D154">
            <v>-504</v>
          </cell>
          <cell r="E154">
            <v>-542</v>
          </cell>
          <cell r="F154">
            <v>244.74399999999696</v>
          </cell>
          <cell r="G154">
            <v>251.37493200000063</v>
          </cell>
          <cell r="H154">
            <v>258.17662360199756</v>
          </cell>
          <cell r="I154">
            <v>265.15310977060471</v>
          </cell>
          <cell r="J154">
            <v>272.30850527696566</v>
          </cell>
          <cell r="K154">
            <v>279.64700555131094</v>
          </cell>
          <cell r="L154">
            <v>287.17288750407897</v>
          </cell>
          <cell r="M154">
            <v>294.89051031257259</v>
          </cell>
          <cell r="N154">
            <v>302.80431617002614</v>
          </cell>
          <cell r="O154">
            <v>310.91883099361803</v>
          </cell>
          <cell r="P154">
            <v>319.23866508793253</v>
          </cell>
        </row>
        <row r="155">
          <cell r="B155" t="str">
            <v>Other</v>
          </cell>
          <cell r="C155">
            <v>-28</v>
          </cell>
          <cell r="D155">
            <v>-175</v>
          </cell>
          <cell r="E155">
            <v>-219</v>
          </cell>
          <cell r="F155">
            <v>0</v>
          </cell>
          <cell r="G155">
            <v>0</v>
          </cell>
          <cell r="H155">
            <v>0</v>
          </cell>
          <cell r="I155">
            <v>0</v>
          </cell>
          <cell r="J155">
            <v>0</v>
          </cell>
          <cell r="K155">
            <v>0</v>
          </cell>
          <cell r="L155">
            <v>0</v>
          </cell>
          <cell r="M155">
            <v>0</v>
          </cell>
          <cell r="N155">
            <v>0</v>
          </cell>
          <cell r="O155">
            <v>0</v>
          </cell>
          <cell r="P155">
            <v>0</v>
          </cell>
        </row>
        <row r="156">
          <cell r="B156" t="str">
            <v>Cash flow from operating activities</v>
          </cell>
          <cell r="C156">
            <v>5773</v>
          </cell>
          <cell r="D156">
            <v>5060</v>
          </cell>
          <cell r="E156">
            <v>4532</v>
          </cell>
          <cell r="F156">
            <v>6814.751453780601</v>
          </cell>
          <cell r="G156">
            <v>7397.895280236351</v>
          </cell>
          <cell r="H156">
            <v>8449.719458163876</v>
          </cell>
          <cell r="I156">
            <v>8783.2011150929375</v>
          </cell>
          <cell r="J156">
            <v>9203.9505533534921</v>
          </cell>
          <cell r="K156">
            <v>9489.08914961144</v>
          </cell>
          <cell r="L156">
            <v>10012.658351318772</v>
          </cell>
          <cell r="M156">
            <v>10862.82787201149</v>
          </cell>
          <cell r="N156">
            <v>10612.033854253044</v>
          </cell>
          <cell r="O156">
            <v>10699.717245404456</v>
          </cell>
          <cell r="P156">
            <v>10789.671448113741</v>
          </cell>
        </row>
        <row r="158">
          <cell r="B158" t="str">
            <v>Investing Activities</v>
          </cell>
        </row>
        <row r="159">
          <cell r="B159" t="str">
            <v>Investment in tangible fixed assets (CAPEX)</v>
          </cell>
          <cell r="C159">
            <v>-1514</v>
          </cell>
          <cell r="D159">
            <v>-1615</v>
          </cell>
          <cell r="E159">
            <v>-1929</v>
          </cell>
          <cell r="F159">
            <v>-1626.6680780747115</v>
          </cell>
          <cell r="G159">
            <v>-1792.1424565268194</v>
          </cell>
          <cell r="H159">
            <v>-1881.5107989618539</v>
          </cell>
          <cell r="I159">
            <v>-1971.4094111356014</v>
          </cell>
          <cell r="J159">
            <v>-2074.4989346342754</v>
          </cell>
          <cell r="K159">
            <v>-2136.5153129731289</v>
          </cell>
          <cell r="L159">
            <v>-2217.2512838736666</v>
          </cell>
          <cell r="M159">
            <v>-2313.4703544455292</v>
          </cell>
          <cell r="N159">
            <v>-2326.2557455998444</v>
          </cell>
          <cell r="O159">
            <v>-2364.2603809090788</v>
          </cell>
          <cell r="P159">
            <v>-2414.8664880416195</v>
          </cell>
        </row>
        <row r="160">
          <cell r="B160" t="str">
            <v>Purchase of intangible assets</v>
          </cell>
          <cell r="C160">
            <v>0</v>
          </cell>
          <cell r="D160">
            <v>0</v>
          </cell>
          <cell r="E160">
            <v>0</v>
          </cell>
          <cell r="F160">
            <v>-1705.0218773946362</v>
          </cell>
          <cell r="G160">
            <v>-1061.6131467432951</v>
          </cell>
          <cell r="H160">
            <v>-1093.4615411455941</v>
          </cell>
          <cell r="I160">
            <v>-1126.265387379962</v>
          </cell>
          <cell r="J160">
            <v>-1160.0533490013609</v>
          </cell>
          <cell r="K160">
            <v>-1218.0560164514291</v>
          </cell>
          <cell r="L160">
            <v>-1278.9588172740005</v>
          </cell>
          <cell r="M160">
            <v>-1342.9067581377005</v>
          </cell>
          <cell r="N160">
            <v>-1410.0520960445856</v>
          </cell>
          <cell r="O160">
            <v>-1480.554700846815</v>
          </cell>
          <cell r="P160">
            <v>-1554.5824358891557</v>
          </cell>
        </row>
        <row r="161">
          <cell r="B161" t="str">
            <v>Cash from current/noncurrent assets</v>
          </cell>
          <cell r="C161">
            <v>-1084</v>
          </cell>
          <cell r="D161">
            <v>-2537</v>
          </cell>
          <cell r="E161">
            <v>1068</v>
          </cell>
          <cell r="F161">
            <v>0</v>
          </cell>
          <cell r="G161">
            <v>0</v>
          </cell>
          <cell r="H161">
            <v>0</v>
          </cell>
          <cell r="I161">
            <v>0</v>
          </cell>
          <cell r="J161">
            <v>0</v>
          </cell>
          <cell r="K161">
            <v>0</v>
          </cell>
          <cell r="L161">
            <v>0</v>
          </cell>
          <cell r="M161">
            <v>0</v>
          </cell>
          <cell r="N161">
            <v>0</v>
          </cell>
          <cell r="O161">
            <v>0</v>
          </cell>
          <cell r="P161">
            <v>0</v>
          </cell>
        </row>
        <row r="162">
          <cell r="B162" t="str">
            <v>Interest and dividends received</v>
          </cell>
          <cell r="C162">
            <v>451</v>
          </cell>
          <cell r="D162">
            <v>407</v>
          </cell>
          <cell r="E162">
            <v>429</v>
          </cell>
          <cell r="F162">
            <v>333.02944766835094</v>
          </cell>
          <cell r="G162">
            <v>371.35521638245257</v>
          </cell>
          <cell r="H162">
            <v>400.46059836565769</v>
          </cell>
          <cell r="I162">
            <v>548.63296490624157</v>
          </cell>
          <cell r="J162">
            <v>773.98701287541508</v>
          </cell>
          <cell r="K162">
            <v>881.08875596962753</v>
          </cell>
          <cell r="L162">
            <v>1000.6550218771497</v>
          </cell>
          <cell r="M162">
            <v>1126.0420190645955</v>
          </cell>
          <cell r="N162">
            <v>1259.0753381838333</v>
          </cell>
          <cell r="O162">
            <v>1259.0753381838333</v>
          </cell>
          <cell r="P162">
            <v>1259.0753381838333</v>
          </cell>
        </row>
        <row r="163">
          <cell r="B163" t="str">
            <v>Other</v>
          </cell>
          <cell r="C163">
            <v>122</v>
          </cell>
          <cell r="D163">
            <v>183</v>
          </cell>
          <cell r="E163">
            <v>-64</v>
          </cell>
          <cell r="F163">
            <v>0</v>
          </cell>
          <cell r="G163">
            <v>0</v>
          </cell>
          <cell r="H163">
            <v>0</v>
          </cell>
          <cell r="I163">
            <v>0</v>
          </cell>
          <cell r="J163">
            <v>0</v>
          </cell>
          <cell r="K163">
            <v>0</v>
          </cell>
          <cell r="L163">
            <v>0</v>
          </cell>
          <cell r="M163">
            <v>0</v>
          </cell>
          <cell r="N163">
            <v>0</v>
          </cell>
          <cell r="O163">
            <v>0</v>
          </cell>
          <cell r="P163">
            <v>0</v>
          </cell>
        </row>
        <row r="164">
          <cell r="B164" t="str">
            <v>Cash flow from investing activities</v>
          </cell>
          <cell r="C164">
            <v>-2025</v>
          </cell>
          <cell r="D164">
            <v>-3562</v>
          </cell>
          <cell r="E164">
            <v>-496</v>
          </cell>
          <cell r="F164">
            <v>-2998.660507800997</v>
          </cell>
          <cell r="G164">
            <v>-2482.4003868876621</v>
          </cell>
          <cell r="H164">
            <v>-2574.5117417417905</v>
          </cell>
          <cell r="I164">
            <v>-2549.0418336093217</v>
          </cell>
          <cell r="J164">
            <v>-2460.5652707602212</v>
          </cell>
          <cell r="K164">
            <v>-2473.4825734549304</v>
          </cell>
          <cell r="L164">
            <v>-2495.5550792705171</v>
          </cell>
          <cell r="M164">
            <v>-2530.3350935186345</v>
          </cell>
          <cell r="N164">
            <v>-2477.2325034605965</v>
          </cell>
          <cell r="O164">
            <v>-2585.7397435720604</v>
          </cell>
          <cell r="P164">
            <v>-2710.3735857469419</v>
          </cell>
        </row>
        <row r="166">
          <cell r="B166" t="str">
            <v>Financing Activities</v>
          </cell>
        </row>
        <row r="167">
          <cell r="B167" t="str">
            <v>Increase in long-term financial debts</v>
          </cell>
          <cell r="C167">
            <v>965</v>
          </cell>
          <cell r="D167">
            <v>1001</v>
          </cell>
          <cell r="E167">
            <v>1309</v>
          </cell>
          <cell r="F167">
            <v>0</v>
          </cell>
          <cell r="G167">
            <v>0</v>
          </cell>
          <cell r="H167">
            <v>0</v>
          </cell>
          <cell r="I167">
            <v>0</v>
          </cell>
          <cell r="J167">
            <v>0</v>
          </cell>
          <cell r="K167">
            <v>0</v>
          </cell>
          <cell r="L167">
            <v>0</v>
          </cell>
          <cell r="M167">
            <v>0</v>
          </cell>
          <cell r="N167">
            <v>0</v>
          </cell>
          <cell r="O167">
            <v>0</v>
          </cell>
          <cell r="P167">
            <v>0</v>
          </cell>
        </row>
        <row r="168">
          <cell r="B168" t="str">
            <v>Repayment of long-term financial debts</v>
          </cell>
          <cell r="C168">
            <v>-2509</v>
          </cell>
          <cell r="D168">
            <v>-1398</v>
          </cell>
          <cell r="E168">
            <v>-3254</v>
          </cell>
          <cell r="F168">
            <v>0</v>
          </cell>
          <cell r="G168">
            <v>0</v>
          </cell>
          <cell r="H168">
            <v>0</v>
          </cell>
          <cell r="I168">
            <v>0</v>
          </cell>
          <cell r="J168">
            <v>0</v>
          </cell>
          <cell r="K168">
            <v>0</v>
          </cell>
          <cell r="L168">
            <v>0</v>
          </cell>
          <cell r="M168">
            <v>0</v>
          </cell>
          <cell r="N168">
            <v>0</v>
          </cell>
          <cell r="O168">
            <v>0</v>
          </cell>
          <cell r="P168">
            <v>0</v>
          </cell>
        </row>
        <row r="169">
          <cell r="B169" t="str">
            <v>Interest paid</v>
          </cell>
          <cell r="C169">
            <v>-915</v>
          </cell>
          <cell r="D169">
            <v>-902</v>
          </cell>
          <cell r="E169">
            <v>-793</v>
          </cell>
          <cell r="F169">
            <v>-999.65200000000004</v>
          </cell>
          <cell r="G169">
            <v>-1008.0956679999999</v>
          </cell>
          <cell r="H169">
            <v>-1016.7681031539998</v>
          </cell>
          <cell r="I169">
            <v>-1025.6751966682689</v>
          </cell>
          <cell r="J169">
            <v>-1034.8229789553548</v>
          </cell>
          <cell r="K169">
            <v>-1044.2176223874101</v>
          </cell>
          <cell r="L169">
            <v>-1053.8654440789303</v>
          </cell>
          <cell r="M169">
            <v>-1063.7729086978211</v>
          </cell>
          <cell r="N169">
            <v>-1073.9466313036046</v>
          </cell>
          <cell r="O169">
            <v>-1073.9466313036046</v>
          </cell>
          <cell r="P169">
            <v>-1073.9466313036046</v>
          </cell>
        </row>
        <row r="170">
          <cell r="B170" t="str">
            <v>Dividends paid (incl. those to minorities)</v>
          </cell>
          <cell r="C170">
            <v>-1160</v>
          </cell>
          <cell r="D170">
            <v>-1242</v>
          </cell>
          <cell r="E170">
            <v>-1366</v>
          </cell>
          <cell r="F170">
            <v>-1571.2008352</v>
          </cell>
          <cell r="G170">
            <v>-1644.8818945299956</v>
          </cell>
          <cell r="H170">
            <v>-1958.0038994665597</v>
          </cell>
          <cell r="I170">
            <v>-2113.5651331865415</v>
          </cell>
          <cell r="J170">
            <v>-2243.9002414052084</v>
          </cell>
          <cell r="K170">
            <v>-2439.1309279394918</v>
          </cell>
          <cell r="L170">
            <v>-2488.9823756184132</v>
          </cell>
          <cell r="M170">
            <v>-2694.3610786949998</v>
          </cell>
          <cell r="N170">
            <v>-2994.300950937049</v>
          </cell>
          <cell r="O170">
            <v>-2851.529862409619</v>
          </cell>
          <cell r="P170">
            <v>-2819.7526766702094</v>
          </cell>
        </row>
        <row r="171">
          <cell r="B171" t="str">
            <v>Cash Flow from Financing Activities</v>
          </cell>
          <cell r="C171">
            <v>-3619</v>
          </cell>
          <cell r="D171">
            <v>-2541</v>
          </cell>
          <cell r="E171">
            <v>-4104</v>
          </cell>
          <cell r="F171">
            <v>-2570.8528352000003</v>
          </cell>
          <cell r="G171">
            <v>-2652.9775625299953</v>
          </cell>
          <cell r="H171">
            <v>-2974.7720026205598</v>
          </cell>
          <cell r="I171">
            <v>-3139.2403298548106</v>
          </cell>
          <cell r="J171">
            <v>-3278.7232203605631</v>
          </cell>
          <cell r="K171">
            <v>-3483.3485503269021</v>
          </cell>
          <cell r="L171">
            <v>-3542.8478196973438</v>
          </cell>
          <cell r="M171">
            <v>-3758.1339873928209</v>
          </cell>
          <cell r="N171">
            <v>-4068.2475822406536</v>
          </cell>
          <cell r="O171">
            <v>-3925.4764937132236</v>
          </cell>
          <cell r="P171">
            <v>-3893.699307973814</v>
          </cell>
        </row>
        <row r="173">
          <cell r="B173" t="str">
            <v>Net Change in cash and cash equivalents</v>
          </cell>
          <cell r="C173">
            <v>129</v>
          </cell>
          <cell r="D173">
            <v>-1043</v>
          </cell>
          <cell r="E173">
            <v>-68</v>
          </cell>
          <cell r="F173">
            <v>1245.2381107796036</v>
          </cell>
          <cell r="G173">
            <v>2262.5173308186932</v>
          </cell>
          <cell r="H173">
            <v>2900.4357138015257</v>
          </cell>
          <cell r="I173">
            <v>3094.9189516288052</v>
          </cell>
          <cell r="J173">
            <v>3464.6620622327082</v>
          </cell>
          <cell r="K173">
            <v>3532.2580258296075</v>
          </cell>
          <cell r="L173">
            <v>3974.2554523509116</v>
          </cell>
          <cell r="M173">
            <v>4574.358791100035</v>
          </cell>
          <cell r="N173">
            <v>4066.5537685517938</v>
          </cell>
          <cell r="O173">
            <v>4188.5010081191722</v>
          </cell>
          <cell r="P173">
            <v>4185.5985543929846</v>
          </cell>
        </row>
        <row r="175">
          <cell r="B175" t="str">
            <v>Cash and cash equivalents at the beginning of the year</v>
          </cell>
          <cell r="C175">
            <v>2725</v>
          </cell>
          <cell r="D175">
            <v>2840</v>
          </cell>
          <cell r="E175">
            <v>1770</v>
          </cell>
          <cell r="F175">
            <v>1695</v>
          </cell>
          <cell r="G175">
            <v>2940.2381107796036</v>
          </cell>
          <cell r="H175">
            <v>5202.7554415982968</v>
          </cell>
          <cell r="I175">
            <v>8103.1911553998225</v>
          </cell>
          <cell r="J175">
            <v>11198.110107028626</v>
          </cell>
          <cell r="K175">
            <v>14662.772169261332</v>
          </cell>
          <cell r="L175">
            <v>18195.030195090942</v>
          </cell>
          <cell r="M175">
            <v>22169.285647441851</v>
          </cell>
          <cell r="N175">
            <v>26743.644438541887</v>
          </cell>
          <cell r="O175">
            <v>30810.198207093683</v>
          </cell>
          <cell r="P175">
            <v>34998.699215212851</v>
          </cell>
        </row>
        <row r="176">
          <cell r="B176" t="str">
            <v>Exchange gains/losses</v>
          </cell>
          <cell r="C176">
            <v>-14</v>
          </cell>
          <cell r="D176">
            <v>-27</v>
          </cell>
          <cell r="E176">
            <v>-7</v>
          </cell>
          <cell r="F176">
            <v>0</v>
          </cell>
          <cell r="G176">
            <v>0</v>
          </cell>
          <cell r="H176">
            <v>0</v>
          </cell>
          <cell r="I176">
            <v>0</v>
          </cell>
          <cell r="J176">
            <v>0</v>
          </cell>
          <cell r="K176">
            <v>0</v>
          </cell>
          <cell r="L176">
            <v>0</v>
          </cell>
          <cell r="M176">
            <v>0</v>
          </cell>
          <cell r="N176">
            <v>0</v>
          </cell>
          <cell r="O176">
            <v>0</v>
          </cell>
          <cell r="P176">
            <v>0</v>
          </cell>
        </row>
        <row r="177">
          <cell r="B177" t="str">
            <v>Cash and cash equivalents at the end of the year</v>
          </cell>
          <cell r="C177">
            <v>2840</v>
          </cell>
          <cell r="D177">
            <v>1770</v>
          </cell>
          <cell r="E177">
            <v>1695</v>
          </cell>
          <cell r="F177">
            <v>2940.2381107796036</v>
          </cell>
          <cell r="G177">
            <v>5202.7554415982968</v>
          </cell>
          <cell r="H177">
            <v>8103.1911553998225</v>
          </cell>
          <cell r="I177">
            <v>11198.110107028626</v>
          </cell>
          <cell r="J177">
            <v>14662.772169261332</v>
          </cell>
          <cell r="K177">
            <v>18195.030195090942</v>
          </cell>
          <cell r="L177">
            <v>22169.285647441851</v>
          </cell>
          <cell r="M177">
            <v>26743.644438541887</v>
          </cell>
          <cell r="N177">
            <v>30810.198207093683</v>
          </cell>
          <cell r="O177">
            <v>34998.699215212851</v>
          </cell>
          <cell r="P177">
            <v>39184.297769605837</v>
          </cell>
        </row>
      </sheetData>
      <sheetData sheetId="24">
        <row r="3">
          <cell r="B3" t="str">
            <v>Investment case</v>
          </cell>
        </row>
        <row r="5">
          <cell r="B5" t="str">
            <v>2010 divisional revenues</v>
          </cell>
          <cell r="G5" t="str">
            <v>2010 geographical revenues</v>
          </cell>
        </row>
        <row r="6">
          <cell r="B6" t="str">
            <v>Healthcare</v>
          </cell>
          <cell r="C6">
            <v>16913</v>
          </cell>
          <cell r="D6">
            <v>0.48201664386684906</v>
          </cell>
          <cell r="G6" t="str">
            <v>US</v>
          </cell>
          <cell r="H6">
            <v>7017.6</v>
          </cell>
          <cell r="I6">
            <v>0.2</v>
          </cell>
        </row>
        <row r="7">
          <cell r="B7" t="str">
            <v>Pharma</v>
          </cell>
          <cell r="C7">
            <v>9954</v>
          </cell>
          <cell r="D7">
            <v>0.28368673050615595</v>
          </cell>
          <cell r="G7" t="str">
            <v>Western Europe</v>
          </cell>
          <cell r="H7">
            <v>11929.92</v>
          </cell>
          <cell r="I7">
            <v>0.34</v>
          </cell>
        </row>
        <row r="8">
          <cell r="B8" t="str">
            <v>Consumer</v>
          </cell>
          <cell r="C8">
            <v>6959</v>
          </cell>
          <cell r="D8">
            <v>0.19832991336069311</v>
          </cell>
          <cell r="G8" t="str">
            <v>Emerging Markets</v>
          </cell>
          <cell r="H8">
            <v>12631.68</v>
          </cell>
          <cell r="I8">
            <v>0.36</v>
          </cell>
        </row>
        <row r="9">
          <cell r="B9" t="str">
            <v>Crop Science</v>
          </cell>
          <cell r="C9">
            <v>6830</v>
          </cell>
          <cell r="D9">
            <v>0.19465344277245783</v>
          </cell>
          <cell r="G9" t="str">
            <v>Others</v>
          </cell>
          <cell r="H9">
            <v>3508.8</v>
          </cell>
          <cell r="I9">
            <v>0.1</v>
          </cell>
        </row>
        <row r="10">
          <cell r="B10" t="str">
            <v>Crop Protection</v>
          </cell>
          <cell r="C10">
            <v>6180</v>
          </cell>
          <cell r="D10">
            <v>0.17612859097127223</v>
          </cell>
          <cell r="H10">
            <v>35088</v>
          </cell>
          <cell r="I10">
            <v>1</v>
          </cell>
        </row>
        <row r="11">
          <cell r="B11" t="str">
            <v>Environmental Science / Bioscience</v>
          </cell>
          <cell r="C11">
            <v>650</v>
          </cell>
          <cell r="D11">
            <v>1.8524851801185592E-2</v>
          </cell>
        </row>
        <row r="12">
          <cell r="B12" t="str">
            <v>Material Science</v>
          </cell>
          <cell r="C12">
            <v>10154</v>
          </cell>
          <cell r="D12">
            <v>0.28938668490652075</v>
          </cell>
        </row>
        <row r="13">
          <cell r="B13" t="str">
            <v>Polycarbonates</v>
          </cell>
          <cell r="C13">
            <v>2951</v>
          </cell>
          <cell r="D13">
            <v>8.4102827177382586E-2</v>
          </cell>
        </row>
        <row r="14">
          <cell r="B14" t="str">
            <v>Polyurethanes</v>
          </cell>
          <cell r="C14">
            <v>7203</v>
          </cell>
          <cell r="D14">
            <v>0.20528385772913818</v>
          </cell>
        </row>
        <row r="15">
          <cell r="B15" t="str">
            <v>Group</v>
          </cell>
          <cell r="C15">
            <v>35088</v>
          </cell>
          <cell r="D15">
            <v>1</v>
          </cell>
        </row>
        <row r="42">
          <cell r="L42" t="str">
            <v>Key Drugs</v>
          </cell>
        </row>
        <row r="44">
          <cell r="L44" t="str">
            <v>Drug</v>
          </cell>
          <cell r="M44" t="str">
            <v>Indication</v>
          </cell>
          <cell r="N44" t="str">
            <v>Peak sales (year)</v>
          </cell>
          <cell r="O44" t="str">
            <v>% of FY11 sales</v>
          </cell>
          <cell r="P44" t="str">
            <v>Patent Expiry</v>
          </cell>
        </row>
        <row r="45">
          <cell r="L45" t="str">
            <v>Betaseron</v>
          </cell>
          <cell r="M45" t="str">
            <v>MS</v>
          </cell>
          <cell r="N45" t="str">
            <v>EUR1.2bn (2009)</v>
          </cell>
          <cell r="O45">
            <v>3.057928164695576E-2</v>
          </cell>
          <cell r="P45" t="str">
            <v>US: Expired EU: Expired</v>
          </cell>
        </row>
        <row r="46">
          <cell r="L46" t="str">
            <v>Kogenate</v>
          </cell>
          <cell r="M46" t="str">
            <v>Haemophilia A</v>
          </cell>
          <cell r="N46" t="str">
            <v>EUR1.3bn (2014)</v>
          </cell>
          <cell r="O46">
            <v>2.9429478756022778E-2</v>
          </cell>
          <cell r="P46" t="str">
            <v>US: 2014 EU: Expired</v>
          </cell>
        </row>
        <row r="47">
          <cell r="L47" t="str">
            <v xml:space="preserve"> Xarelto </v>
          </cell>
          <cell r="M47" t="str">
            <v>VTE in hip/knee surgery*</v>
          </cell>
          <cell r="N47" t="str">
            <v>EUR1.8bn (2020)</v>
          </cell>
          <cell r="O47" t="str">
            <v>-</v>
          </cell>
          <cell r="P47" t="str">
            <v>US: 2021 EU: 2020/23</v>
          </cell>
        </row>
        <row r="48">
          <cell r="L48" t="str">
            <v>Nexavar</v>
          </cell>
          <cell r="M48" t="str">
            <v>HCC/RCC</v>
          </cell>
          <cell r="N48" t="str">
            <v>EUR850m (2012)</v>
          </cell>
          <cell r="O48">
            <v>1.9847787998247921E-2</v>
          </cell>
          <cell r="P48" t="str">
            <v>US: 2020 EU: 2020/21</v>
          </cell>
        </row>
        <row r="49">
          <cell r="L49" t="str">
            <v>MS = Multiple Sclerosis, HCC = Hepatocellular carcinoma, RCC = Renal cell carcinoma</v>
          </cell>
        </row>
        <row r="50">
          <cell r="B50" t="str">
            <v>MS vs. Consensus</v>
          </cell>
          <cell r="L50" t="str">
            <v>* Approval sought in AF (Atrial Fibrillation), ACS (Acute Coronary Syndrome), and secondary prevention</v>
          </cell>
        </row>
        <row r="52">
          <cell r="B52" t="str">
            <v>$m</v>
          </cell>
          <cell r="C52" t="str">
            <v>2012e</v>
          </cell>
          <cell r="D52" t="str">
            <v>2013e</v>
          </cell>
          <cell r="E52" t="str">
            <v>2014e</v>
          </cell>
          <cell r="F52" t="str">
            <v>2015e</v>
          </cell>
        </row>
        <row r="53">
          <cell r="B53" t="str">
            <v>Sales - MS</v>
          </cell>
          <cell r="C53">
            <v>39760</v>
          </cell>
          <cell r="D53">
            <v>41195.110053662756</v>
          </cell>
          <cell r="E53">
            <v>45385.722338539075</v>
          </cell>
          <cell r="F53">
            <v>47648.961380078537</v>
          </cell>
          <cell r="L53" t="str">
            <v>Date</v>
          </cell>
        </row>
        <row r="54">
          <cell r="B54" t="str">
            <v>Sales - consensus</v>
          </cell>
          <cell r="C54">
            <v>41639.64</v>
          </cell>
          <cell r="D54">
            <v>43791.3</v>
          </cell>
          <cell r="E54">
            <v>46134.86</v>
          </cell>
          <cell r="F54">
            <v>48409.5</v>
          </cell>
          <cell r="L54" t="str">
            <v>Type</v>
          </cell>
          <cell r="M54" t="str">
            <v>FY1 SAL MEAN EST</v>
          </cell>
          <cell r="N54" t="str">
            <v>FY2 SAL MEAN EST</v>
          </cell>
          <cell r="O54" t="str">
            <v>FY3 SAL MEAN EST</v>
          </cell>
          <cell r="P54" t="str">
            <v>FY4 SAL MEAN EST</v>
          </cell>
        </row>
        <row r="55">
          <cell r="B55" t="str">
            <v>MS vs. consensus (%)</v>
          </cell>
          <cell r="C55">
            <v>-4.5140640024745604E-2</v>
          </cell>
          <cell r="D55">
            <v>-5.9285518957812311E-2</v>
          </cell>
          <cell r="E55">
            <v>-1.6237995768512703E-2</v>
          </cell>
          <cell r="F55">
            <v>-1.5710524172351747E-2</v>
          </cell>
          <cell r="L55" t="str">
            <v>D:BAYN</v>
          </cell>
          <cell r="M55">
            <v>41639.64</v>
          </cell>
          <cell r="N55">
            <v>43791.3</v>
          </cell>
          <cell r="O55">
            <v>46134.86</v>
          </cell>
          <cell r="P55">
            <v>48409.5</v>
          </cell>
        </row>
        <row r="56">
          <cell r="B56" t="str">
            <v>Core EPS - MS</v>
          </cell>
          <cell r="C56">
            <v>5.3522120225512468</v>
          </cell>
          <cell r="D56">
            <v>5.6831428904398136</v>
          </cell>
          <cell r="E56">
            <v>6.764993874460747</v>
          </cell>
          <cell r="F56">
            <v>7.3024651192861239</v>
          </cell>
        </row>
        <row r="57">
          <cell r="B57" t="str">
            <v>Core EPS - consensus</v>
          </cell>
          <cell r="C57">
            <v>5.76</v>
          </cell>
          <cell r="D57">
            <v>6.35</v>
          </cell>
          <cell r="E57">
            <v>7.01</v>
          </cell>
          <cell r="F57">
            <v>7.78</v>
          </cell>
          <cell r="L57" t="str">
            <v>Date</v>
          </cell>
        </row>
        <row r="58">
          <cell r="B58" t="str">
            <v>MS vs. consensus (%)</v>
          </cell>
          <cell r="C58">
            <v>-7.0796523862630689E-2</v>
          </cell>
          <cell r="D58">
            <v>-0.10501686764727336</v>
          </cell>
          <cell r="E58">
            <v>-3.4950945155385549E-2</v>
          </cell>
          <cell r="F58">
            <v>-6.137980471900728E-2</v>
          </cell>
          <cell r="L58" t="str">
            <v>Type</v>
          </cell>
          <cell r="M58" t="str">
            <v>FY1 EPS MEAN EST</v>
          </cell>
          <cell r="N58" t="str">
            <v>FY2 EPS MEAN EST</v>
          </cell>
          <cell r="O58" t="str">
            <v>FY3 EPS MEAN EST</v>
          </cell>
          <cell r="P58" t="str">
            <v>FY4 EPS MEAN EST</v>
          </cell>
        </row>
        <row r="59">
          <cell r="L59" t="str">
            <v>D:BAYN</v>
          </cell>
          <cell r="M59">
            <v>5.76</v>
          </cell>
          <cell r="N59">
            <v>6.35</v>
          </cell>
          <cell r="O59">
            <v>7.01</v>
          </cell>
          <cell r="P59">
            <v>7.78</v>
          </cell>
        </row>
        <row r="61">
          <cell r="B61" t="str">
            <v>Newsflow</v>
          </cell>
        </row>
        <row r="63">
          <cell r="B63" t="str">
            <v>Date</v>
          </cell>
          <cell r="C63" t="str">
            <v>Drug</v>
          </cell>
          <cell r="D63" t="str">
            <v>Comment</v>
          </cell>
        </row>
        <row r="64">
          <cell r="B64" t="str">
            <v>H111</v>
          </cell>
          <cell r="C64" t="str">
            <v>VEGF-Trap-Eye</v>
          </cell>
          <cell r="D64" t="str">
            <v>Filing of VEGF Trap-Eye in wet-AMD (VIEW 1/2 program)</v>
          </cell>
        </row>
        <row r="65">
          <cell r="B65" t="str">
            <v>Q311</v>
          </cell>
          <cell r="C65" t="str">
            <v>VEGF-Trap-Eye</v>
          </cell>
          <cell r="D65" t="str">
            <v>Data from VIEW as needed dosing study in Q4</v>
          </cell>
        </row>
        <row r="66">
          <cell r="B66" t="str">
            <v>Q211</v>
          </cell>
          <cell r="C66" t="str">
            <v>Alpharadin</v>
          </cell>
          <cell r="D66" t="str">
            <v>Interim analysis breast cancer phase II program</v>
          </cell>
        </row>
        <row r="67">
          <cell r="B67" t="str">
            <v>Q211</v>
          </cell>
          <cell r="C67" t="str">
            <v>Alpharadin</v>
          </cell>
          <cell r="D67" t="str">
            <v>Interim analysis of phase III in symptomatic hormone-refractory prostate cancer ongoing (ALSYMPCA)</v>
          </cell>
        </row>
        <row r="68">
          <cell r="B68" t="str">
            <v>Q411</v>
          </cell>
          <cell r="C68" t="str">
            <v>Alpharadin</v>
          </cell>
          <cell r="D68" t="str">
            <v>Filing mid-2012 bone mets and HRPC</v>
          </cell>
        </row>
        <row r="69">
          <cell r="B69" t="str">
            <v>Q4/Q1 11/12</v>
          </cell>
          <cell r="C69" t="str">
            <v>Xarelto</v>
          </cell>
          <cell r="D69" t="str">
            <v>Completion of EINSTEIN-PE in VTE treatment and secondary prevention</v>
          </cell>
        </row>
        <row r="70">
          <cell r="B70" t="str">
            <v>Q412</v>
          </cell>
          <cell r="C70" t="str">
            <v>Xarelto</v>
          </cell>
          <cell r="D70" t="str">
            <v>Completion of ATLAS TIMI 51 in secondary prevention</v>
          </cell>
        </row>
      </sheetData>
      <sheetData sheetId="25"/>
      <sheetData sheetId="26">
        <row r="1">
          <cell r="A1" t="str">
            <v>Bayer</v>
          </cell>
          <cell r="L1" t="str">
            <v>Morgan Stanley Equity Research - Pharmaceuticals</v>
          </cell>
        </row>
        <row r="2">
          <cell r="A2" t="str">
            <v xml:space="preserve"> DCF Valuation</v>
          </cell>
        </row>
        <row r="5">
          <cell r="B5" t="str">
            <v>2005A</v>
          </cell>
          <cell r="C5" t="str">
            <v>2006A</v>
          </cell>
          <cell r="D5" t="str">
            <v>2007A</v>
          </cell>
          <cell r="E5" t="str">
            <v>2008E</v>
          </cell>
          <cell r="F5" t="str">
            <v>2009E</v>
          </cell>
          <cell r="G5" t="str">
            <v>2010E</v>
          </cell>
          <cell r="H5" t="str">
            <v>2011E</v>
          </cell>
          <cell r="I5" t="str">
            <v>2012E</v>
          </cell>
          <cell r="J5" t="str">
            <v>FY13E</v>
          </cell>
          <cell r="K5" t="str">
            <v>FY14E</v>
          </cell>
          <cell r="L5" t="str">
            <v>FY15E</v>
          </cell>
          <cell r="M5" t="str">
            <v>FY16E</v>
          </cell>
          <cell r="N5" t="str">
            <v>FY17E</v>
          </cell>
          <cell r="O5" t="str">
            <v>FY18E</v>
          </cell>
          <cell r="P5" t="str">
            <v>FY19E</v>
          </cell>
          <cell r="Q5" t="str">
            <v>FY20E</v>
          </cell>
          <cell r="R5" t="str">
            <v>FY21E</v>
          </cell>
          <cell r="T5" t="str">
            <v>Terminal Value Calculation</v>
          </cell>
        </row>
        <row r="6">
          <cell r="U6" t="str">
            <v>WACC Applied</v>
          </cell>
        </row>
        <row r="7">
          <cell r="A7" t="str">
            <v>FCFE</v>
          </cell>
          <cell r="B7">
            <v>1014</v>
          </cell>
          <cell r="C7">
            <v>-367</v>
          </cell>
          <cell r="D7">
            <v>1044</v>
          </cell>
          <cell r="E7">
            <v>772</v>
          </cell>
          <cell r="F7">
            <v>1601</v>
          </cell>
          <cell r="G7">
            <v>1289</v>
          </cell>
          <cell r="H7">
            <v>199</v>
          </cell>
          <cell r="I7">
            <v>1298</v>
          </cell>
          <cell r="J7">
            <v>2816.4389459796039</v>
          </cell>
          <cell r="K7">
            <v>3907.3992253486886</v>
          </cell>
          <cell r="L7">
            <v>4858.4396132680858</v>
          </cell>
          <cell r="M7">
            <v>5208.4840848153453</v>
          </cell>
          <cell r="N7">
            <v>5708.5623036379147</v>
          </cell>
          <cell r="O7">
            <v>5971.3889537690993</v>
          </cell>
          <cell r="P7">
            <v>6463.2378279693248</v>
          </cell>
          <cell r="Q7">
            <v>7268.7198697950334</v>
          </cell>
          <cell r="R7">
            <v>7061.8547194888433</v>
          </cell>
          <cell r="S7" t="str">
            <v>Terminal Growth</v>
          </cell>
          <cell r="U7">
            <v>7.4999999999999997E-2</v>
          </cell>
          <cell r="V7">
            <v>0.08</v>
          </cell>
          <cell r="W7">
            <v>8.5000000000000006E-2</v>
          </cell>
          <cell r="X7">
            <v>0.09</v>
          </cell>
        </row>
        <row r="8">
          <cell r="C8">
            <v>-1.3619329388560157</v>
          </cell>
          <cell r="D8">
            <v>-3.8446866485013622</v>
          </cell>
          <cell r="E8">
            <v>-0.26053639846743293</v>
          </cell>
          <cell r="F8">
            <v>1.0738341968911918</v>
          </cell>
          <cell r="G8">
            <v>-0.19487820112429732</v>
          </cell>
          <cell r="H8">
            <v>-0.84561675717610552</v>
          </cell>
          <cell r="I8">
            <v>5.5226130653266328</v>
          </cell>
          <cell r="J8">
            <v>1.1698296964403727</v>
          </cell>
          <cell r="K8">
            <v>0.38735449278117784</v>
          </cell>
          <cell r="L8">
            <v>0.24339473216600443</v>
          </cell>
          <cell r="M8">
            <v>7.2048743920025388E-2</v>
          </cell>
          <cell r="N8">
            <v>9.6012239008367542E-2</v>
          </cell>
          <cell r="O8">
            <v>4.6040778071860959E-2</v>
          </cell>
          <cell r="P8">
            <v>8.2367582820036186E-2</v>
          </cell>
          <cell r="Q8">
            <v>0.12462515897837258</v>
          </cell>
          <cell r="R8">
            <v>-2.8459639938225242E-2</v>
          </cell>
          <cell r="T8">
            <v>0</v>
          </cell>
          <cell r="U8">
            <v>96916.264930600446</v>
          </cell>
          <cell r="V8">
            <v>90858.998372437913</v>
          </cell>
          <cell r="W8">
            <v>85514.35140935333</v>
          </cell>
          <cell r="X8">
            <v>80763.554108833705</v>
          </cell>
        </row>
        <row r="9">
          <cell r="T9">
            <v>0.01</v>
          </cell>
          <cell r="U9">
            <v>112944.72413066129</v>
          </cell>
          <cell r="V9">
            <v>104877.24383561405</v>
          </cell>
          <cell r="W9">
            <v>97885.427579906434</v>
          </cell>
          <cell r="X9">
            <v>91767.58835616229</v>
          </cell>
        </row>
        <row r="10">
          <cell r="T10">
            <v>0.02</v>
          </cell>
          <cell r="U10">
            <v>134801.71394892607</v>
          </cell>
          <cell r="V10">
            <v>123568.23778651557</v>
          </cell>
          <cell r="W10">
            <v>114062.98872601437</v>
          </cell>
          <cell r="X10">
            <v>105915.63238844193</v>
          </cell>
        </row>
        <row r="11">
          <cell r="F11" t="str">
            <v xml:space="preserve">      Sensitivity Analysis</v>
          </cell>
          <cell r="T11">
            <v>2.5000000000000001E-2</v>
          </cell>
          <cell r="U11">
            <v>149008.75733079819</v>
          </cell>
          <cell r="V11">
            <v>135462.50666436195</v>
          </cell>
          <cell r="W11">
            <v>124173.96444233181</v>
          </cell>
          <cell r="X11">
            <v>114622.1210236909</v>
          </cell>
        </row>
        <row r="12">
          <cell r="G12" t="str">
            <v>WACC Applied</v>
          </cell>
          <cell r="T12">
            <v>0.03</v>
          </cell>
          <cell r="U12">
            <v>166372.92146419742</v>
          </cell>
          <cell r="V12">
            <v>149735.62931777767</v>
          </cell>
          <cell r="W12">
            <v>136123.29937979789</v>
          </cell>
          <cell r="X12">
            <v>124779.69109814808</v>
          </cell>
        </row>
        <row r="13">
          <cell r="G13">
            <v>7.4999999999999997E-2</v>
          </cell>
          <cell r="H13">
            <v>0.08</v>
          </cell>
          <cell r="I13">
            <v>8.5000000000000006E-2</v>
          </cell>
          <cell r="J13">
            <v>0.09</v>
          </cell>
          <cell r="T13">
            <v>3.5000000000000003E-2</v>
          </cell>
          <cell r="U13">
            <v>188078.12663094653</v>
          </cell>
          <cell r="V13">
            <v>167180.55700528578</v>
          </cell>
          <cell r="W13">
            <v>150462.50130475717</v>
          </cell>
          <cell r="X13">
            <v>136784.09209523382</v>
          </cell>
        </row>
        <row r="14">
          <cell r="A14" t="str">
            <v>Discounted Cash Flow (DCF) Business Valuation ($ mlns):</v>
          </cell>
          <cell r="F14">
            <v>0</v>
          </cell>
          <cell r="G14">
            <v>55301.842357667723</v>
          </cell>
          <cell r="H14">
            <v>50390.903336623727</v>
          </cell>
          <cell r="I14">
            <v>46137.096986716853</v>
          </cell>
          <cell r="J14">
            <v>42425.139786807631</v>
          </cell>
          <cell r="T14">
            <v>0.04</v>
          </cell>
          <cell r="U14">
            <v>215984.8189881953</v>
          </cell>
          <cell r="V14">
            <v>188986.71661467088</v>
          </cell>
          <cell r="W14">
            <v>167988.19254637411</v>
          </cell>
          <cell r="X14">
            <v>151189.3732917367</v>
          </cell>
        </row>
        <row r="15">
          <cell r="A15" t="str">
            <v>Ke (%)</v>
          </cell>
          <cell r="C15">
            <v>0.09</v>
          </cell>
          <cell r="E15" t="str">
            <v>Terminal Growth</v>
          </cell>
          <cell r="F15">
            <v>0.01</v>
          </cell>
          <cell r="G15">
            <v>60340.981472558822</v>
          </cell>
          <cell r="H15">
            <v>54482.695559255211</v>
          </cell>
          <cell r="I15">
            <v>49490.854587703667</v>
          </cell>
          <cell r="J15">
            <v>45196.723281123283</v>
          </cell>
        </row>
        <row r="16">
          <cell r="A16" t="str">
            <v>Kd (%)</v>
          </cell>
          <cell r="C16">
            <v>0.06</v>
          </cell>
          <cell r="F16">
            <v>0.02</v>
          </cell>
          <cell r="G16">
            <v>67212.534811046702</v>
          </cell>
          <cell r="H16">
            <v>59938.418522763852</v>
          </cell>
          <cell r="I16">
            <v>53876.53760437874</v>
          </cell>
          <cell r="J16">
            <v>48760.187773814832</v>
          </cell>
        </row>
        <row r="17">
          <cell r="A17" t="str">
            <v>Debt</v>
          </cell>
          <cell r="C17">
            <v>11679</v>
          </cell>
          <cell r="F17">
            <v>2.5000000000000001E-2</v>
          </cell>
          <cell r="G17">
            <v>71679.044481063829</v>
          </cell>
          <cell r="H17">
            <v>63410.242226814793</v>
          </cell>
          <cell r="I17">
            <v>56617.589489800652</v>
          </cell>
          <cell r="J17">
            <v>50953.089000086547</v>
          </cell>
        </row>
        <row r="18">
          <cell r="A18" t="str">
            <v>Equity</v>
          </cell>
          <cell r="C18">
            <v>19212</v>
          </cell>
          <cell r="F18">
            <v>0.03</v>
          </cell>
          <cell r="G18">
            <v>77138.111855529191</v>
          </cell>
          <cell r="H18">
            <v>67576.430671675931</v>
          </cell>
          <cell r="I18">
            <v>59857.014445299283</v>
          </cell>
          <cell r="J18">
            <v>53511.473764070237</v>
          </cell>
        </row>
        <row r="19">
          <cell r="A19" t="str">
            <v>WACC</v>
          </cell>
          <cell r="C19">
            <v>7.8657861513062061E-2</v>
          </cell>
          <cell r="F19">
            <v>3.5000000000000003E-2</v>
          </cell>
          <cell r="G19">
            <v>83961.946073610903</v>
          </cell>
          <cell r="H19">
            <v>72668.43877095067</v>
          </cell>
          <cell r="I19">
            <v>63744.324391897651</v>
          </cell>
          <cell r="J19">
            <v>56535.019394232761</v>
          </cell>
        </row>
        <row r="20">
          <cell r="F20">
            <v>0.04</v>
          </cell>
          <cell r="G20">
            <v>92735.447211144536</v>
          </cell>
          <cell r="H20">
            <v>79033.448895044086</v>
          </cell>
          <cell r="I20">
            <v>68495.480993295641</v>
          </cell>
          <cell r="J20">
            <v>60163.274150427795</v>
          </cell>
        </row>
        <row r="21">
          <cell r="A21" t="str">
            <v>Discounted Net Cash Flow (2009-20)</v>
          </cell>
          <cell r="C21">
            <v>27383.837044491345</v>
          </cell>
        </row>
        <row r="22">
          <cell r="A22" t="str">
            <v>Terminal Growth Rate (%)</v>
          </cell>
          <cell r="C22">
            <v>0.02</v>
          </cell>
        </row>
        <row r="23">
          <cell r="A23" t="str">
            <v>Discounted Value of Terminal Value</v>
          </cell>
          <cell r="C23">
            <v>26676.945192993633</v>
          </cell>
          <cell r="F23" t="str">
            <v>Value per Share (€)</v>
          </cell>
        </row>
        <row r="24">
          <cell r="A24" t="str">
            <v>Terminal Value as % of total</v>
          </cell>
          <cell r="C24">
            <v>49.34620641596306</v>
          </cell>
        </row>
        <row r="25">
          <cell r="A25" t="str">
            <v>Equity Value</v>
          </cell>
          <cell r="C25">
            <v>54060.782237484978</v>
          </cell>
          <cell r="G25" t="str">
            <v>WACC Applied</v>
          </cell>
        </row>
        <row r="26">
          <cell r="G26">
            <v>7.4999999999999997E-2</v>
          </cell>
          <cell r="H26">
            <v>0.08</v>
          </cell>
          <cell r="I26">
            <v>8.5000000000000006E-2</v>
          </cell>
          <cell r="J26">
            <v>0.09</v>
          </cell>
        </row>
        <row r="27">
          <cell r="A27" t="str">
            <v>Value</v>
          </cell>
          <cell r="C27">
            <v>54060.782237484978</v>
          </cell>
          <cell r="F27">
            <v>0</v>
          </cell>
          <cell r="G27">
            <v>67.121437273712004</v>
          </cell>
          <cell r="H27">
            <v>61.160889281040554</v>
          </cell>
          <cell r="I27">
            <v>55.997922119057677</v>
          </cell>
          <cell r="J27">
            <v>51.492612861094685</v>
          </cell>
        </row>
        <row r="28">
          <cell r="A28" t="str">
            <v>Diluted Shares Outstanding (million)</v>
          </cell>
          <cell r="C28">
            <v>823.90730299999996</v>
          </cell>
          <cell r="E28" t="str">
            <v>Terminal Growth</v>
          </cell>
          <cell r="F28">
            <v>0.01</v>
          </cell>
          <cell r="G28">
            <v>73.237585408996949</v>
          </cell>
          <cell r="H28">
            <v>66.127215235104202</v>
          </cell>
          <cell r="I28">
            <v>60.068474217303631</v>
          </cell>
          <cell r="J28">
            <v>54.856563495133003</v>
          </cell>
        </row>
        <row r="29">
          <cell r="F29">
            <v>0.02</v>
          </cell>
          <cell r="G29">
            <v>81.577787411658264</v>
          </cell>
          <cell r="H29">
            <v>72.748983173855734</v>
          </cell>
          <cell r="I29">
            <v>65.391503884240649</v>
          </cell>
          <cell r="J29">
            <v>59.181642881753696</v>
          </cell>
        </row>
        <row r="30">
          <cell r="A30" t="str">
            <v>Value per Share (€)</v>
          </cell>
          <cell r="C30">
            <v>65.615126896726849</v>
          </cell>
          <cell r="F30">
            <v>2.5000000000000001E-2</v>
          </cell>
          <cell r="G30">
            <v>86.998918713388122</v>
          </cell>
          <cell r="H30">
            <v>76.962835498515773</v>
          </cell>
          <cell r="I30">
            <v>68.71839742607628</v>
          </cell>
          <cell r="J30">
            <v>61.84323019659719</v>
          </cell>
        </row>
        <row r="31">
          <cell r="F31">
            <v>0.03</v>
          </cell>
          <cell r="G31">
            <v>93.624745859946813</v>
          </cell>
          <cell r="H31">
            <v>82.019458288107842</v>
          </cell>
          <cell r="I31">
            <v>72.650180702791133</v>
          </cell>
          <cell r="J31">
            <v>64.948415397247956</v>
          </cell>
        </row>
        <row r="32">
          <cell r="F32">
            <v>3.5000000000000003E-2</v>
          </cell>
          <cell r="G32">
            <v>101.9070297931452</v>
          </cell>
          <cell r="H32">
            <v>88.199775030942618</v>
          </cell>
          <cell r="I32">
            <v>77.368320634848956</v>
          </cell>
          <cell r="J32">
            <v>68.61817972528975</v>
          </cell>
        </row>
        <row r="33">
          <cell r="F33">
            <v>0.04</v>
          </cell>
          <cell r="G33">
            <v>112.55568056440026</v>
          </cell>
          <cell r="H33">
            <v>95.925170959486067</v>
          </cell>
          <cell r="I33">
            <v>83.134936107364069</v>
          </cell>
          <cell r="J33">
            <v>73.021896918939916</v>
          </cell>
        </row>
        <row r="35">
          <cell r="A35" t="str">
            <v>E = Morgan Stanley Estimates</v>
          </cell>
        </row>
        <row r="36">
          <cell r="A36" t="str">
            <v>Source: Morgan Stanley Research</v>
          </cell>
        </row>
        <row r="51">
          <cell r="B51" t="str">
            <v>2005A</v>
          </cell>
          <cell r="C51" t="str">
            <v>2006A</v>
          </cell>
          <cell r="D51" t="str">
            <v>2007A</v>
          </cell>
          <cell r="E51" t="str">
            <v>2008E</v>
          </cell>
          <cell r="F51" t="str">
            <v>2009E</v>
          </cell>
          <cell r="G51" t="str">
            <v>2010E</v>
          </cell>
          <cell r="H51" t="str">
            <v>2011E</v>
          </cell>
          <cell r="I51" t="str">
            <v>2012E</v>
          </cell>
          <cell r="J51" t="str">
            <v>FY13E</v>
          </cell>
          <cell r="K51" t="str">
            <v>FY14E</v>
          </cell>
          <cell r="L51" t="str">
            <v>FY15E</v>
          </cell>
          <cell r="M51" t="str">
            <v>FY16E</v>
          </cell>
          <cell r="N51" t="str">
            <v>FY17E</v>
          </cell>
          <cell r="O51" t="str">
            <v>FY18E</v>
          </cell>
          <cell r="P51" t="str">
            <v>FY19E</v>
          </cell>
          <cell r="Q51" t="str">
            <v>FY20E</v>
          </cell>
        </row>
        <row r="52">
          <cell r="A52" t="str">
            <v>FCFF</v>
          </cell>
          <cell r="B52">
            <v>2641.7528779739064</v>
          </cell>
          <cell r="C52">
            <v>2828.7635658914724</v>
          </cell>
          <cell r="D52">
            <v>4512.5422993492402</v>
          </cell>
          <cell r="E52">
            <v>1424.4991511035651</v>
          </cell>
          <cell r="F52">
            <v>3367.9812834224604</v>
          </cell>
          <cell r="G52">
            <v>4272.811156304474</v>
          </cell>
          <cell r="H52">
            <v>3358.1311329170385</v>
          </cell>
          <cell r="I52">
            <v>3321.8325123152708</v>
          </cell>
          <cell r="J52">
            <v>4088.8950553779491</v>
          </cell>
          <cell r="K52">
            <v>4606.3034291694803</v>
          </cell>
          <cell r="L52">
            <v>5461.2910234452393</v>
          </cell>
          <cell r="M52">
            <v>5713.8679508783625</v>
          </cell>
          <cell r="N52">
            <v>6061.5368080837206</v>
          </cell>
          <cell r="O52">
            <v>6227.7856978990958</v>
          </cell>
          <cell r="P52">
            <v>6675.4377421166018</v>
          </cell>
          <cell r="Q52">
            <v>7430.4751840367935</v>
          </cell>
        </row>
        <row r="53">
          <cell r="C53">
            <v>7.0790379174676593E-2</v>
          </cell>
          <cell r="D53">
            <v>0.59523487708918243</v>
          </cell>
          <cell r="E53">
            <v>-0.68432447684557018</v>
          </cell>
          <cell r="F53">
            <v>1.3643266342512539</v>
          </cell>
          <cell r="G53">
            <v>0.26865644335248434</v>
          </cell>
          <cell r="H53">
            <v>-0.21406984533773221</v>
          </cell>
          <cell r="I53">
            <v>-1.0809173068306263E-2</v>
          </cell>
          <cell r="J53">
            <v>0.23091547819430741</v>
          </cell>
          <cell r="K53">
            <v>0.12653990058047737</v>
          </cell>
          <cell r="L53">
            <v>0.18561252149859217</v>
          </cell>
          <cell r="M53">
            <v>4.6248574988736982E-2</v>
          </cell>
          <cell r="N53">
            <v>6.0846498413025599E-2</v>
          </cell>
          <cell r="O53">
            <v>2.7426854786011381E-2</v>
          </cell>
          <cell r="P53">
            <v>7.1879808640255338E-2</v>
          </cell>
          <cell r="Q53">
            <v>0.11310680603857892</v>
          </cell>
        </row>
        <row r="59">
          <cell r="A59" t="str">
            <v>Discounted Cash Flow (DCF) Business Valuation ($ mlns):</v>
          </cell>
        </row>
        <row r="60">
          <cell r="A60" t="str">
            <v>Ke (%)</v>
          </cell>
          <cell r="C60">
            <v>0.09</v>
          </cell>
        </row>
        <row r="61">
          <cell r="A61" t="str">
            <v>Kd (%)</v>
          </cell>
          <cell r="C61">
            <v>0.06</v>
          </cell>
        </row>
        <row r="62">
          <cell r="A62" t="str">
            <v>Debt</v>
          </cell>
          <cell r="C62">
            <v>11679</v>
          </cell>
        </row>
        <row r="63">
          <cell r="A63" t="str">
            <v>Equity</v>
          </cell>
          <cell r="C63">
            <v>19212</v>
          </cell>
        </row>
        <row r="64">
          <cell r="A64" t="str">
            <v>WACC</v>
          </cell>
          <cell r="C64">
            <v>7.8657861513062061E-2</v>
          </cell>
        </row>
        <row r="66">
          <cell r="A66" t="str">
            <v>Discounted Net Cash Flow (2008-20)</v>
          </cell>
          <cell r="C66">
            <v>32079.468618400602</v>
          </cell>
        </row>
        <row r="67">
          <cell r="A67" t="str">
            <v>Terminal Growth Rate (%)</v>
          </cell>
          <cell r="C67">
            <v>0.02</v>
          </cell>
        </row>
        <row r="68">
          <cell r="A68" t="str">
            <v>Discounted Value of Terminal Value</v>
          </cell>
          <cell r="C68">
            <v>38472.563486492938</v>
          </cell>
        </row>
        <row r="69">
          <cell r="A69" t="str">
            <v>Terminal Value as % of total</v>
          </cell>
          <cell r="C69">
            <v>54.530765930729942</v>
          </cell>
        </row>
        <row r="70">
          <cell r="A70" t="str">
            <v>Equity Value</v>
          </cell>
          <cell r="C70">
            <v>70552.032104893544</v>
          </cell>
        </row>
        <row r="71">
          <cell r="A71" t="str">
            <v>Debt (YE '08e)</v>
          </cell>
          <cell r="C71">
            <v>12491</v>
          </cell>
        </row>
        <row r="72">
          <cell r="A72" t="str">
            <v>Value</v>
          </cell>
          <cell r="C72">
            <v>58061.032104893544</v>
          </cell>
        </row>
        <row r="73">
          <cell r="A73" t="str">
            <v>Shares Outstanding (million)</v>
          </cell>
          <cell r="C73">
            <v>823.90730299999996</v>
          </cell>
        </row>
        <row r="75">
          <cell r="A75" t="str">
            <v>Value per Share (€)</v>
          </cell>
          <cell r="C75">
            <v>70.470345260301144</v>
          </cell>
        </row>
        <row r="80">
          <cell r="A80" t="str">
            <v>E = Morgan Stanley Estimates</v>
          </cell>
        </row>
        <row r="81">
          <cell r="A81" t="str">
            <v>Source: Morgan Stanley Research</v>
          </cell>
        </row>
        <row r="93">
          <cell r="E93" t="str">
            <v>2008E</v>
          </cell>
          <cell r="F93" t="str">
            <v>2009E</v>
          </cell>
          <cell r="G93" t="str">
            <v>2010E</v>
          </cell>
          <cell r="H93" t="str">
            <v>2011E</v>
          </cell>
          <cell r="I93" t="str">
            <v>2012E</v>
          </cell>
          <cell r="J93" t="str">
            <v>FY13E</v>
          </cell>
          <cell r="K93" t="str">
            <v>FY14E</v>
          </cell>
          <cell r="L93" t="str">
            <v>FY15E</v>
          </cell>
          <cell r="M93" t="str">
            <v>FY16E</v>
          </cell>
          <cell r="N93" t="str">
            <v>FY17E</v>
          </cell>
          <cell r="O93" t="str">
            <v>FY18E</v>
          </cell>
          <cell r="P93" t="str">
            <v>FY19E</v>
          </cell>
          <cell r="Q93" t="str">
            <v>FY20E</v>
          </cell>
        </row>
        <row r="94">
          <cell r="D94" t="str">
            <v>EBITDA</v>
          </cell>
          <cell r="E94">
            <v>1088</v>
          </cell>
          <cell r="F94">
            <v>446</v>
          </cell>
          <cell r="G94">
            <v>1356</v>
          </cell>
          <cell r="H94">
            <v>1171</v>
          </cell>
          <cell r="I94">
            <v>1251</v>
          </cell>
          <cell r="J94">
            <v>1154.319385132826</v>
          </cell>
          <cell r="K94">
            <v>1378.5595694845433</v>
          </cell>
          <cell r="L94">
            <v>1603.3586074273298</v>
          </cell>
        </row>
        <row r="95">
          <cell r="D95" t="str">
            <v>NOPLAT</v>
          </cell>
          <cell r="E95">
            <v>794.29541595925298</v>
          </cell>
          <cell r="F95">
            <v>324.12513368983957</v>
          </cell>
          <cell r="G95">
            <v>1032.1673445671122</v>
          </cell>
          <cell r="H95">
            <v>860.75289919714544</v>
          </cell>
          <cell r="I95">
            <v>961.35960591132994</v>
          </cell>
          <cell r="J95">
            <v>848.42474807262715</v>
          </cell>
          <cell r="K95">
            <v>1020.134081418562</v>
          </cell>
          <cell r="L95">
            <v>1186.4853694962242</v>
          </cell>
        </row>
        <row r="96">
          <cell r="D96" t="str">
            <v>CAPEX</v>
          </cell>
          <cell r="E96">
            <v>-438.9</v>
          </cell>
          <cell r="F96">
            <v>-472.5</v>
          </cell>
          <cell r="G96">
            <v>-529.9</v>
          </cell>
          <cell r="H96">
            <v>-545.79700000000003</v>
          </cell>
          <cell r="I96">
            <v>-562.17091000000005</v>
          </cell>
          <cell r="J96">
            <v>-579.03603730000009</v>
          </cell>
          <cell r="K96">
            <v>-596.40711841900008</v>
          </cell>
          <cell r="L96">
            <v>-614.29933197157015</v>
          </cell>
        </row>
        <row r="97">
          <cell r="D97" t="str">
            <v>Change in working cap</v>
          </cell>
          <cell r="E97">
            <v>-337.40000000000003</v>
          </cell>
          <cell r="F97">
            <v>430.2</v>
          </cell>
          <cell r="G97">
            <v>200.4</v>
          </cell>
          <cell r="H97">
            <v>-22.400000000000002</v>
          </cell>
          <cell r="I97">
            <v>-13.4</v>
          </cell>
          <cell r="J97">
            <v>-103.02538228231953</v>
          </cell>
          <cell r="K97">
            <v>-181.57305905768263</v>
          </cell>
          <cell r="L97">
            <v>-88.294428841227457</v>
          </cell>
        </row>
        <row r="98">
          <cell r="D98" t="str">
            <v xml:space="preserve">FCF </v>
          </cell>
          <cell r="E98">
            <v>17.995415959252966</v>
          </cell>
          <cell r="F98">
            <v>281.82513368983956</v>
          </cell>
          <cell r="G98">
            <v>702.6673445671122</v>
          </cell>
          <cell r="H98">
            <v>292.55589919714544</v>
          </cell>
          <cell r="I98">
            <v>385.78869591132991</v>
          </cell>
          <cell r="J98">
            <v>166.36332849030754</v>
          </cell>
          <cell r="K98">
            <v>242.15390394187929</v>
          </cell>
          <cell r="L98">
            <v>483.89160868342657</v>
          </cell>
          <cell r="M98">
            <v>493.56944085709512</v>
          </cell>
          <cell r="N98">
            <v>503.44082967423702</v>
          </cell>
          <cell r="O98">
            <v>513.50964626772179</v>
          </cell>
          <cell r="P98">
            <v>523.77983919307621</v>
          </cell>
          <cell r="Q98">
            <v>534.25543597693775</v>
          </cell>
        </row>
        <row r="105">
          <cell r="A105" t="str">
            <v>Discounted Cash Flow (DCF) Business Valuation ($ mlns):</v>
          </cell>
        </row>
        <row r="106">
          <cell r="A106" t="str">
            <v>Ke (%)</v>
          </cell>
          <cell r="C106">
            <v>0.09</v>
          </cell>
        </row>
        <row r="107">
          <cell r="A107" t="str">
            <v>Kd (%)</v>
          </cell>
          <cell r="C107">
            <v>0.06</v>
          </cell>
        </row>
        <row r="108">
          <cell r="A108" t="str">
            <v>Debt</v>
          </cell>
          <cell r="C108">
            <v>11679</v>
          </cell>
        </row>
        <row r="109">
          <cell r="A109" t="str">
            <v>Equity</v>
          </cell>
          <cell r="C109">
            <v>19212</v>
          </cell>
        </row>
        <row r="110">
          <cell r="A110" t="str">
            <v>WACC</v>
          </cell>
          <cell r="C110">
            <v>7.8657861513062061E-2</v>
          </cell>
        </row>
        <row r="112">
          <cell r="A112" t="str">
            <v>Discounted Net Cash Flow (2008-20)</v>
          </cell>
          <cell r="C112">
            <v>2955.7482555094489</v>
          </cell>
        </row>
        <row r="113">
          <cell r="A113" t="str">
            <v>Terminal Growth Rate (%)</v>
          </cell>
          <cell r="C113">
            <v>0.02</v>
          </cell>
        </row>
        <row r="114">
          <cell r="A114" t="str">
            <v>Discounted Value of Terminal Value</v>
          </cell>
          <cell r="C114">
            <v>4039.2622612014616</v>
          </cell>
        </row>
        <row r="115">
          <cell r="A115" t="str">
            <v>Terminal Value as % of total</v>
          </cell>
          <cell r="C115">
            <v>57.744906194947987</v>
          </cell>
        </row>
        <row r="116">
          <cell r="A116" t="str">
            <v>Equity Value</v>
          </cell>
          <cell r="C116">
            <v>6995.0105167109105</v>
          </cell>
        </row>
        <row r="117">
          <cell r="A117" t="str">
            <v>Debt (YE '08e)</v>
          </cell>
          <cell r="C117">
            <v>0</v>
          </cell>
        </row>
        <row r="118">
          <cell r="A118" t="str">
            <v>Value</v>
          </cell>
          <cell r="C118">
            <v>6995.0105167109105</v>
          </cell>
        </row>
        <row r="119">
          <cell r="A119" t="str">
            <v>Shares Outstanding (million)</v>
          </cell>
          <cell r="C119">
            <v>823.90730299999996</v>
          </cell>
        </row>
        <row r="121">
          <cell r="A121" t="str">
            <v>Value per Share (€)</v>
          </cell>
          <cell r="C121">
            <v>8.4900455321135944</v>
          </cell>
        </row>
      </sheetData>
      <sheetData sheetId="27"/>
      <sheetData sheetId="28"/>
      <sheetData sheetId="29"/>
      <sheetData sheetId="30"/>
      <sheetData sheetId="3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Changes to model"/>
      <sheetName val="MW-Cache"/>
      <sheetName val="__FDSCACHE__"/>
      <sheetName val="Tables"/>
      <sheetName val="Scenarios"/>
      <sheetName val="MW Valuation"/>
      <sheetName val="DCF new"/>
      <sheetName val="Yrly Sales"/>
      <sheetName val="NOVN Snapshot"/>
      <sheetName val="Qrtly Sales"/>
      <sheetName val="Page 3"/>
      <sheetName val="BullBear"/>
      <sheetName val="Pipeline"/>
      <sheetName val=" Qrtly P&amp;L"/>
      <sheetName val="FX"/>
      <sheetName val="Annual P&amp;L"/>
      <sheetName val="Div P&amp;L"/>
      <sheetName val="Div SOP"/>
      <sheetName val="BalanceSheet"/>
      <sheetName val="CashFlow"/>
      <sheetName val="Pensions"/>
      <sheetName val="Gross Margin"/>
      <sheetName val="MWA RR_NOVN.VX"/>
      <sheetName val="Galvus"/>
      <sheetName val="Telbivudine"/>
      <sheetName val="mwareTaxoPres"/>
      <sheetName val="mwareDates"/>
      <sheetName val="mwareSettings"/>
      <sheetName val="DCF"/>
      <sheetName val="SNAPSHOT"/>
      <sheetName val="R&amp;D charts"/>
      <sheetName val="Alcon"/>
      <sheetName val="Alcon P&amp;L Pro Forma"/>
      <sheetName val="GUIDANCE"/>
      <sheetName val="FILINGS"/>
      <sheetName val="R&amp;D day 2012"/>
      <sheetName val="buyback flex"/>
      <sheetName val=" Qrtly P&amp;L (ex Alcon)"/>
      <sheetName val="By division"/>
    </sheetNames>
    <sheetDataSet>
      <sheetData sheetId="0"/>
      <sheetData sheetId="1"/>
      <sheetData sheetId="2" refreshError="1">
        <row r="1">
          <cell r="A1" t="str">
            <v>Novartis</v>
          </cell>
        </row>
        <row r="3">
          <cell r="A3" t="str">
            <v>$ millions</v>
          </cell>
          <cell r="C3">
            <v>2009</v>
          </cell>
          <cell r="D3">
            <v>2010</v>
          </cell>
          <cell r="E3">
            <v>2011</v>
          </cell>
          <cell r="F3" t="str">
            <v>2012</v>
          </cell>
          <cell r="G3">
            <v>2013</v>
          </cell>
          <cell r="H3" t="str">
            <v>2014e</v>
          </cell>
          <cell r="I3" t="str">
            <v>2015e</v>
          </cell>
          <cell r="J3" t="str">
            <v>2016e</v>
          </cell>
          <cell r="K3" t="str">
            <v>2017e</v>
          </cell>
          <cell r="L3" t="str">
            <v>2018e</v>
          </cell>
          <cell r="M3" t="str">
            <v>2019e</v>
          </cell>
          <cell r="N3" t="str">
            <v>2020e</v>
          </cell>
          <cell r="O3" t="str">
            <v>CAGR (15-18e)</v>
          </cell>
          <cell r="P3" t="str">
            <v>CAGR (15-20e)</v>
          </cell>
        </row>
        <row r="4">
          <cell r="A4" t="str">
            <v>Sales</v>
          </cell>
          <cell r="B4" t="str">
            <v>new</v>
          </cell>
          <cell r="C4">
            <v>44267</v>
          </cell>
          <cell r="D4">
            <v>50624</v>
          </cell>
          <cell r="E4">
            <v>58566</v>
          </cell>
          <cell r="F4">
            <v>56673</v>
          </cell>
          <cell r="G4">
            <v>57920</v>
          </cell>
          <cell r="H4">
            <v>59065.971414844331</v>
          </cell>
          <cell r="I4">
            <v>60323.228122905137</v>
          </cell>
          <cell r="J4">
            <v>62244.448266743442</v>
          </cell>
          <cell r="K4">
            <v>64375.644958197125</v>
          </cell>
          <cell r="L4">
            <v>66721.303477296184</v>
          </cell>
          <cell r="M4">
            <v>66987.176849405761</v>
          </cell>
          <cell r="N4">
            <v>67865.278830938856</v>
          </cell>
          <cell r="O4">
            <v>3.4173287840038036E-2</v>
          </cell>
          <cell r="P4">
            <v>2.3841225621999751E-2</v>
          </cell>
        </row>
        <row r="5">
          <cell r="B5" t="str">
            <v>old</v>
          </cell>
          <cell r="C5">
            <v>44267</v>
          </cell>
          <cell r="D5">
            <v>50624</v>
          </cell>
          <cell r="E5">
            <v>58566</v>
          </cell>
          <cell r="F5">
            <v>56673</v>
          </cell>
          <cell r="G5">
            <v>57328.064092116016</v>
          </cell>
          <cell r="H5">
            <v>57729.206642938138</v>
          </cell>
          <cell r="I5">
            <v>60156.073049796185</v>
          </cell>
          <cell r="J5">
            <v>63644.847389231094</v>
          </cell>
          <cell r="K5">
            <v>67820.520734689911</v>
          </cell>
          <cell r="L5">
            <v>71397.836960634362</v>
          </cell>
          <cell r="M5">
            <v>73932.111452989731</v>
          </cell>
          <cell r="N5">
            <v>74931.76303676184</v>
          </cell>
          <cell r="O5">
            <v>5.8770564956454274E-2</v>
          </cell>
          <cell r="P5">
            <v>4.4906172351023788E-2</v>
          </cell>
        </row>
        <row r="6">
          <cell r="B6" t="str">
            <v>% +/-</v>
          </cell>
          <cell r="C6">
            <v>0</v>
          </cell>
          <cell r="D6">
            <v>0</v>
          </cell>
          <cell r="E6">
            <v>0</v>
          </cell>
          <cell r="F6">
            <v>0</v>
          </cell>
          <cell r="G6">
            <v>1.0325412470458595E-2</v>
          </cell>
          <cell r="H6">
            <v>2.3155779364408019E-2</v>
          </cell>
          <cell r="I6">
            <v>2.7786899083419849E-3</v>
          </cell>
          <cell r="J6">
            <v>-2.2003338525163996E-2</v>
          </cell>
          <cell r="K6">
            <v>-5.079400363156969E-2</v>
          </cell>
          <cell r="L6">
            <v>-6.5499652124147878E-2</v>
          </cell>
          <cell r="M6">
            <v>-9.393664629746111E-2</v>
          </cell>
          <cell r="N6">
            <v>-9.4305591106352823E-2</v>
          </cell>
        </row>
        <row r="7">
          <cell r="A7" t="str">
            <v>Consensus - Group Sales</v>
          </cell>
          <cell r="G7">
            <v>57554.28</v>
          </cell>
          <cell r="H7">
            <v>59053.099970252326</v>
          </cell>
          <cell r="I7">
            <v>61028.314735468033</v>
          </cell>
          <cell r="J7">
            <v>63113.068350000249</v>
          </cell>
          <cell r="K7">
            <v>65250.54061282974</v>
          </cell>
        </row>
        <row r="8">
          <cell r="B8" t="str">
            <v>% +/-</v>
          </cell>
          <cell r="G8">
            <v>6.3543493203286339E-3</v>
          </cell>
          <cell r="H8">
            <v>2.1796391042117058E-4</v>
          </cell>
          <cell r="I8">
            <v>-1.1553434100534332E-2</v>
          </cell>
          <cell r="J8">
            <v>-1.3762919565877829E-2</v>
          </cell>
          <cell r="K8">
            <v>-1.340825143233515E-2</v>
          </cell>
        </row>
        <row r="10">
          <cell r="A10" t="str">
            <v>Diovan</v>
          </cell>
          <cell r="B10" t="str">
            <v>new</v>
          </cell>
          <cell r="C10">
            <v>6013</v>
          </cell>
          <cell r="D10">
            <v>6053</v>
          </cell>
          <cell r="E10">
            <v>5665</v>
          </cell>
          <cell r="F10">
            <v>4417</v>
          </cell>
          <cell r="G10">
            <v>3524</v>
          </cell>
          <cell r="H10">
            <v>2224.2619640733988</v>
          </cell>
          <cell r="I10">
            <v>1139.311473055049</v>
          </cell>
          <cell r="J10">
            <v>1036.3894699411953</v>
          </cell>
          <cell r="K10">
            <v>947.6230670453117</v>
          </cell>
          <cell r="L10">
            <v>869.93605435213976</v>
          </cell>
          <cell r="M10">
            <v>817.80079663453273</v>
          </cell>
          <cell r="N10">
            <v>770.86383830280602</v>
          </cell>
          <cell r="O10">
            <v>-8.5995599729453032E-2</v>
          </cell>
          <cell r="P10">
            <v>-7.5159072745549893E-2</v>
          </cell>
        </row>
        <row r="11">
          <cell r="B11" t="str">
            <v>old</v>
          </cell>
          <cell r="C11">
            <v>6013</v>
          </cell>
          <cell r="D11">
            <v>6053</v>
          </cell>
          <cell r="E11">
            <v>5665</v>
          </cell>
          <cell r="F11">
            <v>4417</v>
          </cell>
          <cell r="G11">
            <v>3601.7219184059577</v>
          </cell>
          <cell r="H11">
            <v>1270.6534097453105</v>
          </cell>
          <cell r="I11">
            <v>994.13256877077959</v>
          </cell>
          <cell r="J11">
            <v>922.52124395682495</v>
          </cell>
          <cell r="K11">
            <v>874.85666925898363</v>
          </cell>
          <cell r="L11">
            <v>812.62590036085476</v>
          </cell>
          <cell r="M11">
            <v>771.24073421781202</v>
          </cell>
          <cell r="N11">
            <v>732.15098771942144</v>
          </cell>
          <cell r="O11">
            <v>-6.4991728697243567E-2</v>
          </cell>
          <cell r="P11">
            <v>-5.9343046700043867E-2</v>
          </cell>
        </row>
        <row r="12">
          <cell r="B12" t="str">
            <v>% +/-</v>
          </cell>
          <cell r="C12">
            <v>0</v>
          </cell>
          <cell r="D12">
            <v>0</v>
          </cell>
          <cell r="E12">
            <v>0</v>
          </cell>
          <cell r="F12">
            <v>0</v>
          </cell>
          <cell r="G12">
            <v>-2.1579100265562891E-2</v>
          </cell>
          <cell r="H12">
            <v>0.75048675509337315</v>
          </cell>
          <cell r="I12">
            <v>0.14603575905754654</v>
          </cell>
          <cell r="J12">
            <v>0.12343154884539391</v>
          </cell>
          <cell r="K12">
            <v>8.3175222117198092E-2</v>
          </cell>
          <cell r="L12">
            <v>7.0524646046644407E-2</v>
          </cell>
          <cell r="M12">
            <v>6.0370336201110618E-2</v>
          </cell>
          <cell r="N12">
            <v>5.2875501409854427E-2</v>
          </cell>
        </row>
        <row r="13">
          <cell r="A13" t="str">
            <v>Consensus - Diovan</v>
          </cell>
          <cell r="G13">
            <v>3260.26</v>
          </cell>
          <cell r="H13">
            <v>1772.4834817149952</v>
          </cell>
          <cell r="I13">
            <v>1549.4918745556456</v>
          </cell>
          <cell r="J13">
            <v>1343.4139839406871</v>
          </cell>
          <cell r="K13">
            <v>1226.34891546875</v>
          </cell>
        </row>
        <row r="14">
          <cell r="B14" t="str">
            <v>% +/-</v>
          </cell>
          <cell r="G14">
            <v>8.089538871132973E-2</v>
          </cell>
          <cell r="H14">
            <v>0.25488445281378769</v>
          </cell>
          <cell r="I14">
            <v>-0.26471929813651063</v>
          </cell>
          <cell r="J14">
            <v>-0.2285405077434769</v>
          </cell>
          <cell r="K14">
            <v>-0.22728103307931768</v>
          </cell>
        </row>
        <row r="16">
          <cell r="A16" t="str">
            <v>Exforge</v>
          </cell>
          <cell r="B16" t="str">
            <v>new</v>
          </cell>
          <cell r="C16">
            <v>0</v>
          </cell>
          <cell r="D16">
            <v>3.4081226924169705E-3</v>
          </cell>
          <cell r="E16">
            <v>-5.6892159637701667E-2</v>
          </cell>
          <cell r="F16">
            <v>1352</v>
          </cell>
          <cell r="G16">
            <v>1456</v>
          </cell>
          <cell r="H16">
            <v>1447.7646746195308</v>
          </cell>
          <cell r="I16">
            <v>1244.6042071575778</v>
          </cell>
          <cell r="J16">
            <v>1194.4452175154568</v>
          </cell>
          <cell r="K16">
            <v>815.67725226081973</v>
          </cell>
          <cell r="L16">
            <v>767.19651469299515</v>
          </cell>
          <cell r="M16">
            <v>519.15746028509659</v>
          </cell>
          <cell r="N16">
            <v>363.41022219956761</v>
          </cell>
          <cell r="O16">
            <v>-0.14894338408390972</v>
          </cell>
          <cell r="P16">
            <v>-0.21824048672289831</v>
          </cell>
        </row>
        <row r="17">
          <cell r="B17" t="str">
            <v>old</v>
          </cell>
          <cell r="C17">
            <v>6013</v>
          </cell>
          <cell r="D17">
            <v>6053</v>
          </cell>
          <cell r="E17">
            <v>5665</v>
          </cell>
          <cell r="F17">
            <v>1352</v>
          </cell>
          <cell r="G17">
            <v>1479.4983442693101</v>
          </cell>
          <cell r="H17">
            <v>1529.4165740742058</v>
          </cell>
          <cell r="I17">
            <v>1232.8749166667853</v>
          </cell>
          <cell r="J17">
            <v>1235.5384083334638</v>
          </cell>
          <cell r="K17">
            <v>863.72808583342464</v>
          </cell>
          <cell r="L17">
            <v>837.04080325842187</v>
          </cell>
          <cell r="M17">
            <v>809.97949116066923</v>
          </cell>
          <cell r="N17">
            <v>785.68010642584909</v>
          </cell>
          <cell r="O17">
            <v>-0.12109378109634306</v>
          </cell>
          <cell r="P17">
            <v>-8.6170133258393067E-2</v>
          </cell>
        </row>
        <row r="18">
          <cell r="B18" t="str">
            <v>% +/-</v>
          </cell>
          <cell r="C18">
            <v>-1</v>
          </cell>
          <cell r="D18">
            <v>-0.99999943695313198</v>
          </cell>
          <cell r="E18">
            <v>-1.0000100427466263</v>
          </cell>
          <cell r="F18">
            <v>0</v>
          </cell>
          <cell r="G18">
            <v>-1.5882643167752512E-2</v>
          </cell>
          <cell r="H18">
            <v>-5.3387612530680827E-2</v>
          </cell>
          <cell r="I18">
            <v>9.5137716991630268E-3</v>
          </cell>
          <cell r="J18">
            <v>-3.3259339038626066E-2</v>
          </cell>
          <cell r="K18">
            <v>-5.5631898928283567E-2</v>
          </cell>
          <cell r="L18">
            <v>-8.3441916204727129E-2</v>
          </cell>
          <cell r="M18">
            <v>-0.35904863524240094</v>
          </cell>
          <cell r="N18">
            <v>-0.53745777800998007</v>
          </cell>
        </row>
        <row r="19">
          <cell r="A19" t="str">
            <v>Consensus - Exforge</v>
          </cell>
          <cell r="G19">
            <v>1477.7564071092243</v>
          </cell>
          <cell r="H19">
            <v>1409.3181662760094</v>
          </cell>
          <cell r="I19">
            <v>1261.6678973333337</v>
          </cell>
          <cell r="J19">
            <v>1255.0202566667322</v>
          </cell>
          <cell r="K19">
            <v>980.55129307848165</v>
          </cell>
        </row>
        <row r="20">
          <cell r="B20" t="str">
            <v>% +/-</v>
          </cell>
          <cell r="G20">
            <v>-1.4722593659251326E-2</v>
          </cell>
          <cell r="H20">
            <v>2.7280219089996338E-2</v>
          </cell>
          <cell r="I20">
            <v>-1.3524708215071346E-2</v>
          </cell>
          <cell r="J20">
            <v>-4.8266184413755631E-2</v>
          </cell>
          <cell r="K20">
            <v>-0.16814422864104639</v>
          </cell>
        </row>
        <row r="22">
          <cell r="A22" t="str">
            <v>Galvus</v>
          </cell>
          <cell r="B22" t="str">
            <v>new</v>
          </cell>
          <cell r="C22">
            <v>181</v>
          </cell>
          <cell r="D22">
            <v>391</v>
          </cell>
          <cell r="E22">
            <v>677</v>
          </cell>
          <cell r="F22">
            <v>910</v>
          </cell>
          <cell r="G22">
            <v>1200</v>
          </cell>
          <cell r="H22">
            <v>1441.0531008243499</v>
          </cell>
          <cell r="I22">
            <v>1585.1584109067851</v>
          </cell>
          <cell r="J22">
            <v>1743.6742519974637</v>
          </cell>
          <cell r="K22">
            <v>1883.1681921572608</v>
          </cell>
          <cell r="L22">
            <v>1977.326601765124</v>
          </cell>
          <cell r="M22">
            <v>1878.4602716768677</v>
          </cell>
          <cell r="N22">
            <v>1784.5372580930243</v>
          </cell>
          <cell r="O22">
            <v>7.6469955893837982E-2</v>
          </cell>
          <cell r="P22">
            <v>2.3977915271387484E-2</v>
          </cell>
        </row>
        <row r="23">
          <cell r="B23" t="str">
            <v>old</v>
          </cell>
          <cell r="C23">
            <v>181</v>
          </cell>
          <cell r="D23">
            <v>391</v>
          </cell>
          <cell r="E23">
            <v>677</v>
          </cell>
          <cell r="F23">
            <v>910</v>
          </cell>
          <cell r="G23">
            <v>1163.7463685224025</v>
          </cell>
          <cell r="H23">
            <v>1324.7204991655578</v>
          </cell>
          <cell r="I23">
            <v>1523.4285740403914</v>
          </cell>
          <cell r="J23">
            <v>1751.9428601464499</v>
          </cell>
          <cell r="K23">
            <v>1927.137146161095</v>
          </cell>
          <cell r="L23">
            <v>2119.8508607772046</v>
          </cell>
          <cell r="M23">
            <v>2225.8434038160649</v>
          </cell>
          <cell r="N23">
            <v>1891.966893243655</v>
          </cell>
          <cell r="O23">
            <v>0.11642033129671825</v>
          </cell>
          <cell r="P23">
            <v>4.4283189858293825E-2</v>
          </cell>
        </row>
        <row r="24">
          <cell r="B24" t="str">
            <v>% +/-</v>
          </cell>
          <cell r="C24">
            <v>0</v>
          </cell>
          <cell r="D24">
            <v>0</v>
          </cell>
          <cell r="E24">
            <v>0</v>
          </cell>
          <cell r="F24">
            <v>0</v>
          </cell>
          <cell r="G24">
            <v>3.115251953364067E-2</v>
          </cell>
          <cell r="H24">
            <v>8.7816714342436819E-2</v>
          </cell>
          <cell r="I24">
            <v>4.0520335457983246E-2</v>
          </cell>
          <cell r="J24">
            <v>-4.7196791271463248E-3</v>
          </cell>
          <cell r="K24">
            <v>-2.2815684961198214E-2</v>
          </cell>
          <cell r="L24">
            <v>-6.7233153826598308E-2</v>
          </cell>
          <cell r="M24">
            <v>-0.15606809155739854</v>
          </cell>
          <cell r="N24">
            <v>-5.6781984681798278E-2</v>
          </cell>
        </row>
        <row r="25">
          <cell r="A25" t="str">
            <v>Consensus - Galvus</v>
          </cell>
          <cell r="G25">
            <v>1161.7865947665171</v>
          </cell>
          <cell r="H25">
            <v>1379.9201519310075</v>
          </cell>
          <cell r="I25">
            <v>1587.7850779101977</v>
          </cell>
          <cell r="J25">
            <v>1763.979792834207</v>
          </cell>
          <cell r="K25">
            <v>1917.9335076226562</v>
          </cell>
        </row>
        <row r="26">
          <cell r="B26" t="str">
            <v>% +/-</v>
          </cell>
          <cell r="G26">
            <v>3.2891931621196413E-2</v>
          </cell>
          <cell r="H26">
            <v>4.4301801671492003E-2</v>
          </cell>
          <cell r="I26">
            <v>-1.6542963150086853E-3</v>
          </cell>
          <cell r="J26">
            <v>-1.1511209436315673E-2</v>
          </cell>
          <cell r="K26">
            <v>-1.8126444596344826E-2</v>
          </cell>
        </row>
        <row r="28">
          <cell r="A28" t="str">
            <v>Onbrez Breezhaler</v>
          </cell>
          <cell r="B28" t="str">
            <v>new</v>
          </cell>
          <cell r="C28">
            <v>3944</v>
          </cell>
          <cell r="D28">
            <v>4265</v>
          </cell>
          <cell r="E28">
            <v>4659</v>
          </cell>
          <cell r="F28">
            <v>134</v>
          </cell>
          <cell r="G28">
            <v>192</v>
          </cell>
          <cell r="H28">
            <v>268.30260958977607</v>
          </cell>
          <cell r="I28">
            <v>362.20852294619772</v>
          </cell>
          <cell r="J28">
            <v>470.87107983005706</v>
          </cell>
          <cell r="K28">
            <v>588.58884978757135</v>
          </cell>
          <cell r="L28">
            <v>676.87717725570701</v>
          </cell>
          <cell r="M28">
            <v>731.0273514361636</v>
          </cell>
          <cell r="N28">
            <v>767.57871900797181</v>
          </cell>
          <cell r="O28">
            <v>0.23173439416757757</v>
          </cell>
          <cell r="P28">
            <v>0.16207150501331391</v>
          </cell>
        </row>
        <row r="29">
          <cell r="B29" t="str">
            <v>old</v>
          </cell>
          <cell r="C29">
            <v>181</v>
          </cell>
          <cell r="D29">
            <v>391</v>
          </cell>
          <cell r="E29">
            <v>677</v>
          </cell>
          <cell r="F29">
            <v>134</v>
          </cell>
          <cell r="G29">
            <v>191.56119081849431</v>
          </cell>
          <cell r="H29">
            <v>265.52334577795625</v>
          </cell>
          <cell r="I29">
            <v>305.35184764464964</v>
          </cell>
          <cell r="J29">
            <v>351.15462479134703</v>
          </cell>
          <cell r="K29">
            <v>368.71235603091441</v>
          </cell>
          <cell r="L29">
            <v>387.14797383246014</v>
          </cell>
          <cell r="M29">
            <v>406.50537252408316</v>
          </cell>
          <cell r="N29">
            <v>426.83064115028731</v>
          </cell>
          <cell r="O29">
            <v>8.2327798062561186E-2</v>
          </cell>
          <cell r="P29">
            <v>6.9278925406169645E-2</v>
          </cell>
        </row>
        <row r="30">
          <cell r="B30" t="str">
            <v>% +/-</v>
          </cell>
          <cell r="C30">
            <v>20.790055248618785</v>
          </cell>
          <cell r="D30">
            <v>9.9079283887468037</v>
          </cell>
          <cell r="E30">
            <v>5.8818316100443129</v>
          </cell>
          <cell r="F30">
            <v>0</v>
          </cell>
          <cell r="G30">
            <v>2.2906998000522174E-3</v>
          </cell>
          <cell r="H30">
            <v>1.0467116568137759E-2</v>
          </cell>
          <cell r="I30">
            <v>0.18620052814520549</v>
          </cell>
          <cell r="J30">
            <v>0.34092233616414558</v>
          </cell>
          <cell r="K30">
            <v>0.59633611448112567</v>
          </cell>
          <cell r="L30">
            <v>0.74836812538408992</v>
          </cell>
          <cell r="M30">
            <v>0.79832150039506389</v>
          </cell>
          <cell r="N30">
            <v>0.798321500395064</v>
          </cell>
        </row>
        <row r="31">
          <cell r="A31" t="str">
            <v>Consensus - Onbrez Breezhaler</v>
          </cell>
          <cell r="G31">
            <v>194.89664456855758</v>
          </cell>
          <cell r="H31">
            <v>245</v>
          </cell>
          <cell r="I31">
            <v>287.98879999999997</v>
          </cell>
          <cell r="J31">
            <v>318.78290400000003</v>
          </cell>
          <cell r="K31">
            <v>350</v>
          </cell>
        </row>
        <row r="32">
          <cell r="B32" t="str">
            <v>% +/-</v>
          </cell>
          <cell r="G32">
            <v>-1.4862465051514229E-2</v>
          </cell>
          <cell r="H32">
            <v>9.5112692203167537E-2</v>
          </cell>
          <cell r="I32">
            <v>0.25771739368405222</v>
          </cell>
          <cell r="J32">
            <v>0.47709012598133871</v>
          </cell>
          <cell r="K32">
            <v>0.68168242796448952</v>
          </cell>
        </row>
        <row r="34">
          <cell r="A34" t="str">
            <v>Seebri Breezhaler</v>
          </cell>
          <cell r="B34" t="str">
            <v>new</v>
          </cell>
          <cell r="C34">
            <v>1266</v>
          </cell>
          <cell r="D34">
            <v>1376</v>
          </cell>
          <cell r="E34">
            <v>911</v>
          </cell>
          <cell r="F34">
            <v>3</v>
          </cell>
          <cell r="G34">
            <v>58</v>
          </cell>
          <cell r="H34">
            <v>174.12724968294228</v>
          </cell>
          <cell r="I34">
            <v>336.1908745244134</v>
          </cell>
          <cell r="J34">
            <v>485.66722433417874</v>
          </cell>
          <cell r="K34">
            <v>601.0840304177234</v>
          </cell>
          <cell r="L34">
            <v>705.64663498038192</v>
          </cell>
          <cell r="M34">
            <v>765.69836577881256</v>
          </cell>
          <cell r="N34">
            <v>813.88328406775327</v>
          </cell>
          <cell r="O34">
            <v>0.28036497309613795</v>
          </cell>
          <cell r="P34">
            <v>0.19342530319266604</v>
          </cell>
        </row>
        <row r="35">
          <cell r="B35" t="str">
            <v>old</v>
          </cell>
          <cell r="C35">
            <v>181</v>
          </cell>
          <cell r="D35">
            <v>391</v>
          </cell>
          <cell r="E35">
            <v>677</v>
          </cell>
          <cell r="F35">
            <v>3</v>
          </cell>
          <cell r="G35">
            <v>61</v>
          </cell>
          <cell r="H35">
            <v>120.76133580280877</v>
          </cell>
          <cell r="I35">
            <v>225.95166975351097</v>
          </cell>
          <cell r="J35">
            <v>278.49925324118652</v>
          </cell>
          <cell r="K35">
            <v>310.42421590324585</v>
          </cell>
          <cell r="L35">
            <v>354.74542669840815</v>
          </cell>
          <cell r="M35">
            <v>381.48269803332857</v>
          </cell>
          <cell r="N35">
            <v>410.45683293499508</v>
          </cell>
          <cell r="O35">
            <v>0.16225230661072443</v>
          </cell>
          <cell r="P35">
            <v>0.12680920717091015</v>
          </cell>
        </row>
        <row r="36">
          <cell r="B36" t="str">
            <v>% +/-</v>
          </cell>
          <cell r="C36">
            <v>5.9944751381215466</v>
          </cell>
          <cell r="D36">
            <v>2.5191815856777495</v>
          </cell>
          <cell r="E36">
            <v>0.34564254062038402</v>
          </cell>
          <cell r="F36">
            <v>0</v>
          </cell>
          <cell r="G36">
            <v>-4.9180327868852458E-2</v>
          </cell>
          <cell r="H36">
            <v>0.44191225217378122</v>
          </cell>
          <cell r="I36">
            <v>0.48788842716303704</v>
          </cell>
          <cell r="J36">
            <v>0.74387262688126554</v>
          </cell>
          <cell r="K36">
            <v>0.93633099360093563</v>
          </cell>
          <cell r="L36">
            <v>0.98916344474906337</v>
          </cell>
          <cell r="M36">
            <v>1.0071640725155946</v>
          </cell>
          <cell r="N36">
            <v>0.9828718119955131</v>
          </cell>
        </row>
        <row r="37">
          <cell r="A37" t="str">
            <v>Consensus - Seebri Breezhaler</v>
          </cell>
          <cell r="G37">
            <v>52</v>
          </cell>
          <cell r="H37">
            <v>114.7830615176583</v>
          </cell>
          <cell r="I37">
            <v>227.95530172816296</v>
          </cell>
          <cell r="J37">
            <v>353.26250000000005</v>
          </cell>
          <cell r="K37">
            <v>439.78662499999996</v>
          </cell>
        </row>
        <row r="38">
          <cell r="B38" t="str">
            <v>% +/-</v>
          </cell>
          <cell r="G38">
            <v>0.11538461538461542</v>
          </cell>
          <cell r="H38">
            <v>0.51701172089885783</v>
          </cell>
          <cell r="I38">
            <v>0.47481050879580566</v>
          </cell>
          <cell r="J38">
            <v>0.37480548978218375</v>
          </cell>
          <cell r="K38">
            <v>0.36676287146686981</v>
          </cell>
        </row>
        <row r="40">
          <cell r="A40" t="str">
            <v>Gleevec/Tasigna franchise</v>
          </cell>
          <cell r="B40" t="str">
            <v>new</v>
          </cell>
          <cell r="C40">
            <v>4156</v>
          </cell>
          <cell r="D40">
            <v>4664</v>
          </cell>
          <cell r="E40">
            <v>5375</v>
          </cell>
          <cell r="F40">
            <v>5673</v>
          </cell>
          <cell r="G40">
            <v>5959</v>
          </cell>
          <cell r="H40">
            <v>6154.5348964309869</v>
          </cell>
          <cell r="I40">
            <v>5212.4520040515217</v>
          </cell>
          <cell r="J40">
            <v>3592.8143495226518</v>
          </cell>
          <cell r="K40">
            <v>2946.6775577086637</v>
          </cell>
          <cell r="L40">
            <v>2857.97853622812</v>
          </cell>
          <cell r="M40">
            <v>2776.4582509768575</v>
          </cell>
          <cell r="N40">
            <v>2730.0064071448087</v>
          </cell>
          <cell r="O40">
            <v>-0.18152459918444019</v>
          </cell>
          <cell r="P40">
            <v>-0.12133299292969157</v>
          </cell>
        </row>
        <row r="41">
          <cell r="B41" t="str">
            <v>old</v>
          </cell>
          <cell r="C41">
            <v>4156</v>
          </cell>
          <cell r="D41">
            <v>4664</v>
          </cell>
          <cell r="E41">
            <v>5375</v>
          </cell>
          <cell r="F41">
            <v>5673</v>
          </cell>
          <cell r="G41">
            <v>5837.299057961276</v>
          </cell>
          <cell r="H41">
            <v>5999.1272395861743</v>
          </cell>
          <cell r="I41">
            <v>5291.3336952896534</v>
          </cell>
          <cell r="J41">
            <v>4390.1353604010019</v>
          </cell>
          <cell r="K41">
            <v>4368.8865363000696</v>
          </cell>
          <cell r="L41">
            <v>4446.0563968081606</v>
          </cell>
          <cell r="M41">
            <v>4472.1333740336595</v>
          </cell>
          <cell r="N41">
            <v>4559.3243103500054</v>
          </cell>
          <cell r="O41">
            <v>-5.6366670124661344E-2</v>
          </cell>
          <cell r="P41">
            <v>-2.9340148116562825E-2</v>
          </cell>
        </row>
        <row r="42">
          <cell r="B42" t="str">
            <v>% +/-</v>
          </cell>
          <cell r="C42">
            <v>0</v>
          </cell>
          <cell r="D42">
            <v>0</v>
          </cell>
          <cell r="E42">
            <v>0</v>
          </cell>
          <cell r="F42">
            <v>0</v>
          </cell>
          <cell r="G42">
            <v>2.0848844787683191E-2</v>
          </cell>
          <cell r="H42">
            <v>2.5905044290331278E-2</v>
          </cell>
          <cell r="I42">
            <v>-1.4907714345884513E-2</v>
          </cell>
          <cell r="J42">
            <v>-0.18161649822239684</v>
          </cell>
          <cell r="K42">
            <v>-0.32553122329330364</v>
          </cell>
          <cell r="L42">
            <v>-0.35718797038205075</v>
          </cell>
          <cell r="M42">
            <v>-0.3791647031151445</v>
          </cell>
          <cell r="N42">
            <v>-0.40122565948039907</v>
          </cell>
        </row>
        <row r="43">
          <cell r="A43" t="str">
            <v>Consensus - Gleevec/Tasigna</v>
          </cell>
          <cell r="G43">
            <v>5929.4242012519171</v>
          </cell>
          <cell r="H43">
            <v>6102.317308549229</v>
          </cell>
          <cell r="I43">
            <v>5509.6643295380163</v>
          </cell>
          <cell r="J43">
            <v>4207.2209090504093</v>
          </cell>
          <cell r="K43">
            <v>3661.1857122478004</v>
          </cell>
        </row>
        <row r="44">
          <cell r="B44" t="str">
            <v>% +/-</v>
          </cell>
          <cell r="G44">
            <v>4.9879714697824706E-3</v>
          </cell>
          <cell r="H44">
            <v>8.5570096147904451E-3</v>
          </cell>
          <cell r="I44">
            <v>-5.3943817210987066E-2</v>
          </cell>
          <cell r="J44">
            <v>-0.14603620128576322</v>
          </cell>
          <cell r="K44">
            <v>-0.19515758300620634</v>
          </cell>
        </row>
        <row r="45">
          <cell r="A45" t="str">
            <v>Consensus - Gleevec</v>
          </cell>
          <cell r="G45">
            <v>4619.3378758792787</v>
          </cell>
          <cell r="H45">
            <v>4461.4823729360178</v>
          </cell>
          <cell r="I45">
            <v>3587.2114867660089</v>
          </cell>
          <cell r="J45">
            <v>2082.158446935136</v>
          </cell>
          <cell r="K45">
            <v>1341.0675000000001</v>
          </cell>
        </row>
        <row r="47">
          <cell r="A47" t="str">
            <v xml:space="preserve">Afinitor </v>
          </cell>
          <cell r="B47" t="str">
            <v>new</v>
          </cell>
          <cell r="C47">
            <v>70</v>
          </cell>
          <cell r="D47">
            <v>243</v>
          </cell>
          <cell r="E47">
            <v>443</v>
          </cell>
          <cell r="F47">
            <v>797</v>
          </cell>
          <cell r="G47">
            <v>1309</v>
          </cell>
          <cell r="H47">
            <v>1633.1875425015851</v>
          </cell>
          <cell r="I47">
            <v>2057.5641789770134</v>
          </cell>
          <cell r="J47">
            <v>2448.501372982646</v>
          </cell>
          <cell r="K47">
            <v>2607.7458053616047</v>
          </cell>
          <cell r="L47">
            <v>2647.0210179152209</v>
          </cell>
          <cell r="M47">
            <v>2153.6044135291327</v>
          </cell>
          <cell r="N47">
            <v>1978.7098372074797</v>
          </cell>
          <cell r="O47">
            <v>8.7596996916365688E-2</v>
          </cell>
          <cell r="P47">
            <v>-7.7851000704208806E-3</v>
          </cell>
        </row>
        <row r="48">
          <cell r="B48" t="str">
            <v>old</v>
          </cell>
          <cell r="C48">
            <v>70</v>
          </cell>
          <cell r="D48">
            <v>243</v>
          </cell>
          <cell r="E48">
            <v>443</v>
          </cell>
          <cell r="F48">
            <v>797</v>
          </cell>
          <cell r="G48">
            <v>1285.0336793017409</v>
          </cell>
          <cell r="H48">
            <v>1561.2693815052735</v>
          </cell>
          <cell r="I48">
            <v>1795.4597887310645</v>
          </cell>
          <cell r="J48">
            <v>2064.7787570407236</v>
          </cell>
          <cell r="K48">
            <v>2374.4955705968323</v>
          </cell>
          <cell r="L48">
            <v>2730.6699061863569</v>
          </cell>
          <cell r="M48">
            <v>2934.2594807051064</v>
          </cell>
          <cell r="N48">
            <v>2815.6636059572102</v>
          </cell>
          <cell r="O48">
            <v>0.14999999999999991</v>
          </cell>
          <cell r="P48">
            <v>9.4160460913273347E-2</v>
          </cell>
        </row>
        <row r="49">
          <cell r="B49" t="str">
            <v>% +/-</v>
          </cell>
          <cell r="C49">
            <v>0</v>
          </cell>
          <cell r="D49">
            <v>0</v>
          </cell>
          <cell r="E49">
            <v>0</v>
          </cell>
          <cell r="F49">
            <v>0</v>
          </cell>
          <cell r="G49">
            <v>1.8650344410647564E-2</v>
          </cell>
          <cell r="H49">
            <v>4.606390277568425E-2</v>
          </cell>
          <cell r="I49">
            <v>0.1459817657243053</v>
          </cell>
          <cell r="J49">
            <v>0.18584200105384668</v>
          </cell>
          <cell r="K49">
            <v>9.8231488680412496E-2</v>
          </cell>
          <cell r="L49">
            <v>-3.0633101453100831E-2</v>
          </cell>
          <cell r="M49">
            <v>-0.26604840925260681</v>
          </cell>
          <cell r="N49">
            <v>-0.29724920511774006</v>
          </cell>
        </row>
        <row r="50">
          <cell r="A50" t="str">
            <v xml:space="preserve">Consensus - Afinitor </v>
          </cell>
          <cell r="G50">
            <v>1298.4204168643121</v>
          </cell>
          <cell r="H50">
            <v>1806.4241526952774</v>
          </cell>
          <cell r="I50">
            <v>2247.288296250199</v>
          </cell>
          <cell r="J50">
            <v>2588.5802600201851</v>
          </cell>
          <cell r="K50">
            <v>2829.2287675870748</v>
          </cell>
        </row>
        <row r="51">
          <cell r="B51" t="str">
            <v>% +/-</v>
          </cell>
          <cell r="G51">
            <v>8.1480412648144984E-3</v>
          </cell>
          <cell r="H51">
            <v>-9.5900295584076645E-2</v>
          </cell>
          <cell r="I51">
            <v>-8.4423577335296596E-2</v>
          </cell>
          <cell r="J51">
            <v>-5.4114175712846824E-2</v>
          </cell>
          <cell r="K51">
            <v>-7.8283864763033395E-2</v>
          </cell>
        </row>
        <row r="53">
          <cell r="A53" t="str">
            <v>Jakavi</v>
          </cell>
          <cell r="B53" t="str">
            <v>new</v>
          </cell>
          <cell r="C53">
            <v>0</v>
          </cell>
          <cell r="D53">
            <v>0</v>
          </cell>
          <cell r="E53">
            <v>0</v>
          </cell>
          <cell r="F53">
            <v>26</v>
          </cell>
          <cell r="G53">
            <v>163</v>
          </cell>
          <cell r="H53">
            <v>274.07382153614452</v>
          </cell>
          <cell r="I53">
            <v>411.11073230421675</v>
          </cell>
          <cell r="J53">
            <v>616.66609845632513</v>
          </cell>
          <cell r="K53">
            <v>832.49923291603898</v>
          </cell>
          <cell r="L53">
            <v>957.37411785344477</v>
          </cell>
          <cell r="M53">
            <v>1005.2428237461171</v>
          </cell>
          <cell r="N53">
            <v>1055.504964933423</v>
          </cell>
          <cell r="O53">
            <v>0.32548338836054169</v>
          </cell>
          <cell r="P53">
            <v>0.20753657296357453</v>
          </cell>
        </row>
        <row r="54">
          <cell r="B54" t="str">
            <v>old</v>
          </cell>
          <cell r="C54">
            <v>70</v>
          </cell>
          <cell r="D54">
            <v>243</v>
          </cell>
          <cell r="E54">
            <v>443</v>
          </cell>
          <cell r="F54">
            <v>26</v>
          </cell>
          <cell r="G54">
            <v>148</v>
          </cell>
          <cell r="H54">
            <v>206.62658650634603</v>
          </cell>
          <cell r="I54">
            <v>268.61456245824985</v>
          </cell>
          <cell r="J54">
            <v>308.90674682698733</v>
          </cell>
          <cell r="K54">
            <v>311.99581429525722</v>
          </cell>
          <cell r="L54">
            <v>336.95547943887783</v>
          </cell>
          <cell r="M54">
            <v>353.80325341082175</v>
          </cell>
          <cell r="N54">
            <v>371.49341608136285</v>
          </cell>
          <cell r="O54">
            <v>7.8485531596502067E-2</v>
          </cell>
          <cell r="P54">
            <v>6.6999739887889431E-2</v>
          </cell>
        </row>
        <row r="55">
          <cell r="B55" t="str">
            <v>% +/-</v>
          </cell>
          <cell r="C55">
            <v>-1</v>
          </cell>
          <cell r="D55">
            <v>-1</v>
          </cell>
          <cell r="E55">
            <v>-1</v>
          </cell>
          <cell r="F55">
            <v>0</v>
          </cell>
          <cell r="G55">
            <v>0.10135135135135136</v>
          </cell>
          <cell r="H55">
            <v>0.32642089370104854</v>
          </cell>
          <cell r="I55">
            <v>0.5304856465781328</v>
          </cell>
          <cell r="J55">
            <v>0.99628562597147752</v>
          </cell>
          <cell r="K55">
            <v>1.6683025693678166</v>
          </cell>
          <cell r="L55">
            <v>1.8412481062712855</v>
          </cell>
          <cell r="M55">
            <v>1.8412481062712858</v>
          </cell>
          <cell r="N55">
            <v>1.8412481062712858</v>
          </cell>
        </row>
        <row r="56">
          <cell r="A56" t="str">
            <v xml:space="preserve">Consensus - Jakavi </v>
          </cell>
          <cell r="G56">
            <v>153.62106821416015</v>
          </cell>
          <cell r="H56">
            <v>227.43632150273183</v>
          </cell>
          <cell r="I56">
            <v>327.66403402868798</v>
          </cell>
          <cell r="J56">
            <v>404.62411185528617</v>
          </cell>
          <cell r="K56">
            <v>472.649585</v>
          </cell>
        </row>
        <row r="57">
          <cell r="B57" t="str">
            <v>% +/-</v>
          </cell>
          <cell r="G57">
            <v>6.1052379695504255E-2</v>
          </cell>
          <cell r="H57">
            <v>0.20505739683647017</v>
          </cell>
          <cell r="I57">
            <v>0.25467152207563548</v>
          </cell>
          <cell r="J57">
            <v>0.52404683850594602</v>
          </cell>
          <cell r="K57">
            <v>0.7613455281380157</v>
          </cell>
        </row>
        <row r="59">
          <cell r="A59" t="str">
            <v>Gilenya</v>
          </cell>
          <cell r="B59" t="str">
            <v>new</v>
          </cell>
          <cell r="C59">
            <v>0</v>
          </cell>
          <cell r="D59">
            <v>15</v>
          </cell>
          <cell r="E59">
            <v>494</v>
          </cell>
          <cell r="F59">
            <v>1195</v>
          </cell>
          <cell r="G59">
            <v>1934</v>
          </cell>
          <cell r="H59">
            <v>2407.1994139227963</v>
          </cell>
          <cell r="I59">
            <v>2746.3793084288995</v>
          </cell>
          <cell r="J59">
            <v>3093.6314546932344</v>
          </cell>
          <cell r="K59">
            <v>3331.8193751625586</v>
          </cell>
          <cell r="L59">
            <v>3498.4103439206865</v>
          </cell>
          <cell r="M59">
            <v>3202.5067477417206</v>
          </cell>
          <cell r="N59">
            <v>3009.5140000975566</v>
          </cell>
          <cell r="O59">
            <v>8.4018623191409958E-2</v>
          </cell>
          <cell r="P59">
            <v>1.8467488262720932E-2</v>
          </cell>
        </row>
        <row r="60">
          <cell r="B60" t="str">
            <v>old</v>
          </cell>
          <cell r="C60">
            <v>0</v>
          </cell>
          <cell r="D60">
            <v>15</v>
          </cell>
          <cell r="E60">
            <v>494</v>
          </cell>
          <cell r="F60">
            <v>1195</v>
          </cell>
          <cell r="G60">
            <v>1879.0340444566641</v>
          </cell>
          <cell r="H60">
            <v>2226.5055884519566</v>
          </cell>
          <cell r="I60">
            <v>2437.3211590661913</v>
          </cell>
          <cell r="J60">
            <v>2669.4890411541346</v>
          </cell>
          <cell r="K60">
            <v>2871.9055422795482</v>
          </cell>
          <cell r="L60">
            <v>3015.5008193935255</v>
          </cell>
          <cell r="M60">
            <v>3095.1288860667273</v>
          </cell>
          <cell r="N60">
            <v>2823.0034845912132</v>
          </cell>
          <cell r="O60">
            <v>7.3533407863951128E-2</v>
          </cell>
          <cell r="P60">
            <v>2.9816227699774656E-2</v>
          </cell>
        </row>
        <row r="61">
          <cell r="B61" t="str">
            <v>% +/-</v>
          </cell>
          <cell r="C61" t="e">
            <v>#DIV/0!</v>
          </cell>
          <cell r="D61">
            <v>0</v>
          </cell>
          <cell r="E61">
            <v>0</v>
          </cell>
          <cell r="F61">
            <v>0</v>
          </cell>
          <cell r="G61">
            <v>2.9252240376107547E-2</v>
          </cell>
          <cell r="H61">
            <v>8.1155792470510926E-2</v>
          </cell>
          <cell r="I61">
            <v>0.126802390490516</v>
          </cell>
          <cell r="J61">
            <v>0.15888524245663316</v>
          </cell>
          <cell r="K61">
            <v>0.16014239539297595</v>
          </cell>
          <cell r="L61">
            <v>0.16014239539297598</v>
          </cell>
          <cell r="M61">
            <v>3.4692533211903964E-2</v>
          </cell>
          <cell r="N61">
            <v>6.6068113810122037E-2</v>
          </cell>
        </row>
        <row r="62">
          <cell r="A62" t="str">
            <v>Consensus - Gilenya</v>
          </cell>
          <cell r="G62">
            <v>1863.9018782525359</v>
          </cell>
          <cell r="H62">
            <v>2258.3885292533669</v>
          </cell>
          <cell r="I62">
            <v>2465.1971243039179</v>
          </cell>
          <cell r="J62">
            <v>2696.1723912031325</v>
          </cell>
          <cell r="K62">
            <v>2902.975688528446</v>
          </cell>
        </row>
        <row r="63">
          <cell r="B63" t="str">
            <v>% +/-</v>
          </cell>
          <cell r="G63">
            <v>3.7608268206255069E-2</v>
          </cell>
          <cell r="H63">
            <v>6.5892508194162147E-2</v>
          </cell>
          <cell r="I63">
            <v>0.11406073021620022</v>
          </cell>
          <cell r="J63">
            <v>0.14741604238174877</v>
          </cell>
          <cell r="K63">
            <v>0.14772555220794792</v>
          </cell>
        </row>
        <row r="65">
          <cell r="A65" t="str">
            <v>Lucentis</v>
          </cell>
          <cell r="B65" t="str">
            <v>new</v>
          </cell>
          <cell r="C65">
            <v>1232</v>
          </cell>
          <cell r="D65">
            <v>1533</v>
          </cell>
          <cell r="E65">
            <v>2050</v>
          </cell>
          <cell r="F65">
            <v>2398</v>
          </cell>
          <cell r="G65">
            <v>2383</v>
          </cell>
          <cell r="H65">
            <v>2432.4375903123014</v>
          </cell>
          <cell r="I65">
            <v>2481.0863421185472</v>
          </cell>
          <cell r="J65">
            <v>2530.7080689609184</v>
          </cell>
          <cell r="K65">
            <v>2581.3222303401367</v>
          </cell>
          <cell r="L65">
            <v>2452.2561188231298</v>
          </cell>
          <cell r="M65">
            <v>2378.6884352584357</v>
          </cell>
          <cell r="N65">
            <v>2307.3277822006826</v>
          </cell>
          <cell r="O65">
            <v>-3.8884336520023099E-3</v>
          </cell>
          <cell r="P65">
            <v>-1.4416365505766415E-2</v>
          </cell>
        </row>
        <row r="66">
          <cell r="B66" t="str">
            <v>old</v>
          </cell>
          <cell r="C66">
            <v>1232</v>
          </cell>
          <cell r="D66">
            <v>1533</v>
          </cell>
          <cell r="E66">
            <v>2050</v>
          </cell>
          <cell r="F66">
            <v>2398</v>
          </cell>
          <cell r="G66">
            <v>2303.7580747725328</v>
          </cell>
          <cell r="H66">
            <v>2280.3680530822794</v>
          </cell>
          <cell r="I66">
            <v>2394.3864557363936</v>
          </cell>
          <cell r="J66">
            <v>2514.1057785232133</v>
          </cell>
          <cell r="K66">
            <v>2639.8110674493741</v>
          </cell>
          <cell r="L66">
            <v>2771.8016208218428</v>
          </cell>
          <cell r="M66">
            <v>2771.8016208218428</v>
          </cell>
          <cell r="N66">
            <v>2771.8016208218428</v>
          </cell>
          <cell r="O66">
            <v>5.0000000000000044E-2</v>
          </cell>
          <cell r="P66">
            <v>2.9706796887910114E-2</v>
          </cell>
        </row>
        <row r="67">
          <cell r="B67" t="str">
            <v>% +/-</v>
          </cell>
          <cell r="C67">
            <v>0</v>
          </cell>
          <cell r="D67">
            <v>0</v>
          </cell>
          <cell r="E67">
            <v>0</v>
          </cell>
          <cell r="F67">
            <v>0</v>
          </cell>
          <cell r="G67">
            <v>3.4396808456240054E-2</v>
          </cell>
          <cell r="H67">
            <v>6.6686400480166289E-2</v>
          </cell>
          <cell r="I67">
            <v>3.6209646180732795E-2</v>
          </cell>
          <cell r="J67">
            <v>6.6036562898547741E-3</v>
          </cell>
          <cell r="K67">
            <v>-2.2156448175569728E-2</v>
          </cell>
          <cell r="L67">
            <v>-0.11528440549218213</v>
          </cell>
          <cell r="M67">
            <v>-0.14182587332741675</v>
          </cell>
          <cell r="N67">
            <v>-0.16757109712759427</v>
          </cell>
        </row>
        <row r="68">
          <cell r="A68" t="str">
            <v>Consensus - Lucentis</v>
          </cell>
          <cell r="G68">
            <v>2350.5334052339367</v>
          </cell>
          <cell r="H68">
            <v>2429.0351248099514</v>
          </cell>
          <cell r="I68">
            <v>2465.5456840580509</v>
          </cell>
          <cell r="J68">
            <v>2528.4433295816066</v>
          </cell>
          <cell r="K68">
            <v>2550.6137087898123</v>
          </cell>
        </row>
        <row r="69">
          <cell r="B69" t="str">
            <v>% +/-</v>
          </cell>
          <cell r="G69">
            <v>1.3812437080779061E-2</v>
          </cell>
          <cell r="H69">
            <v>1.4007477568345195E-3</v>
          </cell>
          <cell r="I69">
            <v>6.3031312544645779E-3</v>
          </cell>
          <cell r="J69">
            <v>8.9570501850499973E-4</v>
          </cell>
          <cell r="K69">
            <v>1.2039659884402809E-2</v>
          </cell>
        </row>
        <row r="71">
          <cell r="A71" t="str">
            <v>IIaris</v>
          </cell>
          <cell r="B71" t="str">
            <v>new</v>
          </cell>
          <cell r="C71">
            <v>0</v>
          </cell>
          <cell r="D71">
            <v>0</v>
          </cell>
          <cell r="E71">
            <v>187</v>
          </cell>
          <cell r="F71">
            <v>72</v>
          </cell>
          <cell r="G71">
            <v>119</v>
          </cell>
          <cell r="H71">
            <v>160.65</v>
          </cell>
          <cell r="I71">
            <v>200.8125</v>
          </cell>
          <cell r="J71">
            <v>261.05625000000003</v>
          </cell>
          <cell r="K71">
            <v>326.32031250000006</v>
          </cell>
          <cell r="L71">
            <v>375.26835937500005</v>
          </cell>
          <cell r="M71">
            <v>412.79519531250008</v>
          </cell>
          <cell r="N71">
            <v>433.43495507812509</v>
          </cell>
          <cell r="O71">
            <v>0.23173439416757757</v>
          </cell>
          <cell r="P71">
            <v>0.16634394200980607</v>
          </cell>
        </row>
        <row r="72">
          <cell r="B72" t="str">
            <v>old</v>
          </cell>
          <cell r="C72">
            <v>1232</v>
          </cell>
          <cell r="D72">
            <v>1533</v>
          </cell>
          <cell r="E72">
            <v>2050</v>
          </cell>
          <cell r="F72">
            <v>72</v>
          </cell>
          <cell r="G72">
            <v>105.55</v>
          </cell>
          <cell r="H72">
            <v>142.49250000000001</v>
          </cell>
          <cell r="I72">
            <v>163.86637500000001</v>
          </cell>
          <cell r="J72">
            <v>188.44633124999999</v>
          </cell>
          <cell r="K72">
            <v>216.71328093749997</v>
          </cell>
          <cell r="L72">
            <v>249.22027307812496</v>
          </cell>
          <cell r="M72">
            <v>251.71247580890622</v>
          </cell>
          <cell r="N72">
            <v>251.71247580890622</v>
          </cell>
          <cell r="O72">
            <v>0.14999999999999991</v>
          </cell>
          <cell r="P72">
            <v>8.9639853047792206E-2</v>
          </cell>
        </row>
        <row r="73">
          <cell r="B73" t="str">
            <v>% +/-</v>
          </cell>
          <cell r="C73">
            <v>-1</v>
          </cell>
          <cell r="D73">
            <v>-1</v>
          </cell>
          <cell r="E73">
            <v>-0.90878048780487808</v>
          </cell>
          <cell r="F73">
            <v>0</v>
          </cell>
          <cell r="G73">
            <v>0.12742775935575559</v>
          </cell>
          <cell r="H73">
            <v>0.12742775935575557</v>
          </cell>
          <cell r="I73">
            <v>0.22546495582147341</v>
          </cell>
          <cell r="J73">
            <v>0.38530821092862244</v>
          </cell>
          <cell r="K73">
            <v>0.50576979448763326</v>
          </cell>
          <cell r="L73">
            <v>0.50576979448763315</v>
          </cell>
          <cell r="M73">
            <v>0.63994730092712537</v>
          </cell>
          <cell r="N73">
            <v>0.72194466597348161</v>
          </cell>
        </row>
        <row r="74">
          <cell r="A74" t="str">
            <v>Consensus - Iiaris</v>
          </cell>
          <cell r="G74">
            <v>113.22</v>
          </cell>
          <cell r="H74">
            <v>162.62787796559337</v>
          </cell>
          <cell r="I74">
            <v>206.3425</v>
          </cell>
          <cell r="J74">
            <v>223.04554999999999</v>
          </cell>
          <cell r="K74">
            <v>238.66525940884469</v>
          </cell>
        </row>
        <row r="75">
          <cell r="B75" t="str">
            <v>% +/-</v>
          </cell>
          <cell r="G75">
            <v>5.1051051051051122E-2</v>
          </cell>
          <cell r="H75">
            <v>-1.2161985941990916E-2</v>
          </cell>
          <cell r="I75">
            <v>-2.6800101772538332E-2</v>
          </cell>
          <cell r="J75">
            <v>0.17041676016401164</v>
          </cell>
          <cell r="K75">
            <v>0.36727194107877326</v>
          </cell>
        </row>
        <row r="77">
          <cell r="A77" t="str">
            <v>serelaxin</v>
          </cell>
          <cell r="B77" t="str">
            <v>new</v>
          </cell>
          <cell r="C77">
            <v>0</v>
          </cell>
          <cell r="D77">
            <v>0</v>
          </cell>
          <cell r="E77">
            <v>187</v>
          </cell>
          <cell r="H77">
            <v>150</v>
          </cell>
          <cell r="I77">
            <v>450</v>
          </cell>
          <cell r="J77">
            <v>900</v>
          </cell>
          <cell r="K77">
            <v>1350</v>
          </cell>
          <cell r="L77">
            <v>1500</v>
          </cell>
          <cell r="M77">
            <v>1575</v>
          </cell>
          <cell r="N77">
            <v>1653.75</v>
          </cell>
          <cell r="O77">
            <v>0.49380158218572157</v>
          </cell>
          <cell r="P77">
            <v>0.29733301013820523</v>
          </cell>
        </row>
        <row r="78">
          <cell r="B78" t="str">
            <v>old</v>
          </cell>
          <cell r="C78">
            <v>1232</v>
          </cell>
          <cell r="D78">
            <v>1533</v>
          </cell>
          <cell r="E78">
            <v>2050</v>
          </cell>
          <cell r="H78">
            <v>150</v>
          </cell>
          <cell r="I78">
            <v>450</v>
          </cell>
          <cell r="J78">
            <v>900</v>
          </cell>
          <cell r="K78">
            <v>1350</v>
          </cell>
          <cell r="L78">
            <v>1500</v>
          </cell>
          <cell r="M78">
            <v>1575</v>
          </cell>
          <cell r="N78">
            <v>1653.75</v>
          </cell>
          <cell r="O78">
            <v>0.49380158218572157</v>
          </cell>
          <cell r="P78">
            <v>0.29733301013820523</v>
          </cell>
        </row>
        <row r="79">
          <cell r="B79" t="str">
            <v>% +/-</v>
          </cell>
          <cell r="C79">
            <v>-1</v>
          </cell>
          <cell r="D79">
            <v>-1</v>
          </cell>
          <cell r="E79">
            <v>-0.90878048780487808</v>
          </cell>
          <cell r="H79">
            <v>0</v>
          </cell>
          <cell r="I79">
            <v>0</v>
          </cell>
          <cell r="J79">
            <v>0</v>
          </cell>
          <cell r="K79">
            <v>0</v>
          </cell>
          <cell r="L79">
            <v>0</v>
          </cell>
          <cell r="M79">
            <v>0</v>
          </cell>
          <cell r="N79">
            <v>0</v>
          </cell>
        </row>
        <row r="81">
          <cell r="A81" t="str">
            <v>Consensus - serelaxin</v>
          </cell>
          <cell r="G81">
            <v>4</v>
          </cell>
          <cell r="H81">
            <v>110</v>
          </cell>
          <cell r="I81">
            <v>240</v>
          </cell>
          <cell r="J81">
            <v>432</v>
          </cell>
          <cell r="K81">
            <v>585</v>
          </cell>
          <cell r="L81">
            <v>845</v>
          </cell>
          <cell r="M81">
            <v>1012</v>
          </cell>
          <cell r="N81">
            <v>1012</v>
          </cell>
        </row>
        <row r="82">
          <cell r="B82" t="str">
            <v>% +/-</v>
          </cell>
          <cell r="H82">
            <v>0.36363636363636354</v>
          </cell>
          <cell r="I82">
            <v>0.875</v>
          </cell>
          <cell r="J82">
            <v>1.0833333333333335</v>
          </cell>
          <cell r="K82">
            <v>1.3076923076923075</v>
          </cell>
          <cell r="L82">
            <v>0.7751479289940828</v>
          </cell>
          <cell r="M82">
            <v>0.55632411067193677</v>
          </cell>
          <cell r="N82">
            <v>0.63414031620553368</v>
          </cell>
        </row>
        <row r="84">
          <cell r="A84" t="str">
            <v>LCZ696</v>
          </cell>
          <cell r="B84" t="str">
            <v>new</v>
          </cell>
          <cell r="C84">
            <v>104</v>
          </cell>
          <cell r="D84">
            <v>0</v>
          </cell>
          <cell r="E84">
            <v>363</v>
          </cell>
          <cell r="H84">
            <v>30</v>
          </cell>
          <cell r="I84">
            <v>90</v>
          </cell>
          <cell r="J84">
            <v>180</v>
          </cell>
          <cell r="K84">
            <v>270</v>
          </cell>
          <cell r="L84">
            <v>300</v>
          </cell>
          <cell r="M84">
            <v>315</v>
          </cell>
          <cell r="N84">
            <v>330.75</v>
          </cell>
          <cell r="O84">
            <v>0.49380158218572157</v>
          </cell>
          <cell r="P84">
            <v>0.29733301013820523</v>
          </cell>
        </row>
        <row r="85">
          <cell r="B85" t="str">
            <v>old</v>
          </cell>
          <cell r="C85">
            <v>1232</v>
          </cell>
          <cell r="D85">
            <v>1533</v>
          </cell>
          <cell r="E85">
            <v>2050</v>
          </cell>
          <cell r="H85">
            <v>30</v>
          </cell>
          <cell r="I85">
            <v>90</v>
          </cell>
          <cell r="J85">
            <v>180</v>
          </cell>
          <cell r="K85">
            <v>270</v>
          </cell>
          <cell r="L85">
            <v>300</v>
          </cell>
          <cell r="M85">
            <v>315</v>
          </cell>
          <cell r="N85">
            <v>330.75</v>
          </cell>
          <cell r="O85">
            <v>0.49380158218572157</v>
          </cell>
          <cell r="P85">
            <v>0.29733301013820523</v>
          </cell>
        </row>
        <row r="86">
          <cell r="B86" t="str">
            <v>% +/-</v>
          </cell>
          <cell r="C86">
            <v>-0.91558441558441561</v>
          </cell>
          <cell r="D86">
            <v>-1</v>
          </cell>
          <cell r="E86">
            <v>-0.82292682926829264</v>
          </cell>
          <cell r="H86">
            <v>0</v>
          </cell>
          <cell r="I86">
            <v>0</v>
          </cell>
          <cell r="J86">
            <v>0</v>
          </cell>
          <cell r="K86">
            <v>0</v>
          </cell>
          <cell r="L86">
            <v>0</v>
          </cell>
          <cell r="M86">
            <v>0</v>
          </cell>
          <cell r="N86">
            <v>0</v>
          </cell>
        </row>
        <row r="88">
          <cell r="A88" t="str">
            <v>Consensus - LCZ696</v>
          </cell>
          <cell r="H88">
            <v>33.28125</v>
          </cell>
          <cell r="I88">
            <v>53.760000000000005</v>
          </cell>
          <cell r="J88">
            <v>141.48750000000001</v>
          </cell>
          <cell r="K88">
            <v>247.53600000000003</v>
          </cell>
          <cell r="L88">
            <v>480</v>
          </cell>
        </row>
        <row r="89">
          <cell r="B89" t="str">
            <v>% +/-</v>
          </cell>
          <cell r="H89">
            <v>-9.8591549295774628E-2</v>
          </cell>
          <cell r="I89">
            <v>0.67410714285714279</v>
          </cell>
          <cell r="J89">
            <v>0.27219719056453751</v>
          </cell>
          <cell r="K89">
            <v>9.075043630017432E-2</v>
          </cell>
          <cell r="L89">
            <v>-0.375</v>
          </cell>
        </row>
        <row r="91">
          <cell r="A91" t="str">
            <v>AIN457</v>
          </cell>
          <cell r="B91" t="str">
            <v>new</v>
          </cell>
          <cell r="C91">
            <v>388</v>
          </cell>
          <cell r="D91">
            <v>453</v>
          </cell>
          <cell r="E91">
            <v>468</v>
          </cell>
          <cell r="H91">
            <v>105</v>
          </cell>
          <cell r="I91">
            <v>315</v>
          </cell>
          <cell r="J91">
            <v>630</v>
          </cell>
          <cell r="K91">
            <v>945</v>
          </cell>
          <cell r="L91">
            <v>1050</v>
          </cell>
          <cell r="M91">
            <v>1102.5</v>
          </cell>
          <cell r="N91">
            <v>1157.625</v>
          </cell>
          <cell r="O91">
            <v>0.49380158218572157</v>
          </cell>
          <cell r="P91">
            <v>0.29733301013820523</v>
          </cell>
        </row>
        <row r="92">
          <cell r="B92" t="str">
            <v>old</v>
          </cell>
          <cell r="C92">
            <v>1232</v>
          </cell>
          <cell r="D92">
            <v>1533</v>
          </cell>
          <cell r="E92">
            <v>2050</v>
          </cell>
          <cell r="H92">
            <v>105</v>
          </cell>
          <cell r="I92">
            <v>315</v>
          </cell>
          <cell r="J92">
            <v>630</v>
          </cell>
          <cell r="K92">
            <v>945</v>
          </cell>
          <cell r="L92">
            <v>1050</v>
          </cell>
          <cell r="M92">
            <v>1102.5</v>
          </cell>
          <cell r="N92">
            <v>1157.625</v>
          </cell>
          <cell r="O92">
            <v>0.49380158218572157</v>
          </cell>
          <cell r="P92">
            <v>0.29733301013820523</v>
          </cell>
        </row>
        <row r="93">
          <cell r="B93" t="str">
            <v>% +/-</v>
          </cell>
          <cell r="C93">
            <v>-0.68506493506493504</v>
          </cell>
          <cell r="D93">
            <v>-0.70450097847358117</v>
          </cell>
          <cell r="E93">
            <v>-0.77170731707317075</v>
          </cell>
          <cell r="H93">
            <v>0</v>
          </cell>
          <cell r="I93">
            <v>0</v>
          </cell>
          <cell r="J93">
            <v>0</v>
          </cell>
          <cell r="K93">
            <v>0</v>
          </cell>
          <cell r="L93">
            <v>0</v>
          </cell>
          <cell r="M93">
            <v>0</v>
          </cell>
          <cell r="N93">
            <v>0</v>
          </cell>
        </row>
        <row r="95">
          <cell r="A95" t="str">
            <v>Consensus - AIN457</v>
          </cell>
          <cell r="H95">
            <v>31.28125</v>
          </cell>
          <cell r="I95">
            <v>113</v>
          </cell>
          <cell r="J95">
            <v>238.43000000000004</v>
          </cell>
          <cell r="K95">
            <v>407.71530000000007</v>
          </cell>
        </row>
        <row r="96">
          <cell r="B96" t="str">
            <v>% +/-</v>
          </cell>
          <cell r="H96">
            <v>2.3566433566433567</v>
          </cell>
          <cell r="I96">
            <v>1.7876106194690267</v>
          </cell>
          <cell r="J96">
            <v>1.642284947364006</v>
          </cell>
          <cell r="K96">
            <v>1.317793813477198</v>
          </cell>
        </row>
        <row r="98">
          <cell r="A98" t="str">
            <v>Ultibro</v>
          </cell>
          <cell r="B98" t="str">
            <v>new</v>
          </cell>
          <cell r="C98">
            <v>357</v>
          </cell>
          <cell r="D98">
            <v>330</v>
          </cell>
          <cell r="E98">
            <v>312</v>
          </cell>
          <cell r="G98">
            <v>6</v>
          </cell>
          <cell r="H98">
            <v>115</v>
          </cell>
          <cell r="I98">
            <v>270.5</v>
          </cell>
          <cell r="J98">
            <v>488.92500000000001</v>
          </cell>
          <cell r="K98">
            <v>721.71</v>
          </cell>
          <cell r="L98">
            <v>971.7165</v>
          </cell>
          <cell r="M98">
            <v>1111.4273249999999</v>
          </cell>
          <cell r="N98">
            <v>1173.3193862904732</v>
          </cell>
          <cell r="O98">
            <v>0.53152504282929502</v>
          </cell>
          <cell r="P98">
            <v>0.34106489883219293</v>
          </cell>
        </row>
        <row r="99">
          <cell r="B99" t="str">
            <v>old</v>
          </cell>
          <cell r="C99">
            <v>1232</v>
          </cell>
          <cell r="D99">
            <v>1533</v>
          </cell>
          <cell r="E99">
            <v>2050</v>
          </cell>
          <cell r="G99">
            <v>100</v>
          </cell>
          <cell r="H99">
            <v>300</v>
          </cell>
          <cell r="I99">
            <v>600</v>
          </cell>
          <cell r="J99">
            <v>900</v>
          </cell>
          <cell r="K99">
            <v>1000</v>
          </cell>
          <cell r="L99">
            <v>1050</v>
          </cell>
          <cell r="M99">
            <v>1102.5</v>
          </cell>
          <cell r="N99">
            <v>1135.575</v>
          </cell>
          <cell r="O99">
            <v>0.20507113208761507</v>
          </cell>
          <cell r="P99">
            <v>0.13609046392968316</v>
          </cell>
        </row>
        <row r="100">
          <cell r="B100" t="str">
            <v>% +/-</v>
          </cell>
          <cell r="C100">
            <v>-0.71022727272727271</v>
          </cell>
          <cell r="D100">
            <v>-0.78473581213307242</v>
          </cell>
          <cell r="E100">
            <v>-0.84780487804878046</v>
          </cell>
          <cell r="H100">
            <v>-0.6166666666666667</v>
          </cell>
          <cell r="I100">
            <v>-0.54916666666666669</v>
          </cell>
          <cell r="J100">
            <v>-0.45674999999999999</v>
          </cell>
          <cell r="K100">
            <v>-0.27828999999999998</v>
          </cell>
          <cell r="L100">
            <v>-7.4555714285714295E-2</v>
          </cell>
          <cell r="M100">
            <v>8.097346938775403E-3</v>
          </cell>
          <cell r="N100">
            <v>3.3238127195890303E-2</v>
          </cell>
        </row>
        <row r="102">
          <cell r="A102" t="str">
            <v>Consensus - Ultibro</v>
          </cell>
          <cell r="G102">
            <v>15</v>
          </cell>
          <cell r="H102">
            <v>87.5</v>
          </cell>
          <cell r="I102">
            <v>238.35419873432454</v>
          </cell>
          <cell r="J102">
            <v>515.60235295663858</v>
          </cell>
          <cell r="K102">
            <v>834.50442521908406</v>
          </cell>
        </row>
        <row r="103">
          <cell r="B103" t="str">
            <v>% +/-</v>
          </cell>
          <cell r="G103">
            <v>-0.6</v>
          </cell>
          <cell r="H103">
            <v>0.31428571428571428</v>
          </cell>
          <cell r="I103">
            <v>0.13486568072377847</v>
          </cell>
          <cell r="J103">
            <v>-5.1740169151016424E-2</v>
          </cell>
          <cell r="K103">
            <v>-0.13516336380058369</v>
          </cell>
        </row>
        <row r="106">
          <cell r="A106" t="str">
            <v>Pharma</v>
          </cell>
          <cell r="B106" t="str">
            <v>new</v>
          </cell>
          <cell r="C106">
            <v>28538</v>
          </cell>
          <cell r="D106">
            <v>30306</v>
          </cell>
          <cell r="E106">
            <v>32508</v>
          </cell>
          <cell r="F106">
            <v>32153</v>
          </cell>
          <cell r="G106">
            <v>32214</v>
          </cell>
          <cell r="H106">
            <v>32310.763338719593</v>
          </cell>
          <cell r="I106">
            <v>31796.384602214392</v>
          </cell>
          <cell r="J106">
            <v>32055.757729844558</v>
          </cell>
          <cell r="K106">
            <v>32585.779631411369</v>
          </cell>
          <cell r="L106">
            <v>33334.766939508059</v>
          </cell>
          <cell r="M106">
            <v>31920.090512483563</v>
          </cell>
          <cell r="N106">
            <v>31035.199427676525</v>
          </cell>
          <cell r="O106">
            <v>1.587411373012082E-2</v>
          </cell>
          <cell r="P106">
            <v>-4.8343897045158846E-3</v>
          </cell>
        </row>
        <row r="107">
          <cell r="B107" t="str">
            <v>old</v>
          </cell>
          <cell r="C107">
            <v>28538</v>
          </cell>
          <cell r="D107">
            <v>30306</v>
          </cell>
          <cell r="E107">
            <v>32508</v>
          </cell>
          <cell r="F107">
            <v>32153</v>
          </cell>
          <cell r="G107">
            <v>31951.435497726015</v>
          </cell>
          <cell r="H107">
            <v>30852.310099962589</v>
          </cell>
          <cell r="I107">
            <v>31425.391547885509</v>
          </cell>
          <cell r="J107">
            <v>33059.50782164438</v>
          </cell>
          <cell r="K107">
            <v>35298.630566143496</v>
          </cell>
          <cell r="L107">
            <v>36837.258750793007</v>
          </cell>
          <cell r="M107">
            <v>37243.673825185993</v>
          </cell>
          <cell r="N107">
            <v>36028.673342046619</v>
          </cell>
          <cell r="O107">
            <v>5.4392243361741199E-2</v>
          </cell>
          <cell r="P107">
            <v>2.7716938846289674E-2</v>
          </cell>
        </row>
        <row r="108">
          <cell r="B108" t="str">
            <v>% +/-</v>
          </cell>
          <cell r="C108">
            <v>0</v>
          </cell>
          <cell r="D108">
            <v>0</v>
          </cell>
          <cell r="E108">
            <v>0</v>
          </cell>
          <cell r="F108">
            <v>0</v>
          </cell>
          <cell r="G108">
            <v>8.2176120785769167E-3</v>
          </cell>
          <cell r="H108">
            <v>4.7272091912455266E-2</v>
          </cell>
          <cell r="I108">
            <v>1.1805518914969431E-2</v>
          </cell>
          <cell r="J108">
            <v>-3.0361918792470872E-2</v>
          </cell>
          <cell r="K108">
            <v>-7.6854282764559828E-2</v>
          </cell>
          <cell r="L108">
            <v>-9.5080142498647491E-2</v>
          </cell>
          <cell r="M108">
            <v>-0.14293926366368195</v>
          </cell>
          <cell r="N108">
            <v>-0.13859721858097254</v>
          </cell>
        </row>
        <row r="110">
          <cell r="A110" t="str">
            <v>Alcon</v>
          </cell>
          <cell r="B110" t="str">
            <v>new</v>
          </cell>
          <cell r="C110">
            <v>6408.3289999999997</v>
          </cell>
          <cell r="D110">
            <v>4446</v>
          </cell>
          <cell r="E110">
            <v>9958</v>
          </cell>
          <cell r="F110">
            <v>10225</v>
          </cell>
          <cell r="G110">
            <v>10496</v>
          </cell>
          <cell r="H110">
            <v>11068.051590844136</v>
          </cell>
          <cell r="I110">
            <v>11886.719211146119</v>
          </cell>
          <cell r="J110">
            <v>12632.410011877022</v>
          </cell>
          <cell r="K110">
            <v>13351.970280512807</v>
          </cell>
          <cell r="L110">
            <v>14019.455862601517</v>
          </cell>
          <cell r="M110">
            <v>14723.299258643259</v>
          </cell>
          <cell r="N110">
            <v>15465.601506121031</v>
          </cell>
          <cell r="O110">
            <v>5.6549181539056637E-2</v>
          </cell>
          <cell r="P110">
            <v>5.4049392703043653E-2</v>
          </cell>
        </row>
        <row r="111">
          <cell r="B111" t="str">
            <v>old</v>
          </cell>
          <cell r="C111">
            <v>6408.3289999999997</v>
          </cell>
          <cell r="D111">
            <v>4446</v>
          </cell>
          <cell r="E111">
            <v>9958</v>
          </cell>
          <cell r="F111">
            <v>10225</v>
          </cell>
          <cell r="G111">
            <v>10517.901527936694</v>
          </cell>
          <cell r="H111">
            <v>11090.617576171078</v>
          </cell>
          <cell r="I111">
            <v>11976.184586765994</v>
          </cell>
          <cell r="J111">
            <v>12921.417806684796</v>
          </cell>
          <cell r="K111">
            <v>13951.932176899409</v>
          </cell>
          <cell r="L111">
            <v>15017.381459242735</v>
          </cell>
          <cell r="M111">
            <v>16121.943877972713</v>
          </cell>
          <cell r="N111">
            <v>17295.441790782017</v>
          </cell>
          <cell r="O111">
            <v>7.8347106000132394E-2</v>
          </cell>
          <cell r="P111">
            <v>7.6273471682242855E-2</v>
          </cell>
        </row>
        <row r="112">
          <cell r="B112" t="str">
            <v>% +/-</v>
          </cell>
          <cell r="C112">
            <v>0</v>
          </cell>
          <cell r="D112">
            <v>0</v>
          </cell>
          <cell r="E112">
            <v>0</v>
          </cell>
          <cell r="F112">
            <v>0</v>
          </cell>
          <cell r="G112">
            <v>-2.0823096583021993E-3</v>
          </cell>
          <cell r="H112">
            <v>-2.0346915013485915E-3</v>
          </cell>
          <cell r="I112">
            <v>-7.4702736060645409E-3</v>
          </cell>
          <cell r="J112">
            <v>-2.2366569917602868E-2</v>
          </cell>
          <cell r="K112">
            <v>-4.3002065146214984E-2</v>
          </cell>
          <cell r="L112">
            <v>-6.6451371655544239E-2</v>
          </cell>
          <cell r="M112">
            <v>-8.6754093049561568E-2</v>
          </cell>
          <cell r="N112">
            <v>-0.10579899067026084</v>
          </cell>
        </row>
        <row r="114">
          <cell r="A114" t="str">
            <v>Vaccines</v>
          </cell>
          <cell r="B114" t="str">
            <v>new</v>
          </cell>
          <cell r="C114">
            <v>2424</v>
          </cell>
          <cell r="D114">
            <v>2918</v>
          </cell>
          <cell r="E114">
            <v>1996</v>
          </cell>
          <cell r="F114">
            <v>1858</v>
          </cell>
          <cell r="G114">
            <v>1987</v>
          </cell>
          <cell r="H114">
            <v>1583.82181285669</v>
          </cell>
          <cell r="I114">
            <v>1721.5129034995243</v>
          </cell>
          <cell r="J114">
            <v>1891.7385486745009</v>
          </cell>
          <cell r="K114">
            <v>1990.1259711082259</v>
          </cell>
          <cell r="L114">
            <v>2078.1379795136372</v>
          </cell>
          <cell r="M114">
            <v>2170.2057596348191</v>
          </cell>
          <cell r="N114">
            <v>2260.524155196425</v>
          </cell>
          <cell r="O114">
            <v>6.4767285254122786E-2</v>
          </cell>
          <cell r="P114">
            <v>5.5989923228227712E-2</v>
          </cell>
        </row>
        <row r="115">
          <cell r="B115" t="str">
            <v>old</v>
          </cell>
          <cell r="C115">
            <v>2424</v>
          </cell>
          <cell r="D115">
            <v>2918</v>
          </cell>
          <cell r="E115">
            <v>1996</v>
          </cell>
          <cell r="F115">
            <v>1858</v>
          </cell>
          <cell r="G115">
            <v>1990.2407809027607</v>
          </cell>
          <cell r="H115">
            <v>2117.9791311536092</v>
          </cell>
          <cell r="I115">
            <v>2283.7280877112898</v>
          </cell>
          <cell r="J115">
            <v>2469.6144920968541</v>
          </cell>
          <cell r="K115">
            <v>2615.9353594016966</v>
          </cell>
          <cell r="L115">
            <v>2773.9834743527817</v>
          </cell>
          <cell r="M115">
            <v>2939.9790354608508</v>
          </cell>
          <cell r="N115">
            <v>3079.5222662460365</v>
          </cell>
          <cell r="O115">
            <v>6.6972334396263822E-2</v>
          </cell>
          <cell r="P115">
            <v>6.1616820680320705E-2</v>
          </cell>
        </row>
        <row r="116">
          <cell r="B116" t="str">
            <v>% +/-</v>
          </cell>
          <cell r="C116">
            <v>0</v>
          </cell>
          <cell r="D116">
            <v>0</v>
          </cell>
          <cell r="E116">
            <v>0</v>
          </cell>
          <cell r="F116">
            <v>0</v>
          </cell>
          <cell r="G116">
            <v>-1.6283360957414731E-3</v>
          </cell>
          <cell r="H116">
            <v>-0.25220140767202803</v>
          </cell>
          <cell r="I116">
            <v>-0.24618306673068385</v>
          </cell>
          <cell r="J116">
            <v>-0.23399439275710643</v>
          </cell>
          <cell r="K116">
            <v>-0.23922968357926191</v>
          </cell>
          <cell r="L116">
            <v>-0.25084702243999391</v>
          </cell>
          <cell r="M116">
            <v>-0.26182951189152526</v>
          </cell>
          <cell r="N116">
            <v>-0.26594972864020788</v>
          </cell>
        </row>
        <row r="118">
          <cell r="A118" t="str">
            <v>Sandoz</v>
          </cell>
          <cell r="B118" t="str">
            <v>new</v>
          </cell>
          <cell r="C118">
            <v>7493</v>
          </cell>
          <cell r="D118">
            <v>8592</v>
          </cell>
          <cell r="E118">
            <v>9473</v>
          </cell>
          <cell r="F118">
            <v>8702</v>
          </cell>
          <cell r="G118">
            <v>9159</v>
          </cell>
          <cell r="H118">
            <v>9621.9143831047877</v>
          </cell>
          <cell r="I118">
            <v>10103.010102260027</v>
          </cell>
          <cell r="J118">
            <v>10608.160607373029</v>
          </cell>
          <cell r="K118">
            <v>11138.568637741681</v>
          </cell>
          <cell r="L118">
            <v>11728.242808003764</v>
          </cell>
          <cell r="M118">
            <v>12349.365431081453</v>
          </cell>
          <cell r="N118">
            <v>13003.626814273677</v>
          </cell>
          <cell r="O118">
            <v>5.0979037365319391E-2</v>
          </cell>
          <cell r="P118">
            <v>5.1774753743175639E-2</v>
          </cell>
        </row>
        <row r="119">
          <cell r="B119" t="str">
            <v>old</v>
          </cell>
          <cell r="C119">
            <v>7493</v>
          </cell>
          <cell r="D119">
            <v>8592</v>
          </cell>
          <cell r="E119">
            <v>9473</v>
          </cell>
          <cell r="F119">
            <v>8702</v>
          </cell>
          <cell r="G119">
            <v>8788.5922526621725</v>
          </cell>
          <cell r="H119">
            <v>9189.1923510757551</v>
          </cell>
          <cell r="I119">
            <v>9648.6519686295414</v>
          </cell>
          <cell r="J119">
            <v>10131.08456706102</v>
          </cell>
          <cell r="K119">
            <v>10637.63879541407</v>
          </cell>
          <cell r="L119">
            <v>11202.104806598025</v>
          </cell>
          <cell r="M119">
            <v>11796.749162625971</v>
          </cell>
          <cell r="N119">
            <v>12423.198083397197</v>
          </cell>
          <cell r="O119">
            <v>5.1020039572193587E-2</v>
          </cell>
          <cell r="P119">
            <v>5.1848891726029578E-2</v>
          </cell>
        </row>
        <row r="120">
          <cell r="B120" t="str">
            <v>% +/-</v>
          </cell>
          <cell r="C120">
            <v>0</v>
          </cell>
          <cell r="D120">
            <v>0</v>
          </cell>
          <cell r="E120">
            <v>0</v>
          </cell>
          <cell r="F120">
            <v>0</v>
          </cell>
          <cell r="G120">
            <v>4.2146425353346707E-2</v>
          </cell>
          <cell r="H120">
            <v>4.7090322576431309E-2</v>
          </cell>
          <cell r="I120">
            <v>4.7090322576431413E-2</v>
          </cell>
          <cell r="J120">
            <v>4.7090322576431407E-2</v>
          </cell>
          <cell r="K120">
            <v>4.7090322576431469E-2</v>
          </cell>
          <cell r="L120">
            <v>4.6967780652779192E-2</v>
          </cell>
          <cell r="M120">
            <v>4.6844792649000343E-2</v>
          </cell>
          <cell r="N120">
            <v>4.6721361679983614E-2</v>
          </cell>
        </row>
        <row r="122">
          <cell r="A122" t="str">
            <v>Consumer Health</v>
          </cell>
          <cell r="B122" t="str">
            <v>new</v>
          </cell>
          <cell r="C122">
            <v>5812</v>
          </cell>
          <cell r="D122">
            <v>4362</v>
          </cell>
          <cell r="E122">
            <v>4631</v>
          </cell>
          <cell r="F122">
            <v>3735</v>
          </cell>
          <cell r="G122">
            <v>4064</v>
          </cell>
          <cell r="H122">
            <v>4481.4202893191186</v>
          </cell>
          <cell r="I122">
            <v>4815.6013037850753</v>
          </cell>
          <cell r="J122">
            <v>5056.3813689743292</v>
          </cell>
          <cell r="K122">
            <v>5309.2004374230455</v>
          </cell>
          <cell r="L122">
            <v>5560.6998876691978</v>
          </cell>
          <cell r="M122">
            <v>5824.2158875626574</v>
          </cell>
          <cell r="N122">
            <v>6100.3269276711908</v>
          </cell>
          <cell r="O122">
            <v>4.912276548305039E-2</v>
          </cell>
          <cell r="P122">
            <v>4.843260224254009E-2</v>
          </cell>
        </row>
        <row r="123">
          <cell r="B123" t="str">
            <v>old</v>
          </cell>
          <cell r="C123">
            <v>5812</v>
          </cell>
          <cell r="D123">
            <v>4362</v>
          </cell>
          <cell r="E123">
            <v>4631</v>
          </cell>
          <cell r="F123">
            <v>3735</v>
          </cell>
          <cell r="G123">
            <v>4079.8940328883791</v>
          </cell>
          <cell r="H123">
            <v>4479.1074845750973</v>
          </cell>
          <cell r="I123">
            <v>4822.1168588038518</v>
          </cell>
          <cell r="J123">
            <v>5063.2227017440446</v>
          </cell>
          <cell r="K123">
            <v>5316.3838368312463</v>
          </cell>
          <cell r="L123">
            <v>5567.1084696478092</v>
          </cell>
          <cell r="M123">
            <v>5829.7655517442008</v>
          </cell>
          <cell r="N123">
            <v>6104.9275542899704</v>
          </cell>
          <cell r="O123">
            <v>4.9052727979025601E-2</v>
          </cell>
          <cell r="P123">
            <v>4.8307171343460631E-2</v>
          </cell>
        </row>
        <row r="124">
          <cell r="B124" t="str">
            <v>% +/-</v>
          </cell>
          <cell r="C124">
            <v>0</v>
          </cell>
          <cell r="D124">
            <v>0</v>
          </cell>
          <cell r="E124">
            <v>0</v>
          </cell>
          <cell r="F124">
            <v>0</v>
          </cell>
          <cell r="G124">
            <v>-3.895697476516777E-3</v>
          </cell>
          <cell r="H124">
            <v>5.1635392809529278E-4</v>
          </cell>
          <cell r="I124">
            <v>-1.3511814851356963E-3</v>
          </cell>
          <cell r="J124">
            <v>-1.3511814851357054E-3</v>
          </cell>
          <cell r="K124">
            <v>-1.3511814851356455E-3</v>
          </cell>
          <cell r="L124">
            <v>-1.151150909588234E-3</v>
          </cell>
          <cell r="M124">
            <v>-9.5195323590380936E-4</v>
          </cell>
          <cell r="N124">
            <v>-7.5359233633276348E-4</v>
          </cell>
        </row>
        <row r="127">
          <cell r="A127" t="str">
            <v>$ millions (except per share data)</v>
          </cell>
          <cell r="C127">
            <v>2009</v>
          </cell>
          <cell r="D127">
            <v>2010</v>
          </cell>
          <cell r="E127">
            <v>2011</v>
          </cell>
          <cell r="F127" t="str">
            <v>2012</v>
          </cell>
          <cell r="G127">
            <v>2013</v>
          </cell>
          <cell r="H127" t="str">
            <v>2014e</v>
          </cell>
          <cell r="I127" t="str">
            <v>2015e</v>
          </cell>
          <cell r="J127" t="str">
            <v>2016e</v>
          </cell>
          <cell r="K127" t="str">
            <v>2017e</v>
          </cell>
          <cell r="L127" t="str">
            <v>2018e</v>
          </cell>
          <cell r="M127" t="str">
            <v>2019e</v>
          </cell>
          <cell r="N127" t="str">
            <v>2020e</v>
          </cell>
          <cell r="O127" t="str">
            <v>CAGR (15-18e)</v>
          </cell>
          <cell r="P127" t="str">
            <v>CAGR (15-20e)</v>
          </cell>
        </row>
        <row r="129">
          <cell r="A129" t="str">
            <v>Total Sales</v>
          </cell>
          <cell r="B129" t="str">
            <v>new</v>
          </cell>
          <cell r="C129">
            <v>44267</v>
          </cell>
          <cell r="D129">
            <v>50624</v>
          </cell>
          <cell r="E129">
            <v>58566</v>
          </cell>
          <cell r="F129">
            <v>56673</v>
          </cell>
          <cell r="G129">
            <v>57920</v>
          </cell>
          <cell r="H129">
            <v>59065.971414844331</v>
          </cell>
          <cell r="I129">
            <v>60323.228122905137</v>
          </cell>
          <cell r="J129">
            <v>62244.448266743442</v>
          </cell>
          <cell r="K129">
            <v>64375.644958197125</v>
          </cell>
          <cell r="L129">
            <v>66721.303477296169</v>
          </cell>
          <cell r="M129">
            <v>66987.176849405747</v>
          </cell>
          <cell r="N129">
            <v>67865.278830938856</v>
          </cell>
          <cell r="O129">
            <v>3.4173287840038036E-2</v>
          </cell>
          <cell r="P129">
            <v>2.3841225621999751E-2</v>
          </cell>
        </row>
        <row r="130">
          <cell r="B130" t="str">
            <v>old</v>
          </cell>
          <cell r="C130">
            <v>44267</v>
          </cell>
          <cell r="D130">
            <v>50624</v>
          </cell>
          <cell r="E130">
            <v>58566</v>
          </cell>
          <cell r="F130">
            <v>56673</v>
          </cell>
          <cell r="G130">
            <v>57328.064092116016</v>
          </cell>
          <cell r="H130">
            <v>57729.20664293813</v>
          </cell>
          <cell r="I130">
            <v>60156.073049796185</v>
          </cell>
          <cell r="J130">
            <v>63644.847389231094</v>
          </cell>
          <cell r="K130">
            <v>67820.520734689911</v>
          </cell>
          <cell r="L130">
            <v>71397.836960634348</v>
          </cell>
          <cell r="M130">
            <v>73932.111452989731</v>
          </cell>
          <cell r="N130">
            <v>74931.76303676184</v>
          </cell>
          <cell r="O130">
            <v>5.8770564956454274E-2</v>
          </cell>
          <cell r="P130">
            <v>4.4906172351023788E-2</v>
          </cell>
        </row>
        <row r="131">
          <cell r="B131" t="str">
            <v>% +/-</v>
          </cell>
          <cell r="C131">
            <v>0</v>
          </cell>
          <cell r="D131">
            <v>0</v>
          </cell>
          <cell r="E131">
            <v>0</v>
          </cell>
          <cell r="F131">
            <v>0</v>
          </cell>
          <cell r="G131">
            <v>1.0325412470458595E-2</v>
          </cell>
          <cell r="H131">
            <v>2.3155779364408151E-2</v>
          </cell>
          <cell r="I131">
            <v>2.7786899083419849E-3</v>
          </cell>
          <cell r="J131">
            <v>-2.2003338525163996E-2</v>
          </cell>
          <cell r="K131">
            <v>-5.079400363156969E-2</v>
          </cell>
          <cell r="L131">
            <v>-6.5499652124147892E-2</v>
          </cell>
          <cell r="M131">
            <v>-9.3936646297461304E-2</v>
          </cell>
          <cell r="N131">
            <v>-9.4305591106352823E-2</v>
          </cell>
        </row>
        <row r="133">
          <cell r="A133" t="str">
            <v>COGS</v>
          </cell>
          <cell r="B133" t="str">
            <v>new</v>
          </cell>
          <cell r="C133">
            <v>-12179</v>
          </cell>
          <cell r="D133">
            <v>-14488</v>
          </cell>
          <cell r="E133">
            <v>-18983</v>
          </cell>
          <cell r="F133">
            <v>-18756</v>
          </cell>
          <cell r="G133">
            <v>-19608</v>
          </cell>
          <cell r="H133">
            <v>-19733.490991101215</v>
          </cell>
          <cell r="I133">
            <v>-20142.448570343011</v>
          </cell>
          <cell r="J133">
            <v>-20699.60776372195</v>
          </cell>
          <cell r="K133">
            <v>-21279.265649321434</v>
          </cell>
          <cell r="L133">
            <v>-21891.021123043782</v>
          </cell>
          <cell r="M133">
            <v>-22371.801328279162</v>
          </cell>
          <cell r="N133">
            <v>-22970.071976905088</v>
          </cell>
          <cell r="O133">
            <v>2.8137624109126902E-2</v>
          </cell>
          <cell r="P133">
            <v>2.6620704085906999E-2</v>
          </cell>
        </row>
        <row r="134">
          <cell r="B134" t="str">
            <v>old</v>
          </cell>
          <cell r="C134">
            <v>-12179</v>
          </cell>
          <cell r="D134">
            <v>-14488</v>
          </cell>
          <cell r="E134">
            <v>-18983</v>
          </cell>
          <cell r="F134">
            <v>-18756</v>
          </cell>
          <cell r="G134">
            <v>-19220.544223728732</v>
          </cell>
          <cell r="H134">
            <v>-19694.757216668528</v>
          </cell>
          <cell r="I134">
            <v>-20270.099761583559</v>
          </cell>
          <cell r="J134">
            <v>-21087.005116584707</v>
          </cell>
          <cell r="K134">
            <v>-21923.05029719634</v>
          </cell>
          <cell r="L134">
            <v>-22799.338379139517</v>
          </cell>
          <cell r="M134">
            <v>-23378.200227754311</v>
          </cell>
          <cell r="N134">
            <v>-23873.595051741107</v>
          </cell>
          <cell r="O134">
            <v>3.9973132131435829E-2</v>
          </cell>
          <cell r="P134">
            <v>3.3266590924613482E-2</v>
          </cell>
        </row>
        <row r="135">
          <cell r="B135" t="str">
            <v>% +/-</v>
          </cell>
          <cell r="C135">
            <v>0</v>
          </cell>
          <cell r="D135">
            <v>0</v>
          </cell>
          <cell r="E135">
            <v>0</v>
          </cell>
          <cell r="F135">
            <v>0</v>
          </cell>
          <cell r="G135">
            <v>2.0158418604658172E-2</v>
          </cell>
          <cell r="H135">
            <v>1.9667048446733244E-3</v>
          </cell>
          <cell r="I135">
            <v>-6.297511741036205E-3</v>
          </cell>
          <cell r="J135">
            <v>-1.8371378520607159E-2</v>
          </cell>
          <cell r="K135">
            <v>-2.936565118209105E-2</v>
          </cell>
          <cell r="L135">
            <v>-3.983963222927598E-2</v>
          </cell>
          <cell r="M135">
            <v>-4.3048604668907087E-2</v>
          </cell>
          <cell r="N135">
            <v>-3.7846125515567243E-2</v>
          </cell>
        </row>
        <row r="137">
          <cell r="A137" t="str">
            <v>Gross profit - reported</v>
          </cell>
          <cell r="B137" t="str">
            <v>new</v>
          </cell>
          <cell r="E137">
            <v>39583</v>
          </cell>
          <cell r="F137">
            <v>37917</v>
          </cell>
          <cell r="G137">
            <v>38312</v>
          </cell>
          <cell r="H137">
            <v>39332.480423743116</v>
          </cell>
          <cell r="I137">
            <v>40180.779552562126</v>
          </cell>
          <cell r="J137">
            <v>41544.840503021493</v>
          </cell>
          <cell r="K137">
            <v>43096.379308875694</v>
          </cell>
          <cell r="L137">
            <v>44830.282354252384</v>
          </cell>
          <cell r="M137">
            <v>44615.375521126582</v>
          </cell>
          <cell r="N137">
            <v>44895.206854033764</v>
          </cell>
          <cell r="O137">
            <v>3.7172608506844895E-2</v>
          </cell>
          <cell r="P137">
            <v>2.2436449937227154E-2</v>
          </cell>
        </row>
        <row r="138">
          <cell r="B138" t="str">
            <v>old</v>
          </cell>
          <cell r="E138">
            <v>39583</v>
          </cell>
          <cell r="F138">
            <v>37917</v>
          </cell>
          <cell r="G138">
            <v>38107.519868387288</v>
          </cell>
          <cell r="H138">
            <v>38034.449426269603</v>
          </cell>
          <cell r="I138">
            <v>39885.973288212626</v>
          </cell>
          <cell r="J138">
            <v>42557.84227264639</v>
          </cell>
          <cell r="K138">
            <v>45897.470437493568</v>
          </cell>
          <cell r="L138">
            <v>48598.49858149483</v>
          </cell>
          <cell r="M138">
            <v>50553.911225235424</v>
          </cell>
          <cell r="N138">
            <v>51058.167985020729</v>
          </cell>
          <cell r="O138">
            <v>6.8072875687273049E-2</v>
          </cell>
          <cell r="P138">
            <v>5.062808678017916E-2</v>
          </cell>
        </row>
        <row r="139">
          <cell r="B139" t="str">
            <v>% +/-</v>
          </cell>
          <cell r="E139">
            <v>0</v>
          </cell>
          <cell r="F139">
            <v>0</v>
          </cell>
          <cell r="G139">
            <v>5.36587351575042E-3</v>
          </cell>
          <cell r="H139">
            <v>3.4127771455973559E-2</v>
          </cell>
          <cell r="I139">
            <v>7.3912265401988499E-3</v>
          </cell>
          <cell r="J139">
            <v>-2.3802940081762421E-2</v>
          </cell>
          <cell r="K139">
            <v>-6.1029313857995704E-2</v>
          </cell>
          <cell r="L139">
            <v>-7.7537708720024023E-2</v>
          </cell>
          <cell r="M139">
            <v>-0.11746936211622838</v>
          </cell>
          <cell r="N139">
            <v>-0.12070470551930171</v>
          </cell>
        </row>
        <row r="141">
          <cell r="A141" t="str">
            <v>R&amp;D - reported</v>
          </cell>
          <cell r="B141" t="str">
            <v>new</v>
          </cell>
          <cell r="C141">
            <v>-7469</v>
          </cell>
          <cell r="D141">
            <v>-9070</v>
          </cell>
          <cell r="E141">
            <v>-9583</v>
          </cell>
          <cell r="F141">
            <v>-9332</v>
          </cell>
          <cell r="G141">
            <v>-9852</v>
          </cell>
          <cell r="H141">
            <v>-9971.9469814160584</v>
          </cell>
          <cell r="I141">
            <v>-10201.175801283414</v>
          </cell>
          <cell r="J141">
            <v>-10613.565424617489</v>
          </cell>
          <cell r="K141">
            <v>-10966.233613181721</v>
          </cell>
          <cell r="L141">
            <v>-11314.607820126537</v>
          </cell>
          <cell r="M141">
            <v>-11502.758604549917</v>
          </cell>
          <cell r="N141">
            <v>-11687.580024495563</v>
          </cell>
          <cell r="O141">
            <v>3.5133644334945924E-2</v>
          </cell>
          <cell r="P141">
            <v>2.7578178540815568E-2</v>
          </cell>
        </row>
        <row r="142">
          <cell r="B142" t="str">
            <v>old</v>
          </cell>
          <cell r="C142">
            <v>-7469</v>
          </cell>
          <cell r="D142">
            <v>-9070</v>
          </cell>
          <cell r="E142">
            <v>-9583</v>
          </cell>
          <cell r="F142">
            <v>-9332</v>
          </cell>
          <cell r="G142">
            <v>-9603.551893108357</v>
          </cell>
          <cell r="H142">
            <v>-9763.6597060256172</v>
          </cell>
          <cell r="I142">
            <v>-9983.1591223407795</v>
          </cell>
          <cell r="J142">
            <v>-10526.09161385793</v>
          </cell>
          <cell r="K142">
            <v>-11023.563412176947</v>
          </cell>
          <cell r="L142">
            <v>-11554.950522515644</v>
          </cell>
          <cell r="M142">
            <v>-11845.36351430106</v>
          </cell>
          <cell r="N142">
            <v>-11666.14017693506</v>
          </cell>
          <cell r="O142">
            <v>4.9945360730497379E-2</v>
          </cell>
          <cell r="P142">
            <v>3.1648709882872605E-2</v>
          </cell>
        </row>
        <row r="143">
          <cell r="B143" t="str">
            <v>% +/-</v>
          </cell>
          <cell r="C143">
            <v>0</v>
          </cell>
          <cell r="D143">
            <v>0</v>
          </cell>
          <cell r="E143">
            <v>0</v>
          </cell>
          <cell r="F143">
            <v>0</v>
          </cell>
          <cell r="G143">
            <v>2.5870439360038529E-2</v>
          </cell>
          <cell r="H143">
            <v>2.1332910165017045E-2</v>
          </cell>
          <cell r="I143">
            <v>2.1838445753583846E-2</v>
          </cell>
          <cell r="J143">
            <v>8.3101890016230272E-3</v>
          </cell>
          <cell r="K143">
            <v>-5.200659428501858E-3</v>
          </cell>
          <cell r="L143">
            <v>-2.079997676500495E-2</v>
          </cell>
          <cell r="M143">
            <v>-2.8923123324793784E-2</v>
          </cell>
          <cell r="N143">
            <v>1.8377841544276504E-3</v>
          </cell>
        </row>
        <row r="145">
          <cell r="A145" t="str">
            <v>SG&amp;A - reported</v>
          </cell>
          <cell r="B145" t="str">
            <v>new</v>
          </cell>
          <cell r="C145">
            <v>-14331</v>
          </cell>
          <cell r="D145">
            <v>-15797</v>
          </cell>
          <cell r="E145">
            <v>-18049</v>
          </cell>
          <cell r="F145">
            <v>-17290</v>
          </cell>
          <cell r="G145">
            <v>-17609</v>
          </cell>
          <cell r="H145">
            <v>-17801.473230520205</v>
          </cell>
          <cell r="I145">
            <v>-18101.032344313171</v>
          </cell>
          <cell r="J145">
            <v>-18480.109321997435</v>
          </cell>
          <cell r="K145">
            <v>-18969.873671796038</v>
          </cell>
          <cell r="L145">
            <v>-19546.66490234754</v>
          </cell>
          <cell r="M145">
            <v>-19473.601966329134</v>
          </cell>
          <cell r="N145">
            <v>-19613.018309494095</v>
          </cell>
          <cell r="O145">
            <v>2.5942705026519297E-2</v>
          </cell>
          <cell r="P145">
            <v>1.6174325439389792E-2</v>
          </cell>
        </row>
        <row r="146">
          <cell r="B146" t="str">
            <v>old</v>
          </cell>
          <cell r="C146">
            <v>-14331</v>
          </cell>
          <cell r="D146">
            <v>-15797</v>
          </cell>
          <cell r="E146">
            <v>-18049</v>
          </cell>
          <cell r="F146">
            <v>-17290</v>
          </cell>
          <cell r="G146">
            <v>-17747.229630836584</v>
          </cell>
          <cell r="H146">
            <v>-18321.54387572733</v>
          </cell>
          <cell r="I146">
            <v>-18645.732074571071</v>
          </cell>
          <cell r="J146">
            <v>-19253.568286063033</v>
          </cell>
          <cell r="K146">
            <v>-19949.912046080965</v>
          </cell>
          <cell r="L146">
            <v>-20807.082081188171</v>
          </cell>
          <cell r="M146">
            <v>-21692.055473628952</v>
          </cell>
          <cell r="N146">
            <v>-22395.611082053802</v>
          </cell>
          <cell r="O146">
            <v>3.7235200629776921E-2</v>
          </cell>
          <cell r="P146">
            <v>3.7329420700227933E-2</v>
          </cell>
        </row>
        <row r="147">
          <cell r="B147" t="str">
            <v>% +/-</v>
          </cell>
          <cell r="C147">
            <v>0</v>
          </cell>
          <cell r="D147">
            <v>0</v>
          </cell>
          <cell r="E147">
            <v>0</v>
          </cell>
          <cell r="F147">
            <v>0</v>
          </cell>
          <cell r="G147">
            <v>-7.7888004895369112E-3</v>
          </cell>
          <cell r="H147">
            <v>-2.8385743512375192E-2</v>
          </cell>
          <cell r="I147">
            <v>-2.9213105073024093E-2</v>
          </cell>
          <cell r="J147">
            <v>-4.0172239897239038E-2</v>
          </cell>
          <cell r="K147">
            <v>-4.9124947118623946E-2</v>
          </cell>
          <cell r="L147">
            <v>-6.057635443175298E-2</v>
          </cell>
          <cell r="M147">
            <v>-0.10227032242273187</v>
          </cell>
          <cell r="N147">
            <v>-0.12424723586977594</v>
          </cell>
        </row>
        <row r="149">
          <cell r="A149" t="str">
            <v>EBIT - reported</v>
          </cell>
          <cell r="B149" t="str">
            <v>new</v>
          </cell>
          <cell r="C149">
            <v>9982</v>
          </cell>
          <cell r="D149">
            <v>11526</v>
          </cell>
          <cell r="E149">
            <v>10998</v>
          </cell>
          <cell r="F149">
            <v>11193</v>
          </cell>
          <cell r="G149">
            <v>10910</v>
          </cell>
          <cell r="H149">
            <v>12801.9336330232</v>
          </cell>
          <cell r="I149">
            <v>12244.641697490875</v>
          </cell>
          <cell r="J149">
            <v>12847.084884084819</v>
          </cell>
          <cell r="K149">
            <v>13585.427864067507</v>
          </cell>
          <cell r="L149">
            <v>14423.676202125942</v>
          </cell>
          <cell r="M149">
            <v>14137.06505019121</v>
          </cell>
          <cell r="N149">
            <v>14132.706710072154</v>
          </cell>
          <cell r="O149">
            <v>5.6111960379336079E-2</v>
          </cell>
          <cell r="P149">
            <v>2.9095911988142431E-2</v>
          </cell>
        </row>
        <row r="150">
          <cell r="B150" t="str">
            <v>old</v>
          </cell>
          <cell r="C150">
            <v>9982</v>
          </cell>
          <cell r="D150">
            <v>11526</v>
          </cell>
          <cell r="E150">
            <v>10998</v>
          </cell>
          <cell r="F150">
            <v>11194</v>
          </cell>
          <cell r="G150">
            <v>11091.456804202135</v>
          </cell>
          <cell r="H150">
            <v>10601.66285102666</v>
          </cell>
          <cell r="I150">
            <v>11942.609723457485</v>
          </cell>
          <cell r="J150">
            <v>13510.377105718875</v>
          </cell>
          <cell r="K150">
            <v>15713.514425844314</v>
          </cell>
          <cell r="L150">
            <v>17065.589701873643</v>
          </cell>
          <cell r="M150">
            <v>17863.519040661435</v>
          </cell>
          <cell r="N150">
            <v>17837.069399716689</v>
          </cell>
          <cell r="O150">
            <v>0.12635170281700869</v>
          </cell>
          <cell r="P150">
            <v>8.3539760517166162E-2</v>
          </cell>
        </row>
        <row r="151">
          <cell r="B151" t="str">
            <v>% +/-</v>
          </cell>
          <cell r="C151">
            <v>0</v>
          </cell>
          <cell r="D151">
            <v>0</v>
          </cell>
          <cell r="E151">
            <v>0</v>
          </cell>
          <cell r="F151">
            <v>-8.933357155619081E-5</v>
          </cell>
          <cell r="G151">
            <v>-1.6360051470730837E-2</v>
          </cell>
          <cell r="H151">
            <v>0.20754015788980373</v>
          </cell>
          <cell r="I151">
            <v>2.5290282528461456E-2</v>
          </cell>
          <cell r="J151">
            <v>-4.9095019068956074E-2</v>
          </cell>
          <cell r="K151">
            <v>-0.13543033748559155</v>
          </cell>
          <cell r="L151">
            <v>-0.15480938812548878</v>
          </cell>
          <cell r="M151">
            <v>-0.20860693696398608</v>
          </cell>
          <cell r="N151">
            <v>-0.20767776402234395</v>
          </cell>
        </row>
        <row r="153">
          <cell r="A153" t="str">
            <v>EBIT Margin</v>
          </cell>
          <cell r="B153" t="str">
            <v>new</v>
          </cell>
          <cell r="C153">
            <v>0.22549528994510584</v>
          </cell>
          <cell r="D153">
            <v>0.22767857142857142</v>
          </cell>
          <cell r="E153">
            <v>0.18778813646142814</v>
          </cell>
          <cell r="F153">
            <v>0.19750145571965486</v>
          </cell>
          <cell r="G153">
            <v>0.18836325966850828</v>
          </cell>
          <cell r="H153">
            <v>0.21673957655093853</v>
          </cell>
          <cell r="I153">
            <v>0.20298386009023117</v>
          </cell>
          <cell r="J153">
            <v>0.2063972810720355</v>
          </cell>
          <cell r="K153">
            <v>0.2110336583484223</v>
          </cell>
          <cell r="L153">
            <v>0.21617797390655005</v>
          </cell>
          <cell r="M153">
            <v>0.21104136216955108</v>
          </cell>
          <cell r="N153">
            <v>0.20824649885073848</v>
          </cell>
          <cell r="O153">
            <v>2.121372964981405E-2</v>
          </cell>
          <cell r="P153">
            <v>5.1323254374233684E-3</v>
          </cell>
        </row>
        <row r="154">
          <cell r="B154" t="str">
            <v>old</v>
          </cell>
          <cell r="C154">
            <v>0.22549528994510584</v>
          </cell>
          <cell r="D154">
            <v>0.22767857142857142</v>
          </cell>
          <cell r="E154">
            <v>0.18778813646142814</v>
          </cell>
          <cell r="F154">
            <v>0.19751910080638047</v>
          </cell>
          <cell r="G154">
            <v>0.19347342318031416</v>
          </cell>
          <cell r="H154">
            <v>0.18364470027449328</v>
          </cell>
          <cell r="I154">
            <v>0.1985270832684107</v>
          </cell>
          <cell r="J154">
            <v>0.21227762591830604</v>
          </cell>
          <cell r="K154">
            <v>0.23169262423263756</v>
          </cell>
          <cell r="L154">
            <v>0.23902110243595842</v>
          </cell>
          <cell r="M154">
            <v>0.24162057175954027</v>
          </cell>
          <cell r="N154">
            <v>0.23804417081399443</v>
          </cell>
          <cell r="O154">
            <v>6.3829823096124727E-2</v>
          </cell>
          <cell r="P154">
            <v>3.6973260555268173E-2</v>
          </cell>
        </row>
        <row r="155">
          <cell r="B155" t="str">
            <v>% +/-</v>
          </cell>
          <cell r="C155">
            <v>0</v>
          </cell>
          <cell r="D155">
            <v>0</v>
          </cell>
          <cell r="E155">
            <v>0</v>
          </cell>
          <cell r="F155">
            <v>-8.9333571556232512E-5</v>
          </cell>
          <cell r="G155">
            <v>-2.641274149082112E-2</v>
          </cell>
          <cell r="H155">
            <v>0.1802114421324352</v>
          </cell>
          <cell r="I155">
            <v>2.2449213217900648E-2</v>
          </cell>
          <cell r="J155">
            <v>-2.7701199412007538E-2</v>
          </cell>
          <cell r="K155">
            <v>-8.916540158599108E-2</v>
          </cell>
          <cell r="L155">
            <v>-9.5569505355824355E-2</v>
          </cell>
          <cell r="M155">
            <v>-0.12655879988737667</v>
          </cell>
          <cell r="N155">
            <v>-0.12517707054687585</v>
          </cell>
        </row>
        <row r="157">
          <cell r="A157" t="str">
            <v>Core EBIT</v>
          </cell>
          <cell r="B157" t="str">
            <v>new</v>
          </cell>
          <cell r="C157" t="str">
            <v>NA</v>
          </cell>
          <cell r="D157">
            <v>14006</v>
          </cell>
          <cell r="E157">
            <v>15909</v>
          </cell>
          <cell r="F157">
            <v>14841.9</v>
          </cell>
          <cell r="G157">
            <v>14485</v>
          </cell>
          <cell r="H157">
            <v>14745.133633023186</v>
          </cell>
          <cell r="I157">
            <v>15088.051697490882</v>
          </cell>
          <cell r="J157">
            <v>15690.715384084813</v>
          </cell>
          <cell r="K157">
            <v>16429.28988906751</v>
          </cell>
          <cell r="L157">
            <v>17267.781328375931</v>
          </cell>
          <cell r="M157">
            <v>16981.425432753706</v>
          </cell>
          <cell r="N157">
            <v>16977.335111762783</v>
          </cell>
          <cell r="O157">
            <v>4.6006682217963002E-2</v>
          </cell>
          <cell r="P157">
            <v>2.3875784133946532E-2</v>
          </cell>
        </row>
        <row r="158">
          <cell r="B158" t="str">
            <v>old</v>
          </cell>
          <cell r="C158" t="str">
            <v>NA</v>
          </cell>
          <cell r="D158">
            <v>14006</v>
          </cell>
          <cell r="E158">
            <v>15909</v>
          </cell>
          <cell r="F158">
            <v>14842.9</v>
          </cell>
          <cell r="G158">
            <v>14267.456804202138</v>
          </cell>
          <cell r="H158">
            <v>13678.962851026652</v>
          </cell>
          <cell r="I158">
            <v>15060.22472345749</v>
          </cell>
          <cell r="J158">
            <v>16628.322855718878</v>
          </cell>
          <cell r="K158">
            <v>18831.807463344328</v>
          </cell>
          <cell r="L158">
            <v>20184.247391248638</v>
          </cell>
          <cell r="M158">
            <v>20885.55961450519</v>
          </cell>
          <cell r="N158">
            <v>20732.512002252632</v>
          </cell>
          <cell r="O158">
            <v>0.10253834521630334</v>
          </cell>
          <cell r="P158">
            <v>6.6016911882624596E-2</v>
          </cell>
        </row>
        <row r="159">
          <cell r="B159" t="str">
            <v>% +/-</v>
          </cell>
          <cell r="D159">
            <v>0</v>
          </cell>
          <cell r="E159">
            <v>0</v>
          </cell>
          <cell r="F159">
            <v>-6.7372279002081805E-5</v>
          </cell>
          <cell r="G159">
            <v>1.5247510385578287E-2</v>
          </cell>
          <cell r="H159">
            <v>7.7942369871741732E-2</v>
          </cell>
          <cell r="I159">
            <v>1.8477130683216105E-3</v>
          </cell>
          <cell r="J159">
            <v>-5.6386171941062525E-2</v>
          </cell>
          <cell r="K159">
            <v>-0.1275776411241068</v>
          </cell>
          <cell r="L159">
            <v>-0.14449218771155226</v>
          </cell>
          <cell r="M159">
            <v>-0.18692983352191489</v>
          </cell>
          <cell r="N159">
            <v>-0.18112503154860546</v>
          </cell>
        </row>
        <row r="161">
          <cell r="A161" t="str">
            <v>Core EBIT margin</v>
          </cell>
          <cell r="B161" t="str">
            <v>new</v>
          </cell>
          <cell r="E161">
            <v>0.27164224976949081</v>
          </cell>
          <cell r="F161">
            <v>0.2618866126727013</v>
          </cell>
          <cell r="G161">
            <v>0.25008632596685082</v>
          </cell>
          <cell r="H161">
            <v>0.24963838365515262</v>
          </cell>
          <cell r="I161">
            <v>0.25012009746477487</v>
          </cell>
          <cell r="J161">
            <v>0.25208216669932632</v>
          </cell>
          <cell r="K161">
            <v>0.25520971323450053</v>
          </cell>
          <cell r="L161">
            <v>0.25880461604368665</v>
          </cell>
          <cell r="M161">
            <v>0.25350262888268521</v>
          </cell>
          <cell r="N161">
            <v>0.25016231280881507</v>
          </cell>
        </row>
        <row r="162">
          <cell r="B162" t="str">
            <v>old</v>
          </cell>
          <cell r="E162">
            <v>0.27164224976949081</v>
          </cell>
          <cell r="F162">
            <v>0.26190425775942688</v>
          </cell>
          <cell r="G162">
            <v>0.24887386361550373</v>
          </cell>
          <cell r="H162">
            <v>0.23695047353816295</v>
          </cell>
          <cell r="I162">
            <v>0.25035252402514518</v>
          </cell>
          <cell r="J162">
            <v>0.26126738515100034</v>
          </cell>
          <cell r="K162">
            <v>0.27767123076234268</v>
          </cell>
          <cell r="L162">
            <v>0.28270110483007144</v>
          </cell>
          <cell r="M162">
            <v>0.28249645795366501</v>
          </cell>
          <cell r="N162">
            <v>0.27668522882720875</v>
          </cell>
        </row>
        <row r="164">
          <cell r="A164" t="str">
            <v>Consensus</v>
          </cell>
          <cell r="G164">
            <v>14638.718839178422</v>
          </cell>
          <cell r="H164">
            <v>15586.051959024526</v>
          </cell>
          <cell r="I164">
            <v>16367.796573954958</v>
          </cell>
          <cell r="J164">
            <v>17035.484312015433</v>
          </cell>
          <cell r="K164">
            <v>18271.782937595468</v>
          </cell>
        </row>
        <row r="165">
          <cell r="A165" t="str">
            <v xml:space="preserve">   MS vs consensus</v>
          </cell>
          <cell r="B165" t="str">
            <v>% +/-</v>
          </cell>
          <cell r="E165" t="e">
            <v>#DIV/0!</v>
          </cell>
          <cell r="G165">
            <v>-1.0500839647730409E-2</v>
          </cell>
          <cell r="H165">
            <v>-5.3953260788049517E-2</v>
          </cell>
          <cell r="I165">
            <v>-7.8186753524323027E-2</v>
          </cell>
          <cell r="J165">
            <v>-7.8939283632936119E-2</v>
          </cell>
          <cell r="K165">
            <v>-0.10083816422407799</v>
          </cell>
        </row>
        <row r="167">
          <cell r="A167" t="str">
            <v>Core EPS</v>
          </cell>
          <cell r="B167" t="str">
            <v>new</v>
          </cell>
          <cell r="C167">
            <v>4.5097953087938158</v>
          </cell>
          <cell r="D167">
            <v>5.1480946755917225</v>
          </cell>
          <cell r="E167">
            <v>5.5710388247639031</v>
          </cell>
          <cell r="F167">
            <v>5.1542183622828786</v>
          </cell>
          <cell r="G167">
            <v>5.086439983613273</v>
          </cell>
          <cell r="H167">
            <v>5.3647375416336782</v>
          </cell>
          <cell r="I167">
            <v>5.6654186389614241</v>
          </cell>
          <cell r="J167">
            <v>5.9960549762800301</v>
          </cell>
          <cell r="K167">
            <v>6.3666189777091349</v>
          </cell>
          <cell r="L167">
            <v>6.7446182713107605</v>
          </cell>
          <cell r="M167">
            <v>6.6538816874024489</v>
          </cell>
          <cell r="N167">
            <v>6.6684685022647701</v>
          </cell>
          <cell r="O167">
            <v>5.9843618577521074E-2</v>
          </cell>
          <cell r="P167">
            <v>3.3139150767397263E-2</v>
          </cell>
        </row>
        <row r="168">
          <cell r="B168" t="str">
            <v>old</v>
          </cell>
          <cell r="C168">
            <v>4.5097953087938158</v>
          </cell>
          <cell r="D168">
            <v>5.1480946755917225</v>
          </cell>
          <cell r="E168">
            <v>5.5710388247639031</v>
          </cell>
          <cell r="F168">
            <v>5.120306038047973</v>
          </cell>
          <cell r="G168">
            <v>5.004781998951854</v>
          </cell>
          <cell r="H168">
            <v>4.8343349392956307</v>
          </cell>
          <cell r="I168">
            <v>5.4086513974172243</v>
          </cell>
          <cell r="J168">
            <v>6.0965501502465331</v>
          </cell>
          <cell r="K168">
            <v>7.0589774881393401</v>
          </cell>
          <cell r="L168">
            <v>7.7693937924253742</v>
          </cell>
          <cell r="M168">
            <v>8.2991771669423553</v>
          </cell>
          <cell r="N168">
            <v>8.5211798674196313</v>
          </cell>
          <cell r="O168">
            <v>0.12832111244440703</v>
          </cell>
          <cell r="P168">
            <v>9.5171537478052404E-2</v>
          </cell>
        </row>
        <row r="169">
          <cell r="B169" t="str">
            <v>% +/-</v>
          </cell>
          <cell r="C169">
            <v>0</v>
          </cell>
          <cell r="D169">
            <v>0</v>
          </cell>
          <cell r="E169">
            <v>0</v>
          </cell>
          <cell r="F169">
            <v>6.6231049439056605E-3</v>
          </cell>
          <cell r="G169">
            <v>1.6315992320648627E-2</v>
          </cell>
          <cell r="H169">
            <v>0.10971573318735087</v>
          </cell>
          <cell r="I169">
            <v>4.7473431485492476E-2</v>
          </cell>
          <cell r="J169">
            <v>-1.6483941161779689E-2</v>
          </cell>
          <cell r="K169">
            <v>-9.8081983062493439E-2</v>
          </cell>
          <cell r="L169">
            <v>-0.13189903208583653</v>
          </cell>
          <cell r="M169">
            <v>-0.19824802464677091</v>
          </cell>
          <cell r="N169">
            <v>-0.21742427621304231</v>
          </cell>
        </row>
        <row r="170">
          <cell r="A170" t="str">
            <v>Consensus</v>
          </cell>
          <cell r="E170">
            <v>0</v>
          </cell>
          <cell r="G170">
            <v>5.123185578975364</v>
          </cell>
          <cell r="H170">
            <v>5.27</v>
          </cell>
          <cell r="I170">
            <v>5.64</v>
          </cell>
          <cell r="J170">
            <v>5.96</v>
          </cell>
          <cell r="K170">
            <v>6.39</v>
          </cell>
          <cell r="L170">
            <v>6.83</v>
          </cell>
        </row>
        <row r="171">
          <cell r="A171" t="str">
            <v xml:space="preserve">   MS vs consensus</v>
          </cell>
          <cell r="B171" t="str">
            <v>% +/-</v>
          </cell>
          <cell r="E171" t="e">
            <v>#DIV/0!</v>
          </cell>
          <cell r="G171">
            <v>-7.1724115388066556E-3</v>
          </cell>
          <cell r="H171">
            <v>1.7976763118345174E-2</v>
          </cell>
          <cell r="I171">
            <v>4.5068508796852758E-3</v>
          </cell>
          <cell r="J171">
            <v>6.0494926644345526E-3</v>
          </cell>
          <cell r="K171">
            <v>-3.6590019234530313E-3</v>
          </cell>
          <cell r="L171">
            <v>-1.2500985166799317E-2</v>
          </cell>
        </row>
        <row r="173">
          <cell r="A173" t="str">
            <v>Modelware EPS</v>
          </cell>
          <cell r="B173" t="str">
            <v>new</v>
          </cell>
          <cell r="C173">
            <v>4.3288236844417103</v>
          </cell>
          <cell r="D173">
            <v>5.3346662030598049</v>
          </cell>
          <cell r="E173">
            <v>5.8108892019557468</v>
          </cell>
          <cell r="F173">
            <v>5.2838036809815954</v>
          </cell>
          <cell r="G173">
            <v>5.1432029043969347</v>
          </cell>
          <cell r="H173">
            <v>5.2620710896001093</v>
          </cell>
          <cell r="I173">
            <v>5.5366918198872268</v>
          </cell>
          <cell r="J173">
            <v>5.8394290805364282</v>
          </cell>
          <cell r="K173">
            <v>6.1804588003967895</v>
          </cell>
          <cell r="L173">
            <v>6.5335067654240335</v>
          </cell>
          <cell r="M173">
            <v>6.4421321988617288</v>
          </cell>
          <cell r="N173">
            <v>6.4525174896430766</v>
          </cell>
          <cell r="O173">
            <v>5.6733149754393475E-2</v>
          </cell>
          <cell r="P173">
            <v>3.1088084150849848E-2</v>
          </cell>
        </row>
        <row r="174">
          <cell r="B174" t="str">
            <v>old</v>
          </cell>
          <cell r="C174">
            <v>3.6897127295089178</v>
          </cell>
          <cell r="D174">
            <v>4.2567802503477052</v>
          </cell>
          <cell r="E174">
            <v>3.7760006629651115</v>
          </cell>
          <cell r="F174">
            <v>5.2850306748466265</v>
          </cell>
          <cell r="G174">
            <v>5.1148261512687112</v>
          </cell>
          <cell r="H174">
            <v>5.0121873105175023</v>
          </cell>
          <cell r="I174">
            <v>5.6570782246275577</v>
          </cell>
          <cell r="J174">
            <v>6.4028625141379942</v>
          </cell>
          <cell r="K174">
            <v>7.4245756718824039</v>
          </cell>
          <cell r="L174">
            <v>8.1869024995228408</v>
          </cell>
          <cell r="M174">
            <v>8.7636572199049692</v>
          </cell>
          <cell r="N174">
            <v>9.0602280556140382</v>
          </cell>
          <cell r="O174">
            <v>0.13112120654231685</v>
          </cell>
          <cell r="P174">
            <v>9.8776567470537868E-2</v>
          </cell>
        </row>
        <row r="175">
          <cell r="B175" t="str">
            <v>% +/-</v>
          </cell>
          <cell r="C175">
            <v>0.1732142857142851</v>
          </cell>
          <cell r="D175">
            <v>0.25321625484990801</v>
          </cell>
          <cell r="E175">
            <v>0.53890047185339618</v>
          </cell>
          <cell r="F175">
            <v>-2.3216400065014187E-4</v>
          </cell>
          <cell r="G175">
            <v>5.5479408857688709E-3</v>
          </cell>
          <cell r="H175">
            <v>4.9855235569160473E-2</v>
          </cell>
          <cell r="I175">
            <v>-2.1280668210709907E-2</v>
          </cell>
          <cell r="J175">
            <v>-8.7997115720892541E-2</v>
          </cell>
          <cell r="K175">
            <v>-0.16756740404669951</v>
          </cell>
          <cell r="L175">
            <v>-0.20195620189628161</v>
          </cell>
          <cell r="M175">
            <v>-0.26490367694554973</v>
          </cell>
          <cell r="N175">
            <v>-0.28781952837877317</v>
          </cell>
        </row>
        <row r="177">
          <cell r="A177" t="str">
            <v>$ millions</v>
          </cell>
          <cell r="C177">
            <v>2009</v>
          </cell>
          <cell r="D177">
            <v>2010</v>
          </cell>
          <cell r="E177">
            <v>2011</v>
          </cell>
          <cell r="F177">
            <v>2012</v>
          </cell>
          <cell r="G177" t="str">
            <v>2013e</v>
          </cell>
          <cell r="H177" t="str">
            <v>2014e</v>
          </cell>
          <cell r="I177" t="str">
            <v>2015e</v>
          </cell>
          <cell r="J177" t="str">
            <v>2016e</v>
          </cell>
          <cell r="K177" t="str">
            <v>2017e</v>
          </cell>
          <cell r="L177" t="str">
            <v>2018e</v>
          </cell>
          <cell r="M177" t="str">
            <v>2019e</v>
          </cell>
          <cell r="N177" t="str">
            <v>2019e</v>
          </cell>
          <cell r="O177" t="str">
            <v>CAGR (15-18e)</v>
          </cell>
          <cell r="P177" t="str">
            <v>CAGR (15-20e)</v>
          </cell>
        </row>
        <row r="179">
          <cell r="A179" t="str">
            <v>Pharmaceutical Division</v>
          </cell>
        </row>
        <row r="180">
          <cell r="A180" t="str">
            <v>Sales</v>
          </cell>
          <cell r="B180" t="str">
            <v>new</v>
          </cell>
          <cell r="F180">
            <v>32153</v>
          </cell>
          <cell r="G180">
            <v>32214</v>
          </cell>
          <cell r="H180">
            <v>32310.763338719593</v>
          </cell>
          <cell r="I180">
            <v>31796.384602214392</v>
          </cell>
          <cell r="J180">
            <v>32055.757729844558</v>
          </cell>
          <cell r="K180">
            <v>32585.779631411369</v>
          </cell>
          <cell r="L180">
            <v>33334.766939508059</v>
          </cell>
          <cell r="M180">
            <v>31920.090512483563</v>
          </cell>
          <cell r="N180">
            <v>31035.199427676525</v>
          </cell>
          <cell r="O180">
            <v>1.587411373012082E-2</v>
          </cell>
          <cell r="P180">
            <v>-4.8343897045158846E-3</v>
          </cell>
        </row>
        <row r="181">
          <cell r="B181" t="str">
            <v>old</v>
          </cell>
          <cell r="C181">
            <v>9982</v>
          </cell>
          <cell r="D181">
            <v>11526</v>
          </cell>
          <cell r="E181">
            <v>10998</v>
          </cell>
          <cell r="F181">
            <v>32153</v>
          </cell>
          <cell r="G181">
            <v>31951.435497726015</v>
          </cell>
          <cell r="H181">
            <v>30852.310099962589</v>
          </cell>
          <cell r="I181">
            <v>31425.391547885509</v>
          </cell>
          <cell r="J181">
            <v>33059.50782164438</v>
          </cell>
          <cell r="K181">
            <v>35298.630566143496</v>
          </cell>
          <cell r="L181">
            <v>36837.258750793007</v>
          </cell>
          <cell r="M181">
            <v>37243.673825185993</v>
          </cell>
          <cell r="N181">
            <v>36028.673342046619</v>
          </cell>
          <cell r="O181">
            <v>5.4392243361741199E-2</v>
          </cell>
          <cell r="P181">
            <v>2.7716938846289674E-2</v>
          </cell>
        </row>
        <row r="182">
          <cell r="B182" t="str">
            <v>% +/-</v>
          </cell>
          <cell r="C182">
            <v>-1</v>
          </cell>
          <cell r="D182">
            <v>-1</v>
          </cell>
          <cell r="E182">
            <v>-1</v>
          </cell>
          <cell r="F182">
            <v>0</v>
          </cell>
          <cell r="G182">
            <v>8.2176120785769167E-3</v>
          </cell>
          <cell r="H182">
            <v>4.7272091912455266E-2</v>
          </cell>
          <cell r="I182">
            <v>1.1805518914969431E-2</v>
          </cell>
          <cell r="J182">
            <v>-3.0361918792470872E-2</v>
          </cell>
          <cell r="K182">
            <v>-7.6854282764559828E-2</v>
          </cell>
          <cell r="L182">
            <v>-9.5080142498647491E-2</v>
          </cell>
          <cell r="M182">
            <v>-0.14293926366368195</v>
          </cell>
          <cell r="N182">
            <v>-0.13859721858097254</v>
          </cell>
        </row>
        <row r="183">
          <cell r="A183" t="str">
            <v>Consensus - Pharama</v>
          </cell>
          <cell r="G183">
            <v>31784.163116865617</v>
          </cell>
          <cell r="H183">
            <v>31930.20326431522</v>
          </cell>
          <cell r="I183">
            <v>32071.418890913228</v>
          </cell>
          <cell r="J183">
            <v>32131.239107251844</v>
          </cell>
          <cell r="K183">
            <v>32585.876268518274</v>
          </cell>
        </row>
        <row r="184">
          <cell r="A184" t="str">
            <v xml:space="preserve">   MS vs consensus</v>
          </cell>
          <cell r="G184">
            <v>1.3523618084702704E-2</v>
          </cell>
          <cell r="H184">
            <v>1.1918498333822969E-2</v>
          </cell>
          <cell r="I184">
            <v>-8.5756819688685981E-3</v>
          </cell>
          <cell r="J184">
            <v>-2.3491586227140093E-3</v>
          </cell>
          <cell r="K184">
            <v>-2.9656132647382094E-6</v>
          </cell>
        </row>
        <row r="186">
          <cell r="A186" t="str">
            <v>Core EBIT</v>
          </cell>
          <cell r="B186" t="str">
            <v>new</v>
          </cell>
          <cell r="F186">
            <v>10213</v>
          </cell>
          <cell r="G186">
            <v>9523</v>
          </cell>
          <cell r="H186">
            <v>9745.3438670552823</v>
          </cell>
          <cell r="I186">
            <v>9343.8230536926094</v>
          </cell>
          <cell r="J186">
            <v>9307.3653478612032</v>
          </cell>
          <cell r="K186">
            <v>9438.8194134138394</v>
          </cell>
          <cell r="L186">
            <v>9763.9842940682138</v>
          </cell>
          <cell r="M186">
            <v>8937.4183071225198</v>
          </cell>
          <cell r="N186">
            <v>8430.9351792991292</v>
          </cell>
          <cell r="O186">
            <v>-1.0596361667688403E-2</v>
          </cell>
          <cell r="P186">
            <v>-1.7159637473270428E-2</v>
          </cell>
        </row>
        <row r="187">
          <cell r="B187" t="str">
            <v>old</v>
          </cell>
          <cell r="C187">
            <v>9982</v>
          </cell>
          <cell r="D187">
            <v>11526</v>
          </cell>
          <cell r="E187">
            <v>10998</v>
          </cell>
          <cell r="F187">
            <v>10213</v>
          </cell>
          <cell r="G187">
            <v>9550.2905597892532</v>
          </cell>
          <cell r="H187">
            <v>8288.9096788123134</v>
          </cell>
          <cell r="I187">
            <v>8857.9223587451343</v>
          </cell>
          <cell r="J187">
            <v>9691.9954033767935</v>
          </cell>
          <cell r="K187">
            <v>11145.689527462215</v>
          </cell>
          <cell r="L187">
            <v>11654.406594524742</v>
          </cell>
          <cell r="M187">
            <v>11600.68626772708</v>
          </cell>
          <cell r="N187">
            <v>11600.68626772708</v>
          </cell>
          <cell r="O187">
            <v>0.1037477839848544</v>
          </cell>
          <cell r="P187">
            <v>6.9540550141150348E-2</v>
          </cell>
        </row>
        <row r="188">
          <cell r="B188" t="str">
            <v>% +/-</v>
          </cell>
          <cell r="C188">
            <v>-1</v>
          </cell>
          <cell r="D188">
            <v>-1</v>
          </cell>
          <cell r="E188">
            <v>-1</v>
          </cell>
          <cell r="F188">
            <v>0</v>
          </cell>
          <cell r="G188">
            <v>-2.8575632980380639E-3</v>
          </cell>
          <cell r="H188">
            <v>0.1757087777136517</v>
          </cell>
          <cell r="I188">
            <v>5.485492819518354E-2</v>
          </cell>
          <cell r="J188">
            <v>-3.9685332019614987E-2</v>
          </cell>
          <cell r="K188">
            <v>-0.15314172441666929</v>
          </cell>
          <cell r="L188">
            <v>-0.1622066542061997</v>
          </cell>
          <cell r="M188">
            <v>-0.22957848347418275</v>
          </cell>
          <cell r="N188">
            <v>-0.27323823912436512</v>
          </cell>
        </row>
        <row r="189">
          <cell r="A189" t="str">
            <v>Consensus - Pharma</v>
          </cell>
          <cell r="G189">
            <v>9550.2905597892532</v>
          </cell>
          <cell r="H189">
            <v>9518.9596123146421</v>
          </cell>
          <cell r="I189">
            <v>9877.7839627109825</v>
          </cell>
          <cell r="J189">
            <v>9702.6017862638764</v>
          </cell>
          <cell r="K189">
            <v>10185.65624257478</v>
          </cell>
        </row>
        <row r="190">
          <cell r="A190" t="str">
            <v xml:space="preserve">   MS vs consensus</v>
          </cell>
          <cell r="G190">
            <v>-2.8575632980381016E-3</v>
          </cell>
          <cell r="H190">
            <v>2.3782457743361851E-2</v>
          </cell>
          <cell r="I190">
            <v>-5.4056751092562472E-2</v>
          </cell>
          <cell r="J190">
            <v>-4.0735098390023095E-2</v>
          </cell>
          <cell r="K190">
            <v>-7.3322406664310447E-2</v>
          </cell>
        </row>
        <row r="192">
          <cell r="A192" t="str">
            <v>Alcon</v>
          </cell>
        </row>
        <row r="193">
          <cell r="A193" t="str">
            <v>Sales</v>
          </cell>
          <cell r="B193" t="str">
            <v>new</v>
          </cell>
          <cell r="F193">
            <v>10225</v>
          </cell>
          <cell r="G193">
            <v>10496</v>
          </cell>
          <cell r="H193">
            <v>11068.051590844136</v>
          </cell>
          <cell r="I193">
            <v>11886.719211146119</v>
          </cell>
          <cell r="J193">
            <v>12632.410011877022</v>
          </cell>
          <cell r="K193">
            <v>13351.970280512807</v>
          </cell>
          <cell r="L193">
            <v>14019.455862601517</v>
          </cell>
          <cell r="M193">
            <v>14723.299258643259</v>
          </cell>
          <cell r="N193">
            <v>15465.601506121031</v>
          </cell>
          <cell r="O193">
            <v>5.6549181539056637E-2</v>
          </cell>
          <cell r="P193">
            <v>5.4049392703043653E-2</v>
          </cell>
        </row>
        <row r="194">
          <cell r="B194" t="str">
            <v>old</v>
          </cell>
          <cell r="C194">
            <v>9982</v>
          </cell>
          <cell r="D194">
            <v>11526</v>
          </cell>
          <cell r="E194">
            <v>10998</v>
          </cell>
          <cell r="F194">
            <v>10225</v>
          </cell>
          <cell r="G194">
            <v>10517.901527936694</v>
          </cell>
          <cell r="H194">
            <v>11090.617576171078</v>
          </cell>
          <cell r="I194">
            <v>11976.184586765994</v>
          </cell>
          <cell r="J194">
            <v>12921.417806684796</v>
          </cell>
          <cell r="K194">
            <v>13951.932176899409</v>
          </cell>
          <cell r="L194">
            <v>15017.381459242735</v>
          </cell>
          <cell r="M194">
            <v>16121.943877972713</v>
          </cell>
          <cell r="N194">
            <v>17295.441790782017</v>
          </cell>
          <cell r="O194">
            <v>7.8347106000132394E-2</v>
          </cell>
          <cell r="P194">
            <v>7.6273471682242855E-2</v>
          </cell>
        </row>
        <row r="195">
          <cell r="B195" t="str">
            <v>% +/-</v>
          </cell>
          <cell r="C195">
            <v>-1</v>
          </cell>
          <cell r="D195">
            <v>-1</v>
          </cell>
          <cell r="E195">
            <v>-1</v>
          </cell>
          <cell r="F195">
            <v>0</v>
          </cell>
          <cell r="G195">
            <v>-2.0823096583021993E-3</v>
          </cell>
          <cell r="H195">
            <v>-2.0346915013485915E-3</v>
          </cell>
          <cell r="I195">
            <v>-7.4702736060645409E-3</v>
          </cell>
          <cell r="J195">
            <v>-2.2366569917602868E-2</v>
          </cell>
          <cell r="K195">
            <v>-4.3002065146214984E-2</v>
          </cell>
          <cell r="L195">
            <v>-6.6451371655544239E-2</v>
          </cell>
          <cell r="M195">
            <v>-8.6754093049561568E-2</v>
          </cell>
          <cell r="N195">
            <v>-0.10579899067026084</v>
          </cell>
        </row>
        <row r="196">
          <cell r="A196" t="str">
            <v>Consensus - Alcon</v>
          </cell>
          <cell r="G196">
            <v>10602.255000000001</v>
          </cell>
          <cell r="H196">
            <v>11146.252608285988</v>
          </cell>
          <cell r="I196">
            <v>11685.172037183744</v>
          </cell>
          <cell r="J196">
            <v>12300.956007239358</v>
          </cell>
          <cell r="K196">
            <v>12961.929555928906</v>
          </cell>
        </row>
        <row r="197">
          <cell r="A197" t="str">
            <v xml:space="preserve">   MS vs consensus</v>
          </cell>
          <cell r="G197">
            <v>-1.0021924581138708E-2</v>
          </cell>
          <cell r="H197">
            <v>-7.0159021323200621E-3</v>
          </cell>
          <cell r="I197">
            <v>1.7248113534060527E-2</v>
          </cell>
          <cell r="J197">
            <v>2.6945385744213457E-2</v>
          </cell>
          <cell r="K197">
            <v>3.0091254770435949E-2</v>
          </cell>
        </row>
        <row r="199">
          <cell r="A199" t="str">
            <v>Core EBIT</v>
          </cell>
          <cell r="B199" t="str">
            <v>new</v>
          </cell>
          <cell r="F199">
            <v>3698</v>
          </cell>
          <cell r="G199">
            <v>3694</v>
          </cell>
          <cell r="H199">
            <v>3536.3113997365958</v>
          </cell>
          <cell r="I199">
            <v>3908.0074034715608</v>
          </cell>
          <cell r="J199">
            <v>4176.5514945978339</v>
          </cell>
          <cell r="K199">
            <v>4511.7780693550958</v>
          </cell>
          <cell r="L199">
            <v>4719.5375656975812</v>
          </cell>
          <cell r="M199">
            <v>4957.1599684841767</v>
          </cell>
          <cell r="N199">
            <v>5197.0186351233115</v>
          </cell>
          <cell r="O199">
            <v>8.4590366452391264E-2</v>
          </cell>
          <cell r="P199">
            <v>6.9883492105475398E-2</v>
          </cell>
        </row>
        <row r="200">
          <cell r="B200" t="str">
            <v>old</v>
          </cell>
          <cell r="F200">
            <v>3698</v>
          </cell>
          <cell r="G200">
            <v>3756.7279075897641</v>
          </cell>
          <cell r="H200">
            <v>4141.8667218963337</v>
          </cell>
          <cell r="I200">
            <v>4562.5309632208582</v>
          </cell>
          <cell r="J200">
            <v>4956.6971725040794</v>
          </cell>
          <cell r="K200">
            <v>5357.8874369051609</v>
          </cell>
          <cell r="L200">
            <v>5882.6701684162981</v>
          </cell>
          <cell r="M200">
            <v>6392.0579363733432</v>
          </cell>
          <cell r="N200">
            <v>6392.0579363733432</v>
          </cell>
          <cell r="O200">
            <v>8.9596806759162817E-2</v>
          </cell>
          <cell r="P200">
            <v>9.0658821906381748E-2</v>
          </cell>
        </row>
        <row r="201">
          <cell r="B201" t="str">
            <v>% +/-</v>
          </cell>
          <cell r="F201">
            <v>0</v>
          </cell>
          <cell r="G201">
            <v>-1.6697484921128863E-2</v>
          </cell>
          <cell r="H201">
            <v>-0.14620347848433116</v>
          </cell>
          <cell r="I201">
            <v>-0.14345624501521084</v>
          </cell>
          <cell r="J201">
            <v>-0.15739224139693062</v>
          </cell>
          <cell r="K201">
            <v>-0.1579184664690898</v>
          </cell>
          <cell r="L201">
            <v>-0.1977218795919421</v>
          </cell>
          <cell r="M201">
            <v>-0.22448137707326279</v>
          </cell>
          <cell r="N201">
            <v>-0.18695689450024919</v>
          </cell>
        </row>
        <row r="202">
          <cell r="A202" t="str">
            <v>Consensus - Alcon</v>
          </cell>
          <cell r="G202">
            <v>3874.2560000000003</v>
          </cell>
          <cell r="H202">
            <v>4135.9192591125729</v>
          </cell>
          <cell r="I202">
            <v>4360.7326778847055</v>
          </cell>
          <cell r="J202">
            <v>4654.4803384897805</v>
          </cell>
          <cell r="K202">
            <v>4959.3056859045673</v>
          </cell>
        </row>
        <row r="203">
          <cell r="A203" t="str">
            <v xml:space="preserve">   MS vs consensus</v>
          </cell>
          <cell r="G203">
            <v>-4.6526610528576429E-2</v>
          </cell>
          <cell r="H203">
            <v>-0.14497571683849375</v>
          </cell>
          <cell r="I203">
            <v>-0.10381862587200641</v>
          </cell>
          <cell r="J203">
            <v>-0.10268146154571967</v>
          </cell>
          <cell r="K203">
            <v>-9.023997407972717E-2</v>
          </cell>
        </row>
        <row r="205">
          <cell r="A205" t="str">
            <v>Sandoz</v>
          </cell>
        </row>
        <row r="206">
          <cell r="A206" t="str">
            <v>Sales</v>
          </cell>
          <cell r="B206" t="str">
            <v>new</v>
          </cell>
          <cell r="F206">
            <v>8702</v>
          </cell>
          <cell r="G206">
            <v>9159</v>
          </cell>
          <cell r="H206">
            <v>9621.9143831047877</v>
          </cell>
          <cell r="I206">
            <v>10103.010102260027</v>
          </cell>
          <cell r="J206">
            <v>10608.160607373029</v>
          </cell>
          <cell r="K206">
            <v>11138.568637741681</v>
          </cell>
          <cell r="L206">
            <v>11728.242808003764</v>
          </cell>
          <cell r="M206">
            <v>12349.365431081453</v>
          </cell>
          <cell r="N206">
            <v>13003.626814273677</v>
          </cell>
        </row>
        <row r="207">
          <cell r="B207" t="str">
            <v>old</v>
          </cell>
          <cell r="C207">
            <v>9982</v>
          </cell>
          <cell r="D207">
            <v>11526</v>
          </cell>
          <cell r="E207">
            <v>10998</v>
          </cell>
          <cell r="F207">
            <v>8702</v>
          </cell>
          <cell r="G207">
            <v>8788.5922526621725</v>
          </cell>
          <cell r="H207">
            <v>9189.1923510757551</v>
          </cell>
          <cell r="I207">
            <v>9648.6519686295414</v>
          </cell>
          <cell r="J207">
            <v>10131.08456706102</v>
          </cell>
          <cell r="K207">
            <v>10637.63879541407</v>
          </cell>
          <cell r="L207">
            <v>11202.104806598025</v>
          </cell>
          <cell r="M207">
            <v>11796.749162625971</v>
          </cell>
          <cell r="N207">
            <v>12423.198083397197</v>
          </cell>
          <cell r="O207">
            <v>5.1020039572193587E-2</v>
          </cell>
          <cell r="P207">
            <v>5.1848891726029578E-2</v>
          </cell>
        </row>
        <row r="208">
          <cell r="B208" t="str">
            <v>% +/-</v>
          </cell>
          <cell r="C208">
            <v>-1</v>
          </cell>
          <cell r="D208">
            <v>-1</v>
          </cell>
          <cell r="E208">
            <v>-1</v>
          </cell>
          <cell r="F208">
            <v>0</v>
          </cell>
          <cell r="G208">
            <v>4.2146425353346707E-2</v>
          </cell>
          <cell r="H208">
            <v>4.7090322576431309E-2</v>
          </cell>
          <cell r="I208">
            <v>4.7090322576431413E-2</v>
          </cell>
          <cell r="J208">
            <v>4.7090322576431407E-2</v>
          </cell>
          <cell r="K208">
            <v>4.7090322576431469E-2</v>
          </cell>
          <cell r="L208">
            <v>4.6967780652779192E-2</v>
          </cell>
          <cell r="M208">
            <v>4.6844792649000343E-2</v>
          </cell>
          <cell r="N208">
            <v>4.6721361679983614E-2</v>
          </cell>
        </row>
        <row r="209">
          <cell r="A209" t="str">
            <v>Consensus - Sandoz</v>
          </cell>
          <cell r="G209">
            <v>9062.7308885830062</v>
          </cell>
          <cell r="H209">
            <v>9501.2675119010673</v>
          </cell>
          <cell r="I209">
            <v>9953.1076945023251</v>
          </cell>
          <cell r="J209">
            <v>10431.766149446288</v>
          </cell>
          <cell r="K209">
            <v>10944.644910106337</v>
          </cell>
        </row>
        <row r="210">
          <cell r="A210" t="str">
            <v xml:space="preserve">   MS vs consensus</v>
          </cell>
          <cell r="G210">
            <v>1.062252786720963E-2</v>
          </cell>
          <cell r="H210">
            <v>1.2697976459730365E-2</v>
          </cell>
          <cell r="I210">
            <v>1.5060864642356897E-2</v>
          </cell>
          <cell r="J210">
            <v>1.6909356996667624E-2</v>
          </cell>
          <cell r="K210">
            <v>1.7718594730860016E-2</v>
          </cell>
        </row>
        <row r="213">
          <cell r="A213" t="str">
            <v>Core EBIT</v>
          </cell>
          <cell r="B213" t="str">
            <v>new</v>
          </cell>
          <cell r="F213">
            <v>1502.9</v>
          </cell>
          <cell r="G213">
            <v>1541</v>
          </cell>
          <cell r="H213">
            <v>1637.056268452583</v>
          </cell>
          <cell r="I213">
            <v>1693.2794495479807</v>
          </cell>
          <cell r="J213">
            <v>1845.1099374874057</v>
          </cell>
          <cell r="K213">
            <v>1966.3425716372585</v>
          </cell>
          <cell r="L213">
            <v>2124.4473668348551</v>
          </cell>
          <cell r="M213">
            <v>2262.5778023606745</v>
          </cell>
          <cell r="N213">
            <v>2415.5541959544134</v>
          </cell>
          <cell r="O213">
            <v>6.2996557938490128E-2</v>
          </cell>
          <cell r="P213">
            <v>6.6861352674347785E-2</v>
          </cell>
        </row>
        <row r="214">
          <cell r="B214" t="str">
            <v>old</v>
          </cell>
          <cell r="F214">
            <v>1502.9</v>
          </cell>
          <cell r="G214">
            <v>1475.8084489573366</v>
          </cell>
          <cell r="H214">
            <v>1508.40470807771</v>
          </cell>
          <cell r="I214">
            <v>1634.8182033247449</v>
          </cell>
          <cell r="J214">
            <v>1759.8334517592248</v>
          </cell>
          <cell r="K214">
            <v>1893.1256795288436</v>
          </cell>
          <cell r="L214">
            <v>2108.5203006929</v>
          </cell>
          <cell r="M214">
            <v>2235.1637825160856</v>
          </cell>
          <cell r="N214">
            <v>2235.1637825160856</v>
          </cell>
          <cell r="O214">
            <v>7.8666494987439828E-2</v>
          </cell>
          <cell r="P214">
            <v>8.1828191260892913E-2</v>
          </cell>
        </row>
        <row r="215">
          <cell r="B215" t="str">
            <v>% +/-</v>
          </cell>
          <cell r="F215">
            <v>0</v>
          </cell>
          <cell r="G215">
            <v>4.4173450212133841E-2</v>
          </cell>
          <cell r="H215">
            <v>8.5289816244888822E-2</v>
          </cell>
          <cell r="I215">
            <v>3.576009008484405E-2</v>
          </cell>
          <cell r="J215">
            <v>4.8457134192405479E-2</v>
          </cell>
          <cell r="K215">
            <v>3.8675135465193682E-2</v>
          </cell>
          <cell r="L215">
            <v>7.5536698113464213E-3</v>
          </cell>
          <cell r="M215">
            <v>1.2264881911127515E-2</v>
          </cell>
          <cell r="N215">
            <v>8.0705680205351876E-2</v>
          </cell>
        </row>
        <row r="216">
          <cell r="A216" t="str">
            <v>Consensus - Sandoz</v>
          </cell>
          <cell r="G216">
            <v>1581.1115757028879</v>
          </cell>
          <cell r="H216">
            <v>1668.797613769683</v>
          </cell>
          <cell r="I216">
            <v>1805.565851394625</v>
          </cell>
          <cell r="J216">
            <v>2011.5421998809784</v>
          </cell>
          <cell r="K216">
            <v>2169.2501076258104</v>
          </cell>
        </row>
        <row r="217">
          <cell r="A217" t="str">
            <v xml:space="preserve">   MS vs consensus</v>
          </cell>
          <cell r="G217">
            <v>-2.5369225245888249E-2</v>
          </cell>
          <cell r="H217">
            <v>-1.9020488197726282E-2</v>
          </cell>
          <cell r="I217">
            <v>-6.2189037170765071E-2</v>
          </cell>
          <cell r="J217">
            <v>-8.273863824652572E-2</v>
          </cell>
          <cell r="K217">
            <v>-9.3538101150829944E-2</v>
          </cell>
        </row>
        <row r="219">
          <cell r="A219" t="str">
            <v>Consumer Health</v>
          </cell>
        </row>
        <row r="220">
          <cell r="A220" t="str">
            <v>Sales</v>
          </cell>
          <cell r="B220" t="str">
            <v>new</v>
          </cell>
          <cell r="F220">
            <v>3735</v>
          </cell>
          <cell r="G220">
            <v>4064</v>
          </cell>
          <cell r="H220">
            <v>4481.4202893191186</v>
          </cell>
          <cell r="I220">
            <v>4815.6013037850753</v>
          </cell>
          <cell r="J220">
            <v>5056.3813689743292</v>
          </cell>
          <cell r="K220">
            <v>5309.2004374230455</v>
          </cell>
          <cell r="L220">
            <v>5560.6998876691978</v>
          </cell>
          <cell r="M220">
            <v>5824.2158875626574</v>
          </cell>
          <cell r="N220">
            <v>6100.3269276711908</v>
          </cell>
        </row>
        <row r="221">
          <cell r="B221" t="str">
            <v>old</v>
          </cell>
          <cell r="C221">
            <v>9982</v>
          </cell>
          <cell r="D221">
            <v>11526</v>
          </cell>
          <cell r="E221">
            <v>10998</v>
          </cell>
          <cell r="F221">
            <v>3735</v>
          </cell>
          <cell r="G221">
            <v>4079.8940328883791</v>
          </cell>
          <cell r="H221">
            <v>4479.1074845750973</v>
          </cell>
          <cell r="I221">
            <v>4822.1168588038518</v>
          </cell>
          <cell r="J221">
            <v>5063.2227017440446</v>
          </cell>
          <cell r="K221">
            <v>5316.3838368312463</v>
          </cell>
          <cell r="L221">
            <v>5567.1084696478092</v>
          </cell>
          <cell r="M221">
            <v>5829.7655517442008</v>
          </cell>
          <cell r="N221">
            <v>6104.9275542899704</v>
          </cell>
          <cell r="O221">
            <v>4.9052727979025601E-2</v>
          </cell>
          <cell r="P221">
            <v>4.8307171343460631E-2</v>
          </cell>
        </row>
        <row r="222">
          <cell r="B222" t="str">
            <v>% +/-</v>
          </cell>
          <cell r="C222">
            <v>-1</v>
          </cell>
          <cell r="D222">
            <v>-1</v>
          </cell>
          <cell r="E222">
            <v>-1</v>
          </cell>
          <cell r="F222">
            <v>0</v>
          </cell>
          <cell r="G222">
            <v>-3.895697476516777E-3</v>
          </cell>
          <cell r="H222">
            <v>5.1635392809529278E-4</v>
          </cell>
          <cell r="I222">
            <v>-1.3511814851356963E-3</v>
          </cell>
          <cell r="J222">
            <v>-1.3511814851357054E-3</v>
          </cell>
          <cell r="K222">
            <v>-1.3511814851356455E-3</v>
          </cell>
          <cell r="L222">
            <v>-1.151150909588234E-3</v>
          </cell>
          <cell r="M222">
            <v>-9.5195323590380936E-4</v>
          </cell>
          <cell r="N222">
            <v>-7.5359233633276348E-4</v>
          </cell>
        </row>
        <row r="223">
          <cell r="A223" t="str">
            <v>Consensus - Consumer Health</v>
          </cell>
          <cell r="G223">
            <v>4060.375334175902</v>
          </cell>
          <cell r="H223">
            <v>4513</v>
          </cell>
          <cell r="I223">
            <v>4784</v>
          </cell>
          <cell r="J223">
            <v>5050.2526278464002</v>
          </cell>
          <cell r="K223">
            <v>5243.563450579004</v>
          </cell>
        </row>
        <row r="224">
          <cell r="A224" t="str">
            <v xml:space="preserve">   MS vs consensus</v>
          </cell>
          <cell r="G224">
            <v>8.9269230693767021E-4</v>
          </cell>
          <cell r="H224">
            <v>-6.9974984890054381E-3</v>
          </cell>
          <cell r="I224">
            <v>6.6056237008935703E-3</v>
          </cell>
          <cell r="J224">
            <v>1.2135513962481248E-3</v>
          </cell>
          <cell r="K224">
            <v>1.2517629940530961E-2</v>
          </cell>
        </row>
        <row r="227">
          <cell r="A227" t="str">
            <v>Core EBIT</v>
          </cell>
          <cell r="B227" t="str">
            <v>new</v>
          </cell>
          <cell r="F227">
            <v>159</v>
          </cell>
          <cell r="G227">
            <v>298</v>
          </cell>
          <cell r="H227">
            <v>603.46422742439427</v>
          </cell>
          <cell r="I227">
            <v>837.36029269898563</v>
          </cell>
          <cell r="J227">
            <v>967.74317197547316</v>
          </cell>
          <cell r="K227">
            <v>1061.4131345110541</v>
          </cell>
          <cell r="L227">
            <v>1148.249174074288</v>
          </cell>
          <cell r="M227">
            <v>1235.2393981109058</v>
          </cell>
          <cell r="N227">
            <v>1297.528865226333</v>
          </cell>
          <cell r="O227">
            <v>0.20710294341766833</v>
          </cell>
          <cell r="P227">
            <v>0.15403749888788343</v>
          </cell>
        </row>
        <row r="228">
          <cell r="B228" t="str">
            <v>old</v>
          </cell>
          <cell r="F228">
            <v>159</v>
          </cell>
          <cell r="G228">
            <v>198.76862113557036</v>
          </cell>
          <cell r="H228">
            <v>356.12523666929519</v>
          </cell>
          <cell r="I228">
            <v>562.19606287147781</v>
          </cell>
          <cell r="J228">
            <v>698.79676545342045</v>
          </cell>
          <cell r="K228">
            <v>847.79704813637909</v>
          </cell>
          <cell r="L228">
            <v>896.17868380449818</v>
          </cell>
          <cell r="M228">
            <v>953.21338694206725</v>
          </cell>
          <cell r="N228">
            <v>953.21338694206725</v>
          </cell>
          <cell r="O228">
            <v>0.3352514238316544</v>
          </cell>
          <cell r="P228">
            <v>0.21763599067532335</v>
          </cell>
        </row>
        <row r="229">
          <cell r="B229" t="str">
            <v>% +/-</v>
          </cell>
          <cell r="F229">
            <v>0</v>
          </cell>
          <cell r="G229">
            <v>0.49923060439579531</v>
          </cell>
          <cell r="H229">
            <v>0.69452811900770417</v>
          </cell>
          <cell r="I229">
            <v>0.4894453163227015</v>
          </cell>
          <cell r="J229">
            <v>0.38487070893572961</v>
          </cell>
          <cell r="K229">
            <v>0.25196606527970838</v>
          </cell>
          <cell r="L229">
            <v>0.28127257970440539</v>
          </cell>
          <cell r="M229">
            <v>0.29586870582418606</v>
          </cell>
          <cell r="N229">
            <v>0.36121552949317942</v>
          </cell>
        </row>
        <row r="230">
          <cell r="A230" t="str">
            <v>Consensus - Consumer Health</v>
          </cell>
          <cell r="G230">
            <v>293.54140555473231</v>
          </cell>
          <cell r="H230">
            <v>639.42860800000005</v>
          </cell>
          <cell r="I230">
            <v>808.94552109927963</v>
          </cell>
          <cell r="J230">
            <v>898.56129752648314</v>
          </cell>
          <cell r="K230">
            <v>967.39218546669179</v>
          </cell>
        </row>
        <row r="231">
          <cell r="A231" t="str">
            <v xml:space="preserve">   MS vs consensus</v>
          </cell>
          <cell r="G231">
            <v>1.5188979683605108E-2</v>
          </cell>
          <cell r="H231">
            <v>-5.6244559792366644E-2</v>
          </cell>
          <cell r="I231">
            <v>3.5125692470727943E-2</v>
          </cell>
          <cell r="J231">
            <v>7.6991825309448148E-2</v>
          </cell>
          <cell r="K231">
            <v>9.7190105995123899E-2</v>
          </cell>
        </row>
        <row r="233">
          <cell r="A233" t="str">
            <v>Vaccines &amp; Diagnostics</v>
          </cell>
        </row>
        <row r="234">
          <cell r="A234" t="str">
            <v>Sales</v>
          </cell>
          <cell r="B234" t="str">
            <v>new</v>
          </cell>
          <cell r="F234">
            <v>1858</v>
          </cell>
          <cell r="G234">
            <v>1987</v>
          </cell>
          <cell r="H234">
            <v>1583.82181285669</v>
          </cell>
          <cell r="I234">
            <v>1721.5129034995243</v>
          </cell>
          <cell r="J234">
            <v>1891.7385486745009</v>
          </cell>
          <cell r="K234">
            <v>1990.1259711082259</v>
          </cell>
          <cell r="L234">
            <v>2078.1379795136372</v>
          </cell>
          <cell r="M234">
            <v>2170.2057596348191</v>
          </cell>
          <cell r="N234">
            <v>2260.524155196425</v>
          </cell>
          <cell r="O234">
            <v>6.4767285254122786E-2</v>
          </cell>
          <cell r="P234">
            <v>5.5989923228227712E-2</v>
          </cell>
        </row>
        <row r="235">
          <cell r="B235" t="str">
            <v>old</v>
          </cell>
          <cell r="C235">
            <v>9982</v>
          </cell>
          <cell r="D235">
            <v>11526</v>
          </cell>
          <cell r="E235">
            <v>10998</v>
          </cell>
          <cell r="F235">
            <v>1858</v>
          </cell>
          <cell r="G235">
            <v>1990.2407809027607</v>
          </cell>
          <cell r="H235">
            <v>2117.9791311536092</v>
          </cell>
          <cell r="I235">
            <v>2283.7280877112898</v>
          </cell>
          <cell r="J235">
            <v>2469.6144920968541</v>
          </cell>
          <cell r="K235">
            <v>2615.9353594016966</v>
          </cell>
          <cell r="L235">
            <v>2773.9834743527817</v>
          </cell>
          <cell r="M235">
            <v>2939.9790354608508</v>
          </cell>
          <cell r="N235">
            <v>3079.5222662460365</v>
          </cell>
          <cell r="O235">
            <v>6.6972334396263822E-2</v>
          </cell>
          <cell r="P235">
            <v>6.1616820680320705E-2</v>
          </cell>
        </row>
        <row r="236">
          <cell r="B236" t="str">
            <v>% +/-</v>
          </cell>
          <cell r="C236">
            <v>-1</v>
          </cell>
          <cell r="D236">
            <v>-1</v>
          </cell>
          <cell r="E236">
            <v>-1</v>
          </cell>
          <cell r="F236">
            <v>0</v>
          </cell>
          <cell r="G236">
            <v>-1.6283360957414731E-3</v>
          </cell>
          <cell r="H236">
            <v>-0.25220140767202803</v>
          </cell>
          <cell r="I236">
            <v>-0.24618306673068385</v>
          </cell>
          <cell r="J236">
            <v>-0.23399439275710643</v>
          </cell>
          <cell r="K236">
            <v>-0.23922968357926191</v>
          </cell>
          <cell r="L236">
            <v>-0.25084702243999391</v>
          </cell>
          <cell r="M236">
            <v>-0.26182951189152526</v>
          </cell>
          <cell r="N236">
            <v>-0.26594972864020788</v>
          </cell>
        </row>
        <row r="237">
          <cell r="A237" t="str">
            <v>Consensus - Vaccines &amp; Diagnostics</v>
          </cell>
          <cell r="G237">
            <v>1987.1203904513804</v>
          </cell>
          <cell r="H237">
            <v>2219.8263652509877</v>
          </cell>
          <cell r="I237">
            <v>2465.4469809065408</v>
          </cell>
          <cell r="J237">
            <v>2655.7297222164425</v>
          </cell>
          <cell r="K237">
            <v>2843.6547637684739</v>
          </cell>
        </row>
        <row r="238">
          <cell r="A238" t="str">
            <v xml:space="preserve">   MS vs consensus</v>
          </cell>
          <cell r="G238">
            <v>-6.0585383733657849E-5</v>
          </cell>
          <cell r="H238">
            <v>-0.28651094623898066</v>
          </cell>
          <cell r="I238">
            <v>-0.30174409880575614</v>
          </cell>
          <cell r="J238">
            <v>-0.28767655351024313</v>
          </cell>
          <cell r="K238">
            <v>-0.30015204501447035</v>
          </cell>
        </row>
        <row r="241">
          <cell r="A241" t="str">
            <v>Core EBIT</v>
          </cell>
          <cell r="B241" t="str">
            <v>new</v>
          </cell>
          <cell r="F241">
            <v>-75</v>
          </cell>
          <cell r="G241">
            <v>65</v>
          </cell>
          <cell r="H241">
            <v>10.901186080250113</v>
          </cell>
          <cell r="I241">
            <v>80.558235922332301</v>
          </cell>
          <cell r="J241">
            <v>158.36683085156824</v>
          </cell>
          <cell r="K241">
            <v>209.34009485553361</v>
          </cell>
          <cell r="L241">
            <v>266.86395386094887</v>
          </cell>
          <cell r="M241">
            <v>300.71811308278939</v>
          </cell>
          <cell r="N241">
            <v>314.59769226147864</v>
          </cell>
        </row>
        <row r="242">
          <cell r="B242" t="str">
            <v>old</v>
          </cell>
          <cell r="F242">
            <v>-75</v>
          </cell>
          <cell r="G242">
            <v>-15.057193029574137</v>
          </cell>
          <cell r="H242">
            <v>-15.782986719308838</v>
          </cell>
          <cell r="I242">
            <v>36.707208821838549</v>
          </cell>
          <cell r="J242">
            <v>115.83050823389908</v>
          </cell>
          <cell r="K242">
            <v>184.1880818546108</v>
          </cell>
          <cell r="L242">
            <v>245.96428619782932</v>
          </cell>
          <cell r="M242">
            <v>314.99210683624915</v>
          </cell>
          <cell r="N242">
            <v>314.99210683624915</v>
          </cell>
        </row>
        <row r="243">
          <cell r="B243" t="str">
            <v>% +/-</v>
          </cell>
          <cell r="F243">
            <v>0</v>
          </cell>
          <cell r="G243">
            <v>-5.3168736611353911</v>
          </cell>
          <cell r="H243">
            <v>-1.6906922165063758</v>
          </cell>
          <cell r="I243">
            <v>1.1946162213893274</v>
          </cell>
          <cell r="J243">
            <v>0.36722900785149476</v>
          </cell>
          <cell r="K243">
            <v>0.13655613733344915</v>
          </cell>
          <cell r="L243">
            <v>8.4970334458677951E-2</v>
          </cell>
          <cell r="M243">
            <v>-4.5315401382042243E-2</v>
          </cell>
          <cell r="N243">
            <v>-1.2521411369064784E-3</v>
          </cell>
        </row>
        <row r="244">
          <cell r="A244" t="str">
            <v>Consensus - Vaccines &amp; Diagnostics</v>
          </cell>
          <cell r="G244">
            <v>13.550000000000011</v>
          </cell>
          <cell r="H244">
            <v>139.01900863729804</v>
          </cell>
          <cell r="I244">
            <v>289.85259099849611</v>
          </cell>
          <cell r="J244">
            <v>381.93115997582277</v>
          </cell>
          <cell r="K244">
            <v>491.27655960895714</v>
          </cell>
        </row>
        <row r="245">
          <cell r="A245" t="str">
            <v xml:space="preserve">   MS vs consensus</v>
          </cell>
          <cell r="G245">
            <v>3.7970479704797011</v>
          </cell>
          <cell r="H245">
            <v>-0.92158492434159556</v>
          </cell>
          <cell r="I245">
            <v>-0.7220717067084963</v>
          </cell>
          <cell r="J245">
            <v>-0.58535242093995876</v>
          </cell>
          <cell r="K245">
            <v>-0.57388544036751377</v>
          </cell>
        </row>
        <row r="277">
          <cell r="H277" t="str">
            <v>Novartis- Detailed new estimates post Q213</v>
          </cell>
        </row>
        <row r="279">
          <cell r="H279" t="str">
            <v>$m</v>
          </cell>
          <cell r="I279" t="str">
            <v>2014e</v>
          </cell>
          <cell r="J279" t="str">
            <v>2015e</v>
          </cell>
          <cell r="K279" t="str">
            <v>2016e</v>
          </cell>
          <cell r="L279" t="str">
            <v>2017e</v>
          </cell>
          <cell r="M279" t="str">
            <v>2018e</v>
          </cell>
        </row>
        <row r="280">
          <cell r="H280" t="str">
            <v>Sales</v>
          </cell>
        </row>
        <row r="281">
          <cell r="H281" t="str">
            <v>Old</v>
          </cell>
          <cell r="I281">
            <v>57729.206642938138</v>
          </cell>
          <cell r="J281">
            <v>60156.073049796185</v>
          </cell>
          <cell r="K281">
            <v>63644.847389231094</v>
          </cell>
          <cell r="L281">
            <v>67820.520734689911</v>
          </cell>
          <cell r="M281">
            <v>71397.836960634362</v>
          </cell>
        </row>
        <row r="282">
          <cell r="H282" t="str">
            <v>New</v>
          </cell>
          <cell r="I282">
            <v>59065.971414844331</v>
          </cell>
          <cell r="J282">
            <v>60323.228122905137</v>
          </cell>
          <cell r="K282">
            <v>62244.448266743442</v>
          </cell>
          <cell r="L282">
            <v>64375.644958197125</v>
          </cell>
          <cell r="M282">
            <v>66721.303477296184</v>
          </cell>
        </row>
        <row r="283">
          <cell r="H283" t="str">
            <v>% Change</v>
          </cell>
          <cell r="I283">
            <v>2.3155779364407936E-2</v>
          </cell>
          <cell r="J283">
            <v>2.7786899083419581E-3</v>
          </cell>
          <cell r="K283">
            <v>-2.2003338525164007E-2</v>
          </cell>
          <cell r="L283">
            <v>-5.0794003631569717E-2</v>
          </cell>
          <cell r="M283">
            <v>-6.5499652124147878E-2</v>
          </cell>
        </row>
        <row r="285">
          <cell r="H285" t="str">
            <v>Core EBIT</v>
          </cell>
        </row>
        <row r="286">
          <cell r="H286" t="str">
            <v>Old</v>
          </cell>
          <cell r="I286">
            <v>13678.962851026652</v>
          </cell>
          <cell r="J286">
            <v>15060.22472345749</v>
          </cell>
          <cell r="K286">
            <v>16628.322855718878</v>
          </cell>
          <cell r="L286">
            <v>18831.807463344328</v>
          </cell>
          <cell r="M286">
            <v>20184.247391248638</v>
          </cell>
        </row>
        <row r="287">
          <cell r="H287" t="str">
            <v>New</v>
          </cell>
          <cell r="I287">
            <v>14745.133633023186</v>
          </cell>
          <cell r="J287">
            <v>15088.051697490882</v>
          </cell>
          <cell r="K287">
            <v>15690.715384084813</v>
          </cell>
          <cell r="L287">
            <v>16429.28988906751</v>
          </cell>
          <cell r="M287">
            <v>17267.781328375931</v>
          </cell>
        </row>
        <row r="288">
          <cell r="H288" t="str">
            <v>% Change</v>
          </cell>
          <cell r="I288">
            <v>7.7942369871741635E-2</v>
          </cell>
          <cell r="J288">
            <v>1.8477130683216547E-3</v>
          </cell>
          <cell r="K288">
            <v>-5.6386171941062546E-2</v>
          </cell>
          <cell r="L288">
            <v>-0.12757764112410686</v>
          </cell>
          <cell r="M288">
            <v>-0.14449218771155226</v>
          </cell>
        </row>
        <row r="290">
          <cell r="H290" t="str">
            <v>Core EPS ($/share)</v>
          </cell>
        </row>
        <row r="291">
          <cell r="H291" t="str">
            <v>Old</v>
          </cell>
          <cell r="I291">
            <v>4.8343349392956307</v>
          </cell>
          <cell r="J291">
            <v>5.4086513974172243</v>
          </cell>
          <cell r="K291">
            <v>6.0965501502465331</v>
          </cell>
          <cell r="L291">
            <v>7.0589774881393401</v>
          </cell>
          <cell r="M291">
            <v>7.7693937924253742</v>
          </cell>
        </row>
        <row r="292">
          <cell r="H292" t="str">
            <v>New</v>
          </cell>
          <cell r="I292">
            <v>5.3647375416336782</v>
          </cell>
          <cell r="J292">
            <v>5.6654186389614241</v>
          </cell>
          <cell r="K292">
            <v>5.9960549762800301</v>
          </cell>
          <cell r="L292">
            <v>6.3666189777091349</v>
          </cell>
          <cell r="M292">
            <v>6.7446182713107605</v>
          </cell>
        </row>
        <row r="293">
          <cell r="H293" t="str">
            <v>% Change</v>
          </cell>
          <cell r="I293">
            <v>0.10971573318735084</v>
          </cell>
          <cell r="J293">
            <v>4.7473431485492545E-2</v>
          </cell>
          <cell r="K293">
            <v>-1.6483941161779647E-2</v>
          </cell>
          <cell r="L293">
            <v>-9.8081983062493494E-2</v>
          </cell>
          <cell r="M293">
            <v>-0.13189903208583653</v>
          </cell>
        </row>
      </sheetData>
      <sheetData sheetId="3"/>
      <sheetData sheetId="4"/>
      <sheetData sheetId="5" refreshError="1">
        <row r="6">
          <cell r="B6" t="str">
            <v>Divisional Revenues ($m)</v>
          </cell>
        </row>
        <row r="54">
          <cell r="B54" t="str">
            <v xml:space="preserve">GROUP </v>
          </cell>
        </row>
        <row r="136">
          <cell r="L136">
            <v>1989</v>
          </cell>
        </row>
      </sheetData>
      <sheetData sheetId="6" refreshError="1">
        <row r="1">
          <cell r="A1" t="str">
            <v>Novartis</v>
          </cell>
        </row>
        <row r="3">
          <cell r="B3">
            <v>2006</v>
          </cell>
          <cell r="C3">
            <v>2007</v>
          </cell>
          <cell r="D3">
            <v>2008</v>
          </cell>
          <cell r="E3">
            <v>2009</v>
          </cell>
          <cell r="F3">
            <v>2010</v>
          </cell>
          <cell r="G3">
            <v>2011</v>
          </cell>
          <cell r="H3" t="str">
            <v>2012e</v>
          </cell>
          <cell r="I3" t="str">
            <v>2013e</v>
          </cell>
          <cell r="J3" t="str">
            <v>2014e</v>
          </cell>
          <cell r="K3" t="str">
            <v>2015e</v>
          </cell>
          <cell r="L3" t="str">
            <v>2016e</v>
          </cell>
          <cell r="M3" t="str">
            <v>2017e</v>
          </cell>
          <cell r="N3" t="str">
            <v>2018e</v>
          </cell>
          <cell r="O3" t="str">
            <v>2019e</v>
          </cell>
          <cell r="P3" t="str">
            <v>2020e</v>
          </cell>
        </row>
        <row r="4">
          <cell r="C4">
            <v>0.97</v>
          </cell>
          <cell r="G4">
            <v>1</v>
          </cell>
          <cell r="H4">
            <v>2</v>
          </cell>
          <cell r="I4">
            <v>3</v>
          </cell>
          <cell r="J4">
            <v>4</v>
          </cell>
          <cell r="K4">
            <v>5</v>
          </cell>
          <cell r="L4">
            <v>6</v>
          </cell>
          <cell r="M4">
            <v>7</v>
          </cell>
          <cell r="N4">
            <v>8</v>
          </cell>
          <cell r="O4">
            <v>9</v>
          </cell>
          <cell r="P4">
            <v>10</v>
          </cell>
        </row>
        <row r="5">
          <cell r="B5" t="str">
            <v>USD</v>
          </cell>
          <cell r="C5" t="str">
            <v>SFr</v>
          </cell>
          <cell r="D5" t="str">
            <v>2011 PE</v>
          </cell>
        </row>
        <row r="6">
          <cell r="A6" t="str">
            <v>Price Target</v>
          </cell>
          <cell r="B6">
            <v>66</v>
          </cell>
          <cell r="C6">
            <v>64.02</v>
          </cell>
        </row>
        <row r="7">
          <cell r="A7" t="str">
            <v>Base</v>
          </cell>
          <cell r="B7">
            <v>66</v>
          </cell>
          <cell r="C7">
            <v>64.02</v>
          </cell>
          <cell r="D7">
            <v>11.846982596248022</v>
          </cell>
        </row>
        <row r="8">
          <cell r="A8" t="str">
            <v>Bull</v>
          </cell>
          <cell r="B8" t="e">
            <v>#REF!</v>
          </cell>
          <cell r="C8" t="e">
            <v>#REF!</v>
          </cell>
          <cell r="D8" t="e">
            <v>#REF!</v>
          </cell>
        </row>
        <row r="9">
          <cell r="A9" t="str">
            <v>Bear</v>
          </cell>
          <cell r="B9" t="e">
            <v>#REF!</v>
          </cell>
          <cell r="C9" t="e">
            <v>#REF!</v>
          </cell>
          <cell r="D9" t="e">
            <v>#REF!</v>
          </cell>
        </row>
        <row r="12">
          <cell r="A12" t="str">
            <v xml:space="preserve">FTY720 </v>
          </cell>
        </row>
        <row r="13">
          <cell r="A13" t="str">
            <v>Sales</v>
          </cell>
          <cell r="C13" t="e">
            <v>#REF!</v>
          </cell>
          <cell r="D13" t="e">
            <v>#REF!</v>
          </cell>
          <cell r="E13" t="e">
            <v>#REF!</v>
          </cell>
          <cell r="F13" t="e">
            <v>#REF!</v>
          </cell>
          <cell r="G13" t="e">
            <v>#REF!</v>
          </cell>
          <cell r="H13" t="e">
            <v>#REF!</v>
          </cell>
          <cell r="I13" t="e">
            <v>#REF!</v>
          </cell>
          <cell r="J13" t="e">
            <v>#REF!</v>
          </cell>
          <cell r="K13" t="e">
            <v>#REF!</v>
          </cell>
          <cell r="L13" t="e">
            <v>#REF!</v>
          </cell>
          <cell r="M13" t="e">
            <v>#REF!</v>
          </cell>
          <cell r="N13" t="e">
            <v>#REF!</v>
          </cell>
          <cell r="O13" t="e">
            <v>#REF!</v>
          </cell>
          <cell r="P13" t="e">
            <v>#REF!</v>
          </cell>
          <cell r="R13" t="str">
            <v xml:space="preserve">Ke (%) </v>
          </cell>
          <cell r="S13">
            <v>8.5000000000000006E-2</v>
          </cell>
        </row>
        <row r="14">
          <cell r="A14" t="str">
            <v>EBIT margin</v>
          </cell>
          <cell r="C14">
            <v>0.4</v>
          </cell>
          <cell r="D14">
            <v>0.5</v>
          </cell>
          <cell r="E14">
            <v>0.7</v>
          </cell>
          <cell r="F14">
            <v>0.7</v>
          </cell>
          <cell r="G14">
            <v>0.7</v>
          </cell>
          <cell r="H14">
            <v>0.7</v>
          </cell>
          <cell r="I14">
            <v>0.7</v>
          </cell>
          <cell r="J14">
            <v>0.7</v>
          </cell>
          <cell r="K14">
            <v>0.7</v>
          </cell>
          <cell r="L14">
            <v>0.7</v>
          </cell>
          <cell r="M14">
            <v>0.7</v>
          </cell>
          <cell r="N14">
            <v>0.7</v>
          </cell>
          <cell r="O14">
            <v>0.7</v>
          </cell>
          <cell r="P14">
            <v>0.7</v>
          </cell>
          <cell r="R14" t="str">
            <v>NPV (11-20)</v>
          </cell>
          <cell r="S14" t="e">
            <v>#REF!</v>
          </cell>
        </row>
        <row r="15">
          <cell r="A15" t="str">
            <v>EBIT</v>
          </cell>
          <cell r="C15" t="e">
            <v>#REF!</v>
          </cell>
          <cell r="D15" t="e">
            <v>#REF!</v>
          </cell>
          <cell r="E15" t="e">
            <v>#REF!</v>
          </cell>
          <cell r="F15" t="e">
            <v>#REF!</v>
          </cell>
          <cell r="G15" t="e">
            <v>#REF!</v>
          </cell>
          <cell r="H15" t="e">
            <v>#REF!</v>
          </cell>
          <cell r="I15" t="e">
            <v>#REF!</v>
          </cell>
          <cell r="J15" t="e">
            <v>#REF!</v>
          </cell>
          <cell r="K15" t="e">
            <v>#REF!</v>
          </cell>
          <cell r="L15" t="e">
            <v>#REF!</v>
          </cell>
          <cell r="M15" t="e">
            <v>#REF!</v>
          </cell>
          <cell r="N15" t="e">
            <v>#REF!</v>
          </cell>
          <cell r="O15" t="e">
            <v>#REF!</v>
          </cell>
          <cell r="P15" t="e">
            <v>#REF!</v>
          </cell>
          <cell r="R15" t="str">
            <v>Terminal Value</v>
          </cell>
          <cell r="S15" t="e">
            <v>#REF!</v>
          </cell>
          <cell r="T15">
            <v>0</v>
          </cell>
        </row>
        <row r="16">
          <cell r="A16" t="str">
            <v>Tax</v>
          </cell>
          <cell r="C16">
            <v>0.1264859089087752</v>
          </cell>
          <cell r="D16">
            <v>0.14214278114693052</v>
          </cell>
          <cell r="E16">
            <v>0.1479540415238863</v>
          </cell>
          <cell r="F16">
            <v>0.14809434284737652</v>
          </cell>
          <cell r="G16">
            <v>0.14183607166063306</v>
          </cell>
          <cell r="H16">
            <v>0.14114416475972541</v>
          </cell>
          <cell r="I16">
            <v>0.1344201210992082</v>
          </cell>
          <cell r="J16">
            <v>0.14499999999999999</v>
          </cell>
          <cell r="K16">
            <v>0.14499999999999999</v>
          </cell>
          <cell r="L16">
            <v>0.14499999999999999</v>
          </cell>
          <cell r="M16">
            <v>0.14499999999999999</v>
          </cell>
          <cell r="N16">
            <v>0.14499999999999999</v>
          </cell>
          <cell r="O16">
            <v>0.14499999999999999</v>
          </cell>
          <cell r="P16">
            <v>0.14499999999999999</v>
          </cell>
          <cell r="R16" t="str">
            <v>Shares Outstanding</v>
          </cell>
          <cell r="S16">
            <v>2267.9</v>
          </cell>
        </row>
        <row r="17">
          <cell r="A17" t="str">
            <v>Net Income</v>
          </cell>
          <cell r="C17" t="e">
            <v>#REF!</v>
          </cell>
          <cell r="D17" t="e">
            <v>#REF!</v>
          </cell>
          <cell r="E17" t="e">
            <v>#REF!</v>
          </cell>
          <cell r="F17" t="e">
            <v>#REF!</v>
          </cell>
          <cell r="G17" t="e">
            <v>#REF!</v>
          </cell>
          <cell r="H17" t="e">
            <v>#REF!</v>
          </cell>
          <cell r="I17" t="e">
            <v>#REF!</v>
          </cell>
          <cell r="J17" t="e">
            <v>#REF!</v>
          </cell>
          <cell r="K17" t="e">
            <v>#REF!</v>
          </cell>
          <cell r="L17" t="e">
            <v>#REF!</v>
          </cell>
          <cell r="M17" t="e">
            <v>#REF!</v>
          </cell>
          <cell r="N17" t="e">
            <v>#REF!</v>
          </cell>
          <cell r="O17" t="e">
            <v>#REF!</v>
          </cell>
          <cell r="P17" t="e">
            <v>#REF!</v>
          </cell>
          <cell r="R17" t="str">
            <v>Value per share</v>
          </cell>
          <cell r="S17" t="e">
            <v>#REF!</v>
          </cell>
        </row>
        <row r="19">
          <cell r="A19" t="str">
            <v>FTY720 -Bull</v>
          </cell>
        </row>
        <row r="20">
          <cell r="A20" t="str">
            <v>Sales</v>
          </cell>
          <cell r="C20" t="e">
            <v>#REF!</v>
          </cell>
          <cell r="D20" t="e">
            <v>#REF!</v>
          </cell>
          <cell r="E20" t="e">
            <v>#REF!</v>
          </cell>
          <cell r="F20" t="e">
            <v>#REF!</v>
          </cell>
          <cell r="G20" t="e">
            <v>#REF!</v>
          </cell>
          <cell r="H20" t="e">
            <v>#REF!</v>
          </cell>
          <cell r="I20" t="e">
            <v>#REF!</v>
          </cell>
          <cell r="J20" t="e">
            <v>#REF!</v>
          </cell>
          <cell r="K20" t="e">
            <v>#REF!</v>
          </cell>
          <cell r="L20" t="e">
            <v>#REF!</v>
          </cell>
          <cell r="M20" t="e">
            <v>#REF!</v>
          </cell>
          <cell r="N20" t="e">
            <v>#REF!</v>
          </cell>
          <cell r="O20" t="e">
            <v>#REF!</v>
          </cell>
          <cell r="P20" t="e">
            <v>#REF!</v>
          </cell>
          <cell r="R20" t="str">
            <v xml:space="preserve">Ke (%) </v>
          </cell>
          <cell r="S20">
            <v>8.5000000000000006E-2</v>
          </cell>
        </row>
        <row r="21">
          <cell r="A21" t="str">
            <v>EBIT margin</v>
          </cell>
          <cell r="C21">
            <v>0.4</v>
          </cell>
          <cell r="D21">
            <v>0.5</v>
          </cell>
          <cell r="E21">
            <v>0.7</v>
          </cell>
          <cell r="F21">
            <v>0.7</v>
          </cell>
          <cell r="G21">
            <v>0.7</v>
          </cell>
          <cell r="H21">
            <v>0.7</v>
          </cell>
          <cell r="I21">
            <v>0.7</v>
          </cell>
          <cell r="J21">
            <v>0.7</v>
          </cell>
          <cell r="K21">
            <v>0.7</v>
          </cell>
          <cell r="L21">
            <v>0.7</v>
          </cell>
          <cell r="M21">
            <v>0.7</v>
          </cell>
          <cell r="N21">
            <v>0.7</v>
          </cell>
          <cell r="O21">
            <v>0.7</v>
          </cell>
          <cell r="P21">
            <v>0.7</v>
          </cell>
          <cell r="R21" t="str">
            <v>NPV (11-20)</v>
          </cell>
          <cell r="S21" t="e">
            <v>#REF!</v>
          </cell>
        </row>
        <row r="22">
          <cell r="A22" t="str">
            <v>EBIT</v>
          </cell>
          <cell r="C22" t="e">
            <v>#REF!</v>
          </cell>
          <cell r="D22" t="e">
            <v>#REF!</v>
          </cell>
          <cell r="E22" t="e">
            <v>#REF!</v>
          </cell>
          <cell r="F22" t="e">
            <v>#REF!</v>
          </cell>
          <cell r="G22" t="e">
            <v>#REF!</v>
          </cell>
          <cell r="H22" t="e">
            <v>#REF!</v>
          </cell>
          <cell r="I22" t="e">
            <v>#REF!</v>
          </cell>
          <cell r="J22" t="e">
            <v>#REF!</v>
          </cell>
          <cell r="K22" t="e">
            <v>#REF!</v>
          </cell>
          <cell r="L22" t="e">
            <v>#REF!</v>
          </cell>
          <cell r="M22" t="e">
            <v>#REF!</v>
          </cell>
          <cell r="N22" t="e">
            <v>#REF!</v>
          </cell>
          <cell r="O22" t="e">
            <v>#REF!</v>
          </cell>
          <cell r="P22" t="e">
            <v>#REF!</v>
          </cell>
          <cell r="R22" t="str">
            <v>Terminal Value</v>
          </cell>
          <cell r="S22" t="e">
            <v>#REF!</v>
          </cell>
          <cell r="T22">
            <v>0</v>
          </cell>
        </row>
        <row r="23">
          <cell r="A23" t="str">
            <v>Tax</v>
          </cell>
          <cell r="C23">
            <v>0.1264859089087752</v>
          </cell>
          <cell r="D23">
            <v>0.14214278114693052</v>
          </cell>
          <cell r="E23">
            <v>0.1479540415238863</v>
          </cell>
          <cell r="F23">
            <v>0.14809434284737652</v>
          </cell>
          <cell r="G23">
            <v>0.14183607166063306</v>
          </cell>
          <cell r="H23">
            <v>0.14114416475972541</v>
          </cell>
          <cell r="I23">
            <v>0.1344201210992082</v>
          </cell>
          <cell r="J23">
            <v>0.14499999999999999</v>
          </cell>
          <cell r="K23">
            <v>0.14499999999999999</v>
          </cell>
          <cell r="L23">
            <v>0.14499999999999999</v>
          </cell>
          <cell r="M23">
            <v>0.14499999999999999</v>
          </cell>
          <cell r="N23">
            <v>0.14499999999999999</v>
          </cell>
          <cell r="O23">
            <v>0.14499999999999999</v>
          </cell>
          <cell r="P23">
            <v>0.14499999999999999</v>
          </cell>
          <cell r="R23" t="str">
            <v>Shares Outstanding</v>
          </cell>
          <cell r="S23">
            <v>2267.9</v>
          </cell>
        </row>
        <row r="24">
          <cell r="A24" t="str">
            <v>Net Income</v>
          </cell>
          <cell r="C24" t="e">
            <v>#REF!</v>
          </cell>
          <cell r="D24" t="e">
            <v>#REF!</v>
          </cell>
          <cell r="E24" t="e">
            <v>#REF!</v>
          </cell>
          <cell r="F24" t="e">
            <v>#REF!</v>
          </cell>
          <cell r="G24" t="e">
            <v>#REF!</v>
          </cell>
          <cell r="H24" t="e">
            <v>#REF!</v>
          </cell>
          <cell r="I24" t="e">
            <v>#REF!</v>
          </cell>
          <cell r="J24" t="e">
            <v>#REF!</v>
          </cell>
          <cell r="K24" t="e">
            <v>#REF!</v>
          </cell>
          <cell r="L24" t="e">
            <v>#REF!</v>
          </cell>
          <cell r="M24" t="e">
            <v>#REF!</v>
          </cell>
          <cell r="N24" t="e">
            <v>#REF!</v>
          </cell>
          <cell r="O24" t="e">
            <v>#REF!</v>
          </cell>
          <cell r="P24" t="e">
            <v>#REF!</v>
          </cell>
          <cell r="R24" t="str">
            <v>Value per share</v>
          </cell>
          <cell r="S24" t="e">
            <v>#REF!</v>
          </cell>
        </row>
        <row r="26">
          <cell r="A26" t="str">
            <v>FTY720 -Bear</v>
          </cell>
        </row>
        <row r="27">
          <cell r="A27" t="str">
            <v>Sales</v>
          </cell>
          <cell r="G27" t="e">
            <v>#REF!</v>
          </cell>
          <cell r="H27" t="e">
            <v>#REF!</v>
          </cell>
          <cell r="I27" t="e">
            <v>#REF!</v>
          </cell>
          <cell r="J27" t="e">
            <v>#REF!</v>
          </cell>
          <cell r="K27" t="e">
            <v>#REF!</v>
          </cell>
          <cell r="L27" t="e">
            <v>#REF!</v>
          </cell>
          <cell r="M27" t="e">
            <v>#REF!</v>
          </cell>
          <cell r="N27" t="e">
            <v>#REF!</v>
          </cell>
          <cell r="O27" t="e">
            <v>#REF!</v>
          </cell>
          <cell r="P27" t="e">
            <v>#REF!</v>
          </cell>
          <cell r="R27" t="str">
            <v xml:space="preserve">Ke (%) </v>
          </cell>
          <cell r="S27">
            <v>8.5000000000000006E-2</v>
          </cell>
        </row>
        <row r="28">
          <cell r="A28" t="str">
            <v>EBIT margin</v>
          </cell>
          <cell r="C28">
            <v>0.4</v>
          </cell>
          <cell r="D28">
            <v>0.5</v>
          </cell>
          <cell r="E28">
            <v>0.7</v>
          </cell>
          <cell r="F28">
            <v>0.7</v>
          </cell>
          <cell r="G28">
            <v>0.7</v>
          </cell>
          <cell r="H28">
            <v>0.7</v>
          </cell>
          <cell r="I28">
            <v>0.7</v>
          </cell>
          <cell r="J28">
            <v>0.7</v>
          </cell>
          <cell r="K28">
            <v>0.7</v>
          </cell>
          <cell r="L28">
            <v>0.7</v>
          </cell>
          <cell r="M28">
            <v>0.7</v>
          </cell>
          <cell r="N28">
            <v>0.7</v>
          </cell>
          <cell r="O28">
            <v>0.7</v>
          </cell>
          <cell r="P28">
            <v>0.7</v>
          </cell>
          <cell r="R28" t="str">
            <v>NPV (11-20)</v>
          </cell>
          <cell r="S28" t="e">
            <v>#REF!</v>
          </cell>
        </row>
        <row r="29">
          <cell r="A29" t="str">
            <v>EBIT</v>
          </cell>
          <cell r="C29">
            <v>0</v>
          </cell>
          <cell r="D29">
            <v>0</v>
          </cell>
          <cell r="E29">
            <v>0</v>
          </cell>
          <cell r="F29">
            <v>0</v>
          </cell>
          <cell r="G29" t="e">
            <v>#REF!</v>
          </cell>
          <cell r="H29" t="e">
            <v>#REF!</v>
          </cell>
          <cell r="I29" t="e">
            <v>#REF!</v>
          </cell>
          <cell r="J29" t="e">
            <v>#REF!</v>
          </cell>
          <cell r="K29" t="e">
            <v>#REF!</v>
          </cell>
          <cell r="L29" t="e">
            <v>#REF!</v>
          </cell>
          <cell r="M29" t="e">
            <v>#REF!</v>
          </cell>
          <cell r="N29" t="e">
            <v>#REF!</v>
          </cell>
          <cell r="O29" t="e">
            <v>#REF!</v>
          </cell>
          <cell r="P29" t="e">
            <v>#REF!</v>
          </cell>
          <cell r="R29" t="str">
            <v>Terminal Value</v>
          </cell>
          <cell r="S29" t="e">
            <v>#REF!</v>
          </cell>
          <cell r="T29">
            <v>0</v>
          </cell>
        </row>
        <row r="30">
          <cell r="A30" t="str">
            <v>Tax</v>
          </cell>
          <cell r="C30">
            <v>0.1264859089087752</v>
          </cell>
          <cell r="D30">
            <v>0.14214278114693052</v>
          </cell>
          <cell r="E30">
            <v>0.1479540415238863</v>
          </cell>
          <cell r="F30">
            <v>0.14809434284737652</v>
          </cell>
          <cell r="G30">
            <v>0.14183607166063306</v>
          </cell>
          <cell r="H30">
            <v>0.14114416475972541</v>
          </cell>
          <cell r="I30">
            <v>0.1344201210992082</v>
          </cell>
          <cell r="J30">
            <v>0.14499999999999999</v>
          </cell>
          <cell r="K30">
            <v>0.14499999999999999</v>
          </cell>
          <cell r="L30">
            <v>0.14499999999999999</v>
          </cell>
          <cell r="M30">
            <v>0.14499999999999999</v>
          </cell>
          <cell r="N30">
            <v>0.14499999999999999</v>
          </cell>
          <cell r="O30">
            <v>0.14499999999999999</v>
          </cell>
          <cell r="P30">
            <v>0.14499999999999999</v>
          </cell>
          <cell r="R30" t="str">
            <v>Shares Outstanding</v>
          </cell>
          <cell r="S30">
            <v>2267.9</v>
          </cell>
        </row>
        <row r="31">
          <cell r="A31" t="str">
            <v>Net Income</v>
          </cell>
          <cell r="C31">
            <v>0</v>
          </cell>
          <cell r="D31">
            <v>0</v>
          </cell>
          <cell r="E31">
            <v>0</v>
          </cell>
          <cell r="F31">
            <v>0</v>
          </cell>
          <cell r="G31" t="e">
            <v>#REF!</v>
          </cell>
          <cell r="H31" t="e">
            <v>#REF!</v>
          </cell>
          <cell r="I31" t="e">
            <v>#REF!</v>
          </cell>
          <cell r="J31" t="e">
            <v>#REF!</v>
          </cell>
          <cell r="K31" t="e">
            <v>#REF!</v>
          </cell>
          <cell r="L31" t="e">
            <v>#REF!</v>
          </cell>
          <cell r="M31" t="e">
            <v>#REF!</v>
          </cell>
          <cell r="N31" t="e">
            <v>#REF!</v>
          </cell>
          <cell r="O31" t="e">
            <v>#REF!</v>
          </cell>
          <cell r="P31" t="e">
            <v>#REF!</v>
          </cell>
          <cell r="R31" t="str">
            <v>Value per share</v>
          </cell>
          <cell r="S31" t="e">
            <v>#REF!</v>
          </cell>
        </row>
        <row r="33">
          <cell r="A33" t="str">
            <v>Gleevec+Tasigna</v>
          </cell>
        </row>
        <row r="34">
          <cell r="A34" t="str">
            <v>Sales</v>
          </cell>
          <cell r="C34">
            <v>3050</v>
          </cell>
          <cell r="D34">
            <v>3759</v>
          </cell>
          <cell r="E34">
            <v>4156</v>
          </cell>
          <cell r="F34">
            <v>4664</v>
          </cell>
          <cell r="G34">
            <v>5375</v>
          </cell>
          <cell r="H34">
            <v>5673</v>
          </cell>
          <cell r="I34">
            <v>5959</v>
          </cell>
          <cell r="J34">
            <v>6154.5348964309869</v>
          </cell>
          <cell r="K34">
            <v>5212.4520040515217</v>
          </cell>
          <cell r="L34">
            <v>3592.8143495226518</v>
          </cell>
          <cell r="M34">
            <v>2946.6775577086637</v>
          </cell>
          <cell r="N34">
            <v>2857.97853622812</v>
          </cell>
          <cell r="O34">
            <v>2776.4582509768575</v>
          </cell>
          <cell r="P34">
            <v>2730.0064071448087</v>
          </cell>
          <cell r="R34" t="str">
            <v xml:space="preserve">Ke (%) </v>
          </cell>
          <cell r="S34">
            <v>8.5000000000000006E-2</v>
          </cell>
        </row>
        <row r="35">
          <cell r="A35" t="str">
            <v>EBIT margin</v>
          </cell>
          <cell r="C35">
            <v>0.85</v>
          </cell>
          <cell r="D35">
            <v>0.85</v>
          </cell>
          <cell r="E35">
            <v>0.85</v>
          </cell>
          <cell r="F35">
            <v>0.85</v>
          </cell>
          <cell r="G35">
            <v>0.85</v>
          </cell>
          <cell r="H35">
            <v>0.85</v>
          </cell>
          <cell r="I35">
            <v>0.85</v>
          </cell>
          <cell r="J35">
            <v>0.85</v>
          </cell>
          <cell r="K35">
            <v>0.85</v>
          </cell>
          <cell r="L35">
            <v>0.85</v>
          </cell>
          <cell r="M35">
            <v>0.85</v>
          </cell>
          <cell r="N35">
            <v>0.85</v>
          </cell>
          <cell r="O35">
            <v>0.85</v>
          </cell>
          <cell r="P35">
            <v>0.85</v>
          </cell>
          <cell r="R35" t="str">
            <v>NPV (11-20)</v>
          </cell>
          <cell r="S35">
            <v>24419.140310331353</v>
          </cell>
        </row>
        <row r="36">
          <cell r="A36" t="str">
            <v>EBIT</v>
          </cell>
          <cell r="C36">
            <v>2592.5</v>
          </cell>
          <cell r="D36">
            <v>3195.15</v>
          </cell>
          <cell r="E36">
            <v>3532.6</v>
          </cell>
          <cell r="F36">
            <v>3964.4</v>
          </cell>
          <cell r="G36">
            <v>4568.75</v>
          </cell>
          <cell r="H36">
            <v>4822.05</v>
          </cell>
          <cell r="I36">
            <v>5065.1499999999996</v>
          </cell>
          <cell r="J36">
            <v>5231.3546619663384</v>
          </cell>
          <cell r="K36">
            <v>4430.5842034437937</v>
          </cell>
          <cell r="L36">
            <v>3053.8921970942538</v>
          </cell>
          <cell r="M36">
            <v>2504.6759240523643</v>
          </cell>
          <cell r="N36">
            <v>2429.281755793902</v>
          </cell>
          <cell r="O36">
            <v>2359.9895133303289</v>
          </cell>
          <cell r="P36">
            <v>2320.5054460730871</v>
          </cell>
          <cell r="R36" t="str">
            <v>Terminal Value</v>
          </cell>
          <cell r="S36">
            <v>2736.8685714981625</v>
          </cell>
          <cell r="T36">
            <v>-0.2</v>
          </cell>
        </row>
        <row r="37">
          <cell r="A37" t="str">
            <v>Tax</v>
          </cell>
          <cell r="C37">
            <v>0.05</v>
          </cell>
          <cell r="D37">
            <v>0.05</v>
          </cell>
          <cell r="E37">
            <v>0.05</v>
          </cell>
          <cell r="F37">
            <v>0.05</v>
          </cell>
          <cell r="G37">
            <v>0.05</v>
          </cell>
          <cell r="H37">
            <v>0.05</v>
          </cell>
          <cell r="I37">
            <v>0.05</v>
          </cell>
          <cell r="J37">
            <v>0.05</v>
          </cell>
          <cell r="K37">
            <v>0.05</v>
          </cell>
          <cell r="L37">
            <v>0.05</v>
          </cell>
          <cell r="M37">
            <v>0.05</v>
          </cell>
          <cell r="N37">
            <v>0.05</v>
          </cell>
          <cell r="O37">
            <v>0.05</v>
          </cell>
          <cell r="P37">
            <v>0.05</v>
          </cell>
          <cell r="R37" t="str">
            <v>Shares Outstanding</v>
          </cell>
          <cell r="S37">
            <v>2267.9</v>
          </cell>
        </row>
        <row r="38">
          <cell r="A38" t="str">
            <v>Net Income</v>
          </cell>
          <cell r="C38">
            <v>2462.875</v>
          </cell>
          <cell r="D38">
            <v>3035.3924999999999</v>
          </cell>
          <cell r="E38">
            <v>3355.97</v>
          </cell>
          <cell r="F38">
            <v>3766.18</v>
          </cell>
          <cell r="G38">
            <v>4340.3125</v>
          </cell>
          <cell r="H38">
            <v>4580.9475000000002</v>
          </cell>
          <cell r="I38">
            <v>4811.892499999999</v>
          </cell>
          <cell r="J38">
            <v>4969.7869288680213</v>
          </cell>
          <cell r="K38">
            <v>4209.054993271604</v>
          </cell>
          <cell r="L38">
            <v>2901.197587239541</v>
          </cell>
          <cell r="M38">
            <v>2379.4421278497462</v>
          </cell>
          <cell r="N38">
            <v>2307.817668004207</v>
          </cell>
          <cell r="O38">
            <v>2241.9900376638125</v>
          </cell>
          <cell r="P38">
            <v>2204.4801737694324</v>
          </cell>
          <cell r="R38" t="str">
            <v>Value per share</v>
          </cell>
          <cell r="S38">
            <v>11.974076847228499</v>
          </cell>
        </row>
        <row r="40">
          <cell r="A40" t="str">
            <v>Gleevec+Tasigna-Bull</v>
          </cell>
        </row>
        <row r="41">
          <cell r="A41" t="str">
            <v>Sales</v>
          </cell>
          <cell r="C41">
            <v>3965</v>
          </cell>
          <cell r="D41">
            <v>4886.7</v>
          </cell>
          <cell r="E41">
            <v>5402.8</v>
          </cell>
          <cell r="F41">
            <v>6063.2</v>
          </cell>
          <cell r="G41">
            <v>6987.5</v>
          </cell>
          <cell r="H41">
            <v>7374.9000000000005</v>
          </cell>
          <cell r="I41">
            <v>7746.7</v>
          </cell>
          <cell r="J41">
            <v>8000.895365360283</v>
          </cell>
          <cell r="K41">
            <v>6776.1876052669786</v>
          </cell>
          <cell r="L41">
            <v>4670.6586543794474</v>
          </cell>
          <cell r="M41">
            <v>3830.680825021263</v>
          </cell>
          <cell r="N41">
            <v>3715.372097096556</v>
          </cell>
          <cell r="O41">
            <v>3609.395726269915</v>
          </cell>
          <cell r="P41">
            <v>3549.0083292882514</v>
          </cell>
          <cell r="R41" t="str">
            <v xml:space="preserve">Ke (%) </v>
          </cell>
          <cell r="S41">
            <v>8.5000000000000006E-2</v>
          </cell>
        </row>
        <row r="42">
          <cell r="A42" t="str">
            <v>EBIT margin</v>
          </cell>
          <cell r="C42">
            <v>0.85</v>
          </cell>
          <cell r="D42">
            <v>0.85</v>
          </cell>
          <cell r="E42">
            <v>0.85</v>
          </cell>
          <cell r="F42">
            <v>0.85</v>
          </cell>
          <cell r="G42">
            <v>0.85</v>
          </cell>
          <cell r="H42">
            <v>0.85</v>
          </cell>
          <cell r="I42">
            <v>0.85</v>
          </cell>
          <cell r="J42">
            <v>0.85</v>
          </cell>
          <cell r="K42">
            <v>0.85</v>
          </cell>
          <cell r="L42">
            <v>0.85</v>
          </cell>
          <cell r="M42">
            <v>0.85</v>
          </cell>
          <cell r="N42">
            <v>0.85</v>
          </cell>
          <cell r="O42">
            <v>0.85</v>
          </cell>
          <cell r="P42">
            <v>0.85</v>
          </cell>
          <cell r="R42" t="str">
            <v>NPV (11-20)</v>
          </cell>
          <cell r="S42">
            <v>31744.882403430758</v>
          </cell>
        </row>
        <row r="43">
          <cell r="A43" t="str">
            <v>EBIT</v>
          </cell>
          <cell r="C43">
            <v>3370.25</v>
          </cell>
          <cell r="D43">
            <v>4153.6949999999997</v>
          </cell>
          <cell r="E43">
            <v>4592.38</v>
          </cell>
          <cell r="F43">
            <v>5153.7199999999993</v>
          </cell>
          <cell r="G43">
            <v>5939.375</v>
          </cell>
          <cell r="H43">
            <v>6268.665</v>
          </cell>
          <cell r="I43">
            <v>6584.6949999999997</v>
          </cell>
          <cell r="J43">
            <v>6800.7610605562404</v>
          </cell>
          <cell r="K43">
            <v>5759.7594644769315</v>
          </cell>
          <cell r="L43">
            <v>3970.05985622253</v>
          </cell>
          <cell r="M43">
            <v>3256.0787012680735</v>
          </cell>
          <cell r="N43">
            <v>3158.0662825320724</v>
          </cell>
          <cell r="O43">
            <v>3067.9863673294276</v>
          </cell>
          <cell r="P43">
            <v>3016.6570798950138</v>
          </cell>
          <cell r="R43" t="str">
            <v>Terminal Value</v>
          </cell>
          <cell r="S43">
            <v>6166.2758457166392</v>
          </cell>
          <cell r="T43">
            <v>-0.1</v>
          </cell>
        </row>
        <row r="44">
          <cell r="A44" t="str">
            <v>Tax</v>
          </cell>
          <cell r="C44">
            <v>0.05</v>
          </cell>
          <cell r="D44">
            <v>0.05</v>
          </cell>
          <cell r="E44">
            <v>0.05</v>
          </cell>
          <cell r="F44">
            <v>0.05</v>
          </cell>
          <cell r="G44">
            <v>0.05</v>
          </cell>
          <cell r="H44">
            <v>0.05</v>
          </cell>
          <cell r="I44">
            <v>0.05</v>
          </cell>
          <cell r="J44">
            <v>0.05</v>
          </cell>
          <cell r="K44">
            <v>0.05</v>
          </cell>
          <cell r="L44">
            <v>0.05</v>
          </cell>
          <cell r="M44">
            <v>0.05</v>
          </cell>
          <cell r="N44">
            <v>0.05</v>
          </cell>
          <cell r="O44">
            <v>0.05</v>
          </cell>
          <cell r="P44">
            <v>0.05</v>
          </cell>
          <cell r="R44" t="str">
            <v>Shares Outstanding</v>
          </cell>
          <cell r="S44">
            <v>2267.9</v>
          </cell>
        </row>
        <row r="45">
          <cell r="A45" t="str">
            <v>Net Income</v>
          </cell>
          <cell r="C45">
            <v>3201.7374999999997</v>
          </cell>
          <cell r="D45">
            <v>3946.0102499999994</v>
          </cell>
          <cell r="E45">
            <v>4362.7609999999995</v>
          </cell>
          <cell r="F45">
            <v>4896.0339999999987</v>
          </cell>
          <cell r="G45">
            <v>5642.40625</v>
          </cell>
          <cell r="H45">
            <v>5955.2317499999999</v>
          </cell>
          <cell r="I45">
            <v>6255.4602499999992</v>
          </cell>
          <cell r="J45">
            <v>6460.7230075284278</v>
          </cell>
          <cell r="K45">
            <v>5471.7714912530846</v>
          </cell>
          <cell r="L45">
            <v>3771.5568634114034</v>
          </cell>
          <cell r="M45">
            <v>3093.2747662046695</v>
          </cell>
          <cell r="N45">
            <v>3000.1629684054687</v>
          </cell>
          <cell r="O45">
            <v>2914.587048962956</v>
          </cell>
          <cell r="P45">
            <v>2865.8242259002632</v>
          </cell>
          <cell r="R45" t="str">
            <v>Value per share</v>
          </cell>
          <cell r="S45">
            <v>16.716415295712949</v>
          </cell>
        </row>
        <row r="47">
          <cell r="A47" t="str">
            <v>Gleevec+Tasigna-Bear</v>
          </cell>
        </row>
        <row r="48">
          <cell r="A48" t="str">
            <v>Sales</v>
          </cell>
          <cell r="C48">
            <v>1830</v>
          </cell>
          <cell r="D48">
            <v>2255.4</v>
          </cell>
          <cell r="E48">
            <v>2493.6</v>
          </cell>
          <cell r="F48">
            <v>2798.4</v>
          </cell>
          <cell r="G48">
            <v>3762.4999999999995</v>
          </cell>
          <cell r="H48">
            <v>3971.1</v>
          </cell>
          <cell r="I48">
            <v>4171.3</v>
          </cell>
          <cell r="J48">
            <v>4308.1744275016908</v>
          </cell>
          <cell r="K48">
            <v>3648.7164028360648</v>
          </cell>
          <cell r="L48">
            <v>2514.9700446658562</v>
          </cell>
          <cell r="M48">
            <v>2062.6742903960644</v>
          </cell>
          <cell r="N48">
            <v>2000.5849753596838</v>
          </cell>
          <cell r="O48">
            <v>1943.5207756838001</v>
          </cell>
          <cell r="P48">
            <v>1911.004485001366</v>
          </cell>
          <cell r="R48" t="str">
            <v xml:space="preserve">Ke (%) </v>
          </cell>
          <cell r="S48">
            <v>8.5000000000000006E-2</v>
          </cell>
        </row>
        <row r="49">
          <cell r="A49" t="str">
            <v>EBIT margin</v>
          </cell>
          <cell r="C49">
            <v>0.85</v>
          </cell>
          <cell r="D49">
            <v>0.85</v>
          </cell>
          <cell r="E49">
            <v>0.85</v>
          </cell>
          <cell r="F49">
            <v>0.85</v>
          </cell>
          <cell r="G49">
            <v>0.8</v>
          </cell>
          <cell r="H49">
            <v>0.8</v>
          </cell>
          <cell r="I49">
            <v>0.8</v>
          </cell>
          <cell r="J49">
            <v>0.8</v>
          </cell>
          <cell r="K49">
            <v>0.8</v>
          </cell>
          <cell r="L49">
            <v>0.8</v>
          </cell>
          <cell r="M49">
            <v>0.8</v>
          </cell>
          <cell r="N49">
            <v>0.8</v>
          </cell>
          <cell r="O49">
            <v>0.8</v>
          </cell>
          <cell r="P49">
            <v>0.8</v>
          </cell>
          <cell r="R49" t="str">
            <v>NPV (11-20)</v>
          </cell>
          <cell r="S49">
            <v>16087.904204453598</v>
          </cell>
        </row>
        <row r="50">
          <cell r="A50" t="str">
            <v>EBIT</v>
          </cell>
          <cell r="C50">
            <v>1555.5</v>
          </cell>
          <cell r="D50">
            <v>1917.09</v>
          </cell>
          <cell r="E50">
            <v>2119.56</v>
          </cell>
          <cell r="F50">
            <v>2378.64</v>
          </cell>
          <cell r="G50">
            <v>3010</v>
          </cell>
          <cell r="H50">
            <v>3176.88</v>
          </cell>
          <cell r="I50">
            <v>3337.0400000000004</v>
          </cell>
          <cell r="J50">
            <v>3446.5395420013529</v>
          </cell>
          <cell r="K50">
            <v>2918.973122268852</v>
          </cell>
          <cell r="L50">
            <v>2011.976035732685</v>
          </cell>
          <cell r="M50">
            <v>1650.1394323168515</v>
          </cell>
          <cell r="N50">
            <v>1600.4679802877472</v>
          </cell>
          <cell r="O50">
            <v>1554.8166205470402</v>
          </cell>
          <cell r="P50">
            <v>1528.803588001093</v>
          </cell>
          <cell r="R50" t="str">
            <v>Terminal Value</v>
          </cell>
          <cell r="S50">
            <v>1803.1134118105547</v>
          </cell>
          <cell r="T50">
            <v>-0.2</v>
          </cell>
        </row>
        <row r="51">
          <cell r="A51" t="str">
            <v>Tax</v>
          </cell>
          <cell r="C51">
            <v>0.05</v>
          </cell>
          <cell r="D51">
            <v>0.05</v>
          </cell>
          <cell r="E51">
            <v>0.05</v>
          </cell>
          <cell r="F51">
            <v>0.05</v>
          </cell>
          <cell r="G51">
            <v>0.05</v>
          </cell>
          <cell r="H51">
            <v>0.05</v>
          </cell>
          <cell r="I51">
            <v>0.05</v>
          </cell>
          <cell r="J51">
            <v>0.05</v>
          </cell>
          <cell r="K51">
            <v>0.05</v>
          </cell>
          <cell r="L51">
            <v>0.05</v>
          </cell>
          <cell r="M51">
            <v>0.05</v>
          </cell>
          <cell r="N51">
            <v>0.05</v>
          </cell>
          <cell r="O51">
            <v>0.05</v>
          </cell>
          <cell r="P51">
            <v>0.05</v>
          </cell>
          <cell r="R51" t="str">
            <v>Shares Outstanding</v>
          </cell>
          <cell r="S51">
            <v>2267.9</v>
          </cell>
        </row>
        <row r="52">
          <cell r="A52" t="str">
            <v>Net Income</v>
          </cell>
          <cell r="C52">
            <v>1477.7249999999999</v>
          </cell>
          <cell r="D52">
            <v>1821.2354999999998</v>
          </cell>
          <cell r="E52">
            <v>2013.5819999999999</v>
          </cell>
          <cell r="F52">
            <v>2259.7079999999996</v>
          </cell>
          <cell r="G52">
            <v>2859.5</v>
          </cell>
          <cell r="H52">
            <v>3018.0360000000001</v>
          </cell>
          <cell r="I52">
            <v>3170.1880000000001</v>
          </cell>
          <cell r="J52">
            <v>3274.2125649012851</v>
          </cell>
          <cell r="K52">
            <v>2773.0244661554093</v>
          </cell>
          <cell r="L52">
            <v>1911.3772339460506</v>
          </cell>
          <cell r="M52">
            <v>1567.6324607010088</v>
          </cell>
          <cell r="N52">
            <v>1520.4445812733597</v>
          </cell>
          <cell r="O52">
            <v>1477.0757895196882</v>
          </cell>
          <cell r="P52">
            <v>1452.3634086010384</v>
          </cell>
          <cell r="R52" t="str">
            <v>Value per share</v>
          </cell>
          <cell r="S52">
            <v>7.8888035699387764</v>
          </cell>
        </row>
        <row r="54">
          <cell r="A54" t="str">
            <v>Tekturna</v>
          </cell>
        </row>
        <row r="55">
          <cell r="A55" t="str">
            <v>Sales</v>
          </cell>
          <cell r="C55">
            <v>40</v>
          </cell>
          <cell r="D55">
            <v>144</v>
          </cell>
          <cell r="E55">
            <v>290</v>
          </cell>
          <cell r="F55">
            <v>438</v>
          </cell>
          <cell r="G55">
            <v>557</v>
          </cell>
          <cell r="H55">
            <v>383</v>
          </cell>
          <cell r="I55">
            <v>290</v>
          </cell>
          <cell r="J55">
            <v>261.62658863955824</v>
          </cell>
          <cell r="K55">
            <v>214.92125920758031</v>
          </cell>
          <cell r="L55">
            <v>187.36319624720127</v>
          </cell>
          <cell r="M55">
            <v>169.5890364348412</v>
          </cell>
          <cell r="N55">
            <v>134.73722914787297</v>
          </cell>
          <cell r="O55">
            <v>102.88628331829837</v>
          </cell>
          <cell r="P55">
            <v>82.04750665463871</v>
          </cell>
          <cell r="R55" t="str">
            <v xml:space="preserve">Ke (%) </v>
          </cell>
          <cell r="S55">
            <v>8.5000000000000006E-2</v>
          </cell>
        </row>
        <row r="56">
          <cell r="A56" t="str">
            <v>EBIT margin</v>
          </cell>
          <cell r="C56">
            <v>0.7</v>
          </cell>
          <cell r="D56">
            <v>0.7</v>
          </cell>
          <cell r="E56">
            <v>0.7</v>
          </cell>
          <cell r="F56">
            <v>0.7</v>
          </cell>
          <cell r="G56">
            <v>0.7</v>
          </cell>
          <cell r="H56">
            <v>0.7</v>
          </cell>
          <cell r="I56">
            <v>0.7</v>
          </cell>
          <cell r="J56">
            <v>0.7</v>
          </cell>
          <cell r="K56">
            <v>0.7</v>
          </cell>
          <cell r="L56">
            <v>0.7</v>
          </cell>
          <cell r="M56">
            <v>0.7</v>
          </cell>
          <cell r="N56">
            <v>0.7</v>
          </cell>
          <cell r="O56">
            <v>0.7</v>
          </cell>
          <cell r="P56">
            <v>0.7</v>
          </cell>
          <cell r="R56" t="str">
            <v>NPV (11-20)</v>
          </cell>
          <cell r="S56">
            <v>1059.4073933580503</v>
          </cell>
        </row>
        <row r="57">
          <cell r="A57" t="str">
            <v>EBIT</v>
          </cell>
          <cell r="C57">
            <v>28</v>
          </cell>
          <cell r="D57">
            <v>100.8</v>
          </cell>
          <cell r="E57">
            <v>203</v>
          </cell>
          <cell r="F57">
            <v>306.59999999999997</v>
          </cell>
          <cell r="G57">
            <v>389.9</v>
          </cell>
          <cell r="H57">
            <v>268.09999999999997</v>
          </cell>
          <cell r="I57">
            <v>203</v>
          </cell>
          <cell r="J57">
            <v>183.13861204769074</v>
          </cell>
          <cell r="K57">
            <v>150.44488144530621</v>
          </cell>
          <cell r="L57">
            <v>131.15423737304087</v>
          </cell>
          <cell r="M57">
            <v>118.71232550438883</v>
          </cell>
          <cell r="N57">
            <v>94.316060403511074</v>
          </cell>
          <cell r="O57">
            <v>72.020398322808859</v>
          </cell>
          <cell r="P57">
            <v>57.433254658247094</v>
          </cell>
          <cell r="R57" t="str">
            <v>Terminal Value</v>
          </cell>
          <cell r="S57">
            <v>60.964538096262025</v>
          </cell>
          <cell r="T57">
            <v>-0.2</v>
          </cell>
        </row>
        <row r="58">
          <cell r="A58" t="str">
            <v>Tax</v>
          </cell>
          <cell r="C58">
            <v>0.1264859089087752</v>
          </cell>
          <cell r="D58">
            <v>0.14214278114693052</v>
          </cell>
          <cell r="E58">
            <v>0.1479540415238863</v>
          </cell>
          <cell r="F58">
            <v>0.14809434284737652</v>
          </cell>
          <cell r="G58">
            <v>0.14183607166063306</v>
          </cell>
          <cell r="H58">
            <v>0.14114416475972541</v>
          </cell>
          <cell r="I58">
            <v>0.1344201210992082</v>
          </cell>
          <cell r="J58">
            <v>0.14499999999999999</v>
          </cell>
          <cell r="K58">
            <v>0.14499999999999999</v>
          </cell>
          <cell r="L58">
            <v>0.14499999999999999</v>
          </cell>
          <cell r="M58">
            <v>0.14499999999999999</v>
          </cell>
          <cell r="N58">
            <v>0.14499999999999999</v>
          </cell>
          <cell r="O58">
            <v>0.14499999999999999</v>
          </cell>
          <cell r="P58">
            <v>0.14499999999999999</v>
          </cell>
          <cell r="R58" t="str">
            <v>Shares Outstanding</v>
          </cell>
          <cell r="S58">
            <v>2267.9</v>
          </cell>
        </row>
        <row r="59">
          <cell r="A59" t="str">
            <v>Net Income</v>
          </cell>
          <cell r="C59">
            <v>24.458394550554296</v>
          </cell>
          <cell r="D59">
            <v>86.472007660389409</v>
          </cell>
          <cell r="E59">
            <v>172.96532957065108</v>
          </cell>
          <cell r="F59">
            <v>261.19427448299433</v>
          </cell>
          <cell r="G59">
            <v>334.59811565951912</v>
          </cell>
          <cell r="H59">
            <v>230.25924942791761</v>
          </cell>
          <cell r="I59">
            <v>175.71271541686073</v>
          </cell>
          <cell r="J59">
            <v>156.58351330077559</v>
          </cell>
          <cell r="K59">
            <v>128.63037363573682</v>
          </cell>
          <cell r="L59">
            <v>112.13687295394995</v>
          </cell>
          <cell r="M59">
            <v>101.49903830625244</v>
          </cell>
          <cell r="N59">
            <v>80.640231645001961</v>
          </cell>
          <cell r="O59">
            <v>61.57744056600157</v>
          </cell>
          <cell r="P59">
            <v>49.105432732801262</v>
          </cell>
          <cell r="R59" t="str">
            <v>Value per share</v>
          </cell>
          <cell r="S59">
            <v>0.49401293331024837</v>
          </cell>
        </row>
        <row r="61">
          <cell r="A61" t="str">
            <v>Tekturna-Bull</v>
          </cell>
        </row>
        <row r="62">
          <cell r="A62" t="str">
            <v>Sales</v>
          </cell>
          <cell r="C62">
            <v>40</v>
          </cell>
          <cell r="D62">
            <v>144</v>
          </cell>
          <cell r="E62">
            <v>290</v>
          </cell>
          <cell r="F62">
            <v>600</v>
          </cell>
          <cell r="G62">
            <v>1000</v>
          </cell>
          <cell r="H62">
            <v>1300</v>
          </cell>
          <cell r="I62">
            <v>1600</v>
          </cell>
          <cell r="J62">
            <v>1800</v>
          </cell>
          <cell r="K62">
            <v>1600</v>
          </cell>
          <cell r="L62">
            <v>800</v>
          </cell>
          <cell r="M62">
            <v>640</v>
          </cell>
          <cell r="N62">
            <v>512</v>
          </cell>
          <cell r="O62">
            <v>409.6</v>
          </cell>
          <cell r="P62">
            <v>327.68000000000006</v>
          </cell>
          <cell r="R62" t="str">
            <v xml:space="preserve">Ke (%) </v>
          </cell>
          <cell r="S62">
            <v>8.5000000000000006E-2</v>
          </cell>
        </row>
        <row r="63">
          <cell r="A63" t="str">
            <v>EBIT margin</v>
          </cell>
          <cell r="C63">
            <v>0.7</v>
          </cell>
          <cell r="D63">
            <v>0.7</v>
          </cell>
          <cell r="E63">
            <v>0.7</v>
          </cell>
          <cell r="F63">
            <v>0.7</v>
          </cell>
          <cell r="G63">
            <v>0.7</v>
          </cell>
          <cell r="H63">
            <v>0.7</v>
          </cell>
          <cell r="I63">
            <v>0.7</v>
          </cell>
          <cell r="J63">
            <v>0.7</v>
          </cell>
          <cell r="K63">
            <v>0.7</v>
          </cell>
          <cell r="L63">
            <v>0.7</v>
          </cell>
          <cell r="M63">
            <v>0.7</v>
          </cell>
          <cell r="N63">
            <v>0.7</v>
          </cell>
          <cell r="O63">
            <v>0.7</v>
          </cell>
          <cell r="P63">
            <v>0.7</v>
          </cell>
          <cell r="R63" t="str">
            <v>NPV (11-20)</v>
          </cell>
          <cell r="S63">
            <v>4264.5398495899472</v>
          </cell>
        </row>
        <row r="64">
          <cell r="A64" t="str">
            <v>EBIT</v>
          </cell>
          <cell r="C64">
            <v>28</v>
          </cell>
          <cell r="D64">
            <v>100.8</v>
          </cell>
          <cell r="E64">
            <v>203</v>
          </cell>
          <cell r="F64">
            <v>420</v>
          </cell>
          <cell r="G64">
            <v>700</v>
          </cell>
          <cell r="H64">
            <v>909.99999999999989</v>
          </cell>
          <cell r="I64">
            <v>1120</v>
          </cell>
          <cell r="J64">
            <v>1260</v>
          </cell>
          <cell r="K64">
            <v>1120</v>
          </cell>
          <cell r="L64">
            <v>560</v>
          </cell>
          <cell r="M64">
            <v>448</v>
          </cell>
          <cell r="N64">
            <v>358.4</v>
          </cell>
          <cell r="O64">
            <v>286.71999999999997</v>
          </cell>
          <cell r="P64">
            <v>229.37600000000003</v>
          </cell>
          <cell r="R64" t="str">
            <v>Terminal Value</v>
          </cell>
          <cell r="S64">
            <v>243.47918246280693</v>
          </cell>
          <cell r="T64">
            <v>-0.2</v>
          </cell>
        </row>
        <row r="65">
          <cell r="A65" t="str">
            <v>Tax</v>
          </cell>
          <cell r="C65">
            <v>0.1264859089087752</v>
          </cell>
          <cell r="D65">
            <v>0.14214278114693052</v>
          </cell>
          <cell r="E65">
            <v>0.1479540415238863</v>
          </cell>
          <cell r="F65">
            <v>0.14809434284737652</v>
          </cell>
          <cell r="G65">
            <v>0.14183607166063306</v>
          </cell>
          <cell r="H65">
            <v>0.14114416475972541</v>
          </cell>
          <cell r="I65">
            <v>0.1344201210992082</v>
          </cell>
          <cell r="J65">
            <v>0.14499999999999999</v>
          </cell>
          <cell r="K65">
            <v>0.14499999999999999</v>
          </cell>
          <cell r="L65">
            <v>0.14499999999999999</v>
          </cell>
          <cell r="M65">
            <v>0.14499999999999999</v>
          </cell>
          <cell r="N65">
            <v>0.14499999999999999</v>
          </cell>
          <cell r="O65">
            <v>0.14499999999999999</v>
          </cell>
          <cell r="P65">
            <v>0.14499999999999999</v>
          </cell>
          <cell r="R65" t="str">
            <v>Shares Outstanding</v>
          </cell>
          <cell r="S65">
            <v>2267.9</v>
          </cell>
        </row>
        <row r="66">
          <cell r="A66" t="str">
            <v>Net Income</v>
          </cell>
          <cell r="C66">
            <v>24.458394550554296</v>
          </cell>
          <cell r="D66">
            <v>86.472007660389409</v>
          </cell>
          <cell r="E66">
            <v>172.96532957065108</v>
          </cell>
          <cell r="F66">
            <v>357.80037600410185</v>
          </cell>
          <cell r="G66">
            <v>600.71474983755684</v>
          </cell>
          <cell r="H66">
            <v>781.55881006864979</v>
          </cell>
          <cell r="I66">
            <v>969.44946436888677</v>
          </cell>
          <cell r="J66">
            <v>1077.3</v>
          </cell>
          <cell r="K66">
            <v>957.6</v>
          </cell>
          <cell r="L66">
            <v>478.8</v>
          </cell>
          <cell r="M66">
            <v>383.03999999999996</v>
          </cell>
          <cell r="N66">
            <v>306.43199999999996</v>
          </cell>
          <cell r="O66">
            <v>245.14559999999997</v>
          </cell>
          <cell r="P66">
            <v>196.11648000000002</v>
          </cell>
          <cell r="R66" t="str">
            <v>Value per share</v>
          </cell>
          <cell r="S66">
            <v>1.9877503558590566</v>
          </cell>
        </row>
        <row r="68">
          <cell r="A68" t="str">
            <v>Tekturna-Bear</v>
          </cell>
        </row>
        <row r="69">
          <cell r="A69" t="str">
            <v>Sales</v>
          </cell>
          <cell r="C69">
            <v>40</v>
          </cell>
          <cell r="D69">
            <v>144</v>
          </cell>
          <cell r="E69">
            <v>290</v>
          </cell>
          <cell r="F69">
            <v>438</v>
          </cell>
          <cell r="G69">
            <v>438</v>
          </cell>
          <cell r="H69">
            <v>438</v>
          </cell>
          <cell r="I69">
            <v>438</v>
          </cell>
          <cell r="J69">
            <v>438</v>
          </cell>
          <cell r="K69">
            <v>200</v>
          </cell>
          <cell r="L69">
            <v>100</v>
          </cell>
          <cell r="M69">
            <v>80</v>
          </cell>
          <cell r="N69">
            <v>64</v>
          </cell>
          <cell r="O69">
            <v>51.2</v>
          </cell>
          <cell r="P69">
            <v>40.960000000000008</v>
          </cell>
          <cell r="R69" t="str">
            <v xml:space="preserve">Ke (%) </v>
          </cell>
          <cell r="S69">
            <v>8.5000000000000006E-2</v>
          </cell>
        </row>
        <row r="70">
          <cell r="A70" t="str">
            <v>EBIT margin</v>
          </cell>
          <cell r="C70">
            <v>0.7</v>
          </cell>
          <cell r="D70">
            <v>0.7</v>
          </cell>
          <cell r="E70">
            <v>0.7</v>
          </cell>
          <cell r="F70">
            <v>0.7</v>
          </cell>
          <cell r="G70">
            <v>0.7</v>
          </cell>
          <cell r="H70">
            <v>0.7</v>
          </cell>
          <cell r="I70">
            <v>0.7</v>
          </cell>
          <cell r="J70">
            <v>0.7</v>
          </cell>
          <cell r="K70">
            <v>0.7</v>
          </cell>
          <cell r="L70">
            <v>0.7</v>
          </cell>
          <cell r="M70">
            <v>0.7</v>
          </cell>
          <cell r="N70">
            <v>0.7</v>
          </cell>
          <cell r="O70">
            <v>0.7</v>
          </cell>
          <cell r="P70">
            <v>0.7</v>
          </cell>
          <cell r="R70" t="str">
            <v>NPV (11-20)</v>
          </cell>
          <cell r="S70">
            <v>1051.9431926743548</v>
          </cell>
        </row>
        <row r="71">
          <cell r="A71" t="str">
            <v>EBIT</v>
          </cell>
          <cell r="C71">
            <v>28</v>
          </cell>
          <cell r="D71">
            <v>100.8</v>
          </cell>
          <cell r="E71">
            <v>203</v>
          </cell>
          <cell r="F71">
            <v>306.59999999999997</v>
          </cell>
          <cell r="G71">
            <v>306.59999999999997</v>
          </cell>
          <cell r="H71">
            <v>306.59999999999997</v>
          </cell>
          <cell r="I71">
            <v>306.59999999999997</v>
          </cell>
          <cell r="J71">
            <v>306.59999999999997</v>
          </cell>
          <cell r="K71">
            <v>140</v>
          </cell>
          <cell r="L71">
            <v>70</v>
          </cell>
          <cell r="M71">
            <v>56</v>
          </cell>
          <cell r="N71">
            <v>44.8</v>
          </cell>
          <cell r="O71">
            <v>35.839999999999996</v>
          </cell>
          <cell r="P71">
            <v>28.672000000000004</v>
          </cell>
          <cell r="R71" t="str">
            <v>Terminal Value</v>
          </cell>
          <cell r="S71">
            <v>30.434897807850867</v>
          </cell>
          <cell r="T71">
            <v>-0.2</v>
          </cell>
        </row>
        <row r="72">
          <cell r="A72" t="str">
            <v>Tax</v>
          </cell>
          <cell r="C72">
            <v>0.1264859089087752</v>
          </cell>
          <cell r="D72">
            <v>0.14214278114693052</v>
          </cell>
          <cell r="E72">
            <v>0.1479540415238863</v>
          </cell>
          <cell r="F72">
            <v>0.14809434284737652</v>
          </cell>
          <cell r="G72">
            <v>0.14183607166063306</v>
          </cell>
          <cell r="H72">
            <v>0.14114416475972541</v>
          </cell>
          <cell r="I72">
            <v>0.1344201210992082</v>
          </cell>
          <cell r="J72">
            <v>0.14499999999999999</v>
          </cell>
          <cell r="K72">
            <v>0.14499999999999999</v>
          </cell>
          <cell r="L72">
            <v>0.14499999999999999</v>
          </cell>
          <cell r="M72">
            <v>0.14499999999999999</v>
          </cell>
          <cell r="N72">
            <v>0.14499999999999999</v>
          </cell>
          <cell r="O72">
            <v>0.14499999999999999</v>
          </cell>
          <cell r="P72">
            <v>0.14499999999999999</v>
          </cell>
          <cell r="R72" t="str">
            <v>Shares Outstanding</v>
          </cell>
          <cell r="S72">
            <v>2267.9</v>
          </cell>
        </row>
        <row r="73">
          <cell r="A73" t="str">
            <v>Net Income</v>
          </cell>
          <cell r="C73">
            <v>24.458394550554296</v>
          </cell>
          <cell r="D73">
            <v>86.472007660389409</v>
          </cell>
          <cell r="E73">
            <v>172.96532957065108</v>
          </cell>
          <cell r="F73">
            <v>261.19427448299433</v>
          </cell>
          <cell r="G73">
            <v>263.11306042884985</v>
          </cell>
          <cell r="H73">
            <v>263.32519908466816</v>
          </cell>
          <cell r="I73">
            <v>265.38679087098274</v>
          </cell>
          <cell r="J73">
            <v>262.14299999999997</v>
          </cell>
          <cell r="K73">
            <v>119.7</v>
          </cell>
          <cell r="L73">
            <v>59.85</v>
          </cell>
          <cell r="M73">
            <v>47.879999999999995</v>
          </cell>
          <cell r="N73">
            <v>38.303999999999995</v>
          </cell>
          <cell r="O73">
            <v>30.643199999999997</v>
          </cell>
          <cell r="P73">
            <v>24.514560000000003</v>
          </cell>
          <cell r="R73" t="str">
            <v>Value per share</v>
          </cell>
          <cell r="S73">
            <v>0.47726006017999273</v>
          </cell>
        </row>
        <row r="75">
          <cell r="A75" t="str">
            <v>Respiratory Pipeline</v>
          </cell>
        </row>
        <row r="76">
          <cell r="A76" t="str">
            <v>Sales</v>
          </cell>
          <cell r="E76" t="e">
            <v>#REF!</v>
          </cell>
          <cell r="F76" t="e">
            <v>#REF!</v>
          </cell>
          <cell r="G76" t="e">
            <v>#REF!</v>
          </cell>
          <cell r="H76" t="e">
            <v>#REF!</v>
          </cell>
          <cell r="I76" t="e">
            <v>#REF!</v>
          </cell>
          <cell r="J76" t="e">
            <v>#REF!</v>
          </cell>
          <cell r="K76" t="e">
            <v>#REF!</v>
          </cell>
          <cell r="L76" t="e">
            <v>#REF!</v>
          </cell>
          <cell r="M76" t="e">
            <v>#REF!</v>
          </cell>
          <cell r="N76" t="e">
            <v>#REF!</v>
          </cell>
          <cell r="O76" t="e">
            <v>#REF!</v>
          </cell>
          <cell r="P76" t="e">
            <v>#REF!</v>
          </cell>
          <cell r="R76" t="str">
            <v xml:space="preserve">Ke (%) </v>
          </cell>
          <cell r="S76">
            <v>8.5000000000000006E-2</v>
          </cell>
        </row>
        <row r="77">
          <cell r="A77" t="str">
            <v>EBIT margin</v>
          </cell>
          <cell r="E77">
            <v>0.6</v>
          </cell>
          <cell r="F77">
            <v>0.6</v>
          </cell>
          <cell r="G77">
            <v>0.6</v>
          </cell>
          <cell r="H77">
            <v>0.6</v>
          </cell>
          <cell r="I77">
            <v>0.6</v>
          </cell>
          <cell r="J77">
            <v>0.6</v>
          </cell>
          <cell r="K77">
            <v>0.6</v>
          </cell>
          <cell r="L77">
            <v>0.6</v>
          </cell>
          <cell r="M77">
            <v>0.6</v>
          </cell>
          <cell r="N77">
            <v>0.6</v>
          </cell>
          <cell r="O77">
            <v>0.6</v>
          </cell>
          <cell r="P77">
            <v>0.6</v>
          </cell>
          <cell r="R77" t="str">
            <v>NPV (11-20)</v>
          </cell>
          <cell r="S77" t="e">
            <v>#REF!</v>
          </cell>
        </row>
        <row r="78">
          <cell r="A78" t="str">
            <v>EBIT</v>
          </cell>
          <cell r="E78" t="e">
            <v>#REF!</v>
          </cell>
          <cell r="F78" t="e">
            <v>#REF!</v>
          </cell>
          <cell r="G78" t="e">
            <v>#REF!</v>
          </cell>
          <cell r="H78" t="e">
            <v>#REF!</v>
          </cell>
          <cell r="I78" t="e">
            <v>#REF!</v>
          </cell>
          <cell r="J78" t="e">
            <v>#REF!</v>
          </cell>
          <cell r="K78" t="e">
            <v>#REF!</v>
          </cell>
          <cell r="L78" t="e">
            <v>#REF!</v>
          </cell>
          <cell r="M78" t="e">
            <v>#REF!</v>
          </cell>
          <cell r="N78" t="e">
            <v>#REF!</v>
          </cell>
          <cell r="O78" t="e">
            <v>#REF!</v>
          </cell>
          <cell r="P78" t="e">
            <v>#REF!</v>
          </cell>
          <cell r="R78" t="str">
            <v>Terminal Value</v>
          </cell>
          <cell r="S78" t="e">
            <v>#REF!</v>
          </cell>
          <cell r="T78">
            <v>0.02</v>
          </cell>
        </row>
        <row r="79">
          <cell r="A79" t="str">
            <v>Tax</v>
          </cell>
          <cell r="C79">
            <v>0.1264859089087752</v>
          </cell>
          <cell r="D79">
            <v>0.14214278114693052</v>
          </cell>
          <cell r="E79">
            <v>0.1479540415238863</v>
          </cell>
          <cell r="F79">
            <v>0.14809434284737652</v>
          </cell>
          <cell r="G79">
            <v>0.14183607166063306</v>
          </cell>
          <cell r="H79">
            <v>0.14114416475972541</v>
          </cell>
          <cell r="I79">
            <v>0.1344201210992082</v>
          </cell>
          <cell r="J79">
            <v>0.14499999999999999</v>
          </cell>
          <cell r="K79">
            <v>0.14499999999999999</v>
          </cell>
          <cell r="L79">
            <v>0.14499999999999999</v>
          </cell>
          <cell r="M79">
            <v>0.14499999999999999</v>
          </cell>
          <cell r="N79">
            <v>0.14499999999999999</v>
          </cell>
          <cell r="O79">
            <v>0.14499999999999999</v>
          </cell>
          <cell r="P79">
            <v>0.14499999999999999</v>
          </cell>
          <cell r="R79" t="str">
            <v>Shares Outstanding</v>
          </cell>
          <cell r="S79">
            <v>2267.9</v>
          </cell>
        </row>
        <row r="80">
          <cell r="A80" t="str">
            <v>Net Income</v>
          </cell>
          <cell r="E80" t="e">
            <v>#REF!</v>
          </cell>
          <cell r="F80" t="e">
            <v>#REF!</v>
          </cell>
          <cell r="G80" t="e">
            <v>#REF!</v>
          </cell>
          <cell r="H80" t="e">
            <v>#REF!</v>
          </cell>
          <cell r="I80" t="e">
            <v>#REF!</v>
          </cell>
          <cell r="J80" t="e">
            <v>#REF!</v>
          </cell>
          <cell r="K80" t="e">
            <v>#REF!</v>
          </cell>
          <cell r="L80" t="e">
            <v>#REF!</v>
          </cell>
          <cell r="M80" t="e">
            <v>#REF!</v>
          </cell>
          <cell r="N80" t="e">
            <v>#REF!</v>
          </cell>
          <cell r="O80" t="e">
            <v>#REF!</v>
          </cell>
          <cell r="P80" t="e">
            <v>#REF!</v>
          </cell>
          <cell r="R80" t="str">
            <v>Value per share</v>
          </cell>
          <cell r="S80" t="e">
            <v>#REF!</v>
          </cell>
        </row>
        <row r="82">
          <cell r="A82" t="str">
            <v>Sandoz Bear</v>
          </cell>
        </row>
        <row r="83">
          <cell r="A83" t="str">
            <v>Current margin</v>
          </cell>
          <cell r="E83">
            <v>0.14293340451087683</v>
          </cell>
          <cell r="F83">
            <v>0.15374767225325883</v>
          </cell>
          <cell r="G83">
            <v>0.15011084133854111</v>
          </cell>
          <cell r="H83">
            <v>0.1253734773615261</v>
          </cell>
          <cell r="I83">
            <v>0.11223932743749318</v>
          </cell>
          <cell r="J83">
            <v>0.13064513135347164</v>
          </cell>
          <cell r="K83">
            <v>0.12998892768148398</v>
          </cell>
          <cell r="L83">
            <v>0.13811159085101943</v>
          </cell>
          <cell r="M83">
            <v>0.14241888910771985</v>
          </cell>
          <cell r="N83">
            <v>0.14873902215295057</v>
          </cell>
          <cell r="O83">
            <v>0.15244328243963984</v>
          </cell>
          <cell r="P83">
            <v>0.15653742029262552</v>
          </cell>
        </row>
        <row r="84">
          <cell r="A84" t="str">
            <v>Current EBIT</v>
          </cell>
          <cell r="E84">
            <v>1071</v>
          </cell>
          <cell r="F84">
            <v>1321</v>
          </cell>
          <cell r="G84">
            <v>1422</v>
          </cell>
          <cell r="H84">
            <v>1091</v>
          </cell>
          <cell r="I84">
            <v>1028</v>
          </cell>
          <cell r="J84">
            <v>1257.056268452583</v>
          </cell>
          <cell r="K84">
            <v>1313.2794495479807</v>
          </cell>
          <cell r="L84">
            <v>1465.1099374874057</v>
          </cell>
          <cell r="M84">
            <v>1586.3425716372585</v>
          </cell>
          <cell r="N84">
            <v>1744.4473668348551</v>
          </cell>
          <cell r="O84">
            <v>1882.5778023606745</v>
          </cell>
          <cell r="P84">
            <v>2035.5541959544134</v>
          </cell>
          <cell r="R84" t="str">
            <v xml:space="preserve">Ke (%) </v>
          </cell>
          <cell r="S84">
            <v>8.5000000000000006E-2</v>
          </cell>
        </row>
        <row r="85">
          <cell r="A85" t="str">
            <v>Bear margin</v>
          </cell>
          <cell r="E85">
            <v>0.13</v>
          </cell>
          <cell r="F85">
            <v>0.13</v>
          </cell>
          <cell r="G85">
            <v>0.13</v>
          </cell>
          <cell r="H85">
            <v>0.13</v>
          </cell>
          <cell r="I85">
            <v>0.13</v>
          </cell>
          <cell r="J85">
            <v>0.13</v>
          </cell>
          <cell r="K85">
            <v>0.13</v>
          </cell>
          <cell r="L85">
            <v>0.13</v>
          </cell>
          <cell r="M85">
            <v>0.13</v>
          </cell>
          <cell r="N85">
            <v>0.13</v>
          </cell>
          <cell r="O85">
            <v>0.13</v>
          </cell>
          <cell r="P85">
            <v>0.13</v>
          </cell>
          <cell r="R85" t="str">
            <v>NPV (11-20)</v>
          </cell>
          <cell r="S85">
            <v>-468.79895534327761</v>
          </cell>
        </row>
        <row r="86">
          <cell r="A86" t="str">
            <v>Bear EBIT</v>
          </cell>
          <cell r="E86">
            <v>974.09</v>
          </cell>
          <cell r="F86">
            <v>1116.96</v>
          </cell>
          <cell r="G86">
            <v>1231.49</v>
          </cell>
          <cell r="H86">
            <v>1131.26</v>
          </cell>
          <cell r="I86">
            <v>1190.67</v>
          </cell>
          <cell r="J86">
            <v>1250.8488698036224</v>
          </cell>
          <cell r="K86">
            <v>1313.3913132938035</v>
          </cell>
          <cell r="L86">
            <v>1379.0608789584937</v>
          </cell>
          <cell r="M86">
            <v>1448.0139229064184</v>
          </cell>
          <cell r="N86">
            <v>1524.6715650404894</v>
          </cell>
          <cell r="O86">
            <v>1605.4175060405889</v>
          </cell>
          <cell r="P86">
            <v>1690.4714858555778</v>
          </cell>
          <cell r="R86" t="str">
            <v>Terminal Value</v>
          </cell>
          <cell r="S86">
            <v>-2047.7585508745626</v>
          </cell>
          <cell r="T86">
            <v>0.02</v>
          </cell>
        </row>
        <row r="87">
          <cell r="A87" t="str">
            <v>Delta</v>
          </cell>
          <cell r="E87">
            <v>-96.909999999999968</v>
          </cell>
          <cell r="F87">
            <v>-204.03999999999996</v>
          </cell>
          <cell r="G87">
            <v>-190.51</v>
          </cell>
          <cell r="H87">
            <v>40.259999999999991</v>
          </cell>
          <cell r="I87">
            <v>162.67000000000007</v>
          </cell>
          <cell r="J87">
            <v>-6.2073986489606341</v>
          </cell>
          <cell r="K87">
            <v>0.11186374582280223</v>
          </cell>
          <cell r="L87">
            <v>-86.049058528911928</v>
          </cell>
          <cell r="M87">
            <v>-138.32864873084009</v>
          </cell>
          <cell r="N87">
            <v>-219.77580179436563</v>
          </cell>
          <cell r="O87">
            <v>-277.16029632008554</v>
          </cell>
          <cell r="P87">
            <v>-345.08271009883561</v>
          </cell>
          <cell r="R87" t="str">
            <v>Shares Outstanding</v>
          </cell>
          <cell r="S87">
            <v>2267.9</v>
          </cell>
        </row>
        <row r="88">
          <cell r="A88" t="str">
            <v>Tax</v>
          </cell>
          <cell r="C88">
            <v>0.1264859089087752</v>
          </cell>
          <cell r="D88">
            <v>0.14214278114693052</v>
          </cell>
          <cell r="E88">
            <v>0.1479540415238863</v>
          </cell>
          <cell r="F88">
            <v>0.14809434284737652</v>
          </cell>
          <cell r="G88">
            <v>0.14183607166063306</v>
          </cell>
          <cell r="H88">
            <v>0.14114416475972541</v>
          </cell>
          <cell r="I88">
            <v>0.1344201210992082</v>
          </cell>
          <cell r="J88">
            <v>0.14499999999999999</v>
          </cell>
          <cell r="K88">
            <v>0.14499999999999999</v>
          </cell>
          <cell r="L88">
            <v>0.14499999999999999</v>
          </cell>
          <cell r="M88">
            <v>0.14499999999999999</v>
          </cell>
          <cell r="N88">
            <v>0.14499999999999999</v>
          </cell>
          <cell r="O88">
            <v>0.14499999999999999</v>
          </cell>
          <cell r="P88">
            <v>0.14499999999999999</v>
          </cell>
          <cell r="R88" t="str">
            <v>Value per share</v>
          </cell>
          <cell r="S88">
            <v>-1.1096421827319725</v>
          </cell>
        </row>
        <row r="89">
          <cell r="A89" t="str">
            <v>Delta net inc</v>
          </cell>
          <cell r="E89">
            <v>-82.571773835920155</v>
          </cell>
          <cell r="F89">
            <v>-173.82283028542125</v>
          </cell>
          <cell r="G89">
            <v>-163.4888099879328</v>
          </cell>
          <cell r="H89">
            <v>34.57753592677345</v>
          </cell>
          <cell r="I89">
            <v>140.80387890079186</v>
          </cell>
          <cell r="J89">
            <v>-5.3073258448613423</v>
          </cell>
          <cell r="K89">
            <v>9.5643502678495904E-2</v>
          </cell>
          <cell r="L89">
            <v>-73.571945042219696</v>
          </cell>
          <cell r="M89">
            <v>-118.27099466486827</v>
          </cell>
          <cell r="N89">
            <v>-187.90831053418262</v>
          </cell>
          <cell r="O89">
            <v>-236.97205335367312</v>
          </cell>
          <cell r="P89">
            <v>-295.04571713450446</v>
          </cell>
        </row>
        <row r="91">
          <cell r="A91" t="str">
            <v>SG&amp;A Cut (Bull)</v>
          </cell>
        </row>
        <row r="92">
          <cell r="A92" t="str">
            <v>Base SG&amp;A</v>
          </cell>
          <cell r="E92">
            <v>-8369</v>
          </cell>
          <cell r="F92">
            <v>-8663</v>
          </cell>
          <cell r="G92">
            <v>-8929</v>
          </cell>
          <cell r="H92">
            <v>-8568</v>
          </cell>
          <cell r="I92">
            <v>-8514</v>
          </cell>
          <cell r="J92">
            <v>-8562.3522847606928</v>
          </cell>
          <cell r="K92">
            <v>-8585.023842597886</v>
          </cell>
          <cell r="L92">
            <v>-8655.0545870580318</v>
          </cell>
          <cell r="M92">
            <v>-8798.1605004810699</v>
          </cell>
          <cell r="N92">
            <v>-9000.3870736671761</v>
          </cell>
          <cell r="O92">
            <v>-8618.4244383705627</v>
          </cell>
          <cell r="P92">
            <v>-8379.5038454726619</v>
          </cell>
          <cell r="R92" t="str">
            <v xml:space="preserve">Ke (%) </v>
          </cell>
          <cell r="S92">
            <v>8.5000000000000006E-2</v>
          </cell>
        </row>
        <row r="93">
          <cell r="A93" t="str">
            <v>SG&amp;A Cut</v>
          </cell>
          <cell r="E93">
            <v>0</v>
          </cell>
          <cell r="F93">
            <v>-500</v>
          </cell>
          <cell r="G93">
            <v>-500</v>
          </cell>
          <cell r="H93">
            <v>-500</v>
          </cell>
          <cell r="I93">
            <v>-500</v>
          </cell>
          <cell r="J93">
            <v>-500</v>
          </cell>
          <cell r="K93">
            <v>-500</v>
          </cell>
          <cell r="L93">
            <v>-500</v>
          </cell>
          <cell r="M93">
            <v>-500</v>
          </cell>
          <cell r="N93">
            <v>-500</v>
          </cell>
          <cell r="O93">
            <v>-500</v>
          </cell>
          <cell r="P93">
            <v>-500</v>
          </cell>
          <cell r="R93" t="str">
            <v>NPV (11-20)</v>
          </cell>
          <cell r="S93">
            <v>-2812.2135427051521</v>
          </cell>
        </row>
        <row r="94">
          <cell r="A94" t="str">
            <v>Tax</v>
          </cell>
          <cell r="C94">
            <v>0.1264859089087752</v>
          </cell>
          <cell r="D94">
            <v>0.14214278114693052</v>
          </cell>
          <cell r="E94">
            <v>0.1479540415238863</v>
          </cell>
          <cell r="F94">
            <v>0.14809434284737652</v>
          </cell>
          <cell r="G94">
            <v>0.14183607166063306</v>
          </cell>
          <cell r="H94">
            <v>0.14114416475972541</v>
          </cell>
          <cell r="I94">
            <v>0.1344201210992082</v>
          </cell>
          <cell r="J94">
            <v>0.14499999999999999</v>
          </cell>
          <cell r="K94">
            <v>0.14499999999999999</v>
          </cell>
          <cell r="L94">
            <v>0.14499999999999999</v>
          </cell>
          <cell r="M94">
            <v>0.14499999999999999</v>
          </cell>
          <cell r="N94">
            <v>0.14499999999999999</v>
          </cell>
          <cell r="O94">
            <v>0.14499999999999999</v>
          </cell>
          <cell r="P94">
            <v>0.14499999999999999</v>
          </cell>
          <cell r="R94" t="str">
            <v>Terminal Value</v>
          </cell>
          <cell r="S94">
            <v>-2224.435469744385</v>
          </cell>
          <cell r="T94">
            <v>0</v>
          </cell>
        </row>
        <row r="95">
          <cell r="E95">
            <v>0</v>
          </cell>
          <cell r="F95">
            <v>-425.95282857631173</v>
          </cell>
          <cell r="G95">
            <v>-429.08196416968349</v>
          </cell>
          <cell r="H95">
            <v>-429.42791762013735</v>
          </cell>
          <cell r="I95">
            <v>-432.78993945039588</v>
          </cell>
          <cell r="J95">
            <v>-427.5</v>
          </cell>
          <cell r="K95">
            <v>-427.5</v>
          </cell>
          <cell r="L95">
            <v>-427.5</v>
          </cell>
          <cell r="M95">
            <v>-427.5</v>
          </cell>
          <cell r="N95">
            <v>-427.5</v>
          </cell>
          <cell r="O95">
            <v>-427.5</v>
          </cell>
          <cell r="P95">
            <v>-427.5</v>
          </cell>
          <cell r="R95" t="str">
            <v>Shares Outstanding</v>
          </cell>
          <cell r="S95">
            <v>2267.9</v>
          </cell>
        </row>
        <row r="96">
          <cell r="R96" t="str">
            <v>Value per share</v>
          </cell>
          <cell r="S96">
            <v>-2.2208426352350359</v>
          </cell>
        </row>
        <row r="97">
          <cell r="A97" t="str">
            <v>Incremental Alcon synergies - Bull</v>
          </cell>
        </row>
        <row r="98">
          <cell r="A98" t="str">
            <v>(Company has guided to $300mn cost savings/year)</v>
          </cell>
          <cell r="R98" t="str">
            <v xml:space="preserve">Ke (%) </v>
          </cell>
          <cell r="S98">
            <v>8.5000000000000006E-2</v>
          </cell>
        </row>
        <row r="99">
          <cell r="A99" t="str">
            <v>Incremental cost savings</v>
          </cell>
          <cell r="E99">
            <v>0</v>
          </cell>
          <cell r="G99">
            <v>-300</v>
          </cell>
          <cell r="H99">
            <v>-300</v>
          </cell>
          <cell r="I99">
            <v>-300</v>
          </cell>
          <cell r="J99">
            <v>-300</v>
          </cell>
          <cell r="K99">
            <v>-300</v>
          </cell>
          <cell r="L99">
            <v>-300</v>
          </cell>
          <cell r="M99">
            <v>-300</v>
          </cell>
          <cell r="N99">
            <v>-300</v>
          </cell>
          <cell r="O99">
            <v>-300</v>
          </cell>
          <cell r="P99">
            <v>-300</v>
          </cell>
          <cell r="R99" t="str">
            <v>NPV (11-20)</v>
          </cell>
          <cell r="S99">
            <v>-1687.3281256230912</v>
          </cell>
        </row>
        <row r="100">
          <cell r="A100" t="str">
            <v>Tax</v>
          </cell>
          <cell r="C100">
            <v>0.1264859089087752</v>
          </cell>
          <cell r="D100">
            <v>0.14214278114693052</v>
          </cell>
          <cell r="E100">
            <v>0.1479540415238863</v>
          </cell>
          <cell r="F100">
            <v>0.14809434284737652</v>
          </cell>
          <cell r="G100">
            <v>0.14183607166063306</v>
          </cell>
          <cell r="H100">
            <v>0.14114416475972541</v>
          </cell>
          <cell r="I100">
            <v>0.1344201210992082</v>
          </cell>
          <cell r="J100">
            <v>0.14499999999999999</v>
          </cell>
          <cell r="K100">
            <v>0.14499999999999999</v>
          </cell>
          <cell r="L100">
            <v>0.14499999999999999</v>
          </cell>
          <cell r="M100">
            <v>0.14499999999999999</v>
          </cell>
          <cell r="N100">
            <v>0.14499999999999999</v>
          </cell>
          <cell r="O100">
            <v>0.14499999999999999</v>
          </cell>
          <cell r="P100">
            <v>0.14499999999999999</v>
          </cell>
          <cell r="R100" t="str">
            <v>Terminal Value</v>
          </cell>
          <cell r="S100">
            <v>-1780.2328174785064</v>
          </cell>
          <cell r="T100">
            <v>0.02</v>
          </cell>
        </row>
        <row r="101">
          <cell r="E101">
            <v>0</v>
          </cell>
          <cell r="F101">
            <v>0</v>
          </cell>
          <cell r="G101">
            <v>-257.44917850181008</v>
          </cell>
          <cell r="H101">
            <v>-257.65675057208239</v>
          </cell>
          <cell r="I101">
            <v>-259.67396367023753</v>
          </cell>
          <cell r="J101">
            <v>-256.5</v>
          </cell>
          <cell r="K101">
            <v>-256.5</v>
          </cell>
          <cell r="L101">
            <v>-256.5</v>
          </cell>
          <cell r="M101">
            <v>-256.5</v>
          </cell>
          <cell r="N101">
            <v>-256.5</v>
          </cell>
          <cell r="O101">
            <v>-256.5</v>
          </cell>
          <cell r="P101">
            <v>-256.5</v>
          </cell>
          <cell r="R101" t="str">
            <v>Shares Outstanding</v>
          </cell>
          <cell r="S101">
            <v>2267.9</v>
          </cell>
        </row>
        <row r="102">
          <cell r="R102" t="str">
            <v>Value per share</v>
          </cell>
          <cell r="S102">
            <v>-1.5289743564979044</v>
          </cell>
        </row>
        <row r="107">
          <cell r="A107" t="str">
            <v>NI</v>
          </cell>
        </row>
        <row r="108">
          <cell r="A108" t="str">
            <v>Bull (incremental)</v>
          </cell>
          <cell r="D108" t="e">
            <v>#REF!</v>
          </cell>
          <cell r="E108" t="e">
            <v>#REF!</v>
          </cell>
          <cell r="F108" t="e">
            <v>#REF!</v>
          </cell>
          <cell r="G108" t="e">
            <v>#REF!</v>
          </cell>
          <cell r="H108" t="e">
            <v>#REF!</v>
          </cell>
          <cell r="I108" t="e">
            <v>#REF!</v>
          </cell>
          <cell r="J108" t="e">
            <v>#REF!</v>
          </cell>
          <cell r="K108" t="e">
            <v>#REF!</v>
          </cell>
          <cell r="L108" t="e">
            <v>#REF!</v>
          </cell>
          <cell r="M108" t="e">
            <v>#REF!</v>
          </cell>
          <cell r="N108" t="e">
            <v>#REF!</v>
          </cell>
          <cell r="O108" t="e">
            <v>#REF!</v>
          </cell>
          <cell r="P108" t="e">
            <v>#REF!</v>
          </cell>
        </row>
        <row r="109">
          <cell r="A109" t="str">
            <v>EPS</v>
          </cell>
          <cell r="D109" t="e">
            <v>#REF!</v>
          </cell>
          <cell r="E109" t="e">
            <v>#REF!</v>
          </cell>
          <cell r="F109" t="e">
            <v>#REF!</v>
          </cell>
          <cell r="G109" t="e">
            <v>#REF!</v>
          </cell>
          <cell r="H109" t="e">
            <v>#REF!</v>
          </cell>
          <cell r="I109" t="e">
            <v>#REF!</v>
          </cell>
          <cell r="J109" t="e">
            <v>#REF!</v>
          </cell>
          <cell r="K109" t="e">
            <v>#REF!</v>
          </cell>
          <cell r="L109" t="e">
            <v>#REF!</v>
          </cell>
          <cell r="M109" t="e">
            <v>#REF!</v>
          </cell>
          <cell r="N109" t="e">
            <v>#REF!</v>
          </cell>
          <cell r="O109" t="e">
            <v>#REF!</v>
          </cell>
          <cell r="P109" t="e">
            <v>#REF!</v>
          </cell>
        </row>
        <row r="112">
          <cell r="A112" t="str">
            <v>Bear (incremental)</v>
          </cell>
          <cell r="D112" t="e">
            <v>#REF!</v>
          </cell>
          <cell r="E112" t="e">
            <v>#REF!</v>
          </cell>
          <cell r="F112" t="e">
            <v>#REF!</v>
          </cell>
          <cell r="G112" t="e">
            <v>#REF!</v>
          </cell>
          <cell r="H112" t="e">
            <v>#REF!</v>
          </cell>
          <cell r="I112" t="e">
            <v>#REF!</v>
          </cell>
          <cell r="J112" t="e">
            <v>#REF!</v>
          </cell>
          <cell r="K112" t="e">
            <v>#REF!</v>
          </cell>
          <cell r="L112" t="e">
            <v>#REF!</v>
          </cell>
          <cell r="M112" t="e">
            <v>#REF!</v>
          </cell>
          <cell r="N112" t="e">
            <v>#REF!</v>
          </cell>
          <cell r="O112" t="e">
            <v>#REF!</v>
          </cell>
          <cell r="P112" t="e">
            <v>#REF!</v>
          </cell>
        </row>
        <row r="113">
          <cell r="A113" t="str">
            <v>EPS</v>
          </cell>
          <cell r="D113" t="e">
            <v>#REF!</v>
          </cell>
          <cell r="E113" t="e">
            <v>#REF!</v>
          </cell>
          <cell r="F113" t="e">
            <v>#REF!</v>
          </cell>
          <cell r="G113" t="e">
            <v>#REF!</v>
          </cell>
          <cell r="H113" t="e">
            <v>#REF!</v>
          </cell>
          <cell r="I113" t="e">
            <v>#REF!</v>
          </cell>
          <cell r="J113" t="e">
            <v>#REF!</v>
          </cell>
          <cell r="K113" t="e">
            <v>#REF!</v>
          </cell>
          <cell r="L113" t="e">
            <v>#REF!</v>
          </cell>
          <cell r="M113" t="e">
            <v>#REF!</v>
          </cell>
          <cell r="N113" t="e">
            <v>#REF!</v>
          </cell>
          <cell r="O113" t="e">
            <v>#REF!</v>
          </cell>
          <cell r="P113" t="e">
            <v>#REF!</v>
          </cell>
        </row>
        <row r="115">
          <cell r="B115" t="str">
            <v>2008e</v>
          </cell>
          <cell r="C115" t="str">
            <v>2009e</v>
          </cell>
          <cell r="D115" t="str">
            <v>2010e</v>
          </cell>
          <cell r="E115" t="str">
            <v>2011e</v>
          </cell>
          <cell r="F115" t="str">
            <v>2012e</v>
          </cell>
          <cell r="G115" t="str">
            <v>2013e</v>
          </cell>
          <cell r="H115" t="str">
            <v>2014e</v>
          </cell>
          <cell r="I115" t="str">
            <v>2015e</v>
          </cell>
        </row>
        <row r="116">
          <cell r="A116" t="str">
            <v>Upside Case 2</v>
          </cell>
        </row>
        <row r="117">
          <cell r="A117" t="str">
            <v>Sales</v>
          </cell>
          <cell r="B117">
            <v>41459</v>
          </cell>
          <cell r="C117" t="e">
            <v>#REF!</v>
          </cell>
          <cell r="D117" t="e">
            <v>#REF!</v>
          </cell>
          <cell r="E117" t="e">
            <v>#REF!</v>
          </cell>
          <cell r="F117" t="e">
            <v>#REF!</v>
          </cell>
          <cell r="G117" t="e">
            <v>#REF!</v>
          </cell>
          <cell r="H117" t="e">
            <v>#REF!</v>
          </cell>
          <cell r="I117" t="e">
            <v>#REF!</v>
          </cell>
        </row>
        <row r="118">
          <cell r="A118" t="str">
            <v>EBITDA</v>
          </cell>
          <cell r="B118">
            <v>11634</v>
          </cell>
          <cell r="C118" t="e">
            <v>#REF!</v>
          </cell>
          <cell r="D118" t="e">
            <v>#REF!</v>
          </cell>
          <cell r="E118" t="e">
            <v>#REF!</v>
          </cell>
          <cell r="F118" t="e">
            <v>#REF!</v>
          </cell>
          <cell r="G118" t="e">
            <v>#REF!</v>
          </cell>
          <cell r="H118" t="e">
            <v>#REF!</v>
          </cell>
          <cell r="I118" t="e">
            <v>#REF!</v>
          </cell>
        </row>
        <row r="119">
          <cell r="A119" t="str">
            <v xml:space="preserve">Net Income </v>
          </cell>
          <cell r="B119">
            <v>8025</v>
          </cell>
          <cell r="C119" t="e">
            <v>#REF!</v>
          </cell>
          <cell r="D119" t="e">
            <v>#REF!</v>
          </cell>
          <cell r="E119" t="e">
            <v>#REF!</v>
          </cell>
          <cell r="F119" t="e">
            <v>#REF!</v>
          </cell>
          <cell r="G119" t="e">
            <v>#REF!</v>
          </cell>
          <cell r="H119" t="e">
            <v>#REF!</v>
          </cell>
          <cell r="I119" t="e">
            <v>#REF!</v>
          </cell>
        </row>
        <row r="120">
          <cell r="A120" t="str">
            <v>Core EPS</v>
          </cell>
          <cell r="B120">
            <v>4.0850188249715442</v>
          </cell>
          <cell r="C120">
            <v>4.5097953087938158</v>
          </cell>
          <cell r="D120">
            <v>5.1480946755917225</v>
          </cell>
          <cell r="E120">
            <v>5.5710388247639031</v>
          </cell>
          <cell r="F120">
            <v>5.1542183622828786</v>
          </cell>
          <cell r="G120">
            <v>5.086439983613273</v>
          </cell>
          <cell r="H120">
            <v>5.3647375416336782</v>
          </cell>
          <cell r="I120">
            <v>5.6654186389614241</v>
          </cell>
        </row>
        <row r="121">
          <cell r="H121">
            <v>0</v>
          </cell>
          <cell r="I121">
            <v>0</v>
          </cell>
        </row>
        <row r="122">
          <cell r="A122" t="str">
            <v xml:space="preserve">Upside Case 1 </v>
          </cell>
        </row>
        <row r="123">
          <cell r="A123" t="str">
            <v>Sales</v>
          </cell>
          <cell r="B123">
            <v>41459</v>
          </cell>
          <cell r="C123" t="e">
            <v>#REF!</v>
          </cell>
          <cell r="D123" t="e">
            <v>#REF!</v>
          </cell>
          <cell r="E123" t="e">
            <v>#REF!</v>
          </cell>
          <cell r="F123" t="e">
            <v>#REF!</v>
          </cell>
          <cell r="G123" t="e">
            <v>#REF!</v>
          </cell>
          <cell r="H123" t="e">
            <v>#REF!</v>
          </cell>
          <cell r="I123" t="e">
            <v>#REF!</v>
          </cell>
        </row>
        <row r="124">
          <cell r="A124" t="str">
            <v>EBITDA</v>
          </cell>
          <cell r="B124">
            <v>11634</v>
          </cell>
          <cell r="C124">
            <v>12283.4</v>
          </cell>
          <cell r="D124">
            <v>14945.5</v>
          </cell>
          <cell r="E124">
            <v>16786.7</v>
          </cell>
          <cell r="F124">
            <v>16113.7</v>
          </cell>
          <cell r="G124">
            <v>15835.7</v>
          </cell>
          <cell r="H124">
            <v>17533.844512164931</v>
          </cell>
          <cell r="I124">
            <v>17110.691585003315</v>
          </cell>
        </row>
        <row r="125">
          <cell r="A125" t="str">
            <v xml:space="preserve">Net Income </v>
          </cell>
          <cell r="B125">
            <v>8025</v>
          </cell>
          <cell r="C125" t="e">
            <v>#REF!</v>
          </cell>
          <cell r="D125" t="e">
            <v>#REF!</v>
          </cell>
          <cell r="E125" t="e">
            <v>#REF!</v>
          </cell>
          <cell r="F125" t="e">
            <v>#REF!</v>
          </cell>
          <cell r="G125" t="e">
            <v>#REF!</v>
          </cell>
          <cell r="H125" t="e">
            <v>#REF!</v>
          </cell>
          <cell r="I125" t="e">
            <v>#REF!</v>
          </cell>
        </row>
        <row r="126">
          <cell r="A126" t="str">
            <v>Core EPS</v>
          </cell>
          <cell r="B126">
            <v>4.0850188249715442</v>
          </cell>
          <cell r="C126">
            <v>4.6362812177025914</v>
          </cell>
          <cell r="D126">
            <v>5.2902374567386534</v>
          </cell>
          <cell r="E126">
            <v>5.7189928662877891</v>
          </cell>
          <cell r="F126">
            <v>5.3023127051302552</v>
          </cell>
          <cell r="G126">
            <v>5.2282760552739056</v>
          </cell>
          <cell r="H126">
            <v>5.5058817063934038</v>
          </cell>
          <cell r="I126">
            <v>5.7998387600606325</v>
          </cell>
        </row>
        <row r="127">
          <cell r="H127">
            <v>2.630961229032347E-2</v>
          </cell>
          <cell r="I127">
            <v>2.3726423352864456E-2</v>
          </cell>
        </row>
        <row r="128">
          <cell r="A128" t="str">
            <v>Base</v>
          </cell>
        </row>
        <row r="129">
          <cell r="A129" t="str">
            <v>Sales</v>
          </cell>
          <cell r="B129">
            <v>41459</v>
          </cell>
          <cell r="C129">
            <v>44267</v>
          </cell>
          <cell r="D129">
            <v>50624</v>
          </cell>
          <cell r="E129">
            <v>58566</v>
          </cell>
          <cell r="F129">
            <v>56673</v>
          </cell>
          <cell r="G129">
            <v>57920</v>
          </cell>
          <cell r="H129">
            <v>59065.971414844331</v>
          </cell>
          <cell r="I129">
            <v>60323.228122905137</v>
          </cell>
        </row>
        <row r="130">
          <cell r="A130" t="str">
            <v>EBITDA</v>
          </cell>
          <cell r="B130">
            <v>11634</v>
          </cell>
          <cell r="C130">
            <v>12283</v>
          </cell>
          <cell r="D130">
            <v>14945</v>
          </cell>
          <cell r="E130">
            <v>16786</v>
          </cell>
          <cell r="F130">
            <v>16113</v>
          </cell>
          <cell r="G130">
            <v>15835</v>
          </cell>
          <cell r="H130">
            <v>17533.14451216493</v>
          </cell>
          <cell r="I130">
            <v>17109.991585003314</v>
          </cell>
        </row>
        <row r="131">
          <cell r="A131" t="str">
            <v xml:space="preserve">Net Income </v>
          </cell>
          <cell r="B131">
            <v>8025</v>
          </cell>
          <cell r="C131">
            <v>8400</v>
          </cell>
          <cell r="D131">
            <v>9794</v>
          </cell>
          <cell r="E131">
            <v>9113</v>
          </cell>
          <cell r="F131">
            <v>9270</v>
          </cell>
          <cell r="G131">
            <v>9175</v>
          </cell>
          <cell r="H131">
            <v>10904.742402143072</v>
          </cell>
          <cell r="I131">
            <v>10499.940834185407</v>
          </cell>
        </row>
        <row r="132">
          <cell r="A132" t="str">
            <v>Core EPS</v>
          </cell>
          <cell r="B132">
            <v>4.0850188249715442</v>
          </cell>
          <cell r="C132">
            <v>4.5097953087938158</v>
          </cell>
          <cell r="D132">
            <v>5.1480946755917225</v>
          </cell>
          <cell r="E132">
            <v>5.5710388247639031</v>
          </cell>
          <cell r="F132">
            <v>5.1542183622828786</v>
          </cell>
          <cell r="G132">
            <v>5.086439983613273</v>
          </cell>
          <cell r="H132">
            <v>5.3647375416336782</v>
          </cell>
          <cell r="I132">
            <v>5.6654186389614241</v>
          </cell>
        </row>
        <row r="134">
          <cell r="A134" t="str">
            <v>Worst Case</v>
          </cell>
        </row>
        <row r="135">
          <cell r="A135" t="str">
            <v>Sales</v>
          </cell>
          <cell r="B135">
            <v>41459</v>
          </cell>
          <cell r="C135" t="e">
            <v>#REF!</v>
          </cell>
          <cell r="D135" t="e">
            <v>#REF!</v>
          </cell>
          <cell r="E135" t="e">
            <v>#REF!</v>
          </cell>
          <cell r="F135" t="e">
            <v>#REF!</v>
          </cell>
          <cell r="G135" t="e">
            <v>#REF!</v>
          </cell>
          <cell r="H135" t="e">
            <v>#REF!</v>
          </cell>
          <cell r="I135" t="e">
            <v>#REF!</v>
          </cell>
        </row>
        <row r="136">
          <cell r="A136" t="str">
            <v>EBITDA</v>
          </cell>
          <cell r="B136">
            <v>11634</v>
          </cell>
          <cell r="C136" t="e">
            <v>#REF!</v>
          </cell>
          <cell r="D136" t="e">
            <v>#REF!</v>
          </cell>
          <cell r="E136" t="e">
            <v>#REF!</v>
          </cell>
          <cell r="F136" t="e">
            <v>#REF!</v>
          </cell>
          <cell r="G136" t="e">
            <v>#REF!</v>
          </cell>
          <cell r="H136" t="e">
            <v>#REF!</v>
          </cell>
          <cell r="I136" t="e">
            <v>#REF!</v>
          </cell>
        </row>
        <row r="137">
          <cell r="A137" t="str">
            <v xml:space="preserve">Net Income </v>
          </cell>
          <cell r="B137">
            <v>8025</v>
          </cell>
          <cell r="C137" t="e">
            <v>#REF!</v>
          </cell>
          <cell r="D137" t="e">
            <v>#REF!</v>
          </cell>
          <cell r="E137" t="e">
            <v>#REF!</v>
          </cell>
          <cell r="F137" t="e">
            <v>#REF!</v>
          </cell>
          <cell r="G137" t="e">
            <v>#REF!</v>
          </cell>
          <cell r="H137" t="e">
            <v>#REF!</v>
          </cell>
          <cell r="I137" t="e">
            <v>#REF!</v>
          </cell>
        </row>
        <row r="138">
          <cell r="A138" t="str">
            <v>Core EPS</v>
          </cell>
          <cell r="B138">
            <v>4.0850188249715442</v>
          </cell>
          <cell r="C138">
            <v>4.5097953087938158</v>
          </cell>
          <cell r="D138">
            <v>5.1480946755917225</v>
          </cell>
          <cell r="E138">
            <v>5.5710388247639031</v>
          </cell>
          <cell r="F138">
            <v>5.1542183622828786</v>
          </cell>
          <cell r="G138">
            <v>5.086439983613273</v>
          </cell>
          <cell r="H138">
            <v>5.3647375416336782</v>
          </cell>
          <cell r="I138">
            <v>5.6654186389614241</v>
          </cell>
        </row>
        <row r="139">
          <cell r="I139">
            <v>0</v>
          </cell>
        </row>
        <row r="142">
          <cell r="C142" t="str">
            <v>2008e</v>
          </cell>
          <cell r="D142" t="str">
            <v>2009e</v>
          </cell>
          <cell r="E142" t="str">
            <v>2010e</v>
          </cell>
          <cell r="F142" t="str">
            <v>2011e</v>
          </cell>
          <cell r="G142" t="str">
            <v>2012e</v>
          </cell>
          <cell r="H142" t="str">
            <v>2013e</v>
          </cell>
        </row>
        <row r="143">
          <cell r="A143" t="str">
            <v xml:space="preserve">Group Sales </v>
          </cell>
          <cell r="B143" t="str">
            <v>MS</v>
          </cell>
          <cell r="C143">
            <v>41459</v>
          </cell>
          <cell r="D143">
            <v>44267</v>
          </cell>
          <cell r="E143">
            <v>50624</v>
          </cell>
          <cell r="F143">
            <v>58566</v>
          </cell>
          <cell r="G143">
            <v>56673</v>
          </cell>
          <cell r="H143">
            <v>57920</v>
          </cell>
        </row>
        <row r="144">
          <cell r="B144" t="str">
            <v>Cons</v>
          </cell>
          <cell r="C144">
            <v>42638.6875</v>
          </cell>
          <cell r="D144">
            <v>45541.3125</v>
          </cell>
          <cell r="E144">
            <v>53109</v>
          </cell>
          <cell r="F144">
            <v>58853.923076923078</v>
          </cell>
          <cell r="G144">
            <v>60175.769230769234</v>
          </cell>
          <cell r="H144">
            <v>59664.909090909088</v>
          </cell>
        </row>
        <row r="145">
          <cell r="B145" t="str">
            <v>+/-</v>
          </cell>
          <cell r="C145">
            <v>-2.7667068785829807E-2</v>
          </cell>
          <cell r="D145">
            <v>-2.7981461886940617E-2</v>
          </cell>
          <cell r="E145">
            <v>-4.6790562804797653E-2</v>
          </cell>
          <cell r="F145">
            <v>-4.8921645638941857E-3</v>
          </cell>
          <cell r="G145">
            <v>-5.8208964763481363E-2</v>
          </cell>
          <cell r="H145">
            <v>-2.9245147901766466E-2</v>
          </cell>
        </row>
        <row r="147">
          <cell r="A147" t="str">
            <v>EBIT</v>
          </cell>
          <cell r="B147" t="str">
            <v>MS</v>
          </cell>
          <cell r="C147">
            <v>8964</v>
          </cell>
          <cell r="D147">
            <v>9982</v>
          </cell>
          <cell r="E147">
            <v>11526</v>
          </cell>
          <cell r="F147">
            <v>10998</v>
          </cell>
          <cell r="G147">
            <v>11193</v>
          </cell>
          <cell r="H147">
            <v>10910</v>
          </cell>
        </row>
        <row r="148">
          <cell r="B148" t="str">
            <v>Cons</v>
          </cell>
          <cell r="C148">
            <v>9564</v>
          </cell>
          <cell r="D148">
            <v>10532.625</v>
          </cell>
          <cell r="E148">
            <v>12667.6</v>
          </cell>
          <cell r="F148">
            <v>14007.071428571429</v>
          </cell>
          <cell r="G148">
            <v>14141.928571428571</v>
          </cell>
          <cell r="H148">
            <v>13670.545454545454</v>
          </cell>
        </row>
        <row r="149">
          <cell r="B149" t="str">
            <v>+/-</v>
          </cell>
          <cell r="C149">
            <v>-6.273525721455453E-2</v>
          </cell>
          <cell r="D149">
            <v>-5.2278040849266016E-2</v>
          </cell>
          <cell r="E149">
            <v>-9.011967539233956E-2</v>
          </cell>
          <cell r="F149">
            <v>-0.2148251648402083</v>
          </cell>
          <cell r="G149">
            <v>-0.20852379196613913</v>
          </cell>
          <cell r="H149">
            <v>-0.20193381922647224</v>
          </cell>
          <cell r="P149">
            <v>-2.4</v>
          </cell>
        </row>
        <row r="150">
          <cell r="P150">
            <v>4.4000000000000004</v>
          </cell>
        </row>
        <row r="151">
          <cell r="A151" t="str">
            <v>EPS</v>
          </cell>
          <cell r="B151" t="str">
            <v>MS</v>
          </cell>
          <cell r="C151">
            <v>3.85</v>
          </cell>
          <cell r="D151">
            <v>4.3288236844417103</v>
          </cell>
          <cell r="E151">
            <v>5.3346662030598049</v>
          </cell>
          <cell r="F151">
            <v>5.8108892019557468</v>
          </cell>
          <cell r="G151">
            <v>5.2838036809815954</v>
          </cell>
          <cell r="H151">
            <v>5.1432029043969347</v>
          </cell>
          <cell r="P151">
            <v>9.5</v>
          </cell>
        </row>
        <row r="152">
          <cell r="B152" t="str">
            <v>Cons</v>
          </cell>
          <cell r="C152">
            <v>3.8192857142857148</v>
          </cell>
          <cell r="D152">
            <v>4.1342857142857152</v>
          </cell>
          <cell r="E152">
            <v>4.5133333333333328</v>
          </cell>
          <cell r="F152">
            <v>4.79</v>
          </cell>
          <cell r="G152">
            <v>4.9336363636363636</v>
          </cell>
          <cell r="H152">
            <v>4.7774999999999999</v>
          </cell>
          <cell r="P152">
            <v>4.5999999999999996</v>
          </cell>
        </row>
        <row r="153">
          <cell r="B153" t="str">
            <v>+/-</v>
          </cell>
          <cell r="C153">
            <v>8.0418926500840371E-3</v>
          </cell>
          <cell r="D153">
            <v>4.7054795822113471E-2</v>
          </cell>
          <cell r="E153">
            <v>0.1819792178123647</v>
          </cell>
          <cell r="F153">
            <v>0.21312926971936252</v>
          </cell>
          <cell r="G153">
            <v>7.0975501949466446E-2</v>
          </cell>
          <cell r="H153">
            <v>7.6546918764403005E-2</v>
          </cell>
          <cell r="P153">
            <v>13.3</v>
          </cell>
        </row>
        <row r="154">
          <cell r="P154">
            <v>5.8800000000000008</v>
          </cell>
        </row>
        <row r="158">
          <cell r="B158" t="str">
            <v>Zometa Forecasts</v>
          </cell>
          <cell r="C158" t="str">
            <v xml:space="preserve">EPS Upside </v>
          </cell>
        </row>
        <row r="159">
          <cell r="A159" t="str">
            <v>Consensus</v>
          </cell>
          <cell r="B159" t="str">
            <v>1.3bn</v>
          </cell>
        </row>
        <row r="160">
          <cell r="A160" t="str">
            <v xml:space="preserve">MS </v>
          </cell>
          <cell r="B160" t="str">
            <v>2bn</v>
          </cell>
          <cell r="C160">
            <v>0.05</v>
          </cell>
        </row>
        <row r="161">
          <cell r="A161" t="str">
            <v>AZURE Positive</v>
          </cell>
          <cell r="B161" t="str">
            <v>4bn</v>
          </cell>
          <cell r="C161">
            <v>0.16</v>
          </cell>
          <cell r="O161" t="str">
            <v>Zometa Forecasts</v>
          </cell>
          <cell r="P161" t="str">
            <v xml:space="preserve">EPS Upside </v>
          </cell>
        </row>
        <row r="162">
          <cell r="N162" t="str">
            <v>Consensus</v>
          </cell>
          <cell r="O162" t="str">
            <v>1.3bn</v>
          </cell>
        </row>
        <row r="163">
          <cell r="B163" t="str">
            <v>$(bn) Revenue</v>
          </cell>
          <cell r="C163" t="str">
            <v>EPS +/-</v>
          </cell>
          <cell r="D163" t="str">
            <v>DCF +/-</v>
          </cell>
          <cell r="N163" t="str">
            <v xml:space="preserve">MS </v>
          </cell>
          <cell r="O163" t="str">
            <v>2bn</v>
          </cell>
          <cell r="P163">
            <v>0.05</v>
          </cell>
        </row>
        <row r="164">
          <cell r="A164" t="str">
            <v>Base Case</v>
          </cell>
          <cell r="B164">
            <v>0.5</v>
          </cell>
          <cell r="C164" t="str">
            <v>-</v>
          </cell>
          <cell r="D164" t="str">
            <v>-</v>
          </cell>
          <cell r="N164" t="str">
            <v>AZURE Positive</v>
          </cell>
          <cell r="O164" t="str">
            <v>4bn</v>
          </cell>
          <cell r="P164">
            <v>0.16</v>
          </cell>
        </row>
        <row r="165">
          <cell r="A165" t="str">
            <v>Worst Case</v>
          </cell>
          <cell r="B165" t="str">
            <v>-</v>
          </cell>
          <cell r="C165">
            <v>-0.02</v>
          </cell>
          <cell r="D165">
            <v>-0.02</v>
          </cell>
        </row>
        <row r="166">
          <cell r="A166" t="str">
            <v>Blue Sky</v>
          </cell>
          <cell r="B166">
            <v>2</v>
          </cell>
          <cell r="C166" t="str">
            <v>+6%</v>
          </cell>
          <cell r="D166" t="str">
            <v>+5%</v>
          </cell>
        </row>
        <row r="167">
          <cell r="O167" t="str">
            <v>$(bn) Revenue</v>
          </cell>
          <cell r="P167" t="str">
            <v>EPS +/-</v>
          </cell>
          <cell r="Q167" t="str">
            <v>DCF +/-</v>
          </cell>
        </row>
        <row r="168">
          <cell r="N168" t="str">
            <v>Base Case</v>
          </cell>
          <cell r="O168">
            <v>0.5</v>
          </cell>
          <cell r="P168" t="str">
            <v>-</v>
          </cell>
          <cell r="Q168" t="str">
            <v>-</v>
          </cell>
        </row>
        <row r="169">
          <cell r="N169" t="str">
            <v>Worst Case</v>
          </cell>
          <cell r="O169" t="str">
            <v>-</v>
          </cell>
          <cell r="P169">
            <v>-0.02</v>
          </cell>
          <cell r="Q169">
            <v>-0.02</v>
          </cell>
        </row>
        <row r="170">
          <cell r="N170" t="str">
            <v>Blue Sky</v>
          </cell>
          <cell r="O170">
            <v>2</v>
          </cell>
          <cell r="P170" t="str">
            <v>+6%</v>
          </cell>
          <cell r="Q170" t="str">
            <v>+5%</v>
          </cell>
        </row>
        <row r="175">
          <cell r="A175" t="str">
            <v>Core EPS</v>
          </cell>
          <cell r="B175">
            <v>2010</v>
          </cell>
          <cell r="C175">
            <v>2011</v>
          </cell>
          <cell r="D175" t="str">
            <v>2012e</v>
          </cell>
          <cell r="E175" t="str">
            <v>2013e</v>
          </cell>
          <cell r="F175" t="str">
            <v>2014e</v>
          </cell>
          <cell r="G175" t="str">
            <v>2015e</v>
          </cell>
        </row>
        <row r="176">
          <cell r="A176" t="str">
            <v>Base</v>
          </cell>
          <cell r="B176">
            <v>5.1480946755917225</v>
          </cell>
          <cell r="C176">
            <v>5.5710388247639031</v>
          </cell>
          <cell r="D176">
            <v>5.1542183622828786</v>
          </cell>
          <cell r="E176">
            <v>5.086439983613273</v>
          </cell>
          <cell r="F176">
            <v>5.3647375416336782</v>
          </cell>
          <cell r="G176">
            <v>5.6654186389614241</v>
          </cell>
        </row>
        <row r="177">
          <cell r="A177" t="str">
            <v>Bull</v>
          </cell>
          <cell r="B177" t="e">
            <v>#REF!</v>
          </cell>
          <cell r="C177" t="e">
            <v>#REF!</v>
          </cell>
          <cell r="D177" t="e">
            <v>#REF!</v>
          </cell>
          <cell r="E177" t="e">
            <v>#REF!</v>
          </cell>
          <cell r="F177" t="e">
            <v>#REF!</v>
          </cell>
          <cell r="G177" t="e">
            <v>#REF!</v>
          </cell>
        </row>
        <row r="178">
          <cell r="A178" t="str">
            <v>+/-</v>
          </cell>
          <cell r="B178" t="e">
            <v>#REF!</v>
          </cell>
          <cell r="C178" t="e">
            <v>#REF!</v>
          </cell>
          <cell r="D178" t="e">
            <v>#REF!</v>
          </cell>
          <cell r="E178" t="e">
            <v>#REF!</v>
          </cell>
          <cell r="F178" t="e">
            <v>#REF!</v>
          </cell>
          <cell r="G178" t="e">
            <v>#REF!</v>
          </cell>
        </row>
        <row r="179">
          <cell r="A179" t="str">
            <v>Bear</v>
          </cell>
          <cell r="B179" t="e">
            <v>#REF!</v>
          </cell>
          <cell r="C179" t="e">
            <v>#REF!</v>
          </cell>
          <cell r="D179" t="e">
            <v>#REF!</v>
          </cell>
          <cell r="E179" t="e">
            <v>#REF!</v>
          </cell>
          <cell r="F179" t="e">
            <v>#REF!</v>
          </cell>
          <cell r="G179" t="e">
            <v>#REF!</v>
          </cell>
        </row>
        <row r="180">
          <cell r="A180" t="str">
            <v>+/-</v>
          </cell>
          <cell r="B180" t="e">
            <v>#REF!</v>
          </cell>
          <cell r="C180" t="e">
            <v>#REF!</v>
          </cell>
          <cell r="D180" t="e">
            <v>#REF!</v>
          </cell>
          <cell r="E180" t="e">
            <v>#REF!</v>
          </cell>
          <cell r="F180" t="e">
            <v>#REF!</v>
          </cell>
          <cell r="G180" t="e">
            <v>#REF!</v>
          </cell>
        </row>
        <row r="335">
          <cell r="B335" t="str">
            <v>English</v>
          </cell>
        </row>
      </sheetData>
      <sheetData sheetId="7"/>
      <sheetData sheetId="8" refreshError="1">
        <row r="2">
          <cell r="B2" t="str">
            <v>Novartis</v>
          </cell>
          <cell r="E2">
            <v>0</v>
          </cell>
          <cell r="F2">
            <v>1</v>
          </cell>
          <cell r="G2">
            <v>2</v>
          </cell>
          <cell r="H2">
            <v>3</v>
          </cell>
          <cell r="I2">
            <v>4</v>
          </cell>
          <cell r="J2">
            <v>5</v>
          </cell>
          <cell r="K2">
            <v>6</v>
          </cell>
          <cell r="L2">
            <v>7</v>
          </cell>
          <cell r="M2">
            <v>8</v>
          </cell>
          <cell r="N2">
            <v>9</v>
          </cell>
          <cell r="O2">
            <v>10</v>
          </cell>
        </row>
        <row r="3">
          <cell r="B3" t="str">
            <v>USD (m)</v>
          </cell>
          <cell r="C3" t="str">
            <v>Currency</v>
          </cell>
          <cell r="E3">
            <v>2014</v>
          </cell>
          <cell r="F3">
            <v>2015</v>
          </cell>
          <cell r="G3">
            <v>2016</v>
          </cell>
          <cell r="H3">
            <v>2017</v>
          </cell>
          <cell r="I3">
            <v>2018</v>
          </cell>
          <cell r="J3">
            <v>2019</v>
          </cell>
          <cell r="K3">
            <v>2020</v>
          </cell>
          <cell r="L3">
            <v>2021</v>
          </cell>
          <cell r="M3">
            <v>2022</v>
          </cell>
          <cell r="N3">
            <v>2023</v>
          </cell>
          <cell r="O3">
            <v>2024</v>
          </cell>
        </row>
        <row r="4">
          <cell r="B4" t="str">
            <v>Core Operating Profit</v>
          </cell>
          <cell r="C4" t="str">
            <v>$(m)</v>
          </cell>
          <cell r="E4">
            <v>14745.133633023201</v>
          </cell>
          <cell r="F4">
            <v>15088.051697490875</v>
          </cell>
          <cell r="G4">
            <v>15690.715384084819</v>
          </cell>
          <cell r="H4">
            <v>16429.289889067506</v>
          </cell>
          <cell r="I4">
            <v>17267.781328375942</v>
          </cell>
          <cell r="J4">
            <v>16981.425432753709</v>
          </cell>
          <cell r="K4">
            <v>16977.335111762779</v>
          </cell>
          <cell r="L4">
            <v>17005.245238756695</v>
          </cell>
          <cell r="M4">
            <v>17043.587428040733</v>
          </cell>
          <cell r="N4">
            <v>16798.240375271369</v>
          </cell>
          <cell r="O4">
            <v>17359.443039288533</v>
          </cell>
        </row>
        <row r="5">
          <cell r="B5" t="str">
            <v>+/- Pension EBIT Adjustment</v>
          </cell>
          <cell r="C5" t="str">
            <v>$(m)</v>
          </cell>
        </row>
        <row r="6">
          <cell r="B6" t="str">
            <v>= EBIT for DCF Calculations</v>
          </cell>
          <cell r="C6" t="str">
            <v>$(m)</v>
          </cell>
          <cell r="E6">
            <v>14745.133633023201</v>
          </cell>
          <cell r="F6">
            <v>15088.051697490875</v>
          </cell>
          <cell r="G6">
            <v>15690.715384084819</v>
          </cell>
          <cell r="H6">
            <v>16429.289889067506</v>
          </cell>
          <cell r="I6">
            <v>17267.781328375942</v>
          </cell>
          <cell r="J6">
            <v>16981.425432753709</v>
          </cell>
          <cell r="K6">
            <v>16977.335111762779</v>
          </cell>
          <cell r="L6">
            <v>17005.245238756695</v>
          </cell>
          <cell r="M6">
            <v>17043.587428040733</v>
          </cell>
          <cell r="N6">
            <v>16798.240375271369</v>
          </cell>
          <cell r="O6">
            <v>17359.443039288533</v>
          </cell>
        </row>
        <row r="7">
          <cell r="B7" t="str">
            <v>Underlying Tax rate</v>
          </cell>
          <cell r="C7" t="str">
            <v>%</v>
          </cell>
          <cell r="E7">
            <v>0.14499999999999999</v>
          </cell>
          <cell r="F7">
            <v>0.14499999999999999</v>
          </cell>
          <cell r="G7">
            <v>0.14499999999999999</v>
          </cell>
          <cell r="H7">
            <v>0.14499999999999999</v>
          </cell>
          <cell r="I7">
            <v>0.14499999999999999</v>
          </cell>
          <cell r="J7">
            <v>0.14499999999999999</v>
          </cell>
          <cell r="K7">
            <v>0.14499999999999999</v>
          </cell>
          <cell r="L7">
            <v>0.14499999999999999</v>
          </cell>
          <cell r="M7">
            <v>0.14499999999999999</v>
          </cell>
          <cell r="N7">
            <v>0.14499999999999999</v>
          </cell>
          <cell r="O7">
            <v>0.14499999999999999</v>
          </cell>
        </row>
        <row r="8">
          <cell r="B8" t="str">
            <v>-Taxes</v>
          </cell>
          <cell r="C8" t="str">
            <v>$(m)</v>
          </cell>
          <cell r="E8">
            <v>-2138.0443767883639</v>
          </cell>
          <cell r="F8">
            <v>-2187.7674961361768</v>
          </cell>
          <cell r="G8">
            <v>-2275.1537306922987</v>
          </cell>
          <cell r="H8">
            <v>-2382.2470339147881</v>
          </cell>
          <cell r="I8">
            <v>-2503.8282926145116</v>
          </cell>
          <cell r="J8">
            <v>-2462.3066877492874</v>
          </cell>
          <cell r="K8">
            <v>-2461.7135912056028</v>
          </cell>
          <cell r="L8">
            <v>-2465.7605596197209</v>
          </cell>
          <cell r="M8">
            <v>-2471.3201770659061</v>
          </cell>
          <cell r="N8">
            <v>-2435.7448544143485</v>
          </cell>
          <cell r="O8">
            <v>-2517.1192406968371</v>
          </cell>
        </row>
        <row r="9">
          <cell r="B9" t="str">
            <v>=NOPLAT</v>
          </cell>
          <cell r="C9" t="str">
            <v>$(m)</v>
          </cell>
          <cell r="E9">
            <v>12607.089256234836</v>
          </cell>
          <cell r="F9">
            <v>12900.284201354698</v>
          </cell>
          <cell r="G9">
            <v>13415.56165339252</v>
          </cell>
          <cell r="H9">
            <v>14047.042855152718</v>
          </cell>
          <cell r="I9">
            <v>14763.953035761431</v>
          </cell>
          <cell r="J9">
            <v>14519.118745004422</v>
          </cell>
          <cell r="K9">
            <v>14515.621520557175</v>
          </cell>
          <cell r="L9">
            <v>14539.484679136975</v>
          </cell>
          <cell r="M9">
            <v>14572.267250974826</v>
          </cell>
          <cell r="N9">
            <v>14362.495520857021</v>
          </cell>
          <cell r="O9">
            <v>14842.323798591697</v>
          </cell>
        </row>
        <row r="10">
          <cell r="B10" t="str">
            <v>+Depreciation &amp; amortisation</v>
          </cell>
          <cell r="C10" t="str">
            <v>$(m)</v>
          </cell>
          <cell r="E10">
            <v>4731.2108791417304</v>
          </cell>
          <cell r="F10">
            <v>4865.3498875124387</v>
          </cell>
          <cell r="G10">
            <v>4984.5731735074114</v>
          </cell>
          <cell r="H10">
            <v>5106.8865722919872</v>
          </cell>
          <cell r="I10">
            <v>5232.7784057027093</v>
          </cell>
          <cell r="J10">
            <v>5480.708242667477</v>
          </cell>
          <cell r="K10">
            <v>5480.708242667477</v>
          </cell>
          <cell r="L10">
            <v>5602.457490582342</v>
          </cell>
          <cell r="M10">
            <v>5722.0118732637748</v>
          </cell>
          <cell r="N10">
            <v>5202.440393379462</v>
          </cell>
          <cell r="O10">
            <v>3116.5635087061341</v>
          </cell>
        </row>
        <row r="11">
          <cell r="B11" t="str">
            <v xml:space="preserve">Gross Cash Flow </v>
          </cell>
          <cell r="C11" t="str">
            <v>$(m)</v>
          </cell>
          <cell r="E11">
            <v>17338.300135376565</v>
          </cell>
          <cell r="F11">
            <v>17765.634088867137</v>
          </cell>
          <cell r="G11">
            <v>18400.134826899932</v>
          </cell>
          <cell r="H11">
            <v>19153.929427444706</v>
          </cell>
          <cell r="I11">
            <v>19996.731441464141</v>
          </cell>
          <cell r="J11">
            <v>19999.826987671899</v>
          </cell>
          <cell r="K11">
            <v>19996.329763224654</v>
          </cell>
          <cell r="L11">
            <v>20141.942169719317</v>
          </cell>
          <cell r="M11">
            <v>20294.279124238601</v>
          </cell>
          <cell r="N11">
            <v>19564.935914236485</v>
          </cell>
          <cell r="O11">
            <v>17958.887307297831</v>
          </cell>
        </row>
        <row r="12">
          <cell r="B12" t="str">
            <v xml:space="preserve">+Changes in working capital </v>
          </cell>
          <cell r="C12" t="str">
            <v>$(m)</v>
          </cell>
          <cell r="E12">
            <v>-542.27679784689963</v>
          </cell>
          <cell r="F12">
            <v>-611.39915072921985</v>
          </cell>
          <cell r="G12">
            <v>-770.6799532826717</v>
          </cell>
          <cell r="H12">
            <v>-848.90469985667733</v>
          </cell>
          <cell r="I12">
            <v>-932.54836466469078</v>
          </cell>
          <cell r="J12">
            <v>-619.17611503988883</v>
          </cell>
          <cell r="K12">
            <v>-785.17619195593034</v>
          </cell>
          <cell r="L12">
            <v>-712.20238175528084</v>
          </cell>
          <cell r="M12">
            <v>-769.47256728811317</v>
          </cell>
          <cell r="N12">
            <v>-980.82277976408295</v>
          </cell>
          <cell r="O12">
            <v>0</v>
          </cell>
        </row>
        <row r="13">
          <cell r="B13" t="str">
            <v>+Capital expenditures</v>
          </cell>
          <cell r="C13" t="str">
            <v>$(m)</v>
          </cell>
          <cell r="E13">
            <v>-3534.6985707422168</v>
          </cell>
          <cell r="F13">
            <v>-3609.1894061452567</v>
          </cell>
          <cell r="G13">
            <v>-3405.8887320034546</v>
          </cell>
          <cell r="H13">
            <v>-3513.8903543188708</v>
          </cell>
          <cell r="I13">
            <v>-3631.7847143023282</v>
          </cell>
          <cell r="J13">
            <v>-3656.3355372037395</v>
          </cell>
          <cell r="K13">
            <v>-3708.6883779523378</v>
          </cell>
          <cell r="L13">
            <v>-3727.9296530692036</v>
          </cell>
          <cell r="M13">
            <v>-3745.1588179970367</v>
          </cell>
          <cell r="N13">
            <v>-3798.2139851121374</v>
          </cell>
          <cell r="O13">
            <v>-3760.4873049343987</v>
          </cell>
        </row>
        <row r="14">
          <cell r="B14" t="str">
            <v>+Other asset changes (Cash Change in Provisions)</v>
          </cell>
          <cell r="C14" t="str">
            <v>$(m)</v>
          </cell>
        </row>
        <row r="15">
          <cell r="B15" t="str">
            <v>= Gross investment</v>
          </cell>
          <cell r="C15" t="str">
            <v>$(m)</v>
          </cell>
          <cell r="E15">
            <v>-4076.9753685891164</v>
          </cell>
          <cell r="F15">
            <v>-4220.5885568744761</v>
          </cell>
          <cell r="G15">
            <v>-4176.5686852861263</v>
          </cell>
          <cell r="H15">
            <v>-4362.7950541755481</v>
          </cell>
          <cell r="I15">
            <v>-4564.333078967019</v>
          </cell>
          <cell r="J15">
            <v>-4275.5116522436283</v>
          </cell>
          <cell r="K15">
            <v>-4493.8645699082681</v>
          </cell>
          <cell r="L15">
            <v>-4440.1320348244844</v>
          </cell>
          <cell r="M15">
            <v>-4514.6313852851499</v>
          </cell>
          <cell r="N15">
            <v>-4779.0367648762203</v>
          </cell>
          <cell r="O15">
            <v>-3760.4873049343987</v>
          </cell>
        </row>
        <row r="16">
          <cell r="B16" t="str">
            <v>= Free cash flow from operations</v>
          </cell>
          <cell r="C16" t="str">
            <v>$(m)</v>
          </cell>
          <cell r="E16">
            <v>13261.324766787449</v>
          </cell>
          <cell r="F16">
            <v>13545.04553199266</v>
          </cell>
          <cell r="G16">
            <v>14223.566141613806</v>
          </cell>
          <cell r="H16">
            <v>14791.134373269157</v>
          </cell>
          <cell r="I16">
            <v>15432.398362497122</v>
          </cell>
          <cell r="J16">
            <v>15724.315335428269</v>
          </cell>
          <cell r="K16">
            <v>15502.465193316386</v>
          </cell>
          <cell r="L16">
            <v>15701.810134894833</v>
          </cell>
          <cell r="M16">
            <v>15779.647738953452</v>
          </cell>
          <cell r="N16">
            <v>14785.899149360264</v>
          </cell>
          <cell r="O16">
            <v>14198.400002363433</v>
          </cell>
        </row>
        <row r="17">
          <cell r="B17" t="str">
            <v>Year</v>
          </cell>
          <cell r="E17">
            <v>0.84109589041095889</v>
          </cell>
          <cell r="F17">
            <v>1.8410958904109589</v>
          </cell>
          <cell r="G17">
            <v>2.8410958904109589</v>
          </cell>
          <cell r="H17">
            <v>3.8410958904109589</v>
          </cell>
          <cell r="I17">
            <v>4.8410958904109584</v>
          </cell>
          <cell r="J17">
            <v>5.8410958904109584</v>
          </cell>
          <cell r="K17">
            <v>6.8410958904109584</v>
          </cell>
          <cell r="L17">
            <v>7.8410958904109584</v>
          </cell>
          <cell r="M17">
            <v>8.8410958904109584</v>
          </cell>
          <cell r="N17">
            <v>9.8410958904109584</v>
          </cell>
          <cell r="O17">
            <v>10.841095890410958</v>
          </cell>
        </row>
        <row r="18">
          <cell r="B18" t="str">
            <v>Discount factor</v>
          </cell>
          <cell r="E18">
            <v>0.93818485738718327</v>
          </cell>
          <cell r="F18">
            <v>0.86964384057511335</v>
          </cell>
          <cell r="G18">
            <v>0.80611022816596234</v>
          </cell>
          <cell r="H18">
            <v>0.74721819397242528</v>
          </cell>
          <cell r="I18">
            <v>0.69262863798877727</v>
          </cell>
          <cell r="J18">
            <v>0.64202723385492466</v>
          </cell>
          <cell r="K18">
            <v>0.59512261896696927</v>
          </cell>
          <cell r="L18">
            <v>0.55164471681295468</v>
          </cell>
          <cell r="M18">
            <v>0.51134318187380978</v>
          </cell>
          <cell r="N18">
            <v>0.47398595813524119</v>
          </cell>
          <cell r="O18">
            <v>0.43935794291049196</v>
          </cell>
        </row>
        <row r="19">
          <cell r="B19" t="str">
            <v>= Discounted free cash flow</v>
          </cell>
          <cell r="C19" t="str">
            <v>$(m)</v>
          </cell>
          <cell r="E19">
            <v>12441.574085093605</v>
          </cell>
          <cell r="F19">
            <v>11779.365417206876</v>
          </cell>
          <cell r="G19">
            <v>11465.762147749962</v>
          </cell>
          <cell r="H19">
            <v>11052.20471319764</v>
          </cell>
          <cell r="I19">
            <v>10688.921058716618</v>
          </cell>
          <cell r="J19">
            <v>10095.438679067584</v>
          </cell>
          <cell r="K19">
            <v>9225.8676862907305</v>
          </cell>
          <cell r="L19">
            <v>8661.8206053148424</v>
          </cell>
          <cell r="M19">
            <v>8068.8152836843265</v>
          </cell>
          <cell r="N19">
            <v>7008.3085752005727</v>
          </cell>
          <cell r="O19">
            <v>6238.1798176587217</v>
          </cell>
        </row>
        <row r="21">
          <cell r="B21" t="str">
            <v>Capital Structure</v>
          </cell>
          <cell r="C21">
            <v>2014</v>
          </cell>
          <cell r="E21" t="str">
            <v>Terminal Value Novartis MS Estimates</v>
          </cell>
          <cell r="J21">
            <v>84158.396255277738</v>
          </cell>
        </row>
        <row r="22">
          <cell r="B22" t="str">
            <v>Debt (Book Value) Weight 2014f</v>
          </cell>
          <cell r="C22">
            <v>4.0681828447381024E-2</v>
          </cell>
          <cell r="E22" t="str">
            <v>Terminal Value Weight</v>
          </cell>
          <cell r="J22">
            <v>0.2064697815111583</v>
          </cell>
        </row>
        <row r="23">
          <cell r="B23" t="str">
            <v>Equity (Market Value) Weight 2014f</v>
          </cell>
          <cell r="C23">
            <v>0.959318171552619</v>
          </cell>
        </row>
        <row r="24">
          <cell r="B24" t="str">
            <v>Debt to Equity Ratio 2014f</v>
          </cell>
          <cell r="C24">
            <v>4.2407023710954075E-2</v>
          </cell>
          <cell r="E24" t="str">
            <v>Novartis Weighted Average Cost of Capital</v>
          </cell>
          <cell r="J24">
            <v>7.8815043140813057E-2</v>
          </cell>
          <cell r="S24" t="str">
            <v>2012 Annual report has WACC at 7.8%</v>
          </cell>
        </row>
        <row r="25">
          <cell r="E25" t="str">
            <v xml:space="preserve">Assumed Long term Growth </v>
          </cell>
          <cell r="J25">
            <v>4.367065999757727E-3</v>
          </cell>
        </row>
        <row r="26">
          <cell r="B26" t="str">
            <v>Cost of Debt</v>
          </cell>
          <cell r="C26">
            <v>2014</v>
          </cell>
        </row>
        <row r="27">
          <cell r="B27" t="str">
            <v>Rating of the Stock</v>
          </cell>
          <cell r="E27" t="str">
            <v>Novartis Weighted Average Cost of Capital</v>
          </cell>
          <cell r="J27">
            <v>7.8815043140813057E-2</v>
          </cell>
          <cell r="L27" t="str">
            <v>Multiple based valuation</v>
          </cell>
        </row>
        <row r="28">
          <cell r="B28" t="str">
            <v>Novartis Cost of Debt</v>
          </cell>
          <cell r="C28">
            <v>4.0028527028527029E-2</v>
          </cell>
          <cell r="E28" t="str">
            <v>+ Present Enterprise Value of Novartis Year 2014f USD (m)</v>
          </cell>
          <cell r="J28">
            <v>190884.6543244592</v>
          </cell>
          <cell r="L28" t="str">
            <v>Sector '15-18 EPS CAGR</v>
          </cell>
          <cell r="O28">
            <v>0.08</v>
          </cell>
        </row>
        <row r="29">
          <cell r="B29" t="str">
            <v>Tax Shield</v>
          </cell>
          <cell r="C29">
            <v>0.14499999999999999</v>
          </cell>
          <cell r="E29" t="str">
            <v>- Novartis Net Debt 2013f USD (m)</v>
          </cell>
          <cell r="J29">
            <v>8796</v>
          </cell>
          <cell r="L29" t="str">
            <v>Sector 2015e P/E</v>
          </cell>
          <cell r="O29">
            <v>14</v>
          </cell>
        </row>
        <row r="30">
          <cell r="B30" t="str">
            <v>Novartis After tax Cost of Debt under MS Estimates</v>
          </cell>
          <cell r="C30">
            <v>3.4224390609390608E-2</v>
          </cell>
          <cell r="E30" t="str">
            <v>- Novartis Pension 2013f USD (m)</v>
          </cell>
          <cell r="J30">
            <v>3365</v>
          </cell>
          <cell r="L30" t="str">
            <v>Novartis '15-18 EPS CAGR</v>
          </cell>
          <cell r="O30">
            <v>5.9843618577521074E-2</v>
          </cell>
        </row>
        <row r="31">
          <cell r="E31" t="str">
            <v>- Novartis Minority Interest 2013f USD (m)</v>
          </cell>
          <cell r="J31">
            <v>129</v>
          </cell>
          <cell r="L31" t="str">
            <v>Premium/discount</v>
          </cell>
          <cell r="O31">
            <v>0.1</v>
          </cell>
        </row>
        <row r="32">
          <cell r="B32" t="str">
            <v>Cost of Equity</v>
          </cell>
          <cell r="C32">
            <v>2014</v>
          </cell>
          <cell r="E32" t="str">
            <v>= Market Cap. Of Novartis Year 2014f USD (m)</v>
          </cell>
          <cell r="J32">
            <v>178594.6543244592</v>
          </cell>
          <cell r="L32" t="str">
            <v>Novartis 2015e P/E</v>
          </cell>
          <cell r="O32">
            <v>15.400000000000002</v>
          </cell>
        </row>
        <row r="33">
          <cell r="B33" t="str">
            <v>Risk Free Rate (10 Year Bond) MS Estimates</v>
          </cell>
          <cell r="C33">
            <v>0.03</v>
          </cell>
          <cell r="E33" t="str">
            <v>/ Novartis Number of Shares 2014f (m)</v>
          </cell>
          <cell r="J33">
            <v>2441.61323238973</v>
          </cell>
          <cell r="L33" t="str">
            <v>Novartis 2015e EPS</v>
          </cell>
          <cell r="O33">
            <v>5.6654186389614241</v>
          </cell>
        </row>
        <row r="34">
          <cell r="B34" t="str">
            <v>Rm (Market Normalised Return)</v>
          </cell>
          <cell r="C34">
            <v>8.3999999999999991E-2</v>
          </cell>
          <cell r="E34" t="str">
            <v>Implied Value per Novartis Share</v>
          </cell>
          <cell r="J34">
            <v>73.146169080046974</v>
          </cell>
          <cell r="L34" t="str">
            <v>Implied valuation 2015e</v>
          </cell>
          <cell r="O34">
            <v>87.247447040005937</v>
          </cell>
        </row>
        <row r="35">
          <cell r="B35" t="str">
            <v>Market Risk Premium</v>
          </cell>
          <cell r="C35">
            <v>5.3999999999999999E-2</v>
          </cell>
          <cell r="E35" t="str">
            <v>Conversion Rate (CHF/USD)</v>
          </cell>
          <cell r="J35">
            <v>0.97</v>
          </cell>
          <cell r="L35" t="str">
            <v>Implied valuation 2014e</v>
          </cell>
          <cell r="O35">
            <v>80.873406052994682</v>
          </cell>
        </row>
        <row r="36">
          <cell r="B36" t="str">
            <v>Novartis Bloomberg Market Beta</v>
          </cell>
          <cell r="C36">
            <v>0.93899999999999995</v>
          </cell>
          <cell r="E36" t="str">
            <v>Implied value per Novartis Share (CHF)</v>
          </cell>
          <cell r="J36">
            <v>70.951784007645557</v>
          </cell>
          <cell r="L36" t="str">
            <v>Implied value per share (CHF)</v>
          </cell>
          <cell r="O36">
            <v>78.447203871404838</v>
          </cell>
        </row>
        <row r="37">
          <cell r="B37" t="str">
            <v>Novartis Cost of Equity under MS Estimates</v>
          </cell>
          <cell r="C37">
            <v>8.0706E-2</v>
          </cell>
          <cell r="E37" t="str">
            <v>Current Share price (CHF)</v>
          </cell>
          <cell r="J37">
            <v>74.849999999999994</v>
          </cell>
        </row>
        <row r="38">
          <cell r="E38" t="str">
            <v>Implied Upside/Downside</v>
          </cell>
          <cell r="J38">
            <v>-5.2080373979351169E-2</v>
          </cell>
          <cell r="L38" t="str">
            <v>Avg calculated price/share (CHF)</v>
          </cell>
          <cell r="O38">
            <v>74.699493939525198</v>
          </cell>
        </row>
        <row r="39">
          <cell r="L39" t="str">
            <v>Implied Upside/Downside</v>
          </cell>
          <cell r="O39">
            <v>-2.0107690110193754E-3</v>
          </cell>
        </row>
        <row r="40">
          <cell r="B40" t="str">
            <v>Current date</v>
          </cell>
          <cell r="C40">
            <v>41698</v>
          </cell>
        </row>
        <row r="41">
          <cell r="B41" t="str">
            <v>Base date for discounting</v>
          </cell>
          <cell r="C41">
            <v>42005</v>
          </cell>
        </row>
        <row r="42">
          <cell r="B42" t="str">
            <v>Current year days remaining to be discounted</v>
          </cell>
          <cell r="C42">
            <v>307</v>
          </cell>
        </row>
        <row r="45">
          <cell r="B45" t="str">
            <v>Risk Free Rate</v>
          </cell>
        </row>
        <row r="46">
          <cell r="B46" t="str">
            <v>Sales Split</v>
          </cell>
          <cell r="C46">
            <v>2013</v>
          </cell>
          <cell r="E46" t="str">
            <v>Rf</v>
          </cell>
        </row>
        <row r="47">
          <cell r="B47" t="str">
            <v>Europe</v>
          </cell>
          <cell r="C47">
            <v>0.36391574585635361</v>
          </cell>
          <cell r="E47">
            <v>3.7369999999999994E-2</v>
          </cell>
        </row>
        <row r="48">
          <cell r="B48" t="str">
            <v>US</v>
          </cell>
          <cell r="C48">
            <v>0.32672651933701657</v>
          </cell>
          <cell r="E48">
            <v>3.3546666666666669E-2</v>
          </cell>
        </row>
        <row r="49">
          <cell r="B49" t="str">
            <v>Asia/Africa/Australasia</v>
          </cell>
          <cell r="C49">
            <v>0.21728245856353592</v>
          </cell>
          <cell r="E49">
            <v>2.3479999999999997E-2</v>
          </cell>
        </row>
        <row r="50">
          <cell r="B50" t="str">
            <v>Canada &amp; Latin America</v>
          </cell>
          <cell r="C50">
            <v>9.2075276243093918E-2</v>
          </cell>
          <cell r="E50">
            <v>4.8146666666666664E-2</v>
          </cell>
        </row>
        <row r="51">
          <cell r="B51" t="str">
            <v>TOTAL</v>
          </cell>
          <cell r="C51">
            <v>1</v>
          </cell>
          <cell r="E51">
            <v>0.03</v>
          </cell>
        </row>
        <row r="53">
          <cell r="B53" t="str">
            <v>Total Current Market Cap</v>
          </cell>
          <cell r="C53">
            <v>182754.75044437128</v>
          </cell>
        </row>
      </sheetData>
      <sheetData sheetId="9" refreshError="1">
        <row r="2">
          <cell r="A2" t="str">
            <v>NOVARTIS</v>
          </cell>
        </row>
        <row r="3">
          <cell r="A3" t="str">
            <v>Yearly Sales Forecast</v>
          </cell>
          <cell r="J3" t="str">
            <v>Morgan Stanley Equity Research: Pharmaceuticals</v>
          </cell>
        </row>
        <row r="4">
          <cell r="A4" t="str">
            <v>in USD mlns</v>
          </cell>
          <cell r="B4">
            <v>2007</v>
          </cell>
          <cell r="C4">
            <v>2008</v>
          </cell>
          <cell r="D4">
            <v>2009</v>
          </cell>
          <cell r="E4">
            <v>2010</v>
          </cell>
          <cell r="F4">
            <v>2011</v>
          </cell>
          <cell r="G4">
            <v>2012</v>
          </cell>
          <cell r="H4">
            <v>2013</v>
          </cell>
          <cell r="I4" t="str">
            <v>2014E</v>
          </cell>
          <cell r="J4" t="str">
            <v>2015E</v>
          </cell>
          <cell r="K4" t="str">
            <v>2016E</v>
          </cell>
          <cell r="L4" t="str">
            <v>2017E</v>
          </cell>
          <cell r="M4" t="str">
            <v>2018E</v>
          </cell>
          <cell r="N4" t="str">
            <v>2019E</v>
          </cell>
          <cell r="O4" t="str">
            <v>2020E</v>
          </cell>
          <cell r="P4" t="str">
            <v>2021E</v>
          </cell>
          <cell r="Q4" t="str">
            <v>2022E</v>
          </cell>
          <cell r="R4" t="str">
            <v>2023E</v>
          </cell>
          <cell r="S4" t="str">
            <v>2024E</v>
          </cell>
        </row>
        <row r="6">
          <cell r="A6" t="str">
            <v>Diovan</v>
          </cell>
          <cell r="B6">
            <v>5012</v>
          </cell>
          <cell r="C6">
            <v>5740</v>
          </cell>
          <cell r="D6">
            <v>6013</v>
          </cell>
          <cell r="E6">
            <v>6053</v>
          </cell>
          <cell r="F6">
            <v>5665</v>
          </cell>
          <cell r="G6">
            <v>4417</v>
          </cell>
          <cell r="H6">
            <v>3524</v>
          </cell>
          <cell r="I6">
            <v>2224.2619640733988</v>
          </cell>
          <cell r="J6">
            <v>1139.311473055049</v>
          </cell>
          <cell r="K6">
            <v>1036.3894699411953</v>
          </cell>
          <cell r="L6">
            <v>947.6230670453117</v>
          </cell>
          <cell r="M6">
            <v>869.93605435213976</v>
          </cell>
          <cell r="N6">
            <v>817.80079663453273</v>
          </cell>
          <cell r="O6">
            <v>770.86383830280602</v>
          </cell>
          <cell r="P6">
            <v>728.08780343766568</v>
          </cell>
          <cell r="Q6">
            <v>688.72042320078242</v>
          </cell>
          <cell r="R6">
            <v>652.21030899524317</v>
          </cell>
          <cell r="S6">
            <v>618.14792841363101</v>
          </cell>
        </row>
        <row r="7">
          <cell r="A7" t="str">
            <v>Exforge</v>
          </cell>
          <cell r="B7">
            <v>103</v>
          </cell>
          <cell r="C7">
            <v>406</v>
          </cell>
          <cell r="D7">
            <v>671</v>
          </cell>
          <cell r="E7">
            <v>904</v>
          </cell>
          <cell r="F7">
            <v>1209</v>
          </cell>
          <cell r="G7">
            <v>1352</v>
          </cell>
          <cell r="H7">
            <v>1456</v>
          </cell>
          <cell r="I7">
            <v>1447.7646746195308</v>
          </cell>
          <cell r="J7">
            <v>1244.6042071575778</v>
          </cell>
          <cell r="K7">
            <v>1194.4452175154568</v>
          </cell>
          <cell r="L7">
            <v>815.67725226081973</v>
          </cell>
          <cell r="M7">
            <v>767.19651469299515</v>
          </cell>
          <cell r="N7">
            <v>519.15746028509659</v>
          </cell>
          <cell r="O7">
            <v>363.41022219956761</v>
          </cell>
          <cell r="P7">
            <v>254.38715553969732</v>
          </cell>
          <cell r="Q7">
            <v>241.66779776271244</v>
          </cell>
          <cell r="R7">
            <v>229.58440787457681</v>
          </cell>
          <cell r="S7">
            <v>218.10518748084797</v>
          </cell>
        </row>
        <row r="8">
          <cell r="A8" t="str">
            <v>Lotrel</v>
          </cell>
          <cell r="B8">
            <v>748</v>
          </cell>
          <cell r="C8">
            <v>386</v>
          </cell>
          <cell r="D8">
            <v>322</v>
          </cell>
          <cell r="E8">
            <v>266</v>
          </cell>
          <cell r="F8">
            <v>54</v>
          </cell>
          <cell r="G8">
            <v>0</v>
          </cell>
          <cell r="H8">
            <v>0</v>
          </cell>
          <cell r="I8">
            <v>0</v>
          </cell>
          <cell r="J8">
            <v>0</v>
          </cell>
          <cell r="K8">
            <v>0</v>
          </cell>
          <cell r="L8">
            <v>0</v>
          </cell>
          <cell r="M8">
            <v>0</v>
          </cell>
          <cell r="N8">
            <v>0</v>
          </cell>
          <cell r="O8">
            <v>0</v>
          </cell>
          <cell r="P8">
            <v>0</v>
          </cell>
          <cell r="Q8">
            <v>0</v>
          </cell>
          <cell r="R8">
            <v>0</v>
          </cell>
          <cell r="S8">
            <v>0</v>
          </cell>
        </row>
        <row r="9">
          <cell r="A9" t="str">
            <v>Lescol</v>
          </cell>
          <cell r="B9">
            <v>665</v>
          </cell>
          <cell r="C9">
            <v>645</v>
          </cell>
          <cell r="D9">
            <v>563</v>
          </cell>
          <cell r="E9">
            <v>436</v>
          </cell>
          <cell r="F9">
            <v>389</v>
          </cell>
          <cell r="G9">
            <v>0</v>
          </cell>
          <cell r="H9">
            <v>0</v>
          </cell>
          <cell r="I9">
            <v>0</v>
          </cell>
          <cell r="J9">
            <v>0</v>
          </cell>
          <cell r="K9">
            <v>0</v>
          </cell>
          <cell r="L9">
            <v>0</v>
          </cell>
          <cell r="M9">
            <v>0</v>
          </cell>
          <cell r="N9">
            <v>0</v>
          </cell>
          <cell r="O9">
            <v>0</v>
          </cell>
          <cell r="P9">
            <v>0</v>
          </cell>
          <cell r="Q9">
            <v>0</v>
          </cell>
          <cell r="R9">
            <v>0</v>
          </cell>
          <cell r="S9">
            <v>0</v>
          </cell>
        </row>
        <row r="10">
          <cell r="A10" t="str">
            <v>Tekturna/Rasilez</v>
          </cell>
          <cell r="B10">
            <v>40</v>
          </cell>
          <cell r="C10">
            <v>144</v>
          </cell>
          <cell r="D10">
            <v>290</v>
          </cell>
          <cell r="E10">
            <v>438</v>
          </cell>
          <cell r="F10">
            <v>557</v>
          </cell>
          <cell r="G10">
            <v>383</v>
          </cell>
          <cell r="H10">
            <v>290</v>
          </cell>
          <cell r="I10">
            <v>261.62658863955824</v>
          </cell>
          <cell r="J10">
            <v>214.92125920758031</v>
          </cell>
          <cell r="K10">
            <v>187.36319624720127</v>
          </cell>
          <cell r="L10">
            <v>169.5890364348412</v>
          </cell>
          <cell r="M10">
            <v>134.73722914787297</v>
          </cell>
          <cell r="N10">
            <v>102.88628331829837</v>
          </cell>
          <cell r="O10">
            <v>82.04750665463871</v>
          </cell>
          <cell r="P10">
            <v>65.638005323710971</v>
          </cell>
          <cell r="Q10">
            <v>52.510404258968777</v>
          </cell>
          <cell r="R10">
            <v>42.008323407175027</v>
          </cell>
          <cell r="S10">
            <v>33.606658725740026</v>
          </cell>
        </row>
        <row r="11">
          <cell r="A11" t="str">
            <v>Galvus</v>
          </cell>
          <cell r="B11">
            <v>8</v>
          </cell>
          <cell r="C11">
            <v>43</v>
          </cell>
          <cell r="D11">
            <v>181</v>
          </cell>
          <cell r="E11">
            <v>391</v>
          </cell>
          <cell r="F11">
            <v>677</v>
          </cell>
          <cell r="G11">
            <v>910</v>
          </cell>
          <cell r="H11">
            <v>1200</v>
          </cell>
          <cell r="I11">
            <v>1441.0531008243499</v>
          </cell>
          <cell r="J11">
            <v>1585.1584109067851</v>
          </cell>
          <cell r="K11">
            <v>1743.6742519974637</v>
          </cell>
          <cell r="L11">
            <v>1883.1681921572608</v>
          </cell>
          <cell r="M11">
            <v>1977.326601765124</v>
          </cell>
          <cell r="N11">
            <v>1878.4602716768677</v>
          </cell>
          <cell r="O11">
            <v>1784.5372580930243</v>
          </cell>
          <cell r="P11">
            <v>1516.8566693790706</v>
          </cell>
          <cell r="Q11">
            <v>1289.3281689722101</v>
          </cell>
          <cell r="R11">
            <v>1095.9289436263784</v>
          </cell>
          <cell r="S11">
            <v>931.53960208242165</v>
          </cell>
        </row>
        <row r="12">
          <cell r="A12" t="str">
            <v>Xolair</v>
          </cell>
          <cell r="B12">
            <v>140</v>
          </cell>
          <cell r="C12">
            <v>211</v>
          </cell>
          <cell r="D12">
            <v>338</v>
          </cell>
          <cell r="E12">
            <v>369</v>
          </cell>
          <cell r="F12">
            <v>478</v>
          </cell>
          <cell r="G12">
            <v>504</v>
          </cell>
          <cell r="H12">
            <v>613</v>
          </cell>
          <cell r="I12">
            <v>709.7642099222395</v>
          </cell>
          <cell r="J12">
            <v>823.32648350979775</v>
          </cell>
          <cell r="K12">
            <v>889.19260219058162</v>
          </cell>
          <cell r="L12">
            <v>915.86838025629913</v>
          </cell>
          <cell r="M12">
            <v>943.34443166398808</v>
          </cell>
          <cell r="N12">
            <v>971.6447646139078</v>
          </cell>
          <cell r="O12">
            <v>1000.794107552325</v>
          </cell>
          <cell r="P12">
            <v>970.77028432575526</v>
          </cell>
          <cell r="Q12">
            <v>922.23177010946745</v>
          </cell>
          <cell r="R12">
            <v>876.12018160399407</v>
          </cell>
          <cell r="S12">
            <v>832.31417252379435</v>
          </cell>
        </row>
        <row r="13">
          <cell r="A13" t="str">
            <v>Onbrez Breezhaler</v>
          </cell>
          <cell r="B13">
            <v>0</v>
          </cell>
          <cell r="C13">
            <v>0</v>
          </cell>
          <cell r="D13">
            <v>0</v>
          </cell>
          <cell r="E13">
            <v>32</v>
          </cell>
          <cell r="F13">
            <v>103</v>
          </cell>
          <cell r="G13">
            <v>134</v>
          </cell>
          <cell r="H13">
            <v>192</v>
          </cell>
          <cell r="I13">
            <v>268.30260958977607</v>
          </cell>
          <cell r="J13">
            <v>362.20852294619772</v>
          </cell>
          <cell r="K13">
            <v>470.87107983005706</v>
          </cell>
          <cell r="L13">
            <v>588.58884978757135</v>
          </cell>
          <cell r="M13">
            <v>676.87717725570701</v>
          </cell>
          <cell r="N13">
            <v>731.0273514361636</v>
          </cell>
          <cell r="O13">
            <v>767.57871900797181</v>
          </cell>
          <cell r="P13">
            <v>805.95765495837043</v>
          </cell>
          <cell r="Q13">
            <v>846.25553770628903</v>
          </cell>
          <cell r="R13">
            <v>888.56831459160355</v>
          </cell>
          <cell r="S13">
            <v>932.9967303211838</v>
          </cell>
        </row>
        <row r="14">
          <cell r="A14" t="str">
            <v>Seebri Breezhaler</v>
          </cell>
          <cell r="B14">
            <v>0</v>
          </cell>
          <cell r="C14">
            <v>0</v>
          </cell>
          <cell r="D14">
            <v>0</v>
          </cell>
          <cell r="E14">
            <v>0</v>
          </cell>
          <cell r="F14">
            <v>0</v>
          </cell>
          <cell r="G14">
            <v>3</v>
          </cell>
          <cell r="H14">
            <v>58</v>
          </cell>
          <cell r="I14">
            <v>174.12724968294228</v>
          </cell>
          <cell r="J14">
            <v>336.1908745244134</v>
          </cell>
          <cell r="K14">
            <v>485.66722433417874</v>
          </cell>
          <cell r="L14">
            <v>601.0840304177234</v>
          </cell>
          <cell r="M14">
            <v>705.64663498038192</v>
          </cell>
          <cell r="N14">
            <v>765.69836577881256</v>
          </cell>
          <cell r="O14">
            <v>813.88328406775327</v>
          </cell>
          <cell r="P14">
            <v>854.57744827114095</v>
          </cell>
          <cell r="Q14">
            <v>897.30632068469799</v>
          </cell>
          <cell r="R14">
            <v>942.17163671893297</v>
          </cell>
          <cell r="S14">
            <v>989.28021855487964</v>
          </cell>
        </row>
        <row r="15">
          <cell r="A15" t="str">
            <v>Ultibro Breezhaler</v>
          </cell>
          <cell r="H15">
            <v>6</v>
          </cell>
          <cell r="I15">
            <v>115</v>
          </cell>
          <cell r="J15">
            <v>270.5</v>
          </cell>
          <cell r="K15">
            <v>488.92500000000001</v>
          </cell>
          <cell r="L15">
            <v>721.71</v>
          </cell>
          <cell r="M15">
            <v>971.7165</v>
          </cell>
          <cell r="N15">
            <v>1111.4273249999999</v>
          </cell>
          <cell r="O15">
            <v>1173.3193862904732</v>
          </cell>
          <cell r="P15">
            <v>1220.2521617420921</v>
          </cell>
          <cell r="Q15">
            <v>1269.062248211776</v>
          </cell>
          <cell r="R15">
            <v>1319.8247381402473</v>
          </cell>
          <cell r="S15">
            <v>1372.6177276658573</v>
          </cell>
        </row>
        <row r="16">
          <cell r="A16" t="str">
            <v>Established medicine</v>
          </cell>
          <cell r="B16">
            <v>829</v>
          </cell>
          <cell r="C16">
            <v>819</v>
          </cell>
          <cell r="D16">
            <v>756</v>
          </cell>
          <cell r="E16">
            <v>667</v>
          </cell>
          <cell r="F16">
            <v>1474</v>
          </cell>
          <cell r="G16">
            <v>1532</v>
          </cell>
          <cell r="H16">
            <v>1352</v>
          </cell>
          <cell r="I16">
            <v>1295.5183148763474</v>
          </cell>
          <cell r="J16">
            <v>1230.74239913253</v>
          </cell>
          <cell r="K16">
            <v>1169.2052791759033</v>
          </cell>
          <cell r="L16">
            <v>1110.7450152171082</v>
          </cell>
          <cell r="M16">
            <v>1055.2077644562528</v>
          </cell>
          <cell r="N16">
            <v>1002.4473762334401</v>
          </cell>
          <cell r="O16">
            <v>952.32500742176808</v>
          </cell>
          <cell r="P16">
            <v>904.70875705067965</v>
          </cell>
          <cell r="Q16">
            <v>859.47331919814565</v>
          </cell>
          <cell r="R16">
            <v>816.49965323823835</v>
          </cell>
          <cell r="S16">
            <v>775.67467057632643</v>
          </cell>
        </row>
        <row r="17">
          <cell r="A17" t="str">
            <v>Total Primary Care Products</v>
          </cell>
          <cell r="B17">
            <v>7545</v>
          </cell>
          <cell r="C17">
            <v>8394</v>
          </cell>
          <cell r="D17">
            <v>9134</v>
          </cell>
          <cell r="E17">
            <v>9556</v>
          </cell>
          <cell r="F17">
            <v>10606</v>
          </cell>
          <cell r="G17">
            <v>9235</v>
          </cell>
          <cell r="H17">
            <v>8691</v>
          </cell>
          <cell r="I17">
            <v>7937.4187122281428</v>
          </cell>
          <cell r="J17">
            <v>7206.963630439931</v>
          </cell>
          <cell r="K17">
            <v>7665.7333212320391</v>
          </cell>
          <cell r="L17">
            <v>7754.0538235769354</v>
          </cell>
          <cell r="M17">
            <v>8101.9889083144626</v>
          </cell>
          <cell r="N17">
            <v>7900.5499949771183</v>
          </cell>
          <cell r="O17">
            <v>7708.759329590328</v>
          </cell>
          <cell r="P17">
            <v>7321.2359400281821</v>
          </cell>
          <cell r="Q17">
            <v>7066.5559901050501</v>
          </cell>
          <cell r="R17">
            <v>6862.9165081963893</v>
          </cell>
          <cell r="S17">
            <v>6704.2828963446818</v>
          </cell>
        </row>
        <row r="19">
          <cell r="A19" t="str">
            <v>Gleevec / Glivec</v>
          </cell>
          <cell r="B19">
            <v>3050</v>
          </cell>
          <cell r="C19">
            <v>3670</v>
          </cell>
          <cell r="D19">
            <v>3944</v>
          </cell>
          <cell r="E19">
            <v>4265</v>
          </cell>
          <cell r="F19">
            <v>4659</v>
          </cell>
          <cell r="G19">
            <v>4675</v>
          </cell>
          <cell r="H19">
            <v>4693</v>
          </cell>
          <cell r="I19">
            <v>4634.7733525602407</v>
          </cell>
          <cell r="J19">
            <v>3388.738151406626</v>
          </cell>
          <cell r="K19">
            <v>1647.6124042455117</v>
          </cell>
          <cell r="L19">
            <v>884.21593116766621</v>
          </cell>
          <cell r="M19">
            <v>670.79427764007301</v>
          </cell>
          <cell r="N19">
            <v>441.03558816340808</v>
          </cell>
          <cell r="O19">
            <v>277.81261119068688</v>
          </cell>
          <cell r="P19">
            <v>138.90630559534344</v>
          </cell>
          <cell r="Q19">
            <v>80.830931158297176</v>
          </cell>
          <cell r="R19">
            <v>64.664744926637738</v>
          </cell>
          <cell r="S19">
            <v>51.731795941310196</v>
          </cell>
        </row>
        <row r="20">
          <cell r="A20" t="str">
            <v>Tasigna</v>
          </cell>
          <cell r="B20">
            <v>0</v>
          </cell>
          <cell r="C20">
            <v>89</v>
          </cell>
          <cell r="D20">
            <v>212</v>
          </cell>
          <cell r="E20">
            <v>399</v>
          </cell>
          <cell r="F20">
            <v>716</v>
          </cell>
          <cell r="G20">
            <v>998</v>
          </cell>
          <cell r="H20">
            <v>1266</v>
          </cell>
          <cell r="I20">
            <v>1519.7615438707462</v>
          </cell>
          <cell r="J20">
            <v>1823.7138526448953</v>
          </cell>
          <cell r="K20">
            <v>1945.2019452771401</v>
          </cell>
          <cell r="L20">
            <v>2062.4616265409973</v>
          </cell>
          <cell r="M20">
            <v>2187.1842585880468</v>
          </cell>
          <cell r="N20">
            <v>2335.4226628134493</v>
          </cell>
          <cell r="O20">
            <v>2452.1937959541219</v>
          </cell>
          <cell r="P20">
            <v>2574.8034857518282</v>
          </cell>
          <cell r="Q20">
            <v>2621.9542249960523</v>
          </cell>
          <cell r="R20">
            <v>2671.4625012024876</v>
          </cell>
          <cell r="S20">
            <v>801.43875036074633</v>
          </cell>
        </row>
        <row r="21">
          <cell r="A21" t="str">
            <v>Sandostatin</v>
          </cell>
          <cell r="B21">
            <v>1027</v>
          </cell>
          <cell r="C21">
            <v>1123</v>
          </cell>
          <cell r="D21">
            <v>1155</v>
          </cell>
          <cell r="E21">
            <v>1291</v>
          </cell>
          <cell r="F21">
            <v>1443</v>
          </cell>
          <cell r="G21">
            <v>1512</v>
          </cell>
          <cell r="H21">
            <v>1589</v>
          </cell>
          <cell r="I21">
            <v>1624.8285435066582</v>
          </cell>
          <cell r="J21">
            <v>1680.673399811858</v>
          </cell>
          <cell r="K21">
            <v>1643.7533998118579</v>
          </cell>
          <cell r="L21">
            <v>1479.3780598306721</v>
          </cell>
          <cell r="M21">
            <v>1257.4713508560712</v>
          </cell>
          <cell r="N21">
            <v>1068.8506482276607</v>
          </cell>
          <cell r="O21">
            <v>877.8873870821285</v>
          </cell>
          <cell r="P21">
            <v>672.67868563248976</v>
          </cell>
          <cell r="Q21">
            <v>520.30896741649281</v>
          </cell>
          <cell r="R21">
            <v>406.23508154423246</v>
          </cell>
          <cell r="S21">
            <v>284.3645570809627</v>
          </cell>
        </row>
        <row r="22">
          <cell r="A22" t="str">
            <v>Signifor</v>
          </cell>
          <cell r="G22">
            <v>7</v>
          </cell>
          <cell r="H22">
            <v>10</v>
          </cell>
          <cell r="I22">
            <v>100</v>
          </cell>
          <cell r="J22">
            <v>180</v>
          </cell>
          <cell r="K22">
            <v>270</v>
          </cell>
          <cell r="L22">
            <v>310.5</v>
          </cell>
          <cell r="M22">
            <v>357.07499999999999</v>
          </cell>
          <cell r="N22">
            <v>410.63624999999996</v>
          </cell>
          <cell r="O22">
            <v>472.23168749999991</v>
          </cell>
          <cell r="P22">
            <v>543.06644062499981</v>
          </cell>
          <cell r="Q22">
            <v>624.52640671874974</v>
          </cell>
          <cell r="R22">
            <v>718.20536772656214</v>
          </cell>
          <cell r="S22">
            <v>825.9361728855464</v>
          </cell>
        </row>
        <row r="23">
          <cell r="A23" t="str">
            <v>Zometa</v>
          </cell>
          <cell r="B23">
            <v>1297</v>
          </cell>
          <cell r="C23">
            <v>1382</v>
          </cell>
          <cell r="D23">
            <v>1469</v>
          </cell>
          <cell r="E23">
            <v>1511</v>
          </cell>
          <cell r="F23">
            <v>1487</v>
          </cell>
          <cell r="G23">
            <v>1288</v>
          </cell>
          <cell r="H23">
            <v>600</v>
          </cell>
          <cell r="I23">
            <v>267.84153271242866</v>
          </cell>
          <cell r="J23">
            <v>225.65280280556436</v>
          </cell>
          <cell r="K23">
            <v>178.22224224445151</v>
          </cell>
          <cell r="L23">
            <v>142.57779379556121</v>
          </cell>
          <cell r="M23">
            <v>128.32001441600508</v>
          </cell>
          <cell r="N23">
            <v>115.48801297440457</v>
          </cell>
          <cell r="O23">
            <v>109.71361232568434</v>
          </cell>
          <cell r="P23">
            <v>109.71361232568434</v>
          </cell>
          <cell r="Q23">
            <v>111.90788457219803</v>
          </cell>
          <cell r="R23">
            <v>114.14604226364199</v>
          </cell>
          <cell r="S23">
            <v>116.42896310891483</v>
          </cell>
        </row>
        <row r="24">
          <cell r="A24" t="str">
            <v>Exjade</v>
          </cell>
          <cell r="B24">
            <v>357</v>
          </cell>
          <cell r="C24">
            <v>531</v>
          </cell>
          <cell r="D24">
            <v>652</v>
          </cell>
          <cell r="E24">
            <v>762</v>
          </cell>
          <cell r="F24">
            <v>850</v>
          </cell>
          <cell r="G24">
            <v>870</v>
          </cell>
          <cell r="H24">
            <v>893</v>
          </cell>
          <cell r="I24">
            <v>930.1822324191503</v>
          </cell>
          <cell r="J24">
            <v>968.58234404010784</v>
          </cell>
          <cell r="K24">
            <v>974.09646404010778</v>
          </cell>
          <cell r="L24">
            <v>965.65986044010788</v>
          </cell>
          <cell r="M24">
            <v>957.47635494810788</v>
          </cell>
          <cell r="N24">
            <v>706.10634458550783</v>
          </cell>
          <cell r="O24">
            <v>554.3010752320863</v>
          </cell>
          <cell r="P24">
            <v>443.44086018566907</v>
          </cell>
          <cell r="Q24">
            <v>221.72043009283453</v>
          </cell>
          <cell r="R24">
            <v>110.86021504641727</v>
          </cell>
          <cell r="S24">
            <v>55.430107523208633</v>
          </cell>
        </row>
        <row r="25">
          <cell r="A25" t="str">
            <v>Afinitor</v>
          </cell>
          <cell r="B25">
            <v>0</v>
          </cell>
          <cell r="C25">
            <v>0</v>
          </cell>
          <cell r="D25">
            <v>70</v>
          </cell>
          <cell r="E25">
            <v>243</v>
          </cell>
          <cell r="F25">
            <v>443</v>
          </cell>
          <cell r="G25">
            <v>797</v>
          </cell>
          <cell r="H25">
            <v>1309</v>
          </cell>
          <cell r="I25">
            <v>1633.1875425015851</v>
          </cell>
          <cell r="J25">
            <v>2057.5641789770134</v>
          </cell>
          <cell r="K25">
            <v>2448.501372982646</v>
          </cell>
          <cell r="L25">
            <v>2607.7458053616047</v>
          </cell>
          <cell r="M25">
            <v>2647.0210179152209</v>
          </cell>
          <cell r="N25">
            <v>2153.6044135291327</v>
          </cell>
          <cell r="O25">
            <v>1978.7098372074797</v>
          </cell>
          <cell r="P25">
            <v>1129.8467249665837</v>
          </cell>
          <cell r="Q25">
            <v>677.31680757356685</v>
          </cell>
          <cell r="R25">
            <v>428.57315985900351</v>
          </cell>
          <cell r="S25">
            <v>286.21838478727778</v>
          </cell>
        </row>
        <row r="26">
          <cell r="A26" t="str">
            <v>Femara</v>
          </cell>
          <cell r="B26">
            <v>937</v>
          </cell>
          <cell r="C26">
            <v>1129</v>
          </cell>
          <cell r="D26">
            <v>1266</v>
          </cell>
          <cell r="E26">
            <v>1376</v>
          </cell>
          <cell r="F26">
            <v>911</v>
          </cell>
          <cell r="G26">
            <v>438</v>
          </cell>
          <cell r="H26">
            <v>384</v>
          </cell>
          <cell r="I26">
            <v>292.21354544493761</v>
          </cell>
          <cell r="J26">
            <v>204.5494818114563</v>
          </cell>
          <cell r="K26">
            <v>163.63958544916505</v>
          </cell>
          <cell r="L26">
            <v>114.54770981441553</v>
          </cell>
          <cell r="M26">
            <v>85.910782360811652</v>
          </cell>
          <cell r="N26">
            <v>64.433086770608739</v>
          </cell>
          <cell r="O26">
            <v>48.324815077956558</v>
          </cell>
          <cell r="P26">
            <v>36.243611308467422</v>
          </cell>
          <cell r="Q26">
            <v>27.182708481350566</v>
          </cell>
          <cell r="R26">
            <v>20.387031361012923</v>
          </cell>
          <cell r="S26">
            <v>15.290273520759692</v>
          </cell>
        </row>
        <row r="27">
          <cell r="A27" t="str">
            <v xml:space="preserve">Jakavi </v>
          </cell>
          <cell r="B27">
            <v>0</v>
          </cell>
          <cell r="C27">
            <v>0</v>
          </cell>
          <cell r="D27">
            <v>0</v>
          </cell>
          <cell r="E27">
            <v>0</v>
          </cell>
          <cell r="F27">
            <v>0</v>
          </cell>
          <cell r="G27">
            <v>26</v>
          </cell>
          <cell r="H27">
            <v>163</v>
          </cell>
          <cell r="I27">
            <v>274.07382153614452</v>
          </cell>
          <cell r="J27">
            <v>411.11073230421675</v>
          </cell>
          <cell r="K27">
            <v>616.66609845632513</v>
          </cell>
          <cell r="L27">
            <v>832.49923291603898</v>
          </cell>
          <cell r="M27">
            <v>957.37411785344477</v>
          </cell>
          <cell r="N27">
            <v>1005.2428237461171</v>
          </cell>
          <cell r="O27">
            <v>1055.504964933423</v>
          </cell>
          <cell r="P27">
            <v>1108.2802131800943</v>
          </cell>
          <cell r="Q27">
            <v>1163.6942238390991</v>
          </cell>
          <cell r="R27">
            <v>1221.8789350310542</v>
          </cell>
          <cell r="S27">
            <v>1221.8789350310542</v>
          </cell>
        </row>
        <row r="28">
          <cell r="A28" t="str">
            <v>Other</v>
          </cell>
          <cell r="B28">
            <v>283</v>
          </cell>
          <cell r="C28">
            <v>287</v>
          </cell>
          <cell r="D28">
            <v>231</v>
          </cell>
          <cell r="E28">
            <v>181</v>
          </cell>
          <cell r="F28">
            <v>163</v>
          </cell>
          <cell r="G28">
            <v>147</v>
          </cell>
          <cell r="H28">
            <v>319</v>
          </cell>
          <cell r="I28">
            <v>315.2256217803095</v>
          </cell>
          <cell r="J28">
            <v>299.46434069129401</v>
          </cell>
          <cell r="K28">
            <v>284.49112365672931</v>
          </cell>
          <cell r="L28">
            <v>270.26656747389285</v>
          </cell>
          <cell r="M28">
            <v>256.75323910019819</v>
          </cell>
          <cell r="N28">
            <v>243.91557714518825</v>
          </cell>
          <cell r="O28">
            <v>231.71979828792882</v>
          </cell>
          <cell r="P28">
            <v>220.13380837353236</v>
          </cell>
          <cell r="Q28">
            <v>220.13380837353236</v>
          </cell>
          <cell r="R28">
            <v>220.13380837353236</v>
          </cell>
          <cell r="S28">
            <v>220.13380837353236</v>
          </cell>
        </row>
        <row r="29">
          <cell r="A29" t="str">
            <v>Oncology</v>
          </cell>
          <cell r="B29">
            <v>6951</v>
          </cell>
          <cell r="C29">
            <v>8211</v>
          </cell>
          <cell r="D29">
            <v>8999</v>
          </cell>
          <cell r="E29">
            <v>10028</v>
          </cell>
          <cell r="F29">
            <v>10672</v>
          </cell>
          <cell r="G29">
            <v>10758</v>
          </cell>
          <cell r="H29">
            <v>11226</v>
          </cell>
          <cell r="I29">
            <v>11592.087736332203</v>
          </cell>
          <cell r="J29">
            <v>11240.04928449303</v>
          </cell>
          <cell r="K29">
            <v>10172.184636163935</v>
          </cell>
          <cell r="L29">
            <v>9669.8525873409581</v>
          </cell>
          <cell r="M29">
            <v>9505.3804136779818</v>
          </cell>
          <cell r="N29">
            <v>8544.7354079554771</v>
          </cell>
          <cell r="O29">
            <v>8058.3995847914957</v>
          </cell>
          <cell r="P29">
            <v>6977.1137479446925</v>
          </cell>
          <cell r="Q29">
            <v>6269.5763932221735</v>
          </cell>
          <cell r="R29">
            <v>5976.5468873345826</v>
          </cell>
          <cell r="S29">
            <v>3878.8517486133132</v>
          </cell>
        </row>
        <row r="31">
          <cell r="A31" t="str">
            <v>Gilenya</v>
          </cell>
          <cell r="B31">
            <v>0</v>
          </cell>
          <cell r="C31">
            <v>0</v>
          </cell>
          <cell r="D31">
            <v>0</v>
          </cell>
          <cell r="E31">
            <v>15</v>
          </cell>
          <cell r="F31">
            <v>494</v>
          </cell>
          <cell r="G31">
            <v>1195</v>
          </cell>
          <cell r="H31">
            <v>1934</v>
          </cell>
          <cell r="I31">
            <v>2407.1994139227963</v>
          </cell>
          <cell r="J31">
            <v>2746.3793084288995</v>
          </cell>
          <cell r="K31">
            <v>3093.6314546932344</v>
          </cell>
          <cell r="L31">
            <v>3331.8193751625586</v>
          </cell>
          <cell r="M31">
            <v>3498.4103439206865</v>
          </cell>
          <cell r="N31">
            <v>3202.5067477417206</v>
          </cell>
          <cell r="O31">
            <v>3009.5140000975566</v>
          </cell>
          <cell r="P31">
            <v>2895.1511363289969</v>
          </cell>
          <cell r="Q31">
            <v>2171.363352246748</v>
          </cell>
          <cell r="R31">
            <v>1628.5225141850608</v>
          </cell>
          <cell r="S31">
            <v>1221.3918856387957</v>
          </cell>
        </row>
        <row r="32">
          <cell r="A32" t="str">
            <v>Exelon</v>
          </cell>
          <cell r="B32">
            <v>632</v>
          </cell>
          <cell r="C32">
            <v>815</v>
          </cell>
          <cell r="D32">
            <v>954</v>
          </cell>
          <cell r="E32">
            <v>1003</v>
          </cell>
          <cell r="F32">
            <v>1067</v>
          </cell>
          <cell r="G32">
            <v>1050</v>
          </cell>
          <cell r="H32">
            <v>1032</v>
          </cell>
          <cell r="I32">
            <v>974.87845810875081</v>
          </cell>
          <cell r="J32">
            <v>851.49668939243816</v>
          </cell>
          <cell r="K32">
            <v>764.90218598357251</v>
          </cell>
          <cell r="L32">
            <v>715.76341738521523</v>
          </cell>
          <cell r="M32">
            <v>670.71798214669366</v>
          </cell>
          <cell r="N32">
            <v>426.28161726735493</v>
          </cell>
          <cell r="O32">
            <v>322.24796006648717</v>
          </cell>
          <cell r="P32">
            <v>264.77577389441279</v>
          </cell>
          <cell r="Q32">
            <v>230.85709111531716</v>
          </cell>
          <cell r="R32">
            <v>208.97428951736379</v>
          </cell>
          <cell r="S32">
            <v>193.35560152040185</v>
          </cell>
        </row>
        <row r="33">
          <cell r="A33" t="str">
            <v>Comtan/Stalevo</v>
          </cell>
          <cell r="B33">
            <v>420</v>
          </cell>
          <cell r="C33">
            <v>502</v>
          </cell>
          <cell r="D33">
            <v>554</v>
          </cell>
          <cell r="E33">
            <v>600</v>
          </cell>
          <cell r="F33">
            <v>614</v>
          </cell>
          <cell r="G33">
            <v>530</v>
          </cell>
          <cell r="H33">
            <v>401</v>
          </cell>
          <cell r="I33">
            <v>356.45566947791161</v>
          </cell>
          <cell r="J33">
            <v>297.37731905622485</v>
          </cell>
          <cell r="K33">
            <v>252.77072119779112</v>
          </cell>
          <cell r="L33">
            <v>214.85511301812244</v>
          </cell>
          <cell r="M33">
            <v>182.62684606540407</v>
          </cell>
          <cell r="N33">
            <v>155.23281915559346</v>
          </cell>
          <cell r="O33">
            <v>131.94789628225445</v>
          </cell>
          <cell r="P33">
            <v>112.15571183991628</v>
          </cell>
          <cell r="Q33">
            <v>95.33235506392883</v>
          </cell>
          <cell r="R33">
            <v>81.032501804339503</v>
          </cell>
          <cell r="S33">
            <v>68.87762653368857</v>
          </cell>
        </row>
        <row r="34">
          <cell r="A34" t="str">
            <v>Extavia</v>
          </cell>
          <cell r="B34">
            <v>0</v>
          </cell>
          <cell r="C34">
            <v>0</v>
          </cell>
          <cell r="D34">
            <v>49</v>
          </cell>
          <cell r="E34">
            <v>124</v>
          </cell>
          <cell r="F34">
            <v>154</v>
          </cell>
          <cell r="G34">
            <v>159</v>
          </cell>
          <cell r="H34">
            <v>159</v>
          </cell>
          <cell r="I34">
            <v>146.00932191515048</v>
          </cell>
          <cell r="J34">
            <v>134.32857616193846</v>
          </cell>
          <cell r="K34">
            <v>127.61214735384152</v>
          </cell>
          <cell r="L34">
            <v>121.23153998614944</v>
          </cell>
          <cell r="M34">
            <v>115.16996298684197</v>
          </cell>
          <cell r="N34">
            <v>115.16996298684197</v>
          </cell>
          <cell r="O34">
            <v>115.16996298684197</v>
          </cell>
          <cell r="P34">
            <v>115.16996298684197</v>
          </cell>
          <cell r="Q34">
            <v>115.16996298684197</v>
          </cell>
          <cell r="R34">
            <v>115.16996298684197</v>
          </cell>
          <cell r="S34">
            <v>115.16996298684197</v>
          </cell>
        </row>
        <row r="35">
          <cell r="A35" t="str">
            <v>Other (including Fanapt)</v>
          </cell>
          <cell r="B35">
            <v>0</v>
          </cell>
          <cell r="C35">
            <v>0</v>
          </cell>
          <cell r="D35">
            <v>0</v>
          </cell>
          <cell r="E35">
            <v>56</v>
          </cell>
          <cell r="F35">
            <v>36</v>
          </cell>
          <cell r="G35">
            <v>62</v>
          </cell>
          <cell r="H35">
            <v>78</v>
          </cell>
          <cell r="I35">
            <v>77.855667961318957</v>
          </cell>
          <cell r="J35">
            <v>81.748451359384902</v>
          </cell>
          <cell r="K35">
            <v>85.835873927354157</v>
          </cell>
          <cell r="L35">
            <v>90.127667623721862</v>
          </cell>
          <cell r="M35">
            <v>94.63405100490796</v>
          </cell>
          <cell r="N35">
            <v>99.365753555153361</v>
          </cell>
          <cell r="O35">
            <v>104.33404123291103</v>
          </cell>
          <cell r="P35">
            <v>106.42072205756925</v>
          </cell>
          <cell r="Q35">
            <v>106.42072205756925</v>
          </cell>
          <cell r="R35">
            <v>106.42072205756925</v>
          </cell>
          <cell r="S35">
            <v>106.42072205756925</v>
          </cell>
        </row>
        <row r="36">
          <cell r="A36" t="str">
            <v>Established medicine</v>
          </cell>
          <cell r="B36">
            <v>0</v>
          </cell>
          <cell r="C36">
            <v>0</v>
          </cell>
          <cell r="D36">
            <v>0</v>
          </cell>
          <cell r="E36">
            <v>0</v>
          </cell>
          <cell r="F36">
            <v>547</v>
          </cell>
          <cell r="G36">
            <v>483</v>
          </cell>
          <cell r="H36">
            <v>444</v>
          </cell>
          <cell r="I36">
            <v>412.15592839215157</v>
          </cell>
          <cell r="J36">
            <v>391.54813197254396</v>
          </cell>
          <cell r="K36">
            <v>371.97072537391676</v>
          </cell>
          <cell r="L36">
            <v>353.37218910522091</v>
          </cell>
          <cell r="M36">
            <v>335.70357964995986</v>
          </cell>
          <cell r="N36">
            <v>318.91840066746187</v>
          </cell>
          <cell r="O36">
            <v>302.97248063408875</v>
          </cell>
          <cell r="P36">
            <v>287.8238566023843</v>
          </cell>
          <cell r="Q36">
            <v>273.43266377226507</v>
          </cell>
          <cell r="R36">
            <v>259.7610305836518</v>
          </cell>
          <cell r="S36">
            <v>246.7729790544692</v>
          </cell>
        </row>
        <row r="37">
          <cell r="A37" t="str">
            <v>Total Neuroscience</v>
          </cell>
          <cell r="B37">
            <v>1052</v>
          </cell>
          <cell r="C37">
            <v>1317</v>
          </cell>
          <cell r="D37">
            <v>1557</v>
          </cell>
          <cell r="E37">
            <v>1798</v>
          </cell>
          <cell r="F37">
            <v>2912</v>
          </cell>
          <cell r="G37">
            <v>3479</v>
          </cell>
          <cell r="H37">
            <v>4048</v>
          </cell>
          <cell r="I37">
            <v>4374.5544597780799</v>
          </cell>
          <cell r="J37">
            <v>4502.8784763714302</v>
          </cell>
          <cell r="K37">
            <v>4696.7231085297108</v>
          </cell>
          <cell r="L37">
            <v>4827.1693022809886</v>
          </cell>
          <cell r="M37">
            <v>4897.2627657744933</v>
          </cell>
          <cell r="N37">
            <v>4317.4753013741265</v>
          </cell>
          <cell r="O37">
            <v>3986.1863413001397</v>
          </cell>
          <cell r="P37">
            <v>3781.4971637101212</v>
          </cell>
          <cell r="Q37">
            <v>2992.5761472426702</v>
          </cell>
          <cell r="R37">
            <v>2399.8810211348273</v>
          </cell>
          <cell r="S37">
            <v>1951.9887777917666</v>
          </cell>
        </row>
        <row r="39">
          <cell r="A39" t="str">
            <v>Lucentis</v>
          </cell>
          <cell r="B39">
            <v>393</v>
          </cell>
          <cell r="C39">
            <v>886</v>
          </cell>
          <cell r="D39">
            <v>1232</v>
          </cell>
          <cell r="E39">
            <v>1533</v>
          </cell>
          <cell r="F39">
            <v>2050</v>
          </cell>
          <cell r="G39">
            <v>2398</v>
          </cell>
          <cell r="H39">
            <v>2383</v>
          </cell>
          <cell r="I39">
            <v>2432.4375903123014</v>
          </cell>
          <cell r="J39">
            <v>2481.0863421185472</v>
          </cell>
          <cell r="K39">
            <v>2530.7080689609184</v>
          </cell>
          <cell r="L39">
            <v>2581.3222303401367</v>
          </cell>
          <cell r="M39">
            <v>2452.2561188231298</v>
          </cell>
          <cell r="N39">
            <v>2378.6884352584357</v>
          </cell>
          <cell r="O39">
            <v>2307.3277822006826</v>
          </cell>
          <cell r="P39">
            <v>2238.1079487346619</v>
          </cell>
          <cell r="Q39">
            <v>2170.9647102726221</v>
          </cell>
          <cell r="R39">
            <v>2105.8357689644436</v>
          </cell>
          <cell r="S39">
            <v>2042.6606958955101</v>
          </cell>
        </row>
        <row r="40">
          <cell r="A40" t="str">
            <v xml:space="preserve">Other  </v>
          </cell>
          <cell r="B40">
            <v>256</v>
          </cell>
          <cell r="C40">
            <v>284.8</v>
          </cell>
          <cell r="D40">
            <v>312</v>
          </cell>
          <cell r="E40">
            <v>567</v>
          </cell>
          <cell r="F40">
            <v>124</v>
          </cell>
          <cell r="G40">
            <v>88</v>
          </cell>
          <cell r="H40">
            <v>61</v>
          </cell>
          <cell r="I40">
            <v>54.798412449697572</v>
          </cell>
          <cell r="J40">
            <v>49.318571204727817</v>
          </cell>
          <cell r="K40">
            <v>45.866271220396868</v>
          </cell>
          <cell r="L40">
            <v>43.572957659377025</v>
          </cell>
          <cell r="M40">
            <v>41.394309776408171</v>
          </cell>
          <cell r="N40">
            <v>39.324594287587757</v>
          </cell>
          <cell r="O40">
            <v>37.35836457320837</v>
          </cell>
          <cell r="P40">
            <v>35.490446344547948</v>
          </cell>
          <cell r="Q40">
            <v>33.715924027320547</v>
          </cell>
          <cell r="R40">
            <v>32.030127825954516</v>
          </cell>
          <cell r="S40">
            <v>30.428621434656787</v>
          </cell>
        </row>
        <row r="41">
          <cell r="A41" t="str">
            <v>Total opthalmics</v>
          </cell>
          <cell r="B41">
            <v>649</v>
          </cell>
          <cell r="C41">
            <v>1170.8</v>
          </cell>
          <cell r="D41">
            <v>1544</v>
          </cell>
          <cell r="E41">
            <v>2100</v>
          </cell>
          <cell r="F41">
            <v>2174</v>
          </cell>
          <cell r="G41">
            <v>2486</v>
          </cell>
          <cell r="H41">
            <v>2444</v>
          </cell>
          <cell r="I41">
            <v>2487.2360027619989</v>
          </cell>
          <cell r="J41">
            <v>2530.4049133232752</v>
          </cell>
          <cell r="K41">
            <v>2576.5743401813152</v>
          </cell>
          <cell r="L41">
            <v>2624.8951879995138</v>
          </cell>
          <cell r="M41">
            <v>2493.6504285995379</v>
          </cell>
          <cell r="N41">
            <v>2418.0130295460235</v>
          </cell>
          <cell r="O41">
            <v>2344.6861467738909</v>
          </cell>
          <cell r="P41">
            <v>2273.5983950792097</v>
          </cell>
          <cell r="Q41">
            <v>2204.6806342999425</v>
          </cell>
          <cell r="R41">
            <v>2137.865896790398</v>
          </cell>
          <cell r="S41">
            <v>2073.089317330167</v>
          </cell>
        </row>
        <row r="43">
          <cell r="A43" t="str">
            <v>Neoral / Sandimmun</v>
          </cell>
          <cell r="B43">
            <v>944</v>
          </cell>
          <cell r="C43">
            <v>956</v>
          </cell>
          <cell r="D43">
            <v>919</v>
          </cell>
          <cell r="E43">
            <v>871</v>
          </cell>
          <cell r="F43">
            <v>903</v>
          </cell>
          <cell r="G43">
            <v>821</v>
          </cell>
          <cell r="H43">
            <v>750</v>
          </cell>
          <cell r="I43">
            <v>686.54693320439651</v>
          </cell>
          <cell r="J43">
            <v>647.45958654417666</v>
          </cell>
          <cell r="K43">
            <v>590.80761962064253</v>
          </cell>
          <cell r="L43">
            <v>539.65885005099108</v>
          </cell>
          <cell r="M43">
            <v>508.79174754844149</v>
          </cell>
          <cell r="N43">
            <v>480.24483217101943</v>
          </cell>
          <cell r="O43">
            <v>453.7467281624684</v>
          </cell>
          <cell r="P43">
            <v>429.07070183434496</v>
          </cell>
          <cell r="Q43">
            <v>406.02621480662771</v>
          </cell>
          <cell r="R43">
            <v>384.45214251749627</v>
          </cell>
          <cell r="S43">
            <v>364.21132615258148</v>
          </cell>
        </row>
        <row r="44">
          <cell r="A44" t="str">
            <v>Myfortic</v>
          </cell>
          <cell r="B44">
            <v>193</v>
          </cell>
          <cell r="C44">
            <v>290</v>
          </cell>
          <cell r="D44">
            <v>353</v>
          </cell>
          <cell r="E44">
            <v>444</v>
          </cell>
          <cell r="F44">
            <v>518</v>
          </cell>
          <cell r="G44">
            <v>579</v>
          </cell>
          <cell r="H44">
            <v>637</v>
          </cell>
          <cell r="I44">
            <v>679.39523389082638</v>
          </cell>
          <cell r="J44">
            <v>725.48485260209259</v>
          </cell>
          <cell r="K44">
            <v>744.35769818015547</v>
          </cell>
          <cell r="L44">
            <v>551.94056836213986</v>
          </cell>
          <cell r="M44">
            <v>457.97902494403286</v>
          </cell>
          <cell r="N44">
            <v>399.29932344291348</v>
          </cell>
          <cell r="O44">
            <v>399.76399821177176</v>
          </cell>
          <cell r="P44">
            <v>407.75927817600723</v>
          </cell>
          <cell r="Q44">
            <v>415.91446373952738</v>
          </cell>
          <cell r="R44">
            <v>424.23275301431795</v>
          </cell>
          <cell r="S44">
            <v>432.71740807460429</v>
          </cell>
        </row>
        <row r="45">
          <cell r="A45" t="str">
            <v>Zortess/Certican</v>
          </cell>
          <cell r="B45">
            <v>0</v>
          </cell>
          <cell r="C45">
            <v>0</v>
          </cell>
          <cell r="D45">
            <v>0</v>
          </cell>
          <cell r="E45">
            <v>0</v>
          </cell>
          <cell r="F45">
            <v>187</v>
          </cell>
          <cell r="G45">
            <v>210</v>
          </cell>
          <cell r="H45">
            <v>249</v>
          </cell>
          <cell r="I45">
            <v>273.90000000000003</v>
          </cell>
          <cell r="J45">
            <v>301.29000000000008</v>
          </cell>
          <cell r="K45">
            <v>316.35450000000009</v>
          </cell>
          <cell r="L45">
            <v>332.17222500000008</v>
          </cell>
          <cell r="M45">
            <v>348.78083625000011</v>
          </cell>
          <cell r="N45">
            <v>279.02466900000007</v>
          </cell>
          <cell r="O45">
            <v>223.21973520000006</v>
          </cell>
          <cell r="P45">
            <v>111.60986760000003</v>
          </cell>
          <cell r="Q45">
            <v>100.44888084000003</v>
          </cell>
          <cell r="R45">
            <v>90.403992756000022</v>
          </cell>
          <cell r="S45">
            <v>81.363593480400027</v>
          </cell>
        </row>
        <row r="46">
          <cell r="A46" t="str">
            <v>Ilaris</v>
          </cell>
          <cell r="B46">
            <v>0</v>
          </cell>
          <cell r="C46">
            <v>0</v>
          </cell>
          <cell r="D46">
            <v>0</v>
          </cell>
          <cell r="E46">
            <v>0</v>
          </cell>
          <cell r="F46">
            <v>48</v>
          </cell>
          <cell r="G46">
            <v>72</v>
          </cell>
          <cell r="H46">
            <v>119</v>
          </cell>
          <cell r="I46">
            <v>160.65</v>
          </cell>
          <cell r="J46">
            <v>200.8125</v>
          </cell>
          <cell r="K46">
            <v>261.05625000000003</v>
          </cell>
          <cell r="L46">
            <v>326.32031250000006</v>
          </cell>
          <cell r="M46">
            <v>375.26835937500005</v>
          </cell>
          <cell r="N46">
            <v>412.79519531250008</v>
          </cell>
          <cell r="O46">
            <v>433.43495507812509</v>
          </cell>
          <cell r="P46">
            <v>455.10670283203137</v>
          </cell>
          <cell r="Q46">
            <v>477.86203797363294</v>
          </cell>
          <cell r="R46">
            <v>501.7551398723146</v>
          </cell>
          <cell r="S46">
            <v>526.84289686593036</v>
          </cell>
        </row>
        <row r="47">
          <cell r="A47" t="str">
            <v xml:space="preserve">Other </v>
          </cell>
          <cell r="B47">
            <v>87</v>
          </cell>
          <cell r="C47">
            <v>104</v>
          </cell>
          <cell r="D47">
            <v>104</v>
          </cell>
          <cell r="E47">
            <v>0</v>
          </cell>
          <cell r="F47">
            <v>363</v>
          </cell>
          <cell r="G47">
            <v>391</v>
          </cell>
          <cell r="H47">
            <v>419</v>
          </cell>
          <cell r="I47">
            <v>439.95000000000005</v>
          </cell>
          <cell r="J47">
            <v>453.14850000000007</v>
          </cell>
          <cell r="K47">
            <v>453.14850000000007</v>
          </cell>
          <cell r="L47">
            <v>453.14850000000007</v>
          </cell>
          <cell r="M47">
            <v>453.14850000000007</v>
          </cell>
          <cell r="N47">
            <v>453.14850000000007</v>
          </cell>
          <cell r="O47">
            <v>453.14850000000007</v>
          </cell>
          <cell r="P47">
            <v>453.14850000000007</v>
          </cell>
          <cell r="Q47">
            <v>453.14850000000007</v>
          </cell>
          <cell r="R47">
            <v>453.14850000000007</v>
          </cell>
          <cell r="S47">
            <v>453.14850000000007</v>
          </cell>
        </row>
        <row r="48">
          <cell r="A48" t="str">
            <v>Everolimus sales to stent</v>
          </cell>
          <cell r="B48">
            <v>0</v>
          </cell>
          <cell r="C48">
            <v>0</v>
          </cell>
          <cell r="D48">
            <v>215</v>
          </cell>
          <cell r="E48">
            <v>240</v>
          </cell>
          <cell r="F48">
            <v>256</v>
          </cell>
          <cell r="G48">
            <v>256</v>
          </cell>
          <cell r="H48">
            <v>247</v>
          </cell>
          <cell r="I48">
            <v>239.59</v>
          </cell>
          <cell r="J48">
            <v>232.4023</v>
          </cell>
          <cell r="K48">
            <v>232.4023</v>
          </cell>
          <cell r="L48">
            <v>232.4023</v>
          </cell>
          <cell r="M48">
            <v>232.4023</v>
          </cell>
          <cell r="N48">
            <v>232.4023</v>
          </cell>
          <cell r="O48">
            <v>232.4023</v>
          </cell>
          <cell r="P48">
            <v>232.4023</v>
          </cell>
          <cell r="Q48">
            <v>232.4023</v>
          </cell>
          <cell r="R48">
            <v>232.4023</v>
          </cell>
          <cell r="S48">
            <v>232.4023</v>
          </cell>
        </row>
        <row r="49">
          <cell r="A49" t="str">
            <v>Established Medicines</v>
          </cell>
          <cell r="B49">
            <v>87</v>
          </cell>
          <cell r="C49">
            <v>104</v>
          </cell>
          <cell r="D49">
            <v>104</v>
          </cell>
          <cell r="E49">
            <v>0</v>
          </cell>
          <cell r="F49">
            <v>1345</v>
          </cell>
          <cell r="G49">
            <v>1160</v>
          </cell>
          <cell r="H49">
            <v>852</v>
          </cell>
          <cell r="I49">
            <v>715.68</v>
          </cell>
          <cell r="J49">
            <v>679.89599999999996</v>
          </cell>
          <cell r="K49">
            <v>645.9011999999999</v>
          </cell>
          <cell r="L49">
            <v>613.60613999999987</v>
          </cell>
          <cell r="M49">
            <v>582.9258329999999</v>
          </cell>
          <cell r="N49">
            <v>553.77954134999993</v>
          </cell>
          <cell r="O49">
            <v>526.09056428249994</v>
          </cell>
          <cell r="P49">
            <v>499.78603606837493</v>
          </cell>
          <cell r="Q49">
            <v>474.79673426495617</v>
          </cell>
          <cell r="R49">
            <v>451.05689755170835</v>
          </cell>
          <cell r="S49">
            <v>428.50405267412293</v>
          </cell>
        </row>
        <row r="50">
          <cell r="A50" t="str">
            <v>Total IHC sales</v>
          </cell>
          <cell r="B50">
            <v>1311</v>
          </cell>
          <cell r="C50">
            <v>1454</v>
          </cell>
          <cell r="D50">
            <v>1695</v>
          </cell>
          <cell r="E50">
            <v>1555</v>
          </cell>
          <cell r="F50">
            <v>3620</v>
          </cell>
          <cell r="G50">
            <v>3489</v>
          </cell>
          <cell r="H50">
            <v>3273</v>
          </cell>
          <cell r="I50">
            <v>3195.7121670952229</v>
          </cell>
          <cell r="J50">
            <v>3240.493739146269</v>
          </cell>
          <cell r="K50">
            <v>3244.028067800798</v>
          </cell>
          <cell r="L50">
            <v>3049.2488959131315</v>
          </cell>
          <cell r="M50">
            <v>2959.2966011174744</v>
          </cell>
          <cell r="N50">
            <v>2810.694361276433</v>
          </cell>
          <cell r="O50">
            <v>2721.8067809348649</v>
          </cell>
          <cell r="P50">
            <v>2588.883386510759</v>
          </cell>
          <cell r="Q50">
            <v>2560.5991316247441</v>
          </cell>
          <cell r="R50">
            <v>2537.4517257118373</v>
          </cell>
          <cell r="S50">
            <v>2519.1900772476392</v>
          </cell>
        </row>
        <row r="51">
          <cell r="H51">
            <v>1</v>
          </cell>
        </row>
        <row r="52">
          <cell r="A52" t="str">
            <v>TOBI</v>
          </cell>
          <cell r="B52">
            <v>273</v>
          </cell>
          <cell r="C52">
            <v>295</v>
          </cell>
          <cell r="D52">
            <v>300</v>
          </cell>
          <cell r="E52">
            <v>279</v>
          </cell>
          <cell r="F52">
            <v>296</v>
          </cell>
          <cell r="G52">
            <v>317</v>
          </cell>
          <cell r="H52">
            <v>387</v>
          </cell>
          <cell r="I52">
            <v>405.59808559079437</v>
          </cell>
          <cell r="J52">
            <v>425.87798987033409</v>
          </cell>
          <cell r="K52">
            <v>447.17188936385082</v>
          </cell>
          <cell r="L52">
            <v>424.81329489565826</v>
          </cell>
          <cell r="M52">
            <v>403.57263015087534</v>
          </cell>
          <cell r="N52">
            <v>383.39399864333154</v>
          </cell>
          <cell r="O52">
            <v>364.22429871116498</v>
          </cell>
          <cell r="P52">
            <v>346.01308377560673</v>
          </cell>
          <cell r="Q52">
            <v>328.71242958682637</v>
          </cell>
          <cell r="R52">
            <v>312.27680810748507</v>
          </cell>
          <cell r="S52">
            <v>296.66296770211079</v>
          </cell>
        </row>
        <row r="53">
          <cell r="A53" t="str">
            <v>Mature Products</v>
          </cell>
          <cell r="B53">
            <v>97</v>
          </cell>
          <cell r="C53">
            <v>87</v>
          </cell>
          <cell r="D53">
            <v>88</v>
          </cell>
          <cell r="E53">
            <v>174</v>
          </cell>
          <cell r="F53">
            <v>172</v>
          </cell>
          <cell r="G53">
            <v>0</v>
          </cell>
          <cell r="H53">
            <v>0</v>
          </cell>
          <cell r="I53">
            <v>0</v>
          </cell>
          <cell r="J53">
            <v>0</v>
          </cell>
          <cell r="K53">
            <v>0</v>
          </cell>
          <cell r="L53">
            <v>0</v>
          </cell>
          <cell r="M53">
            <v>0</v>
          </cell>
          <cell r="N53">
            <v>0</v>
          </cell>
          <cell r="O53">
            <v>0</v>
          </cell>
          <cell r="P53">
            <v>0</v>
          </cell>
          <cell r="Q53">
            <v>0</v>
          </cell>
          <cell r="R53">
            <v>0</v>
          </cell>
          <cell r="S53">
            <v>0</v>
          </cell>
        </row>
        <row r="54">
          <cell r="A54" t="str">
            <v>Total Critical Care</v>
          </cell>
          <cell r="B54">
            <v>370</v>
          </cell>
          <cell r="C54">
            <v>382</v>
          </cell>
          <cell r="D54">
            <v>388</v>
          </cell>
          <cell r="E54">
            <v>453</v>
          </cell>
          <cell r="F54">
            <v>468</v>
          </cell>
          <cell r="G54">
            <v>317</v>
          </cell>
          <cell r="H54">
            <v>387</v>
          </cell>
          <cell r="I54">
            <v>405.59808559079437</v>
          </cell>
          <cell r="J54">
            <v>425.87798987033409</v>
          </cell>
          <cell r="K54">
            <v>447.17188936385082</v>
          </cell>
          <cell r="L54">
            <v>424.81329489565826</v>
          </cell>
          <cell r="M54">
            <v>403.57263015087534</v>
          </cell>
          <cell r="N54">
            <v>383.39399864333154</v>
          </cell>
          <cell r="O54">
            <v>364.22429871116498</v>
          </cell>
          <cell r="P54">
            <v>346.01308377560673</v>
          </cell>
          <cell r="Q54">
            <v>328.71242958682637</v>
          </cell>
          <cell r="R54">
            <v>312.27680810748507</v>
          </cell>
          <cell r="S54">
            <v>296.66296770211079</v>
          </cell>
        </row>
        <row r="56">
          <cell r="A56" t="str">
            <v>Voltaren</v>
          </cell>
          <cell r="B56">
            <v>747</v>
          </cell>
          <cell r="C56">
            <v>814</v>
          </cell>
          <cell r="D56">
            <v>797</v>
          </cell>
          <cell r="E56">
            <v>791</v>
          </cell>
          <cell r="F56">
            <v>794</v>
          </cell>
          <cell r="G56">
            <v>759</v>
          </cell>
          <cell r="H56">
            <v>675</v>
          </cell>
          <cell r="I56">
            <v>639.8175694528112</v>
          </cell>
          <cell r="J56">
            <v>607.82669098017061</v>
          </cell>
          <cell r="K56">
            <v>577.43535643116206</v>
          </cell>
          <cell r="L56">
            <v>548.56358860960393</v>
          </cell>
          <cell r="M56">
            <v>521.13540917912371</v>
          </cell>
          <cell r="N56">
            <v>495.07863872016748</v>
          </cell>
          <cell r="O56">
            <v>470.3247067841591</v>
          </cell>
          <cell r="P56">
            <v>446.80847144495112</v>
          </cell>
          <cell r="Q56">
            <v>424.46804787270355</v>
          </cell>
          <cell r="R56">
            <v>403.24464547906837</v>
          </cell>
          <cell r="S56">
            <v>383.0824132051149</v>
          </cell>
        </row>
        <row r="57">
          <cell r="A57" t="str">
            <v>Ritalin</v>
          </cell>
          <cell r="B57">
            <v>375</v>
          </cell>
          <cell r="C57">
            <v>440</v>
          </cell>
          <cell r="D57">
            <v>449</v>
          </cell>
          <cell r="E57">
            <v>464</v>
          </cell>
          <cell r="F57">
            <v>550</v>
          </cell>
          <cell r="G57">
            <v>554</v>
          </cell>
          <cell r="H57">
            <v>594</v>
          </cell>
          <cell r="I57">
            <v>619.04860548034242</v>
          </cell>
          <cell r="J57">
            <v>508.10707758994926</v>
          </cell>
          <cell r="K57">
            <v>425.77734414174824</v>
          </cell>
          <cell r="L57">
            <v>364.92398477458323</v>
          </cell>
          <cell r="M57">
            <v>265.08135965470825</v>
          </cell>
          <cell r="N57">
            <v>192.78287949267076</v>
          </cell>
          <cell r="O57">
            <v>64.495220234713287</v>
          </cell>
          <cell r="P57">
            <v>41.353042103752415</v>
          </cell>
          <cell r="Q57">
            <v>20.676521051876207</v>
          </cell>
          <cell r="R57">
            <v>10.338260525938104</v>
          </cell>
          <cell r="S57">
            <v>5.1691302629690519</v>
          </cell>
        </row>
        <row r="58">
          <cell r="A58" t="str">
            <v>Visudyne</v>
          </cell>
          <cell r="B58">
            <v>179</v>
          </cell>
          <cell r="C58">
            <v>119.2</v>
          </cell>
          <cell r="D58">
            <v>96</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A59" t="str">
            <v>Tegretol</v>
          </cell>
          <cell r="B59">
            <v>413</v>
          </cell>
          <cell r="C59">
            <v>451</v>
          </cell>
          <cell r="D59">
            <v>375</v>
          </cell>
          <cell r="E59">
            <v>355</v>
          </cell>
          <cell r="F59">
            <v>364</v>
          </cell>
          <cell r="G59">
            <v>348</v>
          </cell>
          <cell r="H59">
            <v>342</v>
          </cell>
          <cell r="I59">
            <v>331.74</v>
          </cell>
          <cell r="J59">
            <v>321.7878</v>
          </cell>
          <cell r="K59">
            <v>312.13416599999999</v>
          </cell>
          <cell r="L59">
            <v>302.77014101999998</v>
          </cell>
          <cell r="M59">
            <v>293.6870367894</v>
          </cell>
          <cell r="N59">
            <v>284.876425685718</v>
          </cell>
          <cell r="O59">
            <v>276.33013291514646</v>
          </cell>
          <cell r="P59">
            <v>268.04022892769206</v>
          </cell>
          <cell r="Q59">
            <v>259.99902205986126</v>
          </cell>
          <cell r="R59">
            <v>252.19905139806542</v>
          </cell>
          <cell r="S59">
            <v>244.63307985612346</v>
          </cell>
        </row>
        <row r="60">
          <cell r="A60" t="str">
            <v>Trileptal</v>
          </cell>
          <cell r="B60">
            <v>692</v>
          </cell>
          <cell r="C60">
            <v>332</v>
          </cell>
          <cell r="D60">
            <v>295</v>
          </cell>
          <cell r="E60">
            <v>253</v>
          </cell>
          <cell r="F60">
            <v>263</v>
          </cell>
          <cell r="G60">
            <v>279</v>
          </cell>
          <cell r="H60">
            <v>257</v>
          </cell>
          <cell r="I60">
            <v>231.3</v>
          </cell>
          <cell r="J60">
            <v>208.17000000000002</v>
          </cell>
          <cell r="K60">
            <v>187.35300000000001</v>
          </cell>
          <cell r="L60">
            <v>168.61770000000001</v>
          </cell>
          <cell r="M60">
            <v>151.75593000000001</v>
          </cell>
          <cell r="N60">
            <v>136.58033700000001</v>
          </cell>
          <cell r="O60">
            <v>68.290168500000007</v>
          </cell>
          <cell r="P60">
            <v>34.145084250000004</v>
          </cell>
          <cell r="Q60">
            <v>17.072542125000002</v>
          </cell>
          <cell r="R60">
            <v>8.5362710625000009</v>
          </cell>
          <cell r="S60">
            <v>4.2681355312500004</v>
          </cell>
        </row>
        <row r="61">
          <cell r="A61" t="str">
            <v>Foradil</v>
          </cell>
          <cell r="B61">
            <v>362</v>
          </cell>
          <cell r="C61">
            <v>387</v>
          </cell>
          <cell r="D61">
            <v>357</v>
          </cell>
          <cell r="E61">
            <v>330</v>
          </cell>
          <cell r="F61">
            <v>312</v>
          </cell>
          <cell r="G61">
            <v>240</v>
          </cell>
          <cell r="H61">
            <v>205</v>
          </cell>
          <cell r="I61">
            <v>174.25</v>
          </cell>
          <cell r="J61">
            <v>156.82500000000002</v>
          </cell>
          <cell r="K61">
            <v>141.14250000000001</v>
          </cell>
          <cell r="L61">
            <v>119.971125</v>
          </cell>
          <cell r="M61">
            <v>101.97545624999999</v>
          </cell>
          <cell r="N61">
            <v>86.679137812499988</v>
          </cell>
          <cell r="O61">
            <v>73.677267140624991</v>
          </cell>
          <cell r="P61">
            <v>62.625677069531243</v>
          </cell>
          <cell r="Q61">
            <v>53.231825509101554</v>
          </cell>
          <cell r="R61">
            <v>45.24705168273632</v>
          </cell>
          <cell r="S61">
            <v>38.459993930325872</v>
          </cell>
        </row>
        <row r="62">
          <cell r="A62" t="str">
            <v>Others</v>
          </cell>
          <cell r="B62">
            <v>444</v>
          </cell>
          <cell r="C62">
            <v>279</v>
          </cell>
          <cell r="D62">
            <v>345</v>
          </cell>
          <cell r="E62">
            <v>318</v>
          </cell>
          <cell r="F62">
            <v>388</v>
          </cell>
          <cell r="G62">
            <v>209</v>
          </cell>
          <cell r="H62">
            <v>72</v>
          </cell>
          <cell r="I62">
            <v>72</v>
          </cell>
          <cell r="J62">
            <v>72</v>
          </cell>
          <cell r="K62">
            <v>72</v>
          </cell>
          <cell r="L62">
            <v>68.399999999999991</v>
          </cell>
          <cell r="M62">
            <v>64.97999999999999</v>
          </cell>
          <cell r="N62">
            <v>61.730999999999987</v>
          </cell>
          <cell r="O62">
            <v>58.644449999999985</v>
          </cell>
          <cell r="P62">
            <v>55.712227499999983</v>
          </cell>
          <cell r="Q62">
            <v>52.926616124999981</v>
          </cell>
          <cell r="R62">
            <v>50.280285318749982</v>
          </cell>
          <cell r="S62">
            <v>47.766271052812478</v>
          </cell>
        </row>
        <row r="63">
          <cell r="A63" t="str">
            <v>Additional products</v>
          </cell>
          <cell r="B63">
            <v>3212</v>
          </cell>
          <cell r="C63">
            <v>2822.2</v>
          </cell>
          <cell r="D63">
            <v>2714</v>
          </cell>
          <cell r="E63">
            <v>2511</v>
          </cell>
          <cell r="F63">
            <v>2671</v>
          </cell>
          <cell r="G63">
            <v>2389</v>
          </cell>
          <cell r="H63">
            <v>2145</v>
          </cell>
          <cell r="I63">
            <v>2068.1561749331536</v>
          </cell>
          <cell r="J63">
            <v>1874.7165685701198</v>
          </cell>
          <cell r="K63">
            <v>1715.8423665729104</v>
          </cell>
          <cell r="L63">
            <v>1573.2465394041869</v>
          </cell>
          <cell r="M63">
            <v>1398.6151918732321</v>
          </cell>
          <cell r="N63">
            <v>1257.7284187110563</v>
          </cell>
          <cell r="O63">
            <v>1011.7619455746437</v>
          </cell>
          <cell r="P63">
            <v>908.68473129592678</v>
          </cell>
          <cell r="Q63">
            <v>828.37457474354255</v>
          </cell>
          <cell r="R63">
            <v>769.84556546705812</v>
          </cell>
          <cell r="S63">
            <v>723.3790238385958</v>
          </cell>
        </row>
        <row r="65">
          <cell r="A65" t="str">
            <v>New Pipeline Products</v>
          </cell>
          <cell r="H65">
            <v>0</v>
          </cell>
          <cell r="I65">
            <v>250</v>
          </cell>
          <cell r="J65">
            <v>775</v>
          </cell>
          <cell r="K65">
            <v>1537.5</v>
          </cell>
          <cell r="L65">
            <v>2662.5</v>
          </cell>
          <cell r="M65">
            <v>3575</v>
          </cell>
          <cell r="N65">
            <v>4287.5</v>
          </cell>
          <cell r="O65">
            <v>4839.375</v>
          </cell>
          <cell r="P65">
            <v>5159.5125000000007</v>
          </cell>
          <cell r="Q65">
            <v>5365.893</v>
          </cell>
          <cell r="R65">
            <v>5580.5287200000012</v>
          </cell>
          <cell r="S65">
            <v>5803.7498688000014</v>
          </cell>
        </row>
        <row r="67">
          <cell r="A67" t="str">
            <v>Total Pharmaceuticals</v>
          </cell>
          <cell r="B67">
            <v>24025</v>
          </cell>
          <cell r="C67">
            <v>26331</v>
          </cell>
          <cell r="D67">
            <v>28538</v>
          </cell>
          <cell r="E67">
            <v>30306</v>
          </cell>
          <cell r="F67">
            <v>32508</v>
          </cell>
          <cell r="G67">
            <v>32153</v>
          </cell>
          <cell r="H67">
            <v>32214</v>
          </cell>
          <cell r="I67">
            <v>32310.763338719593</v>
          </cell>
          <cell r="J67">
            <v>31796.384602214392</v>
          </cell>
          <cell r="K67">
            <v>32055.757729844558</v>
          </cell>
          <cell r="L67">
            <v>32585.779631411369</v>
          </cell>
          <cell r="M67">
            <v>33334.766939508059</v>
          </cell>
          <cell r="N67">
            <v>31920.090512483563</v>
          </cell>
          <cell r="O67">
            <v>31035.199427676525</v>
          </cell>
          <cell r="P67">
            <v>29356.5389483445</v>
          </cell>
          <cell r="Q67">
            <v>27616.968300824949</v>
          </cell>
          <cell r="R67">
            <v>26577.31313274258</v>
          </cell>
          <cell r="S67">
            <v>23951.194677668278</v>
          </cell>
        </row>
        <row r="68">
          <cell r="A68" t="str">
            <v>Check</v>
          </cell>
          <cell r="B68">
            <v>21090</v>
          </cell>
          <cell r="C68">
            <v>23751</v>
          </cell>
          <cell r="D68">
            <v>26031</v>
          </cell>
          <cell r="E68">
            <v>28001</v>
          </cell>
          <cell r="F68">
            <v>33123</v>
          </cell>
          <cell r="G68">
            <v>32153</v>
          </cell>
          <cell r="H68">
            <v>32214</v>
          </cell>
          <cell r="I68">
            <v>32310.763338719597</v>
          </cell>
          <cell r="J68">
            <v>31796.384602214392</v>
          </cell>
          <cell r="K68">
            <v>32055.757729844561</v>
          </cell>
          <cell r="L68">
            <v>32585.779631411373</v>
          </cell>
          <cell r="M68">
            <v>33334.766939508059</v>
          </cell>
          <cell r="N68">
            <v>31920.090512483566</v>
          </cell>
          <cell r="O68">
            <v>31035.199427676525</v>
          </cell>
          <cell r="P68">
            <v>29356.5389483445</v>
          </cell>
          <cell r="Q68">
            <v>27616.968300824952</v>
          </cell>
          <cell r="R68">
            <v>26577.31313274258</v>
          </cell>
          <cell r="S68">
            <v>23951.194677668274</v>
          </cell>
        </row>
        <row r="70">
          <cell r="A70" t="str">
            <v>Aclasta</v>
          </cell>
          <cell r="B70">
            <v>41</v>
          </cell>
          <cell r="C70">
            <v>254</v>
          </cell>
          <cell r="D70">
            <v>472</v>
          </cell>
          <cell r="E70">
            <v>579</v>
          </cell>
          <cell r="F70">
            <v>613</v>
          </cell>
          <cell r="G70">
            <v>0</v>
          </cell>
          <cell r="H70">
            <v>0</v>
          </cell>
          <cell r="I70">
            <v>0</v>
          </cell>
          <cell r="J70">
            <v>0</v>
          </cell>
          <cell r="K70">
            <v>0</v>
          </cell>
          <cell r="L70">
            <v>0</v>
          </cell>
          <cell r="M70">
            <v>0</v>
          </cell>
          <cell r="N70">
            <v>0</v>
          </cell>
          <cell r="O70">
            <v>0</v>
          </cell>
          <cell r="P70">
            <v>0</v>
          </cell>
          <cell r="Q70">
            <v>0</v>
          </cell>
          <cell r="R70">
            <v>0</v>
          </cell>
          <cell r="S70">
            <v>0</v>
          </cell>
        </row>
        <row r="71">
          <cell r="A71" t="str">
            <v>Sebivo (telbivudine)</v>
          </cell>
          <cell r="B71">
            <v>105</v>
          </cell>
          <cell r="C71">
            <v>260</v>
          </cell>
          <cell r="D71">
            <v>84</v>
          </cell>
          <cell r="E71">
            <v>95</v>
          </cell>
          <cell r="F71">
            <v>105</v>
          </cell>
          <cell r="G71">
            <v>0</v>
          </cell>
          <cell r="H71">
            <v>0</v>
          </cell>
          <cell r="I71">
            <v>0</v>
          </cell>
          <cell r="J71">
            <v>0</v>
          </cell>
          <cell r="K71">
            <v>0</v>
          </cell>
          <cell r="L71">
            <v>0</v>
          </cell>
          <cell r="M71">
            <v>0</v>
          </cell>
          <cell r="N71">
            <v>0</v>
          </cell>
          <cell r="O71">
            <v>0</v>
          </cell>
          <cell r="P71">
            <v>0</v>
          </cell>
          <cell r="Q71">
            <v>0</v>
          </cell>
          <cell r="R71">
            <v>0</v>
          </cell>
          <cell r="S71">
            <v>0</v>
          </cell>
        </row>
        <row r="72">
          <cell r="A72" t="str">
            <v>Elidel</v>
          </cell>
          <cell r="B72">
            <v>176</v>
          </cell>
          <cell r="C72">
            <v>152</v>
          </cell>
          <cell r="D72">
            <v>177</v>
          </cell>
          <cell r="E72">
            <v>126</v>
          </cell>
          <cell r="F72">
            <v>61</v>
          </cell>
          <cell r="G72">
            <v>0</v>
          </cell>
          <cell r="H72">
            <v>0</v>
          </cell>
          <cell r="I72">
            <v>0</v>
          </cell>
          <cell r="J72">
            <v>0</v>
          </cell>
          <cell r="K72">
            <v>0</v>
          </cell>
          <cell r="L72">
            <v>0</v>
          </cell>
          <cell r="M72">
            <v>0</v>
          </cell>
          <cell r="N72">
            <v>0</v>
          </cell>
          <cell r="O72">
            <v>0</v>
          </cell>
          <cell r="P72">
            <v>0</v>
          </cell>
          <cell r="Q72">
            <v>0</v>
          </cell>
          <cell r="R72">
            <v>0</v>
          </cell>
          <cell r="S72">
            <v>0</v>
          </cell>
        </row>
        <row r="73">
          <cell r="A73" t="str">
            <v>Other Strategic</v>
          </cell>
          <cell r="B73">
            <v>152</v>
          </cell>
          <cell r="C73">
            <v>94</v>
          </cell>
          <cell r="D73">
            <v>42</v>
          </cell>
          <cell r="E73">
            <v>242</v>
          </cell>
          <cell r="F73">
            <v>318</v>
          </cell>
          <cell r="G73">
            <v>0</v>
          </cell>
          <cell r="H73">
            <v>0</v>
          </cell>
          <cell r="I73">
            <v>0</v>
          </cell>
          <cell r="J73">
            <v>0</v>
          </cell>
          <cell r="K73">
            <v>0</v>
          </cell>
          <cell r="L73">
            <v>0</v>
          </cell>
          <cell r="M73">
            <v>0</v>
          </cell>
          <cell r="N73">
            <v>0</v>
          </cell>
          <cell r="O73">
            <v>0</v>
          </cell>
          <cell r="P73">
            <v>0</v>
          </cell>
          <cell r="Q73">
            <v>0</v>
          </cell>
          <cell r="R73">
            <v>0</v>
          </cell>
          <cell r="S73">
            <v>0</v>
          </cell>
        </row>
        <row r="74">
          <cell r="A74" t="str">
            <v>Lamisil</v>
          </cell>
          <cell r="B74">
            <v>595</v>
          </cell>
          <cell r="C74">
            <v>266</v>
          </cell>
          <cell r="D74">
            <v>200</v>
          </cell>
          <cell r="E74">
            <v>159</v>
          </cell>
          <cell r="F74">
            <v>138</v>
          </cell>
          <cell r="G74">
            <v>0</v>
          </cell>
          <cell r="H74">
            <v>0</v>
          </cell>
          <cell r="I74">
            <v>0</v>
          </cell>
          <cell r="J74">
            <v>0</v>
          </cell>
          <cell r="K74">
            <v>0</v>
          </cell>
          <cell r="L74">
            <v>0</v>
          </cell>
          <cell r="M74">
            <v>0</v>
          </cell>
          <cell r="N74">
            <v>0</v>
          </cell>
          <cell r="O74">
            <v>0</v>
          </cell>
          <cell r="P74">
            <v>0</v>
          </cell>
          <cell r="Q74">
            <v>0</v>
          </cell>
          <cell r="R74">
            <v>0</v>
          </cell>
          <cell r="S74">
            <v>0</v>
          </cell>
        </row>
        <row r="75">
          <cell r="A75" t="str">
            <v>Famvir</v>
          </cell>
          <cell r="B75">
            <v>236</v>
          </cell>
          <cell r="C75">
            <v>100</v>
          </cell>
          <cell r="D75">
            <v>80</v>
          </cell>
          <cell r="E75">
            <v>78</v>
          </cell>
          <cell r="F75">
            <v>81</v>
          </cell>
          <cell r="G75">
            <v>0</v>
          </cell>
          <cell r="H75">
            <v>0</v>
          </cell>
          <cell r="I75">
            <v>0</v>
          </cell>
          <cell r="J75">
            <v>0</v>
          </cell>
          <cell r="K75">
            <v>0</v>
          </cell>
          <cell r="L75">
            <v>0</v>
          </cell>
          <cell r="M75">
            <v>0</v>
          </cell>
          <cell r="N75">
            <v>0</v>
          </cell>
          <cell r="O75">
            <v>0</v>
          </cell>
          <cell r="P75">
            <v>0</v>
          </cell>
          <cell r="Q75">
            <v>0</v>
          </cell>
          <cell r="R75">
            <v>0</v>
          </cell>
          <cell r="S75">
            <v>0</v>
          </cell>
        </row>
        <row r="76">
          <cell r="A76" t="str">
            <v>Mature Products</v>
          </cell>
          <cell r="B76">
            <v>551</v>
          </cell>
          <cell r="C76">
            <v>582</v>
          </cell>
          <cell r="D76">
            <v>708</v>
          </cell>
          <cell r="E76">
            <v>653</v>
          </cell>
          <cell r="F76">
            <v>735</v>
          </cell>
          <cell r="G76">
            <v>0</v>
          </cell>
          <cell r="H76">
            <v>0</v>
          </cell>
          <cell r="I76">
            <v>0</v>
          </cell>
          <cell r="J76">
            <v>0</v>
          </cell>
          <cell r="K76">
            <v>0</v>
          </cell>
          <cell r="L76">
            <v>0</v>
          </cell>
          <cell r="M76">
            <v>0</v>
          </cell>
          <cell r="N76">
            <v>0</v>
          </cell>
          <cell r="O76">
            <v>0</v>
          </cell>
          <cell r="P76">
            <v>0</v>
          </cell>
          <cell r="Q76">
            <v>0</v>
          </cell>
          <cell r="R76">
            <v>0</v>
          </cell>
          <cell r="S76">
            <v>0</v>
          </cell>
        </row>
        <row r="77">
          <cell r="A77" t="str">
            <v>Infectious / Immunology</v>
          </cell>
          <cell r="B77">
            <v>2993</v>
          </cell>
          <cell r="C77">
            <v>2954</v>
          </cell>
          <cell r="D77">
            <v>3035</v>
          </cell>
          <cell r="E77">
            <v>3247</v>
          </cell>
          <cell r="F77">
            <v>3472</v>
          </cell>
          <cell r="G77">
            <v>0</v>
          </cell>
          <cell r="H77">
            <v>0</v>
          </cell>
          <cell r="I77">
            <v>0</v>
          </cell>
          <cell r="J77">
            <v>0</v>
          </cell>
          <cell r="K77">
            <v>0</v>
          </cell>
          <cell r="L77">
            <v>0</v>
          </cell>
          <cell r="M77">
            <v>0</v>
          </cell>
          <cell r="N77">
            <v>0</v>
          </cell>
          <cell r="O77">
            <v>0</v>
          </cell>
          <cell r="P77">
            <v>0</v>
          </cell>
          <cell r="Q77">
            <v>0</v>
          </cell>
          <cell r="R77">
            <v>0</v>
          </cell>
          <cell r="S77">
            <v>0</v>
          </cell>
        </row>
        <row r="79">
          <cell r="A79" t="str">
            <v>Enablex</v>
          </cell>
          <cell r="B79">
            <v>179</v>
          </cell>
          <cell r="C79">
            <v>201</v>
          </cell>
          <cell r="D79">
            <v>223</v>
          </cell>
          <cell r="E79">
            <v>238</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1">
          <cell r="A81" t="str">
            <v>Vaccines</v>
          </cell>
          <cell r="B81">
            <v>1452</v>
          </cell>
          <cell r="C81">
            <v>1759</v>
          </cell>
          <cell r="D81">
            <v>2424</v>
          </cell>
          <cell r="E81">
            <v>2918</v>
          </cell>
          <cell r="F81">
            <v>1996</v>
          </cell>
          <cell r="G81">
            <v>1858</v>
          </cell>
          <cell r="H81">
            <v>1987</v>
          </cell>
          <cell r="I81">
            <v>1583.82181285669</v>
          </cell>
          <cell r="J81">
            <v>1721.5129034995243</v>
          </cell>
          <cell r="K81">
            <v>1891.7385486745009</v>
          </cell>
          <cell r="L81">
            <v>1990.1259711082259</v>
          </cell>
          <cell r="M81">
            <v>2078.1379795136372</v>
          </cell>
          <cell r="N81">
            <v>2170.2057596348191</v>
          </cell>
          <cell r="O81">
            <v>2260.524155196425</v>
          </cell>
          <cell r="P81">
            <v>2344.6650608079126</v>
          </cell>
          <cell r="Q81">
            <v>2445.7490744597872</v>
          </cell>
          <cell r="R81">
            <v>2551.370688467</v>
          </cell>
          <cell r="S81">
            <v>2646.5631242303907</v>
          </cell>
        </row>
        <row r="82">
          <cell r="A82" t="str">
            <v>Sandoz</v>
          </cell>
          <cell r="B82">
            <v>7169</v>
          </cell>
          <cell r="C82">
            <v>7557</v>
          </cell>
          <cell r="D82">
            <v>7493</v>
          </cell>
          <cell r="E82">
            <v>8592</v>
          </cell>
          <cell r="F82">
            <v>9473</v>
          </cell>
          <cell r="G82">
            <v>8702</v>
          </cell>
          <cell r="H82">
            <v>9159</v>
          </cell>
          <cell r="I82">
            <v>9621.9143831047877</v>
          </cell>
          <cell r="J82">
            <v>10103.010102260027</v>
          </cell>
          <cell r="K82">
            <v>10608.160607373029</v>
          </cell>
          <cell r="L82">
            <v>11138.568637741681</v>
          </cell>
          <cell r="M82">
            <v>11728.242808003764</v>
          </cell>
          <cell r="N82">
            <v>12349.365431081453</v>
          </cell>
          <cell r="O82">
            <v>13003.626814273677</v>
          </cell>
          <cell r="P82">
            <v>13692.808853323801</v>
          </cell>
          <cell r="Q82">
            <v>14418.790036226615</v>
          </cell>
          <cell r="R82">
            <v>15183.550722688771</v>
          </cell>
          <cell r="S82">
            <v>15942.72825882321</v>
          </cell>
        </row>
        <row r="83">
          <cell r="A83" t="str">
            <v>Consumer Health (ongoing)</v>
          </cell>
          <cell r="B83">
            <v>5426</v>
          </cell>
          <cell r="C83">
            <v>5812</v>
          </cell>
          <cell r="D83">
            <v>5812</v>
          </cell>
          <cell r="E83">
            <v>4362</v>
          </cell>
          <cell r="F83">
            <v>4631</v>
          </cell>
          <cell r="G83">
            <v>3735</v>
          </cell>
          <cell r="H83">
            <v>4064</v>
          </cell>
          <cell r="I83">
            <v>4481.4202893191186</v>
          </cell>
          <cell r="J83">
            <v>4815.6013037850753</v>
          </cell>
          <cell r="K83">
            <v>5056.3813689743292</v>
          </cell>
          <cell r="L83">
            <v>5309.2004374230455</v>
          </cell>
          <cell r="M83">
            <v>5560.6998876691978</v>
          </cell>
          <cell r="N83">
            <v>5824.2158875626574</v>
          </cell>
          <cell r="O83">
            <v>6100.3269276711908</v>
          </cell>
          <cell r="P83">
            <v>6389.6395296143664</v>
          </cell>
          <cell r="Q83">
            <v>6692.7896118770859</v>
          </cell>
          <cell r="R83">
            <v>7010.4439224842208</v>
          </cell>
          <cell r="S83">
            <v>7150.6528009339054</v>
          </cell>
        </row>
        <row r="84">
          <cell r="A84" t="str">
            <v>Alcon</v>
          </cell>
          <cell r="B84">
            <v>5584.5</v>
          </cell>
          <cell r="C84">
            <v>6269.0339999999997</v>
          </cell>
          <cell r="D84">
            <v>6408.3289999999997</v>
          </cell>
          <cell r="E84">
            <v>4446</v>
          </cell>
          <cell r="F84">
            <v>9958</v>
          </cell>
          <cell r="G84">
            <v>10225</v>
          </cell>
          <cell r="H84">
            <v>10496</v>
          </cell>
          <cell r="I84">
            <v>11068.051590844136</v>
          </cell>
          <cell r="J84">
            <v>11886.719211146119</v>
          </cell>
          <cell r="K84">
            <v>12632.410011877022</v>
          </cell>
          <cell r="L84">
            <v>13351.970280512807</v>
          </cell>
          <cell r="M84">
            <v>14019.455862601517</v>
          </cell>
          <cell r="N84">
            <v>14723.299258643259</v>
          </cell>
          <cell r="O84">
            <v>15465.601506121031</v>
          </cell>
          <cell r="P84">
            <v>16218.209961196366</v>
          </cell>
          <cell r="Q84">
            <v>16913.615285107557</v>
          </cell>
          <cell r="R84">
            <v>17641.480771731334</v>
          </cell>
          <cell r="S84">
            <v>18125.8377861097</v>
          </cell>
        </row>
        <row r="86">
          <cell r="A86" t="str">
            <v>Total Sales (reported)</v>
          </cell>
          <cell r="B86">
            <v>39800</v>
          </cell>
          <cell r="C86">
            <v>41459</v>
          </cell>
          <cell r="D86">
            <v>44267</v>
          </cell>
          <cell r="E86">
            <v>50624</v>
          </cell>
          <cell r="F86">
            <v>58566</v>
          </cell>
          <cell r="G86">
            <v>56673</v>
          </cell>
          <cell r="H86">
            <v>57920</v>
          </cell>
          <cell r="I86">
            <v>59065.971414844331</v>
          </cell>
          <cell r="J86">
            <v>60323.228122905137</v>
          </cell>
          <cell r="K86">
            <v>62244.448266743442</v>
          </cell>
          <cell r="L86">
            <v>64375.644958197125</v>
          </cell>
          <cell r="M86">
            <v>66721.303477296169</v>
          </cell>
          <cell r="N86">
            <v>66987.176849405747</v>
          </cell>
          <cell r="O86">
            <v>67865.278830938856</v>
          </cell>
          <cell r="P86">
            <v>68001.862353286953</v>
          </cell>
          <cell r="Q86">
            <v>68087.912308496001</v>
          </cell>
          <cell r="R86">
            <v>68964.159238113905</v>
          </cell>
          <cell r="S86">
            <v>67816.976647765492</v>
          </cell>
        </row>
        <row r="89">
          <cell r="G89">
            <v>0.56734247348825717</v>
          </cell>
          <cell r="H89">
            <v>44590</v>
          </cell>
        </row>
        <row r="90">
          <cell r="G90">
            <v>3.2784571136167132E-2</v>
          </cell>
          <cell r="H90">
            <v>0.78679441709455999</v>
          </cell>
        </row>
        <row r="91">
          <cell r="G91">
            <v>0.15354754468618212</v>
          </cell>
        </row>
        <row r="92">
          <cell r="G92">
            <v>6.5904398920120691E-2</v>
          </cell>
        </row>
        <row r="93">
          <cell r="A93" t="str">
            <v>Notes:</v>
          </cell>
          <cell r="G93">
            <v>0.18042101176927283</v>
          </cell>
        </row>
        <row r="94">
          <cell r="A94" t="str">
            <v>E= Morgan Stanley Research Estimates</v>
          </cell>
        </row>
        <row r="95">
          <cell r="A95" t="str">
            <v>Source: Morgan Stanley Research</v>
          </cell>
        </row>
        <row r="97">
          <cell r="C97" t="str">
            <v>FY2008</v>
          </cell>
          <cell r="D97" t="str">
            <v>FY2009</v>
          </cell>
          <cell r="E97" t="str">
            <v>FY2010</v>
          </cell>
          <cell r="F97" t="str">
            <v>FY2011</v>
          </cell>
          <cell r="G97" t="str">
            <v>Fy2012E</v>
          </cell>
          <cell r="H97" t="str">
            <v>FY2013E</v>
          </cell>
          <cell r="I97" t="str">
            <v>FY2014E</v>
          </cell>
          <cell r="J97" t="str">
            <v>FY2015E</v>
          </cell>
          <cell r="K97" t="str">
            <v>FY2016E</v>
          </cell>
          <cell r="L97" t="str">
            <v>FY2017E</v>
          </cell>
          <cell r="M97" t="str">
            <v>FY2018E</v>
          </cell>
          <cell r="N97" t="str">
            <v>FY2019E</v>
          </cell>
          <cell r="O97" t="str">
            <v>FY2020E</v>
          </cell>
          <cell r="P97" t="str">
            <v>FY2021E</v>
          </cell>
          <cell r="Q97" t="str">
            <v>FY2022E</v>
          </cell>
          <cell r="R97" t="str">
            <v>FY2023E</v>
          </cell>
          <cell r="S97" t="str">
            <v>FY2024E</v>
          </cell>
          <cell r="Y97">
            <v>240</v>
          </cell>
          <cell r="Z97">
            <v>750</v>
          </cell>
        </row>
        <row r="98">
          <cell r="A98" t="str">
            <v>Diovan</v>
          </cell>
          <cell r="B98">
            <v>5012</v>
          </cell>
          <cell r="C98">
            <v>5740</v>
          </cell>
          <cell r="D98">
            <v>6013</v>
          </cell>
          <cell r="E98">
            <v>6053</v>
          </cell>
          <cell r="F98">
            <v>5665</v>
          </cell>
          <cell r="G98">
            <v>4417</v>
          </cell>
          <cell r="H98">
            <v>3524</v>
          </cell>
          <cell r="I98">
            <v>2224.2619640733988</v>
          </cell>
          <cell r="J98">
            <v>1139.311473055049</v>
          </cell>
          <cell r="K98">
            <v>1036.3894699411953</v>
          </cell>
          <cell r="L98">
            <v>947.6230670453117</v>
          </cell>
          <cell r="M98">
            <v>869.93605435213976</v>
          </cell>
          <cell r="N98">
            <v>817.80079663453273</v>
          </cell>
          <cell r="O98">
            <v>770.86383830280602</v>
          </cell>
          <cell r="P98">
            <v>728.08780343766568</v>
          </cell>
          <cell r="Q98">
            <v>688.72042320078242</v>
          </cell>
          <cell r="R98">
            <v>652.21030899524317</v>
          </cell>
          <cell r="S98">
            <v>618.14792841363101</v>
          </cell>
          <cell r="Y98" t="e">
            <v>#REF!</v>
          </cell>
          <cell r="Z98" t="e">
            <v>#REF!</v>
          </cell>
        </row>
        <row r="99">
          <cell r="A99" t="str">
            <v>Exforge</v>
          </cell>
          <cell r="B99">
            <v>103</v>
          </cell>
          <cell r="C99">
            <v>406</v>
          </cell>
          <cell r="D99">
            <v>671</v>
          </cell>
          <cell r="E99">
            <v>904</v>
          </cell>
          <cell r="F99">
            <v>1209</v>
          </cell>
          <cell r="G99">
            <v>1352</v>
          </cell>
          <cell r="H99">
            <v>1456</v>
          </cell>
          <cell r="I99">
            <v>1447.7646746195308</v>
          </cell>
          <cell r="J99">
            <v>1244.6042071575778</v>
          </cell>
          <cell r="K99">
            <v>1194.4452175154568</v>
          </cell>
          <cell r="L99">
            <v>815.67725226081973</v>
          </cell>
          <cell r="M99">
            <v>767.19651469299515</v>
          </cell>
          <cell r="N99">
            <v>519.15746028509659</v>
          </cell>
          <cell r="O99">
            <v>363.41022219956761</v>
          </cell>
          <cell r="P99">
            <v>254.38715553969732</v>
          </cell>
          <cell r="Q99">
            <v>241.66779776271244</v>
          </cell>
          <cell r="R99">
            <v>229.58440787457681</v>
          </cell>
          <cell r="S99">
            <v>218.10518748084797</v>
          </cell>
          <cell r="Y99" t="e">
            <v>#REF!</v>
          </cell>
          <cell r="Z99" t="e">
            <v>#REF!</v>
          </cell>
        </row>
        <row r="100">
          <cell r="A100" t="str">
            <v>Zometa</v>
          </cell>
          <cell r="B100">
            <v>1297</v>
          </cell>
          <cell r="C100">
            <v>1382</v>
          </cell>
          <cell r="D100">
            <v>1469</v>
          </cell>
          <cell r="E100">
            <v>1511</v>
          </cell>
          <cell r="F100">
            <v>1487</v>
          </cell>
          <cell r="G100">
            <v>1288</v>
          </cell>
          <cell r="H100">
            <v>600</v>
          </cell>
          <cell r="I100">
            <v>267.84153271242866</v>
          </cell>
          <cell r="J100">
            <v>225.65280280556436</v>
          </cell>
          <cell r="K100">
            <v>178.22224224445151</v>
          </cell>
          <cell r="L100">
            <v>142.57779379556121</v>
          </cell>
          <cell r="M100">
            <v>128.32001441600508</v>
          </cell>
          <cell r="N100">
            <v>115.48801297440457</v>
          </cell>
          <cell r="O100">
            <v>109.71361232568434</v>
          </cell>
          <cell r="P100">
            <v>109.71361232568434</v>
          </cell>
          <cell r="Q100">
            <v>111.90788457219803</v>
          </cell>
          <cell r="R100">
            <v>114.14604226364199</v>
          </cell>
          <cell r="S100">
            <v>116.42896310891483</v>
          </cell>
          <cell r="Z100" t="e">
            <v>#REF!</v>
          </cell>
        </row>
        <row r="101">
          <cell r="A101" t="str">
            <v>Sandostatin</v>
          </cell>
          <cell r="B101">
            <v>1027</v>
          </cell>
          <cell r="C101">
            <v>1123</v>
          </cell>
          <cell r="D101">
            <v>1155</v>
          </cell>
          <cell r="E101">
            <v>1291</v>
          </cell>
          <cell r="F101">
            <v>1443</v>
          </cell>
          <cell r="G101">
            <v>1512</v>
          </cell>
          <cell r="H101">
            <v>1589</v>
          </cell>
          <cell r="I101">
            <v>1624.8285435066582</v>
          </cell>
          <cell r="J101">
            <v>1680.673399811858</v>
          </cell>
          <cell r="K101">
            <v>1643.7533998118579</v>
          </cell>
          <cell r="L101">
            <v>1479.3780598306721</v>
          </cell>
          <cell r="M101">
            <v>1257.4713508560712</v>
          </cell>
          <cell r="N101">
            <v>1068.8506482276607</v>
          </cell>
          <cell r="O101">
            <v>877.8873870821285</v>
          </cell>
          <cell r="P101">
            <v>672.67868563248976</v>
          </cell>
          <cell r="Q101">
            <v>520.30896741649281</v>
          </cell>
          <cell r="R101">
            <v>406.23508154423246</v>
          </cell>
          <cell r="S101">
            <v>284.3645570809627</v>
          </cell>
        </row>
        <row r="102">
          <cell r="A102" t="str">
            <v>Femara</v>
          </cell>
          <cell r="B102">
            <v>937</v>
          </cell>
          <cell r="C102">
            <v>1129</v>
          </cell>
          <cell r="D102">
            <v>1266</v>
          </cell>
          <cell r="E102">
            <v>1376</v>
          </cell>
          <cell r="F102">
            <v>911</v>
          </cell>
          <cell r="G102">
            <v>438</v>
          </cell>
          <cell r="H102">
            <v>384</v>
          </cell>
          <cell r="I102">
            <v>292.21354544493761</v>
          </cell>
          <cell r="J102">
            <v>204.5494818114563</v>
          </cell>
          <cell r="K102">
            <v>163.63958544916505</v>
          </cell>
          <cell r="L102">
            <v>114.54770981441553</v>
          </cell>
          <cell r="M102">
            <v>85.910782360811652</v>
          </cell>
          <cell r="N102">
            <v>64.433086770608739</v>
          </cell>
          <cell r="O102">
            <v>48.324815077956558</v>
          </cell>
          <cell r="P102">
            <v>36.243611308467422</v>
          </cell>
          <cell r="Q102">
            <v>27.182708481350566</v>
          </cell>
          <cell r="R102">
            <v>20.387031361012923</v>
          </cell>
          <cell r="S102">
            <v>15.290273520759692</v>
          </cell>
        </row>
        <row r="103">
          <cell r="C103">
            <v>9780</v>
          </cell>
          <cell r="D103">
            <v>10574</v>
          </cell>
          <cell r="E103">
            <v>11135</v>
          </cell>
          <cell r="F103">
            <v>10715</v>
          </cell>
          <cell r="G103">
            <v>9007</v>
          </cell>
          <cell r="H103">
            <v>7553</v>
          </cell>
          <cell r="I103">
            <v>5856.9102603569536</v>
          </cell>
          <cell r="J103">
            <v>4494.7913646415054</v>
          </cell>
          <cell r="K103">
            <v>4216.449914962127</v>
          </cell>
          <cell r="L103">
            <v>3499.8038827467803</v>
          </cell>
          <cell r="M103">
            <v>3108.8347166780227</v>
          </cell>
          <cell r="N103">
            <v>2585.7300048923034</v>
          </cell>
          <cell r="O103">
            <v>2170.1998749881432</v>
          </cell>
          <cell r="P103">
            <v>1801.1108682440047</v>
          </cell>
          <cell r="Q103">
            <v>1589.7877814335363</v>
          </cell>
          <cell r="R103">
            <v>1422.5628720387074</v>
          </cell>
          <cell r="S103">
            <v>1252.336909605116</v>
          </cell>
        </row>
        <row r="104">
          <cell r="E104">
            <v>561</v>
          </cell>
          <cell r="F104">
            <v>-420</v>
          </cell>
          <cell r="G104">
            <v>-1708</v>
          </cell>
          <cell r="H104">
            <v>-1454</v>
          </cell>
          <cell r="I104">
            <v>-1696.0897396430464</v>
          </cell>
          <cell r="J104">
            <v>-1362.1188957154482</v>
          </cell>
          <cell r="K104">
            <v>-278.34144967937846</v>
          </cell>
          <cell r="L104">
            <v>-716.64603221534662</v>
          </cell>
          <cell r="M104">
            <v>-390.96916606875766</v>
          </cell>
          <cell r="N104">
            <v>-523.10471178571925</v>
          </cell>
          <cell r="O104">
            <v>-415.53012990416028</v>
          </cell>
          <cell r="P104">
            <v>-369.08900674413849</v>
          </cell>
          <cell r="Q104">
            <v>-211.32308681046834</v>
          </cell>
          <cell r="R104">
            <v>-167.22490939482896</v>
          </cell>
          <cell r="S104">
            <v>-170.22596243359135</v>
          </cell>
        </row>
        <row r="105">
          <cell r="E105">
            <v>532.94999999999993</v>
          </cell>
          <cell r="F105">
            <v>-399</v>
          </cell>
          <cell r="G105">
            <v>-1622.6</v>
          </cell>
          <cell r="H105">
            <v>-1381.3</v>
          </cell>
          <cell r="I105">
            <v>-1611.285252660894</v>
          </cell>
          <cell r="J105">
            <v>-1294.0129509296758</v>
          </cell>
          <cell r="K105">
            <v>-264.42437719540953</v>
          </cell>
          <cell r="L105">
            <v>-680.81373060457929</v>
          </cell>
          <cell r="M105">
            <v>-371.42070776531978</v>
          </cell>
          <cell r="N105">
            <v>-496.94947619643324</v>
          </cell>
          <cell r="O105">
            <v>-394.75362340895225</v>
          </cell>
          <cell r="P105">
            <v>-350.63455640693155</v>
          </cell>
          <cell r="Q105">
            <v>-200.7569324699449</v>
          </cell>
          <cell r="R105">
            <v>-158.86366392508751</v>
          </cell>
          <cell r="S105">
            <v>-161.71466431191178</v>
          </cell>
        </row>
        <row r="106">
          <cell r="I106">
            <v>-5014.1852526608945</v>
          </cell>
        </row>
        <row r="110">
          <cell r="A110" t="str">
            <v>Gleevec / Glivec</v>
          </cell>
          <cell r="B110">
            <v>3050</v>
          </cell>
          <cell r="C110">
            <v>3670</v>
          </cell>
          <cell r="D110">
            <v>3944</v>
          </cell>
          <cell r="E110">
            <v>4265</v>
          </cell>
          <cell r="F110">
            <v>4659</v>
          </cell>
          <cell r="G110">
            <v>4675</v>
          </cell>
          <cell r="H110">
            <v>4693</v>
          </cell>
          <cell r="I110">
            <v>4634.7733525602407</v>
          </cell>
          <cell r="J110">
            <v>3388.738151406626</v>
          </cell>
          <cell r="K110">
            <v>1647.6124042455117</v>
          </cell>
          <cell r="L110">
            <v>884.21593116766621</v>
          </cell>
          <cell r="M110">
            <v>670.79427764007301</v>
          </cell>
          <cell r="N110">
            <v>441.03558816340808</v>
          </cell>
          <cell r="O110">
            <v>277.81261119068688</v>
          </cell>
          <cell r="P110">
            <v>138.90630559534344</v>
          </cell>
          <cell r="Q110">
            <v>80.830931158297176</v>
          </cell>
          <cell r="R110">
            <v>64.664744926637738</v>
          </cell>
          <cell r="S110">
            <v>51.731795941310196</v>
          </cell>
        </row>
        <row r="111">
          <cell r="A111" t="str">
            <v>Tasigna</v>
          </cell>
          <cell r="B111">
            <v>0</v>
          </cell>
          <cell r="C111">
            <v>89</v>
          </cell>
          <cell r="D111">
            <v>212</v>
          </cell>
          <cell r="E111">
            <v>399</v>
          </cell>
          <cell r="F111">
            <v>716</v>
          </cell>
          <cell r="G111">
            <v>998</v>
          </cell>
          <cell r="H111">
            <v>1266</v>
          </cell>
          <cell r="I111">
            <v>1519.7615438707462</v>
          </cell>
          <cell r="J111">
            <v>1823.7138526448953</v>
          </cell>
          <cell r="K111">
            <v>1945.2019452771401</v>
          </cell>
          <cell r="L111">
            <v>2062.4616265409973</v>
          </cell>
          <cell r="M111">
            <v>2187.1842585880468</v>
          </cell>
          <cell r="N111">
            <v>2335.4226628134493</v>
          </cell>
          <cell r="O111">
            <v>2452.1937959541219</v>
          </cell>
          <cell r="P111">
            <v>2574.8034857518282</v>
          </cell>
          <cell r="Q111">
            <v>2621.9542249960523</v>
          </cell>
          <cell r="R111">
            <v>2671.4625012024876</v>
          </cell>
          <cell r="S111">
            <v>801.43875036074633</v>
          </cell>
        </row>
        <row r="112">
          <cell r="C112">
            <v>3759</v>
          </cell>
          <cell r="D112">
            <v>4156</v>
          </cell>
          <cell r="E112">
            <v>4664</v>
          </cell>
          <cell r="F112">
            <v>5375</v>
          </cell>
          <cell r="G112">
            <v>5673</v>
          </cell>
          <cell r="H112">
            <v>5959</v>
          </cell>
          <cell r="I112">
            <v>6154.5348964309869</v>
          </cell>
          <cell r="J112">
            <v>5212.4520040515217</v>
          </cell>
          <cell r="K112">
            <v>3592.8143495226518</v>
          </cell>
          <cell r="L112">
            <v>2946.6775577086637</v>
          </cell>
          <cell r="M112">
            <v>2857.97853622812</v>
          </cell>
          <cell r="N112">
            <v>2776.4582509768575</v>
          </cell>
          <cell r="O112">
            <v>2730.0064071448087</v>
          </cell>
          <cell r="P112">
            <v>2713.7097913471716</v>
          </cell>
          <cell r="Q112">
            <v>2702.7851561543494</v>
          </cell>
          <cell r="R112">
            <v>2736.1272461291255</v>
          </cell>
          <cell r="S112">
            <v>853.17054630205655</v>
          </cell>
        </row>
        <row r="113">
          <cell r="K113">
            <v>-1619.6376545288699</v>
          </cell>
          <cell r="L113">
            <v>-646.13679181398811</v>
          </cell>
          <cell r="M113">
            <v>-88.699021480543706</v>
          </cell>
          <cell r="N113">
            <v>-81.520285251262521</v>
          </cell>
          <cell r="O113">
            <v>-46.45184383204878</v>
          </cell>
          <cell r="P113">
            <v>-16.29661579763706</v>
          </cell>
          <cell r="Q113">
            <v>-10.924635192822279</v>
          </cell>
          <cell r="R113">
            <v>33.342089974776172</v>
          </cell>
          <cell r="S113">
            <v>-1882.9566998270689</v>
          </cell>
        </row>
        <row r="115">
          <cell r="K115">
            <v>-2.6020596207842448E-2</v>
          </cell>
          <cell r="L115">
            <v>-1.003697581955975E-2</v>
          </cell>
          <cell r="M115">
            <v>-1.3293958129988585E-3</v>
          </cell>
          <cell r="N115">
            <v>-1.216953588513347E-3</v>
          </cell>
          <cell r="O115">
            <v>-6.8447142091269237E-4</v>
          </cell>
        </row>
        <row r="118">
          <cell r="A118" t="str">
            <v>Gleevec/ Tasigna</v>
          </cell>
          <cell r="J118">
            <v>-942.08289237946519</v>
          </cell>
          <cell r="K118">
            <v>-1619.6376545288699</v>
          </cell>
          <cell r="L118">
            <v>-646.13679181398811</v>
          </cell>
          <cell r="M118">
            <v>-88.699021480543706</v>
          </cell>
        </row>
        <row r="119">
          <cell r="A119" t="str">
            <v>Diovan</v>
          </cell>
          <cell r="E119">
            <v>40</v>
          </cell>
          <cell r="F119">
            <v>-388</v>
          </cell>
          <cell r="G119">
            <v>-1248</v>
          </cell>
          <cell r="H119">
            <v>-893</v>
          </cell>
          <cell r="I119">
            <v>-1299.7380359266012</v>
          </cell>
          <cell r="J119">
            <v>-1084.9504910183498</v>
          </cell>
          <cell r="K119">
            <v>-102.92200311385363</v>
          </cell>
          <cell r="L119">
            <v>-88.76640289588363</v>
          </cell>
          <cell r="M119">
            <v>-77.687012693171937</v>
          </cell>
        </row>
        <row r="120">
          <cell r="A120" t="str">
            <v>Exforge</v>
          </cell>
          <cell r="H120">
            <v>104</v>
          </cell>
          <cell r="I120">
            <v>-8.2353253804692486</v>
          </cell>
          <cell r="J120">
            <v>-203.16046746195298</v>
          </cell>
          <cell r="K120">
            <v>-50.158989642121014</v>
          </cell>
          <cell r="L120">
            <v>-378.76796525463703</v>
          </cell>
          <cell r="M120">
            <v>-48.480737567824576</v>
          </cell>
        </row>
        <row r="121">
          <cell r="A121" t="str">
            <v>Zometa</v>
          </cell>
          <cell r="H121">
            <v>-688</v>
          </cell>
          <cell r="I121">
            <v>-332.15846728757134</v>
          </cell>
          <cell r="J121">
            <v>-42.188729906864296</v>
          </cell>
          <cell r="K121">
            <v>-47.430560561112856</v>
          </cell>
          <cell r="L121">
            <v>-35.644448448890302</v>
          </cell>
          <cell r="M121">
            <v>-14.257779379556126</v>
          </cell>
        </row>
        <row r="122">
          <cell r="A122" t="str">
            <v>Sandostatin</v>
          </cell>
          <cell r="E122">
            <v>136</v>
          </cell>
          <cell r="F122">
            <v>152</v>
          </cell>
          <cell r="G122">
            <v>69</v>
          </cell>
          <cell r="H122">
            <v>77</v>
          </cell>
          <cell r="I122">
            <v>35.828543506658207</v>
          </cell>
          <cell r="J122">
            <v>55.844856305199755</v>
          </cell>
          <cell r="K122">
            <v>-36.920000000000073</v>
          </cell>
          <cell r="L122">
            <v>-164.37533998118579</v>
          </cell>
          <cell r="M122">
            <v>-221.90670897460086</v>
          </cell>
        </row>
        <row r="123">
          <cell r="E123">
            <v>176</v>
          </cell>
          <cell r="F123">
            <v>-236</v>
          </cell>
          <cell r="G123">
            <v>-1179</v>
          </cell>
          <cell r="H123">
            <v>-1400</v>
          </cell>
          <cell r="I123">
            <v>-1604.3032850879836</v>
          </cell>
          <cell r="J123">
            <v>-2216.5377244614324</v>
          </cell>
          <cell r="K123">
            <v>-1857.0692078459574</v>
          </cell>
          <cell r="L123">
            <v>-1313.6909483945847</v>
          </cell>
          <cell r="M123">
            <v>-451.03126009569723</v>
          </cell>
          <cell r="N123">
            <v>-10081.632425885655</v>
          </cell>
        </row>
        <row r="124">
          <cell r="E124" t="str">
            <v>FY2010</v>
          </cell>
          <cell r="F124" t="str">
            <v>FY2011</v>
          </cell>
          <cell r="G124" t="str">
            <v>Fy2012E</v>
          </cell>
          <cell r="H124" t="str">
            <v>FY2013E</v>
          </cell>
          <cell r="I124" t="str">
            <v>FY2014E</v>
          </cell>
          <cell r="J124" t="str">
            <v>FY2015E</v>
          </cell>
          <cell r="K124" t="str">
            <v>FY2016E</v>
          </cell>
          <cell r="L124" t="str">
            <v>FY2017E</v>
          </cell>
          <cell r="M124" t="str">
            <v>FY2018E</v>
          </cell>
        </row>
        <row r="125">
          <cell r="A125">
            <v>0.95</v>
          </cell>
          <cell r="D125" t="str">
            <v>Gleevec/ Tasigna</v>
          </cell>
          <cell r="E125">
            <v>0</v>
          </cell>
          <cell r="F125">
            <v>0</v>
          </cell>
          <cell r="G125">
            <v>0</v>
          </cell>
          <cell r="H125">
            <v>0</v>
          </cell>
          <cell r="I125">
            <v>0</v>
          </cell>
          <cell r="J125">
            <v>-894.97874776049184</v>
          </cell>
          <cell r="K125">
            <v>-1538.6557718024264</v>
          </cell>
          <cell r="L125">
            <v>-613.82995222328873</v>
          </cell>
          <cell r="M125">
            <v>-84.264070406516524</v>
          </cell>
          <cell r="N125">
            <v>0</v>
          </cell>
          <cell r="O125">
            <v>-3131.7285421927236</v>
          </cell>
        </row>
        <row r="126">
          <cell r="D126" t="str">
            <v>Diovan</v>
          </cell>
          <cell r="E126">
            <v>38</v>
          </cell>
          <cell r="F126">
            <v>-368.59999999999997</v>
          </cell>
          <cell r="G126">
            <v>-1185.5999999999999</v>
          </cell>
          <cell r="H126">
            <v>-848.34999999999991</v>
          </cell>
          <cell r="I126">
            <v>-1234.7511341302711</v>
          </cell>
          <cell r="J126">
            <v>-1030.7029664674324</v>
          </cell>
          <cell r="K126">
            <v>-97.775902958160941</v>
          </cell>
          <cell r="L126">
            <v>-84.32808275108944</v>
          </cell>
          <cell r="M126">
            <v>-73.802662058513334</v>
          </cell>
          <cell r="N126">
            <v>0</v>
          </cell>
          <cell r="O126">
            <v>-4885.910748365468</v>
          </cell>
        </row>
        <row r="127">
          <cell r="D127" t="str">
            <v>Exforge</v>
          </cell>
          <cell r="E127">
            <v>0</v>
          </cell>
          <cell r="F127">
            <v>0</v>
          </cell>
          <cell r="G127">
            <v>0</v>
          </cell>
          <cell r="H127">
            <v>98.8</v>
          </cell>
          <cell r="I127">
            <v>-7.8235591114457854</v>
          </cell>
          <cell r="J127">
            <v>-193.00244408885533</v>
          </cell>
          <cell r="K127">
            <v>-47.651040160014958</v>
          </cell>
          <cell r="L127">
            <v>-359.82956699190515</v>
          </cell>
          <cell r="M127">
            <v>-46.056700689433342</v>
          </cell>
          <cell r="N127">
            <v>0</v>
          </cell>
          <cell r="O127">
            <v>-555.56331104165452</v>
          </cell>
        </row>
        <row r="128">
          <cell r="D128" t="str">
            <v>Zometa</v>
          </cell>
          <cell r="E128">
            <v>0</v>
          </cell>
          <cell r="F128">
            <v>0</v>
          </cell>
          <cell r="G128">
            <v>0</v>
          </cell>
          <cell r="H128">
            <v>-653.6</v>
          </cell>
          <cell r="I128">
            <v>-315.55054392319278</v>
          </cell>
          <cell r="J128">
            <v>-40.079293411521078</v>
          </cell>
          <cell r="K128">
            <v>-45.059032533057213</v>
          </cell>
          <cell r="L128">
            <v>-33.862226026445782</v>
          </cell>
          <cell r="M128">
            <v>-13.544890410578319</v>
          </cell>
          <cell r="N128">
            <v>0</v>
          </cell>
          <cell r="O128">
            <v>-1101.6959863047953</v>
          </cell>
        </row>
        <row r="129">
          <cell r="D129" t="str">
            <v>Sandostatin</v>
          </cell>
          <cell r="E129">
            <v>129.19999999999999</v>
          </cell>
          <cell r="F129">
            <v>144.4</v>
          </cell>
          <cell r="G129">
            <v>65.55</v>
          </cell>
          <cell r="H129">
            <v>73.149999999999991</v>
          </cell>
          <cell r="I129">
            <v>34.037116331325294</v>
          </cell>
          <cell r="J129">
            <v>53.052613489939766</v>
          </cell>
          <cell r="K129">
            <v>-35.074000000000069</v>
          </cell>
          <cell r="L129">
            <v>-156.15657298212651</v>
          </cell>
          <cell r="M129">
            <v>-210.81137352587081</v>
          </cell>
          <cell r="O129">
            <v>97.347783313267712</v>
          </cell>
        </row>
        <row r="130">
          <cell r="O130">
            <v>-9577.5508045913739</v>
          </cell>
        </row>
        <row r="131">
          <cell r="E131" t="str">
            <v>FY2010</v>
          </cell>
          <cell r="F131" t="str">
            <v>FY2011</v>
          </cell>
          <cell r="G131" t="str">
            <v>Fy2012E</v>
          </cell>
          <cell r="H131" t="str">
            <v>FY2013E</v>
          </cell>
          <cell r="I131" t="str">
            <v>FY2014E</v>
          </cell>
          <cell r="J131" t="str">
            <v>FY2015E</v>
          </cell>
          <cell r="K131" t="str">
            <v>FY2016E</v>
          </cell>
          <cell r="L131" t="str">
            <v>FY2017E</v>
          </cell>
          <cell r="M131" t="str">
            <v>FY2018E</v>
          </cell>
        </row>
        <row r="132">
          <cell r="D132" t="str">
            <v>Gleevec/ Tasigna</v>
          </cell>
          <cell r="E132">
            <v>0</v>
          </cell>
          <cell r="F132">
            <v>0</v>
          </cell>
          <cell r="G132">
            <v>0</v>
          </cell>
          <cell r="H132">
            <v>0</v>
          </cell>
          <cell r="I132">
            <v>0</v>
          </cell>
          <cell r="J132">
            <v>-894.97874776049184</v>
          </cell>
          <cell r="K132">
            <v>-2433.6345195629183</v>
          </cell>
          <cell r="L132">
            <v>-3047.464471786207</v>
          </cell>
          <cell r="M132">
            <v>-3131.7285421927236</v>
          </cell>
        </row>
        <row r="133">
          <cell r="D133" t="str">
            <v>Diovan</v>
          </cell>
          <cell r="E133">
            <v>38</v>
          </cell>
          <cell r="F133">
            <v>-330.59999999999997</v>
          </cell>
          <cell r="G133">
            <v>-1516.1999999999998</v>
          </cell>
          <cell r="H133">
            <v>-2364.5499999999997</v>
          </cell>
          <cell r="I133">
            <v>-3599.3011341302708</v>
          </cell>
          <cell r="J133">
            <v>-4630.0041005977037</v>
          </cell>
          <cell r="K133">
            <v>-4727.7800035558648</v>
          </cell>
          <cell r="L133">
            <v>-4812.1080863069546</v>
          </cell>
          <cell r="M133">
            <v>-4885.910748365468</v>
          </cell>
        </row>
        <row r="134">
          <cell r="D134" t="str">
            <v>Exforge</v>
          </cell>
          <cell r="E134">
            <v>0</v>
          </cell>
          <cell r="F134">
            <v>0</v>
          </cell>
          <cell r="G134">
            <v>0</v>
          </cell>
          <cell r="H134">
            <v>98.8</v>
          </cell>
          <cell r="I134">
            <v>90.976440888554208</v>
          </cell>
          <cell r="J134">
            <v>-102.02600320030112</v>
          </cell>
          <cell r="K134">
            <v>-149.67704336031608</v>
          </cell>
          <cell r="L134">
            <v>-509.50661035222123</v>
          </cell>
          <cell r="M134">
            <v>-555.56331104165452</v>
          </cell>
        </row>
        <row r="135">
          <cell r="D135" t="str">
            <v>Zometa</v>
          </cell>
          <cell r="E135">
            <v>0</v>
          </cell>
          <cell r="F135">
            <v>0</v>
          </cell>
          <cell r="G135">
            <v>0</v>
          </cell>
          <cell r="H135">
            <v>-653.6</v>
          </cell>
          <cell r="I135">
            <v>-969.1505439231928</v>
          </cell>
          <cell r="J135">
            <v>-1009.2298373347139</v>
          </cell>
          <cell r="K135">
            <v>-1054.2888698677712</v>
          </cell>
          <cell r="L135">
            <v>-1088.151095894217</v>
          </cell>
          <cell r="M135">
            <v>-1101.6959863047953</v>
          </cell>
        </row>
        <row r="136">
          <cell r="D136" t="str">
            <v>Sandostatin</v>
          </cell>
          <cell r="E136">
            <v>129.19999999999999</v>
          </cell>
          <cell r="F136">
            <v>273.60000000000002</v>
          </cell>
          <cell r="G136">
            <v>339.15000000000003</v>
          </cell>
          <cell r="H136">
            <v>412.3</v>
          </cell>
          <cell r="I136">
            <v>446.33711633132532</v>
          </cell>
          <cell r="J136">
            <v>499.38972982126506</v>
          </cell>
          <cell r="K136">
            <v>464.31572982126499</v>
          </cell>
          <cell r="L136">
            <v>308.15915683913852</v>
          </cell>
          <cell r="M136">
            <v>97.347783313267712</v>
          </cell>
        </row>
      </sheetData>
      <sheetData sheetId="10"/>
      <sheetData sheetId="11" refreshError="1">
        <row r="1">
          <cell r="DM1" t="str">
            <v>ElementName</v>
          </cell>
          <cell r="DN1" t="str">
            <v>ScaleOverride</v>
          </cell>
          <cell r="DO1" t="str">
            <v>UnitOverride</v>
          </cell>
          <cell r="DP1" t="str">
            <v>ReverseSign</v>
          </cell>
          <cell r="DQ1" t="str">
            <v>IsDrivingAssumption</v>
          </cell>
          <cell r="DR1" t="str">
            <v>SegmentID</v>
          </cell>
        </row>
        <row r="2">
          <cell r="A2" t="str">
            <v>NOVARTIS</v>
          </cell>
        </row>
        <row r="3">
          <cell r="A3" t="str">
            <v>Quarterly Sales Forecast</v>
          </cell>
          <cell r="CA3" t="str">
            <v>Morgan Stanley Equity Research: Pharmaceuticals</v>
          </cell>
          <cell r="CP3" t="str">
            <v>Patent Expiry</v>
          </cell>
        </row>
        <row r="4">
          <cell r="A4" t="str">
            <v>in USD mlns</v>
          </cell>
          <cell r="B4" t="str">
            <v>Q104A</v>
          </cell>
          <cell r="C4" t="str">
            <v>Q204A</v>
          </cell>
          <cell r="D4" t="str">
            <v>H104A</v>
          </cell>
          <cell r="E4" t="str">
            <v>Q304A</v>
          </cell>
          <cell r="F4" t="str">
            <v>9M03A</v>
          </cell>
          <cell r="G4" t="str">
            <v>Q404</v>
          </cell>
          <cell r="H4">
            <v>2004</v>
          </cell>
          <cell r="I4" t="str">
            <v>Q105</v>
          </cell>
          <cell r="J4" t="str">
            <v>Q205</v>
          </cell>
          <cell r="K4" t="str">
            <v>H105</v>
          </cell>
          <cell r="L4" t="str">
            <v>Q305</v>
          </cell>
          <cell r="M4" t="str">
            <v>9M05</v>
          </cell>
          <cell r="N4" t="str">
            <v>Q405</v>
          </cell>
          <cell r="O4">
            <v>2005</v>
          </cell>
          <cell r="P4" t="str">
            <v>Q106</v>
          </cell>
          <cell r="Q4" t="str">
            <v>Q206</v>
          </cell>
          <cell r="R4" t="str">
            <v>H106</v>
          </cell>
          <cell r="S4" t="str">
            <v>Q306</v>
          </cell>
          <cell r="T4" t="str">
            <v>9M06</v>
          </cell>
          <cell r="U4" t="str">
            <v>Q406</v>
          </cell>
          <cell r="V4">
            <v>2006</v>
          </cell>
          <cell r="W4" t="str">
            <v>Q107</v>
          </cell>
          <cell r="X4" t="str">
            <v>Q207</v>
          </cell>
          <cell r="Y4" t="str">
            <v>H107</v>
          </cell>
          <cell r="Z4" t="str">
            <v>Q307</v>
          </cell>
          <cell r="AA4" t="str">
            <v>9M07</v>
          </cell>
          <cell r="AB4" t="str">
            <v>Q407A</v>
          </cell>
          <cell r="AC4">
            <v>2007</v>
          </cell>
          <cell r="AD4" t="str">
            <v>Q108</v>
          </cell>
          <cell r="AE4" t="str">
            <v>Q208</v>
          </cell>
          <cell r="AF4" t="str">
            <v>H108</v>
          </cell>
          <cell r="AG4" t="str">
            <v>Q308</v>
          </cell>
          <cell r="AH4" t="str">
            <v>9M08</v>
          </cell>
          <cell r="AI4" t="str">
            <v>Q408</v>
          </cell>
          <cell r="AJ4">
            <v>2008</v>
          </cell>
          <cell r="AK4" t="str">
            <v>Q109</v>
          </cell>
          <cell r="AL4" t="str">
            <v>Q209</v>
          </cell>
          <cell r="AM4" t="str">
            <v>H109</v>
          </cell>
          <cell r="AN4" t="str">
            <v>Q309</v>
          </cell>
          <cell r="AO4" t="str">
            <v>9M09</v>
          </cell>
          <cell r="AP4" t="str">
            <v>Q409</v>
          </cell>
          <cell r="AQ4">
            <v>2009</v>
          </cell>
          <cell r="AR4" t="str">
            <v>Q110</v>
          </cell>
          <cell r="AS4" t="str">
            <v>Q210</v>
          </cell>
          <cell r="AT4" t="str">
            <v>H110</v>
          </cell>
          <cell r="AU4" t="str">
            <v>Q310</v>
          </cell>
          <cell r="AV4" t="str">
            <v>9M10</v>
          </cell>
          <cell r="AW4" t="str">
            <v>Q410</v>
          </cell>
          <cell r="AX4">
            <v>2010</v>
          </cell>
          <cell r="AY4" t="str">
            <v>Q111</v>
          </cell>
          <cell r="AZ4" t="str">
            <v>Q211</v>
          </cell>
          <cell r="BA4" t="str">
            <v>H111</v>
          </cell>
          <cell r="BB4" t="str">
            <v>Q311</v>
          </cell>
          <cell r="BC4" t="str">
            <v>9M11</v>
          </cell>
          <cell r="BD4" t="str">
            <v>Q411</v>
          </cell>
          <cell r="BE4">
            <v>2011</v>
          </cell>
          <cell r="BF4" t="str">
            <v>Q112</v>
          </cell>
          <cell r="BG4" t="str">
            <v>Q212</v>
          </cell>
          <cell r="BH4" t="str">
            <v>H112</v>
          </cell>
          <cell r="BI4" t="str">
            <v>Q312</v>
          </cell>
          <cell r="BJ4" t="str">
            <v>9M12A</v>
          </cell>
          <cell r="BK4" t="str">
            <v>Q412</v>
          </cell>
          <cell r="BL4">
            <v>2012</v>
          </cell>
          <cell r="BM4" t="str">
            <v>1Q13</v>
          </cell>
          <cell r="BN4" t="str">
            <v>2Q13</v>
          </cell>
          <cell r="BO4" t="str">
            <v>H113</v>
          </cell>
          <cell r="BP4" t="str">
            <v>3Q13</v>
          </cell>
          <cell r="BQ4" t="str">
            <v>9M13</v>
          </cell>
          <cell r="BR4" t="str">
            <v>4Q13</v>
          </cell>
          <cell r="BS4">
            <v>2013</v>
          </cell>
          <cell r="BT4" t="str">
            <v>1Q14e</v>
          </cell>
          <cell r="BU4" t="str">
            <v>2Q14e</v>
          </cell>
          <cell r="BV4" t="str">
            <v>H114e</v>
          </cell>
          <cell r="BW4" t="str">
            <v>3Q14e</v>
          </cell>
          <cell r="BX4" t="str">
            <v>9M14e</v>
          </cell>
          <cell r="BY4" t="str">
            <v>4Q14e</v>
          </cell>
          <cell r="BZ4" t="str">
            <v>2014E</v>
          </cell>
          <cell r="CA4" t="str">
            <v>2015E</v>
          </cell>
          <cell r="CB4" t="str">
            <v>2016E</v>
          </cell>
          <cell r="CC4" t="str">
            <v>2017E</v>
          </cell>
          <cell r="CD4" t="str">
            <v>2018E</v>
          </cell>
          <cell r="CE4" t="str">
            <v>2019E</v>
          </cell>
          <cell r="CF4" t="str">
            <v>2020E</v>
          </cell>
          <cell r="CG4" t="str">
            <v>2021E</v>
          </cell>
          <cell r="CH4" t="str">
            <v>2022E</v>
          </cell>
          <cell r="CI4" t="str">
            <v>2023E</v>
          </cell>
          <cell r="CJ4" t="str">
            <v>2024E</v>
          </cell>
          <cell r="CL4" t="str">
            <v>Total</v>
          </cell>
          <cell r="CM4" t="str">
            <v>%</v>
          </cell>
          <cell r="CN4" t="str">
            <v>ROW</v>
          </cell>
          <cell r="CO4" t="str">
            <v>Medicare</v>
          </cell>
          <cell r="CQ4" t="str">
            <v>Q1 05A</v>
          </cell>
          <cell r="CR4" t="str">
            <v>Q2 05A</v>
          </cell>
          <cell r="CS4" t="str">
            <v>Q3 05A</v>
          </cell>
          <cell r="CT4" t="str">
            <v>Q4 05A</v>
          </cell>
          <cell r="CU4" t="str">
            <v>2005A</v>
          </cell>
          <cell r="CV4" t="str">
            <v>Q1 06A</v>
          </cell>
          <cell r="CW4" t="str">
            <v>Q2 06A</v>
          </cell>
          <cell r="CX4" t="str">
            <v>Q3 06A</v>
          </cell>
          <cell r="CY4" t="str">
            <v>Q4 06A</v>
          </cell>
          <cell r="CZ4" t="str">
            <v>2006A</v>
          </cell>
          <cell r="DA4" t="str">
            <v>Q107A</v>
          </cell>
          <cell r="DB4" t="str">
            <v>Q207A</v>
          </cell>
          <cell r="DC4" t="str">
            <v>Q307E</v>
          </cell>
          <cell r="DD4" t="str">
            <v>Q407E</v>
          </cell>
          <cell r="DE4" t="str">
            <v>2007E</v>
          </cell>
          <cell r="DF4" t="str">
            <v>2008E</v>
          </cell>
          <cell r="DG4" t="str">
            <v>2009E</v>
          </cell>
          <cell r="DH4" t="str">
            <v>2010E</v>
          </cell>
          <cell r="DI4" t="str">
            <v>2011E</v>
          </cell>
          <cell r="DJ4" t="str">
            <v>2012E</v>
          </cell>
          <cell r="DK4" t="str">
            <v>2013E</v>
          </cell>
        </row>
        <row r="5">
          <cell r="A5" t="str">
            <v>$ / Euro Rate</v>
          </cell>
          <cell r="B5">
            <v>1.2501815384615382</v>
          </cell>
          <cell r="C5">
            <v>1.2049384615384617</v>
          </cell>
          <cell r="E5">
            <v>1.222330303030303</v>
          </cell>
          <cell r="G5">
            <v>1.2981439393939398</v>
          </cell>
          <cell r="I5">
            <v>1.3108117187500004</v>
          </cell>
          <cell r="J5">
            <v>1.2588753846153846</v>
          </cell>
          <cell r="L5">
            <v>1.2197280303030305</v>
          </cell>
          <cell r="N5">
            <v>1.1885392307692308</v>
          </cell>
          <cell r="P5">
            <v>1.2025446153846155</v>
          </cell>
          <cell r="Q5">
            <v>1.2572519207129955</v>
          </cell>
          <cell r="S5">
            <v>1.2742923524280194</v>
          </cell>
          <cell r="U5">
            <v>1.2892228905385539</v>
          </cell>
          <cell r="V5">
            <v>1.2549267662232595</v>
          </cell>
          <cell r="W5">
            <v>1.3104772052360063</v>
          </cell>
          <cell r="X5">
            <v>1.3484894625380026</v>
          </cell>
          <cell r="Z5">
            <v>1.374211421777767</v>
          </cell>
          <cell r="AB5">
            <v>1.4476465955524911</v>
          </cell>
          <cell r="AC5">
            <v>1.3686890250514219</v>
          </cell>
          <cell r="AD5">
            <v>1.4975380427347396</v>
          </cell>
          <cell r="AE5">
            <v>1.5621756386376311</v>
          </cell>
          <cell r="AG5">
            <v>1.5009999999999999</v>
          </cell>
          <cell r="AI5">
            <v>1.3180414370222995</v>
          </cell>
          <cell r="AJ5">
            <v>1.4696887795986673</v>
          </cell>
          <cell r="AK5">
            <v>1.30338981891265</v>
          </cell>
          <cell r="AL5">
            <v>1.3611054399802092</v>
          </cell>
          <cell r="AN5">
            <v>1.4299206955520591</v>
          </cell>
          <cell r="AP5">
            <v>1.4763422187931554</v>
          </cell>
          <cell r="AQ5">
            <v>1.3926895433095186</v>
          </cell>
          <cell r="AR5">
            <v>1.3829397661847229</v>
          </cell>
          <cell r="AS5">
            <v>1.2728944735978358</v>
          </cell>
          <cell r="AU5">
            <v>1.2923041322456521</v>
          </cell>
          <cell r="AW5">
            <v>1.3566703927753538</v>
          </cell>
          <cell r="AX5">
            <v>1.3262021912008912</v>
          </cell>
          <cell r="AY5">
            <v>1.3655784782298817</v>
          </cell>
          <cell r="AZ5">
            <v>1.4392673740468582</v>
          </cell>
          <cell r="BB5">
            <v>1.413</v>
          </cell>
          <cell r="BC5">
            <v>1.4059999999999999</v>
          </cell>
          <cell r="BD5">
            <v>1.36</v>
          </cell>
          <cell r="BE5">
            <v>1.3944614630691852</v>
          </cell>
          <cell r="BF5">
            <v>1.31</v>
          </cell>
          <cell r="BG5">
            <v>1.2829999999999999</v>
          </cell>
          <cell r="BH5">
            <v>1.2969999999999999</v>
          </cell>
          <cell r="BI5">
            <v>1.252</v>
          </cell>
          <cell r="BJ5">
            <v>1.2816666666666667</v>
          </cell>
          <cell r="BK5">
            <v>1.2976000000000001</v>
          </cell>
          <cell r="BL5">
            <v>1.286</v>
          </cell>
          <cell r="BM5">
            <v>1.32</v>
          </cell>
          <cell r="BN5">
            <v>1.3069999999999999</v>
          </cell>
          <cell r="BO5">
            <v>1.3129999999999999</v>
          </cell>
          <cell r="BP5">
            <v>1.325</v>
          </cell>
          <cell r="BQ5">
            <v>1.3173333333333332</v>
          </cell>
          <cell r="BR5">
            <v>1.361</v>
          </cell>
          <cell r="BS5">
            <v>1.3280000000000001</v>
          </cell>
          <cell r="BT5">
            <v>1.3532999999999999</v>
          </cell>
          <cell r="BU5">
            <v>1.3532999999999999</v>
          </cell>
          <cell r="BV5">
            <v>1.3532999999999999</v>
          </cell>
          <cell r="BW5">
            <v>1.3532999999999999</v>
          </cell>
          <cell r="BX5">
            <v>1.3532999999999999</v>
          </cell>
          <cell r="BY5">
            <v>1.3532999999999999</v>
          </cell>
          <cell r="BZ5">
            <v>1.3532999999999999</v>
          </cell>
          <cell r="CA5">
            <v>1.3532999999999999</v>
          </cell>
          <cell r="CB5">
            <v>1.3532999999999999</v>
          </cell>
          <cell r="CC5">
            <v>1.3532999999999999</v>
          </cell>
          <cell r="CD5">
            <v>1.3532999999999999</v>
          </cell>
          <cell r="CE5">
            <v>1.3532999999999999</v>
          </cell>
          <cell r="CF5">
            <v>1.3532999999999999</v>
          </cell>
          <cell r="CG5">
            <v>1.3532999999999999</v>
          </cell>
          <cell r="CH5">
            <v>1.3532999999999999</v>
          </cell>
          <cell r="CI5">
            <v>1.3532999999999999</v>
          </cell>
          <cell r="CJ5">
            <v>1.3532999999999999</v>
          </cell>
          <cell r="CL5" t="str">
            <v>EU</v>
          </cell>
          <cell r="CM5">
            <v>0.35</v>
          </cell>
          <cell r="CN5">
            <v>0.54</v>
          </cell>
        </row>
        <row r="6">
          <cell r="A6" t="str">
            <v>$ / Yen Rate</v>
          </cell>
          <cell r="I6">
            <v>9.5659808428773946E-3</v>
          </cell>
          <cell r="J6">
            <v>9.2984664470165575E-3</v>
          </cell>
          <cell r="L6">
            <v>8.9927996680525465E-3</v>
          </cell>
          <cell r="N6">
            <v>8.5273523025136289E-3</v>
          </cell>
          <cell r="P6">
            <v>8.5545618190202097E-3</v>
          </cell>
          <cell r="Q6">
            <v>8.7443573494419575E-3</v>
          </cell>
          <cell r="S6">
            <v>8.6037844545148647E-3</v>
          </cell>
          <cell r="U6">
            <v>8.4907773429917458E-3</v>
          </cell>
          <cell r="V6">
            <v>8.5973632600991473E-3</v>
          </cell>
          <cell r="W6">
            <v>8.3775086593225728E-3</v>
          </cell>
          <cell r="X6">
            <v>8.2792687393662533E-3</v>
          </cell>
          <cell r="Z6">
            <v>8.4887093413970622E-3</v>
          </cell>
          <cell r="AB6">
            <v>8.8362817457501176E-3</v>
          </cell>
          <cell r="AC6">
            <v>8.4916047308817785E-3</v>
          </cell>
          <cell r="AD6">
            <v>9.4949837575725622E-3</v>
          </cell>
          <cell r="AE6">
            <v>9.5597935940023426E-3</v>
          </cell>
          <cell r="AG6">
            <v>9.2899999999999996E-3</v>
          </cell>
          <cell r="AI6">
            <v>1.0414841987348199E-2</v>
          </cell>
          <cell r="AJ6">
            <v>9.689904834730775E-3</v>
          </cell>
          <cell r="AK6">
            <v>1.0675188980420936E-2</v>
          </cell>
          <cell r="AL6">
            <v>1.0265610765312358E-2</v>
          </cell>
          <cell r="AN6">
            <v>1.0688163883751055E-2</v>
          </cell>
          <cell r="AP6">
            <v>1.1129031836377184E-2</v>
          </cell>
          <cell r="AQ6">
            <v>1.0689498866465384E-2</v>
          </cell>
          <cell r="AR6">
            <v>1.1022283337336052E-2</v>
          </cell>
          <cell r="AS6">
            <v>1.0839302934689776E-2</v>
          </cell>
          <cell r="AU6">
            <v>1.1662271238765207E-2</v>
          </cell>
          <cell r="AW6">
            <v>1.2113681449932226E-2</v>
          </cell>
          <cell r="AX6">
            <v>1.1409384740180816E-2</v>
          </cell>
          <cell r="AY6">
            <v>1.2155726947183473E-2</v>
          </cell>
          <cell r="AZ6">
            <v>1.2260195790957006E-2</v>
          </cell>
          <cell r="BB6">
            <v>1.2869999999999999E-2</v>
          </cell>
          <cell r="BC6">
            <v>8.0515297906602265E-3</v>
          </cell>
          <cell r="BD6">
            <v>1.2345679012345678E-2</v>
          </cell>
          <cell r="BE6">
            <v>1.2407900437621539E-2</v>
          </cell>
          <cell r="BF6">
            <v>1.2613579400000002E-2</v>
          </cell>
          <cell r="BG6">
            <v>1.2487626E-2</v>
          </cell>
          <cell r="BH6">
            <v>1.25506027E-2</v>
          </cell>
          <cell r="BI6">
            <v>1.2719118600000001E-2</v>
          </cell>
          <cell r="BJ6">
            <v>1.2606774666666667E-2</v>
          </cell>
          <cell r="BK6">
            <v>1.2318161599999999E-2</v>
          </cell>
          <cell r="BL6">
            <v>1.2540000000000001E-2</v>
          </cell>
          <cell r="BM6">
            <v>1.0851815600000002E-2</v>
          </cell>
          <cell r="BN6">
            <v>1.0129999999999998E-2</v>
          </cell>
          <cell r="BO6">
            <v>1.0489999999999999E-2</v>
          </cell>
          <cell r="BP6">
            <v>1.0109999999999999E-2</v>
          </cell>
          <cell r="BQ6">
            <v>1.0363938533333334E-2</v>
          </cell>
          <cell r="BR6">
            <v>9.9699999999999997E-3</v>
          </cell>
          <cell r="BS6">
            <v>1.026E-2</v>
          </cell>
          <cell r="BT6">
            <v>9.8580000000000004E-3</v>
          </cell>
          <cell r="BU6">
            <v>9.8580000000000004E-3</v>
          </cell>
          <cell r="BV6">
            <v>9.8580000000000004E-3</v>
          </cell>
          <cell r="BW6">
            <v>9.8580000000000004E-3</v>
          </cell>
          <cell r="BX6">
            <v>9.8580000000000004E-3</v>
          </cell>
          <cell r="BY6">
            <v>9.8580000000000004E-3</v>
          </cell>
          <cell r="BZ6">
            <v>9.8580000000000004E-3</v>
          </cell>
          <cell r="CA6">
            <v>9.8580000000000004E-3</v>
          </cell>
          <cell r="CB6">
            <v>9.8580000000000004E-3</v>
          </cell>
          <cell r="CC6">
            <v>9.8580000000000004E-3</v>
          </cell>
          <cell r="CD6">
            <v>9.8580000000000004E-3</v>
          </cell>
          <cell r="CE6">
            <v>9.8580000000000004E-3</v>
          </cell>
          <cell r="CF6">
            <v>9.8580000000000004E-3</v>
          </cell>
          <cell r="CG6">
            <v>9.8580000000000004E-3</v>
          </cell>
          <cell r="CH6">
            <v>9.8580000000000004E-3</v>
          </cell>
          <cell r="CI6">
            <v>9.8580000000000004E-3</v>
          </cell>
          <cell r="CJ6">
            <v>9.8580000000000004E-3</v>
          </cell>
          <cell r="CL6" t="str">
            <v>US</v>
          </cell>
          <cell r="CM6">
            <v>0.33</v>
          </cell>
        </row>
        <row r="7">
          <cell r="A7" t="str">
            <v>$ / SFr Rate</v>
          </cell>
          <cell r="I7">
            <v>0.84603670667732878</v>
          </cell>
          <cell r="J7">
            <v>0.81488397464457629</v>
          </cell>
          <cell r="L7">
            <v>0.78499049550754041</v>
          </cell>
          <cell r="N7">
            <v>0.76791140474279007</v>
          </cell>
          <cell r="P7">
            <v>0.77109928424073204</v>
          </cell>
          <cell r="Q7">
            <v>0.80420078063695588</v>
          </cell>
          <cell r="S7">
            <v>0.80803007860889564</v>
          </cell>
          <cell r="U7">
            <v>0.80925801326475477</v>
          </cell>
          <cell r="V7">
            <v>0.7978302268068449</v>
          </cell>
          <cell r="W7">
            <v>0.81084536866955892</v>
          </cell>
          <cell r="X7">
            <v>0.81813924049936659</v>
          </cell>
          <cell r="Z7">
            <v>0.83401016465926792</v>
          </cell>
          <cell r="AB7">
            <v>0.87196602822467917</v>
          </cell>
          <cell r="AC7">
            <v>0.83324739844335294</v>
          </cell>
          <cell r="AD7">
            <v>0.93523402009884415</v>
          </cell>
          <cell r="AE7">
            <v>0.97420237326819037</v>
          </cell>
          <cell r="AG7">
            <v>0.93200000000000005</v>
          </cell>
          <cell r="AI7">
            <v>0.86554581306729628</v>
          </cell>
          <cell r="AJ7">
            <v>0.92674555160858263</v>
          </cell>
          <cell r="AK7">
            <v>0.87105701794249024</v>
          </cell>
          <cell r="AL7">
            <v>0.89909555574248434</v>
          </cell>
          <cell r="AN7">
            <v>0.94113890205083184</v>
          </cell>
          <cell r="AP7">
            <v>0.97884887539971499</v>
          </cell>
          <cell r="AQ7">
            <v>0.92253508778388038</v>
          </cell>
          <cell r="AR7">
            <v>0.94548398012069745</v>
          </cell>
          <cell r="AS7">
            <v>0.90168243356001632</v>
          </cell>
          <cell r="AU7">
            <v>0.96994919318967709</v>
          </cell>
          <cell r="AW7">
            <v>1.0270319059387103</v>
          </cell>
          <cell r="AX7">
            <v>0.96103687820227524</v>
          </cell>
          <cell r="AY7">
            <v>1.0607528412951364</v>
          </cell>
          <cell r="AZ7">
            <v>1.1493249897386553</v>
          </cell>
          <cell r="BB7">
            <v>1.214</v>
          </cell>
          <cell r="BC7">
            <v>1.141</v>
          </cell>
          <cell r="BD7">
            <v>1.2048192771084338</v>
          </cell>
          <cell r="BE7">
            <v>1.1572242770355563</v>
          </cell>
          <cell r="BF7">
            <v>1.1363636363636365</v>
          </cell>
          <cell r="BG7">
            <v>1.0680000000000001</v>
          </cell>
          <cell r="BH7">
            <v>1.077</v>
          </cell>
          <cell r="BI7">
            <v>1.04</v>
          </cell>
          <cell r="BJ7">
            <v>1.0814545454545454</v>
          </cell>
          <cell r="BK7">
            <v>1.075</v>
          </cell>
          <cell r="BL7">
            <v>1.0669999999999999</v>
          </cell>
          <cell r="BM7">
            <v>1.075</v>
          </cell>
          <cell r="BN7">
            <v>1.0609999999999999</v>
          </cell>
          <cell r="BO7">
            <v>1.0680000000000001</v>
          </cell>
          <cell r="BP7">
            <v>1.073</v>
          </cell>
          <cell r="BQ7">
            <v>1.0696666666666665</v>
          </cell>
          <cell r="BR7">
            <v>1.107</v>
          </cell>
          <cell r="BS7">
            <v>1.079</v>
          </cell>
          <cell r="BT7">
            <v>1.107</v>
          </cell>
          <cell r="BU7">
            <v>1.107</v>
          </cell>
          <cell r="BV7">
            <v>1.107</v>
          </cell>
          <cell r="BW7">
            <v>1.107</v>
          </cell>
          <cell r="BX7">
            <v>1.107</v>
          </cell>
          <cell r="BY7">
            <v>1.107</v>
          </cell>
          <cell r="BZ7">
            <v>1.107</v>
          </cell>
          <cell r="CA7">
            <v>1.107</v>
          </cell>
          <cell r="CB7">
            <v>1.107</v>
          </cell>
          <cell r="CC7">
            <v>1.107</v>
          </cell>
          <cell r="CD7">
            <v>1.107</v>
          </cell>
          <cell r="CE7">
            <v>1.107</v>
          </cell>
          <cell r="CF7">
            <v>1.107</v>
          </cell>
          <cell r="CG7">
            <v>1.107</v>
          </cell>
          <cell r="CH7">
            <v>1.107</v>
          </cell>
          <cell r="CI7">
            <v>1.107</v>
          </cell>
          <cell r="CJ7">
            <v>1.107</v>
          </cell>
          <cell r="CL7" t="str">
            <v>Japan</v>
          </cell>
          <cell r="CM7">
            <v>0.17</v>
          </cell>
          <cell r="CN7">
            <v>0.33</v>
          </cell>
        </row>
        <row r="8">
          <cell r="CL8" t="str">
            <v>Other</v>
          </cell>
          <cell r="CM8">
            <v>0.14999999999999997</v>
          </cell>
          <cell r="CN8">
            <v>0.12999999999999989</v>
          </cell>
        </row>
        <row r="9">
          <cell r="A9" t="str">
            <v>ROW Currency impact factor:</v>
          </cell>
          <cell r="P9">
            <v>0.91505192608028263</v>
          </cell>
          <cell r="Q9">
            <v>0.99343120067963153</v>
          </cell>
          <cell r="R9">
            <v>0.95424156337995703</v>
          </cell>
          <cell r="S9">
            <v>1.0372582225657931</v>
          </cell>
          <cell r="T9">
            <v>0.98191378310856903</v>
          </cell>
          <cell r="U9">
            <v>1.0740882100326405</v>
          </cell>
          <cell r="V9">
            <v>1.0049573898395869</v>
          </cell>
          <cell r="W9">
            <v>1.0765892204304703</v>
          </cell>
          <cell r="X9">
            <v>1.0552338149794906</v>
          </cell>
          <cell r="Y9">
            <v>1.0659115177049805</v>
          </cell>
          <cell r="Z9">
            <v>1.0645702908572143</v>
          </cell>
          <cell r="AA9">
            <v>1.0654644420890584</v>
          </cell>
          <cell r="AB9">
            <v>1.1096945680395616</v>
          </cell>
          <cell r="AC9">
            <v>1.0765219735766842</v>
          </cell>
          <cell r="AD9">
            <v>1.1444076224488273</v>
          </cell>
          <cell r="AE9">
            <v>1.164731594868903</v>
          </cell>
          <cell r="AF9">
            <v>1.154569608658865</v>
          </cell>
          <cell r="AG9">
            <v>1.0974153104615385</v>
          </cell>
          <cell r="AH9">
            <v>1.1259924595602018</v>
          </cell>
          <cell r="AI9">
            <v>0.94031354977765735</v>
          </cell>
          <cell r="AJ9">
            <v>1.0848424607578555</v>
          </cell>
          <cell r="AK9">
            <v>0.89525692003343738</v>
          </cell>
          <cell r="AL9">
            <v>0.89173871644696501</v>
          </cell>
          <cell r="AM9">
            <v>0.89349781824020114</v>
          </cell>
          <cell r="AN9">
            <v>0.97397026450661095</v>
          </cell>
          <cell r="AO9">
            <v>0.9337340413734061</v>
          </cell>
          <cell r="AP9">
            <v>1.1196867108045792</v>
          </cell>
          <cell r="AQ9">
            <v>0.96495561507499616</v>
          </cell>
          <cell r="AR9">
            <v>1.0644894300534296</v>
          </cell>
          <cell r="AS9">
            <v>0.95476343754952331</v>
          </cell>
          <cell r="AT9">
            <v>1.0096264338014764</v>
          </cell>
          <cell r="AU9">
            <v>0.93849885339888117</v>
          </cell>
          <cell r="AV9">
            <v>0.9740626436001788</v>
          </cell>
          <cell r="AW9">
            <v>0.95347386465405992</v>
          </cell>
          <cell r="AX9">
            <v>0.97590902124283496</v>
          </cell>
          <cell r="AY9">
            <v>1.0201092139831827</v>
          </cell>
          <cell r="AZ9">
            <v>1.1595116471092393</v>
          </cell>
          <cell r="BA9">
            <v>1.0898104305462111</v>
          </cell>
          <cell r="BB9">
            <v>1.1255472229017729</v>
          </cell>
          <cell r="BC9">
            <v>1.1076788267239919</v>
          </cell>
          <cell r="BD9">
            <v>1.0374198585301018</v>
          </cell>
          <cell r="BE9">
            <v>1.0838064286917315</v>
          </cell>
          <cell r="BF9">
            <v>0.98561465224730949</v>
          </cell>
          <cell r="BG9">
            <v>0.90534504485888301</v>
          </cell>
          <cell r="BH9">
            <v>0.94547984855309619</v>
          </cell>
          <cell r="BI9">
            <v>0.88529178122193319</v>
          </cell>
          <cell r="BJ9">
            <v>0.91538581488751469</v>
          </cell>
          <cell r="BK9">
            <v>0.94392678977411759</v>
          </cell>
          <cell r="BL9">
            <v>0.94681689149634107</v>
          </cell>
          <cell r="BM9">
            <v>0.95101037902551122</v>
          </cell>
          <cell r="BN9">
            <v>0.94694626370725876</v>
          </cell>
          <cell r="BO9">
            <v>0.94897832136638494</v>
          </cell>
          <cell r="BP9">
            <v>0.96791653467226269</v>
          </cell>
          <cell r="BQ9">
            <v>0.95529105913501089</v>
          </cell>
          <cell r="BR9">
            <v>0.9673472884712484</v>
          </cell>
          <cell r="BS9">
            <v>0.95909812398244509</v>
          </cell>
          <cell r="BT9">
            <v>0.98727090230197789</v>
          </cell>
          <cell r="BU9">
            <v>1.015904686543684</v>
          </cell>
          <cell r="BV9">
            <v>1.0015877944228309</v>
          </cell>
          <cell r="BW9">
            <v>1.0074273573233252</v>
          </cell>
          <cell r="BX9">
            <v>1.0035343153896623</v>
          </cell>
          <cell r="BY9">
            <v>0.99323777209659836</v>
          </cell>
          <cell r="BZ9">
            <v>1.0007313200169097</v>
          </cell>
          <cell r="CA9">
            <v>1</v>
          </cell>
          <cell r="CB9">
            <v>1</v>
          </cell>
          <cell r="CC9">
            <v>1</v>
          </cell>
          <cell r="CD9">
            <v>1</v>
          </cell>
          <cell r="CE9">
            <v>1</v>
          </cell>
          <cell r="CF9">
            <v>1</v>
          </cell>
          <cell r="CG9">
            <v>1</v>
          </cell>
          <cell r="CH9">
            <v>1</v>
          </cell>
          <cell r="CI9">
            <v>1</v>
          </cell>
          <cell r="CJ9">
            <v>1</v>
          </cell>
        </row>
        <row r="10">
          <cell r="A10" t="str">
            <v>Europe Currency impact factor:</v>
          </cell>
          <cell r="B10" t="str">
            <v>Europe Currency impact factor:</v>
          </cell>
          <cell r="C10" t="str">
            <v>Europe Currency impact factor:</v>
          </cell>
          <cell r="D10" t="str">
            <v>Europe Currency impact factor:</v>
          </cell>
          <cell r="E10" t="str">
            <v>Europe Currency impact factor:</v>
          </cell>
          <cell r="F10" t="str">
            <v>Europe Currency impact factor:</v>
          </cell>
          <cell r="G10" t="str">
            <v>Europe Currency impact factor:</v>
          </cell>
          <cell r="P10" t="str">
            <v>Europe Currency impact factor:</v>
          </cell>
          <cell r="Q10" t="str">
            <v>Europe Currency impact factor:</v>
          </cell>
          <cell r="R10" t="str">
            <v>Europe Currency impact factor:</v>
          </cell>
          <cell r="S10" t="str">
            <v>Europe Currency impact factor:</v>
          </cell>
          <cell r="T10" t="str">
            <v>Europe Currency impact factor:</v>
          </cell>
          <cell r="U10" t="str">
            <v>Europe Currency impact factor:</v>
          </cell>
          <cell r="W10" t="str">
            <v>Europe Currency impact factor:</v>
          </cell>
          <cell r="X10" t="str">
            <v>Europe Currency impact factor:</v>
          </cell>
          <cell r="Y10" t="str">
            <v>Europe Currency impact factor:</v>
          </cell>
          <cell r="Z10" t="str">
            <v>Europe Currency impact factor:</v>
          </cell>
          <cell r="AA10" t="str">
            <v>Europe Currency impact factor:</v>
          </cell>
          <cell r="AB10" t="str">
            <v>Europe Currency impact factor:</v>
          </cell>
          <cell r="AD10" t="str">
            <v>Europe Currency impact factor:</v>
          </cell>
          <cell r="AE10" t="str">
            <v>Europe Currency impact factor:</v>
          </cell>
          <cell r="AF10" t="str">
            <v>Europe Currency impact factor:</v>
          </cell>
          <cell r="AG10" t="str">
            <v>Europe Currency impact factor:</v>
          </cell>
          <cell r="AH10" t="str">
            <v>Europe Currency impact factor:</v>
          </cell>
          <cell r="AI10" t="str">
            <v>Europe Currency impact factor:</v>
          </cell>
          <cell r="AK10" t="str">
            <v>Europe Currency impact factor:</v>
          </cell>
          <cell r="AL10" t="str">
            <v>Europe Currency impact factor:</v>
          </cell>
          <cell r="AM10" t="str">
            <v>Europe Currency impact factor:</v>
          </cell>
          <cell r="AN10" t="str">
            <v>Europe Currency impact factor:</v>
          </cell>
          <cell r="AO10" t="str">
            <v>Europe Currency impact factor:</v>
          </cell>
          <cell r="AP10">
            <v>1.1201030387394244</v>
          </cell>
          <cell r="AQ10">
            <v>0.94760847510166391</v>
          </cell>
          <cell r="AR10">
            <v>1.0610331200365193</v>
          </cell>
          <cell r="AS10">
            <v>0.93519167303919093</v>
          </cell>
          <cell r="AU10">
            <v>0.90375930376105473</v>
          </cell>
          <cell r="AW10">
            <v>0.91894032122469005</v>
          </cell>
          <cell r="AX10">
            <v>0.95225974631027233</v>
          </cell>
          <cell r="AY10">
            <v>0.98744609969330921</v>
          </cell>
          <cell r="AZ10">
            <v>1.1307043937261896</v>
          </cell>
          <cell r="BB10">
            <v>1.0933958692406356</v>
          </cell>
          <cell r="BD10">
            <v>1.0024542491989044</v>
          </cell>
          <cell r="BE10">
            <v>1.0514697323840827</v>
          </cell>
          <cell r="BF10">
            <v>0.95930041435485669</v>
          </cell>
          <cell r="BG10">
            <v>0.89142575113929412</v>
          </cell>
          <cell r="BH10">
            <v>0.92536308274707535</v>
          </cell>
          <cell r="BI10">
            <v>0.88605803255484783</v>
          </cell>
          <cell r="BJ10">
            <v>0.90571055765096165</v>
          </cell>
          <cell r="BK10">
            <v>0.95411764705882351</v>
          </cell>
          <cell r="BL10">
            <v>0.92221982038107864</v>
          </cell>
          <cell r="BM10">
            <v>1.0076335877862594</v>
          </cell>
          <cell r="BN10">
            <v>1.0187061574434919</v>
          </cell>
          <cell r="BO10">
            <v>1.0131698726148757</v>
          </cell>
          <cell r="BP10">
            <v>1.0583067092651757</v>
          </cell>
          <cell r="BQ10">
            <v>1.0282154848316423</v>
          </cell>
          <cell r="BR10">
            <v>1.0488594327990135</v>
          </cell>
          <cell r="BS10">
            <v>1.0326594090202177</v>
          </cell>
          <cell r="BT10">
            <v>1.0252272727272727</v>
          </cell>
          <cell r="BU10">
            <v>1.035424636572303</v>
          </cell>
          <cell r="BV10">
            <v>1.0303259546497878</v>
          </cell>
          <cell r="BW10">
            <v>1.0213584905660378</v>
          </cell>
          <cell r="BX10">
            <v>1.0273367999552045</v>
          </cell>
          <cell r="BY10">
            <v>0.99434239529757529</v>
          </cell>
          <cell r="BZ10">
            <v>1.019051204819277</v>
          </cell>
          <cell r="CA10">
            <v>1</v>
          </cell>
          <cell r="CB10">
            <v>1</v>
          </cell>
          <cell r="CC10">
            <v>1</v>
          </cell>
          <cell r="CD10">
            <v>1</v>
          </cell>
          <cell r="CE10">
            <v>1</v>
          </cell>
          <cell r="CF10">
            <v>1</v>
          </cell>
          <cell r="CG10">
            <v>1</v>
          </cell>
          <cell r="CH10">
            <v>1</v>
          </cell>
          <cell r="CI10">
            <v>1</v>
          </cell>
          <cell r="CJ10">
            <v>1</v>
          </cell>
        </row>
        <row r="11">
          <cell r="A11" t="str">
            <v>Total currency impact factor:</v>
          </cell>
          <cell r="B11">
            <v>1.0681</v>
          </cell>
          <cell r="C11">
            <v>1.0309999999999999</v>
          </cell>
          <cell r="E11">
            <v>1.0329999999999999</v>
          </cell>
          <cell r="G11">
            <v>1.0309999999999999</v>
          </cell>
          <cell r="I11">
            <v>1.0189999999999999</v>
          </cell>
          <cell r="J11">
            <v>1.0189999999999999</v>
          </cell>
          <cell r="L11">
            <v>1</v>
          </cell>
          <cell r="N11">
            <v>0.96199999999999997</v>
          </cell>
          <cell r="O11">
            <v>1.002</v>
          </cell>
          <cell r="P11">
            <v>0.92114272183146284</v>
          </cell>
          <cell r="Q11">
            <v>0.97765474288473386</v>
          </cell>
          <cell r="R11">
            <v>0.94939873235809835</v>
          </cell>
          <cell r="S11">
            <v>1.0063714016931442</v>
          </cell>
          <cell r="T11">
            <v>0.96838962213644697</v>
          </cell>
          <cell r="U11">
            <v>1.0373871223030551</v>
          </cell>
          <cell r="V11">
            <v>0.9924311539410936</v>
          </cell>
          <cell r="W11">
            <v>1.033346338581433</v>
          </cell>
          <cell r="X11">
            <v>1.0107938051168226</v>
          </cell>
          <cell r="Y11">
            <v>1.0220700718491278</v>
          </cell>
          <cell r="Z11">
            <v>1.0284961691082564</v>
          </cell>
          <cell r="AA11">
            <v>1.0242121042688372</v>
          </cell>
          <cell r="AB11">
            <v>1.0696103634859493</v>
          </cell>
          <cell r="AC11">
            <v>1.0352155741335958</v>
          </cell>
          <cell r="AD11">
            <v>1.120057598622032</v>
          </cell>
          <cell r="AE11">
            <v>1.1389302342830088</v>
          </cell>
          <cell r="AF11">
            <v>1.1294939164525204</v>
          </cell>
          <cell r="AG11">
            <v>1.0834159887124923</v>
          </cell>
          <cell r="AH11">
            <v>1.1064549525825065</v>
          </cell>
          <cell r="AI11">
            <v>1.0263663927738098</v>
          </cell>
          <cell r="AJ11">
            <v>1.0914713959540157</v>
          </cell>
          <cell r="AK11">
            <v>0.98397690746965749</v>
          </cell>
          <cell r="AL11">
            <v>0.96620916197336515</v>
          </cell>
          <cell r="AM11">
            <v>0.97509303472151132</v>
          </cell>
          <cell r="AN11">
            <v>1.0347585162787043</v>
          </cell>
          <cell r="AO11">
            <v>1.0049257755001078</v>
          </cell>
          <cell r="AP11">
            <v>1.0869191738569182</v>
          </cell>
          <cell r="AQ11">
            <v>1.0149328451524728</v>
          </cell>
          <cell r="AR11">
            <v>1.07</v>
          </cell>
          <cell r="AS11">
            <v>0.99624821173843092</v>
          </cell>
          <cell r="AT11">
            <v>1.0331241058692155</v>
          </cell>
          <cell r="AU11">
            <v>1.0015956554243322</v>
          </cell>
          <cell r="AV11">
            <v>1.0173598806467739</v>
          </cell>
          <cell r="AW11">
            <v>1.0091942252511767</v>
          </cell>
          <cell r="AX11">
            <v>1.0126097207868998</v>
          </cell>
          <cell r="AY11">
            <v>1.07</v>
          </cell>
          <cell r="AZ11">
            <v>1.1356949299144454</v>
          </cell>
          <cell r="BA11">
            <v>1.1028474649572226</v>
          </cell>
          <cell r="BB11">
            <v>1.1096369314359977</v>
          </cell>
          <cell r="BC11">
            <v>1.1062421981966102</v>
          </cell>
          <cell r="BD11">
            <v>1.0366073961293902</v>
          </cell>
          <cell r="BE11">
            <v>1.0815990682697043</v>
          </cell>
          <cell r="BF11">
            <v>1.0103024382803589</v>
          </cell>
          <cell r="BG11">
            <v>0.95609159356052065</v>
          </cell>
          <cell r="BH11">
            <v>0.98319701592043973</v>
          </cell>
          <cell r="BI11">
            <v>0.93188582443436918</v>
          </cell>
          <cell r="BJ11">
            <v>0.9575414201774044</v>
          </cell>
          <cell r="BK11">
            <v>0.96488813603858825</v>
          </cell>
          <cell r="BL11">
            <v>0.96303601259966121</v>
          </cell>
          <cell r="BM11">
            <v>0.97892751656021593</v>
          </cell>
          <cell r="BN11">
            <v>0.97445166954215356</v>
          </cell>
          <cell r="BO11">
            <v>0.97668959305118475</v>
          </cell>
          <cell r="BP11">
            <v>0.98553463607233127</v>
          </cell>
          <cell r="BQ11">
            <v>0.97963794072490018</v>
          </cell>
          <cell r="BR11">
            <v>0.9846943852494926</v>
          </cell>
          <cell r="BS11">
            <v>0.9809020518560484</v>
          </cell>
          <cell r="BT11">
            <v>0.99326084633289791</v>
          </cell>
          <cell r="BU11">
            <v>1.007833963372863</v>
          </cell>
          <cell r="BV11">
            <v>1.0005474048528804</v>
          </cell>
          <cell r="BW11">
            <v>1.0032380829740775</v>
          </cell>
          <cell r="BX11">
            <v>1.001444297559946</v>
          </cell>
          <cell r="BY11">
            <v>0.9961101091665886</v>
          </cell>
          <cell r="BZ11">
            <v>0.99814958924767894</v>
          </cell>
          <cell r="CA11">
            <v>1</v>
          </cell>
          <cell r="CB11">
            <v>1</v>
          </cell>
          <cell r="CC11">
            <v>1</v>
          </cell>
          <cell r="CD11">
            <v>1</v>
          </cell>
          <cell r="CE11">
            <v>1</v>
          </cell>
          <cell r="CF11">
            <v>1</v>
          </cell>
          <cell r="CG11">
            <v>1</v>
          </cell>
          <cell r="CH11">
            <v>1</v>
          </cell>
          <cell r="CI11">
            <v>1</v>
          </cell>
          <cell r="CJ11">
            <v>1</v>
          </cell>
        </row>
        <row r="13">
          <cell r="A13" t="str">
            <v>PRIMARY CARE</v>
          </cell>
        </row>
        <row r="15">
          <cell r="A15" t="str">
            <v>Diovan</v>
          </cell>
          <cell r="B15">
            <v>722</v>
          </cell>
          <cell r="C15">
            <v>758</v>
          </cell>
          <cell r="D15">
            <v>1480</v>
          </cell>
          <cell r="E15">
            <v>788</v>
          </cell>
          <cell r="F15">
            <v>2268</v>
          </cell>
          <cell r="G15">
            <v>825</v>
          </cell>
          <cell r="H15">
            <v>3093</v>
          </cell>
          <cell r="I15">
            <v>845</v>
          </cell>
          <cell r="J15">
            <v>912</v>
          </cell>
          <cell r="K15">
            <v>1757</v>
          </cell>
          <cell r="L15">
            <v>925</v>
          </cell>
          <cell r="M15">
            <v>2682</v>
          </cell>
          <cell r="N15">
            <v>994</v>
          </cell>
          <cell r="O15">
            <v>3676</v>
          </cell>
          <cell r="P15">
            <v>939</v>
          </cell>
          <cell r="Q15">
            <v>1044</v>
          </cell>
          <cell r="R15">
            <v>1983</v>
          </cell>
          <cell r="S15">
            <v>1088</v>
          </cell>
          <cell r="T15">
            <v>3071</v>
          </cell>
          <cell r="U15">
            <v>1152</v>
          </cell>
          <cell r="V15">
            <v>4223</v>
          </cell>
          <cell r="W15">
            <v>1151</v>
          </cell>
          <cell r="X15">
            <v>1239</v>
          </cell>
          <cell r="Y15">
            <v>2390</v>
          </cell>
          <cell r="Z15">
            <v>1267</v>
          </cell>
          <cell r="AA15">
            <v>3657</v>
          </cell>
          <cell r="AB15">
            <v>1355</v>
          </cell>
          <cell r="AC15">
            <v>5012</v>
          </cell>
          <cell r="AD15">
            <v>1369</v>
          </cell>
          <cell r="AE15">
            <v>1509</v>
          </cell>
          <cell r="AF15">
            <v>2878</v>
          </cell>
          <cell r="AG15">
            <v>1443</v>
          </cell>
          <cell r="AH15">
            <v>4321</v>
          </cell>
          <cell r="AI15">
            <v>1419</v>
          </cell>
          <cell r="AJ15">
            <v>5740</v>
          </cell>
          <cell r="AK15">
            <v>1402</v>
          </cell>
          <cell r="AL15">
            <v>1533</v>
          </cell>
          <cell r="AM15">
            <v>2935</v>
          </cell>
          <cell r="AN15">
            <v>1464</v>
          </cell>
          <cell r="AO15">
            <v>4399</v>
          </cell>
          <cell r="AP15">
            <v>1614</v>
          </cell>
          <cell r="AQ15">
            <v>6013</v>
          </cell>
          <cell r="AR15">
            <v>1442</v>
          </cell>
          <cell r="AS15">
            <v>1552</v>
          </cell>
          <cell r="AT15">
            <v>2994</v>
          </cell>
          <cell r="AU15">
            <v>1483</v>
          </cell>
          <cell r="AV15">
            <v>4477</v>
          </cell>
          <cell r="AW15">
            <v>1576</v>
          </cell>
          <cell r="AX15">
            <v>6053</v>
          </cell>
          <cell r="AY15">
            <v>1405</v>
          </cell>
          <cell r="AZ15">
            <v>1513</v>
          </cell>
          <cell r="BA15">
            <v>2918</v>
          </cell>
          <cell r="BB15">
            <v>1429</v>
          </cell>
          <cell r="BC15">
            <v>4347</v>
          </cell>
          <cell r="BD15">
            <v>1318</v>
          </cell>
          <cell r="BE15">
            <v>5665</v>
          </cell>
          <cell r="BF15">
            <v>1190</v>
          </cell>
          <cell r="BG15">
            <v>1266</v>
          </cell>
          <cell r="BH15">
            <v>2456</v>
          </cell>
          <cell r="BI15">
            <v>969</v>
          </cell>
          <cell r="BJ15">
            <v>3425</v>
          </cell>
          <cell r="BK15">
            <v>992</v>
          </cell>
          <cell r="BL15">
            <v>4417</v>
          </cell>
          <cell r="BM15">
            <v>918</v>
          </cell>
          <cell r="BN15">
            <v>928</v>
          </cell>
          <cell r="BO15">
            <v>1846</v>
          </cell>
          <cell r="BP15">
            <v>835</v>
          </cell>
          <cell r="BQ15">
            <v>2681</v>
          </cell>
          <cell r="BR15">
            <v>843</v>
          </cell>
          <cell r="BS15">
            <v>3524</v>
          </cell>
          <cell r="BT15">
            <v>820.60938029102863</v>
          </cell>
          <cell r="BU15">
            <v>819.41356771531423</v>
          </cell>
          <cell r="BV15">
            <v>1640.0229480063429</v>
          </cell>
          <cell r="BW15">
            <v>297.38951970305391</v>
          </cell>
          <cell r="BX15">
            <v>1937.4124677093969</v>
          </cell>
          <cell r="BY15">
            <v>286.84949636400177</v>
          </cell>
          <cell r="BZ15">
            <v>2224.2619640733988</v>
          </cell>
          <cell r="CA15">
            <v>1139.311473055049</v>
          </cell>
          <cell r="CB15">
            <v>1036.3894699411953</v>
          </cell>
          <cell r="CC15">
            <v>947.6230670453117</v>
          </cell>
          <cell r="CD15">
            <v>869.93605435213976</v>
          </cell>
          <cell r="CE15">
            <v>817.80079663453273</v>
          </cell>
          <cell r="CF15">
            <v>770.86383830280602</v>
          </cell>
          <cell r="CG15">
            <v>728.08780343766568</v>
          </cell>
          <cell r="CH15">
            <v>688.72042320078242</v>
          </cell>
          <cell r="CI15">
            <v>652.21030899524317</v>
          </cell>
          <cell r="CJ15">
            <v>618.14792841363101</v>
          </cell>
          <cell r="CP15" t="str">
            <v>2012 US / 2011 EU / 2013 Jp</v>
          </cell>
          <cell r="CQ15">
            <v>0.17036011080332414</v>
          </cell>
          <cell r="CR15">
            <v>0.20316622691292885</v>
          </cell>
          <cell r="CS15">
            <v>0.17385786802030467</v>
          </cell>
          <cell r="CT15">
            <v>0.20484848484848484</v>
          </cell>
          <cell r="CU15">
            <v>0.18849013902360179</v>
          </cell>
          <cell r="CV15">
            <v>0.1112426035502958</v>
          </cell>
          <cell r="CW15">
            <v>0.14473684210526305</v>
          </cell>
          <cell r="CX15">
            <v>0.17621621621621619</v>
          </cell>
          <cell r="CY15">
            <v>0.15895372233400407</v>
          </cell>
          <cell r="CZ15">
            <v>0.14880304678998901</v>
          </cell>
          <cell r="DA15">
            <v>0.22577209797657072</v>
          </cell>
          <cell r="DB15">
            <v>0.18678160919540221</v>
          </cell>
          <cell r="DC15">
            <v>0.16452205882352944</v>
          </cell>
          <cell r="DD15">
            <v>0.17621527777777768</v>
          </cell>
          <cell r="DE15">
            <v>0.18683400426237262</v>
          </cell>
          <cell r="DF15">
            <v>0.14525139664804465</v>
          </cell>
          <cell r="DG15">
            <v>4.756097560975614E-2</v>
          </cell>
          <cell r="DH15">
            <v>6.6522534508564046E-3</v>
          </cell>
          <cell r="DI15">
            <v>-6.4100446059805027E-2</v>
          </cell>
          <cell r="DJ15">
            <v>-0.22030008826125336</v>
          </cell>
          <cell r="DK15">
            <v>-0.20217342087389634</v>
          </cell>
        </row>
        <row r="16">
          <cell r="A16" t="str">
            <v xml:space="preserve">   growth %</v>
          </cell>
          <cell r="O16">
            <v>0.18849013902360179</v>
          </cell>
          <cell r="P16">
            <v>0.1112426035502958</v>
          </cell>
          <cell r="Q16">
            <v>0.14473684210526305</v>
          </cell>
          <cell r="R16">
            <v>0.12862834376778598</v>
          </cell>
          <cell r="S16">
            <v>0.17621621621621619</v>
          </cell>
          <cell r="T16">
            <v>0.14504101416853099</v>
          </cell>
          <cell r="U16">
            <v>0.15895372233400407</v>
          </cell>
          <cell r="V16">
            <v>0.14880304678998901</v>
          </cell>
          <cell r="W16">
            <v>0.22577209797657072</v>
          </cell>
          <cell r="X16">
            <v>0.18678160919540221</v>
          </cell>
          <cell r="Y16">
            <v>0.20524457892082704</v>
          </cell>
          <cell r="Z16">
            <v>0.16452205882352944</v>
          </cell>
          <cell r="AA16">
            <v>0.19081732334744372</v>
          </cell>
          <cell r="AB16">
            <v>0.17621527777777768</v>
          </cell>
          <cell r="AC16">
            <v>0.18683400426237262</v>
          </cell>
          <cell r="AD16">
            <v>0.18940052128583851</v>
          </cell>
          <cell r="AE16">
            <v>0.21791767554479424</v>
          </cell>
          <cell r="AF16">
            <v>0.20418410041840995</v>
          </cell>
          <cell r="AG16">
            <v>0.13891081294396201</v>
          </cell>
          <cell r="AH16">
            <v>0.18156959256220939</v>
          </cell>
          <cell r="AI16">
            <v>4.7232472324723274E-2</v>
          </cell>
          <cell r="AJ16">
            <v>0.14525139664804465</v>
          </cell>
          <cell r="AK16">
            <v>2.4105186267348477E-2</v>
          </cell>
          <cell r="AL16">
            <v>1.5904572564612307E-2</v>
          </cell>
          <cell r="AM16">
            <v>1.980542043085487E-2</v>
          </cell>
          <cell r="AN16">
            <v>1.4553014553014609E-2</v>
          </cell>
          <cell r="AO16">
            <v>1.8051376996065738E-2</v>
          </cell>
          <cell r="AP16">
            <v>0.13742071881606766</v>
          </cell>
          <cell r="AQ16">
            <v>4.756097560975614E-2</v>
          </cell>
          <cell r="AR16">
            <v>2.853067047075597E-2</v>
          </cell>
          <cell r="AS16">
            <v>1.2393998695368502E-2</v>
          </cell>
          <cell r="AT16">
            <v>2.0102214650766559E-2</v>
          </cell>
          <cell r="AU16">
            <v>1.2978142076502719E-2</v>
          </cell>
          <cell r="AV16">
            <v>1.7731302568765539E-2</v>
          </cell>
          <cell r="AW16">
            <v>-2.3543990086741018E-2</v>
          </cell>
          <cell r="AX16">
            <v>6.6522534508564046E-3</v>
          </cell>
          <cell r="AY16">
            <v>-2.5658807212205259E-2</v>
          </cell>
          <cell r="AZ16">
            <v>-2.5128865979381465E-2</v>
          </cell>
          <cell r="BA16">
            <v>-2.5384101536406134E-2</v>
          </cell>
          <cell r="BB16">
            <v>-3.6412677006068761E-2</v>
          </cell>
          <cell r="BC16">
            <v>-2.903730176457453E-2</v>
          </cell>
          <cell r="BD16">
            <v>-0.16370558375634514</v>
          </cell>
          <cell r="BE16">
            <v>-6.4100446059805027E-2</v>
          </cell>
          <cell r="BF16">
            <v>-0.15302491103202842</v>
          </cell>
          <cell r="BG16">
            <v>-0.16325181758096496</v>
          </cell>
          <cell r="BH16">
            <v>-0.15832762165867031</v>
          </cell>
          <cell r="BI16">
            <v>-0.32190342897130864</v>
          </cell>
          <cell r="BJ16">
            <v>-0.21210029905682082</v>
          </cell>
          <cell r="BK16">
            <v>-0.24734446130500753</v>
          </cell>
          <cell r="BL16">
            <v>-0.22030008826125336</v>
          </cell>
          <cell r="BM16">
            <v>-0.22857142857142854</v>
          </cell>
          <cell r="BN16">
            <v>-0.26698262243285942</v>
          </cell>
          <cell r="BO16">
            <v>-0.24837133550488599</v>
          </cell>
          <cell r="BP16">
            <v>-0.13828689370485037</v>
          </cell>
          <cell r="BQ16">
            <v>-0.21722627737226274</v>
          </cell>
          <cell r="BR16">
            <v>-0.15020161290322576</v>
          </cell>
          <cell r="BS16">
            <v>-0.20217342087389634</v>
          </cell>
          <cell r="BT16">
            <v>-0.10608999968297539</v>
          </cell>
          <cell r="BU16">
            <v>-0.11701124168608379</v>
          </cell>
          <cell r="BV16">
            <v>-0.11158020151335701</v>
          </cell>
          <cell r="BW16">
            <v>-0.64384488658316896</v>
          </cell>
          <cell r="BX16">
            <v>-0.27735454393532377</v>
          </cell>
          <cell r="BY16">
            <v>-0.65972776232028263</v>
          </cell>
          <cell r="BZ16">
            <v>-0.36882464129585735</v>
          </cell>
          <cell r="CA16">
            <v>-0.48777999558623364</v>
          </cell>
          <cell r="CB16">
            <v>-9.0337019812386843E-2</v>
          </cell>
          <cell r="CC16">
            <v>-8.5649657267282131E-2</v>
          </cell>
          <cell r="CD16">
            <v>-8.1980921945473573E-2</v>
          </cell>
          <cell r="CE16">
            <v>-5.9929988482237739E-2</v>
          </cell>
          <cell r="CF16">
            <v>-5.7394121557333699E-2</v>
          </cell>
          <cell r="CG16">
            <v>-5.5491038416485283E-2</v>
          </cell>
          <cell r="CH16">
            <v>-5.4069550473184957E-2</v>
          </cell>
          <cell r="CI16">
            <v>-5.3011516684609017E-2</v>
          </cell>
          <cell r="CJ16">
            <v>-5.2226068971658379E-2</v>
          </cell>
          <cell r="CP16" t="str">
            <v>Diovan Japan (2013), co-diovan 2016</v>
          </cell>
        </row>
        <row r="17">
          <cell r="A17" t="str">
            <v xml:space="preserve">      CER growth</v>
          </cell>
          <cell r="BB17">
            <v>-7.0000000000000007E-2</v>
          </cell>
          <cell r="BC17">
            <v>-7.0000000000000007E-2</v>
          </cell>
          <cell r="BD17">
            <v>-0.17</v>
          </cell>
          <cell r="BE17">
            <v>-0.09</v>
          </cell>
          <cell r="BF17">
            <v>-0.15</v>
          </cell>
          <cell r="BG17">
            <v>-0.15</v>
          </cell>
          <cell r="BH17">
            <v>-0.15</v>
          </cell>
          <cell r="BI17">
            <v>-0.29997724229517836</v>
          </cell>
          <cell r="BJ17">
            <v>-0.2</v>
          </cell>
          <cell r="BK17">
            <v>-0.23</v>
          </cell>
          <cell r="BL17">
            <v>-0.21</v>
          </cell>
          <cell r="BM17">
            <v>-0.19</v>
          </cell>
          <cell r="BN17">
            <v>-0.22</v>
          </cell>
          <cell r="BO17">
            <v>-0.21</v>
          </cell>
          <cell r="BP17">
            <v>-0.08</v>
          </cell>
          <cell r="BQ17">
            <v>-0.17</v>
          </cell>
          <cell r="BR17">
            <v>-0.1</v>
          </cell>
          <cell r="BS17">
            <v>-0.16</v>
          </cell>
        </row>
        <row r="18">
          <cell r="A18" t="str">
            <v xml:space="preserve">       Diovan US</v>
          </cell>
          <cell r="B18">
            <v>325</v>
          </cell>
          <cell r="C18">
            <v>325</v>
          </cell>
          <cell r="D18">
            <v>650</v>
          </cell>
          <cell r="E18">
            <v>351</v>
          </cell>
          <cell r="F18">
            <v>1001</v>
          </cell>
          <cell r="G18">
            <v>323</v>
          </cell>
          <cell r="H18">
            <v>1324</v>
          </cell>
          <cell r="I18">
            <v>358</v>
          </cell>
          <cell r="J18">
            <v>374</v>
          </cell>
          <cell r="K18">
            <v>732</v>
          </cell>
          <cell r="L18">
            <v>402</v>
          </cell>
          <cell r="M18">
            <v>1134</v>
          </cell>
          <cell r="N18">
            <v>417</v>
          </cell>
          <cell r="O18">
            <v>1551</v>
          </cell>
          <cell r="P18">
            <v>412</v>
          </cell>
          <cell r="Q18">
            <v>448</v>
          </cell>
          <cell r="R18">
            <v>860</v>
          </cell>
          <cell r="S18">
            <v>493</v>
          </cell>
          <cell r="T18">
            <v>1353</v>
          </cell>
          <cell r="U18">
            <v>505</v>
          </cell>
          <cell r="V18">
            <v>1858</v>
          </cell>
          <cell r="W18">
            <v>523</v>
          </cell>
          <cell r="X18">
            <v>546</v>
          </cell>
          <cell r="Y18">
            <v>1069</v>
          </cell>
          <cell r="Z18">
            <v>564</v>
          </cell>
          <cell r="AA18">
            <v>1633</v>
          </cell>
          <cell r="AB18">
            <v>561</v>
          </cell>
          <cell r="AC18">
            <v>2194</v>
          </cell>
          <cell r="AD18">
            <v>570</v>
          </cell>
          <cell r="AE18">
            <v>613</v>
          </cell>
          <cell r="AF18">
            <v>1183</v>
          </cell>
          <cell r="AG18">
            <v>612</v>
          </cell>
          <cell r="AH18">
            <v>1795</v>
          </cell>
          <cell r="AI18">
            <v>609</v>
          </cell>
          <cell r="AJ18">
            <v>2404</v>
          </cell>
          <cell r="AK18">
            <v>585</v>
          </cell>
          <cell r="AL18">
            <v>655</v>
          </cell>
          <cell r="AM18">
            <v>1240</v>
          </cell>
          <cell r="AN18">
            <v>602</v>
          </cell>
          <cell r="AO18">
            <v>1842</v>
          </cell>
          <cell r="AP18">
            <v>650</v>
          </cell>
          <cell r="AQ18">
            <v>2492</v>
          </cell>
          <cell r="AR18">
            <v>588</v>
          </cell>
          <cell r="AS18">
            <v>657</v>
          </cell>
          <cell r="AT18">
            <v>1245</v>
          </cell>
          <cell r="AU18">
            <v>627</v>
          </cell>
          <cell r="AV18">
            <v>1872</v>
          </cell>
          <cell r="AW18">
            <v>648</v>
          </cell>
          <cell r="AX18">
            <v>2520</v>
          </cell>
          <cell r="AY18">
            <v>557</v>
          </cell>
          <cell r="AZ18">
            <v>635</v>
          </cell>
          <cell r="BA18">
            <v>1192</v>
          </cell>
          <cell r="BB18">
            <v>600</v>
          </cell>
          <cell r="BC18">
            <v>1792</v>
          </cell>
          <cell r="BD18">
            <v>541</v>
          </cell>
          <cell r="BE18">
            <v>2333</v>
          </cell>
          <cell r="BF18">
            <v>594</v>
          </cell>
          <cell r="BG18">
            <v>658</v>
          </cell>
          <cell r="BH18">
            <v>1252</v>
          </cell>
          <cell r="BI18">
            <v>413</v>
          </cell>
          <cell r="BJ18">
            <v>1665</v>
          </cell>
          <cell r="BK18">
            <v>422</v>
          </cell>
          <cell r="BL18">
            <v>2087</v>
          </cell>
          <cell r="BM18">
            <v>430</v>
          </cell>
          <cell r="BN18">
            <v>452</v>
          </cell>
          <cell r="BO18">
            <v>882</v>
          </cell>
          <cell r="BP18">
            <v>411</v>
          </cell>
          <cell r="BQ18">
            <v>1293</v>
          </cell>
          <cell r="BR18">
            <v>386</v>
          </cell>
          <cell r="BS18">
            <v>1679</v>
          </cell>
          <cell r="BT18">
            <v>387</v>
          </cell>
          <cell r="BU18">
            <v>384.2</v>
          </cell>
          <cell r="BV18">
            <v>771.2</v>
          </cell>
          <cell r="BW18">
            <v>41.099999999999994</v>
          </cell>
          <cell r="BX18">
            <v>812.30000000000007</v>
          </cell>
          <cell r="BY18">
            <v>27.199999999999932</v>
          </cell>
          <cell r="BZ18">
            <v>839.5</v>
          </cell>
          <cell r="CA18">
            <v>100.74</v>
          </cell>
          <cell r="CB18">
            <v>70.517999999999986</v>
          </cell>
          <cell r="CC18">
            <v>49.362599999999986</v>
          </cell>
          <cell r="CD18">
            <v>34.553819999999988</v>
          </cell>
          <cell r="CE18">
            <v>24.187673999999991</v>
          </cell>
          <cell r="CF18">
            <v>16.931371799999994</v>
          </cell>
          <cell r="CG18">
            <v>11.851960259999995</v>
          </cell>
          <cell r="CH18">
            <v>8.2963721819999954</v>
          </cell>
          <cell r="CI18">
            <v>5.8074605273999964</v>
          </cell>
          <cell r="CJ18">
            <v>4.0652223691799971</v>
          </cell>
          <cell r="CO18">
            <v>0.4</v>
          </cell>
          <cell r="CP18">
            <v>41153</v>
          </cell>
          <cell r="CQ18">
            <v>0.10153846153846158</v>
          </cell>
          <cell r="CR18">
            <v>0.15076923076923077</v>
          </cell>
          <cell r="CS18">
            <v>0.14529914529914523</v>
          </cell>
          <cell r="CT18">
            <v>0.29102167182662542</v>
          </cell>
          <cell r="CU18">
            <v>0.1714501510574018</v>
          </cell>
          <cell r="CV18">
            <v>0.2</v>
          </cell>
          <cell r="CW18">
            <v>0.15</v>
          </cell>
          <cell r="CX18">
            <v>0.22636815920398012</v>
          </cell>
          <cell r="CY18">
            <v>0.21103117505995206</v>
          </cell>
          <cell r="CZ18">
            <v>0.19793681495809157</v>
          </cell>
          <cell r="DA18">
            <v>0.26941747572815533</v>
          </cell>
          <cell r="DB18">
            <v>0.21875</v>
          </cell>
          <cell r="DC18">
            <v>0.14401622718052742</v>
          </cell>
          <cell r="DD18">
            <v>0.17</v>
          </cell>
          <cell r="DE18">
            <v>0.18083961248654457</v>
          </cell>
          <cell r="DF18">
            <v>0.13</v>
          </cell>
          <cell r="DG18">
            <v>7.0000000000000007E-2</v>
          </cell>
          <cell r="DH18">
            <v>0.05</v>
          </cell>
          <cell r="DI18">
            <v>0.04</v>
          </cell>
          <cell r="DJ18">
            <v>-0.1054436348049721</v>
          </cell>
          <cell r="DK18">
            <v>-0.19549592716818398</v>
          </cell>
          <cell r="DM18" t="str">
            <v>mstag:diovanUS</v>
          </cell>
          <cell r="DN18">
            <v>6</v>
          </cell>
          <cell r="DO18" t="str">
            <v>ISO4217:USD</v>
          </cell>
          <cell r="DP18" t="b">
            <v>0</v>
          </cell>
        </row>
        <row r="19">
          <cell r="A19" t="str">
            <v xml:space="preserve">           growth </v>
          </cell>
          <cell r="O19">
            <v>0.1714501510574018</v>
          </cell>
          <cell r="P19">
            <v>0.15083798882681565</v>
          </cell>
          <cell r="Q19">
            <v>0.19786096256684482</v>
          </cell>
          <cell r="R19">
            <v>0.17486338797814205</v>
          </cell>
          <cell r="S19">
            <v>0.22636815920398012</v>
          </cell>
          <cell r="T19">
            <v>0.19312169312169303</v>
          </cell>
          <cell r="U19">
            <v>0.21103117505995206</v>
          </cell>
          <cell r="V19">
            <v>0.19793681495809157</v>
          </cell>
          <cell r="W19">
            <v>0.26941747572815533</v>
          </cell>
          <cell r="X19">
            <v>0.21875</v>
          </cell>
          <cell r="Y19">
            <v>0.24302325581395356</v>
          </cell>
          <cell r="Z19">
            <v>0.14401622718052742</v>
          </cell>
          <cell r="AA19">
            <v>0.20694752402069483</v>
          </cell>
          <cell r="AB19">
            <v>0.11089108910891099</v>
          </cell>
          <cell r="AC19">
            <v>0.18083961248654457</v>
          </cell>
          <cell r="AD19">
            <v>8.9866156787762996E-2</v>
          </cell>
          <cell r="AE19">
            <v>0.12271062271062272</v>
          </cell>
          <cell r="AF19">
            <v>0.10664172123479898</v>
          </cell>
          <cell r="AG19">
            <v>8.5106382978723305E-2</v>
          </cell>
          <cell r="AH19">
            <v>9.9203919167176968E-2</v>
          </cell>
          <cell r="AI19">
            <v>8.5561497326203106E-2</v>
          </cell>
          <cell r="AJ19">
            <v>9.5715587967183158E-2</v>
          </cell>
          <cell r="AK19">
            <v>2.6315789473684292E-2</v>
          </cell>
          <cell r="AL19">
            <v>6.8515497553018001E-2</v>
          </cell>
          <cell r="AN19">
            <v>-1.6339869281045805E-2</v>
          </cell>
          <cell r="AP19">
            <v>6.7323481116584594E-2</v>
          </cell>
          <cell r="AQ19">
            <v>3.660565723793674E-2</v>
          </cell>
          <cell r="AR19">
            <v>5.12820512820511E-3</v>
          </cell>
          <cell r="AS19">
            <v>3.0534351145037331E-3</v>
          </cell>
          <cell r="AU19">
            <v>4.1528239202657913E-2</v>
          </cell>
          <cell r="AW19">
            <v>-3.0769230769230882E-3</v>
          </cell>
          <cell r="AX19">
            <v>1.1235955056179803E-2</v>
          </cell>
          <cell r="AY19">
            <v>-5.2721088435374153E-2</v>
          </cell>
          <cell r="AZ19">
            <v>-3.3485540334855401E-2</v>
          </cell>
          <cell r="BB19">
            <v>-4.3062200956937802E-2</v>
          </cell>
          <cell r="BC19">
            <v>-4.2735042735042694E-2</v>
          </cell>
          <cell r="BD19">
            <v>-0.16512345679012341</v>
          </cell>
          <cell r="BE19">
            <v>-7.4206349206349165E-2</v>
          </cell>
          <cell r="BF19">
            <v>6.6427289048474059E-2</v>
          </cell>
          <cell r="BG19">
            <v>3.6220472440944951E-2</v>
          </cell>
          <cell r="BH19">
            <v>5.0335570469798752E-2</v>
          </cell>
          <cell r="BI19">
            <v>-0.31166666666666665</v>
          </cell>
          <cell r="BJ19">
            <v>-7.0870535714285698E-2</v>
          </cell>
          <cell r="BK19">
            <v>-0.21996303142329021</v>
          </cell>
          <cell r="BL19">
            <v>-0.1054436348049721</v>
          </cell>
          <cell r="BM19">
            <v>-0.27609427609427606</v>
          </cell>
          <cell r="BN19">
            <v>-0.31306990881458963</v>
          </cell>
          <cell r="BO19">
            <v>-0.29552715654952078</v>
          </cell>
          <cell r="BP19">
            <v>-4.8426150121065881E-3</v>
          </cell>
          <cell r="BQ19">
            <v>-0.22342342342342347</v>
          </cell>
          <cell r="BR19">
            <v>-8.5308056872037907E-2</v>
          </cell>
          <cell r="BS19">
            <v>-0.19549592716818398</v>
          </cell>
          <cell r="BT19">
            <v>-0.1</v>
          </cell>
          <cell r="BU19">
            <v>-0.15</v>
          </cell>
          <cell r="BV19">
            <v>-0.12562358276643981</v>
          </cell>
          <cell r="BW19">
            <v>-0.9</v>
          </cell>
          <cell r="BX19">
            <v>-0.37177107501933482</v>
          </cell>
          <cell r="BY19">
            <v>-0.92953367875647686</v>
          </cell>
          <cell r="BZ19">
            <v>-0.5</v>
          </cell>
          <cell r="CA19">
            <v>-0.88</v>
          </cell>
          <cell r="CB19">
            <v>-0.3</v>
          </cell>
          <cell r="CC19">
            <v>-0.3</v>
          </cell>
          <cell r="CD19">
            <v>-0.3</v>
          </cell>
          <cell r="CE19">
            <v>-0.3</v>
          </cell>
          <cell r="CF19">
            <v>-0.3</v>
          </cell>
          <cell r="CG19">
            <v>-0.3</v>
          </cell>
          <cell r="CH19">
            <v>-0.3</v>
          </cell>
          <cell r="CI19">
            <v>-0.3</v>
          </cell>
          <cell r="CJ19">
            <v>-0.3</v>
          </cell>
        </row>
        <row r="20">
          <cell r="A20" t="str">
            <v xml:space="preserve">       Diovan ROW</v>
          </cell>
          <cell r="B20">
            <v>397</v>
          </cell>
          <cell r="C20">
            <v>433</v>
          </cell>
          <cell r="D20">
            <v>830</v>
          </cell>
          <cell r="E20">
            <v>437</v>
          </cell>
          <cell r="F20">
            <v>1267</v>
          </cell>
          <cell r="G20">
            <v>502</v>
          </cell>
          <cell r="H20">
            <v>1769</v>
          </cell>
          <cell r="I20">
            <v>487</v>
          </cell>
          <cell r="J20">
            <v>538</v>
          </cell>
          <cell r="K20">
            <v>1025</v>
          </cell>
          <cell r="L20">
            <v>523</v>
          </cell>
          <cell r="M20">
            <v>1548</v>
          </cell>
          <cell r="N20">
            <v>577</v>
          </cell>
          <cell r="O20">
            <v>2125</v>
          </cell>
          <cell r="P20">
            <v>527</v>
          </cell>
          <cell r="Q20">
            <v>596</v>
          </cell>
          <cell r="R20">
            <v>1123</v>
          </cell>
          <cell r="S20">
            <v>595</v>
          </cell>
          <cell r="T20">
            <v>1718</v>
          </cell>
          <cell r="U20">
            <v>647</v>
          </cell>
          <cell r="V20">
            <v>2365</v>
          </cell>
          <cell r="W20">
            <v>628</v>
          </cell>
          <cell r="X20">
            <v>693</v>
          </cell>
          <cell r="Y20">
            <v>1321</v>
          </cell>
          <cell r="Z20">
            <v>703</v>
          </cell>
          <cell r="AA20">
            <v>2024</v>
          </cell>
          <cell r="AB20">
            <v>794</v>
          </cell>
          <cell r="AC20">
            <v>2818</v>
          </cell>
          <cell r="AD20">
            <v>799</v>
          </cell>
          <cell r="AE20">
            <v>896</v>
          </cell>
          <cell r="AF20">
            <v>1695</v>
          </cell>
          <cell r="AG20">
            <v>831</v>
          </cell>
          <cell r="AH20">
            <v>2526</v>
          </cell>
          <cell r="AI20">
            <v>810</v>
          </cell>
          <cell r="AJ20">
            <v>3336</v>
          </cell>
          <cell r="AK20">
            <v>817</v>
          </cell>
          <cell r="AL20">
            <v>878</v>
          </cell>
          <cell r="AM20">
            <v>1695</v>
          </cell>
          <cell r="AN20">
            <v>862</v>
          </cell>
          <cell r="AO20">
            <v>2557</v>
          </cell>
          <cell r="AP20">
            <v>964</v>
          </cell>
          <cell r="AQ20">
            <v>3521</v>
          </cell>
          <cell r="AR20">
            <v>854</v>
          </cell>
          <cell r="AS20">
            <v>895</v>
          </cell>
          <cell r="AT20">
            <v>1749</v>
          </cell>
          <cell r="AU20">
            <v>856</v>
          </cell>
          <cell r="AV20">
            <v>2605</v>
          </cell>
          <cell r="AW20">
            <v>928</v>
          </cell>
          <cell r="AX20">
            <v>3533</v>
          </cell>
          <cell r="AY20">
            <v>848</v>
          </cell>
          <cell r="AZ20">
            <v>878</v>
          </cell>
          <cell r="BA20">
            <v>1726</v>
          </cell>
          <cell r="BB20">
            <v>829</v>
          </cell>
          <cell r="BC20">
            <v>2555</v>
          </cell>
          <cell r="BD20">
            <v>777</v>
          </cell>
          <cell r="BE20">
            <v>3332</v>
          </cell>
          <cell r="BF20">
            <v>596</v>
          </cell>
          <cell r="BG20">
            <v>608</v>
          </cell>
          <cell r="BH20">
            <v>1204</v>
          </cell>
          <cell r="BI20">
            <v>556</v>
          </cell>
          <cell r="BJ20">
            <v>1760</v>
          </cell>
          <cell r="BK20">
            <v>570</v>
          </cell>
          <cell r="BL20">
            <v>2330</v>
          </cell>
          <cell r="BM20">
            <v>488</v>
          </cell>
          <cell r="BN20">
            <v>476</v>
          </cell>
          <cell r="BO20">
            <v>964</v>
          </cell>
          <cell r="BP20">
            <v>424</v>
          </cell>
          <cell r="BQ20">
            <v>1388</v>
          </cell>
          <cell r="BR20">
            <v>457</v>
          </cell>
          <cell r="BS20">
            <v>1845</v>
          </cell>
          <cell r="BT20">
            <v>433.60938029102869</v>
          </cell>
          <cell r="BU20">
            <v>435.2135677153143</v>
          </cell>
          <cell r="BV20">
            <v>868.82294800634304</v>
          </cell>
          <cell r="BW20">
            <v>256.28951970305394</v>
          </cell>
          <cell r="BX20">
            <v>1125.1124677093969</v>
          </cell>
          <cell r="BY20">
            <v>259.64949636400183</v>
          </cell>
          <cell r="BZ20">
            <v>1384.7619640733988</v>
          </cell>
          <cell r="CA20">
            <v>1038.571473055049</v>
          </cell>
          <cell r="CB20">
            <v>965.87146994119541</v>
          </cell>
          <cell r="CC20">
            <v>898.26046704531166</v>
          </cell>
          <cell r="CD20">
            <v>835.38223435213979</v>
          </cell>
          <cell r="CE20">
            <v>793.61312263453271</v>
          </cell>
          <cell r="CF20">
            <v>753.93246650280605</v>
          </cell>
          <cell r="CG20">
            <v>716.23584317766574</v>
          </cell>
          <cell r="CH20">
            <v>680.42405101878239</v>
          </cell>
          <cell r="CI20">
            <v>646.40284846784323</v>
          </cell>
          <cell r="CJ20">
            <v>614.08270604445102</v>
          </cell>
          <cell r="CP20" t="str">
            <v>Nov-11 EU, Japan 2013 (mono) + 2016 (combo)</v>
          </cell>
          <cell r="CQ20">
            <v>0.22670025188916876</v>
          </cell>
          <cell r="CR20">
            <v>0.2424942263279446</v>
          </cell>
          <cell r="CS20">
            <v>0.19679633867276891</v>
          </cell>
          <cell r="CT20">
            <v>0.1494023904382471</v>
          </cell>
          <cell r="CU20">
            <v>0.20124364047484455</v>
          </cell>
          <cell r="CV20">
            <v>8.2135523613963146E-2</v>
          </cell>
          <cell r="CW20">
            <v>0.10780669144981414</v>
          </cell>
          <cell r="CX20">
            <v>0.13766730401529648</v>
          </cell>
          <cell r="CY20">
            <v>0.12131715771230511</v>
          </cell>
          <cell r="CZ20">
            <v>0.11294117647058832</v>
          </cell>
          <cell r="DA20">
            <v>0.19165085388994307</v>
          </cell>
          <cell r="DB20">
            <v>0.16275167785234901</v>
          </cell>
          <cell r="DC20">
            <v>0.18151260504201683</v>
          </cell>
          <cell r="DD20">
            <v>0.1</v>
          </cell>
          <cell r="DE20">
            <v>0.19154334038054976</v>
          </cell>
          <cell r="DF20">
            <v>0.13</v>
          </cell>
          <cell r="DG20">
            <v>0.1</v>
          </cell>
          <cell r="DH20">
            <v>0.05</v>
          </cell>
          <cell r="DI20">
            <v>-0.2</v>
          </cell>
          <cell r="DJ20">
            <v>-0.3</v>
          </cell>
          <cell r="DK20">
            <v>-0.3</v>
          </cell>
          <cell r="DM20" t="str">
            <v>mstag:diovanEurope</v>
          </cell>
          <cell r="DN20">
            <v>6</v>
          </cell>
          <cell r="DO20" t="str">
            <v>ISO4217:USD</v>
          </cell>
          <cell r="DP20" t="b">
            <v>0</v>
          </cell>
        </row>
        <row r="21">
          <cell r="A21" t="str">
            <v xml:space="preserve">           growth </v>
          </cell>
          <cell r="AX21">
            <v>3.4081226924169705E-3</v>
          </cell>
          <cell r="AY21">
            <v>-7.0257611241217877E-3</v>
          </cell>
          <cell r="AZ21">
            <v>-1.8994413407821265E-2</v>
          </cell>
          <cell r="BA21">
            <v>-1.3150371640937686E-2</v>
          </cell>
          <cell r="BB21">
            <v>-3.1542056074766345E-2</v>
          </cell>
          <cell r="BC21">
            <v>-1.9193857965451033E-2</v>
          </cell>
          <cell r="BD21">
            <v>-0.16271551724137934</v>
          </cell>
          <cell r="BE21">
            <v>-5.6892159637701667E-2</v>
          </cell>
          <cell r="BF21">
            <v>-0.29716981132075471</v>
          </cell>
          <cell r="BG21">
            <v>-0.30751708428246016</v>
          </cell>
          <cell r="BH21">
            <v>-0.30243337195828501</v>
          </cell>
          <cell r="BI21">
            <v>-0.3293124246079614</v>
          </cell>
          <cell r="BJ21">
            <v>-0.31115459882583174</v>
          </cell>
          <cell r="BK21">
            <v>-0.26640926640926643</v>
          </cell>
          <cell r="BL21">
            <v>-0.30072028811524609</v>
          </cell>
          <cell r="BM21">
            <v>-0.18120805369127513</v>
          </cell>
          <cell r="BN21">
            <v>-0.21710526315789469</v>
          </cell>
          <cell r="BO21">
            <v>-0.19933554817275745</v>
          </cell>
          <cell r="BP21">
            <v>-0.23741007194244601</v>
          </cell>
          <cell r="BQ21">
            <v>-0.21136363636363631</v>
          </cell>
          <cell r="BR21">
            <v>-0.19824561403508767</v>
          </cell>
          <cell r="BS21">
            <v>-0.20815450643776823</v>
          </cell>
          <cell r="BT21">
            <v>-0.11145618792821987</v>
          </cell>
          <cell r="BU21">
            <v>-8.5685782110684228E-2</v>
          </cell>
          <cell r="BV21">
            <v>-9.8731381736158697E-2</v>
          </cell>
          <cell r="BW21">
            <v>-0.39554358560600489</v>
          </cell>
          <cell r="BX21">
            <v>-0.18940023940245176</v>
          </cell>
          <cell r="BZ21">
            <v>-0.2494515099873178</v>
          </cell>
          <cell r="CA21">
            <v>-0.25000000000000011</v>
          </cell>
          <cell r="CB21">
            <v>-7.0000000000000062E-2</v>
          </cell>
          <cell r="CC21">
            <v>-7.0000000000000062E-2</v>
          </cell>
          <cell r="CD21">
            <v>-7.0000000000000062E-2</v>
          </cell>
          <cell r="CE21">
            <v>-5.0000000000000155E-2</v>
          </cell>
          <cell r="CF21">
            <v>-5.0000000000000044E-2</v>
          </cell>
          <cell r="CG21">
            <v>-5.0000000000000044E-2</v>
          </cell>
          <cell r="CH21">
            <v>-5.0000000000000044E-2</v>
          </cell>
          <cell r="CI21">
            <v>-5.0000000000000044E-2</v>
          </cell>
          <cell r="CJ21">
            <v>-5.0000000000000044E-2</v>
          </cell>
        </row>
        <row r="22">
          <cell r="A22" t="str">
            <v xml:space="preserve">   CER growth </v>
          </cell>
          <cell r="P22">
            <v>0.16708359753368052</v>
          </cell>
          <cell r="Q22">
            <v>0.11437549077018261</v>
          </cell>
          <cell r="R22">
            <v>0.14136819271760404</v>
          </cell>
          <cell r="S22">
            <v>0.10040908144950333</v>
          </cell>
          <cell r="T22">
            <v>0.1279053383384593</v>
          </cell>
          <cell r="U22">
            <v>4.7228947679664568E-2</v>
          </cell>
          <cell r="V22">
            <v>0.10798378663100139</v>
          </cell>
          <cell r="W22">
            <v>0.11506163345947273</v>
          </cell>
          <cell r="X22">
            <v>0.10751786287285836</v>
          </cell>
          <cell r="Y22">
            <v>0.11040192842146657</v>
          </cell>
          <cell r="Z22">
            <v>0.1169423141848025</v>
          </cell>
          <cell r="AA22">
            <v>0.11264964405762368</v>
          </cell>
          <cell r="AB22">
            <v>0.11750790491252494</v>
          </cell>
          <cell r="AC22">
            <v>0.11502136680386554</v>
          </cell>
          <cell r="AD22">
            <v>0.12788537118174603</v>
          </cell>
          <cell r="AE22">
            <v>0.12819769806039005</v>
          </cell>
          <cell r="AF22">
            <v>0.12854924069768292</v>
          </cell>
          <cell r="AG22">
            <v>8.4661503194222609E-2</v>
          </cell>
          <cell r="AH22">
            <v>0.122031255854818</v>
          </cell>
          <cell r="AI22">
            <v>7.9837583723602057E-2</v>
          </cell>
          <cell r="AJ22">
            <v>9.8975850100909479E-2</v>
          </cell>
          <cell r="AK22">
            <v>0.1272712401668129</v>
          </cell>
          <cell r="AL22">
            <v>8.8171997838749294E-2</v>
          </cell>
          <cell r="AN22">
            <v>6.3334187960296329E-2</v>
          </cell>
          <cell r="AP22">
            <v>7.0436745985544391E-2</v>
          </cell>
          <cell r="AQ22">
            <v>5.5455635491606703E-2</v>
          </cell>
          <cell r="AR22">
            <v>-1.9201792354531122E-2</v>
          </cell>
          <cell r="AS22">
            <v>6.4598749238631514E-2</v>
          </cell>
          <cell r="AU22">
            <v>5.4540589756571278E-2</v>
          </cell>
          <cell r="AW22">
            <v>9.1817370056911374E-3</v>
          </cell>
          <cell r="AX22">
            <v>3.4081226924169705E-3</v>
          </cell>
          <cell r="AY22">
            <v>-2.7134975107304449E-2</v>
          </cell>
          <cell r="AZ22">
            <v>-0.17850606051706053</v>
          </cell>
          <cell r="BB22">
            <v>-0.1</v>
          </cell>
          <cell r="BC22">
            <v>-0.08</v>
          </cell>
          <cell r="BD22">
            <v>-0.17</v>
          </cell>
          <cell r="BE22">
            <v>-0.11</v>
          </cell>
          <cell r="BF22">
            <v>-0.3</v>
          </cell>
          <cell r="BG22">
            <v>-0.28999999999999998</v>
          </cell>
          <cell r="BH22">
            <v>-0.28999999999999998</v>
          </cell>
          <cell r="BI22">
            <v>-0.3</v>
          </cell>
          <cell r="BK22">
            <v>-0.24</v>
          </cell>
          <cell r="BL22">
            <v>-0.28000000000000003</v>
          </cell>
          <cell r="BM22">
            <v>-0.11</v>
          </cell>
          <cell r="BN22">
            <v>-0.12</v>
          </cell>
          <cell r="BO22">
            <v>-0.12</v>
          </cell>
          <cell r="BP22">
            <v>-0.14000000000000001</v>
          </cell>
          <cell r="BQ22">
            <v>-0.12</v>
          </cell>
          <cell r="BR22">
            <v>-0.11</v>
          </cell>
          <cell r="BS22">
            <v>-0.12</v>
          </cell>
          <cell r="BT22">
            <v>-0.1</v>
          </cell>
          <cell r="BU22">
            <v>-0.1</v>
          </cell>
          <cell r="BW22">
            <v>-0.4</v>
          </cell>
          <cell r="BY22">
            <v>-0.43864744340257211</v>
          </cell>
          <cell r="BZ22">
            <v>-0.25</v>
          </cell>
          <cell r="CA22">
            <v>-0.25</v>
          </cell>
          <cell r="CB22">
            <v>-7.0000000000000007E-2</v>
          </cell>
          <cell r="CC22">
            <v>-7.0000000000000007E-2</v>
          </cell>
          <cell r="CD22">
            <v>-7.0000000000000007E-2</v>
          </cell>
          <cell r="CE22">
            <v>-0.05</v>
          </cell>
          <cell r="CF22">
            <v>-0.05</v>
          </cell>
          <cell r="CG22">
            <v>-0.05</v>
          </cell>
          <cell r="CH22">
            <v>-0.05</v>
          </cell>
          <cell r="CI22">
            <v>-0.05</v>
          </cell>
          <cell r="CJ22">
            <v>-0.05</v>
          </cell>
        </row>
        <row r="24">
          <cell r="A24" t="str">
            <v>Exforge</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7</v>
          </cell>
          <cell r="T24">
            <v>7</v>
          </cell>
          <cell r="U24">
            <v>7</v>
          </cell>
          <cell r="V24">
            <v>14</v>
          </cell>
          <cell r="W24">
            <v>6</v>
          </cell>
          <cell r="X24">
            <v>21</v>
          </cell>
          <cell r="Y24">
            <v>27</v>
          </cell>
          <cell r="Z24">
            <v>25</v>
          </cell>
          <cell r="AA24">
            <v>52</v>
          </cell>
          <cell r="AB24">
            <v>51</v>
          </cell>
          <cell r="AC24">
            <v>103</v>
          </cell>
          <cell r="AD24">
            <v>72</v>
          </cell>
          <cell r="AE24">
            <v>101</v>
          </cell>
          <cell r="AF24">
            <v>173</v>
          </cell>
          <cell r="AG24">
            <v>115</v>
          </cell>
          <cell r="AH24">
            <v>288</v>
          </cell>
          <cell r="AI24">
            <v>118</v>
          </cell>
          <cell r="AJ24">
            <v>406</v>
          </cell>
          <cell r="AK24">
            <v>136</v>
          </cell>
          <cell r="AL24">
            <v>168</v>
          </cell>
          <cell r="AM24">
            <v>304</v>
          </cell>
          <cell r="AN24">
            <v>171</v>
          </cell>
          <cell r="AO24">
            <v>475</v>
          </cell>
          <cell r="AP24">
            <v>196</v>
          </cell>
          <cell r="AQ24">
            <v>671</v>
          </cell>
          <cell r="AR24">
            <v>204</v>
          </cell>
          <cell r="AS24">
            <v>227</v>
          </cell>
          <cell r="AT24">
            <v>431</v>
          </cell>
          <cell r="AU24">
            <v>222</v>
          </cell>
          <cell r="AV24">
            <v>653</v>
          </cell>
          <cell r="AW24">
            <v>251</v>
          </cell>
          <cell r="AX24">
            <v>904</v>
          </cell>
          <cell r="AY24">
            <v>261</v>
          </cell>
          <cell r="AZ24">
            <v>308</v>
          </cell>
          <cell r="BA24">
            <v>569</v>
          </cell>
          <cell r="BB24">
            <v>317</v>
          </cell>
          <cell r="BC24">
            <v>886</v>
          </cell>
          <cell r="BD24">
            <v>323</v>
          </cell>
          <cell r="BE24">
            <v>1209</v>
          </cell>
          <cell r="BF24">
            <v>303</v>
          </cell>
          <cell r="BG24">
            <v>352</v>
          </cell>
          <cell r="BH24">
            <v>655</v>
          </cell>
          <cell r="BI24">
            <v>336</v>
          </cell>
          <cell r="BJ24">
            <v>991</v>
          </cell>
          <cell r="BK24">
            <v>361</v>
          </cell>
          <cell r="BL24">
            <v>1352</v>
          </cell>
          <cell r="BM24">
            <v>348</v>
          </cell>
          <cell r="BN24">
            <v>377</v>
          </cell>
          <cell r="BO24">
            <v>725</v>
          </cell>
          <cell r="BP24">
            <v>359</v>
          </cell>
          <cell r="BQ24">
            <v>1084</v>
          </cell>
          <cell r="BR24">
            <v>372</v>
          </cell>
          <cell r="BS24">
            <v>1456</v>
          </cell>
          <cell r="BT24">
            <v>361.93147404343006</v>
          </cell>
          <cell r="BU24">
            <v>362.9169309784063</v>
          </cell>
          <cell r="BV24">
            <v>724.84840502183624</v>
          </cell>
          <cell r="BW24">
            <v>364.96581739548162</v>
          </cell>
          <cell r="BX24">
            <v>1089.814222417318</v>
          </cell>
          <cell r="BY24">
            <v>357.95045220221272</v>
          </cell>
          <cell r="BZ24">
            <v>1447.7646746195308</v>
          </cell>
          <cell r="CA24">
            <v>1244.6042071575778</v>
          </cell>
          <cell r="CB24">
            <v>1194.4452175154568</v>
          </cell>
          <cell r="CC24">
            <v>815.67725226081973</v>
          </cell>
          <cell r="CD24">
            <v>767.19651469299515</v>
          </cell>
          <cell r="CE24">
            <v>519.15746028509659</v>
          </cell>
          <cell r="CF24">
            <v>363.41022219956761</v>
          </cell>
          <cell r="CG24">
            <v>254.38715553969732</v>
          </cell>
          <cell r="CH24">
            <v>241.66779776271244</v>
          </cell>
          <cell r="CI24">
            <v>229.58440787457681</v>
          </cell>
          <cell r="CJ24">
            <v>218.10518748084797</v>
          </cell>
          <cell r="CP24" t="str">
            <v>Patent 2019 (EU/US)</v>
          </cell>
          <cell r="DI24">
            <v>0.05</v>
          </cell>
          <cell r="DJ24">
            <v>0.05</v>
          </cell>
          <cell r="DK24">
            <v>0.05</v>
          </cell>
        </row>
        <row r="25">
          <cell r="A25" t="str">
            <v xml:space="preserve">   growth %</v>
          </cell>
          <cell r="Z25">
            <v>2.5714285714285716</v>
          </cell>
          <cell r="AB25">
            <v>6.2857142857142856</v>
          </cell>
          <cell r="AC25">
            <v>6.3571428571428568</v>
          </cell>
          <cell r="AD25">
            <v>11</v>
          </cell>
          <cell r="AE25">
            <v>3.8095238095238093</v>
          </cell>
          <cell r="AF25">
            <v>5.4074074074074074</v>
          </cell>
          <cell r="AG25">
            <v>3.5999999999999996</v>
          </cell>
          <cell r="AH25">
            <v>4.5384615384615383</v>
          </cell>
          <cell r="AI25">
            <v>1.3137254901960786</v>
          </cell>
          <cell r="AJ25">
            <v>2.941747572815534</v>
          </cell>
          <cell r="AK25">
            <v>0.88888888888888884</v>
          </cell>
          <cell r="AL25">
            <v>0.66336633663366329</v>
          </cell>
          <cell r="AM25">
            <v>0.75722543352601157</v>
          </cell>
          <cell r="AN25">
            <v>0.48695652173913051</v>
          </cell>
          <cell r="AO25">
            <v>0.64930555555555558</v>
          </cell>
          <cell r="AP25">
            <v>0.66101694915254239</v>
          </cell>
          <cell r="AQ25">
            <v>0.65270935960591125</v>
          </cell>
          <cell r="AR25">
            <v>0.5</v>
          </cell>
          <cell r="AS25">
            <v>0.35119047619047628</v>
          </cell>
          <cell r="AT25">
            <v>0.41776315789473695</v>
          </cell>
          <cell r="AU25">
            <v>0.29824561403508776</v>
          </cell>
          <cell r="AV25">
            <v>0.37473684210526326</v>
          </cell>
          <cell r="AW25">
            <v>0.28061224489795911</v>
          </cell>
          <cell r="AX25">
            <v>0.34724292101341292</v>
          </cell>
          <cell r="AY25">
            <v>0.27941176470588225</v>
          </cell>
          <cell r="AZ25">
            <v>0.35682819383259923</v>
          </cell>
          <cell r="BA25">
            <v>0.32018561484918795</v>
          </cell>
          <cell r="BB25">
            <v>0.427927927927928</v>
          </cell>
          <cell r="BC25">
            <v>0.35681470137825411</v>
          </cell>
          <cell r="BD25">
            <v>0.28685258964143423</v>
          </cell>
          <cell r="BE25">
            <v>0.33738938053097356</v>
          </cell>
          <cell r="BF25">
            <v>0.16091954022988508</v>
          </cell>
          <cell r="BG25">
            <v>0.14285714285714279</v>
          </cell>
          <cell r="BH25">
            <v>0.15114235500878737</v>
          </cell>
          <cell r="BI25">
            <v>5.9936908517350229E-2</v>
          </cell>
          <cell r="BJ25">
            <v>0.11851015801354392</v>
          </cell>
          <cell r="BK25">
            <v>0.11764705882352944</v>
          </cell>
          <cell r="BL25">
            <v>0.11827956989247301</v>
          </cell>
          <cell r="BM25">
            <v>0.14851485148514842</v>
          </cell>
          <cell r="BN25">
            <v>7.1022727272727293E-2</v>
          </cell>
          <cell r="BO25">
            <v>0.10687022900763354</v>
          </cell>
          <cell r="BP25">
            <v>6.8452380952380931E-2</v>
          </cell>
          <cell r="BQ25">
            <v>9.3844601412714335E-2</v>
          </cell>
          <cell r="BR25">
            <v>3.0470914127423754E-2</v>
          </cell>
          <cell r="BS25">
            <v>7.6923076923076872E-2</v>
          </cell>
          <cell r="BT25">
            <v>4.0032971389166727E-2</v>
          </cell>
          <cell r="BU25">
            <v>-3.7355620746932883E-2</v>
          </cell>
          <cell r="BV25">
            <v>-2.0909652160516767E-4</v>
          </cell>
          <cell r="BW25">
            <v>1.6617875753430766E-2</v>
          </cell>
          <cell r="BX25">
            <v>5.3636738167139875E-3</v>
          </cell>
          <cell r="BY25">
            <v>-3.7767601606955026E-2</v>
          </cell>
          <cell r="BZ25">
            <v>-5.6561300690035621E-3</v>
          </cell>
          <cell r="CA25">
            <v>-0.14032699583262254</v>
          </cell>
          <cell r="CB25">
            <v>-4.0301157069582705E-2</v>
          </cell>
          <cell r="CC25">
            <v>-0.31710785869485514</v>
          </cell>
          <cell r="CD25">
            <v>-5.9436177033808546E-2</v>
          </cell>
          <cell r="CE25">
            <v>-0.32330576280987799</v>
          </cell>
          <cell r="CF25">
            <v>-0.30000000000000004</v>
          </cell>
          <cell r="CG25">
            <v>-0.30000000000000004</v>
          </cell>
          <cell r="CH25">
            <v>-5.0000000000000044E-2</v>
          </cell>
          <cell r="CI25">
            <v>-5.0000000000000044E-2</v>
          </cell>
          <cell r="CJ25">
            <v>-4.9999999999999933E-2</v>
          </cell>
          <cell r="CP25" t="str">
            <v>Risk of generics circumventing exclusivity in EU</v>
          </cell>
        </row>
        <row r="26">
          <cell r="A26" t="str">
            <v xml:space="preserve">      CER growth</v>
          </cell>
          <cell r="BB26">
            <v>0.36</v>
          </cell>
          <cell r="BC26">
            <v>0.28999999999999998</v>
          </cell>
          <cell r="BD26">
            <v>0.3</v>
          </cell>
          <cell r="BE26">
            <v>0.3</v>
          </cell>
          <cell r="BF26">
            <v>0.18</v>
          </cell>
          <cell r="BG26">
            <v>0.2</v>
          </cell>
          <cell r="BH26">
            <v>0.19</v>
          </cell>
          <cell r="BI26">
            <v>0.12</v>
          </cell>
          <cell r="BJ26">
            <v>0.17</v>
          </cell>
          <cell r="BK26">
            <v>0.14000000000000001</v>
          </cell>
          <cell r="BL26">
            <v>0.16</v>
          </cell>
          <cell r="BM26">
            <v>0.18</v>
          </cell>
          <cell r="BN26">
            <v>0.11</v>
          </cell>
          <cell r="BO26">
            <v>0.15</v>
          </cell>
          <cell r="BP26">
            <v>0.11</v>
          </cell>
          <cell r="BQ26">
            <v>0.13</v>
          </cell>
          <cell r="BR26">
            <v>7.0000000000000007E-2</v>
          </cell>
          <cell r="BS26">
            <v>0.12</v>
          </cell>
        </row>
        <row r="27">
          <cell r="A27" t="str">
            <v>Consensus</v>
          </cell>
          <cell r="BS27">
            <v>1464.4921142126093</v>
          </cell>
          <cell r="BZ27">
            <v>1354.6514250371372</v>
          </cell>
          <cell r="CA27">
            <v>1248.1930610936859</v>
          </cell>
          <cell r="CB27">
            <v>1247.5444614965268</v>
          </cell>
          <cell r="CC27">
            <v>934.88050206342814</v>
          </cell>
        </row>
        <row r="28">
          <cell r="A28" t="str">
            <v>Difference</v>
          </cell>
          <cell r="BS28">
            <v>-5.7986752746532755E-3</v>
          </cell>
          <cell r="BZ28">
            <v>6.8735947758546745E-2</v>
          </cell>
          <cell r="CA28">
            <v>-2.8752394545147331E-3</v>
          </cell>
          <cell r="CB28">
            <v>-4.2563007267390929E-2</v>
          </cell>
          <cell r="CC28">
            <v>-0.12750640273222957</v>
          </cell>
        </row>
        <row r="30">
          <cell r="A30" t="str">
            <v xml:space="preserve">       Exforge US</v>
          </cell>
          <cell r="B30">
            <v>325</v>
          </cell>
          <cell r="C30">
            <v>325</v>
          </cell>
          <cell r="D30">
            <v>650</v>
          </cell>
          <cell r="E30">
            <v>351</v>
          </cell>
          <cell r="F30">
            <v>1001</v>
          </cell>
          <cell r="G30">
            <v>323</v>
          </cell>
          <cell r="W30">
            <v>0</v>
          </cell>
          <cell r="X30">
            <v>11</v>
          </cell>
          <cell r="Y30">
            <v>11</v>
          </cell>
          <cell r="Z30">
            <v>10</v>
          </cell>
          <cell r="AA30">
            <v>21</v>
          </cell>
          <cell r="AB30">
            <v>24</v>
          </cell>
          <cell r="AC30">
            <v>45</v>
          </cell>
          <cell r="AD30">
            <v>26</v>
          </cell>
          <cell r="AE30">
            <v>36</v>
          </cell>
          <cell r="AF30">
            <v>62</v>
          </cell>
          <cell r="AG30">
            <v>44</v>
          </cell>
          <cell r="AH30">
            <v>106</v>
          </cell>
          <cell r="AI30">
            <v>44</v>
          </cell>
          <cell r="AJ30">
            <v>150</v>
          </cell>
          <cell r="AK30">
            <v>49</v>
          </cell>
          <cell r="AL30">
            <v>57</v>
          </cell>
          <cell r="AM30">
            <v>106</v>
          </cell>
          <cell r="AN30">
            <v>60</v>
          </cell>
          <cell r="AO30">
            <v>166</v>
          </cell>
          <cell r="AP30">
            <v>63</v>
          </cell>
          <cell r="AQ30">
            <v>229</v>
          </cell>
          <cell r="AR30">
            <v>66</v>
          </cell>
          <cell r="AS30">
            <v>72</v>
          </cell>
          <cell r="AT30">
            <v>138</v>
          </cell>
          <cell r="AU30">
            <v>73</v>
          </cell>
          <cell r="AV30">
            <v>211</v>
          </cell>
          <cell r="AW30">
            <v>73</v>
          </cell>
          <cell r="AX30">
            <v>284</v>
          </cell>
          <cell r="AY30">
            <v>74</v>
          </cell>
          <cell r="AZ30">
            <v>79</v>
          </cell>
          <cell r="BA30">
            <v>153</v>
          </cell>
          <cell r="BB30">
            <v>85</v>
          </cell>
          <cell r="BC30">
            <v>238</v>
          </cell>
          <cell r="BD30">
            <v>87</v>
          </cell>
          <cell r="BE30">
            <v>325</v>
          </cell>
          <cell r="BF30">
            <v>78</v>
          </cell>
          <cell r="BG30">
            <v>100</v>
          </cell>
          <cell r="BH30">
            <v>178</v>
          </cell>
          <cell r="BI30">
            <v>90</v>
          </cell>
          <cell r="BJ30">
            <v>268</v>
          </cell>
          <cell r="BK30">
            <v>90</v>
          </cell>
          <cell r="BL30">
            <v>358</v>
          </cell>
          <cell r="BM30">
            <v>86</v>
          </cell>
          <cell r="BN30">
            <v>93</v>
          </cell>
          <cell r="BO30">
            <v>179</v>
          </cell>
          <cell r="BP30">
            <v>89</v>
          </cell>
          <cell r="BQ30">
            <v>268</v>
          </cell>
          <cell r="BR30">
            <v>88</v>
          </cell>
          <cell r="BS30">
            <v>356</v>
          </cell>
          <cell r="BT30">
            <v>77.400000000000006</v>
          </cell>
          <cell r="BU30">
            <v>74.400000000000006</v>
          </cell>
          <cell r="BV30">
            <v>151.80000000000001</v>
          </cell>
          <cell r="BW30">
            <v>71.2</v>
          </cell>
          <cell r="BX30">
            <v>223</v>
          </cell>
          <cell r="BY30">
            <v>68.920000000000016</v>
          </cell>
          <cell r="BZ30">
            <v>291.92</v>
          </cell>
          <cell r="CA30">
            <v>204.34399999999999</v>
          </cell>
          <cell r="CB30">
            <v>102.172</v>
          </cell>
          <cell r="CC30">
            <v>51.085999999999999</v>
          </cell>
          <cell r="CD30">
            <v>25.542999999999999</v>
          </cell>
          <cell r="CO30">
            <v>0.4</v>
          </cell>
          <cell r="CP30">
            <v>41913</v>
          </cell>
          <cell r="CQ30">
            <v>-1</v>
          </cell>
          <cell r="CR30">
            <v>-1</v>
          </cell>
          <cell r="CS30">
            <v>-1</v>
          </cell>
          <cell r="CT30">
            <v>-1</v>
          </cell>
          <cell r="DD30">
            <v>0.11</v>
          </cell>
          <cell r="DF30">
            <v>7.0000000000000007E-2</v>
          </cell>
          <cell r="DG30">
            <v>0.06</v>
          </cell>
          <cell r="DH30">
            <v>0.05</v>
          </cell>
          <cell r="DI30">
            <v>0.04</v>
          </cell>
          <cell r="DJ30">
            <v>0.10153846153846158</v>
          </cell>
          <cell r="DK30">
            <v>-5.5865921787709993E-3</v>
          </cell>
        </row>
        <row r="31">
          <cell r="A31" t="str">
            <v xml:space="preserve">           growth </v>
          </cell>
          <cell r="AE31">
            <v>2.2727272727272729</v>
          </cell>
          <cell r="AF31">
            <v>4.6363636363636367</v>
          </cell>
          <cell r="AG31">
            <v>3.4000000000000004</v>
          </cell>
          <cell r="AH31">
            <v>4.0476190476190474</v>
          </cell>
          <cell r="AI31">
            <v>0.83333333333333326</v>
          </cell>
          <cell r="AJ31">
            <v>2.3333333333333335</v>
          </cell>
          <cell r="AK31">
            <v>0.88461538461538458</v>
          </cell>
          <cell r="AL31">
            <v>0.58333333333333326</v>
          </cell>
          <cell r="AM31">
            <v>0.70967741935483875</v>
          </cell>
          <cell r="AN31">
            <v>0.36363636363636354</v>
          </cell>
          <cell r="AP31">
            <v>0.43181818181818188</v>
          </cell>
          <cell r="AQ31">
            <v>0.52666666666666662</v>
          </cell>
          <cell r="AR31">
            <v>0.34693877551020402</v>
          </cell>
          <cell r="AS31">
            <v>0.26315789473684204</v>
          </cell>
          <cell r="AT31">
            <v>0.30188679245283012</v>
          </cell>
          <cell r="AU31">
            <v>0.21666666666666656</v>
          </cell>
          <cell r="AW31">
            <v>0.15873015873015883</v>
          </cell>
          <cell r="AX31">
            <v>0.24017467248908297</v>
          </cell>
          <cell r="AY31">
            <v>0.1212121212121211</v>
          </cell>
          <cell r="AZ31">
            <v>9.7222222222222321E-2</v>
          </cell>
          <cell r="BA31">
            <v>0.10869565217391308</v>
          </cell>
          <cell r="BB31">
            <v>0.16438356164383561</v>
          </cell>
          <cell r="BC31">
            <v>0.12796208530805697</v>
          </cell>
          <cell r="BD31">
            <v>0.19178082191780832</v>
          </cell>
          <cell r="BE31">
            <v>0.14436619718309851</v>
          </cell>
          <cell r="BF31">
            <v>5.4054054054053946E-2</v>
          </cell>
          <cell r="BG31">
            <v>0.26582278481012667</v>
          </cell>
          <cell r="BH31">
            <v>0.1633986928104576</v>
          </cell>
          <cell r="BI31">
            <v>5.8823529411764719E-2</v>
          </cell>
          <cell r="BJ31">
            <v>0.12605042016806722</v>
          </cell>
          <cell r="BK31">
            <v>3.4482758620689724E-2</v>
          </cell>
          <cell r="BL31">
            <v>0.10153846153846158</v>
          </cell>
          <cell r="BM31">
            <v>0.10256410256410264</v>
          </cell>
          <cell r="BN31">
            <v>-6.9999999999999951E-2</v>
          </cell>
          <cell r="BO31">
            <v>5.6179775280897903E-3</v>
          </cell>
          <cell r="BP31">
            <v>-1.1111111111111072E-2</v>
          </cell>
          <cell r="BQ31">
            <v>0</v>
          </cell>
          <cell r="BR31">
            <v>-2.2222222222222254E-2</v>
          </cell>
          <cell r="BS31">
            <v>-5.5865921787709993E-3</v>
          </cell>
          <cell r="BT31">
            <v>-0.1</v>
          </cell>
          <cell r="BU31">
            <v>-0.2</v>
          </cell>
          <cell r="BV31">
            <v>-0.15195530726256978</v>
          </cell>
          <cell r="BW31">
            <v>-0.2</v>
          </cell>
          <cell r="BX31">
            <v>-0.16791044776119401</v>
          </cell>
          <cell r="BY31">
            <v>-0.21681818181818169</v>
          </cell>
          <cell r="BZ31">
            <v>-0.18</v>
          </cell>
          <cell r="CA31">
            <v>-0.3</v>
          </cell>
          <cell r="CB31">
            <v>-0.5</v>
          </cell>
          <cell r="CC31">
            <v>-0.5</v>
          </cell>
          <cell r="CD31">
            <v>-0.5</v>
          </cell>
        </row>
        <row r="32">
          <cell r="A32" t="str">
            <v xml:space="preserve">       Exforge ROW</v>
          </cell>
          <cell r="B32">
            <v>397</v>
          </cell>
          <cell r="C32">
            <v>433</v>
          </cell>
          <cell r="D32">
            <v>830</v>
          </cell>
          <cell r="E32">
            <v>437</v>
          </cell>
          <cell r="F32">
            <v>1267</v>
          </cell>
          <cell r="G32">
            <v>502</v>
          </cell>
          <cell r="S32">
            <v>7</v>
          </cell>
          <cell r="T32">
            <v>7</v>
          </cell>
          <cell r="U32">
            <v>7</v>
          </cell>
          <cell r="V32">
            <v>14</v>
          </cell>
          <cell r="W32">
            <v>6</v>
          </cell>
          <cell r="X32">
            <v>10</v>
          </cell>
          <cell r="Y32">
            <v>16</v>
          </cell>
          <cell r="Z32">
            <v>15</v>
          </cell>
          <cell r="AA32">
            <v>31</v>
          </cell>
          <cell r="AB32">
            <v>27</v>
          </cell>
          <cell r="AC32">
            <v>58</v>
          </cell>
          <cell r="AD32">
            <v>46</v>
          </cell>
          <cell r="AE32">
            <v>65</v>
          </cell>
          <cell r="AF32">
            <v>111</v>
          </cell>
          <cell r="AG32">
            <v>71</v>
          </cell>
          <cell r="AH32">
            <v>182</v>
          </cell>
          <cell r="AI32">
            <v>74</v>
          </cell>
          <cell r="AJ32">
            <v>256</v>
          </cell>
          <cell r="AK32">
            <v>87</v>
          </cell>
          <cell r="AL32">
            <v>111</v>
          </cell>
          <cell r="AM32">
            <v>198</v>
          </cell>
          <cell r="AN32">
            <v>111</v>
          </cell>
          <cell r="AO32">
            <v>309</v>
          </cell>
          <cell r="AP32">
            <v>133</v>
          </cell>
          <cell r="AQ32">
            <v>442</v>
          </cell>
          <cell r="AR32">
            <v>138</v>
          </cell>
          <cell r="AS32">
            <v>155</v>
          </cell>
          <cell r="AT32">
            <v>293</v>
          </cell>
          <cell r="AU32">
            <v>149</v>
          </cell>
          <cell r="AV32">
            <v>442</v>
          </cell>
          <cell r="AW32">
            <v>178</v>
          </cell>
          <cell r="AX32">
            <v>620</v>
          </cell>
          <cell r="AY32">
            <v>187</v>
          </cell>
          <cell r="AZ32">
            <v>229</v>
          </cell>
          <cell r="BA32">
            <v>416</v>
          </cell>
          <cell r="BB32">
            <v>232</v>
          </cell>
          <cell r="BC32">
            <v>648</v>
          </cell>
          <cell r="BD32">
            <v>236</v>
          </cell>
          <cell r="BE32">
            <v>884</v>
          </cell>
          <cell r="BF32">
            <v>225</v>
          </cell>
          <cell r="BG32">
            <v>252</v>
          </cell>
          <cell r="BH32">
            <v>477</v>
          </cell>
          <cell r="BI32">
            <v>246</v>
          </cell>
          <cell r="BJ32">
            <v>723</v>
          </cell>
          <cell r="BK32">
            <v>271</v>
          </cell>
          <cell r="BL32">
            <v>994</v>
          </cell>
          <cell r="BM32">
            <v>262</v>
          </cell>
          <cell r="BN32">
            <v>284</v>
          </cell>
          <cell r="BO32">
            <v>546</v>
          </cell>
          <cell r="BP32">
            <v>270</v>
          </cell>
          <cell r="BQ32">
            <v>816</v>
          </cell>
          <cell r="BR32">
            <v>284</v>
          </cell>
          <cell r="BS32">
            <v>1100</v>
          </cell>
          <cell r="BT32">
            <v>284.53147404343008</v>
          </cell>
          <cell r="BU32">
            <v>288.51693097840626</v>
          </cell>
          <cell r="BV32">
            <v>573.04840502183629</v>
          </cell>
          <cell r="BW32">
            <v>293.76581739548163</v>
          </cell>
          <cell r="BX32">
            <v>866.81422241731798</v>
          </cell>
          <cell r="BY32">
            <v>289.0304522022127</v>
          </cell>
          <cell r="BZ32">
            <v>1155.8446746195307</v>
          </cell>
          <cell r="CA32">
            <v>1040.2602071575777</v>
          </cell>
          <cell r="CB32">
            <v>1092.2732175154567</v>
          </cell>
          <cell r="CC32">
            <v>764.59125226081972</v>
          </cell>
          <cell r="CD32">
            <v>741.65351469299515</v>
          </cell>
          <cell r="CE32">
            <v>519.15746028509659</v>
          </cell>
          <cell r="CF32">
            <v>363.41022219956761</v>
          </cell>
          <cell r="CG32">
            <v>254.38715553969732</v>
          </cell>
          <cell r="CH32">
            <v>241.66779776271244</v>
          </cell>
          <cell r="CI32">
            <v>229.58440787457681</v>
          </cell>
          <cell r="CJ32">
            <v>218.10518748084797</v>
          </cell>
          <cell r="CP32" t="str">
            <v>EU (2017) Japan (2015)</v>
          </cell>
          <cell r="CQ32">
            <v>-1</v>
          </cell>
          <cell r="CR32">
            <v>-1</v>
          </cell>
          <cell r="CS32">
            <v>-1</v>
          </cell>
          <cell r="CT32">
            <v>-1</v>
          </cell>
          <cell r="DC32">
            <v>1.1428571428571428</v>
          </cell>
          <cell r="DD32">
            <v>0.12</v>
          </cell>
          <cell r="DF32">
            <v>3.4137931034482758</v>
          </cell>
          <cell r="DG32">
            <v>0.7265625</v>
          </cell>
          <cell r="DH32">
            <v>0.40271493212669673</v>
          </cell>
          <cell r="DI32">
            <v>0.2</v>
          </cell>
          <cell r="DJ32">
            <v>0.15</v>
          </cell>
          <cell r="DK32">
            <v>0.1</v>
          </cell>
        </row>
        <row r="33">
          <cell r="A33" t="str">
            <v xml:space="preserve">           growth </v>
          </cell>
          <cell r="AX33">
            <v>0.40271493212669673</v>
          </cell>
          <cell r="AY33">
            <v>0.35507246376811596</v>
          </cell>
          <cell r="AZ33">
            <v>0.47741935483870979</v>
          </cell>
          <cell r="BA33">
            <v>0.41979522184300344</v>
          </cell>
          <cell r="BB33">
            <v>0.55704697986577179</v>
          </cell>
          <cell r="BC33">
            <v>0.46606334841628949</v>
          </cell>
          <cell r="BD33">
            <v>0.32584269662921339</v>
          </cell>
          <cell r="BE33">
            <v>0.4258064516129032</v>
          </cell>
          <cell r="BF33">
            <v>0.20320855614973254</v>
          </cell>
          <cell r="BG33">
            <v>0.10043668122270732</v>
          </cell>
          <cell r="BH33">
            <v>0.14663461538461542</v>
          </cell>
          <cell r="BI33">
            <v>6.0344827586206851E-2</v>
          </cell>
          <cell r="BJ33">
            <v>0.1157407407407407</v>
          </cell>
          <cell r="BK33">
            <v>0.14830508474576276</v>
          </cell>
          <cell r="BL33">
            <v>0.1244343891402715</v>
          </cell>
          <cell r="BM33">
            <v>0.16444444444444439</v>
          </cell>
          <cell r="BN33">
            <v>0.12698412698412698</v>
          </cell>
          <cell r="BO33">
            <v>0.14465408805031443</v>
          </cell>
          <cell r="BP33">
            <v>9.7560975609756184E-2</v>
          </cell>
          <cell r="BQ33">
            <v>0.12863070539419086</v>
          </cell>
          <cell r="BR33">
            <v>4.7970479704797064E-2</v>
          </cell>
          <cell r="BS33">
            <v>0.10663983903420515</v>
          </cell>
          <cell r="BT33">
            <v>8.5997992532175882E-2</v>
          </cell>
          <cell r="BU33">
            <v>1.5904686543684043E-2</v>
          </cell>
          <cell r="BV33">
            <v>4.9539203336696591E-2</v>
          </cell>
          <cell r="BW33">
            <v>8.8021545909191312E-2</v>
          </cell>
          <cell r="BX33">
            <v>6.2272331393772085E-2</v>
          </cell>
          <cell r="BY33">
            <v>1.771285986694604E-2</v>
          </cell>
          <cell r="BZ33">
            <v>5.0767886017755171E-2</v>
          </cell>
          <cell r="CA33">
            <v>-9.9999999999999867E-2</v>
          </cell>
          <cell r="CB33">
            <v>5.0000000000000044E-2</v>
          </cell>
          <cell r="CC33">
            <v>-0.30000000000000004</v>
          </cell>
          <cell r="CD33">
            <v>-3.0000000000000027E-2</v>
          </cell>
          <cell r="CE33">
            <v>-0.30000000000000004</v>
          </cell>
          <cell r="CF33">
            <v>-0.30000000000000004</v>
          </cell>
          <cell r="CG33">
            <v>-0.30000000000000004</v>
          </cell>
          <cell r="CH33">
            <v>-5.0000000000000044E-2</v>
          </cell>
          <cell r="CI33">
            <v>-5.0000000000000044E-2</v>
          </cell>
          <cell r="CJ33">
            <v>-4.9999999999999933E-2</v>
          </cell>
        </row>
        <row r="34">
          <cell r="A34" t="str">
            <v xml:space="preserve">   CER growth </v>
          </cell>
          <cell r="AF34">
            <v>5.782930391341135</v>
          </cell>
          <cell r="AG34">
            <v>3.6359180228717949</v>
          </cell>
          <cell r="AH34">
            <v>4.7449752823752824</v>
          </cell>
          <cell r="AI34">
            <v>1.8004271909630836</v>
          </cell>
          <cell r="AJ34">
            <v>3.3289506426904203</v>
          </cell>
          <cell r="AK34">
            <v>0.99604742779264954</v>
          </cell>
          <cell r="AL34">
            <v>0.81595359124534261</v>
          </cell>
          <cell r="AM34">
            <v>0.89028596554358264</v>
          </cell>
          <cell r="AN34">
            <v>0.58941001718352981</v>
          </cell>
          <cell r="AP34">
            <v>0.67761058649271821</v>
          </cell>
          <cell r="AQ34">
            <v>0.7265625</v>
          </cell>
          <cell r="AR34">
            <v>0.52171746649829465</v>
          </cell>
          <cell r="AS34">
            <v>0.44163295884687304</v>
          </cell>
          <cell r="AT34">
            <v>0.47017154599650346</v>
          </cell>
          <cell r="AU34">
            <v>0.40384348894346123</v>
          </cell>
          <cell r="AW34">
            <v>0.38487200000759425</v>
          </cell>
          <cell r="AX34">
            <v>0.40271493212669673</v>
          </cell>
          <cell r="AY34">
            <v>0.3349632497849333</v>
          </cell>
          <cell r="AZ34">
            <v>0.31790770772947052</v>
          </cell>
          <cell r="BA34">
            <v>0.32998479129679237</v>
          </cell>
          <cell r="BB34">
            <v>0.46</v>
          </cell>
          <cell r="BC34">
            <v>0.37</v>
          </cell>
          <cell r="BD34">
            <v>0.34</v>
          </cell>
          <cell r="BE34">
            <v>0.36</v>
          </cell>
          <cell r="BF34">
            <v>0.22</v>
          </cell>
          <cell r="BG34">
            <v>0.2</v>
          </cell>
          <cell r="BH34">
            <v>0.2</v>
          </cell>
          <cell r="BI34">
            <v>0.15</v>
          </cell>
          <cell r="BK34">
            <v>0.18</v>
          </cell>
          <cell r="BL34">
            <v>0.18</v>
          </cell>
          <cell r="BM34">
            <v>0.21</v>
          </cell>
          <cell r="BN34">
            <v>0.18</v>
          </cell>
          <cell r="BO34">
            <v>0.2</v>
          </cell>
          <cell r="BP34">
            <v>0.15</v>
          </cell>
          <cell r="BQ34">
            <v>0.18</v>
          </cell>
          <cell r="BR34">
            <v>0.1</v>
          </cell>
          <cell r="BS34">
            <v>0.16</v>
          </cell>
          <cell r="BT34">
            <v>0.1</v>
          </cell>
          <cell r="BU34">
            <v>0</v>
          </cell>
          <cell r="BW34">
            <v>0.08</v>
          </cell>
          <cell r="BY34">
            <v>1.0904592910759403E-2</v>
          </cell>
          <cell r="BZ34">
            <v>0.05</v>
          </cell>
          <cell r="CA34">
            <v>-0.1</v>
          </cell>
          <cell r="CB34">
            <v>0.05</v>
          </cell>
          <cell r="CC34">
            <v>-0.3</v>
          </cell>
          <cell r="CD34">
            <v>-0.03</v>
          </cell>
          <cell r="CE34">
            <v>-0.3</v>
          </cell>
          <cell r="CF34">
            <v>-0.3</v>
          </cell>
          <cell r="CG34">
            <v>-0.3</v>
          </cell>
          <cell r="CH34">
            <v>-0.05</v>
          </cell>
          <cell r="CI34">
            <v>-0.05</v>
          </cell>
          <cell r="CJ34">
            <v>-0.05</v>
          </cell>
        </row>
        <row r="36">
          <cell r="A36" t="str">
            <v>Valsartan group</v>
          </cell>
          <cell r="AQ36">
            <v>6684</v>
          </cell>
          <cell r="AR36">
            <v>1646</v>
          </cell>
          <cell r="AS36">
            <v>1779</v>
          </cell>
          <cell r="AT36">
            <v>3425</v>
          </cell>
          <cell r="AU36">
            <v>1705</v>
          </cell>
          <cell r="AV36">
            <v>5130</v>
          </cell>
          <cell r="AW36">
            <v>1827</v>
          </cell>
          <cell r="AX36">
            <v>6957</v>
          </cell>
          <cell r="AY36">
            <v>1666</v>
          </cell>
          <cell r="AZ36">
            <v>1821</v>
          </cell>
          <cell r="BA36">
            <v>3487</v>
          </cell>
          <cell r="BB36">
            <v>1746</v>
          </cell>
          <cell r="BC36">
            <v>5233</v>
          </cell>
          <cell r="BD36">
            <v>1641</v>
          </cell>
          <cell r="BE36">
            <v>6874</v>
          </cell>
          <cell r="BF36">
            <v>1493</v>
          </cell>
          <cell r="BG36">
            <v>1618</v>
          </cell>
          <cell r="BH36">
            <v>3111</v>
          </cell>
          <cell r="BI36">
            <v>1305</v>
          </cell>
          <cell r="BJ36">
            <v>4416</v>
          </cell>
          <cell r="BK36">
            <v>1353</v>
          </cell>
          <cell r="BL36">
            <v>5769</v>
          </cell>
          <cell r="BM36">
            <v>1266</v>
          </cell>
          <cell r="BN36">
            <v>1305</v>
          </cell>
          <cell r="BO36">
            <v>2571</v>
          </cell>
          <cell r="BP36">
            <v>1194</v>
          </cell>
          <cell r="BQ36">
            <v>3765</v>
          </cell>
          <cell r="BR36">
            <v>1215</v>
          </cell>
          <cell r="BS36">
            <v>4980</v>
          </cell>
          <cell r="BT36">
            <v>1182.5408543344588</v>
          </cell>
          <cell r="BU36">
            <v>1182.3304986937205</v>
          </cell>
          <cell r="BV36">
            <v>2364.8713530281793</v>
          </cell>
          <cell r="BW36">
            <v>662.35533709853553</v>
          </cell>
          <cell r="BX36">
            <v>3027.2266901267149</v>
          </cell>
          <cell r="BY36">
            <v>644.79994856621443</v>
          </cell>
          <cell r="BZ36">
            <v>3672.0266386929297</v>
          </cell>
          <cell r="CA36">
            <v>2383.9156802126267</v>
          </cell>
          <cell r="CB36">
            <v>2230.8346874566523</v>
          </cell>
          <cell r="CC36">
            <v>1763.3003193061313</v>
          </cell>
          <cell r="CD36">
            <v>1637.1325690451349</v>
          </cell>
          <cell r="CE36">
            <v>1336.9582569196293</v>
          </cell>
          <cell r="CF36">
            <v>1134.2740605023737</v>
          </cell>
          <cell r="CG36">
            <v>982.47495897736303</v>
          </cell>
          <cell r="CH36">
            <v>930.38822096349486</v>
          </cell>
          <cell r="CI36">
            <v>881.79471686981992</v>
          </cell>
          <cell r="CJ36">
            <v>836.25311589447892</v>
          </cell>
        </row>
        <row r="37">
          <cell r="A37" t="str">
            <v xml:space="preserve">   growth %</v>
          </cell>
          <cell r="AX37">
            <v>4.0843806104129188E-2</v>
          </cell>
          <cell r="AY37">
            <v>1.2150668286755817E-2</v>
          </cell>
          <cell r="AZ37">
            <v>2.3608768971332239E-2</v>
          </cell>
          <cell r="BA37">
            <v>1.8102189781021849E-2</v>
          </cell>
          <cell r="BB37">
            <v>2.4046920821114259E-2</v>
          </cell>
          <cell r="BC37">
            <v>2.0077972709551695E-2</v>
          </cell>
          <cell r="BD37">
            <v>-0.10180623973727421</v>
          </cell>
          <cell r="BE37">
            <v>-1.1930429782952445E-2</v>
          </cell>
          <cell r="BF37">
            <v>-0.1038415366146459</v>
          </cell>
          <cell r="BG37">
            <v>-0.11147721032399782</v>
          </cell>
          <cell r="BH37">
            <v>-0.1078290794379122</v>
          </cell>
          <cell r="BI37">
            <v>-0.25257731958762886</v>
          </cell>
          <cell r="BJ37">
            <v>-0.15612459392317979</v>
          </cell>
          <cell r="BK37">
            <v>-0.17550274223034734</v>
          </cell>
          <cell r="BL37">
            <v>-0.16075065464067506</v>
          </cell>
          <cell r="BM37">
            <v>-0.1520428667113195</v>
          </cell>
          <cell r="BN37">
            <v>-0.19344870210135967</v>
          </cell>
          <cell r="BO37">
            <v>-0.17357762777242047</v>
          </cell>
          <cell r="BP37">
            <v>-8.5057471264367801E-2</v>
          </cell>
          <cell r="BQ37">
            <v>-0.14741847826086951</v>
          </cell>
          <cell r="BR37">
            <v>-0.10199556541019961</v>
          </cell>
          <cell r="BS37">
            <v>-0.13676547061882471</v>
          </cell>
          <cell r="BT37">
            <v>-6.592349578636747E-2</v>
          </cell>
          <cell r="BU37">
            <v>-9.3999617859217954E-2</v>
          </cell>
          <cell r="BV37">
            <v>-8.0174502906192435E-2</v>
          </cell>
          <cell r="BW37">
            <v>-0.4452635367683957</v>
          </cell>
          <cell r="BX37">
            <v>-0.19595572639396686</v>
          </cell>
          <cell r="BY37">
            <v>-0.46930045385496755</v>
          </cell>
          <cell r="BZ37">
            <v>-0.26264525327451205</v>
          </cell>
          <cell r="CA37">
            <v>-0.35079019986053539</v>
          </cell>
          <cell r="CB37">
            <v>-6.4214097011317417E-2</v>
          </cell>
          <cell r="CC37">
            <v>-0.20957822234849288</v>
          </cell>
          <cell r="CD37">
            <v>-7.1552048666697954E-2</v>
          </cell>
          <cell r="CE37">
            <v>-0.18335369890086761</v>
          </cell>
          <cell r="CF37">
            <v>-0.1516009908074788</v>
          </cell>
          <cell r="CG37">
            <v>-0.13382929823659928</v>
          </cell>
          <cell r="CH37">
            <v>-5.3015842834390536E-2</v>
          </cell>
          <cell r="CI37">
            <v>-5.2229276982196038E-2</v>
          </cell>
          <cell r="CJ37">
            <v>-5.1646488807512769E-2</v>
          </cell>
        </row>
        <row r="39">
          <cell r="A39" t="str">
            <v>Tekturna/Rasilez</v>
          </cell>
          <cell r="B39">
            <v>0</v>
          </cell>
          <cell r="C39">
            <v>0</v>
          </cell>
          <cell r="D39">
            <v>0</v>
          </cell>
          <cell r="E39">
            <v>0</v>
          </cell>
          <cell r="F39">
            <v>0</v>
          </cell>
          <cell r="G39">
            <v>0</v>
          </cell>
          <cell r="W39">
            <v>10</v>
          </cell>
          <cell r="X39">
            <v>1</v>
          </cell>
          <cell r="Y39">
            <v>11</v>
          </cell>
          <cell r="Z39">
            <v>9</v>
          </cell>
          <cell r="AA39">
            <v>20</v>
          </cell>
          <cell r="AB39">
            <v>20</v>
          </cell>
          <cell r="AC39">
            <v>40</v>
          </cell>
          <cell r="AD39">
            <v>28</v>
          </cell>
          <cell r="AE39">
            <v>30</v>
          </cell>
          <cell r="AF39">
            <v>58</v>
          </cell>
          <cell r="AG39">
            <v>40</v>
          </cell>
          <cell r="AH39">
            <v>98</v>
          </cell>
          <cell r="AI39">
            <v>46</v>
          </cell>
          <cell r="AJ39">
            <v>144</v>
          </cell>
          <cell r="AK39">
            <v>52</v>
          </cell>
          <cell r="AL39">
            <v>67</v>
          </cell>
          <cell r="AM39">
            <v>119</v>
          </cell>
          <cell r="AN39">
            <v>83</v>
          </cell>
          <cell r="AO39">
            <v>202</v>
          </cell>
          <cell r="AP39">
            <v>88</v>
          </cell>
          <cell r="AQ39">
            <v>290</v>
          </cell>
          <cell r="AR39">
            <v>89</v>
          </cell>
          <cell r="AS39">
            <v>103</v>
          </cell>
          <cell r="AT39">
            <v>192</v>
          </cell>
          <cell r="AU39">
            <v>113</v>
          </cell>
          <cell r="AV39">
            <v>305</v>
          </cell>
          <cell r="AW39">
            <v>133</v>
          </cell>
          <cell r="AX39">
            <v>438</v>
          </cell>
          <cell r="AY39">
            <v>131</v>
          </cell>
          <cell r="AZ39">
            <v>159</v>
          </cell>
          <cell r="BA39">
            <v>290</v>
          </cell>
          <cell r="BB39">
            <v>159</v>
          </cell>
          <cell r="BC39">
            <v>449</v>
          </cell>
          <cell r="BD39">
            <v>108</v>
          </cell>
          <cell r="BE39">
            <v>557</v>
          </cell>
          <cell r="BF39">
            <v>129</v>
          </cell>
          <cell r="BG39">
            <v>98</v>
          </cell>
          <cell r="BH39">
            <v>227</v>
          </cell>
          <cell r="BI39">
            <v>75</v>
          </cell>
          <cell r="BJ39">
            <v>302</v>
          </cell>
          <cell r="BK39">
            <v>81</v>
          </cell>
          <cell r="BL39">
            <v>383</v>
          </cell>
          <cell r="BM39">
            <v>68</v>
          </cell>
          <cell r="BN39">
            <v>86</v>
          </cell>
          <cell r="BO39">
            <v>154</v>
          </cell>
          <cell r="BP39">
            <v>77</v>
          </cell>
          <cell r="BQ39">
            <v>231</v>
          </cell>
          <cell r="BR39">
            <v>59</v>
          </cell>
          <cell r="BS39">
            <v>290</v>
          </cell>
          <cell r="BT39">
            <v>59.916294287475168</v>
          </cell>
          <cell r="BU39">
            <v>76.093247101338335</v>
          </cell>
          <cell r="BV39">
            <v>136.00954138881349</v>
          </cell>
          <cell r="BW39">
            <v>70.300901815926608</v>
          </cell>
          <cell r="BX39">
            <v>206.3104432047401</v>
          </cell>
          <cell r="BY39">
            <v>55.316145434818111</v>
          </cell>
          <cell r="BZ39">
            <v>261.62658863955824</v>
          </cell>
          <cell r="CA39">
            <v>214.92125920758031</v>
          </cell>
          <cell r="CB39">
            <v>187.36319624720127</v>
          </cell>
          <cell r="CC39">
            <v>169.5890364348412</v>
          </cell>
          <cell r="CD39">
            <v>134.73722914787297</v>
          </cell>
          <cell r="CE39">
            <v>102.88628331829837</v>
          </cell>
          <cell r="CF39">
            <v>82.04750665463871</v>
          </cell>
          <cell r="CG39">
            <v>65.638005323710971</v>
          </cell>
          <cell r="CH39">
            <v>52.510404258968777</v>
          </cell>
          <cell r="CI39">
            <v>42.008323407175027</v>
          </cell>
          <cell r="CJ39">
            <v>33.606658725740026</v>
          </cell>
          <cell r="CP39" t="str">
            <v>2015-2020</v>
          </cell>
          <cell r="DF39">
            <v>2.6</v>
          </cell>
          <cell r="DG39">
            <v>1.0138888888888888</v>
          </cell>
          <cell r="DH39">
            <v>0.51034482758620681</v>
          </cell>
          <cell r="DI39">
            <v>0.27168949771689488</v>
          </cell>
          <cell r="DJ39">
            <v>-0.31238779174147213</v>
          </cell>
          <cell r="DK39">
            <v>-0.24281984334203655</v>
          </cell>
        </row>
        <row r="40">
          <cell r="A40" t="str">
            <v xml:space="preserve">   growth %</v>
          </cell>
          <cell r="AE40">
            <v>29</v>
          </cell>
          <cell r="AF40">
            <v>4.2727272727272725</v>
          </cell>
          <cell r="AG40">
            <v>3.4444444444444446</v>
          </cell>
          <cell r="AH40">
            <v>3.9000000000000004</v>
          </cell>
          <cell r="AI40">
            <v>1.2999999999999998</v>
          </cell>
          <cell r="AJ40">
            <v>2.6</v>
          </cell>
          <cell r="AK40">
            <v>0.85714285714285721</v>
          </cell>
          <cell r="AL40">
            <v>1.2333333333333334</v>
          </cell>
          <cell r="AM40">
            <v>1.0517241379310347</v>
          </cell>
          <cell r="AN40">
            <v>1.0750000000000002</v>
          </cell>
          <cell r="AO40">
            <v>1.0612244897959182</v>
          </cell>
          <cell r="AP40">
            <v>0.91304347826086962</v>
          </cell>
          <cell r="AQ40">
            <v>1.0138888888888888</v>
          </cell>
          <cell r="AR40">
            <v>0.71153846153846145</v>
          </cell>
          <cell r="AS40">
            <v>0.53731343283582089</v>
          </cell>
          <cell r="AT40">
            <v>0.61344537815126055</v>
          </cell>
          <cell r="AU40">
            <v>0.36144578313253017</v>
          </cell>
          <cell r="AV40">
            <v>0.50990099009900991</v>
          </cell>
          <cell r="AW40">
            <v>0.51136363636363646</v>
          </cell>
          <cell r="AX40">
            <v>0.51034482758620681</v>
          </cell>
          <cell r="AY40">
            <v>0.4719101123595506</v>
          </cell>
          <cell r="AZ40">
            <v>0.5436893203883495</v>
          </cell>
          <cell r="BA40">
            <v>0.51041666666666674</v>
          </cell>
          <cell r="BB40">
            <v>0.40707964601769908</v>
          </cell>
          <cell r="BC40">
            <v>0.47213114754098351</v>
          </cell>
          <cell r="BD40">
            <v>-0.18796992481203012</v>
          </cell>
          <cell r="BE40">
            <v>0.27168949771689488</v>
          </cell>
          <cell r="BF40">
            <v>-1.5267175572519109E-2</v>
          </cell>
          <cell r="BG40">
            <v>-0.38364779874213839</v>
          </cell>
          <cell r="BH40">
            <v>-0.21724137931034482</v>
          </cell>
          <cell r="BI40">
            <v>-0.52830188679245282</v>
          </cell>
          <cell r="BJ40">
            <v>-0.32739420935412022</v>
          </cell>
          <cell r="BK40">
            <v>-0.25</v>
          </cell>
          <cell r="BL40">
            <v>-0.31238779174147213</v>
          </cell>
          <cell r="BM40">
            <v>-0.47286821705426352</v>
          </cell>
          <cell r="BN40">
            <v>-0.12244897959183676</v>
          </cell>
          <cell r="BO40">
            <v>-0.32158590308370039</v>
          </cell>
          <cell r="BP40">
            <v>2.6666666666666616E-2</v>
          </cell>
          <cell r="BQ40">
            <v>-0.23509933774834435</v>
          </cell>
          <cell r="BR40">
            <v>-0.27160493827160492</v>
          </cell>
          <cell r="BS40">
            <v>-0.24281984334203655</v>
          </cell>
          <cell r="BT40">
            <v>-0.11887802518418866</v>
          </cell>
          <cell r="BU40">
            <v>-0.11519480114722869</v>
          </cell>
          <cell r="BV40">
            <v>-0.11682115981289942</v>
          </cell>
          <cell r="BW40">
            <v>-8.7001275117836285E-2</v>
          </cell>
          <cell r="BX40">
            <v>-0.10688119824787834</v>
          </cell>
          <cell r="BY40">
            <v>-6.2438212969184614E-2</v>
          </cell>
          <cell r="BZ40">
            <v>-9.7839349518764718E-2</v>
          </cell>
          <cell r="CA40">
            <v>-0.17851904760461346</v>
          </cell>
          <cell r="CB40">
            <v>-0.12822399730015654</v>
          </cell>
          <cell r="CC40">
            <v>-9.4864734208042534E-2</v>
          </cell>
          <cell r="CD40">
            <v>-0.20550743149224071</v>
          </cell>
          <cell r="CE40">
            <v>-0.23639305952045708</v>
          </cell>
          <cell r="CF40">
            <v>-0.20254183542806115</v>
          </cell>
          <cell r="CG40">
            <v>-0.19999999999999996</v>
          </cell>
          <cell r="CH40">
            <v>-0.19999999999999996</v>
          </cell>
          <cell r="CI40">
            <v>-0.19999999999999984</v>
          </cell>
          <cell r="CJ40">
            <v>-0.19999999999999984</v>
          </cell>
        </row>
        <row r="41">
          <cell r="A41" t="str">
            <v xml:space="preserve">      CER growth</v>
          </cell>
          <cell r="BB41">
            <v>0.34</v>
          </cell>
          <cell r="BC41">
            <v>0.41</v>
          </cell>
          <cell r="BD41">
            <v>-0.18</v>
          </cell>
          <cell r="BE41">
            <v>0.24</v>
          </cell>
          <cell r="BF41">
            <v>0</v>
          </cell>
          <cell r="BG41">
            <v>-0.35</v>
          </cell>
          <cell r="BH41">
            <v>-0.19</v>
          </cell>
          <cell r="BI41">
            <v>-0.49</v>
          </cell>
          <cell r="BJ41">
            <v>-0.3</v>
          </cell>
          <cell r="BK41">
            <v>-0.23</v>
          </cell>
          <cell r="BL41">
            <v>-0.28999999999999998</v>
          </cell>
          <cell r="BM41">
            <v>-0.46</v>
          </cell>
          <cell r="BN41">
            <v>-0.1</v>
          </cell>
          <cell r="BO41">
            <v>-0.31</v>
          </cell>
          <cell r="BP41">
            <v>0.03</v>
          </cell>
          <cell r="BQ41">
            <v>-0.22</v>
          </cell>
          <cell r="BR41">
            <v>-0.25</v>
          </cell>
          <cell r="BS41">
            <v>-0.23</v>
          </cell>
        </row>
        <row r="42">
          <cell r="A42" t="str">
            <v xml:space="preserve">       Tekturna US</v>
          </cell>
          <cell r="D42">
            <v>0</v>
          </cell>
          <cell r="F42">
            <v>0</v>
          </cell>
          <cell r="W42">
            <v>10</v>
          </cell>
          <cell r="X42">
            <v>1</v>
          </cell>
          <cell r="Y42">
            <v>11</v>
          </cell>
          <cell r="Z42">
            <v>9</v>
          </cell>
          <cell r="AA42">
            <v>20</v>
          </cell>
          <cell r="AB42">
            <v>20</v>
          </cell>
          <cell r="AC42">
            <v>40</v>
          </cell>
          <cell r="AD42">
            <v>28</v>
          </cell>
          <cell r="AE42">
            <v>30</v>
          </cell>
          <cell r="AF42">
            <v>58</v>
          </cell>
          <cell r="AG42">
            <v>40</v>
          </cell>
          <cell r="AH42">
            <v>98</v>
          </cell>
          <cell r="AI42">
            <v>40</v>
          </cell>
          <cell r="AJ42">
            <v>138</v>
          </cell>
          <cell r="AK42">
            <v>42</v>
          </cell>
          <cell r="AL42">
            <v>49</v>
          </cell>
          <cell r="AM42">
            <v>91</v>
          </cell>
          <cell r="AN42">
            <v>55</v>
          </cell>
          <cell r="AO42">
            <v>146</v>
          </cell>
          <cell r="AP42">
            <v>55</v>
          </cell>
          <cell r="AQ42">
            <v>201</v>
          </cell>
          <cell r="AR42">
            <v>43</v>
          </cell>
          <cell r="AS42">
            <v>50</v>
          </cell>
          <cell r="AT42">
            <v>93</v>
          </cell>
          <cell r="AU42">
            <v>55</v>
          </cell>
          <cell r="AV42">
            <v>148</v>
          </cell>
          <cell r="AW42">
            <v>59</v>
          </cell>
          <cell r="AX42">
            <v>207</v>
          </cell>
          <cell r="AY42">
            <v>57</v>
          </cell>
          <cell r="AZ42">
            <v>67</v>
          </cell>
          <cell r="BA42">
            <v>124</v>
          </cell>
          <cell r="BB42">
            <v>65</v>
          </cell>
          <cell r="BC42">
            <v>189</v>
          </cell>
          <cell r="BD42">
            <v>27</v>
          </cell>
          <cell r="BE42">
            <v>216</v>
          </cell>
          <cell r="BF42">
            <v>56</v>
          </cell>
          <cell r="BG42">
            <v>37</v>
          </cell>
          <cell r="BH42">
            <v>93</v>
          </cell>
          <cell r="BI42">
            <v>36</v>
          </cell>
          <cell r="BJ42">
            <v>129</v>
          </cell>
          <cell r="BK42">
            <v>36</v>
          </cell>
          <cell r="BL42">
            <v>165</v>
          </cell>
          <cell r="BM42">
            <v>28</v>
          </cell>
          <cell r="BN42">
            <v>22.2</v>
          </cell>
          <cell r="BO42">
            <v>50.2</v>
          </cell>
          <cell r="BP42">
            <v>21.599999999999998</v>
          </cell>
          <cell r="BQ42">
            <v>71.8</v>
          </cell>
          <cell r="BR42">
            <v>21.599999999999998</v>
          </cell>
          <cell r="BS42">
            <v>93.399999999999991</v>
          </cell>
          <cell r="BT42">
            <v>22.400000000000002</v>
          </cell>
          <cell r="BU42">
            <v>17.760000000000002</v>
          </cell>
          <cell r="BV42">
            <v>40.160000000000004</v>
          </cell>
          <cell r="BW42">
            <v>17.279999999999998</v>
          </cell>
          <cell r="BX42">
            <v>57.44</v>
          </cell>
          <cell r="BY42">
            <v>17.28</v>
          </cell>
          <cell r="BZ42">
            <v>74.72</v>
          </cell>
          <cell r="CA42">
            <v>37.36</v>
          </cell>
          <cell r="CB42">
            <v>18.68</v>
          </cell>
          <cell r="CC42">
            <v>9.34</v>
          </cell>
          <cell r="CD42">
            <v>6.5379999999999994</v>
          </cell>
          <cell r="CE42">
            <v>0.32690000000000025</v>
          </cell>
          <cell r="CO42">
            <v>0.4</v>
          </cell>
          <cell r="CP42" t="str">
            <v>2018 (+ PED if granted)</v>
          </cell>
          <cell r="CQ42" t="e">
            <v>#DIV/0!</v>
          </cell>
          <cell r="CR42" t="e">
            <v>#DIV/0!</v>
          </cell>
          <cell r="CS42" t="e">
            <v>#DIV/0!</v>
          </cell>
          <cell r="CT42" t="e">
            <v>#DIV/0!</v>
          </cell>
          <cell r="DF42">
            <v>1.5</v>
          </cell>
          <cell r="DG42">
            <v>1</v>
          </cell>
          <cell r="DH42">
            <v>0.25</v>
          </cell>
          <cell r="DI42">
            <v>0.26666666666666661</v>
          </cell>
          <cell r="DJ42">
            <v>7.8947368421052655E-2</v>
          </cell>
          <cell r="DK42">
            <v>0.03</v>
          </cell>
        </row>
        <row r="43">
          <cell r="A43" t="str">
            <v xml:space="preserve">           growth </v>
          </cell>
          <cell r="AF43">
            <v>4.2727272727272725</v>
          </cell>
          <cell r="AH43">
            <v>3.9000000000000004</v>
          </cell>
          <cell r="AJ43">
            <v>2.4500000000000002</v>
          </cell>
          <cell r="AK43">
            <v>0.5</v>
          </cell>
          <cell r="AL43">
            <v>0.6333333333333333</v>
          </cell>
          <cell r="AM43">
            <v>0.56896551724137923</v>
          </cell>
          <cell r="AN43">
            <v>0.375</v>
          </cell>
          <cell r="AO43">
            <v>0.48979591836734704</v>
          </cell>
          <cell r="AP43">
            <v>0.375</v>
          </cell>
          <cell r="AQ43">
            <v>0.45652173913043481</v>
          </cell>
          <cell r="AR43">
            <v>2.3809523809523725E-2</v>
          </cell>
          <cell r="AS43">
            <v>2.0408163265306145E-2</v>
          </cell>
          <cell r="AT43">
            <v>2.19780219780219E-2</v>
          </cell>
          <cell r="AU43">
            <v>0</v>
          </cell>
          <cell r="AV43">
            <v>1.3698630136986356E-2</v>
          </cell>
          <cell r="AW43">
            <v>7.2727272727272751E-2</v>
          </cell>
          <cell r="AX43">
            <v>2.9850746268656803E-2</v>
          </cell>
          <cell r="AY43">
            <v>0.32558139534883712</v>
          </cell>
          <cell r="AZ43">
            <v>0.34000000000000008</v>
          </cell>
          <cell r="BA43">
            <v>0.33333333333333326</v>
          </cell>
          <cell r="BB43">
            <v>0.18181818181818188</v>
          </cell>
          <cell r="BC43">
            <v>0.27702702702702697</v>
          </cell>
          <cell r="BD43">
            <v>-0.5423728813559322</v>
          </cell>
          <cell r="BE43">
            <v>4.3478260869565188E-2</v>
          </cell>
          <cell r="BF43">
            <v>-1.7543859649122862E-2</v>
          </cell>
          <cell r="BG43">
            <v>-0.44776119402985071</v>
          </cell>
          <cell r="BH43">
            <v>-0.25</v>
          </cell>
          <cell r="BI43">
            <v>-0.44615384615384612</v>
          </cell>
          <cell r="BJ43">
            <v>-0.31746031746031744</v>
          </cell>
          <cell r="BK43">
            <v>0.33333333333333326</v>
          </cell>
          <cell r="BL43">
            <v>-0.23611111111111116</v>
          </cell>
          <cell r="BM43">
            <v>-0.5</v>
          </cell>
          <cell r="BN43">
            <v>-0.4</v>
          </cell>
          <cell r="BO43">
            <v>-0.46021505376344085</v>
          </cell>
          <cell r="BP43">
            <v>-0.4</v>
          </cell>
          <cell r="BQ43">
            <v>-0.44341085271317837</v>
          </cell>
          <cell r="BR43">
            <v>-0.4</v>
          </cell>
          <cell r="BS43">
            <v>-0.7</v>
          </cell>
          <cell r="BT43">
            <v>-0.2</v>
          </cell>
          <cell r="BU43">
            <v>-0.2</v>
          </cell>
          <cell r="BV43">
            <v>-0.19999999999999996</v>
          </cell>
          <cell r="BW43">
            <v>-0.2</v>
          </cell>
          <cell r="BX43">
            <v>-0.19999999999999996</v>
          </cell>
          <cell r="BY43">
            <v>-0.19999999999999984</v>
          </cell>
          <cell r="BZ43">
            <v>-0.2</v>
          </cell>
          <cell r="CA43">
            <v>-0.5</v>
          </cell>
          <cell r="CB43">
            <v>-0.5</v>
          </cell>
          <cell r="CC43">
            <v>-0.5</v>
          </cell>
          <cell r="CD43">
            <v>-0.3</v>
          </cell>
          <cell r="CE43">
            <v>-0.95</v>
          </cell>
        </row>
        <row r="44">
          <cell r="A44" t="str">
            <v xml:space="preserve">       Tekturna ROW</v>
          </cell>
          <cell r="D44">
            <v>0</v>
          </cell>
          <cell r="F44">
            <v>0</v>
          </cell>
          <cell r="AA44">
            <v>0</v>
          </cell>
          <cell r="AC44">
            <v>0</v>
          </cell>
          <cell r="AH44">
            <v>0</v>
          </cell>
          <cell r="AI44">
            <v>6</v>
          </cell>
          <cell r="AJ44">
            <v>6</v>
          </cell>
          <cell r="AK44">
            <v>10</v>
          </cell>
          <cell r="AL44">
            <v>18</v>
          </cell>
          <cell r="AM44">
            <v>28</v>
          </cell>
          <cell r="AN44">
            <v>28</v>
          </cell>
          <cell r="AO44">
            <v>56</v>
          </cell>
          <cell r="AP44">
            <v>33</v>
          </cell>
          <cell r="AQ44">
            <v>89</v>
          </cell>
          <cell r="AR44">
            <v>46</v>
          </cell>
          <cell r="AS44">
            <v>53</v>
          </cell>
          <cell r="AT44">
            <v>99</v>
          </cell>
          <cell r="AU44">
            <v>58</v>
          </cell>
          <cell r="AV44">
            <v>157</v>
          </cell>
          <cell r="AW44">
            <v>74</v>
          </cell>
          <cell r="AX44">
            <v>231</v>
          </cell>
          <cell r="AY44">
            <v>74</v>
          </cell>
          <cell r="AZ44">
            <v>92</v>
          </cell>
          <cell r="BA44">
            <v>166</v>
          </cell>
          <cell r="BB44">
            <v>94</v>
          </cell>
          <cell r="BC44">
            <v>260</v>
          </cell>
          <cell r="BD44">
            <v>81</v>
          </cell>
          <cell r="BE44">
            <v>341</v>
          </cell>
          <cell r="BF44">
            <v>73</v>
          </cell>
          <cell r="BG44">
            <v>61</v>
          </cell>
          <cell r="BH44">
            <v>134</v>
          </cell>
          <cell r="BI44">
            <v>39</v>
          </cell>
          <cell r="BJ44">
            <v>173</v>
          </cell>
          <cell r="BK44">
            <v>45</v>
          </cell>
          <cell r="BL44">
            <v>218</v>
          </cell>
          <cell r="BM44">
            <v>40</v>
          </cell>
          <cell r="BN44">
            <v>63.8</v>
          </cell>
          <cell r="BO44">
            <v>103.8</v>
          </cell>
          <cell r="BP44">
            <v>55.400000000000006</v>
          </cell>
          <cell r="BQ44">
            <v>159.19999999999999</v>
          </cell>
          <cell r="BR44">
            <v>37.400000000000006</v>
          </cell>
          <cell r="BS44">
            <v>196.6</v>
          </cell>
          <cell r="BT44">
            <v>37.516294287475162</v>
          </cell>
          <cell r="BU44">
            <v>58.333247101338337</v>
          </cell>
          <cell r="BV44">
            <v>95.849541388813492</v>
          </cell>
          <cell r="BW44">
            <v>53.020901815926607</v>
          </cell>
          <cell r="BX44">
            <v>148.8704432047401</v>
          </cell>
          <cell r="BY44">
            <v>38.03614543481811</v>
          </cell>
          <cell r="BZ44">
            <v>186.90658863955821</v>
          </cell>
          <cell r="CA44">
            <v>177.56125920758029</v>
          </cell>
          <cell r="CB44">
            <v>168.68319624720127</v>
          </cell>
          <cell r="CC44">
            <v>160.2490364348412</v>
          </cell>
          <cell r="CD44">
            <v>128.19922914787296</v>
          </cell>
          <cell r="CE44">
            <v>102.55938331829837</v>
          </cell>
          <cell r="CF44">
            <v>82.04750665463871</v>
          </cell>
          <cell r="CG44">
            <v>65.638005323710971</v>
          </cell>
          <cell r="CH44">
            <v>52.510404258968777</v>
          </cell>
          <cell r="CI44">
            <v>42.008323407175027</v>
          </cell>
          <cell r="CJ44">
            <v>33.606658725740026</v>
          </cell>
          <cell r="CQ44" t="e">
            <v>#DIV/0!</v>
          </cell>
          <cell r="CR44" t="e">
            <v>#DIV/0!</v>
          </cell>
          <cell r="CS44" t="e">
            <v>#DIV/0!</v>
          </cell>
          <cell r="CT44" t="e">
            <v>#DIV/0!</v>
          </cell>
          <cell r="DG44">
            <v>3</v>
          </cell>
          <cell r="DH44">
            <v>1.25</v>
          </cell>
          <cell r="DI44">
            <v>0.4</v>
          </cell>
          <cell r="DJ44">
            <v>0.26666666666666661</v>
          </cell>
          <cell r="DK44">
            <v>0.08</v>
          </cell>
        </row>
        <row r="45">
          <cell r="A45" t="str">
            <v xml:space="preserve">           growth </v>
          </cell>
          <cell r="AX45">
            <v>1.595505617977528</v>
          </cell>
          <cell r="AY45">
            <v>0.60869565217391308</v>
          </cell>
          <cell r="AZ45">
            <v>0.73584905660377364</v>
          </cell>
          <cell r="BA45">
            <v>0.67676767676767668</v>
          </cell>
          <cell r="BB45">
            <v>0.6206896551724137</v>
          </cell>
          <cell r="BC45">
            <v>0.65605095541401282</v>
          </cell>
          <cell r="BD45">
            <v>9.4594594594594517E-2</v>
          </cell>
          <cell r="BE45">
            <v>0.47619047619047628</v>
          </cell>
          <cell r="BF45">
            <v>-1.3513513513513487E-2</v>
          </cell>
          <cell r="BG45">
            <v>-0.33695652173913049</v>
          </cell>
          <cell r="BH45">
            <v>-0.19277108433734935</v>
          </cell>
          <cell r="BI45">
            <v>-0.58510638297872342</v>
          </cell>
          <cell r="BJ45">
            <v>-0.33461538461538465</v>
          </cell>
          <cell r="BK45">
            <v>-0.44444444444444442</v>
          </cell>
          <cell r="BL45">
            <v>-0.36070381231671556</v>
          </cell>
          <cell r="BM45">
            <v>-0.45205479452054798</v>
          </cell>
          <cell r="BN45">
            <v>4.5901639344262168E-2</v>
          </cell>
          <cell r="BO45">
            <v>-0.22537313432835826</v>
          </cell>
          <cell r="BP45">
            <v>0.42051282051282057</v>
          </cell>
          <cell r="BQ45">
            <v>-7.9768786127167646E-2</v>
          </cell>
          <cell r="BR45">
            <v>-0.16888888888888876</v>
          </cell>
          <cell r="BS45">
            <v>-9.8165137614678932E-2</v>
          </cell>
          <cell r="BT45">
            <v>-6.2092642813120991E-2</v>
          </cell>
          <cell r="BU45">
            <v>-8.5685782110684339E-2</v>
          </cell>
          <cell r="BV45">
            <v>-7.6594013595245758E-2</v>
          </cell>
          <cell r="BW45">
            <v>-4.2944010542841138E-2</v>
          </cell>
          <cell r="BX45">
            <v>-6.4884150723994338E-2</v>
          </cell>
          <cell r="BY45">
            <v>1.7009236225083102E-2</v>
          </cell>
          <cell r="BZ45">
            <v>-4.9305245983935819E-2</v>
          </cell>
          <cell r="CA45">
            <v>-5.0000000000000044E-2</v>
          </cell>
          <cell r="CB45">
            <v>-5.0000000000000044E-2</v>
          </cell>
          <cell r="CC45">
            <v>-5.0000000000000044E-2</v>
          </cell>
          <cell r="CD45">
            <v>-0.20000000000000007</v>
          </cell>
          <cell r="CE45">
            <v>-0.19999999999999996</v>
          </cell>
          <cell r="CF45">
            <v>-0.19999999999999984</v>
          </cell>
          <cell r="CG45">
            <v>-0.19999999999999996</v>
          </cell>
          <cell r="CH45">
            <v>-0.19999999999999996</v>
          </cell>
          <cell r="CI45">
            <v>-0.19999999999999984</v>
          </cell>
          <cell r="CJ45">
            <v>-0.19999999999999984</v>
          </cell>
        </row>
        <row r="46">
          <cell r="A46" t="str">
            <v xml:space="preserve">   CER growth </v>
          </cell>
          <cell r="AS46">
            <v>1.9444444444444446</v>
          </cell>
          <cell r="AT46">
            <v>2.5357142857142856</v>
          </cell>
          <cell r="AU46">
            <v>1.0714285714285716</v>
          </cell>
          <cell r="AV46">
            <v>1.8035714285714284</v>
          </cell>
          <cell r="AW46">
            <v>1.2424242424242422</v>
          </cell>
          <cell r="AX46">
            <v>1.595505617977528</v>
          </cell>
          <cell r="AY46">
            <v>0.60869565217391308</v>
          </cell>
          <cell r="AZ46">
            <v>0.73584905660377364</v>
          </cell>
          <cell r="BA46">
            <v>0.67676767676767668</v>
          </cell>
          <cell r="BB46">
            <v>0.48</v>
          </cell>
          <cell r="BC46">
            <v>0.54</v>
          </cell>
          <cell r="BD46">
            <v>0.13</v>
          </cell>
          <cell r="BE46">
            <v>0.24</v>
          </cell>
          <cell r="BF46">
            <v>0.01</v>
          </cell>
          <cell r="BG46">
            <v>-0.28000000000000003</v>
          </cell>
          <cell r="BH46">
            <v>-0.15</v>
          </cell>
          <cell r="BT46">
            <v>-0.05</v>
          </cell>
          <cell r="BU46">
            <v>-0.1</v>
          </cell>
          <cell r="BW46">
            <v>-0.05</v>
          </cell>
          <cell r="BY46">
            <v>1.0200969268896465E-2</v>
          </cell>
          <cell r="BZ46">
            <v>-0.05</v>
          </cell>
          <cell r="CA46">
            <v>-0.05</v>
          </cell>
          <cell r="CB46">
            <v>-0.05</v>
          </cell>
          <cell r="CC46">
            <v>-0.05</v>
          </cell>
          <cell r="CD46">
            <v>-0.2</v>
          </cell>
          <cell r="CE46">
            <v>-0.2</v>
          </cell>
          <cell r="CF46">
            <v>-0.2</v>
          </cell>
          <cell r="CG46">
            <v>-0.2</v>
          </cell>
          <cell r="CH46">
            <v>-0.2</v>
          </cell>
          <cell r="CI46">
            <v>-0.2</v>
          </cell>
          <cell r="CJ46">
            <v>-0.2</v>
          </cell>
        </row>
        <row r="48">
          <cell r="A48" t="str">
            <v>Galvus</v>
          </cell>
          <cell r="V48">
            <v>0</v>
          </cell>
          <cell r="W48">
            <v>0</v>
          </cell>
          <cell r="X48">
            <v>2</v>
          </cell>
          <cell r="Y48">
            <v>2</v>
          </cell>
          <cell r="Z48">
            <v>2</v>
          </cell>
          <cell r="AA48">
            <v>4</v>
          </cell>
          <cell r="AB48">
            <v>4</v>
          </cell>
          <cell r="AC48">
            <v>8</v>
          </cell>
          <cell r="AD48">
            <v>6</v>
          </cell>
          <cell r="AE48">
            <v>8</v>
          </cell>
          <cell r="AF48">
            <v>14</v>
          </cell>
          <cell r="AG48">
            <v>26</v>
          </cell>
          <cell r="AH48">
            <v>40</v>
          </cell>
          <cell r="AI48">
            <v>17</v>
          </cell>
          <cell r="AJ48">
            <v>43</v>
          </cell>
          <cell r="AK48">
            <v>26</v>
          </cell>
          <cell r="AL48">
            <v>39</v>
          </cell>
          <cell r="AM48">
            <v>65</v>
          </cell>
          <cell r="AN48">
            <v>50</v>
          </cell>
          <cell r="AO48">
            <v>115</v>
          </cell>
          <cell r="AP48">
            <v>66</v>
          </cell>
          <cell r="AQ48">
            <v>181</v>
          </cell>
          <cell r="AR48">
            <v>76</v>
          </cell>
          <cell r="AS48">
            <v>90</v>
          </cell>
          <cell r="AT48">
            <v>166</v>
          </cell>
          <cell r="AU48">
            <v>101</v>
          </cell>
          <cell r="AV48">
            <v>267</v>
          </cell>
          <cell r="AW48">
            <v>124</v>
          </cell>
          <cell r="AX48">
            <v>391</v>
          </cell>
          <cell r="AY48">
            <v>132</v>
          </cell>
          <cell r="AZ48">
            <v>165</v>
          </cell>
          <cell r="BA48">
            <v>297</v>
          </cell>
          <cell r="BB48">
            <v>181</v>
          </cell>
          <cell r="BC48">
            <v>478</v>
          </cell>
          <cell r="BD48">
            <v>199</v>
          </cell>
          <cell r="BE48">
            <v>677</v>
          </cell>
          <cell r="BF48">
            <v>201</v>
          </cell>
          <cell r="BG48">
            <v>224</v>
          </cell>
          <cell r="BH48">
            <v>425</v>
          </cell>
          <cell r="BI48">
            <v>230</v>
          </cell>
          <cell r="BJ48">
            <v>655</v>
          </cell>
          <cell r="BK48">
            <v>255</v>
          </cell>
          <cell r="BL48">
            <v>910</v>
          </cell>
          <cell r="BM48">
            <v>267</v>
          </cell>
          <cell r="BN48">
            <v>289</v>
          </cell>
          <cell r="BO48">
            <v>556</v>
          </cell>
          <cell r="BP48">
            <v>316</v>
          </cell>
          <cell r="BQ48">
            <v>872</v>
          </cell>
          <cell r="BR48">
            <v>328</v>
          </cell>
          <cell r="BS48">
            <v>1200</v>
          </cell>
          <cell r="BT48">
            <v>329.5016636432851</v>
          </cell>
          <cell r="BU48">
            <v>358.18767438157209</v>
          </cell>
          <cell r="BV48">
            <v>687.68933802485719</v>
          </cell>
          <cell r="BW48">
            <v>366.09910165129634</v>
          </cell>
          <cell r="BX48">
            <v>1053.7884396761535</v>
          </cell>
          <cell r="BY48">
            <v>387.26466114819641</v>
          </cell>
          <cell r="BZ48">
            <v>1441.0531008243499</v>
          </cell>
          <cell r="CA48">
            <v>1585.1584109067851</v>
          </cell>
          <cell r="CB48">
            <v>1743.6742519974637</v>
          </cell>
          <cell r="CC48">
            <v>1883.1681921572608</v>
          </cell>
          <cell r="CD48">
            <v>1977.326601765124</v>
          </cell>
          <cell r="CE48">
            <v>1878.4602716768677</v>
          </cell>
          <cell r="CF48">
            <v>1784.5372580930243</v>
          </cell>
          <cell r="CG48">
            <v>1516.8566693790706</v>
          </cell>
          <cell r="CH48">
            <v>1289.3281689722101</v>
          </cell>
          <cell r="CI48">
            <v>1095.9289436263784</v>
          </cell>
          <cell r="CJ48">
            <v>931.53960208242165</v>
          </cell>
          <cell r="CP48" t="str">
            <v>2019-2024</v>
          </cell>
          <cell r="DM48" t="str">
            <v>mstag:galvus</v>
          </cell>
          <cell r="DN48">
            <v>6</v>
          </cell>
          <cell r="DO48" t="str">
            <v>ISO4217:ZWD</v>
          </cell>
          <cell r="DP48" t="b">
            <v>0</v>
          </cell>
        </row>
        <row r="49">
          <cell r="A49" t="str">
            <v xml:space="preserve">   growth %</v>
          </cell>
          <cell r="AN49">
            <v>0.92307692307692313</v>
          </cell>
          <cell r="AO49">
            <v>1.875</v>
          </cell>
          <cell r="AP49">
            <v>2.8823529411764706</v>
          </cell>
          <cell r="AQ49">
            <v>3.2093023255813957</v>
          </cell>
          <cell r="AR49">
            <v>1.9230769230769229</v>
          </cell>
          <cell r="AS49">
            <v>1.3076923076923075</v>
          </cell>
          <cell r="AT49">
            <v>1.5538461538461537</v>
          </cell>
          <cell r="AU49">
            <v>1.02</v>
          </cell>
          <cell r="AV49">
            <v>1.3217391304347825</v>
          </cell>
          <cell r="AW49">
            <v>0.8787878787878789</v>
          </cell>
          <cell r="AX49">
            <v>1.160220994475138</v>
          </cell>
          <cell r="AY49">
            <v>0.73684210526315796</v>
          </cell>
          <cell r="AZ49">
            <v>0.83333333333333326</v>
          </cell>
          <cell r="BA49">
            <v>0.78915662650602414</v>
          </cell>
          <cell r="BB49">
            <v>0.79207920792079212</v>
          </cell>
          <cell r="BC49">
            <v>0.79026217228464413</v>
          </cell>
          <cell r="BD49">
            <v>0.60483870967741926</v>
          </cell>
          <cell r="BE49">
            <v>0.73145780051150888</v>
          </cell>
          <cell r="BF49">
            <v>0.52272727272727271</v>
          </cell>
          <cell r="BG49">
            <v>0.35757575757575766</v>
          </cell>
          <cell r="BH49">
            <v>0.43097643097643101</v>
          </cell>
          <cell r="BI49">
            <v>0.27071823204419898</v>
          </cell>
          <cell r="BJ49">
            <v>0.37029288702928875</v>
          </cell>
          <cell r="BK49">
            <v>0.28140703517587951</v>
          </cell>
          <cell r="BL49">
            <v>0.34416543574593805</v>
          </cell>
          <cell r="BM49">
            <v>0.32835820895522394</v>
          </cell>
          <cell r="BN49">
            <v>0.2901785714285714</v>
          </cell>
          <cell r="BO49">
            <v>0.30823529411764716</v>
          </cell>
          <cell r="BP49">
            <v>0.37391304347826093</v>
          </cell>
          <cell r="BQ49">
            <v>0.33129770992366403</v>
          </cell>
          <cell r="BR49">
            <v>0.28627450980392166</v>
          </cell>
          <cell r="BS49">
            <v>0.31868131868131866</v>
          </cell>
          <cell r="BT49">
            <v>0.23408862787747231</v>
          </cell>
          <cell r="BU49">
            <v>0.23940371758329437</v>
          </cell>
          <cell r="BV49">
            <v>0.23685132738283676</v>
          </cell>
          <cell r="BW49">
            <v>0.15854146092182386</v>
          </cell>
          <cell r="BX49">
            <v>0.20847298127999259</v>
          </cell>
          <cell r="BY49">
            <v>0.18068494252498901</v>
          </cell>
          <cell r="BZ49">
            <v>0.20087758402029166</v>
          </cell>
          <cell r="CA49">
            <v>0.10000000000000009</v>
          </cell>
          <cell r="CB49">
            <v>0.10000000000000009</v>
          </cell>
          <cell r="CC49">
            <v>8.0000000000000071E-2</v>
          </cell>
          <cell r="CD49">
            <v>5.0000000000000044E-2</v>
          </cell>
          <cell r="CE49">
            <v>-5.0000000000000044E-2</v>
          </cell>
          <cell r="CF49">
            <v>-5.0000000000000044E-2</v>
          </cell>
          <cell r="CG49">
            <v>-0.15000000000000002</v>
          </cell>
          <cell r="CH49">
            <v>-0.14999999999999991</v>
          </cell>
          <cell r="CI49">
            <v>-0.15000000000000013</v>
          </cell>
          <cell r="CJ49">
            <v>-0.15000000000000002</v>
          </cell>
        </row>
        <row r="50">
          <cell r="A50" t="str">
            <v xml:space="preserve">      CER growth</v>
          </cell>
          <cell r="BB50">
            <v>0.65</v>
          </cell>
          <cell r="BC50">
            <v>0.67</v>
          </cell>
          <cell r="BD50">
            <v>0.63</v>
          </cell>
          <cell r="BE50">
            <v>0.66</v>
          </cell>
          <cell r="BF50">
            <v>0.56999999999999995</v>
          </cell>
          <cell r="BG50">
            <v>0.47</v>
          </cell>
          <cell r="BH50">
            <v>0.52</v>
          </cell>
          <cell r="BI50">
            <v>0.4</v>
          </cell>
          <cell r="BJ50">
            <v>0.47</v>
          </cell>
          <cell r="BK50">
            <v>0.33</v>
          </cell>
          <cell r="BL50">
            <v>0.43</v>
          </cell>
          <cell r="BM50">
            <v>0.4</v>
          </cell>
          <cell r="BN50">
            <v>0.37</v>
          </cell>
          <cell r="BO50">
            <v>0.38</v>
          </cell>
          <cell r="BP50">
            <v>0.46</v>
          </cell>
          <cell r="BQ50">
            <v>0.41</v>
          </cell>
          <cell r="BR50">
            <v>0.37</v>
          </cell>
          <cell r="BS50">
            <v>0.4</v>
          </cell>
        </row>
        <row r="51">
          <cell r="A51" t="str">
            <v xml:space="preserve">       Galvus US</v>
          </cell>
          <cell r="V51">
            <v>0</v>
          </cell>
          <cell r="W51">
            <v>0</v>
          </cell>
          <cell r="AC51">
            <v>0</v>
          </cell>
          <cell r="AJ51">
            <v>0</v>
          </cell>
          <cell r="AQ51">
            <v>0</v>
          </cell>
          <cell r="AX51">
            <v>0</v>
          </cell>
          <cell r="BE51">
            <v>0</v>
          </cell>
          <cell r="BF51">
            <v>0</v>
          </cell>
          <cell r="BZ51">
            <v>0</v>
          </cell>
          <cell r="CA51">
            <v>0</v>
          </cell>
          <cell r="CB51">
            <v>0</v>
          </cell>
          <cell r="CC51">
            <v>0</v>
          </cell>
          <cell r="CD51">
            <v>0</v>
          </cell>
          <cell r="CE51">
            <v>0</v>
          </cell>
          <cell r="CF51">
            <v>0</v>
          </cell>
          <cell r="CG51">
            <v>0</v>
          </cell>
          <cell r="CH51">
            <v>0</v>
          </cell>
          <cell r="CI51">
            <v>0</v>
          </cell>
          <cell r="CJ51">
            <v>0</v>
          </cell>
          <cell r="CO51">
            <v>0.4</v>
          </cell>
        </row>
        <row r="52">
          <cell r="A52" t="str">
            <v xml:space="preserve">           growth </v>
          </cell>
        </row>
        <row r="53">
          <cell r="A53" t="str">
            <v xml:space="preserve">       Galvus ROW</v>
          </cell>
          <cell r="V53">
            <v>0</v>
          </cell>
          <cell r="W53">
            <v>0</v>
          </cell>
          <cell r="X53">
            <v>2</v>
          </cell>
          <cell r="Y53">
            <v>2</v>
          </cell>
          <cell r="Z53">
            <v>2</v>
          </cell>
          <cell r="AA53">
            <v>4</v>
          </cell>
          <cell r="AB53">
            <v>4</v>
          </cell>
          <cell r="AC53">
            <v>8</v>
          </cell>
          <cell r="AD53">
            <v>6</v>
          </cell>
          <cell r="AE53">
            <v>8</v>
          </cell>
          <cell r="AF53">
            <v>14</v>
          </cell>
          <cell r="AG53">
            <v>26</v>
          </cell>
          <cell r="AH53">
            <v>40</v>
          </cell>
          <cell r="AI53">
            <v>17</v>
          </cell>
          <cell r="AJ53">
            <v>43</v>
          </cell>
          <cell r="AK53">
            <v>26</v>
          </cell>
          <cell r="AL53">
            <v>39</v>
          </cell>
          <cell r="AM53">
            <v>65</v>
          </cell>
          <cell r="AN53">
            <v>50</v>
          </cell>
          <cell r="AO53">
            <v>115</v>
          </cell>
          <cell r="AP53">
            <v>66</v>
          </cell>
          <cell r="AQ53">
            <v>181</v>
          </cell>
          <cell r="AR53">
            <v>76</v>
          </cell>
          <cell r="AS53">
            <v>90</v>
          </cell>
          <cell r="AT53">
            <v>166</v>
          </cell>
          <cell r="AU53">
            <v>101</v>
          </cell>
          <cell r="AV53">
            <v>267</v>
          </cell>
          <cell r="AW53">
            <v>124</v>
          </cell>
          <cell r="AX53">
            <v>391</v>
          </cell>
          <cell r="AY53">
            <v>132</v>
          </cell>
          <cell r="AZ53">
            <v>165</v>
          </cell>
          <cell r="BA53">
            <v>297</v>
          </cell>
          <cell r="BB53">
            <v>181</v>
          </cell>
          <cell r="BC53">
            <v>478</v>
          </cell>
          <cell r="BD53">
            <v>199</v>
          </cell>
          <cell r="BE53">
            <v>677</v>
          </cell>
          <cell r="BF53">
            <v>201</v>
          </cell>
          <cell r="BG53">
            <v>224</v>
          </cell>
          <cell r="BH53">
            <v>425</v>
          </cell>
          <cell r="BI53">
            <v>230</v>
          </cell>
          <cell r="BJ53">
            <v>655</v>
          </cell>
          <cell r="BK53">
            <v>255</v>
          </cell>
          <cell r="BL53">
            <v>910</v>
          </cell>
          <cell r="BM53">
            <v>267</v>
          </cell>
          <cell r="BN53">
            <v>289</v>
          </cell>
          <cell r="BO53">
            <v>556</v>
          </cell>
          <cell r="BP53">
            <v>316</v>
          </cell>
          <cell r="BQ53">
            <v>872</v>
          </cell>
          <cell r="BR53">
            <v>328</v>
          </cell>
          <cell r="BS53">
            <v>1200</v>
          </cell>
          <cell r="BT53">
            <v>329.5016636432851</v>
          </cell>
          <cell r="BU53">
            <v>358.18767438157209</v>
          </cell>
          <cell r="BV53">
            <v>687.68933802485719</v>
          </cell>
          <cell r="BW53">
            <v>366.09910165129634</v>
          </cell>
          <cell r="BX53">
            <v>1053.7884396761535</v>
          </cell>
          <cell r="BY53">
            <v>387.26466114819641</v>
          </cell>
          <cell r="BZ53">
            <v>1441.0531008243499</v>
          </cell>
          <cell r="CA53">
            <v>1585.1584109067851</v>
          </cell>
          <cell r="CB53">
            <v>1743.6742519974637</v>
          </cell>
          <cell r="CC53">
            <v>1883.1681921572608</v>
          </cell>
          <cell r="CD53">
            <v>1977.326601765124</v>
          </cell>
          <cell r="CE53">
            <v>1878.4602716768677</v>
          </cell>
          <cell r="CF53">
            <v>1784.5372580930243</v>
          </cell>
          <cell r="CG53">
            <v>1516.8566693790706</v>
          </cell>
          <cell r="CH53">
            <v>1289.3281689722101</v>
          </cell>
          <cell r="CI53">
            <v>1095.9289436263784</v>
          </cell>
          <cell r="CJ53">
            <v>931.53960208242165</v>
          </cell>
        </row>
        <row r="54">
          <cell r="A54" t="str">
            <v xml:space="preserve">           growth </v>
          </cell>
          <cell r="AX54">
            <v>1.160220994475138</v>
          </cell>
          <cell r="AY54">
            <v>0.73684210526315796</v>
          </cell>
          <cell r="AZ54">
            <v>0.83333333333333326</v>
          </cell>
          <cell r="BA54">
            <v>0.78915662650602414</v>
          </cell>
          <cell r="BB54">
            <v>0.79207920792079212</v>
          </cell>
          <cell r="BC54">
            <v>0.79026217228464413</v>
          </cell>
          <cell r="BD54">
            <v>0.60483870967741926</v>
          </cell>
          <cell r="BE54">
            <v>0.73145780051150888</v>
          </cell>
          <cell r="BF54">
            <v>0.52272727272727271</v>
          </cell>
          <cell r="BG54">
            <v>0.35757575757575766</v>
          </cell>
          <cell r="BH54">
            <v>0.43097643097643101</v>
          </cell>
          <cell r="BI54">
            <v>0.27071823204419898</v>
          </cell>
          <cell r="BJ54">
            <v>0.37029288702928875</v>
          </cell>
          <cell r="BK54">
            <v>0.28140703517587951</v>
          </cell>
          <cell r="BL54">
            <v>0.34416543574593805</v>
          </cell>
          <cell r="BM54">
            <v>0.32835820895522394</v>
          </cell>
          <cell r="BN54">
            <v>0.2901785714285714</v>
          </cell>
          <cell r="BO54">
            <v>0.30823529411764716</v>
          </cell>
          <cell r="BP54">
            <v>0.37391304347826093</v>
          </cell>
          <cell r="BQ54">
            <v>0.33129770992366403</v>
          </cell>
          <cell r="BR54">
            <v>0.28627450980392166</v>
          </cell>
          <cell r="BS54">
            <v>0.31868131868131866</v>
          </cell>
          <cell r="BT54">
            <v>0.23408862787747231</v>
          </cell>
          <cell r="BU54">
            <v>0.23940371758329437</v>
          </cell>
          <cell r="BV54">
            <v>0.23685132738283676</v>
          </cell>
          <cell r="BW54">
            <v>0.15854146092182386</v>
          </cell>
          <cell r="BX54">
            <v>0.20847298127999259</v>
          </cell>
          <cell r="BY54">
            <v>0.18068494252498901</v>
          </cell>
          <cell r="BZ54">
            <v>0.20087758402029166</v>
          </cell>
          <cell r="CA54">
            <v>0.10000000000000009</v>
          </cell>
          <cell r="CB54">
            <v>0.10000000000000009</v>
          </cell>
          <cell r="CC54">
            <v>8.0000000000000071E-2</v>
          </cell>
          <cell r="CD54">
            <v>5.0000000000000044E-2</v>
          </cell>
          <cell r="CE54">
            <v>-5.0000000000000044E-2</v>
          </cell>
          <cell r="CF54">
            <v>-5.0000000000000044E-2</v>
          </cell>
          <cell r="CG54">
            <v>-0.15000000000000002</v>
          </cell>
          <cell r="CH54">
            <v>-0.14999999999999991</v>
          </cell>
          <cell r="CI54">
            <v>-0.15000000000000013</v>
          </cell>
          <cell r="CJ54">
            <v>-0.15000000000000002</v>
          </cell>
        </row>
        <row r="55">
          <cell r="A55" t="str">
            <v xml:space="preserve">   CER growth </v>
          </cell>
          <cell r="AQ55">
            <v>3.2093023255813957</v>
          </cell>
          <cell r="AR55">
            <v>1.8585874930234934</v>
          </cell>
          <cell r="AS55">
            <v>1.3529288701427842</v>
          </cell>
          <cell r="AT55">
            <v>1.5538461538461537</v>
          </cell>
          <cell r="AU55">
            <v>1.0815011466011188</v>
          </cell>
          <cell r="AV55">
            <v>1.3217391304347825</v>
          </cell>
          <cell r="AW55">
            <v>0.8787878787878789</v>
          </cell>
          <cell r="AX55">
            <v>1.160220994475138</v>
          </cell>
          <cell r="AY55">
            <v>0.73684210526315796</v>
          </cell>
          <cell r="AZ55">
            <v>0.83333333333333326</v>
          </cell>
          <cell r="BA55">
            <v>0.78915662650602414</v>
          </cell>
          <cell r="BB55">
            <v>0.65</v>
          </cell>
          <cell r="BC55">
            <v>0.67</v>
          </cell>
          <cell r="BD55">
            <v>0.63</v>
          </cell>
          <cell r="BE55">
            <v>0.66</v>
          </cell>
          <cell r="BF55">
            <v>0.56999999999999995</v>
          </cell>
          <cell r="BG55">
            <v>0.47</v>
          </cell>
          <cell r="BH55">
            <v>0.52</v>
          </cell>
          <cell r="BI55">
            <v>0.4</v>
          </cell>
          <cell r="BJ55">
            <v>0.47</v>
          </cell>
          <cell r="BK55">
            <v>0.33</v>
          </cell>
          <cell r="BL55">
            <v>0.43</v>
          </cell>
          <cell r="BM55">
            <v>0.4</v>
          </cell>
          <cell r="BN55">
            <v>0.37</v>
          </cell>
          <cell r="BO55">
            <v>0.37</v>
          </cell>
          <cell r="BP55">
            <v>0.46</v>
          </cell>
          <cell r="BQ55">
            <v>0.41</v>
          </cell>
          <cell r="BR55">
            <v>0.37</v>
          </cell>
          <cell r="BS55">
            <v>0.4</v>
          </cell>
          <cell r="BT55">
            <v>0.25</v>
          </cell>
          <cell r="BU55">
            <v>0.22</v>
          </cell>
          <cell r="BW55">
            <v>0.15</v>
          </cell>
          <cell r="BY55">
            <v>0.17387667556880237</v>
          </cell>
          <cell r="BZ55">
            <v>0.2</v>
          </cell>
          <cell r="CA55">
            <v>0.1</v>
          </cell>
          <cell r="CB55">
            <v>0.1</v>
          </cell>
          <cell r="CC55">
            <v>0.08</v>
          </cell>
          <cell r="CD55">
            <v>0.05</v>
          </cell>
          <cell r="CE55">
            <v>-0.05</v>
          </cell>
          <cell r="CF55">
            <v>-0.05</v>
          </cell>
          <cell r="CG55">
            <v>-0.15</v>
          </cell>
          <cell r="CH55">
            <v>-0.15</v>
          </cell>
          <cell r="CI55">
            <v>-0.15</v>
          </cell>
          <cell r="CJ55">
            <v>-0.15</v>
          </cell>
        </row>
        <row r="57">
          <cell r="A57" t="str">
            <v>Xolair</v>
          </cell>
          <cell r="B57">
            <v>0</v>
          </cell>
          <cell r="C57">
            <v>0</v>
          </cell>
          <cell r="D57">
            <v>0</v>
          </cell>
          <cell r="E57">
            <v>0</v>
          </cell>
          <cell r="F57">
            <v>0</v>
          </cell>
          <cell r="G57">
            <v>0</v>
          </cell>
          <cell r="H57">
            <v>0</v>
          </cell>
          <cell r="I57">
            <v>0</v>
          </cell>
          <cell r="J57">
            <v>1</v>
          </cell>
          <cell r="K57">
            <v>1</v>
          </cell>
          <cell r="L57">
            <v>5</v>
          </cell>
          <cell r="M57">
            <v>6</v>
          </cell>
          <cell r="N57">
            <v>5</v>
          </cell>
          <cell r="O57">
            <v>11</v>
          </cell>
          <cell r="P57">
            <v>4</v>
          </cell>
          <cell r="Q57">
            <v>37</v>
          </cell>
          <cell r="R57">
            <v>41</v>
          </cell>
          <cell r="S57">
            <v>26</v>
          </cell>
          <cell r="T57">
            <v>67</v>
          </cell>
          <cell r="U57">
            <v>35</v>
          </cell>
          <cell r="V57">
            <v>102</v>
          </cell>
          <cell r="W57">
            <v>34</v>
          </cell>
          <cell r="X57">
            <v>30</v>
          </cell>
          <cell r="Y57">
            <v>64</v>
          </cell>
          <cell r="Z57">
            <v>36</v>
          </cell>
          <cell r="AA57">
            <v>100</v>
          </cell>
          <cell r="AB57">
            <v>40</v>
          </cell>
          <cell r="AC57">
            <v>140</v>
          </cell>
          <cell r="AD57">
            <v>39</v>
          </cell>
          <cell r="AE57">
            <v>56</v>
          </cell>
          <cell r="AF57">
            <v>95</v>
          </cell>
          <cell r="AG57">
            <v>61</v>
          </cell>
          <cell r="AH57">
            <v>156</v>
          </cell>
          <cell r="AI57">
            <v>55</v>
          </cell>
          <cell r="AJ57">
            <v>211</v>
          </cell>
          <cell r="AK57">
            <v>61</v>
          </cell>
          <cell r="AL57">
            <v>79</v>
          </cell>
          <cell r="AM57">
            <v>140</v>
          </cell>
          <cell r="AN57">
            <v>78</v>
          </cell>
          <cell r="AO57">
            <v>218</v>
          </cell>
          <cell r="AP57">
            <v>120</v>
          </cell>
          <cell r="AQ57">
            <v>338</v>
          </cell>
          <cell r="AR57">
            <v>80</v>
          </cell>
          <cell r="AS57">
            <v>90</v>
          </cell>
          <cell r="AT57">
            <v>170</v>
          </cell>
          <cell r="AU57">
            <v>97</v>
          </cell>
          <cell r="AV57">
            <v>267</v>
          </cell>
          <cell r="AW57">
            <v>102</v>
          </cell>
          <cell r="AX57">
            <v>369</v>
          </cell>
          <cell r="AY57">
            <v>107</v>
          </cell>
          <cell r="AZ57">
            <v>125</v>
          </cell>
          <cell r="BA57">
            <v>232</v>
          </cell>
          <cell r="BB57">
            <v>116</v>
          </cell>
          <cell r="BC57">
            <v>348</v>
          </cell>
          <cell r="BD57">
            <v>130</v>
          </cell>
          <cell r="BE57">
            <v>478</v>
          </cell>
          <cell r="BF57">
            <v>112</v>
          </cell>
          <cell r="BG57">
            <v>127</v>
          </cell>
          <cell r="BH57">
            <v>239</v>
          </cell>
          <cell r="BI57">
            <v>135</v>
          </cell>
          <cell r="BJ57">
            <v>374</v>
          </cell>
          <cell r="BK57">
            <v>130</v>
          </cell>
          <cell r="BL57">
            <v>504</v>
          </cell>
          <cell r="BM57">
            <v>141</v>
          </cell>
          <cell r="BN57">
            <v>148</v>
          </cell>
          <cell r="BO57">
            <v>289</v>
          </cell>
          <cell r="BP57">
            <v>151</v>
          </cell>
          <cell r="BQ57">
            <v>440</v>
          </cell>
          <cell r="BR57">
            <v>173</v>
          </cell>
          <cell r="BS57">
            <v>613</v>
          </cell>
          <cell r="BT57">
            <v>161.47802878051149</v>
          </cell>
          <cell r="BU57">
            <v>172.90697764973501</v>
          </cell>
          <cell r="BV57">
            <v>334.38500643024651</v>
          </cell>
          <cell r="BW57">
            <v>179.50340652787006</v>
          </cell>
          <cell r="BX57">
            <v>513.88841295811653</v>
          </cell>
          <cell r="BY57">
            <v>195.87579696412297</v>
          </cell>
          <cell r="BZ57">
            <v>709.7642099222395</v>
          </cell>
          <cell r="CA57">
            <v>823.32648350979775</v>
          </cell>
          <cell r="CB57">
            <v>889.19260219058162</v>
          </cell>
          <cell r="CC57">
            <v>915.86838025629913</v>
          </cell>
          <cell r="CD57">
            <v>943.34443166398808</v>
          </cell>
          <cell r="CE57">
            <v>971.6447646139078</v>
          </cell>
          <cell r="CF57">
            <v>1000.794107552325</v>
          </cell>
          <cell r="CG57">
            <v>970.77028432575526</v>
          </cell>
          <cell r="CH57">
            <v>922.23177010946745</v>
          </cell>
          <cell r="CI57">
            <v>876.12018160399407</v>
          </cell>
          <cell r="CJ57">
            <v>832.31417252379435</v>
          </cell>
          <cell r="CM57">
            <v>2.442135957718243E-2</v>
          </cell>
          <cell r="CO57">
            <v>0.05</v>
          </cell>
          <cell r="CP57" t="str">
            <v>2018 (US), 2017 (EU), 2012 (Row)</v>
          </cell>
          <cell r="CW57">
            <v>36</v>
          </cell>
          <cell r="CX57">
            <v>4.2</v>
          </cell>
          <cell r="CY57">
            <v>6</v>
          </cell>
          <cell r="CZ57">
            <v>8.2727272727272734</v>
          </cell>
          <cell r="DA57">
            <v>7.5</v>
          </cell>
          <cell r="DB57">
            <v>-0.18918918918918914</v>
          </cell>
          <cell r="DC57">
            <v>0.38461538461538458</v>
          </cell>
          <cell r="DD57">
            <v>0.2</v>
          </cell>
          <cell r="DE57">
            <v>0.37254901960784315</v>
          </cell>
          <cell r="DF57">
            <v>0.25</v>
          </cell>
          <cell r="DG57">
            <v>0.1</v>
          </cell>
          <cell r="DH57">
            <v>0.12</v>
          </cell>
          <cell r="DI57">
            <v>0.05</v>
          </cell>
          <cell r="DJ57">
            <v>0</v>
          </cell>
          <cell r="DK57">
            <v>0</v>
          </cell>
        </row>
        <row r="58">
          <cell r="A58" t="str">
            <v xml:space="preserve">   growth %</v>
          </cell>
          <cell r="Q58">
            <v>36.022345257115269</v>
          </cell>
          <cell r="R58">
            <v>40.050601267641902</v>
          </cell>
          <cell r="S58">
            <v>4.193628598306856</v>
          </cell>
          <cell r="T58">
            <v>10.198277044530219</v>
          </cell>
          <cell r="U58">
            <v>5.9626128776969445</v>
          </cell>
          <cell r="V58">
            <v>8.280296118786179</v>
          </cell>
          <cell r="W58">
            <v>7.466653661418567</v>
          </cell>
          <cell r="X58">
            <v>-0.19998299430601174</v>
          </cell>
          <cell r="Y58">
            <v>0.53890553790696982</v>
          </cell>
          <cell r="Z58">
            <v>0.35611921550712822</v>
          </cell>
          <cell r="AA58">
            <v>0.46832520916399867</v>
          </cell>
          <cell r="AB58">
            <v>7.3246779371193504E-2</v>
          </cell>
          <cell r="AC58">
            <v>0.33733344547424737</v>
          </cell>
          <cell r="AD58">
            <v>2.7001224907379662E-2</v>
          </cell>
          <cell r="AE58">
            <v>0.72773643238365793</v>
          </cell>
          <cell r="AF58">
            <v>0.3548810835474796</v>
          </cell>
          <cell r="AG58">
            <v>0.61102845573195208</v>
          </cell>
          <cell r="AH58">
            <v>0.45354504741749357</v>
          </cell>
          <cell r="AI58">
            <v>0.34863360722619019</v>
          </cell>
          <cell r="AJ58">
            <v>0.41567146118884146</v>
          </cell>
          <cell r="AK58">
            <v>0.58012565663290661</v>
          </cell>
          <cell r="AL58">
            <v>0.44450512374092066</v>
          </cell>
          <cell r="AN58">
            <v>0.24393000831145972</v>
          </cell>
          <cell r="AP58">
            <v>1.0948990079612635</v>
          </cell>
          <cell r="AQ58">
            <v>0.60189573459715651</v>
          </cell>
          <cell r="AR58">
            <v>0.24147540983606541</v>
          </cell>
          <cell r="AS58">
            <v>0.14299229459068308</v>
          </cell>
          <cell r="AU58">
            <v>0.24199408816541146</v>
          </cell>
          <cell r="AW58">
            <v>-0.15919422525117677</v>
          </cell>
          <cell r="AX58">
            <v>9.171597633136086E-2</v>
          </cell>
          <cell r="AY58">
            <v>0.33749999999999991</v>
          </cell>
          <cell r="AZ58">
            <v>0.38888888888888884</v>
          </cell>
          <cell r="BA58">
            <v>0.36470588235294121</v>
          </cell>
          <cell r="BB58">
            <v>0.19587628865979378</v>
          </cell>
          <cell r="BC58">
            <v>0.30337078651685401</v>
          </cell>
          <cell r="BD58">
            <v>0.27450980392156854</v>
          </cell>
          <cell r="BE58">
            <v>0.29539295392953924</v>
          </cell>
          <cell r="BF58">
            <v>4.6728971962616717E-2</v>
          </cell>
          <cell r="BG58">
            <v>1.6000000000000014E-2</v>
          </cell>
          <cell r="BH58">
            <v>3.0172413793103425E-2</v>
          </cell>
          <cell r="BI58">
            <v>0.1637931034482758</v>
          </cell>
          <cell r="BJ58">
            <v>7.4712643678160884E-2</v>
          </cell>
          <cell r="BK58">
            <v>0</v>
          </cell>
          <cell r="BL58">
            <v>5.439330543933063E-2</v>
          </cell>
          <cell r="BM58">
            <v>0.2589285714285714</v>
          </cell>
          <cell r="BN58">
            <v>0.16535433070866135</v>
          </cell>
          <cell r="BO58">
            <v>0.20920502092050208</v>
          </cell>
          <cell r="BP58">
            <v>0.11851851851851847</v>
          </cell>
          <cell r="BQ58">
            <v>0.17647058823529416</v>
          </cell>
          <cell r="BR58">
            <v>0.3307692307692307</v>
          </cell>
          <cell r="BS58">
            <v>0.21626984126984117</v>
          </cell>
          <cell r="BT58">
            <v>0.14523424667029428</v>
          </cell>
          <cell r="BU58">
            <v>0.16829038952523656</v>
          </cell>
          <cell r="BV58">
            <v>0.15704154474133736</v>
          </cell>
          <cell r="BW58">
            <v>0.18876428164152359</v>
          </cell>
          <cell r="BX58">
            <v>0.16792821126844659</v>
          </cell>
          <cell r="BY58">
            <v>0.13223004025504603</v>
          </cell>
          <cell r="BZ58">
            <v>0.15785352352730753</v>
          </cell>
          <cell r="CA58">
            <v>0.15999999999999992</v>
          </cell>
          <cell r="CB58">
            <v>8.0000000000000071E-2</v>
          </cell>
          <cell r="CC58">
            <v>3.0000000000000027E-2</v>
          </cell>
          <cell r="CD58">
            <v>3.0000000000000027E-2</v>
          </cell>
          <cell r="CE58">
            <v>3.0000000000000027E-2</v>
          </cell>
          <cell r="CF58">
            <v>3.0000000000000027E-2</v>
          </cell>
          <cell r="CG58">
            <v>-3.0000000000000027E-2</v>
          </cell>
          <cell r="CH58">
            <v>-5.0000000000000044E-2</v>
          </cell>
          <cell r="CI58">
            <v>-5.0000000000000044E-2</v>
          </cell>
          <cell r="CJ58">
            <v>-5.0000000000000044E-2</v>
          </cell>
        </row>
        <row r="59">
          <cell r="A59" t="str">
            <v xml:space="preserve">      CER growth</v>
          </cell>
          <cell r="BB59">
            <v>0.17</v>
          </cell>
          <cell r="BC59">
            <v>0.28000000000000003</v>
          </cell>
          <cell r="BD59">
            <v>0.33</v>
          </cell>
          <cell r="BE59">
            <v>0.28999999999999998</v>
          </cell>
          <cell r="BF59">
            <v>0.08</v>
          </cell>
          <cell r="BG59">
            <v>0.1</v>
          </cell>
          <cell r="BH59">
            <v>0.09</v>
          </cell>
          <cell r="BI59">
            <v>0.28999999999999998</v>
          </cell>
          <cell r="BJ59">
            <v>0.16</v>
          </cell>
          <cell r="BK59">
            <v>0.02</v>
          </cell>
          <cell r="BL59">
            <v>0.12</v>
          </cell>
          <cell r="BM59">
            <v>0.28999999999999998</v>
          </cell>
          <cell r="BN59">
            <v>0.2</v>
          </cell>
          <cell r="BO59">
            <v>0.24</v>
          </cell>
          <cell r="BP59">
            <v>0.13</v>
          </cell>
          <cell r="BQ59">
            <v>0.2</v>
          </cell>
          <cell r="BR59">
            <v>0.24</v>
          </cell>
          <cell r="BS59">
            <v>0.24</v>
          </cell>
          <cell r="BT59">
            <v>0.16</v>
          </cell>
          <cell r="BU59">
            <v>0.15</v>
          </cell>
          <cell r="BW59">
            <v>0.18</v>
          </cell>
          <cell r="BY59">
            <v>0.1254217732988594</v>
          </cell>
          <cell r="BZ59">
            <v>0.16</v>
          </cell>
          <cell r="CA59">
            <v>0.16</v>
          </cell>
          <cell r="CB59">
            <v>0.08</v>
          </cell>
          <cell r="CC59">
            <v>0.03</v>
          </cell>
          <cell r="CD59">
            <v>0.03</v>
          </cell>
          <cell r="CE59">
            <v>0.03</v>
          </cell>
          <cell r="CF59">
            <v>0.03</v>
          </cell>
          <cell r="CG59">
            <v>-0.03</v>
          </cell>
          <cell r="CH59">
            <v>-0.05</v>
          </cell>
          <cell r="CI59">
            <v>-0.05</v>
          </cell>
          <cell r="CJ59">
            <v>-0.05</v>
          </cell>
        </row>
        <row r="60">
          <cell r="A60" t="str">
            <v xml:space="preserve">       Xolair US</v>
          </cell>
          <cell r="BB60">
            <v>-1</v>
          </cell>
          <cell r="BC60">
            <v>10</v>
          </cell>
          <cell r="BD60">
            <v>5</v>
          </cell>
          <cell r="BE60">
            <v>15</v>
          </cell>
        </row>
        <row r="61">
          <cell r="A61" t="str">
            <v xml:space="preserve">           growth </v>
          </cell>
          <cell r="BC61">
            <v>-0.47</v>
          </cell>
          <cell r="BD61">
            <v>0</v>
          </cell>
          <cell r="BE61">
            <v>-0.38</v>
          </cell>
        </row>
        <row r="62">
          <cell r="A62" t="str">
            <v xml:space="preserve">       Xolair ROW</v>
          </cell>
          <cell r="BB62">
            <v>117</v>
          </cell>
          <cell r="BC62">
            <v>338</v>
          </cell>
          <cell r="BD62">
            <v>125</v>
          </cell>
          <cell r="BE62">
            <v>463</v>
          </cell>
          <cell r="BF62">
            <v>112</v>
          </cell>
          <cell r="BG62">
            <v>127</v>
          </cell>
          <cell r="BH62">
            <v>239</v>
          </cell>
          <cell r="BI62">
            <v>135</v>
          </cell>
          <cell r="BJ62">
            <v>374</v>
          </cell>
          <cell r="BK62">
            <v>130</v>
          </cell>
          <cell r="BL62">
            <v>504</v>
          </cell>
          <cell r="BM62">
            <v>141</v>
          </cell>
          <cell r="BN62">
            <v>148</v>
          </cell>
          <cell r="BO62">
            <v>289</v>
          </cell>
          <cell r="BP62">
            <v>151</v>
          </cell>
          <cell r="BQ62">
            <v>440</v>
          </cell>
          <cell r="BR62">
            <v>173</v>
          </cell>
          <cell r="BS62">
            <v>613</v>
          </cell>
          <cell r="BT62">
            <v>161.47802878051149</v>
          </cell>
          <cell r="BU62">
            <v>172.90697764973501</v>
          </cell>
          <cell r="BV62">
            <v>334.38500643024651</v>
          </cell>
          <cell r="BW62">
            <v>179.50340652787006</v>
          </cell>
          <cell r="BX62">
            <v>513.88841295811653</v>
          </cell>
          <cell r="BY62">
            <v>195.87579696412297</v>
          </cell>
          <cell r="BZ62">
            <v>709.7642099222395</v>
          </cell>
          <cell r="CA62">
            <v>823.32648350979775</v>
          </cell>
          <cell r="CB62">
            <v>889.19260219058162</v>
          </cell>
          <cell r="CC62">
            <v>915.86838025629913</v>
          </cell>
          <cell r="CD62">
            <v>943.34443166398808</v>
          </cell>
          <cell r="CE62">
            <v>971.6447646139078</v>
          </cell>
          <cell r="CF62">
            <v>1000.794107552325</v>
          </cell>
          <cell r="CG62">
            <v>970.77028432575526</v>
          </cell>
          <cell r="CH62">
            <v>922.23177010946745</v>
          </cell>
          <cell r="CI62">
            <v>876.12018160399407</v>
          </cell>
          <cell r="CJ62">
            <v>832.31417252379435</v>
          </cell>
        </row>
        <row r="63">
          <cell r="A63" t="str">
            <v xml:space="preserve">           growth </v>
          </cell>
          <cell r="BI63">
            <v>0.15384615384615374</v>
          </cell>
          <cell r="BJ63">
            <v>0.10650887573964507</v>
          </cell>
          <cell r="BK63">
            <v>4.0000000000000036E-2</v>
          </cell>
          <cell r="BL63">
            <v>5.439330543933063E-2</v>
          </cell>
          <cell r="BM63">
            <v>0.2589285714285714</v>
          </cell>
          <cell r="BN63">
            <v>0.16535433070866135</v>
          </cell>
          <cell r="BO63">
            <v>0.20920502092050208</v>
          </cell>
          <cell r="BP63">
            <v>0.11851851851851847</v>
          </cell>
          <cell r="BQ63">
            <v>0.17647058823529416</v>
          </cell>
          <cell r="BR63">
            <v>0.3307692307692307</v>
          </cell>
          <cell r="BS63">
            <v>0.21626984126984117</v>
          </cell>
          <cell r="BT63">
            <v>0.14523424667029428</v>
          </cell>
          <cell r="BU63">
            <v>0.16829038952523656</v>
          </cell>
          <cell r="BV63">
            <v>0.15704154474133736</v>
          </cell>
          <cell r="BW63">
            <v>0.18876428164152359</v>
          </cell>
          <cell r="BX63">
            <v>0.16792821126844659</v>
          </cell>
          <cell r="BY63">
            <v>0.13223004025504603</v>
          </cell>
          <cell r="BZ63">
            <v>0.15785352352730753</v>
          </cell>
          <cell r="CA63">
            <v>0.15999999999999992</v>
          </cell>
          <cell r="CB63">
            <v>8.0000000000000071E-2</v>
          </cell>
          <cell r="CC63">
            <v>3.0000000000000027E-2</v>
          </cell>
          <cell r="CD63">
            <v>3.0000000000000027E-2</v>
          </cell>
          <cell r="CE63">
            <v>3.0000000000000027E-2</v>
          </cell>
          <cell r="CF63">
            <v>3.0000000000000027E-2</v>
          </cell>
          <cell r="CG63">
            <v>-3.0000000000000027E-2</v>
          </cell>
          <cell r="CH63">
            <v>-5.0000000000000044E-2</v>
          </cell>
          <cell r="CI63">
            <v>-5.0000000000000044E-2</v>
          </cell>
          <cell r="CJ63">
            <v>-5.0000000000000044E-2</v>
          </cell>
        </row>
        <row r="64">
          <cell r="A64" t="str">
            <v xml:space="preserve">   CER growth </v>
          </cell>
          <cell r="BB64">
            <v>0.33</v>
          </cell>
          <cell r="BC64">
            <v>0.34</v>
          </cell>
          <cell r="BD64">
            <v>0.36</v>
          </cell>
          <cell r="BE64">
            <v>0.35</v>
          </cell>
          <cell r="BF64">
            <v>0.11</v>
          </cell>
          <cell r="BG64">
            <v>0.18</v>
          </cell>
          <cell r="BH64">
            <v>0.15</v>
          </cell>
          <cell r="BI64">
            <v>0.28999999999999998</v>
          </cell>
          <cell r="BJ64">
            <v>0.16</v>
          </cell>
          <cell r="BK64">
            <v>0.06</v>
          </cell>
          <cell r="BL64">
            <v>0.15</v>
          </cell>
          <cell r="BM64">
            <v>0.28999999999999998</v>
          </cell>
          <cell r="BN64">
            <v>0.2</v>
          </cell>
          <cell r="BO64">
            <v>0.24</v>
          </cell>
          <cell r="BP64">
            <v>0.13</v>
          </cell>
          <cell r="BQ64">
            <v>0.2</v>
          </cell>
          <cell r="BR64">
            <v>0.36</v>
          </cell>
          <cell r="BS64">
            <v>0.24</v>
          </cell>
        </row>
        <row r="66">
          <cell r="A66" t="str">
            <v>Onbrez Breezhaler</v>
          </cell>
          <cell r="AR66">
            <v>2</v>
          </cell>
          <cell r="AS66">
            <v>5</v>
          </cell>
          <cell r="AT66">
            <v>7</v>
          </cell>
          <cell r="AU66">
            <v>8</v>
          </cell>
          <cell r="AV66">
            <v>15</v>
          </cell>
          <cell r="AW66">
            <v>17</v>
          </cell>
          <cell r="AX66">
            <v>32</v>
          </cell>
          <cell r="AY66">
            <v>20</v>
          </cell>
          <cell r="AZ66">
            <v>26</v>
          </cell>
          <cell r="BA66">
            <v>46</v>
          </cell>
          <cell r="BB66">
            <v>25</v>
          </cell>
          <cell r="BC66">
            <v>71</v>
          </cell>
          <cell r="BD66">
            <v>32</v>
          </cell>
          <cell r="BE66">
            <v>103</v>
          </cell>
          <cell r="BF66">
            <v>29</v>
          </cell>
          <cell r="BG66">
            <v>33</v>
          </cell>
          <cell r="BH66">
            <v>62</v>
          </cell>
          <cell r="BI66">
            <v>34</v>
          </cell>
          <cell r="BJ66">
            <v>96</v>
          </cell>
          <cell r="BK66">
            <v>38</v>
          </cell>
          <cell r="BL66">
            <v>134</v>
          </cell>
          <cell r="BM66">
            <v>43</v>
          </cell>
          <cell r="BN66">
            <v>47</v>
          </cell>
          <cell r="BO66">
            <v>90</v>
          </cell>
          <cell r="BP66">
            <v>49</v>
          </cell>
          <cell r="BQ66">
            <v>139</v>
          </cell>
          <cell r="BR66">
            <v>53</v>
          </cell>
          <cell r="BS66">
            <v>192</v>
          </cell>
          <cell r="BT66">
            <v>59.433708318579065</v>
          </cell>
          <cell r="BU66">
            <v>66.846528374574405</v>
          </cell>
          <cell r="BV66">
            <v>126.28023669315347</v>
          </cell>
          <cell r="BW66">
            <v>69.109516712380099</v>
          </cell>
          <cell r="BX66">
            <v>195.38975340553355</v>
          </cell>
          <cell r="BY66">
            <v>72.912856184242514</v>
          </cell>
          <cell r="BZ66">
            <v>268.30260958977607</v>
          </cell>
          <cell r="CA66">
            <v>362.20852294619772</v>
          </cell>
          <cell r="CB66">
            <v>470.87107983005706</v>
          </cell>
          <cell r="CC66">
            <v>588.58884978757135</v>
          </cell>
          <cell r="CD66">
            <v>676.87717725570701</v>
          </cell>
          <cell r="CE66">
            <v>731.0273514361636</v>
          </cell>
          <cell r="CF66">
            <v>767.57871900797181</v>
          </cell>
          <cell r="CG66">
            <v>805.95765495837043</v>
          </cell>
          <cell r="CH66">
            <v>846.25553770628903</v>
          </cell>
          <cell r="CI66">
            <v>888.56831459160355</v>
          </cell>
          <cell r="CJ66">
            <v>932.9967303211838</v>
          </cell>
          <cell r="CP66" t="str">
            <v>2025 (US), 2024 (EU), 2020(Row)</v>
          </cell>
        </row>
        <row r="67">
          <cell r="A67" t="str">
            <v xml:space="preserve">   growth %</v>
          </cell>
          <cell r="AZ67">
            <v>4.2</v>
          </cell>
          <cell r="BA67">
            <v>5.5714285714285712</v>
          </cell>
          <cell r="BB67">
            <v>2.125</v>
          </cell>
          <cell r="BC67">
            <v>3.7333333333333334</v>
          </cell>
          <cell r="BD67">
            <v>0.88235294117647056</v>
          </cell>
          <cell r="BE67">
            <v>2.21875</v>
          </cell>
          <cell r="BF67">
            <v>0.44999999999999996</v>
          </cell>
          <cell r="BG67">
            <v>0.26923076923076916</v>
          </cell>
          <cell r="BH67">
            <v>0.34782608695652173</v>
          </cell>
          <cell r="BI67">
            <v>0.3600000000000001</v>
          </cell>
          <cell r="BJ67">
            <v>0.352112676056338</v>
          </cell>
          <cell r="BK67">
            <v>0.1875</v>
          </cell>
          <cell r="BL67">
            <v>0.30097087378640786</v>
          </cell>
          <cell r="BM67">
            <v>0.48275862068965525</v>
          </cell>
          <cell r="BN67">
            <v>0.42424242424242431</v>
          </cell>
          <cell r="BO67">
            <v>0.45161290322580649</v>
          </cell>
          <cell r="BP67">
            <v>0.44117647058823528</v>
          </cell>
          <cell r="BQ67">
            <v>0.44791666666666674</v>
          </cell>
          <cell r="BR67">
            <v>0.39473684210526305</v>
          </cell>
          <cell r="BS67">
            <v>0.43283582089552231</v>
          </cell>
          <cell r="BT67">
            <v>0.38217926322276896</v>
          </cell>
          <cell r="BU67">
            <v>0.42226656116115757</v>
          </cell>
          <cell r="BV67">
            <v>0.4031137410350385</v>
          </cell>
          <cell r="BW67">
            <v>0.410398300252655</v>
          </cell>
          <cell r="BX67">
            <v>0.40568167917650033</v>
          </cell>
          <cell r="BY67">
            <v>0.37571426762721716</v>
          </cell>
          <cell r="BZ67">
            <v>0.39740942494675036</v>
          </cell>
          <cell r="CA67">
            <v>0.35000000000000009</v>
          </cell>
          <cell r="CB67">
            <v>0.30000000000000004</v>
          </cell>
          <cell r="CC67">
            <v>0.25</v>
          </cell>
          <cell r="CD67">
            <v>0.14999999999999991</v>
          </cell>
          <cell r="CE67">
            <v>8.0000000000000071E-2</v>
          </cell>
          <cell r="CF67">
            <v>5.0000000000000044E-2</v>
          </cell>
          <cell r="CG67">
            <v>5.0000000000000044E-2</v>
          </cell>
          <cell r="CH67">
            <v>5.0000000000000044E-2</v>
          </cell>
          <cell r="CI67">
            <v>5.0000000000000044E-2</v>
          </cell>
          <cell r="CJ67">
            <v>5.0000000000000044E-2</v>
          </cell>
        </row>
        <row r="68">
          <cell r="A68" t="str">
            <v xml:space="preserve">      CER growth</v>
          </cell>
          <cell r="BF68">
            <v>0.5</v>
          </cell>
          <cell r="BG68">
            <v>0.44</v>
          </cell>
          <cell r="BH68">
            <v>0.47</v>
          </cell>
          <cell r="BI68">
            <v>0.43</v>
          </cell>
          <cell r="BJ68">
            <v>0.45</v>
          </cell>
          <cell r="BK68">
            <v>0.25</v>
          </cell>
          <cell r="BL68">
            <v>0.40499999999999997</v>
          </cell>
          <cell r="BM68">
            <v>0.48</v>
          </cell>
          <cell r="BN68">
            <v>0.44</v>
          </cell>
          <cell r="BO68">
            <v>0.46</v>
          </cell>
          <cell r="BP68">
            <v>0.56999999999999995</v>
          </cell>
          <cell r="BQ68">
            <v>0.49</v>
          </cell>
          <cell r="BR68">
            <v>0.4</v>
          </cell>
          <cell r="BS68">
            <v>0.47</v>
          </cell>
          <cell r="BT68">
            <v>0.4</v>
          </cell>
          <cell r="BU68">
            <v>0.4</v>
          </cell>
          <cell r="BW68">
            <v>0.4</v>
          </cell>
          <cell r="BY68">
            <v>0.36890600067103052</v>
          </cell>
          <cell r="BZ68">
            <v>0.4</v>
          </cell>
          <cell r="CA68">
            <v>0.35</v>
          </cell>
          <cell r="CB68">
            <v>0.3</v>
          </cell>
          <cell r="CC68">
            <v>0.25</v>
          </cell>
          <cell r="CD68">
            <v>0.15</v>
          </cell>
          <cell r="CE68">
            <v>0.08</v>
          </cell>
          <cell r="CF68">
            <v>0.05</v>
          </cell>
          <cell r="CG68">
            <v>0.05</v>
          </cell>
          <cell r="CH68">
            <v>0.05</v>
          </cell>
          <cell r="CI68">
            <v>0.05</v>
          </cell>
          <cell r="CJ68">
            <v>0.05</v>
          </cell>
        </row>
        <row r="69">
          <cell r="A69" t="str">
            <v>Consensus</v>
          </cell>
          <cell r="BS69">
            <v>195.23706534652661</v>
          </cell>
          <cell r="BZ69">
            <v>244.53789950062531</v>
          </cell>
          <cell r="CA69">
            <v>282.35815669795204</v>
          </cell>
          <cell r="CB69">
            <v>325.01232745701378</v>
          </cell>
          <cell r="CC69">
            <v>351.93203883495153</v>
          </cell>
        </row>
        <row r="70">
          <cell r="A70" t="str">
            <v>Difference</v>
          </cell>
          <cell r="BS70">
            <v>-1.6580178260624523E-2</v>
          </cell>
          <cell r="BZ70">
            <v>9.7182114255831342E-2</v>
          </cell>
          <cell r="CA70">
            <v>0.28279815671719466</v>
          </cell>
          <cell r="CB70">
            <v>0.44877913866923902</v>
          </cell>
          <cell r="CC70">
            <v>0.67245031664652366</v>
          </cell>
        </row>
        <row r="72">
          <cell r="A72" t="str">
            <v>Seebri Breezhaler (NVA237)</v>
          </cell>
          <cell r="BI72">
            <v>0</v>
          </cell>
          <cell r="BJ72">
            <v>0</v>
          </cell>
          <cell r="BK72">
            <v>3</v>
          </cell>
          <cell r="BL72">
            <v>3</v>
          </cell>
          <cell r="BM72">
            <v>6</v>
          </cell>
          <cell r="BN72">
            <v>12</v>
          </cell>
          <cell r="BO72">
            <v>18</v>
          </cell>
          <cell r="BP72">
            <v>15</v>
          </cell>
          <cell r="BQ72">
            <v>33</v>
          </cell>
          <cell r="BR72">
            <v>25</v>
          </cell>
          <cell r="BS72">
            <v>58</v>
          </cell>
          <cell r="BT72">
            <v>29.618127069059337</v>
          </cell>
          <cell r="BU72">
            <v>42.667996834834732</v>
          </cell>
          <cell r="BV72">
            <v>72.286123903894065</v>
          </cell>
          <cell r="BW72">
            <v>49.867654187504598</v>
          </cell>
          <cell r="BX72">
            <v>122.15377809139866</v>
          </cell>
          <cell r="BY72">
            <v>51.973471591543614</v>
          </cell>
          <cell r="BZ72">
            <v>174.12724968294228</v>
          </cell>
          <cell r="CA72">
            <v>336.1908745244134</v>
          </cell>
          <cell r="CB72">
            <v>485.66722433417874</v>
          </cell>
          <cell r="CC72">
            <v>601.0840304177234</v>
          </cell>
          <cell r="CD72">
            <v>705.64663498038192</v>
          </cell>
          <cell r="CE72">
            <v>765.69836577881256</v>
          </cell>
          <cell r="CF72">
            <v>813.88328406775327</v>
          </cell>
          <cell r="CG72">
            <v>854.57744827114095</v>
          </cell>
          <cell r="CH72">
            <v>897.30632068469799</v>
          </cell>
          <cell r="CI72">
            <v>942.17163671893297</v>
          </cell>
          <cell r="CJ72">
            <v>989.28021855487964</v>
          </cell>
          <cell r="CP72" t="str">
            <v>no patent protection</v>
          </cell>
        </row>
        <row r="73">
          <cell r="A73" t="str">
            <v xml:space="preserve">   growth %</v>
          </cell>
          <cell r="BZ73">
            <v>2.0021939600507288</v>
          </cell>
          <cell r="CA73">
            <v>0.93071948897466039</v>
          </cell>
          <cell r="CB73">
            <v>0.44461751087449786</v>
          </cell>
          <cell r="CC73">
            <v>0.23764586181777925</v>
          </cell>
          <cell r="CD73">
            <v>0.1739567169834686</v>
          </cell>
          <cell r="CE73">
            <v>8.5101703631166759E-2</v>
          </cell>
          <cell r="CF73">
            <v>6.2929373291701562E-2</v>
          </cell>
          <cell r="CG73">
            <v>5.0000000000000044E-2</v>
          </cell>
          <cell r="CH73">
            <v>5.0000000000000044E-2</v>
          </cell>
          <cell r="CI73">
            <v>5.0000000000000044E-2</v>
          </cell>
          <cell r="CJ73">
            <v>5.0000000000000044E-2</v>
          </cell>
          <cell r="CP73" t="str">
            <v>formulation patents 2025</v>
          </cell>
        </row>
        <row r="74">
          <cell r="A74" t="str">
            <v xml:space="preserve">      CER growth</v>
          </cell>
          <cell r="CP74" t="str">
            <v>regulatory exclusivity (EU 2022, Japan 2020)</v>
          </cell>
        </row>
        <row r="75">
          <cell r="A75" t="str">
            <v>Consensus</v>
          </cell>
          <cell r="BS75">
            <v>50</v>
          </cell>
          <cell r="BZ75">
            <v>123</v>
          </cell>
          <cell r="CA75">
            <v>231.22075436992731</v>
          </cell>
          <cell r="CB75">
            <v>348.44400000000002</v>
          </cell>
          <cell r="CC75">
            <v>429.57324999999997</v>
          </cell>
        </row>
        <row r="76">
          <cell r="A76" t="str">
            <v>Difference</v>
          </cell>
          <cell r="BS76">
            <v>0.15999999999999992</v>
          </cell>
          <cell r="BZ76">
            <v>0.41566869660928685</v>
          </cell>
          <cell r="CA76">
            <v>0.45398225795313185</v>
          </cell>
          <cell r="CB76">
            <v>0.39381715378706117</v>
          </cell>
          <cell r="CC76">
            <v>0.39925852091051617</v>
          </cell>
        </row>
        <row r="78">
          <cell r="A78" t="str">
            <v xml:space="preserve">       Seebri US</v>
          </cell>
          <cell r="CA78">
            <v>75</v>
          </cell>
          <cell r="CB78">
            <v>120</v>
          </cell>
          <cell r="CC78">
            <v>144</v>
          </cell>
          <cell r="CD78">
            <v>180</v>
          </cell>
          <cell r="CE78">
            <v>198.00000000000003</v>
          </cell>
          <cell r="CF78">
            <v>217.80000000000004</v>
          </cell>
          <cell r="CG78">
            <v>228.69000000000005</v>
          </cell>
          <cell r="CH78">
            <v>240.12450000000007</v>
          </cell>
          <cell r="CI78">
            <v>252.13072500000007</v>
          </cell>
          <cell r="CJ78">
            <v>264.73726125000007</v>
          </cell>
        </row>
        <row r="79">
          <cell r="A79" t="str">
            <v xml:space="preserve">           growth </v>
          </cell>
          <cell r="CB79">
            <v>0.6</v>
          </cell>
          <cell r="CC79">
            <v>0.2</v>
          </cell>
          <cell r="CD79">
            <v>0.25</v>
          </cell>
          <cell r="CE79">
            <v>0.1</v>
          </cell>
          <cell r="CF79">
            <v>0.1</v>
          </cell>
          <cell r="CG79">
            <v>0.05</v>
          </cell>
          <cell r="CH79">
            <v>0.05</v>
          </cell>
          <cell r="CI79">
            <v>0.05</v>
          </cell>
          <cell r="CJ79">
            <v>0.05</v>
          </cell>
        </row>
        <row r="80">
          <cell r="A80" t="str">
            <v xml:space="preserve">       Seebri ROW</v>
          </cell>
          <cell r="BJ80">
            <v>0</v>
          </cell>
          <cell r="BK80">
            <v>3</v>
          </cell>
          <cell r="BL80">
            <v>3</v>
          </cell>
          <cell r="BM80">
            <v>6</v>
          </cell>
          <cell r="BN80">
            <v>12</v>
          </cell>
          <cell r="BO80">
            <v>18</v>
          </cell>
          <cell r="BP80">
            <v>15</v>
          </cell>
          <cell r="BQ80">
            <v>33</v>
          </cell>
          <cell r="BR80">
            <v>25</v>
          </cell>
          <cell r="BS80">
            <v>58</v>
          </cell>
          <cell r="BT80">
            <v>29.618127069059337</v>
          </cell>
          <cell r="BU80">
            <v>42.667996834834732</v>
          </cell>
          <cell r="BV80">
            <v>72.286123903894065</v>
          </cell>
          <cell r="BW80">
            <v>49.867654187504598</v>
          </cell>
          <cell r="BX80">
            <v>122.15377809139866</v>
          </cell>
          <cell r="BY80">
            <v>51.973471591543614</v>
          </cell>
          <cell r="BZ80">
            <v>174.12724968294228</v>
          </cell>
          <cell r="CA80">
            <v>261.1908745244134</v>
          </cell>
          <cell r="CB80">
            <v>365.66722433417874</v>
          </cell>
          <cell r="CC80">
            <v>457.0840304177234</v>
          </cell>
          <cell r="CD80">
            <v>525.64663498038192</v>
          </cell>
          <cell r="CE80">
            <v>567.69836577881256</v>
          </cell>
          <cell r="CF80">
            <v>596.0832840677532</v>
          </cell>
          <cell r="CG80">
            <v>625.8874482711409</v>
          </cell>
          <cell r="CH80">
            <v>657.18182068469798</v>
          </cell>
          <cell r="CI80">
            <v>690.04091171893288</v>
          </cell>
          <cell r="CJ80">
            <v>724.54295730487956</v>
          </cell>
        </row>
        <row r="81">
          <cell r="A81" t="str">
            <v xml:space="preserve">           growth </v>
          </cell>
          <cell r="BS81">
            <v>18.333333333333332</v>
          </cell>
          <cell r="BT81">
            <v>3.9363545115098892</v>
          </cell>
          <cell r="BU81">
            <v>2.5556664029028942</v>
          </cell>
          <cell r="BV81">
            <v>3.0158957724385589</v>
          </cell>
          <cell r="BW81">
            <v>2.3245102791669732</v>
          </cell>
          <cell r="BX81">
            <v>2.701629639133293</v>
          </cell>
          <cell r="BY81">
            <v>1.0789388636617447</v>
          </cell>
          <cell r="BZ81">
            <v>2.0021939600507288</v>
          </cell>
          <cell r="CA81">
            <v>0.5</v>
          </cell>
          <cell r="CB81">
            <v>0.39999999999999991</v>
          </cell>
          <cell r="CC81">
            <v>0.25</v>
          </cell>
          <cell r="CD81">
            <v>0.15000000000000013</v>
          </cell>
          <cell r="CE81">
            <v>8.0000000000000071E-2</v>
          </cell>
          <cell r="CF81">
            <v>5.0000000000000044E-2</v>
          </cell>
          <cell r="CG81">
            <v>5.0000000000000044E-2</v>
          </cell>
          <cell r="CH81">
            <v>5.0000000000000044E-2</v>
          </cell>
          <cell r="CI81">
            <v>5.0000000000000044E-2</v>
          </cell>
          <cell r="CJ81">
            <v>5.0000000000000044E-2</v>
          </cell>
        </row>
        <row r="82">
          <cell r="A82" t="str">
            <v xml:space="preserve">   CER growth </v>
          </cell>
          <cell r="BT82">
            <v>4</v>
          </cell>
          <cell r="BU82">
            <v>2.5</v>
          </cell>
          <cell r="BW82">
            <v>2.2999999999999998</v>
          </cell>
          <cell r="BY82">
            <v>1.0721305967055581</v>
          </cell>
          <cell r="BZ82">
            <v>2</v>
          </cell>
          <cell r="CA82">
            <v>0.5</v>
          </cell>
          <cell r="CB82">
            <v>0.4</v>
          </cell>
          <cell r="CC82">
            <v>0.25</v>
          </cell>
          <cell r="CD82">
            <v>0.15</v>
          </cell>
          <cell r="CE82">
            <v>0.08</v>
          </cell>
          <cell r="CF82">
            <v>0.05</v>
          </cell>
          <cell r="CG82">
            <v>0.05</v>
          </cell>
          <cell r="CH82">
            <v>0.05</v>
          </cell>
          <cell r="CI82">
            <v>0.05</v>
          </cell>
          <cell r="CJ82">
            <v>0.05</v>
          </cell>
        </row>
        <row r="84">
          <cell r="A84" t="str">
            <v>Ultibro breezhaler</v>
          </cell>
          <cell r="BR84">
            <v>6</v>
          </cell>
          <cell r="BS84">
            <v>6</v>
          </cell>
          <cell r="BT84">
            <v>15</v>
          </cell>
          <cell r="BU84">
            <v>25</v>
          </cell>
          <cell r="BV84">
            <v>40</v>
          </cell>
          <cell r="BW84">
            <v>35</v>
          </cell>
          <cell r="BX84">
            <v>75</v>
          </cell>
          <cell r="BY84">
            <v>40</v>
          </cell>
          <cell r="BZ84">
            <v>115</v>
          </cell>
          <cell r="CA84">
            <v>270.5</v>
          </cell>
          <cell r="CB84">
            <v>488.92500000000001</v>
          </cell>
          <cell r="CC84">
            <v>721.71</v>
          </cell>
          <cell r="CD84">
            <v>971.7165</v>
          </cell>
          <cell r="CE84">
            <v>1111.4273249999999</v>
          </cell>
          <cell r="CF84">
            <v>1173.3193862904732</v>
          </cell>
          <cell r="CG84">
            <v>1220.2521617420921</v>
          </cell>
          <cell r="CH84">
            <v>1269.062248211776</v>
          </cell>
          <cell r="CI84">
            <v>1319.8247381402473</v>
          </cell>
          <cell r="CJ84">
            <v>1372.6177276658573</v>
          </cell>
        </row>
        <row r="85">
          <cell r="A85" t="str">
            <v xml:space="preserve">   growth %</v>
          </cell>
        </row>
        <row r="86">
          <cell r="A86" t="str">
            <v xml:space="preserve">      CER growth</v>
          </cell>
          <cell r="BZ86">
            <v>18.166666666666668</v>
          </cell>
          <cell r="CA86">
            <v>1</v>
          </cell>
          <cell r="CB86">
            <v>0.51666666666666661</v>
          </cell>
          <cell r="CC86">
            <v>0.13186813186813184</v>
          </cell>
          <cell r="CD86">
            <v>7.7669902912621325E-2</v>
          </cell>
          <cell r="CE86">
            <v>8.5135135135135043E-2</v>
          </cell>
          <cell r="CF86">
            <v>5.5687007056870019E-2</v>
          </cell>
          <cell r="CG86">
            <v>0.04</v>
          </cell>
          <cell r="CH86">
            <v>4.0000000000000258E-2</v>
          </cell>
          <cell r="CI86">
            <v>4.0000000000000258E-2</v>
          </cell>
          <cell r="CJ86">
            <v>0.04</v>
          </cell>
        </row>
        <row r="88">
          <cell r="A88" t="str">
            <v xml:space="preserve">      Ultibro US</v>
          </cell>
          <cell r="CA88">
            <v>75</v>
          </cell>
          <cell r="CB88">
            <v>225</v>
          </cell>
          <cell r="CC88">
            <v>405</v>
          </cell>
          <cell r="CD88">
            <v>607.5</v>
          </cell>
          <cell r="CE88">
            <v>729</v>
          </cell>
          <cell r="CF88">
            <v>769.59582814445821</v>
          </cell>
          <cell r="CG88">
            <v>800.37966127023651</v>
          </cell>
          <cell r="CH88">
            <v>832.39484772104618</v>
          </cell>
          <cell r="CI88">
            <v>865.6906416298882</v>
          </cell>
          <cell r="CJ88">
            <v>900.31826729508373</v>
          </cell>
        </row>
        <row r="89">
          <cell r="A89" t="str">
            <v xml:space="preserve">           growth </v>
          </cell>
          <cell r="CB89">
            <v>2</v>
          </cell>
          <cell r="CC89">
            <v>0.8</v>
          </cell>
          <cell r="CD89">
            <v>0.5</v>
          </cell>
          <cell r="CE89">
            <v>0.2</v>
          </cell>
          <cell r="CF89">
            <v>5.5687007056870019E-2</v>
          </cell>
          <cell r="CG89">
            <v>0.04</v>
          </cell>
          <cell r="CH89">
            <v>4.0000000000000258E-2</v>
          </cell>
          <cell r="CI89">
            <v>4.0000000000000258E-2</v>
          </cell>
          <cell r="CJ89">
            <v>0.04</v>
          </cell>
        </row>
        <row r="90">
          <cell r="A90" t="str">
            <v xml:space="preserve">       Ultibro ROW</v>
          </cell>
          <cell r="BR90">
            <v>6</v>
          </cell>
          <cell r="BS90">
            <v>6</v>
          </cell>
          <cell r="BT90">
            <v>15</v>
          </cell>
          <cell r="BU90">
            <v>25</v>
          </cell>
          <cell r="BV90">
            <v>40</v>
          </cell>
          <cell r="BW90">
            <v>35</v>
          </cell>
          <cell r="BX90">
            <v>75</v>
          </cell>
          <cell r="BY90">
            <v>40</v>
          </cell>
          <cell r="BZ90">
            <v>115</v>
          </cell>
          <cell r="CA90">
            <v>195.5</v>
          </cell>
          <cell r="CB90">
            <v>263.92500000000001</v>
          </cell>
          <cell r="CC90">
            <v>316.70999999999998</v>
          </cell>
          <cell r="CD90">
            <v>364.21649999999994</v>
          </cell>
          <cell r="CE90">
            <v>382.42732499999994</v>
          </cell>
          <cell r="CF90">
            <v>403.72355814601485</v>
          </cell>
          <cell r="CG90">
            <v>419.87250047185546</v>
          </cell>
          <cell r="CH90">
            <v>436.66740049072979</v>
          </cell>
          <cell r="CI90">
            <v>454.13409651035909</v>
          </cell>
          <cell r="CJ90">
            <v>472.29946037077349</v>
          </cell>
        </row>
        <row r="91">
          <cell r="A91" t="str">
            <v xml:space="preserve">           growth </v>
          </cell>
          <cell r="BY91">
            <v>5.666666666666667</v>
          </cell>
          <cell r="BZ91">
            <v>18.166666666666668</v>
          </cell>
          <cell r="CA91">
            <v>0.7</v>
          </cell>
          <cell r="CB91">
            <v>0.35</v>
          </cell>
          <cell r="CC91">
            <v>0.2</v>
          </cell>
          <cell r="CD91">
            <v>0.15</v>
          </cell>
          <cell r="CE91">
            <v>0.05</v>
          </cell>
          <cell r="CF91">
            <v>5.5687007056870019E-2</v>
          </cell>
          <cell r="CG91">
            <v>0.04</v>
          </cell>
          <cell r="CH91">
            <v>4.0000000000000258E-2</v>
          </cell>
          <cell r="CI91">
            <v>4.0000000000000258E-2</v>
          </cell>
          <cell r="CJ91">
            <v>0.04</v>
          </cell>
        </row>
        <row r="92">
          <cell r="A92" t="str">
            <v xml:space="preserve">   CER growth </v>
          </cell>
          <cell r="BY92">
            <v>5.6598583997104805</v>
          </cell>
        </row>
        <row r="94">
          <cell r="A94" t="str">
            <v>Total strategic products</v>
          </cell>
          <cell r="AY94">
            <v>1949</v>
          </cell>
          <cell r="AZ94">
            <v>2171</v>
          </cell>
          <cell r="BA94">
            <v>4120</v>
          </cell>
          <cell r="BB94">
            <v>2111</v>
          </cell>
          <cell r="BC94">
            <v>6231</v>
          </cell>
          <cell r="BD94">
            <v>1980</v>
          </cell>
          <cell r="BE94">
            <v>8211</v>
          </cell>
          <cell r="BF94">
            <v>1852</v>
          </cell>
          <cell r="BG94">
            <v>1973</v>
          </cell>
          <cell r="BH94">
            <v>3825</v>
          </cell>
          <cell r="BI94">
            <v>1644</v>
          </cell>
          <cell r="BJ94">
            <v>5469</v>
          </cell>
          <cell r="BK94">
            <v>1730</v>
          </cell>
          <cell r="BL94">
            <v>7199</v>
          </cell>
          <cell r="BM94">
            <v>1791</v>
          </cell>
          <cell r="BN94">
            <v>1887</v>
          </cell>
          <cell r="BO94">
            <v>3678</v>
          </cell>
          <cell r="BP94">
            <v>1802</v>
          </cell>
          <cell r="BQ94">
            <v>5480</v>
          </cell>
          <cell r="BR94">
            <v>1859</v>
          </cell>
          <cell r="BS94">
            <v>7339</v>
          </cell>
          <cell r="BT94">
            <v>1837.4886764333689</v>
          </cell>
          <cell r="BU94">
            <v>1924.032923035775</v>
          </cell>
          <cell r="BV94">
            <v>3761.5215994691439</v>
          </cell>
          <cell r="BW94">
            <v>1432.2359179935131</v>
          </cell>
          <cell r="BX94">
            <v>5193.7575174626572</v>
          </cell>
          <cell r="BY94">
            <v>1448.1428798891379</v>
          </cell>
          <cell r="BZ94">
            <v>6641.9003973517956</v>
          </cell>
          <cell r="CA94">
            <v>5976.2212313074015</v>
          </cell>
          <cell r="CB94">
            <v>6496.5280420561357</v>
          </cell>
          <cell r="CC94">
            <v>6643.3088083598277</v>
          </cell>
          <cell r="CD94">
            <v>7046.7811438582085</v>
          </cell>
          <cell r="CE94">
            <v>6898.1026187436782</v>
          </cell>
          <cell r="CF94">
            <v>6756.4343221685594</v>
          </cell>
          <cell r="CG94">
            <v>6416.5271829775029</v>
          </cell>
          <cell r="CH94">
            <v>6207.0826709069033</v>
          </cell>
          <cell r="CI94">
            <v>6046.4168549581509</v>
          </cell>
          <cell r="CJ94">
            <v>5928.6082257683565</v>
          </cell>
          <cell r="CK94">
            <v>0</v>
          </cell>
          <cell r="CM94">
            <v>0</v>
          </cell>
          <cell r="CO94">
            <v>0</v>
          </cell>
        </row>
        <row r="95">
          <cell r="A95" t="str">
            <v xml:space="preserve">   growth %</v>
          </cell>
          <cell r="BG95">
            <v>-9.1202210962689989E-2</v>
          </cell>
          <cell r="BH95">
            <v>-7.1601941747572839E-2</v>
          </cell>
          <cell r="BI95">
            <v>-0.221222169587873</v>
          </cell>
          <cell r="BJ95">
            <v>-0.12229176697159361</v>
          </cell>
          <cell r="BK95">
            <v>-0.1262626262626263</v>
          </cell>
          <cell r="BL95">
            <v>-0.12324929971988796</v>
          </cell>
          <cell r="BM95">
            <v>-3.2937365010799136E-2</v>
          </cell>
          <cell r="BN95">
            <v>-4.3588443993917925E-2</v>
          </cell>
          <cell r="BO95">
            <v>-3.8431372549019627E-2</v>
          </cell>
          <cell r="BP95">
            <v>9.6107055961070609E-2</v>
          </cell>
          <cell r="BQ95">
            <v>2.0113366246115039E-3</v>
          </cell>
          <cell r="BR95">
            <v>7.4566473988439297E-2</v>
          </cell>
          <cell r="BS95">
            <v>1.944714543686632E-2</v>
          </cell>
          <cell r="BT95">
            <v>2.5956826595962657E-2</v>
          </cell>
          <cell r="BU95">
            <v>1.9625290427013775E-2</v>
          </cell>
          <cell r="BV95">
            <v>2.2708428349413889E-2</v>
          </cell>
          <cell r="BW95">
            <v>-0.2051964938992713</v>
          </cell>
          <cell r="BX95">
            <v>-5.2234029660099046E-2</v>
          </cell>
          <cell r="BY95">
            <v>-0.22100974723553635</v>
          </cell>
          <cell r="BZ95">
            <v>-9.4985638731190147E-2</v>
          </cell>
          <cell r="CA95">
            <v>-0.1002242018428654</v>
          </cell>
          <cell r="CB95">
            <v>8.7062842992328138E-2</v>
          </cell>
          <cell r="CC95">
            <v>2.2593724733193987E-2</v>
          </cell>
          <cell r="CD95">
            <v>6.0733641493627033E-2</v>
          </cell>
          <cell r="CE95">
            <v>-2.1098785683746457E-2</v>
          </cell>
          <cell r="CF95">
            <v>-2.0537284584629778E-2</v>
          </cell>
          <cell r="CG95">
            <v>-5.0308657345456087E-2</v>
          </cell>
          <cell r="CH95">
            <v>-3.2641412729651931E-2</v>
          </cell>
          <cell r="CI95">
            <v>-2.5884271962705818E-2</v>
          </cell>
          <cell r="CJ95">
            <v>-1.948404022014949E-2</v>
          </cell>
        </row>
        <row r="96">
          <cell r="A96" t="str">
            <v xml:space="preserve">      CER growth</v>
          </cell>
          <cell r="BB96">
            <v>-0.3</v>
          </cell>
          <cell r="BC96">
            <v>0.03</v>
          </cell>
          <cell r="BD96">
            <v>0.94</v>
          </cell>
          <cell r="BF96">
            <v>-0.04</v>
          </cell>
          <cell r="BG96">
            <v>-0.06</v>
          </cell>
          <cell r="BH96">
            <v>-0.05</v>
          </cell>
          <cell r="BI96">
            <v>-0.19</v>
          </cell>
          <cell r="BJ96">
            <v>-0.1</v>
          </cell>
          <cell r="BK96">
            <v>-0.11</v>
          </cell>
          <cell r="BL96">
            <v>-0.1</v>
          </cell>
          <cell r="BM96">
            <v>-0.05</v>
          </cell>
          <cell r="BN96">
            <v>-0.06</v>
          </cell>
          <cell r="BO96">
            <v>-0.05</v>
          </cell>
          <cell r="BP96">
            <v>7.0000000000000007E-2</v>
          </cell>
          <cell r="BQ96">
            <v>-0.02</v>
          </cell>
          <cell r="BR96">
            <v>0.05</v>
          </cell>
          <cell r="BS96">
            <v>0</v>
          </cell>
        </row>
        <row r="98">
          <cell r="A98" t="str">
            <v>Lotrel</v>
          </cell>
          <cell r="B98">
            <v>221</v>
          </cell>
          <cell r="C98">
            <v>227</v>
          </cell>
          <cell r="D98">
            <v>448</v>
          </cell>
          <cell r="E98">
            <v>218</v>
          </cell>
          <cell r="F98">
            <v>666</v>
          </cell>
          <cell r="G98">
            <v>254</v>
          </cell>
          <cell r="H98">
            <v>920</v>
          </cell>
          <cell r="I98">
            <v>231</v>
          </cell>
          <cell r="J98">
            <v>278</v>
          </cell>
          <cell r="K98">
            <v>509</v>
          </cell>
          <cell r="L98">
            <v>269</v>
          </cell>
          <cell r="M98">
            <v>778</v>
          </cell>
          <cell r="N98">
            <v>297</v>
          </cell>
          <cell r="O98">
            <v>1075</v>
          </cell>
          <cell r="P98">
            <v>295</v>
          </cell>
          <cell r="Q98">
            <v>348</v>
          </cell>
          <cell r="R98">
            <v>643</v>
          </cell>
          <cell r="S98">
            <v>355</v>
          </cell>
          <cell r="T98">
            <v>998</v>
          </cell>
          <cell r="U98">
            <v>354</v>
          </cell>
          <cell r="V98">
            <v>1352</v>
          </cell>
          <cell r="W98">
            <v>353</v>
          </cell>
          <cell r="X98">
            <v>241</v>
          </cell>
          <cell r="Y98">
            <v>594</v>
          </cell>
          <cell r="Z98">
            <v>66</v>
          </cell>
          <cell r="AA98">
            <v>660</v>
          </cell>
          <cell r="AB98">
            <v>88</v>
          </cell>
          <cell r="AC98">
            <v>748</v>
          </cell>
          <cell r="AD98">
            <v>95</v>
          </cell>
          <cell r="AE98">
            <v>100</v>
          </cell>
          <cell r="AF98">
            <v>195</v>
          </cell>
          <cell r="AG98">
            <v>101</v>
          </cell>
          <cell r="AH98">
            <v>296</v>
          </cell>
          <cell r="AI98">
            <v>90</v>
          </cell>
          <cell r="AJ98">
            <v>386</v>
          </cell>
          <cell r="AK98">
            <v>83</v>
          </cell>
          <cell r="AL98">
            <v>86</v>
          </cell>
          <cell r="AM98">
            <v>169</v>
          </cell>
          <cell r="AN98">
            <v>75</v>
          </cell>
          <cell r="AO98">
            <v>244</v>
          </cell>
          <cell r="AP98">
            <v>78</v>
          </cell>
          <cell r="AQ98">
            <v>322</v>
          </cell>
          <cell r="AR98">
            <v>73</v>
          </cell>
          <cell r="AS98">
            <v>71</v>
          </cell>
          <cell r="AT98">
            <v>144</v>
          </cell>
          <cell r="AU98">
            <v>80</v>
          </cell>
          <cell r="AV98">
            <v>224</v>
          </cell>
          <cell r="AW98">
            <v>42</v>
          </cell>
          <cell r="AX98">
            <v>266</v>
          </cell>
          <cell r="AY98">
            <v>23</v>
          </cell>
          <cell r="AZ98">
            <v>15</v>
          </cell>
          <cell r="BA98">
            <v>38</v>
          </cell>
          <cell r="BB98">
            <v>8</v>
          </cell>
          <cell r="BC98">
            <v>46</v>
          </cell>
          <cell r="BD98">
            <v>8</v>
          </cell>
          <cell r="BE98">
            <v>54</v>
          </cell>
          <cell r="BL98">
            <v>8731</v>
          </cell>
          <cell r="BS98">
            <v>8672.0984153629815</v>
          </cell>
          <cell r="BZ98">
            <v>6810.8731729464362</v>
          </cell>
          <cell r="CA98">
            <v>6552.9489554030342</v>
          </cell>
          <cell r="CB98">
            <v>6814.7475797153729</v>
          </cell>
          <cell r="CC98">
            <v>6614.7323141144707</v>
          </cell>
          <cell r="CD98">
            <v>6700.3365311095067</v>
          </cell>
          <cell r="CE98">
            <v>6677.6229263746072</v>
          </cell>
          <cell r="CF98">
            <v>6216.7940258178587</v>
          </cell>
          <cell r="CG98">
            <v>5786.0140511851405</v>
          </cell>
          <cell r="CH98">
            <v>5396.8162660607504</v>
          </cell>
          <cell r="CI98">
            <v>5066.4659832551633</v>
          </cell>
          <cell r="CQ98">
            <v>4.5248868778280604E-2</v>
          </cell>
          <cell r="CR98">
            <v>0.22466960352422904</v>
          </cell>
          <cell r="CS98">
            <v>0.23394495412844041</v>
          </cell>
          <cell r="CT98">
            <v>0.16929133858267709</v>
          </cell>
          <cell r="CU98">
            <v>0.16847826086956519</v>
          </cell>
          <cell r="CV98">
            <v>0.277056277056277</v>
          </cell>
          <cell r="CW98">
            <v>0.25179856115107913</v>
          </cell>
          <cell r="CX98">
            <v>0.31970260223048319</v>
          </cell>
          <cell r="CY98">
            <v>0.19191919191919182</v>
          </cell>
          <cell r="CZ98">
            <v>0.25767441860465112</v>
          </cell>
          <cell r="DA98">
            <v>0.19661016949152543</v>
          </cell>
          <cell r="DB98">
            <v>-0.30747126436781613</v>
          </cell>
          <cell r="DC98">
            <v>-0.81408450704225355</v>
          </cell>
          <cell r="DD98">
            <v>-0.85</v>
          </cell>
          <cell r="DE98">
            <v>-0.44674556213017746</v>
          </cell>
          <cell r="DF98">
            <v>-0.9</v>
          </cell>
          <cell r="DG98">
            <v>-0.7</v>
          </cell>
          <cell r="DH98">
            <v>-0.2</v>
          </cell>
          <cell r="DI98">
            <v>-0.2</v>
          </cell>
          <cell r="DJ98">
            <v>-0.2</v>
          </cell>
          <cell r="DK98">
            <v>-0.2</v>
          </cell>
        </row>
        <row r="99">
          <cell r="A99" t="str">
            <v>Underlying growth (ex currency)</v>
          </cell>
          <cell r="O99">
            <v>0.16847826086956519</v>
          </cell>
          <cell r="P99">
            <v>0.277056277056277</v>
          </cell>
          <cell r="Q99">
            <v>0.25179856115107913</v>
          </cell>
          <cell r="R99">
            <v>0.26326129666011777</v>
          </cell>
          <cell r="S99">
            <v>0.31970260223048319</v>
          </cell>
          <cell r="T99">
            <v>0.28277634961439579</v>
          </cell>
          <cell r="U99">
            <v>0.19191919191919182</v>
          </cell>
          <cell r="V99">
            <v>0.25767441860465112</v>
          </cell>
          <cell r="W99">
            <v>0.19661016949152543</v>
          </cell>
          <cell r="X99">
            <v>-0.30747126436781613</v>
          </cell>
          <cell r="Y99">
            <v>-7.6205287713841385E-2</v>
          </cell>
          <cell r="Z99">
            <v>-0.81408450704225355</v>
          </cell>
          <cell r="AA99">
            <v>-0.33867735470941884</v>
          </cell>
          <cell r="AB99">
            <v>-0.75141242937853103</v>
          </cell>
          <cell r="AC99">
            <v>-0.44674556213017746</v>
          </cell>
          <cell r="AD99">
            <v>-0.73087818696883855</v>
          </cell>
          <cell r="AE99">
            <v>-0.58506224066390033</v>
          </cell>
          <cell r="AF99">
            <v>-0.67171717171717171</v>
          </cell>
          <cell r="AG99">
            <v>0.53030303030303028</v>
          </cell>
          <cell r="AH99">
            <v>-0.55151515151515151</v>
          </cell>
          <cell r="AI99">
            <v>2.2727272727272707E-2</v>
          </cell>
          <cell r="AJ99">
            <v>-0.48395721925133695</v>
          </cell>
          <cell r="AK99">
            <v>-0.12631578947368416</v>
          </cell>
          <cell r="AL99">
            <v>-0.14000000000000001</v>
          </cell>
          <cell r="AM99">
            <v>-0.1333333333333333</v>
          </cell>
          <cell r="AN99">
            <v>-0.25742574257425743</v>
          </cell>
          <cell r="AO99">
            <v>-0.17567567567567566</v>
          </cell>
          <cell r="AP99">
            <v>-0.1333333333333333</v>
          </cell>
          <cell r="AQ99">
            <v>-0.16580310880829019</v>
          </cell>
          <cell r="AR99">
            <v>-0.12048192771084343</v>
          </cell>
          <cell r="AS99">
            <v>-0.17441860465116277</v>
          </cell>
          <cell r="AT99">
            <v>-0.14792899408284022</v>
          </cell>
          <cell r="AU99">
            <v>6.6666666666666652E-2</v>
          </cell>
          <cell r="AV99">
            <v>-8.1967213114754078E-2</v>
          </cell>
          <cell r="AW99">
            <v>-0.46153846153846156</v>
          </cell>
          <cell r="AX99">
            <v>-0.17391304347826086</v>
          </cell>
          <cell r="AY99">
            <v>-0.68493150684931514</v>
          </cell>
          <cell r="AZ99">
            <v>-0.78873239436619724</v>
          </cell>
          <cell r="BA99">
            <v>-0.73611111111111116</v>
          </cell>
          <cell r="BB99">
            <v>-0.9</v>
          </cell>
          <cell r="BC99">
            <v>-0.79464285714285721</v>
          </cell>
          <cell r="BD99">
            <v>-0.80952380952380953</v>
          </cell>
          <cell r="BE99">
            <v>-0.79699248120300759</v>
          </cell>
        </row>
        <row r="100">
          <cell r="A100" t="str">
            <v>Lescol</v>
          </cell>
          <cell r="B100">
            <v>174</v>
          </cell>
          <cell r="C100">
            <v>187</v>
          </cell>
          <cell r="D100">
            <v>361</v>
          </cell>
          <cell r="E100">
            <v>195</v>
          </cell>
          <cell r="F100">
            <v>556</v>
          </cell>
          <cell r="G100">
            <v>202</v>
          </cell>
          <cell r="H100">
            <v>758</v>
          </cell>
          <cell r="I100">
            <v>172</v>
          </cell>
          <cell r="J100">
            <v>205</v>
          </cell>
          <cell r="K100">
            <v>377</v>
          </cell>
          <cell r="L100">
            <v>194</v>
          </cell>
          <cell r="M100">
            <v>571</v>
          </cell>
          <cell r="N100">
            <v>196</v>
          </cell>
          <cell r="O100">
            <v>767</v>
          </cell>
          <cell r="P100">
            <v>178</v>
          </cell>
          <cell r="Q100">
            <v>178</v>
          </cell>
          <cell r="R100">
            <v>356</v>
          </cell>
          <cell r="S100">
            <v>190</v>
          </cell>
          <cell r="T100">
            <v>546</v>
          </cell>
          <cell r="U100">
            <v>179</v>
          </cell>
          <cell r="V100">
            <v>725</v>
          </cell>
          <cell r="W100">
            <v>171</v>
          </cell>
          <cell r="X100">
            <v>168</v>
          </cell>
          <cell r="Y100">
            <v>339</v>
          </cell>
          <cell r="Z100">
            <v>163</v>
          </cell>
          <cell r="AA100">
            <v>502</v>
          </cell>
          <cell r="AB100">
            <v>163</v>
          </cell>
          <cell r="AC100">
            <v>665</v>
          </cell>
          <cell r="AD100">
            <v>156</v>
          </cell>
          <cell r="AE100">
            <v>181</v>
          </cell>
          <cell r="AF100">
            <v>337</v>
          </cell>
          <cell r="AG100">
            <v>159</v>
          </cell>
          <cell r="AH100">
            <v>496</v>
          </cell>
          <cell r="AI100">
            <v>149</v>
          </cell>
          <cell r="AJ100">
            <v>645</v>
          </cell>
          <cell r="AK100">
            <v>141</v>
          </cell>
          <cell r="AL100">
            <v>148</v>
          </cell>
          <cell r="AM100">
            <v>289</v>
          </cell>
          <cell r="AN100">
            <v>135</v>
          </cell>
          <cell r="AO100">
            <v>424</v>
          </cell>
          <cell r="AP100">
            <v>139</v>
          </cell>
          <cell r="AQ100">
            <v>563</v>
          </cell>
          <cell r="AR100">
            <v>115</v>
          </cell>
          <cell r="AS100">
            <v>112</v>
          </cell>
          <cell r="AT100">
            <v>227</v>
          </cell>
          <cell r="AU100">
            <v>103</v>
          </cell>
          <cell r="AV100">
            <v>330</v>
          </cell>
          <cell r="AW100">
            <v>106</v>
          </cell>
          <cell r="AX100">
            <v>436</v>
          </cell>
          <cell r="AY100">
            <v>105</v>
          </cell>
          <cell r="AZ100">
            <v>100</v>
          </cell>
          <cell r="BA100">
            <v>205</v>
          </cell>
          <cell r="BB100">
            <v>93</v>
          </cell>
          <cell r="BC100">
            <v>298</v>
          </cell>
          <cell r="BD100">
            <v>91</v>
          </cell>
          <cell r="BE100">
            <v>389</v>
          </cell>
          <cell r="CQ100">
            <v>-1.1494252873563204E-2</v>
          </cell>
          <cell r="CR100">
            <v>9.625668449197855E-2</v>
          </cell>
          <cell r="CS100">
            <v>-5.12820512820511E-3</v>
          </cell>
          <cell r="CT100">
            <v>-2.9702970297029729E-2</v>
          </cell>
          <cell r="CU100">
            <v>1.1873350923482739E-2</v>
          </cell>
          <cell r="CV100">
            <v>3.488372093023262E-2</v>
          </cell>
          <cell r="CW100">
            <v>-0.13170731707317074</v>
          </cell>
          <cell r="CX100">
            <v>-2.0618556701030966E-2</v>
          </cell>
          <cell r="CY100">
            <v>-8.6734693877551061E-2</v>
          </cell>
          <cell r="CZ100">
            <v>-5.4758800521512385E-2</v>
          </cell>
          <cell r="DA100">
            <v>-3.9325842696629199E-2</v>
          </cell>
          <cell r="DB100">
            <v>-5.6179775280898903E-2</v>
          </cell>
          <cell r="DC100">
            <v>-0.14210526315789473</v>
          </cell>
          <cell r="DD100">
            <v>-0.1</v>
          </cell>
          <cell r="DE100">
            <v>-8.2758620689655227E-2</v>
          </cell>
          <cell r="DF100">
            <v>-0.05</v>
          </cell>
          <cell r="DG100">
            <v>0.03</v>
          </cell>
          <cell r="DH100">
            <v>0.03</v>
          </cell>
          <cell r="DI100">
            <v>0.03</v>
          </cell>
          <cell r="DJ100">
            <v>-0.35</v>
          </cell>
          <cell r="DK100">
            <v>-0.4</v>
          </cell>
        </row>
        <row r="101">
          <cell r="A101" t="str">
            <v>Underlying growth (ex currency)</v>
          </cell>
          <cell r="P101">
            <v>0.11374099909876978</v>
          </cell>
          <cell r="Q101">
            <v>-0.1093620599579046</v>
          </cell>
          <cell r="R101">
            <v>-5.1016501299816497E-3</v>
          </cell>
          <cell r="S101">
            <v>-2.6989958394175173E-2</v>
          </cell>
          <cell r="T101">
            <v>-1.217245926429289E-2</v>
          </cell>
          <cell r="U101">
            <v>-0.12412181618060614</v>
          </cell>
          <cell r="V101">
            <v>-4.7189954462605987E-2</v>
          </cell>
          <cell r="W101">
            <v>-7.2672181278062187E-2</v>
          </cell>
          <cell r="X101">
            <v>-6.6973580397721499E-2</v>
          </cell>
          <cell r="Y101">
            <v>-6.9822880837891788E-2</v>
          </cell>
          <cell r="Z101">
            <v>-0.1706014322661511</v>
          </cell>
          <cell r="AA101">
            <v>-0.10479818485491788</v>
          </cell>
          <cell r="AB101">
            <v>-0.1589958383462845</v>
          </cell>
          <cell r="AC101">
            <v>-0.117974194823251</v>
          </cell>
          <cell r="AD101">
            <v>-0.20777689686764611</v>
          </cell>
          <cell r="AE101">
            <v>-6.1549281902056441E-2</v>
          </cell>
          <cell r="AF101">
            <v>-0.13539362146726963</v>
          </cell>
          <cell r="AG101">
            <v>-0.10795586601310581</v>
          </cell>
          <cell r="AH101">
            <v>-0.11840714381756623</v>
          </cell>
          <cell r="AI101">
            <v>-0.112255963325957</v>
          </cell>
          <cell r="AJ101">
            <v>-3.007518796992481E-2</v>
          </cell>
          <cell r="AK101">
            <v>-9.6153846153846145E-2</v>
          </cell>
          <cell r="AL101">
            <v>-0.18232044198895025</v>
          </cell>
          <cell r="AM101">
            <v>-0.14243323442136502</v>
          </cell>
          <cell r="AN101">
            <v>-0.15094339622641506</v>
          </cell>
          <cell r="AO101">
            <v>-0.14516129032258063</v>
          </cell>
          <cell r="AP101">
            <v>-6.7114093959731558E-2</v>
          </cell>
          <cell r="AQ101">
            <v>-0.12713178294573646</v>
          </cell>
          <cell r="AR101">
            <v>-0.18439716312056742</v>
          </cell>
          <cell r="AS101">
            <v>-0.2432432432432432</v>
          </cell>
          <cell r="AT101">
            <v>-0.2145328719723183</v>
          </cell>
          <cell r="AU101">
            <v>-0.23703703703703705</v>
          </cell>
          <cell r="AV101">
            <v>-0.22169811320754718</v>
          </cell>
          <cell r="AW101">
            <v>-0.23741007194244601</v>
          </cell>
          <cell r="AX101">
            <v>-0.22557726465364125</v>
          </cell>
          <cell r="AY101">
            <v>-8.6956521739130488E-2</v>
          </cell>
          <cell r="AZ101">
            <v>-0.1071428571428571</v>
          </cell>
          <cell r="BA101">
            <v>-9.6916299559471342E-2</v>
          </cell>
          <cell r="BB101">
            <v>-9.7087378640776656E-2</v>
          </cell>
          <cell r="BC101">
            <v>-9.6969696969696928E-2</v>
          </cell>
          <cell r="BD101">
            <v>-0.14150943396226412</v>
          </cell>
          <cell r="BE101">
            <v>-0.10779816513761464</v>
          </cell>
        </row>
        <row r="102">
          <cell r="A102" t="str">
            <v>Other Strategic</v>
          </cell>
          <cell r="B102">
            <v>23</v>
          </cell>
          <cell r="C102">
            <v>29</v>
          </cell>
          <cell r="D102">
            <v>52</v>
          </cell>
          <cell r="E102">
            <v>33</v>
          </cell>
          <cell r="F102">
            <v>85</v>
          </cell>
          <cell r="G102">
            <v>35</v>
          </cell>
          <cell r="H102">
            <v>120</v>
          </cell>
          <cell r="I102">
            <v>31</v>
          </cell>
          <cell r="J102">
            <v>35</v>
          </cell>
          <cell r="K102">
            <v>66</v>
          </cell>
          <cell r="L102">
            <v>23</v>
          </cell>
          <cell r="M102">
            <v>89</v>
          </cell>
          <cell r="N102">
            <v>39</v>
          </cell>
          <cell r="O102">
            <v>128</v>
          </cell>
          <cell r="P102">
            <v>41</v>
          </cell>
          <cell r="Q102">
            <v>41</v>
          </cell>
          <cell r="R102">
            <v>82</v>
          </cell>
          <cell r="S102">
            <v>36</v>
          </cell>
          <cell r="T102">
            <v>118</v>
          </cell>
          <cell r="U102">
            <v>40</v>
          </cell>
          <cell r="V102">
            <v>158</v>
          </cell>
          <cell r="Y102">
            <v>0</v>
          </cell>
          <cell r="AA102">
            <v>0</v>
          </cell>
          <cell r="AC102">
            <v>0</v>
          </cell>
          <cell r="AF102">
            <v>0</v>
          </cell>
          <cell r="AH102">
            <v>0</v>
          </cell>
          <cell r="AJ102">
            <v>0</v>
          </cell>
          <cell r="AL102">
            <v>0</v>
          </cell>
          <cell r="AM102">
            <v>0</v>
          </cell>
          <cell r="AN102">
            <v>0</v>
          </cell>
          <cell r="AO102">
            <v>0</v>
          </cell>
          <cell r="AP102">
            <v>0</v>
          </cell>
          <cell r="AQ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CQ102">
            <v>0.34782608695652173</v>
          </cell>
          <cell r="CR102">
            <v>0.2068965517241379</v>
          </cell>
          <cell r="CS102">
            <v>-0.30303030303030298</v>
          </cell>
          <cell r="CT102">
            <v>0.11428571428571432</v>
          </cell>
          <cell r="CU102">
            <v>6.6666666666666652E-2</v>
          </cell>
          <cell r="CV102">
            <v>0.32258064516129026</v>
          </cell>
          <cell r="CW102">
            <v>0.17142857142857149</v>
          </cell>
          <cell r="CX102">
            <v>0.56521739130434789</v>
          </cell>
          <cell r="CY102">
            <v>2.564102564102555E-2</v>
          </cell>
          <cell r="CZ102">
            <v>0.234375</v>
          </cell>
          <cell r="DA102">
            <v>-1</v>
          </cell>
          <cell r="DB102">
            <v>-1</v>
          </cell>
          <cell r="DC102">
            <v>-1</v>
          </cell>
          <cell r="DD102">
            <v>-0.4</v>
          </cell>
          <cell r="DE102">
            <v>-1</v>
          </cell>
          <cell r="DF102">
            <v>0.1</v>
          </cell>
          <cell r="DG102">
            <v>0.1</v>
          </cell>
          <cell r="DH102">
            <v>0.1</v>
          </cell>
          <cell r="DI102">
            <v>0.1</v>
          </cell>
          <cell r="DJ102">
            <v>0.1</v>
          </cell>
          <cell r="DK102">
            <v>0.1</v>
          </cell>
        </row>
        <row r="103">
          <cell r="A103" t="str">
            <v>Underlying growth (ex currency)</v>
          </cell>
          <cell r="P103">
            <v>0.40143792332982742</v>
          </cell>
          <cell r="Q103">
            <v>0.19377382854383762</v>
          </cell>
          <cell r="R103">
            <v>0.29302551006614408</v>
          </cell>
          <cell r="S103">
            <v>0.55884598961120369</v>
          </cell>
          <cell r="T103">
            <v>0.35745307449276642</v>
          </cell>
          <cell r="U103">
            <v>-1.1746096662029526E-2</v>
          </cell>
          <cell r="V103">
            <v>0.2419438460589064</v>
          </cell>
          <cell r="W103">
            <v>-1.033346338581433</v>
          </cell>
          <cell r="X103">
            <v>-1.0107938051168226</v>
          </cell>
          <cell r="Y103">
            <v>-1.0220700718491278</v>
          </cell>
          <cell r="Z103">
            <v>-1.0284961691082564</v>
          </cell>
          <cell r="AA103">
            <v>-1.0242121042688372</v>
          </cell>
          <cell r="AB103">
            <v>-1.0696103634859493</v>
          </cell>
          <cell r="AC103">
            <v>-1.0352155741335958</v>
          </cell>
          <cell r="BE103">
            <v>0.1</v>
          </cell>
        </row>
        <row r="104">
          <cell r="A104" t="str">
            <v>Established medicine</v>
          </cell>
          <cell r="B104">
            <v>236</v>
          </cell>
          <cell r="C104">
            <v>192</v>
          </cell>
          <cell r="D104">
            <v>428</v>
          </cell>
          <cell r="E104">
            <v>183</v>
          </cell>
          <cell r="F104">
            <v>611</v>
          </cell>
          <cell r="G104">
            <v>204</v>
          </cell>
          <cell r="H104">
            <v>815</v>
          </cell>
          <cell r="I104">
            <v>188</v>
          </cell>
          <cell r="J104">
            <v>153</v>
          </cell>
          <cell r="K104">
            <v>341</v>
          </cell>
          <cell r="L104">
            <v>166</v>
          </cell>
          <cell r="M104">
            <v>507</v>
          </cell>
          <cell r="N104">
            <v>158</v>
          </cell>
          <cell r="O104">
            <v>665</v>
          </cell>
          <cell r="P104">
            <v>161</v>
          </cell>
          <cell r="Q104">
            <v>160</v>
          </cell>
          <cell r="R104">
            <v>321</v>
          </cell>
          <cell r="S104">
            <v>159</v>
          </cell>
          <cell r="T104">
            <v>480</v>
          </cell>
          <cell r="U104">
            <v>168</v>
          </cell>
          <cell r="V104">
            <v>648</v>
          </cell>
          <cell r="W104">
            <v>206</v>
          </cell>
          <cell r="X104">
            <v>204</v>
          </cell>
          <cell r="Y104">
            <v>410</v>
          </cell>
          <cell r="Z104">
            <v>206</v>
          </cell>
          <cell r="AA104">
            <v>616</v>
          </cell>
          <cell r="AB104">
            <v>213</v>
          </cell>
          <cell r="AC104">
            <v>829</v>
          </cell>
          <cell r="AD104">
            <v>221</v>
          </cell>
          <cell r="AE104">
            <v>217</v>
          </cell>
          <cell r="AF104">
            <v>438</v>
          </cell>
          <cell r="AG104">
            <v>202</v>
          </cell>
          <cell r="AH104">
            <v>640</v>
          </cell>
          <cell r="AI104">
            <v>179</v>
          </cell>
          <cell r="AJ104">
            <v>819</v>
          </cell>
          <cell r="AK104">
            <v>190</v>
          </cell>
          <cell r="AL104">
            <v>198</v>
          </cell>
          <cell r="AM104">
            <v>388</v>
          </cell>
          <cell r="AN104">
            <v>185</v>
          </cell>
          <cell r="AO104">
            <v>573</v>
          </cell>
          <cell r="AP104">
            <v>183</v>
          </cell>
          <cell r="AQ104">
            <v>756</v>
          </cell>
          <cell r="AR104">
            <v>180</v>
          </cell>
          <cell r="AS104">
            <v>165</v>
          </cell>
          <cell r="AT104">
            <v>345</v>
          </cell>
          <cell r="AU104">
            <v>161</v>
          </cell>
          <cell r="AV104">
            <v>506</v>
          </cell>
          <cell r="AW104">
            <v>161</v>
          </cell>
          <cell r="AX104">
            <v>667</v>
          </cell>
          <cell r="AY104">
            <v>447</v>
          </cell>
          <cell r="AZ104">
            <v>438</v>
          </cell>
          <cell r="BA104">
            <v>885</v>
          </cell>
          <cell r="BB104">
            <v>298</v>
          </cell>
          <cell r="BC104">
            <v>1183</v>
          </cell>
          <cell r="BD104">
            <v>291</v>
          </cell>
          <cell r="BE104">
            <v>1474</v>
          </cell>
          <cell r="BF104">
            <v>373</v>
          </cell>
          <cell r="BG104">
            <v>411</v>
          </cell>
          <cell r="BH104">
            <v>784</v>
          </cell>
          <cell r="BI104">
            <v>398</v>
          </cell>
          <cell r="BJ104">
            <v>1182</v>
          </cell>
          <cell r="BK104">
            <v>350</v>
          </cell>
          <cell r="BL104">
            <v>1532</v>
          </cell>
          <cell r="BM104">
            <v>342</v>
          </cell>
          <cell r="BN104">
            <v>321</v>
          </cell>
          <cell r="BO104">
            <v>663</v>
          </cell>
          <cell r="BP104">
            <v>327</v>
          </cell>
          <cell r="BQ104">
            <v>990</v>
          </cell>
          <cell r="BR104">
            <v>362</v>
          </cell>
          <cell r="BS104">
            <v>1352</v>
          </cell>
          <cell r="BT104">
            <v>327.51724912965818</v>
          </cell>
          <cell r="BU104">
            <v>326.1054043805226</v>
          </cell>
          <cell r="BV104">
            <v>653.62265351018073</v>
          </cell>
          <cell r="BW104">
            <v>322.84017092783279</v>
          </cell>
          <cell r="BX104">
            <v>976.46282443801351</v>
          </cell>
          <cell r="BY104">
            <v>319.05549043833389</v>
          </cell>
          <cell r="BZ104">
            <v>1295.5183148763474</v>
          </cell>
          <cell r="CA104">
            <v>1230.74239913253</v>
          </cell>
          <cell r="CB104">
            <v>1169.2052791759033</v>
          </cell>
          <cell r="CC104">
            <v>1110.7450152171082</v>
          </cell>
          <cell r="CD104">
            <v>1055.2077644562528</v>
          </cell>
          <cell r="CE104">
            <v>1002.4473762334401</v>
          </cell>
          <cell r="CF104">
            <v>952.32500742176808</v>
          </cell>
          <cell r="CG104">
            <v>904.70875705067965</v>
          </cell>
          <cell r="CH104">
            <v>859.47331919814565</v>
          </cell>
          <cell r="CI104">
            <v>816.49965323823835</v>
          </cell>
          <cell r="CJ104">
            <v>775.67467057632643</v>
          </cell>
          <cell r="CO104">
            <v>0.15</v>
          </cell>
          <cell r="CQ104">
            <v>-0.20338983050847459</v>
          </cell>
          <cell r="CR104">
            <v>-0.203125</v>
          </cell>
          <cell r="CS104">
            <v>-9.289617486338797E-2</v>
          </cell>
          <cell r="CT104">
            <v>-0.22549019607843135</v>
          </cell>
          <cell r="CU104">
            <v>-0.18404907975460127</v>
          </cell>
          <cell r="CV104">
            <v>-0.1436170212765957</v>
          </cell>
          <cell r="CW104">
            <v>4.5751633986928164E-2</v>
          </cell>
          <cell r="CX104">
            <v>-4.216867469879515E-2</v>
          </cell>
          <cell r="CY104">
            <v>6.3291139240506222E-2</v>
          </cell>
          <cell r="CZ104">
            <v>-2.5563909774436122E-2</v>
          </cell>
          <cell r="DA104">
            <v>0.27950310559006208</v>
          </cell>
          <cell r="DB104">
            <v>0.27499999999999991</v>
          </cell>
          <cell r="DC104">
            <v>0.29559748427672949</v>
          </cell>
          <cell r="DD104">
            <v>0.05</v>
          </cell>
          <cell r="DE104">
            <v>0.27932098765432101</v>
          </cell>
          <cell r="DF104">
            <v>0</v>
          </cell>
          <cell r="DG104">
            <v>0</v>
          </cell>
          <cell r="DH104">
            <v>0</v>
          </cell>
          <cell r="DI104">
            <v>0</v>
          </cell>
          <cell r="DJ104">
            <v>0</v>
          </cell>
          <cell r="DK104">
            <v>0</v>
          </cell>
        </row>
        <row r="105">
          <cell r="A105" t="str">
            <v xml:space="preserve">   growth %</v>
          </cell>
          <cell r="P105">
            <v>-6.4759743108058543E-2</v>
          </cell>
          <cell r="Q105">
            <v>6.8096891102194301E-2</v>
          </cell>
          <cell r="R105">
            <v>-8.0497587510601765E-3</v>
          </cell>
          <cell r="S105">
            <v>-4.8540076391939357E-2</v>
          </cell>
          <cell r="T105">
            <v>-2.1644060006269505E-2</v>
          </cell>
          <cell r="U105">
            <v>2.5904016937451146E-2</v>
          </cell>
          <cell r="V105">
            <v>-1.7995063715529724E-2</v>
          </cell>
          <cell r="W105">
            <v>0.2461567670086291</v>
          </cell>
          <cell r="X105">
            <v>0.26420619488317731</v>
          </cell>
          <cell r="Y105">
            <v>0.25518849512906527</v>
          </cell>
          <cell r="Z105">
            <v>0.26710131516847313</v>
          </cell>
          <cell r="AA105">
            <v>0.25912122906449619</v>
          </cell>
          <cell r="AB105">
            <v>0.1982467793711935</v>
          </cell>
          <cell r="AC105">
            <v>0.24410541352072523</v>
          </cell>
          <cell r="AD105">
            <v>-4.7242064641449533E-2</v>
          </cell>
          <cell r="AE105">
            <v>-7.5204744086930342E-2</v>
          </cell>
          <cell r="AF105">
            <v>-6.1201233525691068E-2</v>
          </cell>
          <cell r="AG105">
            <v>-0.10283346444064767</v>
          </cell>
          <cell r="AH105">
            <v>-6.7493913621467616E-2</v>
          </cell>
          <cell r="AI105">
            <v>-0.18599080591934969</v>
          </cell>
          <cell r="AJ105">
            <v>-0.10353412213013147</v>
          </cell>
          <cell r="AK105">
            <v>-0.12424840068232712</v>
          </cell>
          <cell r="AL105">
            <v>-5.3766765660001048E-2</v>
          </cell>
          <cell r="AM105">
            <v>-8.9248285863063881E-2</v>
          </cell>
          <cell r="AN105">
            <v>-0.11891693212028842</v>
          </cell>
          <cell r="AP105">
            <v>-6.4572805141834388E-2</v>
          </cell>
          <cell r="AQ105">
            <v>-7.6923076923076872E-2</v>
          </cell>
          <cell r="AR105">
            <v>-0.12263157894736854</v>
          </cell>
          <cell r="AS105">
            <v>-0.16291487840509755</v>
          </cell>
          <cell r="AT105">
            <v>-0.14394884813725684</v>
          </cell>
          <cell r="AU105">
            <v>-0.13132538515406189</v>
          </cell>
          <cell r="AV105">
            <v>-0.13428832741815255</v>
          </cell>
          <cell r="AW105">
            <v>-0.12941280448614945</v>
          </cell>
          <cell r="AX105">
            <v>-0.11772486772486768</v>
          </cell>
          <cell r="AY105">
            <v>1.4133333333333333</v>
          </cell>
          <cell r="AZ105">
            <v>1.5188505246310093</v>
          </cell>
          <cell r="BA105">
            <v>1.462369926347125</v>
          </cell>
          <cell r="BB105">
            <v>0.74129474558263575</v>
          </cell>
          <cell r="BC105">
            <v>1.2317024658350104</v>
          </cell>
          <cell r="BD105">
            <v>0.77084602001967806</v>
          </cell>
          <cell r="BE105">
            <v>1.1282959842040587</v>
          </cell>
          <cell r="BF105">
            <v>-0.17585053671436335</v>
          </cell>
          <cell r="BG105">
            <v>-6.164383561643838E-2</v>
          </cell>
          <cell r="BH105">
            <v>-0.11412429378531075</v>
          </cell>
          <cell r="BI105">
            <v>0.33557046979865768</v>
          </cell>
          <cell r="BJ105">
            <v>-8.4530853761621838E-4</v>
          </cell>
          <cell r="BK105">
            <v>0.20274914089347074</v>
          </cell>
          <cell r="BL105">
            <v>3.9348710990501967E-2</v>
          </cell>
          <cell r="BM105">
            <v>-8.3109919571045632E-2</v>
          </cell>
          <cell r="BN105">
            <v>-0.21897810218978098</v>
          </cell>
          <cell r="BO105">
            <v>-0.15433673469387754</v>
          </cell>
          <cell r="BP105">
            <v>-0.17839195979899503</v>
          </cell>
          <cell r="BQ105">
            <v>-0.1624365482233503</v>
          </cell>
          <cell r="BR105">
            <v>3.4285714285714253E-2</v>
          </cell>
          <cell r="BS105">
            <v>-0.11749347258485643</v>
          </cell>
          <cell r="BT105">
            <v>-4.2347224767081304E-2</v>
          </cell>
          <cell r="BU105">
            <v>1.5904686543684043E-2</v>
          </cell>
          <cell r="BV105">
            <v>-1.4143810693543424E-2</v>
          </cell>
          <cell r="BW105">
            <v>-1.2721189823141299E-2</v>
          </cell>
          <cell r="BX105">
            <v>-1.3673914709077306E-2</v>
          </cell>
          <cell r="BY105">
            <v>-0.11863124188305552</v>
          </cell>
          <cell r="BZ105">
            <v>-4.1776394322228239E-2</v>
          </cell>
          <cell r="CA105">
            <v>-5.0000000000000044E-2</v>
          </cell>
          <cell r="CB105">
            <v>-5.0000000000000044E-2</v>
          </cell>
          <cell r="CC105">
            <v>-5.0000000000000044E-2</v>
          </cell>
          <cell r="CD105">
            <v>-4.9999999999999933E-2</v>
          </cell>
          <cell r="CE105">
            <v>-5.0000000000000044E-2</v>
          </cell>
          <cell r="CF105">
            <v>-5.0000000000000044E-2</v>
          </cell>
          <cell r="CG105">
            <v>-5.0000000000000044E-2</v>
          </cell>
          <cell r="CH105">
            <v>-5.0000000000000044E-2</v>
          </cell>
          <cell r="CI105">
            <v>-5.0000000000000044E-2</v>
          </cell>
          <cell r="CJ105">
            <v>-5.0000000000000044E-2</v>
          </cell>
        </row>
        <row r="106">
          <cell r="A106" t="str">
            <v xml:space="preserve">      CER growth</v>
          </cell>
          <cell r="BB106">
            <v>-0.3</v>
          </cell>
          <cell r="BC106">
            <v>-0.31</v>
          </cell>
          <cell r="BF106">
            <v>-0.16</v>
          </cell>
          <cell r="BG106">
            <v>-0.02</v>
          </cell>
          <cell r="BH106">
            <v>-0.09</v>
          </cell>
          <cell r="BI106">
            <v>-7.0000000000000007E-2</v>
          </cell>
          <cell r="BJ106">
            <v>-0.08</v>
          </cell>
          <cell r="BK106">
            <v>-0.2</v>
          </cell>
          <cell r="BL106">
            <v>-0.11</v>
          </cell>
          <cell r="BM106">
            <v>-0.05</v>
          </cell>
          <cell r="BN106">
            <v>-0.17</v>
          </cell>
          <cell r="BO106">
            <v>-0.11</v>
          </cell>
          <cell r="BP106">
            <v>-0.14000000000000001</v>
          </cell>
          <cell r="BQ106">
            <v>-0.12</v>
          </cell>
          <cell r="BR106">
            <v>0.08</v>
          </cell>
          <cell r="BS106">
            <v>-0.08</v>
          </cell>
          <cell r="BT106">
            <v>-0.03</v>
          </cell>
          <cell r="BU106">
            <v>0</v>
          </cell>
          <cell r="BW106">
            <v>-0.02</v>
          </cell>
          <cell r="BY106">
            <v>-0.12543950883924215</v>
          </cell>
          <cell r="BZ106">
            <v>-0.04</v>
          </cell>
          <cell r="CA106">
            <v>-0.05</v>
          </cell>
          <cell r="CB106">
            <v>-0.05</v>
          </cell>
          <cell r="CC106">
            <v>-0.05</v>
          </cell>
          <cell r="CD106">
            <v>-0.05</v>
          </cell>
          <cell r="CE106">
            <v>-0.05</v>
          </cell>
          <cell r="CF106">
            <v>-0.05</v>
          </cell>
          <cell r="CG106">
            <v>-0.05</v>
          </cell>
          <cell r="CH106">
            <v>-0.05</v>
          </cell>
          <cell r="CI106">
            <v>-0.05</v>
          </cell>
          <cell r="CJ106">
            <v>-0.05</v>
          </cell>
        </row>
        <row r="108">
          <cell r="A108" t="str">
            <v>Total Primary Care Products</v>
          </cell>
          <cell r="B108">
            <v>1376</v>
          </cell>
          <cell r="C108">
            <v>1393</v>
          </cell>
          <cell r="D108">
            <v>2769</v>
          </cell>
          <cell r="E108">
            <v>1417</v>
          </cell>
          <cell r="F108">
            <v>4186</v>
          </cell>
          <cell r="G108">
            <v>1520</v>
          </cell>
          <cell r="H108">
            <v>5586</v>
          </cell>
          <cell r="I108">
            <v>1436</v>
          </cell>
          <cell r="J108">
            <v>1548</v>
          </cell>
          <cell r="K108">
            <v>2984</v>
          </cell>
          <cell r="L108">
            <v>1554</v>
          </cell>
          <cell r="M108">
            <v>4538</v>
          </cell>
          <cell r="N108">
            <v>1645</v>
          </cell>
          <cell r="O108">
            <v>6183</v>
          </cell>
          <cell r="P108">
            <v>1573</v>
          </cell>
          <cell r="Q108">
            <v>1730</v>
          </cell>
          <cell r="R108">
            <v>3303</v>
          </cell>
          <cell r="S108">
            <v>1799</v>
          </cell>
          <cell r="T108">
            <v>5102</v>
          </cell>
          <cell r="U108">
            <v>1860</v>
          </cell>
          <cell r="V108">
            <v>6962</v>
          </cell>
          <cell r="W108">
            <v>1897</v>
          </cell>
          <cell r="X108">
            <v>1876</v>
          </cell>
          <cell r="Y108">
            <v>3773</v>
          </cell>
          <cell r="Z108">
            <v>1738</v>
          </cell>
          <cell r="AA108">
            <v>5511</v>
          </cell>
          <cell r="AB108">
            <v>1894</v>
          </cell>
          <cell r="AC108">
            <v>7405</v>
          </cell>
          <cell r="AD108">
            <v>1947</v>
          </cell>
          <cell r="AE108">
            <v>2146</v>
          </cell>
          <cell r="AF108">
            <v>4093</v>
          </cell>
          <cell r="AG108">
            <v>2086</v>
          </cell>
          <cell r="AH108">
            <v>6179</v>
          </cell>
          <cell r="AI108">
            <v>2018</v>
          </cell>
          <cell r="AJ108">
            <v>8183</v>
          </cell>
          <cell r="AK108">
            <v>2030</v>
          </cell>
          <cell r="AL108">
            <v>2239</v>
          </cell>
          <cell r="AM108">
            <v>4269</v>
          </cell>
          <cell r="AN108">
            <v>2163</v>
          </cell>
          <cell r="AO108">
            <v>6432</v>
          </cell>
          <cell r="AP108">
            <v>2364</v>
          </cell>
          <cell r="AQ108">
            <v>8796</v>
          </cell>
          <cell r="AR108">
            <v>2179</v>
          </cell>
          <cell r="AS108">
            <v>2320</v>
          </cell>
          <cell r="AT108">
            <v>4499</v>
          </cell>
          <cell r="AU108">
            <v>2263</v>
          </cell>
          <cell r="AV108">
            <v>6762</v>
          </cell>
          <cell r="AW108">
            <v>2393</v>
          </cell>
          <cell r="AX108">
            <v>9155</v>
          </cell>
          <cell r="AY108">
            <v>2396</v>
          </cell>
          <cell r="AZ108">
            <v>2609</v>
          </cell>
          <cell r="BA108">
            <v>5005</v>
          </cell>
          <cell r="BB108">
            <v>2409</v>
          </cell>
          <cell r="BC108">
            <v>7414</v>
          </cell>
          <cell r="BD108">
            <v>2338</v>
          </cell>
          <cell r="BE108">
            <v>10025</v>
          </cell>
          <cell r="BF108">
            <v>2225</v>
          </cell>
          <cell r="BG108">
            <v>2384</v>
          </cell>
          <cell r="BH108">
            <v>4609</v>
          </cell>
          <cell r="BI108">
            <v>2042</v>
          </cell>
          <cell r="BJ108">
            <v>6651</v>
          </cell>
          <cell r="BK108">
            <v>2080</v>
          </cell>
          <cell r="BL108">
            <v>8731</v>
          </cell>
          <cell r="BM108">
            <v>2133</v>
          </cell>
          <cell r="BN108">
            <v>2208</v>
          </cell>
          <cell r="BO108">
            <v>4341</v>
          </cell>
          <cell r="BP108">
            <v>2129</v>
          </cell>
          <cell r="BQ108">
            <v>6470</v>
          </cell>
          <cell r="BR108">
            <v>2221</v>
          </cell>
          <cell r="BS108">
            <v>8691</v>
          </cell>
          <cell r="BT108">
            <v>2165.0059255630272</v>
          </cell>
          <cell r="BU108">
            <v>2250.1383274162981</v>
          </cell>
          <cell r="BV108">
            <v>4415.1442529793239</v>
          </cell>
          <cell r="BW108">
            <v>1755.0760889213461</v>
          </cell>
          <cell r="BX108">
            <v>6170.220341900671</v>
          </cell>
          <cell r="BY108">
            <v>1767.1983703274718</v>
          </cell>
          <cell r="BZ108">
            <v>7937.4187122281428</v>
          </cell>
          <cell r="CA108">
            <v>7206.963630439931</v>
          </cell>
          <cell r="CB108">
            <v>7665.7333212320391</v>
          </cell>
          <cell r="CC108">
            <v>7754.0538235769354</v>
          </cell>
          <cell r="CD108">
            <v>8101.9889083144626</v>
          </cell>
          <cell r="CE108">
            <v>7900.5499949771183</v>
          </cell>
          <cell r="CF108">
            <v>7708.759329590328</v>
          </cell>
          <cell r="CG108">
            <v>7321.2359400281821</v>
          </cell>
          <cell r="CH108">
            <v>7066.5559901050501</v>
          </cell>
          <cell r="CI108">
            <v>6862.9165081963893</v>
          </cell>
          <cell r="CJ108">
            <v>6704.2828963446818</v>
          </cell>
          <cell r="CK108">
            <v>0</v>
          </cell>
          <cell r="CM108">
            <v>3.0860822550270336E-2</v>
          </cell>
          <cell r="CQ108">
            <v>4.3604651162790775E-2</v>
          </cell>
          <cell r="CR108">
            <v>0.11127063890882982</v>
          </cell>
          <cell r="CS108">
            <v>9.6683133380381037E-2</v>
          </cell>
          <cell r="CT108">
            <v>8.2236842105263053E-2</v>
          </cell>
          <cell r="CU108">
            <v>0.10687432867884006</v>
          </cell>
          <cell r="CV108">
            <v>9.540389972144836E-2</v>
          </cell>
          <cell r="CW108">
            <v>0.11757105943152446</v>
          </cell>
          <cell r="CX108">
            <v>0.1576576576576576</v>
          </cell>
          <cell r="CY108">
            <v>0.1306990881458967</v>
          </cell>
          <cell r="CZ108">
            <v>0.12599061944040102</v>
          </cell>
          <cell r="DA108">
            <v>0.20597584233947863</v>
          </cell>
          <cell r="DB108">
            <v>8.4393063583815042E-2</v>
          </cell>
          <cell r="DC108">
            <v>-3.3907726514730396E-2</v>
          </cell>
          <cell r="DD108">
            <v>1.8279569892473146E-2</v>
          </cell>
          <cell r="DE108">
            <v>6.363114047687457E-2</v>
          </cell>
          <cell r="DF108">
            <v>0.10506414584740043</v>
          </cell>
          <cell r="DG108">
            <v>7.4911401686422963E-2</v>
          </cell>
          <cell r="DH108">
            <v>4.081400636653032E-2</v>
          </cell>
          <cell r="DI108">
            <v>9.5030038230475178E-2</v>
          </cell>
          <cell r="DJ108">
            <v>-0.12907730673316709</v>
          </cell>
          <cell r="DK108">
            <v>-4.5813767036995134E-3</v>
          </cell>
        </row>
        <row r="109">
          <cell r="A109" t="str">
            <v xml:space="preserve">   growth %</v>
          </cell>
          <cell r="O109">
            <v>0.10687432867884006</v>
          </cell>
          <cell r="P109">
            <v>9.540389972144836E-2</v>
          </cell>
          <cell r="Q109">
            <v>0.11757105943152446</v>
          </cell>
          <cell r="R109">
            <v>0.10690348525469173</v>
          </cell>
          <cell r="S109">
            <v>0.1576576576576576</v>
          </cell>
          <cell r="T109">
            <v>0.12428382547377703</v>
          </cell>
          <cell r="U109">
            <v>0.1306990881458967</v>
          </cell>
          <cell r="V109">
            <v>0.12599061944040102</v>
          </cell>
          <cell r="W109">
            <v>0.20597584233947863</v>
          </cell>
          <cell r="X109">
            <v>8.4393063583815042E-2</v>
          </cell>
          <cell r="Y109">
            <v>0.14229488343929764</v>
          </cell>
          <cell r="Z109">
            <v>-3.3907726514730396E-2</v>
          </cell>
          <cell r="AA109">
            <v>8.0164641317130636E-2</v>
          </cell>
          <cell r="AB109">
            <v>1.8279569892473146E-2</v>
          </cell>
          <cell r="AC109">
            <v>6.363114047687457E-2</v>
          </cell>
          <cell r="AJ109">
            <v>0.10506414584740043</v>
          </cell>
          <cell r="AK109">
            <v>4.2629686697483349E-2</v>
          </cell>
          <cell r="AL109">
            <v>4.3336439888163936E-2</v>
          </cell>
          <cell r="AM109">
            <v>4.3000244319570058E-2</v>
          </cell>
          <cell r="AN109">
            <v>3.691275167785224E-2</v>
          </cell>
          <cell r="AO109">
            <v>4.0945136753520073E-2</v>
          </cell>
          <cell r="AP109">
            <v>0.17145688800792858</v>
          </cell>
          <cell r="AQ109">
            <v>7.4911401686422963E-2</v>
          </cell>
          <cell r="AR109">
            <v>7.3399014778325222E-2</v>
          </cell>
          <cell r="AS109">
            <v>3.6176864671728426E-2</v>
          </cell>
          <cell r="AT109">
            <v>5.3876786132583732E-2</v>
          </cell>
          <cell r="AU109">
            <v>4.6232085067036577E-2</v>
          </cell>
          <cell r="AV109">
            <v>5.1305970149253755E-2</v>
          </cell>
          <cell r="AW109">
            <v>1.2267343485617532E-2</v>
          </cell>
          <cell r="AX109">
            <v>4.081400636653032E-2</v>
          </cell>
          <cell r="AY109">
            <v>9.9586966498393714E-2</v>
          </cell>
          <cell r="AZ109">
            <v>0.12456896551724128</v>
          </cell>
          <cell r="BA109">
            <v>0.1124694376528117</v>
          </cell>
          <cell r="BB109">
            <v>6.4516129032258007E-2</v>
          </cell>
          <cell r="BC109">
            <v>9.6421177166518879E-2</v>
          </cell>
          <cell r="BD109">
            <v>-2.2983702465524392E-2</v>
          </cell>
          <cell r="BE109">
            <v>9.5030038230475178E-2</v>
          </cell>
          <cell r="BF109">
            <v>-7.1368948247078512E-2</v>
          </cell>
          <cell r="BG109">
            <v>-8.6239938673821404E-2</v>
          </cell>
          <cell r="BH109">
            <v>-7.9120879120879173E-2</v>
          </cell>
          <cell r="BI109">
            <v>-0.15234537152345373</v>
          </cell>
          <cell r="BJ109">
            <v>-0.10291340706770968</v>
          </cell>
          <cell r="BK109">
            <v>-0.11035072711719418</v>
          </cell>
          <cell r="BL109">
            <v>-0.12907730673316709</v>
          </cell>
          <cell r="BM109">
            <v>-4.1348314606741599E-2</v>
          </cell>
          <cell r="BN109">
            <v>-7.3825503355704702E-2</v>
          </cell>
          <cell r="BO109">
            <v>-5.8147103493165542E-2</v>
          </cell>
          <cell r="BP109">
            <v>4.2605288932419105E-2</v>
          </cell>
          <cell r="BQ109">
            <v>-2.7213952789054252E-2</v>
          </cell>
          <cell r="BR109">
            <v>6.7788461538461631E-2</v>
          </cell>
          <cell r="BS109">
            <v>-4.5813767036995134E-3</v>
          </cell>
          <cell r="BT109">
            <v>1.500512215800609E-2</v>
          </cell>
          <cell r="BU109">
            <v>1.9084387416801629E-2</v>
          </cell>
          <cell r="BV109">
            <v>1.707999377547198E-2</v>
          </cell>
          <cell r="BW109">
            <v>-0.17563358904586845</v>
          </cell>
          <cell r="BX109">
            <v>-4.6333795687686141E-2</v>
          </cell>
          <cell r="BY109">
            <v>-0.2043231110637227</v>
          </cell>
          <cell r="BZ109">
            <v>-8.6708237000558852E-2</v>
          </cell>
          <cell r="CA109">
            <v>-9.2026779520008817E-2</v>
          </cell>
          <cell r="CB109">
            <v>6.3656445948250706E-2</v>
          </cell>
          <cell r="CC109">
            <v>1.1521468154947589E-2</v>
          </cell>
          <cell r="CD109">
            <v>4.4871378591621047E-2</v>
          </cell>
          <cell r="CE109">
            <v>-2.4862896705600601E-2</v>
          </cell>
          <cell r="CF109">
            <v>-2.4275609357414796E-2</v>
          </cell>
          <cell r="CG109">
            <v>-5.0270526422406814E-2</v>
          </cell>
          <cell r="CH109">
            <v>-3.4786469389777919E-2</v>
          </cell>
          <cell r="CI109">
            <v>-2.8817359148332944E-2</v>
          </cell>
          <cell r="CJ109">
            <v>-2.3114606109844282E-2</v>
          </cell>
        </row>
        <row r="110">
          <cell r="A110" t="str">
            <v xml:space="preserve">      CER growth</v>
          </cell>
          <cell r="BB110">
            <v>-0.01</v>
          </cell>
          <cell r="BC110">
            <v>-0.02</v>
          </cell>
          <cell r="BF110">
            <v>-7.0000000000000007E-2</v>
          </cell>
          <cell r="BG110">
            <v>-0.05</v>
          </cell>
          <cell r="BH110">
            <v>-0.06</v>
          </cell>
          <cell r="BI110">
            <v>-0.17</v>
          </cell>
          <cell r="BJ110">
            <v>-0.1</v>
          </cell>
          <cell r="BK110">
            <v>-0.12</v>
          </cell>
          <cell r="BL110">
            <v>-0.1</v>
          </cell>
          <cell r="BM110">
            <v>-0.05</v>
          </cell>
          <cell r="BN110">
            <v>-7.0000000000000007E-2</v>
          </cell>
          <cell r="BO110">
            <v>-0.06</v>
          </cell>
          <cell r="BP110">
            <v>0.03</v>
          </cell>
          <cell r="BQ110">
            <v>-0.04</v>
          </cell>
          <cell r="BR110">
            <v>0.05</v>
          </cell>
          <cell r="BS110">
            <v>-0.01</v>
          </cell>
        </row>
        <row r="112">
          <cell r="A112" t="str">
            <v xml:space="preserve">ONCOLOGY </v>
          </cell>
        </row>
        <row r="114">
          <cell r="A114" t="str">
            <v>Gleevec / Glivec</v>
          </cell>
          <cell r="B114">
            <v>352</v>
          </cell>
          <cell r="C114">
            <v>404</v>
          </cell>
          <cell r="D114">
            <v>756</v>
          </cell>
          <cell r="E114">
            <v>412</v>
          </cell>
          <cell r="F114">
            <v>1168</v>
          </cell>
          <cell r="G114">
            <v>466</v>
          </cell>
          <cell r="H114">
            <v>1634</v>
          </cell>
          <cell r="I114">
            <v>496</v>
          </cell>
          <cell r="J114">
            <v>537</v>
          </cell>
          <cell r="K114">
            <v>1033</v>
          </cell>
          <cell r="L114">
            <v>547</v>
          </cell>
          <cell r="M114">
            <v>1580</v>
          </cell>
          <cell r="N114">
            <v>590</v>
          </cell>
          <cell r="O114">
            <v>2170</v>
          </cell>
          <cell r="P114">
            <v>559</v>
          </cell>
          <cell r="Q114">
            <v>640</v>
          </cell>
          <cell r="R114">
            <v>1199</v>
          </cell>
          <cell r="S114">
            <v>653</v>
          </cell>
          <cell r="T114">
            <v>1852</v>
          </cell>
          <cell r="U114">
            <v>702</v>
          </cell>
          <cell r="V114">
            <v>2554</v>
          </cell>
          <cell r="W114">
            <v>674</v>
          </cell>
          <cell r="X114">
            <v>747</v>
          </cell>
          <cell r="Y114">
            <v>1421</v>
          </cell>
          <cell r="Z114">
            <v>783</v>
          </cell>
          <cell r="AA114">
            <v>2204</v>
          </cell>
          <cell r="AB114">
            <v>846</v>
          </cell>
          <cell r="AC114">
            <v>3050</v>
          </cell>
          <cell r="AD114">
            <v>888</v>
          </cell>
          <cell r="AE114">
            <v>942</v>
          </cell>
          <cell r="AF114">
            <v>1830</v>
          </cell>
          <cell r="AG114">
            <v>950</v>
          </cell>
          <cell r="AH114">
            <v>2780</v>
          </cell>
          <cell r="AI114">
            <v>890</v>
          </cell>
          <cell r="AJ114">
            <v>3670</v>
          </cell>
          <cell r="AK114">
            <v>894</v>
          </cell>
          <cell r="AL114">
            <v>990</v>
          </cell>
          <cell r="AM114">
            <v>1884</v>
          </cell>
          <cell r="AN114">
            <v>974</v>
          </cell>
          <cell r="AO114">
            <v>2858</v>
          </cell>
          <cell r="AP114">
            <v>1086</v>
          </cell>
          <cell r="AQ114">
            <v>3944</v>
          </cell>
          <cell r="AR114">
            <v>1032</v>
          </cell>
          <cell r="AS114">
            <v>1075</v>
          </cell>
          <cell r="AT114">
            <v>2107</v>
          </cell>
          <cell r="AU114">
            <v>1015</v>
          </cell>
          <cell r="AV114">
            <v>3122</v>
          </cell>
          <cell r="AW114">
            <v>1143</v>
          </cell>
          <cell r="AX114">
            <v>4265</v>
          </cell>
          <cell r="AY114">
            <v>1076</v>
          </cell>
          <cell r="AZ114">
            <v>1203</v>
          </cell>
          <cell r="BA114">
            <v>2279</v>
          </cell>
          <cell r="BB114">
            <v>1142</v>
          </cell>
          <cell r="BC114">
            <v>3421</v>
          </cell>
          <cell r="BD114">
            <v>1238</v>
          </cell>
          <cell r="BE114">
            <v>4659</v>
          </cell>
          <cell r="BF114">
            <v>1130</v>
          </cell>
          <cell r="BG114">
            <v>1194</v>
          </cell>
          <cell r="BH114">
            <v>2324</v>
          </cell>
          <cell r="BI114">
            <v>1172</v>
          </cell>
          <cell r="BJ114">
            <v>3496</v>
          </cell>
          <cell r="BK114">
            <v>1179</v>
          </cell>
          <cell r="BL114">
            <v>4675</v>
          </cell>
          <cell r="BM114">
            <v>1143</v>
          </cell>
          <cell r="BN114">
            <v>1190</v>
          </cell>
          <cell r="BO114">
            <v>2333</v>
          </cell>
          <cell r="BP114">
            <v>1133</v>
          </cell>
          <cell r="BQ114">
            <v>3466</v>
          </cell>
          <cell r="BR114">
            <v>1227</v>
          </cell>
          <cell r="BS114">
            <v>4693</v>
          </cell>
          <cell r="BT114">
            <v>1113.2735369611037</v>
          </cell>
          <cell r="BU114">
            <v>1186.4497558638695</v>
          </cell>
          <cell r="BV114">
            <v>2299.7232928249732</v>
          </cell>
          <cell r="BW114">
            <v>1123.494009031182</v>
          </cell>
          <cell r="BX114">
            <v>3423.2173018561552</v>
          </cell>
          <cell r="BY114">
            <v>1211.5560507040852</v>
          </cell>
          <cell r="BZ114">
            <v>4634.7733525602407</v>
          </cell>
          <cell r="CA114">
            <v>3388.738151406626</v>
          </cell>
          <cell r="CB114">
            <v>1647.6124042455117</v>
          </cell>
          <cell r="CC114">
            <v>884.21593116766621</v>
          </cell>
          <cell r="CD114">
            <v>670.79427764007301</v>
          </cell>
          <cell r="CE114">
            <v>441.03558816340808</v>
          </cell>
          <cell r="CF114">
            <v>277.81261119068688</v>
          </cell>
          <cell r="CG114">
            <v>138.90630559534344</v>
          </cell>
          <cell r="CH114">
            <v>80.830931158297176</v>
          </cell>
          <cell r="CI114">
            <v>64.664744926637738</v>
          </cell>
          <cell r="CJ114">
            <v>51.731795941310196</v>
          </cell>
          <cell r="CM114">
            <v>6.2146892655367235E-2</v>
          </cell>
          <cell r="CP114" t="str">
            <v>2015 / 2016 (EU)</v>
          </cell>
          <cell r="CQ114">
            <v>0.40909090909090917</v>
          </cell>
          <cell r="CR114">
            <v>0.32920792079207928</v>
          </cell>
          <cell r="CS114">
            <v>0.32766990291262132</v>
          </cell>
          <cell r="CT114">
            <v>0.26609442060085842</v>
          </cell>
          <cell r="CU114">
            <v>0.32802937576499391</v>
          </cell>
          <cell r="CV114">
            <v>0.12701612903225801</v>
          </cell>
          <cell r="CW114">
            <v>0.19180633147113602</v>
          </cell>
          <cell r="CX114">
            <v>0.19378427787934194</v>
          </cell>
          <cell r="CY114">
            <v>0.18983050847457617</v>
          </cell>
          <cell r="CZ114">
            <v>0.17695852534562206</v>
          </cell>
          <cell r="DA114">
            <v>0.20572450805008935</v>
          </cell>
          <cell r="DB114">
            <v>0.16718750000000004</v>
          </cell>
          <cell r="DC114">
            <v>0.1990811638591119</v>
          </cell>
          <cell r="DD114">
            <v>0.20512820512820507</v>
          </cell>
          <cell r="DE114">
            <v>0.19420516836335167</v>
          </cell>
          <cell r="DF114">
            <v>0.20327868852459008</v>
          </cell>
          <cell r="DG114">
            <v>7.4659400544959231E-2</v>
          </cell>
          <cell r="DH114">
            <v>8.1389452332657264E-2</v>
          </cell>
          <cell r="DI114">
            <v>9.237983587338805E-2</v>
          </cell>
          <cell r="DJ114">
            <v>3.4342133505043115E-3</v>
          </cell>
          <cell r="DK114">
            <v>3.8502673796791953E-3</v>
          </cell>
        </row>
        <row r="115">
          <cell r="A115" t="str">
            <v xml:space="preserve">   growth %</v>
          </cell>
          <cell r="AX115">
            <v>6.877973154575745E-2</v>
          </cell>
          <cell r="AY115">
            <v>-2.7364341085271304E-2</v>
          </cell>
          <cell r="AZ115">
            <v>-1.6625162472585053E-2</v>
          </cell>
          <cell r="BA115">
            <v>-2.1214811895998054E-2</v>
          </cell>
          <cell r="BB115">
            <v>1.5486221273361966E-2</v>
          </cell>
          <cell r="BC115">
            <v>-1.0470257133189387E-2</v>
          </cell>
          <cell r="BD115">
            <v>4.6507214544275532E-2</v>
          </cell>
          <cell r="BE115">
            <v>1.0780767603683739E-2</v>
          </cell>
          <cell r="BF115">
            <v>3.9883435325589023E-2</v>
          </cell>
          <cell r="BG115">
            <v>3.6427109681374636E-2</v>
          </cell>
          <cell r="BH115">
            <v>1.9745502413339278E-2</v>
          </cell>
          <cell r="BI115">
            <v>2.6269702276707552E-2</v>
          </cell>
          <cell r="BJ115">
            <v>2.1923414206372449E-2</v>
          </cell>
          <cell r="BK115">
            <v>-4.7657512116316636E-2</v>
          </cell>
          <cell r="BL115">
            <v>3.4342133505043115E-3</v>
          </cell>
          <cell r="BM115">
            <v>1.1504424778761013E-2</v>
          </cell>
          <cell r="BN115">
            <v>-3.3500837520937798E-3</v>
          </cell>
          <cell r="BO115">
            <v>3.8726333907057597E-3</v>
          </cell>
          <cell r="BP115">
            <v>-3.3276450511945388E-2</v>
          </cell>
          <cell r="BQ115">
            <v>-8.581235697940448E-3</v>
          </cell>
          <cell r="BR115">
            <v>4.0712468193384144E-2</v>
          </cell>
          <cell r="BS115">
            <v>3.8502673796791953E-3</v>
          </cell>
          <cell r="BT115">
            <v>-2.6007404233505116E-2</v>
          </cell>
          <cell r="BU115">
            <v>-2.9833984337230834E-3</v>
          </cell>
          <cell r="BV115">
            <v>-1.4263483572664715E-2</v>
          </cell>
          <cell r="BW115">
            <v>-8.3901067685948627E-3</v>
          </cell>
          <cell r="BX115">
            <v>-1.234353668316357E-2</v>
          </cell>
          <cell r="BY115">
            <v>-1.2586755742391875E-2</v>
          </cell>
          <cell r="BZ115">
            <v>-1.2407127091361492E-2</v>
          </cell>
          <cell r="CA115">
            <v>-0.26884490488953616</v>
          </cell>
          <cell r="CB115">
            <v>-0.51379766431301077</v>
          </cell>
          <cell r="CC115">
            <v>-0.46333498771358561</v>
          </cell>
          <cell r="CD115">
            <v>-0.2413682518089848</v>
          </cell>
          <cell r="CE115">
            <v>-0.34251736655384257</v>
          </cell>
          <cell r="CF115">
            <v>-0.37009026335590278</v>
          </cell>
          <cell r="CG115">
            <v>-0.5</v>
          </cell>
          <cell r="CH115">
            <v>-0.41809026730744125</v>
          </cell>
          <cell r="CI115">
            <v>-0.20000000000000007</v>
          </cell>
          <cell r="CJ115">
            <v>-0.19999999999999996</v>
          </cell>
        </row>
        <row r="116">
          <cell r="A116" t="str">
            <v xml:space="preserve">      CER growth</v>
          </cell>
          <cell r="BB116">
            <v>0.06</v>
          </cell>
          <cell r="BC116">
            <v>0.04</v>
          </cell>
          <cell r="BD116">
            <v>0.09</v>
          </cell>
          <cell r="BE116">
            <v>0.05</v>
          </cell>
          <cell r="BF116">
            <v>0.06</v>
          </cell>
          <cell r="BG116">
            <v>0.04</v>
          </cell>
          <cell r="BH116">
            <v>0.05</v>
          </cell>
          <cell r="BI116">
            <v>0.08</v>
          </cell>
          <cell r="BJ116">
            <v>0.06</v>
          </cell>
          <cell r="BK116">
            <v>-0.04</v>
          </cell>
          <cell r="BL116">
            <v>0.04</v>
          </cell>
          <cell r="BM116">
            <v>0.02</v>
          </cell>
          <cell r="BN116">
            <v>0.01</v>
          </cell>
          <cell r="BO116">
            <v>0.02</v>
          </cell>
          <cell r="BP116">
            <v>-0.02</v>
          </cell>
          <cell r="BQ116">
            <v>0</v>
          </cell>
          <cell r="BR116">
            <v>0.05</v>
          </cell>
          <cell r="BS116">
            <v>0.01</v>
          </cell>
        </row>
        <row r="117">
          <cell r="A117" t="str">
            <v xml:space="preserve">       Gleevec US</v>
          </cell>
          <cell r="B117">
            <v>76</v>
          </cell>
          <cell r="C117">
            <v>98</v>
          </cell>
          <cell r="D117">
            <v>174</v>
          </cell>
          <cell r="E117">
            <v>94</v>
          </cell>
          <cell r="F117">
            <v>268</v>
          </cell>
          <cell r="G117">
            <v>100</v>
          </cell>
          <cell r="H117">
            <v>368</v>
          </cell>
          <cell r="I117">
            <v>117</v>
          </cell>
          <cell r="J117">
            <v>118</v>
          </cell>
          <cell r="K117">
            <v>235</v>
          </cell>
          <cell r="L117">
            <v>136</v>
          </cell>
          <cell r="M117">
            <v>371</v>
          </cell>
          <cell r="N117">
            <v>153</v>
          </cell>
          <cell r="O117">
            <v>524</v>
          </cell>
          <cell r="P117">
            <v>132</v>
          </cell>
          <cell r="Q117">
            <v>157</v>
          </cell>
          <cell r="R117">
            <v>289</v>
          </cell>
          <cell r="S117">
            <v>168</v>
          </cell>
          <cell r="T117">
            <v>457</v>
          </cell>
          <cell r="U117">
            <v>173</v>
          </cell>
          <cell r="V117">
            <v>630</v>
          </cell>
          <cell r="W117">
            <v>156</v>
          </cell>
          <cell r="X117">
            <v>177</v>
          </cell>
          <cell r="Y117">
            <v>333</v>
          </cell>
          <cell r="Z117">
            <v>180</v>
          </cell>
          <cell r="AA117">
            <v>513</v>
          </cell>
          <cell r="AB117">
            <v>201</v>
          </cell>
          <cell r="AC117">
            <v>714</v>
          </cell>
          <cell r="AD117">
            <v>206</v>
          </cell>
          <cell r="AE117">
            <v>216</v>
          </cell>
          <cell r="AF117">
            <v>422</v>
          </cell>
          <cell r="AG117">
            <v>232</v>
          </cell>
          <cell r="AH117">
            <v>654</v>
          </cell>
          <cell r="AI117">
            <v>248</v>
          </cell>
          <cell r="AJ117">
            <v>902</v>
          </cell>
          <cell r="AK117">
            <v>245</v>
          </cell>
          <cell r="AL117">
            <v>268</v>
          </cell>
          <cell r="AM117">
            <v>513</v>
          </cell>
          <cell r="AN117">
            <v>272</v>
          </cell>
          <cell r="AO117">
            <v>785</v>
          </cell>
          <cell r="AP117">
            <v>303</v>
          </cell>
          <cell r="AQ117">
            <v>1088</v>
          </cell>
          <cell r="AR117">
            <v>286</v>
          </cell>
          <cell r="AS117">
            <v>319</v>
          </cell>
          <cell r="AT117">
            <v>605</v>
          </cell>
          <cell r="AU117">
            <v>333</v>
          </cell>
          <cell r="AV117">
            <v>938</v>
          </cell>
          <cell r="AW117">
            <v>347</v>
          </cell>
          <cell r="AX117">
            <v>1285</v>
          </cell>
          <cell r="AY117">
            <v>318</v>
          </cell>
          <cell r="AZ117">
            <v>368</v>
          </cell>
          <cell r="BA117">
            <v>686</v>
          </cell>
          <cell r="BB117">
            <v>358</v>
          </cell>
          <cell r="BC117">
            <v>1044</v>
          </cell>
          <cell r="BD117">
            <v>415</v>
          </cell>
          <cell r="BE117">
            <v>1459</v>
          </cell>
          <cell r="BF117">
            <v>384</v>
          </cell>
          <cell r="BG117">
            <v>432</v>
          </cell>
          <cell r="BH117">
            <v>816</v>
          </cell>
          <cell r="BI117">
            <v>454</v>
          </cell>
          <cell r="BJ117">
            <v>1270</v>
          </cell>
          <cell r="BK117">
            <v>428</v>
          </cell>
          <cell r="BL117">
            <v>1698</v>
          </cell>
          <cell r="BM117">
            <v>404</v>
          </cell>
          <cell r="BN117">
            <v>507</v>
          </cell>
          <cell r="BO117">
            <v>911</v>
          </cell>
          <cell r="BP117">
            <v>472</v>
          </cell>
          <cell r="BQ117">
            <v>1383</v>
          </cell>
          <cell r="BR117">
            <v>556</v>
          </cell>
          <cell r="BS117">
            <v>1939</v>
          </cell>
          <cell r="BT117">
            <v>420.16</v>
          </cell>
          <cell r="BU117">
            <v>527.28</v>
          </cell>
          <cell r="BV117">
            <v>947.44</v>
          </cell>
          <cell r="BW117">
            <v>490.88</v>
          </cell>
          <cell r="BX117">
            <v>1438.3200000000002</v>
          </cell>
          <cell r="BY117">
            <v>578.24</v>
          </cell>
          <cell r="BZ117">
            <v>2016.5600000000002</v>
          </cell>
          <cell r="CA117">
            <v>927.61760000000004</v>
          </cell>
          <cell r="CB117">
            <v>343.21851200000003</v>
          </cell>
          <cell r="CC117">
            <v>205.93110720000001</v>
          </cell>
          <cell r="CD117">
            <v>168.86350790400002</v>
          </cell>
          <cell r="CE117">
            <v>109.76128013760001</v>
          </cell>
          <cell r="CF117">
            <v>75.735283294943997</v>
          </cell>
          <cell r="CG117">
            <v>37.867641647471999</v>
          </cell>
          <cell r="CO117">
            <v>0.2</v>
          </cell>
          <cell r="CP117">
            <v>42186</v>
          </cell>
          <cell r="CQ117">
            <v>0.53947368421052633</v>
          </cell>
          <cell r="CR117">
            <v>0.20408163265306123</v>
          </cell>
          <cell r="CS117">
            <v>0.44680851063829796</v>
          </cell>
          <cell r="CT117">
            <v>0.53</v>
          </cell>
          <cell r="CU117">
            <v>0.42391304347826098</v>
          </cell>
          <cell r="CV117">
            <v>0.12820512820512819</v>
          </cell>
          <cell r="CW117">
            <v>0.33050847457627119</v>
          </cell>
          <cell r="CX117">
            <v>0.23529411764705888</v>
          </cell>
          <cell r="CY117">
            <v>0.13071895424836599</v>
          </cell>
          <cell r="CZ117">
            <v>0.20229007633587792</v>
          </cell>
          <cell r="DA117">
            <v>0.18181818181818188</v>
          </cell>
          <cell r="DB117">
            <v>0.12738853503184711</v>
          </cell>
          <cell r="DC117">
            <v>7.1428571428571397E-2</v>
          </cell>
          <cell r="DD117">
            <v>0.05</v>
          </cell>
          <cell r="DE117">
            <v>0.1333333333333333</v>
          </cell>
          <cell r="DF117">
            <v>0.26330532212885149</v>
          </cell>
          <cell r="DG117">
            <v>0.20620842572062092</v>
          </cell>
          <cell r="DH117">
            <v>0.18106617647058831</v>
          </cell>
          <cell r="DI117">
            <v>0.13540856031128401</v>
          </cell>
          <cell r="DJ117">
            <v>0.163810829335161</v>
          </cell>
          <cell r="DK117">
            <v>0.03</v>
          </cell>
          <cell r="DM117" t="str">
            <v>mstag:gleevecUS</v>
          </cell>
          <cell r="DN117">
            <v>6</v>
          </cell>
          <cell r="DO117" t="str">
            <v>ISO4217:USD</v>
          </cell>
          <cell r="DP117" t="b">
            <v>0</v>
          </cell>
        </row>
        <row r="118">
          <cell r="A118" t="str">
            <v xml:space="preserve">           growth </v>
          </cell>
          <cell r="O118">
            <v>0.42391304347826098</v>
          </cell>
          <cell r="P118">
            <v>0.12820512820512819</v>
          </cell>
          <cell r="Q118">
            <v>0.33050847457627119</v>
          </cell>
          <cell r="R118">
            <v>0.2297872340425533</v>
          </cell>
          <cell r="S118">
            <v>0.23529411764705888</v>
          </cell>
          <cell r="T118">
            <v>0.23180592991913751</v>
          </cell>
          <cell r="U118">
            <v>0.13071895424836599</v>
          </cell>
          <cell r="V118">
            <v>0.20229007633587792</v>
          </cell>
          <cell r="W118">
            <v>0.18181818181818188</v>
          </cell>
          <cell r="X118">
            <v>0.12738853503184711</v>
          </cell>
          <cell r="Y118">
            <v>0.15224913494809678</v>
          </cell>
          <cell r="Z118">
            <v>7.1428571428571397E-2</v>
          </cell>
          <cell r="AA118">
            <v>0.12253829321663012</v>
          </cell>
          <cell r="AB118">
            <v>0.16184971098265888</v>
          </cell>
          <cell r="AC118">
            <v>0.1333333333333333</v>
          </cell>
          <cell r="AD118">
            <v>0.32051282051282048</v>
          </cell>
          <cell r="AE118">
            <v>0.22033898305084754</v>
          </cell>
          <cell r="AF118">
            <v>0.26726726726726735</v>
          </cell>
          <cell r="AG118">
            <v>0.28888888888888897</v>
          </cell>
          <cell r="AH118">
            <v>0.27485380116959068</v>
          </cell>
          <cell r="AI118">
            <v>0.23383084577114421</v>
          </cell>
          <cell r="AJ118">
            <v>0.26330532212885149</v>
          </cell>
          <cell r="AK118">
            <v>0.18932038834951448</v>
          </cell>
          <cell r="AL118">
            <v>0.2407407407407407</v>
          </cell>
          <cell r="AM118">
            <v>0.21563981042654023</v>
          </cell>
          <cell r="AN118">
            <v>0.17241379310344818</v>
          </cell>
          <cell r="AP118">
            <v>0.22177419354838701</v>
          </cell>
          <cell r="AQ118">
            <v>0.20620842572062092</v>
          </cell>
          <cell r="AR118">
            <v>0.16734693877551021</v>
          </cell>
          <cell r="AS118">
            <v>0.19029850746268662</v>
          </cell>
          <cell r="AT118">
            <v>0.17933723196881091</v>
          </cell>
          <cell r="AU118">
            <v>0.22426470588235303</v>
          </cell>
          <cell r="AV118">
            <v>0.19490445859872607</v>
          </cell>
          <cell r="AW118">
            <v>0.1452145214521452</v>
          </cell>
          <cell r="AX118">
            <v>0.18106617647058831</v>
          </cell>
          <cell r="AY118">
            <v>0.11188811188811187</v>
          </cell>
          <cell r="AZ118">
            <v>0.15360501567398122</v>
          </cell>
          <cell r="BA118">
            <v>0.13388429752066111</v>
          </cell>
          <cell r="BB118">
            <v>7.5075075075075048E-2</v>
          </cell>
          <cell r="BC118">
            <v>0.11300639658848621</v>
          </cell>
          <cell r="BD118">
            <v>0.19596541786743527</v>
          </cell>
          <cell r="BE118">
            <v>0.13540856031128401</v>
          </cell>
          <cell r="BF118">
            <v>0.20754716981132071</v>
          </cell>
          <cell r="BG118">
            <v>0.17391304347826098</v>
          </cell>
          <cell r="BH118">
            <v>0.18950437317784252</v>
          </cell>
          <cell r="BI118">
            <v>0.26815642458100553</v>
          </cell>
          <cell r="BJ118">
            <v>0.21647509578544066</v>
          </cell>
          <cell r="BK118">
            <v>3.1325301204819356E-2</v>
          </cell>
          <cell r="BL118">
            <v>0.163810829335161</v>
          </cell>
          <cell r="BM118">
            <v>5.2083333333333259E-2</v>
          </cell>
          <cell r="BN118">
            <v>0.17361111111111116</v>
          </cell>
          <cell r="BO118">
            <v>0.11642156862745101</v>
          </cell>
          <cell r="BP118">
            <v>3.9647577092511099E-2</v>
          </cell>
          <cell r="BQ118">
            <v>8.8976377952755925E-2</v>
          </cell>
          <cell r="BR118">
            <v>0.2990654205607477</v>
          </cell>
          <cell r="BS118">
            <v>0.14193168433451109</v>
          </cell>
          <cell r="BT118">
            <v>0.04</v>
          </cell>
          <cell r="BU118">
            <v>0.04</v>
          </cell>
          <cell r="BV118">
            <v>4.0000000000000036E-2</v>
          </cell>
          <cell r="BW118">
            <v>0.04</v>
          </cell>
          <cell r="BX118">
            <v>4.0000000000000036E-2</v>
          </cell>
          <cell r="BY118">
            <v>4.0000000000000036E-2</v>
          </cell>
          <cell r="BZ118">
            <v>0.04</v>
          </cell>
          <cell r="CA118">
            <v>-0.54</v>
          </cell>
          <cell r="CB118">
            <v>-0.63</v>
          </cell>
          <cell r="CC118">
            <v>-0.4</v>
          </cell>
          <cell r="CD118">
            <v>-0.18</v>
          </cell>
          <cell r="CE118">
            <v>-0.35</v>
          </cell>
          <cell r="CF118">
            <v>-0.31</v>
          </cell>
          <cell r="CG118">
            <v>-0.5</v>
          </cell>
          <cell r="CP118" t="str">
            <v>Crystal form (2018) , tablet (2023), process (2023)</v>
          </cell>
        </row>
        <row r="119">
          <cell r="A119" t="str">
            <v xml:space="preserve">       Gleevec ROW</v>
          </cell>
          <cell r="B119">
            <v>276</v>
          </cell>
          <cell r="C119">
            <v>306</v>
          </cell>
          <cell r="D119">
            <v>582</v>
          </cell>
          <cell r="E119">
            <v>318</v>
          </cell>
          <cell r="F119">
            <v>900</v>
          </cell>
          <cell r="G119">
            <v>366</v>
          </cell>
          <cell r="H119">
            <v>1266</v>
          </cell>
          <cell r="I119">
            <v>379</v>
          </cell>
          <cell r="J119">
            <v>419</v>
          </cell>
          <cell r="K119">
            <v>798</v>
          </cell>
          <cell r="L119">
            <v>411</v>
          </cell>
          <cell r="M119">
            <v>1209</v>
          </cell>
          <cell r="N119">
            <v>437</v>
          </cell>
          <cell r="O119">
            <v>1646</v>
          </cell>
          <cell r="P119">
            <v>427</v>
          </cell>
          <cell r="Q119">
            <v>483</v>
          </cell>
          <cell r="R119">
            <v>910</v>
          </cell>
          <cell r="S119">
            <v>485</v>
          </cell>
          <cell r="T119">
            <v>1395</v>
          </cell>
          <cell r="U119">
            <v>529</v>
          </cell>
          <cell r="V119">
            <v>1924</v>
          </cell>
          <cell r="W119">
            <v>518</v>
          </cell>
          <cell r="X119">
            <v>570</v>
          </cell>
          <cell r="Y119">
            <v>1088</v>
          </cell>
          <cell r="Z119">
            <v>603</v>
          </cell>
          <cell r="AA119">
            <v>1691</v>
          </cell>
          <cell r="AB119">
            <v>645</v>
          </cell>
          <cell r="AC119">
            <v>2336</v>
          </cell>
          <cell r="AD119">
            <v>682</v>
          </cell>
          <cell r="AE119">
            <v>726</v>
          </cell>
          <cell r="AF119">
            <v>1408</v>
          </cell>
          <cell r="AG119">
            <v>718</v>
          </cell>
          <cell r="AH119">
            <v>2126</v>
          </cell>
          <cell r="AI119">
            <v>642</v>
          </cell>
          <cell r="AJ119">
            <v>2768</v>
          </cell>
          <cell r="AK119">
            <v>649</v>
          </cell>
          <cell r="AL119">
            <v>722</v>
          </cell>
          <cell r="AM119">
            <v>1371</v>
          </cell>
          <cell r="AN119">
            <v>702</v>
          </cell>
          <cell r="AO119">
            <v>2073</v>
          </cell>
          <cell r="AP119">
            <v>783</v>
          </cell>
          <cell r="AQ119">
            <v>2856</v>
          </cell>
          <cell r="AR119">
            <v>746</v>
          </cell>
          <cell r="AS119">
            <v>756</v>
          </cell>
          <cell r="AT119">
            <v>1502</v>
          </cell>
          <cell r="AU119">
            <v>682</v>
          </cell>
          <cell r="AV119">
            <v>2184</v>
          </cell>
          <cell r="AW119">
            <v>796</v>
          </cell>
          <cell r="AX119">
            <v>2980</v>
          </cell>
          <cell r="AY119">
            <v>758</v>
          </cell>
          <cell r="AZ119">
            <v>835</v>
          </cell>
          <cell r="BA119">
            <v>1593</v>
          </cell>
          <cell r="BB119">
            <v>784</v>
          </cell>
          <cell r="BC119">
            <v>2377</v>
          </cell>
          <cell r="BD119">
            <v>823</v>
          </cell>
          <cell r="BE119">
            <v>3200</v>
          </cell>
          <cell r="BF119">
            <v>746</v>
          </cell>
          <cell r="BG119">
            <v>762</v>
          </cell>
          <cell r="BH119">
            <v>1508</v>
          </cell>
          <cell r="BI119">
            <v>718</v>
          </cell>
          <cell r="BJ119">
            <v>2226</v>
          </cell>
          <cell r="BK119">
            <v>751</v>
          </cell>
          <cell r="BL119">
            <v>2977</v>
          </cell>
          <cell r="BM119">
            <v>739</v>
          </cell>
          <cell r="BN119">
            <v>683</v>
          </cell>
          <cell r="BO119">
            <v>1422</v>
          </cell>
          <cell r="BP119">
            <v>661</v>
          </cell>
          <cell r="BQ119">
            <v>2083</v>
          </cell>
          <cell r="BR119">
            <v>671</v>
          </cell>
          <cell r="BS119">
            <v>2754</v>
          </cell>
          <cell r="BT119">
            <v>693.11353696110359</v>
          </cell>
          <cell r="BU119">
            <v>659.16975586386945</v>
          </cell>
          <cell r="BV119">
            <v>1352.2832928249732</v>
          </cell>
          <cell r="BW119">
            <v>632.61400903118204</v>
          </cell>
          <cell r="BX119">
            <v>1984.8973018561551</v>
          </cell>
          <cell r="BY119">
            <v>633.31605070408523</v>
          </cell>
          <cell r="BZ119">
            <v>2618.2133525602403</v>
          </cell>
          <cell r="CA119">
            <v>2461.120551406626</v>
          </cell>
          <cell r="CB119">
            <v>1304.3938922455118</v>
          </cell>
          <cell r="CC119">
            <v>678.28482396766617</v>
          </cell>
          <cell r="CD119">
            <v>501.93076973607293</v>
          </cell>
          <cell r="CE119">
            <v>331.27430802580807</v>
          </cell>
          <cell r="CF119">
            <v>202.07732789574291</v>
          </cell>
          <cell r="CG119">
            <v>101.03866394787146</v>
          </cell>
          <cell r="CH119">
            <v>80.830931158297176</v>
          </cell>
          <cell r="CI119">
            <v>64.664744926637738</v>
          </cell>
          <cell r="CJ119">
            <v>51.731795941310196</v>
          </cell>
          <cell r="CP119" t="str">
            <v>2014 (japan) 2016 (EU)</v>
          </cell>
          <cell r="CQ119">
            <v>0.37318840579710155</v>
          </cell>
          <cell r="CR119">
            <v>0.36928104575163401</v>
          </cell>
          <cell r="CS119">
            <v>0.29245283018867929</v>
          </cell>
          <cell r="CT119">
            <v>0.19398907103825147</v>
          </cell>
          <cell r="CU119">
            <v>0.30015797788309628</v>
          </cell>
          <cell r="CV119">
            <v>0.12664907651715041</v>
          </cell>
          <cell r="CW119">
            <v>0.15274463007159911</v>
          </cell>
          <cell r="CX119">
            <v>0.18004866180048662</v>
          </cell>
          <cell r="CY119">
            <v>0.21052631578947367</v>
          </cell>
          <cell r="CZ119">
            <v>0.16889428918590532</v>
          </cell>
          <cell r="DA119">
            <v>0.21311475409836067</v>
          </cell>
          <cell r="DB119">
            <v>0.18012422360248448</v>
          </cell>
          <cell r="DC119">
            <v>0.24329896907216497</v>
          </cell>
          <cell r="DD119">
            <v>0.03</v>
          </cell>
          <cell r="DE119">
            <v>0.2141372141372142</v>
          </cell>
          <cell r="DF119">
            <v>0.18493150684931514</v>
          </cell>
          <cell r="DG119">
            <v>3.1791907514450823E-2</v>
          </cell>
          <cell r="DH119">
            <v>4.3417366946778779E-2</v>
          </cell>
          <cell r="DI119">
            <v>7.3825503355704702E-2</v>
          </cell>
          <cell r="DJ119">
            <v>-6.9687500000000013E-2</v>
          </cell>
          <cell r="DK119">
            <v>2.5000000000000001E-2</v>
          </cell>
          <cell r="DM119" t="str">
            <v>mstag:gleevecEurope</v>
          </cell>
          <cell r="DN119">
            <v>6</v>
          </cell>
          <cell r="DO119" t="str">
            <v>ISO4217:USD</v>
          </cell>
          <cell r="DP119" t="b">
            <v>0</v>
          </cell>
        </row>
        <row r="120">
          <cell r="A120" t="str">
            <v xml:space="preserve">           growth </v>
          </cell>
          <cell r="AX120">
            <v>4.3417366946778779E-2</v>
          </cell>
          <cell r="AY120">
            <v>1.6085790884718509E-2</v>
          </cell>
          <cell r="AZ120">
            <v>0.10449735449735442</v>
          </cell>
          <cell r="BA120">
            <v>6.058588548601862E-2</v>
          </cell>
          <cell r="BB120">
            <v>0.14956011730205288</v>
          </cell>
          <cell r="BC120">
            <v>8.8369963369963278E-2</v>
          </cell>
          <cell r="BD120">
            <v>3.3919597989949812E-2</v>
          </cell>
          <cell r="BE120">
            <v>7.3825503355704702E-2</v>
          </cell>
          <cell r="BF120">
            <v>-1.5831134564643801E-2</v>
          </cell>
          <cell r="BG120">
            <v>-8.7425149700598781E-2</v>
          </cell>
          <cell r="BH120">
            <v>-5.3358443188951665E-2</v>
          </cell>
          <cell r="BI120">
            <v>-8.418367346938771E-2</v>
          </cell>
          <cell r="BJ120">
            <v>-6.3525452250736247E-2</v>
          </cell>
          <cell r="BK120">
            <v>-8.7484811664641504E-2</v>
          </cell>
          <cell r="BL120">
            <v>-6.9687500000000013E-2</v>
          </cell>
          <cell r="BM120">
            <v>-9.3833780160857971E-3</v>
          </cell>
          <cell r="BN120">
            <v>-0.10367454068241466</v>
          </cell>
          <cell r="BO120">
            <v>-5.7029177718832869E-2</v>
          </cell>
          <cell r="BP120">
            <v>-7.9387186629526485E-2</v>
          </cell>
          <cell r="BQ120">
            <v>-6.424079065588495E-2</v>
          </cell>
          <cell r="BR120">
            <v>-0.10652463382157129</v>
          </cell>
          <cell r="BS120">
            <v>-7.4907625125965716E-2</v>
          </cell>
          <cell r="BT120">
            <v>-6.2092642813120991E-2</v>
          </cell>
          <cell r="BU120">
            <v>-3.4890547783500092E-2</v>
          </cell>
          <cell r="BV120">
            <v>-4.9027220235602575E-2</v>
          </cell>
          <cell r="BW120">
            <v>-4.2944010542841138E-2</v>
          </cell>
          <cell r="BX120">
            <v>-4.7096830601941919E-2</v>
          </cell>
          <cell r="BZ120">
            <v>-4.930524598393593E-2</v>
          </cell>
          <cell r="CA120">
            <v>-5.9999999999999942E-2</v>
          </cell>
          <cell r="CB120">
            <v>-0.47</v>
          </cell>
          <cell r="CC120">
            <v>-0.48</v>
          </cell>
          <cell r="CD120">
            <v>-0.26</v>
          </cell>
          <cell r="CE120">
            <v>-0.34000000000000008</v>
          </cell>
          <cell r="CF120">
            <v>-0.39</v>
          </cell>
          <cell r="CG120">
            <v>-0.5</v>
          </cell>
          <cell r="CH120">
            <v>-0.19999999999999984</v>
          </cell>
          <cell r="CI120">
            <v>-0.20000000000000007</v>
          </cell>
          <cell r="CJ120">
            <v>-0.19999999999999996</v>
          </cell>
        </row>
        <row r="121">
          <cell r="A121" t="str">
            <v xml:space="preserve">   CER growth </v>
          </cell>
          <cell r="P121">
            <v>0.21159715043686778</v>
          </cell>
          <cell r="Q121">
            <v>0.15931342939196758</v>
          </cell>
          <cell r="R121">
            <v>0.18610931381302542</v>
          </cell>
          <cell r="S121">
            <v>0.14279043923469348</v>
          </cell>
          <cell r="T121">
            <v>0.17193237073758472</v>
          </cell>
          <cell r="U121">
            <v>0.13643810575683313</v>
          </cell>
          <cell r="V121">
            <v>0.16393689934631839</v>
          </cell>
          <cell r="W121">
            <v>0.13652553366789033</v>
          </cell>
          <cell r="X121">
            <v>0.12489040862299383</v>
          </cell>
          <cell r="Y121">
            <v>0.12969287789941508</v>
          </cell>
          <cell r="Z121">
            <v>0.17872867821495064</v>
          </cell>
          <cell r="AA121">
            <v>0.14672193783925702</v>
          </cell>
          <cell r="AB121">
            <v>0.10958709547650658</v>
          </cell>
          <cell r="AC121">
            <v>0.13761524056052998</v>
          </cell>
          <cell r="AD121">
            <v>0.17219469415348931</v>
          </cell>
          <cell r="AE121">
            <v>0.10895261565741277</v>
          </cell>
          <cell r="AF121">
            <v>0.13954803839995855</v>
          </cell>
          <cell r="AG121">
            <v>9.3297790699323757E-2</v>
          </cell>
          <cell r="AH121">
            <v>0.13125177462075621</v>
          </cell>
          <cell r="AI121">
            <v>5.5035287431644986E-2</v>
          </cell>
          <cell r="AJ121">
            <v>0.10008904609145963</v>
          </cell>
          <cell r="AK121">
            <v>5.6355983192369119E-2</v>
          </cell>
          <cell r="AL121">
            <v>0.10275164167975681</v>
          </cell>
          <cell r="AN121">
            <v>3.7456129307149588E-3</v>
          </cell>
          <cell r="AP121">
            <v>9.9939457419719879E-2</v>
          </cell>
          <cell r="AQ121">
            <v>6.6836292439454659E-2</v>
          </cell>
          <cell r="AR121">
            <v>8.4971278729313093E-2</v>
          </cell>
          <cell r="AS121">
            <v>9.2327975192858958E-2</v>
          </cell>
          <cell r="AT121">
            <v>9.5550692924872394E-2</v>
          </cell>
          <cell r="AU121">
            <v>3.3011118111090365E-2</v>
          </cell>
          <cell r="AV121">
            <v>5.3545586107091259E-2</v>
          </cell>
          <cell r="AW121">
            <v>1.6602809706258048E-2</v>
          </cell>
          <cell r="AX121">
            <v>4.3417366946778779E-2</v>
          </cell>
          <cell r="AY121">
            <v>1.6085790884718509E-2</v>
          </cell>
          <cell r="AZ121">
            <v>0.10449735449735442</v>
          </cell>
          <cell r="BA121">
            <v>6.058588548601862E-2</v>
          </cell>
          <cell r="BB121">
            <v>0.06</v>
          </cell>
          <cell r="BC121">
            <v>0.01</v>
          </cell>
          <cell r="BD121">
            <v>0.04</v>
          </cell>
          <cell r="BE121">
            <v>0.02</v>
          </cell>
          <cell r="BF121">
            <v>0.01</v>
          </cell>
          <cell r="BG121">
            <v>-0.01</v>
          </cell>
          <cell r="BH121">
            <v>0</v>
          </cell>
          <cell r="BI121">
            <v>0</v>
          </cell>
          <cell r="BK121">
            <v>-7.0000000000000007E-2</v>
          </cell>
          <cell r="BL121">
            <v>-0.02</v>
          </cell>
          <cell r="BM121">
            <v>0.01</v>
          </cell>
          <cell r="BN121">
            <v>-0.08</v>
          </cell>
          <cell r="BO121">
            <v>-0.04</v>
          </cell>
          <cell r="BP121">
            <v>-7.0000000000000007E-2</v>
          </cell>
          <cell r="BQ121">
            <v>-0.05</v>
          </cell>
          <cell r="BR121">
            <v>-0.09</v>
          </cell>
          <cell r="BS121">
            <v>-0.06</v>
          </cell>
          <cell r="BT121">
            <v>-0.05</v>
          </cell>
          <cell r="BU121">
            <v>-0.05</v>
          </cell>
          <cell r="BW121">
            <v>-0.05</v>
          </cell>
          <cell r="BY121">
            <v>-6.2969145191529075E-2</v>
          </cell>
          <cell r="BZ121">
            <v>-0.05</v>
          </cell>
          <cell r="CA121">
            <v>-0.06</v>
          </cell>
          <cell r="CB121">
            <v>-0.47</v>
          </cell>
          <cell r="CC121">
            <v>-0.48</v>
          </cell>
          <cell r="CD121">
            <v>-0.26</v>
          </cell>
          <cell r="CE121">
            <v>-0.34</v>
          </cell>
          <cell r="CF121">
            <v>-0.39</v>
          </cell>
          <cell r="CG121">
            <v>-0.5</v>
          </cell>
          <cell r="CH121">
            <v>-0.2</v>
          </cell>
          <cell r="CI121">
            <v>-0.2</v>
          </cell>
          <cell r="CJ121">
            <v>-0.2</v>
          </cell>
        </row>
        <row r="123">
          <cell r="A123" t="str">
            <v>Tasigna</v>
          </cell>
          <cell r="V123">
            <v>0</v>
          </cell>
          <cell r="AC123">
            <v>0</v>
          </cell>
          <cell r="AD123">
            <v>10</v>
          </cell>
          <cell r="AE123">
            <v>19</v>
          </cell>
          <cell r="AF123">
            <v>29</v>
          </cell>
          <cell r="AG123">
            <v>28</v>
          </cell>
          <cell r="AH123">
            <v>57</v>
          </cell>
          <cell r="AI123">
            <v>32</v>
          </cell>
          <cell r="AJ123">
            <v>89</v>
          </cell>
          <cell r="AK123">
            <v>35</v>
          </cell>
          <cell r="AL123">
            <v>53</v>
          </cell>
          <cell r="AM123">
            <v>88</v>
          </cell>
          <cell r="AN123">
            <v>56</v>
          </cell>
          <cell r="AO123">
            <v>144</v>
          </cell>
          <cell r="AP123">
            <v>68</v>
          </cell>
          <cell r="AQ123">
            <v>212</v>
          </cell>
          <cell r="AR123">
            <v>75</v>
          </cell>
          <cell r="AS123">
            <v>89</v>
          </cell>
          <cell r="AT123">
            <v>164</v>
          </cell>
          <cell r="AU123">
            <v>109</v>
          </cell>
          <cell r="AV123">
            <v>273</v>
          </cell>
          <cell r="AW123">
            <v>126</v>
          </cell>
          <cell r="AX123">
            <v>399</v>
          </cell>
          <cell r="AY123">
            <v>153</v>
          </cell>
          <cell r="AZ123">
            <v>170</v>
          </cell>
          <cell r="BA123">
            <v>323</v>
          </cell>
          <cell r="BB123">
            <v>186</v>
          </cell>
          <cell r="BC123">
            <v>509</v>
          </cell>
          <cell r="BD123">
            <v>207</v>
          </cell>
          <cell r="BE123">
            <v>716</v>
          </cell>
          <cell r="BF123">
            <v>209</v>
          </cell>
          <cell r="BG123">
            <v>237</v>
          </cell>
          <cell r="BH123">
            <v>446</v>
          </cell>
          <cell r="BI123">
            <v>261</v>
          </cell>
          <cell r="BJ123">
            <v>707</v>
          </cell>
          <cell r="BK123">
            <v>291</v>
          </cell>
          <cell r="BL123">
            <v>998</v>
          </cell>
          <cell r="BM123">
            <v>284</v>
          </cell>
          <cell r="BN123">
            <v>315</v>
          </cell>
          <cell r="BO123">
            <v>599</v>
          </cell>
          <cell r="BP123">
            <v>315</v>
          </cell>
          <cell r="BQ123">
            <v>914</v>
          </cell>
          <cell r="BR123">
            <v>352</v>
          </cell>
          <cell r="BS123">
            <v>1266</v>
          </cell>
          <cell r="BT123">
            <v>352.77686992994796</v>
          </cell>
          <cell r="BU123">
            <v>370.31917300052703</v>
          </cell>
          <cell r="BV123">
            <v>723.09604293047505</v>
          </cell>
          <cell r="BW123">
            <v>387.87397611744791</v>
          </cell>
          <cell r="BX123">
            <v>1110.970019047923</v>
          </cell>
          <cell r="BY123">
            <v>408.79152482282313</v>
          </cell>
          <cell r="BZ123">
            <v>1519.7615438707462</v>
          </cell>
          <cell r="CA123">
            <v>1823.7138526448953</v>
          </cell>
          <cell r="CB123">
            <v>1945.2019452771401</v>
          </cell>
          <cell r="CC123">
            <v>2062.4616265409973</v>
          </cell>
          <cell r="CD123">
            <v>2187.1842585880468</v>
          </cell>
          <cell r="CE123">
            <v>2335.4226628134493</v>
          </cell>
          <cell r="CF123">
            <v>2452.1937959541219</v>
          </cell>
          <cell r="CG123">
            <v>2574.8034857518282</v>
          </cell>
          <cell r="CH123">
            <v>2621.9542249960523</v>
          </cell>
          <cell r="CI123">
            <v>2671.4625012024876</v>
          </cell>
          <cell r="CJ123">
            <v>801.43875036074633</v>
          </cell>
          <cell r="CO123">
            <v>0.15</v>
          </cell>
          <cell r="CP123" t="str">
            <v>2023 (US) / 2023 (EU)</v>
          </cell>
          <cell r="DM123" t="str">
            <v>mstag:tasigna</v>
          </cell>
          <cell r="DN123">
            <v>6</v>
          </cell>
          <cell r="DO123" t="str">
            <v>ISO4217:USD</v>
          </cell>
          <cell r="DP123" t="b">
            <v>0</v>
          </cell>
        </row>
        <row r="124">
          <cell r="A124" t="str">
            <v xml:space="preserve">   growth %</v>
          </cell>
          <cell r="AQ124">
            <v>1.3820224719101124</v>
          </cell>
          <cell r="AR124">
            <v>1.1428571428571428</v>
          </cell>
          <cell r="AS124">
            <v>0.679245283018868</v>
          </cell>
          <cell r="AT124">
            <v>0.86363636363636354</v>
          </cell>
          <cell r="AU124">
            <v>0.9464285714285714</v>
          </cell>
          <cell r="AV124">
            <v>0.89583333333333326</v>
          </cell>
          <cell r="AW124">
            <v>0.85294117647058831</v>
          </cell>
          <cell r="AX124">
            <v>0.86946575091121336</v>
          </cell>
          <cell r="AY124">
            <v>0.97</v>
          </cell>
          <cell r="AZ124">
            <v>0.77441742963611637</v>
          </cell>
          <cell r="BA124">
            <v>0.86666473016472856</v>
          </cell>
          <cell r="BB124">
            <v>0.59678508691262611</v>
          </cell>
          <cell r="BC124">
            <v>0.75822666627225432</v>
          </cell>
          <cell r="BD124">
            <v>0.60624974672775256</v>
          </cell>
          <cell r="BE124">
            <v>0.71288714726914271</v>
          </cell>
          <cell r="BF124">
            <v>0.35571063361506594</v>
          </cell>
          <cell r="BG124">
            <v>0.43802605349830281</v>
          </cell>
          <cell r="BH124">
            <v>0.38080495356037147</v>
          </cell>
          <cell r="BI124">
            <v>0.40322580645161299</v>
          </cell>
          <cell r="BJ124">
            <v>0.38899803536345767</v>
          </cell>
          <cell r="BK124">
            <v>0.40579710144927539</v>
          </cell>
          <cell r="BL124">
            <v>0.3938547486033519</v>
          </cell>
          <cell r="BM124">
            <v>0.35885167464114831</v>
          </cell>
          <cell r="BN124">
            <v>0.32911392405063289</v>
          </cell>
          <cell r="BO124">
            <v>0.34304932735426008</v>
          </cell>
          <cell r="BP124">
            <v>0.2068965517241379</v>
          </cell>
          <cell r="BQ124">
            <v>0.29278642149929279</v>
          </cell>
          <cell r="BR124">
            <v>0.20962199312714769</v>
          </cell>
          <cell r="BS124">
            <v>0.26853707414829664</v>
          </cell>
          <cell r="BT124">
            <v>0.24217207721812661</v>
          </cell>
          <cell r="BU124">
            <v>0.1756164222238954</v>
          </cell>
          <cell r="BV124">
            <v>0.20717202492566789</v>
          </cell>
          <cell r="BW124">
            <v>0.23134595592840612</v>
          </cell>
          <cell r="BX124">
            <v>0.2155033031158895</v>
          </cell>
          <cell r="BY124">
            <v>0.1613395591557476</v>
          </cell>
          <cell r="BZ124">
            <v>0.20044355755983112</v>
          </cell>
          <cell r="CA124">
            <v>0.19999999999999996</v>
          </cell>
          <cell r="CB124">
            <v>6.6615764559803781E-2</v>
          </cell>
          <cell r="CC124">
            <v>6.028149496177404E-2</v>
          </cell>
          <cell r="CD124">
            <v>6.0472704287945822E-2</v>
          </cell>
          <cell r="CE124">
            <v>6.7775910348357726E-2</v>
          </cell>
          <cell r="CF124">
            <v>5.0000000000000044E-2</v>
          </cell>
          <cell r="CG124">
            <v>5.0000000000000044E-2</v>
          </cell>
          <cell r="CH124">
            <v>1.831236422707283E-2</v>
          </cell>
          <cell r="CI124">
            <v>1.8882204629834698E-2</v>
          </cell>
          <cell r="CJ124">
            <v>-0.7</v>
          </cell>
        </row>
        <row r="125">
          <cell r="A125" t="str">
            <v xml:space="preserve">      CER growth</v>
          </cell>
          <cell r="BB125">
            <v>0.63</v>
          </cell>
          <cell r="BC125">
            <v>0.78</v>
          </cell>
          <cell r="BD125">
            <v>0.65</v>
          </cell>
          <cell r="BE125">
            <v>0.74</v>
          </cell>
          <cell r="BF125">
            <v>0.39</v>
          </cell>
          <cell r="BG125">
            <v>0.45</v>
          </cell>
          <cell r="BH125">
            <v>0.42</v>
          </cell>
          <cell r="BI125">
            <v>0.49</v>
          </cell>
          <cell r="BJ125">
            <v>0.44</v>
          </cell>
          <cell r="BK125">
            <v>0.43</v>
          </cell>
          <cell r="BL125">
            <v>0.44</v>
          </cell>
          <cell r="BM125">
            <v>0.39</v>
          </cell>
          <cell r="BN125">
            <v>0.38</v>
          </cell>
          <cell r="BO125">
            <v>0.38</v>
          </cell>
          <cell r="BP125">
            <v>0.25</v>
          </cell>
          <cell r="BQ125">
            <v>0.33</v>
          </cell>
          <cell r="BR125">
            <v>0.25</v>
          </cell>
          <cell r="BS125">
            <v>0.31</v>
          </cell>
        </row>
        <row r="126">
          <cell r="A126" t="str">
            <v xml:space="preserve">  % of franchise</v>
          </cell>
          <cell r="BB126">
            <v>0.14006024096385541</v>
          </cell>
          <cell r="BC126">
            <v>0.12951653944020355</v>
          </cell>
          <cell r="BD126">
            <v>0.14325259515570934</v>
          </cell>
          <cell r="BE126">
            <v>0.1332093023255814</v>
          </cell>
          <cell r="BF126">
            <v>0.15608663181478716</v>
          </cell>
          <cell r="BG126">
            <v>0.16561844863731656</v>
          </cell>
          <cell r="BH126">
            <v>0.16101083032490976</v>
          </cell>
          <cell r="BI126">
            <v>0.18213538032100487</v>
          </cell>
          <cell r="BJ126">
            <v>0.1682131810611468</v>
          </cell>
          <cell r="BK126">
            <v>0.19795918367346937</v>
          </cell>
          <cell r="BL126">
            <v>0.17592102943768728</v>
          </cell>
          <cell r="BM126">
            <v>0.19901892081289418</v>
          </cell>
          <cell r="BN126">
            <v>0.20930232558139536</v>
          </cell>
          <cell r="BO126">
            <v>0.20429740791268758</v>
          </cell>
          <cell r="BP126">
            <v>0.21754143646408841</v>
          </cell>
          <cell r="BQ126">
            <v>0.20867579908675798</v>
          </cell>
          <cell r="BR126">
            <v>0.22292590246991767</v>
          </cell>
          <cell r="BS126">
            <v>0.21245175364994126</v>
          </cell>
          <cell r="BZ126">
            <v>0.24693361390347393</v>
          </cell>
          <cell r="CA126">
            <v>0.34987638279016547</v>
          </cell>
          <cell r="CB126">
            <v>0.54141454471077344</v>
          </cell>
          <cell r="CC126">
            <v>0.69992782927520825</v>
          </cell>
          <cell r="CD126">
            <v>0.76529065241848571</v>
          </cell>
          <cell r="CE126">
            <v>0.84115173062363313</v>
          </cell>
          <cell r="CF126">
            <v>0.89823737758870736</v>
          </cell>
          <cell r="CG126">
            <v>0.9488131317363947</v>
          </cell>
          <cell r="CH126">
            <v>0.9700934678532469</v>
          </cell>
          <cell r="CI126">
            <v>0.97636632396460332</v>
          </cell>
          <cell r="CJ126">
            <v>0.9393652345764465</v>
          </cell>
        </row>
        <row r="127">
          <cell r="A127" t="str">
            <v xml:space="preserve">       Tasigna US</v>
          </cell>
          <cell r="BB127">
            <v>66</v>
          </cell>
          <cell r="BC127">
            <v>183</v>
          </cell>
          <cell r="BD127">
            <v>72</v>
          </cell>
          <cell r="BE127">
            <v>255</v>
          </cell>
          <cell r="BF127">
            <v>76</v>
          </cell>
          <cell r="BG127">
            <v>84</v>
          </cell>
          <cell r="BH127">
            <v>160</v>
          </cell>
          <cell r="BI127">
            <v>95</v>
          </cell>
          <cell r="BJ127">
            <v>255</v>
          </cell>
          <cell r="BK127">
            <v>96</v>
          </cell>
          <cell r="BL127">
            <v>351</v>
          </cell>
          <cell r="BM127">
            <v>96</v>
          </cell>
          <cell r="BN127">
            <v>106</v>
          </cell>
          <cell r="BO127">
            <v>202</v>
          </cell>
          <cell r="BP127">
            <v>111</v>
          </cell>
          <cell r="BQ127">
            <v>313</v>
          </cell>
          <cell r="BR127">
            <v>115</v>
          </cell>
          <cell r="BS127">
            <v>428</v>
          </cell>
          <cell r="BT127">
            <v>115.19999999999999</v>
          </cell>
          <cell r="BU127">
            <v>121.89999999999999</v>
          </cell>
          <cell r="BV127">
            <v>237.09999999999997</v>
          </cell>
          <cell r="BW127">
            <v>130.97999999999999</v>
          </cell>
          <cell r="BX127">
            <v>368.07999999999993</v>
          </cell>
          <cell r="BY127">
            <v>136.96000000000004</v>
          </cell>
          <cell r="BZ127">
            <v>505.03999999999996</v>
          </cell>
          <cell r="CA127">
            <v>606.04799999999989</v>
          </cell>
          <cell r="CB127">
            <v>666.65279999999996</v>
          </cell>
          <cell r="CC127">
            <v>719.98502399999995</v>
          </cell>
          <cell r="CD127">
            <v>777.58382591999998</v>
          </cell>
          <cell r="CE127">
            <v>855.34220851200007</v>
          </cell>
          <cell r="CF127">
            <v>898.10931893760016</v>
          </cell>
          <cell r="CG127">
            <v>943.01478488448026</v>
          </cell>
          <cell r="CH127">
            <v>990.16552412870431</v>
          </cell>
          <cell r="CI127">
            <v>1039.6738003351395</v>
          </cell>
          <cell r="CJ127">
            <v>311.90214010054189</v>
          </cell>
        </row>
        <row r="128">
          <cell r="A128" t="str">
            <v xml:space="preserve">           growth </v>
          </cell>
          <cell r="BB128">
            <v>0.83</v>
          </cell>
          <cell r="BC128">
            <v>1.06</v>
          </cell>
          <cell r="BD128">
            <v>0.6</v>
          </cell>
          <cell r="BE128">
            <v>0.9</v>
          </cell>
          <cell r="BF128">
            <v>0.28999999999999998</v>
          </cell>
          <cell r="BG128">
            <v>0.45</v>
          </cell>
          <cell r="BH128">
            <v>0.37</v>
          </cell>
          <cell r="BI128">
            <v>0.37</v>
          </cell>
          <cell r="BJ128">
            <v>0.39344262295081966</v>
          </cell>
          <cell r="BK128">
            <v>0.33333333333333326</v>
          </cell>
          <cell r="BL128">
            <v>0.37647058823529411</v>
          </cell>
          <cell r="BM128">
            <v>0.26315789473684204</v>
          </cell>
          <cell r="BN128">
            <v>0.26190476190476186</v>
          </cell>
          <cell r="BO128">
            <v>0.26249999999999996</v>
          </cell>
          <cell r="BP128">
            <v>0.16842105263157903</v>
          </cell>
          <cell r="BQ128">
            <v>0.22745098039215694</v>
          </cell>
          <cell r="BR128">
            <v>0.19791666666666674</v>
          </cell>
          <cell r="BS128">
            <v>0.21937321937321941</v>
          </cell>
          <cell r="BT128">
            <v>0.2</v>
          </cell>
          <cell r="BU128">
            <v>0.15</v>
          </cell>
          <cell r="BV128">
            <v>0.17376237623762369</v>
          </cell>
          <cell r="BW128">
            <v>0.18</v>
          </cell>
          <cell r="BX128">
            <v>0.17597444089456848</v>
          </cell>
          <cell r="BY128">
            <v>0.19095652173913069</v>
          </cell>
          <cell r="BZ128">
            <v>0.18</v>
          </cell>
          <cell r="CA128">
            <v>0.2</v>
          </cell>
          <cell r="CB128">
            <v>0.1</v>
          </cell>
          <cell r="CC128">
            <v>0.08</v>
          </cell>
          <cell r="CD128">
            <v>0.08</v>
          </cell>
          <cell r="CE128">
            <v>0.1</v>
          </cell>
          <cell r="CF128">
            <v>0.05</v>
          </cell>
          <cell r="CG128">
            <v>0.05</v>
          </cell>
          <cell r="CH128">
            <v>0.05</v>
          </cell>
          <cell r="CI128">
            <v>0.05</v>
          </cell>
          <cell r="CJ128">
            <v>-0.7</v>
          </cell>
        </row>
        <row r="129">
          <cell r="A129" t="str">
            <v xml:space="preserve">       Tasigna ROW</v>
          </cell>
          <cell r="BB129">
            <v>120</v>
          </cell>
          <cell r="BC129">
            <v>326</v>
          </cell>
          <cell r="BD129">
            <v>135</v>
          </cell>
          <cell r="BE129">
            <v>461</v>
          </cell>
          <cell r="BF129">
            <v>133</v>
          </cell>
          <cell r="BG129">
            <v>153</v>
          </cell>
          <cell r="BH129">
            <v>286</v>
          </cell>
          <cell r="BI129">
            <v>166</v>
          </cell>
          <cell r="BJ129">
            <v>452</v>
          </cell>
          <cell r="BK129">
            <v>195</v>
          </cell>
          <cell r="BL129">
            <v>647</v>
          </cell>
          <cell r="BM129">
            <v>188</v>
          </cell>
          <cell r="BN129">
            <v>209</v>
          </cell>
          <cell r="BO129">
            <v>397</v>
          </cell>
          <cell r="BP129">
            <v>204</v>
          </cell>
          <cell r="BQ129">
            <v>601</v>
          </cell>
          <cell r="BR129">
            <v>237</v>
          </cell>
          <cell r="BS129">
            <v>838</v>
          </cell>
          <cell r="BT129">
            <v>237.57686992994797</v>
          </cell>
          <cell r="BU129">
            <v>248.41917300052702</v>
          </cell>
          <cell r="BV129">
            <v>485.99604293047503</v>
          </cell>
          <cell r="BW129">
            <v>256.89397611744795</v>
          </cell>
          <cell r="BX129">
            <v>742.89001904792303</v>
          </cell>
          <cell r="BY129">
            <v>271.8315248228231</v>
          </cell>
          <cell r="BZ129">
            <v>1014.7215438707461</v>
          </cell>
          <cell r="CA129">
            <v>1217.6658526448953</v>
          </cell>
          <cell r="CB129">
            <v>1278.54914527714</v>
          </cell>
          <cell r="CC129">
            <v>1342.4766025409972</v>
          </cell>
          <cell r="CD129">
            <v>1409.600432668047</v>
          </cell>
          <cell r="CE129">
            <v>1480.0804543014494</v>
          </cell>
          <cell r="CF129">
            <v>1554.084477016522</v>
          </cell>
          <cell r="CG129">
            <v>1631.7887008673481</v>
          </cell>
          <cell r="CH129">
            <v>1631.7887008673481</v>
          </cell>
          <cell r="CI129">
            <v>1631.7887008673481</v>
          </cell>
          <cell r="CJ129">
            <v>489.5366102602045</v>
          </cell>
        </row>
        <row r="130">
          <cell r="A130" t="str">
            <v xml:space="preserve">           growth </v>
          </cell>
          <cell r="BI130">
            <v>0.3833333333333333</v>
          </cell>
          <cell r="BJ130">
            <v>0.38650306748466257</v>
          </cell>
          <cell r="BK130">
            <v>0.44444444444444442</v>
          </cell>
          <cell r="BL130">
            <v>0.40347071583514094</v>
          </cell>
          <cell r="BM130">
            <v>0.41353383458646609</v>
          </cell>
          <cell r="BN130">
            <v>0.36601307189542487</v>
          </cell>
          <cell r="BO130">
            <v>0.38811188811188813</v>
          </cell>
          <cell r="BP130">
            <v>0.22891566265060237</v>
          </cell>
          <cell r="BQ130">
            <v>0.32964601769911495</v>
          </cell>
          <cell r="BR130">
            <v>0.21538461538461529</v>
          </cell>
          <cell r="BS130">
            <v>0.295208655332303</v>
          </cell>
          <cell r="BT130">
            <v>0.26370675494653173</v>
          </cell>
          <cell r="BU130">
            <v>0.18860848325611013</v>
          </cell>
          <cell r="BV130">
            <v>0.22417139277197751</v>
          </cell>
          <cell r="BW130">
            <v>0.25928419665415658</v>
          </cell>
          <cell r="BX130">
            <v>0.2360898819432995</v>
          </cell>
          <cell r="BY130">
            <v>0.14696845916803003</v>
          </cell>
          <cell r="BZ130">
            <v>0.21088489722046089</v>
          </cell>
          <cell r="CA130">
            <v>0.19999999999999996</v>
          </cell>
          <cell r="CB130">
            <v>5.0000000000000044E-2</v>
          </cell>
          <cell r="CC130">
            <v>5.0000000000000044E-2</v>
          </cell>
          <cell r="CD130">
            <v>5.0000000000000044E-2</v>
          </cell>
          <cell r="CE130">
            <v>5.0000000000000044E-2</v>
          </cell>
          <cell r="CF130">
            <v>5.0000000000000044E-2</v>
          </cell>
          <cell r="CG130">
            <v>5.0000000000000044E-2</v>
          </cell>
          <cell r="CH130">
            <v>0</v>
          </cell>
          <cell r="CI130">
            <v>0</v>
          </cell>
          <cell r="CJ130">
            <v>-0.7</v>
          </cell>
        </row>
        <row r="131">
          <cell r="A131" t="str">
            <v xml:space="preserve">   CER growth </v>
          </cell>
          <cell r="BB131">
            <v>0.55000000000000004</v>
          </cell>
          <cell r="BC131">
            <v>0.66</v>
          </cell>
          <cell r="BD131">
            <v>0.67</v>
          </cell>
          <cell r="BE131">
            <v>0.66</v>
          </cell>
          <cell r="BF131">
            <v>0.44</v>
          </cell>
          <cell r="BG131">
            <v>0.46</v>
          </cell>
          <cell r="BH131">
            <v>0.45</v>
          </cell>
          <cell r="BI131">
            <v>0.51</v>
          </cell>
          <cell r="BK131">
            <v>0.48</v>
          </cell>
          <cell r="BL131">
            <v>0.47</v>
          </cell>
          <cell r="BM131">
            <v>0.46</v>
          </cell>
          <cell r="BN131">
            <v>0.45</v>
          </cell>
          <cell r="BO131">
            <v>0.45</v>
          </cell>
          <cell r="BP131">
            <v>0.28000000000000003</v>
          </cell>
          <cell r="BQ131">
            <v>0.39</v>
          </cell>
          <cell r="BR131">
            <v>0.28000000000000003</v>
          </cell>
          <cell r="BS131">
            <v>0.36</v>
          </cell>
          <cell r="BT131">
            <v>0.28000000000000003</v>
          </cell>
          <cell r="BU131">
            <v>0.17</v>
          </cell>
          <cell r="BW131">
            <v>0.25</v>
          </cell>
          <cell r="BY131">
            <v>0.14016019221184339</v>
          </cell>
          <cell r="BZ131">
            <v>0.21</v>
          </cell>
          <cell r="CA131">
            <v>0.2</v>
          </cell>
          <cell r="CB131">
            <v>0.05</v>
          </cell>
          <cell r="CC131">
            <v>0.05</v>
          </cell>
          <cell r="CD131">
            <v>0.05</v>
          </cell>
          <cell r="CE131">
            <v>0.05</v>
          </cell>
          <cell r="CF131">
            <v>0.05</v>
          </cell>
          <cell r="CG131">
            <v>0.05</v>
          </cell>
          <cell r="CH131">
            <v>0</v>
          </cell>
          <cell r="CI131">
            <v>0</v>
          </cell>
          <cell r="CJ131">
            <v>-0.7</v>
          </cell>
        </row>
        <row r="133">
          <cell r="A133" t="str">
            <v>Gleevec/ Tasigna Franchise</v>
          </cell>
          <cell r="O133">
            <v>2170</v>
          </cell>
          <cell r="V133">
            <v>2554</v>
          </cell>
          <cell r="AC133">
            <v>3050</v>
          </cell>
          <cell r="AD133">
            <v>898</v>
          </cell>
          <cell r="AE133">
            <v>961</v>
          </cell>
          <cell r="AF133">
            <v>1859</v>
          </cell>
          <cell r="AG133">
            <v>978</v>
          </cell>
          <cell r="AH133">
            <v>2837</v>
          </cell>
          <cell r="AI133">
            <v>922</v>
          </cell>
          <cell r="AJ133">
            <v>3759</v>
          </cell>
          <cell r="AK133">
            <v>929</v>
          </cell>
          <cell r="AL133">
            <v>1043</v>
          </cell>
          <cell r="AM133">
            <v>1972</v>
          </cell>
          <cell r="AN133">
            <v>1030</v>
          </cell>
          <cell r="AO133">
            <v>3002</v>
          </cell>
          <cell r="AP133">
            <v>1154</v>
          </cell>
          <cell r="AQ133">
            <v>4156</v>
          </cell>
          <cell r="AR133">
            <v>1107</v>
          </cell>
          <cell r="AS133">
            <v>1164</v>
          </cell>
          <cell r="AT133">
            <v>2271</v>
          </cell>
          <cell r="AU133">
            <v>1124</v>
          </cell>
          <cell r="AV133">
            <v>3395</v>
          </cell>
          <cell r="AW133">
            <v>1269</v>
          </cell>
          <cell r="AX133">
            <v>4664</v>
          </cell>
          <cell r="AY133">
            <v>1229</v>
          </cell>
          <cell r="AZ133">
            <v>1373</v>
          </cell>
          <cell r="BA133">
            <v>2602</v>
          </cell>
          <cell r="BB133">
            <v>1328</v>
          </cell>
          <cell r="BC133">
            <v>3930</v>
          </cell>
          <cell r="BD133">
            <v>1445</v>
          </cell>
          <cell r="BE133">
            <v>5375</v>
          </cell>
          <cell r="BF133">
            <v>1339</v>
          </cell>
          <cell r="BG133">
            <v>1431</v>
          </cell>
          <cell r="BH133">
            <v>2770</v>
          </cell>
          <cell r="BI133">
            <v>1433</v>
          </cell>
          <cell r="BJ133">
            <v>4203</v>
          </cell>
          <cell r="BK133">
            <v>1470</v>
          </cell>
          <cell r="BL133">
            <v>5673</v>
          </cell>
          <cell r="BM133">
            <v>1427</v>
          </cell>
          <cell r="BN133">
            <v>1505</v>
          </cell>
          <cell r="BO133">
            <v>2932</v>
          </cell>
          <cell r="BP133">
            <v>1448</v>
          </cell>
          <cell r="BQ133">
            <v>4380</v>
          </cell>
          <cell r="BR133">
            <v>1579</v>
          </cell>
          <cell r="BS133">
            <v>5959</v>
          </cell>
          <cell r="BT133">
            <v>1466.0504068910516</v>
          </cell>
          <cell r="BU133">
            <v>1556.7689288643965</v>
          </cell>
          <cell r="BV133">
            <v>3022.8193357554483</v>
          </cell>
          <cell r="BW133">
            <v>1511.3679851486299</v>
          </cell>
          <cell r="BX133">
            <v>4534.1873209040787</v>
          </cell>
          <cell r="BY133">
            <v>1620.3475755269083</v>
          </cell>
          <cell r="BZ133">
            <v>6154.5348964309869</v>
          </cell>
          <cell r="CA133">
            <v>5212.4520040515217</v>
          </cell>
          <cell r="CB133">
            <v>3592.8143495226518</v>
          </cell>
          <cell r="CC133">
            <v>2946.6775577086637</v>
          </cell>
          <cell r="CD133">
            <v>2857.97853622812</v>
          </cell>
          <cell r="CE133">
            <v>2776.4582509768575</v>
          </cell>
          <cell r="CF133">
            <v>2730.0064071448087</v>
          </cell>
          <cell r="CG133">
            <v>2713.7097913471716</v>
          </cell>
          <cell r="CH133">
            <v>2702.7851561543494</v>
          </cell>
          <cell r="CI133">
            <v>2736.1272461291255</v>
          </cell>
          <cell r="CJ133">
            <v>853.17054630205655</v>
          </cell>
          <cell r="CK133">
            <v>0</v>
          </cell>
          <cell r="DC133" t="e">
            <v>#DIV/0!</v>
          </cell>
        </row>
        <row r="134">
          <cell r="A134" t="str">
            <v xml:space="preserve">   growth %</v>
          </cell>
          <cell r="AX134">
            <v>0.10962319547874033</v>
          </cell>
          <cell r="AY134">
            <v>4.0207768744354055E-2</v>
          </cell>
          <cell r="AZ134">
            <v>4.3858334690365597E-2</v>
          </cell>
          <cell r="BA134">
            <v>4.2903305628422483E-2</v>
          </cell>
          <cell r="BB134">
            <v>7.1857730485710425E-2</v>
          </cell>
          <cell r="BC134">
            <v>5.1342485161269158E-2</v>
          </cell>
          <cell r="BD134">
            <v>0.10208448724334418</v>
          </cell>
          <cell r="BE134">
            <v>7.0845185589643922E-2</v>
          </cell>
          <cell r="BF134">
            <v>7.9201223233066553E-2</v>
          </cell>
          <cell r="BG134">
            <v>8.6151669367374395E-2</v>
          </cell>
          <cell r="BH134">
            <v>6.4565718677940032E-2</v>
          </cell>
          <cell r="BI134">
            <v>7.9066265060240948E-2</v>
          </cell>
          <cell r="BJ134">
            <v>6.946564885496187E-2</v>
          </cell>
          <cell r="BK134">
            <v>1.730103806228378E-2</v>
          </cell>
          <cell r="BL134">
            <v>5.5441860465116344E-2</v>
          </cell>
          <cell r="BM134">
            <v>6.57206870799103E-2</v>
          </cell>
          <cell r="BN134">
            <v>5.1712089447938592E-2</v>
          </cell>
          <cell r="BO134">
            <v>5.8483754512635322E-2</v>
          </cell>
          <cell r="BP134">
            <v>1.046755059316129E-2</v>
          </cell>
          <cell r="BQ134">
            <v>4.2112776588151268E-2</v>
          </cell>
          <cell r="BR134">
            <v>7.4149659863945505E-2</v>
          </cell>
          <cell r="BS134">
            <v>5.0414242904988527E-2</v>
          </cell>
          <cell r="BT134">
            <v>2.7365386749160114E-2</v>
          </cell>
          <cell r="BU134">
            <v>3.4397959378336562E-2</v>
          </cell>
          <cell r="BV134">
            <v>3.0975216833372565E-2</v>
          </cell>
          <cell r="BW134">
            <v>4.3762420682755376E-2</v>
          </cell>
          <cell r="BX134">
            <v>3.5202584681296445E-2</v>
          </cell>
          <cell r="BY134">
            <v>2.6185924969542862E-2</v>
          </cell>
          <cell r="BZ134">
            <v>3.281337412837515E-2</v>
          </cell>
          <cell r="CA134">
            <v>-0.15307133816493246</v>
          </cell>
          <cell r="CB134">
            <v>-0.31072471329615348</v>
          </cell>
          <cell r="CC134">
            <v>-0.1798414081428491</v>
          </cell>
          <cell r="CD134">
            <v>-3.0101366621706704E-2</v>
          </cell>
          <cell r="CE134">
            <v>-2.8523756990439408E-2</v>
          </cell>
          <cell r="CF134">
            <v>-1.673061131594733E-2</v>
          </cell>
          <cell r="CG134">
            <v>-5.9694423262108831E-3</v>
          </cell>
          <cell r="CH134">
            <v>-4.025719783175119E-3</v>
          </cell>
          <cell r="CI134">
            <v>1.2336196940720523E-2</v>
          </cell>
          <cell r="CJ134">
            <v>-0.68818316198230167</v>
          </cell>
        </row>
        <row r="135">
          <cell r="A135" t="str">
            <v xml:space="preserve">      CER growth</v>
          </cell>
          <cell r="BB135">
            <v>0.12</v>
          </cell>
          <cell r="BC135">
            <v>0.1</v>
          </cell>
          <cell r="BD135">
            <v>0.14000000000000001</v>
          </cell>
          <cell r="BE135">
            <v>0.11</v>
          </cell>
          <cell r="BF135">
            <v>0.1</v>
          </cell>
          <cell r="BG135">
            <v>0.09</v>
          </cell>
          <cell r="BH135">
            <v>0.1</v>
          </cell>
          <cell r="BI135">
            <v>0.14000000000000001</v>
          </cell>
          <cell r="BJ135">
            <v>0.11</v>
          </cell>
          <cell r="BK135">
            <v>0.03</v>
          </cell>
          <cell r="BL135">
            <v>0.09</v>
          </cell>
          <cell r="BM135">
            <v>0.08</v>
          </cell>
          <cell r="BN135">
            <v>7.0000000000000007E-2</v>
          </cell>
          <cell r="BP135">
            <v>0.03</v>
          </cell>
          <cell r="BQ135">
            <v>0.06</v>
          </cell>
          <cell r="BR135">
            <v>0.09</v>
          </cell>
          <cell r="BS135">
            <v>7.0000000000000007E-2</v>
          </cell>
        </row>
        <row r="137">
          <cell r="A137" t="str">
            <v>Sandostatin</v>
          </cell>
          <cell r="B137">
            <v>200</v>
          </cell>
          <cell r="C137">
            <v>195</v>
          </cell>
          <cell r="D137">
            <v>395</v>
          </cell>
          <cell r="E137">
            <v>207</v>
          </cell>
          <cell r="F137">
            <v>602</v>
          </cell>
          <cell r="G137">
            <v>225</v>
          </cell>
          <cell r="H137">
            <v>827</v>
          </cell>
          <cell r="I137">
            <v>221</v>
          </cell>
          <cell r="J137">
            <v>232</v>
          </cell>
          <cell r="K137">
            <v>453</v>
          </cell>
          <cell r="L137">
            <v>219</v>
          </cell>
          <cell r="M137">
            <v>672</v>
          </cell>
          <cell r="N137">
            <v>224</v>
          </cell>
          <cell r="O137">
            <v>896</v>
          </cell>
          <cell r="P137">
            <v>216</v>
          </cell>
          <cell r="Q137">
            <v>223</v>
          </cell>
          <cell r="R137">
            <v>439</v>
          </cell>
          <cell r="S137">
            <v>231</v>
          </cell>
          <cell r="T137">
            <v>670</v>
          </cell>
          <cell r="U137">
            <v>245</v>
          </cell>
          <cell r="V137">
            <v>915</v>
          </cell>
          <cell r="W137">
            <v>238</v>
          </cell>
          <cell r="X137">
            <v>253</v>
          </cell>
          <cell r="Y137">
            <v>491</v>
          </cell>
          <cell r="Z137">
            <v>258</v>
          </cell>
          <cell r="AA137">
            <v>749</v>
          </cell>
          <cell r="AB137">
            <v>278</v>
          </cell>
          <cell r="AC137">
            <v>1027</v>
          </cell>
          <cell r="AD137">
            <v>269</v>
          </cell>
          <cell r="AE137">
            <v>289</v>
          </cell>
          <cell r="AF137">
            <v>558</v>
          </cell>
          <cell r="AG137">
            <v>294</v>
          </cell>
          <cell r="AH137">
            <v>852</v>
          </cell>
          <cell r="AI137">
            <v>271</v>
          </cell>
          <cell r="AJ137">
            <v>1123</v>
          </cell>
          <cell r="AK137">
            <v>258</v>
          </cell>
          <cell r="AL137">
            <v>281</v>
          </cell>
          <cell r="AM137">
            <v>539</v>
          </cell>
          <cell r="AN137">
            <v>300</v>
          </cell>
          <cell r="AO137">
            <v>839</v>
          </cell>
          <cell r="AP137">
            <v>316</v>
          </cell>
          <cell r="AQ137">
            <v>1155</v>
          </cell>
          <cell r="AR137">
            <v>310</v>
          </cell>
          <cell r="AS137">
            <v>312</v>
          </cell>
          <cell r="AT137">
            <v>622</v>
          </cell>
          <cell r="AU137">
            <v>318</v>
          </cell>
          <cell r="AV137">
            <v>940</v>
          </cell>
          <cell r="AW137">
            <v>351</v>
          </cell>
          <cell r="AX137">
            <v>1291</v>
          </cell>
          <cell r="AY137">
            <v>337</v>
          </cell>
          <cell r="AZ137">
            <v>365</v>
          </cell>
          <cell r="BA137">
            <v>702</v>
          </cell>
          <cell r="BB137">
            <v>367</v>
          </cell>
          <cell r="BC137">
            <v>1069</v>
          </cell>
          <cell r="BD137">
            <v>374</v>
          </cell>
          <cell r="BE137">
            <v>1443</v>
          </cell>
          <cell r="BF137">
            <v>370</v>
          </cell>
          <cell r="BG137">
            <v>370</v>
          </cell>
          <cell r="BH137">
            <v>740</v>
          </cell>
          <cell r="BI137">
            <v>383</v>
          </cell>
          <cell r="BJ137">
            <v>1123</v>
          </cell>
          <cell r="BK137">
            <v>389</v>
          </cell>
          <cell r="BL137">
            <v>1512</v>
          </cell>
          <cell r="BM137">
            <v>368</v>
          </cell>
          <cell r="BN137">
            <v>404</v>
          </cell>
          <cell r="BO137">
            <v>772</v>
          </cell>
          <cell r="BP137">
            <v>401</v>
          </cell>
          <cell r="BQ137">
            <v>1173</v>
          </cell>
          <cell r="BR137">
            <v>416</v>
          </cell>
          <cell r="BS137">
            <v>1589</v>
          </cell>
          <cell r="BT137">
            <v>397.91552519517177</v>
          </cell>
          <cell r="BU137">
            <v>402.99374316132077</v>
          </cell>
          <cell r="BV137">
            <v>800.90926835649248</v>
          </cell>
          <cell r="BW137">
            <v>408.58661082456695</v>
          </cell>
          <cell r="BX137">
            <v>1209.4958791810595</v>
          </cell>
          <cell r="BY137">
            <v>415.33266432559878</v>
          </cell>
          <cell r="BZ137">
            <v>1624.8285435066582</v>
          </cell>
          <cell r="CA137">
            <v>1680.673399811858</v>
          </cell>
          <cell r="CB137">
            <v>1643.7533998118579</v>
          </cell>
          <cell r="CC137">
            <v>1479.3780598306721</v>
          </cell>
          <cell r="CD137">
            <v>1257.4713508560712</v>
          </cell>
          <cell r="CE137">
            <v>1068.8506482276607</v>
          </cell>
          <cell r="CF137">
            <v>877.8873870821285</v>
          </cell>
          <cell r="CG137">
            <v>672.67868563248976</v>
          </cell>
          <cell r="CH137">
            <v>520.30896741649281</v>
          </cell>
          <cell r="CI137">
            <v>406.23508154423246</v>
          </cell>
          <cell r="CJ137">
            <v>284.3645570809627</v>
          </cell>
          <cell r="CM137">
            <v>2.8309337221310977E-2</v>
          </cell>
          <cell r="CP137" t="str">
            <v>2013 LAR version / 2010 (EU)</v>
          </cell>
          <cell r="CQ137">
            <v>0.10499999999999998</v>
          </cell>
          <cell r="CR137">
            <v>0.18974358974358974</v>
          </cell>
          <cell r="CS137">
            <v>5.7971014492753659E-2</v>
          </cell>
          <cell r="CT137">
            <v>-4.4444444444444731E-3</v>
          </cell>
          <cell r="CU137">
            <v>8.3434099153567143E-2</v>
          </cell>
          <cell r="CV137">
            <v>-2.2624434389140302E-2</v>
          </cell>
          <cell r="CW137">
            <v>-3.8793103448275912E-2</v>
          </cell>
          <cell r="CX137">
            <v>5.4794520547945202E-2</v>
          </cell>
          <cell r="CY137">
            <v>9.375E-2</v>
          </cell>
          <cell r="CZ137">
            <v>2.1205357142857206E-2</v>
          </cell>
          <cell r="DA137">
            <v>0.10185185185185186</v>
          </cell>
          <cell r="DB137">
            <v>0.13452914798206272</v>
          </cell>
          <cell r="DC137">
            <v>0.11688311688311681</v>
          </cell>
          <cell r="DD137">
            <v>0</v>
          </cell>
          <cell r="DE137">
            <v>0.12240437158469941</v>
          </cell>
          <cell r="DF137">
            <v>-0.1</v>
          </cell>
          <cell r="DG137">
            <v>0.02</v>
          </cell>
          <cell r="DH137">
            <v>-0.25</v>
          </cell>
          <cell r="DI137">
            <v>0.02</v>
          </cell>
          <cell r="DJ137">
            <v>0.02</v>
          </cell>
          <cell r="DK137">
            <v>0.02</v>
          </cell>
        </row>
        <row r="138">
          <cell r="A138" t="str">
            <v xml:space="preserve">   growth %</v>
          </cell>
          <cell r="O138">
            <v>8.3434099153567143E-2</v>
          </cell>
          <cell r="P138">
            <v>-2.2624434389140302E-2</v>
          </cell>
          <cell r="Q138">
            <v>-3.8793103448275912E-2</v>
          </cell>
          <cell r="R138">
            <v>-3.0905077262693204E-2</v>
          </cell>
          <cell r="S138">
            <v>5.4794520547945202E-2</v>
          </cell>
          <cell r="T138">
            <v>-2.9761904761904656E-3</v>
          </cell>
          <cell r="U138">
            <v>9.375E-2</v>
          </cell>
          <cell r="V138">
            <v>2.1205357142857206E-2</v>
          </cell>
          <cell r="W138">
            <v>0.10185185185185186</v>
          </cell>
          <cell r="X138">
            <v>0.13452914798206272</v>
          </cell>
          <cell r="Y138">
            <v>0.11845102505694771</v>
          </cell>
          <cell r="Z138">
            <v>0.11688311688311681</v>
          </cell>
          <cell r="AA138">
            <v>0.11791044776119408</v>
          </cell>
          <cell r="AB138">
            <v>0.13469387755102047</v>
          </cell>
          <cell r="AC138">
            <v>0.12240437158469941</v>
          </cell>
          <cell r="AD138">
            <v>0.13025210084033612</v>
          </cell>
          <cell r="AE138">
            <v>0.14229249011857714</v>
          </cell>
          <cell r="AF138">
            <v>0.13645621181262735</v>
          </cell>
          <cell r="AG138">
            <v>0.13953488372093026</v>
          </cell>
          <cell r="AH138">
            <v>0.13751668891855817</v>
          </cell>
          <cell r="AI138">
            <v>-2.5179856115107868E-2</v>
          </cell>
          <cell r="AJ138">
            <v>9.347614410905547E-2</v>
          </cell>
          <cell r="AK138">
            <v>-4.0892193308550207E-2</v>
          </cell>
          <cell r="AL138">
            <v>-2.7681660899653959E-2</v>
          </cell>
          <cell r="AM138">
            <v>-3.4050179211469578E-2</v>
          </cell>
          <cell r="AN138">
            <v>2.0408163265306145E-2</v>
          </cell>
          <cell r="AO138">
            <v>-1.5258215962441368E-2</v>
          </cell>
          <cell r="AP138">
            <v>0.16605166051660514</v>
          </cell>
          <cell r="AQ138">
            <v>2.8495102404274331E-2</v>
          </cell>
          <cell r="AR138">
            <v>0.20155038759689914</v>
          </cell>
          <cell r="AS138">
            <v>0.11032028469750887</v>
          </cell>
          <cell r="AT138">
            <v>0.15398886827458247</v>
          </cell>
          <cell r="AU138">
            <v>6.0000000000000053E-2</v>
          </cell>
          <cell r="AV138">
            <v>0.12038140643623363</v>
          </cell>
          <cell r="AW138">
            <v>0.110759493670886</v>
          </cell>
          <cell r="AX138">
            <v>0.1051391969620179</v>
          </cell>
          <cell r="AY138">
            <v>1.7096774193548381E-2</v>
          </cell>
          <cell r="AZ138">
            <v>3.4176864957349506E-2</v>
          </cell>
          <cell r="BA138">
            <v>2.576989838682886E-2</v>
          </cell>
          <cell r="BB138">
            <v>4.4451118878467755E-2</v>
          </cell>
          <cell r="BC138">
            <v>3.0991844356581311E-2</v>
          </cell>
          <cell r="BD138">
            <v>2.8919669397675207E-2</v>
          </cell>
          <cell r="BE138">
            <v>3.6139119181883617E-2</v>
          </cell>
          <cell r="BF138">
            <v>8.7620410384329439E-2</v>
          </cell>
          <cell r="BG138">
            <v>5.7607036576465709E-2</v>
          </cell>
          <cell r="BH138">
            <v>5.4131054131054235E-2</v>
          </cell>
          <cell r="BI138">
            <v>4.3596730245231585E-2</v>
          </cell>
          <cell r="BJ138">
            <v>5.0514499532273049E-2</v>
          </cell>
          <cell r="BK138">
            <v>4.0106951871657692E-2</v>
          </cell>
          <cell r="BL138">
            <v>4.7817047817047875E-2</v>
          </cell>
          <cell r="BM138">
            <v>-5.4054054054053502E-3</v>
          </cell>
          <cell r="BN138">
            <v>9.1891891891891841E-2</v>
          </cell>
          <cell r="BO138">
            <v>4.3243243243243246E-2</v>
          </cell>
          <cell r="BP138">
            <v>4.6997389033942572E-2</v>
          </cell>
          <cell r="BQ138">
            <v>4.4523597506678447E-2</v>
          </cell>
          <cell r="BR138">
            <v>6.9408740359897081E-2</v>
          </cell>
          <cell r="BS138">
            <v>5.0925925925925819E-2</v>
          </cell>
          <cell r="BT138">
            <v>8.1292188030358092E-2</v>
          </cell>
          <cell r="BU138">
            <v>-2.490734749206025E-3</v>
          </cell>
          <cell r="BV138">
            <v>3.7447238803746785E-2</v>
          </cell>
          <cell r="BW138">
            <v>1.8919228988945047E-2</v>
          </cell>
          <cell r="BX138">
            <v>3.1113281484279165E-2</v>
          </cell>
          <cell r="BY138">
            <v>-1.6041722942337078E-3</v>
          </cell>
          <cell r="BZ138">
            <v>2.2547856203057437E-2</v>
          </cell>
          <cell r="CA138">
            <v>3.4369691822792037E-2</v>
          </cell>
          <cell r="CB138">
            <v>-2.1967385218408908E-2</v>
          </cell>
          <cell r="CC138">
            <v>-9.9999999999999978E-2</v>
          </cell>
          <cell r="CD138">
            <v>-0.15000000000000002</v>
          </cell>
          <cell r="CE138">
            <v>-0.14999999999999991</v>
          </cell>
          <cell r="CF138">
            <v>-0.17866224945663112</v>
          </cell>
          <cell r="CG138">
            <v>-0.23375287590325178</v>
          </cell>
          <cell r="CH138">
            <v>-0.22651188668588551</v>
          </cell>
          <cell r="CI138">
            <v>-0.21924259049132899</v>
          </cell>
          <cell r="CJ138">
            <v>-0.30000000000000004</v>
          </cell>
        </row>
        <row r="139">
          <cell r="A139" t="str">
            <v xml:space="preserve">      CER growth</v>
          </cell>
          <cell r="BB139">
            <v>0.11</v>
          </cell>
          <cell r="BC139">
            <v>0.09</v>
          </cell>
          <cell r="BD139">
            <v>7.0000000000000007E-2</v>
          </cell>
          <cell r="BE139">
            <v>0.09</v>
          </cell>
          <cell r="BF139">
            <v>0.11</v>
          </cell>
          <cell r="BG139">
            <v>0.06</v>
          </cell>
          <cell r="BH139">
            <v>0.09</v>
          </cell>
          <cell r="BI139">
            <v>0.1</v>
          </cell>
          <cell r="BJ139">
            <v>0.09</v>
          </cell>
          <cell r="BK139">
            <v>0.06</v>
          </cell>
          <cell r="BL139">
            <v>0.08</v>
          </cell>
          <cell r="BM139">
            <v>0.01</v>
          </cell>
          <cell r="BN139">
            <v>0.12</v>
          </cell>
          <cell r="BO139">
            <v>0.06</v>
          </cell>
          <cell r="BP139">
            <v>7.0000000000000007E-2</v>
          </cell>
          <cell r="BQ139">
            <v>7.0000000000000007E-2</v>
          </cell>
          <cell r="BR139">
            <v>0.1</v>
          </cell>
          <cell r="BS139">
            <v>0.08</v>
          </cell>
        </row>
        <row r="140">
          <cell r="A140" t="str">
            <v xml:space="preserve">       Sandostatin US</v>
          </cell>
          <cell r="O140">
            <v>376</v>
          </cell>
          <cell r="P140">
            <v>88</v>
          </cell>
          <cell r="Q140">
            <v>85</v>
          </cell>
          <cell r="R140">
            <v>173</v>
          </cell>
          <cell r="S140">
            <v>95</v>
          </cell>
          <cell r="T140">
            <v>268</v>
          </cell>
          <cell r="U140">
            <v>99</v>
          </cell>
          <cell r="V140">
            <v>367</v>
          </cell>
          <cell r="W140">
            <v>95</v>
          </cell>
          <cell r="X140">
            <v>103</v>
          </cell>
          <cell r="Y140">
            <v>198</v>
          </cell>
          <cell r="Z140">
            <v>102</v>
          </cell>
          <cell r="AA140">
            <v>300</v>
          </cell>
          <cell r="AB140">
            <v>109</v>
          </cell>
          <cell r="AC140">
            <v>409</v>
          </cell>
          <cell r="AD140">
            <v>100</v>
          </cell>
          <cell r="AE140">
            <v>105</v>
          </cell>
          <cell r="AF140">
            <v>205</v>
          </cell>
          <cell r="AG140">
            <v>113</v>
          </cell>
          <cell r="AH140">
            <v>318</v>
          </cell>
          <cell r="AI140">
            <v>113</v>
          </cell>
          <cell r="AJ140">
            <v>431</v>
          </cell>
          <cell r="AK140">
            <v>106</v>
          </cell>
          <cell r="AL140">
            <v>112</v>
          </cell>
          <cell r="AM140">
            <v>218</v>
          </cell>
          <cell r="AN140">
            <v>117</v>
          </cell>
          <cell r="AO140">
            <v>335</v>
          </cell>
          <cell r="AP140">
            <v>123</v>
          </cell>
          <cell r="AQ140">
            <v>458</v>
          </cell>
          <cell r="AR140">
            <v>122</v>
          </cell>
          <cell r="AS140">
            <v>125</v>
          </cell>
          <cell r="AT140">
            <v>247</v>
          </cell>
          <cell r="AU140">
            <v>124</v>
          </cell>
          <cell r="AV140">
            <v>371</v>
          </cell>
          <cell r="AW140">
            <v>140</v>
          </cell>
          <cell r="AX140">
            <v>511</v>
          </cell>
          <cell r="AY140">
            <v>130</v>
          </cell>
          <cell r="AZ140">
            <v>145</v>
          </cell>
          <cell r="BA140">
            <v>275</v>
          </cell>
          <cell r="BB140">
            <v>145</v>
          </cell>
          <cell r="BC140">
            <v>420</v>
          </cell>
          <cell r="BD140">
            <v>154</v>
          </cell>
          <cell r="BE140">
            <v>574</v>
          </cell>
          <cell r="BF140">
            <v>164</v>
          </cell>
          <cell r="BG140">
            <v>154</v>
          </cell>
          <cell r="BH140">
            <v>318</v>
          </cell>
          <cell r="BI140">
            <v>169</v>
          </cell>
          <cell r="BJ140">
            <v>487</v>
          </cell>
          <cell r="BK140">
            <v>162</v>
          </cell>
          <cell r="BL140">
            <v>649</v>
          </cell>
          <cell r="BM140">
            <v>164</v>
          </cell>
          <cell r="BN140">
            <v>176</v>
          </cell>
          <cell r="BO140">
            <v>340</v>
          </cell>
          <cell r="BP140">
            <v>185</v>
          </cell>
          <cell r="BQ140">
            <v>525</v>
          </cell>
          <cell r="BR140">
            <v>185</v>
          </cell>
          <cell r="BS140">
            <v>710</v>
          </cell>
          <cell r="BT140">
            <v>180.4</v>
          </cell>
          <cell r="BU140">
            <v>176</v>
          </cell>
          <cell r="BV140">
            <v>356.4</v>
          </cell>
          <cell r="BW140">
            <v>175.75</v>
          </cell>
          <cell r="BX140">
            <v>532.15</v>
          </cell>
          <cell r="BY140">
            <v>177.85000000000002</v>
          </cell>
          <cell r="BZ140">
            <v>710</v>
          </cell>
          <cell r="CA140">
            <v>738.4</v>
          </cell>
          <cell r="CB140">
            <v>701.4799999999999</v>
          </cell>
          <cell r="CC140">
            <v>631.33199999999988</v>
          </cell>
          <cell r="CD140">
            <v>536.6321999999999</v>
          </cell>
          <cell r="CE140">
            <v>456.13736999999992</v>
          </cell>
          <cell r="CF140">
            <v>387.7167644999999</v>
          </cell>
          <cell r="CG140">
            <v>329.55924982499988</v>
          </cell>
          <cell r="CH140">
            <v>280.12536235124992</v>
          </cell>
          <cell r="CI140">
            <v>238.10655799856244</v>
          </cell>
          <cell r="CJ140">
            <v>166.67459059899369</v>
          </cell>
          <cell r="CO140">
            <v>0.2</v>
          </cell>
          <cell r="CP140" t="str">
            <v>LAR (2014-17)</v>
          </cell>
          <cell r="DM140" t="str">
            <v>mstag:sandostatinUS</v>
          </cell>
          <cell r="DN140">
            <v>6</v>
          </cell>
          <cell r="DO140" t="str">
            <v>ISO4217:USD</v>
          </cell>
          <cell r="DP140" t="b">
            <v>0</v>
          </cell>
        </row>
        <row r="141">
          <cell r="A141" t="str">
            <v xml:space="preserve">           growth </v>
          </cell>
          <cell r="V141">
            <v>-2.393617021276595E-2</v>
          </cell>
          <cell r="W141">
            <v>7.9545454545454586E-2</v>
          </cell>
          <cell r="X141">
            <v>0.21176470588235285</v>
          </cell>
          <cell r="Y141">
            <v>0.1445086705202312</v>
          </cell>
          <cell r="Z141">
            <v>7.3684210526315796E-2</v>
          </cell>
          <cell r="AA141">
            <v>0.11940298507462677</v>
          </cell>
          <cell r="AB141">
            <v>0.10101010101010099</v>
          </cell>
          <cell r="AC141">
            <v>0.11444141689373288</v>
          </cell>
          <cell r="AD141">
            <v>5.2631578947368363E-2</v>
          </cell>
          <cell r="AE141">
            <v>1.9417475728155331E-2</v>
          </cell>
          <cell r="AF141">
            <v>3.5353535353535248E-2</v>
          </cell>
          <cell r="AG141">
            <v>1.0427826793363515E-2</v>
          </cell>
          <cell r="AH141">
            <v>6.0000000000000053E-2</v>
          </cell>
          <cell r="AI141">
            <v>3.669724770642202E-2</v>
          </cell>
          <cell r="AJ141">
            <v>5.3789731051344658E-2</v>
          </cell>
          <cell r="AK141">
            <v>6.0000000000000053E-2</v>
          </cell>
          <cell r="AL141">
            <v>6.6666666666666652E-2</v>
          </cell>
          <cell r="AN141">
            <v>3.539823008849563E-2</v>
          </cell>
          <cell r="AP141">
            <v>8.8495575221238854E-2</v>
          </cell>
          <cell r="AQ141">
            <v>6.2645011600928058E-2</v>
          </cell>
          <cell r="AR141">
            <v>0.15094339622641506</v>
          </cell>
          <cell r="AS141">
            <v>0.1160714285714286</v>
          </cell>
          <cell r="AT141">
            <v>0.1330275229357798</v>
          </cell>
          <cell r="AU141">
            <v>5.9829059829059839E-2</v>
          </cell>
          <cell r="AV141">
            <v>0.10746268656716418</v>
          </cell>
          <cell r="AW141">
            <v>0.13821138211382111</v>
          </cell>
          <cell r="AX141">
            <v>0.11572052401746724</v>
          </cell>
          <cell r="AY141">
            <v>6.5573770491803351E-2</v>
          </cell>
          <cell r="AZ141">
            <v>0.15999999999999992</v>
          </cell>
          <cell r="BA141">
            <v>0.11336032388663964</v>
          </cell>
          <cell r="BB141">
            <v>0.16935483870967749</v>
          </cell>
          <cell r="BC141">
            <v>0.13207547169811318</v>
          </cell>
          <cell r="BD141">
            <v>0.10000000000000009</v>
          </cell>
          <cell r="BE141">
            <v>0.12328767123287676</v>
          </cell>
          <cell r="BF141">
            <v>0.2615384615384615</v>
          </cell>
          <cell r="BG141">
            <v>6.2068965517241281E-2</v>
          </cell>
          <cell r="BH141">
            <v>0.15636363636363626</v>
          </cell>
          <cell r="BI141">
            <v>0.16551724137931045</v>
          </cell>
          <cell r="BJ141">
            <v>0.15952380952380962</v>
          </cell>
          <cell r="BK141">
            <v>5.1948051948051965E-2</v>
          </cell>
          <cell r="BL141">
            <v>0.13066202090592327</v>
          </cell>
          <cell r="BM141">
            <v>0</v>
          </cell>
          <cell r="BN141">
            <v>0.14285714285714279</v>
          </cell>
          <cell r="BO141">
            <v>6.9182389937106903E-2</v>
          </cell>
          <cell r="BP141">
            <v>9.4674556213017791E-2</v>
          </cell>
          <cell r="BQ141">
            <v>7.8028747433264822E-2</v>
          </cell>
          <cell r="BR141">
            <v>0.14197530864197527</v>
          </cell>
          <cell r="BS141">
            <v>9.3990755007704152E-2</v>
          </cell>
          <cell r="BT141">
            <v>0.1</v>
          </cell>
          <cell r="BU141">
            <v>0</v>
          </cell>
          <cell r="BV141">
            <v>4.8235294117646932E-2</v>
          </cell>
          <cell r="BW141">
            <v>-0.05</v>
          </cell>
          <cell r="BX141">
            <v>1.3619047619047642E-2</v>
          </cell>
          <cell r="BY141">
            <v>-3.8648648648648476E-2</v>
          </cell>
          <cell r="BZ141">
            <v>0</v>
          </cell>
          <cell r="CA141">
            <v>0.04</v>
          </cell>
          <cell r="CB141">
            <v>-0.05</v>
          </cell>
          <cell r="CC141">
            <v>-0.1</v>
          </cell>
          <cell r="CD141">
            <v>-0.15</v>
          </cell>
          <cell r="CE141">
            <v>-0.15</v>
          </cell>
          <cell r="CF141">
            <v>-0.15</v>
          </cell>
          <cell r="CG141">
            <v>-0.15</v>
          </cell>
          <cell r="CH141">
            <v>-0.15</v>
          </cell>
          <cell r="CI141">
            <v>-0.15</v>
          </cell>
          <cell r="CJ141">
            <v>-0.3</v>
          </cell>
        </row>
        <row r="142">
          <cell r="A142" t="str">
            <v xml:space="preserve">       Sandostatin ROW</v>
          </cell>
          <cell r="O142">
            <v>520</v>
          </cell>
          <cell r="P142">
            <v>128</v>
          </cell>
          <cell r="Q142">
            <v>138</v>
          </cell>
          <cell r="R142">
            <v>266</v>
          </cell>
          <cell r="S142">
            <v>136</v>
          </cell>
          <cell r="T142">
            <v>402</v>
          </cell>
          <cell r="U142">
            <v>146</v>
          </cell>
          <cell r="V142">
            <v>548</v>
          </cell>
          <cell r="W142">
            <v>143</v>
          </cell>
          <cell r="X142">
            <v>150</v>
          </cell>
          <cell r="Y142">
            <v>293</v>
          </cell>
          <cell r="Z142">
            <v>156</v>
          </cell>
          <cell r="AA142">
            <v>449</v>
          </cell>
          <cell r="AB142">
            <v>169</v>
          </cell>
          <cell r="AC142">
            <v>618</v>
          </cell>
          <cell r="AD142">
            <v>169</v>
          </cell>
          <cell r="AE142">
            <v>184</v>
          </cell>
          <cell r="AF142">
            <v>353</v>
          </cell>
          <cell r="AG142">
            <v>181</v>
          </cell>
          <cell r="AH142">
            <v>534</v>
          </cell>
          <cell r="AI142">
            <v>158</v>
          </cell>
          <cell r="AJ142">
            <v>692</v>
          </cell>
          <cell r="AK142">
            <v>152</v>
          </cell>
          <cell r="AL142">
            <v>169</v>
          </cell>
          <cell r="AM142">
            <v>321</v>
          </cell>
          <cell r="AN142">
            <v>183</v>
          </cell>
          <cell r="AO142">
            <v>504</v>
          </cell>
          <cell r="AP142">
            <v>193</v>
          </cell>
          <cell r="AQ142">
            <v>697</v>
          </cell>
          <cell r="AR142">
            <v>188</v>
          </cell>
          <cell r="AS142">
            <v>187</v>
          </cell>
          <cell r="AT142">
            <v>375</v>
          </cell>
          <cell r="AU142">
            <v>194</v>
          </cell>
          <cell r="AV142">
            <v>569</v>
          </cell>
          <cell r="AW142">
            <v>211</v>
          </cell>
          <cell r="AX142">
            <v>780</v>
          </cell>
          <cell r="AY142">
            <v>207</v>
          </cell>
          <cell r="AZ142">
            <v>220</v>
          </cell>
          <cell r="BA142">
            <v>427</v>
          </cell>
          <cell r="BB142">
            <v>222</v>
          </cell>
          <cell r="BC142">
            <v>649</v>
          </cell>
          <cell r="BD142">
            <v>220</v>
          </cell>
          <cell r="BE142">
            <v>869</v>
          </cell>
          <cell r="BF142">
            <v>206</v>
          </cell>
          <cell r="BG142">
            <v>216</v>
          </cell>
          <cell r="BH142">
            <v>422</v>
          </cell>
          <cell r="BI142">
            <v>214</v>
          </cell>
          <cell r="BJ142">
            <v>636</v>
          </cell>
          <cell r="BK142">
            <v>227</v>
          </cell>
          <cell r="BL142">
            <v>863</v>
          </cell>
          <cell r="BM142">
            <v>204</v>
          </cell>
          <cell r="BN142">
            <v>228</v>
          </cell>
          <cell r="BO142">
            <v>432</v>
          </cell>
          <cell r="BP142">
            <v>216</v>
          </cell>
          <cell r="BQ142">
            <v>648</v>
          </cell>
          <cell r="BR142">
            <v>231</v>
          </cell>
          <cell r="BS142">
            <v>879</v>
          </cell>
          <cell r="BT142">
            <v>217.51552519517179</v>
          </cell>
          <cell r="BU142">
            <v>226.99374316132077</v>
          </cell>
          <cell r="BV142">
            <v>444.50926835649256</v>
          </cell>
          <cell r="BW142">
            <v>232.83661082456692</v>
          </cell>
          <cell r="BX142">
            <v>677.34587918105944</v>
          </cell>
          <cell r="BY142">
            <v>237.48266432559876</v>
          </cell>
          <cell r="BZ142">
            <v>914.82854350665821</v>
          </cell>
          <cell r="CA142">
            <v>942.27339981185798</v>
          </cell>
          <cell r="CB142">
            <v>942.27339981185798</v>
          </cell>
          <cell r="CC142">
            <v>848.04605983067222</v>
          </cell>
          <cell r="CD142">
            <v>720.83915085607134</v>
          </cell>
          <cell r="CE142">
            <v>612.71327822766068</v>
          </cell>
          <cell r="CF142">
            <v>490.17062258212854</v>
          </cell>
          <cell r="CG142">
            <v>343.11943580748994</v>
          </cell>
          <cell r="CH142">
            <v>240.18360506524294</v>
          </cell>
          <cell r="CI142">
            <v>168.12852354567005</v>
          </cell>
          <cell r="CJ142">
            <v>117.68996648196902</v>
          </cell>
          <cell r="CP142" t="str">
            <v>Expired</v>
          </cell>
          <cell r="DM142" t="str">
            <v>mstag:sandostatinEurope</v>
          </cell>
          <cell r="DN142">
            <v>6</v>
          </cell>
          <cell r="DO142" t="str">
            <v>ISO4217:USD</v>
          </cell>
          <cell r="DP142" t="b">
            <v>0</v>
          </cell>
        </row>
        <row r="143">
          <cell r="A143" t="str">
            <v xml:space="preserve">           growth </v>
          </cell>
          <cell r="AX143">
            <v>0.1190817790530847</v>
          </cell>
          <cell r="AY143">
            <v>0.10106382978723394</v>
          </cell>
          <cell r="AZ143">
            <v>0.17647058823529416</v>
          </cell>
          <cell r="BA143">
            <v>0.13866666666666672</v>
          </cell>
          <cell r="BB143">
            <v>0.14432989690721643</v>
          </cell>
          <cell r="BC143">
            <v>0.14059753954305809</v>
          </cell>
          <cell r="BD143">
            <v>4.2654028436019065E-2</v>
          </cell>
          <cell r="BE143">
            <v>0.11410256410256414</v>
          </cell>
          <cell r="BF143">
            <v>-4.8309178743961567E-3</v>
          </cell>
          <cell r="BG143">
            <v>-1.8181818181818188E-2</v>
          </cell>
          <cell r="BH143">
            <v>-1.1709601873536313E-2</v>
          </cell>
          <cell r="BI143">
            <v>-3.6036036036036001E-2</v>
          </cell>
          <cell r="BJ143">
            <v>-2.003081664098616E-2</v>
          </cell>
          <cell r="BK143">
            <v>3.1818181818181746E-2</v>
          </cell>
          <cell r="BL143">
            <v>-6.9044879171461515E-3</v>
          </cell>
          <cell r="BM143">
            <v>-9.7087378640776656E-3</v>
          </cell>
          <cell r="BN143">
            <v>5.555555555555558E-2</v>
          </cell>
          <cell r="BO143">
            <v>2.3696682464454888E-2</v>
          </cell>
          <cell r="BP143">
            <v>9.3457943925232545E-3</v>
          </cell>
          <cell r="BQ143">
            <v>1.8867924528301883E-2</v>
          </cell>
          <cell r="BR143">
            <v>1.7621145374449254E-2</v>
          </cell>
          <cell r="BS143">
            <v>1.8539976825028948E-2</v>
          </cell>
          <cell r="BT143">
            <v>6.6252574486136195E-2</v>
          </cell>
          <cell r="BU143">
            <v>-4.413407187189633E-3</v>
          </cell>
          <cell r="BV143">
            <v>2.8956639714103227E-2</v>
          </cell>
          <cell r="BW143">
            <v>7.7947272335957996E-2</v>
          </cell>
          <cell r="BX143">
            <v>4.5286850588054595E-2</v>
          </cell>
          <cell r="BY143">
            <v>2.8063481928998879E-2</v>
          </cell>
          <cell r="BZ143">
            <v>4.076057281758616E-2</v>
          </cell>
          <cell r="CA143">
            <v>3.0000000000000027E-2</v>
          </cell>
          <cell r="CB143">
            <v>0</v>
          </cell>
          <cell r="CC143">
            <v>-9.9999999999999978E-2</v>
          </cell>
          <cell r="CD143">
            <v>-0.15000000000000002</v>
          </cell>
          <cell r="CE143">
            <v>-0.14999999999999991</v>
          </cell>
          <cell r="CF143">
            <v>-0.19999999999999996</v>
          </cell>
          <cell r="CG143">
            <v>-0.30000000000000004</v>
          </cell>
          <cell r="CH143">
            <v>-0.30000000000000004</v>
          </cell>
          <cell r="CI143">
            <v>-0.30000000000000004</v>
          </cell>
          <cell r="CJ143">
            <v>-0.30000000000000004</v>
          </cell>
        </row>
        <row r="144">
          <cell r="A144" t="str">
            <v xml:space="preserve">   CER growth </v>
          </cell>
          <cell r="P144" t="e">
            <v>#DIV/0!</v>
          </cell>
          <cell r="Q144" t="e">
            <v>#DIV/0!</v>
          </cell>
          <cell r="R144" t="e">
            <v>#DIV/0!</v>
          </cell>
          <cell r="S144" t="e">
            <v>#DIV/0!</v>
          </cell>
          <cell r="T144" t="e">
            <v>#DIV/0!</v>
          </cell>
          <cell r="U144" t="e">
            <v>#DIV/0!</v>
          </cell>
          <cell r="V144">
            <v>4.8888764006566943E-2</v>
          </cell>
          <cell r="W144">
            <v>4.0598279569529661E-2</v>
          </cell>
          <cell r="X144">
            <v>3.1722706759639729E-2</v>
          </cell>
          <cell r="Y144">
            <v>3.5592241693515714E-2</v>
          </cell>
          <cell r="Z144">
            <v>8.2488532672197357E-2</v>
          </cell>
          <cell r="AA144">
            <v>5.1450980796513779E-2</v>
          </cell>
          <cell r="AB144">
            <v>4.7839678535780861E-2</v>
          </cell>
          <cell r="AC144">
            <v>5.1215252700687941E-2</v>
          </cell>
          <cell r="AD144">
            <v>3.7410559369354557E-2</v>
          </cell>
          <cell r="AE144">
            <v>6.1935071797763586E-2</v>
          </cell>
          <cell r="AF144">
            <v>5.0208548337721925E-2</v>
          </cell>
          <cell r="AG144">
            <v>6.2841099794871846E-2</v>
          </cell>
          <cell r="AH144">
            <v>6.3317117277214674E-2</v>
          </cell>
          <cell r="AI144">
            <v>-5.4023071741070572E-3</v>
          </cell>
          <cell r="AJ144">
            <v>3.4898639565769107E-2</v>
          </cell>
          <cell r="AK144">
            <v>4.1513639902313049E-3</v>
          </cell>
          <cell r="AL144">
            <v>2.6739544422600181E-2</v>
          </cell>
          <cell r="AN144">
            <v>3.7079459250295099E-2</v>
          </cell>
          <cell r="AP144">
            <v>0.10183227653719307</v>
          </cell>
          <cell r="AQ144">
            <v>7.225433526011571E-3</v>
          </cell>
          <cell r="AR144">
            <v>0.23684210526315796</v>
          </cell>
          <cell r="AS144">
            <v>0.10650887573964507</v>
          </cell>
          <cell r="AT144">
            <v>0.16822429906542058</v>
          </cell>
          <cell r="AU144">
            <v>6.0109289617486406E-2</v>
          </cell>
          <cell r="AV144">
            <v>0.12896825396825395</v>
          </cell>
          <cell r="AW144">
            <v>9.3264248704663322E-2</v>
          </cell>
          <cell r="AX144">
            <v>0.1190817790530847</v>
          </cell>
          <cell r="AY144">
            <v>0.10106382978723394</v>
          </cell>
          <cell r="AZ144">
            <v>0.17647058823529416</v>
          </cell>
          <cell r="BA144">
            <v>0.13866666666666672</v>
          </cell>
          <cell r="BB144">
            <v>0.11</v>
          </cell>
          <cell r="BC144">
            <v>7.0000000000000007E-2</v>
          </cell>
          <cell r="BD144">
            <v>0.05</v>
          </cell>
          <cell r="BE144">
            <v>0.09</v>
          </cell>
          <cell r="BF144">
            <v>0.02</v>
          </cell>
          <cell r="BG144">
            <v>0.06</v>
          </cell>
          <cell r="BH144">
            <v>0.04</v>
          </cell>
          <cell r="BI144">
            <v>0.05</v>
          </cell>
          <cell r="BK144">
            <v>0.06</v>
          </cell>
          <cell r="BL144">
            <v>0.05</v>
          </cell>
          <cell r="BM144">
            <v>0.02</v>
          </cell>
          <cell r="BN144">
            <v>0.1</v>
          </cell>
          <cell r="BO144">
            <v>0.06</v>
          </cell>
          <cell r="BP144">
            <v>0.05</v>
          </cell>
          <cell r="BQ144">
            <v>0.06</v>
          </cell>
          <cell r="BR144">
            <v>7.0000000000000007E-2</v>
          </cell>
          <cell r="BS144">
            <v>0.06</v>
          </cell>
          <cell r="BT144">
            <v>0.08</v>
          </cell>
          <cell r="BU144">
            <v>-0.02</v>
          </cell>
          <cell r="BW144">
            <v>7.0000000000000007E-2</v>
          </cell>
          <cell r="BY144">
            <v>2.1255214972812242E-2</v>
          </cell>
          <cell r="BZ144">
            <v>0.04</v>
          </cell>
          <cell r="CA144">
            <v>0.03</v>
          </cell>
          <cell r="CB144">
            <v>0</v>
          </cell>
          <cell r="CC144">
            <v>-0.1</v>
          </cell>
          <cell r="CD144">
            <v>-0.15</v>
          </cell>
          <cell r="CE144">
            <v>-0.15</v>
          </cell>
          <cell r="CF144">
            <v>-0.2</v>
          </cell>
          <cell r="CG144">
            <v>-0.3</v>
          </cell>
          <cell r="CH144">
            <v>-0.3</v>
          </cell>
          <cell r="CI144">
            <v>-0.3</v>
          </cell>
          <cell r="CJ144">
            <v>-0.3</v>
          </cell>
        </row>
        <row r="146">
          <cell r="A146" t="str">
            <v>Signifor</v>
          </cell>
          <cell r="BI146">
            <v>3</v>
          </cell>
          <cell r="BJ146">
            <v>3</v>
          </cell>
          <cell r="BK146">
            <v>4</v>
          </cell>
          <cell r="BL146">
            <v>7</v>
          </cell>
          <cell r="BM146">
            <v>5</v>
          </cell>
          <cell r="BN146">
            <v>5</v>
          </cell>
          <cell r="BO146">
            <v>10</v>
          </cell>
          <cell r="BQ146">
            <v>10</v>
          </cell>
          <cell r="BR146">
            <v>0</v>
          </cell>
          <cell r="BS146">
            <v>10</v>
          </cell>
          <cell r="BT146">
            <v>25</v>
          </cell>
          <cell r="BU146">
            <v>25</v>
          </cell>
          <cell r="BV146">
            <v>50</v>
          </cell>
          <cell r="BW146">
            <v>25</v>
          </cell>
          <cell r="BX146">
            <v>75</v>
          </cell>
          <cell r="BY146">
            <v>25</v>
          </cell>
          <cell r="BZ146">
            <v>100</v>
          </cell>
          <cell r="CA146">
            <v>180</v>
          </cell>
          <cell r="CB146">
            <v>270</v>
          </cell>
          <cell r="CC146">
            <v>310.5</v>
          </cell>
          <cell r="CD146">
            <v>357.07499999999999</v>
          </cell>
          <cell r="CE146">
            <v>410.63624999999996</v>
          </cell>
          <cell r="CF146">
            <v>472.23168749999991</v>
          </cell>
          <cell r="CG146">
            <v>543.06644062499981</v>
          </cell>
          <cell r="CH146">
            <v>624.52640671874974</v>
          </cell>
          <cell r="CI146">
            <v>718.20536772656214</v>
          </cell>
          <cell r="CJ146">
            <v>825.9361728855464</v>
          </cell>
        </row>
        <row r="147">
          <cell r="A147" t="str">
            <v xml:space="preserve">   growth %</v>
          </cell>
          <cell r="BS147">
            <v>0.4285714285714286</v>
          </cell>
          <cell r="BT147">
            <v>4</v>
          </cell>
          <cell r="BU147">
            <v>4</v>
          </cell>
          <cell r="BV147">
            <v>4</v>
          </cell>
          <cell r="BW147" t="str">
            <v>nm</v>
          </cell>
          <cell r="BX147">
            <v>6.5</v>
          </cell>
          <cell r="CA147">
            <v>0.8</v>
          </cell>
          <cell r="CB147">
            <v>0.5</v>
          </cell>
          <cell r="CC147">
            <v>0.14999999999999991</v>
          </cell>
          <cell r="CD147">
            <v>0.14999999999999991</v>
          </cell>
          <cell r="CE147">
            <v>0.14999999999999991</v>
          </cell>
          <cell r="CF147">
            <v>0.14999999999999991</v>
          </cell>
          <cell r="CG147">
            <v>0.14999999999999991</v>
          </cell>
          <cell r="CH147">
            <v>0.14999999999999991</v>
          </cell>
          <cell r="CI147">
            <v>0.14999999999999991</v>
          </cell>
          <cell r="CJ147">
            <v>0.14999999999999991</v>
          </cell>
        </row>
        <row r="148">
          <cell r="A148" t="str">
            <v xml:space="preserve">      CER growth</v>
          </cell>
          <cell r="CA148">
            <v>0.8</v>
          </cell>
          <cell r="CB148">
            <v>0.5</v>
          </cell>
          <cell r="CC148">
            <v>0.15</v>
          </cell>
          <cell r="CD148">
            <v>0.15</v>
          </cell>
          <cell r="CE148">
            <v>0.15</v>
          </cell>
          <cell r="CF148">
            <v>0.15</v>
          </cell>
          <cell r="CG148">
            <v>0.15</v>
          </cell>
          <cell r="CH148">
            <v>0.15</v>
          </cell>
          <cell r="CI148">
            <v>0.15</v>
          </cell>
          <cell r="CJ148">
            <v>0.15</v>
          </cell>
        </row>
        <row r="150">
          <cell r="A150" t="str">
            <v>Zometa</v>
          </cell>
          <cell r="B150">
            <v>252</v>
          </cell>
          <cell r="C150">
            <v>275</v>
          </cell>
          <cell r="D150">
            <v>527</v>
          </cell>
          <cell r="E150">
            <v>262</v>
          </cell>
          <cell r="F150">
            <v>789</v>
          </cell>
          <cell r="G150">
            <v>289</v>
          </cell>
          <cell r="H150">
            <v>1078</v>
          </cell>
          <cell r="I150">
            <v>296</v>
          </cell>
          <cell r="J150">
            <v>312</v>
          </cell>
          <cell r="K150">
            <v>608</v>
          </cell>
          <cell r="L150">
            <v>302</v>
          </cell>
          <cell r="M150">
            <v>910</v>
          </cell>
          <cell r="N150">
            <v>314</v>
          </cell>
          <cell r="O150">
            <v>1224</v>
          </cell>
          <cell r="P150">
            <v>319</v>
          </cell>
          <cell r="Q150">
            <v>308</v>
          </cell>
          <cell r="R150">
            <v>627</v>
          </cell>
          <cell r="S150">
            <v>317</v>
          </cell>
          <cell r="T150">
            <v>944</v>
          </cell>
          <cell r="U150">
            <v>339</v>
          </cell>
          <cell r="V150">
            <v>1283</v>
          </cell>
          <cell r="W150">
            <v>314</v>
          </cell>
          <cell r="X150">
            <v>322</v>
          </cell>
          <cell r="Y150">
            <v>636</v>
          </cell>
          <cell r="Z150">
            <v>318</v>
          </cell>
          <cell r="AA150">
            <v>954</v>
          </cell>
          <cell r="AB150">
            <v>343</v>
          </cell>
          <cell r="AC150">
            <v>1297</v>
          </cell>
          <cell r="AD150">
            <v>331</v>
          </cell>
          <cell r="AE150">
            <v>346</v>
          </cell>
          <cell r="AF150">
            <v>677</v>
          </cell>
          <cell r="AG150">
            <v>360</v>
          </cell>
          <cell r="AH150">
            <v>1037</v>
          </cell>
          <cell r="AI150">
            <v>345</v>
          </cell>
          <cell r="AJ150">
            <v>1382</v>
          </cell>
          <cell r="AK150">
            <v>342</v>
          </cell>
          <cell r="AL150">
            <v>359</v>
          </cell>
          <cell r="AM150">
            <v>701</v>
          </cell>
          <cell r="AN150">
            <v>376</v>
          </cell>
          <cell r="AO150">
            <v>1077</v>
          </cell>
          <cell r="AP150">
            <v>392</v>
          </cell>
          <cell r="AQ150">
            <v>1469</v>
          </cell>
          <cell r="AR150">
            <v>375</v>
          </cell>
          <cell r="AS150">
            <v>378</v>
          </cell>
          <cell r="AT150">
            <v>753</v>
          </cell>
          <cell r="AU150">
            <v>363</v>
          </cell>
          <cell r="AV150">
            <v>1116</v>
          </cell>
          <cell r="AW150">
            <v>395</v>
          </cell>
          <cell r="AX150">
            <v>1511</v>
          </cell>
          <cell r="AY150">
            <v>373</v>
          </cell>
          <cell r="AZ150">
            <v>376</v>
          </cell>
          <cell r="BA150">
            <v>749</v>
          </cell>
          <cell r="BB150">
            <v>370</v>
          </cell>
          <cell r="BC150">
            <v>1119</v>
          </cell>
          <cell r="BD150">
            <v>368</v>
          </cell>
          <cell r="BE150">
            <v>1487</v>
          </cell>
          <cell r="BF150">
            <v>327</v>
          </cell>
          <cell r="BG150">
            <v>336</v>
          </cell>
          <cell r="BH150">
            <v>663</v>
          </cell>
          <cell r="BI150">
            <v>303</v>
          </cell>
          <cell r="BJ150">
            <v>966</v>
          </cell>
          <cell r="BK150">
            <v>322</v>
          </cell>
          <cell r="BL150">
            <v>1288</v>
          </cell>
          <cell r="BM150">
            <v>242</v>
          </cell>
          <cell r="BN150">
            <v>160</v>
          </cell>
          <cell r="BO150">
            <v>402</v>
          </cell>
          <cell r="BP150">
            <v>104</v>
          </cell>
          <cell r="BQ150">
            <v>506</v>
          </cell>
          <cell r="BR150">
            <v>94</v>
          </cell>
          <cell r="BS150">
            <v>600</v>
          </cell>
          <cell r="BT150">
            <v>85.743484891064156</v>
          </cell>
          <cell r="BU150">
            <v>69.82356634169868</v>
          </cell>
          <cell r="BV150">
            <v>155.56705123276285</v>
          </cell>
          <cell r="BW150">
            <v>57.31890295303554</v>
          </cell>
          <cell r="BX150">
            <v>212.8859541857984</v>
          </cell>
          <cell r="BY150">
            <v>54.955578526630276</v>
          </cell>
          <cell r="BZ150">
            <v>267.84153271242866</v>
          </cell>
          <cell r="CA150">
            <v>225.65280280556436</v>
          </cell>
          <cell r="CB150">
            <v>178.22224224445151</v>
          </cell>
          <cell r="CC150">
            <v>142.57779379556121</v>
          </cell>
          <cell r="CD150">
            <v>128.32001441600508</v>
          </cell>
          <cell r="CE150">
            <v>115.48801297440457</v>
          </cell>
          <cell r="CF150">
            <v>109.71361232568434</v>
          </cell>
          <cell r="CG150">
            <v>109.71361232568434</v>
          </cell>
          <cell r="CH150">
            <v>111.90788457219803</v>
          </cell>
          <cell r="CI150">
            <v>114.14604226364199</v>
          </cell>
          <cell r="CJ150">
            <v>116.42896310891483</v>
          </cell>
          <cell r="CM150">
            <v>-4.7506226839195677E-2</v>
          </cell>
          <cell r="CP150" t="str">
            <v>2012-2013</v>
          </cell>
          <cell r="CQ150">
            <v>0.17460317460317465</v>
          </cell>
          <cell r="CR150">
            <v>0.13454545454545452</v>
          </cell>
          <cell r="CS150">
            <v>0.15267175572519087</v>
          </cell>
          <cell r="CT150">
            <v>8.6505190311418678E-2</v>
          </cell>
          <cell r="CU150">
            <v>0.13543599257884975</v>
          </cell>
          <cell r="CV150">
            <v>7.7702702702702631E-2</v>
          </cell>
          <cell r="CW150">
            <v>-1.2820512820512775E-2</v>
          </cell>
          <cell r="CX150">
            <v>4.9668874172185351E-2</v>
          </cell>
          <cell r="CY150">
            <v>7.9617834394904552E-2</v>
          </cell>
          <cell r="CZ150">
            <v>4.8202614379085018E-2</v>
          </cell>
          <cell r="DA150">
            <v>-1.5673981191222541E-2</v>
          </cell>
          <cell r="DB150">
            <v>4.5454545454545414E-2</v>
          </cell>
          <cell r="DC150">
            <v>3.154574132492094E-3</v>
          </cell>
          <cell r="DD150">
            <v>1.1799410029498469E-2</v>
          </cell>
          <cell r="DE150">
            <v>1.0911925175370207E-2</v>
          </cell>
          <cell r="DF150">
            <v>6.5535851966075587E-2</v>
          </cell>
          <cell r="DG150">
            <v>6.2952243125904417E-2</v>
          </cell>
          <cell r="DH150">
            <v>2.8590878148400334E-2</v>
          </cell>
          <cell r="DI150">
            <v>-1.588352084712108E-2</v>
          </cell>
          <cell r="DJ150">
            <v>-0.13382649630127774</v>
          </cell>
          <cell r="DK150">
            <v>-0.53416149068322982</v>
          </cell>
        </row>
        <row r="151">
          <cell r="A151" t="str">
            <v xml:space="preserve">   growth %</v>
          </cell>
          <cell r="O151">
            <v>0.13543599257884975</v>
          </cell>
          <cell r="P151">
            <v>7.7702702702702631E-2</v>
          </cell>
          <cell r="Q151">
            <v>-1.2820512820512775E-2</v>
          </cell>
          <cell r="R151">
            <v>3.125E-2</v>
          </cell>
          <cell r="S151">
            <v>4.9668874172185351E-2</v>
          </cell>
          <cell r="T151">
            <v>3.7362637362637452E-2</v>
          </cell>
          <cell r="U151">
            <v>7.9617834394904552E-2</v>
          </cell>
          <cell r="V151">
            <v>4.8202614379085018E-2</v>
          </cell>
          <cell r="W151">
            <v>-1.5673981191222541E-2</v>
          </cell>
          <cell r="X151">
            <v>4.5454545454545414E-2</v>
          </cell>
          <cell r="Y151">
            <v>1.4354066985645897E-2</v>
          </cell>
          <cell r="Z151">
            <v>3.154574132492094E-3</v>
          </cell>
          <cell r="AA151">
            <v>1.0593220338983134E-2</v>
          </cell>
          <cell r="AB151">
            <v>1.1799410029498469E-2</v>
          </cell>
          <cell r="AC151">
            <v>1.0911925175370207E-2</v>
          </cell>
          <cell r="AD151">
            <v>5.4140127388535131E-2</v>
          </cell>
          <cell r="AE151">
            <v>7.4534161490683148E-2</v>
          </cell>
          <cell r="AF151">
            <v>6.4465408805031377E-2</v>
          </cell>
          <cell r="AG151">
            <v>0.13207547169811318</v>
          </cell>
          <cell r="AH151">
            <v>8.7002096436058718E-2</v>
          </cell>
          <cell r="AI151">
            <v>5.8309037900874383E-3</v>
          </cell>
          <cell r="AJ151">
            <v>6.5535851966075587E-2</v>
          </cell>
          <cell r="AK151">
            <v>3.3232628398791597E-2</v>
          </cell>
          <cell r="AL151">
            <v>3.7572254335260125E-2</v>
          </cell>
          <cell r="AM151">
            <v>3.5450516986706093E-2</v>
          </cell>
          <cell r="AN151">
            <v>4.4444444444444509E-2</v>
          </cell>
          <cell r="AO151">
            <v>3.8572806171649043E-2</v>
          </cell>
          <cell r="AP151">
            <v>0.13623188405797104</v>
          </cell>
          <cell r="AQ151">
            <v>6.2952243125904417E-2</v>
          </cell>
          <cell r="AR151">
            <v>9.6491228070175517E-2</v>
          </cell>
          <cell r="AS151">
            <v>5.2924791086351064E-2</v>
          </cell>
          <cell r="AT151">
            <v>7.41797432239657E-2</v>
          </cell>
          <cell r="AU151">
            <v>-3.4574468085106336E-2</v>
          </cell>
          <cell r="AV151">
            <v>3.6211699164345301E-2</v>
          </cell>
          <cell r="AW151">
            <v>7.6530612244898322E-3</v>
          </cell>
          <cell r="AX151">
            <v>1.598115736150052E-2</v>
          </cell>
          <cell r="AY151">
            <v>-7.5333333333333363E-2</v>
          </cell>
          <cell r="AZ151">
            <v>-0.14098593520545077</v>
          </cell>
          <cell r="BA151">
            <v>-0.10815954995058252</v>
          </cell>
          <cell r="BB151">
            <v>-9.0353184879523818E-2</v>
          </cell>
          <cell r="BC151">
            <v>-0.10355402615359943</v>
          </cell>
          <cell r="BD151">
            <v>-0.1049618265091371</v>
          </cell>
          <cell r="BE151">
            <v>-9.7482589116825391E-2</v>
          </cell>
          <cell r="BF151">
            <v>-0.13362683506320072</v>
          </cell>
          <cell r="BG151">
            <v>-6.2474572283924945E-2</v>
          </cell>
          <cell r="BH151">
            <v>-0.11481975967957281</v>
          </cell>
          <cell r="BI151">
            <v>-0.18108108108108112</v>
          </cell>
          <cell r="BJ151">
            <v>-0.13672922252010722</v>
          </cell>
          <cell r="BK151">
            <v>-0.125</v>
          </cell>
          <cell r="BL151">
            <v>-0.13382649630127774</v>
          </cell>
          <cell r="BM151">
            <v>-0.25993883792048933</v>
          </cell>
          <cell r="BN151">
            <v>-0.52380952380952384</v>
          </cell>
          <cell r="BO151">
            <v>-0.39366515837104077</v>
          </cell>
          <cell r="BP151">
            <v>-0.65676567656765683</v>
          </cell>
          <cell r="BQ151">
            <v>-0.47619047619047616</v>
          </cell>
          <cell r="BR151">
            <v>-0.70807453416149069</v>
          </cell>
          <cell r="BS151">
            <v>-0.53416149068322982</v>
          </cell>
          <cell r="BT151">
            <v>-0.64568807896254476</v>
          </cell>
          <cell r="BU151">
            <v>-0.56360271036438325</v>
          </cell>
          <cell r="BV151">
            <v>-0.61301728549063972</v>
          </cell>
          <cell r="BW151">
            <v>-0.44885670237465825</v>
          </cell>
          <cell r="BX151">
            <v>-0.57927677038379766</v>
          </cell>
          <cell r="BY151">
            <v>-0.41536618588691199</v>
          </cell>
          <cell r="BZ151">
            <v>-0.55359744547928558</v>
          </cell>
          <cell r="CA151">
            <v>-0.1575137712199427</v>
          </cell>
          <cell r="CB151">
            <v>-0.21019264982044916</v>
          </cell>
          <cell r="CC151">
            <v>-0.19999999999999996</v>
          </cell>
          <cell r="CD151">
            <v>-0.10000000000000009</v>
          </cell>
          <cell r="CE151">
            <v>-9.9999999999999978E-2</v>
          </cell>
          <cell r="CF151">
            <v>-5.0000000000000044E-2</v>
          </cell>
          <cell r="CG151">
            <v>0</v>
          </cell>
          <cell r="CH151">
            <v>2.0000000000000018E-2</v>
          </cell>
          <cell r="CI151">
            <v>2.0000000000000018E-2</v>
          </cell>
          <cell r="CJ151">
            <v>2.0000000000000018E-2</v>
          </cell>
        </row>
        <row r="152">
          <cell r="A152" t="str">
            <v xml:space="preserve">      CER growth</v>
          </cell>
          <cell r="BB152">
            <v>-0.03</v>
          </cell>
          <cell r="BC152">
            <v>-0.04</v>
          </cell>
          <cell r="BD152">
            <v>-7.0000000000000007E-2</v>
          </cell>
          <cell r="BE152">
            <v>-0.05</v>
          </cell>
          <cell r="BF152">
            <v>-0.12</v>
          </cell>
          <cell r="BG152">
            <v>-7.0000000000000007E-2</v>
          </cell>
          <cell r="BH152">
            <v>-0.09</v>
          </cell>
          <cell r="BI152">
            <v>-0.14000000000000001</v>
          </cell>
          <cell r="BJ152">
            <v>-0.11</v>
          </cell>
          <cell r="BK152">
            <v>-0.11</v>
          </cell>
          <cell r="BL152">
            <v>-0.11</v>
          </cell>
          <cell r="BM152">
            <v>-0.25</v>
          </cell>
          <cell r="BN152">
            <v>-0.5</v>
          </cell>
          <cell r="BO152">
            <v>-0.38</v>
          </cell>
          <cell r="BP152">
            <v>-0.64</v>
          </cell>
          <cell r="BQ152">
            <v>-0.46</v>
          </cell>
          <cell r="BR152">
            <v>-0.69</v>
          </cell>
          <cell r="BS152">
            <v>-0.52</v>
          </cell>
        </row>
        <row r="153">
          <cell r="A153" t="str">
            <v xml:space="preserve">       Zometa US</v>
          </cell>
          <cell r="B153">
            <v>147</v>
          </cell>
          <cell r="C153">
            <v>166</v>
          </cell>
          <cell r="D153">
            <v>313</v>
          </cell>
          <cell r="E153">
            <v>151</v>
          </cell>
          <cell r="F153">
            <v>464</v>
          </cell>
          <cell r="G153">
            <v>166</v>
          </cell>
          <cell r="H153">
            <v>630</v>
          </cell>
          <cell r="I153">
            <v>167</v>
          </cell>
          <cell r="J153">
            <v>178</v>
          </cell>
          <cell r="K153">
            <v>345</v>
          </cell>
          <cell r="L153">
            <v>172</v>
          </cell>
          <cell r="M153">
            <v>517</v>
          </cell>
          <cell r="N153">
            <v>187</v>
          </cell>
          <cell r="O153">
            <v>704</v>
          </cell>
          <cell r="P153">
            <v>185</v>
          </cell>
          <cell r="Q153">
            <v>166</v>
          </cell>
          <cell r="R153">
            <v>351</v>
          </cell>
          <cell r="S153">
            <v>171</v>
          </cell>
          <cell r="T153">
            <v>522</v>
          </cell>
          <cell r="U153">
            <v>174</v>
          </cell>
          <cell r="V153">
            <v>696</v>
          </cell>
          <cell r="W153">
            <v>159</v>
          </cell>
          <cell r="X153">
            <v>160</v>
          </cell>
          <cell r="Y153">
            <v>319</v>
          </cell>
          <cell r="Z153">
            <v>162</v>
          </cell>
          <cell r="AA153">
            <v>481</v>
          </cell>
          <cell r="AB153">
            <v>168</v>
          </cell>
          <cell r="AC153">
            <v>649</v>
          </cell>
          <cell r="AD153">
            <v>153</v>
          </cell>
          <cell r="AE153">
            <v>160</v>
          </cell>
          <cell r="AF153">
            <v>313</v>
          </cell>
          <cell r="AG153">
            <v>179</v>
          </cell>
          <cell r="AH153">
            <v>492</v>
          </cell>
          <cell r="AI153">
            <v>174</v>
          </cell>
          <cell r="AJ153">
            <v>666</v>
          </cell>
          <cell r="AK153">
            <v>178</v>
          </cell>
          <cell r="AL153">
            <v>173</v>
          </cell>
          <cell r="AM153">
            <v>351</v>
          </cell>
          <cell r="AN153">
            <v>185</v>
          </cell>
          <cell r="AO153">
            <v>536</v>
          </cell>
          <cell r="AP153">
            <v>182</v>
          </cell>
          <cell r="AQ153">
            <v>718</v>
          </cell>
          <cell r="AR153">
            <v>178</v>
          </cell>
          <cell r="AS153">
            <v>184</v>
          </cell>
          <cell r="AT153">
            <v>362</v>
          </cell>
          <cell r="AU153">
            <v>176</v>
          </cell>
          <cell r="AV153">
            <v>538</v>
          </cell>
          <cell r="AW153">
            <v>183</v>
          </cell>
          <cell r="AX153">
            <v>721</v>
          </cell>
          <cell r="AY153">
            <v>174</v>
          </cell>
          <cell r="AZ153">
            <v>161</v>
          </cell>
          <cell r="BA153">
            <v>335</v>
          </cell>
          <cell r="BB153">
            <v>158</v>
          </cell>
          <cell r="BC153">
            <v>493</v>
          </cell>
          <cell r="BD153">
            <v>149</v>
          </cell>
          <cell r="BE153">
            <v>642</v>
          </cell>
          <cell r="BF153">
            <v>142</v>
          </cell>
          <cell r="BG153">
            <v>146</v>
          </cell>
          <cell r="BH153">
            <v>288</v>
          </cell>
          <cell r="BI153">
            <v>131</v>
          </cell>
          <cell r="BJ153">
            <v>419</v>
          </cell>
          <cell r="BK153">
            <v>142</v>
          </cell>
          <cell r="BL153">
            <v>561</v>
          </cell>
          <cell r="BM153">
            <v>76</v>
          </cell>
          <cell r="BN153">
            <v>25</v>
          </cell>
          <cell r="BO153">
            <v>101</v>
          </cell>
          <cell r="BP153">
            <v>10</v>
          </cell>
          <cell r="BQ153">
            <v>111</v>
          </cell>
          <cell r="BR153">
            <v>4</v>
          </cell>
          <cell r="BS153">
            <v>115</v>
          </cell>
          <cell r="BT153">
            <v>3.8000000000000034</v>
          </cell>
          <cell r="BU153">
            <v>1.2500000000000011</v>
          </cell>
          <cell r="BV153">
            <v>5.0500000000000043</v>
          </cell>
          <cell r="BW153">
            <v>0.50000000000000044</v>
          </cell>
          <cell r="BX153">
            <v>5.5500000000000043</v>
          </cell>
          <cell r="BY153">
            <v>0.20000000000000107</v>
          </cell>
          <cell r="BZ153">
            <v>5.7500000000000053</v>
          </cell>
          <cell r="CA153">
            <v>2.8750000000000027</v>
          </cell>
          <cell r="CO153">
            <v>0.2</v>
          </cell>
          <cell r="CP153">
            <v>41334</v>
          </cell>
          <cell r="CQ153">
            <v>0.13605442176870741</v>
          </cell>
          <cell r="CR153">
            <v>7.2289156626506035E-2</v>
          </cell>
          <cell r="CS153">
            <v>0.13907284768211925</v>
          </cell>
          <cell r="CT153">
            <v>0.12650602409638556</v>
          </cell>
          <cell r="CU153">
            <v>0.11746031746031749</v>
          </cell>
          <cell r="CV153">
            <v>0.10778443113772451</v>
          </cell>
          <cell r="CW153">
            <v>-6.7415730337078705E-2</v>
          </cell>
          <cell r="CX153">
            <v>-5.8139534883721034E-3</v>
          </cell>
          <cell r="CY153">
            <v>-6.9518716577540052E-2</v>
          </cell>
          <cell r="CZ153">
            <v>-1.1363636363636354E-2</v>
          </cell>
          <cell r="DA153">
            <v>-0.14054054054054055</v>
          </cell>
          <cell r="DB153">
            <v>-3.6144578313253017E-2</v>
          </cell>
          <cell r="DC153">
            <v>-5.2631578947368474E-2</v>
          </cell>
          <cell r="DD153">
            <v>-0.05</v>
          </cell>
          <cell r="DE153">
            <v>-6.7528735632183867E-2</v>
          </cell>
          <cell r="DF153">
            <v>-0.02</v>
          </cell>
          <cell r="DG153">
            <v>-0.02</v>
          </cell>
          <cell r="DH153">
            <v>-0.02</v>
          </cell>
          <cell r="DI153">
            <v>-0.02</v>
          </cell>
          <cell r="DJ153">
            <v>-0.1</v>
          </cell>
          <cell r="DK153">
            <v>-0.2</v>
          </cell>
          <cell r="DM153" t="str">
            <v>mstag:zometaUS</v>
          </cell>
          <cell r="DN153">
            <v>6</v>
          </cell>
          <cell r="DO153" t="str">
            <v>ISO4217:USD</v>
          </cell>
          <cell r="DP153" t="b">
            <v>0</v>
          </cell>
        </row>
        <row r="154">
          <cell r="A154" t="str">
            <v xml:space="preserve">           growth </v>
          </cell>
          <cell r="O154">
            <v>0.11746031746031749</v>
          </cell>
          <cell r="P154">
            <v>0.10778443113772451</v>
          </cell>
          <cell r="Q154">
            <v>-6.7415730337078705E-2</v>
          </cell>
          <cell r="R154">
            <v>1.7391304347825987E-2</v>
          </cell>
          <cell r="S154">
            <v>-5.8139534883721034E-3</v>
          </cell>
          <cell r="T154">
            <v>9.6711798839459462E-3</v>
          </cell>
          <cell r="U154">
            <v>-6.9518716577540052E-2</v>
          </cell>
          <cell r="V154">
            <v>-1.1363636363636354E-2</v>
          </cell>
          <cell r="W154">
            <v>-0.14054054054054055</v>
          </cell>
          <cell r="X154">
            <v>-3.6144578313253017E-2</v>
          </cell>
          <cell r="Y154">
            <v>-9.1168091168091214E-2</v>
          </cell>
          <cell r="Z154">
            <v>-5.2631578947368474E-2</v>
          </cell>
          <cell r="AA154">
            <v>-7.8544061302681989E-2</v>
          </cell>
          <cell r="AB154">
            <v>-3.4482758620689613E-2</v>
          </cell>
          <cell r="AC154">
            <v>-6.7528735632183867E-2</v>
          </cell>
          <cell r="AD154">
            <v>-3.7735849056603765E-2</v>
          </cell>
          <cell r="AE154">
            <v>0</v>
          </cell>
          <cell r="AF154">
            <v>-1.8808777429467072E-2</v>
          </cell>
          <cell r="AG154">
            <v>7.5229611433997867E-3</v>
          </cell>
          <cell r="AH154">
            <v>2.2869022869022926E-2</v>
          </cell>
          <cell r="AI154">
            <v>3.5714285714285809E-2</v>
          </cell>
          <cell r="AJ154">
            <v>2.6194144838212585E-2</v>
          </cell>
          <cell r="AK154">
            <v>0.1633986928104576</v>
          </cell>
          <cell r="AL154">
            <v>8.1250000000000044E-2</v>
          </cell>
          <cell r="AM154">
            <v>0.12140575079872207</v>
          </cell>
          <cell r="AN154">
            <v>3.3519553072625774E-2</v>
          </cell>
          <cell r="AP154">
            <v>4.5977011494252817E-2</v>
          </cell>
          <cell r="AQ154">
            <v>7.8078078078078095E-2</v>
          </cell>
          <cell r="AR154">
            <v>0</v>
          </cell>
          <cell r="AS154">
            <v>6.3583815028901647E-2</v>
          </cell>
          <cell r="AT154">
            <v>3.1339031339031376E-2</v>
          </cell>
          <cell r="AU154">
            <v>-4.8648648648648596E-2</v>
          </cell>
          <cell r="AV154">
            <v>3.7313432835821558E-3</v>
          </cell>
          <cell r="AW154">
            <v>5.494505494505475E-3</v>
          </cell>
          <cell r="AX154">
            <v>4.1782729805013297E-3</v>
          </cell>
          <cell r="AY154">
            <v>-2.2471910112359605E-2</v>
          </cell>
          <cell r="AZ154">
            <v>-0.125</v>
          </cell>
          <cell r="BA154">
            <v>-7.4585635359115998E-2</v>
          </cell>
          <cell r="BB154">
            <v>-0.10227272727272729</v>
          </cell>
          <cell r="BC154">
            <v>-8.3643122676579917E-2</v>
          </cell>
          <cell r="BD154">
            <v>-0.18579234972677594</v>
          </cell>
          <cell r="BE154">
            <v>-0.10957004160887651</v>
          </cell>
          <cell r="BF154">
            <v>-0.18390804597701149</v>
          </cell>
          <cell r="BG154">
            <v>-9.3167701863353991E-2</v>
          </cell>
          <cell r="BH154">
            <v>-0.14029850746268657</v>
          </cell>
          <cell r="BI154">
            <v>-0.17088607594936711</v>
          </cell>
          <cell r="BJ154">
            <v>-0.15010141987829617</v>
          </cell>
          <cell r="BK154">
            <v>-4.6979865771812124E-2</v>
          </cell>
          <cell r="BL154">
            <v>-0.12616822429906538</v>
          </cell>
          <cell r="BM154">
            <v>-0.46478873239436624</v>
          </cell>
          <cell r="BN154">
            <v>-0.82876712328767121</v>
          </cell>
          <cell r="BO154">
            <v>-0.64930555555555558</v>
          </cell>
          <cell r="BP154">
            <v>-0.92366412213740456</v>
          </cell>
          <cell r="BQ154">
            <v>-0.73508353221957035</v>
          </cell>
          <cell r="BR154">
            <v>-0.971830985915493</v>
          </cell>
          <cell r="BS154">
            <v>-0.79500891265597151</v>
          </cell>
          <cell r="BT154">
            <v>-0.95</v>
          </cell>
          <cell r="BU154">
            <v>-0.95</v>
          </cell>
          <cell r="BV154">
            <v>-0.95</v>
          </cell>
          <cell r="BW154">
            <v>-0.95</v>
          </cell>
          <cell r="BX154">
            <v>-0.95</v>
          </cell>
          <cell r="BY154">
            <v>-0.94999999999999973</v>
          </cell>
          <cell r="BZ154">
            <v>-0.95</v>
          </cell>
          <cell r="CA154">
            <v>-0.5</v>
          </cell>
          <cell r="CP154" t="str">
            <v>pharma product patent (US 2028), dosing regimen (US 2024, EU 2021), infusion time (US 2025)</v>
          </cell>
        </row>
        <row r="155">
          <cell r="A155" t="str">
            <v xml:space="preserve">       Zometa ROW</v>
          </cell>
          <cell r="B155">
            <v>105</v>
          </cell>
          <cell r="C155">
            <v>109</v>
          </cell>
          <cell r="D155">
            <v>214</v>
          </cell>
          <cell r="E155">
            <v>111</v>
          </cell>
          <cell r="F155">
            <v>325</v>
          </cell>
          <cell r="G155">
            <v>123</v>
          </cell>
          <cell r="H155">
            <v>448</v>
          </cell>
          <cell r="I155">
            <v>129</v>
          </cell>
          <cell r="J155">
            <v>134</v>
          </cell>
          <cell r="K155">
            <v>263</v>
          </cell>
          <cell r="L155">
            <v>130</v>
          </cell>
          <cell r="M155">
            <v>393</v>
          </cell>
          <cell r="N155">
            <v>127</v>
          </cell>
          <cell r="O155">
            <v>520</v>
          </cell>
          <cell r="P155">
            <v>134</v>
          </cell>
          <cell r="Q155">
            <v>142</v>
          </cell>
          <cell r="R155">
            <v>276</v>
          </cell>
          <cell r="S155">
            <v>146</v>
          </cell>
          <cell r="T155">
            <v>422</v>
          </cell>
          <cell r="U155">
            <v>165</v>
          </cell>
          <cell r="V155">
            <v>587</v>
          </cell>
          <cell r="W155">
            <v>155</v>
          </cell>
          <cell r="X155">
            <v>162</v>
          </cell>
          <cell r="Y155">
            <v>317</v>
          </cell>
          <cell r="Z155">
            <v>156</v>
          </cell>
          <cell r="AA155">
            <v>473</v>
          </cell>
          <cell r="AB155">
            <v>175</v>
          </cell>
          <cell r="AC155">
            <v>648</v>
          </cell>
          <cell r="AD155">
            <v>178</v>
          </cell>
          <cell r="AE155">
            <v>186</v>
          </cell>
          <cell r="AF155">
            <v>364</v>
          </cell>
          <cell r="AG155">
            <v>181</v>
          </cell>
          <cell r="AH155">
            <v>545</v>
          </cell>
          <cell r="AI155">
            <v>171</v>
          </cell>
          <cell r="AJ155">
            <v>716</v>
          </cell>
          <cell r="AK155">
            <v>164</v>
          </cell>
          <cell r="AL155">
            <v>186</v>
          </cell>
          <cell r="AM155">
            <v>350</v>
          </cell>
          <cell r="AN155">
            <v>191</v>
          </cell>
          <cell r="AO155">
            <v>541</v>
          </cell>
          <cell r="AP155">
            <v>210</v>
          </cell>
          <cell r="AQ155">
            <v>751</v>
          </cell>
          <cell r="AR155">
            <v>197</v>
          </cell>
          <cell r="AS155">
            <v>194</v>
          </cell>
          <cell r="AT155">
            <v>391</v>
          </cell>
          <cell r="AU155">
            <v>187</v>
          </cell>
          <cell r="AV155">
            <v>578</v>
          </cell>
          <cell r="AW155">
            <v>212</v>
          </cell>
          <cell r="AX155">
            <v>790</v>
          </cell>
          <cell r="AY155">
            <v>199</v>
          </cell>
          <cell r="AZ155">
            <v>215</v>
          </cell>
          <cell r="BA155">
            <v>414</v>
          </cell>
          <cell r="BB155">
            <v>212</v>
          </cell>
          <cell r="BC155">
            <v>626</v>
          </cell>
          <cell r="BD155">
            <v>219</v>
          </cell>
          <cell r="BE155">
            <v>845</v>
          </cell>
          <cell r="BF155">
            <v>185</v>
          </cell>
          <cell r="BG155">
            <v>190</v>
          </cell>
          <cell r="BH155">
            <v>375</v>
          </cell>
          <cell r="BI155">
            <v>172</v>
          </cell>
          <cell r="BJ155">
            <v>547</v>
          </cell>
          <cell r="BK155">
            <v>180</v>
          </cell>
          <cell r="BL155">
            <v>727</v>
          </cell>
          <cell r="BM155">
            <v>166</v>
          </cell>
          <cell r="BN155">
            <v>135</v>
          </cell>
          <cell r="BO155">
            <v>301</v>
          </cell>
          <cell r="BP155">
            <v>94</v>
          </cell>
          <cell r="BQ155">
            <v>395</v>
          </cell>
          <cell r="BR155">
            <v>90</v>
          </cell>
          <cell r="BS155">
            <v>485</v>
          </cell>
          <cell r="BT155">
            <v>81.943484891064159</v>
          </cell>
          <cell r="BU155">
            <v>68.57356634169868</v>
          </cell>
          <cell r="BV155">
            <v>150.51705123276284</v>
          </cell>
          <cell r="BW155">
            <v>56.81890295303554</v>
          </cell>
          <cell r="BX155">
            <v>207.33595418579839</v>
          </cell>
          <cell r="BY155">
            <v>54.755578526630273</v>
          </cell>
          <cell r="BZ155">
            <v>262.09153271242866</v>
          </cell>
          <cell r="CA155">
            <v>222.77780280556436</v>
          </cell>
          <cell r="CB155">
            <v>178.22224224445151</v>
          </cell>
          <cell r="CC155">
            <v>142.57779379556121</v>
          </cell>
          <cell r="CD155">
            <v>128.32001441600508</v>
          </cell>
          <cell r="CE155">
            <v>115.48801297440457</v>
          </cell>
          <cell r="CF155">
            <v>109.71361232568434</v>
          </cell>
          <cell r="CG155">
            <v>109.71361232568434</v>
          </cell>
          <cell r="CH155">
            <v>111.90788457219803</v>
          </cell>
          <cell r="CI155">
            <v>114.14604226364199</v>
          </cell>
          <cell r="CJ155">
            <v>116.42896310891483</v>
          </cell>
          <cell r="CP155" t="str">
            <v>2012-2013</v>
          </cell>
          <cell r="CQ155">
            <v>0.22857142857142865</v>
          </cell>
          <cell r="CR155">
            <v>0.22935779816513757</v>
          </cell>
          <cell r="CS155">
            <v>0.1711711711711712</v>
          </cell>
          <cell r="CT155">
            <v>3.2520325203251987E-2</v>
          </cell>
          <cell r="CU155">
            <v>0.16071428571428581</v>
          </cell>
          <cell r="CV155">
            <v>3.8759689922480689E-2</v>
          </cell>
          <cell r="CW155">
            <v>5.9701492537313383E-2</v>
          </cell>
          <cell r="CX155">
            <v>0.12307692307692308</v>
          </cell>
          <cell r="CY155">
            <v>0.29921259842519676</v>
          </cell>
          <cell r="CZ155">
            <v>0.12884615384615383</v>
          </cell>
          <cell r="DA155">
            <v>0.15671641791044766</v>
          </cell>
          <cell r="DB155">
            <v>0.14084507042253525</v>
          </cell>
          <cell r="DC155">
            <v>6.8493150684931559E-2</v>
          </cell>
          <cell r="DD155">
            <v>0.03</v>
          </cell>
          <cell r="DE155">
            <v>0.10391822827938668</v>
          </cell>
          <cell r="DF155">
            <v>0.05</v>
          </cell>
          <cell r="DG155">
            <v>0.03</v>
          </cell>
          <cell r="DH155">
            <v>0.03</v>
          </cell>
          <cell r="DI155">
            <v>0.03</v>
          </cell>
          <cell r="DJ155">
            <v>0.03</v>
          </cell>
          <cell r="DK155">
            <v>0.03</v>
          </cell>
          <cell r="DM155" t="str">
            <v>mstag:zometaEurope</v>
          </cell>
          <cell r="DN155">
            <v>6</v>
          </cell>
          <cell r="DO155" t="str">
            <v>ISO4217:USD</v>
          </cell>
          <cell r="DP155" t="b">
            <v>0</v>
          </cell>
        </row>
        <row r="156">
          <cell r="A156" t="str">
            <v xml:space="preserve">           growth </v>
          </cell>
          <cell r="AX156">
            <v>5.1930758988016024E-2</v>
          </cell>
          <cell r="AY156">
            <v>1.0152284263959421E-2</v>
          </cell>
          <cell r="AZ156">
            <v>0.10824742268041243</v>
          </cell>
          <cell r="BA156">
            <v>5.8823529411764719E-2</v>
          </cell>
          <cell r="BB156">
            <v>0.1336898395721926</v>
          </cell>
          <cell r="BC156">
            <v>8.3044982698961878E-2</v>
          </cell>
          <cell r="BD156">
            <v>3.3018867924528239E-2</v>
          </cell>
          <cell r="BE156">
            <v>6.9620253164556889E-2</v>
          </cell>
          <cell r="BF156">
            <v>-7.0351758793969821E-2</v>
          </cell>
          <cell r="BG156">
            <v>-0.11627906976744184</v>
          </cell>
          <cell r="BH156">
            <v>-9.4202898550724612E-2</v>
          </cell>
          <cell r="BI156">
            <v>-0.18867924528301883</v>
          </cell>
          <cell r="BJ156">
            <v>-0.12619808306709268</v>
          </cell>
          <cell r="BK156">
            <v>-0.17808219178082196</v>
          </cell>
          <cell r="BL156">
            <v>-0.13964497041420121</v>
          </cell>
          <cell r="BM156">
            <v>-0.10270270270270265</v>
          </cell>
          <cell r="BN156">
            <v>-0.28947368421052633</v>
          </cell>
          <cell r="BO156">
            <v>-0.19733333333333336</v>
          </cell>
          <cell r="BP156">
            <v>-0.45348837209302328</v>
          </cell>
          <cell r="BQ156">
            <v>-0.27787934186471663</v>
          </cell>
          <cell r="BR156">
            <v>-0.5</v>
          </cell>
          <cell r="BS156">
            <v>-0.33287482806052271</v>
          </cell>
          <cell r="BT156">
            <v>-0.50636454884901116</v>
          </cell>
          <cell r="BU156">
            <v>-0.49204765672815798</v>
          </cell>
          <cell r="BV156">
            <v>-0.49994335138616997</v>
          </cell>
          <cell r="BW156">
            <v>-0.39554358560600489</v>
          </cell>
          <cell r="BX156">
            <v>-0.47509885016253572</v>
          </cell>
          <cell r="BY156">
            <v>-0.39160468303744145</v>
          </cell>
          <cell r="BZ156">
            <v>-0.45960508719086879</v>
          </cell>
          <cell r="CA156">
            <v>-0.15000000000000002</v>
          </cell>
          <cell r="CB156">
            <v>-0.19999999999999996</v>
          </cell>
          <cell r="CC156">
            <v>-0.19999999999999996</v>
          </cell>
          <cell r="CD156">
            <v>-0.10000000000000009</v>
          </cell>
          <cell r="CE156">
            <v>-9.9999999999999978E-2</v>
          </cell>
          <cell r="CF156">
            <v>-5.0000000000000044E-2</v>
          </cell>
          <cell r="CG156">
            <v>0</v>
          </cell>
          <cell r="CH156">
            <v>2.0000000000000018E-2</v>
          </cell>
          <cell r="CI156">
            <v>2.0000000000000018E-2</v>
          </cell>
          <cell r="CJ156">
            <v>2.0000000000000018E-2</v>
          </cell>
        </row>
        <row r="157">
          <cell r="A157" t="str">
            <v xml:space="preserve">   CER growth </v>
          </cell>
          <cell r="P157">
            <v>0.12370776384219806</v>
          </cell>
          <cell r="Q157">
            <v>6.6270291857681851E-2</v>
          </cell>
          <cell r="R157">
            <v>9.518809441471987E-2</v>
          </cell>
          <cell r="S157">
            <v>8.5818700511129942E-2</v>
          </cell>
          <cell r="T157">
            <v>9.1877565491939817E-2</v>
          </cell>
          <cell r="U157">
            <v>0.22512438839255622</v>
          </cell>
          <cell r="V157">
            <v>0.1238887640065669</v>
          </cell>
          <cell r="W157">
            <v>8.0127197479977319E-2</v>
          </cell>
          <cell r="X157">
            <v>8.5611255443044598E-2</v>
          </cell>
          <cell r="Y157">
            <v>8.263920693270066E-2</v>
          </cell>
          <cell r="Z157">
            <v>3.9228598277172289E-3</v>
          </cell>
          <cell r="AA157">
            <v>5.5388638479662022E-2</v>
          </cell>
          <cell r="AB157">
            <v>-4.9088507433501016E-2</v>
          </cell>
          <cell r="AC157">
            <v>2.7396254702702461E-2</v>
          </cell>
          <cell r="AD157">
            <v>3.9794743253662723E-3</v>
          </cell>
          <cell r="AE157">
            <v>-1.6583446720754846E-2</v>
          </cell>
          <cell r="AF157">
            <v>-6.3046244317357392E-3</v>
          </cell>
          <cell r="AG157">
            <v>6.2841099794871846E-2</v>
          </cell>
          <cell r="AH157">
            <v>2.6227413589903881E-2</v>
          </cell>
          <cell r="AI157">
            <v>3.6829307365199737E-2</v>
          </cell>
          <cell r="AJ157">
            <v>2.0095810847082785E-2</v>
          </cell>
          <cell r="AK157">
            <v>2.6091394573304227E-2</v>
          </cell>
          <cell r="AL157">
            <v>0.10826128355303499</v>
          </cell>
          <cell r="AN157">
            <v>8.1278354277919518E-2</v>
          </cell>
          <cell r="AP157">
            <v>0.10838346463401738</v>
          </cell>
          <cell r="AQ157">
            <v>4.88826815642458E-2</v>
          </cell>
          <cell r="AR157">
            <v>0.13673008214169236</v>
          </cell>
          <cell r="AS157">
            <v>8.8247315138648696E-2</v>
          </cell>
          <cell r="AT157">
            <v>0.11714285714285722</v>
          </cell>
          <cell r="AU157">
            <v>4.0558738224155455E-2</v>
          </cell>
          <cell r="AV157">
            <v>6.8391866913123822E-2</v>
          </cell>
          <cell r="AW157">
            <v>9.52380952380949E-3</v>
          </cell>
          <cell r="AX157">
            <v>5.1930758988016024E-2</v>
          </cell>
          <cell r="AY157">
            <v>1.0152284263959421E-2</v>
          </cell>
          <cell r="AZ157">
            <v>0.10824742268041243</v>
          </cell>
          <cell r="BA157">
            <v>5.8823529411764719E-2</v>
          </cell>
          <cell r="BB157">
            <v>0.04</v>
          </cell>
          <cell r="BC157">
            <v>0</v>
          </cell>
          <cell r="BD157">
            <v>0.02</v>
          </cell>
          <cell r="BE157">
            <v>0</v>
          </cell>
          <cell r="BF157">
            <v>-0.05</v>
          </cell>
          <cell r="BG157">
            <v>-7.0000000000000007E-2</v>
          </cell>
          <cell r="BH157">
            <v>-0.05</v>
          </cell>
          <cell r="BI157">
            <v>-0.12</v>
          </cell>
          <cell r="BK157">
            <v>-0.15</v>
          </cell>
          <cell r="BL157">
            <v>-0.1</v>
          </cell>
          <cell r="BM157">
            <v>-0.08</v>
          </cell>
          <cell r="BN157">
            <v>-0.25</v>
          </cell>
          <cell r="BO157">
            <v>-0.17</v>
          </cell>
          <cell r="BP157">
            <v>-0.42</v>
          </cell>
          <cell r="BQ157">
            <v>-0.25</v>
          </cell>
          <cell r="BR157">
            <v>-0.46</v>
          </cell>
          <cell r="BS157">
            <v>-0.3</v>
          </cell>
          <cell r="BT157">
            <v>-0.5</v>
          </cell>
          <cell r="BU157">
            <v>-0.5</v>
          </cell>
          <cell r="BW157">
            <v>-0.4</v>
          </cell>
          <cell r="BY157">
            <v>-0.39841294999362808</v>
          </cell>
          <cell r="BZ157">
            <v>-0.46</v>
          </cell>
          <cell r="CA157">
            <v>-0.15</v>
          </cell>
          <cell r="CB157">
            <v>-0.2</v>
          </cell>
          <cell r="CC157">
            <v>-0.2</v>
          </cell>
          <cell r="CD157">
            <v>-0.1</v>
          </cell>
          <cell r="CE157">
            <v>-0.1</v>
          </cell>
          <cell r="CF157">
            <v>-0.05</v>
          </cell>
          <cell r="CG157">
            <v>0</v>
          </cell>
          <cell r="CH157">
            <v>0.02</v>
          </cell>
          <cell r="CI157">
            <v>0.02</v>
          </cell>
          <cell r="CJ157">
            <v>0.02</v>
          </cell>
        </row>
        <row r="159">
          <cell r="A159" t="str">
            <v>Exjade</v>
          </cell>
          <cell r="D159">
            <v>0</v>
          </cell>
          <cell r="F159">
            <v>0</v>
          </cell>
          <cell r="H159">
            <v>0</v>
          </cell>
          <cell r="K159">
            <v>0</v>
          </cell>
          <cell r="M159">
            <v>0</v>
          </cell>
          <cell r="N159">
            <v>5</v>
          </cell>
          <cell r="O159">
            <v>5</v>
          </cell>
          <cell r="P159">
            <v>19</v>
          </cell>
          <cell r="Q159">
            <v>31</v>
          </cell>
          <cell r="R159">
            <v>50</v>
          </cell>
          <cell r="S159">
            <v>43</v>
          </cell>
          <cell r="T159">
            <v>93</v>
          </cell>
          <cell r="U159">
            <v>50</v>
          </cell>
          <cell r="V159">
            <v>143</v>
          </cell>
          <cell r="W159">
            <v>65</v>
          </cell>
          <cell r="X159">
            <v>92</v>
          </cell>
          <cell r="Y159">
            <v>157</v>
          </cell>
          <cell r="Z159">
            <v>98</v>
          </cell>
          <cell r="AA159">
            <v>255</v>
          </cell>
          <cell r="AB159">
            <v>102</v>
          </cell>
          <cell r="AC159">
            <v>357</v>
          </cell>
          <cell r="AD159">
            <v>109</v>
          </cell>
          <cell r="AE159">
            <v>129</v>
          </cell>
          <cell r="AF159">
            <v>238</v>
          </cell>
          <cell r="AG159">
            <v>148</v>
          </cell>
          <cell r="AH159">
            <v>386</v>
          </cell>
          <cell r="AI159">
            <v>145</v>
          </cell>
          <cell r="AJ159">
            <v>531</v>
          </cell>
          <cell r="AK159">
            <v>122</v>
          </cell>
          <cell r="AL159">
            <v>173</v>
          </cell>
          <cell r="AM159">
            <v>295</v>
          </cell>
          <cell r="AN159">
            <v>174</v>
          </cell>
          <cell r="AO159">
            <v>469</v>
          </cell>
          <cell r="AP159">
            <v>183</v>
          </cell>
          <cell r="AQ159">
            <v>652</v>
          </cell>
          <cell r="AR159">
            <v>179</v>
          </cell>
          <cell r="AS159">
            <v>192</v>
          </cell>
          <cell r="AT159">
            <v>371</v>
          </cell>
          <cell r="AU159">
            <v>182</v>
          </cell>
          <cell r="AV159">
            <v>553</v>
          </cell>
          <cell r="AW159">
            <v>209</v>
          </cell>
          <cell r="AX159">
            <v>762</v>
          </cell>
          <cell r="AY159">
            <v>179</v>
          </cell>
          <cell r="AZ159">
            <v>232</v>
          </cell>
          <cell r="BA159">
            <v>411</v>
          </cell>
          <cell r="BB159">
            <v>210</v>
          </cell>
          <cell r="BC159">
            <v>621</v>
          </cell>
          <cell r="BD159">
            <v>229</v>
          </cell>
          <cell r="BE159">
            <v>850</v>
          </cell>
          <cell r="BF159">
            <v>216</v>
          </cell>
          <cell r="BG159">
            <v>219</v>
          </cell>
          <cell r="BH159">
            <v>435</v>
          </cell>
          <cell r="BI159">
            <v>198</v>
          </cell>
          <cell r="BJ159">
            <v>633</v>
          </cell>
          <cell r="BK159">
            <v>237</v>
          </cell>
          <cell r="BL159">
            <v>870</v>
          </cell>
          <cell r="BM159">
            <v>203</v>
          </cell>
          <cell r="BN159">
            <v>234</v>
          </cell>
          <cell r="BO159">
            <v>437</v>
          </cell>
          <cell r="BP159">
            <v>212</v>
          </cell>
          <cell r="BQ159">
            <v>649</v>
          </cell>
          <cell r="BR159">
            <v>244</v>
          </cell>
          <cell r="BS159">
            <v>893</v>
          </cell>
          <cell r="BT159">
            <v>209.45536042805909</v>
          </cell>
          <cell r="BU159">
            <v>246.47888678543501</v>
          </cell>
          <cell r="BV159">
            <v>455.93424721349413</v>
          </cell>
          <cell r="BW159">
            <v>221.68301642728682</v>
          </cell>
          <cell r="BX159">
            <v>677.61726364078095</v>
          </cell>
          <cell r="BY159">
            <v>252.56496877836935</v>
          </cell>
          <cell r="BZ159">
            <v>930.1822324191503</v>
          </cell>
          <cell r="CA159">
            <v>968.58234404010784</v>
          </cell>
          <cell r="CB159">
            <v>974.09646404010778</v>
          </cell>
          <cell r="CC159">
            <v>965.65986044010788</v>
          </cell>
          <cell r="CD159">
            <v>957.47635494810788</v>
          </cell>
          <cell r="CE159">
            <v>706.10634458550783</v>
          </cell>
          <cell r="CF159">
            <v>554.3010752320863</v>
          </cell>
          <cell r="CG159">
            <v>443.44086018566907</v>
          </cell>
          <cell r="CH159">
            <v>221.72043009283453</v>
          </cell>
          <cell r="CI159">
            <v>110.86021504641727</v>
          </cell>
          <cell r="CJ159">
            <v>55.430107523208633</v>
          </cell>
          <cell r="CO159">
            <v>0.15</v>
          </cell>
          <cell r="CP159" t="str">
            <v>2019-2021</v>
          </cell>
          <cell r="CY159">
            <v>9</v>
          </cell>
          <cell r="CZ159">
            <v>27.6</v>
          </cell>
          <cell r="DA159">
            <v>2.4210526315789473</v>
          </cell>
          <cell r="DB159">
            <v>1.967741935483871</v>
          </cell>
          <cell r="DC159">
            <v>1.2790697674418605</v>
          </cell>
          <cell r="DD159">
            <v>1.2</v>
          </cell>
          <cell r="DE159">
            <v>1.4965034965034967</v>
          </cell>
          <cell r="DF159">
            <v>0.4</v>
          </cell>
          <cell r="DG159">
            <v>0.25</v>
          </cell>
          <cell r="DH159">
            <v>0.15</v>
          </cell>
          <cell r="DI159">
            <v>0.1</v>
          </cell>
          <cell r="DJ159">
            <v>0.05</v>
          </cell>
          <cell r="DK159">
            <v>0.03</v>
          </cell>
          <cell r="DM159" t="str">
            <v>mstag:exjade</v>
          </cell>
          <cell r="DN159">
            <v>6</v>
          </cell>
          <cell r="DO159" t="str">
            <v>ISO4217:USD</v>
          </cell>
          <cell r="DP159" t="b">
            <v>0</v>
          </cell>
        </row>
        <row r="160">
          <cell r="A160" t="str">
            <v xml:space="preserve">   growth %</v>
          </cell>
          <cell r="U160">
            <v>8.9626128776969445</v>
          </cell>
          <cell r="V160">
            <v>27.607568846058907</v>
          </cell>
          <cell r="W160">
            <v>2.3877062929975144</v>
          </cell>
          <cell r="X160">
            <v>1.9569481303670484</v>
          </cell>
          <cell r="Y160">
            <v>2.1179299281508723</v>
          </cell>
          <cell r="Z160">
            <v>1.2505735983336042</v>
          </cell>
          <cell r="AA160">
            <v>1.7177233796021303</v>
          </cell>
          <cell r="AB160">
            <v>0.97038963651405075</v>
          </cell>
          <cell r="AC160">
            <v>1.4612879223699009</v>
          </cell>
          <cell r="AD160">
            <v>0.55686547830104494</v>
          </cell>
          <cell r="AE160">
            <v>0.2632436787604695</v>
          </cell>
          <cell r="AF160">
            <v>0.3864296504264606</v>
          </cell>
          <cell r="AG160">
            <v>0.42678809292016062</v>
          </cell>
          <cell r="AH160">
            <v>0.4072705376135719</v>
          </cell>
          <cell r="AI160">
            <v>0.39520223467717064</v>
          </cell>
          <cell r="AJ160">
            <v>0.39592356202917767</v>
          </cell>
          <cell r="AK160">
            <v>0.13528914757621402</v>
          </cell>
          <cell r="AL160">
            <v>0.37487610934446425</v>
          </cell>
          <cell r="AN160">
            <v>0.14091715939697136</v>
          </cell>
          <cell r="AP160">
            <v>0.1751497916603233</v>
          </cell>
          <cell r="AQ160">
            <v>0.22787193973634645</v>
          </cell>
          <cell r="AR160">
            <v>0.39721311475409826</v>
          </cell>
          <cell r="AS160">
            <v>0.11357837785694469</v>
          </cell>
          <cell r="AT160">
            <v>0.22450301277485218</v>
          </cell>
          <cell r="AU160">
            <v>4.4381356069920663E-2</v>
          </cell>
          <cell r="AV160">
            <v>0.16174459696516652</v>
          </cell>
          <cell r="AW160">
            <v>0.13288227748106363</v>
          </cell>
          <cell r="AX160">
            <v>0.15610193565481789</v>
          </cell>
          <cell r="AY160">
            <v>-7.0000000000000062E-2</v>
          </cell>
          <cell r="AZ160">
            <v>7.2638403418887831E-2</v>
          </cell>
          <cell r="BA160">
            <v>4.9692466330739649E-3</v>
          </cell>
          <cell r="BB160">
            <v>4.4209222410156013E-2</v>
          </cell>
          <cell r="BC160">
            <v>1.6723443756373468E-2</v>
          </cell>
          <cell r="BD160">
            <v>5.908638377491604E-2</v>
          </cell>
          <cell r="BE160">
            <v>3.3886496034757574E-2</v>
          </cell>
          <cell r="BF160">
            <v>0.19640147233416627</v>
          </cell>
          <cell r="BG160">
            <v>-1.212607631914131E-2</v>
          </cell>
          <cell r="BH160">
            <v>5.8394160583941535E-2</v>
          </cell>
          <cell r="BI160">
            <v>-5.7142857142857162E-2</v>
          </cell>
          <cell r="BJ160">
            <v>1.9323671497584627E-2</v>
          </cell>
          <cell r="BK160">
            <v>3.4934497816593968E-2</v>
          </cell>
          <cell r="BL160">
            <v>2.3529411764705799E-2</v>
          </cell>
          <cell r="BM160">
            <v>-6.018518518518523E-2</v>
          </cell>
          <cell r="BN160">
            <v>6.8493150684931559E-2</v>
          </cell>
          <cell r="BO160">
            <v>4.5977011494253706E-3</v>
          </cell>
          <cell r="BP160">
            <v>7.0707070707070718E-2</v>
          </cell>
          <cell r="BQ160">
            <v>2.5276461295418606E-2</v>
          </cell>
          <cell r="BR160">
            <v>2.9535864978903037E-2</v>
          </cell>
          <cell r="BS160">
            <v>2.6436781609195492E-2</v>
          </cell>
          <cell r="BT160">
            <v>3.1799805064330444E-2</v>
          </cell>
          <cell r="BU160">
            <v>5.3328576006132611E-2</v>
          </cell>
          <cell r="BV160">
            <v>4.3327796827217657E-2</v>
          </cell>
          <cell r="BW160">
            <v>4.5674605789088663E-2</v>
          </cell>
          <cell r="BX160">
            <v>4.4094396981172457E-2</v>
          </cell>
          <cell r="BY160">
            <v>3.5102331058890712E-2</v>
          </cell>
          <cell r="BZ160">
            <v>4.163743831931721E-2</v>
          </cell>
          <cell r="CA160">
            <v>4.128235337401498E-2</v>
          </cell>
          <cell r="CB160">
            <v>5.6929800898493088E-3</v>
          </cell>
          <cell r="CC160">
            <v>-8.6609529050221123E-3</v>
          </cell>
          <cell r="CD160">
            <v>-8.4745217516551952E-3</v>
          </cell>
          <cell r="CE160">
            <v>-0.26253390912846464</v>
          </cell>
          <cell r="CF160">
            <v>-0.21498924420872167</v>
          </cell>
          <cell r="CG160">
            <v>-0.19999999999999996</v>
          </cell>
          <cell r="CH160">
            <v>-0.5</v>
          </cell>
          <cell r="CI160">
            <v>-0.5</v>
          </cell>
          <cell r="CJ160">
            <v>-0.5</v>
          </cell>
        </row>
        <row r="161">
          <cell r="A161" t="str">
            <v xml:space="preserve">      CER growth</v>
          </cell>
          <cell r="BB161">
            <v>0.1</v>
          </cell>
          <cell r="BC161">
            <v>7.0000000000000007E-2</v>
          </cell>
          <cell r="BD161">
            <v>0.1</v>
          </cell>
          <cell r="BE161">
            <v>0.08</v>
          </cell>
          <cell r="BF161">
            <v>0.21</v>
          </cell>
          <cell r="BG161">
            <v>0</v>
          </cell>
          <cell r="BH161">
            <v>0.1</v>
          </cell>
          <cell r="BI161">
            <v>0.01</v>
          </cell>
          <cell r="BJ161">
            <v>7.0000000000000007E-2</v>
          </cell>
          <cell r="BK161">
            <v>0.06</v>
          </cell>
          <cell r="BL161">
            <v>7.0000000000000007E-2</v>
          </cell>
          <cell r="BM161">
            <v>-0.05</v>
          </cell>
          <cell r="BN161">
            <v>0.09</v>
          </cell>
          <cell r="BO161">
            <v>0.02</v>
          </cell>
          <cell r="BP161">
            <v>0.09</v>
          </cell>
          <cell r="BQ161">
            <v>0.04</v>
          </cell>
          <cell r="BR161">
            <v>0.05</v>
          </cell>
          <cell r="BS161">
            <v>0.04</v>
          </cell>
        </row>
        <row r="162">
          <cell r="A162" t="str">
            <v xml:space="preserve">       Exjade US</v>
          </cell>
          <cell r="BB162">
            <v>66</v>
          </cell>
          <cell r="BC162">
            <v>187</v>
          </cell>
          <cell r="BD162">
            <v>72</v>
          </cell>
          <cell r="BE162">
            <v>259</v>
          </cell>
          <cell r="BF162">
            <v>64</v>
          </cell>
          <cell r="BG162">
            <v>60</v>
          </cell>
          <cell r="BH162">
            <v>124</v>
          </cell>
          <cell r="BI162">
            <v>64</v>
          </cell>
          <cell r="BJ162">
            <v>188</v>
          </cell>
          <cell r="BK162">
            <v>63</v>
          </cell>
          <cell r="BL162">
            <v>251</v>
          </cell>
          <cell r="BM162">
            <v>59</v>
          </cell>
          <cell r="BN162">
            <v>67</v>
          </cell>
          <cell r="BO162">
            <v>126</v>
          </cell>
          <cell r="BP162">
            <v>68</v>
          </cell>
          <cell r="BQ162">
            <v>194</v>
          </cell>
          <cell r="BR162">
            <v>71</v>
          </cell>
          <cell r="BS162">
            <v>265</v>
          </cell>
          <cell r="BT162">
            <v>60.18</v>
          </cell>
          <cell r="BU162">
            <v>68.34</v>
          </cell>
          <cell r="BV162">
            <v>128.52000000000001</v>
          </cell>
          <cell r="BW162">
            <v>69.36</v>
          </cell>
          <cell r="BX162">
            <v>197.88</v>
          </cell>
          <cell r="BY162">
            <v>72.420000000000016</v>
          </cell>
          <cell r="BZ162">
            <v>270.3</v>
          </cell>
          <cell r="CA162">
            <v>275.70600000000002</v>
          </cell>
          <cell r="CB162">
            <v>281.22012000000001</v>
          </cell>
          <cell r="CC162">
            <v>272.7835164</v>
          </cell>
          <cell r="CD162">
            <v>264.600010908</v>
          </cell>
          <cell r="CE162">
            <v>13.230000545400012</v>
          </cell>
          <cell r="CP162">
            <v>2019</v>
          </cell>
        </row>
        <row r="163">
          <cell r="A163" t="str">
            <v xml:space="preserve">           growth </v>
          </cell>
          <cell r="BB163">
            <v>0.02</v>
          </cell>
          <cell r="BC163">
            <v>-0.05</v>
          </cell>
          <cell r="BD163">
            <v>7.0000000000000007E-2</v>
          </cell>
          <cell r="BE163">
            <v>-0.02</v>
          </cell>
          <cell r="BF163">
            <v>0.25</v>
          </cell>
          <cell r="BG163">
            <v>-0.14000000000000001</v>
          </cell>
          <cell r="BH163">
            <v>0.02</v>
          </cell>
          <cell r="BI163">
            <v>0.02</v>
          </cell>
          <cell r="BJ163">
            <v>5.3475935828877219E-3</v>
          </cell>
          <cell r="BK163">
            <v>-0.125</v>
          </cell>
          <cell r="BL163">
            <v>-3.0888030888030937E-2</v>
          </cell>
          <cell r="BM163">
            <v>-7.8125E-2</v>
          </cell>
          <cell r="BN163">
            <v>0.1166666666666667</v>
          </cell>
          <cell r="BO163">
            <v>1.6129032258064502E-2</v>
          </cell>
          <cell r="BP163">
            <v>6.25E-2</v>
          </cell>
          <cell r="BQ163">
            <v>3.1914893617021267E-2</v>
          </cell>
          <cell r="BR163">
            <v>0.12698412698412698</v>
          </cell>
          <cell r="BS163">
            <v>5.5776892430278835E-2</v>
          </cell>
          <cell r="BT163">
            <v>0.02</v>
          </cell>
          <cell r="BU163">
            <v>0.02</v>
          </cell>
          <cell r="BV163">
            <v>2.0000000000000018E-2</v>
          </cell>
          <cell r="BW163">
            <v>0.02</v>
          </cell>
          <cell r="BX163">
            <v>2.0000000000000018E-2</v>
          </cell>
          <cell r="BY163">
            <v>2.000000000000024E-2</v>
          </cell>
          <cell r="BZ163">
            <v>0.02</v>
          </cell>
          <cell r="CA163">
            <v>0.02</v>
          </cell>
          <cell r="CB163">
            <v>0.02</v>
          </cell>
          <cell r="CC163">
            <v>-0.03</v>
          </cell>
          <cell r="CD163">
            <v>-0.03</v>
          </cell>
          <cell r="CE163">
            <v>-0.95</v>
          </cell>
        </row>
        <row r="164">
          <cell r="A164" t="str">
            <v xml:space="preserve">       Exjade ROW</v>
          </cell>
          <cell r="BB164">
            <v>212</v>
          </cell>
          <cell r="BC164">
            <v>434</v>
          </cell>
          <cell r="BD164">
            <v>157</v>
          </cell>
          <cell r="BE164">
            <v>591</v>
          </cell>
          <cell r="BF164">
            <v>152</v>
          </cell>
          <cell r="BG164">
            <v>159</v>
          </cell>
          <cell r="BH164">
            <v>311</v>
          </cell>
          <cell r="BI164">
            <v>134</v>
          </cell>
          <cell r="BJ164">
            <v>445</v>
          </cell>
          <cell r="BK164">
            <v>174</v>
          </cell>
          <cell r="BL164">
            <v>619</v>
          </cell>
          <cell r="BM164">
            <v>144</v>
          </cell>
          <cell r="BN164">
            <v>167</v>
          </cell>
          <cell r="BO164">
            <v>311</v>
          </cell>
          <cell r="BP164">
            <v>144</v>
          </cell>
          <cell r="BQ164">
            <v>455</v>
          </cell>
          <cell r="BR164">
            <v>173</v>
          </cell>
          <cell r="BS164">
            <v>628</v>
          </cell>
          <cell r="BT164">
            <v>149.27536042805909</v>
          </cell>
          <cell r="BU164">
            <v>178.13888678543501</v>
          </cell>
          <cell r="BV164">
            <v>327.41424721349409</v>
          </cell>
          <cell r="BW164">
            <v>152.3230164272868</v>
          </cell>
          <cell r="BX164">
            <v>479.7372636407809</v>
          </cell>
          <cell r="BY164">
            <v>180.14496877836933</v>
          </cell>
          <cell r="BZ164">
            <v>659.88223241915023</v>
          </cell>
          <cell r="CA164">
            <v>692.87634404010782</v>
          </cell>
          <cell r="CB164">
            <v>692.87634404010782</v>
          </cell>
          <cell r="CC164">
            <v>692.87634404010782</v>
          </cell>
          <cell r="CD164">
            <v>692.87634404010782</v>
          </cell>
          <cell r="CE164">
            <v>692.87634404010782</v>
          </cell>
          <cell r="CF164">
            <v>554.3010752320863</v>
          </cell>
          <cell r="CG164">
            <v>443.44086018566907</v>
          </cell>
          <cell r="CH164">
            <v>221.72043009283453</v>
          </cell>
          <cell r="CI164">
            <v>110.86021504641727</v>
          </cell>
          <cell r="CJ164">
            <v>55.430107523208633</v>
          </cell>
          <cell r="CP164">
            <v>2021</v>
          </cell>
        </row>
        <row r="165">
          <cell r="A165" t="str">
            <v xml:space="preserve">           growth </v>
          </cell>
          <cell r="BI165">
            <v>-0.36792452830188682</v>
          </cell>
          <cell r="BJ165">
            <v>2.5345622119815614E-2</v>
          </cell>
          <cell r="BK165">
            <v>0.10828025477707004</v>
          </cell>
          <cell r="BL165">
            <v>4.7377326565143818E-2</v>
          </cell>
          <cell r="BM165">
            <v>-5.2631578947368474E-2</v>
          </cell>
          <cell r="BN165">
            <v>5.031446540880502E-2</v>
          </cell>
          <cell r="BO165">
            <v>0</v>
          </cell>
          <cell r="BP165">
            <v>7.4626865671641784E-2</v>
          </cell>
          <cell r="BQ165">
            <v>2.2471910112359605E-2</v>
          </cell>
          <cell r="BR165">
            <v>-5.7471264367816577E-3</v>
          </cell>
          <cell r="BS165">
            <v>1.4539579967689731E-2</v>
          </cell>
          <cell r="BT165">
            <v>3.6634447417076998E-2</v>
          </cell>
          <cell r="BU165">
            <v>6.669992087086829E-2</v>
          </cell>
          <cell r="BV165">
            <v>5.2778929946926345E-2</v>
          </cell>
          <cell r="BW165">
            <v>5.7798725189491584E-2</v>
          </cell>
          <cell r="BX165">
            <v>5.4367612397320686E-2</v>
          </cell>
          <cell r="BY165">
            <v>4.130039756282855E-2</v>
          </cell>
          <cell r="BZ165">
            <v>5.0767886017755171E-2</v>
          </cell>
          <cell r="CA165">
            <v>5.0000000000000044E-2</v>
          </cell>
          <cell r="CB165">
            <v>0</v>
          </cell>
          <cell r="CC165">
            <v>0</v>
          </cell>
          <cell r="CD165">
            <v>0</v>
          </cell>
          <cell r="CE165">
            <v>0</v>
          </cell>
          <cell r="CF165">
            <v>-0.19999999999999996</v>
          </cell>
          <cell r="CG165">
            <v>-0.19999999999999996</v>
          </cell>
          <cell r="CH165">
            <v>-0.5</v>
          </cell>
          <cell r="CI165">
            <v>-0.5</v>
          </cell>
          <cell r="CJ165">
            <v>-0.5</v>
          </cell>
        </row>
        <row r="166">
          <cell r="A166" t="str">
            <v xml:space="preserve">   CER growth </v>
          </cell>
          <cell r="BB166">
            <v>0.13</v>
          </cell>
          <cell r="BC166">
            <v>0.13</v>
          </cell>
          <cell r="BD166">
            <v>0.12</v>
          </cell>
          <cell r="BE166">
            <v>0.13</v>
          </cell>
          <cell r="BF166">
            <v>0.22</v>
          </cell>
          <cell r="BG166">
            <v>0.06</v>
          </cell>
          <cell r="BH166">
            <v>0.13</v>
          </cell>
          <cell r="BI166">
            <v>0.03</v>
          </cell>
          <cell r="BK166">
            <v>0.14000000000000001</v>
          </cell>
          <cell r="BL166">
            <v>0.11</v>
          </cell>
          <cell r="BM166">
            <v>-0.03</v>
          </cell>
          <cell r="BN166">
            <v>0.08</v>
          </cell>
          <cell r="BO166">
            <v>0.03</v>
          </cell>
          <cell r="BP166">
            <v>0.1</v>
          </cell>
          <cell r="BQ166">
            <v>0.05</v>
          </cell>
          <cell r="BR166">
            <v>0.02</v>
          </cell>
          <cell r="BS166">
            <v>0.04</v>
          </cell>
          <cell r="BT166">
            <v>0.05</v>
          </cell>
          <cell r="BU166">
            <v>0.05</v>
          </cell>
          <cell r="BW166">
            <v>0.05</v>
          </cell>
          <cell r="BY166">
            <v>3.4492130606641913E-2</v>
          </cell>
          <cell r="BZ166">
            <v>0.05</v>
          </cell>
          <cell r="CA166">
            <v>0.05</v>
          </cell>
          <cell r="CB166">
            <v>0</v>
          </cell>
          <cell r="CC166">
            <v>0</v>
          </cell>
          <cell r="CD166">
            <v>0</v>
          </cell>
          <cell r="CE166">
            <v>0</v>
          </cell>
          <cell r="CF166">
            <v>-0.2</v>
          </cell>
          <cell r="CG166">
            <v>-0.2</v>
          </cell>
          <cell r="CH166">
            <v>-0.5</v>
          </cell>
          <cell r="CI166">
            <v>-0.5</v>
          </cell>
          <cell r="CJ166">
            <v>-0.5</v>
          </cell>
        </row>
        <row r="168">
          <cell r="A168" t="str">
            <v>Afinitor</v>
          </cell>
          <cell r="AL168">
            <v>12</v>
          </cell>
          <cell r="AM168">
            <v>12</v>
          </cell>
          <cell r="AN168">
            <v>26</v>
          </cell>
          <cell r="AO168">
            <v>38</v>
          </cell>
          <cell r="AP168">
            <v>32</v>
          </cell>
          <cell r="AQ168">
            <v>70</v>
          </cell>
          <cell r="AR168">
            <v>41</v>
          </cell>
          <cell r="AS168">
            <v>55</v>
          </cell>
          <cell r="AT168">
            <v>96</v>
          </cell>
          <cell r="AU168">
            <v>67</v>
          </cell>
          <cell r="AV168">
            <v>163</v>
          </cell>
          <cell r="AW168">
            <v>80</v>
          </cell>
          <cell r="AX168">
            <v>243</v>
          </cell>
          <cell r="AY168">
            <v>90</v>
          </cell>
          <cell r="AZ168">
            <v>102</v>
          </cell>
          <cell r="BA168">
            <v>192</v>
          </cell>
          <cell r="BB168">
            <v>118</v>
          </cell>
          <cell r="BC168">
            <v>310</v>
          </cell>
          <cell r="BD168">
            <v>133</v>
          </cell>
          <cell r="BE168">
            <v>443</v>
          </cell>
          <cell r="BF168">
            <v>143</v>
          </cell>
          <cell r="BG168">
            <v>175</v>
          </cell>
          <cell r="BH168">
            <v>318</v>
          </cell>
          <cell r="BI168">
            <v>206</v>
          </cell>
          <cell r="BJ168">
            <v>524</v>
          </cell>
          <cell r="BK168">
            <v>273</v>
          </cell>
          <cell r="BL168">
            <v>797</v>
          </cell>
          <cell r="BM168">
            <v>303</v>
          </cell>
          <cell r="BN168">
            <v>308</v>
          </cell>
          <cell r="BO168">
            <v>611</v>
          </cell>
          <cell r="BP168">
            <v>337</v>
          </cell>
          <cell r="BQ168">
            <v>948</v>
          </cell>
          <cell r="BR168">
            <v>361</v>
          </cell>
          <cell r="BS168">
            <v>1309</v>
          </cell>
          <cell r="BT168">
            <v>374.86604335399716</v>
          </cell>
          <cell r="BU168">
            <v>387.46006169100485</v>
          </cell>
          <cell r="BV168">
            <v>762.32610504500201</v>
          </cell>
          <cell r="BW168">
            <v>421.39661250065001</v>
          </cell>
          <cell r="BX168">
            <v>1183.7227175456519</v>
          </cell>
          <cell r="BY168">
            <v>449.46482495593318</v>
          </cell>
          <cell r="BZ168">
            <v>1633.1875425015851</v>
          </cell>
          <cell r="CA168">
            <v>2057.5641789770134</v>
          </cell>
          <cell r="CB168">
            <v>2448.501372982646</v>
          </cell>
          <cell r="CC168">
            <v>2607.7458053616047</v>
          </cell>
          <cell r="CD168">
            <v>2647.0210179152209</v>
          </cell>
          <cell r="CE168">
            <v>2153.6044135291327</v>
          </cell>
          <cell r="CF168">
            <v>1978.7098372074797</v>
          </cell>
          <cell r="CG168">
            <v>1129.8467249665837</v>
          </cell>
          <cell r="CH168">
            <v>677.31680757356685</v>
          </cell>
          <cell r="CI168">
            <v>428.57315985900351</v>
          </cell>
          <cell r="CJ168">
            <v>286.21838478727778</v>
          </cell>
          <cell r="CP168" t="str">
            <v>2018-2020</v>
          </cell>
          <cell r="DM168" t="str">
            <v>mstag:afinitor</v>
          </cell>
          <cell r="DN168">
            <v>6</v>
          </cell>
          <cell r="DO168" t="str">
            <v>ISO4217:ZWD</v>
          </cell>
          <cell r="DP168" t="b">
            <v>0</v>
          </cell>
        </row>
        <row r="169">
          <cell r="A169" t="str">
            <v xml:space="preserve">   growth %</v>
          </cell>
          <cell r="AR169" t="e">
            <v>#DIV/0!</v>
          </cell>
          <cell r="AS169">
            <v>3.5870851215949022</v>
          </cell>
          <cell r="AT169">
            <v>6.9668758941307845</v>
          </cell>
          <cell r="AU169">
            <v>1.5753274214987449</v>
          </cell>
          <cell r="AV169">
            <v>3.2721138035637525</v>
          </cell>
          <cell r="AW169">
            <v>1.4908057747488233</v>
          </cell>
          <cell r="AX169">
            <v>2.4588188506416717</v>
          </cell>
          <cell r="AY169">
            <v>1.1251219512195123</v>
          </cell>
          <cell r="AZ169">
            <v>0.71885052463100907</v>
          </cell>
          <cell r="BA169">
            <v>0.89715253504277737</v>
          </cell>
          <cell r="BB169">
            <v>0.65155709841474851</v>
          </cell>
          <cell r="BC169">
            <v>0.79559829260093573</v>
          </cell>
          <cell r="BD169">
            <v>0.62589260387060985</v>
          </cell>
          <cell r="BE169">
            <v>0.74144619922000765</v>
          </cell>
          <cell r="BF169">
            <v>0.57858645060852987</v>
          </cell>
          <cell r="BG169">
            <v>0.75959468094928317</v>
          </cell>
          <cell r="BH169">
            <v>0.65625</v>
          </cell>
          <cell r="BI169">
            <v>0.74576271186440679</v>
          </cell>
          <cell r="BJ169">
            <v>0.69032258064516139</v>
          </cell>
          <cell r="BK169">
            <v>1.0526315789473686</v>
          </cell>
          <cell r="BL169">
            <v>0.79909706546275405</v>
          </cell>
          <cell r="BM169">
            <v>1.1188811188811187</v>
          </cell>
          <cell r="BN169">
            <v>0.76</v>
          </cell>
          <cell r="BO169">
            <v>0.92138364779874204</v>
          </cell>
          <cell r="BP169">
            <v>0.63592233009708732</v>
          </cell>
          <cell r="BQ169">
            <v>0.80916030534351147</v>
          </cell>
          <cell r="BR169">
            <v>0.32234432234432231</v>
          </cell>
          <cell r="BS169">
            <v>0.64240903387703896</v>
          </cell>
          <cell r="BT169">
            <v>0.23718166123431406</v>
          </cell>
          <cell r="BU169">
            <v>0.2579872132824832</v>
          </cell>
          <cell r="BV169">
            <v>0.24766956635843207</v>
          </cell>
          <cell r="BW169">
            <v>0.25043505193071214</v>
          </cell>
          <cell r="BX169">
            <v>0.24865265563887329</v>
          </cell>
          <cell r="BY169">
            <v>0.24505491677543811</v>
          </cell>
          <cell r="BZ169">
            <v>0.24766046027623001</v>
          </cell>
          <cell r="CA169">
            <v>0.25984562423578272</v>
          </cell>
          <cell r="CB169">
            <v>0.18999999999999995</v>
          </cell>
          <cell r="CC169">
            <v>6.5037509938160598E-2</v>
          </cell>
          <cell r="CD169">
            <v>1.5060981968743059E-2</v>
          </cell>
          <cell r="CE169">
            <v>-0.18640449057510711</v>
          </cell>
          <cell r="CF169">
            <v>-8.1210168043374109E-2</v>
          </cell>
          <cell r="CG169">
            <v>-0.42899827770547827</v>
          </cell>
          <cell r="CH169">
            <v>-0.4005232810728383</v>
          </cell>
          <cell r="CI169">
            <v>-0.36724859760333939</v>
          </cell>
          <cell r="CJ169">
            <v>-0.3321598000177125</v>
          </cell>
        </row>
        <row r="170">
          <cell r="A170" t="str">
            <v xml:space="preserve">      CER growth</v>
          </cell>
          <cell r="BB170">
            <v>0.69</v>
          </cell>
          <cell r="BC170">
            <v>0.82</v>
          </cell>
          <cell r="BD170">
            <v>0.66</v>
          </cell>
          <cell r="BE170">
            <v>0.77</v>
          </cell>
          <cell r="BF170">
            <v>0.6</v>
          </cell>
          <cell r="BG170">
            <v>0.8</v>
          </cell>
          <cell r="BH170">
            <v>0.71</v>
          </cell>
          <cell r="BI170">
            <v>0.82</v>
          </cell>
          <cell r="BJ170">
            <v>0.75</v>
          </cell>
          <cell r="BK170">
            <v>1.08</v>
          </cell>
          <cell r="BL170">
            <v>0.85</v>
          </cell>
          <cell r="BM170">
            <v>1.1399999999999999</v>
          </cell>
          <cell r="BN170">
            <v>0.77</v>
          </cell>
          <cell r="BO170">
            <v>0.94</v>
          </cell>
          <cell r="BP170">
            <v>0.65</v>
          </cell>
          <cell r="BQ170">
            <v>0.83</v>
          </cell>
          <cell r="BR170">
            <v>0.33</v>
          </cell>
          <cell r="BS170">
            <v>0.66</v>
          </cell>
        </row>
        <row r="171">
          <cell r="A171" t="str">
            <v xml:space="preserve">       Afinitor US</v>
          </cell>
          <cell r="BB171">
            <v>49</v>
          </cell>
          <cell r="BC171">
            <v>116</v>
          </cell>
          <cell r="BF171">
            <v>65</v>
          </cell>
          <cell r="BG171">
            <v>86</v>
          </cell>
          <cell r="BH171">
            <v>151</v>
          </cell>
          <cell r="BI171">
            <v>112</v>
          </cell>
          <cell r="BJ171">
            <v>263</v>
          </cell>
          <cell r="BK171">
            <v>149</v>
          </cell>
          <cell r="BL171">
            <v>412</v>
          </cell>
          <cell r="BM171">
            <v>168</v>
          </cell>
          <cell r="BN171">
            <v>160</v>
          </cell>
          <cell r="BO171">
            <v>328</v>
          </cell>
          <cell r="BP171">
            <v>182</v>
          </cell>
          <cell r="BQ171">
            <v>510</v>
          </cell>
          <cell r="BR171">
            <v>181</v>
          </cell>
          <cell r="BS171">
            <v>691</v>
          </cell>
          <cell r="BT171">
            <v>201.6</v>
          </cell>
          <cell r="BU171">
            <v>192</v>
          </cell>
          <cell r="BV171">
            <v>393.6</v>
          </cell>
          <cell r="BW171">
            <v>218.4</v>
          </cell>
          <cell r="BX171">
            <v>612</v>
          </cell>
          <cell r="BY171">
            <v>217.19999999999993</v>
          </cell>
          <cell r="BZ171">
            <v>829.19999999999993</v>
          </cell>
          <cell r="CA171">
            <v>1036.5</v>
          </cell>
          <cell r="CB171">
            <v>1233.4349999999999</v>
          </cell>
          <cell r="CC171">
            <v>1319.7754500000001</v>
          </cell>
          <cell r="CD171">
            <v>1346.170959</v>
          </cell>
          <cell r="CE171">
            <v>1373.0943781800001</v>
          </cell>
          <cell r="CF171">
            <v>1510.4038159980003</v>
          </cell>
          <cell r="CG171">
            <v>755.20190799900013</v>
          </cell>
          <cell r="CH171">
            <v>377.60095399950006</v>
          </cell>
          <cell r="CI171">
            <v>188.80047699975003</v>
          </cell>
          <cell r="CJ171">
            <v>94.400238499875016</v>
          </cell>
          <cell r="CP171">
            <v>2020</v>
          </cell>
        </row>
        <row r="172">
          <cell r="A172" t="str">
            <v xml:space="preserve">           growth </v>
          </cell>
          <cell r="BB172">
            <v>0.96</v>
          </cell>
          <cell r="BC172">
            <v>0.66</v>
          </cell>
          <cell r="BF172">
            <v>1.1000000000000001</v>
          </cell>
          <cell r="BG172">
            <v>1.39</v>
          </cell>
          <cell r="BH172">
            <v>1.25</v>
          </cell>
          <cell r="BI172">
            <v>1.29</v>
          </cell>
          <cell r="BJ172">
            <v>1.2672413793103448</v>
          </cell>
          <cell r="BK172">
            <v>1.76</v>
          </cell>
          <cell r="BL172">
            <v>1.42</v>
          </cell>
          <cell r="BM172">
            <v>1.5846153846153848</v>
          </cell>
          <cell r="BN172">
            <v>0.86046511627906974</v>
          </cell>
          <cell r="BO172">
            <v>1.1721854304635762</v>
          </cell>
          <cell r="BP172">
            <v>0.625</v>
          </cell>
          <cell r="BQ172">
            <v>0.93916349809885924</v>
          </cell>
          <cell r="BR172">
            <v>0.21476510067114085</v>
          </cell>
          <cell r="BS172">
            <v>0.67718446601941751</v>
          </cell>
          <cell r="BT172">
            <v>0.2</v>
          </cell>
          <cell r="BU172">
            <v>0.2</v>
          </cell>
          <cell r="BV172">
            <v>0.20000000000000018</v>
          </cell>
          <cell r="BW172">
            <v>0.2</v>
          </cell>
          <cell r="BX172">
            <v>0.19999999999999996</v>
          </cell>
          <cell r="BY172">
            <v>0.19999999999999973</v>
          </cell>
          <cell r="BZ172">
            <v>0.2</v>
          </cell>
          <cell r="CA172">
            <v>0.25</v>
          </cell>
          <cell r="CB172">
            <v>0.19</v>
          </cell>
          <cell r="CC172">
            <v>7.0000000000000007E-2</v>
          </cell>
          <cell r="CD172">
            <v>0.02</v>
          </cell>
          <cell r="CE172">
            <v>0.02</v>
          </cell>
          <cell r="CF172">
            <v>0.1</v>
          </cell>
          <cell r="CG172">
            <v>-0.5</v>
          </cell>
          <cell r="CH172">
            <v>-0.5</v>
          </cell>
          <cell r="CI172">
            <v>-0.5</v>
          </cell>
          <cell r="CJ172">
            <v>-0.5</v>
          </cell>
        </row>
        <row r="173">
          <cell r="A173" t="str">
            <v xml:space="preserve">       Afinitor ROW</v>
          </cell>
          <cell r="BB173">
            <v>69</v>
          </cell>
          <cell r="BC173">
            <v>194</v>
          </cell>
          <cell r="BF173">
            <v>78</v>
          </cell>
          <cell r="BG173">
            <v>89</v>
          </cell>
          <cell r="BH173">
            <v>167</v>
          </cell>
          <cell r="BI173">
            <v>94</v>
          </cell>
          <cell r="BJ173">
            <v>261</v>
          </cell>
          <cell r="BK173">
            <v>124</v>
          </cell>
          <cell r="BL173">
            <v>385</v>
          </cell>
          <cell r="BM173">
            <v>135</v>
          </cell>
          <cell r="BN173">
            <v>148</v>
          </cell>
          <cell r="BO173">
            <v>283</v>
          </cell>
          <cell r="BP173">
            <v>155</v>
          </cell>
          <cell r="BQ173">
            <v>438</v>
          </cell>
          <cell r="BR173">
            <v>180</v>
          </cell>
          <cell r="BS173">
            <v>618</v>
          </cell>
          <cell r="BT173">
            <v>173.26604335399713</v>
          </cell>
          <cell r="BU173">
            <v>195.46006169100482</v>
          </cell>
          <cell r="BV173">
            <v>368.72610504500199</v>
          </cell>
          <cell r="BW173">
            <v>202.99661250065003</v>
          </cell>
          <cell r="BX173">
            <v>571.72271754565202</v>
          </cell>
          <cell r="BY173">
            <v>232.26482495593325</v>
          </cell>
          <cell r="BZ173">
            <v>803.98754250158527</v>
          </cell>
          <cell r="CA173">
            <v>1021.0641789770133</v>
          </cell>
          <cell r="CB173">
            <v>1215.0663729826458</v>
          </cell>
          <cell r="CC173">
            <v>1287.9703553616046</v>
          </cell>
          <cell r="CD173">
            <v>1300.8500589152206</v>
          </cell>
          <cell r="CE173">
            <v>780.51003534913241</v>
          </cell>
          <cell r="CF173">
            <v>468.30602120947941</v>
          </cell>
          <cell r="CG173">
            <v>374.64481696758355</v>
          </cell>
          <cell r="CH173">
            <v>299.71585357406684</v>
          </cell>
          <cell r="CI173">
            <v>239.77268285925348</v>
          </cell>
          <cell r="CJ173">
            <v>191.81814628740278</v>
          </cell>
          <cell r="CP173" t="str">
            <v>2018-2019</v>
          </cell>
        </row>
        <row r="174">
          <cell r="A174" t="str">
            <v xml:space="preserve">           growth </v>
          </cell>
          <cell r="BI174">
            <v>0.3623188405797102</v>
          </cell>
          <cell r="BJ174">
            <v>0.34536082474226815</v>
          </cell>
          <cell r="BM174">
            <v>0.73076923076923084</v>
          </cell>
          <cell r="BN174">
            <v>0.66292134831460681</v>
          </cell>
          <cell r="BO174">
            <v>0.6946107784431137</v>
          </cell>
          <cell r="BP174">
            <v>0.64893617021276606</v>
          </cell>
          <cell r="BQ174">
            <v>0.67816091954022983</v>
          </cell>
          <cell r="BR174">
            <v>0.45161290322580649</v>
          </cell>
          <cell r="BS174">
            <v>0.60519480519480529</v>
          </cell>
          <cell r="BT174">
            <v>0.28345217299257142</v>
          </cell>
          <cell r="BU174">
            <v>0.3206760925067893</v>
          </cell>
          <cell r="BV174">
            <v>0.30291909909894699</v>
          </cell>
          <cell r="BW174">
            <v>0.30965556452032272</v>
          </cell>
          <cell r="BX174">
            <v>0.30530300809509603</v>
          </cell>
          <cell r="BY174">
            <v>0.29036013864407351</v>
          </cell>
          <cell r="BZ174">
            <v>0.30095071602198264</v>
          </cell>
          <cell r="CA174">
            <v>0.27</v>
          </cell>
          <cell r="CB174">
            <v>0.18999999999999995</v>
          </cell>
          <cell r="CC174">
            <v>6.0000000000000053E-2</v>
          </cell>
          <cell r="CD174">
            <v>1.0000000000000009E-2</v>
          </cell>
          <cell r="CE174">
            <v>-0.4</v>
          </cell>
          <cell r="CF174">
            <v>-0.4</v>
          </cell>
          <cell r="CG174">
            <v>-0.19999999999999996</v>
          </cell>
          <cell r="CH174">
            <v>-0.19999999999999996</v>
          </cell>
          <cell r="CI174">
            <v>-0.19999999999999996</v>
          </cell>
          <cell r="CJ174">
            <v>-0.19999999999999996</v>
          </cell>
        </row>
        <row r="175">
          <cell r="A175" t="str">
            <v xml:space="preserve">   CER growth </v>
          </cell>
          <cell r="BB175">
            <v>0.55000000000000004</v>
          </cell>
          <cell r="BC175">
            <v>0.94</v>
          </cell>
          <cell r="BF175">
            <v>0.35</v>
          </cell>
          <cell r="BG175">
            <v>0.47</v>
          </cell>
          <cell r="BH175">
            <v>0.41</v>
          </cell>
          <cell r="BI175">
            <v>0.49</v>
          </cell>
          <cell r="BK175">
            <v>0.61</v>
          </cell>
          <cell r="BL175">
            <v>0.49</v>
          </cell>
          <cell r="BM175">
            <v>0.79</v>
          </cell>
          <cell r="BN175">
            <v>0.69</v>
          </cell>
          <cell r="BO175">
            <v>0.74</v>
          </cell>
          <cell r="BP175">
            <v>0.68</v>
          </cell>
          <cell r="BQ175">
            <v>0.71</v>
          </cell>
          <cell r="BR175">
            <v>0.47</v>
          </cell>
          <cell r="BS175">
            <v>0.64</v>
          </cell>
          <cell r="BT175">
            <v>0.3</v>
          </cell>
          <cell r="BU175">
            <v>0.3</v>
          </cell>
          <cell r="BW175">
            <v>0.3</v>
          </cell>
          <cell r="BY175">
            <v>0.28355187168788687</v>
          </cell>
          <cell r="BZ175">
            <v>0.3</v>
          </cell>
          <cell r="CA175">
            <v>0.27</v>
          </cell>
          <cell r="CB175">
            <v>0.19</v>
          </cell>
          <cell r="CC175">
            <v>0.06</v>
          </cell>
          <cell r="CD175">
            <v>0.01</v>
          </cell>
          <cell r="CE175">
            <v>-0.4</v>
          </cell>
          <cell r="CF175">
            <v>-0.4</v>
          </cell>
          <cell r="CG175">
            <v>-0.2</v>
          </cell>
          <cell r="CH175">
            <v>-0.2</v>
          </cell>
          <cell r="CI175">
            <v>-0.2</v>
          </cell>
          <cell r="CJ175">
            <v>-0.2</v>
          </cell>
        </row>
        <row r="177">
          <cell r="A177" t="str">
            <v>Femara</v>
          </cell>
          <cell r="B177">
            <v>78</v>
          </cell>
          <cell r="C177">
            <v>92</v>
          </cell>
          <cell r="D177">
            <v>170</v>
          </cell>
          <cell r="E177">
            <v>101</v>
          </cell>
          <cell r="F177">
            <v>271</v>
          </cell>
          <cell r="G177">
            <v>115</v>
          </cell>
          <cell r="H177">
            <v>386</v>
          </cell>
          <cell r="I177">
            <v>118</v>
          </cell>
          <cell r="J177">
            <v>136</v>
          </cell>
          <cell r="K177">
            <v>254</v>
          </cell>
          <cell r="L177">
            <v>136</v>
          </cell>
          <cell r="M177">
            <v>390</v>
          </cell>
          <cell r="N177">
            <v>146</v>
          </cell>
          <cell r="O177">
            <v>536</v>
          </cell>
          <cell r="P177">
            <v>152</v>
          </cell>
          <cell r="Q177">
            <v>174</v>
          </cell>
          <cell r="R177">
            <v>326</v>
          </cell>
          <cell r="S177">
            <v>189</v>
          </cell>
          <cell r="T177">
            <v>515</v>
          </cell>
          <cell r="U177">
            <v>204</v>
          </cell>
          <cell r="V177">
            <v>719</v>
          </cell>
          <cell r="W177">
            <v>208</v>
          </cell>
          <cell r="X177">
            <v>231</v>
          </cell>
          <cell r="Y177">
            <v>439</v>
          </cell>
          <cell r="Z177">
            <v>240</v>
          </cell>
          <cell r="AA177">
            <v>679</v>
          </cell>
          <cell r="AB177">
            <v>258</v>
          </cell>
          <cell r="AC177">
            <v>937</v>
          </cell>
          <cell r="AD177">
            <v>270</v>
          </cell>
          <cell r="AE177">
            <v>291</v>
          </cell>
          <cell r="AF177">
            <v>561</v>
          </cell>
          <cell r="AG177">
            <v>289</v>
          </cell>
          <cell r="AH177">
            <v>850</v>
          </cell>
          <cell r="AI177">
            <v>279</v>
          </cell>
          <cell r="AJ177">
            <v>1129</v>
          </cell>
          <cell r="AK177">
            <v>286</v>
          </cell>
          <cell r="AL177">
            <v>310</v>
          </cell>
          <cell r="AM177">
            <v>596</v>
          </cell>
          <cell r="AN177">
            <v>329</v>
          </cell>
          <cell r="AO177">
            <v>925</v>
          </cell>
          <cell r="AP177">
            <v>341</v>
          </cell>
          <cell r="AQ177">
            <v>1266</v>
          </cell>
          <cell r="AR177">
            <v>344</v>
          </cell>
          <cell r="AS177">
            <v>338</v>
          </cell>
          <cell r="AT177">
            <v>682</v>
          </cell>
          <cell r="AU177">
            <v>343</v>
          </cell>
          <cell r="AV177">
            <v>1025</v>
          </cell>
          <cell r="AW177">
            <v>351</v>
          </cell>
          <cell r="AX177">
            <v>1376</v>
          </cell>
          <cell r="AY177">
            <v>354</v>
          </cell>
          <cell r="AZ177">
            <v>241</v>
          </cell>
          <cell r="BA177">
            <v>595</v>
          </cell>
          <cell r="BB177">
            <v>182</v>
          </cell>
          <cell r="BC177">
            <v>777</v>
          </cell>
          <cell r="BD177">
            <v>134</v>
          </cell>
          <cell r="BE177">
            <v>911</v>
          </cell>
          <cell r="BF177">
            <v>107</v>
          </cell>
          <cell r="BG177">
            <v>115</v>
          </cell>
          <cell r="BH177">
            <v>222.00000000000003</v>
          </cell>
          <cell r="BI177">
            <v>105</v>
          </cell>
          <cell r="BJ177">
            <v>327</v>
          </cell>
          <cell r="BK177">
            <v>111</v>
          </cell>
          <cell r="BL177">
            <v>438</v>
          </cell>
          <cell r="BM177">
            <v>97</v>
          </cell>
          <cell r="BN177">
            <v>97</v>
          </cell>
          <cell r="BO177">
            <v>194</v>
          </cell>
          <cell r="BP177">
            <v>90</v>
          </cell>
          <cell r="BQ177">
            <v>284</v>
          </cell>
          <cell r="BR177">
            <v>100</v>
          </cell>
          <cell r="BS177">
            <v>384</v>
          </cell>
          <cell r="BT177">
            <v>72.663138409425585</v>
          </cell>
          <cell r="BU177">
            <v>75.583308678850102</v>
          </cell>
          <cell r="BV177">
            <v>148.24644708827569</v>
          </cell>
          <cell r="BW177">
            <v>68.50506029798612</v>
          </cell>
          <cell r="BX177">
            <v>216.75150738626181</v>
          </cell>
          <cell r="BY177">
            <v>75.462038058675802</v>
          </cell>
          <cell r="BZ177">
            <v>292.21354544493761</v>
          </cell>
          <cell r="CA177">
            <v>204.5494818114563</v>
          </cell>
          <cell r="CB177">
            <v>163.63958544916505</v>
          </cell>
          <cell r="CC177">
            <v>114.54770981441553</v>
          </cell>
          <cell r="CD177">
            <v>85.910782360811652</v>
          </cell>
          <cell r="CE177">
            <v>64.433086770608739</v>
          </cell>
          <cell r="CF177">
            <v>48.324815077956558</v>
          </cell>
          <cell r="CG177">
            <v>36.243611308467422</v>
          </cell>
          <cell r="CH177">
            <v>27.182708481350566</v>
          </cell>
          <cell r="CI177">
            <v>20.387031361012923</v>
          </cell>
          <cell r="CJ177">
            <v>15.290273520759692</v>
          </cell>
          <cell r="CM177">
            <v>-4.5258489763683858E-2</v>
          </cell>
          <cell r="CP177" t="str">
            <v>2011 (US and Europe) / 2007 (SP)</v>
          </cell>
          <cell r="CQ177">
            <v>0.51282051282051277</v>
          </cell>
          <cell r="CR177">
            <v>0.47826086956521729</v>
          </cell>
          <cell r="CS177">
            <v>0.34653465346534662</v>
          </cell>
          <cell r="CT177">
            <v>0.26956521739130435</v>
          </cell>
          <cell r="CU177">
            <v>0.3886010362694301</v>
          </cell>
          <cell r="CV177">
            <v>0.28813559322033888</v>
          </cell>
          <cell r="CW177">
            <v>0.27941176470588225</v>
          </cell>
          <cell r="CX177">
            <v>0.38970588235294112</v>
          </cell>
          <cell r="CY177">
            <v>0.39726027397260277</v>
          </cell>
          <cell r="CZ177">
            <v>0.34141791044776126</v>
          </cell>
          <cell r="DA177">
            <v>0.36842105263157898</v>
          </cell>
          <cell r="DB177">
            <v>0.32758620689655182</v>
          </cell>
          <cell r="DC177">
            <v>0.26984126984126977</v>
          </cell>
          <cell r="DD177">
            <v>0.15</v>
          </cell>
          <cell r="DE177">
            <v>0.30319888734353273</v>
          </cell>
          <cell r="DF177">
            <v>0.15</v>
          </cell>
          <cell r="DG177">
            <v>0.1</v>
          </cell>
          <cell r="DH177">
            <v>0.1</v>
          </cell>
          <cell r="DI177">
            <v>-0.5</v>
          </cell>
          <cell r="DJ177">
            <v>-0.1</v>
          </cell>
          <cell r="DK177">
            <v>-0.1</v>
          </cell>
        </row>
        <row r="178">
          <cell r="A178" t="str">
            <v xml:space="preserve">   growth %</v>
          </cell>
          <cell r="O178">
            <v>0.3886010362694301</v>
          </cell>
          <cell r="P178">
            <v>0.28813559322033888</v>
          </cell>
          <cell r="Q178">
            <v>0.27941176470588225</v>
          </cell>
          <cell r="R178">
            <v>0.2834645669291338</v>
          </cell>
          <cell r="S178">
            <v>0.38970588235294112</v>
          </cell>
          <cell r="T178">
            <v>0.32051282051282048</v>
          </cell>
          <cell r="U178">
            <v>0.39726027397260277</v>
          </cell>
          <cell r="V178">
            <v>0.34141791044776126</v>
          </cell>
          <cell r="W178">
            <v>0.36842105263157898</v>
          </cell>
          <cell r="X178">
            <v>0.32758620689655182</v>
          </cell>
          <cell r="Y178">
            <v>0.34662576687116564</v>
          </cell>
          <cell r="Z178">
            <v>0.26984126984126977</v>
          </cell>
          <cell r="AA178">
            <v>0.31844660194174756</v>
          </cell>
          <cell r="AB178">
            <v>0.26470588235294112</v>
          </cell>
          <cell r="AC178">
            <v>0.30319888734353273</v>
          </cell>
          <cell r="AD178">
            <v>0.29807692307692313</v>
          </cell>
          <cell r="AE178">
            <v>0.25974025974025983</v>
          </cell>
          <cell r="AF178">
            <v>0.27790432801822318</v>
          </cell>
          <cell r="AG178">
            <v>0.20416666666666661</v>
          </cell>
          <cell r="AH178">
            <v>0.25184094256259204</v>
          </cell>
          <cell r="AI178">
            <v>8.1395348837209225E-2</v>
          </cell>
          <cell r="AJ178">
            <v>0.20490928495197447</v>
          </cell>
          <cell r="AK178">
            <v>5.9259259259259345E-2</v>
          </cell>
          <cell r="AL178">
            <v>6.5292096219931262E-2</v>
          </cell>
          <cell r="AM178">
            <v>6.2388591800356608E-2</v>
          </cell>
          <cell r="AN178">
            <v>0.1384083044982698</v>
          </cell>
          <cell r="AO178">
            <v>8.8235294117646967E-2</v>
          </cell>
          <cell r="AP178">
            <v>0.22222222222222232</v>
          </cell>
          <cell r="AQ178">
            <v>0.12134632418069091</v>
          </cell>
          <cell r="AR178">
            <v>0.2027972027972027</v>
          </cell>
          <cell r="AS178">
            <v>9.0322580645161299E-2</v>
          </cell>
          <cell r="AT178">
            <v>0.14429530201342278</v>
          </cell>
          <cell r="AU178">
            <v>4.2553191489361764E-2</v>
          </cell>
          <cell r="AV178">
            <v>0.10810810810810811</v>
          </cell>
          <cell r="AW178">
            <v>2.9325513196480912E-2</v>
          </cell>
          <cell r="AX178">
            <v>8.6887835703001626E-2</v>
          </cell>
          <cell r="AY178">
            <v>-4.0930232558139545E-2</v>
          </cell>
          <cell r="AZ178">
            <v>-0.42267717843515551</v>
          </cell>
          <cell r="BA178">
            <v>-0.23041344736191471</v>
          </cell>
          <cell r="BB178">
            <v>-0.57902468653803851</v>
          </cell>
          <cell r="BC178">
            <v>-0.3481934177088053</v>
          </cell>
          <cell r="BD178">
            <v>-0.65484101436300846</v>
          </cell>
          <cell r="BE178">
            <v>-0.41953511478133221</v>
          </cell>
          <cell r="BF178">
            <v>-0.70804255127470928</v>
          </cell>
          <cell r="BG178">
            <v>-0.47891317032400604</v>
          </cell>
          <cell r="BH178">
            <v>-0.626890756302521</v>
          </cell>
          <cell r="BI178">
            <v>-0.42307692307692313</v>
          </cell>
          <cell r="BJ178">
            <v>-0.5791505791505791</v>
          </cell>
          <cell r="BK178">
            <v>-0.17164179104477617</v>
          </cell>
          <cell r="BL178">
            <v>-0.51920965971459931</v>
          </cell>
          <cell r="BM178">
            <v>-9.3457943925233655E-2</v>
          </cell>
          <cell r="BN178">
            <v>-0.15652173913043477</v>
          </cell>
          <cell r="BO178">
            <v>-0.12612612612612628</v>
          </cell>
          <cell r="BP178">
            <v>-0.1428571428571429</v>
          </cell>
          <cell r="BQ178">
            <v>-0.13149847094801226</v>
          </cell>
          <cell r="BR178">
            <v>-9.9099099099099086E-2</v>
          </cell>
          <cell r="BS178">
            <v>-0.12328767123287676</v>
          </cell>
          <cell r="BT178">
            <v>-0.25089548031520015</v>
          </cell>
          <cell r="BU178">
            <v>-0.22079063217680306</v>
          </cell>
          <cell r="BV178">
            <v>-0.23584305624600166</v>
          </cell>
          <cell r="BW178">
            <v>-0.23883266335570974</v>
          </cell>
          <cell r="BX178">
            <v>-0.23679046694978234</v>
          </cell>
          <cell r="BY178">
            <v>-0.24537961941324193</v>
          </cell>
          <cell r="BZ178">
            <v>-0.23902722540380827</v>
          </cell>
          <cell r="CA178">
            <v>-0.30000000000000004</v>
          </cell>
          <cell r="CB178">
            <v>-0.19999999999999996</v>
          </cell>
          <cell r="CC178">
            <v>-0.30000000000000004</v>
          </cell>
          <cell r="CD178">
            <v>-0.24999999999999989</v>
          </cell>
          <cell r="CE178">
            <v>-0.25</v>
          </cell>
          <cell r="CF178">
            <v>-0.25</v>
          </cell>
          <cell r="CG178">
            <v>-0.24999999999999989</v>
          </cell>
          <cell r="CH178">
            <v>-0.25</v>
          </cell>
          <cell r="CI178">
            <v>-0.25000000000000011</v>
          </cell>
          <cell r="CJ178">
            <v>-0.25</v>
          </cell>
        </row>
        <row r="179">
          <cell r="A179" t="str">
            <v xml:space="preserve">      CER growth</v>
          </cell>
          <cell r="BB179">
            <v>-0.51</v>
          </cell>
          <cell r="BC179">
            <v>-0.28000000000000003</v>
          </cell>
          <cell r="BD179">
            <v>-0.62</v>
          </cell>
          <cell r="BE179">
            <v>-0.37</v>
          </cell>
          <cell r="BF179">
            <v>-0.69</v>
          </cell>
          <cell r="BG179">
            <v>-0.5</v>
          </cell>
          <cell r="BH179">
            <v>-0.61</v>
          </cell>
          <cell r="BI179">
            <v>-0.38</v>
          </cell>
          <cell r="BJ179">
            <v>-0.56000000000000005</v>
          </cell>
          <cell r="BK179">
            <v>-0.15</v>
          </cell>
          <cell r="BL179">
            <v>-0.5</v>
          </cell>
          <cell r="BM179">
            <v>-0.05</v>
          </cell>
          <cell r="BN179">
            <v>-0.1</v>
          </cell>
          <cell r="BO179">
            <v>-0.08</v>
          </cell>
          <cell r="BP179">
            <v>-0.09</v>
          </cell>
          <cell r="BQ179">
            <v>-0.08</v>
          </cell>
          <cell r="BR179">
            <v>-0.05</v>
          </cell>
          <cell r="BS179">
            <v>-7.0000000000000007E-2</v>
          </cell>
        </row>
        <row r="180">
          <cell r="A180" t="str">
            <v xml:space="preserve">       Femara US</v>
          </cell>
          <cell r="H180">
            <v>166</v>
          </cell>
          <cell r="O180">
            <v>242</v>
          </cell>
          <cell r="P180">
            <v>72</v>
          </cell>
          <cell r="Q180">
            <v>84</v>
          </cell>
          <cell r="R180">
            <v>156</v>
          </cell>
          <cell r="S180">
            <v>90</v>
          </cell>
          <cell r="T180">
            <v>246</v>
          </cell>
          <cell r="U180">
            <v>92</v>
          </cell>
          <cell r="V180">
            <v>338</v>
          </cell>
          <cell r="W180">
            <v>96</v>
          </cell>
          <cell r="X180">
            <v>103</v>
          </cell>
          <cell r="Y180">
            <v>199</v>
          </cell>
          <cell r="Z180">
            <v>105</v>
          </cell>
          <cell r="AA180">
            <v>304</v>
          </cell>
          <cell r="AB180">
            <v>107</v>
          </cell>
          <cell r="AC180">
            <v>411</v>
          </cell>
          <cell r="AD180">
            <v>116</v>
          </cell>
          <cell r="AE180">
            <v>119</v>
          </cell>
          <cell r="AF180">
            <v>235</v>
          </cell>
          <cell r="AG180">
            <v>125</v>
          </cell>
          <cell r="AH180">
            <v>360</v>
          </cell>
          <cell r="AI180">
            <v>123</v>
          </cell>
          <cell r="AJ180">
            <v>483</v>
          </cell>
          <cell r="AK180">
            <v>131</v>
          </cell>
          <cell r="AL180">
            <v>141</v>
          </cell>
          <cell r="AM180">
            <v>272</v>
          </cell>
          <cell r="AN180">
            <v>150</v>
          </cell>
          <cell r="AO180">
            <v>422</v>
          </cell>
          <cell r="AP180">
            <v>150</v>
          </cell>
          <cell r="AQ180">
            <v>572</v>
          </cell>
          <cell r="AR180">
            <v>159</v>
          </cell>
          <cell r="AS180">
            <v>163</v>
          </cell>
          <cell r="AT180">
            <v>322</v>
          </cell>
          <cell r="AU180">
            <v>169</v>
          </cell>
          <cell r="AV180">
            <v>491</v>
          </cell>
          <cell r="AW180">
            <v>159</v>
          </cell>
          <cell r="AX180">
            <v>650</v>
          </cell>
          <cell r="AY180">
            <v>169</v>
          </cell>
          <cell r="AZ180">
            <v>37</v>
          </cell>
          <cell r="BA180">
            <v>206</v>
          </cell>
          <cell r="BB180">
            <v>8</v>
          </cell>
          <cell r="BC180">
            <v>214</v>
          </cell>
          <cell r="BD180">
            <v>5</v>
          </cell>
          <cell r="BE180">
            <v>219</v>
          </cell>
          <cell r="BF180">
            <v>8.4500000000000082</v>
          </cell>
          <cell r="BG180">
            <v>8</v>
          </cell>
          <cell r="BH180">
            <v>16.45000000000001</v>
          </cell>
          <cell r="BI180">
            <v>8</v>
          </cell>
          <cell r="BJ180">
            <v>24.45000000000001</v>
          </cell>
          <cell r="BK180">
            <v>7</v>
          </cell>
          <cell r="BL180">
            <v>31.45000000000001</v>
          </cell>
          <cell r="BM180">
            <v>5</v>
          </cell>
          <cell r="BN180">
            <v>4</v>
          </cell>
          <cell r="BO180">
            <v>9</v>
          </cell>
          <cell r="BP180">
            <v>5</v>
          </cell>
          <cell r="BQ180">
            <v>14</v>
          </cell>
          <cell r="BR180">
            <v>5</v>
          </cell>
          <cell r="BS180">
            <v>19</v>
          </cell>
          <cell r="CO180">
            <v>0.3</v>
          </cell>
          <cell r="CP180">
            <v>2011</v>
          </cell>
          <cell r="CQ180" t="e">
            <v>#DIV/0!</v>
          </cell>
          <cell r="CR180" t="e">
            <v>#DIV/0!</v>
          </cell>
          <cell r="CS180" t="e">
            <v>#DIV/0!</v>
          </cell>
          <cell r="CT180" t="e">
            <v>#DIV/0!</v>
          </cell>
          <cell r="CU180">
            <v>0.45783132530120474</v>
          </cell>
          <cell r="CZ180">
            <v>0.39669421487603307</v>
          </cell>
          <cell r="DA180">
            <v>0.33333333333333326</v>
          </cell>
          <cell r="DB180">
            <v>0.22619047619047628</v>
          </cell>
          <cell r="DC180">
            <v>0.16666666666666674</v>
          </cell>
          <cell r="DD180">
            <v>0.2</v>
          </cell>
          <cell r="DE180">
            <v>0.21597633136094685</v>
          </cell>
          <cell r="DF180">
            <v>0.15</v>
          </cell>
          <cell r="DG180">
            <v>0.12</v>
          </cell>
          <cell r="DH180">
            <v>0.1</v>
          </cell>
          <cell r="DI180">
            <v>0.08</v>
          </cell>
          <cell r="DJ180">
            <v>-0.75</v>
          </cell>
          <cell r="DK180">
            <v>-0.2</v>
          </cell>
          <cell r="DM180" t="str">
            <v>mstag:femaraUS</v>
          </cell>
          <cell r="DN180">
            <v>6</v>
          </cell>
          <cell r="DO180" t="str">
            <v>ISO4217:USD</v>
          </cell>
          <cell r="DP180" t="b">
            <v>0</v>
          </cell>
        </row>
        <row r="181">
          <cell r="A181" t="str">
            <v xml:space="preserve">           growth </v>
          </cell>
          <cell r="O181">
            <v>0.45783132530120474</v>
          </cell>
          <cell r="V181">
            <v>0.39669421487603307</v>
          </cell>
          <cell r="W181">
            <v>0.33333333333333326</v>
          </cell>
          <cell r="X181">
            <v>0.22619047619047628</v>
          </cell>
          <cell r="Y181">
            <v>0.27564102564102555</v>
          </cell>
          <cell r="Z181">
            <v>0.16666666666666674</v>
          </cell>
          <cell r="AA181">
            <v>0.2357723577235773</v>
          </cell>
          <cell r="AB181">
            <v>0.16304347826086962</v>
          </cell>
          <cell r="AC181">
            <v>0.21597633136094685</v>
          </cell>
          <cell r="AD181">
            <v>0.20833333333333326</v>
          </cell>
          <cell r="AE181">
            <v>0.15533980582524265</v>
          </cell>
          <cell r="AF181">
            <v>0.18090452261306522</v>
          </cell>
          <cell r="AG181">
            <v>9.3060880014651959E-2</v>
          </cell>
          <cell r="AH181">
            <v>0.18421052631578938</v>
          </cell>
          <cell r="AI181">
            <v>0.14953271028037385</v>
          </cell>
          <cell r="AJ181">
            <v>0.17518248175182483</v>
          </cell>
          <cell r="AK181">
            <v>0.1293103448275863</v>
          </cell>
          <cell r="AL181">
            <v>0.18487394957983194</v>
          </cell>
          <cell r="AN181">
            <v>0.19999999999999996</v>
          </cell>
          <cell r="AP181">
            <v>0.21951219512195119</v>
          </cell>
          <cell r="AQ181">
            <v>0.18426501035196696</v>
          </cell>
          <cell r="AR181">
            <v>0.21374045801526709</v>
          </cell>
          <cell r="AS181">
            <v>0.15602836879432624</v>
          </cell>
          <cell r="AT181">
            <v>0.18382352941176472</v>
          </cell>
          <cell r="AU181">
            <v>0.12666666666666671</v>
          </cell>
          <cell r="AV181">
            <v>0.1635071090047393</v>
          </cell>
          <cell r="AW181">
            <v>6.0000000000000053E-2</v>
          </cell>
          <cell r="AX181">
            <v>0.13636363636363646</v>
          </cell>
          <cell r="AY181">
            <v>6.2893081761006275E-2</v>
          </cell>
          <cell r="AZ181">
            <v>-0.77300613496932513</v>
          </cell>
          <cell r="BA181">
            <v>-0.36024844720496896</v>
          </cell>
          <cell r="BB181">
            <v>-0.9526627218934911</v>
          </cell>
          <cell r="BC181">
            <v>-0.56415478615071279</v>
          </cell>
          <cell r="BD181">
            <v>-0.96855345911949686</v>
          </cell>
          <cell r="BE181">
            <v>-0.66307692307692312</v>
          </cell>
          <cell r="BF181">
            <v>-0.95</v>
          </cell>
          <cell r="BG181">
            <v>-0.95</v>
          </cell>
          <cell r="BH181">
            <v>-0.9201456310679611</v>
          </cell>
          <cell r="BI181">
            <v>0</v>
          </cell>
          <cell r="BJ181">
            <v>-0.88574766355140178</v>
          </cell>
          <cell r="BK181">
            <v>0.39999999999999991</v>
          </cell>
          <cell r="BL181">
            <v>-0.85639269406392693</v>
          </cell>
          <cell r="BM181">
            <v>-0.40828402366863958</v>
          </cell>
          <cell r="BN181">
            <v>-0.5</v>
          </cell>
          <cell r="BO181">
            <v>-0.45288753799392134</v>
          </cell>
          <cell r="BP181">
            <v>-0.375</v>
          </cell>
          <cell r="BQ181">
            <v>-0.42740286298568531</v>
          </cell>
          <cell r="BR181">
            <v>-0.2857142857142857</v>
          </cell>
          <cell r="BS181">
            <v>-0.39586645468998427</v>
          </cell>
        </row>
        <row r="182">
          <cell r="A182" t="str">
            <v xml:space="preserve">       Femara ROW</v>
          </cell>
          <cell r="H182">
            <v>220</v>
          </cell>
          <cell r="O182">
            <v>294</v>
          </cell>
          <cell r="P182">
            <v>80</v>
          </cell>
          <cell r="Q182">
            <v>90</v>
          </cell>
          <cell r="R182">
            <v>170</v>
          </cell>
          <cell r="S182">
            <v>99</v>
          </cell>
          <cell r="T182">
            <v>269</v>
          </cell>
          <cell r="U182">
            <v>112</v>
          </cell>
          <cell r="V182">
            <v>381</v>
          </cell>
          <cell r="W182">
            <v>112</v>
          </cell>
          <cell r="X182">
            <v>128</v>
          </cell>
          <cell r="Y182">
            <v>240</v>
          </cell>
          <cell r="Z182">
            <v>135</v>
          </cell>
          <cell r="AA182">
            <v>375</v>
          </cell>
          <cell r="AB182">
            <v>151</v>
          </cell>
          <cell r="AC182">
            <v>526</v>
          </cell>
          <cell r="AD182">
            <v>154</v>
          </cell>
          <cell r="AE182">
            <v>172</v>
          </cell>
          <cell r="AF182">
            <v>326</v>
          </cell>
          <cell r="AG182">
            <v>164</v>
          </cell>
          <cell r="AH182">
            <v>490</v>
          </cell>
          <cell r="AI182">
            <v>156</v>
          </cell>
          <cell r="AJ182">
            <v>646</v>
          </cell>
          <cell r="AK182">
            <v>155</v>
          </cell>
          <cell r="AL182">
            <v>169</v>
          </cell>
          <cell r="AM182">
            <v>324</v>
          </cell>
          <cell r="AN182">
            <v>179</v>
          </cell>
          <cell r="AO182">
            <v>503</v>
          </cell>
          <cell r="AP182">
            <v>191</v>
          </cell>
          <cell r="AQ182">
            <v>694</v>
          </cell>
          <cell r="AR182">
            <v>185</v>
          </cell>
          <cell r="AS182">
            <v>175</v>
          </cell>
          <cell r="AT182">
            <v>360</v>
          </cell>
          <cell r="AU182">
            <v>174</v>
          </cell>
          <cell r="AV182">
            <v>534</v>
          </cell>
          <cell r="AW182">
            <v>192</v>
          </cell>
          <cell r="AX182">
            <v>726</v>
          </cell>
          <cell r="AY182">
            <v>185</v>
          </cell>
          <cell r="AZ182">
            <v>204</v>
          </cell>
          <cell r="BA182">
            <v>389</v>
          </cell>
          <cell r="BB182">
            <v>174</v>
          </cell>
          <cell r="BC182">
            <v>563</v>
          </cell>
          <cell r="BD182">
            <v>129</v>
          </cell>
          <cell r="BE182">
            <v>692</v>
          </cell>
          <cell r="BF182">
            <v>98.55</v>
          </cell>
          <cell r="BG182">
            <v>107</v>
          </cell>
          <cell r="BH182">
            <v>205.55</v>
          </cell>
          <cell r="BI182">
            <v>97</v>
          </cell>
          <cell r="BJ182">
            <v>302.55</v>
          </cell>
          <cell r="BK182">
            <v>104</v>
          </cell>
          <cell r="BL182">
            <v>406.55</v>
          </cell>
          <cell r="BM182">
            <v>92</v>
          </cell>
          <cell r="BN182">
            <v>93</v>
          </cell>
          <cell r="BO182">
            <v>185</v>
          </cell>
          <cell r="BP182">
            <v>85</v>
          </cell>
          <cell r="BQ182">
            <v>270</v>
          </cell>
          <cell r="BR182">
            <v>95</v>
          </cell>
          <cell r="BS182">
            <v>365</v>
          </cell>
          <cell r="BT182">
            <v>72.663138409425585</v>
          </cell>
          <cell r="BU182">
            <v>75.583308678850102</v>
          </cell>
          <cell r="BV182">
            <v>148.24644708827569</v>
          </cell>
          <cell r="BW182">
            <v>68.50506029798612</v>
          </cell>
          <cell r="BX182">
            <v>216.75150738626181</v>
          </cell>
          <cell r="BY182">
            <v>75.462038058675802</v>
          </cell>
          <cell r="BZ182">
            <v>292.21354544493761</v>
          </cell>
          <cell r="CA182">
            <v>204.5494818114563</v>
          </cell>
          <cell r="CB182">
            <v>163.63958544916505</v>
          </cell>
          <cell r="CC182">
            <v>114.54770981441553</v>
          </cell>
          <cell r="CD182">
            <v>85.910782360811652</v>
          </cell>
          <cell r="CE182">
            <v>64.433086770608739</v>
          </cell>
          <cell r="CF182">
            <v>48.324815077956558</v>
          </cell>
          <cell r="CG182">
            <v>36.243611308467422</v>
          </cell>
          <cell r="CH182">
            <v>27.182708481350566</v>
          </cell>
          <cell r="CI182">
            <v>20.387031361012923</v>
          </cell>
          <cell r="CJ182">
            <v>15.290273520759692</v>
          </cell>
          <cell r="CP182" t="str">
            <v>EU (2011), Japan (2014)</v>
          </cell>
          <cell r="CQ182" t="e">
            <v>#DIV/0!</v>
          </cell>
          <cell r="CR182" t="e">
            <v>#DIV/0!</v>
          </cell>
          <cell r="CS182" t="e">
            <v>#DIV/0!</v>
          </cell>
          <cell r="CT182" t="e">
            <v>#DIV/0!</v>
          </cell>
          <cell r="CU182">
            <v>0.33636363636363642</v>
          </cell>
          <cell r="CZ182">
            <v>0.29591836734693877</v>
          </cell>
          <cell r="DA182">
            <v>0.39999999999999991</v>
          </cell>
          <cell r="DB182">
            <v>0.42222222222222228</v>
          </cell>
          <cell r="DC182">
            <v>0.36363636363636354</v>
          </cell>
          <cell r="DD182">
            <v>0.25</v>
          </cell>
          <cell r="DE182">
            <v>0.38057742782152237</v>
          </cell>
          <cell r="DF182">
            <v>0.25</v>
          </cell>
          <cell r="DG182">
            <v>0.15</v>
          </cell>
          <cell r="DH182">
            <v>0.1</v>
          </cell>
          <cell r="DI182">
            <v>0</v>
          </cell>
          <cell r="DJ182">
            <v>-0.2</v>
          </cell>
          <cell r="DK182">
            <v>-0.2</v>
          </cell>
          <cell r="DM182" t="str">
            <v>mstag:femaraEurope</v>
          </cell>
          <cell r="DN182">
            <v>6</v>
          </cell>
          <cell r="DO182" t="str">
            <v>ISO4217:USD</v>
          </cell>
          <cell r="DP182" t="b">
            <v>0</v>
          </cell>
        </row>
        <row r="183">
          <cell r="A183" t="str">
            <v xml:space="preserve">           growth </v>
          </cell>
          <cell r="AQ183">
            <v>7.4303405572755388E-2</v>
          </cell>
          <cell r="AR183">
            <v>0.19354838709677424</v>
          </cell>
          <cell r="AS183">
            <v>3.5502958579881616E-2</v>
          </cell>
          <cell r="AT183">
            <v>0.11111111111111116</v>
          </cell>
          <cell r="AU183">
            <v>-2.7932960893854775E-2</v>
          </cell>
          <cell r="AV183">
            <v>6.1630218687872773E-2</v>
          </cell>
          <cell r="AW183">
            <v>5.2356020942407877E-3</v>
          </cell>
          <cell r="AX183">
            <v>4.6109510086455252E-2</v>
          </cell>
          <cell r="AY183">
            <v>0</v>
          </cell>
          <cell r="AZ183">
            <v>0.1657142857142857</v>
          </cell>
          <cell r="BA183">
            <v>8.0555555555555491E-2</v>
          </cell>
          <cell r="BB183">
            <v>0</v>
          </cell>
          <cell r="BC183">
            <v>5.4307116104868935E-2</v>
          </cell>
          <cell r="BD183">
            <v>-0.328125</v>
          </cell>
          <cell r="BE183">
            <v>-4.6831955922865043E-2</v>
          </cell>
          <cell r="BF183">
            <v>-0.4672972972972973</v>
          </cell>
          <cell r="BG183">
            <v>-0.47549019607843135</v>
          </cell>
          <cell r="BH183">
            <v>-0.47159383033419022</v>
          </cell>
          <cell r="BI183">
            <v>-0.44252873563218387</v>
          </cell>
          <cell r="BJ183">
            <v>-0.46261101243339253</v>
          </cell>
          <cell r="BK183">
            <v>-0.19379844961240311</v>
          </cell>
          <cell r="BL183">
            <v>-0.41249999999999998</v>
          </cell>
          <cell r="BM183">
            <v>-6.6463723997970514E-2</v>
          </cell>
          <cell r="BN183">
            <v>-0.13084112149532712</v>
          </cell>
          <cell r="BO183">
            <v>-9.9975675018243781E-2</v>
          </cell>
          <cell r="BP183">
            <v>-0.12371134020618557</v>
          </cell>
          <cell r="BQ183">
            <v>-0.10758552305404068</v>
          </cell>
          <cell r="BR183">
            <v>-8.6538461538461564E-2</v>
          </cell>
          <cell r="BS183">
            <v>-0.10220145123601032</v>
          </cell>
          <cell r="BT183">
            <v>-0.21018327815841753</v>
          </cell>
          <cell r="BU183">
            <v>-0.18727625076505272</v>
          </cell>
          <cell r="BV183">
            <v>-0.19866785357688821</v>
          </cell>
          <cell r="BW183">
            <v>-0.19405811414133978</v>
          </cell>
          <cell r="BX183">
            <v>-0.19721663931014144</v>
          </cell>
          <cell r="BY183">
            <v>-0.20566275727709682</v>
          </cell>
          <cell r="BZ183">
            <v>-0.1994149439864723</v>
          </cell>
          <cell r="CA183">
            <v>-0.30000000000000004</v>
          </cell>
          <cell r="CB183">
            <v>-0.19999999999999996</v>
          </cell>
          <cell r="CC183">
            <v>-0.30000000000000004</v>
          </cell>
          <cell r="CD183">
            <v>-0.24999999999999989</v>
          </cell>
          <cell r="CE183">
            <v>-0.25</v>
          </cell>
          <cell r="CF183">
            <v>-0.25</v>
          </cell>
          <cell r="CG183">
            <v>-0.24999999999999989</v>
          </cell>
          <cell r="CH183">
            <v>-0.25</v>
          </cell>
          <cell r="CI183">
            <v>-0.25000000000000011</v>
          </cell>
          <cell r="CJ183">
            <v>-0.25</v>
          </cell>
        </row>
        <row r="184">
          <cell r="A184" t="str">
            <v xml:space="preserve">   CER growth </v>
          </cell>
          <cell r="V184">
            <v>0.29096097750735184</v>
          </cell>
          <cell r="W184">
            <v>0.32341077956952957</v>
          </cell>
          <cell r="X184">
            <v>0.36698840724273163</v>
          </cell>
          <cell r="Y184">
            <v>0.34585318817737254</v>
          </cell>
          <cell r="Z184">
            <v>0.29906607277914921</v>
          </cell>
          <cell r="AA184">
            <v>0.32858760252060693</v>
          </cell>
          <cell r="AB184">
            <v>0.23851971767472424</v>
          </cell>
          <cell r="AC184">
            <v>0.30405545424483815</v>
          </cell>
          <cell r="AD184">
            <v>0.23059237755117268</v>
          </cell>
          <cell r="AE184">
            <v>0.17901840513109701</v>
          </cell>
          <cell r="AF184">
            <v>0.20376372467446835</v>
          </cell>
          <cell r="AG184">
            <v>0.11739950435327628</v>
          </cell>
          <cell r="AH184">
            <v>0.18067420710646487</v>
          </cell>
          <cell r="AI184">
            <v>9.2799033003799547E-2</v>
          </cell>
          <cell r="AJ184">
            <v>0.14329442137142201</v>
          </cell>
          <cell r="AK184">
            <v>0.11123658646006918</v>
          </cell>
          <cell r="AL184">
            <v>9.0819423087918683E-2</v>
          </cell>
          <cell r="AN184">
            <v>0.11749315012753547</v>
          </cell>
          <cell r="AP184">
            <v>0.1046722635543953</v>
          </cell>
          <cell r="AQ184">
            <v>7.4303405572755388E-2</v>
          </cell>
          <cell r="AR184">
            <v>0.19354838709677424</v>
          </cell>
          <cell r="AS184">
            <v>3.5502958579881616E-2</v>
          </cell>
          <cell r="AT184">
            <v>0.11111111111111116</v>
          </cell>
          <cell r="AU184">
            <v>-2.7932960893854775E-2</v>
          </cell>
          <cell r="AV184">
            <v>6.1630218687872773E-2</v>
          </cell>
          <cell r="AW184">
            <v>5.2356020942407877E-3</v>
          </cell>
          <cell r="AX184">
            <v>4.6109510086455252E-2</v>
          </cell>
          <cell r="AY184">
            <v>0</v>
          </cell>
          <cell r="AZ184">
            <v>0.1657142857142857</v>
          </cell>
          <cell r="BA184">
            <v>8.0555555555555491E-2</v>
          </cell>
          <cell r="BB184">
            <v>-0.09</v>
          </cell>
          <cell r="BC184">
            <v>-0.02</v>
          </cell>
          <cell r="BD184">
            <v>-0.34</v>
          </cell>
          <cell r="BE184">
            <v>-0.11</v>
          </cell>
          <cell r="BF184">
            <v>-0.4672972972972973</v>
          </cell>
          <cell r="BG184">
            <v>-0.47549019607843135</v>
          </cell>
          <cell r="BI184">
            <v>-0.4</v>
          </cell>
          <cell r="BK184">
            <v>-0.17</v>
          </cell>
          <cell r="BL184">
            <v>-0.37</v>
          </cell>
          <cell r="BM184">
            <v>-0.08</v>
          </cell>
          <cell r="BN184">
            <v>-0.1</v>
          </cell>
          <cell r="BO184">
            <v>-0.09</v>
          </cell>
          <cell r="BP184">
            <v>-7.0000000000000007E-2</v>
          </cell>
          <cell r="BQ184">
            <v>-0.09</v>
          </cell>
          <cell r="BR184">
            <v>-0.02</v>
          </cell>
          <cell r="BS184">
            <v>-7.0000000000000007E-2</v>
          </cell>
          <cell r="BT184">
            <v>-0.2</v>
          </cell>
          <cell r="BU184">
            <v>-0.2</v>
          </cell>
          <cell r="BW184">
            <v>-0.2</v>
          </cell>
          <cell r="BY184">
            <v>-0.21247102423328346</v>
          </cell>
          <cell r="BZ184">
            <v>-0.2</v>
          </cell>
          <cell r="CA184">
            <v>-0.3</v>
          </cell>
          <cell r="CB184">
            <v>-0.2</v>
          </cell>
          <cell r="CC184">
            <v>-0.3</v>
          </cell>
          <cell r="CD184">
            <v>-0.25</v>
          </cell>
          <cell r="CE184">
            <v>-0.25</v>
          </cell>
          <cell r="CF184">
            <v>-0.25</v>
          </cell>
          <cell r="CG184">
            <v>-0.25</v>
          </cell>
          <cell r="CH184">
            <v>-0.25</v>
          </cell>
          <cell r="CI184">
            <v>-0.25</v>
          </cell>
          <cell r="CJ184">
            <v>-0.25</v>
          </cell>
        </row>
        <row r="186">
          <cell r="A186" t="str">
            <v xml:space="preserve">Jakavi </v>
          </cell>
          <cell r="BI186">
            <v>5</v>
          </cell>
          <cell r="BJ186">
            <v>5</v>
          </cell>
          <cell r="BK186">
            <v>21</v>
          </cell>
          <cell r="BL186">
            <v>26</v>
          </cell>
          <cell r="BM186">
            <v>35</v>
          </cell>
          <cell r="BN186">
            <v>33</v>
          </cell>
          <cell r="BO186">
            <v>68</v>
          </cell>
          <cell r="BP186">
            <v>48</v>
          </cell>
          <cell r="BQ186">
            <v>116</v>
          </cell>
          <cell r="BR186">
            <v>47</v>
          </cell>
          <cell r="BS186">
            <v>163</v>
          </cell>
          <cell r="BT186">
            <v>53.559446449882302</v>
          </cell>
          <cell r="BU186">
            <v>63.697223846288985</v>
          </cell>
          <cell r="BV186">
            <v>117.25667029617128</v>
          </cell>
          <cell r="BW186">
            <v>74.9525953848554</v>
          </cell>
          <cell r="BX186">
            <v>192.20926568102669</v>
          </cell>
          <cell r="BY186">
            <v>81.864555855117828</v>
          </cell>
          <cell r="BZ186">
            <v>274.07382153614452</v>
          </cell>
          <cell r="CA186">
            <v>411.11073230421675</v>
          </cell>
          <cell r="CB186">
            <v>616.66609845632513</v>
          </cell>
          <cell r="CC186">
            <v>832.49923291603898</v>
          </cell>
          <cell r="CD186">
            <v>957.37411785344477</v>
          </cell>
          <cell r="CE186">
            <v>1005.2428237461171</v>
          </cell>
          <cell r="CF186">
            <v>1055.504964933423</v>
          </cell>
          <cell r="CG186">
            <v>1108.2802131800943</v>
          </cell>
          <cell r="CH186">
            <v>1163.6942238390991</v>
          </cell>
          <cell r="CI186">
            <v>1221.8789350310542</v>
          </cell>
          <cell r="CJ186">
            <v>1221.8789350310542</v>
          </cell>
          <cell r="CP186" t="str">
            <v>2027 (EU)</v>
          </cell>
        </row>
        <row r="187">
          <cell r="A187" t="str">
            <v xml:space="preserve">   growth %</v>
          </cell>
          <cell r="BS187">
            <v>5.2692307692307692</v>
          </cell>
          <cell r="BT187">
            <v>0.53026989856806583</v>
          </cell>
          <cell r="BU187">
            <v>0.93021890443299959</v>
          </cell>
          <cell r="BV187">
            <v>0.72436279847310714</v>
          </cell>
          <cell r="BW187">
            <v>0.56151240385115408</v>
          </cell>
          <cell r="BX187">
            <v>0.65697642828471281</v>
          </cell>
          <cell r="BY187">
            <v>0.74179906074718782</v>
          </cell>
          <cell r="BZ187">
            <v>0.68143448795180683</v>
          </cell>
          <cell r="CA187">
            <v>0.5</v>
          </cell>
          <cell r="CB187">
            <v>0.5</v>
          </cell>
          <cell r="CC187">
            <v>0.35000000000000009</v>
          </cell>
          <cell r="CD187">
            <v>0.14999999999999991</v>
          </cell>
          <cell r="CE187">
            <v>5.0000000000000044E-2</v>
          </cell>
          <cell r="CF187">
            <v>5.0000000000000044E-2</v>
          </cell>
          <cell r="CG187">
            <v>5.0000000000000044E-2</v>
          </cell>
          <cell r="CH187">
            <v>5.0000000000000044E-2</v>
          </cell>
          <cell r="CI187">
            <v>5.0000000000000044E-2</v>
          </cell>
          <cell r="CJ187">
            <v>0</v>
          </cell>
        </row>
        <row r="188">
          <cell r="A188" t="str">
            <v xml:space="preserve">      CER growth</v>
          </cell>
          <cell r="BM188" t="str">
            <v>nm</v>
          </cell>
          <cell r="BN188" t="str">
            <v>nm</v>
          </cell>
          <cell r="BO188" t="str">
            <v>nm</v>
          </cell>
          <cell r="BP188" t="str">
            <v>nm</v>
          </cell>
          <cell r="BQ188" t="str">
            <v>nm</v>
          </cell>
          <cell r="BR188">
            <v>1.19</v>
          </cell>
          <cell r="BS188" t="str">
            <v>nm</v>
          </cell>
          <cell r="BT188">
            <v>0.55000000000000004</v>
          </cell>
          <cell r="BU188">
            <v>0.9</v>
          </cell>
          <cell r="BW188">
            <v>0.55000000000000004</v>
          </cell>
          <cell r="BY188">
            <v>0.73499079379100118</v>
          </cell>
          <cell r="BZ188">
            <v>0.65</v>
          </cell>
          <cell r="CA188">
            <v>0.5</v>
          </cell>
          <cell r="CB188">
            <v>0.5</v>
          </cell>
          <cell r="CC188">
            <v>0.35</v>
          </cell>
          <cell r="CD188">
            <v>0.15</v>
          </cell>
          <cell r="CE188">
            <v>0.05</v>
          </cell>
          <cell r="CF188">
            <v>0.05</v>
          </cell>
          <cell r="CG188">
            <v>0.05</v>
          </cell>
          <cell r="CH188">
            <v>0.05</v>
          </cell>
          <cell r="CI188">
            <v>0.05</v>
          </cell>
          <cell r="CJ188">
            <v>0</v>
          </cell>
        </row>
        <row r="189">
          <cell r="A189" t="str">
            <v>Consensus</v>
          </cell>
          <cell r="BS189">
            <v>170</v>
          </cell>
          <cell r="BZ189">
            <v>255</v>
          </cell>
          <cell r="CA189">
            <v>365.17500000000001</v>
          </cell>
          <cell r="CB189">
            <v>427.54469999999998</v>
          </cell>
          <cell r="CC189">
            <v>470.29917</v>
          </cell>
        </row>
        <row r="190">
          <cell r="A190" t="str">
            <v>Difference</v>
          </cell>
          <cell r="AX190">
            <v>15</v>
          </cell>
          <cell r="BS190">
            <v>-4.1176470588235259E-2</v>
          </cell>
          <cell r="BZ190">
            <v>7.4799300141743297E-2</v>
          </cell>
          <cell r="CA190">
            <v>0.12579101062289788</v>
          </cell>
          <cell r="CB190">
            <v>0.44234298415189133</v>
          </cell>
          <cell r="CC190">
            <v>0.77014820782277571</v>
          </cell>
        </row>
        <row r="192">
          <cell r="A192" t="str">
            <v xml:space="preserve">Other </v>
          </cell>
          <cell r="B192">
            <v>70</v>
          </cell>
          <cell r="C192">
            <v>81</v>
          </cell>
          <cell r="D192">
            <v>151</v>
          </cell>
          <cell r="E192">
            <v>62</v>
          </cell>
          <cell r="F192">
            <v>213</v>
          </cell>
          <cell r="G192">
            <v>77</v>
          </cell>
          <cell r="H192">
            <v>290</v>
          </cell>
          <cell r="I192">
            <v>71</v>
          </cell>
          <cell r="J192">
            <v>74</v>
          </cell>
          <cell r="K192">
            <v>145</v>
          </cell>
          <cell r="L192">
            <v>54</v>
          </cell>
          <cell r="M192">
            <v>199</v>
          </cell>
          <cell r="N192">
            <v>66</v>
          </cell>
          <cell r="O192">
            <v>265</v>
          </cell>
          <cell r="P192">
            <v>63</v>
          </cell>
          <cell r="Q192">
            <v>84</v>
          </cell>
          <cell r="R192">
            <v>147</v>
          </cell>
          <cell r="S192">
            <v>74</v>
          </cell>
          <cell r="T192">
            <v>221</v>
          </cell>
          <cell r="U192">
            <v>74</v>
          </cell>
          <cell r="V192">
            <v>295</v>
          </cell>
          <cell r="W192">
            <v>69</v>
          </cell>
          <cell r="X192">
            <v>69</v>
          </cell>
          <cell r="Y192">
            <v>138</v>
          </cell>
          <cell r="Z192">
            <v>68</v>
          </cell>
          <cell r="AA192">
            <v>206</v>
          </cell>
          <cell r="AB192">
            <v>77</v>
          </cell>
          <cell r="AC192">
            <v>283</v>
          </cell>
          <cell r="AD192">
            <v>71</v>
          </cell>
          <cell r="AE192">
            <v>79</v>
          </cell>
          <cell r="AF192">
            <v>150</v>
          </cell>
          <cell r="AG192">
            <v>68</v>
          </cell>
          <cell r="AH192">
            <v>218</v>
          </cell>
          <cell r="AI192">
            <v>69</v>
          </cell>
          <cell r="AJ192">
            <v>287</v>
          </cell>
          <cell r="AK192">
            <v>60</v>
          </cell>
          <cell r="AL192">
            <v>59</v>
          </cell>
          <cell r="AM192">
            <v>119</v>
          </cell>
          <cell r="AN192">
            <v>61</v>
          </cell>
          <cell r="AO192">
            <v>180</v>
          </cell>
          <cell r="AP192">
            <v>51</v>
          </cell>
          <cell r="AQ192">
            <v>231</v>
          </cell>
          <cell r="AR192">
            <v>49</v>
          </cell>
          <cell r="AS192">
            <v>41</v>
          </cell>
          <cell r="AT192">
            <v>90</v>
          </cell>
          <cell r="AU192">
            <v>54</v>
          </cell>
          <cell r="AV192">
            <v>144</v>
          </cell>
          <cell r="AW192">
            <v>37</v>
          </cell>
          <cell r="AX192">
            <v>181</v>
          </cell>
          <cell r="AY192">
            <v>36</v>
          </cell>
          <cell r="AZ192">
            <v>39</v>
          </cell>
          <cell r="BA192">
            <v>75</v>
          </cell>
          <cell r="BB192">
            <v>42</v>
          </cell>
          <cell r="BC192">
            <v>117</v>
          </cell>
          <cell r="BD192">
            <v>46</v>
          </cell>
          <cell r="BE192">
            <v>163</v>
          </cell>
          <cell r="BF192">
            <v>33</v>
          </cell>
          <cell r="BG192">
            <v>37</v>
          </cell>
          <cell r="BH192">
            <v>70</v>
          </cell>
          <cell r="BI192">
            <v>42</v>
          </cell>
          <cell r="BJ192">
            <v>112</v>
          </cell>
          <cell r="BK192">
            <v>35</v>
          </cell>
          <cell r="BL192">
            <v>147</v>
          </cell>
          <cell r="BM192">
            <v>78</v>
          </cell>
          <cell r="BN192">
            <v>77</v>
          </cell>
          <cell r="BO192">
            <v>155</v>
          </cell>
          <cell r="BP192">
            <v>78</v>
          </cell>
          <cell r="BQ192">
            <v>233</v>
          </cell>
          <cell r="BR192">
            <v>86</v>
          </cell>
          <cell r="BS192">
            <v>319</v>
          </cell>
          <cell r="BT192">
            <v>77.007130379554269</v>
          </cell>
          <cell r="BU192">
            <v>78.224660863863676</v>
          </cell>
          <cell r="BV192">
            <v>155.23179124341794</v>
          </cell>
          <cell r="BW192">
            <v>78.579333871219362</v>
          </cell>
          <cell r="BX192">
            <v>233.81112511463732</v>
          </cell>
          <cell r="BY192">
            <v>81.414496665672175</v>
          </cell>
          <cell r="BZ192">
            <v>315.2256217803095</v>
          </cell>
          <cell r="CA192">
            <v>299.46434069129401</v>
          </cell>
          <cell r="CB192">
            <v>284.49112365672931</v>
          </cell>
          <cell r="CC192">
            <v>270.26656747389285</v>
          </cell>
          <cell r="CD192">
            <v>256.75323910019819</v>
          </cell>
          <cell r="CE192">
            <v>243.91557714518825</v>
          </cell>
          <cell r="CF192">
            <v>231.71979828792882</v>
          </cell>
          <cell r="CG192">
            <v>220.13380837353236</v>
          </cell>
          <cell r="CH192">
            <v>220.13380837353236</v>
          </cell>
          <cell r="CI192">
            <v>220.13380837353236</v>
          </cell>
          <cell r="CJ192">
            <v>220.13380837353236</v>
          </cell>
          <cell r="CO192">
            <v>0.1</v>
          </cell>
          <cell r="CQ192">
            <v>1.4285714285714235E-2</v>
          </cell>
          <cell r="CR192">
            <v>-8.6419753086419804E-2</v>
          </cell>
          <cell r="CS192">
            <v>-0.12903225806451613</v>
          </cell>
          <cell r="CT192">
            <v>-0.1428571428571429</v>
          </cell>
          <cell r="CU192">
            <v>-8.6206896551724088E-2</v>
          </cell>
          <cell r="CV192">
            <v>-0.11267605633802813</v>
          </cell>
          <cell r="CW192">
            <v>0.13513513513513509</v>
          </cell>
          <cell r="CX192">
            <v>0.37037037037037046</v>
          </cell>
          <cell r="CY192">
            <v>0.1212121212121211</v>
          </cell>
          <cell r="CZ192">
            <v>0.1132075471698113</v>
          </cell>
          <cell r="DA192">
            <v>9.5238095238095344E-2</v>
          </cell>
          <cell r="DB192">
            <v>-0.1785714285714286</v>
          </cell>
          <cell r="DC192">
            <v>-8.108108108108103E-2</v>
          </cell>
          <cell r="DD192">
            <v>-0.05</v>
          </cell>
          <cell r="DE192">
            <v>-4.067796610169494E-2</v>
          </cell>
          <cell r="DF192">
            <v>0.03</v>
          </cell>
          <cell r="DG192">
            <v>0.03</v>
          </cell>
          <cell r="DH192">
            <v>0</v>
          </cell>
          <cell r="DI192">
            <v>0</v>
          </cell>
          <cell r="DJ192">
            <v>0</v>
          </cell>
          <cell r="DK192">
            <v>0</v>
          </cell>
        </row>
        <row r="193">
          <cell r="A193" t="str">
            <v xml:space="preserve">   growth %</v>
          </cell>
          <cell r="P193">
            <v>-3.3818778169490971E-2</v>
          </cell>
          <cell r="Q193">
            <v>0.15748039225040122</v>
          </cell>
          <cell r="R193">
            <v>6.4394371090177538E-2</v>
          </cell>
          <cell r="S193">
            <v>0.36399896867722625</v>
          </cell>
          <cell r="T193">
            <v>0.14216314168264854</v>
          </cell>
          <cell r="U193">
            <v>8.3824998909066029E-2</v>
          </cell>
          <cell r="V193">
            <v>0.12077639322871769</v>
          </cell>
          <cell r="W193">
            <v>6.1891756656662356E-2</v>
          </cell>
          <cell r="X193">
            <v>-0.1893652336882512</v>
          </cell>
          <cell r="Y193">
            <v>-8.3294561645046117E-2</v>
          </cell>
          <cell r="Z193">
            <v>-0.10957725018933739</v>
          </cell>
          <cell r="AA193">
            <v>-9.2085407436258038E-2</v>
          </cell>
          <cell r="AB193">
            <v>-2.9069822945408719E-2</v>
          </cell>
          <cell r="AC193">
            <v>-7.5893540235290713E-2</v>
          </cell>
          <cell r="AD193">
            <v>-9.1072091375655306E-2</v>
          </cell>
          <cell r="AE193">
            <v>5.9973019488752666E-3</v>
          </cell>
          <cell r="AF193">
            <v>-4.253739471339002E-2</v>
          </cell>
          <cell r="AG193">
            <v>-8.3415988712492339E-2</v>
          </cell>
          <cell r="AH193">
            <v>-4.8202525398040486E-2</v>
          </cell>
          <cell r="AI193">
            <v>-0.13026249666991374</v>
          </cell>
          <cell r="AJ193">
            <v>1.4134275618374659E-2</v>
          </cell>
          <cell r="AK193">
            <v>-0.15492957746478875</v>
          </cell>
          <cell r="AL193">
            <v>-0.25316455696202533</v>
          </cell>
          <cell r="AN193">
            <v>-0.1029411764705882</v>
          </cell>
          <cell r="AP193">
            <v>-0.26086956521739135</v>
          </cell>
          <cell r="AQ193">
            <v>-0.19512195121951215</v>
          </cell>
          <cell r="AR193">
            <v>-0.18333333333333335</v>
          </cell>
          <cell r="AS193">
            <v>-0.30508474576271183</v>
          </cell>
          <cell r="AT193">
            <v>-0.24369747899159666</v>
          </cell>
          <cell r="AU193">
            <v>-0.11475409836065575</v>
          </cell>
          <cell r="AV193">
            <v>-0.19999999999999996</v>
          </cell>
          <cell r="AW193">
            <v>-0.27450980392156865</v>
          </cell>
          <cell r="AX193">
            <v>-0.21645021645021645</v>
          </cell>
          <cell r="AY193">
            <v>-0.26530612244897955</v>
          </cell>
          <cell r="AZ193">
            <v>-4.8780487804878092E-2</v>
          </cell>
          <cell r="BA193">
            <v>-0.16666666666666663</v>
          </cell>
          <cell r="BB193">
            <v>-0.22222222222222221</v>
          </cell>
          <cell r="BC193">
            <v>-0.1875</v>
          </cell>
          <cell r="BD193">
            <v>0.2432432432432432</v>
          </cell>
          <cell r="BE193">
            <v>-9.9447513812154664E-2</v>
          </cell>
          <cell r="BF193">
            <v>-8.333333333333337E-2</v>
          </cell>
          <cell r="BG193">
            <v>-5.1282051282051322E-2</v>
          </cell>
          <cell r="BH193">
            <v>-6.6666666666666652E-2</v>
          </cell>
          <cell r="BI193">
            <v>0</v>
          </cell>
          <cell r="BJ193">
            <v>-4.2735042735042694E-2</v>
          </cell>
          <cell r="BK193">
            <v>-0.23913043478260865</v>
          </cell>
          <cell r="BL193">
            <v>-9.8159509202453976E-2</v>
          </cell>
          <cell r="BM193">
            <v>1.3636363636363638</v>
          </cell>
          <cell r="BN193">
            <v>1.0810810810810811</v>
          </cell>
          <cell r="BO193">
            <v>1.2142857142857144</v>
          </cell>
          <cell r="BP193">
            <v>0.85714285714285721</v>
          </cell>
          <cell r="BQ193">
            <v>1.0803571428571428</v>
          </cell>
          <cell r="BR193">
            <v>1.4571428571428573</v>
          </cell>
          <cell r="BS193">
            <v>1.1700680272108843</v>
          </cell>
          <cell r="BT193">
            <v>-1.2729097698022218E-2</v>
          </cell>
          <cell r="BU193">
            <v>1.5904686543684043E-2</v>
          </cell>
          <cell r="BV193">
            <v>1.4954273768899018E-3</v>
          </cell>
          <cell r="BW193">
            <v>7.4273573233252232E-3</v>
          </cell>
          <cell r="BX193">
            <v>3.4812236679713227E-3</v>
          </cell>
          <cell r="BY193">
            <v>-5.3319806213114274E-2</v>
          </cell>
          <cell r="BZ193">
            <v>-1.1831906644797829E-2</v>
          </cell>
          <cell r="CA193">
            <v>-5.0000000000000044E-2</v>
          </cell>
          <cell r="CB193">
            <v>-5.0000000000000044E-2</v>
          </cell>
          <cell r="CC193">
            <v>-5.0000000000000044E-2</v>
          </cell>
          <cell r="CD193">
            <v>-5.0000000000000044E-2</v>
          </cell>
          <cell r="CE193">
            <v>-5.0000000000000044E-2</v>
          </cell>
          <cell r="CF193">
            <v>-5.0000000000000044E-2</v>
          </cell>
          <cell r="CG193">
            <v>-5.0000000000000044E-2</v>
          </cell>
          <cell r="CH193">
            <v>0</v>
          </cell>
          <cell r="CI193">
            <v>0</v>
          </cell>
          <cell r="CJ193">
            <v>0</v>
          </cell>
        </row>
        <row r="194">
          <cell r="A194" t="str">
            <v xml:space="preserve">      CER growth</v>
          </cell>
          <cell r="BB194">
            <v>-0.25</v>
          </cell>
          <cell r="BC194">
            <v>-0.25</v>
          </cell>
          <cell r="BD194">
            <v>-0.62</v>
          </cell>
          <cell r="BE194">
            <v>-0.15</v>
          </cell>
          <cell r="BF194">
            <v>-0.11</v>
          </cell>
          <cell r="BG194">
            <v>0.1</v>
          </cell>
          <cell r="BH194">
            <v>0</v>
          </cell>
          <cell r="BI194">
            <v>0.17</v>
          </cell>
          <cell r="BJ194">
            <v>0.05</v>
          </cell>
          <cell r="BK194">
            <v>0.21</v>
          </cell>
          <cell r="BL194">
            <v>-0.17</v>
          </cell>
          <cell r="BM194">
            <v>-0.02</v>
          </cell>
          <cell r="BN194">
            <v>-0.06</v>
          </cell>
          <cell r="BO194">
            <v>-0.04</v>
          </cell>
          <cell r="BP194">
            <v>-7.0000000000000007E-2</v>
          </cell>
          <cell r="BQ194">
            <v>-0.05</v>
          </cell>
          <cell r="BR194">
            <v>-0.05</v>
          </cell>
          <cell r="BT194">
            <v>0</v>
          </cell>
          <cell r="BU194">
            <v>0</v>
          </cell>
          <cell r="BW194">
            <v>0</v>
          </cell>
          <cell r="BY194">
            <v>-6.0128073169300911E-2</v>
          </cell>
          <cell r="BZ194">
            <v>-0.01</v>
          </cell>
          <cell r="CA194">
            <v>-0.05</v>
          </cell>
          <cell r="CB194">
            <v>-0.05</v>
          </cell>
          <cell r="CC194">
            <v>-0.05</v>
          </cell>
          <cell r="CD194">
            <v>-0.05</v>
          </cell>
          <cell r="CE194">
            <v>-0.05</v>
          </cell>
          <cell r="CF194">
            <v>-0.05</v>
          </cell>
          <cell r="CG194">
            <v>-0.05</v>
          </cell>
          <cell r="CH194">
            <v>0</v>
          </cell>
          <cell r="CI194">
            <v>0</v>
          </cell>
          <cell r="CJ194">
            <v>0</v>
          </cell>
        </row>
        <row r="196">
          <cell r="A196" t="str">
            <v>Oncology</v>
          </cell>
          <cell r="B196">
            <v>952</v>
          </cell>
          <cell r="C196">
            <v>1047</v>
          </cell>
          <cell r="D196">
            <v>1999</v>
          </cell>
          <cell r="E196">
            <v>1044</v>
          </cell>
          <cell r="F196">
            <v>3043</v>
          </cell>
          <cell r="G196">
            <v>1172</v>
          </cell>
          <cell r="H196">
            <v>4215</v>
          </cell>
          <cell r="I196">
            <v>1202</v>
          </cell>
          <cell r="J196">
            <v>1291</v>
          </cell>
          <cell r="K196">
            <v>2493</v>
          </cell>
          <cell r="L196">
            <v>1258</v>
          </cell>
          <cell r="M196">
            <v>3751</v>
          </cell>
          <cell r="N196">
            <v>1345</v>
          </cell>
          <cell r="O196">
            <v>5096</v>
          </cell>
          <cell r="P196">
            <v>1328</v>
          </cell>
          <cell r="Q196">
            <v>1460</v>
          </cell>
          <cell r="R196">
            <v>2788</v>
          </cell>
          <cell r="S196">
            <v>1507</v>
          </cell>
          <cell r="T196">
            <v>4295</v>
          </cell>
          <cell r="U196">
            <v>1614</v>
          </cell>
          <cell r="V196">
            <v>5909</v>
          </cell>
          <cell r="W196">
            <v>1568</v>
          </cell>
          <cell r="X196">
            <v>1714</v>
          </cell>
          <cell r="Y196">
            <v>3282</v>
          </cell>
          <cell r="Z196">
            <v>1765</v>
          </cell>
          <cell r="AA196">
            <v>5047</v>
          </cell>
          <cell r="AB196">
            <v>1904</v>
          </cell>
          <cell r="AC196">
            <v>6951</v>
          </cell>
          <cell r="AD196">
            <v>1948</v>
          </cell>
          <cell r="AE196">
            <v>2095</v>
          </cell>
          <cell r="AF196">
            <v>4043</v>
          </cell>
          <cell r="AG196">
            <v>2137</v>
          </cell>
          <cell r="AH196">
            <v>6180</v>
          </cell>
          <cell r="AI196">
            <v>2031</v>
          </cell>
          <cell r="AJ196">
            <v>8211</v>
          </cell>
          <cell r="AK196">
            <v>1997</v>
          </cell>
          <cell r="AL196">
            <v>2237</v>
          </cell>
          <cell r="AM196">
            <v>4234</v>
          </cell>
          <cell r="AN196">
            <v>2296</v>
          </cell>
          <cell r="AO196">
            <v>6530</v>
          </cell>
          <cell r="AP196">
            <v>2469</v>
          </cell>
          <cell r="AQ196">
            <v>8999</v>
          </cell>
          <cell r="AR196">
            <v>2405</v>
          </cell>
          <cell r="AS196">
            <v>2480</v>
          </cell>
          <cell r="AT196">
            <v>4885</v>
          </cell>
          <cell r="AU196">
            <v>2451</v>
          </cell>
          <cell r="AV196">
            <v>7336</v>
          </cell>
          <cell r="AW196">
            <v>2692</v>
          </cell>
          <cell r="AX196">
            <v>10028</v>
          </cell>
          <cell r="AY196">
            <v>2598</v>
          </cell>
          <cell r="AZ196">
            <v>2728</v>
          </cell>
          <cell r="BA196">
            <v>5326</v>
          </cell>
          <cell r="BB196">
            <v>2617</v>
          </cell>
          <cell r="BC196">
            <v>7943</v>
          </cell>
          <cell r="BD196">
            <v>2729</v>
          </cell>
          <cell r="BE196">
            <v>10672</v>
          </cell>
          <cell r="BF196">
            <v>2535</v>
          </cell>
          <cell r="BG196">
            <v>2683</v>
          </cell>
          <cell r="BH196">
            <v>5218</v>
          </cell>
          <cell r="BI196">
            <v>2678</v>
          </cell>
          <cell r="BJ196">
            <v>7896</v>
          </cell>
          <cell r="BK196">
            <v>2862</v>
          </cell>
          <cell r="BL196">
            <v>10758</v>
          </cell>
          <cell r="BM196">
            <v>2758</v>
          </cell>
          <cell r="BN196">
            <v>2823</v>
          </cell>
          <cell r="BO196">
            <v>5581</v>
          </cell>
          <cell r="BP196">
            <v>2718</v>
          </cell>
          <cell r="BQ196">
            <v>8299</v>
          </cell>
          <cell r="BR196">
            <v>2927</v>
          </cell>
          <cell r="BS196">
            <v>11226</v>
          </cell>
          <cell r="BT196">
            <v>2762.2605359982058</v>
          </cell>
          <cell r="BU196">
            <v>2906.0303802328585</v>
          </cell>
          <cell r="BV196">
            <v>5668.2909162310634</v>
          </cell>
          <cell r="BW196">
            <v>2867.3901174082307</v>
          </cell>
          <cell r="BX196">
            <v>8535.6810336392955</v>
          </cell>
          <cell r="BY196">
            <v>3056.406702692906</v>
          </cell>
          <cell r="BZ196">
            <v>11592.087736332203</v>
          </cell>
          <cell r="CA196">
            <v>11240.04928449303</v>
          </cell>
          <cell r="CB196">
            <v>10172.184636163935</v>
          </cell>
          <cell r="CC196">
            <v>9669.8525873409581</v>
          </cell>
          <cell r="CD196">
            <v>9505.3804136779818</v>
          </cell>
          <cell r="CE196">
            <v>8544.7354079554771</v>
          </cell>
          <cell r="CF196">
            <v>8058.3995847914957</v>
          </cell>
          <cell r="CG196">
            <v>6977.1137479446925</v>
          </cell>
          <cell r="CH196">
            <v>6269.5763932221735</v>
          </cell>
          <cell r="CI196">
            <v>5976.5468873345826</v>
          </cell>
          <cell r="CJ196">
            <v>3878.8517486133132</v>
          </cell>
          <cell r="CM196">
            <v>0.18316019682886822</v>
          </cell>
          <cell r="CQ196">
            <v>0.26260504201680668</v>
          </cell>
          <cell r="CR196">
            <v>0.23304680038204384</v>
          </cell>
          <cell r="CS196">
            <v>0.20498084291187735</v>
          </cell>
          <cell r="CT196">
            <v>0.14761092150170652</v>
          </cell>
          <cell r="CU196">
            <v>0.20901542111506521</v>
          </cell>
          <cell r="CV196">
            <v>0.1048252911813643</v>
          </cell>
          <cell r="CW196">
            <v>0.13090627420604184</v>
          </cell>
          <cell r="CX196">
            <v>0.19793322734499208</v>
          </cell>
          <cell r="CY196">
            <v>0.19999999999999996</v>
          </cell>
          <cell r="CZ196">
            <v>0.15953689167974883</v>
          </cell>
          <cell r="DA196">
            <v>0.18072289156626509</v>
          </cell>
          <cell r="DB196">
            <v>0.17397260273972592</v>
          </cell>
          <cell r="DC196">
            <v>0.17120106171201055</v>
          </cell>
          <cell r="DD196">
            <v>0.17967781908302349</v>
          </cell>
          <cell r="DE196">
            <v>0.17634117447960729</v>
          </cell>
          <cell r="DF196">
            <v>0.18126888217522663</v>
          </cell>
          <cell r="DG196">
            <v>9.5968822311533364E-2</v>
          </cell>
          <cell r="DH196">
            <v>0.11434603844871649</v>
          </cell>
          <cell r="DI196">
            <v>6.4220183486238591E-2</v>
          </cell>
          <cell r="DJ196">
            <v>8.0584707646176312E-3</v>
          </cell>
          <cell r="DK196">
            <v>4.3502509760178443E-2</v>
          </cell>
        </row>
        <row r="197">
          <cell r="A197" t="str">
            <v xml:space="preserve">   growth %</v>
          </cell>
          <cell r="O197">
            <v>0.20901542111506521</v>
          </cell>
          <cell r="P197">
            <v>0.1048252911813643</v>
          </cell>
          <cell r="Q197">
            <v>0.13090627420604184</v>
          </cell>
          <cell r="R197">
            <v>0.11833132771760924</v>
          </cell>
          <cell r="S197">
            <v>0.19793322734499208</v>
          </cell>
          <cell r="T197">
            <v>0.14502799253532395</v>
          </cell>
          <cell r="U197">
            <v>0.19999999999999996</v>
          </cell>
          <cell r="V197">
            <v>0.15953689167974883</v>
          </cell>
          <cell r="W197">
            <v>0.18072289156626509</v>
          </cell>
          <cell r="X197">
            <v>0.17397260273972592</v>
          </cell>
          <cell r="Y197">
            <v>0.17718794835007179</v>
          </cell>
          <cell r="Z197">
            <v>0.17120106171201055</v>
          </cell>
          <cell r="AA197">
            <v>0.1750873108265425</v>
          </cell>
          <cell r="AB197">
            <v>0.17967781908302349</v>
          </cell>
          <cell r="AC197">
            <v>0.17634117447960729</v>
          </cell>
          <cell r="AJ197">
            <v>0.18126888217522663</v>
          </cell>
          <cell r="AK197">
            <v>2.5154004106776151E-2</v>
          </cell>
          <cell r="AL197">
            <v>6.7780429594272107E-2</v>
          </cell>
          <cell r="AM197">
            <v>4.7242146920603467E-2</v>
          </cell>
          <cell r="AN197">
            <v>7.4403369209171677E-2</v>
          </cell>
          <cell r="AO197">
            <v>5.663430420711979E-2</v>
          </cell>
          <cell r="AP197">
            <v>0.21565731166912849</v>
          </cell>
          <cell r="AQ197">
            <v>9.5968822311533364E-2</v>
          </cell>
          <cell r="AR197">
            <v>0.20430645968953431</v>
          </cell>
          <cell r="AS197">
            <v>0.1086276262852035</v>
          </cell>
          <cell r="AT197">
            <v>0.15375531412375998</v>
          </cell>
          <cell r="AU197">
            <v>6.7508710801393645E-2</v>
          </cell>
          <cell r="AV197">
            <v>0.12343032159264933</v>
          </cell>
          <cell r="AW197">
            <v>9.031996759821781E-2</v>
          </cell>
          <cell r="AX197">
            <v>0.11434603844871649</v>
          </cell>
          <cell r="AY197">
            <v>8.0249480249480198E-2</v>
          </cell>
          <cell r="AZ197">
            <v>0.10000000000000009</v>
          </cell>
          <cell r="BA197">
            <v>9.02763561924258E-2</v>
          </cell>
          <cell r="BB197">
            <v>6.7727458180334654E-2</v>
          </cell>
          <cell r="BC197">
            <v>8.2742639040348953E-2</v>
          </cell>
          <cell r="BD197">
            <v>1.3744427934621051E-2</v>
          </cell>
          <cell r="BE197">
            <v>6.4220183486238591E-2</v>
          </cell>
          <cell r="BF197">
            <v>-2.4249422632794504E-2</v>
          </cell>
          <cell r="BG197">
            <v>-1.6495601173020513E-2</v>
          </cell>
          <cell r="BH197">
            <v>-2.0277882087870847E-2</v>
          </cell>
          <cell r="BI197">
            <v>2.3309132594574011E-2</v>
          </cell>
          <cell r="BJ197">
            <v>-5.9171597633136397E-3</v>
          </cell>
          <cell r="BK197">
            <v>4.8735800659582162E-2</v>
          </cell>
          <cell r="BL197">
            <v>8.0584707646176312E-3</v>
          </cell>
          <cell r="BM197">
            <v>8.7968441814595622E-2</v>
          </cell>
          <cell r="BN197">
            <v>5.2180395080134279E-2</v>
          </cell>
          <cell r="BO197">
            <v>6.9566883863549256E-2</v>
          </cell>
          <cell r="BP197">
            <v>1.4936519790888614E-2</v>
          </cell>
          <cell r="BQ197">
            <v>5.1038500506585649E-2</v>
          </cell>
          <cell r="BR197">
            <v>2.2711390635918871E-2</v>
          </cell>
          <cell r="BS197">
            <v>4.3502509760178443E-2</v>
          </cell>
          <cell r="BT197">
            <v>1.5447918775219893E-3</v>
          </cell>
          <cell r="BU197">
            <v>2.9412107769344109E-2</v>
          </cell>
          <cell r="BV197">
            <v>1.5640730376467182E-2</v>
          </cell>
          <cell r="BW197">
            <v>5.4963251437906813E-2</v>
          </cell>
          <cell r="BX197">
            <v>2.8519223236449731E-2</v>
          </cell>
          <cell r="BY197">
            <v>4.4211377756373738E-2</v>
          </cell>
          <cell r="BZ197">
            <v>3.261070161519708E-2</v>
          </cell>
          <cell r="CA197">
            <v>-3.0368856744916184E-2</v>
          </cell>
          <cell r="CB197">
            <v>-9.5005335056879248E-2</v>
          </cell>
          <cell r="CC197">
            <v>-4.9382907093240891E-2</v>
          </cell>
          <cell r="CD197">
            <v>-1.700875708056715E-2</v>
          </cell>
          <cell r="CE197">
            <v>-0.10106328878117943</v>
          </cell>
          <cell r="CF197">
            <v>-5.6916428648122186E-2</v>
          </cell>
          <cell r="CG197">
            <v>-0.13418121370991565</v>
          </cell>
          <cell r="CH197">
            <v>-0.10140831585710408</v>
          </cell>
          <cell r="CI197">
            <v>-4.6738326086013582E-2</v>
          </cell>
          <cell r="CJ197">
            <v>-0.35098781591869987</v>
          </cell>
        </row>
        <row r="198">
          <cell r="A198" t="str">
            <v xml:space="preserve">      growth CER %</v>
          </cell>
          <cell r="BB198">
            <v>0.01</v>
          </cell>
          <cell r="BC198">
            <v>0.03</v>
          </cell>
          <cell r="BD198">
            <v>0.02</v>
          </cell>
          <cell r="BE198">
            <v>0.03</v>
          </cell>
          <cell r="BF198">
            <v>-0.01</v>
          </cell>
          <cell r="BG198">
            <v>0.03</v>
          </cell>
          <cell r="BH198">
            <v>0.01</v>
          </cell>
          <cell r="BI198">
            <v>0.08</v>
          </cell>
          <cell r="BJ198">
            <v>0.03</v>
          </cell>
          <cell r="BK198">
            <v>0.06</v>
          </cell>
          <cell r="BL198">
            <v>0.04</v>
          </cell>
          <cell r="BM198">
            <v>0.08</v>
          </cell>
          <cell r="BN198">
            <v>0.05</v>
          </cell>
          <cell r="BO198">
            <v>7.0000000000000007E-2</v>
          </cell>
          <cell r="BP198">
            <v>0.02</v>
          </cell>
          <cell r="BQ198">
            <v>0.05</v>
          </cell>
          <cell r="BR198">
            <v>0.03</v>
          </cell>
          <cell r="BS198">
            <v>0.04</v>
          </cell>
        </row>
        <row r="199">
          <cell r="O199">
            <v>467</v>
          </cell>
          <cell r="V199">
            <v>525</v>
          </cell>
          <cell r="AC199">
            <v>632</v>
          </cell>
          <cell r="AJ199">
            <v>815</v>
          </cell>
          <cell r="AQ199">
            <v>954</v>
          </cell>
          <cell r="AX199">
            <v>1003</v>
          </cell>
        </row>
        <row r="200">
          <cell r="A200" t="str">
            <v>Specialty - Neuroscience</v>
          </cell>
          <cell r="CK200">
            <v>0</v>
          </cell>
        </row>
        <row r="202">
          <cell r="A202" t="str">
            <v>Gilenya</v>
          </cell>
          <cell r="AW202">
            <v>15</v>
          </cell>
          <cell r="AX202">
            <v>15</v>
          </cell>
          <cell r="AY202">
            <v>59</v>
          </cell>
          <cell r="AZ202">
            <v>79</v>
          </cell>
          <cell r="BA202">
            <v>138</v>
          </cell>
          <cell r="BB202">
            <v>153</v>
          </cell>
          <cell r="BC202">
            <v>291</v>
          </cell>
          <cell r="BD202">
            <v>203</v>
          </cell>
          <cell r="BE202">
            <v>494</v>
          </cell>
          <cell r="BF202">
            <v>247</v>
          </cell>
          <cell r="BG202">
            <v>283</v>
          </cell>
          <cell r="BH202">
            <v>530</v>
          </cell>
          <cell r="BI202">
            <v>316</v>
          </cell>
          <cell r="BJ202">
            <v>846</v>
          </cell>
          <cell r="BK202">
            <v>349</v>
          </cell>
          <cell r="BL202">
            <v>1195</v>
          </cell>
          <cell r="BM202">
            <v>421</v>
          </cell>
          <cell r="BN202">
            <v>468</v>
          </cell>
          <cell r="BO202">
            <v>889</v>
          </cell>
          <cell r="BP202">
            <v>518</v>
          </cell>
          <cell r="BQ202">
            <v>1407</v>
          </cell>
          <cell r="BR202">
            <v>527</v>
          </cell>
          <cell r="BS202">
            <v>1934</v>
          </cell>
          <cell r="BT202">
            <v>535.76133091462816</v>
          </cell>
          <cell r="BU202">
            <v>566.90400770394615</v>
          </cell>
          <cell r="BV202">
            <v>1102.6653386185742</v>
          </cell>
          <cell r="BW202">
            <v>621.16561330747913</v>
          </cell>
          <cell r="BX202">
            <v>1723.8309519260533</v>
          </cell>
          <cell r="BY202">
            <v>683.36846199674312</v>
          </cell>
          <cell r="BZ202">
            <v>2407.1994139227963</v>
          </cell>
          <cell r="CA202">
            <v>2746.3793084288995</v>
          </cell>
          <cell r="CB202">
            <v>3093.6314546932344</v>
          </cell>
          <cell r="CC202">
            <v>3331.8193751625586</v>
          </cell>
          <cell r="CD202">
            <v>3498.4103439206865</v>
          </cell>
          <cell r="CE202">
            <v>3202.5067477417206</v>
          </cell>
          <cell r="CF202">
            <v>3009.5140000975566</v>
          </cell>
          <cell r="CG202">
            <v>2895.1511363289969</v>
          </cell>
          <cell r="CH202">
            <v>2171.363352246748</v>
          </cell>
          <cell r="CI202">
            <v>1628.5225141850608</v>
          </cell>
          <cell r="CJ202">
            <v>1221.3918856387957</v>
          </cell>
          <cell r="CK202">
            <v>0</v>
          </cell>
          <cell r="CP202" t="str">
            <v>2019 (US) / 2018 (EU)</v>
          </cell>
          <cell r="DM202" t="str">
            <v>mstag:gilenya</v>
          </cell>
          <cell r="DN202">
            <v>6</v>
          </cell>
          <cell r="DO202" t="str">
            <v>ISO4217:USD</v>
          </cell>
          <cell r="DP202" t="b">
            <v>0</v>
          </cell>
        </row>
        <row r="203">
          <cell r="A203" t="str">
            <v xml:space="preserve">   growth %</v>
          </cell>
          <cell r="BD203">
            <v>12.496725937203943</v>
          </cell>
          <cell r="BF203">
            <v>3.1761382396857432</v>
          </cell>
          <cell r="BG203">
            <v>2.6261868874521377</v>
          </cell>
          <cell r="BH203">
            <v>2.8405797101449277</v>
          </cell>
          <cell r="BI203">
            <v>1.0653594771241832</v>
          </cell>
          <cell r="BJ203">
            <v>1.9072164948453607</v>
          </cell>
          <cell r="BK203">
            <v>0.71921182266009853</v>
          </cell>
          <cell r="BL203">
            <v>1.4190283400809718</v>
          </cell>
          <cell r="BM203">
            <v>0.70445344129554655</v>
          </cell>
          <cell r="BN203">
            <v>0.6537102473498233</v>
          </cell>
          <cell r="BO203">
            <v>0.6773584905660377</v>
          </cell>
          <cell r="BP203">
            <v>0.639240506329114</v>
          </cell>
          <cell r="BQ203">
            <v>0.66312056737588643</v>
          </cell>
          <cell r="BR203">
            <v>0.51002865329512903</v>
          </cell>
          <cell r="BS203">
            <v>0.61841004184100412</v>
          </cell>
          <cell r="BT203">
            <v>0.27259223495161078</v>
          </cell>
          <cell r="BU203">
            <v>0.21133334979475671</v>
          </cell>
          <cell r="BV203">
            <v>0.24034346301301945</v>
          </cell>
          <cell r="BW203">
            <v>0.19916141565150403</v>
          </cell>
          <cell r="BX203">
            <v>0.22518191323813319</v>
          </cell>
          <cell r="BY203">
            <v>0.29671434913993</v>
          </cell>
          <cell r="BZ203">
            <v>0.24467394721964641</v>
          </cell>
          <cell r="CA203">
            <v>0.14090228360157853</v>
          </cell>
          <cell r="CB203">
            <v>0.12643998052220429</v>
          </cell>
          <cell r="CC203">
            <v>7.6992985091348887E-2</v>
          </cell>
          <cell r="CD203">
            <v>5.0000000000000044E-2</v>
          </cell>
          <cell r="CE203">
            <v>-8.4582300842200642E-2</v>
          </cell>
          <cell r="CF203">
            <v>-6.0263026074887982E-2</v>
          </cell>
          <cell r="CG203">
            <v>-3.8000442518244637E-2</v>
          </cell>
          <cell r="CH203">
            <v>-0.24999999999999989</v>
          </cell>
          <cell r="CI203">
            <v>-0.25000000000000011</v>
          </cell>
          <cell r="CJ203">
            <v>-0.25</v>
          </cell>
        </row>
        <row r="204">
          <cell r="A204" t="str">
            <v xml:space="preserve">      CER growth</v>
          </cell>
          <cell r="AZ204">
            <v>2.68</v>
          </cell>
          <cell r="BG204">
            <v>2.68</v>
          </cell>
          <cell r="BH204">
            <v>2.92</v>
          </cell>
          <cell r="BI204">
            <v>1.1599999999999999</v>
          </cell>
          <cell r="BJ204">
            <v>1.99</v>
          </cell>
          <cell r="BK204">
            <v>0.74</v>
          </cell>
          <cell r="BL204">
            <v>1.47</v>
          </cell>
          <cell r="BM204">
            <v>0.71</v>
          </cell>
          <cell r="BN204">
            <v>0.66</v>
          </cell>
          <cell r="BO204">
            <v>0.68</v>
          </cell>
          <cell r="BP204">
            <v>0.63</v>
          </cell>
          <cell r="BQ204">
            <v>0.66</v>
          </cell>
          <cell r="BR204">
            <v>0.51</v>
          </cell>
          <cell r="BS204">
            <v>0.62</v>
          </cell>
        </row>
        <row r="205">
          <cell r="A205" t="str">
            <v xml:space="preserve">      Gilenya US</v>
          </cell>
          <cell r="AW205">
            <v>13</v>
          </cell>
          <cell r="AX205">
            <v>13</v>
          </cell>
          <cell r="AY205">
            <v>54</v>
          </cell>
          <cell r="BD205">
            <v>141</v>
          </cell>
          <cell r="BE205">
            <v>383</v>
          </cell>
          <cell r="BF205">
            <v>167</v>
          </cell>
          <cell r="BG205">
            <v>181</v>
          </cell>
          <cell r="BH205">
            <v>348</v>
          </cell>
          <cell r="BI205">
            <v>189</v>
          </cell>
          <cell r="BJ205">
            <v>537</v>
          </cell>
          <cell r="BK205">
            <v>190</v>
          </cell>
          <cell r="BL205">
            <v>727</v>
          </cell>
          <cell r="BM205">
            <v>243</v>
          </cell>
          <cell r="BN205">
            <v>255</v>
          </cell>
          <cell r="BO205">
            <v>498</v>
          </cell>
          <cell r="BP205">
            <v>273</v>
          </cell>
          <cell r="BQ205">
            <v>771</v>
          </cell>
          <cell r="BR205">
            <v>252</v>
          </cell>
          <cell r="BS205">
            <v>1023</v>
          </cell>
          <cell r="BT205">
            <v>272.16000000000003</v>
          </cell>
          <cell r="BU205">
            <v>285.60000000000002</v>
          </cell>
          <cell r="BV205">
            <v>557.76</v>
          </cell>
          <cell r="BW205">
            <v>300.3</v>
          </cell>
          <cell r="BX205">
            <v>858.06</v>
          </cell>
          <cell r="BY205">
            <v>318.38999999999987</v>
          </cell>
          <cell r="BZ205">
            <v>1176.4499999999998</v>
          </cell>
          <cell r="CA205">
            <v>1294.0949999999998</v>
          </cell>
          <cell r="CB205">
            <v>1423.5045</v>
          </cell>
          <cell r="CC205">
            <v>1494.679725</v>
          </cell>
          <cell r="CD205">
            <v>1569.41371125</v>
          </cell>
          <cell r="CE205">
            <v>1177.0602834374999</v>
          </cell>
          <cell r="CF205">
            <v>882.79521257812496</v>
          </cell>
          <cell r="CG205">
            <v>662.09640943359375</v>
          </cell>
          <cell r="CH205">
            <v>496.57230707519534</v>
          </cell>
          <cell r="CI205">
            <v>372.42923030639651</v>
          </cell>
          <cell r="CJ205">
            <v>279.32192272979739</v>
          </cell>
          <cell r="CP205" t="str">
            <v>If formulation patent granted 2026</v>
          </cell>
        </row>
        <row r="206">
          <cell r="A206" t="str">
            <v xml:space="preserve">           growth </v>
          </cell>
          <cell r="BG206">
            <v>1.7</v>
          </cell>
          <cell r="BH206">
            <v>1.88</v>
          </cell>
          <cell r="BI206">
            <v>1.88</v>
          </cell>
          <cell r="BK206">
            <v>0.34751773049645385</v>
          </cell>
          <cell r="BL206">
            <v>0.89817232375979117</v>
          </cell>
          <cell r="BM206">
            <v>0.45508982035928147</v>
          </cell>
          <cell r="BN206">
            <v>0.40883977900552493</v>
          </cell>
          <cell r="BO206">
            <v>0.43103448275862077</v>
          </cell>
          <cell r="BP206">
            <v>0.44444444444444442</v>
          </cell>
          <cell r="BQ206">
            <v>0.43575418994413417</v>
          </cell>
          <cell r="BR206">
            <v>0.32631578947368411</v>
          </cell>
          <cell r="BS206">
            <v>0.407152682255846</v>
          </cell>
          <cell r="BT206">
            <v>0.12</v>
          </cell>
          <cell r="BU206">
            <v>0.12</v>
          </cell>
          <cell r="BV206">
            <v>0.11999999999999988</v>
          </cell>
          <cell r="BW206">
            <v>0.1</v>
          </cell>
          <cell r="BX206">
            <v>0.11291828793774306</v>
          </cell>
          <cell r="BY206">
            <v>0.26345238095238055</v>
          </cell>
          <cell r="BZ206">
            <v>0.15</v>
          </cell>
          <cell r="CA206">
            <v>0.1</v>
          </cell>
          <cell r="CB206">
            <v>0.1</v>
          </cell>
          <cell r="CC206">
            <v>0.05</v>
          </cell>
          <cell r="CD206">
            <v>0.05</v>
          </cell>
          <cell r="CE206">
            <v>-0.25</v>
          </cell>
          <cell r="CF206">
            <v>-0.25</v>
          </cell>
          <cell r="CG206">
            <v>-0.25</v>
          </cell>
          <cell r="CH206">
            <v>-0.25</v>
          </cell>
          <cell r="CI206">
            <v>-0.25</v>
          </cell>
          <cell r="CJ206">
            <v>-0.25</v>
          </cell>
        </row>
        <row r="207">
          <cell r="A207" t="str">
            <v xml:space="preserve">      Gilenya ROW</v>
          </cell>
          <cell r="AW207">
            <v>2</v>
          </cell>
          <cell r="AX207">
            <v>2</v>
          </cell>
          <cell r="AY207">
            <v>5</v>
          </cell>
          <cell r="BD207">
            <v>62</v>
          </cell>
          <cell r="BE207">
            <v>111</v>
          </cell>
          <cell r="BF207">
            <v>80</v>
          </cell>
          <cell r="BG207">
            <v>102</v>
          </cell>
          <cell r="BH207">
            <v>182</v>
          </cell>
          <cell r="BI207">
            <v>127</v>
          </cell>
          <cell r="BJ207">
            <v>309</v>
          </cell>
          <cell r="BK207">
            <v>159</v>
          </cell>
          <cell r="BL207">
            <v>468</v>
          </cell>
          <cell r="BM207">
            <v>178</v>
          </cell>
          <cell r="BN207">
            <v>213</v>
          </cell>
          <cell r="BO207">
            <v>391</v>
          </cell>
          <cell r="BP207">
            <v>245</v>
          </cell>
          <cell r="BQ207">
            <v>636</v>
          </cell>
          <cell r="BR207">
            <v>275</v>
          </cell>
          <cell r="BS207">
            <v>911</v>
          </cell>
          <cell r="BT207">
            <v>263.60133091462808</v>
          </cell>
          <cell r="BU207">
            <v>281.30400770394613</v>
          </cell>
          <cell r="BV207">
            <v>544.90533861857421</v>
          </cell>
          <cell r="BW207">
            <v>320.86561330747907</v>
          </cell>
          <cell r="BX207">
            <v>865.77095192605327</v>
          </cell>
          <cell r="BY207">
            <v>364.97846199674325</v>
          </cell>
          <cell r="BZ207">
            <v>1230.7494139227965</v>
          </cell>
          <cell r="CA207">
            <v>1452.2843084288997</v>
          </cell>
          <cell r="CB207">
            <v>1670.1269546932347</v>
          </cell>
          <cell r="CC207">
            <v>1837.1396501625584</v>
          </cell>
          <cell r="CD207">
            <v>1928.9966326706865</v>
          </cell>
          <cell r="CE207">
            <v>2025.4464643042209</v>
          </cell>
          <cell r="CF207">
            <v>2126.7187875194318</v>
          </cell>
          <cell r="CG207">
            <v>2233.0547268954033</v>
          </cell>
          <cell r="CH207">
            <v>1674.7910451715525</v>
          </cell>
          <cell r="CI207">
            <v>1256.0932838786644</v>
          </cell>
          <cell r="CJ207">
            <v>942.06996290899826</v>
          </cell>
          <cell r="CP207" t="str">
            <v>EU excl. 2021/22</v>
          </cell>
        </row>
        <row r="208">
          <cell r="A208" t="str">
            <v xml:space="preserve">           growth </v>
          </cell>
          <cell r="O208">
            <v>278</v>
          </cell>
          <cell r="V208">
            <v>339</v>
          </cell>
          <cell r="AC208">
            <v>420</v>
          </cell>
          <cell r="AJ208">
            <v>502</v>
          </cell>
          <cell r="AQ208">
            <v>554</v>
          </cell>
          <cell r="AX208">
            <v>600</v>
          </cell>
          <cell r="BK208">
            <v>1.564516129032258</v>
          </cell>
          <cell r="BL208">
            <v>3.2162162162162158</v>
          </cell>
          <cell r="BM208">
            <v>1.2250000000000001</v>
          </cell>
          <cell r="BN208">
            <v>1.0882352941176472</v>
          </cell>
          <cell r="BO208">
            <v>1.1483516483516483</v>
          </cell>
          <cell r="BP208">
            <v>0.92913385826771644</v>
          </cell>
          <cell r="BQ208">
            <v>1.058252427184466</v>
          </cell>
          <cell r="BR208">
            <v>0.72955974842767302</v>
          </cell>
          <cell r="BS208">
            <v>0.94658119658119655</v>
          </cell>
          <cell r="BT208">
            <v>0.48090635345296673</v>
          </cell>
          <cell r="BU208">
            <v>0.3206760925067893</v>
          </cell>
          <cell r="BV208">
            <v>0.39361979186336105</v>
          </cell>
          <cell r="BW208">
            <v>0.30965556452032272</v>
          </cell>
          <cell r="BX208">
            <v>0.36127508164473787</v>
          </cell>
          <cell r="BY208">
            <v>0.32719440726088456</v>
          </cell>
          <cell r="BZ208">
            <v>0.35098728202282814</v>
          </cell>
          <cell r="CA208">
            <v>0.17999999999999994</v>
          </cell>
          <cell r="CB208">
            <v>0.14999999999999991</v>
          </cell>
          <cell r="CC208">
            <v>0.10000000000000009</v>
          </cell>
          <cell r="CD208">
            <v>5.0000000000000044E-2</v>
          </cell>
          <cell r="CE208">
            <v>5.0000000000000044E-2</v>
          </cell>
          <cell r="CF208">
            <v>5.0000000000000044E-2</v>
          </cell>
          <cell r="CG208">
            <v>5.0000000000000044E-2</v>
          </cell>
          <cell r="CH208">
            <v>-0.25</v>
          </cell>
          <cell r="CI208">
            <v>-0.25</v>
          </cell>
          <cell r="CJ208">
            <v>-0.25</v>
          </cell>
          <cell r="CP208" t="str">
            <v>If formulation patent granted 2024 in EU/Japan</v>
          </cell>
        </row>
        <row r="209">
          <cell r="A209" t="str">
            <v xml:space="preserve">   CER growth </v>
          </cell>
          <cell r="BK209">
            <v>1.6</v>
          </cell>
          <cell r="BL209" t="str">
            <v>nm</v>
          </cell>
          <cell r="BM209">
            <v>1.25</v>
          </cell>
          <cell r="BN209">
            <v>1.0900000000000001</v>
          </cell>
          <cell r="BO209">
            <v>1.1599999999999999</v>
          </cell>
          <cell r="BP209">
            <v>0.9</v>
          </cell>
          <cell r="BQ209">
            <v>1.05</v>
          </cell>
          <cell r="BR209">
            <v>0.73</v>
          </cell>
          <cell r="BS209">
            <v>0.94</v>
          </cell>
          <cell r="BT209">
            <v>0.5</v>
          </cell>
          <cell r="BU209">
            <v>0.3</v>
          </cell>
          <cell r="BW209">
            <v>0.3</v>
          </cell>
          <cell r="BY209">
            <v>0.32038614030469792</v>
          </cell>
          <cell r="BZ209">
            <v>0.35</v>
          </cell>
          <cell r="CA209">
            <v>0.18</v>
          </cell>
          <cell r="CB209">
            <v>0.15</v>
          </cell>
          <cell r="CC209">
            <v>0.1</v>
          </cell>
          <cell r="CD209">
            <v>0.05</v>
          </cell>
          <cell r="CE209">
            <v>0.05</v>
          </cell>
          <cell r="CF209">
            <v>0.05</v>
          </cell>
          <cell r="CG209">
            <v>0.05</v>
          </cell>
          <cell r="CH209">
            <v>-0.25</v>
          </cell>
          <cell r="CI209">
            <v>-0.25</v>
          </cell>
          <cell r="CJ209">
            <v>-0.25</v>
          </cell>
        </row>
        <row r="211">
          <cell r="A211" t="str">
            <v>Exelon</v>
          </cell>
          <cell r="B211">
            <v>106</v>
          </cell>
          <cell r="C211">
            <v>100</v>
          </cell>
          <cell r="D211">
            <v>206</v>
          </cell>
          <cell r="E211">
            <v>107</v>
          </cell>
          <cell r="F211">
            <v>313</v>
          </cell>
          <cell r="G211">
            <v>109</v>
          </cell>
          <cell r="H211">
            <v>422</v>
          </cell>
          <cell r="I211">
            <v>117</v>
          </cell>
          <cell r="J211">
            <v>110</v>
          </cell>
          <cell r="K211">
            <v>227</v>
          </cell>
          <cell r="L211">
            <v>119</v>
          </cell>
          <cell r="M211">
            <v>346</v>
          </cell>
          <cell r="N211">
            <v>121</v>
          </cell>
          <cell r="O211">
            <v>467</v>
          </cell>
          <cell r="P211">
            <v>116</v>
          </cell>
          <cell r="Q211">
            <v>128</v>
          </cell>
          <cell r="R211">
            <v>244</v>
          </cell>
          <cell r="S211">
            <v>143</v>
          </cell>
          <cell r="T211">
            <v>387</v>
          </cell>
          <cell r="U211">
            <v>138</v>
          </cell>
          <cell r="V211">
            <v>525</v>
          </cell>
          <cell r="W211">
            <v>146</v>
          </cell>
          <cell r="X211">
            <v>151</v>
          </cell>
          <cell r="Y211">
            <v>297</v>
          </cell>
          <cell r="Z211">
            <v>164</v>
          </cell>
          <cell r="AA211">
            <v>461</v>
          </cell>
          <cell r="AB211">
            <v>171</v>
          </cell>
          <cell r="AC211">
            <v>632</v>
          </cell>
          <cell r="AD211">
            <v>188</v>
          </cell>
          <cell r="AE211">
            <v>203</v>
          </cell>
          <cell r="AF211">
            <v>391</v>
          </cell>
          <cell r="AG211">
            <v>215</v>
          </cell>
          <cell r="AH211">
            <v>606</v>
          </cell>
          <cell r="AI211">
            <v>209</v>
          </cell>
          <cell r="AJ211">
            <v>815</v>
          </cell>
          <cell r="AK211">
            <v>203</v>
          </cell>
          <cell r="AL211">
            <v>233</v>
          </cell>
          <cell r="AM211">
            <v>436</v>
          </cell>
          <cell r="AN211">
            <v>251</v>
          </cell>
          <cell r="AO211">
            <v>687</v>
          </cell>
          <cell r="AP211">
            <v>267</v>
          </cell>
          <cell r="AQ211">
            <v>954</v>
          </cell>
          <cell r="AR211">
            <v>251</v>
          </cell>
          <cell r="AS211">
            <v>252</v>
          </cell>
          <cell r="AT211">
            <v>503</v>
          </cell>
          <cell r="AU211">
            <v>244</v>
          </cell>
          <cell r="AV211">
            <v>747</v>
          </cell>
          <cell r="AW211">
            <v>256</v>
          </cell>
          <cell r="AX211">
            <v>1003</v>
          </cell>
          <cell r="AY211">
            <v>251</v>
          </cell>
          <cell r="AZ211">
            <v>264</v>
          </cell>
          <cell r="BA211">
            <v>515</v>
          </cell>
          <cell r="BB211">
            <v>281</v>
          </cell>
          <cell r="BC211">
            <v>796</v>
          </cell>
          <cell r="BD211">
            <v>271</v>
          </cell>
          <cell r="BE211">
            <v>1067</v>
          </cell>
          <cell r="BF211">
            <v>271</v>
          </cell>
          <cell r="BG211">
            <v>258</v>
          </cell>
          <cell r="BH211">
            <v>529</v>
          </cell>
          <cell r="BI211">
            <v>255</v>
          </cell>
          <cell r="BJ211">
            <v>784</v>
          </cell>
          <cell r="BK211">
            <v>266</v>
          </cell>
          <cell r="BL211">
            <v>1050</v>
          </cell>
          <cell r="BM211">
            <v>266</v>
          </cell>
          <cell r="BN211">
            <v>263</v>
          </cell>
          <cell r="BO211">
            <v>529</v>
          </cell>
          <cell r="BP211">
            <v>253</v>
          </cell>
          <cell r="BQ211">
            <v>782</v>
          </cell>
          <cell r="BR211">
            <v>250</v>
          </cell>
          <cell r="BS211">
            <v>1032</v>
          </cell>
          <cell r="BT211">
            <v>248.83574705905414</v>
          </cell>
          <cell r="BU211">
            <v>250.83261894028283</v>
          </cell>
          <cell r="BV211">
            <v>499.66836599933697</v>
          </cell>
          <cell r="BW211">
            <v>240.30910853637499</v>
          </cell>
          <cell r="BX211">
            <v>739.97747453571196</v>
          </cell>
          <cell r="BY211">
            <v>234.90098357303884</v>
          </cell>
          <cell r="BZ211">
            <v>974.87845810875081</v>
          </cell>
          <cell r="CA211">
            <v>851.49668939243816</v>
          </cell>
          <cell r="CB211">
            <v>764.90218598357251</v>
          </cell>
          <cell r="CC211">
            <v>715.76341738521523</v>
          </cell>
          <cell r="CD211">
            <v>670.71798214669366</v>
          </cell>
          <cell r="CE211">
            <v>426.28161726735493</v>
          </cell>
          <cell r="CF211">
            <v>322.24796006648717</v>
          </cell>
          <cell r="CG211">
            <v>264.77577389441279</v>
          </cell>
          <cell r="CH211">
            <v>230.85709111531716</v>
          </cell>
          <cell r="CI211">
            <v>208.97428951736379</v>
          </cell>
          <cell r="CJ211">
            <v>193.35560152040185</v>
          </cell>
          <cell r="CM211">
            <v>1.3182674199623353E-2</v>
          </cell>
          <cell r="CO211">
            <v>0.13693251533742332</v>
          </cell>
          <cell r="CP211" t="str">
            <v>2014 / 2012</v>
          </cell>
          <cell r="CQ211">
            <v>0.10377358490566047</v>
          </cell>
          <cell r="CR211">
            <v>0.10000000000000009</v>
          </cell>
          <cell r="CS211">
            <v>0.11214953271028039</v>
          </cell>
          <cell r="CT211">
            <v>0.11009174311926606</v>
          </cell>
          <cell r="CU211">
            <v>0.10663507109004744</v>
          </cell>
          <cell r="CV211">
            <v>-8.5470085470085166E-3</v>
          </cell>
          <cell r="CW211">
            <v>0.16363636363636358</v>
          </cell>
          <cell r="CX211">
            <v>0.20168067226890751</v>
          </cell>
          <cell r="CY211">
            <v>0.14049586776859502</v>
          </cell>
          <cell r="CZ211">
            <v>0.12419700214132767</v>
          </cell>
          <cell r="DA211">
            <v>0.25862068965517238</v>
          </cell>
          <cell r="DB211">
            <v>0.1796875</v>
          </cell>
          <cell r="DC211">
            <v>0.14685314685314688</v>
          </cell>
          <cell r="DD211">
            <v>0.1</v>
          </cell>
          <cell r="DE211">
            <v>0.20380952380952388</v>
          </cell>
          <cell r="DF211">
            <v>0.08</v>
          </cell>
          <cell r="DG211">
            <v>7.0000000000000007E-2</v>
          </cell>
          <cell r="DH211">
            <v>0.06</v>
          </cell>
          <cell r="DI211">
            <v>0.05</v>
          </cell>
          <cell r="DJ211">
            <v>-0.2</v>
          </cell>
          <cell r="DK211">
            <v>-0.2</v>
          </cell>
          <cell r="DM211" t="str">
            <v>mstag:exelon</v>
          </cell>
          <cell r="DN211">
            <v>6</v>
          </cell>
          <cell r="DO211" t="str">
            <v>ISO4217:USD</v>
          </cell>
          <cell r="DP211" t="b">
            <v>0</v>
          </cell>
        </row>
        <row r="212">
          <cell r="A212" t="str">
            <v xml:space="preserve">   growth %</v>
          </cell>
          <cell r="P212">
            <v>7.0310269621528643E-2</v>
          </cell>
          <cell r="Q212">
            <v>0.18598162075162972</v>
          </cell>
          <cell r="R212">
            <v>0.12549113548331126</v>
          </cell>
          <cell r="S212">
            <v>0.19530927057576331</v>
          </cell>
          <cell r="T212">
            <v>0.1501074876901427</v>
          </cell>
          <cell r="U212">
            <v>0.10310874546553994</v>
          </cell>
          <cell r="V212">
            <v>0.13176584820023407</v>
          </cell>
          <cell r="W212">
            <v>0.22527435107373939</v>
          </cell>
          <cell r="X212">
            <v>0.1688936948831774</v>
          </cell>
          <cell r="Y212">
            <v>0.19514304290497053</v>
          </cell>
          <cell r="Z212">
            <v>0.11835697774489051</v>
          </cell>
          <cell r="AA212">
            <v>0.16700236601540053</v>
          </cell>
          <cell r="AB212">
            <v>0.16952007129665936</v>
          </cell>
          <cell r="AC212">
            <v>0.16859394967592811</v>
          </cell>
          <cell r="AD212">
            <v>0.16761363425468034</v>
          </cell>
          <cell r="AE212">
            <v>0.20544062664414353</v>
          </cell>
          <cell r="AF212">
            <v>0.18700440004579599</v>
          </cell>
          <cell r="AG212">
            <v>0.22755962104360528</v>
          </cell>
          <cell r="AH212">
            <v>0.20807866997714641</v>
          </cell>
          <cell r="AI212">
            <v>0.19585582944841251</v>
          </cell>
          <cell r="AJ212">
            <v>0.19808556607130079</v>
          </cell>
          <cell r="AK212">
            <v>9.5810326572895677E-2</v>
          </cell>
          <cell r="AL212">
            <v>0.18157408925816199</v>
          </cell>
          <cell r="AN212">
            <v>0.13268334418641192</v>
          </cell>
          <cell r="AP212">
            <v>0.19059278786556977</v>
          </cell>
          <cell r="AQ212">
            <v>0.17055214723926371</v>
          </cell>
          <cell r="AR212">
            <v>0.16645320197044322</v>
          </cell>
          <cell r="AS212">
            <v>8.5296852639251575E-2</v>
          </cell>
          <cell r="AU212">
            <v>-2.9484101639471572E-2</v>
          </cell>
          <cell r="AW212">
            <v>-5.0392727123835912E-2</v>
          </cell>
          <cell r="AX212">
            <v>5.1362683438155088E-2</v>
          </cell>
          <cell r="AY212">
            <v>-7.0000000000000062E-2</v>
          </cell>
          <cell r="AZ212">
            <v>-8.8075882295397756E-2</v>
          </cell>
          <cell r="BA212">
            <v>-7.8990606110304062E-2</v>
          </cell>
          <cell r="BB212">
            <v>4.2002412826297242E-2</v>
          </cell>
          <cell r="BC212">
            <v>-4.0646481998484418E-2</v>
          </cell>
          <cell r="BD212">
            <v>2.1986353870609765E-2</v>
          </cell>
          <cell r="BE212">
            <v>-1.7790493992535739E-2</v>
          </cell>
          <cell r="BF212">
            <v>6.9378836620039408E-2</v>
          </cell>
          <cell r="BG212">
            <v>2.1181133712206646E-2</v>
          </cell>
          <cell r="BH212">
            <v>2.7184466019417375E-2</v>
          </cell>
          <cell r="BI212">
            <v>-9.252669039145911E-2</v>
          </cell>
          <cell r="BJ212">
            <v>-1.5075376884422065E-2</v>
          </cell>
          <cell r="BK212">
            <v>-1.8450184501844991E-2</v>
          </cell>
          <cell r="BL212">
            <v>-1.5932521087160256E-2</v>
          </cell>
          <cell r="BM212">
            <v>-1.8450184501844991E-2</v>
          </cell>
          <cell r="BN212">
            <v>1.9379844961240345E-2</v>
          </cell>
          <cell r="BO212">
            <v>0</v>
          </cell>
          <cell r="BP212">
            <v>-7.8431372549019329E-3</v>
          </cell>
          <cell r="BQ212">
            <v>-2.5510204081632404E-3</v>
          </cell>
          <cell r="BR212">
            <v>-6.0150375939849621E-2</v>
          </cell>
          <cell r="BS212">
            <v>-1.7142857142857126E-2</v>
          </cell>
          <cell r="BT212">
            <v>-6.452726669528519E-2</v>
          </cell>
          <cell r="BU212">
            <v>-4.6263806310711697E-2</v>
          </cell>
          <cell r="BV212">
            <v>-5.5447323252671099E-2</v>
          </cell>
          <cell r="BW212">
            <v>-5.0161626338438792E-2</v>
          </cell>
          <cell r="BX212">
            <v>-5.3737244839243026E-2</v>
          </cell>
          <cell r="BY212">
            <v>-6.0396065707844615E-2</v>
          </cell>
          <cell r="BZ212">
            <v>-5.5350331289970134E-2</v>
          </cell>
          <cell r="CA212">
            <v>-0.12656118071956513</v>
          </cell>
          <cell r="CB212">
            <v>-0.10169681748340409</v>
          </cell>
          <cell r="CC212">
            <v>-6.4241898505193462E-2</v>
          </cell>
          <cell r="CD212">
            <v>-6.2933413673304073E-2</v>
          </cell>
          <cell r="CE212">
            <v>-0.36443985607333507</v>
          </cell>
          <cell r="CF212">
            <v>-0.24404912852627192</v>
          </cell>
          <cell r="CG212">
            <v>-0.17834771137175398</v>
          </cell>
          <cell r="CH212">
            <v>-0.12810342230411809</v>
          </cell>
          <cell r="CI212">
            <v>-9.4789384602539828E-2</v>
          </cell>
          <cell r="CJ212">
            <v>-7.473975881451278E-2</v>
          </cell>
          <cell r="CP212" t="str">
            <v>Exelon patch - formulation 2019</v>
          </cell>
        </row>
        <row r="213">
          <cell r="A213" t="str">
            <v xml:space="preserve">      CER growth</v>
          </cell>
          <cell r="AZ213">
            <v>0.04</v>
          </cell>
          <cell r="BB213">
            <v>0.1</v>
          </cell>
          <cell r="BC213">
            <v>0.02</v>
          </cell>
          <cell r="BD213">
            <v>0.08</v>
          </cell>
          <cell r="BE213">
            <v>0.04</v>
          </cell>
          <cell r="BF213">
            <v>0.11</v>
          </cell>
          <cell r="BG213">
            <v>0.04</v>
          </cell>
          <cell r="BH213">
            <v>7.0000000000000007E-2</v>
          </cell>
          <cell r="BI213">
            <v>-0.03</v>
          </cell>
          <cell r="BJ213">
            <v>0.04</v>
          </cell>
          <cell r="BK213">
            <v>0</v>
          </cell>
          <cell r="BL213">
            <v>0.02</v>
          </cell>
          <cell r="BM213">
            <v>-0.01</v>
          </cell>
          <cell r="BN213">
            <v>0.03</v>
          </cell>
          <cell r="BO213">
            <v>0.01</v>
          </cell>
          <cell r="BP213">
            <v>0.01</v>
          </cell>
          <cell r="BQ213">
            <v>0.01</v>
          </cell>
          <cell r="BR213">
            <v>-0.05</v>
          </cell>
          <cell r="BS213">
            <v>0</v>
          </cell>
          <cell r="CP213" t="str">
            <v xml:space="preserve">generic capsules now on market following </v>
          </cell>
        </row>
        <row r="214">
          <cell r="A214" t="str">
            <v xml:space="preserve">      Exelon US</v>
          </cell>
          <cell r="BB214">
            <v>96</v>
          </cell>
          <cell r="BC214">
            <v>238</v>
          </cell>
          <cell r="BD214">
            <v>102</v>
          </cell>
          <cell r="BE214">
            <v>375</v>
          </cell>
          <cell r="BF214">
            <v>109</v>
          </cell>
          <cell r="BG214">
            <v>103</v>
          </cell>
          <cell r="BH214">
            <v>212</v>
          </cell>
          <cell r="BI214">
            <v>102</v>
          </cell>
          <cell r="BJ214">
            <v>314</v>
          </cell>
          <cell r="BK214">
            <v>114</v>
          </cell>
          <cell r="BL214">
            <v>428</v>
          </cell>
          <cell r="BM214">
            <v>112</v>
          </cell>
          <cell r="BN214">
            <v>121</v>
          </cell>
          <cell r="BO214">
            <v>233</v>
          </cell>
          <cell r="BP214">
            <v>117</v>
          </cell>
          <cell r="BQ214">
            <v>350</v>
          </cell>
          <cell r="BR214">
            <v>107</v>
          </cell>
          <cell r="BS214">
            <v>457</v>
          </cell>
          <cell r="BT214">
            <v>112</v>
          </cell>
          <cell r="BU214">
            <v>121</v>
          </cell>
          <cell r="BV214">
            <v>233</v>
          </cell>
          <cell r="BW214">
            <v>117</v>
          </cell>
          <cell r="BX214">
            <v>350</v>
          </cell>
          <cell r="BY214">
            <v>107</v>
          </cell>
          <cell r="BZ214">
            <v>457</v>
          </cell>
          <cell r="CA214">
            <v>411.3</v>
          </cell>
          <cell r="CB214">
            <v>390.73500000000001</v>
          </cell>
          <cell r="CC214">
            <v>379.01294999999999</v>
          </cell>
          <cell r="CD214">
            <v>367.6425615</v>
          </cell>
          <cell r="CE214">
            <v>183.82128075</v>
          </cell>
          <cell r="CF214">
            <v>91.910640375</v>
          </cell>
          <cell r="CG214">
            <v>45.9553201875</v>
          </cell>
          <cell r="CH214">
            <v>22.97766009375</v>
          </cell>
          <cell r="CI214">
            <v>11.488830046875</v>
          </cell>
          <cell r="CJ214">
            <v>5.7444150234375</v>
          </cell>
          <cell r="CP214" t="str">
            <v>settlement with generics</v>
          </cell>
        </row>
        <row r="215">
          <cell r="A215" t="str">
            <v xml:space="preserve">           growth </v>
          </cell>
          <cell r="BB215">
            <v>0.08</v>
          </cell>
          <cell r="BC215">
            <v>0.13</v>
          </cell>
          <cell r="BD215">
            <v>0.15</v>
          </cell>
          <cell r="BE215">
            <v>-0.01</v>
          </cell>
          <cell r="BF215">
            <v>0.21</v>
          </cell>
          <cell r="BG215">
            <v>0.18</v>
          </cell>
          <cell r="BH215">
            <v>0.2</v>
          </cell>
          <cell r="BI215">
            <v>0.06</v>
          </cell>
          <cell r="BJ215">
            <v>0.31932773109243695</v>
          </cell>
          <cell r="BK215">
            <v>0.11764705882352944</v>
          </cell>
          <cell r="BL215">
            <v>0.14133333333333331</v>
          </cell>
          <cell r="BM215">
            <v>2.7522935779816571E-2</v>
          </cell>
          <cell r="BN215">
            <v>0.17475728155339798</v>
          </cell>
          <cell r="BO215">
            <v>9.9056603773584939E-2</v>
          </cell>
          <cell r="BP215">
            <v>0.14705882352941169</v>
          </cell>
          <cell r="BQ215">
            <v>0.11464968152866239</v>
          </cell>
          <cell r="BR215">
            <v>-6.1403508771929793E-2</v>
          </cell>
          <cell r="BS215">
            <v>6.7757009345794428E-2</v>
          </cell>
          <cell r="BT215">
            <v>0</v>
          </cell>
          <cell r="BU215">
            <v>0</v>
          </cell>
          <cell r="BV215">
            <v>0</v>
          </cell>
          <cell r="BW215">
            <v>0</v>
          </cell>
          <cell r="BX215">
            <v>0</v>
          </cell>
          <cell r="BY215">
            <v>0</v>
          </cell>
          <cell r="BZ215">
            <v>0</v>
          </cell>
          <cell r="CA215">
            <v>-0.1</v>
          </cell>
          <cell r="CB215">
            <v>-0.05</v>
          </cell>
          <cell r="CC215">
            <v>-0.03</v>
          </cell>
          <cell r="CD215">
            <v>-0.03</v>
          </cell>
          <cell r="CE215">
            <v>-0.5</v>
          </cell>
          <cell r="CF215">
            <v>-0.5</v>
          </cell>
          <cell r="CG215">
            <v>-0.5</v>
          </cell>
          <cell r="CH215">
            <v>-0.5</v>
          </cell>
          <cell r="CI215">
            <v>-0.5</v>
          </cell>
          <cell r="CJ215">
            <v>-0.5</v>
          </cell>
        </row>
        <row r="216">
          <cell r="A216" t="str">
            <v xml:space="preserve">      Exelon ROW</v>
          </cell>
          <cell r="AQ216">
            <v>49</v>
          </cell>
          <cell r="AX216">
            <v>124</v>
          </cell>
          <cell r="BB216">
            <v>185</v>
          </cell>
          <cell r="BC216">
            <v>648</v>
          </cell>
          <cell r="BD216">
            <v>169</v>
          </cell>
          <cell r="BE216">
            <v>692</v>
          </cell>
          <cell r="BF216">
            <v>162</v>
          </cell>
          <cell r="BG216">
            <v>155</v>
          </cell>
          <cell r="BH216">
            <v>317</v>
          </cell>
          <cell r="BI216">
            <v>153</v>
          </cell>
          <cell r="BJ216">
            <v>470</v>
          </cell>
          <cell r="BK216">
            <v>152</v>
          </cell>
          <cell r="BL216">
            <v>622</v>
          </cell>
          <cell r="BM216">
            <v>154</v>
          </cell>
          <cell r="BN216">
            <v>142</v>
          </cell>
          <cell r="BO216">
            <v>296</v>
          </cell>
          <cell r="BP216">
            <v>136</v>
          </cell>
          <cell r="BQ216">
            <v>432</v>
          </cell>
          <cell r="BR216">
            <v>143</v>
          </cell>
          <cell r="BS216">
            <v>575</v>
          </cell>
          <cell r="BT216">
            <v>136.83574705905414</v>
          </cell>
          <cell r="BU216">
            <v>129.83261894028283</v>
          </cell>
          <cell r="BV216">
            <v>266.66836599933697</v>
          </cell>
          <cell r="BW216">
            <v>123.30910853637501</v>
          </cell>
          <cell r="BX216">
            <v>389.97747453571196</v>
          </cell>
          <cell r="BY216">
            <v>127.90098357303884</v>
          </cell>
          <cell r="BZ216">
            <v>517.87845810875081</v>
          </cell>
          <cell r="CA216">
            <v>440.19668939243815</v>
          </cell>
          <cell r="CB216">
            <v>374.16718598357244</v>
          </cell>
          <cell r="CC216">
            <v>336.75046738521519</v>
          </cell>
          <cell r="CD216">
            <v>303.07542064669366</v>
          </cell>
          <cell r="CE216">
            <v>242.46033651735493</v>
          </cell>
          <cell r="CF216">
            <v>230.33731969148718</v>
          </cell>
          <cell r="CG216">
            <v>218.82045370691282</v>
          </cell>
          <cell r="CH216">
            <v>207.87943102156717</v>
          </cell>
          <cell r="CI216">
            <v>197.48545947048879</v>
          </cell>
          <cell r="CJ216">
            <v>187.61118649696434</v>
          </cell>
        </row>
        <row r="217">
          <cell r="A217" t="str">
            <v xml:space="preserve">           growth </v>
          </cell>
          <cell r="BK217">
            <v>-0.10059171597633132</v>
          </cell>
          <cell r="BL217">
            <v>-0.10115606936416188</v>
          </cell>
          <cell r="BM217">
            <v>-4.9382716049382713E-2</v>
          </cell>
          <cell r="BN217">
            <v>-8.3870967741935476E-2</v>
          </cell>
          <cell r="BO217">
            <v>-6.6246056782334417E-2</v>
          </cell>
          <cell r="BP217">
            <v>-0.11111111111111116</v>
          </cell>
          <cell r="BQ217">
            <v>-8.085106382978724E-2</v>
          </cell>
          <cell r="BR217">
            <v>-5.9210526315789491E-2</v>
          </cell>
          <cell r="BS217">
            <v>-7.5562700964630247E-2</v>
          </cell>
          <cell r="BT217">
            <v>-0.11145618792821987</v>
          </cell>
          <cell r="BU217">
            <v>-8.5685782110684339E-2</v>
          </cell>
          <cell r="BV217">
            <v>-9.9093358110348029E-2</v>
          </cell>
          <cell r="BW217">
            <v>-9.3315378409007277E-2</v>
          </cell>
          <cell r="BX217">
            <v>-9.7274364500666732E-2</v>
          </cell>
          <cell r="BY217">
            <v>-0.10558752746126687</v>
          </cell>
          <cell r="BZ217">
            <v>-9.9341811984781203E-2</v>
          </cell>
          <cell r="CA217">
            <v>-0.15000000000000002</v>
          </cell>
          <cell r="CB217">
            <v>-0.15000000000000002</v>
          </cell>
          <cell r="CC217">
            <v>-9.9999999999999978E-2</v>
          </cell>
          <cell r="CD217">
            <v>-0.10000000000000009</v>
          </cell>
          <cell r="CE217">
            <v>-0.19999999999999996</v>
          </cell>
          <cell r="CF217">
            <v>-5.0000000000000044E-2</v>
          </cell>
          <cell r="CG217">
            <v>-5.0000000000000044E-2</v>
          </cell>
          <cell r="CH217">
            <v>-5.0000000000000044E-2</v>
          </cell>
          <cell r="CI217">
            <v>-5.0000000000000155E-2</v>
          </cell>
          <cell r="CJ217">
            <v>-5.0000000000000044E-2</v>
          </cell>
        </row>
        <row r="218">
          <cell r="A218" t="str">
            <v xml:space="preserve">   CER growth </v>
          </cell>
          <cell r="BB218">
            <v>0.11</v>
          </cell>
          <cell r="BC218">
            <v>0.37</v>
          </cell>
          <cell r="BD218">
            <v>0.04</v>
          </cell>
          <cell r="BE218">
            <v>7.0000000000000007E-2</v>
          </cell>
          <cell r="BF218">
            <v>0.04</v>
          </cell>
          <cell r="BG218">
            <v>-0.03</v>
          </cell>
          <cell r="BH218">
            <v>0.01</v>
          </cell>
          <cell r="BI218">
            <v>-0.09</v>
          </cell>
          <cell r="BK218">
            <v>-0.08</v>
          </cell>
          <cell r="BL218">
            <v>-0.04</v>
          </cell>
          <cell r="BM218">
            <v>-0.03</v>
          </cell>
          <cell r="BN218">
            <v>-0.1</v>
          </cell>
          <cell r="BO218">
            <v>-0.04</v>
          </cell>
          <cell r="BP218">
            <v>-0.09</v>
          </cell>
          <cell r="BQ218">
            <v>-0.06</v>
          </cell>
          <cell r="BR218">
            <v>-0.1</v>
          </cell>
          <cell r="BS218">
            <v>-0.05</v>
          </cell>
          <cell r="BT218">
            <v>-0.1</v>
          </cell>
          <cell r="BU218">
            <v>-0.1</v>
          </cell>
          <cell r="BW218">
            <v>-0.1</v>
          </cell>
          <cell r="BY218">
            <v>-0.11239579441745351</v>
          </cell>
          <cell r="BZ218">
            <v>-0.1</v>
          </cell>
          <cell r="CA218">
            <v>-0.15</v>
          </cell>
          <cell r="CB218">
            <v>-0.15</v>
          </cell>
          <cell r="CC218">
            <v>-0.1</v>
          </cell>
          <cell r="CD218">
            <v>-0.1</v>
          </cell>
          <cell r="CE218">
            <v>-0.2</v>
          </cell>
          <cell r="CF218">
            <v>-0.05</v>
          </cell>
          <cell r="CG218">
            <v>-0.05</v>
          </cell>
          <cell r="CH218">
            <v>-0.05</v>
          </cell>
          <cell r="CI218">
            <v>-0.05</v>
          </cell>
          <cell r="CJ218">
            <v>-0.05</v>
          </cell>
        </row>
        <row r="220">
          <cell r="A220" t="str">
            <v>Comtan/Stalevo</v>
          </cell>
          <cell r="B220">
            <v>44</v>
          </cell>
          <cell r="C220">
            <v>46</v>
          </cell>
          <cell r="D220">
            <v>90</v>
          </cell>
          <cell r="E220">
            <v>52</v>
          </cell>
          <cell r="F220">
            <v>142</v>
          </cell>
          <cell r="G220">
            <v>58</v>
          </cell>
          <cell r="H220">
            <v>200</v>
          </cell>
          <cell r="I220">
            <v>62</v>
          </cell>
          <cell r="J220">
            <v>67</v>
          </cell>
          <cell r="K220">
            <v>129</v>
          </cell>
          <cell r="L220">
            <v>74</v>
          </cell>
          <cell r="M220">
            <v>203</v>
          </cell>
          <cell r="N220">
            <v>75</v>
          </cell>
          <cell r="O220">
            <v>278</v>
          </cell>
          <cell r="P220">
            <v>77</v>
          </cell>
          <cell r="Q220">
            <v>81</v>
          </cell>
          <cell r="R220">
            <v>158</v>
          </cell>
          <cell r="S220">
            <v>89</v>
          </cell>
          <cell r="T220">
            <v>247</v>
          </cell>
          <cell r="U220">
            <v>92</v>
          </cell>
          <cell r="V220">
            <v>339</v>
          </cell>
          <cell r="W220">
            <v>94</v>
          </cell>
          <cell r="X220">
            <v>106</v>
          </cell>
          <cell r="Y220">
            <v>200</v>
          </cell>
          <cell r="Z220">
            <v>103</v>
          </cell>
          <cell r="AA220">
            <v>303</v>
          </cell>
          <cell r="AB220">
            <v>117</v>
          </cell>
          <cell r="AC220">
            <v>420</v>
          </cell>
          <cell r="AD220">
            <v>114</v>
          </cell>
          <cell r="AE220">
            <v>131</v>
          </cell>
          <cell r="AF220">
            <v>245</v>
          </cell>
          <cell r="AG220">
            <v>131</v>
          </cell>
          <cell r="AH220">
            <v>376</v>
          </cell>
          <cell r="AI220">
            <v>126</v>
          </cell>
          <cell r="AJ220">
            <v>502</v>
          </cell>
          <cell r="AK220">
            <v>123</v>
          </cell>
          <cell r="AL220">
            <v>138</v>
          </cell>
          <cell r="AM220">
            <v>261</v>
          </cell>
          <cell r="AN220">
            <v>141</v>
          </cell>
          <cell r="AO220">
            <v>402</v>
          </cell>
          <cell r="AP220">
            <v>152</v>
          </cell>
          <cell r="AQ220">
            <v>554</v>
          </cell>
          <cell r="AR220">
            <v>141</v>
          </cell>
          <cell r="AS220">
            <v>150</v>
          </cell>
          <cell r="AT220">
            <v>291</v>
          </cell>
          <cell r="AU220">
            <v>152</v>
          </cell>
          <cell r="AV220">
            <v>443</v>
          </cell>
          <cell r="AW220">
            <v>157</v>
          </cell>
          <cell r="AX220">
            <v>600</v>
          </cell>
          <cell r="AY220">
            <v>146</v>
          </cell>
          <cell r="AZ220">
            <v>160</v>
          </cell>
          <cell r="BA220">
            <v>306</v>
          </cell>
          <cell r="BB220">
            <v>156</v>
          </cell>
          <cell r="BC220">
            <v>462</v>
          </cell>
          <cell r="BD220">
            <v>152</v>
          </cell>
          <cell r="BE220">
            <v>614</v>
          </cell>
          <cell r="BF220">
            <v>155</v>
          </cell>
          <cell r="BG220">
            <v>137</v>
          </cell>
          <cell r="BH220">
            <v>292</v>
          </cell>
          <cell r="BI220">
            <v>124</v>
          </cell>
          <cell r="BJ220">
            <v>416</v>
          </cell>
          <cell r="BK220">
            <v>114</v>
          </cell>
          <cell r="BL220">
            <v>530</v>
          </cell>
          <cell r="BM220">
            <v>100</v>
          </cell>
          <cell r="BN220">
            <v>97</v>
          </cell>
          <cell r="BO220">
            <v>197</v>
          </cell>
          <cell r="BP220">
            <v>101</v>
          </cell>
          <cell r="BQ220">
            <v>298</v>
          </cell>
          <cell r="BR220">
            <v>103</v>
          </cell>
          <cell r="BS220">
            <v>401</v>
          </cell>
          <cell r="BT220">
            <v>91.354381207178008</v>
          </cell>
          <cell r="BU220">
            <v>90.75517905613448</v>
          </cell>
          <cell r="BV220">
            <v>182.10956026331249</v>
          </cell>
          <cell r="BW220">
            <v>89.092095040601464</v>
          </cell>
          <cell r="BX220">
            <v>271.20165530391398</v>
          </cell>
          <cell r="BY220">
            <v>85.254014173997604</v>
          </cell>
          <cell r="BZ220">
            <v>356.45566947791161</v>
          </cell>
          <cell r="CA220">
            <v>297.37731905622485</v>
          </cell>
          <cell r="CB220">
            <v>252.77072119779112</v>
          </cell>
          <cell r="CC220">
            <v>214.85511301812244</v>
          </cell>
          <cell r="CD220">
            <v>182.62684606540407</v>
          </cell>
          <cell r="CE220">
            <v>155.23281915559346</v>
          </cell>
          <cell r="CF220">
            <v>131.94789628225445</v>
          </cell>
          <cell r="CG220">
            <v>112.15571183991628</v>
          </cell>
          <cell r="CH220">
            <v>95.33235506392883</v>
          </cell>
          <cell r="CI220">
            <v>81.032501804339503</v>
          </cell>
          <cell r="CJ220">
            <v>68.87762653368857</v>
          </cell>
          <cell r="CO220">
            <v>0.15936254980079681</v>
          </cell>
          <cell r="CP220" t="str">
            <v>2013 (US), 2012 (EU)</v>
          </cell>
          <cell r="CQ220">
            <v>0.40909090909090917</v>
          </cell>
          <cell r="CR220">
            <v>0.45652173913043481</v>
          </cell>
          <cell r="CT220">
            <v>0.2931034482758621</v>
          </cell>
          <cell r="CV220">
            <v>0.24193548387096775</v>
          </cell>
          <cell r="CW220">
            <v>0.20895522388059695</v>
          </cell>
          <cell r="CX220">
            <v>0.20270270270270263</v>
          </cell>
          <cell r="CY220">
            <v>0.22666666666666657</v>
          </cell>
          <cell r="CZ220">
            <v>0.21942446043165464</v>
          </cell>
          <cell r="DA220">
            <v>0.22077922077922074</v>
          </cell>
          <cell r="DB220">
            <v>0.30864197530864201</v>
          </cell>
          <cell r="DC220">
            <v>0.15730337078651679</v>
          </cell>
          <cell r="DD220">
            <v>0.25</v>
          </cell>
          <cell r="DE220">
            <v>0.23893805309734506</v>
          </cell>
          <cell r="DF220">
            <v>0.15</v>
          </cell>
          <cell r="DG220">
            <v>0.1</v>
          </cell>
          <cell r="DH220">
            <v>0.08</v>
          </cell>
          <cell r="DI220">
            <v>0.06</v>
          </cell>
          <cell r="DJ220">
            <v>0.05</v>
          </cell>
          <cell r="DK220">
            <v>0.05</v>
          </cell>
        </row>
        <row r="221">
          <cell r="A221" t="str">
            <v xml:space="preserve">   growth %</v>
          </cell>
          <cell r="P221">
            <v>0.32079276203950491</v>
          </cell>
          <cell r="Q221">
            <v>0.23130048099586309</v>
          </cell>
          <cell r="R221">
            <v>0.2754074691922892</v>
          </cell>
          <cell r="S221">
            <v>0.19633130100955842</v>
          </cell>
          <cell r="T221">
            <v>0.24835914633645939</v>
          </cell>
          <cell r="U221">
            <v>0.1892795443636115</v>
          </cell>
          <cell r="V221">
            <v>0.22699330649056104</v>
          </cell>
          <cell r="W221">
            <v>0.18743288219778775</v>
          </cell>
          <cell r="X221">
            <v>0.29784817019181942</v>
          </cell>
          <cell r="Y221">
            <v>0.24375271296099887</v>
          </cell>
          <cell r="Z221">
            <v>0.12880720167826043</v>
          </cell>
          <cell r="AA221">
            <v>0.20250854350444203</v>
          </cell>
          <cell r="AB221">
            <v>0.20212876694883342</v>
          </cell>
          <cell r="AC221">
            <v>0.20372247896374929</v>
          </cell>
          <cell r="AD221">
            <v>9.2708358824776571E-2</v>
          </cell>
          <cell r="AE221">
            <v>9.6918822320764875E-2</v>
          </cell>
          <cell r="AF221">
            <v>9.5506083547479692E-2</v>
          </cell>
          <cell r="AG221">
            <v>0.18842867148168252</v>
          </cell>
          <cell r="AH221">
            <v>0.13446913982673436</v>
          </cell>
          <cell r="AI221">
            <v>5.0556684149267062E-2</v>
          </cell>
          <cell r="AJ221">
            <v>0.10376669928407956</v>
          </cell>
          <cell r="AK221">
            <v>9.4970460951395164E-2</v>
          </cell>
          <cell r="AL221">
            <v>8.7225952530451623E-2</v>
          </cell>
          <cell r="AN221">
            <v>4.1577361583891026E-2</v>
          </cell>
          <cell r="AP221">
            <v>0.11943003249228812</v>
          </cell>
          <cell r="AQ221">
            <v>0.10358565737051784</v>
          </cell>
          <cell r="AR221">
            <v>7.6341463414633992E-2</v>
          </cell>
          <cell r="AS221">
            <v>9.0708310000699455E-2</v>
          </cell>
          <cell r="AU221">
            <v>7.6418528972830968E-2</v>
          </cell>
          <cell r="AW221">
            <v>2.3700511590928564E-2</v>
          </cell>
          <cell r="AX221">
            <v>8.3032490974729312E-2</v>
          </cell>
          <cell r="AY221">
            <v>-3.4539007092198704E-2</v>
          </cell>
          <cell r="AZ221">
            <v>-6.9028263247778776E-2</v>
          </cell>
          <cell r="BA221">
            <v>-5.1301073204645276E-2</v>
          </cell>
          <cell r="BB221">
            <v>-8.3321141962313439E-2</v>
          </cell>
          <cell r="BC221">
            <v>-6.3352807677422796E-2</v>
          </cell>
          <cell r="BD221">
            <v>-6.8454529887352011E-2</v>
          </cell>
          <cell r="BE221">
            <v>-5.8265734936370883E-2</v>
          </cell>
          <cell r="BF221">
            <v>5.1341397336079453E-2</v>
          </cell>
          <cell r="BG221">
            <v>-9.9841593560520692E-2</v>
          </cell>
          <cell r="BH221">
            <v>-4.5751633986928053E-2</v>
          </cell>
          <cell r="BI221">
            <v>-0.20512820512820518</v>
          </cell>
          <cell r="BJ221">
            <v>-9.9567099567099526E-2</v>
          </cell>
          <cell r="BK221">
            <v>-0.25</v>
          </cell>
          <cell r="BL221">
            <v>-0.1368078175895765</v>
          </cell>
          <cell r="BM221">
            <v>-0.35483870967741937</v>
          </cell>
          <cell r="BN221">
            <v>-0.29197080291970801</v>
          </cell>
          <cell r="BO221">
            <v>-0.32534246575342463</v>
          </cell>
          <cell r="BP221">
            <v>-0.18548387096774188</v>
          </cell>
          <cell r="BQ221">
            <v>-0.28365384615384615</v>
          </cell>
          <cell r="BR221">
            <v>-9.6491228070175405E-2</v>
          </cell>
          <cell r="BS221">
            <v>-0.24339622641509429</v>
          </cell>
          <cell r="BT221">
            <v>-8.6456187928219963E-2</v>
          </cell>
          <cell r="BU221">
            <v>-6.4379597359438323E-2</v>
          </cell>
          <cell r="BV221">
            <v>-7.5585988511104096E-2</v>
          </cell>
          <cell r="BW221">
            <v>-0.11790004910295582</v>
          </cell>
          <cell r="BX221">
            <v>-8.992733119491958E-2</v>
          </cell>
          <cell r="BY221">
            <v>-0.17229112452429507</v>
          </cell>
          <cell r="BZ221">
            <v>-0.11108311850894859</v>
          </cell>
          <cell r="CA221">
            <v>-0.16573828242994926</v>
          </cell>
          <cell r="CB221">
            <v>-0.15000000000000002</v>
          </cell>
          <cell r="CC221">
            <v>-0.15000000000000002</v>
          </cell>
          <cell r="CD221">
            <v>-0.15000000000000002</v>
          </cell>
          <cell r="CE221">
            <v>-0.15000000000000002</v>
          </cell>
          <cell r="CF221">
            <v>-0.14999999999999991</v>
          </cell>
          <cell r="CG221">
            <v>-0.15000000000000002</v>
          </cell>
          <cell r="CH221">
            <v>-0.15000000000000002</v>
          </cell>
          <cell r="CI221">
            <v>-0.15000000000000002</v>
          </cell>
          <cell r="CJ221">
            <v>-0.15000000000000013</v>
          </cell>
        </row>
        <row r="222">
          <cell r="A222" t="str">
            <v xml:space="preserve">      CER growth</v>
          </cell>
          <cell r="AZ222">
            <v>-0.09</v>
          </cell>
          <cell r="BB222">
            <v>-0.02</v>
          </cell>
          <cell r="BC222">
            <v>-0.01</v>
          </cell>
          <cell r="BD222">
            <v>-0.03</v>
          </cell>
          <cell r="BE222">
            <v>-0.01</v>
          </cell>
          <cell r="BF222">
            <v>7.0000000000000007E-2</v>
          </cell>
          <cell r="BG222">
            <v>-0.09</v>
          </cell>
          <cell r="BH222">
            <v>-0.02</v>
          </cell>
          <cell r="BI222">
            <v>-0.16</v>
          </cell>
          <cell r="BJ222">
            <v>-0.06</v>
          </cell>
          <cell r="BK222">
            <v>-0.24</v>
          </cell>
          <cell r="BL222">
            <v>-0.11</v>
          </cell>
          <cell r="BM222">
            <v>-0.33</v>
          </cell>
          <cell r="BN222">
            <v>-0.26</v>
          </cell>
          <cell r="BO222">
            <v>-0.3</v>
          </cell>
          <cell r="BP222">
            <v>-0.15</v>
          </cell>
          <cell r="BQ222">
            <v>-0.25</v>
          </cell>
          <cell r="BR222">
            <v>-0.05</v>
          </cell>
          <cell r="BS222">
            <v>-0.21</v>
          </cell>
        </row>
        <row r="223">
          <cell r="A223" t="str">
            <v xml:space="preserve">      Comtan/Stalevo US</v>
          </cell>
          <cell r="BI223">
            <v>32</v>
          </cell>
          <cell r="BK223">
            <v>13</v>
          </cell>
          <cell r="BL223">
            <v>147</v>
          </cell>
          <cell r="BM223">
            <v>10</v>
          </cell>
          <cell r="BN223">
            <v>4</v>
          </cell>
          <cell r="BO223">
            <v>14</v>
          </cell>
          <cell r="BP223">
            <v>10</v>
          </cell>
          <cell r="BQ223">
            <v>24</v>
          </cell>
          <cell r="BR223">
            <v>9</v>
          </cell>
          <cell r="BS223">
            <v>33</v>
          </cell>
          <cell r="BT223">
            <v>2.5</v>
          </cell>
          <cell r="BU223">
            <v>1</v>
          </cell>
          <cell r="BV223">
            <v>3.5</v>
          </cell>
          <cell r="BW223">
            <v>1.9999999999999996</v>
          </cell>
          <cell r="BX223">
            <v>5.5</v>
          </cell>
          <cell r="BY223">
            <v>1.0999999999999988</v>
          </cell>
          <cell r="BZ223">
            <v>6.5999999999999988</v>
          </cell>
          <cell r="CP223">
            <v>2013</v>
          </cell>
        </row>
        <row r="224">
          <cell r="A224" t="str">
            <v xml:space="preserve">           growth </v>
          </cell>
          <cell r="BI224">
            <v>-0.42</v>
          </cell>
          <cell r="BK224">
            <v>-0.75</v>
          </cell>
          <cell r="BL224">
            <v>-0.31</v>
          </cell>
          <cell r="BP224">
            <v>-0.6875</v>
          </cell>
          <cell r="BR224">
            <v>-0.30769230769230771</v>
          </cell>
          <cell r="BS224">
            <v>-0.77551020408163263</v>
          </cell>
          <cell r="BT224">
            <v>-0.75</v>
          </cell>
          <cell r="BU224">
            <v>-0.75</v>
          </cell>
          <cell r="BV224">
            <v>-0.75</v>
          </cell>
          <cell r="BW224">
            <v>-0.8</v>
          </cell>
          <cell r="BX224">
            <v>-0.77083333333333337</v>
          </cell>
          <cell r="BY224">
            <v>-0.87777777777777788</v>
          </cell>
          <cell r="BZ224">
            <v>-0.8</v>
          </cell>
        </row>
        <row r="225">
          <cell r="A225" t="str">
            <v xml:space="preserve">      Comtan/Stalevo ROW</v>
          </cell>
          <cell r="BI225">
            <v>92</v>
          </cell>
          <cell r="BK225">
            <v>101</v>
          </cell>
          <cell r="BL225">
            <v>383</v>
          </cell>
          <cell r="BM225">
            <v>90</v>
          </cell>
          <cell r="BN225">
            <v>93</v>
          </cell>
          <cell r="BO225">
            <v>183</v>
          </cell>
          <cell r="BP225">
            <v>91</v>
          </cell>
          <cell r="BQ225">
            <v>274</v>
          </cell>
          <cell r="BR225">
            <v>94</v>
          </cell>
          <cell r="BS225">
            <v>368</v>
          </cell>
          <cell r="BT225">
            <v>88.854381207178008</v>
          </cell>
          <cell r="BU225">
            <v>89.75517905613448</v>
          </cell>
          <cell r="BV225">
            <v>178.60956026331249</v>
          </cell>
          <cell r="BW225">
            <v>87.092095040601464</v>
          </cell>
          <cell r="BX225">
            <v>265.70165530391398</v>
          </cell>
          <cell r="BY225">
            <v>84.154014173997609</v>
          </cell>
          <cell r="BZ225">
            <v>349.85566947791159</v>
          </cell>
          <cell r="CA225">
            <v>297.37731905622485</v>
          </cell>
          <cell r="CB225">
            <v>252.77072119779112</v>
          </cell>
          <cell r="CC225">
            <v>214.85511301812244</v>
          </cell>
          <cell r="CD225">
            <v>182.62684606540407</v>
          </cell>
          <cell r="CE225">
            <v>155.23281915559346</v>
          </cell>
          <cell r="CF225">
            <v>131.94789628225445</v>
          </cell>
          <cell r="CG225">
            <v>112.15571183991628</v>
          </cell>
          <cell r="CH225">
            <v>95.33235506392883</v>
          </cell>
          <cell r="CI225">
            <v>81.032501804339503</v>
          </cell>
          <cell r="CJ225">
            <v>68.87762653368857</v>
          </cell>
          <cell r="CP225" t="str">
            <v>2012 (EU)</v>
          </cell>
        </row>
        <row r="226">
          <cell r="A226" t="str">
            <v xml:space="preserve">           growth </v>
          </cell>
          <cell r="BP226">
            <v>-1.0869565217391353E-2</v>
          </cell>
          <cell r="BR226">
            <v>-6.9306930693069257E-2</v>
          </cell>
          <cell r="BS226">
            <v>-3.9164490861618773E-2</v>
          </cell>
          <cell r="BT226">
            <v>-1.2729097698022107E-2</v>
          </cell>
          <cell r="BU226">
            <v>-3.4890547783500203E-2</v>
          </cell>
          <cell r="BV226">
            <v>-2.3991473970970012E-2</v>
          </cell>
          <cell r="BW226">
            <v>-4.2944010542841027E-2</v>
          </cell>
          <cell r="BX226">
            <v>-3.0285929547759216E-2</v>
          </cell>
          <cell r="BY226">
            <v>-0.1047445300638552</v>
          </cell>
          <cell r="BZ226">
            <v>-4.930524598393593E-2</v>
          </cell>
          <cell r="CA226">
            <v>-0.15000000000000002</v>
          </cell>
          <cell r="CB226">
            <v>-0.15000000000000002</v>
          </cell>
          <cell r="CC226">
            <v>-0.15000000000000002</v>
          </cell>
          <cell r="CD226">
            <v>-0.15000000000000002</v>
          </cell>
          <cell r="CE226">
            <v>-0.15000000000000002</v>
          </cell>
          <cell r="CF226">
            <v>-0.14999999999999991</v>
          </cell>
          <cell r="CG226">
            <v>-0.15000000000000002</v>
          </cell>
          <cell r="CH226">
            <v>-0.15000000000000002</v>
          </cell>
          <cell r="CI226">
            <v>-0.15000000000000002</v>
          </cell>
          <cell r="CJ226">
            <v>-0.15000000000000013</v>
          </cell>
        </row>
        <row r="227">
          <cell r="A227" t="str">
            <v xml:space="preserve">   CER growth </v>
          </cell>
          <cell r="BI227">
            <v>-0.01</v>
          </cell>
          <cell r="BK227">
            <v>0.02</v>
          </cell>
          <cell r="BL227">
            <v>0</v>
          </cell>
          <cell r="BM227">
            <v>0.01</v>
          </cell>
          <cell r="BN227">
            <v>0.01</v>
          </cell>
          <cell r="BO227">
            <v>0.01</v>
          </cell>
          <cell r="BP227">
            <v>0.03</v>
          </cell>
          <cell r="BQ227">
            <v>0.01</v>
          </cell>
          <cell r="BR227">
            <v>-0.02</v>
          </cell>
          <cell r="BS227">
            <v>0</v>
          </cell>
          <cell r="BT227">
            <v>0</v>
          </cell>
          <cell r="BU227">
            <v>-0.05</v>
          </cell>
          <cell r="BW227">
            <v>-0.05</v>
          </cell>
          <cell r="BY227">
            <v>-0.11155279702004184</v>
          </cell>
          <cell r="BZ227">
            <v>-0.05</v>
          </cell>
          <cell r="CA227">
            <v>-0.15</v>
          </cell>
          <cell r="CB227">
            <v>-0.15</v>
          </cell>
          <cell r="CC227">
            <v>-0.15</v>
          </cell>
          <cell r="CD227">
            <v>-0.15</v>
          </cell>
          <cell r="CE227">
            <v>-0.15</v>
          </cell>
          <cell r="CF227">
            <v>-0.15</v>
          </cell>
          <cell r="CG227">
            <v>-0.15</v>
          </cell>
          <cell r="CH227">
            <v>-0.15</v>
          </cell>
          <cell r="CI227">
            <v>-0.15</v>
          </cell>
          <cell r="CJ227">
            <v>-0.15</v>
          </cell>
        </row>
        <row r="228">
          <cell r="A228" t="str">
            <v>Extavia</v>
          </cell>
          <cell r="AK228">
            <v>3</v>
          </cell>
          <cell r="AL228">
            <v>9</v>
          </cell>
          <cell r="AM228">
            <v>12</v>
          </cell>
          <cell r="AN228">
            <v>14</v>
          </cell>
          <cell r="AO228">
            <v>26</v>
          </cell>
          <cell r="AP228">
            <v>23</v>
          </cell>
          <cell r="AQ228">
            <v>49</v>
          </cell>
          <cell r="AR228">
            <v>20</v>
          </cell>
          <cell r="AS228">
            <v>38</v>
          </cell>
          <cell r="AT228">
            <v>58</v>
          </cell>
          <cell r="AU228">
            <v>26</v>
          </cell>
          <cell r="AV228">
            <v>84</v>
          </cell>
          <cell r="AW228">
            <v>40</v>
          </cell>
          <cell r="AX228">
            <v>124</v>
          </cell>
          <cell r="AY228">
            <v>34</v>
          </cell>
          <cell r="AZ228">
            <v>44</v>
          </cell>
          <cell r="BA228">
            <v>78</v>
          </cell>
          <cell r="BB228">
            <v>37</v>
          </cell>
          <cell r="BC228">
            <v>115</v>
          </cell>
          <cell r="BD228">
            <v>39</v>
          </cell>
          <cell r="BE228">
            <v>154</v>
          </cell>
          <cell r="BF228">
            <v>37</v>
          </cell>
          <cell r="BG228">
            <v>38</v>
          </cell>
          <cell r="BH228">
            <v>75</v>
          </cell>
          <cell r="BI228">
            <v>40</v>
          </cell>
          <cell r="BJ228">
            <v>115</v>
          </cell>
          <cell r="BK228">
            <v>44</v>
          </cell>
          <cell r="BL228">
            <v>159</v>
          </cell>
          <cell r="BM228">
            <v>41</v>
          </cell>
          <cell r="BN228">
            <v>42</v>
          </cell>
          <cell r="BO228">
            <v>83</v>
          </cell>
          <cell r="BP228">
            <v>39</v>
          </cell>
          <cell r="BQ228">
            <v>122</v>
          </cell>
          <cell r="BR228">
            <v>37</v>
          </cell>
          <cell r="BS228">
            <v>159</v>
          </cell>
          <cell r="BT228">
            <v>38.454201644662035</v>
          </cell>
          <cell r="BU228">
            <v>38.401197151351262</v>
          </cell>
          <cell r="BV228">
            <v>76.855398796013304</v>
          </cell>
          <cell r="BW228">
            <v>36.146493580760911</v>
          </cell>
          <cell r="BX228">
            <v>113.00189237677421</v>
          </cell>
          <cell r="BY228">
            <v>33.007429538376272</v>
          </cell>
          <cell r="BZ228">
            <v>146.00932191515048</v>
          </cell>
          <cell r="CA228">
            <v>134.32857616193846</v>
          </cell>
          <cell r="CB228">
            <v>127.61214735384152</v>
          </cell>
          <cell r="CC228">
            <v>121.23153998614944</v>
          </cell>
          <cell r="CD228">
            <v>115.16996298684197</v>
          </cell>
          <cell r="CE228">
            <v>115.16996298684197</v>
          </cell>
          <cell r="CF228">
            <v>115.16996298684197</v>
          </cell>
          <cell r="CG228">
            <v>115.16996298684197</v>
          </cell>
          <cell r="CH228">
            <v>115.16996298684197</v>
          </cell>
          <cell r="CI228">
            <v>115.16996298684197</v>
          </cell>
          <cell r="CJ228">
            <v>115.16996298684197</v>
          </cell>
          <cell r="CO228">
            <v>0.05</v>
          </cell>
          <cell r="CP228">
            <v>2026</v>
          </cell>
          <cell r="CQ228" t="e">
            <v>#DIV/0!</v>
          </cell>
          <cell r="CR228" t="e">
            <v>#DIV/0!</v>
          </cell>
          <cell r="CS228" t="e">
            <v>#DIV/0!</v>
          </cell>
          <cell r="CT228" t="e">
            <v>#DIV/0!</v>
          </cell>
          <cell r="CU228" t="e">
            <v>#DIV/0!</v>
          </cell>
          <cell r="CV228" t="e">
            <v>#DIV/0!</v>
          </cell>
          <cell r="CW228" t="e">
            <v>#DIV/0!</v>
          </cell>
          <cell r="CX228" t="e">
            <v>#DIV/0!</v>
          </cell>
          <cell r="CY228" t="e">
            <v>#DIV/0!</v>
          </cell>
          <cell r="CZ228" t="e">
            <v>#DIV/0!</v>
          </cell>
          <cell r="DA228" t="e">
            <v>#DIV/0!</v>
          </cell>
          <cell r="DB228" t="e">
            <v>#DIV/0!</v>
          </cell>
          <cell r="DC228" t="e">
            <v>#DIV/0!</v>
          </cell>
          <cell r="DD228">
            <v>0.1</v>
          </cell>
          <cell r="DE228" t="e">
            <v>#DIV/0!</v>
          </cell>
          <cell r="DF228">
            <v>0.05</v>
          </cell>
          <cell r="DG228">
            <v>0.04</v>
          </cell>
          <cell r="DH228">
            <v>0.03</v>
          </cell>
          <cell r="DI228">
            <v>0.03</v>
          </cell>
          <cell r="DJ228">
            <v>0.03</v>
          </cell>
          <cell r="DK228">
            <v>0.03</v>
          </cell>
        </row>
        <row r="229">
          <cell r="A229" t="str">
            <v xml:space="preserve">   growth %</v>
          </cell>
          <cell r="AS229">
            <v>3.2222222222222223</v>
          </cell>
          <cell r="AU229">
            <v>0.85714285714285721</v>
          </cell>
          <cell r="AW229">
            <v>0.73913043478260865</v>
          </cell>
          <cell r="AX229">
            <v>1.5306122448979593</v>
          </cell>
          <cell r="AY229">
            <v>0.7</v>
          </cell>
          <cell r="AZ229">
            <v>0.15789473684210531</v>
          </cell>
          <cell r="BA229">
            <v>0.34482758620689657</v>
          </cell>
          <cell r="BB229">
            <v>0.42307692307692313</v>
          </cell>
          <cell r="BC229">
            <v>0.36904761904761907</v>
          </cell>
          <cell r="BD229">
            <v>-2.5000000000000022E-2</v>
          </cell>
          <cell r="BE229">
            <v>0.24193548387096775</v>
          </cell>
          <cell r="BF229">
            <v>8.8235294117646967E-2</v>
          </cell>
          <cell r="BG229">
            <v>-0.13636363636363635</v>
          </cell>
          <cell r="BH229">
            <v>-3.8461538461538436E-2</v>
          </cell>
          <cell r="BI229">
            <v>8.1081081081081141E-2</v>
          </cell>
          <cell r="BJ229">
            <v>0</v>
          </cell>
          <cell r="BK229">
            <v>0.12820512820512819</v>
          </cell>
          <cell r="BL229">
            <v>3.2467532467532534E-2</v>
          </cell>
          <cell r="BM229">
            <v>0.10810810810810811</v>
          </cell>
          <cell r="BN229">
            <v>0.10526315789473695</v>
          </cell>
          <cell r="BO229">
            <v>0.10666666666666669</v>
          </cell>
          <cell r="BP229">
            <v>-2.5000000000000022E-2</v>
          </cell>
          <cell r="BQ229">
            <v>6.0869565217391397E-2</v>
          </cell>
          <cell r="BR229">
            <v>-0.15909090909090906</v>
          </cell>
          <cell r="BS229">
            <v>0</v>
          </cell>
          <cell r="BT229">
            <v>-6.2092642813121102E-2</v>
          </cell>
          <cell r="BU229">
            <v>-8.5685782110684228E-2</v>
          </cell>
          <cell r="BV229">
            <v>-7.4031339807068663E-2</v>
          </cell>
          <cell r="BW229">
            <v>-7.3166831262540755E-2</v>
          </cell>
          <cell r="BX229">
            <v>-7.3754980518244251E-2</v>
          </cell>
          <cell r="BY229">
            <v>-0.10790730977361429</v>
          </cell>
          <cell r="BZ229">
            <v>-8.1702377892135303E-2</v>
          </cell>
          <cell r="CA229">
            <v>-7.9999999999999849E-2</v>
          </cell>
          <cell r="CB229">
            <v>-5.0000000000000044E-2</v>
          </cell>
          <cell r="CC229">
            <v>-5.0000000000000044E-2</v>
          </cell>
          <cell r="CD229">
            <v>-5.0000000000000044E-2</v>
          </cell>
          <cell r="CE229">
            <v>0</v>
          </cell>
          <cell r="CF229">
            <v>0</v>
          </cell>
          <cell r="CG229">
            <v>0</v>
          </cell>
          <cell r="CH229">
            <v>0</v>
          </cell>
          <cell r="CI229">
            <v>0</v>
          </cell>
          <cell r="CJ229">
            <v>0</v>
          </cell>
          <cell r="CQ229" t="e">
            <v>#DIV/0!</v>
          </cell>
          <cell r="CR229" t="e">
            <v>#DIV/0!</v>
          </cell>
          <cell r="CS229" t="e">
            <v>#DIV/0!</v>
          </cell>
          <cell r="CT229" t="e">
            <v>#DIV/0!</v>
          </cell>
          <cell r="CU229" t="e">
            <v>#DIV/0!</v>
          </cell>
          <cell r="CV229" t="e">
            <v>#DIV/0!</v>
          </cell>
          <cell r="CW229" t="e">
            <v>#DIV/0!</v>
          </cell>
          <cell r="CX229" t="e">
            <v>#DIV/0!</v>
          </cell>
          <cell r="CY229" t="e">
            <v>#DIV/0!</v>
          </cell>
          <cell r="CZ229" t="e">
            <v>#DIV/0!</v>
          </cell>
          <cell r="DA229" t="e">
            <v>#DIV/0!</v>
          </cell>
          <cell r="DB229" t="e">
            <v>#DIV/0!</v>
          </cell>
          <cell r="DC229" t="e">
            <v>#DIV/0!</v>
          </cell>
          <cell r="DD229">
            <v>0.1</v>
          </cell>
          <cell r="DE229" t="e">
            <v>#DIV/0!</v>
          </cell>
          <cell r="DF229">
            <v>0.05</v>
          </cell>
          <cell r="DG229">
            <v>0.04</v>
          </cell>
          <cell r="DH229">
            <v>0.03</v>
          </cell>
          <cell r="DI229">
            <v>0.03</v>
          </cell>
          <cell r="DJ229">
            <v>0.03</v>
          </cell>
          <cell r="DK229">
            <v>0.03</v>
          </cell>
        </row>
        <row r="230">
          <cell r="A230" t="str">
            <v xml:space="preserve">      CER growth</v>
          </cell>
          <cell r="AZ230">
            <v>-0.04</v>
          </cell>
          <cell r="BB230">
            <v>0.34</v>
          </cell>
          <cell r="BC230">
            <v>0.28999999999999998</v>
          </cell>
          <cell r="BD230">
            <v>-0.04</v>
          </cell>
          <cell r="BE230">
            <v>0.19</v>
          </cell>
          <cell r="BF230">
            <v>0.12</v>
          </cell>
          <cell r="BG230">
            <v>-0.04</v>
          </cell>
          <cell r="BH230">
            <v>0.03</v>
          </cell>
          <cell r="BI230">
            <v>0.15</v>
          </cell>
          <cell r="BJ230">
            <v>7.0000000000000007E-2</v>
          </cell>
          <cell r="BK230">
            <v>0.16</v>
          </cell>
          <cell r="BL230">
            <v>-0.17</v>
          </cell>
          <cell r="BM230">
            <v>0.12</v>
          </cell>
          <cell r="BN230">
            <v>0.06</v>
          </cell>
          <cell r="BO230">
            <v>0.09</v>
          </cell>
          <cell r="BP230">
            <v>-0.04</v>
          </cell>
          <cell r="BQ230">
            <v>0.04</v>
          </cell>
          <cell r="BR230">
            <v>-0.17</v>
          </cell>
          <cell r="BS230">
            <v>-0.01</v>
          </cell>
          <cell r="BT230">
            <v>-0.05</v>
          </cell>
          <cell r="BU230">
            <v>-0.1</v>
          </cell>
          <cell r="BW230">
            <v>-0.08</v>
          </cell>
          <cell r="BY230">
            <v>-0.11471557672980093</v>
          </cell>
          <cell r="BZ230">
            <v>-0.08</v>
          </cell>
          <cell r="CA230">
            <v>-0.08</v>
          </cell>
          <cell r="CB230">
            <v>-0.05</v>
          </cell>
          <cell r="CC230">
            <v>-0.05</v>
          </cell>
          <cell r="CD230">
            <v>-0.05</v>
          </cell>
          <cell r="CE230">
            <v>0</v>
          </cell>
          <cell r="CF230">
            <v>0</v>
          </cell>
          <cell r="CG230">
            <v>0</v>
          </cell>
          <cell r="CH230">
            <v>0</v>
          </cell>
          <cell r="CI230">
            <v>0</v>
          </cell>
          <cell r="CJ230">
            <v>0</v>
          </cell>
        </row>
        <row r="231">
          <cell r="BL231">
            <v>3479</v>
          </cell>
          <cell r="BS231">
            <v>4039.845149005816</v>
          </cell>
          <cell r="BZ231">
            <v>4340.8426334592459</v>
          </cell>
          <cell r="CA231">
            <v>4462.0730596935864</v>
          </cell>
          <cell r="CB231">
            <v>4631.425049550664</v>
          </cell>
          <cell r="CC231">
            <v>4791.8916356550599</v>
          </cell>
          <cell r="CD231">
            <v>4899.2584062102696</v>
          </cell>
          <cell r="CE231">
            <v>4938.2400037770085</v>
          </cell>
          <cell r="CF231">
            <v>4047.6261909442369</v>
          </cell>
          <cell r="CG231">
            <v>3670.7657789493474</v>
          </cell>
          <cell r="CH231">
            <v>3486.8112891239934</v>
          </cell>
          <cell r="CI231">
            <v>2100.6161888533247</v>
          </cell>
        </row>
        <row r="232">
          <cell r="A232" t="str">
            <v>Other (including Fanapt)</v>
          </cell>
          <cell r="AR232">
            <v>21</v>
          </cell>
          <cell r="AS232">
            <v>25</v>
          </cell>
          <cell r="AT232">
            <v>46</v>
          </cell>
          <cell r="AU232">
            <v>5</v>
          </cell>
          <cell r="AV232">
            <v>51</v>
          </cell>
          <cell r="AW232">
            <v>5</v>
          </cell>
          <cell r="AX232">
            <v>56</v>
          </cell>
          <cell r="AY232">
            <v>9</v>
          </cell>
          <cell r="AZ232">
            <v>8</v>
          </cell>
          <cell r="BA232">
            <v>17</v>
          </cell>
          <cell r="BB232">
            <v>9</v>
          </cell>
          <cell r="BC232">
            <v>26</v>
          </cell>
          <cell r="BD232">
            <v>10</v>
          </cell>
          <cell r="BE232">
            <v>36</v>
          </cell>
          <cell r="BF232">
            <v>16</v>
          </cell>
          <cell r="BG232">
            <v>19</v>
          </cell>
          <cell r="BH232">
            <v>35</v>
          </cell>
          <cell r="BI232">
            <v>16</v>
          </cell>
          <cell r="BJ232">
            <v>51</v>
          </cell>
          <cell r="BK232">
            <v>11</v>
          </cell>
          <cell r="BL232">
            <v>62</v>
          </cell>
          <cell r="BM232">
            <v>19</v>
          </cell>
          <cell r="BN232">
            <v>17</v>
          </cell>
          <cell r="BO232">
            <v>36</v>
          </cell>
          <cell r="BP232">
            <v>21</v>
          </cell>
          <cell r="BQ232">
            <v>57</v>
          </cell>
          <cell r="BR232">
            <v>21</v>
          </cell>
          <cell r="BS232">
            <v>78</v>
          </cell>
          <cell r="BT232">
            <v>18.758147143737581</v>
          </cell>
          <cell r="BU232">
            <v>17.27037967124263</v>
          </cell>
          <cell r="BV232">
            <v>36.028526814980211</v>
          </cell>
          <cell r="BW232">
            <v>21.155974503789828</v>
          </cell>
          <cell r="BX232">
            <v>57.184501318770039</v>
          </cell>
          <cell r="BY232">
            <v>20.671166642548918</v>
          </cell>
          <cell r="BZ232">
            <v>77.855667961318957</v>
          </cell>
          <cell r="CA232">
            <v>81.748451359384902</v>
          </cell>
          <cell r="CB232">
            <v>85.835873927354157</v>
          </cell>
          <cell r="CC232">
            <v>90.127667623721862</v>
          </cell>
          <cell r="CD232">
            <v>94.63405100490796</v>
          </cell>
          <cell r="CE232">
            <v>99.365753555153361</v>
          </cell>
          <cell r="CF232">
            <v>104.33404123291103</v>
          </cell>
          <cell r="CG232">
            <v>106.42072205756925</v>
          </cell>
          <cell r="CH232">
            <v>106.42072205756925</v>
          </cell>
          <cell r="CI232">
            <v>106.42072205756925</v>
          </cell>
          <cell r="CJ232">
            <v>106.42072205756925</v>
          </cell>
        </row>
        <row r="233">
          <cell r="A233" t="str">
            <v xml:space="preserve">   growth %</v>
          </cell>
          <cell r="AY233">
            <v>-0.5714285714285714</v>
          </cell>
          <cell r="AZ233">
            <v>-0.67999999999999994</v>
          </cell>
          <cell r="BA233">
            <v>-0.63043478260869568</v>
          </cell>
          <cell r="BB233">
            <v>0.8</v>
          </cell>
          <cell r="BC233">
            <v>-0.49019607843137258</v>
          </cell>
          <cell r="BD233">
            <v>1</v>
          </cell>
          <cell r="BE233">
            <v>-0.3571428571428571</v>
          </cell>
          <cell r="BF233">
            <v>0.77777777777777768</v>
          </cell>
          <cell r="BG233">
            <v>1.375</v>
          </cell>
          <cell r="BH233">
            <v>1.0588235294117645</v>
          </cell>
          <cell r="BI233">
            <v>0.77777777777777768</v>
          </cell>
          <cell r="BJ233">
            <v>0.96153846153846145</v>
          </cell>
          <cell r="BK233">
            <v>0.10000000000000009</v>
          </cell>
          <cell r="BL233">
            <v>0.72222222222222232</v>
          </cell>
          <cell r="BM233">
            <v>0.1875</v>
          </cell>
          <cell r="BN233">
            <v>-0.10526315789473684</v>
          </cell>
          <cell r="BO233">
            <v>2.857142857142847E-2</v>
          </cell>
          <cell r="BP233">
            <v>0.3125</v>
          </cell>
          <cell r="BQ233">
            <v>0.11764705882352944</v>
          </cell>
          <cell r="BR233">
            <v>0.90909090909090917</v>
          </cell>
          <cell r="BS233">
            <v>0.25806451612903225</v>
          </cell>
          <cell r="BT233">
            <v>-1.2729097698021996E-2</v>
          </cell>
          <cell r="BU233">
            <v>1.5904686543684043E-2</v>
          </cell>
          <cell r="BV233">
            <v>7.9241152722797636E-4</v>
          </cell>
          <cell r="BW233">
            <v>7.4273573233252232E-3</v>
          </cell>
          <cell r="BX233">
            <v>3.2368652415797339E-3</v>
          </cell>
          <cell r="BY233">
            <v>-1.5658731307194307E-2</v>
          </cell>
          <cell r="BZ233">
            <v>-1.8504107523210633E-3</v>
          </cell>
          <cell r="CA233">
            <v>5.0000000000000044E-2</v>
          </cell>
          <cell r="CB233">
            <v>5.0000000000000044E-2</v>
          </cell>
          <cell r="CC233">
            <v>5.0000000000000044E-2</v>
          </cell>
          <cell r="CD233">
            <v>5.0000000000000044E-2</v>
          </cell>
          <cell r="CE233">
            <v>5.0000000000000044E-2</v>
          </cell>
          <cell r="CF233">
            <v>5.0000000000000044E-2</v>
          </cell>
          <cell r="CG233">
            <v>2.0000000000000018E-2</v>
          </cell>
          <cell r="CH233">
            <v>0</v>
          </cell>
          <cell r="CI233">
            <v>0</v>
          </cell>
          <cell r="CJ233">
            <v>0</v>
          </cell>
        </row>
        <row r="234">
          <cell r="A234" t="str">
            <v xml:space="preserve">      CER growth</v>
          </cell>
          <cell r="BB234">
            <v>-0.28000000000000003</v>
          </cell>
          <cell r="BC234">
            <v>-0.33</v>
          </cell>
          <cell r="BF234">
            <v>0.81</v>
          </cell>
          <cell r="BG234">
            <v>1.39</v>
          </cell>
          <cell r="BH234">
            <v>1.08</v>
          </cell>
          <cell r="BI234">
            <v>0.23</v>
          </cell>
          <cell r="BJ234">
            <v>0.72</v>
          </cell>
          <cell r="BK234">
            <v>-0.23</v>
          </cell>
          <cell r="BL234">
            <v>-0.17</v>
          </cell>
          <cell r="BM234">
            <v>0.12</v>
          </cell>
          <cell r="BN234">
            <v>-0.04</v>
          </cell>
          <cell r="BO234">
            <v>0.04</v>
          </cell>
          <cell r="BP234">
            <v>0.16</v>
          </cell>
          <cell r="BQ234">
            <v>0.14000000000000001</v>
          </cell>
          <cell r="BR234">
            <v>0.2</v>
          </cell>
          <cell r="BS234">
            <v>0.25</v>
          </cell>
          <cell r="BT234">
            <v>0</v>
          </cell>
          <cell r="BU234">
            <v>0</v>
          </cell>
          <cell r="BW234">
            <v>0</v>
          </cell>
          <cell r="BY234">
            <v>-2.2466998263380944E-2</v>
          </cell>
          <cell r="BZ234">
            <v>0</v>
          </cell>
          <cell r="CA234">
            <v>0.05</v>
          </cell>
          <cell r="CB234">
            <v>0.05</v>
          </cell>
          <cell r="CC234">
            <v>0.05</v>
          </cell>
          <cell r="CD234">
            <v>0.05</v>
          </cell>
          <cell r="CE234">
            <v>0.05</v>
          </cell>
          <cell r="CF234">
            <v>0.05</v>
          </cell>
          <cell r="CG234">
            <v>0.02</v>
          </cell>
          <cell r="CH234">
            <v>0</v>
          </cell>
          <cell r="CI234">
            <v>0</v>
          </cell>
          <cell r="CJ234">
            <v>0</v>
          </cell>
        </row>
        <row r="235">
          <cell r="A235" t="str">
            <v>Total strategic products</v>
          </cell>
          <cell r="AY235">
            <v>499</v>
          </cell>
          <cell r="AZ235">
            <v>555</v>
          </cell>
          <cell r="BA235">
            <v>1054</v>
          </cell>
          <cell r="BB235">
            <v>636</v>
          </cell>
          <cell r="BC235">
            <v>1690</v>
          </cell>
          <cell r="BD235">
            <v>675</v>
          </cell>
          <cell r="BE235">
            <v>2365</v>
          </cell>
          <cell r="BF235">
            <v>726</v>
          </cell>
          <cell r="BG235">
            <v>735</v>
          </cell>
          <cell r="BH235">
            <v>1461</v>
          </cell>
          <cell r="BI235">
            <v>751</v>
          </cell>
          <cell r="BJ235">
            <v>2212</v>
          </cell>
          <cell r="BK235">
            <v>784</v>
          </cell>
          <cell r="BL235">
            <v>2996</v>
          </cell>
          <cell r="BM235">
            <v>847</v>
          </cell>
          <cell r="BN235">
            <v>887</v>
          </cell>
          <cell r="BO235">
            <v>1734</v>
          </cell>
          <cell r="BP235">
            <v>932</v>
          </cell>
          <cell r="BQ235">
            <v>2666</v>
          </cell>
          <cell r="BR235">
            <v>938</v>
          </cell>
          <cell r="BS235">
            <v>3604</v>
          </cell>
          <cell r="BT235">
            <v>933.16380796925989</v>
          </cell>
          <cell r="BU235">
            <v>964.16338252295736</v>
          </cell>
          <cell r="BV235">
            <v>1897.3271904922171</v>
          </cell>
          <cell r="BW235">
            <v>1007.8692849690063</v>
          </cell>
          <cell r="BX235">
            <v>2905.1964754612236</v>
          </cell>
          <cell r="BY235">
            <v>1057.2020559247048</v>
          </cell>
          <cell r="BZ235">
            <v>3962.3985313859284</v>
          </cell>
          <cell r="CA235">
            <v>4111.3303443988862</v>
          </cell>
          <cell r="CB235">
            <v>4324.7523831557937</v>
          </cell>
          <cell r="CC235">
            <v>4473.7971131757677</v>
          </cell>
          <cell r="CD235">
            <v>4561.5591861245339</v>
          </cell>
          <cell r="CE235">
            <v>3998.5569007066642</v>
          </cell>
          <cell r="CF235">
            <v>3683.213860666051</v>
          </cell>
          <cell r="CG235">
            <v>3493.6733071077369</v>
          </cell>
          <cell r="CH235">
            <v>2719.143483470405</v>
          </cell>
          <cell r="CI235">
            <v>2140.1199905511753</v>
          </cell>
          <cell r="CJ235">
            <v>1705.2157987372973</v>
          </cell>
        </row>
        <row r="236">
          <cell r="A236" t="str">
            <v xml:space="preserve">   growth %</v>
          </cell>
          <cell r="BF236">
            <v>0.45490981963927846</v>
          </cell>
          <cell r="BG236">
            <v>0.32432432432432434</v>
          </cell>
          <cell r="BH236">
            <v>0.3861480075901329</v>
          </cell>
          <cell r="BI236">
            <v>0.1808176100628931</v>
          </cell>
          <cell r="BJ236">
            <v>0.30887573964497039</v>
          </cell>
          <cell r="BK236">
            <v>0.16148148148148156</v>
          </cell>
          <cell r="BL236">
            <v>0.26680761099365746</v>
          </cell>
          <cell r="BM236">
            <v>0.16666666666666674</v>
          </cell>
          <cell r="BN236">
            <v>0.20680272108843534</v>
          </cell>
          <cell r="BO236">
            <v>0.18685831622176585</v>
          </cell>
          <cell r="BP236">
            <v>0.24101198402130497</v>
          </cell>
          <cell r="BQ236">
            <v>0.20524412296564187</v>
          </cell>
          <cell r="BR236">
            <v>0.1964285714285714</v>
          </cell>
          <cell r="BS236">
            <v>0.20293724966622162</v>
          </cell>
          <cell r="BT236">
            <v>0.10172822664611547</v>
          </cell>
          <cell r="BU236">
            <v>8.6993666880448073E-2</v>
          </cell>
          <cell r="BV236">
            <v>9.4190997977057211E-2</v>
          </cell>
          <cell r="BW236">
            <v>8.1404812198504706E-2</v>
          </cell>
          <cell r="BX236">
            <v>8.9721108575102626E-2</v>
          </cell>
          <cell r="BY236">
            <v>0.12708108307537835</v>
          </cell>
          <cell r="BZ236">
            <v>9.9444653547704931E-2</v>
          </cell>
          <cell r="CA236">
            <v>3.7586278067003542E-2</v>
          </cell>
          <cell r="CB236">
            <v>5.1910700644054453E-2</v>
          </cell>
          <cell r="CC236">
            <v>3.4463182354781408E-2</v>
          </cell>
          <cell r="CD236">
            <v>1.9616909468312294E-2</v>
          </cell>
          <cell r="CE236">
            <v>-0.12342321176724491</v>
          </cell>
          <cell r="CF236">
            <v>-7.886421223238882E-2</v>
          </cell>
          <cell r="CG236">
            <v>-5.1460642995093009E-2</v>
          </cell>
          <cell r="CH236">
            <v>-0.22169497704939445</v>
          </cell>
          <cell r="CI236">
            <v>-0.21294333912097574</v>
          </cell>
          <cell r="CJ236">
            <v>-0.2032148635282226</v>
          </cell>
        </row>
        <row r="237">
          <cell r="A237" t="str">
            <v xml:space="preserve">      CER growth</v>
          </cell>
          <cell r="BB237">
            <v>0.28000000000000003</v>
          </cell>
          <cell r="BC237">
            <v>0.2</v>
          </cell>
          <cell r="BG237">
            <v>0.39</v>
          </cell>
          <cell r="BH237">
            <v>0.43</v>
          </cell>
          <cell r="BI237">
            <v>0.24</v>
          </cell>
          <cell r="BJ237">
            <v>0.36</v>
          </cell>
          <cell r="BK237">
            <v>0.17</v>
          </cell>
          <cell r="BL237">
            <v>0.3</v>
          </cell>
          <cell r="BM237">
            <v>0.18</v>
          </cell>
          <cell r="BN237">
            <v>0.22</v>
          </cell>
          <cell r="BO237">
            <v>0.2</v>
          </cell>
          <cell r="BP237">
            <v>0.25</v>
          </cell>
          <cell r="BQ237">
            <v>0.21</v>
          </cell>
          <cell r="BR237">
            <v>0.2</v>
          </cell>
          <cell r="BS237">
            <v>0.21</v>
          </cell>
        </row>
        <row r="238">
          <cell r="O238">
            <v>0</v>
          </cell>
          <cell r="V238">
            <v>14</v>
          </cell>
          <cell r="AC238">
            <v>393</v>
          </cell>
          <cell r="AJ238">
            <v>886</v>
          </cell>
          <cell r="AQ238">
            <v>1232</v>
          </cell>
          <cell r="AX238">
            <v>1533</v>
          </cell>
        </row>
        <row r="239">
          <cell r="A239" t="str">
            <v>Established medicine</v>
          </cell>
          <cell r="AY239">
            <v>135.6</v>
          </cell>
          <cell r="AZ239">
            <v>142.4</v>
          </cell>
          <cell r="BA239">
            <v>278</v>
          </cell>
          <cell r="BB239">
            <v>136</v>
          </cell>
          <cell r="BC239">
            <v>414</v>
          </cell>
          <cell r="BD239">
            <v>133</v>
          </cell>
          <cell r="BE239">
            <v>547</v>
          </cell>
          <cell r="BF239">
            <v>121</v>
          </cell>
          <cell r="BG239">
            <v>126</v>
          </cell>
          <cell r="BH239">
            <v>247</v>
          </cell>
          <cell r="BI239">
            <v>118</v>
          </cell>
          <cell r="BJ239">
            <v>365</v>
          </cell>
          <cell r="BK239">
            <v>118</v>
          </cell>
          <cell r="BL239">
            <v>483</v>
          </cell>
          <cell r="BM239">
            <v>112</v>
          </cell>
          <cell r="BN239">
            <v>108</v>
          </cell>
          <cell r="BO239">
            <v>220</v>
          </cell>
          <cell r="BP239">
            <v>112</v>
          </cell>
          <cell r="BQ239">
            <v>332</v>
          </cell>
          <cell r="BR239">
            <v>112</v>
          </cell>
          <cell r="BS239">
            <v>444</v>
          </cell>
          <cell r="BT239">
            <v>102.83413718377402</v>
          </cell>
          <cell r="BU239">
            <v>102.03746671644763</v>
          </cell>
          <cell r="BV239">
            <v>204.87160390022166</v>
          </cell>
          <cell r="BW239">
            <v>104.93363353879755</v>
          </cell>
          <cell r="BX239">
            <v>309.80523743901921</v>
          </cell>
          <cell r="BY239">
            <v>102.35069095313236</v>
          </cell>
          <cell r="BZ239">
            <v>412.15592839215157</v>
          </cell>
          <cell r="CA239">
            <v>391.54813197254396</v>
          </cell>
          <cell r="CB239">
            <v>371.97072537391676</v>
          </cell>
          <cell r="CC239">
            <v>353.37218910522091</v>
          </cell>
          <cell r="CD239">
            <v>335.70357964995986</v>
          </cell>
          <cell r="CE239">
            <v>318.91840066746187</v>
          </cell>
          <cell r="CF239">
            <v>302.97248063408875</v>
          </cell>
          <cell r="CG239">
            <v>287.8238566023843</v>
          </cell>
          <cell r="CH239">
            <v>273.43266377226507</v>
          </cell>
          <cell r="CI239">
            <v>259.7610305836518</v>
          </cell>
          <cell r="CJ239">
            <v>246.7729790544692</v>
          </cell>
        </row>
        <row r="240">
          <cell r="A240" t="str">
            <v xml:space="preserve">   growth %</v>
          </cell>
          <cell r="BF240">
            <v>-0.10766961651917395</v>
          </cell>
          <cell r="BG240">
            <v>-0.1151685393258427</v>
          </cell>
          <cell r="BH240">
            <v>-0.11151079136690645</v>
          </cell>
          <cell r="BI240">
            <v>-0.13235294117647056</v>
          </cell>
          <cell r="BJ240">
            <v>-0.11835748792270528</v>
          </cell>
          <cell r="BK240">
            <v>-0.11278195488721809</v>
          </cell>
          <cell r="BL240">
            <v>-0.11700182815356486</v>
          </cell>
          <cell r="BM240">
            <v>-7.4380165289256173E-2</v>
          </cell>
          <cell r="BN240">
            <v>-0.1428571428571429</v>
          </cell>
          <cell r="BO240">
            <v>-0.10931174089068829</v>
          </cell>
          <cell r="BP240">
            <v>-5.084745762711862E-2</v>
          </cell>
          <cell r="BQ240">
            <v>-9.0410958904109551E-2</v>
          </cell>
          <cell r="BR240">
            <v>-5.084745762711862E-2</v>
          </cell>
          <cell r="BS240">
            <v>-8.0745341614906874E-2</v>
          </cell>
          <cell r="BT240">
            <v>-8.1838060859160566E-2</v>
          </cell>
          <cell r="BU240">
            <v>-5.520864151437388E-2</v>
          </cell>
          <cell r="BV240">
            <v>-6.8765436817174286E-2</v>
          </cell>
          <cell r="BW240">
            <v>-6.3092557689307549E-2</v>
          </cell>
          <cell r="BX240">
            <v>-6.6851694460785538E-2</v>
          </cell>
          <cell r="BY240">
            <v>-8.6154545061318255E-2</v>
          </cell>
          <cell r="BZ240">
            <v>-7.1720881999658648E-2</v>
          </cell>
          <cell r="CA240">
            <v>-5.0000000000000044E-2</v>
          </cell>
          <cell r="CB240">
            <v>-4.9999999999999933E-2</v>
          </cell>
          <cell r="CC240">
            <v>-5.0000000000000044E-2</v>
          </cell>
          <cell r="CD240">
            <v>-5.0000000000000044E-2</v>
          </cell>
          <cell r="CE240">
            <v>-5.0000000000000044E-2</v>
          </cell>
          <cell r="CF240">
            <v>-5.0000000000000044E-2</v>
          </cell>
          <cell r="CG240">
            <v>-5.0000000000000044E-2</v>
          </cell>
          <cell r="CH240">
            <v>-5.0000000000000044E-2</v>
          </cell>
          <cell r="CI240">
            <v>-5.0000000000000044E-2</v>
          </cell>
          <cell r="CJ240">
            <v>-5.0000000000000044E-2</v>
          </cell>
        </row>
        <row r="241">
          <cell r="A241" t="str">
            <v xml:space="preserve">      CER growth</v>
          </cell>
          <cell r="BB241">
            <v>-0.08</v>
          </cell>
          <cell r="BC241">
            <v>-0.08</v>
          </cell>
          <cell r="BD241">
            <v>-0.09</v>
          </cell>
          <cell r="BE241">
            <v>-0.08</v>
          </cell>
          <cell r="BF241">
            <v>-0.09</v>
          </cell>
          <cell r="BG241">
            <v>-0.05</v>
          </cell>
          <cell r="BH241">
            <v>-7.0000000000000007E-2</v>
          </cell>
          <cell r="BI241">
            <v>-0.06</v>
          </cell>
          <cell r="BJ241">
            <v>-7.0000000000000007E-2</v>
          </cell>
          <cell r="BK241">
            <v>-0.09</v>
          </cell>
          <cell r="BL241">
            <v>-7.0000000000000007E-2</v>
          </cell>
          <cell r="BM241">
            <v>-0.03</v>
          </cell>
          <cell r="BN241">
            <v>-0.11</v>
          </cell>
          <cell r="BO241">
            <v>-7.0000000000000007E-2</v>
          </cell>
          <cell r="BP241">
            <v>0</v>
          </cell>
          <cell r="BQ241">
            <v>-0.05</v>
          </cell>
          <cell r="BR241">
            <v>0.01</v>
          </cell>
          <cell r="BS241">
            <v>-0.04</v>
          </cell>
          <cell r="BT241">
            <v>-7.0000000000000007E-2</v>
          </cell>
          <cell r="BU241">
            <v>-7.0000000000000007E-2</v>
          </cell>
          <cell r="BW241">
            <v>-7.0000000000000007E-2</v>
          </cell>
          <cell r="BY241">
            <v>-9.2962812017504892E-2</v>
          </cell>
          <cell r="BZ241">
            <v>-7.0000000000000007E-2</v>
          </cell>
          <cell r="CA241">
            <v>-0.05</v>
          </cell>
          <cell r="CB241">
            <v>-0.05</v>
          </cell>
          <cell r="CC241">
            <v>-0.05</v>
          </cell>
          <cell r="CD241">
            <v>-0.05</v>
          </cell>
          <cell r="CE241">
            <v>-0.05</v>
          </cell>
          <cell r="CF241">
            <v>-0.05</v>
          </cell>
          <cell r="CG241">
            <v>-0.05</v>
          </cell>
          <cell r="CH241">
            <v>-0.05</v>
          </cell>
          <cell r="CI241">
            <v>-0.05</v>
          </cell>
          <cell r="CJ241">
            <v>-0.05</v>
          </cell>
        </row>
        <row r="243">
          <cell r="A243" t="str">
            <v>Total Neuroscience</v>
          </cell>
          <cell r="AY243">
            <v>634.6</v>
          </cell>
          <cell r="AZ243">
            <v>697.4</v>
          </cell>
          <cell r="BA243">
            <v>1332</v>
          </cell>
          <cell r="BB243">
            <v>772</v>
          </cell>
          <cell r="BC243">
            <v>2104</v>
          </cell>
          <cell r="BD243">
            <v>808</v>
          </cell>
          <cell r="BE243">
            <v>2912</v>
          </cell>
          <cell r="BF243">
            <v>847</v>
          </cell>
          <cell r="BG243">
            <v>861</v>
          </cell>
          <cell r="BH243">
            <v>1708</v>
          </cell>
          <cell r="BI243">
            <v>869</v>
          </cell>
          <cell r="BJ243">
            <v>2577</v>
          </cell>
          <cell r="BK243">
            <v>902</v>
          </cell>
          <cell r="BL243">
            <v>3479</v>
          </cell>
          <cell r="BM243">
            <v>959</v>
          </cell>
          <cell r="BN243">
            <v>995</v>
          </cell>
          <cell r="BO243">
            <v>1954</v>
          </cell>
          <cell r="BP243">
            <v>1044</v>
          </cell>
          <cell r="BQ243">
            <v>2998</v>
          </cell>
          <cell r="BR243">
            <v>1050</v>
          </cell>
          <cell r="BS243">
            <v>4048</v>
          </cell>
          <cell r="BT243">
            <v>1035.9979451530339</v>
          </cell>
          <cell r="BU243">
            <v>1066.200849239405</v>
          </cell>
          <cell r="BV243">
            <v>2102.1987943924387</v>
          </cell>
          <cell r="BW243">
            <v>1112.802918507804</v>
          </cell>
          <cell r="BX243">
            <v>3215.0017129002426</v>
          </cell>
          <cell r="BY243">
            <v>1159.5527468778373</v>
          </cell>
          <cell r="BZ243">
            <v>4374.5544597780799</v>
          </cell>
          <cell r="CA243">
            <v>4502.8784763714302</v>
          </cell>
          <cell r="CB243">
            <v>4696.7231085297108</v>
          </cell>
          <cell r="CC243">
            <v>4827.1693022809886</v>
          </cell>
          <cell r="CD243">
            <v>4897.2627657744933</v>
          </cell>
          <cell r="CE243">
            <v>4317.4753013741265</v>
          </cell>
          <cell r="CF243">
            <v>3986.1863413001397</v>
          </cell>
          <cell r="CG243">
            <v>3781.4971637101212</v>
          </cell>
          <cell r="CH243">
            <v>2992.5761472426702</v>
          </cell>
          <cell r="CI243">
            <v>2399.8810211348273</v>
          </cell>
          <cell r="CJ243">
            <v>1951.9887777917666</v>
          </cell>
        </row>
        <row r="244">
          <cell r="A244" t="str">
            <v xml:space="preserve">   growth %</v>
          </cell>
          <cell r="BF244">
            <v>0.33469902300661825</v>
          </cell>
          <cell r="BG244">
            <v>0.23458560367077719</v>
          </cell>
          <cell r="BH244">
            <v>0.28228228228228236</v>
          </cell>
          <cell r="BI244">
            <v>0.12564766839378239</v>
          </cell>
          <cell r="BJ244">
            <v>0.22480988593155904</v>
          </cell>
          <cell r="BK244">
            <v>0.11633663366336644</v>
          </cell>
          <cell r="BL244">
            <v>0.19471153846153855</v>
          </cell>
          <cell r="BM244">
            <v>0.13223140495867769</v>
          </cell>
          <cell r="BN244">
            <v>0.15563298490127764</v>
          </cell>
          <cell r="BO244">
            <v>0.14402810304449654</v>
          </cell>
          <cell r="BP244">
            <v>0.20138089758342925</v>
          </cell>
          <cell r="BQ244">
            <v>0.16336825766395036</v>
          </cell>
          <cell r="BR244">
            <v>0.16407982261640797</v>
          </cell>
          <cell r="BS244">
            <v>0.16355274504167872</v>
          </cell>
          <cell r="BT244">
            <v>8.0289828105353456E-2</v>
          </cell>
          <cell r="BU244">
            <v>7.1558642451663212E-2</v>
          </cell>
          <cell r="BV244">
            <v>7.5843804704420981E-2</v>
          </cell>
          <cell r="BW244">
            <v>6.5903178647321869E-2</v>
          </cell>
          <cell r="BX244">
            <v>7.2382159072795993E-2</v>
          </cell>
          <cell r="BY244">
            <v>0.10433594940746405</v>
          </cell>
          <cell r="BZ244">
            <v>8.0670568126996134E-2</v>
          </cell>
          <cell r="CA244">
            <v>2.9334191121227926E-2</v>
          </cell>
          <cell r="CB244">
            <v>4.3049048108996901E-2</v>
          </cell>
          <cell r="CC244">
            <v>2.7773873557582096E-2</v>
          </cell>
          <cell r="CD244">
            <v>1.4520614278099364E-2</v>
          </cell>
          <cell r="CE244">
            <v>-0.11839010731715849</v>
          </cell>
          <cell r="CF244">
            <v>-7.6732103127155615E-2</v>
          </cell>
          <cell r="CG244">
            <v>-5.1349625949311917E-2</v>
          </cell>
          <cell r="CH244">
            <v>-0.20862663181093621</v>
          </cell>
          <cell r="CI244">
            <v>-0.19805515280002028</v>
          </cell>
          <cell r="CJ244">
            <v>-0.18663102020418776</v>
          </cell>
        </row>
        <row r="245">
          <cell r="A245" t="str">
            <v xml:space="preserve">      CER growth</v>
          </cell>
          <cell r="BF245">
            <v>0.36</v>
          </cell>
          <cell r="BG245">
            <v>0.3</v>
          </cell>
          <cell r="BH245">
            <v>0.33</v>
          </cell>
          <cell r="BI245">
            <v>0.19</v>
          </cell>
          <cell r="BJ245">
            <v>0.27</v>
          </cell>
          <cell r="BK245">
            <v>0.13</v>
          </cell>
          <cell r="BL245">
            <v>0.23</v>
          </cell>
          <cell r="BM245">
            <v>0.15</v>
          </cell>
          <cell r="BN245">
            <v>0.17</v>
          </cell>
          <cell r="BO245">
            <v>0.16</v>
          </cell>
          <cell r="BP245">
            <v>0.21</v>
          </cell>
          <cell r="BQ245">
            <v>0.18</v>
          </cell>
          <cell r="BR245">
            <v>0.18</v>
          </cell>
          <cell r="BS245">
            <v>0.18</v>
          </cell>
        </row>
        <row r="247">
          <cell r="O247">
            <v>484</v>
          </cell>
          <cell r="V247">
            <v>354</v>
          </cell>
          <cell r="AC247">
            <v>179</v>
          </cell>
          <cell r="AJ247">
            <v>119.2</v>
          </cell>
          <cell r="AQ247">
            <v>96</v>
          </cell>
        </row>
        <row r="248">
          <cell r="A248" t="str">
            <v>Specialty - Opthalmics</v>
          </cell>
        </row>
        <row r="249">
          <cell r="O249">
            <v>239</v>
          </cell>
          <cell r="V249">
            <v>351</v>
          </cell>
          <cell r="AC249">
            <v>987</v>
          </cell>
          <cell r="AJ249">
            <v>775</v>
          </cell>
          <cell r="AQ249">
            <v>625</v>
          </cell>
          <cell r="AX249">
            <v>135</v>
          </cell>
        </row>
        <row r="250">
          <cell r="A250" t="str">
            <v>Lucentis</v>
          </cell>
          <cell r="L250">
            <v>0</v>
          </cell>
          <cell r="N250">
            <v>0</v>
          </cell>
          <cell r="O250">
            <v>0</v>
          </cell>
          <cell r="P250">
            <v>0</v>
          </cell>
          <cell r="Q250">
            <v>2</v>
          </cell>
          <cell r="R250">
            <v>2</v>
          </cell>
          <cell r="S250">
            <v>2</v>
          </cell>
          <cell r="T250">
            <v>4</v>
          </cell>
          <cell r="U250">
            <v>10</v>
          </cell>
          <cell r="V250">
            <v>14</v>
          </cell>
          <cell r="W250">
            <v>29</v>
          </cell>
          <cell r="X250">
            <v>72</v>
          </cell>
          <cell r="Y250">
            <v>101</v>
          </cell>
          <cell r="Z250">
            <v>122</v>
          </cell>
          <cell r="AA250">
            <v>223</v>
          </cell>
          <cell r="AB250">
            <v>170</v>
          </cell>
          <cell r="AC250">
            <v>393</v>
          </cell>
          <cell r="AD250">
            <v>195</v>
          </cell>
          <cell r="AE250">
            <v>242</v>
          </cell>
          <cell r="AF250">
            <v>437</v>
          </cell>
          <cell r="AG250">
            <v>221</v>
          </cell>
          <cell r="AH250">
            <v>658</v>
          </cell>
          <cell r="AI250">
            <v>228</v>
          </cell>
          <cell r="AJ250">
            <v>886</v>
          </cell>
          <cell r="AK250">
            <v>229</v>
          </cell>
          <cell r="AL250">
            <v>294</v>
          </cell>
          <cell r="AM250">
            <v>523</v>
          </cell>
          <cell r="AN250">
            <v>335</v>
          </cell>
          <cell r="AO250">
            <v>858</v>
          </cell>
          <cell r="AP250">
            <v>374</v>
          </cell>
          <cell r="AQ250">
            <v>1232</v>
          </cell>
          <cell r="AR250">
            <v>364</v>
          </cell>
          <cell r="AS250">
            <v>377</v>
          </cell>
          <cell r="AT250">
            <v>741</v>
          </cell>
          <cell r="AU250">
            <v>398</v>
          </cell>
          <cell r="AV250">
            <v>1139</v>
          </cell>
          <cell r="AW250">
            <v>394</v>
          </cell>
          <cell r="AX250">
            <v>1533</v>
          </cell>
          <cell r="AY250">
            <v>444</v>
          </cell>
          <cell r="AZ250">
            <v>541</v>
          </cell>
          <cell r="BA250">
            <v>985</v>
          </cell>
          <cell r="BB250">
            <v>515</v>
          </cell>
          <cell r="BC250">
            <v>1500</v>
          </cell>
          <cell r="BD250">
            <v>550</v>
          </cell>
          <cell r="BE250">
            <v>2050</v>
          </cell>
          <cell r="BF250">
            <v>567</v>
          </cell>
          <cell r="BG250">
            <v>604</v>
          </cell>
          <cell r="BH250">
            <v>1171</v>
          </cell>
          <cell r="BI250">
            <v>593</v>
          </cell>
          <cell r="BJ250">
            <v>1764</v>
          </cell>
          <cell r="BK250">
            <v>634</v>
          </cell>
          <cell r="BL250">
            <v>2398</v>
          </cell>
          <cell r="BM250">
            <v>596</v>
          </cell>
          <cell r="BN250">
            <v>576</v>
          </cell>
          <cell r="BO250">
            <v>1172</v>
          </cell>
          <cell r="BP250">
            <v>581</v>
          </cell>
          <cell r="BQ250">
            <v>1753</v>
          </cell>
          <cell r="BR250">
            <v>630</v>
          </cell>
          <cell r="BS250">
            <v>2383</v>
          </cell>
          <cell r="BT250">
            <v>600.18172692741837</v>
          </cell>
          <cell r="BU250">
            <v>596.86432143814523</v>
          </cell>
          <cell r="BV250">
            <v>1197.0460483655636</v>
          </cell>
          <cell r="BW250">
            <v>597.02160049694896</v>
          </cell>
          <cell r="BX250">
            <v>1794.0676488625127</v>
          </cell>
          <cell r="BY250">
            <v>638.36994144978871</v>
          </cell>
          <cell r="BZ250">
            <v>2432.4375903123014</v>
          </cell>
          <cell r="CA250">
            <v>2481.0863421185472</v>
          </cell>
          <cell r="CB250">
            <v>2530.7080689609184</v>
          </cell>
          <cell r="CC250">
            <v>2581.3222303401367</v>
          </cell>
          <cell r="CD250">
            <v>2452.2561188231298</v>
          </cell>
          <cell r="CE250">
            <v>2378.6884352584357</v>
          </cell>
          <cell r="CF250">
            <v>2307.3277822006826</v>
          </cell>
          <cell r="CG250">
            <v>2238.1079487346619</v>
          </cell>
          <cell r="CH250">
            <v>2170.9647102726221</v>
          </cell>
          <cell r="CI250">
            <v>2105.8357689644436</v>
          </cell>
          <cell r="CJ250">
            <v>2042.6606958955101</v>
          </cell>
          <cell r="CO250">
            <v>0</v>
          </cell>
          <cell r="CP250" t="str">
            <v>2018-2022</v>
          </cell>
          <cell r="DC250">
            <v>60</v>
          </cell>
          <cell r="DE250">
            <v>27.071428571428573</v>
          </cell>
          <cell r="DF250">
            <v>1.2544529262086512</v>
          </cell>
          <cell r="DG250">
            <v>0.39051918735891644</v>
          </cell>
          <cell r="DH250">
            <v>0.24431818181818188</v>
          </cell>
          <cell r="DI250">
            <v>0.15</v>
          </cell>
          <cell r="DJ250">
            <v>0.1</v>
          </cell>
          <cell r="DK250">
            <v>0.05</v>
          </cell>
          <cell r="DM250" t="str">
            <v>mstag:lucentisEurope</v>
          </cell>
          <cell r="DN250">
            <v>6</v>
          </cell>
          <cell r="DO250" t="str">
            <v>ISO4217:USD</v>
          </cell>
          <cell r="DP250" t="b">
            <v>0</v>
          </cell>
        </row>
        <row r="251">
          <cell r="A251" t="str">
            <v xml:space="preserve">   growth %</v>
          </cell>
          <cell r="O251">
            <v>476</v>
          </cell>
          <cell r="V251">
            <v>440</v>
          </cell>
          <cell r="X251">
            <v>34.944766185020512</v>
          </cell>
          <cell r="Y251">
            <v>49.434088482295017</v>
          </cell>
          <cell r="Z251">
            <v>59.935429709142788</v>
          </cell>
          <cell r="AA251">
            <v>54.684535557910941</v>
          </cell>
          <cell r="AB251">
            <v>15.890305431960439</v>
          </cell>
          <cell r="AC251">
            <v>26.994906597851887</v>
          </cell>
          <cell r="AD251">
            <v>5.5797303085856562</v>
          </cell>
          <cell r="AE251">
            <v>2.1963795162422084</v>
          </cell>
          <cell r="AF251">
            <v>3.172163064608462</v>
          </cell>
          <cell r="AG251">
            <v>0.71406009937452697</v>
          </cell>
          <cell r="AH251">
            <v>1.8246801861797086</v>
          </cell>
          <cell r="AI251">
            <v>0.40086292081057784</v>
          </cell>
          <cell r="AJ251">
            <v>1.1629815302546356</v>
          </cell>
          <cell r="AK251">
            <v>0.19038206688931691</v>
          </cell>
          <cell r="AL251">
            <v>0.24866687108448604</v>
          </cell>
          <cell r="AN251">
            <v>0.48107858779369383</v>
          </cell>
          <cell r="AP251">
            <v>0.55343170333606428</v>
          </cell>
          <cell r="AQ251">
            <v>0.39051918735891644</v>
          </cell>
          <cell r="AR251">
            <v>0.5195196506550217</v>
          </cell>
          <cell r="AS251">
            <v>0.28606471343163709</v>
          </cell>
          <cell r="AU251">
            <v>0.18646404606820521</v>
          </cell>
          <cell r="AW251">
            <v>4.4281710577700251E-2</v>
          </cell>
          <cell r="AX251">
            <v>0.24431818181818188</v>
          </cell>
          <cell r="AY251">
            <v>0.14978021978021983</v>
          </cell>
          <cell r="AZ251">
            <v>0.29931833268502417</v>
          </cell>
          <cell r="BA251">
            <v>0.22643728538015928</v>
          </cell>
          <cell r="BB251">
            <v>0.18433291781023353</v>
          </cell>
          <cell r="BC251">
            <v>0.21070249012648024</v>
          </cell>
          <cell r="BD251">
            <v>0.35933169016502609</v>
          </cell>
          <cell r="BE251">
            <v>0.25564815938848229</v>
          </cell>
          <cell r="BF251">
            <v>0.26672458874666805</v>
          </cell>
          <cell r="BG251">
            <v>0.16035942307533879</v>
          </cell>
          <cell r="BH251">
            <v>0.18883248730964475</v>
          </cell>
          <cell r="BI251">
            <v>0.15145631067961163</v>
          </cell>
          <cell r="BJ251">
            <v>0.17599999999999993</v>
          </cell>
          <cell r="BK251">
            <v>0.15272727272727282</v>
          </cell>
          <cell r="BL251">
            <v>0.16975609756097554</v>
          </cell>
          <cell r="BM251">
            <v>5.1146384479717755E-2</v>
          </cell>
          <cell r="BN251">
            <v>-4.635761589403975E-2</v>
          </cell>
          <cell r="BO251">
            <v>8.5397096498729397E-4</v>
          </cell>
          <cell r="BP251">
            <v>-2.02360876897133E-2</v>
          </cell>
          <cell r="BQ251">
            <v>-6.2358276643991184E-3</v>
          </cell>
          <cell r="BR251">
            <v>-6.3091482649841879E-3</v>
          </cell>
          <cell r="BS251">
            <v>-6.255212677231059E-3</v>
          </cell>
          <cell r="BT251">
            <v>7.0163203480173575E-3</v>
          </cell>
          <cell r="BU251">
            <v>3.6222780274557609E-2</v>
          </cell>
          <cell r="BV251">
            <v>2.1370348434781139E-2</v>
          </cell>
          <cell r="BW251">
            <v>2.7575904469791634E-2</v>
          </cell>
          <cell r="BX251">
            <v>2.3427067234747634E-2</v>
          </cell>
          <cell r="BY251">
            <v>1.3285621348871013E-2</v>
          </cell>
          <cell r="BZ251">
            <v>2.0745946417247696E-2</v>
          </cell>
          <cell r="CA251">
            <v>2.0000000000000018E-2</v>
          </cell>
          <cell r="CB251">
            <v>2.0000000000000018E-2</v>
          </cell>
          <cell r="CC251">
            <v>2.0000000000000018E-2</v>
          </cell>
          <cell r="CD251">
            <v>-5.0000000000000044E-2</v>
          </cell>
          <cell r="CE251">
            <v>-3.0000000000000138E-2</v>
          </cell>
          <cell r="CF251">
            <v>-3.0000000000000027E-2</v>
          </cell>
          <cell r="CG251">
            <v>-3.0000000000000027E-2</v>
          </cell>
          <cell r="CH251">
            <v>-2.9999999999999916E-2</v>
          </cell>
          <cell r="CI251">
            <v>-2.9999999999999916E-2</v>
          </cell>
          <cell r="CJ251">
            <v>-3.0000000000000027E-2</v>
          </cell>
        </row>
        <row r="252">
          <cell r="A252" t="str">
            <v xml:space="preserve">      CER growth</v>
          </cell>
          <cell r="BB252">
            <v>0.19</v>
          </cell>
          <cell r="BC252">
            <v>0.22</v>
          </cell>
          <cell r="BD252">
            <v>0.39</v>
          </cell>
          <cell r="BE252">
            <v>0.26</v>
          </cell>
          <cell r="BF252">
            <v>0.3</v>
          </cell>
          <cell r="BG252">
            <v>0.2</v>
          </cell>
          <cell r="BH252">
            <v>0.25</v>
          </cell>
          <cell r="BI252">
            <v>0.23</v>
          </cell>
          <cell r="BJ252">
            <v>0.24</v>
          </cell>
          <cell r="BK252">
            <v>0.17</v>
          </cell>
          <cell r="BL252">
            <v>0.22</v>
          </cell>
          <cell r="BM252">
            <v>7.0000000000000007E-2</v>
          </cell>
          <cell r="BN252">
            <v>-0.03</v>
          </cell>
          <cell r="BO252">
            <v>0.01</v>
          </cell>
        </row>
        <row r="253">
          <cell r="A253" t="str">
            <v xml:space="preserve">      Lucentis US</v>
          </cell>
        </row>
        <row r="254">
          <cell r="A254" t="str">
            <v xml:space="preserve">           growth </v>
          </cell>
          <cell r="BL254">
            <v>2486</v>
          </cell>
          <cell r="BS254">
            <v>2401.3498398614047</v>
          </cell>
          <cell r="BZ254">
            <v>2421.5910364169072</v>
          </cell>
          <cell r="CA254">
            <v>2535.7481181872449</v>
          </cell>
          <cell r="CB254">
            <v>2656.0976269496346</v>
          </cell>
          <cell r="CC254">
            <v>2783.9131380082131</v>
          </cell>
          <cell r="CD254">
            <v>2918.3688931341649</v>
          </cell>
          <cell r="CE254">
            <v>2916.1174397912973</v>
          </cell>
          <cell r="CF254">
            <v>2913.9785591155728</v>
          </cell>
          <cell r="CG254">
            <v>2911.9466224736348</v>
          </cell>
          <cell r="CH254">
            <v>2910.0162826637934</v>
          </cell>
          <cell r="CI254">
            <v>2477.1814859029228</v>
          </cell>
        </row>
        <row r="255">
          <cell r="A255" t="str">
            <v xml:space="preserve">      Lucentis ROW</v>
          </cell>
          <cell r="BB255">
            <v>515</v>
          </cell>
          <cell r="BC255">
            <v>1500</v>
          </cell>
          <cell r="BD255">
            <v>550</v>
          </cell>
          <cell r="BE255">
            <v>2050</v>
          </cell>
          <cell r="BF255">
            <v>567</v>
          </cell>
          <cell r="BG255">
            <v>604</v>
          </cell>
          <cell r="BH255">
            <v>1171</v>
          </cell>
          <cell r="BI255">
            <v>593</v>
          </cell>
          <cell r="BJ255">
            <v>1764</v>
          </cell>
          <cell r="BK255">
            <v>634</v>
          </cell>
          <cell r="BL255">
            <v>2398</v>
          </cell>
          <cell r="BM255">
            <v>596</v>
          </cell>
          <cell r="BN255">
            <v>576</v>
          </cell>
          <cell r="BO255">
            <v>1172</v>
          </cell>
          <cell r="BP255">
            <v>581</v>
          </cell>
          <cell r="BQ255">
            <v>1753</v>
          </cell>
          <cell r="BR255">
            <v>630</v>
          </cell>
          <cell r="BS255">
            <v>2383</v>
          </cell>
          <cell r="BT255">
            <v>600.18172692741837</v>
          </cell>
          <cell r="BU255">
            <v>596.86432143814523</v>
          </cell>
          <cell r="BV255">
            <v>1197.0460483655636</v>
          </cell>
          <cell r="BW255">
            <v>597.02160049694896</v>
          </cell>
          <cell r="BX255">
            <v>1794.0676488625127</v>
          </cell>
          <cell r="BY255">
            <v>638.36994144978871</v>
          </cell>
          <cell r="BZ255">
            <v>2432.4375903123014</v>
          </cell>
          <cell r="CA255">
            <v>2481.0863421185472</v>
          </cell>
          <cell r="CB255">
            <v>2530.7080689609184</v>
          </cell>
          <cell r="CC255">
            <v>2581.3222303401367</v>
          </cell>
          <cell r="CD255">
            <v>2452.2561188231298</v>
          </cell>
          <cell r="CE255">
            <v>2378.6884352584357</v>
          </cell>
          <cell r="CF255">
            <v>2307.3277822006826</v>
          </cell>
          <cell r="CG255">
            <v>2238.1079487346619</v>
          </cell>
          <cell r="CH255">
            <v>2170.9647102726221</v>
          </cell>
          <cell r="CI255">
            <v>2105.8357689644436</v>
          </cell>
          <cell r="CJ255">
            <v>2042.6606958955101</v>
          </cell>
          <cell r="CP255" t="str">
            <v>2018-2022</v>
          </cell>
        </row>
        <row r="256">
          <cell r="A256" t="str">
            <v xml:space="preserve">           growth </v>
          </cell>
          <cell r="BI256">
            <v>0.15145631067961163</v>
          </cell>
          <cell r="BJ256">
            <v>0.17599999999999993</v>
          </cell>
          <cell r="BK256">
            <v>0.15272727272727282</v>
          </cell>
          <cell r="BL256">
            <v>0.16975609756097554</v>
          </cell>
          <cell r="BM256">
            <v>5.1146384479717755E-2</v>
          </cell>
          <cell r="BN256">
            <v>-4.635761589403975E-2</v>
          </cell>
          <cell r="BO256">
            <v>8.5397096498729397E-4</v>
          </cell>
          <cell r="BP256">
            <v>-2.02360876897133E-2</v>
          </cell>
          <cell r="BQ256">
            <v>-6.2358276643991184E-3</v>
          </cell>
          <cell r="BR256">
            <v>-6.3091482649841879E-3</v>
          </cell>
          <cell r="BS256">
            <v>-6.255212677231059E-3</v>
          </cell>
          <cell r="BT256">
            <v>7.0163203480173575E-3</v>
          </cell>
          <cell r="BU256">
            <v>3.6222780274557609E-2</v>
          </cell>
          <cell r="BV256">
            <v>2.1370348434781139E-2</v>
          </cell>
          <cell r="BW256">
            <v>2.7575904469791634E-2</v>
          </cell>
          <cell r="BX256">
            <v>2.3427067234747634E-2</v>
          </cell>
          <cell r="BY256">
            <v>1.3285621348871013E-2</v>
          </cell>
          <cell r="BZ256">
            <v>2.0745946417247696E-2</v>
          </cell>
          <cell r="CA256">
            <v>2.0000000000000018E-2</v>
          </cell>
          <cell r="CB256">
            <v>2.0000000000000018E-2</v>
          </cell>
          <cell r="CC256">
            <v>2.0000000000000018E-2</v>
          </cell>
          <cell r="CD256">
            <v>-5.0000000000000044E-2</v>
          </cell>
          <cell r="CE256">
            <v>-3.0000000000000138E-2</v>
          </cell>
          <cell r="CF256">
            <v>-3.0000000000000027E-2</v>
          </cell>
          <cell r="CG256">
            <v>-3.0000000000000027E-2</v>
          </cell>
          <cell r="CH256">
            <v>-2.9999999999999916E-2</v>
          </cell>
          <cell r="CI256">
            <v>-2.9999999999999916E-2</v>
          </cell>
          <cell r="CJ256">
            <v>-3.0000000000000027E-2</v>
          </cell>
        </row>
        <row r="257">
          <cell r="A257" t="str">
            <v xml:space="preserve">   CER growth </v>
          </cell>
          <cell r="BB257">
            <v>0.19</v>
          </cell>
          <cell r="BC257">
            <v>0.22</v>
          </cell>
          <cell r="BD257">
            <v>0.39</v>
          </cell>
          <cell r="BE257">
            <v>0.26</v>
          </cell>
          <cell r="BF257">
            <v>0.3</v>
          </cell>
          <cell r="BG257">
            <v>0.2</v>
          </cell>
          <cell r="BH257">
            <v>0.25</v>
          </cell>
          <cell r="BI257">
            <v>0.23</v>
          </cell>
          <cell r="BJ257">
            <v>0.24</v>
          </cell>
          <cell r="BK257">
            <v>0.17</v>
          </cell>
          <cell r="BL257">
            <v>0.22</v>
          </cell>
          <cell r="BM257">
            <v>7.0000000000000007E-2</v>
          </cell>
          <cell r="BN257">
            <v>-0.03</v>
          </cell>
          <cell r="BO257">
            <v>0.01</v>
          </cell>
          <cell r="BP257">
            <v>-0.01</v>
          </cell>
          <cell r="BQ257">
            <v>0.01</v>
          </cell>
          <cell r="BR257">
            <v>0.01</v>
          </cell>
          <cell r="BS257">
            <v>0.01</v>
          </cell>
          <cell r="BT257">
            <v>0.02</v>
          </cell>
          <cell r="BU257">
            <v>0.02</v>
          </cell>
          <cell r="BW257">
            <v>0.02</v>
          </cell>
          <cell r="BY257">
            <v>6.4773543926843757E-3</v>
          </cell>
          <cell r="BZ257">
            <v>0.02</v>
          </cell>
          <cell r="CA257">
            <v>0.02</v>
          </cell>
          <cell r="CB257">
            <v>0.02</v>
          </cell>
          <cell r="CC257">
            <v>0.02</v>
          </cell>
          <cell r="CD257">
            <v>-0.05</v>
          </cell>
          <cell r="CE257">
            <v>-0.03</v>
          </cell>
          <cell r="CF257">
            <v>-0.03</v>
          </cell>
          <cell r="CG257">
            <v>-0.03</v>
          </cell>
          <cell r="CH257">
            <v>-0.03</v>
          </cell>
          <cell r="CI257">
            <v>-0.03</v>
          </cell>
          <cell r="CJ257">
            <v>-0.03</v>
          </cell>
        </row>
        <row r="259">
          <cell r="A259" t="str">
            <v>Visudyne</v>
          </cell>
          <cell r="B259">
            <v>101</v>
          </cell>
          <cell r="C259">
            <v>109</v>
          </cell>
          <cell r="D259">
            <v>210</v>
          </cell>
          <cell r="E259">
            <v>114</v>
          </cell>
          <cell r="F259">
            <v>324</v>
          </cell>
          <cell r="G259">
            <v>124</v>
          </cell>
          <cell r="H259">
            <v>448</v>
          </cell>
          <cell r="I259">
            <v>124</v>
          </cell>
          <cell r="J259">
            <v>129</v>
          </cell>
          <cell r="K259">
            <v>253</v>
          </cell>
          <cell r="L259">
            <v>124</v>
          </cell>
          <cell r="M259">
            <v>377</v>
          </cell>
          <cell r="N259">
            <v>107</v>
          </cell>
          <cell r="O259">
            <v>484</v>
          </cell>
          <cell r="P259">
            <v>107</v>
          </cell>
          <cell r="Q259">
            <v>95</v>
          </cell>
          <cell r="R259">
            <v>202</v>
          </cell>
          <cell r="S259">
            <v>75</v>
          </cell>
          <cell r="T259">
            <v>277</v>
          </cell>
          <cell r="U259">
            <v>77</v>
          </cell>
          <cell r="V259">
            <v>354</v>
          </cell>
          <cell r="W259">
            <v>61</v>
          </cell>
          <cell r="X259">
            <v>40</v>
          </cell>
          <cell r="Y259">
            <v>101</v>
          </cell>
          <cell r="Z259">
            <v>38</v>
          </cell>
          <cell r="AA259">
            <v>139</v>
          </cell>
          <cell r="AB259">
            <v>40</v>
          </cell>
          <cell r="AC259">
            <v>179</v>
          </cell>
          <cell r="AD259">
            <v>30</v>
          </cell>
          <cell r="AE259">
            <v>30</v>
          </cell>
          <cell r="AF259">
            <v>60</v>
          </cell>
          <cell r="AG259">
            <v>34</v>
          </cell>
          <cell r="AH259">
            <v>94</v>
          </cell>
          <cell r="AI259">
            <v>25.2</v>
          </cell>
          <cell r="AJ259">
            <v>119.2</v>
          </cell>
          <cell r="AK259">
            <v>24</v>
          </cell>
          <cell r="AL259">
            <v>24</v>
          </cell>
          <cell r="AM259">
            <v>48</v>
          </cell>
          <cell r="AN259">
            <v>24</v>
          </cell>
          <cell r="AO259">
            <v>72</v>
          </cell>
          <cell r="AP259">
            <v>24</v>
          </cell>
          <cell r="AQ259">
            <v>96</v>
          </cell>
          <cell r="CM259">
            <v>-7.2413583621894172E-3</v>
          </cell>
          <cell r="CO259">
            <v>0</v>
          </cell>
          <cell r="CP259" t="str">
            <v>2010 / 2014</v>
          </cell>
          <cell r="CQ259">
            <v>0.2277227722772277</v>
          </cell>
          <cell r="CR259">
            <v>0.1834862385321101</v>
          </cell>
          <cell r="CS259">
            <v>8.7719298245614086E-2</v>
          </cell>
          <cell r="CT259">
            <v>-0.13709677419354838</v>
          </cell>
          <cell r="CU259">
            <v>8.0357142857142794E-2</v>
          </cell>
          <cell r="CV259">
            <v>-0.13709677419354838</v>
          </cell>
          <cell r="CW259">
            <v>-0.26356589147286824</v>
          </cell>
          <cell r="CX259">
            <v>-0.39516129032258063</v>
          </cell>
          <cell r="CY259">
            <v>-0.28037383177570097</v>
          </cell>
          <cell r="CZ259">
            <v>-0.26859504132231404</v>
          </cell>
          <cell r="DA259">
            <v>-0.42990654205607481</v>
          </cell>
          <cell r="DB259">
            <v>-0.57894736842105265</v>
          </cell>
          <cell r="DC259">
            <v>-0.49333333333333329</v>
          </cell>
          <cell r="DD259">
            <v>-0.5</v>
          </cell>
          <cell r="DE259">
            <v>-0.5</v>
          </cell>
          <cell r="DF259">
            <v>-0.2</v>
          </cell>
          <cell r="DG259">
            <v>-0.15</v>
          </cell>
          <cell r="DH259">
            <v>-0.15</v>
          </cell>
          <cell r="DI259">
            <v>-0.05</v>
          </cell>
          <cell r="DJ259">
            <v>-0.05</v>
          </cell>
          <cell r="DK259">
            <v>-0.05</v>
          </cell>
        </row>
        <row r="260">
          <cell r="O260">
            <v>8.0357142857142794E-2</v>
          </cell>
          <cell r="P260">
            <v>-0.13709677419354838</v>
          </cell>
          <cell r="Q260">
            <v>-0.26356589147286824</v>
          </cell>
          <cell r="R260">
            <v>-0.20158102766798414</v>
          </cell>
          <cell r="S260">
            <v>-0.39516129032258063</v>
          </cell>
          <cell r="T260">
            <v>-0.26525198938992045</v>
          </cell>
          <cell r="U260">
            <v>-0.28037383177570097</v>
          </cell>
          <cell r="V260">
            <v>-0.26859504132231404</v>
          </cell>
          <cell r="W260">
            <v>-0.42990654205607481</v>
          </cell>
          <cell r="X260">
            <v>-0.57894736842105265</v>
          </cell>
          <cell r="Y260">
            <v>-0.5</v>
          </cell>
          <cell r="Z260">
            <v>-0.49333333333333329</v>
          </cell>
          <cell r="AA260">
            <v>-0.49819494584837543</v>
          </cell>
          <cell r="AB260">
            <v>-0.48051948051948057</v>
          </cell>
          <cell r="AC260">
            <v>-0.49435028248587576</v>
          </cell>
          <cell r="AD260">
            <v>-0.50819672131147542</v>
          </cell>
          <cell r="AE260">
            <v>-0.25</v>
          </cell>
          <cell r="AF260">
            <v>-0.40594059405940597</v>
          </cell>
          <cell r="AG260">
            <v>-0.10526315789473684</v>
          </cell>
          <cell r="AH260">
            <v>-0.32374100719424459</v>
          </cell>
          <cell r="AI260">
            <v>-0.37</v>
          </cell>
          <cell r="AJ260">
            <v>-0.42554960824451848</v>
          </cell>
          <cell r="AK260">
            <v>-0.18397690746965745</v>
          </cell>
          <cell r="AL260">
            <v>-0.1662091619733651</v>
          </cell>
          <cell r="AN260">
            <v>-0.32887616333752778</v>
          </cell>
          <cell r="AP260">
            <v>-0.13453822147596572</v>
          </cell>
          <cell r="AQ260">
            <v>-0.19463087248322153</v>
          </cell>
          <cell r="BE260">
            <v>3.5003244203121266E-2</v>
          </cell>
        </row>
        <row r="261">
          <cell r="A261" t="str">
            <v>Other Strategic</v>
          </cell>
          <cell r="B261">
            <v>116</v>
          </cell>
          <cell r="C261">
            <v>124</v>
          </cell>
          <cell r="D261">
            <v>240</v>
          </cell>
          <cell r="E261">
            <v>120</v>
          </cell>
          <cell r="F261">
            <v>360</v>
          </cell>
          <cell r="G261">
            <v>126</v>
          </cell>
          <cell r="H261">
            <v>486</v>
          </cell>
          <cell r="I261">
            <v>61</v>
          </cell>
          <cell r="J261">
            <v>61</v>
          </cell>
          <cell r="K261">
            <v>122</v>
          </cell>
          <cell r="L261">
            <v>60</v>
          </cell>
          <cell r="M261">
            <v>182</v>
          </cell>
          <cell r="N261">
            <v>57</v>
          </cell>
          <cell r="O261">
            <v>239</v>
          </cell>
          <cell r="P261">
            <v>54</v>
          </cell>
          <cell r="Q261">
            <v>85</v>
          </cell>
          <cell r="R261">
            <v>139</v>
          </cell>
          <cell r="S261">
            <v>102</v>
          </cell>
          <cell r="T261">
            <v>241</v>
          </cell>
          <cell r="U261">
            <v>110</v>
          </cell>
          <cell r="V261">
            <v>351</v>
          </cell>
          <cell r="W261">
            <v>265</v>
          </cell>
          <cell r="X261">
            <v>268</v>
          </cell>
          <cell r="Y261">
            <v>533</v>
          </cell>
          <cell r="Z261">
            <v>247</v>
          </cell>
          <cell r="AA261">
            <v>780</v>
          </cell>
          <cell r="AB261">
            <v>207</v>
          </cell>
          <cell r="AC261">
            <v>987</v>
          </cell>
          <cell r="AD261">
            <v>196</v>
          </cell>
          <cell r="AE261">
            <v>229</v>
          </cell>
          <cell r="AF261">
            <v>425</v>
          </cell>
          <cell r="AG261">
            <v>188</v>
          </cell>
          <cell r="AH261">
            <v>613</v>
          </cell>
          <cell r="AI261">
            <v>162</v>
          </cell>
          <cell r="AJ261">
            <v>775</v>
          </cell>
          <cell r="AK261">
            <v>159</v>
          </cell>
          <cell r="AL261">
            <v>169</v>
          </cell>
          <cell r="AM261">
            <v>328</v>
          </cell>
          <cell r="AN261">
            <v>156</v>
          </cell>
          <cell r="AO261">
            <v>484</v>
          </cell>
          <cell r="AP261">
            <v>141</v>
          </cell>
          <cell r="AQ261">
            <v>625</v>
          </cell>
          <cell r="AR261">
            <v>40</v>
          </cell>
          <cell r="AS261">
            <v>22</v>
          </cell>
          <cell r="AT261">
            <v>62</v>
          </cell>
          <cell r="AU261">
            <v>41</v>
          </cell>
          <cell r="AV261">
            <v>103</v>
          </cell>
          <cell r="AW261">
            <v>32</v>
          </cell>
          <cell r="AX261">
            <v>135</v>
          </cell>
          <cell r="AY261">
            <v>37</v>
          </cell>
          <cell r="AZ261">
            <v>25</v>
          </cell>
          <cell r="BA261">
            <v>62</v>
          </cell>
          <cell r="BB261">
            <v>28</v>
          </cell>
          <cell r="BC261">
            <v>90</v>
          </cell>
          <cell r="BD261">
            <v>35</v>
          </cell>
          <cell r="BE261">
            <v>125</v>
          </cell>
          <cell r="BF261">
            <v>22</v>
          </cell>
          <cell r="BG261">
            <v>9</v>
          </cell>
          <cell r="BH261">
            <v>31</v>
          </cell>
          <cell r="BI261">
            <v>24.788162929954218</v>
          </cell>
          <cell r="BJ261">
            <v>55.788162929954218</v>
          </cell>
          <cell r="BK261">
            <v>32.082530523283062</v>
          </cell>
          <cell r="BL261">
            <v>87.87069345323728</v>
          </cell>
          <cell r="BM261">
            <v>20.459585096108512</v>
          </cell>
          <cell r="BN261">
            <v>8.3315617745854116</v>
          </cell>
          <cell r="BO261">
            <v>28.791146870693922</v>
          </cell>
          <cell r="BP261">
            <v>23.208113475470377</v>
          </cell>
          <cell r="BQ261">
            <v>51.999260346164299</v>
          </cell>
          <cell r="BR261">
            <v>30.011913287328682</v>
          </cell>
          <cell r="BS261">
            <v>83.606767201105455</v>
          </cell>
          <cell r="BZ261">
            <v>79.279457323104239</v>
          </cell>
          <cell r="CA261">
            <v>75.315484456949022</v>
          </cell>
          <cell r="CB261">
            <v>71.549710234101568</v>
          </cell>
          <cell r="CC261">
            <v>67.97222472239649</v>
          </cell>
          <cell r="CD261">
            <v>64.573613486276656</v>
          </cell>
          <cell r="CE261">
            <v>61.344932811962821</v>
          </cell>
          <cell r="CF261">
            <v>58.277686171364678</v>
          </cell>
          <cell r="CG261">
            <v>55.363801862796443</v>
          </cell>
          <cell r="CH261">
            <v>52.595611769656621</v>
          </cell>
          <cell r="CI261">
            <v>49.96583118117379</v>
          </cell>
          <cell r="CJ261">
            <v>47.467539622115098</v>
          </cell>
          <cell r="CO261">
            <v>0.1</v>
          </cell>
          <cell r="CQ261">
            <v>-0.47413793103448276</v>
          </cell>
          <cell r="CR261">
            <v>-0.50806451612903225</v>
          </cell>
          <cell r="CS261">
            <v>-0.5</v>
          </cell>
          <cell r="CT261">
            <v>-0.54761904761904767</v>
          </cell>
          <cell r="CU261">
            <v>-0.50823045267489708</v>
          </cell>
          <cell r="CV261">
            <v>-0.11475409836065575</v>
          </cell>
          <cell r="CW261">
            <v>0.39344262295081966</v>
          </cell>
          <cell r="CX261">
            <v>0.7</v>
          </cell>
          <cell r="CY261">
            <v>0.92982456140350878</v>
          </cell>
          <cell r="CZ261">
            <v>0.46861924686192458</v>
          </cell>
          <cell r="DA261">
            <v>3.9074074074074074</v>
          </cell>
          <cell r="DB261">
            <v>2.1529411764705881</v>
          </cell>
          <cell r="DC261">
            <v>1.4215686274509802</v>
          </cell>
          <cell r="DD261">
            <v>0.1</v>
          </cell>
          <cell r="DE261">
            <v>1.8119658119658117</v>
          </cell>
          <cell r="DF261">
            <v>0.05</v>
          </cell>
          <cell r="DG261">
            <v>0.04</v>
          </cell>
          <cell r="DH261">
            <v>0.03</v>
          </cell>
          <cell r="DI261">
            <v>0.03</v>
          </cell>
          <cell r="DJ261">
            <v>0.03</v>
          </cell>
          <cell r="DK261">
            <v>0.03</v>
          </cell>
        </row>
        <row r="262">
          <cell r="A262" t="str">
            <v>Underlying growth (ex currency)</v>
          </cell>
          <cell r="P262">
            <v>-3.5896820192118595E-2</v>
          </cell>
          <cell r="Q262">
            <v>0.4157878800660858</v>
          </cell>
          <cell r="R262">
            <v>0.18994552993698366</v>
          </cell>
          <cell r="S262">
            <v>0.69362859830685575</v>
          </cell>
          <cell r="T262">
            <v>0.35578620203937716</v>
          </cell>
          <cell r="U262">
            <v>0.8924374391004537</v>
          </cell>
          <cell r="V262">
            <v>0.47618809292083097</v>
          </cell>
          <cell r="W262">
            <v>3.8740610688259745</v>
          </cell>
          <cell r="X262">
            <v>2.1421473713537655</v>
          </cell>
          <cell r="Y262">
            <v>2.8124623022515918</v>
          </cell>
          <cell r="Z262">
            <v>1.3930724583427239</v>
          </cell>
          <cell r="AA262">
            <v>2.2123024185527393</v>
          </cell>
          <cell r="AB262">
            <v>0.81220781833223255</v>
          </cell>
          <cell r="AC262">
            <v>1.776750237832216</v>
          </cell>
          <cell r="AD262">
            <v>-0.38043495711259812</v>
          </cell>
          <cell r="AE262">
            <v>-0.28445262234271029</v>
          </cell>
          <cell r="AF262">
            <v>-0.33212055810355234</v>
          </cell>
          <cell r="AG262">
            <v>-0.32228238547362598</v>
          </cell>
          <cell r="AH262">
            <v>-0.3205575166850706</v>
          </cell>
          <cell r="AI262">
            <v>-0.24375769712163586</v>
          </cell>
          <cell r="AJ262">
            <v>-0.30626369585269853</v>
          </cell>
          <cell r="AK262">
            <v>-0.17275241767373917</v>
          </cell>
          <cell r="AL262">
            <v>-0.22821789559781924</v>
          </cell>
          <cell r="AN262">
            <v>-0.20497128223615113</v>
          </cell>
          <cell r="AP262">
            <v>-0.21654880348654781</v>
          </cell>
          <cell r="AQ262">
            <v>-0.19354838709677424</v>
          </cell>
          <cell r="AR262">
            <v>-0.81842767295597496</v>
          </cell>
          <cell r="AS262">
            <v>-0.86607069694553152</v>
          </cell>
          <cell r="AU262">
            <v>-0.73877514260381938</v>
          </cell>
          <cell r="AW262">
            <v>-0.78224387064124767</v>
          </cell>
          <cell r="AX262">
            <v>-0.79660972078689984</v>
          </cell>
          <cell r="AY262">
            <v>-0.14500000000000002</v>
          </cell>
          <cell r="AZ262">
            <v>6.6870644919103661E-4</v>
          </cell>
          <cell r="BA262">
            <v>-0.10284746495722263</v>
          </cell>
          <cell r="BB262">
            <v>-0.426710102167705</v>
          </cell>
          <cell r="BC262">
            <v>-0.23245579042961995</v>
          </cell>
          <cell r="BD262">
            <v>5.7142603870609765E-2</v>
          </cell>
          <cell r="BE262">
            <v>-0.15567314234377838</v>
          </cell>
          <cell r="BF262">
            <v>-0.4157078436857643</v>
          </cell>
          <cell r="BG262">
            <v>-0.59609159356052066</v>
          </cell>
          <cell r="BH262">
            <v>-0.5</v>
          </cell>
          <cell r="BI262">
            <v>-0.05</v>
          </cell>
          <cell r="BJ262">
            <v>-0.38013152300050868</v>
          </cell>
          <cell r="BK262">
            <v>-0.05</v>
          </cell>
          <cell r="BL262">
            <v>-0.29703445237410175</v>
          </cell>
          <cell r="BM262">
            <v>-0.05</v>
          </cell>
          <cell r="BN262">
            <v>-0.05</v>
          </cell>
          <cell r="BO262">
            <v>-7.1253326751808954E-2</v>
          </cell>
          <cell r="BP262">
            <v>-0.05</v>
          </cell>
          <cell r="BQ262">
            <v>-6.7915887256354779E-2</v>
          </cell>
          <cell r="BR262">
            <v>-0.05</v>
          </cell>
          <cell r="BS262">
            <v>-0.03</v>
          </cell>
          <cell r="BZ262">
            <v>-0.05</v>
          </cell>
          <cell r="CA262">
            <v>-0.05</v>
          </cell>
          <cell r="CB262">
            <v>-0.05</v>
          </cell>
          <cell r="CC262">
            <v>-0.05</v>
          </cell>
          <cell r="CD262">
            <v>-0.05</v>
          </cell>
          <cell r="CE262">
            <v>-0.05</v>
          </cell>
          <cell r="CF262">
            <v>-0.05</v>
          </cell>
          <cell r="CG262">
            <v>-0.05</v>
          </cell>
          <cell r="CH262">
            <v>-0.05</v>
          </cell>
          <cell r="CI262">
            <v>-0.05</v>
          </cell>
          <cell r="CJ262">
            <v>-0.05</v>
          </cell>
        </row>
        <row r="263">
          <cell r="A263" t="str">
            <v xml:space="preserve">Other  </v>
          </cell>
          <cell r="B263">
            <v>125</v>
          </cell>
          <cell r="C263">
            <v>135</v>
          </cell>
          <cell r="D263">
            <v>260</v>
          </cell>
          <cell r="E263">
            <v>130</v>
          </cell>
          <cell r="F263">
            <v>390</v>
          </cell>
          <cell r="G263">
            <v>143</v>
          </cell>
          <cell r="H263">
            <v>533</v>
          </cell>
          <cell r="I263">
            <v>129</v>
          </cell>
          <cell r="J263">
            <v>116</v>
          </cell>
          <cell r="K263">
            <v>245</v>
          </cell>
          <cell r="L263">
            <v>131</v>
          </cell>
          <cell r="M263">
            <v>376</v>
          </cell>
          <cell r="N263">
            <v>100</v>
          </cell>
          <cell r="O263">
            <v>476</v>
          </cell>
          <cell r="P263">
            <v>108</v>
          </cell>
          <cell r="Q263">
            <v>114</v>
          </cell>
          <cell r="R263">
            <v>222</v>
          </cell>
          <cell r="S263">
            <v>108</v>
          </cell>
          <cell r="T263">
            <v>330</v>
          </cell>
          <cell r="U263">
            <v>110</v>
          </cell>
          <cell r="V263">
            <v>440</v>
          </cell>
          <cell r="W263">
            <v>43</v>
          </cell>
          <cell r="X263">
            <v>68</v>
          </cell>
          <cell r="Y263">
            <v>111</v>
          </cell>
          <cell r="Z263">
            <v>68</v>
          </cell>
          <cell r="AA263">
            <v>179</v>
          </cell>
          <cell r="AB263">
            <v>77</v>
          </cell>
          <cell r="AC263">
            <v>256</v>
          </cell>
          <cell r="AD263">
            <v>75</v>
          </cell>
          <cell r="AE263">
            <v>76</v>
          </cell>
          <cell r="AF263">
            <v>151</v>
          </cell>
          <cell r="AG263">
            <v>68</v>
          </cell>
          <cell r="AH263">
            <v>219</v>
          </cell>
          <cell r="AI263">
            <v>65.8</v>
          </cell>
          <cell r="AJ263">
            <v>284.8</v>
          </cell>
          <cell r="AK263">
            <v>64</v>
          </cell>
          <cell r="AL263">
            <v>76</v>
          </cell>
          <cell r="AM263">
            <v>140</v>
          </cell>
          <cell r="AN263">
            <v>74</v>
          </cell>
          <cell r="AO263">
            <v>214</v>
          </cell>
          <cell r="AP263">
            <v>98</v>
          </cell>
          <cell r="AQ263">
            <v>312</v>
          </cell>
          <cell r="AR263">
            <v>133</v>
          </cell>
          <cell r="AS263">
            <v>149</v>
          </cell>
          <cell r="AT263">
            <v>282</v>
          </cell>
          <cell r="AU263">
            <v>137</v>
          </cell>
          <cell r="AV263">
            <v>419</v>
          </cell>
          <cell r="AW263">
            <v>148</v>
          </cell>
          <cell r="AX263">
            <v>567</v>
          </cell>
          <cell r="AY263">
            <v>37</v>
          </cell>
          <cell r="AZ263">
            <v>25</v>
          </cell>
          <cell r="BA263">
            <v>62</v>
          </cell>
          <cell r="BB263">
            <v>27</v>
          </cell>
          <cell r="BC263">
            <v>89</v>
          </cell>
          <cell r="BD263">
            <v>35</v>
          </cell>
          <cell r="BE263">
            <v>124</v>
          </cell>
          <cell r="BF263">
            <v>22</v>
          </cell>
          <cell r="BG263">
            <v>26</v>
          </cell>
          <cell r="BH263">
            <v>48</v>
          </cell>
          <cell r="BI263">
            <v>19</v>
          </cell>
          <cell r="BJ263">
            <v>67</v>
          </cell>
          <cell r="BK263">
            <v>21</v>
          </cell>
          <cell r="BL263">
            <v>88</v>
          </cell>
          <cell r="BM263">
            <v>17</v>
          </cell>
          <cell r="BN263">
            <v>16</v>
          </cell>
          <cell r="BO263">
            <v>33</v>
          </cell>
          <cell r="BP263">
            <v>14</v>
          </cell>
          <cell r="BQ263">
            <v>47</v>
          </cell>
          <cell r="BR263">
            <v>14</v>
          </cell>
          <cell r="BS263">
            <v>61</v>
          </cell>
          <cell r="BT263">
            <v>15.105244805220263</v>
          </cell>
          <cell r="BU263">
            <v>14.629027486229051</v>
          </cell>
          <cell r="BV263">
            <v>29.734272291449315</v>
          </cell>
          <cell r="BW263">
            <v>12.693584702273897</v>
          </cell>
          <cell r="BX263">
            <v>42.427856993723211</v>
          </cell>
          <cell r="BY263">
            <v>12.370555455974362</v>
          </cell>
          <cell r="BZ263">
            <v>54.798412449697572</v>
          </cell>
          <cell r="CA263">
            <v>49.318571204727817</v>
          </cell>
          <cell r="CB263">
            <v>45.866271220396868</v>
          </cell>
          <cell r="CC263">
            <v>43.572957659377025</v>
          </cell>
          <cell r="CD263">
            <v>41.394309776408171</v>
          </cell>
          <cell r="CE263">
            <v>39.324594287587757</v>
          </cell>
          <cell r="CF263">
            <v>37.35836457320837</v>
          </cell>
          <cell r="CG263">
            <v>35.490446344547948</v>
          </cell>
          <cell r="CH263">
            <v>33.715924027320547</v>
          </cell>
          <cell r="CI263">
            <v>32.030127825954516</v>
          </cell>
          <cell r="CJ263">
            <v>30.428621434656787</v>
          </cell>
          <cell r="CO263">
            <v>0.1</v>
          </cell>
          <cell r="CQ263">
            <v>3.2000000000000028E-2</v>
          </cell>
          <cell r="CR263">
            <v>-0.14074074074074072</v>
          </cell>
          <cell r="CS263">
            <v>7.692307692307665E-3</v>
          </cell>
          <cell r="CT263">
            <v>-0.30069930069930073</v>
          </cell>
          <cell r="CU263">
            <v>-0.10694183864915574</v>
          </cell>
          <cell r="CV263">
            <v>-0.16279069767441856</v>
          </cell>
          <cell r="CW263">
            <v>-1.7241379310344862E-2</v>
          </cell>
          <cell r="CX263">
            <v>-0.17557251908396942</v>
          </cell>
          <cell r="CY263">
            <v>0.10000000000000009</v>
          </cell>
          <cell r="CZ263">
            <v>-7.5630252100840289E-2</v>
          </cell>
          <cell r="DA263">
            <v>-0.60185185185185186</v>
          </cell>
          <cell r="DB263">
            <v>-0.40350877192982459</v>
          </cell>
          <cell r="DC263">
            <v>-0.37037037037037035</v>
          </cell>
          <cell r="DD263">
            <v>-0.1</v>
          </cell>
          <cell r="DE263">
            <v>-0.41818181818181821</v>
          </cell>
          <cell r="DF263">
            <v>-0.1</v>
          </cell>
          <cell r="DG263">
            <v>0</v>
          </cell>
          <cell r="DH263">
            <v>0</v>
          </cell>
          <cell r="DI263">
            <v>0</v>
          </cell>
          <cell r="DJ263">
            <v>0</v>
          </cell>
          <cell r="DK263">
            <v>0</v>
          </cell>
        </row>
        <row r="264">
          <cell r="A264" t="str">
            <v xml:space="preserve">   growth %</v>
          </cell>
          <cell r="P264">
            <v>-0.16279069767441856</v>
          </cell>
          <cell r="Q264">
            <v>-1.7241379310344862E-2</v>
          </cell>
          <cell r="R264">
            <v>-9.3877551020408179E-2</v>
          </cell>
          <cell r="S264">
            <v>-0.17557251908396942</v>
          </cell>
          <cell r="T264">
            <v>-0.12234042553191493</v>
          </cell>
          <cell r="U264">
            <v>0.10000000000000009</v>
          </cell>
          <cell r="V264">
            <v>-7.5630252100840289E-2</v>
          </cell>
          <cell r="W264">
            <v>-0.60185185185185186</v>
          </cell>
          <cell r="X264">
            <v>-0.40350877192982459</v>
          </cell>
          <cell r="Y264">
            <v>-0.5</v>
          </cell>
          <cell r="Z264">
            <v>-0.37037037037037035</v>
          </cell>
          <cell r="AA264">
            <v>-0.45757575757575752</v>
          </cell>
          <cell r="AB264">
            <v>-0.30000000000000004</v>
          </cell>
          <cell r="AC264">
            <v>-0.41818181818181821</v>
          </cell>
          <cell r="AD264">
            <v>0.7441860465116279</v>
          </cell>
          <cell r="AE264">
            <v>0.11764705882352944</v>
          </cell>
          <cell r="AF264">
            <v>0.36036036036036045</v>
          </cell>
          <cell r="AG264">
            <v>0</v>
          </cell>
          <cell r="AH264">
            <v>0.22346368715083798</v>
          </cell>
          <cell r="AI264">
            <v>-0.1454545454545455</v>
          </cell>
          <cell r="AJ264">
            <v>0.11250000000000004</v>
          </cell>
          <cell r="AK264">
            <v>-0.14666666666666661</v>
          </cell>
          <cell r="AL264">
            <v>0</v>
          </cell>
          <cell r="AM264">
            <v>-7.2847682119205337E-2</v>
          </cell>
          <cell r="AN264">
            <v>8.8235294117646967E-2</v>
          </cell>
          <cell r="AO264">
            <v>-2.2831050228310557E-2</v>
          </cell>
          <cell r="AP264">
            <v>0.48936170212765973</v>
          </cell>
          <cell r="AQ264">
            <v>9.550561797752799E-2</v>
          </cell>
          <cell r="AR264">
            <v>1.078125</v>
          </cell>
          <cell r="AS264">
            <v>0.96052631578947367</v>
          </cell>
          <cell r="AT264">
            <v>1.0142857142857142</v>
          </cell>
          <cell r="AU264">
            <v>0.85135135135135132</v>
          </cell>
          <cell r="AV264">
            <v>0.9579439252336448</v>
          </cell>
          <cell r="AW264">
            <v>0.51020408163265296</v>
          </cell>
          <cell r="AX264">
            <v>0.81730769230769229</v>
          </cell>
          <cell r="AY264">
            <v>-0.72180451127819545</v>
          </cell>
          <cell r="AZ264">
            <v>-0.83221476510067116</v>
          </cell>
          <cell r="BA264">
            <v>-0.78014184397163122</v>
          </cell>
          <cell r="BB264">
            <v>-0.8029197080291971</v>
          </cell>
          <cell r="BC264">
            <v>-0.78758949880668261</v>
          </cell>
          <cell r="BD264">
            <v>-0.76351351351351349</v>
          </cell>
          <cell r="BE264">
            <v>-0.78130511463844798</v>
          </cell>
          <cell r="BF264">
            <v>-0.40540540540540537</v>
          </cell>
          <cell r="BG264">
            <v>4.0000000000000036E-2</v>
          </cell>
          <cell r="BH264">
            <v>-0.22580645161290325</v>
          </cell>
          <cell r="BI264">
            <v>-0.29629629629629628</v>
          </cell>
          <cell r="BJ264">
            <v>-0.2471910112359551</v>
          </cell>
          <cell r="BK264">
            <v>-0.4</v>
          </cell>
          <cell r="BL264">
            <v>-0.29032258064516125</v>
          </cell>
          <cell r="BM264">
            <v>-0.22727272727272729</v>
          </cell>
          <cell r="BN264">
            <v>-0.38461538461538458</v>
          </cell>
          <cell r="BO264">
            <v>-0.3125</v>
          </cell>
          <cell r="BP264">
            <v>-0.26315789473684215</v>
          </cell>
          <cell r="BQ264">
            <v>-0.29850746268656714</v>
          </cell>
          <cell r="BR264">
            <v>-0.33333333333333337</v>
          </cell>
          <cell r="BS264">
            <v>-0.30681818181818177</v>
          </cell>
          <cell r="BT264">
            <v>-0.11145618792821987</v>
          </cell>
          <cell r="BU264">
            <v>-8.5685782110684339E-2</v>
          </cell>
          <cell r="BV264">
            <v>-9.896144571365717E-2</v>
          </cell>
          <cell r="BW264">
            <v>-9.3315378409007388E-2</v>
          </cell>
          <cell r="BX264">
            <v>-9.7279638431421067E-2</v>
          </cell>
          <cell r="BY264">
            <v>-0.11638889600183133</v>
          </cell>
          <cell r="BZ264">
            <v>-0.10166536967708895</v>
          </cell>
          <cell r="CA264">
            <v>-9.9999999999999978E-2</v>
          </cell>
          <cell r="CB264">
            <v>-7.0000000000000062E-2</v>
          </cell>
          <cell r="CC264">
            <v>-5.0000000000000044E-2</v>
          </cell>
          <cell r="CD264">
            <v>-5.0000000000000044E-2</v>
          </cell>
          <cell r="CE264">
            <v>-5.0000000000000155E-2</v>
          </cell>
          <cell r="CF264">
            <v>-5.0000000000000044E-2</v>
          </cell>
          <cell r="CG264">
            <v>-5.0000000000000044E-2</v>
          </cell>
          <cell r="CH264">
            <v>-5.0000000000000155E-2</v>
          </cell>
          <cell r="CI264">
            <v>-5.0000000000000155E-2</v>
          </cell>
          <cell r="CJ264">
            <v>-5.0000000000000044E-2</v>
          </cell>
        </row>
        <row r="265">
          <cell r="BG265">
            <v>7.0000000000000007E-2</v>
          </cell>
          <cell r="BH265">
            <v>-0.19</v>
          </cell>
          <cell r="BI265">
            <v>-0.03</v>
          </cell>
          <cell r="BJ265">
            <v>-0.14000000000000001</v>
          </cell>
          <cell r="BK265">
            <v>-0.23</v>
          </cell>
          <cell r="BL265">
            <v>-0.17</v>
          </cell>
          <cell r="BM265">
            <v>-0.21</v>
          </cell>
          <cell r="BN265">
            <v>-0.33</v>
          </cell>
          <cell r="BO265">
            <v>-0.27</v>
          </cell>
          <cell r="BP265">
            <v>-0.28000000000000003</v>
          </cell>
          <cell r="BQ265">
            <v>-0.28000000000000003</v>
          </cell>
          <cell r="BR265">
            <v>-0.26</v>
          </cell>
          <cell r="BS265">
            <v>-0.27</v>
          </cell>
          <cell r="BT265">
            <v>-0.1</v>
          </cell>
          <cell r="BU265">
            <v>-0.1</v>
          </cell>
          <cell r="BW265">
            <v>-0.1</v>
          </cell>
          <cell r="BY265">
            <v>-0.12319716295801797</v>
          </cell>
          <cell r="BZ265">
            <v>-0.1</v>
          </cell>
          <cell r="CA265">
            <v>-0.1</v>
          </cell>
          <cell r="CB265">
            <v>-7.0000000000000007E-2</v>
          </cell>
          <cell r="CC265">
            <v>-0.05</v>
          </cell>
          <cell r="CD265">
            <v>-0.05</v>
          </cell>
          <cell r="CE265">
            <v>-0.05</v>
          </cell>
          <cell r="CF265">
            <v>-0.05</v>
          </cell>
          <cell r="CG265">
            <v>-0.05</v>
          </cell>
          <cell r="CH265">
            <v>-0.05</v>
          </cell>
          <cell r="CI265">
            <v>-0.05</v>
          </cell>
          <cell r="CJ265">
            <v>-0.05</v>
          </cell>
        </row>
        <row r="266">
          <cell r="A266" t="str">
            <v>Total opthalmics</v>
          </cell>
          <cell r="B266">
            <v>492</v>
          </cell>
          <cell r="C266">
            <v>514</v>
          </cell>
          <cell r="D266">
            <v>1006</v>
          </cell>
          <cell r="E266">
            <v>523</v>
          </cell>
          <cell r="F266">
            <v>1529</v>
          </cell>
          <cell r="G266">
            <v>560</v>
          </cell>
          <cell r="H266">
            <v>3003</v>
          </cell>
          <cell r="I266">
            <v>791</v>
          </cell>
          <cell r="J266">
            <v>793</v>
          </cell>
          <cell r="K266">
            <v>1584</v>
          </cell>
          <cell r="L266">
            <v>824</v>
          </cell>
          <cell r="M266">
            <v>2408</v>
          </cell>
          <cell r="N266">
            <v>785</v>
          </cell>
          <cell r="O266">
            <v>3193</v>
          </cell>
          <cell r="P266">
            <v>800</v>
          </cell>
          <cell r="Q266">
            <v>866</v>
          </cell>
          <cell r="R266">
            <v>1666</v>
          </cell>
          <cell r="S266">
            <v>873</v>
          </cell>
          <cell r="T266">
            <v>2539</v>
          </cell>
          <cell r="U266">
            <v>926</v>
          </cell>
          <cell r="V266">
            <v>3465</v>
          </cell>
          <cell r="W266">
            <v>1035</v>
          </cell>
          <cell r="X266">
            <v>1101</v>
          </cell>
          <cell r="Y266">
            <v>2136</v>
          </cell>
          <cell r="Z266">
            <v>1118</v>
          </cell>
          <cell r="AA266">
            <v>3254</v>
          </cell>
          <cell r="AB266">
            <v>1093</v>
          </cell>
          <cell r="AC266">
            <v>4347</v>
          </cell>
          <cell r="AD266">
            <v>1108</v>
          </cell>
          <cell r="AE266">
            <v>1239</v>
          </cell>
          <cell r="AF266">
            <v>2347</v>
          </cell>
          <cell r="AG266">
            <v>1152</v>
          </cell>
          <cell r="AH266">
            <v>3499</v>
          </cell>
          <cell r="AI266">
            <v>1106</v>
          </cell>
          <cell r="AJ266">
            <v>4605</v>
          </cell>
          <cell r="AK266">
            <v>1084</v>
          </cell>
          <cell r="AL266">
            <v>1221</v>
          </cell>
          <cell r="AM266">
            <v>2305</v>
          </cell>
          <cell r="AN266">
            <v>1277</v>
          </cell>
          <cell r="AO266">
            <v>3582</v>
          </cell>
          <cell r="AP266">
            <v>1359</v>
          </cell>
          <cell r="AQ266">
            <v>4941</v>
          </cell>
          <cell r="AR266">
            <v>970</v>
          </cell>
          <cell r="AS266">
            <v>1013</v>
          </cell>
          <cell r="AT266">
            <v>1983</v>
          </cell>
          <cell r="AU266">
            <v>1003</v>
          </cell>
          <cell r="AV266">
            <v>2986</v>
          </cell>
          <cell r="AW266">
            <v>1047</v>
          </cell>
          <cell r="AX266">
            <v>4033</v>
          </cell>
          <cell r="AY266">
            <v>481</v>
          </cell>
          <cell r="AZ266">
            <v>566</v>
          </cell>
          <cell r="BA266">
            <v>1047</v>
          </cell>
          <cell r="BB266">
            <v>542</v>
          </cell>
          <cell r="BC266">
            <v>1589</v>
          </cell>
          <cell r="BD266">
            <v>585</v>
          </cell>
          <cell r="BE266">
            <v>2174</v>
          </cell>
          <cell r="BF266">
            <v>589</v>
          </cell>
          <cell r="BG266">
            <v>630</v>
          </cell>
          <cell r="BH266">
            <v>1219</v>
          </cell>
          <cell r="BI266">
            <v>612</v>
          </cell>
          <cell r="BJ266">
            <v>1831</v>
          </cell>
          <cell r="BK266">
            <v>655</v>
          </cell>
          <cell r="BL266">
            <v>2486</v>
          </cell>
          <cell r="BM266">
            <v>613</v>
          </cell>
          <cell r="BN266">
            <v>592</v>
          </cell>
          <cell r="BO266">
            <v>1205</v>
          </cell>
          <cell r="BP266">
            <v>595</v>
          </cell>
          <cell r="BQ266">
            <v>1800</v>
          </cell>
          <cell r="BR266">
            <v>644</v>
          </cell>
          <cell r="BS266">
            <v>2444</v>
          </cell>
          <cell r="BT266">
            <v>615.28697173263868</v>
          </cell>
          <cell r="BU266">
            <v>611.49334892437423</v>
          </cell>
          <cell r="BV266">
            <v>1226.7803206570129</v>
          </cell>
          <cell r="BW266">
            <v>609.7151851992229</v>
          </cell>
          <cell r="BX266">
            <v>1836.4955058562359</v>
          </cell>
          <cell r="BY266">
            <v>650.74049690576305</v>
          </cell>
          <cell r="BZ266">
            <v>2487.2360027619989</v>
          </cell>
          <cell r="CA266">
            <v>2530.4049133232752</v>
          </cell>
          <cell r="CB266">
            <v>2576.5743401813152</v>
          </cell>
          <cell r="CC266">
            <v>2624.8951879995138</v>
          </cell>
          <cell r="CD266">
            <v>2493.6504285995379</v>
          </cell>
          <cell r="CE266">
            <v>2418.0130295460235</v>
          </cell>
          <cell r="CF266">
            <v>2344.6861467738909</v>
          </cell>
          <cell r="CG266">
            <v>2273.5983950792097</v>
          </cell>
          <cell r="CH266">
            <v>2204.6806342999425</v>
          </cell>
          <cell r="CI266">
            <v>2137.865896790398</v>
          </cell>
          <cell r="CJ266">
            <v>2073.089317330167</v>
          </cell>
          <cell r="CK266">
            <v>0</v>
          </cell>
          <cell r="CM266">
            <v>-0.13127999514002794</v>
          </cell>
          <cell r="CQ266">
            <v>0.60772357723577231</v>
          </cell>
          <cell r="CR266">
            <v>0.54280155642023353</v>
          </cell>
          <cell r="CS266">
            <v>0.57552581261950286</v>
          </cell>
          <cell r="CT266">
            <v>0.40178571428571419</v>
          </cell>
          <cell r="CU266">
            <v>6.3270063270063348E-2</v>
          </cell>
          <cell r="CV266">
            <v>1.1378002528444897E-2</v>
          </cell>
          <cell r="CW266">
            <v>9.205548549810838E-2</v>
          </cell>
          <cell r="CX266">
            <v>5.9466019417475646E-2</v>
          </cell>
          <cell r="CY266">
            <v>0.17961783439490442</v>
          </cell>
          <cell r="CZ266">
            <v>8.5186345129971919E-2</v>
          </cell>
          <cell r="DA266">
            <v>0.29374999999999996</v>
          </cell>
          <cell r="DB266">
            <v>0.27136258660508084</v>
          </cell>
          <cell r="DC266">
            <v>0.28064146620847641</v>
          </cell>
          <cell r="DD266">
            <v>0.18034557235421156</v>
          </cell>
          <cell r="DE266">
            <v>0.25454545454545463</v>
          </cell>
          <cell r="DF266">
            <v>5.9351276742581005E-2</v>
          </cell>
          <cell r="DG266">
            <v>7.2964169381107391E-2</v>
          </cell>
          <cell r="DH266">
            <v>-0.18376846792147339</v>
          </cell>
          <cell r="DI266">
            <v>-0.46094718571782789</v>
          </cell>
          <cell r="DJ266">
            <v>0.14351425942962281</v>
          </cell>
          <cell r="DK266">
            <v>-1.6894609814963824E-2</v>
          </cell>
        </row>
        <row r="267">
          <cell r="A267" t="str">
            <v xml:space="preserve">   growth %</v>
          </cell>
          <cell r="O267">
            <v>6.3270063270063348E-2</v>
          </cell>
          <cell r="P267">
            <v>1.1378002528444897E-2</v>
          </cell>
          <cell r="Q267">
            <v>9.205548549810838E-2</v>
          </cell>
          <cell r="R267">
            <v>5.1767676767676685E-2</v>
          </cell>
          <cell r="S267">
            <v>5.9466019417475646E-2</v>
          </cell>
          <cell r="T267">
            <v>5.4401993355481792E-2</v>
          </cell>
          <cell r="U267">
            <v>0.17961783439490442</v>
          </cell>
          <cell r="V267">
            <v>8.5186345129971919E-2</v>
          </cell>
          <cell r="W267">
            <v>0.29374999999999996</v>
          </cell>
          <cell r="X267">
            <v>0.27136258660508084</v>
          </cell>
          <cell r="Y267">
            <v>0.28211284513805523</v>
          </cell>
          <cell r="Z267">
            <v>0.28064146620847641</v>
          </cell>
          <cell r="AA267">
            <v>0.28160693186293817</v>
          </cell>
          <cell r="AB267">
            <v>0.18034557235421156</v>
          </cell>
          <cell r="AC267">
            <v>0.25454545454545463</v>
          </cell>
          <cell r="AD267">
            <v>7.0531400966183488E-2</v>
          </cell>
          <cell r="AE267">
            <v>0.12534059945504095</v>
          </cell>
          <cell r="AF267">
            <v>9.878277153558046E-2</v>
          </cell>
          <cell r="AG267">
            <v>3.0411449016100267E-2</v>
          </cell>
          <cell r="AH267">
            <v>7.5291948371235318E-2</v>
          </cell>
          <cell r="AI267">
            <v>1.1893870082342106E-2</v>
          </cell>
          <cell r="AJ267">
            <v>5.9351276742581005E-2</v>
          </cell>
          <cell r="AK267">
            <v>-2.166064981949456E-2</v>
          </cell>
          <cell r="AL267">
            <v>-1.4527845036319653E-2</v>
          </cell>
          <cell r="AM267">
            <v>-1.789518534299106E-2</v>
          </cell>
          <cell r="AN267">
            <v>0.10850694444444442</v>
          </cell>
          <cell r="AO267">
            <v>2.3721063160903055E-2</v>
          </cell>
          <cell r="AP267">
            <v>0.22875226039783003</v>
          </cell>
          <cell r="AQ267">
            <v>7.2964169381107391E-2</v>
          </cell>
          <cell r="AR267">
            <v>-0.10516605166051662</v>
          </cell>
          <cell r="AS267">
            <v>-0.17035217035217032</v>
          </cell>
          <cell r="AT267">
            <v>-0.13969631236442515</v>
          </cell>
          <cell r="AU267">
            <v>-0.21456538762725141</v>
          </cell>
          <cell r="AV267">
            <v>-0.16638749302065881</v>
          </cell>
          <cell r="AW267">
            <v>-0.22958057395143483</v>
          </cell>
          <cell r="AX267">
            <v>-0.18376846792147339</v>
          </cell>
          <cell r="AY267">
            <v>-0.50412371134020617</v>
          </cell>
          <cell r="AZ267">
            <v>-0.44126357354392898</v>
          </cell>
          <cell r="BA267">
            <v>-0.47201210287443263</v>
          </cell>
          <cell r="BB267">
            <v>-0.4596211365902293</v>
          </cell>
          <cell r="BC267">
            <v>-0.4678499665103818</v>
          </cell>
          <cell r="BD267">
            <v>-0.44126074498567336</v>
          </cell>
          <cell r="BE267">
            <v>-0.46094718571782789</v>
          </cell>
          <cell r="BF267">
            <v>0.22453222453222454</v>
          </cell>
          <cell r="BG267">
            <v>0.11307420494699638</v>
          </cell>
          <cell r="BH267">
            <v>0.16427889207258839</v>
          </cell>
          <cell r="BI267">
            <v>0.12915129151291516</v>
          </cell>
          <cell r="BJ267">
            <v>0.15229704216488349</v>
          </cell>
          <cell r="BK267">
            <v>0.11965811965811968</v>
          </cell>
          <cell r="BL267">
            <v>0.14351425942962281</v>
          </cell>
          <cell r="BM267">
            <v>4.0747028862478718E-2</v>
          </cell>
          <cell r="BN267">
            <v>-6.0317460317460325E-2</v>
          </cell>
          <cell r="BO267">
            <v>-1.1484823625922846E-2</v>
          </cell>
          <cell r="BP267">
            <v>-2.777777777777779E-2</v>
          </cell>
          <cell r="BQ267">
            <v>-1.6930638995084624E-2</v>
          </cell>
          <cell r="BR267">
            <v>-1.6793893129770976E-2</v>
          </cell>
          <cell r="BS267">
            <v>-1.6894609814963824E-2</v>
          </cell>
          <cell r="BT267">
            <v>3.7307858607482647E-3</v>
          </cell>
          <cell r="BU267">
            <v>3.2927954264145631E-2</v>
          </cell>
          <cell r="BV267">
            <v>1.8074954902085327E-2</v>
          </cell>
          <cell r="BW267">
            <v>2.4731403696172993E-2</v>
          </cell>
          <cell r="BX267">
            <v>2.0275281031242098E-2</v>
          </cell>
          <cell r="BY267">
            <v>1.0466610102116469E-2</v>
          </cell>
          <cell r="BZ267">
            <v>1.7690672161210674E-2</v>
          </cell>
          <cell r="CA267">
            <v>1.735617790725863E-2</v>
          </cell>
          <cell r="CB267">
            <v>1.8245865163691866E-2</v>
          </cell>
          <cell r="CC267">
            <v>1.875391175975083E-2</v>
          </cell>
          <cell r="CD267">
            <v>-5.0000000000000044E-2</v>
          </cell>
          <cell r="CE267">
            <v>-3.0331997695440149E-2</v>
          </cell>
          <cell r="CF267">
            <v>-3.0325263708731787E-2</v>
          </cell>
          <cell r="CG267">
            <v>-3.0318664096042225E-2</v>
          </cell>
          <cell r="CH267">
            <v>-3.0312196264928315E-2</v>
          </cell>
          <cell r="CI267">
            <v>-3.0305857669385428E-2</v>
          </cell>
          <cell r="CJ267">
            <v>-3.0299645809159892E-2</v>
          </cell>
        </row>
        <row r="268">
          <cell r="A268" t="str">
            <v xml:space="preserve">      CER growth</v>
          </cell>
          <cell r="BF268">
            <v>0.25</v>
          </cell>
          <cell r="BG268">
            <v>0.2</v>
          </cell>
          <cell r="BH268">
            <v>0.22</v>
          </cell>
          <cell r="BI268">
            <v>0.22</v>
          </cell>
          <cell r="BJ268">
            <v>0.22</v>
          </cell>
          <cell r="BK268">
            <v>0.15</v>
          </cell>
          <cell r="BL268">
            <v>-0.17</v>
          </cell>
          <cell r="BM268">
            <v>0.05</v>
          </cell>
          <cell r="BN268">
            <v>-0.05</v>
          </cell>
          <cell r="BO268">
            <v>0</v>
          </cell>
          <cell r="BP268">
            <v>-0.02</v>
          </cell>
          <cell r="BQ268">
            <v>-0.01</v>
          </cell>
          <cell r="BR268">
            <v>0</v>
          </cell>
          <cell r="BS268">
            <v>0</v>
          </cell>
        </row>
        <row r="269">
          <cell r="AC269">
            <v>193</v>
          </cell>
          <cell r="AJ269">
            <v>290</v>
          </cell>
          <cell r="AQ269">
            <v>353</v>
          </cell>
        </row>
        <row r="270">
          <cell r="A270" t="str">
            <v>Specialty - IHC</v>
          </cell>
        </row>
        <row r="272">
          <cell r="A272" t="str">
            <v>Neoral / Sandimmun</v>
          </cell>
          <cell r="B272">
            <v>251</v>
          </cell>
          <cell r="C272">
            <v>251</v>
          </cell>
          <cell r="D272">
            <v>502</v>
          </cell>
          <cell r="E272">
            <v>241</v>
          </cell>
          <cell r="F272">
            <v>743</v>
          </cell>
          <cell r="G272">
            <v>268</v>
          </cell>
          <cell r="H272">
            <v>1011</v>
          </cell>
          <cell r="I272">
            <v>226</v>
          </cell>
          <cell r="J272">
            <v>244</v>
          </cell>
          <cell r="K272">
            <v>470</v>
          </cell>
          <cell r="L272">
            <v>242</v>
          </cell>
          <cell r="M272">
            <v>712</v>
          </cell>
          <cell r="N272">
            <v>241</v>
          </cell>
          <cell r="O272">
            <v>953</v>
          </cell>
          <cell r="P272">
            <v>214</v>
          </cell>
          <cell r="Q272">
            <v>235</v>
          </cell>
          <cell r="R272">
            <v>449</v>
          </cell>
          <cell r="S272">
            <v>229</v>
          </cell>
          <cell r="T272">
            <v>678</v>
          </cell>
          <cell r="U272">
            <v>240</v>
          </cell>
          <cell r="V272">
            <v>918</v>
          </cell>
          <cell r="W272">
            <v>224</v>
          </cell>
          <cell r="X272">
            <v>233</v>
          </cell>
          <cell r="Y272">
            <v>457</v>
          </cell>
          <cell r="Z272">
            <v>243</v>
          </cell>
          <cell r="AA272">
            <v>700</v>
          </cell>
          <cell r="AB272">
            <v>244</v>
          </cell>
          <cell r="AC272">
            <v>944</v>
          </cell>
          <cell r="AD272">
            <v>245</v>
          </cell>
          <cell r="AE272">
            <v>258</v>
          </cell>
          <cell r="AF272">
            <v>503</v>
          </cell>
          <cell r="AG272">
            <v>235</v>
          </cell>
          <cell r="AH272">
            <v>738</v>
          </cell>
          <cell r="AI272">
            <v>218</v>
          </cell>
          <cell r="AJ272">
            <v>956</v>
          </cell>
          <cell r="AK272">
            <v>221</v>
          </cell>
          <cell r="AL272">
            <v>227</v>
          </cell>
          <cell r="AM272">
            <v>448</v>
          </cell>
          <cell r="AN272">
            <v>227</v>
          </cell>
          <cell r="AO272">
            <v>675</v>
          </cell>
          <cell r="AP272">
            <v>244</v>
          </cell>
          <cell r="AQ272">
            <v>919</v>
          </cell>
          <cell r="AR272">
            <v>212</v>
          </cell>
          <cell r="AS272">
            <v>217</v>
          </cell>
          <cell r="AT272">
            <v>429</v>
          </cell>
          <cell r="AU272">
            <v>207</v>
          </cell>
          <cell r="AV272">
            <v>636</v>
          </cell>
          <cell r="AW272">
            <v>235</v>
          </cell>
          <cell r="AX272">
            <v>871</v>
          </cell>
          <cell r="AY272">
            <v>214</v>
          </cell>
          <cell r="AZ272">
            <v>227</v>
          </cell>
          <cell r="BA272">
            <v>441</v>
          </cell>
          <cell r="BB272">
            <v>228</v>
          </cell>
          <cell r="BC272">
            <v>669</v>
          </cell>
          <cell r="BD272">
            <v>234</v>
          </cell>
          <cell r="BE272">
            <v>903</v>
          </cell>
          <cell r="BF272">
            <v>198</v>
          </cell>
          <cell r="BG272">
            <v>209</v>
          </cell>
          <cell r="BH272">
            <v>407</v>
          </cell>
          <cell r="BI272">
            <v>198</v>
          </cell>
          <cell r="BJ272">
            <v>605</v>
          </cell>
          <cell r="BK272">
            <v>216</v>
          </cell>
          <cell r="BL272">
            <v>821</v>
          </cell>
          <cell r="BM272">
            <v>182</v>
          </cell>
          <cell r="BN272">
            <v>194</v>
          </cell>
          <cell r="BO272">
            <v>376</v>
          </cell>
          <cell r="BP272">
            <v>179</v>
          </cell>
          <cell r="BQ272">
            <v>555</v>
          </cell>
          <cell r="BR272">
            <v>195</v>
          </cell>
          <cell r="BS272">
            <v>750</v>
          </cell>
          <cell r="BT272">
            <v>169.46843600739567</v>
          </cell>
          <cell r="BU272">
            <v>180.04918378001389</v>
          </cell>
          <cell r="BV272">
            <v>349.51761978740956</v>
          </cell>
          <cell r="BW272">
            <v>169.81423826043124</v>
          </cell>
          <cell r="BX272">
            <v>519.3318580478408</v>
          </cell>
          <cell r="BY272">
            <v>167.21507515655566</v>
          </cell>
          <cell r="BZ272">
            <v>686.54693320439651</v>
          </cell>
          <cell r="CA272">
            <v>647.45958654417666</v>
          </cell>
          <cell r="CB272">
            <v>590.80761962064253</v>
          </cell>
          <cell r="CC272">
            <v>539.65885005099108</v>
          </cell>
          <cell r="CD272">
            <v>508.79174754844149</v>
          </cell>
          <cell r="CE272">
            <v>480.24483217101943</v>
          </cell>
          <cell r="CF272">
            <v>453.7467281624684</v>
          </cell>
          <cell r="CG272">
            <v>429.07070183434496</v>
          </cell>
          <cell r="CH272">
            <v>406.02621480662771</v>
          </cell>
          <cell r="CI272">
            <v>384.45214251749627</v>
          </cell>
          <cell r="CJ272">
            <v>364.21132615258148</v>
          </cell>
          <cell r="CM272">
            <v>-1.2514428042038759E-2</v>
          </cell>
          <cell r="CP272" t="str">
            <v>Expired</v>
          </cell>
          <cell r="CQ272">
            <v>-9.9601593625498031E-2</v>
          </cell>
          <cell r="CR272">
            <v>-2.7888446215139417E-2</v>
          </cell>
          <cell r="CS272">
            <v>4.1493775933609811E-3</v>
          </cell>
          <cell r="CT272">
            <v>-0.10074626865671643</v>
          </cell>
          <cell r="CU272">
            <v>-5.736894164193862E-2</v>
          </cell>
          <cell r="CV272">
            <v>-5.3097345132743334E-2</v>
          </cell>
          <cell r="CW272">
            <v>-3.688524590163933E-2</v>
          </cell>
          <cell r="CX272">
            <v>-5.3719008264462853E-2</v>
          </cell>
          <cell r="CY272">
            <v>-4.1493775933609811E-3</v>
          </cell>
          <cell r="CZ272">
            <v>-3.6726128016789095E-2</v>
          </cell>
          <cell r="DA272">
            <v>4.6728971962616717E-2</v>
          </cell>
          <cell r="DB272">
            <v>-8.5106382978723527E-3</v>
          </cell>
          <cell r="DC272">
            <v>6.1135371179039222E-2</v>
          </cell>
          <cell r="DD272">
            <v>1.6666666666666607E-2</v>
          </cell>
          <cell r="DE272">
            <v>2.8322440087146017E-2</v>
          </cell>
          <cell r="DF272">
            <v>1.2711864406779627E-2</v>
          </cell>
          <cell r="DG272">
            <v>-3.8702928870292919E-2</v>
          </cell>
          <cell r="DH272">
            <v>-5.2230685527747567E-2</v>
          </cell>
          <cell r="DI272">
            <v>3.6739380022962065E-2</v>
          </cell>
          <cell r="DJ272">
            <v>-9.0808416389811741E-2</v>
          </cell>
          <cell r="DK272">
            <v>-8.6479902557856314E-2</v>
          </cell>
        </row>
        <row r="273">
          <cell r="A273" t="str">
            <v xml:space="preserve">   growth %</v>
          </cell>
          <cell r="O273">
            <v>-5.736894164193862E-2</v>
          </cell>
          <cell r="P273">
            <v>-5.3097345132743334E-2</v>
          </cell>
          <cell r="Q273">
            <v>-3.688524590163933E-2</v>
          </cell>
          <cell r="R273">
            <v>-4.4680851063829796E-2</v>
          </cell>
          <cell r="S273">
            <v>-5.3719008264462853E-2</v>
          </cell>
          <cell r="T273">
            <v>-4.7752808988763995E-2</v>
          </cell>
          <cell r="U273">
            <v>-4.1493775933609811E-3</v>
          </cell>
          <cell r="V273">
            <v>-3.6726128016789095E-2</v>
          </cell>
          <cell r="W273">
            <v>4.6728971962616717E-2</v>
          </cell>
          <cell r="X273">
            <v>-8.5106382978723527E-3</v>
          </cell>
          <cell r="Y273">
            <v>1.7817371937639104E-2</v>
          </cell>
          <cell r="Z273">
            <v>6.1135371179039222E-2</v>
          </cell>
          <cell r="AA273">
            <v>3.2448377581120846E-2</v>
          </cell>
          <cell r="AB273">
            <v>1.6666666666666607E-2</v>
          </cell>
          <cell r="AC273">
            <v>2.8322440087146017E-2</v>
          </cell>
          <cell r="AD273">
            <v>9.375E-2</v>
          </cell>
          <cell r="AE273">
            <v>0.10729613733905574</v>
          </cell>
          <cell r="AF273">
            <v>0.10065645514223198</v>
          </cell>
          <cell r="AG273">
            <v>-3.2921810699588439E-2</v>
          </cell>
          <cell r="AH273">
            <v>5.428571428571427E-2</v>
          </cell>
          <cell r="AI273">
            <v>-0.10655737704918034</v>
          </cell>
          <cell r="AJ273">
            <v>1.2711864406779627E-2</v>
          </cell>
          <cell r="AK273">
            <v>-9.7959183673469341E-2</v>
          </cell>
          <cell r="AL273">
            <v>-0.12015503875968991</v>
          </cell>
          <cell r="AM273">
            <v>-0.10934393638170969</v>
          </cell>
          <cell r="AN273">
            <v>-3.4042553191489411E-2</v>
          </cell>
          <cell r="AO273">
            <v>-8.536585365853655E-2</v>
          </cell>
          <cell r="AP273">
            <v>0.11926605504587151</v>
          </cell>
          <cell r="AQ273">
            <v>-3.8702928870292919E-2</v>
          </cell>
          <cell r="AR273">
            <v>-4.0723981900452455E-2</v>
          </cell>
          <cell r="AS273">
            <v>-4.4052863436123357E-2</v>
          </cell>
          <cell r="AT273">
            <v>-4.2410714285714302E-2</v>
          </cell>
          <cell r="AU273">
            <v>-8.8105726872246715E-2</v>
          </cell>
          <cell r="AV273">
            <v>-5.7777777777777817E-2</v>
          </cell>
          <cell r="AW273">
            <v>-3.688524590163933E-2</v>
          </cell>
          <cell r="AX273">
            <v>-5.2230685527747567E-2</v>
          </cell>
          <cell r="AY273">
            <v>9.4339622641510523E-3</v>
          </cell>
          <cell r="AZ273">
            <v>4.6082949308755783E-2</v>
          </cell>
          <cell r="BA273">
            <v>2.7972027972027913E-2</v>
          </cell>
          <cell r="BB273">
            <v>0.10144927536231885</v>
          </cell>
          <cell r="BC273">
            <v>5.1886792452830122E-2</v>
          </cell>
          <cell r="BD273">
            <v>-4.2553191489361764E-3</v>
          </cell>
          <cell r="BE273">
            <v>3.6739380022962065E-2</v>
          </cell>
          <cell r="BF273">
            <v>-7.4766355140186924E-2</v>
          </cell>
          <cell r="BG273">
            <v>-7.9295154185021977E-2</v>
          </cell>
          <cell r="BH273">
            <v>-7.7097505668934252E-2</v>
          </cell>
          <cell r="BI273">
            <v>-0.13157894736842102</v>
          </cell>
          <cell r="BJ273">
            <v>-9.5665171898355772E-2</v>
          </cell>
          <cell r="BK273">
            <v>-7.6923076923076872E-2</v>
          </cell>
          <cell r="BL273">
            <v>-9.0808416389811741E-2</v>
          </cell>
          <cell r="BM273">
            <v>-8.0808080808080773E-2</v>
          </cell>
          <cell r="BN273">
            <v>-7.1770334928229707E-2</v>
          </cell>
          <cell r="BO273">
            <v>-7.6167076167076186E-2</v>
          </cell>
          <cell r="BP273">
            <v>-9.5959595959595911E-2</v>
          </cell>
          <cell r="BQ273">
            <v>-8.2644628099173501E-2</v>
          </cell>
          <cell r="BR273">
            <v>-9.722222222222221E-2</v>
          </cell>
          <cell r="BS273">
            <v>-8.6479902557856314E-2</v>
          </cell>
          <cell r="BT273">
            <v>-6.8854747212111711E-2</v>
          </cell>
          <cell r="BU273">
            <v>-7.1911423814361441E-2</v>
          </cell>
          <cell r="BV273">
            <v>-7.0431862267527734E-2</v>
          </cell>
          <cell r="BW273">
            <v>-5.1317104690328241E-2</v>
          </cell>
          <cell r="BX273">
            <v>-6.4266922436322926E-2</v>
          </cell>
          <cell r="BY273">
            <v>-0.14248679406894538</v>
          </cell>
          <cell r="BZ273">
            <v>-0.27272570635127491</v>
          </cell>
          <cell r="CA273">
            <v>-0.32274101825922941</v>
          </cell>
          <cell r="CB273">
            <v>-0.35711902108744009</v>
          </cell>
          <cell r="CC273">
            <v>-0.38041463828818478</v>
          </cell>
          <cell r="CD273">
            <v>-0.43655398942586765</v>
          </cell>
          <cell r="CE273">
            <v>-0.41504892549205918</v>
          </cell>
          <cell r="CF273">
            <v>-0.39500436245004211</v>
          </cell>
          <cell r="CG273">
            <v>-0.37503077927725093</v>
          </cell>
          <cell r="CH273">
            <v>-0.37289334617192482</v>
          </cell>
          <cell r="CI273">
            <v>-0.3492769393117291</v>
          </cell>
          <cell r="CJ273">
            <v>-0.32510821212666485</v>
          </cell>
        </row>
        <row r="274">
          <cell r="A274" t="str">
            <v xml:space="preserve">      CER growth</v>
          </cell>
          <cell r="BB274">
            <v>0.01</v>
          </cell>
          <cell r="BC274">
            <v>-0.02</v>
          </cell>
          <cell r="BD274">
            <v>-0.02</v>
          </cell>
          <cell r="BE274">
            <v>-0.02</v>
          </cell>
          <cell r="BF274">
            <v>-7.0000000000000007E-2</v>
          </cell>
          <cell r="BG274">
            <v>-0.04</v>
          </cell>
          <cell r="BH274">
            <v>-0.05</v>
          </cell>
          <cell r="BI274">
            <v>-0.08</v>
          </cell>
          <cell r="BJ274">
            <v>-0.06</v>
          </cell>
          <cell r="BK274">
            <v>-0.05</v>
          </cell>
          <cell r="BL274">
            <v>-0.06</v>
          </cell>
          <cell r="BM274">
            <v>-0.04</v>
          </cell>
          <cell r="BN274">
            <v>-0.02</v>
          </cell>
          <cell r="BO274">
            <v>-0.03</v>
          </cell>
          <cell r="BP274">
            <v>-0.04</v>
          </cell>
          <cell r="BQ274">
            <v>-0.04</v>
          </cell>
          <cell r="BR274">
            <v>-0.05</v>
          </cell>
          <cell r="BS274">
            <v>-0.04</v>
          </cell>
        </row>
        <row r="275">
          <cell r="A275" t="str">
            <v xml:space="preserve">       Neoral US</v>
          </cell>
          <cell r="B275">
            <v>46</v>
          </cell>
          <cell r="C275">
            <v>48</v>
          </cell>
          <cell r="D275">
            <v>94</v>
          </cell>
          <cell r="E275">
            <v>42</v>
          </cell>
          <cell r="F275">
            <v>136</v>
          </cell>
          <cell r="G275">
            <v>44</v>
          </cell>
          <cell r="H275">
            <v>180</v>
          </cell>
          <cell r="I275">
            <v>38</v>
          </cell>
          <cell r="J275">
            <v>37</v>
          </cell>
          <cell r="K275">
            <v>75</v>
          </cell>
          <cell r="L275">
            <v>36</v>
          </cell>
          <cell r="M275">
            <v>111</v>
          </cell>
          <cell r="N275">
            <v>39</v>
          </cell>
          <cell r="O275">
            <v>150</v>
          </cell>
          <cell r="P275">
            <v>33</v>
          </cell>
          <cell r="Q275">
            <v>30</v>
          </cell>
          <cell r="R275">
            <v>63</v>
          </cell>
          <cell r="S275">
            <v>31</v>
          </cell>
          <cell r="T275">
            <v>94</v>
          </cell>
          <cell r="U275">
            <v>31</v>
          </cell>
          <cell r="V275">
            <v>125</v>
          </cell>
          <cell r="W275">
            <v>30</v>
          </cell>
          <cell r="X275">
            <v>26</v>
          </cell>
          <cell r="Y275">
            <v>56</v>
          </cell>
          <cell r="Z275">
            <v>26</v>
          </cell>
          <cell r="AA275">
            <v>82</v>
          </cell>
          <cell r="AB275">
            <v>26</v>
          </cell>
          <cell r="AC275">
            <v>108</v>
          </cell>
          <cell r="AD275">
            <v>27</v>
          </cell>
          <cell r="AE275">
            <v>28</v>
          </cell>
          <cell r="AF275">
            <v>55</v>
          </cell>
          <cell r="AG275">
            <v>23</v>
          </cell>
          <cell r="AH275">
            <v>78</v>
          </cell>
          <cell r="AI275">
            <v>20</v>
          </cell>
          <cell r="AJ275">
            <v>98</v>
          </cell>
          <cell r="AK275">
            <v>26</v>
          </cell>
          <cell r="AL275">
            <v>20</v>
          </cell>
          <cell r="AM275">
            <v>46</v>
          </cell>
          <cell r="AN275">
            <v>20</v>
          </cell>
          <cell r="AO275">
            <v>66</v>
          </cell>
          <cell r="AP275">
            <v>24</v>
          </cell>
          <cell r="AQ275">
            <v>90</v>
          </cell>
          <cell r="AR275">
            <v>22</v>
          </cell>
          <cell r="AS275">
            <v>20</v>
          </cell>
          <cell r="AT275">
            <v>42</v>
          </cell>
          <cell r="AU275">
            <v>20</v>
          </cell>
          <cell r="AV275">
            <v>62</v>
          </cell>
          <cell r="AW275">
            <v>20</v>
          </cell>
          <cell r="AX275">
            <v>82</v>
          </cell>
          <cell r="AY275">
            <v>17</v>
          </cell>
          <cell r="AZ275">
            <v>18</v>
          </cell>
          <cell r="BA275">
            <v>35</v>
          </cell>
          <cell r="BB275">
            <v>17</v>
          </cell>
          <cell r="BC275">
            <v>52</v>
          </cell>
          <cell r="BD275">
            <v>19</v>
          </cell>
          <cell r="BE275">
            <v>71</v>
          </cell>
          <cell r="BF275">
            <v>18</v>
          </cell>
          <cell r="BG275">
            <v>16</v>
          </cell>
          <cell r="BH275">
            <v>34</v>
          </cell>
          <cell r="BI275">
            <v>14</v>
          </cell>
          <cell r="BJ275">
            <v>48</v>
          </cell>
          <cell r="BK275">
            <v>16</v>
          </cell>
          <cell r="BL275">
            <v>64</v>
          </cell>
          <cell r="BM275">
            <v>14</v>
          </cell>
          <cell r="BN275">
            <v>15</v>
          </cell>
          <cell r="BO275">
            <v>29</v>
          </cell>
          <cell r="BP275">
            <v>14</v>
          </cell>
          <cell r="BQ275">
            <v>43</v>
          </cell>
          <cell r="BR275">
            <v>13</v>
          </cell>
          <cell r="BS275">
            <v>56</v>
          </cell>
          <cell r="BT275">
            <v>11.9</v>
          </cell>
          <cell r="BU275">
            <v>12.75</v>
          </cell>
          <cell r="BV275">
            <v>24.65</v>
          </cell>
          <cell r="BW275">
            <v>11.9</v>
          </cell>
          <cell r="BX275">
            <v>36.549999999999997</v>
          </cell>
          <cell r="BY275">
            <v>11.050000000000004</v>
          </cell>
          <cell r="BZ275">
            <v>47.6</v>
          </cell>
          <cell r="CA275">
            <v>40.46</v>
          </cell>
          <cell r="CB275">
            <v>32.368000000000002</v>
          </cell>
          <cell r="CC275">
            <v>25.894400000000005</v>
          </cell>
          <cell r="CD275">
            <v>20.715520000000005</v>
          </cell>
          <cell r="CE275">
            <v>16.572416000000004</v>
          </cell>
          <cell r="CF275">
            <v>13.257932800000004</v>
          </cell>
          <cell r="CG275">
            <v>10.606346240000004</v>
          </cell>
          <cell r="CH275">
            <v>8.4850769920000033</v>
          </cell>
          <cell r="CI275">
            <v>6.7880615936000028</v>
          </cell>
          <cell r="CJ275">
            <v>5.4304492748800026</v>
          </cell>
          <cell r="CO275">
            <v>0.2</v>
          </cell>
          <cell r="CQ275">
            <v>-0.17391304347826086</v>
          </cell>
          <cell r="CR275">
            <v>-0.22916666666666663</v>
          </cell>
          <cell r="CS275">
            <v>-0.1428571428571429</v>
          </cell>
          <cell r="CT275">
            <v>-0.11363636363636365</v>
          </cell>
          <cell r="CU275">
            <v>-0.16666666666666663</v>
          </cell>
          <cell r="CV275">
            <v>-0.13157894736842102</v>
          </cell>
          <cell r="CW275">
            <v>-0.18918918918918914</v>
          </cell>
          <cell r="CX275">
            <v>-0.13888888888888884</v>
          </cell>
          <cell r="CY275">
            <v>-0.20512820512820518</v>
          </cell>
          <cell r="CZ275">
            <v>-0.16666666666666663</v>
          </cell>
          <cell r="DA275">
            <v>-9.0909090909090939E-2</v>
          </cell>
          <cell r="DB275">
            <v>-0.1333333333333333</v>
          </cell>
          <cell r="DC275">
            <v>-0.16129032258064513</v>
          </cell>
          <cell r="DD275">
            <v>-0.08</v>
          </cell>
          <cell r="DE275">
            <v>-0.13600000000000001</v>
          </cell>
          <cell r="DF275">
            <v>-0.08</v>
          </cell>
          <cell r="DG275">
            <v>-0.05</v>
          </cell>
          <cell r="DH275">
            <v>-0.05</v>
          </cell>
          <cell r="DI275">
            <v>-0.05</v>
          </cell>
          <cell r="DJ275">
            <v>-0.05</v>
          </cell>
          <cell r="DK275">
            <v>-0.05</v>
          </cell>
        </row>
        <row r="276">
          <cell r="A276" t="str">
            <v xml:space="preserve">           growth </v>
          </cell>
          <cell r="O276">
            <v>-0.16666666666666663</v>
          </cell>
          <cell r="P276">
            <v>-0.13157894736842102</v>
          </cell>
          <cell r="Q276">
            <v>-0.18918918918918914</v>
          </cell>
          <cell r="R276">
            <v>-0.16000000000000003</v>
          </cell>
          <cell r="S276">
            <v>-0.13888888888888884</v>
          </cell>
          <cell r="T276">
            <v>-0.15315315315315314</v>
          </cell>
          <cell r="U276">
            <v>-0.20512820512820518</v>
          </cell>
          <cell r="V276">
            <v>-0.16666666666666663</v>
          </cell>
          <cell r="W276">
            <v>-9.0909090909090939E-2</v>
          </cell>
          <cell r="X276">
            <v>-0.1333333333333333</v>
          </cell>
          <cell r="Y276">
            <v>-0.11111111111111116</v>
          </cell>
          <cell r="Z276">
            <v>-0.16129032258064513</v>
          </cell>
          <cell r="AA276">
            <v>-0.12765957446808507</v>
          </cell>
          <cell r="AB276">
            <v>-0.16129032258064513</v>
          </cell>
          <cell r="AC276">
            <v>-0.13600000000000001</v>
          </cell>
          <cell r="AD276">
            <v>-9.9999999999999978E-2</v>
          </cell>
          <cell r="AE276">
            <v>7.6923076923076872E-2</v>
          </cell>
          <cell r="AF276">
            <v>-1.7857142857142905E-2</v>
          </cell>
          <cell r="AG276">
            <v>-0.11538461538461542</v>
          </cell>
          <cell r="AH276">
            <v>-4.8780487804878092E-2</v>
          </cell>
          <cell r="AI276">
            <v>-0.23076923076923073</v>
          </cell>
          <cell r="AJ276">
            <v>-9.259259259259256E-2</v>
          </cell>
          <cell r="AK276">
            <v>-3.703703703703709E-2</v>
          </cell>
          <cell r="AL276">
            <v>-0.2857142857142857</v>
          </cell>
          <cell r="AN276">
            <v>-0.13043478260869568</v>
          </cell>
          <cell r="AP276">
            <v>0.19999999999999996</v>
          </cell>
          <cell r="AQ276">
            <v>-8.1632653061224469E-2</v>
          </cell>
          <cell r="AR276">
            <v>-0.15384615384615385</v>
          </cell>
          <cell r="AS276">
            <v>0</v>
          </cell>
          <cell r="AU276">
            <v>0</v>
          </cell>
          <cell r="AW276">
            <v>-0.16666666666666663</v>
          </cell>
          <cell r="AX276">
            <v>-8.8888888888888906E-2</v>
          </cell>
          <cell r="AY276">
            <v>-0.22727272727272729</v>
          </cell>
          <cell r="AZ276">
            <v>-9.9999999999999978E-2</v>
          </cell>
          <cell r="BB276">
            <v>-0.15000000000000002</v>
          </cell>
          <cell r="BD276">
            <v>-5.0000000000000044E-2</v>
          </cell>
          <cell r="BE276">
            <v>-0.13414634146341464</v>
          </cell>
          <cell r="BF276">
            <v>5.8823529411764719E-2</v>
          </cell>
          <cell r="BG276">
            <v>-0.11111111111111116</v>
          </cell>
          <cell r="BH276">
            <v>-2.8571428571428581E-2</v>
          </cell>
          <cell r="BI276">
            <v>-0.17647058823529416</v>
          </cell>
          <cell r="BJ276">
            <v>-7.6923076923076872E-2</v>
          </cell>
          <cell r="BK276">
            <v>-0.15789473684210531</v>
          </cell>
          <cell r="BL276">
            <v>-9.8591549295774628E-2</v>
          </cell>
          <cell r="BM276">
            <v>-0.22222222222222221</v>
          </cell>
          <cell r="BN276">
            <v>-6.25E-2</v>
          </cell>
          <cell r="BO276">
            <v>-0.1470588235294118</v>
          </cell>
          <cell r="BP276">
            <v>0</v>
          </cell>
          <cell r="BQ276">
            <v>-0.10416666666666663</v>
          </cell>
          <cell r="BR276">
            <v>-0.1875</v>
          </cell>
          <cell r="BS276">
            <v>-0.125</v>
          </cell>
          <cell r="BT276">
            <v>-0.15</v>
          </cell>
          <cell r="BU276">
            <v>-0.15</v>
          </cell>
          <cell r="BV276">
            <v>-0.15000000000000002</v>
          </cell>
          <cell r="BW276">
            <v>-0.15</v>
          </cell>
          <cell r="BX276">
            <v>-0.15000000000000002</v>
          </cell>
          <cell r="BY276">
            <v>-0.14999999999999969</v>
          </cell>
          <cell r="BZ276">
            <v>-0.15</v>
          </cell>
          <cell r="CA276">
            <v>-0.15</v>
          </cell>
          <cell r="CB276">
            <v>-0.2</v>
          </cell>
          <cell r="CC276">
            <v>-0.2</v>
          </cell>
          <cell r="CD276">
            <v>-0.2</v>
          </cell>
          <cell r="CE276">
            <v>-0.2</v>
          </cell>
          <cell r="CF276">
            <v>-0.2</v>
          </cell>
          <cell r="CG276">
            <v>-0.2</v>
          </cell>
          <cell r="CH276">
            <v>-0.2</v>
          </cell>
          <cell r="CI276">
            <v>-0.2</v>
          </cell>
          <cell r="CJ276">
            <v>-0.2</v>
          </cell>
        </row>
        <row r="277">
          <cell r="A277" t="str">
            <v xml:space="preserve">       Neoral ROW</v>
          </cell>
          <cell r="B277">
            <v>205</v>
          </cell>
          <cell r="C277">
            <v>203</v>
          </cell>
          <cell r="D277">
            <v>408</v>
          </cell>
          <cell r="E277">
            <v>199</v>
          </cell>
          <cell r="F277">
            <v>607</v>
          </cell>
          <cell r="G277">
            <v>224</v>
          </cell>
          <cell r="H277">
            <v>831</v>
          </cell>
          <cell r="I277">
            <v>188</v>
          </cell>
          <cell r="J277">
            <v>207</v>
          </cell>
          <cell r="K277">
            <v>395</v>
          </cell>
          <cell r="L277">
            <v>206</v>
          </cell>
          <cell r="M277">
            <v>601</v>
          </cell>
          <cell r="N277">
            <v>202</v>
          </cell>
          <cell r="O277">
            <v>803</v>
          </cell>
          <cell r="P277">
            <v>181</v>
          </cell>
          <cell r="Q277">
            <v>205</v>
          </cell>
          <cell r="R277">
            <v>386</v>
          </cell>
          <cell r="S277">
            <v>198</v>
          </cell>
          <cell r="T277">
            <v>584</v>
          </cell>
          <cell r="U277">
            <v>209</v>
          </cell>
          <cell r="V277">
            <v>793</v>
          </cell>
          <cell r="W277">
            <v>194</v>
          </cell>
          <cell r="X277">
            <v>207</v>
          </cell>
          <cell r="Y277">
            <v>401</v>
          </cell>
          <cell r="Z277">
            <v>217</v>
          </cell>
          <cell r="AA277">
            <v>618</v>
          </cell>
          <cell r="AB277">
            <v>218</v>
          </cell>
          <cell r="AC277">
            <v>836</v>
          </cell>
          <cell r="AD277">
            <v>218</v>
          </cell>
          <cell r="AE277">
            <v>230</v>
          </cell>
          <cell r="AF277">
            <v>448</v>
          </cell>
          <cell r="AG277">
            <v>212</v>
          </cell>
          <cell r="AH277">
            <v>660</v>
          </cell>
          <cell r="AI277">
            <v>198</v>
          </cell>
          <cell r="AJ277">
            <v>858</v>
          </cell>
          <cell r="AK277">
            <v>195</v>
          </cell>
          <cell r="AL277">
            <v>207</v>
          </cell>
          <cell r="AM277">
            <v>402</v>
          </cell>
          <cell r="AN277">
            <v>207</v>
          </cell>
          <cell r="AO277">
            <v>609</v>
          </cell>
          <cell r="AP277">
            <v>220</v>
          </cell>
          <cell r="AQ277">
            <v>829</v>
          </cell>
          <cell r="AR277">
            <v>190</v>
          </cell>
          <cell r="AS277">
            <v>197</v>
          </cell>
          <cell r="AT277">
            <v>387</v>
          </cell>
          <cell r="AU277">
            <v>187</v>
          </cell>
          <cell r="AV277">
            <v>574</v>
          </cell>
          <cell r="AW277">
            <v>215</v>
          </cell>
          <cell r="AX277">
            <v>789</v>
          </cell>
          <cell r="AY277">
            <v>197</v>
          </cell>
          <cell r="AZ277">
            <v>209</v>
          </cell>
          <cell r="BA277">
            <v>406</v>
          </cell>
          <cell r="BB277">
            <v>211</v>
          </cell>
          <cell r="BC277">
            <v>617</v>
          </cell>
          <cell r="BD277">
            <v>215</v>
          </cell>
          <cell r="BE277">
            <v>832</v>
          </cell>
          <cell r="BF277">
            <v>180</v>
          </cell>
          <cell r="BG277">
            <v>193</v>
          </cell>
          <cell r="BH277">
            <v>373</v>
          </cell>
          <cell r="BI277">
            <v>184</v>
          </cell>
          <cell r="BJ277">
            <v>557</v>
          </cell>
          <cell r="BK277">
            <v>200</v>
          </cell>
          <cell r="BL277">
            <v>757</v>
          </cell>
          <cell r="BM277">
            <v>168</v>
          </cell>
          <cell r="BN277">
            <v>179</v>
          </cell>
          <cell r="BO277">
            <v>347</v>
          </cell>
          <cell r="BP277">
            <v>165</v>
          </cell>
          <cell r="BQ277">
            <v>512</v>
          </cell>
          <cell r="BR277">
            <v>182</v>
          </cell>
          <cell r="BS277">
            <v>694</v>
          </cell>
          <cell r="BT277">
            <v>157.56843600739566</v>
          </cell>
          <cell r="BU277">
            <v>167.29918378001389</v>
          </cell>
          <cell r="BV277">
            <v>324.86761978740958</v>
          </cell>
          <cell r="BW277">
            <v>157.91423826043123</v>
          </cell>
          <cell r="BX277">
            <v>482.78185804784084</v>
          </cell>
          <cell r="BY277">
            <v>156.16507515655564</v>
          </cell>
          <cell r="BZ277">
            <v>638.94693320439649</v>
          </cell>
          <cell r="CA277">
            <v>606.99958654417662</v>
          </cell>
          <cell r="CB277">
            <v>558.43961962064247</v>
          </cell>
          <cell r="CC277">
            <v>513.76445005099106</v>
          </cell>
          <cell r="CD277">
            <v>488.07622754844147</v>
          </cell>
          <cell r="CE277">
            <v>463.67241617101939</v>
          </cell>
          <cell r="CF277">
            <v>440.48879536246841</v>
          </cell>
          <cell r="CG277">
            <v>418.46435559434497</v>
          </cell>
          <cell r="CH277">
            <v>397.54113781462769</v>
          </cell>
          <cell r="CI277">
            <v>377.66408092389628</v>
          </cell>
          <cell r="CJ277">
            <v>358.78087687770147</v>
          </cell>
          <cell r="CQ277">
            <v>-8.2926829268292646E-2</v>
          </cell>
          <cell r="CR277">
            <v>1.9704433497536922E-2</v>
          </cell>
          <cell r="CS277">
            <v>3.5175879396984966E-2</v>
          </cell>
          <cell r="CT277">
            <v>-9.8214285714285698E-2</v>
          </cell>
          <cell r="CU277">
            <v>-3.3694344163658241E-2</v>
          </cell>
          <cell r="CV277">
            <v>-3.7234042553191515E-2</v>
          </cell>
          <cell r="CW277">
            <v>-9.6618357487923134E-3</v>
          </cell>
          <cell r="CX277">
            <v>-3.8834951456310662E-2</v>
          </cell>
          <cell r="CY277">
            <v>3.4653465346534684E-2</v>
          </cell>
          <cell r="CZ277">
            <v>-1.2453300124533051E-2</v>
          </cell>
          <cell r="DA277">
            <v>7.182320441988943E-2</v>
          </cell>
          <cell r="DB277">
            <v>9.7560975609756184E-3</v>
          </cell>
          <cell r="DC277">
            <v>9.5959595959596022E-2</v>
          </cell>
          <cell r="DD277">
            <v>-0.1</v>
          </cell>
          <cell r="DE277">
            <v>5.4224464060529609E-2</v>
          </cell>
          <cell r="DF277">
            <v>-0.08</v>
          </cell>
          <cell r="DG277">
            <v>-0.05</v>
          </cell>
          <cell r="DH277">
            <v>-0.05</v>
          </cell>
          <cell r="DI277">
            <v>-0.05</v>
          </cell>
          <cell r="DJ277">
            <v>-0.05</v>
          </cell>
          <cell r="DK277">
            <v>-0.05</v>
          </cell>
        </row>
        <row r="278">
          <cell r="A278" t="str">
            <v xml:space="preserve">           growth </v>
          </cell>
          <cell r="AX278">
            <v>-4.8250904704463249E-2</v>
          </cell>
          <cell r="AY278">
            <v>3.6842105263157787E-2</v>
          </cell>
          <cell r="AZ278">
            <v>6.0913705583756306E-2</v>
          </cell>
          <cell r="BA278">
            <v>4.9095607235142058E-2</v>
          </cell>
          <cell r="BB278">
            <v>0.12834224598930488</v>
          </cell>
          <cell r="BC278">
            <v>7.4912891986062657E-2</v>
          </cell>
          <cell r="BD278">
            <v>0</v>
          </cell>
          <cell r="BE278">
            <v>5.4499366286438589E-2</v>
          </cell>
          <cell r="BF278">
            <v>-8.6294416243654859E-2</v>
          </cell>
          <cell r="BG278">
            <v>-7.6555023923444931E-2</v>
          </cell>
          <cell r="BH278">
            <v>-8.1280788177339858E-2</v>
          </cell>
          <cell r="BI278">
            <v>-0.12796208530805686</v>
          </cell>
          <cell r="BJ278">
            <v>-9.7244732576985404E-2</v>
          </cell>
          <cell r="BK278">
            <v>-6.9767441860465129E-2</v>
          </cell>
          <cell r="BL278">
            <v>-9.0144230769230727E-2</v>
          </cell>
          <cell r="BM278">
            <v>-6.6666666666666652E-2</v>
          </cell>
          <cell r="BN278">
            <v>-7.2538860103626979E-2</v>
          </cell>
          <cell r="BO278">
            <v>-6.9705093833780207E-2</v>
          </cell>
          <cell r="BP278">
            <v>-0.10326086956521741</v>
          </cell>
          <cell r="BQ278">
            <v>-8.0789946140035873E-2</v>
          </cell>
          <cell r="BR278">
            <v>-8.9999999999999969E-2</v>
          </cell>
          <cell r="BS278">
            <v>-8.3223249669749033E-2</v>
          </cell>
          <cell r="BT278">
            <v>-6.2092642813121102E-2</v>
          </cell>
          <cell r="BU278">
            <v>-6.5367688379810662E-2</v>
          </cell>
          <cell r="BV278">
            <v>-6.3782075540606442E-2</v>
          </cell>
          <cell r="BW278">
            <v>-4.2944010542841027E-2</v>
          </cell>
          <cell r="BX278">
            <v>-5.7066683500310855E-2</v>
          </cell>
          <cell r="BY278">
            <v>-0.14195013650244148</v>
          </cell>
          <cell r="BZ278">
            <v>-7.9327185584443072E-2</v>
          </cell>
          <cell r="CA278">
            <v>-5.0000000000000044E-2</v>
          </cell>
          <cell r="CB278">
            <v>-8.0000000000000071E-2</v>
          </cell>
          <cell r="CC278">
            <v>-8.0000000000000071E-2</v>
          </cell>
          <cell r="CD278">
            <v>-5.0000000000000044E-2</v>
          </cell>
          <cell r="CE278">
            <v>-5.0000000000000044E-2</v>
          </cell>
          <cell r="CF278">
            <v>-5.0000000000000044E-2</v>
          </cell>
          <cell r="CG278">
            <v>-5.0000000000000044E-2</v>
          </cell>
          <cell r="CH278">
            <v>-5.0000000000000044E-2</v>
          </cell>
          <cell r="CI278">
            <v>-5.0000000000000044E-2</v>
          </cell>
          <cell r="CJ278">
            <v>-4.9999999999999933E-2</v>
          </cell>
        </row>
        <row r="279">
          <cell r="A279" t="str">
            <v xml:space="preserve">   CER growth </v>
          </cell>
          <cell r="P279">
            <v>4.7714031366525855E-2</v>
          </cell>
          <cell r="Q279">
            <v>-3.0930364284238454E-3</v>
          </cell>
          <cell r="R279">
            <v>2.2973626493460686E-2</v>
          </cell>
          <cell r="S279">
            <v>-7.6093174022103804E-2</v>
          </cell>
          <cell r="T279">
            <v>-1.0199972792429235E-2</v>
          </cell>
          <cell r="U279">
            <v>-3.943474468610586E-2</v>
          </cell>
          <cell r="V279">
            <v>-1.7410689964119985E-2</v>
          </cell>
          <cell r="W279">
            <v>-4.7660160105809091E-3</v>
          </cell>
          <cell r="X279">
            <v>-4.5477717418515029E-2</v>
          </cell>
          <cell r="Y279">
            <v>-2.7051414078037572E-2</v>
          </cell>
          <cell r="Z279">
            <v>3.1389305102381693E-2</v>
          </cell>
          <cell r="AA279">
            <v>-7.2452640068667584E-3</v>
          </cell>
          <cell r="AB279">
            <v>-6.6632367082623878E-2</v>
          </cell>
          <cell r="AC279">
            <v>-2.2297509516154612E-2</v>
          </cell>
          <cell r="AD279">
            <v>-2.069628224264175E-2</v>
          </cell>
          <cell r="AE279">
            <v>-5.3620483757791826E-2</v>
          </cell>
          <cell r="AF279">
            <v>-3.7362626115224229E-2</v>
          </cell>
          <cell r="AG279">
            <v>-0.1204567851159164</v>
          </cell>
          <cell r="AH279">
            <v>-5.8031294511658116E-2</v>
          </cell>
          <cell r="AI279">
            <v>-3.2056669043712405E-2</v>
          </cell>
          <cell r="AJ279">
            <v>-5.8526671284171217E-2</v>
          </cell>
          <cell r="AK279">
            <v>-7.6150718940071194E-4</v>
          </cell>
          <cell r="AL279">
            <v>8.2612835530350148E-3</v>
          </cell>
          <cell r="AN279">
            <v>2.4448298330116414E-3</v>
          </cell>
          <cell r="AP279">
            <v>-8.5755996934679946E-3</v>
          </cell>
          <cell r="AQ279">
            <v>1.2448511254700145E-3</v>
          </cell>
          <cell r="AR279">
            <v>-2.5641025641025661E-2</v>
          </cell>
          <cell r="AS279">
            <v>-4.8309178743961345E-2</v>
          </cell>
          <cell r="AU279">
            <v>-9.661835748792269E-2</v>
          </cell>
          <cell r="AW279">
            <v>-2.2727272727272707E-2</v>
          </cell>
          <cell r="AX279">
            <v>-2.4159925947298211E-2</v>
          </cell>
          <cell r="AY279">
            <v>3.6842105263157787E-2</v>
          </cell>
          <cell r="AZ279">
            <v>6.0913705583756306E-2</v>
          </cell>
          <cell r="BB279">
            <v>0.03</v>
          </cell>
          <cell r="BD279">
            <v>-0.01</v>
          </cell>
          <cell r="BE279">
            <v>-0.01</v>
          </cell>
          <cell r="BF279">
            <v>-0.08</v>
          </cell>
          <cell r="BG279">
            <v>-0.04</v>
          </cell>
          <cell r="BH279">
            <v>-0.06</v>
          </cell>
          <cell r="BI279">
            <v>-0.08</v>
          </cell>
          <cell r="BK279">
            <v>-0.04</v>
          </cell>
          <cell r="BL279">
            <v>-0.06</v>
          </cell>
          <cell r="BM279">
            <v>-0.02</v>
          </cell>
          <cell r="BN279">
            <v>-0.02</v>
          </cell>
          <cell r="BO279">
            <v>-0.02</v>
          </cell>
          <cell r="BP279">
            <v>-0.05</v>
          </cell>
          <cell r="BQ279">
            <v>-0.03</v>
          </cell>
          <cell r="BR279">
            <v>-0.04</v>
          </cell>
          <cell r="BS279">
            <v>-0.03</v>
          </cell>
          <cell r="BT279">
            <v>-0.05</v>
          </cell>
          <cell r="BU279">
            <v>-0.08</v>
          </cell>
          <cell r="BW279">
            <v>-0.05</v>
          </cell>
          <cell r="BY279">
            <v>-0.14875840345862812</v>
          </cell>
          <cell r="BZ279">
            <v>-0.08</v>
          </cell>
          <cell r="CA279">
            <v>-0.05</v>
          </cell>
          <cell r="CB279">
            <v>-0.08</v>
          </cell>
          <cell r="CC279">
            <v>-0.08</v>
          </cell>
          <cell r="CD279">
            <v>-0.05</v>
          </cell>
          <cell r="CE279">
            <v>-0.05</v>
          </cell>
          <cell r="CF279">
            <v>-0.05</v>
          </cell>
          <cell r="CG279">
            <v>-0.05</v>
          </cell>
          <cell r="CH279">
            <v>-0.05</v>
          </cell>
          <cell r="CI279">
            <v>-0.05</v>
          </cell>
          <cell r="CJ279">
            <v>-0.05</v>
          </cell>
        </row>
        <row r="281">
          <cell r="A281" t="str">
            <v>Myfortic</v>
          </cell>
          <cell r="W281">
            <v>38</v>
          </cell>
          <cell r="X281">
            <v>42</v>
          </cell>
          <cell r="Y281">
            <v>80</v>
          </cell>
          <cell r="Z281">
            <v>57</v>
          </cell>
          <cell r="AA281">
            <v>137</v>
          </cell>
          <cell r="AB281">
            <v>56</v>
          </cell>
          <cell r="AC281">
            <v>193</v>
          </cell>
          <cell r="AD281">
            <v>64</v>
          </cell>
          <cell r="AE281">
            <v>80</v>
          </cell>
          <cell r="AF281">
            <v>144</v>
          </cell>
          <cell r="AG281">
            <v>75</v>
          </cell>
          <cell r="AH281">
            <v>219</v>
          </cell>
          <cell r="AI281">
            <v>71</v>
          </cell>
          <cell r="AJ281">
            <v>290</v>
          </cell>
          <cell r="AK281">
            <v>73</v>
          </cell>
          <cell r="AL281">
            <v>90</v>
          </cell>
          <cell r="AM281">
            <v>163</v>
          </cell>
          <cell r="AN281">
            <v>93</v>
          </cell>
          <cell r="AO281">
            <v>256</v>
          </cell>
          <cell r="AP281">
            <v>97</v>
          </cell>
          <cell r="AQ281">
            <v>353</v>
          </cell>
          <cell r="AR281">
            <v>100</v>
          </cell>
          <cell r="AS281">
            <v>108</v>
          </cell>
          <cell r="AT281">
            <v>208</v>
          </cell>
          <cell r="AU281">
            <v>122</v>
          </cell>
          <cell r="AV281">
            <v>330</v>
          </cell>
          <cell r="AW281">
            <v>114</v>
          </cell>
          <cell r="AX281">
            <v>444</v>
          </cell>
          <cell r="AY281">
            <v>120</v>
          </cell>
          <cell r="AZ281">
            <v>135</v>
          </cell>
          <cell r="BA281">
            <v>255</v>
          </cell>
          <cell r="BB281">
            <v>117</v>
          </cell>
          <cell r="BC281">
            <v>372</v>
          </cell>
          <cell r="BD281">
            <v>146</v>
          </cell>
          <cell r="BE281">
            <v>518</v>
          </cell>
          <cell r="BF281">
            <v>133</v>
          </cell>
          <cell r="BG281">
            <v>134</v>
          </cell>
          <cell r="BH281">
            <v>267</v>
          </cell>
          <cell r="BI281">
            <v>148</v>
          </cell>
          <cell r="BJ281">
            <v>415</v>
          </cell>
          <cell r="BK281">
            <v>164</v>
          </cell>
          <cell r="BL281">
            <v>579</v>
          </cell>
          <cell r="BM281">
            <v>149</v>
          </cell>
          <cell r="BN281">
            <v>170</v>
          </cell>
          <cell r="BO281">
            <v>319</v>
          </cell>
          <cell r="BP281">
            <v>159</v>
          </cell>
          <cell r="BQ281">
            <v>478</v>
          </cell>
          <cell r="BR281">
            <v>159</v>
          </cell>
          <cell r="BS281">
            <v>637</v>
          </cell>
          <cell r="BT281">
            <v>159.58182535029931</v>
          </cell>
          <cell r="BU281">
            <v>185.7219816061916</v>
          </cell>
          <cell r="BV281">
            <v>345.30380695649092</v>
          </cell>
          <cell r="BW281">
            <v>168.62713828195353</v>
          </cell>
          <cell r="BX281">
            <v>513.93094523844445</v>
          </cell>
          <cell r="BY281">
            <v>165.46428865238198</v>
          </cell>
          <cell r="BZ281">
            <v>679.39523389082638</v>
          </cell>
          <cell r="CA281">
            <v>725.48485260209259</v>
          </cell>
          <cell r="CB281">
            <v>744.35769818015547</v>
          </cell>
          <cell r="CC281">
            <v>551.94056836213986</v>
          </cell>
          <cell r="CD281">
            <v>457.97902494403286</v>
          </cell>
          <cell r="CE281">
            <v>399.29932344291348</v>
          </cell>
          <cell r="CF281">
            <v>399.76399821177176</v>
          </cell>
          <cell r="CG281">
            <v>407.75927817600723</v>
          </cell>
          <cell r="CH281">
            <v>415.91446373952738</v>
          </cell>
          <cell r="CI281">
            <v>424.23275301431795</v>
          </cell>
          <cell r="CJ281">
            <v>432.71740807460429</v>
          </cell>
          <cell r="CP281" t="str">
            <v>Expired</v>
          </cell>
        </row>
        <row r="282">
          <cell r="A282" t="str">
            <v xml:space="preserve">   growth %</v>
          </cell>
          <cell r="AJ282">
            <v>0.41111927762111389</v>
          </cell>
          <cell r="AK282">
            <v>0.15664809253034251</v>
          </cell>
          <cell r="AL282">
            <v>0.15879083802663485</v>
          </cell>
          <cell r="AM282">
            <v>0.1568514097229331</v>
          </cell>
          <cell r="AN282">
            <v>0.20524148372129569</v>
          </cell>
          <cell r="AP282">
            <v>0.27927800924167334</v>
          </cell>
          <cell r="AQ282">
            <v>0.20230853415787209</v>
          </cell>
          <cell r="AR282">
            <v>0.29986301369863</v>
          </cell>
          <cell r="AS282">
            <v>0.20375178826156903</v>
          </cell>
          <cell r="AT282">
            <v>0.24294951376268625</v>
          </cell>
          <cell r="AU282">
            <v>0.3102323015649151</v>
          </cell>
          <cell r="AV282">
            <v>0.27170261935322615</v>
          </cell>
          <cell r="AW282">
            <v>0.16606350670758618</v>
          </cell>
          <cell r="AX282">
            <v>0.24518064748505486</v>
          </cell>
          <cell r="AY282">
            <v>0.12999999999999989</v>
          </cell>
          <cell r="AZ282">
            <v>0.11430507008555457</v>
          </cell>
          <cell r="BA282">
            <v>0.12311407350431591</v>
          </cell>
          <cell r="BB282">
            <v>-0.15062053799337483</v>
          </cell>
          <cell r="BC282">
            <v>2.1030529076117022E-2</v>
          </cell>
          <cell r="BD282">
            <v>0.24409435825657466</v>
          </cell>
          <cell r="BE282">
            <v>8.5067598396962429E-2</v>
          </cell>
          <cell r="BF282">
            <v>9.8030895052974465E-2</v>
          </cell>
          <cell r="BG282">
            <v>-7.4074074074074181E-3</v>
          </cell>
          <cell r="BH282">
            <v>4.705882352941182E-2</v>
          </cell>
          <cell r="BI282">
            <v>0.2649572649572649</v>
          </cell>
          <cell r="BJ282">
            <v>0.11559139784946226</v>
          </cell>
          <cell r="BK282">
            <v>0.12328767123287676</v>
          </cell>
          <cell r="BL282">
            <v>0.11776061776061786</v>
          </cell>
          <cell r="BM282">
            <v>0.12030075187969924</v>
          </cell>
          <cell r="BN282">
            <v>0.26865671641791056</v>
          </cell>
          <cell r="BO282">
            <v>0.19475655430711614</v>
          </cell>
          <cell r="BP282">
            <v>7.4324324324324342E-2</v>
          </cell>
          <cell r="BQ282">
            <v>0.15180722891566267</v>
          </cell>
          <cell r="BR282">
            <v>-3.0487804878048808E-2</v>
          </cell>
          <cell r="BS282">
            <v>0.10017271157167529</v>
          </cell>
          <cell r="BT282">
            <v>7.1018962082545656E-2</v>
          </cell>
          <cell r="BU282">
            <v>9.2482244742303488E-2</v>
          </cell>
          <cell r="BV282">
            <v>8.2457075098717691E-2</v>
          </cell>
          <cell r="BW282">
            <v>6.0548039509141782E-2</v>
          </cell>
          <cell r="BX282">
            <v>7.5169341503021903E-2</v>
          </cell>
          <cell r="BY282">
            <v>4.065590347410053E-2</v>
          </cell>
          <cell r="BZ282">
            <v>6.6554527301140309E-2</v>
          </cell>
          <cell r="CA282">
            <v>6.7839184633833316E-2</v>
          </cell>
          <cell r="CB282">
            <v>2.6014113885867829E-2</v>
          </cell>
          <cell r="CC282">
            <v>-0.25850089317064506</v>
          </cell>
          <cell r="CD282">
            <v>-0.17023851625354136</v>
          </cell>
          <cell r="CE282">
            <v>-0.12812748686097641</v>
          </cell>
          <cell r="CF282">
            <v>1.1637254099297056E-3</v>
          </cell>
          <cell r="CG282">
            <v>2.0000000000000018E-2</v>
          </cell>
          <cell r="CH282">
            <v>2.0000000000000018E-2</v>
          </cell>
          <cell r="CI282">
            <v>2.0000000000000018E-2</v>
          </cell>
          <cell r="CJ282">
            <v>2.0000000000000018E-2</v>
          </cell>
          <cell r="CP282" t="str">
            <v>formulation 2017</v>
          </cell>
        </row>
        <row r="283">
          <cell r="A283" t="str">
            <v xml:space="preserve">      CER growth</v>
          </cell>
          <cell r="BB283">
            <v>-7.0000000000000007E-2</v>
          </cell>
          <cell r="BC283">
            <v>0.09</v>
          </cell>
          <cell r="BD283">
            <v>0.31</v>
          </cell>
          <cell r="BE283">
            <v>0.15</v>
          </cell>
          <cell r="BF283">
            <v>0.12</v>
          </cell>
          <cell r="BG283">
            <v>0.05</v>
          </cell>
          <cell r="BH283">
            <v>0.08</v>
          </cell>
          <cell r="BI283">
            <v>0.35</v>
          </cell>
          <cell r="BJ283">
            <v>0.17</v>
          </cell>
          <cell r="BK283">
            <v>0.14000000000000001</v>
          </cell>
          <cell r="BL283">
            <v>0.16</v>
          </cell>
          <cell r="BM283">
            <v>0.15</v>
          </cell>
          <cell r="BN283">
            <v>0.31</v>
          </cell>
          <cell r="BO283">
            <v>0.23</v>
          </cell>
          <cell r="BP283">
            <v>0.11</v>
          </cell>
          <cell r="BQ283">
            <v>0.19</v>
          </cell>
          <cell r="BR283">
            <v>-0.01</v>
          </cell>
          <cell r="BS283">
            <v>0.13</v>
          </cell>
        </row>
        <row r="284">
          <cell r="A284" t="str">
            <v xml:space="preserve">       Myfortic US</v>
          </cell>
          <cell r="BB284">
            <v>43</v>
          </cell>
          <cell r="BC284">
            <v>52</v>
          </cell>
          <cell r="BD284">
            <v>63</v>
          </cell>
          <cell r="BE284">
            <v>200</v>
          </cell>
          <cell r="BF284">
            <v>60</v>
          </cell>
          <cell r="BG284">
            <v>55</v>
          </cell>
          <cell r="BH284">
            <v>115</v>
          </cell>
          <cell r="BI284">
            <v>59</v>
          </cell>
          <cell r="BJ284">
            <v>174</v>
          </cell>
          <cell r="BK284">
            <v>65</v>
          </cell>
          <cell r="BL284">
            <v>239</v>
          </cell>
          <cell r="BM284">
            <v>62</v>
          </cell>
          <cell r="BN284">
            <v>63</v>
          </cell>
          <cell r="BO284">
            <v>125</v>
          </cell>
          <cell r="BP284">
            <v>70</v>
          </cell>
          <cell r="BQ284">
            <v>195</v>
          </cell>
          <cell r="BR284">
            <v>75</v>
          </cell>
          <cell r="BS284">
            <v>270</v>
          </cell>
          <cell r="BT284">
            <v>65.100000000000009</v>
          </cell>
          <cell r="BU284">
            <v>66.150000000000006</v>
          </cell>
          <cell r="BV284">
            <v>131.25</v>
          </cell>
          <cell r="BW284">
            <v>70</v>
          </cell>
          <cell r="BX284">
            <v>201.25</v>
          </cell>
          <cell r="BY284">
            <v>74.149999999999977</v>
          </cell>
          <cell r="BZ284">
            <v>275.39999999999998</v>
          </cell>
          <cell r="CA284">
            <v>289.17</v>
          </cell>
          <cell r="CB284">
            <v>294.95340000000004</v>
          </cell>
          <cell r="CC284">
            <v>147.47670000000002</v>
          </cell>
          <cell r="CD284">
            <v>73.738350000000011</v>
          </cell>
          <cell r="CE284">
            <v>7.3738349999999997</v>
          </cell>
        </row>
        <row r="285">
          <cell r="A285" t="str">
            <v xml:space="preserve">           growth </v>
          </cell>
          <cell r="BC285">
            <v>-0.16</v>
          </cell>
          <cell r="BD285">
            <v>0.47</v>
          </cell>
          <cell r="BE285">
            <v>0.23</v>
          </cell>
          <cell r="BF285">
            <v>0.22</v>
          </cell>
          <cell r="BH285">
            <v>0.22</v>
          </cell>
          <cell r="BI285">
            <v>0.37209302325581395</v>
          </cell>
          <cell r="BJ285">
            <v>2.3461538461538463</v>
          </cell>
          <cell r="BK285">
            <v>3.1746031746031855E-2</v>
          </cell>
          <cell r="BL285">
            <v>0.19500000000000006</v>
          </cell>
          <cell r="BM285">
            <v>3.3333333333333437E-2</v>
          </cell>
          <cell r="BN285">
            <v>0.1454545454545455</v>
          </cell>
          <cell r="BO285">
            <v>8.6956521739130377E-2</v>
          </cell>
          <cell r="BP285">
            <v>0.18644067796610164</v>
          </cell>
          <cell r="BQ285">
            <v>0.1206896551724137</v>
          </cell>
          <cell r="BR285">
            <v>0.15384615384615374</v>
          </cell>
          <cell r="BS285">
            <v>0.12970711297071125</v>
          </cell>
          <cell r="BT285">
            <v>0.05</v>
          </cell>
          <cell r="BU285">
            <v>0.05</v>
          </cell>
          <cell r="BV285">
            <v>5.0000000000000044E-2</v>
          </cell>
          <cell r="BW285">
            <v>0</v>
          </cell>
          <cell r="BX285">
            <v>3.2051282051282159E-2</v>
          </cell>
          <cell r="BY285">
            <v>-1.1333333333333639E-2</v>
          </cell>
          <cell r="BZ285">
            <v>0.02</v>
          </cell>
          <cell r="CA285">
            <v>0.05</v>
          </cell>
          <cell r="CB285">
            <v>0.02</v>
          </cell>
          <cell r="CC285">
            <v>-0.5</v>
          </cell>
          <cell r="CD285">
            <v>-0.5</v>
          </cell>
          <cell r="CE285">
            <v>-0.9</v>
          </cell>
        </row>
        <row r="286">
          <cell r="A286" t="str">
            <v xml:space="preserve">       Myfortic ROW</v>
          </cell>
          <cell r="BB286">
            <v>74</v>
          </cell>
          <cell r="BC286">
            <v>617</v>
          </cell>
          <cell r="BD286">
            <v>83</v>
          </cell>
          <cell r="BE286">
            <v>318</v>
          </cell>
          <cell r="BF286">
            <v>74</v>
          </cell>
          <cell r="BG286">
            <v>78</v>
          </cell>
          <cell r="BH286">
            <v>152</v>
          </cell>
          <cell r="BI286">
            <v>89</v>
          </cell>
          <cell r="BJ286">
            <v>241</v>
          </cell>
          <cell r="BK286">
            <v>99</v>
          </cell>
          <cell r="BL286">
            <v>340</v>
          </cell>
          <cell r="BM286">
            <v>87</v>
          </cell>
          <cell r="BN286">
            <v>107</v>
          </cell>
          <cell r="BO286">
            <v>194</v>
          </cell>
          <cell r="BP286">
            <v>89</v>
          </cell>
          <cell r="BQ286">
            <v>283</v>
          </cell>
          <cell r="BR286">
            <v>84</v>
          </cell>
          <cell r="BS286">
            <v>367</v>
          </cell>
          <cell r="BT286">
            <v>94.481825350299289</v>
          </cell>
          <cell r="BU286">
            <v>119.57198160619161</v>
          </cell>
          <cell r="BV286">
            <v>214.05380695649092</v>
          </cell>
          <cell r="BW286">
            <v>98.627138281953549</v>
          </cell>
          <cell r="BX286">
            <v>312.68094523844445</v>
          </cell>
          <cell r="BY286">
            <v>91.314288652382004</v>
          </cell>
          <cell r="BZ286">
            <v>403.99523389082646</v>
          </cell>
          <cell r="CA286">
            <v>436.31485260209263</v>
          </cell>
          <cell r="CB286">
            <v>449.40429818015542</v>
          </cell>
          <cell r="CC286">
            <v>404.46386836213986</v>
          </cell>
          <cell r="CD286">
            <v>384.24067494403283</v>
          </cell>
          <cell r="CE286">
            <v>391.92548844291349</v>
          </cell>
          <cell r="CF286">
            <v>399.76399821177176</v>
          </cell>
          <cell r="CG286">
            <v>407.75927817600723</v>
          </cell>
          <cell r="CH286">
            <v>415.91446373952738</v>
          </cell>
          <cell r="CI286">
            <v>424.23275301431795</v>
          </cell>
          <cell r="CJ286">
            <v>432.71740807460429</v>
          </cell>
        </row>
        <row r="287">
          <cell r="A287" t="str">
            <v xml:space="preserve">           growth </v>
          </cell>
          <cell r="BK287">
            <v>0.19277108433734935</v>
          </cell>
          <cell r="BL287">
            <v>6.9182389937106903E-2</v>
          </cell>
          <cell r="BM287">
            <v>0.17567567567567566</v>
          </cell>
          <cell r="BN287">
            <v>0.37179487179487181</v>
          </cell>
          <cell r="BO287">
            <v>0.27631578947368429</v>
          </cell>
          <cell r="BP287">
            <v>0</v>
          </cell>
          <cell r="BQ287">
            <v>0.17427385892116187</v>
          </cell>
          <cell r="BR287">
            <v>-0.15151515151515149</v>
          </cell>
          <cell r="BS287">
            <v>7.9411764705882293E-2</v>
          </cell>
          <cell r="BT287">
            <v>8.599799253217566E-2</v>
          </cell>
          <cell r="BU287">
            <v>0.11749515519805254</v>
          </cell>
          <cell r="BV287">
            <v>0.10337013895098401</v>
          </cell>
          <cell r="BW287">
            <v>0.10817009305565795</v>
          </cell>
          <cell r="BX287">
            <v>0.10487966515351399</v>
          </cell>
          <cell r="BY287">
            <v>8.7074864909309602E-2</v>
          </cell>
          <cell r="BZ287">
            <v>0.10080445201860067</v>
          </cell>
          <cell r="CA287">
            <v>8.0000000000000071E-2</v>
          </cell>
          <cell r="CB287">
            <v>3.0000000000000027E-2</v>
          </cell>
          <cell r="CC287">
            <v>-0.10000000000000009</v>
          </cell>
          <cell r="CD287">
            <v>-5.0000000000000044E-2</v>
          </cell>
          <cell r="CE287">
            <v>2.0000000000000018E-2</v>
          </cell>
          <cell r="CF287">
            <v>2.0000000000000018E-2</v>
          </cell>
          <cell r="CG287">
            <v>2.0000000000000018E-2</v>
          </cell>
          <cell r="CH287">
            <v>2.0000000000000018E-2</v>
          </cell>
          <cell r="CI287">
            <v>2.0000000000000018E-2</v>
          </cell>
          <cell r="CJ287">
            <v>2.0000000000000018E-2</v>
          </cell>
        </row>
        <row r="288">
          <cell r="A288" t="str">
            <v xml:space="preserve">   CER growth </v>
          </cell>
          <cell r="BB288">
            <v>-0.1</v>
          </cell>
          <cell r="BC288">
            <v>-0.01</v>
          </cell>
          <cell r="BD288">
            <v>0.22</v>
          </cell>
          <cell r="BE288">
            <v>0.11</v>
          </cell>
          <cell r="BF288">
            <v>-0.05</v>
          </cell>
          <cell r="BH288">
            <v>0</v>
          </cell>
          <cell r="BI288">
            <v>0.34</v>
          </cell>
          <cell r="BK288">
            <v>0.22</v>
          </cell>
          <cell r="BL288">
            <v>0.14000000000000001</v>
          </cell>
          <cell r="BM288">
            <v>0.16</v>
          </cell>
          <cell r="BN288">
            <v>0.52</v>
          </cell>
          <cell r="BO288">
            <v>0.35</v>
          </cell>
          <cell r="BP288">
            <v>0.06</v>
          </cell>
          <cell r="BQ288">
            <v>0.24</v>
          </cell>
          <cell r="BR288">
            <v>-0.12</v>
          </cell>
          <cell r="BS288">
            <v>0.13</v>
          </cell>
          <cell r="BT288">
            <v>0.1</v>
          </cell>
          <cell r="BU288">
            <v>0.1</v>
          </cell>
          <cell r="BW288">
            <v>0.1</v>
          </cell>
          <cell r="BY288">
            <v>8.0266597953122965E-2</v>
          </cell>
          <cell r="BZ288">
            <v>0.1</v>
          </cell>
          <cell r="CA288">
            <v>0.08</v>
          </cell>
          <cell r="CB288">
            <v>0.03</v>
          </cell>
          <cell r="CC288">
            <v>-0.1</v>
          </cell>
          <cell r="CD288">
            <v>-0.05</v>
          </cell>
          <cell r="CE288">
            <v>0.02</v>
          </cell>
          <cell r="CF288">
            <v>0.02</v>
          </cell>
          <cell r="CG288">
            <v>0.02</v>
          </cell>
          <cell r="CH288">
            <v>0.02</v>
          </cell>
          <cell r="CI288">
            <v>0.02</v>
          </cell>
          <cell r="CJ288">
            <v>0.02</v>
          </cell>
        </row>
        <row r="290">
          <cell r="A290" t="str">
            <v>Zortess/Certican</v>
          </cell>
          <cell r="AY290">
            <v>42</v>
          </cell>
          <cell r="AZ290">
            <v>50</v>
          </cell>
          <cell r="BA290">
            <v>92</v>
          </cell>
          <cell r="BB290">
            <v>46</v>
          </cell>
          <cell r="BC290">
            <v>138</v>
          </cell>
          <cell r="BD290">
            <v>49</v>
          </cell>
          <cell r="BE290">
            <v>187</v>
          </cell>
          <cell r="BF290">
            <v>46</v>
          </cell>
          <cell r="BG290">
            <v>52</v>
          </cell>
          <cell r="BH290">
            <v>98</v>
          </cell>
          <cell r="BI290">
            <v>54</v>
          </cell>
          <cell r="BJ290">
            <v>152</v>
          </cell>
          <cell r="BK290">
            <v>58</v>
          </cell>
          <cell r="BL290">
            <v>210</v>
          </cell>
          <cell r="BM290">
            <v>58</v>
          </cell>
          <cell r="BN290">
            <v>62</v>
          </cell>
          <cell r="BO290">
            <v>120</v>
          </cell>
          <cell r="BP290">
            <v>66</v>
          </cell>
          <cell r="BQ290">
            <v>186</v>
          </cell>
          <cell r="BR290">
            <v>63</v>
          </cell>
          <cell r="BS290">
            <v>249</v>
          </cell>
          <cell r="BT290">
            <v>62.64</v>
          </cell>
          <cell r="BU290">
            <v>68.2</v>
          </cell>
          <cell r="BV290">
            <v>130.84</v>
          </cell>
          <cell r="BW290">
            <v>72.600000000000009</v>
          </cell>
          <cell r="BX290">
            <v>203.44</v>
          </cell>
          <cell r="BY290">
            <v>70.460000000000036</v>
          </cell>
          <cell r="BZ290">
            <v>273.90000000000003</v>
          </cell>
          <cell r="CA290">
            <v>301.29000000000008</v>
          </cell>
          <cell r="CB290">
            <v>316.35450000000009</v>
          </cell>
          <cell r="CC290">
            <v>332.17222500000008</v>
          </cell>
          <cell r="CD290">
            <v>348.78083625000011</v>
          </cell>
          <cell r="CE290">
            <v>279.02466900000007</v>
          </cell>
          <cell r="CF290">
            <v>223.21973520000006</v>
          </cell>
          <cell r="CG290">
            <v>111.60986760000003</v>
          </cell>
          <cell r="CH290">
            <v>100.44888084000003</v>
          </cell>
          <cell r="CI290">
            <v>90.403992756000022</v>
          </cell>
          <cell r="CJ290">
            <v>81.363593480400027</v>
          </cell>
          <cell r="CP290" t="str">
            <v>2018-2020</v>
          </cell>
        </row>
        <row r="291">
          <cell r="A291" t="str">
            <v xml:space="preserve">   growth %</v>
          </cell>
          <cell r="BE291">
            <v>0.3</v>
          </cell>
          <cell r="BG291">
            <v>4.0000000000000036E-2</v>
          </cell>
          <cell r="BH291">
            <v>6.5217391304347894E-2</v>
          </cell>
          <cell r="BI291">
            <v>0.17391304347826098</v>
          </cell>
          <cell r="BJ291">
            <v>0.10144927536231885</v>
          </cell>
          <cell r="BK291">
            <v>0.18367346938775508</v>
          </cell>
          <cell r="BL291">
            <v>0.12299465240641716</v>
          </cell>
          <cell r="BM291">
            <v>0.26086956521739135</v>
          </cell>
          <cell r="BN291">
            <v>0.19230769230769229</v>
          </cell>
          <cell r="BO291">
            <v>0.22448979591836737</v>
          </cell>
          <cell r="BP291">
            <v>0.22222222222222232</v>
          </cell>
          <cell r="BQ291">
            <v>0.22368421052631571</v>
          </cell>
          <cell r="BR291">
            <v>0.15</v>
          </cell>
          <cell r="BS291">
            <v>0.18571428571428572</v>
          </cell>
          <cell r="BT291">
            <v>0.08</v>
          </cell>
          <cell r="BU291">
            <v>0.1</v>
          </cell>
          <cell r="BV291">
            <v>9.0333333333333377E-2</v>
          </cell>
          <cell r="BW291">
            <v>0.1</v>
          </cell>
          <cell r="BX291">
            <v>9.3763440860215042E-2</v>
          </cell>
          <cell r="BY291">
            <v>0.11841269841269897</v>
          </cell>
          <cell r="BZ291">
            <v>0.1</v>
          </cell>
          <cell r="CA291">
            <v>0.1</v>
          </cell>
          <cell r="CB291">
            <v>0.05</v>
          </cell>
          <cell r="CC291">
            <v>0.05</v>
          </cell>
          <cell r="CD291">
            <v>0.05</v>
          </cell>
          <cell r="CE291">
            <v>-0.2</v>
          </cell>
          <cell r="CF291">
            <v>-0.2</v>
          </cell>
          <cell r="CG291">
            <v>-0.5</v>
          </cell>
          <cell r="CH291">
            <v>-0.1</v>
          </cell>
          <cell r="CI291">
            <v>-0.1</v>
          </cell>
          <cell r="CJ291">
            <v>-0.1</v>
          </cell>
        </row>
        <row r="292">
          <cell r="A292" t="str">
            <v xml:space="preserve">      CER growth</v>
          </cell>
          <cell r="O292">
            <v>52</v>
          </cell>
          <cell r="V292">
            <v>74</v>
          </cell>
          <cell r="AC292">
            <v>87</v>
          </cell>
          <cell r="AJ292">
            <v>104</v>
          </cell>
          <cell r="AQ292">
            <v>104</v>
          </cell>
          <cell r="AX292">
            <v>0</v>
          </cell>
          <cell r="BB292">
            <v>0.22</v>
          </cell>
          <cell r="BC292">
            <v>0.24</v>
          </cell>
          <cell r="BD292">
            <v>0.28999999999999998</v>
          </cell>
          <cell r="BE292">
            <v>0.25</v>
          </cell>
          <cell r="BF292">
            <v>0.14000000000000001</v>
          </cell>
          <cell r="BG292">
            <v>0.13</v>
          </cell>
          <cell r="BH292">
            <v>0.13</v>
          </cell>
          <cell r="BI292">
            <v>0.3</v>
          </cell>
          <cell r="BJ292">
            <v>0.19</v>
          </cell>
          <cell r="BK292">
            <v>0.21</v>
          </cell>
          <cell r="BL292">
            <v>0.2</v>
          </cell>
          <cell r="BM292">
            <v>0.3</v>
          </cell>
          <cell r="BN292">
            <v>0.22</v>
          </cell>
          <cell r="BO292">
            <v>0.25</v>
          </cell>
          <cell r="BP292">
            <v>0.21</v>
          </cell>
          <cell r="BQ292">
            <v>0.24</v>
          </cell>
          <cell r="BR292">
            <v>0.12</v>
          </cell>
        </row>
        <row r="294">
          <cell r="A294" t="str">
            <v>Ilaris</v>
          </cell>
          <cell r="AY294">
            <v>11</v>
          </cell>
          <cell r="AZ294">
            <v>12</v>
          </cell>
          <cell r="BA294">
            <v>23</v>
          </cell>
          <cell r="BB294">
            <v>13</v>
          </cell>
          <cell r="BC294">
            <v>36</v>
          </cell>
          <cell r="BD294">
            <v>12</v>
          </cell>
          <cell r="BE294">
            <v>48</v>
          </cell>
          <cell r="BF294">
            <v>15</v>
          </cell>
          <cell r="BG294">
            <v>20</v>
          </cell>
          <cell r="BH294">
            <v>35</v>
          </cell>
          <cell r="BI294">
            <v>18</v>
          </cell>
          <cell r="BJ294">
            <v>53</v>
          </cell>
          <cell r="BK294">
            <v>19</v>
          </cell>
          <cell r="BL294">
            <v>72</v>
          </cell>
          <cell r="BM294">
            <v>24</v>
          </cell>
          <cell r="BN294">
            <v>27</v>
          </cell>
          <cell r="BO294">
            <v>51</v>
          </cell>
          <cell r="BP294">
            <v>31</v>
          </cell>
          <cell r="BQ294">
            <v>82</v>
          </cell>
          <cell r="BR294">
            <v>37</v>
          </cell>
          <cell r="BS294">
            <v>119</v>
          </cell>
          <cell r="BT294">
            <v>34.799999999999997</v>
          </cell>
          <cell r="BU294">
            <v>36.450000000000003</v>
          </cell>
          <cell r="BV294">
            <v>71.25</v>
          </cell>
          <cell r="BW294">
            <v>41.85</v>
          </cell>
          <cell r="BX294">
            <v>113.1</v>
          </cell>
          <cell r="BY294">
            <v>47.550000000000011</v>
          </cell>
          <cell r="BZ294">
            <v>160.65</v>
          </cell>
          <cell r="CA294">
            <v>200.8125</v>
          </cell>
          <cell r="CB294">
            <v>261.05625000000003</v>
          </cell>
          <cell r="CC294">
            <v>326.32031250000006</v>
          </cell>
          <cell r="CD294">
            <v>375.26835937500005</v>
          </cell>
          <cell r="CE294">
            <v>412.79519531250008</v>
          </cell>
          <cell r="CF294">
            <v>433.43495507812509</v>
          </cell>
          <cell r="CG294">
            <v>455.10670283203137</v>
          </cell>
          <cell r="CH294">
            <v>477.86203797363294</v>
          </cell>
          <cell r="CI294">
            <v>501.7551398723146</v>
          </cell>
          <cell r="CJ294">
            <v>526.84289686593036</v>
          </cell>
          <cell r="CP294" t="str">
            <v>2024 (US/EU)</v>
          </cell>
        </row>
        <row r="295">
          <cell r="A295" t="str">
            <v xml:space="preserve">   growth %</v>
          </cell>
          <cell r="BE295">
            <v>0.85</v>
          </cell>
          <cell r="BG295">
            <v>0.66666666666666674</v>
          </cell>
          <cell r="BH295">
            <v>0.52173913043478271</v>
          </cell>
          <cell r="BI295">
            <v>0.38461538461538458</v>
          </cell>
          <cell r="BJ295">
            <v>0.47222222222222232</v>
          </cell>
          <cell r="BK295">
            <v>0.58333333333333326</v>
          </cell>
          <cell r="BL295">
            <v>0.5</v>
          </cell>
          <cell r="BM295">
            <v>0.60000000000000009</v>
          </cell>
          <cell r="BN295">
            <v>0.35000000000000009</v>
          </cell>
          <cell r="BO295">
            <v>0.45714285714285707</v>
          </cell>
          <cell r="BP295">
            <v>0.72222222222222232</v>
          </cell>
          <cell r="BQ295">
            <v>0.54716981132075482</v>
          </cell>
          <cell r="BR295">
            <v>0.45</v>
          </cell>
          <cell r="BS295">
            <v>0.65277777777777768</v>
          </cell>
          <cell r="BT295">
            <v>0.45</v>
          </cell>
          <cell r="BU295">
            <v>0.35</v>
          </cell>
          <cell r="BV295">
            <v>0.39705882352941169</v>
          </cell>
          <cell r="BW295">
            <v>0.35</v>
          </cell>
          <cell r="BX295">
            <v>0.37926829268292672</v>
          </cell>
          <cell r="BY295">
            <v>0.28513513513513544</v>
          </cell>
          <cell r="BZ295">
            <v>0.35</v>
          </cell>
          <cell r="CA295">
            <v>0.25</v>
          </cell>
          <cell r="CB295">
            <v>0.3</v>
          </cell>
          <cell r="CC295">
            <v>0.25</v>
          </cell>
          <cell r="CD295">
            <v>0.15</v>
          </cell>
          <cell r="CE295">
            <v>0.1</v>
          </cell>
          <cell r="CF295">
            <v>0.05</v>
          </cell>
          <cell r="CG295">
            <v>0.05</v>
          </cell>
          <cell r="CH295">
            <v>0.05</v>
          </cell>
          <cell r="CI295">
            <v>0.05</v>
          </cell>
          <cell r="CJ295">
            <v>0.05</v>
          </cell>
        </row>
        <row r="296">
          <cell r="A296" t="str">
            <v xml:space="preserve">      CER growth</v>
          </cell>
          <cell r="BB296">
            <v>0.86</v>
          </cell>
          <cell r="BC296">
            <v>1.1000000000000001</v>
          </cell>
          <cell r="BD296">
            <v>0.32</v>
          </cell>
          <cell r="BE296">
            <v>0.82</v>
          </cell>
          <cell r="BF296">
            <v>0.46</v>
          </cell>
          <cell r="BG296">
            <v>0.68</v>
          </cell>
          <cell r="BH296">
            <v>0.57999999999999996</v>
          </cell>
          <cell r="BI296">
            <v>0.48</v>
          </cell>
          <cell r="BJ296">
            <v>0.54</v>
          </cell>
          <cell r="BK296">
            <v>0.61</v>
          </cell>
          <cell r="BL296">
            <v>0.56000000000000005</v>
          </cell>
          <cell r="BM296">
            <v>0.54</v>
          </cell>
          <cell r="BN296">
            <v>0.44</v>
          </cell>
          <cell r="BO296">
            <v>0.48</v>
          </cell>
          <cell r="BP296">
            <v>0.73</v>
          </cell>
          <cell r="BQ296">
            <v>0.56999999999999995</v>
          </cell>
          <cell r="BR296">
            <v>0.89</v>
          </cell>
        </row>
        <row r="297">
          <cell r="A297" t="str">
            <v>Consensus</v>
          </cell>
          <cell r="BS297">
            <v>113.2402037259385</v>
          </cell>
          <cell r="BZ297">
            <v>174.70960488996201</v>
          </cell>
          <cell r="CA297">
            <v>221.54798635695062</v>
          </cell>
          <cell r="CB297">
            <v>254.73368362834071</v>
          </cell>
          <cell r="CC297">
            <v>278.72416199117481</v>
          </cell>
        </row>
        <row r="298">
          <cell r="A298" t="str">
            <v>Difference</v>
          </cell>
          <cell r="BS298">
            <v>5.0863528009903902E-2</v>
          </cell>
          <cell r="BZ298">
            <v>-8.0474138206752976E-2</v>
          </cell>
          <cell r="CA298">
            <v>-9.3593657509223771E-2</v>
          </cell>
          <cell r="CB298">
            <v>2.482029970125188E-2</v>
          </cell>
          <cell r="CC298">
            <v>0.1707643505636669</v>
          </cell>
        </row>
        <row r="300">
          <cell r="A300" t="str">
            <v xml:space="preserve">Other </v>
          </cell>
          <cell r="D300">
            <v>0</v>
          </cell>
          <cell r="F300">
            <v>0</v>
          </cell>
          <cell r="H300">
            <v>0</v>
          </cell>
          <cell r="I300">
            <v>19</v>
          </cell>
          <cell r="J300">
            <v>12</v>
          </cell>
          <cell r="K300">
            <v>31</v>
          </cell>
          <cell r="L300">
            <v>10</v>
          </cell>
          <cell r="M300">
            <v>41</v>
          </cell>
          <cell r="N300">
            <v>11</v>
          </cell>
          <cell r="O300">
            <v>52</v>
          </cell>
          <cell r="P300">
            <v>17</v>
          </cell>
          <cell r="Q300">
            <v>17</v>
          </cell>
          <cell r="R300">
            <v>34</v>
          </cell>
          <cell r="S300">
            <v>20</v>
          </cell>
          <cell r="T300">
            <v>54</v>
          </cell>
          <cell r="U300">
            <v>20</v>
          </cell>
          <cell r="V300">
            <v>74</v>
          </cell>
          <cell r="W300">
            <v>20</v>
          </cell>
          <cell r="X300">
            <v>20</v>
          </cell>
          <cell r="Y300">
            <v>40</v>
          </cell>
          <cell r="Z300">
            <v>20</v>
          </cell>
          <cell r="AA300">
            <v>60</v>
          </cell>
          <cell r="AB300">
            <v>27</v>
          </cell>
          <cell r="AC300">
            <v>87</v>
          </cell>
          <cell r="AD300">
            <v>27</v>
          </cell>
          <cell r="AE300">
            <v>25</v>
          </cell>
          <cell r="AF300">
            <v>52</v>
          </cell>
          <cell r="AG300">
            <v>25</v>
          </cell>
          <cell r="AH300">
            <v>77</v>
          </cell>
          <cell r="AI300">
            <v>27</v>
          </cell>
          <cell r="AJ300">
            <v>104</v>
          </cell>
          <cell r="AK300">
            <v>24</v>
          </cell>
          <cell r="AL300">
            <v>24</v>
          </cell>
          <cell r="AM300">
            <v>48</v>
          </cell>
          <cell r="AN300">
            <v>22</v>
          </cell>
          <cell r="AO300">
            <v>70</v>
          </cell>
          <cell r="AP300">
            <v>34</v>
          </cell>
          <cell r="AQ300">
            <v>104</v>
          </cell>
          <cell r="AR300">
            <v>0</v>
          </cell>
          <cell r="AS300">
            <v>0</v>
          </cell>
          <cell r="AT300">
            <v>0</v>
          </cell>
          <cell r="AU300">
            <v>0</v>
          </cell>
          <cell r="AV300">
            <v>0</v>
          </cell>
          <cell r="AW300">
            <v>0</v>
          </cell>
          <cell r="AX300">
            <v>0</v>
          </cell>
          <cell r="AY300">
            <v>86</v>
          </cell>
          <cell r="AZ300">
            <v>93</v>
          </cell>
          <cell r="BA300">
            <v>179</v>
          </cell>
          <cell r="BB300">
            <v>92</v>
          </cell>
          <cell r="BC300">
            <v>271</v>
          </cell>
          <cell r="BD300">
            <v>92</v>
          </cell>
          <cell r="BE300">
            <v>363</v>
          </cell>
          <cell r="BF300">
            <v>98</v>
          </cell>
          <cell r="BG300">
            <v>99</v>
          </cell>
          <cell r="BH300">
            <v>197</v>
          </cell>
          <cell r="BI300">
            <v>93</v>
          </cell>
          <cell r="BJ300">
            <v>290</v>
          </cell>
          <cell r="BK300">
            <v>101</v>
          </cell>
          <cell r="BL300">
            <v>391</v>
          </cell>
          <cell r="BM300">
            <v>97</v>
          </cell>
          <cell r="BN300">
            <v>102</v>
          </cell>
          <cell r="BO300">
            <v>199</v>
          </cell>
          <cell r="BP300">
            <v>111</v>
          </cell>
          <cell r="BQ300">
            <v>310</v>
          </cell>
          <cell r="BR300">
            <v>109</v>
          </cell>
          <cell r="BS300">
            <v>419</v>
          </cell>
          <cell r="BT300">
            <v>101.85000000000001</v>
          </cell>
          <cell r="BU300">
            <v>107.10000000000001</v>
          </cell>
          <cell r="BV300">
            <v>208.95000000000002</v>
          </cell>
          <cell r="BW300">
            <v>116.55000000000001</v>
          </cell>
          <cell r="BX300">
            <v>325.5</v>
          </cell>
          <cell r="BY300">
            <v>114.45000000000005</v>
          </cell>
          <cell r="BZ300">
            <v>439.95000000000005</v>
          </cell>
          <cell r="CA300">
            <v>453.14850000000007</v>
          </cell>
          <cell r="CB300">
            <v>453.14850000000007</v>
          </cell>
          <cell r="CC300">
            <v>453.14850000000007</v>
          </cell>
          <cell r="CD300">
            <v>453.14850000000007</v>
          </cell>
          <cell r="CE300">
            <v>453.14850000000007</v>
          </cell>
          <cell r="CF300">
            <v>453.14850000000007</v>
          </cell>
          <cell r="CG300">
            <v>453.14850000000007</v>
          </cell>
          <cell r="CH300">
            <v>453.14850000000007</v>
          </cell>
          <cell r="CI300">
            <v>453.14850000000007</v>
          </cell>
          <cell r="CJ300">
            <v>453.14850000000007</v>
          </cell>
          <cell r="CO300">
            <v>0.1</v>
          </cell>
          <cell r="CZ300">
            <v>0.42307692307692313</v>
          </cell>
          <cell r="DA300">
            <v>0.17647058823529416</v>
          </cell>
          <cell r="DB300">
            <v>0.17647058823529416</v>
          </cell>
          <cell r="DC300">
            <v>0</v>
          </cell>
          <cell r="DD300">
            <v>0</v>
          </cell>
          <cell r="DE300">
            <v>0.17567567567567566</v>
          </cell>
          <cell r="DF300">
            <v>0.05</v>
          </cell>
          <cell r="DG300">
            <v>0.05</v>
          </cell>
          <cell r="DH300">
            <v>0.05</v>
          </cell>
          <cell r="DI300">
            <v>0.05</v>
          </cell>
          <cell r="DJ300">
            <v>0.05</v>
          </cell>
          <cell r="DK300">
            <v>0.05</v>
          </cell>
        </row>
        <row r="301">
          <cell r="A301" t="str">
            <v xml:space="preserve">   growth %</v>
          </cell>
          <cell r="P301">
            <v>-2.6405879726199677E-2</v>
          </cell>
          <cell r="Q301">
            <v>0.43901192378193288</v>
          </cell>
          <cell r="R301">
            <v>0.14737546119028866</v>
          </cell>
          <cell r="S301">
            <v>0.99362859830685579</v>
          </cell>
          <cell r="T301">
            <v>0.34868354859526041</v>
          </cell>
          <cell r="U301">
            <v>0.78079469587876305</v>
          </cell>
          <cell r="V301">
            <v>0.43064576913582953</v>
          </cell>
          <cell r="W301">
            <v>0.14312424965386117</v>
          </cell>
          <cell r="X301">
            <v>0.16567678311847156</v>
          </cell>
          <cell r="Y301">
            <v>0.15440051638616636</v>
          </cell>
          <cell r="Z301">
            <v>-2.8496169108256364E-2</v>
          </cell>
          <cell r="AA301">
            <v>8.6899006842273918E-2</v>
          </cell>
          <cell r="AB301">
            <v>0.2803896365140508</v>
          </cell>
          <cell r="AC301">
            <v>0.14046010154207988</v>
          </cell>
          <cell r="AD301">
            <v>0.22994240137796806</v>
          </cell>
          <cell r="AE301">
            <v>0.11106976571699123</v>
          </cell>
          <cell r="AF301">
            <v>0.17050608354747965</v>
          </cell>
          <cell r="AG301">
            <v>0.16658401128750766</v>
          </cell>
          <cell r="AH301">
            <v>0.17687838075082696</v>
          </cell>
          <cell r="AI301">
            <v>-2.636639277380981E-2</v>
          </cell>
          <cell r="AJ301">
            <v>0.10393090289655915</v>
          </cell>
          <cell r="AK301">
            <v>-9.5088018580768652E-2</v>
          </cell>
          <cell r="AL301">
            <v>-6.2091619733651848E-3</v>
          </cell>
          <cell r="AN301">
            <v>-0.15475851627870429</v>
          </cell>
          <cell r="AP301">
            <v>0.17234008540234114</v>
          </cell>
          <cell r="AQ301">
            <v>0</v>
          </cell>
          <cell r="AR301">
            <v>-1.07</v>
          </cell>
          <cell r="AS301">
            <v>-0.99624821173843092</v>
          </cell>
          <cell r="AU301">
            <v>-1.0015956554243322</v>
          </cell>
          <cell r="AW301">
            <v>-1.0091942252511767</v>
          </cell>
          <cell r="AX301">
            <v>-1</v>
          </cell>
          <cell r="BG301">
            <v>6.4516129032258007E-2</v>
          </cell>
          <cell r="BH301">
            <v>0.1005586592178771</v>
          </cell>
          <cell r="BI301">
            <v>1.0869565217391353E-2</v>
          </cell>
          <cell r="BJ301">
            <v>7.0110701107011009E-2</v>
          </cell>
          <cell r="BK301">
            <v>9.7826086956521729E-2</v>
          </cell>
          <cell r="BL301">
            <v>7.7134986225895208E-2</v>
          </cell>
          <cell r="BM301">
            <v>-1.0204081632653073E-2</v>
          </cell>
          <cell r="BN301">
            <v>3.0303030303030276E-2</v>
          </cell>
          <cell r="BO301">
            <v>1.0152284263959421E-2</v>
          </cell>
          <cell r="BP301">
            <v>0</v>
          </cell>
          <cell r="BQ301">
            <v>6.8965517241379226E-2</v>
          </cell>
          <cell r="BR301">
            <v>0</v>
          </cell>
          <cell r="BS301">
            <v>7.1611253196930846E-2</v>
          </cell>
          <cell r="BT301">
            <v>0.05</v>
          </cell>
          <cell r="BU301">
            <v>0.05</v>
          </cell>
          <cell r="BV301">
            <v>5.0000000000000044E-2</v>
          </cell>
          <cell r="BW301">
            <v>0.05</v>
          </cell>
          <cell r="BX301">
            <v>5.0000000000000044E-2</v>
          </cell>
          <cell r="BY301">
            <v>5.0000000000000488E-2</v>
          </cell>
          <cell r="BZ301">
            <v>0.05</v>
          </cell>
          <cell r="CA301">
            <v>0.03</v>
          </cell>
          <cell r="CB301">
            <v>0</v>
          </cell>
          <cell r="CC301">
            <v>0</v>
          </cell>
          <cell r="CD301">
            <v>0</v>
          </cell>
          <cell r="CE301">
            <v>0</v>
          </cell>
          <cell r="CF301">
            <v>0</v>
          </cell>
          <cell r="CG301">
            <v>0</v>
          </cell>
          <cell r="CH301">
            <v>0</v>
          </cell>
          <cell r="CI301">
            <v>0</v>
          </cell>
          <cell r="CJ301">
            <v>0</v>
          </cell>
        </row>
        <row r="302">
          <cell r="A302" t="str">
            <v xml:space="preserve">      CER growth</v>
          </cell>
          <cell r="BB302">
            <v>0.17</v>
          </cell>
          <cell r="BC302">
            <v>0.2</v>
          </cell>
          <cell r="BD302">
            <v>0.15</v>
          </cell>
          <cell r="BE302">
            <v>0.19</v>
          </cell>
          <cell r="BF302">
            <v>0.15</v>
          </cell>
          <cell r="BG302">
            <v>0.14000000000000001</v>
          </cell>
          <cell r="BH302">
            <v>0.14000000000000001</v>
          </cell>
          <cell r="BI302">
            <v>0.12</v>
          </cell>
          <cell r="BJ302">
            <v>0.13</v>
          </cell>
          <cell r="BK302">
            <v>0.14000000000000001</v>
          </cell>
          <cell r="BL302">
            <v>0.14000000000000001</v>
          </cell>
          <cell r="BM302">
            <v>0.05</v>
          </cell>
          <cell r="BN302">
            <v>0.09</v>
          </cell>
          <cell r="BO302">
            <v>7.0000000000000007E-2</v>
          </cell>
          <cell r="BP302">
            <v>0.14000000000000001</v>
          </cell>
          <cell r="BQ302">
            <v>0.09</v>
          </cell>
          <cell r="BR302">
            <v>7.0000000000000007E-2</v>
          </cell>
          <cell r="BS302">
            <v>0.09</v>
          </cell>
        </row>
        <row r="304">
          <cell r="A304" t="str">
            <v>Total strategic franchise products</v>
          </cell>
          <cell r="D304">
            <v>0</v>
          </cell>
          <cell r="F304">
            <v>0</v>
          </cell>
          <cell r="H304">
            <v>0</v>
          </cell>
          <cell r="I304">
            <v>19</v>
          </cell>
          <cell r="J304">
            <v>12</v>
          </cell>
          <cell r="K304">
            <v>31</v>
          </cell>
          <cell r="L304">
            <v>10</v>
          </cell>
          <cell r="M304">
            <v>41</v>
          </cell>
          <cell r="N304">
            <v>11</v>
          </cell>
          <cell r="O304">
            <v>52</v>
          </cell>
          <cell r="P304">
            <v>17</v>
          </cell>
          <cell r="Q304">
            <v>17</v>
          </cell>
          <cell r="R304">
            <v>34</v>
          </cell>
          <cell r="S304">
            <v>20</v>
          </cell>
          <cell r="T304">
            <v>54</v>
          </cell>
          <cell r="U304">
            <v>20</v>
          </cell>
          <cell r="V304">
            <v>74</v>
          </cell>
          <cell r="W304">
            <v>20</v>
          </cell>
          <cell r="X304">
            <v>20</v>
          </cell>
          <cell r="Y304">
            <v>40</v>
          </cell>
          <cell r="Z304">
            <v>20</v>
          </cell>
          <cell r="AA304">
            <v>60</v>
          </cell>
          <cell r="AB304">
            <v>27</v>
          </cell>
          <cell r="AC304">
            <v>87</v>
          </cell>
          <cell r="AD304">
            <v>27</v>
          </cell>
          <cell r="AE304">
            <v>25</v>
          </cell>
          <cell r="AF304">
            <v>52</v>
          </cell>
          <cell r="AG304">
            <v>25</v>
          </cell>
          <cell r="AH304">
            <v>77</v>
          </cell>
          <cell r="AI304">
            <v>27</v>
          </cell>
          <cell r="AJ304">
            <v>104</v>
          </cell>
          <cell r="AK304">
            <v>24</v>
          </cell>
          <cell r="AL304">
            <v>24</v>
          </cell>
          <cell r="AM304">
            <v>48</v>
          </cell>
          <cell r="AN304">
            <v>22</v>
          </cell>
          <cell r="AO304">
            <v>70</v>
          </cell>
          <cell r="AP304">
            <v>34</v>
          </cell>
          <cell r="AQ304">
            <v>104</v>
          </cell>
          <cell r="AR304">
            <v>0</v>
          </cell>
          <cell r="AS304">
            <v>0</v>
          </cell>
          <cell r="AT304">
            <v>0</v>
          </cell>
          <cell r="AU304">
            <v>0</v>
          </cell>
          <cell r="AV304">
            <v>0</v>
          </cell>
          <cell r="AW304">
            <v>0</v>
          </cell>
          <cell r="AX304">
            <v>0</v>
          </cell>
          <cell r="AY304">
            <v>473</v>
          </cell>
          <cell r="AZ304">
            <v>517</v>
          </cell>
          <cell r="BA304">
            <v>990</v>
          </cell>
          <cell r="BB304">
            <v>496</v>
          </cell>
          <cell r="BC304">
            <v>1486</v>
          </cell>
          <cell r="BD304">
            <v>533</v>
          </cell>
          <cell r="BE304">
            <v>2019</v>
          </cell>
          <cell r="BF304">
            <v>490</v>
          </cell>
          <cell r="BG304">
            <v>514</v>
          </cell>
          <cell r="BH304">
            <v>1004</v>
          </cell>
          <cell r="BI304">
            <v>511</v>
          </cell>
          <cell r="BJ304">
            <v>1515</v>
          </cell>
          <cell r="BK304">
            <v>558</v>
          </cell>
          <cell r="BL304">
            <v>2073</v>
          </cell>
          <cell r="BM304">
            <v>510</v>
          </cell>
          <cell r="BN304">
            <v>555</v>
          </cell>
          <cell r="BO304">
            <v>1065</v>
          </cell>
          <cell r="BP304">
            <v>546</v>
          </cell>
          <cell r="BQ304">
            <v>1611</v>
          </cell>
          <cell r="BR304">
            <v>563</v>
          </cell>
          <cell r="BS304">
            <v>2174</v>
          </cell>
          <cell r="BT304">
            <v>528.340261357695</v>
          </cell>
          <cell r="BU304">
            <v>577.52116538620555</v>
          </cell>
          <cell r="BV304">
            <v>1105.8614267439004</v>
          </cell>
          <cell r="BW304">
            <v>569.44137654238477</v>
          </cell>
          <cell r="BX304">
            <v>1675.3028032862853</v>
          </cell>
          <cell r="BY304">
            <v>565.13936380893779</v>
          </cell>
          <cell r="BZ304">
            <v>2240.4421670952229</v>
          </cell>
          <cell r="CA304">
            <v>2328.1954391462691</v>
          </cell>
          <cell r="CB304">
            <v>2365.724567800798</v>
          </cell>
          <cell r="CC304">
            <v>2203.2404559131314</v>
          </cell>
          <cell r="CD304">
            <v>2143.9684681174745</v>
          </cell>
          <cell r="CE304">
            <v>2024.5125199264332</v>
          </cell>
          <cell r="CF304">
            <v>1963.3139166523652</v>
          </cell>
          <cell r="CG304">
            <v>1856.6950504423839</v>
          </cell>
          <cell r="CH304">
            <v>1853.4000973597881</v>
          </cell>
          <cell r="CI304">
            <v>1853.9925281601288</v>
          </cell>
          <cell r="CJ304">
            <v>1858.2837245735163</v>
          </cell>
          <cell r="CK304">
            <v>0</v>
          </cell>
          <cell r="CO304">
            <v>0.1</v>
          </cell>
          <cell r="CZ304">
            <v>0.42307692307692313</v>
          </cell>
          <cell r="DA304">
            <v>0.17647058823529416</v>
          </cell>
          <cell r="DB304">
            <v>0.17647058823529416</v>
          </cell>
          <cell r="DC304">
            <v>0</v>
          </cell>
          <cell r="DD304">
            <v>0</v>
          </cell>
          <cell r="DE304">
            <v>0.17567567567567566</v>
          </cell>
          <cell r="DF304">
            <v>0.05</v>
          </cell>
          <cell r="DG304">
            <v>0.05</v>
          </cell>
          <cell r="DH304">
            <v>0.05</v>
          </cell>
          <cell r="DI304">
            <v>0.05</v>
          </cell>
          <cell r="DJ304">
            <v>0.05</v>
          </cell>
          <cell r="DK304">
            <v>0.05</v>
          </cell>
        </row>
        <row r="305">
          <cell r="A305" t="str">
            <v xml:space="preserve">   growth %</v>
          </cell>
          <cell r="P305">
            <v>-2.6405879726199677E-2</v>
          </cell>
          <cell r="Q305">
            <v>0.43901192378193288</v>
          </cell>
          <cell r="R305">
            <v>0.14737546119028866</v>
          </cell>
          <cell r="S305">
            <v>0.99362859830685579</v>
          </cell>
          <cell r="T305">
            <v>0.34868354859526041</v>
          </cell>
          <cell r="U305">
            <v>0.78079469587876305</v>
          </cell>
          <cell r="V305">
            <v>0.43064576913582953</v>
          </cell>
          <cell r="W305">
            <v>0.14312424965386117</v>
          </cell>
          <cell r="X305">
            <v>0.16567678311847156</v>
          </cell>
          <cell r="Y305">
            <v>0.15440051638616636</v>
          </cell>
          <cell r="Z305">
            <v>-2.8496169108256364E-2</v>
          </cell>
          <cell r="AA305">
            <v>8.6899006842273918E-2</v>
          </cell>
          <cell r="AB305">
            <v>0.2803896365140508</v>
          </cell>
          <cell r="AC305">
            <v>0.14046010154207988</v>
          </cell>
          <cell r="AD305">
            <v>0.22994240137796806</v>
          </cell>
          <cell r="AE305">
            <v>0.11106976571699123</v>
          </cell>
          <cell r="AF305">
            <v>0.17050608354747965</v>
          </cell>
          <cell r="AG305">
            <v>0.16658401128750766</v>
          </cell>
          <cell r="AH305">
            <v>0.17687838075082696</v>
          </cell>
          <cell r="AI305">
            <v>-2.636639277380981E-2</v>
          </cell>
          <cell r="AJ305">
            <v>0.10393090289655915</v>
          </cell>
          <cell r="AK305">
            <v>-9.5088018580768652E-2</v>
          </cell>
          <cell r="AL305">
            <v>-6.2091619733651848E-3</v>
          </cell>
          <cell r="AN305">
            <v>-0.15475851627870429</v>
          </cell>
          <cell r="AP305">
            <v>0.17234008540234114</v>
          </cell>
          <cell r="AQ305">
            <v>0</v>
          </cell>
          <cell r="AR305">
            <v>-1.07</v>
          </cell>
          <cell r="AS305">
            <v>-0.99624821173843092</v>
          </cell>
          <cell r="AU305">
            <v>-1.0015956554243322</v>
          </cell>
          <cell r="AW305">
            <v>-1.0091942252511767</v>
          </cell>
          <cell r="AX305">
            <v>-1</v>
          </cell>
          <cell r="BF305">
            <v>3.5940803382663811E-2</v>
          </cell>
          <cell r="BG305">
            <v>-5.8027079303675233E-3</v>
          </cell>
          <cell r="BH305">
            <v>1.4141414141414232E-2</v>
          </cell>
          <cell r="BI305">
            <v>3.0241935483870996E-2</v>
          </cell>
          <cell r="BJ305">
            <v>1.9515477792732216E-2</v>
          </cell>
          <cell r="BK305">
            <v>4.6904315196998114E-2</v>
          </cell>
          <cell r="BL305">
            <v>2.6745913818722045E-2</v>
          </cell>
          <cell r="BM305">
            <v>4.081632653061229E-2</v>
          </cell>
          <cell r="BN305">
            <v>7.9766536964980483E-2</v>
          </cell>
          <cell r="BO305">
            <v>6.0756972111553731E-2</v>
          </cell>
          <cell r="BP305">
            <v>6.8493150684931559E-2</v>
          </cell>
          <cell r="BQ305">
            <v>6.3366336633663423E-2</v>
          </cell>
          <cell r="BR305">
            <v>8.960573476702427E-3</v>
          </cell>
          <cell r="BS305">
            <v>4.8721659430776665E-2</v>
          </cell>
          <cell r="BT305">
            <v>3.5961296779794205E-2</v>
          </cell>
          <cell r="BU305">
            <v>4.0578676371541444E-2</v>
          </cell>
          <cell r="BV305">
            <v>3.8367536848732842E-2</v>
          </cell>
          <cell r="BW305">
            <v>4.2932924070301803E-2</v>
          </cell>
          <cell r="BX305">
            <v>3.9914837545800941E-2</v>
          </cell>
          <cell r="BY305">
            <v>3.7999357174738346E-3</v>
          </cell>
          <cell r="BZ305">
            <v>3.05621743768274E-2</v>
          </cell>
          <cell r="CA305">
            <v>3.9167836304750514E-2</v>
          </cell>
          <cell r="CB305">
            <v>1.6119406482597798E-2</v>
          </cell>
          <cell r="CC305">
            <v>-6.8682599022384716E-2</v>
          </cell>
          <cell r="CD305">
            <v>-2.6902187474172834E-2</v>
          </cell>
          <cell r="CE305">
            <v>-5.5717213180812464E-2</v>
          </cell>
          <cell r="CF305">
            <v>-3.0228809489551534E-2</v>
          </cell>
          <cell r="CG305">
            <v>-5.4305562297330634E-2</v>
          </cell>
          <cell r="CH305">
            <v>-1.7746334174859602E-3</v>
          </cell>
          <cell r="CI305">
            <v>3.1964539183126917E-4</v>
          </cell>
          <cell r="CJ305">
            <v>2.314570500262958E-3</v>
          </cell>
        </row>
        <row r="306">
          <cell r="A306" t="str">
            <v xml:space="preserve">      CER growth</v>
          </cell>
          <cell r="BB306">
            <v>0.05</v>
          </cell>
          <cell r="BC306">
            <v>0.08</v>
          </cell>
          <cell r="BD306">
            <v>-0.08</v>
          </cell>
          <cell r="BE306">
            <v>0.03</v>
          </cell>
          <cell r="BG306">
            <v>0.05</v>
          </cell>
          <cell r="BH306">
            <v>0.05</v>
          </cell>
          <cell r="BI306">
            <v>0.11</v>
          </cell>
          <cell r="BJ306">
            <v>7.0000000000000007E-2</v>
          </cell>
          <cell r="BK306">
            <v>7.0000000000000007E-2</v>
          </cell>
          <cell r="BL306">
            <v>7.0000000000000007E-2</v>
          </cell>
          <cell r="BM306">
            <v>0.08</v>
          </cell>
          <cell r="BN306">
            <v>0.13</v>
          </cell>
          <cell r="BO306">
            <v>0.1</v>
          </cell>
          <cell r="BP306">
            <v>0.09</v>
          </cell>
          <cell r="BQ306">
            <v>0.1</v>
          </cell>
          <cell r="BR306">
            <v>0.03</v>
          </cell>
          <cell r="BS306">
            <v>0.08</v>
          </cell>
        </row>
        <row r="309">
          <cell r="A309" t="str">
            <v>Everolimus sales to stent</v>
          </cell>
          <cell r="AK309">
            <v>69</v>
          </cell>
          <cell r="AL309">
            <v>47</v>
          </cell>
          <cell r="AM309">
            <v>116</v>
          </cell>
          <cell r="AN309">
            <v>67</v>
          </cell>
          <cell r="AO309">
            <v>183</v>
          </cell>
          <cell r="AP309">
            <v>32</v>
          </cell>
          <cell r="AQ309">
            <v>215</v>
          </cell>
          <cell r="AR309">
            <v>63</v>
          </cell>
          <cell r="AS309">
            <v>71</v>
          </cell>
          <cell r="AT309">
            <v>134</v>
          </cell>
          <cell r="AU309">
            <v>63</v>
          </cell>
          <cell r="AV309">
            <v>197</v>
          </cell>
          <cell r="AW309">
            <v>43</v>
          </cell>
          <cell r="AX309">
            <v>240</v>
          </cell>
          <cell r="AY309">
            <v>83</v>
          </cell>
          <cell r="AZ309">
            <v>80</v>
          </cell>
          <cell r="BA309">
            <v>163</v>
          </cell>
          <cell r="BB309">
            <v>49</v>
          </cell>
          <cell r="BC309">
            <v>212</v>
          </cell>
          <cell r="BD309">
            <v>44</v>
          </cell>
          <cell r="BE309">
            <v>256</v>
          </cell>
          <cell r="BF309">
            <v>86</v>
          </cell>
          <cell r="BG309">
            <v>81</v>
          </cell>
          <cell r="BH309">
            <v>167</v>
          </cell>
          <cell r="BI309">
            <v>44</v>
          </cell>
          <cell r="BJ309">
            <v>211</v>
          </cell>
          <cell r="BK309">
            <v>45</v>
          </cell>
          <cell r="BL309">
            <v>256</v>
          </cell>
          <cell r="BM309">
            <v>80</v>
          </cell>
          <cell r="BN309">
            <v>81</v>
          </cell>
          <cell r="BO309">
            <v>161</v>
          </cell>
          <cell r="BP309">
            <v>40</v>
          </cell>
          <cell r="BQ309">
            <v>201</v>
          </cell>
          <cell r="BR309">
            <v>46</v>
          </cell>
          <cell r="BS309">
            <v>247</v>
          </cell>
          <cell r="BT309">
            <v>77.599999999999994</v>
          </cell>
          <cell r="BU309">
            <v>78.569999999999993</v>
          </cell>
          <cell r="BV309">
            <v>156.16999999999999</v>
          </cell>
          <cell r="BW309">
            <v>38.799999999999997</v>
          </cell>
          <cell r="BX309">
            <v>194.96999999999997</v>
          </cell>
          <cell r="BY309">
            <v>44.620000000000033</v>
          </cell>
          <cell r="BZ309">
            <v>239.59</v>
          </cell>
          <cell r="CA309">
            <v>232.4023</v>
          </cell>
          <cell r="CB309">
            <v>232.4023</v>
          </cell>
          <cell r="CC309">
            <v>232.4023</v>
          </cell>
          <cell r="CD309">
            <v>232.4023</v>
          </cell>
          <cell r="CE309">
            <v>232.4023</v>
          </cell>
          <cell r="CF309">
            <v>232.4023</v>
          </cell>
          <cell r="CG309">
            <v>232.4023</v>
          </cell>
          <cell r="CH309">
            <v>232.4023</v>
          </cell>
          <cell r="CI309">
            <v>232.4023</v>
          </cell>
          <cell r="CJ309">
            <v>232.4023</v>
          </cell>
          <cell r="CO309">
            <v>0.1</v>
          </cell>
          <cell r="CV309" t="e">
            <v>#DIV/0!</v>
          </cell>
          <cell r="CW309" t="e">
            <v>#DIV/0!</v>
          </cell>
          <cell r="CX309" t="e">
            <v>#DIV/0!</v>
          </cell>
          <cell r="CY309" t="e">
            <v>#DIV/0!</v>
          </cell>
          <cell r="CZ309" t="e">
            <v>#DIV/0!</v>
          </cell>
          <cell r="DA309" t="e">
            <v>#DIV/0!</v>
          </cell>
          <cell r="DB309" t="e">
            <v>#DIV/0!</v>
          </cell>
          <cell r="DC309" t="e">
            <v>#DIV/0!</v>
          </cell>
          <cell r="DD309">
            <v>0.1</v>
          </cell>
          <cell r="DE309" t="e">
            <v>#DIV/0!</v>
          </cell>
          <cell r="DF309">
            <v>0.08</v>
          </cell>
          <cell r="DG309">
            <v>0.06</v>
          </cell>
          <cell r="DH309">
            <v>0.04</v>
          </cell>
          <cell r="DI309">
            <v>0.03</v>
          </cell>
          <cell r="DJ309">
            <v>0.03</v>
          </cell>
          <cell r="DK309">
            <v>0.03</v>
          </cell>
        </row>
        <row r="310">
          <cell r="A310" t="str">
            <v xml:space="preserve">   growth %</v>
          </cell>
          <cell r="AR310">
            <v>-0.15144595179256004</v>
          </cell>
          <cell r="AS310">
            <v>0.55587486032281719</v>
          </cell>
          <cell r="AU310">
            <v>1.7996540638054448E-3</v>
          </cell>
          <cell r="AW310">
            <v>0.39027613534594008</v>
          </cell>
          <cell r="AX310">
            <v>0.11627906976744184</v>
          </cell>
          <cell r="AY310">
            <v>0.31746031746031744</v>
          </cell>
          <cell r="AZ310">
            <v>0.12676056338028174</v>
          </cell>
          <cell r="BA310">
            <v>0.21641791044776126</v>
          </cell>
          <cell r="BB310">
            <v>-0.22222222222222221</v>
          </cell>
          <cell r="BC310">
            <v>7.6142131979695327E-2</v>
          </cell>
          <cell r="BD310">
            <v>2.3255813953488413E-2</v>
          </cell>
          <cell r="BE310">
            <v>6.6666666666666652E-2</v>
          </cell>
          <cell r="BF310">
            <v>3.6144578313253017E-2</v>
          </cell>
          <cell r="BG310">
            <v>1.2499999999999956E-2</v>
          </cell>
          <cell r="BH310">
            <v>2.4539877300613577E-2</v>
          </cell>
          <cell r="BI310">
            <v>-0.10204081632653061</v>
          </cell>
          <cell r="BJ310">
            <v>-4.7169811320755262E-3</v>
          </cell>
          <cell r="BK310">
            <v>2.2727272727272707E-2</v>
          </cell>
          <cell r="BL310">
            <v>0</v>
          </cell>
          <cell r="BM310">
            <v>-6.9767441860465129E-2</v>
          </cell>
          <cell r="BN310">
            <v>0</v>
          </cell>
          <cell r="BO310">
            <v>-3.59281437125748E-2</v>
          </cell>
          <cell r="BP310">
            <v>-9.0909090909090939E-2</v>
          </cell>
          <cell r="BQ310">
            <v>-4.7393364928909998E-2</v>
          </cell>
          <cell r="BR310">
            <v>0</v>
          </cell>
          <cell r="BS310">
            <v>-3.515625E-2</v>
          </cell>
          <cell r="BT310">
            <v>-0.03</v>
          </cell>
          <cell r="BU310">
            <v>-0.03</v>
          </cell>
          <cell r="BV310">
            <v>-3.0000000000000027E-2</v>
          </cell>
          <cell r="BW310">
            <v>-0.03</v>
          </cell>
          <cell r="BX310">
            <v>-3.0000000000000138E-2</v>
          </cell>
          <cell r="BY310">
            <v>-2.9999999999999249E-2</v>
          </cell>
          <cell r="BZ310">
            <v>-0.03</v>
          </cell>
          <cell r="CA310">
            <v>-0.03</v>
          </cell>
          <cell r="CB310">
            <v>0</v>
          </cell>
          <cell r="CC310">
            <v>0</v>
          </cell>
          <cell r="CD310">
            <v>0</v>
          </cell>
          <cell r="CE310">
            <v>0</v>
          </cell>
          <cell r="CF310">
            <v>0</v>
          </cell>
          <cell r="CG310">
            <v>0</v>
          </cell>
          <cell r="CH310">
            <v>0</v>
          </cell>
          <cell r="CI310">
            <v>0</v>
          </cell>
          <cell r="CJ310">
            <v>0</v>
          </cell>
        </row>
        <row r="311">
          <cell r="A311" t="str">
            <v xml:space="preserve">      CER growth</v>
          </cell>
          <cell r="BB311">
            <v>-0.37</v>
          </cell>
          <cell r="BC311">
            <v>-0.1</v>
          </cell>
          <cell r="BD311">
            <v>-0.05</v>
          </cell>
          <cell r="BE311">
            <v>-0.1</v>
          </cell>
          <cell r="BF311">
            <v>0.01</v>
          </cell>
          <cell r="BG311">
            <v>0.1</v>
          </cell>
          <cell r="BH311">
            <v>0.05</v>
          </cell>
          <cell r="BI311">
            <v>0.03</v>
          </cell>
          <cell r="BJ311">
            <v>0.05</v>
          </cell>
          <cell r="BK311">
            <v>0.05</v>
          </cell>
          <cell r="BL311">
            <v>0.05</v>
          </cell>
          <cell r="BM311">
            <v>-0.06</v>
          </cell>
          <cell r="BN311">
            <v>0</v>
          </cell>
          <cell r="BO311">
            <v>-0.03</v>
          </cell>
          <cell r="BP311">
            <v>-0.11</v>
          </cell>
          <cell r="BQ311">
            <v>-0.05</v>
          </cell>
          <cell r="BR311">
            <v>-0.02</v>
          </cell>
          <cell r="BS311">
            <v>-0.04</v>
          </cell>
        </row>
        <row r="313">
          <cell r="A313" t="str">
            <v>Established Medicines</v>
          </cell>
          <cell r="D313">
            <v>0</v>
          </cell>
          <cell r="F313">
            <v>0</v>
          </cell>
          <cell r="H313">
            <v>0</v>
          </cell>
          <cell r="I313">
            <v>19</v>
          </cell>
          <cell r="J313">
            <v>12</v>
          </cell>
          <cell r="K313">
            <v>31</v>
          </cell>
          <cell r="L313">
            <v>10</v>
          </cell>
          <cell r="M313">
            <v>41</v>
          </cell>
          <cell r="N313">
            <v>11</v>
          </cell>
          <cell r="O313">
            <v>52</v>
          </cell>
          <cell r="P313">
            <v>17</v>
          </cell>
          <cell r="Q313">
            <v>17</v>
          </cell>
          <cell r="R313">
            <v>34</v>
          </cell>
          <cell r="S313">
            <v>20</v>
          </cell>
          <cell r="T313">
            <v>54</v>
          </cell>
          <cell r="U313">
            <v>20</v>
          </cell>
          <cell r="V313">
            <v>74</v>
          </cell>
          <cell r="W313">
            <v>20</v>
          </cell>
          <cell r="X313">
            <v>20</v>
          </cell>
          <cell r="Y313">
            <v>40</v>
          </cell>
          <cell r="Z313">
            <v>20</v>
          </cell>
          <cell r="AA313">
            <v>60</v>
          </cell>
          <cell r="AB313">
            <v>27</v>
          </cell>
          <cell r="AC313">
            <v>87</v>
          </cell>
          <cell r="AD313">
            <v>27</v>
          </cell>
          <cell r="AE313">
            <v>25</v>
          </cell>
          <cell r="AF313">
            <v>52</v>
          </cell>
          <cell r="AG313">
            <v>25</v>
          </cell>
          <cell r="AH313">
            <v>77</v>
          </cell>
          <cell r="AI313">
            <v>27</v>
          </cell>
          <cell r="AJ313">
            <v>104</v>
          </cell>
          <cell r="AK313">
            <v>24</v>
          </cell>
          <cell r="AL313">
            <v>24</v>
          </cell>
          <cell r="AM313">
            <v>48</v>
          </cell>
          <cell r="AN313">
            <v>22</v>
          </cell>
          <cell r="AO313">
            <v>70</v>
          </cell>
          <cell r="AP313">
            <v>34</v>
          </cell>
          <cell r="AQ313">
            <v>104</v>
          </cell>
          <cell r="AR313">
            <v>0</v>
          </cell>
          <cell r="AS313">
            <v>0</v>
          </cell>
          <cell r="AT313">
            <v>0</v>
          </cell>
          <cell r="AU313">
            <v>0</v>
          </cell>
          <cell r="AV313">
            <v>0</v>
          </cell>
          <cell r="AW313">
            <v>0</v>
          </cell>
          <cell r="AX313">
            <v>0</v>
          </cell>
          <cell r="AY313">
            <v>298</v>
          </cell>
          <cell r="AZ313">
            <v>321</v>
          </cell>
          <cell r="BA313">
            <v>619</v>
          </cell>
          <cell r="BB313">
            <v>360</v>
          </cell>
          <cell r="BC313">
            <v>979</v>
          </cell>
          <cell r="BD313">
            <v>366</v>
          </cell>
          <cell r="BE313">
            <v>1345</v>
          </cell>
          <cell r="BF313">
            <v>285</v>
          </cell>
          <cell r="BG313">
            <v>294</v>
          </cell>
          <cell r="BH313">
            <v>579</v>
          </cell>
          <cell r="BI313">
            <v>252</v>
          </cell>
          <cell r="BJ313">
            <v>831</v>
          </cell>
          <cell r="BK313">
            <v>329</v>
          </cell>
          <cell r="BL313">
            <v>1160</v>
          </cell>
          <cell r="BM313">
            <v>240</v>
          </cell>
          <cell r="BN313">
            <v>226</v>
          </cell>
          <cell r="BO313">
            <v>466</v>
          </cell>
          <cell r="BP313">
            <v>193</v>
          </cell>
          <cell r="BQ313">
            <v>659</v>
          </cell>
          <cell r="BR313">
            <v>193</v>
          </cell>
          <cell r="BS313">
            <v>852</v>
          </cell>
          <cell r="BT313">
            <v>192</v>
          </cell>
          <cell r="BU313">
            <v>180.8</v>
          </cell>
          <cell r="BV313">
            <v>372.8</v>
          </cell>
          <cell r="BW313">
            <v>173.70000000000002</v>
          </cell>
          <cell r="BX313">
            <v>546.5</v>
          </cell>
          <cell r="BY313">
            <v>169.17999999999995</v>
          </cell>
          <cell r="BZ313">
            <v>715.68</v>
          </cell>
          <cell r="CA313">
            <v>679.89599999999996</v>
          </cell>
          <cell r="CB313">
            <v>645.9011999999999</v>
          </cell>
          <cell r="CC313">
            <v>613.60613999999987</v>
          </cell>
          <cell r="CD313">
            <v>582.9258329999999</v>
          </cell>
          <cell r="CE313">
            <v>553.77954134999993</v>
          </cell>
          <cell r="CF313">
            <v>526.09056428249994</v>
          </cell>
          <cell r="CG313">
            <v>499.78603606837493</v>
          </cell>
          <cell r="CH313">
            <v>474.79673426495617</v>
          </cell>
          <cell r="CI313">
            <v>451.05689755170835</v>
          </cell>
          <cell r="CJ313">
            <v>428.50405267412293</v>
          </cell>
          <cell r="CO313">
            <v>0.1</v>
          </cell>
          <cell r="CZ313">
            <v>0.42307692307692313</v>
          </cell>
          <cell r="DA313">
            <v>0.17647058823529416</v>
          </cell>
          <cell r="DB313">
            <v>0.17647058823529416</v>
          </cell>
          <cell r="DC313">
            <v>0</v>
          </cell>
          <cell r="DD313">
            <v>0</v>
          </cell>
          <cell r="DE313">
            <v>0.17567567567567566</v>
          </cell>
          <cell r="DF313">
            <v>0.05</v>
          </cell>
          <cell r="DG313">
            <v>0.05</v>
          </cell>
          <cell r="DH313">
            <v>0.05</v>
          </cell>
          <cell r="DI313">
            <v>0.05</v>
          </cell>
          <cell r="DJ313">
            <v>0.05</v>
          </cell>
          <cell r="DK313">
            <v>0.05</v>
          </cell>
        </row>
        <row r="314">
          <cell r="A314" t="str">
            <v xml:space="preserve">   growth %</v>
          </cell>
          <cell r="P314">
            <v>-2.6405879726199677E-2</v>
          </cell>
          <cell r="Q314">
            <v>0.43901192378193288</v>
          </cell>
          <cell r="R314">
            <v>0.14737546119028866</v>
          </cell>
          <cell r="S314">
            <v>0.99362859830685579</v>
          </cell>
          <cell r="T314">
            <v>0.34868354859526041</v>
          </cell>
          <cell r="U314">
            <v>0.78079469587876305</v>
          </cell>
          <cell r="V314">
            <v>0.43064576913582953</v>
          </cell>
          <cell r="W314">
            <v>0.14312424965386117</v>
          </cell>
          <cell r="X314">
            <v>0.16567678311847156</v>
          </cell>
          <cell r="Y314">
            <v>0.15440051638616636</v>
          </cell>
          <cell r="Z314">
            <v>-2.8496169108256364E-2</v>
          </cell>
          <cell r="AA314">
            <v>8.6899006842273918E-2</v>
          </cell>
          <cell r="AB314">
            <v>0.2803896365140508</v>
          </cell>
          <cell r="AC314">
            <v>0.14046010154207988</v>
          </cell>
          <cell r="AD314">
            <v>0.22994240137796806</v>
          </cell>
          <cell r="AE314">
            <v>0.11106976571699123</v>
          </cell>
          <cell r="AF314">
            <v>0.17050608354747965</v>
          </cell>
          <cell r="AG314">
            <v>0.16658401128750766</v>
          </cell>
          <cell r="AH314">
            <v>0.17687838075082696</v>
          </cell>
          <cell r="AI314">
            <v>-2.636639277380981E-2</v>
          </cell>
          <cell r="AJ314">
            <v>0.10393090289655915</v>
          </cell>
          <cell r="AK314">
            <v>-9.5088018580768652E-2</v>
          </cell>
          <cell r="AL314">
            <v>-6.2091619733651848E-3</v>
          </cell>
          <cell r="AN314">
            <v>-0.15475851627870429</v>
          </cell>
          <cell r="AP314">
            <v>0.17234008540234114</v>
          </cell>
          <cell r="AQ314">
            <v>0</v>
          </cell>
          <cell r="AR314">
            <v>-1.07</v>
          </cell>
          <cell r="AS314">
            <v>-0.99624821173843092</v>
          </cell>
          <cell r="AU314">
            <v>-1.0015956554243322</v>
          </cell>
          <cell r="AW314">
            <v>-1.0091942252511767</v>
          </cell>
          <cell r="AX314">
            <v>-1</v>
          </cell>
          <cell r="BG314">
            <v>-8.411214953271029E-2</v>
          </cell>
          <cell r="BH314">
            <v>-6.4620355411954766E-2</v>
          </cell>
          <cell r="BI314">
            <v>-0.30000000000000004</v>
          </cell>
          <cell r="BJ314">
            <v>-0.15117466802860058</v>
          </cell>
          <cell r="BK314">
            <v>-0.10109289617486339</v>
          </cell>
          <cell r="BL314">
            <v>-0.13754646840148699</v>
          </cell>
          <cell r="BM314">
            <v>-0.15789473684210531</v>
          </cell>
          <cell r="BN314">
            <v>-0.23129251700680276</v>
          </cell>
          <cell r="BO314">
            <v>-0.19516407599309149</v>
          </cell>
          <cell r="BP314">
            <v>-0.23412698412698407</v>
          </cell>
          <cell r="BQ314">
            <v>-0.20697954271961494</v>
          </cell>
          <cell r="BR314">
            <v>-0.15</v>
          </cell>
          <cell r="BS314">
            <v>-0.26551724137931032</v>
          </cell>
          <cell r="BT314">
            <v>-0.2</v>
          </cell>
          <cell r="BU314">
            <v>-0.2</v>
          </cell>
          <cell r="BV314">
            <v>-0.19999999999999996</v>
          </cell>
          <cell r="BW314">
            <v>-0.1</v>
          </cell>
          <cell r="BX314">
            <v>-0.17071320182094085</v>
          </cell>
          <cell r="BY314">
            <v>-0.12341968911917123</v>
          </cell>
          <cell r="BZ314">
            <v>-0.16</v>
          </cell>
          <cell r="CA314">
            <v>-0.05</v>
          </cell>
          <cell r="CB314">
            <v>-0.05</v>
          </cell>
          <cell r="CC314">
            <v>-0.05</v>
          </cell>
          <cell r="CD314">
            <v>-0.05</v>
          </cell>
          <cell r="CE314">
            <v>-0.05</v>
          </cell>
          <cell r="CF314">
            <v>-0.05</v>
          </cell>
          <cell r="CG314">
            <v>-0.05</v>
          </cell>
          <cell r="CH314">
            <v>-0.05</v>
          </cell>
          <cell r="CI314">
            <v>-0.05</v>
          </cell>
          <cell r="CJ314">
            <v>-0.05</v>
          </cell>
        </row>
        <row r="315">
          <cell r="A315" t="str">
            <v xml:space="preserve">      CER growth</v>
          </cell>
          <cell r="O315">
            <v>0</v>
          </cell>
          <cell r="V315">
            <v>172</v>
          </cell>
          <cell r="AC315">
            <v>273</v>
          </cell>
          <cell r="AJ315">
            <v>295</v>
          </cell>
          <cell r="AQ315">
            <v>300</v>
          </cell>
          <cell r="AX315">
            <v>279</v>
          </cell>
          <cell r="BB315">
            <v>-0.08</v>
          </cell>
          <cell r="BC315">
            <v>-0.02</v>
          </cell>
          <cell r="BD315">
            <v>-0.08</v>
          </cell>
          <cell r="BE315">
            <v>-0.04</v>
          </cell>
          <cell r="BF315">
            <v>-0.04</v>
          </cell>
          <cell r="BG315">
            <v>-0.05</v>
          </cell>
          <cell r="BH315">
            <v>-0.05</v>
          </cell>
          <cell r="BI315">
            <v>-0.12</v>
          </cell>
          <cell r="BJ315">
            <v>-7.0000000000000007E-2</v>
          </cell>
          <cell r="BK315">
            <v>0.09</v>
          </cell>
          <cell r="BL315">
            <v>-0.03</v>
          </cell>
          <cell r="BM315">
            <v>-0.15</v>
          </cell>
          <cell r="BN315">
            <v>-0.23</v>
          </cell>
          <cell r="BO315">
            <v>-0.19</v>
          </cell>
          <cell r="BP315">
            <v>-0.23</v>
          </cell>
          <cell r="BQ315">
            <v>-0.2</v>
          </cell>
          <cell r="BR315">
            <v>-0.41</v>
          </cell>
          <cell r="BS315">
            <v>-0.26</v>
          </cell>
        </row>
        <row r="317">
          <cell r="A317" t="str">
            <v>Total IHC sales</v>
          </cell>
          <cell r="AY317">
            <v>854</v>
          </cell>
          <cell r="AZ317">
            <v>918</v>
          </cell>
          <cell r="BA317">
            <v>1772</v>
          </cell>
          <cell r="BB317">
            <v>905</v>
          </cell>
          <cell r="BC317">
            <v>2677</v>
          </cell>
          <cell r="BD317">
            <v>943</v>
          </cell>
          <cell r="BE317">
            <v>3620</v>
          </cell>
          <cell r="BF317">
            <v>861</v>
          </cell>
          <cell r="BG317">
            <v>889</v>
          </cell>
          <cell r="BH317">
            <v>1750</v>
          </cell>
          <cell r="BI317">
            <v>807</v>
          </cell>
          <cell r="BJ317">
            <v>2557</v>
          </cell>
          <cell r="BK317">
            <v>932</v>
          </cell>
          <cell r="BL317">
            <v>3489</v>
          </cell>
          <cell r="BM317">
            <v>830</v>
          </cell>
          <cell r="BN317">
            <v>862</v>
          </cell>
          <cell r="BO317">
            <v>1692</v>
          </cell>
          <cell r="BP317">
            <v>779</v>
          </cell>
          <cell r="BQ317">
            <v>2471</v>
          </cell>
          <cell r="BR317">
            <v>802</v>
          </cell>
          <cell r="BS317">
            <v>3273</v>
          </cell>
          <cell r="BT317">
            <v>797.94026135769502</v>
          </cell>
          <cell r="BU317">
            <v>836.89116538620556</v>
          </cell>
          <cell r="BV317">
            <v>1634.8314267439005</v>
          </cell>
          <cell r="BW317">
            <v>781.94137654238477</v>
          </cell>
          <cell r="BX317">
            <v>2416.7728032862851</v>
          </cell>
          <cell r="BY317">
            <v>778.93936380893774</v>
          </cell>
          <cell r="BZ317">
            <v>3195.7121670952229</v>
          </cell>
          <cell r="CA317">
            <v>3240.493739146269</v>
          </cell>
          <cell r="CB317">
            <v>3244.028067800798</v>
          </cell>
          <cell r="CC317">
            <v>3049.2488959131315</v>
          </cell>
          <cell r="CD317">
            <v>2959.2966011174744</v>
          </cell>
          <cell r="CE317">
            <v>2810.694361276433</v>
          </cell>
          <cell r="CF317">
            <v>2721.8067809348649</v>
          </cell>
          <cell r="CG317">
            <v>2588.883386510759</v>
          </cell>
          <cell r="CH317">
            <v>2560.5991316247441</v>
          </cell>
          <cell r="CI317">
            <v>2537.4517257118373</v>
          </cell>
          <cell r="CJ317">
            <v>2519.1900772476392</v>
          </cell>
          <cell r="CK317">
            <v>0</v>
          </cell>
        </row>
        <row r="318">
          <cell r="A318" t="str">
            <v xml:space="preserve">   growth %</v>
          </cell>
          <cell r="O318">
            <v>92</v>
          </cell>
          <cell r="V318">
            <v>109</v>
          </cell>
          <cell r="AC318">
            <v>97</v>
          </cell>
          <cell r="AJ318">
            <v>87</v>
          </cell>
          <cell r="AQ318">
            <v>88</v>
          </cell>
          <cell r="AX318">
            <v>174</v>
          </cell>
          <cell r="BF318">
            <v>8.1967213114753079E-3</v>
          </cell>
          <cell r="BG318">
            <v>-3.1590413943355156E-2</v>
          </cell>
          <cell r="BH318">
            <v>-1.241534988713322E-2</v>
          </cell>
          <cell r="BI318">
            <v>-0.10828729281767957</v>
          </cell>
          <cell r="BJ318">
            <v>-4.4826298094882366E-2</v>
          </cell>
          <cell r="BK318">
            <v>-1.166489925768821E-2</v>
          </cell>
          <cell r="BL318">
            <v>-3.6187845303867427E-2</v>
          </cell>
          <cell r="BM318">
            <v>-3.6004645760743359E-2</v>
          </cell>
          <cell r="BN318">
            <v>-3.0371203599550034E-2</v>
          </cell>
          <cell r="BO318">
            <v>-3.3142857142857141E-2</v>
          </cell>
          <cell r="BP318">
            <v>-3.4696406443618377E-2</v>
          </cell>
          <cell r="BQ318">
            <v>-3.3633163863903026E-2</v>
          </cell>
          <cell r="BR318">
            <v>-0.13948497854077258</v>
          </cell>
          <cell r="BS318">
            <v>-6.1908856405846979E-2</v>
          </cell>
          <cell r="BT318">
            <v>-3.8626191135307186E-2</v>
          </cell>
          <cell r="BU318">
            <v>-2.9128578438276653E-2</v>
          </cell>
          <cell r="BV318">
            <v>-3.3787572846394553E-2</v>
          </cell>
          <cell r="BW318">
            <v>3.7758363830355801E-3</v>
          </cell>
          <cell r="BX318">
            <v>-2.1945445857432189E-2</v>
          </cell>
          <cell r="BY318">
            <v>-2.8753910462671173E-2</v>
          </cell>
          <cell r="BZ318">
            <v>-2.3613758907661819E-2</v>
          </cell>
          <cell r="CA318">
            <v>1.4013017978321551E-2</v>
          </cell>
          <cell r="CB318">
            <v>1.0906759707118852E-3</v>
          </cell>
          <cell r="CC318">
            <v>-6.0042381821841628E-2</v>
          </cell>
          <cell r="CD318">
            <v>-2.9499820403712795E-2</v>
          </cell>
          <cell r="CE318">
            <v>-5.021539232834149E-2</v>
          </cell>
          <cell r="CF318">
            <v>-3.1624776271014121E-2</v>
          </cell>
          <cell r="CG318">
            <v>-4.8836455017740255E-2</v>
          </cell>
          <cell r="CH318">
            <v>-1.0925271888795218E-2</v>
          </cell>
          <cell r="CI318">
            <v>-9.0398397886745085E-3</v>
          </cell>
          <cell r="CJ318">
            <v>-7.1968456696748229E-3</v>
          </cell>
        </row>
        <row r="319">
          <cell r="A319" t="str">
            <v xml:space="preserve">      CER growth</v>
          </cell>
          <cell r="BB319">
            <v>-0.01</v>
          </cell>
          <cell r="BC319">
            <v>0.03</v>
          </cell>
          <cell r="BD319">
            <v>0.03</v>
          </cell>
          <cell r="BE319">
            <v>0.03</v>
          </cell>
          <cell r="BF319">
            <v>0.02</v>
          </cell>
          <cell r="BG319">
            <v>0.02</v>
          </cell>
          <cell r="BH319">
            <v>0.02</v>
          </cell>
          <cell r="BI319">
            <v>0.02</v>
          </cell>
          <cell r="BJ319">
            <v>0.02</v>
          </cell>
          <cell r="BK319">
            <v>0.08</v>
          </cell>
          <cell r="BL319">
            <v>0.03</v>
          </cell>
          <cell r="BM319">
            <v>-0.01</v>
          </cell>
          <cell r="BN319">
            <v>0</v>
          </cell>
          <cell r="BO319">
            <v>-0.01</v>
          </cell>
          <cell r="BP319">
            <v>-0.02</v>
          </cell>
          <cell r="BQ319">
            <v>-0.01</v>
          </cell>
          <cell r="BR319">
            <v>-0.13</v>
          </cell>
          <cell r="BS319">
            <v>-0.04</v>
          </cell>
        </row>
        <row r="321">
          <cell r="A321" t="str">
            <v>Specialty - Critical Care</v>
          </cell>
          <cell r="BE321">
            <v>774</v>
          </cell>
          <cell r="BL321">
            <v>821</v>
          </cell>
          <cell r="BS321">
            <v>399</v>
          </cell>
          <cell r="BZ321">
            <v>422.39599631348739</v>
          </cell>
          <cell r="CA321">
            <v>443.5157961291618</v>
          </cell>
          <cell r="CB321">
            <v>465.69158593561991</v>
          </cell>
          <cell r="CC321">
            <v>442.40700663883888</v>
          </cell>
          <cell r="CD321">
            <v>420.28665630689693</v>
          </cell>
          <cell r="CE321">
            <v>399.27232349155207</v>
          </cell>
          <cell r="CF321">
            <v>379.30870731697445</v>
          </cell>
          <cell r="CG321">
            <v>360.3432719511257</v>
          </cell>
          <cell r="CH321">
            <v>342.3261083535694</v>
          </cell>
          <cell r="CI321">
            <v>325.20980293589093</v>
          </cell>
        </row>
        <row r="323">
          <cell r="A323" t="str">
            <v>TOBI</v>
          </cell>
          <cell r="D323">
            <v>0</v>
          </cell>
          <cell r="F323">
            <v>0</v>
          </cell>
          <cell r="H323">
            <v>0</v>
          </cell>
          <cell r="K323">
            <v>0</v>
          </cell>
          <cell r="M323">
            <v>0</v>
          </cell>
          <cell r="O323">
            <v>0</v>
          </cell>
          <cell r="P323">
            <v>0</v>
          </cell>
          <cell r="Q323">
            <v>44</v>
          </cell>
          <cell r="R323">
            <v>44</v>
          </cell>
          <cell r="S323">
            <v>60</v>
          </cell>
          <cell r="T323">
            <v>104</v>
          </cell>
          <cell r="U323">
            <v>68</v>
          </cell>
          <cell r="V323">
            <v>172</v>
          </cell>
          <cell r="W323">
            <v>69</v>
          </cell>
          <cell r="X323">
            <v>65</v>
          </cell>
          <cell r="Y323">
            <v>134</v>
          </cell>
          <cell r="Z323">
            <v>67</v>
          </cell>
          <cell r="AA323">
            <v>201</v>
          </cell>
          <cell r="AB323">
            <v>72</v>
          </cell>
          <cell r="AC323">
            <v>273</v>
          </cell>
          <cell r="AD323">
            <v>73</v>
          </cell>
          <cell r="AE323">
            <v>72</v>
          </cell>
          <cell r="AF323">
            <v>145</v>
          </cell>
          <cell r="AG323">
            <v>74</v>
          </cell>
          <cell r="AH323">
            <v>219</v>
          </cell>
          <cell r="AI323">
            <v>76</v>
          </cell>
          <cell r="AJ323">
            <v>295</v>
          </cell>
          <cell r="AK323">
            <v>74</v>
          </cell>
          <cell r="AL323">
            <v>69</v>
          </cell>
          <cell r="AM323">
            <v>143</v>
          </cell>
          <cell r="AN323">
            <v>76</v>
          </cell>
          <cell r="AO323">
            <v>219</v>
          </cell>
          <cell r="AP323">
            <v>81</v>
          </cell>
          <cell r="AQ323">
            <v>300</v>
          </cell>
          <cell r="AR323">
            <v>65</v>
          </cell>
          <cell r="AS323">
            <v>72</v>
          </cell>
          <cell r="AT323">
            <v>137</v>
          </cell>
          <cell r="AU323">
            <v>70</v>
          </cell>
          <cell r="AV323">
            <v>207</v>
          </cell>
          <cell r="AW323">
            <v>72</v>
          </cell>
          <cell r="AX323">
            <v>279</v>
          </cell>
          <cell r="AY323">
            <v>71</v>
          </cell>
          <cell r="AZ323">
            <v>70</v>
          </cell>
          <cell r="BA323">
            <v>141</v>
          </cell>
          <cell r="BB323">
            <v>76</v>
          </cell>
          <cell r="BC323">
            <v>217</v>
          </cell>
          <cell r="BD323">
            <v>79</v>
          </cell>
          <cell r="BE323">
            <v>296</v>
          </cell>
          <cell r="BF323">
            <v>76</v>
          </cell>
          <cell r="BG323">
            <v>76</v>
          </cell>
          <cell r="BH323">
            <v>152</v>
          </cell>
          <cell r="BI323">
            <v>75</v>
          </cell>
          <cell r="BJ323">
            <v>227</v>
          </cell>
          <cell r="BK323">
            <v>90</v>
          </cell>
          <cell r="BL323">
            <v>317</v>
          </cell>
          <cell r="BM323">
            <v>83</v>
          </cell>
          <cell r="BN323">
            <v>107</v>
          </cell>
          <cell r="BO323">
            <v>190</v>
          </cell>
          <cell r="BP323">
            <v>109</v>
          </cell>
          <cell r="BQ323">
            <v>299</v>
          </cell>
          <cell r="BR323">
            <v>88</v>
          </cell>
          <cell r="BS323">
            <v>387</v>
          </cell>
          <cell r="BT323">
            <v>86.040659135617375</v>
          </cell>
          <cell r="BU323">
            <v>108.7018014601742</v>
          </cell>
          <cell r="BV323">
            <v>194.74246059579156</v>
          </cell>
          <cell r="BW323">
            <v>109.80958194824245</v>
          </cell>
          <cell r="BX323">
            <v>304.55204254403401</v>
          </cell>
          <cell r="BY323">
            <v>101.04604304676036</v>
          </cell>
          <cell r="BZ323">
            <v>405.59808559079437</v>
          </cell>
          <cell r="CA323">
            <v>425.87798987033409</v>
          </cell>
          <cell r="CB323">
            <v>447.17188936385082</v>
          </cell>
          <cell r="CC323">
            <v>424.81329489565826</v>
          </cell>
          <cell r="CD323">
            <v>403.57263015087534</v>
          </cell>
          <cell r="CE323">
            <v>383.39399864333154</v>
          </cell>
          <cell r="CF323">
            <v>364.22429871116498</v>
          </cell>
          <cell r="CG323">
            <v>346.01308377560673</v>
          </cell>
          <cell r="CH323">
            <v>328.71242958682637</v>
          </cell>
          <cell r="CI323">
            <v>312.27680810748507</v>
          </cell>
          <cell r="CJ323">
            <v>296.66296770211079</v>
          </cell>
          <cell r="CO323">
            <v>0</v>
          </cell>
          <cell r="CP323" t="str">
            <v>Expired</v>
          </cell>
          <cell r="DB323">
            <v>0.47727272727272729</v>
          </cell>
          <cell r="DC323">
            <v>0.1166666666666667</v>
          </cell>
          <cell r="DD323">
            <v>0.05</v>
          </cell>
          <cell r="DE323">
            <v>0.58720930232558133</v>
          </cell>
          <cell r="DF323">
            <v>0.05</v>
          </cell>
          <cell r="DG323">
            <v>0.05</v>
          </cell>
          <cell r="DH323">
            <v>0.05</v>
          </cell>
          <cell r="DI323">
            <v>0.05</v>
          </cell>
          <cell r="DJ323">
            <v>0.05</v>
          </cell>
          <cell r="DK323">
            <v>0.05</v>
          </cell>
        </row>
        <row r="324">
          <cell r="A324" t="str">
            <v xml:space="preserve">   growth %</v>
          </cell>
          <cell r="X324">
            <v>0.4664789221559047</v>
          </cell>
          <cell r="Y324">
            <v>2.0233844736054176</v>
          </cell>
          <cell r="Z324">
            <v>8.8170497558410332E-2</v>
          </cell>
          <cell r="AA324">
            <v>0.90848020342347047</v>
          </cell>
          <cell r="AB324">
            <v>-1.078683407418457E-2</v>
          </cell>
          <cell r="AC324">
            <v>0.55199372819198556</v>
          </cell>
          <cell r="AD324">
            <v>-6.2086584129278366E-2</v>
          </cell>
          <cell r="AE324">
            <v>-3.1237926590701015E-2</v>
          </cell>
          <cell r="AF324">
            <v>-4.7404364213714523E-2</v>
          </cell>
          <cell r="AG324">
            <v>2.1061623227806248E-2</v>
          </cell>
          <cell r="AH324">
            <v>-1.6902713776536293E-2</v>
          </cell>
          <cell r="AI324">
            <v>2.918916278174577E-2</v>
          </cell>
          <cell r="AJ324">
            <v>-1.0885315367935133E-2</v>
          </cell>
          <cell r="AK324">
            <v>2.9721722667328865E-2</v>
          </cell>
          <cell r="AL324">
            <v>-7.875828640031779E-3</v>
          </cell>
          <cell r="AN324">
            <v>-7.7314892516773259E-3</v>
          </cell>
          <cell r="AP324">
            <v>-2.1129700172707544E-2</v>
          </cell>
          <cell r="AQ324">
            <v>1.6949152542372836E-2</v>
          </cell>
          <cell r="AR324">
            <v>-0.19162162162162166</v>
          </cell>
          <cell r="AS324">
            <v>4.7230049131134266E-2</v>
          </cell>
          <cell r="AU324">
            <v>-8.0543023845384809E-2</v>
          </cell>
          <cell r="AW324">
            <v>-0.12030533636228791</v>
          </cell>
          <cell r="AX324">
            <v>-6.9999999999999951E-2</v>
          </cell>
          <cell r="AY324">
            <v>2.230769230769214E-2</v>
          </cell>
          <cell r="AZ324">
            <v>-0.16347270769222322</v>
          </cell>
          <cell r="BA324">
            <v>-7.3650384665251867E-2</v>
          </cell>
          <cell r="BB324">
            <v>-2.3922645721712099E-2</v>
          </cell>
          <cell r="BC324">
            <v>-5.7933019452648837E-2</v>
          </cell>
          <cell r="BD324">
            <v>6.0614826092832086E-2</v>
          </cell>
          <cell r="BE324">
            <v>6.0931899641577081E-2</v>
          </cell>
          <cell r="BF324">
            <v>6.0120096930908584E-2</v>
          </cell>
          <cell r="BG324">
            <v>0.12962269215376498</v>
          </cell>
          <cell r="BH324">
            <v>7.8014184397163122E-2</v>
          </cell>
          <cell r="BI324">
            <v>-1.3157894736842146E-2</v>
          </cell>
          <cell r="BJ324">
            <v>4.6082949308755783E-2</v>
          </cell>
          <cell r="BK324">
            <v>0.139240506329114</v>
          </cell>
          <cell r="BL324">
            <v>7.0945945945946054E-2</v>
          </cell>
          <cell r="BM324">
            <v>9.210526315789469E-2</v>
          </cell>
          <cell r="BN324">
            <v>0.40789473684210531</v>
          </cell>
          <cell r="BO324">
            <v>0.25</v>
          </cell>
          <cell r="BP324">
            <v>0.45333333333333337</v>
          </cell>
          <cell r="BQ324">
            <v>0.31718061674008813</v>
          </cell>
          <cell r="BR324">
            <v>-2.2222222222222254E-2</v>
          </cell>
          <cell r="BS324">
            <v>0.22082018927444791</v>
          </cell>
          <cell r="BT324">
            <v>3.6634447417076776E-2</v>
          </cell>
          <cell r="BU324">
            <v>1.5904686543684043E-2</v>
          </cell>
          <cell r="BV324">
            <v>2.4960318925218772E-2</v>
          </cell>
          <cell r="BW324">
            <v>7.4273573233252232E-3</v>
          </cell>
          <cell r="BX324">
            <v>1.8568704160648819E-2</v>
          </cell>
          <cell r="BY324">
            <v>0.14825048916773143</v>
          </cell>
          <cell r="BZ324">
            <v>4.8057068710062989E-2</v>
          </cell>
          <cell r="CA324">
            <v>5.0000000000000044E-2</v>
          </cell>
          <cell r="CB324">
            <v>5.0000000000000044E-2</v>
          </cell>
          <cell r="CC324">
            <v>-5.0000000000000044E-2</v>
          </cell>
          <cell r="CD324">
            <v>-5.0000000000000044E-2</v>
          </cell>
          <cell r="CE324">
            <v>-5.0000000000000044E-2</v>
          </cell>
          <cell r="CF324">
            <v>-4.9999999999999933E-2</v>
          </cell>
          <cell r="CG324">
            <v>-5.0000000000000044E-2</v>
          </cell>
          <cell r="CH324">
            <v>-5.0000000000000044E-2</v>
          </cell>
          <cell r="CI324">
            <v>-4.9999999999999933E-2</v>
          </cell>
          <cell r="CJ324">
            <v>-5.0000000000000044E-2</v>
          </cell>
        </row>
        <row r="325">
          <cell r="A325" t="str">
            <v xml:space="preserve">      CER growth</v>
          </cell>
          <cell r="O325">
            <v>689</v>
          </cell>
          <cell r="V325">
            <v>690</v>
          </cell>
          <cell r="AC325">
            <v>747</v>
          </cell>
          <cell r="AJ325">
            <v>814</v>
          </cell>
          <cell r="AQ325">
            <v>797</v>
          </cell>
          <cell r="AX325">
            <v>791</v>
          </cell>
          <cell r="BB325">
            <v>0.06</v>
          </cell>
          <cell r="BC325">
            <v>0.02</v>
          </cell>
          <cell r="BD325">
            <v>0.1</v>
          </cell>
          <cell r="BE325">
            <v>0.04</v>
          </cell>
          <cell r="BF325">
            <v>0.08</v>
          </cell>
          <cell r="BG325">
            <v>0.14000000000000001</v>
          </cell>
          <cell r="BH325">
            <v>0.11</v>
          </cell>
          <cell r="BI325">
            <v>0</v>
          </cell>
          <cell r="BJ325">
            <v>7.0000000000000007E-2</v>
          </cell>
          <cell r="BK325">
            <v>0.16</v>
          </cell>
          <cell r="BL325">
            <v>0.09</v>
          </cell>
          <cell r="BM325">
            <v>0.1</v>
          </cell>
          <cell r="BN325">
            <v>0.39</v>
          </cell>
          <cell r="BO325">
            <v>0.25</v>
          </cell>
          <cell r="BP325">
            <v>0.46</v>
          </cell>
          <cell r="BQ325">
            <v>0.32</v>
          </cell>
          <cell r="BR325">
            <v>-0.02</v>
          </cell>
          <cell r="BS325">
            <v>0.22</v>
          </cell>
          <cell r="BT325">
            <v>0.05</v>
          </cell>
          <cell r="BU325">
            <v>0</v>
          </cell>
          <cell r="BW325">
            <v>0</v>
          </cell>
          <cell r="BY325">
            <v>0.14144222221154479</v>
          </cell>
          <cell r="BZ325">
            <v>0.05</v>
          </cell>
          <cell r="CA325">
            <v>0.05</v>
          </cell>
          <cell r="CB325">
            <v>0.05</v>
          </cell>
          <cell r="CC325">
            <v>-0.05</v>
          </cell>
          <cell r="CD325">
            <v>-0.05</v>
          </cell>
          <cell r="CE325">
            <v>-0.05</v>
          </cell>
          <cell r="CF325">
            <v>-0.05</v>
          </cell>
          <cell r="CG325">
            <v>-0.05</v>
          </cell>
          <cell r="CH325">
            <v>-0.05</v>
          </cell>
          <cell r="CI325">
            <v>-0.05</v>
          </cell>
          <cell r="CJ325">
            <v>-0.05</v>
          </cell>
        </row>
        <row r="326">
          <cell r="A326" t="str">
            <v>Mature Products</v>
          </cell>
          <cell r="D326">
            <v>0</v>
          </cell>
          <cell r="F326">
            <v>0</v>
          </cell>
          <cell r="H326">
            <v>0</v>
          </cell>
          <cell r="I326">
            <v>25</v>
          </cell>
          <cell r="J326">
            <v>23</v>
          </cell>
          <cell r="K326">
            <v>48</v>
          </cell>
          <cell r="L326">
            <v>19</v>
          </cell>
          <cell r="M326">
            <v>67</v>
          </cell>
          <cell r="N326">
            <v>25</v>
          </cell>
          <cell r="O326">
            <v>92</v>
          </cell>
          <cell r="P326">
            <v>29</v>
          </cell>
          <cell r="Q326">
            <v>27</v>
          </cell>
          <cell r="R326">
            <v>56</v>
          </cell>
          <cell r="S326">
            <v>25</v>
          </cell>
          <cell r="T326">
            <v>81</v>
          </cell>
          <cell r="U326">
            <v>28</v>
          </cell>
          <cell r="V326">
            <v>109</v>
          </cell>
          <cell r="W326">
            <v>29</v>
          </cell>
          <cell r="X326">
            <v>23</v>
          </cell>
          <cell r="Y326">
            <v>52</v>
          </cell>
          <cell r="Z326">
            <v>18</v>
          </cell>
          <cell r="AA326">
            <v>70</v>
          </cell>
          <cell r="AB326">
            <v>27</v>
          </cell>
          <cell r="AC326">
            <v>97</v>
          </cell>
          <cell r="AD326">
            <v>28</v>
          </cell>
          <cell r="AE326">
            <v>21</v>
          </cell>
          <cell r="AF326">
            <v>49</v>
          </cell>
          <cell r="AG326">
            <v>17</v>
          </cell>
          <cell r="AH326">
            <v>66</v>
          </cell>
          <cell r="AI326">
            <v>21</v>
          </cell>
          <cell r="AJ326">
            <v>87</v>
          </cell>
          <cell r="AK326">
            <v>28</v>
          </cell>
          <cell r="AL326">
            <v>20</v>
          </cell>
          <cell r="AM326">
            <v>48</v>
          </cell>
          <cell r="AN326">
            <v>17</v>
          </cell>
          <cell r="AO326">
            <v>65</v>
          </cell>
          <cell r="AP326">
            <v>23</v>
          </cell>
          <cell r="AQ326">
            <v>88</v>
          </cell>
          <cell r="AR326">
            <v>49</v>
          </cell>
          <cell r="AS326">
            <v>40</v>
          </cell>
          <cell r="AT326">
            <v>89</v>
          </cell>
          <cell r="AU326">
            <v>37</v>
          </cell>
          <cell r="AV326">
            <v>126</v>
          </cell>
          <cell r="AW326">
            <v>48</v>
          </cell>
          <cell r="AX326">
            <v>174</v>
          </cell>
          <cell r="AY326">
            <v>50</v>
          </cell>
          <cell r="AZ326">
            <v>38</v>
          </cell>
          <cell r="BA326">
            <v>88</v>
          </cell>
          <cell r="BB326">
            <v>38</v>
          </cell>
          <cell r="BC326">
            <v>126</v>
          </cell>
          <cell r="BD326">
            <v>46</v>
          </cell>
          <cell r="BE326">
            <v>172</v>
          </cell>
          <cell r="CO326">
            <v>0.1</v>
          </cell>
          <cell r="DA326">
            <v>0</v>
          </cell>
          <cell r="DB326">
            <v>-0.14814814814814814</v>
          </cell>
          <cell r="DC326">
            <v>-0.28000000000000003</v>
          </cell>
          <cell r="DD326">
            <v>-0.2</v>
          </cell>
          <cell r="DE326">
            <v>-0.11009174311926606</v>
          </cell>
          <cell r="DF326">
            <v>0</v>
          </cell>
          <cell r="DG326">
            <v>0</v>
          </cell>
          <cell r="DH326">
            <v>0</v>
          </cell>
          <cell r="DI326">
            <v>0</v>
          </cell>
          <cell r="DJ326">
            <v>0</v>
          </cell>
          <cell r="DK326">
            <v>0</v>
          </cell>
        </row>
        <row r="327">
          <cell r="A327" t="str">
            <v>Underlying growth (ex currency)</v>
          </cell>
          <cell r="P327">
            <v>0.23885727816853708</v>
          </cell>
          <cell r="Q327">
            <v>0.19625830059352711</v>
          </cell>
          <cell r="R327">
            <v>0.21726793430856839</v>
          </cell>
          <cell r="S327">
            <v>0.30941807199106641</v>
          </cell>
          <cell r="T327">
            <v>0.24056560174414998</v>
          </cell>
          <cell r="U327">
            <v>8.2612877696945031E-2</v>
          </cell>
          <cell r="V327">
            <v>0.1923514547545585</v>
          </cell>
          <cell r="W327">
            <v>-3.3346338581432988E-2</v>
          </cell>
          <cell r="X327">
            <v>-0.15894195326497074</v>
          </cell>
          <cell r="Y327">
            <v>-9.3498643277699189E-2</v>
          </cell>
          <cell r="Z327">
            <v>-0.30849616910825639</v>
          </cell>
          <cell r="AA327">
            <v>-0.16001457340463976</v>
          </cell>
          <cell r="AB327">
            <v>-0.10532464920023499</v>
          </cell>
          <cell r="AC327">
            <v>-0.14530731725286183</v>
          </cell>
          <cell r="AD327">
            <v>-0.15454035724272164</v>
          </cell>
          <cell r="AE327">
            <v>-0.22588675602213926</v>
          </cell>
          <cell r="AF327">
            <v>-0.18718622414482811</v>
          </cell>
          <cell r="AG327">
            <v>-0.13897154426804792</v>
          </cell>
          <cell r="AH327">
            <v>-0.16359780972536364</v>
          </cell>
          <cell r="AI327">
            <v>-0.24858861499603202</v>
          </cell>
          <cell r="AJ327">
            <v>-0.19456417945917026</v>
          </cell>
          <cell r="AK327">
            <v>1.6023092530342509E-2</v>
          </cell>
          <cell r="AL327">
            <v>-1.3828209592412821E-2</v>
          </cell>
          <cell r="AN327">
            <v>-3.4758516278704299E-2</v>
          </cell>
          <cell r="AP327">
            <v>8.3189213811771801E-3</v>
          </cell>
          <cell r="AQ327">
            <v>1.1494252873563315E-2</v>
          </cell>
          <cell r="AR327">
            <v>0.67999999999999994</v>
          </cell>
          <cell r="AS327">
            <v>1.0037517882615692</v>
          </cell>
          <cell r="AU327">
            <v>1.1748749328109618</v>
          </cell>
          <cell r="AW327">
            <v>1.0777622964879536</v>
          </cell>
          <cell r="AX327">
            <v>0.97727272727272729</v>
          </cell>
          <cell r="AY327">
            <v>-4.9591836734693917E-2</v>
          </cell>
          <cell r="AZ327">
            <v>-0.18569492991444547</v>
          </cell>
          <cell r="BA327">
            <v>-0.11408342001340244</v>
          </cell>
          <cell r="BB327">
            <v>-8.2609904408970758E-2</v>
          </cell>
          <cell r="BC327">
            <v>-0.10624219819661018</v>
          </cell>
          <cell r="BD327">
            <v>-7.8274062796056865E-2</v>
          </cell>
          <cell r="BE327">
            <v>-1.1494252873563204E-2</v>
          </cell>
        </row>
        <row r="329">
          <cell r="A329" t="str">
            <v>Total Critical Care</v>
          </cell>
          <cell r="B329">
            <v>79</v>
          </cell>
          <cell r="C329">
            <v>76</v>
          </cell>
          <cell r="D329">
            <v>155</v>
          </cell>
          <cell r="E329">
            <v>79</v>
          </cell>
          <cell r="F329">
            <v>234</v>
          </cell>
          <cell r="G329">
            <v>87</v>
          </cell>
          <cell r="H329">
            <v>321</v>
          </cell>
          <cell r="I329">
            <v>136</v>
          </cell>
          <cell r="J329">
            <v>118</v>
          </cell>
          <cell r="K329">
            <v>254</v>
          </cell>
          <cell r="L329">
            <v>111</v>
          </cell>
          <cell r="M329">
            <v>365</v>
          </cell>
          <cell r="N329">
            <v>122</v>
          </cell>
          <cell r="O329">
            <v>487</v>
          </cell>
          <cell r="P329">
            <v>137</v>
          </cell>
          <cell r="Q329">
            <v>202</v>
          </cell>
          <cell r="R329">
            <v>339</v>
          </cell>
          <cell r="S329">
            <v>206</v>
          </cell>
          <cell r="T329">
            <v>545</v>
          </cell>
          <cell r="U329">
            <v>243</v>
          </cell>
          <cell r="V329">
            <v>788</v>
          </cell>
          <cell r="W329">
            <v>240</v>
          </cell>
          <cell r="X329">
            <v>230</v>
          </cell>
          <cell r="Y329">
            <v>470</v>
          </cell>
          <cell r="Z329">
            <v>228</v>
          </cell>
          <cell r="AA329">
            <v>698</v>
          </cell>
          <cell r="AB329">
            <v>261</v>
          </cell>
          <cell r="AC329">
            <v>959</v>
          </cell>
          <cell r="AD329">
            <v>272</v>
          </cell>
          <cell r="AE329">
            <v>278</v>
          </cell>
          <cell r="AF329">
            <v>550</v>
          </cell>
          <cell r="AG329">
            <v>274</v>
          </cell>
          <cell r="AH329">
            <v>824</v>
          </cell>
          <cell r="AI329">
            <v>260</v>
          </cell>
          <cell r="AJ329">
            <v>1084</v>
          </cell>
          <cell r="AK329">
            <v>278</v>
          </cell>
          <cell r="AL329">
            <v>280</v>
          </cell>
          <cell r="AM329">
            <v>558</v>
          </cell>
          <cell r="AN329">
            <v>278</v>
          </cell>
          <cell r="AO329">
            <v>836</v>
          </cell>
          <cell r="AP329">
            <v>351</v>
          </cell>
          <cell r="AQ329">
            <v>1187</v>
          </cell>
          <cell r="AR329">
            <v>196</v>
          </cell>
          <cell r="AS329">
            <v>207</v>
          </cell>
          <cell r="AT329">
            <v>403</v>
          </cell>
          <cell r="AU329">
            <v>212</v>
          </cell>
          <cell r="AV329">
            <v>615</v>
          </cell>
          <cell r="AW329">
            <v>239</v>
          </cell>
          <cell r="AX329">
            <v>854</v>
          </cell>
          <cell r="AY329">
            <v>178</v>
          </cell>
          <cell r="AZ329">
            <v>195</v>
          </cell>
          <cell r="BA329">
            <v>373</v>
          </cell>
          <cell r="BB329">
            <v>192</v>
          </cell>
          <cell r="BC329">
            <v>565</v>
          </cell>
          <cell r="BD329">
            <v>209</v>
          </cell>
          <cell r="BE329">
            <v>774</v>
          </cell>
          <cell r="BF329">
            <v>188</v>
          </cell>
          <cell r="BG329">
            <v>203</v>
          </cell>
          <cell r="BH329">
            <v>391</v>
          </cell>
          <cell r="BI329">
            <v>210</v>
          </cell>
          <cell r="BJ329">
            <v>601</v>
          </cell>
          <cell r="BK329">
            <v>220</v>
          </cell>
          <cell r="BL329">
            <v>821</v>
          </cell>
          <cell r="BM329">
            <v>83</v>
          </cell>
          <cell r="BN329">
            <v>107</v>
          </cell>
          <cell r="BO329">
            <v>190</v>
          </cell>
          <cell r="BP329">
            <v>109</v>
          </cell>
          <cell r="BQ329">
            <v>299</v>
          </cell>
          <cell r="BR329">
            <v>88</v>
          </cell>
          <cell r="BS329">
            <v>387</v>
          </cell>
          <cell r="BT329">
            <v>86.040659135617375</v>
          </cell>
          <cell r="BU329">
            <v>108.7018014601742</v>
          </cell>
          <cell r="BV329">
            <v>194.74246059579156</v>
          </cell>
          <cell r="BW329">
            <v>109.80958194824245</v>
          </cell>
          <cell r="BX329">
            <v>304.55204254403401</v>
          </cell>
          <cell r="BY329">
            <v>101.04604304676036</v>
          </cell>
          <cell r="BZ329">
            <v>405.59808559079437</v>
          </cell>
          <cell r="CA329">
            <v>425.87798987033409</v>
          </cell>
          <cell r="CB329">
            <v>447.17188936385082</v>
          </cell>
          <cell r="CC329">
            <v>424.81329489565826</v>
          </cell>
          <cell r="CD329">
            <v>403.57263015087534</v>
          </cell>
          <cell r="CE329">
            <v>383.39399864333154</v>
          </cell>
          <cell r="CF329">
            <v>364.22429871116498</v>
          </cell>
          <cell r="CG329">
            <v>346.01308377560673</v>
          </cell>
          <cell r="CH329">
            <v>328.71242958682637</v>
          </cell>
          <cell r="CI329">
            <v>312.27680810748507</v>
          </cell>
          <cell r="CJ329">
            <v>296.66296770211079</v>
          </cell>
          <cell r="CZ329">
            <v>0.61806981519507187</v>
          </cell>
          <cell r="DA329">
            <v>0.75182481751824826</v>
          </cell>
          <cell r="DB329">
            <v>0.13861386138613851</v>
          </cell>
          <cell r="DC329">
            <v>0.10679611650485432</v>
          </cell>
          <cell r="DE329">
            <v>0.21700507614213205</v>
          </cell>
        </row>
        <row r="330">
          <cell r="A330" t="str">
            <v xml:space="preserve">   growth %</v>
          </cell>
          <cell r="O330">
            <v>0.51713395638629289</v>
          </cell>
          <cell r="P330">
            <v>7.3529411764705621E-3</v>
          </cell>
          <cell r="Q330">
            <v>0.71186440677966112</v>
          </cell>
          <cell r="R330">
            <v>0.33464566929133865</v>
          </cell>
          <cell r="S330">
            <v>0.85585585585585577</v>
          </cell>
          <cell r="T330">
            <v>0.49315068493150682</v>
          </cell>
          <cell r="U330">
            <v>0.99180327868852469</v>
          </cell>
          <cell r="V330">
            <v>0.61806981519507187</v>
          </cell>
          <cell r="W330">
            <v>0.75182481751824826</v>
          </cell>
          <cell r="X330">
            <v>0.13861386138613851</v>
          </cell>
          <cell r="Y330">
            <v>0.3864306784660767</v>
          </cell>
          <cell r="Z330">
            <v>0.10679611650485432</v>
          </cell>
          <cell r="AA330">
            <v>0.2807339449541284</v>
          </cell>
          <cell r="AB330">
            <v>7.4074074074074181E-2</v>
          </cell>
          <cell r="AC330">
            <v>0.21700507614213205</v>
          </cell>
          <cell r="AD330">
            <v>0.1333333333333333</v>
          </cell>
          <cell r="AE330">
            <v>0.20869565217391295</v>
          </cell>
          <cell r="AF330">
            <v>0.17021276595744683</v>
          </cell>
          <cell r="AG330">
            <v>0.20175438596491224</v>
          </cell>
          <cell r="AH330">
            <v>0.180515759312321</v>
          </cell>
          <cell r="AI330">
            <v>-3.8314176245211051E-3</v>
          </cell>
          <cell r="AJ330">
            <v>0.13034410844629818</v>
          </cell>
          <cell r="AK330">
            <v>2.2058823529411686E-2</v>
          </cell>
          <cell r="AL330">
            <v>7.194244604316502E-3</v>
          </cell>
          <cell r="AM330">
            <v>1.4545454545454639E-2</v>
          </cell>
          <cell r="AN330">
            <v>1.4598540145985384E-2</v>
          </cell>
          <cell r="AO330">
            <v>1.4563106796116498E-2</v>
          </cell>
          <cell r="AP330">
            <v>0.35000000000000009</v>
          </cell>
          <cell r="AQ330">
            <v>9.5018450184501946E-2</v>
          </cell>
          <cell r="AR330">
            <v>-0.29496402877697847</v>
          </cell>
          <cell r="AS330">
            <v>-0.26071428571428568</v>
          </cell>
          <cell r="AT330">
            <v>-0.27777777777777779</v>
          </cell>
          <cell r="AU330">
            <v>-0.23741007194244601</v>
          </cell>
          <cell r="AV330">
            <v>-0.2643540669856459</v>
          </cell>
          <cell r="AW330">
            <v>-0.31908831908831914</v>
          </cell>
          <cell r="AX330">
            <v>-0.28053917438921649</v>
          </cell>
          <cell r="AY330">
            <v>-9.1836734693877542E-2</v>
          </cell>
          <cell r="AZ330">
            <v>-5.7971014492753659E-2</v>
          </cell>
          <cell r="BA330">
            <v>-7.4441687344913188E-2</v>
          </cell>
          <cell r="BB330">
            <v>-9.4339622641509413E-2</v>
          </cell>
          <cell r="BC330">
            <v>-8.1300813008130079E-2</v>
          </cell>
          <cell r="BD330">
            <v>-0.12552301255230125</v>
          </cell>
          <cell r="BE330">
            <v>-9.3676814988290391E-2</v>
          </cell>
          <cell r="BF330">
            <v>5.6179775280898792E-2</v>
          </cell>
          <cell r="BG330">
            <v>4.1025641025641102E-2</v>
          </cell>
          <cell r="BH330">
            <v>4.8257372654155528E-2</v>
          </cell>
          <cell r="BI330">
            <v>9.375E-2</v>
          </cell>
          <cell r="BJ330">
            <v>6.371681415929209E-2</v>
          </cell>
          <cell r="BK330">
            <v>5.2631578947368363E-2</v>
          </cell>
          <cell r="BL330">
            <v>6.0723514211886265E-2</v>
          </cell>
          <cell r="BM330">
            <v>-0.5585106382978724</v>
          </cell>
          <cell r="BN330">
            <v>-0.47290640394088668</v>
          </cell>
          <cell r="BO330">
            <v>-0.51406649616368294</v>
          </cell>
          <cell r="BP330">
            <v>-0.48095238095238091</v>
          </cell>
          <cell r="BQ330">
            <v>-0.50249584026622296</v>
          </cell>
          <cell r="BR330">
            <v>-0.6</v>
          </cell>
          <cell r="BS330">
            <v>-0.52862362971985388</v>
          </cell>
          <cell r="BT330">
            <v>3.6634447417076776E-2</v>
          </cell>
          <cell r="BU330">
            <v>1.5904686543684043E-2</v>
          </cell>
          <cell r="BV330">
            <v>2.4960318925218772E-2</v>
          </cell>
          <cell r="BW330">
            <v>7.4273573233252232E-3</v>
          </cell>
          <cell r="BX330">
            <v>1.8568704160648819E-2</v>
          </cell>
          <cell r="BY330">
            <v>0.14825048916773143</v>
          </cell>
          <cell r="BZ330">
            <v>4.8057068710062989E-2</v>
          </cell>
          <cell r="CA330">
            <v>5.0000000000000044E-2</v>
          </cell>
          <cell r="CB330">
            <v>5.0000000000000044E-2</v>
          </cell>
          <cell r="CC330">
            <v>-5.0000000000000044E-2</v>
          </cell>
          <cell r="CD330">
            <v>-5.0000000000000044E-2</v>
          </cell>
          <cell r="CE330">
            <v>-5.0000000000000044E-2</v>
          </cell>
          <cell r="CF330">
            <v>-4.9999999999999933E-2</v>
          </cell>
          <cell r="CG330">
            <v>-5.0000000000000044E-2</v>
          </cell>
          <cell r="CH330">
            <v>-5.0000000000000044E-2</v>
          </cell>
          <cell r="CI330">
            <v>-4.9999999999999933E-2</v>
          </cell>
          <cell r="CJ330">
            <v>-5.0000000000000044E-2</v>
          </cell>
        </row>
        <row r="331">
          <cell r="A331" t="str">
            <v xml:space="preserve">      CER growth</v>
          </cell>
          <cell r="BF331">
            <v>0.08</v>
          </cell>
          <cell r="BG331">
            <v>0.11</v>
          </cell>
          <cell r="BH331">
            <v>0.1</v>
          </cell>
          <cell r="BI331">
            <v>0.17</v>
          </cell>
          <cell r="BJ331">
            <v>0.12</v>
          </cell>
          <cell r="BK331">
            <v>7.0000000000000007E-2</v>
          </cell>
          <cell r="BL331">
            <v>0.11</v>
          </cell>
          <cell r="BM331">
            <v>0.1</v>
          </cell>
          <cell r="BN331">
            <v>0.39</v>
          </cell>
          <cell r="BO331">
            <v>0.25</v>
          </cell>
          <cell r="BP331">
            <v>0.46</v>
          </cell>
          <cell r="BQ331">
            <v>0.32</v>
          </cell>
          <cell r="BR331">
            <v>-0.02</v>
          </cell>
          <cell r="BS331">
            <v>0.22</v>
          </cell>
        </row>
        <row r="333">
          <cell r="A333" t="str">
            <v>Voltaren</v>
          </cell>
          <cell r="B333">
            <v>146</v>
          </cell>
          <cell r="C333">
            <v>153</v>
          </cell>
          <cell r="D333">
            <v>299</v>
          </cell>
          <cell r="E333">
            <v>159</v>
          </cell>
          <cell r="F333">
            <v>458</v>
          </cell>
          <cell r="G333">
            <v>180</v>
          </cell>
          <cell r="H333">
            <v>638</v>
          </cell>
          <cell r="I333">
            <v>161</v>
          </cell>
          <cell r="J333">
            <v>185</v>
          </cell>
          <cell r="K333">
            <v>346</v>
          </cell>
          <cell r="L333">
            <v>174</v>
          </cell>
          <cell r="M333">
            <v>520</v>
          </cell>
          <cell r="N333">
            <v>169</v>
          </cell>
          <cell r="O333">
            <v>689</v>
          </cell>
          <cell r="P333">
            <v>160</v>
          </cell>
          <cell r="Q333">
            <v>177</v>
          </cell>
          <cell r="R333">
            <v>337</v>
          </cell>
          <cell r="S333">
            <v>175</v>
          </cell>
          <cell r="T333">
            <v>512</v>
          </cell>
          <cell r="U333">
            <v>178</v>
          </cell>
          <cell r="V333">
            <v>690</v>
          </cell>
          <cell r="W333">
            <v>171</v>
          </cell>
          <cell r="X333">
            <v>185</v>
          </cell>
          <cell r="Y333">
            <v>356</v>
          </cell>
          <cell r="Z333">
            <v>196</v>
          </cell>
          <cell r="AA333">
            <v>552</v>
          </cell>
          <cell r="AB333">
            <v>195</v>
          </cell>
          <cell r="AC333">
            <v>747</v>
          </cell>
          <cell r="AD333">
            <v>202</v>
          </cell>
          <cell r="AE333">
            <v>216</v>
          </cell>
          <cell r="AF333">
            <v>418</v>
          </cell>
          <cell r="AG333">
            <v>206</v>
          </cell>
          <cell r="AH333">
            <v>624</v>
          </cell>
          <cell r="AI333">
            <v>190</v>
          </cell>
          <cell r="AJ333">
            <v>814</v>
          </cell>
          <cell r="AK333">
            <v>174</v>
          </cell>
          <cell r="AL333">
            <v>198</v>
          </cell>
          <cell r="AM333">
            <v>372</v>
          </cell>
          <cell r="AN333">
            <v>205</v>
          </cell>
          <cell r="AO333">
            <v>577</v>
          </cell>
          <cell r="AP333">
            <v>220</v>
          </cell>
          <cell r="AQ333">
            <v>797</v>
          </cell>
          <cell r="AR333">
            <v>185</v>
          </cell>
          <cell r="AS333">
            <v>200</v>
          </cell>
          <cell r="AT333">
            <v>385</v>
          </cell>
          <cell r="AU333">
            <v>202</v>
          </cell>
          <cell r="AV333">
            <v>587</v>
          </cell>
          <cell r="AW333">
            <v>204</v>
          </cell>
          <cell r="AX333">
            <v>791</v>
          </cell>
          <cell r="AY333">
            <v>188</v>
          </cell>
          <cell r="AZ333">
            <v>201</v>
          </cell>
          <cell r="BA333">
            <v>389</v>
          </cell>
          <cell r="BB333">
            <v>205</v>
          </cell>
          <cell r="BC333">
            <v>594</v>
          </cell>
          <cell r="BD333">
            <v>200</v>
          </cell>
          <cell r="BE333">
            <v>794</v>
          </cell>
          <cell r="BF333">
            <v>189</v>
          </cell>
          <cell r="BG333">
            <v>191</v>
          </cell>
          <cell r="BH333">
            <v>380</v>
          </cell>
          <cell r="BI333">
            <v>191</v>
          </cell>
          <cell r="BJ333">
            <v>571</v>
          </cell>
          <cell r="BK333">
            <v>188</v>
          </cell>
          <cell r="BL333">
            <v>759</v>
          </cell>
          <cell r="BM333">
            <v>155</v>
          </cell>
          <cell r="BN333">
            <v>177</v>
          </cell>
          <cell r="BO333">
            <v>332</v>
          </cell>
          <cell r="BP333">
            <v>167</v>
          </cell>
          <cell r="BQ333">
            <v>499</v>
          </cell>
          <cell r="BR333">
            <v>176</v>
          </cell>
          <cell r="BS333">
            <v>675</v>
          </cell>
          <cell r="BT333">
            <v>144.43773300677935</v>
          </cell>
          <cell r="BU333">
            <v>170.82437304232047</v>
          </cell>
          <cell r="BV333">
            <v>315.26210604909983</v>
          </cell>
          <cell r="BW333">
            <v>158.87129424988836</v>
          </cell>
          <cell r="BX333">
            <v>474.13340029898819</v>
          </cell>
          <cell r="BY333">
            <v>165.68416915382301</v>
          </cell>
          <cell r="BZ333">
            <v>639.8175694528112</v>
          </cell>
          <cell r="CA333">
            <v>607.82669098017061</v>
          </cell>
          <cell r="CB333">
            <v>577.43535643116206</v>
          </cell>
          <cell r="CC333">
            <v>548.56358860960393</v>
          </cell>
          <cell r="CD333">
            <v>521.13540917912371</v>
          </cell>
          <cell r="CE333">
            <v>495.07863872016748</v>
          </cell>
          <cell r="CF333">
            <v>470.3247067841591</v>
          </cell>
          <cell r="CG333">
            <v>446.80847144495112</v>
          </cell>
          <cell r="CH333">
            <v>424.46804787270355</v>
          </cell>
          <cell r="CI333">
            <v>403.24464547906837</v>
          </cell>
          <cell r="CJ333">
            <v>383.0824132051149</v>
          </cell>
          <cell r="CM333">
            <v>-8.4442014458416866E-3</v>
          </cell>
          <cell r="CO333">
            <v>0</v>
          </cell>
          <cell r="CP333" t="str">
            <v>Expired</v>
          </cell>
          <cell r="CQ333">
            <v>0.10273972602739723</v>
          </cell>
          <cell r="CR333">
            <v>0.20915032679738554</v>
          </cell>
          <cell r="CS333">
            <v>9.4339622641509413E-2</v>
          </cell>
          <cell r="CT333">
            <v>-6.1111111111111116E-2</v>
          </cell>
          <cell r="CU333">
            <v>7.9937304075235138E-2</v>
          </cell>
          <cell r="CV333">
            <v>-6.2111801242236142E-3</v>
          </cell>
          <cell r="CW333">
            <v>-4.3243243243243246E-2</v>
          </cell>
          <cell r="CX333">
            <v>5.7471264367816577E-3</v>
          </cell>
          <cell r="CY333">
            <v>5.3254437869822535E-2</v>
          </cell>
          <cell r="CZ333">
            <v>1.4513788098693414E-3</v>
          </cell>
          <cell r="DA333">
            <v>6.8750000000000089E-2</v>
          </cell>
          <cell r="DB333">
            <v>4.5197740112994378E-2</v>
          </cell>
          <cell r="DC333">
            <v>0.12000000000000011</v>
          </cell>
          <cell r="DD333">
            <v>-0.05</v>
          </cell>
          <cell r="DE333">
            <v>8.260869565217388E-2</v>
          </cell>
          <cell r="DF333">
            <v>-0.05</v>
          </cell>
          <cell r="DG333">
            <v>-0.05</v>
          </cell>
          <cell r="DH333">
            <v>-0.05</v>
          </cell>
          <cell r="DI333">
            <v>-0.05</v>
          </cell>
          <cell r="DJ333">
            <v>-0.05</v>
          </cell>
          <cell r="DK333">
            <v>-0.05</v>
          </cell>
        </row>
        <row r="334">
          <cell r="A334" t="str">
            <v xml:space="preserve">   growth %</v>
          </cell>
          <cell r="X334">
            <v>-1.003607486649627E-2</v>
          </cell>
          <cell r="Y334">
            <v>-9.5316957465234609E-3</v>
          </cell>
          <cell r="Z334">
            <v>5.5429709142785777E-2</v>
          </cell>
          <cell r="AA334">
            <v>1.2660557910941561E-2</v>
          </cell>
          <cell r="AB334">
            <v>-1.4188950062033578E-2</v>
          </cell>
          <cell r="AC334">
            <v>6.0867220754896589E-3</v>
          </cell>
          <cell r="AD334">
            <v>3.6878927258775063E-2</v>
          </cell>
          <cell r="AE334">
            <v>2.8359726986646461E-3</v>
          </cell>
          <cell r="AF334">
            <v>1.9587694711921566E-2</v>
          </cell>
          <cell r="AG334">
            <v>-4.6394902298273255E-2</v>
          </cell>
          <cell r="AH334">
            <v>4.4423230484937903E-3</v>
          </cell>
          <cell r="AI334">
            <v>3.4045424581316985E-2</v>
          </cell>
          <cell r="AJ334">
            <v>4.8496409824390074E-3</v>
          </cell>
          <cell r="AK334">
            <v>-3.3870781419576002E-2</v>
          </cell>
          <cell r="AL334">
            <v>2.4927950219701622E-2</v>
          </cell>
          <cell r="AN334">
            <v>2.1175366561350217E-2</v>
          </cell>
          <cell r="AP334">
            <v>3.8208026037526155E-2</v>
          </cell>
          <cell r="AQ334">
            <v>-2.0884520884520863E-2</v>
          </cell>
          <cell r="AR334">
            <v>-1.2710392488317623E-3</v>
          </cell>
          <cell r="AS334">
            <v>5.5337572551486858E-2</v>
          </cell>
          <cell r="AU334">
            <v>4.68670002596554E-2</v>
          </cell>
          <cell r="AW334">
            <v>-2.6201137381332673E-2</v>
          </cell>
          <cell r="AX334">
            <v>-7.5282308657464991E-3</v>
          </cell>
          <cell r="AY334">
            <v>-3.8929977669663884E-3</v>
          </cell>
          <cell r="AZ334">
            <v>-0.15451164710923937</v>
          </cell>
          <cell r="BA334">
            <v>1.0389610389610393E-2</v>
          </cell>
          <cell r="BB334">
            <v>1.4851485148514865E-2</v>
          </cell>
          <cell r="BC334">
            <v>1.1925042589437718E-2</v>
          </cell>
          <cell r="BD334">
            <v>-1.9607843137254943E-2</v>
          </cell>
          <cell r="BE334">
            <v>3.7926675094817064E-3</v>
          </cell>
          <cell r="BF334">
            <v>5.3191489361701372E-3</v>
          </cell>
          <cell r="BG334">
            <v>-4.9751243781094523E-2</v>
          </cell>
          <cell r="BH334">
            <v>-2.3136246786632397E-2</v>
          </cell>
          <cell r="BI334">
            <v>-6.8292682926829218E-2</v>
          </cell>
          <cell r="BJ334">
            <v>-3.8720538720538711E-2</v>
          </cell>
          <cell r="BK334">
            <v>-6.0000000000000053E-2</v>
          </cell>
          <cell r="BL334">
            <v>-4.4080604534005086E-2</v>
          </cell>
          <cell r="BM334">
            <v>-0.17989417989417988</v>
          </cell>
          <cell r="BN334">
            <v>-7.3298429319371694E-2</v>
          </cell>
          <cell r="BO334">
            <v>-0.12631578947368416</v>
          </cell>
          <cell r="BP334">
            <v>-0.12565445026178013</v>
          </cell>
          <cell r="BQ334">
            <v>-0.12609457092819609</v>
          </cell>
          <cell r="BR334">
            <v>-6.3829787234042534E-2</v>
          </cell>
          <cell r="BS334">
            <v>-0.11067193675889331</v>
          </cell>
          <cell r="BT334">
            <v>-6.8143658020778375E-2</v>
          </cell>
          <cell r="BU334">
            <v>-3.4890547783500203E-2</v>
          </cell>
          <cell r="BV334">
            <v>-5.0415343225602927E-2</v>
          </cell>
          <cell r="BW334">
            <v>-4.8674884731207402E-2</v>
          </cell>
          <cell r="BX334">
            <v>-4.983286513228824E-2</v>
          </cell>
          <cell r="BY334">
            <v>-5.861267526236924E-2</v>
          </cell>
          <cell r="BZ334">
            <v>-5.2122119329168548E-2</v>
          </cell>
          <cell r="CA334">
            <v>-5.0000000000000044E-2</v>
          </cell>
          <cell r="CB334">
            <v>-5.0000000000000044E-2</v>
          </cell>
          <cell r="CC334">
            <v>-5.0000000000000044E-2</v>
          </cell>
          <cell r="CD334">
            <v>-5.0000000000000044E-2</v>
          </cell>
          <cell r="CE334">
            <v>-5.0000000000000044E-2</v>
          </cell>
          <cell r="CF334">
            <v>-5.0000000000000044E-2</v>
          </cell>
          <cell r="CG334">
            <v>-5.0000000000000044E-2</v>
          </cell>
          <cell r="CH334">
            <v>-5.0000000000000044E-2</v>
          </cell>
          <cell r="CI334">
            <v>-5.0000000000000044E-2</v>
          </cell>
          <cell r="CJ334">
            <v>-5.0000000000000155E-2</v>
          </cell>
        </row>
        <row r="335">
          <cell r="A335" t="str">
            <v xml:space="preserve">      CER growth</v>
          </cell>
          <cell r="O335">
            <v>241</v>
          </cell>
          <cell r="V335">
            <v>330</v>
          </cell>
          <cell r="AC335">
            <v>375</v>
          </cell>
          <cell r="AJ335">
            <v>440</v>
          </cell>
          <cell r="AQ335">
            <v>449</v>
          </cell>
          <cell r="AX335">
            <v>464</v>
          </cell>
          <cell r="BB335">
            <v>0.02</v>
          </cell>
          <cell r="BC335">
            <v>0.01</v>
          </cell>
          <cell r="BD335">
            <v>0.05</v>
          </cell>
          <cell r="BE335">
            <v>0.02</v>
          </cell>
          <cell r="BF335">
            <v>0.03</v>
          </cell>
          <cell r="BG335">
            <v>0.02</v>
          </cell>
          <cell r="BH335">
            <v>0.02</v>
          </cell>
          <cell r="BI335">
            <v>0</v>
          </cell>
          <cell r="BJ335">
            <v>0.02</v>
          </cell>
          <cell r="BK335">
            <v>-0.03</v>
          </cell>
          <cell r="BL335">
            <v>0</v>
          </cell>
          <cell r="BM335">
            <v>-0.13</v>
          </cell>
          <cell r="BN335">
            <v>0</v>
          </cell>
          <cell r="BO335">
            <v>-7.0000000000000007E-2</v>
          </cell>
          <cell r="BP335">
            <v>-0.14000000000000001</v>
          </cell>
          <cell r="BQ335">
            <v>-0.06</v>
          </cell>
          <cell r="BR335">
            <v>0.03</v>
          </cell>
          <cell r="BS335">
            <v>-0.04</v>
          </cell>
        </row>
        <row r="336">
          <cell r="A336" t="str">
            <v xml:space="preserve">       Voltaren US</v>
          </cell>
          <cell r="BB336">
            <v>2</v>
          </cell>
          <cell r="BC336">
            <v>3</v>
          </cell>
          <cell r="BD336">
            <v>1</v>
          </cell>
          <cell r="BE336">
            <v>4</v>
          </cell>
          <cell r="BF336">
            <v>1</v>
          </cell>
          <cell r="BH336">
            <v>1</v>
          </cell>
          <cell r="BI336">
            <v>0</v>
          </cell>
          <cell r="BJ336">
            <v>1</v>
          </cell>
          <cell r="BK336">
            <v>1</v>
          </cell>
          <cell r="BL336">
            <v>2</v>
          </cell>
          <cell r="BM336">
            <v>1</v>
          </cell>
          <cell r="BO336">
            <v>1</v>
          </cell>
          <cell r="BP336">
            <v>1</v>
          </cell>
          <cell r="BQ336">
            <v>2</v>
          </cell>
          <cell r="BR336">
            <v>0</v>
          </cell>
          <cell r="BS336">
            <v>2</v>
          </cell>
          <cell r="BT336">
            <v>0</v>
          </cell>
          <cell r="BU336">
            <v>0</v>
          </cell>
          <cell r="BV336">
            <v>0</v>
          </cell>
          <cell r="BW336">
            <v>0</v>
          </cell>
          <cell r="BX336">
            <v>0</v>
          </cell>
          <cell r="BY336">
            <v>0</v>
          </cell>
          <cell r="BZ336">
            <v>0</v>
          </cell>
          <cell r="CA336">
            <v>0</v>
          </cell>
          <cell r="CB336">
            <v>0</v>
          </cell>
          <cell r="CC336">
            <v>0</v>
          </cell>
          <cell r="CD336">
            <v>0</v>
          </cell>
          <cell r="CE336">
            <v>0</v>
          </cell>
          <cell r="CF336">
            <v>0</v>
          </cell>
          <cell r="CG336">
            <v>0</v>
          </cell>
          <cell r="CH336">
            <v>0</v>
          </cell>
          <cell r="CI336">
            <v>0</v>
          </cell>
          <cell r="CJ336">
            <v>0</v>
          </cell>
        </row>
        <row r="337">
          <cell r="A337" t="str">
            <v xml:space="preserve">           growth </v>
          </cell>
          <cell r="BB337">
            <v>0</v>
          </cell>
          <cell r="BC337">
            <v>2</v>
          </cell>
          <cell r="BD337">
            <v>0</v>
          </cell>
          <cell r="BE337">
            <v>0</v>
          </cell>
          <cell r="BF337">
            <v>0</v>
          </cell>
          <cell r="BH337">
            <v>0</v>
          </cell>
          <cell r="BM337">
            <v>0</v>
          </cell>
          <cell r="BO337">
            <v>0</v>
          </cell>
          <cell r="BQ337">
            <v>1</v>
          </cell>
          <cell r="BR337">
            <v>-1</v>
          </cell>
          <cell r="BS337">
            <v>0</v>
          </cell>
          <cell r="BT337">
            <v>-1</v>
          </cell>
          <cell r="BU337">
            <v>-1</v>
          </cell>
          <cell r="BV337">
            <v>-1</v>
          </cell>
          <cell r="BW337">
            <v>-1</v>
          </cell>
          <cell r="BX337">
            <v>-1</v>
          </cell>
          <cell r="BY337" t="str">
            <v>NM</v>
          </cell>
          <cell r="BZ337">
            <v>-1</v>
          </cell>
          <cell r="CA337">
            <v>0</v>
          </cell>
          <cell r="CB337">
            <v>0</v>
          </cell>
          <cell r="CC337">
            <v>0</v>
          </cell>
          <cell r="CD337">
            <v>0</v>
          </cell>
          <cell r="CE337">
            <v>0</v>
          </cell>
          <cell r="CF337">
            <v>0</v>
          </cell>
          <cell r="CG337">
            <v>0</v>
          </cell>
          <cell r="CH337">
            <v>0</v>
          </cell>
          <cell r="CI337">
            <v>0</v>
          </cell>
          <cell r="CJ337">
            <v>0</v>
          </cell>
        </row>
        <row r="338">
          <cell r="A338" t="str">
            <v xml:space="preserve">       Voltaren ROW</v>
          </cell>
          <cell r="BB338">
            <v>203</v>
          </cell>
          <cell r="BC338">
            <v>591</v>
          </cell>
          <cell r="BD338">
            <v>199</v>
          </cell>
          <cell r="BE338">
            <v>790</v>
          </cell>
          <cell r="BF338">
            <v>188</v>
          </cell>
          <cell r="BG338">
            <v>191</v>
          </cell>
          <cell r="BH338">
            <v>379</v>
          </cell>
          <cell r="BI338">
            <v>191</v>
          </cell>
          <cell r="BJ338">
            <v>570</v>
          </cell>
          <cell r="BK338">
            <v>187</v>
          </cell>
          <cell r="BL338">
            <v>757</v>
          </cell>
          <cell r="BM338">
            <v>154</v>
          </cell>
          <cell r="BN338">
            <v>177</v>
          </cell>
          <cell r="BO338">
            <v>331</v>
          </cell>
          <cell r="BP338">
            <v>166</v>
          </cell>
          <cell r="BQ338">
            <v>497</v>
          </cell>
          <cell r="BR338">
            <v>176</v>
          </cell>
          <cell r="BS338">
            <v>673</v>
          </cell>
          <cell r="BT338">
            <v>144.43773300677935</v>
          </cell>
          <cell r="BU338">
            <v>170.82437304232047</v>
          </cell>
          <cell r="BV338">
            <v>315.26210604909983</v>
          </cell>
          <cell r="BW338">
            <v>158.87129424988836</v>
          </cell>
          <cell r="BX338">
            <v>474.13340029898819</v>
          </cell>
          <cell r="BY338">
            <v>165.68416915382301</v>
          </cell>
          <cell r="BZ338">
            <v>639.8175694528112</v>
          </cell>
          <cell r="CA338">
            <v>607.82669098017061</v>
          </cell>
          <cell r="CB338">
            <v>577.43535643116206</v>
          </cell>
          <cell r="CC338">
            <v>548.56358860960393</v>
          </cell>
          <cell r="CD338">
            <v>521.13540917912371</v>
          </cell>
          <cell r="CE338">
            <v>495.07863872016748</v>
          </cell>
          <cell r="CF338">
            <v>470.3247067841591</v>
          </cell>
          <cell r="CG338">
            <v>446.80847144495112</v>
          </cell>
          <cell r="CH338">
            <v>424.46804787270355</v>
          </cell>
          <cell r="CI338">
            <v>403.24464547906837</v>
          </cell>
          <cell r="CJ338">
            <v>383.0824132051149</v>
          </cell>
        </row>
        <row r="339">
          <cell r="A339" t="str">
            <v xml:space="preserve">           growth </v>
          </cell>
          <cell r="BI339">
            <v>-5.9113300492610876E-2</v>
          </cell>
          <cell r="BJ339">
            <v>-3.5532994923857864E-2</v>
          </cell>
          <cell r="BK339">
            <v>-6.0301507537688481E-2</v>
          </cell>
          <cell r="BL339">
            <v>-4.1772151898734178E-2</v>
          </cell>
          <cell r="BM339">
            <v>-0.18085106382978722</v>
          </cell>
          <cell r="BN339">
            <v>-7.3298429319371694E-2</v>
          </cell>
          <cell r="BO339">
            <v>-0.12664907651715041</v>
          </cell>
          <cell r="BP339">
            <v>-0.13089005235602091</v>
          </cell>
          <cell r="BQ339">
            <v>-0.12807017543859645</v>
          </cell>
          <cell r="BR339">
            <v>-5.8823529411764719E-2</v>
          </cell>
          <cell r="BS339">
            <v>-0.11096433289299867</v>
          </cell>
          <cell r="BT339">
            <v>-6.2092642813121102E-2</v>
          </cell>
          <cell r="BU339">
            <v>-3.4890547783500203E-2</v>
          </cell>
          <cell r="BV339">
            <v>-4.7546507404532257E-2</v>
          </cell>
          <cell r="BW339">
            <v>-4.2944010542841138E-2</v>
          </cell>
          <cell r="BX339">
            <v>-4.6009254931613341E-2</v>
          </cell>
          <cell r="BY339">
            <v>-5.861267526236924E-2</v>
          </cell>
          <cell r="BZ339">
            <v>-4.9305245983935819E-2</v>
          </cell>
          <cell r="CA339">
            <v>-5.0000000000000044E-2</v>
          </cell>
          <cell r="CB339">
            <v>-5.0000000000000044E-2</v>
          </cell>
          <cell r="CC339">
            <v>-5.0000000000000044E-2</v>
          </cell>
          <cell r="CD339">
            <v>-5.0000000000000044E-2</v>
          </cell>
          <cell r="CE339">
            <v>-5.0000000000000044E-2</v>
          </cell>
          <cell r="CF339">
            <v>-5.0000000000000044E-2</v>
          </cell>
          <cell r="CG339">
            <v>-5.0000000000000044E-2</v>
          </cell>
          <cell r="CH339">
            <v>-5.0000000000000044E-2</v>
          </cell>
          <cell r="CI339">
            <v>-5.0000000000000044E-2</v>
          </cell>
          <cell r="CJ339">
            <v>-5.0000000000000155E-2</v>
          </cell>
        </row>
        <row r="340">
          <cell r="A340" t="str">
            <v xml:space="preserve">   CER growth </v>
          </cell>
          <cell r="BB340">
            <v>0.01</v>
          </cell>
          <cell r="BC340">
            <v>0</v>
          </cell>
          <cell r="BD340">
            <v>0.04</v>
          </cell>
          <cell r="BE340">
            <v>0.01</v>
          </cell>
          <cell r="BF340">
            <v>0.03</v>
          </cell>
          <cell r="BG340">
            <v>0.02</v>
          </cell>
          <cell r="BH340">
            <v>0.02</v>
          </cell>
          <cell r="BI340">
            <v>0</v>
          </cell>
          <cell r="BK340">
            <v>-0.03</v>
          </cell>
          <cell r="BL340">
            <v>0.01</v>
          </cell>
          <cell r="BM340">
            <v>-0.13</v>
          </cell>
          <cell r="BN340">
            <v>-0.01</v>
          </cell>
          <cell r="BO340">
            <v>-7.0000000000000007E-2</v>
          </cell>
          <cell r="BP340">
            <v>-0.05</v>
          </cell>
          <cell r="BQ340">
            <v>-0.06</v>
          </cell>
          <cell r="BR340">
            <v>0.03</v>
          </cell>
          <cell r="BS340">
            <v>-0.04</v>
          </cell>
          <cell r="BT340">
            <v>-0.05</v>
          </cell>
          <cell r="BU340">
            <v>-0.05</v>
          </cell>
          <cell r="BW340">
            <v>-0.05</v>
          </cell>
          <cell r="BY340">
            <v>-6.5420942218555878E-2</v>
          </cell>
          <cell r="BZ340">
            <v>-0.05</v>
          </cell>
          <cell r="CA340">
            <v>-0.05</v>
          </cell>
          <cell r="CB340">
            <v>-0.05</v>
          </cell>
          <cell r="CC340">
            <v>-0.05</v>
          </cell>
          <cell r="CD340">
            <v>-0.05</v>
          </cell>
          <cell r="CE340">
            <v>-0.05</v>
          </cell>
          <cell r="CF340">
            <v>-0.05</v>
          </cell>
          <cell r="CG340">
            <v>-0.05</v>
          </cell>
          <cell r="CH340">
            <v>-0.05</v>
          </cell>
          <cell r="CI340">
            <v>-0.05</v>
          </cell>
          <cell r="CJ340">
            <v>-0.05</v>
          </cell>
        </row>
        <row r="343">
          <cell r="A343" t="str">
            <v>Ritalin</v>
          </cell>
          <cell r="I343">
            <v>49</v>
          </cell>
          <cell r="J343">
            <v>68</v>
          </cell>
          <cell r="K343">
            <v>117</v>
          </cell>
          <cell r="L343">
            <v>52</v>
          </cell>
          <cell r="M343">
            <v>169</v>
          </cell>
          <cell r="N343">
            <v>72</v>
          </cell>
          <cell r="O343">
            <v>241</v>
          </cell>
          <cell r="P343">
            <v>78</v>
          </cell>
          <cell r="Q343">
            <v>77</v>
          </cell>
          <cell r="R343">
            <v>155</v>
          </cell>
          <cell r="S343">
            <v>79</v>
          </cell>
          <cell r="T343">
            <v>234</v>
          </cell>
          <cell r="U343">
            <v>96</v>
          </cell>
          <cell r="V343">
            <v>330</v>
          </cell>
          <cell r="W343">
            <v>101</v>
          </cell>
          <cell r="X343">
            <v>92</v>
          </cell>
          <cell r="Y343">
            <v>193</v>
          </cell>
          <cell r="Z343">
            <v>78</v>
          </cell>
          <cell r="AA343">
            <v>271</v>
          </cell>
          <cell r="AB343">
            <v>104</v>
          </cell>
          <cell r="AC343">
            <v>375</v>
          </cell>
          <cell r="AD343">
            <v>106</v>
          </cell>
          <cell r="AE343">
            <v>114</v>
          </cell>
          <cell r="AF343">
            <v>220</v>
          </cell>
          <cell r="AG343">
            <v>100</v>
          </cell>
          <cell r="AH343">
            <v>320</v>
          </cell>
          <cell r="AI343">
            <v>120</v>
          </cell>
          <cell r="AJ343">
            <v>440</v>
          </cell>
          <cell r="AK343">
            <v>113</v>
          </cell>
          <cell r="AL343">
            <v>110</v>
          </cell>
          <cell r="AM343">
            <v>223</v>
          </cell>
          <cell r="AN343">
            <v>106</v>
          </cell>
          <cell r="AO343">
            <v>329</v>
          </cell>
          <cell r="AP343">
            <v>120</v>
          </cell>
          <cell r="AQ343">
            <v>449</v>
          </cell>
          <cell r="AR343">
            <v>119</v>
          </cell>
          <cell r="AS343">
            <v>120</v>
          </cell>
          <cell r="AT343">
            <v>239</v>
          </cell>
          <cell r="AU343">
            <v>100</v>
          </cell>
          <cell r="AV343">
            <v>339</v>
          </cell>
          <cell r="AW343">
            <v>125</v>
          </cell>
          <cell r="AX343">
            <v>464</v>
          </cell>
          <cell r="AY343">
            <v>133</v>
          </cell>
          <cell r="AZ343">
            <v>131</v>
          </cell>
          <cell r="BA343">
            <v>264</v>
          </cell>
          <cell r="BB343">
            <v>121</v>
          </cell>
          <cell r="BC343">
            <v>385</v>
          </cell>
          <cell r="BD343">
            <v>165</v>
          </cell>
          <cell r="BE343">
            <v>550</v>
          </cell>
          <cell r="BF343">
            <v>131</v>
          </cell>
          <cell r="BG343">
            <v>148</v>
          </cell>
          <cell r="BH343">
            <v>279</v>
          </cell>
          <cell r="BI343">
            <v>125</v>
          </cell>
          <cell r="BJ343">
            <v>404</v>
          </cell>
          <cell r="BK343">
            <v>150</v>
          </cell>
          <cell r="BL343">
            <v>554</v>
          </cell>
          <cell r="BM343">
            <v>146</v>
          </cell>
          <cell r="BN343">
            <v>146</v>
          </cell>
          <cell r="BO343">
            <v>292</v>
          </cell>
          <cell r="BP343">
            <v>141</v>
          </cell>
          <cell r="BQ343">
            <v>433</v>
          </cell>
          <cell r="BR343">
            <v>161</v>
          </cell>
          <cell r="BS343">
            <v>594</v>
          </cell>
          <cell r="BT343">
            <v>151.79557121218062</v>
          </cell>
          <cell r="BU343">
            <v>152.74891121098233</v>
          </cell>
          <cell r="BV343">
            <v>304.54448242316295</v>
          </cell>
          <cell r="BW343">
            <v>147.13061208326147</v>
          </cell>
          <cell r="BX343">
            <v>451.67509450642444</v>
          </cell>
          <cell r="BY343">
            <v>167.373510973918</v>
          </cell>
          <cell r="BZ343">
            <v>619.04860548034242</v>
          </cell>
          <cell r="CA343">
            <v>508.10707758994926</v>
          </cell>
          <cell r="CB343">
            <v>425.77734414174824</v>
          </cell>
          <cell r="CC343">
            <v>364.92398477458323</v>
          </cell>
          <cell r="CD343">
            <v>265.08135965470825</v>
          </cell>
          <cell r="CE343">
            <v>192.78287949267076</v>
          </cell>
          <cell r="CF343">
            <v>64.495220234713287</v>
          </cell>
          <cell r="CG343">
            <v>41.353042103752415</v>
          </cell>
          <cell r="CH343">
            <v>20.676521051876207</v>
          </cell>
          <cell r="CI343">
            <v>10.338260525938104</v>
          </cell>
          <cell r="CJ343">
            <v>5.1691302629690519</v>
          </cell>
          <cell r="CO343">
            <v>0.05</v>
          </cell>
          <cell r="CP343" t="str">
            <v>Formulation patents 2015-2019</v>
          </cell>
          <cell r="CV343">
            <v>0.59183673469387754</v>
          </cell>
          <cell r="CW343">
            <v>0.13235294117647056</v>
          </cell>
          <cell r="CX343">
            <v>0.51923076923076916</v>
          </cell>
          <cell r="CY343">
            <v>0.33333333333333326</v>
          </cell>
          <cell r="CZ343">
            <v>0.36929460580912865</v>
          </cell>
          <cell r="DA343">
            <v>0.29487179487179493</v>
          </cell>
          <cell r="DB343">
            <v>0.19480519480519476</v>
          </cell>
          <cell r="DC343">
            <v>-1.2658227848101222E-2</v>
          </cell>
          <cell r="DD343">
            <v>-0.03</v>
          </cell>
          <cell r="DE343">
            <v>0.13636363636363646</v>
          </cell>
          <cell r="DF343">
            <v>0.15</v>
          </cell>
          <cell r="DG343">
            <v>0.1</v>
          </cell>
          <cell r="DH343">
            <v>0.08</v>
          </cell>
          <cell r="DI343">
            <v>0.06</v>
          </cell>
          <cell r="DJ343">
            <v>0.05</v>
          </cell>
          <cell r="DK343">
            <v>0.05</v>
          </cell>
        </row>
        <row r="344">
          <cell r="A344" t="str">
            <v xml:space="preserve">   growth %</v>
          </cell>
          <cell r="O344">
            <v>393</v>
          </cell>
          <cell r="P344">
            <v>0.6706940128624147</v>
          </cell>
          <cell r="Q344">
            <v>0.1546981982917367</v>
          </cell>
          <cell r="R344">
            <v>0.37538759242822639</v>
          </cell>
          <cell r="S344">
            <v>0.51285936753762495</v>
          </cell>
          <cell r="T344">
            <v>0.41622576247893761</v>
          </cell>
          <cell r="U344">
            <v>0.29594621103027818</v>
          </cell>
          <cell r="V344">
            <v>0.37686345186803505</v>
          </cell>
          <cell r="W344">
            <v>0.26152545629036195</v>
          </cell>
          <cell r="X344">
            <v>0.18401138968837216</v>
          </cell>
          <cell r="Y344">
            <v>0.22309121847345281</v>
          </cell>
          <cell r="Z344">
            <v>-4.1154396956357586E-2</v>
          </cell>
          <cell r="AA344">
            <v>0.13390755385082098</v>
          </cell>
          <cell r="AB344">
            <v>1.372296984738397E-2</v>
          </cell>
          <cell r="AC344">
            <v>0.10114806223004069</v>
          </cell>
          <cell r="AD344">
            <v>-7.0552648126982476E-2</v>
          </cell>
          <cell r="AE344">
            <v>0.10020020049959988</v>
          </cell>
          <cell r="AF344">
            <v>1.0402456604474475E-2</v>
          </cell>
          <cell r="AG344">
            <v>0.19863529333878982</v>
          </cell>
          <cell r="AH344">
            <v>7.4356855535574695E-2</v>
          </cell>
          <cell r="AI344">
            <v>0.12747976107234393</v>
          </cell>
          <cell r="AJ344">
            <v>0.17333333333333334</v>
          </cell>
          <cell r="AK344">
            <v>6.60377358490567E-2</v>
          </cell>
          <cell r="AL344">
            <v>-3.5087719298245612E-2</v>
          </cell>
          <cell r="AN344">
            <v>6.0000000000000053E-2</v>
          </cell>
          <cell r="AP344">
            <v>0</v>
          </cell>
          <cell r="AQ344">
            <v>2.0454545454545503E-2</v>
          </cell>
          <cell r="AR344">
            <v>5.3097345132743445E-2</v>
          </cell>
          <cell r="AS344">
            <v>9.0909090909090828E-2</v>
          </cell>
          <cell r="AU344">
            <v>-5.6603773584905648E-2</v>
          </cell>
          <cell r="AW344">
            <v>4.1666666666666741E-2</v>
          </cell>
          <cell r="AX344">
            <v>3.3407572383073569E-2</v>
          </cell>
          <cell r="AY344">
            <v>0.11764705882352944</v>
          </cell>
          <cell r="AZ344">
            <v>9.1666666666666563E-2</v>
          </cell>
          <cell r="BA344">
            <v>0.10460251046025104</v>
          </cell>
          <cell r="BB344">
            <v>0.20999999999999996</v>
          </cell>
          <cell r="BC344">
            <v>0.13569321533923295</v>
          </cell>
          <cell r="BD344">
            <v>0.32000000000000006</v>
          </cell>
          <cell r="BE344">
            <v>0.18534482758620685</v>
          </cell>
          <cell r="BF344">
            <v>-1.5037593984962405E-2</v>
          </cell>
          <cell r="BG344">
            <v>0.12977099236641232</v>
          </cell>
          <cell r="BH344">
            <v>5.6818181818181879E-2</v>
          </cell>
          <cell r="BI344">
            <v>3.3057851239669311E-2</v>
          </cell>
          <cell r="BJ344">
            <v>4.9350649350649256E-2</v>
          </cell>
          <cell r="BK344">
            <v>-9.0909090909090939E-2</v>
          </cell>
          <cell r="BL344">
            <v>7.2727272727273196E-3</v>
          </cell>
          <cell r="BM344">
            <v>0.11450381679389321</v>
          </cell>
          <cell r="BN344">
            <v>-1.3513513513513487E-2</v>
          </cell>
          <cell r="BO344">
            <v>4.6594982078853153E-2</v>
          </cell>
          <cell r="BP344">
            <v>0.12799999999999989</v>
          </cell>
          <cell r="BQ344">
            <v>7.1782178217821846E-2</v>
          </cell>
          <cell r="BR344">
            <v>7.333333333333325E-2</v>
          </cell>
          <cell r="BS344">
            <v>7.2202166064981865E-2</v>
          </cell>
          <cell r="BT344">
            <v>3.9695693234113927E-2</v>
          </cell>
          <cell r="BU344">
            <v>4.622541925330359E-2</v>
          </cell>
          <cell r="BV344">
            <v>4.2960556243708758E-2</v>
          </cell>
          <cell r="BW344">
            <v>4.3479518321003274E-2</v>
          </cell>
          <cell r="BX344">
            <v>4.3129548513682225E-2</v>
          </cell>
          <cell r="BY344">
            <v>3.9587024682720573E-2</v>
          </cell>
          <cell r="BZ344">
            <v>4.2169369495525855E-2</v>
          </cell>
          <cell r="CA344">
            <v>-0.17921295179125651</v>
          </cell>
          <cell r="CB344">
            <v>-0.16203225083717976</v>
          </cell>
          <cell r="CC344">
            <v>-0.14292296244608527</v>
          </cell>
          <cell r="CD344">
            <v>-0.27359841853516054</v>
          </cell>
          <cell r="CE344">
            <v>-0.27274071725078142</v>
          </cell>
          <cell r="CF344">
            <v>-0.66545151517375656</v>
          </cell>
          <cell r="CG344">
            <v>-0.35882004971439807</v>
          </cell>
          <cell r="CH344">
            <v>-0.5</v>
          </cell>
          <cell r="CI344">
            <v>-0.5</v>
          </cell>
          <cell r="CJ344">
            <v>-0.5</v>
          </cell>
        </row>
        <row r="345">
          <cell r="A345" t="str">
            <v xml:space="preserve">      CER growth</v>
          </cell>
          <cell r="BB345">
            <v>0.17</v>
          </cell>
          <cell r="BC345">
            <v>0.1</v>
          </cell>
          <cell r="BD345">
            <v>0.33</v>
          </cell>
          <cell r="BE345">
            <v>0.17</v>
          </cell>
          <cell r="BF345">
            <v>-0.01</v>
          </cell>
          <cell r="BG345">
            <v>0.17</v>
          </cell>
          <cell r="BH345">
            <v>0.08</v>
          </cell>
          <cell r="BI345">
            <v>7.0000000000000007E-2</v>
          </cell>
          <cell r="BJ345">
            <v>0.08</v>
          </cell>
          <cell r="BK345">
            <v>-0.08</v>
          </cell>
          <cell r="BL345">
            <v>0.03</v>
          </cell>
          <cell r="BM345">
            <v>0.12</v>
          </cell>
          <cell r="BN345">
            <v>-0.01</v>
          </cell>
          <cell r="BO345">
            <v>0.05</v>
          </cell>
          <cell r="BP345">
            <v>0.14000000000000001</v>
          </cell>
          <cell r="BQ345">
            <v>0.08</v>
          </cell>
          <cell r="BR345">
            <v>0.08</v>
          </cell>
          <cell r="BS345">
            <v>0.08</v>
          </cell>
        </row>
        <row r="346">
          <cell r="A346" t="str">
            <v xml:space="preserve">       Ritalin US</v>
          </cell>
          <cell r="BB346">
            <v>82</v>
          </cell>
          <cell r="BC346">
            <v>274</v>
          </cell>
          <cell r="BD346">
            <v>124</v>
          </cell>
          <cell r="BE346">
            <v>398</v>
          </cell>
          <cell r="BF346">
            <v>96</v>
          </cell>
          <cell r="BG346">
            <v>108</v>
          </cell>
          <cell r="BH346">
            <v>204</v>
          </cell>
          <cell r="BI346">
            <v>89</v>
          </cell>
          <cell r="BJ346">
            <v>293</v>
          </cell>
          <cell r="BK346">
            <v>109</v>
          </cell>
          <cell r="BL346">
            <v>402</v>
          </cell>
          <cell r="BM346">
            <v>111</v>
          </cell>
          <cell r="BN346">
            <v>106</v>
          </cell>
          <cell r="BO346">
            <v>217</v>
          </cell>
          <cell r="BP346">
            <v>100</v>
          </cell>
          <cell r="BQ346">
            <v>317</v>
          </cell>
          <cell r="BR346">
            <v>118</v>
          </cell>
          <cell r="BS346">
            <v>435</v>
          </cell>
          <cell r="BT346">
            <v>116.55000000000001</v>
          </cell>
          <cell r="BU346">
            <v>111.30000000000001</v>
          </cell>
          <cell r="BV346">
            <v>227.85000000000002</v>
          </cell>
          <cell r="BW346">
            <v>105</v>
          </cell>
          <cell r="BX346">
            <v>332.85</v>
          </cell>
          <cell r="BY346">
            <v>123.89999999999998</v>
          </cell>
          <cell r="BZ346">
            <v>456.75</v>
          </cell>
          <cell r="CA346">
            <v>342.5625</v>
          </cell>
          <cell r="CB346">
            <v>256.921875</v>
          </cell>
          <cell r="CC346">
            <v>192.69140625</v>
          </cell>
          <cell r="CD346">
            <v>144.5185546875</v>
          </cell>
          <cell r="CE346">
            <v>108.388916015625</v>
          </cell>
          <cell r="CF346">
            <v>5.4194458007812552</v>
          </cell>
        </row>
        <row r="347">
          <cell r="A347" t="str">
            <v xml:space="preserve">           growth </v>
          </cell>
          <cell r="BB347">
            <v>0.15</v>
          </cell>
          <cell r="BC347">
            <v>0.1</v>
          </cell>
          <cell r="BD347">
            <v>0.39</v>
          </cell>
          <cell r="BE347">
            <v>0.17</v>
          </cell>
          <cell r="BF347">
            <v>-0.03</v>
          </cell>
          <cell r="BG347">
            <v>0.16</v>
          </cell>
          <cell r="BH347">
            <v>0.06</v>
          </cell>
          <cell r="BI347">
            <v>8.5365853658536661E-2</v>
          </cell>
          <cell r="BJ347">
            <v>6.9343065693430628E-2</v>
          </cell>
          <cell r="BK347">
            <v>-0.12096774193548387</v>
          </cell>
          <cell r="BL347">
            <v>1.0050251256281451E-2</v>
          </cell>
          <cell r="BM347">
            <v>0.15625</v>
          </cell>
          <cell r="BN347">
            <v>-1.851851851851849E-2</v>
          </cell>
          <cell r="BO347">
            <v>6.3725490196078427E-2</v>
          </cell>
          <cell r="BP347">
            <v>0.12359550561797761</v>
          </cell>
          <cell r="BQ347">
            <v>0.05</v>
          </cell>
          <cell r="BR347">
            <v>0.05</v>
          </cell>
          <cell r="BS347">
            <v>0.05</v>
          </cell>
          <cell r="BT347">
            <v>0.05</v>
          </cell>
          <cell r="BU347">
            <v>0.05</v>
          </cell>
          <cell r="BV347">
            <v>5.0000000000000044E-2</v>
          </cell>
          <cell r="BW347">
            <v>0.05</v>
          </cell>
          <cell r="BX347">
            <v>5.0000000000000044E-2</v>
          </cell>
          <cell r="BY347">
            <v>4.9999999999999822E-2</v>
          </cell>
          <cell r="BZ347">
            <v>0.05</v>
          </cell>
          <cell r="CA347">
            <v>-0.25</v>
          </cell>
          <cell r="CB347">
            <v>-0.25</v>
          </cell>
          <cell r="CC347">
            <v>-0.25</v>
          </cell>
          <cell r="CD347">
            <v>-0.25</v>
          </cell>
          <cell r="CE347">
            <v>-0.25</v>
          </cell>
          <cell r="CF347">
            <v>-0.95</v>
          </cell>
        </row>
        <row r="348">
          <cell r="A348" t="str">
            <v xml:space="preserve">       Ritalin ROW</v>
          </cell>
          <cell r="O348">
            <v>615</v>
          </cell>
          <cell r="V348">
            <v>721</v>
          </cell>
          <cell r="AC348">
            <v>692</v>
          </cell>
          <cell r="AJ348">
            <v>332</v>
          </cell>
          <cell r="AQ348">
            <v>295</v>
          </cell>
          <cell r="AX348">
            <v>253</v>
          </cell>
          <cell r="BB348">
            <v>39</v>
          </cell>
          <cell r="BC348">
            <v>111</v>
          </cell>
          <cell r="BD348">
            <v>41</v>
          </cell>
          <cell r="BE348">
            <v>152</v>
          </cell>
          <cell r="BF348">
            <v>35</v>
          </cell>
          <cell r="BG348">
            <v>40</v>
          </cell>
          <cell r="BH348">
            <v>75</v>
          </cell>
          <cell r="BI348">
            <v>36</v>
          </cell>
          <cell r="BJ348">
            <v>111</v>
          </cell>
          <cell r="BK348">
            <v>41</v>
          </cell>
          <cell r="BL348">
            <v>152</v>
          </cell>
          <cell r="BM348">
            <v>35</v>
          </cell>
          <cell r="BN348">
            <v>40</v>
          </cell>
          <cell r="BO348">
            <v>75</v>
          </cell>
          <cell r="BP348">
            <v>41</v>
          </cell>
          <cell r="BQ348">
            <v>116</v>
          </cell>
          <cell r="BR348">
            <v>43</v>
          </cell>
          <cell r="BS348">
            <v>159</v>
          </cell>
          <cell r="BT348">
            <v>35.245571212180614</v>
          </cell>
          <cell r="BU348">
            <v>41.448911210982303</v>
          </cell>
          <cell r="BV348">
            <v>76.694482423162924</v>
          </cell>
          <cell r="BW348">
            <v>42.130612083261461</v>
          </cell>
          <cell r="BX348">
            <v>118.82509450642439</v>
          </cell>
          <cell r="BY348">
            <v>43.473510973918025</v>
          </cell>
          <cell r="BZ348">
            <v>162.29860548034242</v>
          </cell>
          <cell r="CA348">
            <v>165.54457758994926</v>
          </cell>
          <cell r="CB348">
            <v>168.85546914174824</v>
          </cell>
          <cell r="CC348">
            <v>172.2325785245832</v>
          </cell>
          <cell r="CD348">
            <v>120.56280496720824</v>
          </cell>
          <cell r="CE348">
            <v>84.393963477045759</v>
          </cell>
          <cell r="CF348">
            <v>59.075774433932025</v>
          </cell>
          <cell r="CG348">
            <v>41.353042103752415</v>
          </cell>
          <cell r="CH348">
            <v>20.676521051876207</v>
          </cell>
          <cell r="CI348">
            <v>10.338260525938104</v>
          </cell>
          <cell r="CJ348">
            <v>5.1691302629690519</v>
          </cell>
        </row>
        <row r="349">
          <cell r="A349" t="str">
            <v xml:space="preserve">           growth </v>
          </cell>
          <cell r="BH349">
            <v>0.06</v>
          </cell>
          <cell r="BI349">
            <v>-7.6923076923076872E-2</v>
          </cell>
          <cell r="BJ349">
            <v>0</v>
          </cell>
          <cell r="BK349">
            <v>0</v>
          </cell>
          <cell r="BL349">
            <v>0</v>
          </cell>
          <cell r="BM349">
            <v>0</v>
          </cell>
          <cell r="BN349">
            <v>0</v>
          </cell>
          <cell r="BO349">
            <v>0</v>
          </cell>
          <cell r="BP349">
            <v>0.13888888888888884</v>
          </cell>
          <cell r="BQ349">
            <v>4.5045045045045029E-2</v>
          </cell>
          <cell r="BR349">
            <v>4.8780487804878092E-2</v>
          </cell>
          <cell r="BS349">
            <v>4.6052631578947345E-2</v>
          </cell>
          <cell r="BT349">
            <v>7.0163203480175795E-3</v>
          </cell>
          <cell r="BU349">
            <v>3.6222780274557609E-2</v>
          </cell>
          <cell r="BV349">
            <v>2.2593098975505654E-2</v>
          </cell>
          <cell r="BW349">
            <v>2.7575904469791634E-2</v>
          </cell>
          <cell r="BX349">
            <v>2.4354262986417075E-2</v>
          </cell>
          <cell r="BY349">
            <v>1.1011883114372623E-2</v>
          </cell>
          <cell r="BZ349">
            <v>2.0745946417247918E-2</v>
          </cell>
          <cell r="CA349">
            <v>2.0000000000000018E-2</v>
          </cell>
          <cell r="CB349">
            <v>2.0000000000000018E-2</v>
          </cell>
          <cell r="CC349">
            <v>2.0000000000000018E-2</v>
          </cell>
          <cell r="CD349">
            <v>-0.30000000000000004</v>
          </cell>
          <cell r="CE349">
            <v>-0.30000000000000004</v>
          </cell>
          <cell r="CF349">
            <v>-0.30000000000000004</v>
          </cell>
          <cell r="CG349">
            <v>-0.30000000000000004</v>
          </cell>
          <cell r="CH349">
            <v>-0.5</v>
          </cell>
          <cell r="CI349">
            <v>-0.5</v>
          </cell>
          <cell r="CJ349">
            <v>-0.5</v>
          </cell>
        </row>
        <row r="350">
          <cell r="A350" t="str">
            <v xml:space="preserve">   CER growth </v>
          </cell>
          <cell r="BB350">
            <v>0.23</v>
          </cell>
          <cell r="BC350">
            <v>0.13</v>
          </cell>
          <cell r="BD350">
            <v>0.16</v>
          </cell>
          <cell r="BE350">
            <v>0.14000000000000001</v>
          </cell>
          <cell r="BF350">
            <v>0.05</v>
          </cell>
          <cell r="BG350">
            <v>0.19</v>
          </cell>
          <cell r="BH350">
            <v>0.12</v>
          </cell>
          <cell r="BI350">
            <v>0.04</v>
          </cell>
          <cell r="BK350">
            <v>0.05</v>
          </cell>
          <cell r="BL350">
            <v>0.08</v>
          </cell>
          <cell r="BM350">
            <v>0</v>
          </cell>
          <cell r="BN350">
            <v>0.02</v>
          </cell>
          <cell r="BO350">
            <v>0.02</v>
          </cell>
          <cell r="BP350">
            <v>0.19</v>
          </cell>
          <cell r="BQ350">
            <v>7.0000000000000007E-2</v>
          </cell>
          <cell r="BR350">
            <v>0.04</v>
          </cell>
          <cell r="BS350">
            <v>0.06</v>
          </cell>
          <cell r="BT350">
            <v>0.02</v>
          </cell>
          <cell r="BU350">
            <v>0.02</v>
          </cell>
          <cell r="BW350">
            <v>0.02</v>
          </cell>
          <cell r="BY350">
            <v>4.2036161581859854E-3</v>
          </cell>
          <cell r="BZ350">
            <v>0.02</v>
          </cell>
          <cell r="CA350">
            <v>0.02</v>
          </cell>
          <cell r="CB350">
            <v>0.02</v>
          </cell>
          <cell r="CC350">
            <v>0.02</v>
          </cell>
          <cell r="CD350">
            <v>-0.3</v>
          </cell>
          <cell r="CE350">
            <v>-0.3</v>
          </cell>
          <cell r="CF350">
            <v>-0.3</v>
          </cell>
          <cell r="CG350">
            <v>-0.3</v>
          </cell>
          <cell r="CH350">
            <v>-0.5</v>
          </cell>
          <cell r="CI350">
            <v>-0.5</v>
          </cell>
          <cell r="CJ350">
            <v>-0.5</v>
          </cell>
        </row>
        <row r="352">
          <cell r="A352" t="str">
            <v>Tegretol</v>
          </cell>
          <cell r="B352">
            <v>93</v>
          </cell>
          <cell r="C352">
            <v>93</v>
          </cell>
          <cell r="D352">
            <v>186</v>
          </cell>
          <cell r="E352">
            <v>98</v>
          </cell>
          <cell r="F352">
            <v>284</v>
          </cell>
          <cell r="G352">
            <v>112</v>
          </cell>
          <cell r="H352">
            <v>396</v>
          </cell>
          <cell r="I352">
            <v>97</v>
          </cell>
          <cell r="J352">
            <v>101</v>
          </cell>
          <cell r="K352">
            <v>198</v>
          </cell>
          <cell r="L352">
            <v>99</v>
          </cell>
          <cell r="M352">
            <v>297</v>
          </cell>
          <cell r="N352">
            <v>96</v>
          </cell>
          <cell r="O352">
            <v>393</v>
          </cell>
          <cell r="P352">
            <v>94</v>
          </cell>
          <cell r="Q352">
            <v>98</v>
          </cell>
          <cell r="R352">
            <v>192</v>
          </cell>
          <cell r="S352">
            <v>95</v>
          </cell>
          <cell r="T352">
            <v>287</v>
          </cell>
          <cell r="U352">
            <v>104</v>
          </cell>
          <cell r="V352">
            <v>391</v>
          </cell>
          <cell r="W352">
            <v>99</v>
          </cell>
          <cell r="X352">
            <v>105</v>
          </cell>
          <cell r="Y352">
            <v>204</v>
          </cell>
          <cell r="Z352">
            <v>100</v>
          </cell>
          <cell r="AA352">
            <v>304</v>
          </cell>
          <cell r="AB352">
            <v>109</v>
          </cell>
          <cell r="AC352">
            <v>413</v>
          </cell>
          <cell r="AD352">
            <v>114</v>
          </cell>
          <cell r="AE352">
            <v>131</v>
          </cell>
          <cell r="AF352">
            <v>245</v>
          </cell>
          <cell r="AG352">
            <v>109</v>
          </cell>
          <cell r="AH352">
            <v>354</v>
          </cell>
          <cell r="AI352">
            <v>97</v>
          </cell>
          <cell r="AJ352">
            <v>451</v>
          </cell>
          <cell r="AK352">
            <v>96</v>
          </cell>
          <cell r="AL352">
            <v>91</v>
          </cell>
          <cell r="AM352">
            <v>187</v>
          </cell>
          <cell r="AN352">
            <v>96</v>
          </cell>
          <cell r="AO352">
            <v>283</v>
          </cell>
          <cell r="AP352">
            <v>92</v>
          </cell>
          <cell r="AQ352">
            <v>375</v>
          </cell>
          <cell r="AR352">
            <v>88</v>
          </cell>
          <cell r="AS352">
            <v>91</v>
          </cell>
          <cell r="AT352">
            <v>179</v>
          </cell>
          <cell r="AU352">
            <v>86</v>
          </cell>
          <cell r="AV352">
            <v>265</v>
          </cell>
          <cell r="AW352">
            <v>90</v>
          </cell>
          <cell r="AX352">
            <v>355</v>
          </cell>
          <cell r="AY352">
            <v>85</v>
          </cell>
          <cell r="AZ352">
            <v>90</v>
          </cell>
          <cell r="BA352">
            <v>175</v>
          </cell>
          <cell r="BB352">
            <v>91</v>
          </cell>
          <cell r="BC352">
            <v>266</v>
          </cell>
          <cell r="BD352">
            <v>98</v>
          </cell>
          <cell r="BE352">
            <v>364</v>
          </cell>
          <cell r="BF352">
            <v>85</v>
          </cell>
          <cell r="BG352">
            <v>89</v>
          </cell>
          <cell r="BH352">
            <v>174</v>
          </cell>
          <cell r="BI352">
            <v>81</v>
          </cell>
          <cell r="BJ352">
            <v>255</v>
          </cell>
          <cell r="BK352">
            <v>93</v>
          </cell>
          <cell r="BL352">
            <v>348</v>
          </cell>
          <cell r="BM352">
            <v>83</v>
          </cell>
          <cell r="BN352">
            <v>86</v>
          </cell>
          <cell r="BO352">
            <v>169</v>
          </cell>
          <cell r="BP352">
            <v>83</v>
          </cell>
          <cell r="BQ352">
            <v>252</v>
          </cell>
          <cell r="BR352">
            <v>90</v>
          </cell>
          <cell r="BS352">
            <v>342</v>
          </cell>
          <cell r="BT352">
            <v>80.509999999999991</v>
          </cell>
          <cell r="BU352">
            <v>83.42</v>
          </cell>
          <cell r="BV352">
            <v>163.93</v>
          </cell>
          <cell r="BW352">
            <v>80.509999999999991</v>
          </cell>
          <cell r="BX352">
            <v>244.44</v>
          </cell>
          <cell r="BY352">
            <v>87.300000000000011</v>
          </cell>
          <cell r="BZ352">
            <v>331.74</v>
          </cell>
          <cell r="CA352">
            <v>321.7878</v>
          </cell>
          <cell r="CB352">
            <v>312.13416599999999</v>
          </cell>
          <cell r="CC352">
            <v>302.77014101999998</v>
          </cell>
          <cell r="CD352">
            <v>293.6870367894</v>
          </cell>
          <cell r="CE352">
            <v>284.876425685718</v>
          </cell>
          <cell r="CF352">
            <v>276.33013291514646</v>
          </cell>
          <cell r="CG352">
            <v>268.04022892769206</v>
          </cell>
          <cell r="CH352">
            <v>259.99902205986126</v>
          </cell>
          <cell r="CI352">
            <v>252.19905139806542</v>
          </cell>
          <cell r="CJ352">
            <v>244.63307985612346</v>
          </cell>
          <cell r="CM352">
            <v>-6.6217119251564304E-3</v>
          </cell>
          <cell r="CO352">
            <v>0.12949002217294903</v>
          </cell>
          <cell r="CP352" t="str">
            <v>Expired</v>
          </cell>
          <cell r="CQ352">
            <v>4.3010752688172005E-2</v>
          </cell>
          <cell r="CR352">
            <v>8.602150537634401E-2</v>
          </cell>
          <cell r="CS352">
            <v>1.0204081632652962E-2</v>
          </cell>
          <cell r="CT352">
            <v>-0.1428571428571429</v>
          </cell>
          <cell r="CU352">
            <v>-7.575757575757569E-3</v>
          </cell>
          <cell r="CV352">
            <v>-3.0927835051546393E-2</v>
          </cell>
          <cell r="CW352">
            <v>-2.9702970297029729E-2</v>
          </cell>
          <cell r="CX352">
            <v>-4.0404040404040442E-2</v>
          </cell>
          <cell r="CY352">
            <v>8.3333333333333259E-2</v>
          </cell>
          <cell r="CZ352">
            <v>-5.0890585241730735E-3</v>
          </cell>
          <cell r="DA352">
            <v>5.3191489361702038E-2</v>
          </cell>
          <cell r="DB352">
            <v>7.1428571428571397E-2</v>
          </cell>
          <cell r="DC352">
            <v>5.2631578947368363E-2</v>
          </cell>
          <cell r="DD352">
            <v>-0.05</v>
          </cell>
          <cell r="DE352">
            <v>5.6265984654731538E-2</v>
          </cell>
          <cell r="DF352">
            <v>-0.05</v>
          </cell>
          <cell r="DG352">
            <v>-0.05</v>
          </cell>
          <cell r="DH352">
            <v>-0.05</v>
          </cell>
          <cell r="DI352">
            <v>-0.05</v>
          </cell>
          <cell r="DJ352">
            <v>-0.05</v>
          </cell>
          <cell r="DK352">
            <v>-0.05</v>
          </cell>
        </row>
        <row r="353">
          <cell r="A353" t="str">
            <v xml:space="preserve">   growth %</v>
          </cell>
          <cell r="P353">
            <v>4.7929443116990766E-2</v>
          </cell>
          <cell r="Q353">
            <v>-7.3577131817635921E-3</v>
          </cell>
          <cell r="R353">
            <v>2.0298237338871372E-2</v>
          </cell>
          <cell r="S353">
            <v>-4.677544209718465E-2</v>
          </cell>
          <cell r="T353">
            <v>-2.0596558064805981E-3</v>
          </cell>
          <cell r="U353">
            <v>4.5946211030278183E-2</v>
          </cell>
          <cell r="V353">
            <v>2.4797875347333243E-3</v>
          </cell>
          <cell r="W353">
            <v>1.984515078026905E-2</v>
          </cell>
          <cell r="X353">
            <v>6.06347663117488E-2</v>
          </cell>
          <cell r="Y353">
            <v>4.0429928150872207E-2</v>
          </cell>
          <cell r="Z353">
            <v>2.4135409839111999E-2</v>
          </cell>
          <cell r="AA353">
            <v>3.5021345208514632E-2</v>
          </cell>
          <cell r="AB353">
            <v>-2.1533440409026161E-2</v>
          </cell>
          <cell r="AC353">
            <v>2.1050410521135765E-2</v>
          </cell>
          <cell r="AD353">
            <v>3.1457552893119578E-2</v>
          </cell>
          <cell r="AE353">
            <v>0.10868881333603886</v>
          </cell>
          <cell r="AF353">
            <v>7.14864757043423E-2</v>
          </cell>
          <cell r="AG353">
            <v>6.5840112875077406E-3</v>
          </cell>
          <cell r="AH353">
            <v>5.8018731628019848E-2</v>
          </cell>
          <cell r="AI353">
            <v>-0.13645813589307587</v>
          </cell>
          <cell r="AJ353">
            <v>5.3828927600862997E-4</v>
          </cell>
          <cell r="AK353">
            <v>-0.1418716443117628</v>
          </cell>
          <cell r="AL353">
            <v>-0.27155267342374678</v>
          </cell>
          <cell r="AN353">
            <v>-0.15402457132457581</v>
          </cell>
          <cell r="AP353">
            <v>-0.13846556560949552</v>
          </cell>
          <cell r="AQ353">
            <v>-0.16851441241685139</v>
          </cell>
          <cell r="AR353">
            <v>-8.333333333333337E-2</v>
          </cell>
          <cell r="AS353">
            <v>0</v>
          </cell>
          <cell r="AT353">
            <v>-4.2780748663101553E-2</v>
          </cell>
          <cell r="AU353">
            <v>-0.10416666666666663</v>
          </cell>
          <cell r="AV353">
            <v>-6.360424028268552E-2</v>
          </cell>
          <cell r="AW353">
            <v>-2.1739130434782594E-2</v>
          </cell>
          <cell r="AX353">
            <v>-5.3333333333333344E-2</v>
          </cell>
          <cell r="AY353">
            <v>-3.4090909090909061E-2</v>
          </cell>
          <cell r="AZ353">
            <v>-1.098901098901095E-2</v>
          </cell>
          <cell r="BA353">
            <v>-2.2346368715083775E-2</v>
          </cell>
          <cell r="BB353">
            <v>5.8139534883721034E-2</v>
          </cell>
          <cell r="BC353">
            <v>3.7735849056603765E-3</v>
          </cell>
          <cell r="BD353">
            <v>8.8888888888888795E-2</v>
          </cell>
          <cell r="BE353">
            <v>2.5352112676056304E-2</v>
          </cell>
          <cell r="BF353">
            <v>0</v>
          </cell>
          <cell r="BG353">
            <v>-1.1111111111111072E-2</v>
          </cell>
          <cell r="BH353">
            <v>-5.7142857142856718E-3</v>
          </cell>
          <cell r="BI353">
            <v>-0.10989010989010994</v>
          </cell>
          <cell r="BJ353">
            <v>-4.1353383458646586E-2</v>
          </cell>
          <cell r="BK353">
            <v>-5.1020408163265252E-2</v>
          </cell>
          <cell r="BL353">
            <v>-4.3956043956043911E-2</v>
          </cell>
          <cell r="BM353">
            <v>-2.352941176470591E-2</v>
          </cell>
          <cell r="BN353">
            <v>-3.3707865168539297E-2</v>
          </cell>
          <cell r="BO353">
            <v>-2.8735632183908066E-2</v>
          </cell>
          <cell r="BP353">
            <v>0</v>
          </cell>
          <cell r="BQ353">
            <v>-1.1764705882352899E-2</v>
          </cell>
          <cell r="BR353">
            <v>0</v>
          </cell>
          <cell r="BS353">
            <v>-1.7241379310344862E-2</v>
          </cell>
          <cell r="BT353">
            <v>-0.03</v>
          </cell>
          <cell r="BU353">
            <v>-0.03</v>
          </cell>
          <cell r="BV353">
            <v>-2.9999999999999916E-2</v>
          </cell>
          <cell r="BW353">
            <v>-0.03</v>
          </cell>
          <cell r="BX353">
            <v>-3.0000000000000027E-2</v>
          </cell>
          <cell r="BY353">
            <v>-2.9999999999999916E-2</v>
          </cell>
          <cell r="BZ353">
            <v>-0.03</v>
          </cell>
          <cell r="CA353">
            <v>-0.03</v>
          </cell>
          <cell r="CB353">
            <v>-0.03</v>
          </cell>
          <cell r="CC353">
            <v>-0.03</v>
          </cell>
          <cell r="CD353">
            <v>-0.03</v>
          </cell>
          <cell r="CE353">
            <v>-0.03</v>
          </cell>
          <cell r="CF353">
            <v>-0.03</v>
          </cell>
          <cell r="CG353">
            <v>-0.03</v>
          </cell>
          <cell r="CH353">
            <v>-0.03</v>
          </cell>
          <cell r="CI353">
            <v>-0.03</v>
          </cell>
          <cell r="CJ353">
            <v>-0.03</v>
          </cell>
        </row>
        <row r="354">
          <cell r="A354" t="str">
            <v xml:space="preserve">      CER growth</v>
          </cell>
          <cell r="BB354">
            <v>-0.15</v>
          </cell>
          <cell r="BC354">
            <v>-0.04</v>
          </cell>
          <cell r="BD354">
            <v>0.1</v>
          </cell>
          <cell r="BE354">
            <v>-0.01</v>
          </cell>
          <cell r="BG354">
            <v>0.05</v>
          </cell>
          <cell r="BH354">
            <v>0.04</v>
          </cell>
          <cell r="BI354">
            <v>-0.05</v>
          </cell>
          <cell r="BJ354">
            <v>0.01</v>
          </cell>
          <cell r="BK354">
            <v>-0.03</v>
          </cell>
          <cell r="BL354">
            <v>0</v>
          </cell>
          <cell r="BM354">
            <v>0</v>
          </cell>
          <cell r="BN354">
            <v>0.01</v>
          </cell>
          <cell r="BO354">
            <v>0</v>
          </cell>
          <cell r="BP354">
            <v>7.0000000000000007E-2</v>
          </cell>
          <cell r="BQ354">
            <v>0.03</v>
          </cell>
          <cell r="BR354">
            <v>0</v>
          </cell>
          <cell r="BS354">
            <v>0.02</v>
          </cell>
        </row>
        <row r="356">
          <cell r="A356" t="str">
            <v>Trileptal</v>
          </cell>
          <cell r="B356">
            <v>126</v>
          </cell>
          <cell r="C356">
            <v>114</v>
          </cell>
          <cell r="D356">
            <v>240</v>
          </cell>
          <cell r="E356">
            <v>137</v>
          </cell>
          <cell r="F356">
            <v>377</v>
          </cell>
          <cell r="G356">
            <v>141</v>
          </cell>
          <cell r="H356">
            <v>518</v>
          </cell>
          <cell r="I356">
            <v>152</v>
          </cell>
          <cell r="J356">
            <v>141</v>
          </cell>
          <cell r="K356">
            <v>293</v>
          </cell>
          <cell r="L356">
            <v>165</v>
          </cell>
          <cell r="M356">
            <v>458</v>
          </cell>
          <cell r="N356">
            <v>157</v>
          </cell>
          <cell r="O356">
            <v>615</v>
          </cell>
          <cell r="P356">
            <v>166</v>
          </cell>
          <cell r="Q356">
            <v>186</v>
          </cell>
          <cell r="R356">
            <v>352</v>
          </cell>
          <cell r="S356">
            <v>180</v>
          </cell>
          <cell r="T356">
            <v>532</v>
          </cell>
          <cell r="U356">
            <v>189</v>
          </cell>
          <cell r="V356">
            <v>721</v>
          </cell>
          <cell r="W356">
            <v>197</v>
          </cell>
          <cell r="X356">
            <v>199</v>
          </cell>
          <cell r="Y356">
            <v>396</v>
          </cell>
          <cell r="Z356">
            <v>198</v>
          </cell>
          <cell r="AA356">
            <v>594</v>
          </cell>
          <cell r="AB356">
            <v>98</v>
          </cell>
          <cell r="AC356">
            <v>692</v>
          </cell>
          <cell r="AD356">
            <v>90</v>
          </cell>
          <cell r="AE356">
            <v>83</v>
          </cell>
          <cell r="AF356">
            <v>173</v>
          </cell>
          <cell r="AG356">
            <v>86</v>
          </cell>
          <cell r="AH356">
            <v>259</v>
          </cell>
          <cell r="AI356">
            <v>73</v>
          </cell>
          <cell r="AJ356">
            <v>332</v>
          </cell>
          <cell r="AK356">
            <v>70</v>
          </cell>
          <cell r="AL356">
            <v>77</v>
          </cell>
          <cell r="AM356">
            <v>147</v>
          </cell>
          <cell r="AN356">
            <v>80</v>
          </cell>
          <cell r="AO356">
            <v>227</v>
          </cell>
          <cell r="AP356">
            <v>68</v>
          </cell>
          <cell r="AQ356">
            <v>295</v>
          </cell>
          <cell r="AR356">
            <v>64</v>
          </cell>
          <cell r="AS356">
            <v>63</v>
          </cell>
          <cell r="AT356">
            <v>127</v>
          </cell>
          <cell r="AU356">
            <v>62</v>
          </cell>
          <cell r="AV356">
            <v>189</v>
          </cell>
          <cell r="AW356">
            <v>64</v>
          </cell>
          <cell r="AX356">
            <v>253</v>
          </cell>
          <cell r="AY356">
            <v>61</v>
          </cell>
          <cell r="AZ356">
            <v>66</v>
          </cell>
          <cell r="BA356">
            <v>127</v>
          </cell>
          <cell r="BB356">
            <v>68</v>
          </cell>
          <cell r="BC356">
            <v>195</v>
          </cell>
          <cell r="BD356">
            <v>68</v>
          </cell>
          <cell r="BE356">
            <v>263</v>
          </cell>
          <cell r="BF356">
            <v>75</v>
          </cell>
          <cell r="BG356">
            <v>66</v>
          </cell>
          <cell r="BH356">
            <v>141</v>
          </cell>
          <cell r="BI356">
            <v>71</v>
          </cell>
          <cell r="BJ356">
            <v>212</v>
          </cell>
          <cell r="BK356">
            <v>67</v>
          </cell>
          <cell r="BL356">
            <v>279</v>
          </cell>
          <cell r="BM356">
            <v>59</v>
          </cell>
          <cell r="BN356">
            <v>66</v>
          </cell>
          <cell r="BO356">
            <v>125</v>
          </cell>
          <cell r="BP356">
            <v>63</v>
          </cell>
          <cell r="BQ356">
            <v>188</v>
          </cell>
          <cell r="BR356">
            <v>69</v>
          </cell>
          <cell r="BS356">
            <v>257</v>
          </cell>
          <cell r="BT356">
            <v>57.23</v>
          </cell>
          <cell r="BU356">
            <v>54.120000000000005</v>
          </cell>
          <cell r="BV356">
            <v>111.35</v>
          </cell>
          <cell r="BW356">
            <v>56.7</v>
          </cell>
          <cell r="BX356">
            <v>168.05</v>
          </cell>
          <cell r="BY356">
            <v>63.25</v>
          </cell>
          <cell r="BZ356">
            <v>231.3</v>
          </cell>
          <cell r="CA356">
            <v>208.17000000000002</v>
          </cell>
          <cell r="CB356">
            <v>187.35300000000001</v>
          </cell>
          <cell r="CC356">
            <v>168.61770000000001</v>
          </cell>
          <cell r="CD356">
            <v>151.75593000000001</v>
          </cell>
          <cell r="CE356">
            <v>136.58033700000001</v>
          </cell>
          <cell r="CF356">
            <v>68.290168500000007</v>
          </cell>
          <cell r="CG356">
            <v>34.145084250000004</v>
          </cell>
          <cell r="CH356">
            <v>17.072542125000002</v>
          </cell>
          <cell r="CI356">
            <v>8.5362710625000009</v>
          </cell>
          <cell r="CJ356">
            <v>4.2681355312500004</v>
          </cell>
          <cell r="CM356">
            <v>-4.5562238017131402E-3</v>
          </cell>
          <cell r="CO356">
            <v>0.18072289156626506</v>
          </cell>
          <cell r="CP356" t="str">
            <v>2005 (2018 formulation)</v>
          </cell>
          <cell r="CQ356">
            <v>0.20634920634920628</v>
          </cell>
          <cell r="CR356">
            <v>0.23684210526315796</v>
          </cell>
          <cell r="CS356">
            <v>0.20437956204379559</v>
          </cell>
          <cell r="CT356">
            <v>0.11347517730496448</v>
          </cell>
          <cell r="CU356">
            <v>0.18725868725868722</v>
          </cell>
          <cell r="CV356">
            <v>9.210526315789469E-2</v>
          </cell>
          <cell r="CW356">
            <v>0.31914893617021267</v>
          </cell>
          <cell r="CX356">
            <v>9.0909090909090828E-2</v>
          </cell>
          <cell r="CY356">
            <v>0.20382165605095537</v>
          </cell>
          <cell r="CZ356">
            <v>0.17235772357723578</v>
          </cell>
          <cell r="DA356">
            <v>0.18674698795180733</v>
          </cell>
          <cell r="DB356">
            <v>6.9892473118279508E-2</v>
          </cell>
          <cell r="DC356">
            <v>0.10000000000000009</v>
          </cell>
          <cell r="DD356">
            <v>-0.55000000000000004</v>
          </cell>
          <cell r="DE356">
            <v>-4.0221914008321757E-2</v>
          </cell>
          <cell r="DF356">
            <v>-0.8</v>
          </cell>
          <cell r="DG356">
            <v>-0.25</v>
          </cell>
          <cell r="DH356">
            <v>-0.25</v>
          </cell>
          <cell r="DI356">
            <v>-0.25</v>
          </cell>
          <cell r="DJ356">
            <v>-0.25</v>
          </cell>
          <cell r="DK356">
            <v>-0.25</v>
          </cell>
        </row>
        <row r="357">
          <cell r="A357" t="str">
            <v xml:space="preserve">   growth %</v>
          </cell>
          <cell r="P357">
            <v>0.17096254132643185</v>
          </cell>
          <cell r="Q357">
            <v>0.34149419328547881</v>
          </cell>
          <cell r="R357">
            <v>0.25196645535521234</v>
          </cell>
          <cell r="S357">
            <v>8.4537689215946621E-2</v>
          </cell>
          <cell r="T357">
            <v>0.1931824302652998</v>
          </cell>
          <cell r="U357">
            <v>0.16643453374790029</v>
          </cell>
          <cell r="V357">
            <v>0.17992656963614218</v>
          </cell>
          <cell r="W357">
            <v>0.15340064937037434</v>
          </cell>
          <cell r="X357">
            <v>5.9098668001456911E-2</v>
          </cell>
          <cell r="Y357">
            <v>0.10292992815087221</v>
          </cell>
          <cell r="Z357">
            <v>7.1503830891743725E-2</v>
          </cell>
          <cell r="AA357">
            <v>9.2329249114621481E-2</v>
          </cell>
          <cell r="AB357">
            <v>-0.5510918449674308</v>
          </cell>
          <cell r="AC357">
            <v>-7.543748814191753E-2</v>
          </cell>
          <cell r="AD357">
            <v>-0.6632048067438594</v>
          </cell>
          <cell r="AE357">
            <v>-0.72184480714733046</v>
          </cell>
          <cell r="AF357">
            <v>-0.69262522958383355</v>
          </cell>
          <cell r="AG357">
            <v>-0.64907255436905797</v>
          </cell>
          <cell r="AH357">
            <v>-0.67042801655557049</v>
          </cell>
          <cell r="AI357">
            <v>-0.28146843359013629</v>
          </cell>
          <cell r="AJ357">
            <v>-0.6117026098268481</v>
          </cell>
          <cell r="AK357">
            <v>-0.2061991296918797</v>
          </cell>
          <cell r="AL357">
            <v>-3.8498318599871184E-2</v>
          </cell>
          <cell r="AN357">
            <v>-0.10452595813916943</v>
          </cell>
          <cell r="AP357">
            <v>-0.15541232454184972</v>
          </cell>
          <cell r="AQ357">
            <v>-0.11144578313253017</v>
          </cell>
          <cell r="AR357">
            <v>-0.15571428571428581</v>
          </cell>
          <cell r="AS357">
            <v>-0.17806639355661269</v>
          </cell>
          <cell r="AU357">
            <v>-0.22659565542433213</v>
          </cell>
          <cell r="AW357">
            <v>-6.8017754662941465E-2</v>
          </cell>
          <cell r="AX357">
            <v>-0.14237288135593218</v>
          </cell>
          <cell r="AY357">
            <v>-4.6875E-2</v>
          </cell>
          <cell r="AZ357">
            <v>4.7619047619047672E-2</v>
          </cell>
          <cell r="BA357">
            <v>0</v>
          </cell>
          <cell r="BB357">
            <v>9.6774193548387011E-2</v>
          </cell>
          <cell r="BC357">
            <v>3.1746031746031855E-2</v>
          </cell>
          <cell r="BD357">
            <v>6.25E-2</v>
          </cell>
          <cell r="BE357">
            <v>3.9525691699604737E-2</v>
          </cell>
          <cell r="BF357">
            <v>0.22950819672131151</v>
          </cell>
          <cell r="BG357">
            <v>0</v>
          </cell>
          <cell r="BH357">
            <v>0.11023622047244097</v>
          </cell>
          <cell r="BI357">
            <v>4.4117647058823595E-2</v>
          </cell>
          <cell r="BJ357">
            <v>8.7179487179487092E-2</v>
          </cell>
          <cell r="BK357">
            <v>-1.4705882352941124E-2</v>
          </cell>
          <cell r="BL357">
            <v>6.083650190114076E-2</v>
          </cell>
          <cell r="BM357">
            <v>-0.21333333333333337</v>
          </cell>
          <cell r="BN357">
            <v>0</v>
          </cell>
          <cell r="BO357">
            <v>-0.11347517730496459</v>
          </cell>
          <cell r="BP357">
            <v>-0.22</v>
          </cell>
          <cell r="BQ357">
            <v>-0.1132075471698113</v>
          </cell>
          <cell r="BR357">
            <v>-0.2</v>
          </cell>
          <cell r="BS357">
            <v>-7.8853046594982046E-2</v>
          </cell>
          <cell r="BT357">
            <v>-0.03</v>
          </cell>
          <cell r="BU357">
            <v>-0.18</v>
          </cell>
          <cell r="BV357">
            <v>-0.10920000000000007</v>
          </cell>
          <cell r="BW357">
            <v>-0.1</v>
          </cell>
          <cell r="BX357">
            <v>-0.10611702127659572</v>
          </cell>
          <cell r="BY357">
            <v>-8.333333333333337E-2</v>
          </cell>
          <cell r="BZ357">
            <v>-0.1</v>
          </cell>
          <cell r="CA357">
            <v>-0.1</v>
          </cell>
          <cell r="CB357">
            <v>-0.1</v>
          </cell>
          <cell r="CC357">
            <v>-0.1</v>
          </cell>
          <cell r="CD357">
            <v>-0.1</v>
          </cell>
          <cell r="CE357">
            <v>-0.1</v>
          </cell>
          <cell r="CF357">
            <v>-0.5</v>
          </cell>
          <cell r="CG357">
            <v>-0.5</v>
          </cell>
          <cell r="CH357">
            <v>-0.5</v>
          </cell>
          <cell r="CI357">
            <v>-0.5</v>
          </cell>
          <cell r="CJ357">
            <v>-0.5</v>
          </cell>
        </row>
        <row r="358">
          <cell r="A358" t="str">
            <v xml:space="preserve">      CER growth</v>
          </cell>
          <cell r="BB358">
            <v>7.0000000000000007E-2</v>
          </cell>
          <cell r="BC358">
            <v>0.01</v>
          </cell>
          <cell r="BD358">
            <v>0.11</v>
          </cell>
          <cell r="BE358">
            <v>0.04</v>
          </cell>
          <cell r="BF358">
            <v>0.02</v>
          </cell>
          <cell r="BG358">
            <v>7.0000000000000007E-2</v>
          </cell>
          <cell r="BH358">
            <v>0.16</v>
          </cell>
          <cell r="BI358">
            <v>0.09</v>
          </cell>
          <cell r="BJ358">
            <v>0.14000000000000001</v>
          </cell>
          <cell r="BK358">
            <v>0</v>
          </cell>
          <cell r="BL358">
            <v>0.1</v>
          </cell>
          <cell r="BM358">
            <v>-0.19</v>
          </cell>
          <cell r="BN358">
            <v>0</v>
          </cell>
          <cell r="BO358">
            <v>-0.1</v>
          </cell>
          <cell r="BP358">
            <v>-0.08</v>
          </cell>
          <cell r="BQ358">
            <v>-0.09</v>
          </cell>
          <cell r="BR358">
            <v>0.08</v>
          </cell>
          <cell r="BS358">
            <v>-0.05</v>
          </cell>
        </row>
        <row r="359">
          <cell r="BL359">
            <v>2389</v>
          </cell>
          <cell r="BS359">
            <v>2074.0585068314977</v>
          </cell>
          <cell r="BZ359">
            <v>2024.6895902231245</v>
          </cell>
          <cell r="CA359">
            <v>1841.9543400755269</v>
          </cell>
          <cell r="CB359">
            <v>1693.184267522581</v>
          </cell>
          <cell r="CC359">
            <v>1568.2538251712986</v>
          </cell>
          <cell r="CD359">
            <v>1415.4937493112702</v>
          </cell>
          <cell r="CE359">
            <v>1272.6741366476149</v>
          </cell>
          <cell r="CF359">
            <v>1004.006861943757</v>
          </cell>
          <cell r="CG359">
            <v>889.84576727693843</v>
          </cell>
          <cell r="CH359">
            <v>805.07449460006148</v>
          </cell>
          <cell r="CI359">
            <v>745.29406512407957</v>
          </cell>
        </row>
        <row r="360">
          <cell r="A360" t="str">
            <v>Foradil</v>
          </cell>
          <cell r="B360">
            <v>79</v>
          </cell>
          <cell r="C360">
            <v>76</v>
          </cell>
          <cell r="D360">
            <v>155</v>
          </cell>
          <cell r="E360">
            <v>79</v>
          </cell>
          <cell r="F360">
            <v>234</v>
          </cell>
          <cell r="G360">
            <v>87</v>
          </cell>
          <cell r="H360">
            <v>321</v>
          </cell>
          <cell r="I360">
            <v>92</v>
          </cell>
          <cell r="J360">
            <v>82</v>
          </cell>
          <cell r="K360">
            <v>174</v>
          </cell>
          <cell r="L360">
            <v>77</v>
          </cell>
          <cell r="M360">
            <v>251</v>
          </cell>
          <cell r="N360">
            <v>81</v>
          </cell>
          <cell r="O360">
            <v>332</v>
          </cell>
          <cell r="P360">
            <v>87</v>
          </cell>
          <cell r="Q360">
            <v>77</v>
          </cell>
          <cell r="R360">
            <v>164</v>
          </cell>
          <cell r="S360">
            <v>75</v>
          </cell>
          <cell r="T360">
            <v>239</v>
          </cell>
          <cell r="U360">
            <v>92</v>
          </cell>
          <cell r="V360">
            <v>331</v>
          </cell>
          <cell r="W360">
            <v>88</v>
          </cell>
          <cell r="X360">
            <v>92</v>
          </cell>
          <cell r="Y360">
            <v>180</v>
          </cell>
          <cell r="Z360">
            <v>87</v>
          </cell>
          <cell r="AA360">
            <v>267</v>
          </cell>
          <cell r="AB360">
            <v>95</v>
          </cell>
          <cell r="AC360">
            <v>362</v>
          </cell>
          <cell r="AD360">
            <v>105</v>
          </cell>
          <cell r="AE360">
            <v>104</v>
          </cell>
          <cell r="AF360">
            <v>209</v>
          </cell>
          <cell r="AG360">
            <v>97</v>
          </cell>
          <cell r="AH360">
            <v>306</v>
          </cell>
          <cell r="AI360">
            <v>81</v>
          </cell>
          <cell r="AJ360">
            <v>387</v>
          </cell>
          <cell r="AK360">
            <v>91</v>
          </cell>
          <cell r="AL360">
            <v>88</v>
          </cell>
          <cell r="AM360">
            <v>179</v>
          </cell>
          <cell r="AN360">
            <v>85</v>
          </cell>
          <cell r="AO360">
            <v>264</v>
          </cell>
          <cell r="AP360">
            <v>93</v>
          </cell>
          <cell r="AQ360">
            <v>357</v>
          </cell>
          <cell r="AR360">
            <v>64</v>
          </cell>
          <cell r="AS360">
            <v>88</v>
          </cell>
          <cell r="AT360">
            <v>152</v>
          </cell>
          <cell r="AU360">
            <v>85</v>
          </cell>
          <cell r="AV360">
            <v>237</v>
          </cell>
          <cell r="AW360">
            <v>93</v>
          </cell>
          <cell r="AX360">
            <v>330</v>
          </cell>
          <cell r="AY360">
            <v>72</v>
          </cell>
          <cell r="AZ360">
            <v>83</v>
          </cell>
          <cell r="BA360">
            <v>155</v>
          </cell>
          <cell r="BB360">
            <v>81</v>
          </cell>
          <cell r="BC360">
            <v>236</v>
          </cell>
          <cell r="BD360">
            <v>76</v>
          </cell>
          <cell r="BE360">
            <v>312</v>
          </cell>
          <cell r="BF360">
            <v>65</v>
          </cell>
          <cell r="BG360">
            <v>64</v>
          </cell>
          <cell r="BH360">
            <v>129</v>
          </cell>
          <cell r="BI360">
            <v>56</v>
          </cell>
          <cell r="BJ360">
            <v>185</v>
          </cell>
          <cell r="BK360">
            <v>55</v>
          </cell>
          <cell r="BL360">
            <v>240</v>
          </cell>
          <cell r="BM360">
            <v>56</v>
          </cell>
          <cell r="BN360">
            <v>46</v>
          </cell>
          <cell r="BO360">
            <v>102</v>
          </cell>
          <cell r="BP360">
            <v>48</v>
          </cell>
          <cell r="BQ360">
            <v>150</v>
          </cell>
          <cell r="BR360">
            <v>55</v>
          </cell>
          <cell r="BS360">
            <v>205</v>
          </cell>
          <cell r="BT360">
            <v>47.6</v>
          </cell>
          <cell r="BU360">
            <v>39.1</v>
          </cell>
          <cell r="BV360">
            <v>86.7</v>
          </cell>
          <cell r="BW360">
            <v>40.799999999999997</v>
          </cell>
          <cell r="BX360">
            <v>127.5</v>
          </cell>
          <cell r="BY360">
            <v>46.75</v>
          </cell>
          <cell r="BZ360">
            <v>174.25</v>
          </cell>
          <cell r="CA360">
            <v>156.82500000000002</v>
          </cell>
          <cell r="CB360">
            <v>141.14250000000001</v>
          </cell>
          <cell r="CC360">
            <v>119.971125</v>
          </cell>
          <cell r="CD360">
            <v>101.97545624999999</v>
          </cell>
          <cell r="CE360">
            <v>86.679137812499988</v>
          </cell>
          <cell r="CF360">
            <v>73.677267140624991</v>
          </cell>
          <cell r="CG360">
            <v>62.625677069531243</v>
          </cell>
          <cell r="CH360">
            <v>53.231825509101554</v>
          </cell>
          <cell r="CI360">
            <v>45.24705168273632</v>
          </cell>
          <cell r="CJ360">
            <v>38.459993930325872</v>
          </cell>
          <cell r="CM360">
            <v>-1.1056436425490554E-2</v>
          </cell>
          <cell r="CO360">
            <v>0</v>
          </cell>
          <cell r="CQ360">
            <v>0.16455696202531644</v>
          </cell>
          <cell r="CR360">
            <v>7.8947368421052655E-2</v>
          </cell>
          <cell r="CS360">
            <v>-2.5316455696202556E-2</v>
          </cell>
          <cell r="CT360">
            <v>-6.8965517241379337E-2</v>
          </cell>
          <cell r="CU360">
            <v>3.4267912772585563E-2</v>
          </cell>
          <cell r="CV360">
            <v>-5.4347826086956541E-2</v>
          </cell>
          <cell r="CW360">
            <v>-6.0975609756097615E-2</v>
          </cell>
          <cell r="CX360">
            <v>-2.5974025974025983E-2</v>
          </cell>
          <cell r="CY360">
            <v>0.13580246913580241</v>
          </cell>
          <cell r="CZ360">
            <v>-3.0120481927711218E-3</v>
          </cell>
          <cell r="DA360">
            <v>1.1494252873563315E-2</v>
          </cell>
          <cell r="DB360">
            <v>0.19480519480519476</v>
          </cell>
          <cell r="DC360">
            <v>0.15999999999999992</v>
          </cell>
          <cell r="DD360">
            <v>0.03</v>
          </cell>
          <cell r="DE360">
            <v>9.3655589123867067E-2</v>
          </cell>
          <cell r="DF360">
            <v>0.03</v>
          </cell>
          <cell r="DG360">
            <v>0.03</v>
          </cell>
          <cell r="DH360">
            <v>0.03</v>
          </cell>
          <cell r="DI360">
            <v>0.03</v>
          </cell>
          <cell r="DJ360">
            <v>0.03</v>
          </cell>
          <cell r="DK360">
            <v>0.03</v>
          </cell>
        </row>
        <row r="361">
          <cell r="A361" t="str">
            <v xml:space="preserve">   growth %</v>
          </cell>
          <cell r="P361">
            <v>2.4509452081580618E-2</v>
          </cell>
          <cell r="Q361">
            <v>-3.8630352640831478E-2</v>
          </cell>
          <cell r="R361">
            <v>-6.8699967259144845E-3</v>
          </cell>
          <cell r="S361">
            <v>-3.234542766717019E-2</v>
          </cell>
          <cell r="T361">
            <v>-1.6198387076685972E-2</v>
          </cell>
          <cell r="U361">
            <v>9.841534683274733E-2</v>
          </cell>
          <cell r="V361">
            <v>4.5567978661352759E-3</v>
          </cell>
          <cell r="W361">
            <v>-2.1852085707869673E-2</v>
          </cell>
          <cell r="X361">
            <v>0.18401138968837216</v>
          </cell>
          <cell r="Y361">
            <v>7.5490903760628392E-2</v>
          </cell>
          <cell r="Z361">
            <v>0.13150383089174356</v>
          </cell>
          <cell r="AA361">
            <v>9.2942707446644013E-2</v>
          </cell>
          <cell r="AB361">
            <v>-3.7001667833775453E-2</v>
          </cell>
          <cell r="AC361">
            <v>5.8440014990271294E-2</v>
          </cell>
          <cell r="AD361">
            <v>7.3124219559786097E-2</v>
          </cell>
          <cell r="AE361">
            <v>-8.4954516743132036E-3</v>
          </cell>
          <cell r="AF361">
            <v>3.1617194658590808E-2</v>
          </cell>
          <cell r="AG361">
            <v>3.1526540023139926E-2</v>
          </cell>
          <cell r="AH361">
            <v>3.9612463147830512E-2</v>
          </cell>
          <cell r="AI361">
            <v>-0.1737348138264414</v>
          </cell>
          <cell r="AJ361">
            <v>-2.2410622473352682E-2</v>
          </cell>
          <cell r="AK361">
            <v>-0.1173102408029908</v>
          </cell>
          <cell r="AL361">
            <v>-0.120055315819519</v>
          </cell>
          <cell r="AN361">
            <v>-0.15846985648488987</v>
          </cell>
          <cell r="AP361">
            <v>6.1228974291229976E-2</v>
          </cell>
          <cell r="AQ361">
            <v>-7.7519379844961267E-2</v>
          </cell>
          <cell r="AR361">
            <v>-0.29670329670329665</v>
          </cell>
          <cell r="AS361">
            <v>0</v>
          </cell>
          <cell r="AT361">
            <v>-0.15083798882681565</v>
          </cell>
          <cell r="AU361">
            <v>0</v>
          </cell>
          <cell r="AV361">
            <v>-0.10227272727272729</v>
          </cell>
          <cell r="AW361">
            <v>0</v>
          </cell>
          <cell r="AX361">
            <v>-7.5630252100840289E-2</v>
          </cell>
          <cell r="AY361">
            <v>0.125</v>
          </cell>
          <cell r="AZ361">
            <v>-5.6818181818181768E-2</v>
          </cell>
          <cell r="BA361">
            <v>1.9736842105263053E-2</v>
          </cell>
          <cell r="BB361">
            <v>-4.705882352941182E-2</v>
          </cell>
          <cell r="BC361">
            <v>-4.2194092827003704E-3</v>
          </cell>
          <cell r="BD361">
            <v>-0.18279569892473113</v>
          </cell>
          <cell r="BE361">
            <v>-5.4545454545454564E-2</v>
          </cell>
          <cell r="BF361">
            <v>-9.722222222222221E-2</v>
          </cell>
          <cell r="BG361">
            <v>-0.22891566265060237</v>
          </cell>
          <cell r="BH361">
            <v>-0.16774193548387095</v>
          </cell>
          <cell r="BI361">
            <v>-0.30864197530864201</v>
          </cell>
          <cell r="BJ361">
            <v>-0.21610169491525422</v>
          </cell>
          <cell r="BK361">
            <v>-0.27631578947368418</v>
          </cell>
          <cell r="BL361">
            <v>-0.23076923076923073</v>
          </cell>
          <cell r="BM361">
            <v>-0.13846153846153841</v>
          </cell>
          <cell r="BN361">
            <v>-0.28125</v>
          </cell>
          <cell r="BO361">
            <v>-0.20930232558139539</v>
          </cell>
          <cell r="BP361">
            <v>-0.1</v>
          </cell>
          <cell r="BQ361">
            <v>-0.18918918918918914</v>
          </cell>
          <cell r="BR361">
            <v>-0.05</v>
          </cell>
          <cell r="BS361">
            <v>-0.14583333333333337</v>
          </cell>
          <cell r="BT361">
            <v>-0.15</v>
          </cell>
          <cell r="BU361">
            <v>-0.15</v>
          </cell>
          <cell r="BV361">
            <v>-0.15000000000000002</v>
          </cell>
          <cell r="BW361">
            <v>-0.15</v>
          </cell>
          <cell r="BX361">
            <v>-0.15000000000000002</v>
          </cell>
          <cell r="BY361">
            <v>-0.15000000000000002</v>
          </cell>
          <cell r="BZ361">
            <v>-0.15</v>
          </cell>
          <cell r="CA361">
            <v>-0.1</v>
          </cell>
          <cell r="CB361">
            <v>-0.1</v>
          </cell>
          <cell r="CC361">
            <v>-0.15</v>
          </cell>
          <cell r="CD361">
            <v>-0.15</v>
          </cell>
          <cell r="CE361">
            <v>-0.15</v>
          </cell>
          <cell r="CF361">
            <v>-0.15</v>
          </cell>
          <cell r="CG361">
            <v>-0.15</v>
          </cell>
          <cell r="CH361">
            <v>-0.15</v>
          </cell>
          <cell r="CI361">
            <v>-0.15</v>
          </cell>
          <cell r="CJ361">
            <v>-0.15</v>
          </cell>
        </row>
        <row r="362">
          <cell r="A362" t="str">
            <v xml:space="preserve">      CER growth</v>
          </cell>
          <cell r="BB362">
            <v>-0.06</v>
          </cell>
          <cell r="BC362">
            <v>-0.11</v>
          </cell>
          <cell r="BD362">
            <v>-0.13</v>
          </cell>
          <cell r="BE362">
            <v>-0.12</v>
          </cell>
          <cell r="BF362">
            <v>-0.05</v>
          </cell>
          <cell r="BG362">
            <v>-0.13</v>
          </cell>
          <cell r="BH362">
            <v>-0.09</v>
          </cell>
          <cell r="BI362">
            <v>-0.24</v>
          </cell>
          <cell r="BJ362">
            <v>-0.14000000000000001</v>
          </cell>
          <cell r="BK362">
            <v>-0.26</v>
          </cell>
          <cell r="BL362">
            <v>-0.17</v>
          </cell>
          <cell r="BM362">
            <v>-0.11</v>
          </cell>
          <cell r="BN362">
            <v>-0.27</v>
          </cell>
          <cell r="BO362">
            <v>-0.19</v>
          </cell>
          <cell r="BP362">
            <v>-0.14000000000000001</v>
          </cell>
          <cell r="BQ362">
            <v>-0.17</v>
          </cell>
          <cell r="BR362">
            <v>0.04</v>
          </cell>
          <cell r="BS362">
            <v>-0.13</v>
          </cell>
        </row>
        <row r="364">
          <cell r="A364" t="str">
            <v>Other</v>
          </cell>
          <cell r="B364">
            <v>9</v>
          </cell>
          <cell r="C364">
            <v>4</v>
          </cell>
          <cell r="D364">
            <v>13</v>
          </cell>
          <cell r="F364">
            <v>13</v>
          </cell>
          <cell r="G364">
            <v>14</v>
          </cell>
          <cell r="H364">
            <v>27</v>
          </cell>
          <cell r="I364">
            <v>28</v>
          </cell>
          <cell r="J364">
            <v>22</v>
          </cell>
          <cell r="K364">
            <v>50</v>
          </cell>
          <cell r="L364">
            <v>20</v>
          </cell>
          <cell r="M364">
            <v>70</v>
          </cell>
          <cell r="N364">
            <v>24</v>
          </cell>
          <cell r="O364">
            <v>94</v>
          </cell>
          <cell r="P364">
            <v>26</v>
          </cell>
          <cell r="Q364">
            <v>31</v>
          </cell>
          <cell r="R364">
            <v>57</v>
          </cell>
          <cell r="S364">
            <v>28</v>
          </cell>
          <cell r="T364">
            <v>85</v>
          </cell>
          <cell r="U364">
            <v>28</v>
          </cell>
          <cell r="V364">
            <v>113</v>
          </cell>
          <cell r="W364">
            <v>192</v>
          </cell>
          <cell r="X364">
            <v>85</v>
          </cell>
          <cell r="Y364">
            <v>277</v>
          </cell>
          <cell r="Z364">
            <v>85</v>
          </cell>
          <cell r="AA364">
            <v>362</v>
          </cell>
          <cell r="AB364">
            <v>82</v>
          </cell>
          <cell r="AC364">
            <v>444</v>
          </cell>
          <cell r="AD364">
            <v>73</v>
          </cell>
          <cell r="AE364">
            <v>83</v>
          </cell>
          <cell r="AF364">
            <v>156</v>
          </cell>
          <cell r="AG364">
            <v>62</v>
          </cell>
          <cell r="AH364">
            <v>218</v>
          </cell>
          <cell r="AI364">
            <v>61</v>
          </cell>
          <cell r="AJ364">
            <v>279</v>
          </cell>
          <cell r="AK364">
            <v>81</v>
          </cell>
          <cell r="AL364">
            <v>87</v>
          </cell>
          <cell r="AM364">
            <v>168</v>
          </cell>
          <cell r="AN364">
            <v>87</v>
          </cell>
          <cell r="AO364">
            <v>255</v>
          </cell>
          <cell r="AP364">
            <v>90</v>
          </cell>
          <cell r="AQ364">
            <v>345</v>
          </cell>
          <cell r="AR364">
            <v>87</v>
          </cell>
          <cell r="AS364">
            <v>99</v>
          </cell>
          <cell r="AT364">
            <v>186</v>
          </cell>
          <cell r="AU364">
            <v>90</v>
          </cell>
          <cell r="AV364">
            <v>276</v>
          </cell>
          <cell r="AW364">
            <v>42</v>
          </cell>
          <cell r="AX364">
            <v>318</v>
          </cell>
          <cell r="AY364">
            <v>17</v>
          </cell>
          <cell r="AZ364">
            <v>54</v>
          </cell>
          <cell r="BA364">
            <v>71</v>
          </cell>
          <cell r="BB364">
            <v>156</v>
          </cell>
          <cell r="BC364">
            <v>227</v>
          </cell>
          <cell r="BD364">
            <v>161</v>
          </cell>
          <cell r="BE364">
            <v>388</v>
          </cell>
          <cell r="BF364">
            <v>49</v>
          </cell>
          <cell r="BG364">
            <v>47</v>
          </cell>
          <cell r="BH364">
            <v>96</v>
          </cell>
          <cell r="BI364">
            <v>41</v>
          </cell>
          <cell r="BJ364">
            <v>137</v>
          </cell>
          <cell r="BK364">
            <v>72</v>
          </cell>
          <cell r="BL364">
            <v>209</v>
          </cell>
          <cell r="BM364">
            <v>2</v>
          </cell>
          <cell r="BN364">
            <v>13</v>
          </cell>
          <cell r="BO364">
            <v>15</v>
          </cell>
          <cell r="BP364">
            <v>17</v>
          </cell>
          <cell r="BQ364">
            <v>32</v>
          </cell>
          <cell r="BR364">
            <v>40</v>
          </cell>
          <cell r="BS364">
            <v>72</v>
          </cell>
          <cell r="BT364">
            <v>2</v>
          </cell>
          <cell r="BU364">
            <v>13</v>
          </cell>
          <cell r="BV364">
            <v>15</v>
          </cell>
          <cell r="BW364">
            <v>17</v>
          </cell>
          <cell r="BX364">
            <v>32</v>
          </cell>
          <cell r="BY364">
            <v>40</v>
          </cell>
          <cell r="BZ364">
            <v>72</v>
          </cell>
          <cell r="CA364">
            <v>72</v>
          </cell>
          <cell r="CB364">
            <v>72</v>
          </cell>
          <cell r="CC364">
            <v>68.399999999999991</v>
          </cell>
          <cell r="CD364">
            <v>64.97999999999999</v>
          </cell>
          <cell r="CE364">
            <v>61.730999999999987</v>
          </cell>
          <cell r="CF364">
            <v>58.644449999999985</v>
          </cell>
          <cell r="CG364">
            <v>55.712227499999983</v>
          </cell>
          <cell r="CH364">
            <v>52.926616124999981</v>
          </cell>
          <cell r="CI364">
            <v>50.280285318749982</v>
          </cell>
          <cell r="CJ364">
            <v>47.766271052812478</v>
          </cell>
          <cell r="CO364">
            <v>0.1</v>
          </cell>
          <cell r="CV364">
            <v>-7.1428571428571397E-2</v>
          </cell>
          <cell r="CW364">
            <v>0.40909090909090917</v>
          </cell>
          <cell r="CX364">
            <v>0.39999999999999991</v>
          </cell>
          <cell r="CY364">
            <v>0.16666666666666674</v>
          </cell>
          <cell r="CZ364">
            <v>0.2021276595744681</v>
          </cell>
          <cell r="DA364">
            <v>6.384615384615385</v>
          </cell>
          <cell r="DB364">
            <v>1.7419354838709675</v>
          </cell>
          <cell r="DC364">
            <v>2.0357142857142856</v>
          </cell>
          <cell r="DD364">
            <v>0</v>
          </cell>
          <cell r="DF364">
            <v>0</v>
          </cell>
          <cell r="DG364">
            <v>0</v>
          </cell>
          <cell r="DH364">
            <v>0</v>
          </cell>
          <cell r="DI364">
            <v>0</v>
          </cell>
          <cell r="DJ364">
            <v>0</v>
          </cell>
          <cell r="DK364">
            <v>0</v>
          </cell>
        </row>
        <row r="365">
          <cell r="A365" t="str">
            <v xml:space="preserve">   growth %</v>
          </cell>
          <cell r="O365">
            <v>2.4814814814814814</v>
          </cell>
          <cell r="P365">
            <v>-7.1428571428571397E-2</v>
          </cell>
          <cell r="Q365">
            <v>0.40909090909090917</v>
          </cell>
          <cell r="R365">
            <v>0.1399999999999999</v>
          </cell>
          <cell r="S365">
            <v>0.39999999999999991</v>
          </cell>
          <cell r="T365">
            <v>0.21428571428571419</v>
          </cell>
          <cell r="U365">
            <v>0.16666666666666674</v>
          </cell>
          <cell r="V365">
            <v>0.2021276595744681</v>
          </cell>
          <cell r="W365">
            <v>6.384615384615385</v>
          </cell>
          <cell r="X365">
            <v>1.7419354838709675</v>
          </cell>
          <cell r="Y365">
            <v>3.8596491228070171</v>
          </cell>
          <cell r="Z365">
            <v>2.0357142857142856</v>
          </cell>
          <cell r="AA365">
            <v>3.2588235294117647</v>
          </cell>
          <cell r="AB365">
            <v>1.9285714285714284</v>
          </cell>
          <cell r="AC365">
            <v>2.9292035398230087</v>
          </cell>
          <cell r="AD365">
            <v>-0.73984926528869877</v>
          </cell>
          <cell r="AE365">
            <v>-0.16245964604771468</v>
          </cell>
          <cell r="AF365">
            <v>-0.56631702114566118</v>
          </cell>
          <cell r="AG365">
            <v>-0.35400422400661002</v>
          </cell>
          <cell r="AH365">
            <v>-0.50424500783112525</v>
          </cell>
          <cell r="AI365">
            <v>-0.28246395374941957</v>
          </cell>
          <cell r="AJ365">
            <v>-0.46309301757563726</v>
          </cell>
          <cell r="AK365">
            <v>0.12561213362623291</v>
          </cell>
          <cell r="AL365">
            <v>8.1983609110972133E-2</v>
          </cell>
          <cell r="AN365">
            <v>0.36846729017290869</v>
          </cell>
          <cell r="AP365">
            <v>0.38849066220865569</v>
          </cell>
          <cell r="AQ365">
            <v>0.23655913978494625</v>
          </cell>
          <cell r="AR365">
            <v>7.4074074074074181E-2</v>
          </cell>
          <cell r="AS365">
            <v>0.13793103448275867</v>
          </cell>
          <cell r="AT365">
            <v>0.10714285714285721</v>
          </cell>
          <cell r="AU365">
            <v>3.4482758620689724E-2</v>
          </cell>
          <cell r="AV365">
            <v>8.2352941176470518E-2</v>
          </cell>
          <cell r="AW365">
            <v>-0.53333333333333333</v>
          </cell>
          <cell r="AX365">
            <v>-7.8260869565217384E-2</v>
          </cell>
          <cell r="AY365">
            <v>-0.8045977011494253</v>
          </cell>
          <cell r="AZ365">
            <v>-0.45454545454545459</v>
          </cell>
          <cell r="BA365">
            <v>-0.61827956989247312</v>
          </cell>
          <cell r="BB365">
            <v>0.73333333333333339</v>
          </cell>
          <cell r="BC365">
            <v>-0.17753623188405798</v>
          </cell>
          <cell r="BD365">
            <v>2.8333333333333335</v>
          </cell>
          <cell r="BE365">
            <v>0.22012578616352196</v>
          </cell>
          <cell r="BF365">
            <v>1.8823529411764706</v>
          </cell>
          <cell r="BG365">
            <v>-0.12962962962962965</v>
          </cell>
          <cell r="BH365">
            <v>0.352112676056338</v>
          </cell>
          <cell r="BI365">
            <v>-0.73717948717948723</v>
          </cell>
          <cell r="BJ365">
            <v>-0.3964757709251101</v>
          </cell>
          <cell r="BK365">
            <v>-0.55279503105590067</v>
          </cell>
          <cell r="BL365">
            <v>-0.46134020618556704</v>
          </cell>
          <cell r="BM365">
            <v>-0.95918367346938771</v>
          </cell>
          <cell r="BN365">
            <v>-0.72340425531914887</v>
          </cell>
          <cell r="BO365">
            <v>-0.84375</v>
          </cell>
          <cell r="BP365">
            <v>-0.8</v>
          </cell>
          <cell r="BQ365">
            <v>-0.76642335766423364</v>
          </cell>
          <cell r="BR365">
            <v>-0.44444444444444442</v>
          </cell>
          <cell r="BS365">
            <v>-0.65550239234449759</v>
          </cell>
          <cell r="BT365">
            <v>0</v>
          </cell>
          <cell r="BU365">
            <v>0</v>
          </cell>
          <cell r="BV365">
            <v>0</v>
          </cell>
          <cell r="BW365">
            <v>0</v>
          </cell>
          <cell r="BX365">
            <v>0</v>
          </cell>
          <cell r="BY365">
            <v>0</v>
          </cell>
          <cell r="BZ365">
            <v>0</v>
          </cell>
          <cell r="CA365">
            <v>0</v>
          </cell>
          <cell r="CB365">
            <v>0</v>
          </cell>
          <cell r="CC365">
            <v>-0.05</v>
          </cell>
          <cell r="CD365">
            <v>-0.05</v>
          </cell>
          <cell r="CE365">
            <v>-0.05</v>
          </cell>
          <cell r="CF365">
            <v>-0.05</v>
          </cell>
          <cell r="CG365">
            <v>-0.05</v>
          </cell>
          <cell r="CH365">
            <v>-0.05</v>
          </cell>
          <cell r="CI365">
            <v>-0.05</v>
          </cell>
          <cell r="CJ365">
            <v>-0.05</v>
          </cell>
        </row>
        <row r="367">
          <cell r="A367" t="str">
            <v>Additional products</v>
          </cell>
          <cell r="B367">
            <v>155</v>
          </cell>
          <cell r="C367">
            <v>157</v>
          </cell>
          <cell r="D367">
            <v>312</v>
          </cell>
          <cell r="E367">
            <v>159</v>
          </cell>
          <cell r="F367">
            <v>471</v>
          </cell>
          <cell r="G367">
            <v>194</v>
          </cell>
          <cell r="H367">
            <v>665</v>
          </cell>
          <cell r="I367">
            <v>189</v>
          </cell>
          <cell r="J367">
            <v>207</v>
          </cell>
          <cell r="K367">
            <v>396</v>
          </cell>
          <cell r="L367">
            <v>194</v>
          </cell>
          <cell r="M367">
            <v>590</v>
          </cell>
          <cell r="N367">
            <v>208</v>
          </cell>
          <cell r="O367">
            <v>798</v>
          </cell>
          <cell r="P367">
            <v>207</v>
          </cell>
          <cell r="Q367">
            <v>234</v>
          </cell>
          <cell r="R367">
            <v>441</v>
          </cell>
          <cell r="S367">
            <v>234</v>
          </cell>
          <cell r="T367">
            <v>675</v>
          </cell>
          <cell r="U367">
            <v>241</v>
          </cell>
          <cell r="V367">
            <v>916</v>
          </cell>
          <cell r="W367">
            <v>401</v>
          </cell>
          <cell r="X367">
            <v>313</v>
          </cell>
          <cell r="Y367">
            <v>714</v>
          </cell>
          <cell r="Z367">
            <v>328</v>
          </cell>
          <cell r="AA367">
            <v>1042</v>
          </cell>
          <cell r="AB367">
            <v>328</v>
          </cell>
          <cell r="AC367">
            <v>1370</v>
          </cell>
          <cell r="AD367">
            <v>321</v>
          </cell>
          <cell r="AE367">
            <v>348</v>
          </cell>
          <cell r="AF367">
            <v>669</v>
          </cell>
          <cell r="AG367">
            <v>322</v>
          </cell>
          <cell r="AH367">
            <v>991</v>
          </cell>
          <cell r="AI367">
            <v>303</v>
          </cell>
          <cell r="AJ367">
            <v>1294</v>
          </cell>
          <cell r="AK367">
            <v>376</v>
          </cell>
          <cell r="AL367">
            <v>387</v>
          </cell>
          <cell r="AM367">
            <v>763</v>
          </cell>
          <cell r="AN367">
            <v>416</v>
          </cell>
          <cell r="AO367">
            <v>1179</v>
          </cell>
          <cell r="AP367">
            <v>401</v>
          </cell>
          <cell r="AQ367">
            <v>1580</v>
          </cell>
          <cell r="AR367">
            <v>730</v>
          </cell>
          <cell r="AS367">
            <v>790</v>
          </cell>
          <cell r="AT367">
            <v>1520</v>
          </cell>
          <cell r="AU367">
            <v>747</v>
          </cell>
          <cell r="AV367">
            <v>2267</v>
          </cell>
          <cell r="AW367">
            <v>722</v>
          </cell>
          <cell r="AX367">
            <v>2989</v>
          </cell>
          <cell r="AY367">
            <v>556</v>
          </cell>
          <cell r="AZ367">
            <v>625</v>
          </cell>
          <cell r="BA367">
            <v>1181</v>
          </cell>
          <cell r="BB367">
            <v>722</v>
          </cell>
          <cell r="BC367">
            <v>1903</v>
          </cell>
          <cell r="BD367">
            <v>768</v>
          </cell>
          <cell r="BE367">
            <v>2671</v>
          </cell>
          <cell r="BF367">
            <v>594</v>
          </cell>
          <cell r="BG367">
            <v>605</v>
          </cell>
          <cell r="BH367">
            <v>1199</v>
          </cell>
          <cell r="BI367">
            <v>565</v>
          </cell>
          <cell r="BJ367">
            <v>1764</v>
          </cell>
          <cell r="BK367">
            <v>625</v>
          </cell>
          <cell r="BL367">
            <v>2389</v>
          </cell>
          <cell r="BM367">
            <v>501</v>
          </cell>
          <cell r="BN367">
            <v>534</v>
          </cell>
          <cell r="BO367">
            <v>1035</v>
          </cell>
          <cell r="BP367">
            <v>519</v>
          </cell>
          <cell r="BQ367">
            <v>1554</v>
          </cell>
          <cell r="BR367">
            <v>591</v>
          </cell>
          <cell r="BS367">
            <v>2145</v>
          </cell>
          <cell r="BT367">
            <v>483.57330421895995</v>
          </cell>
          <cell r="BU367">
            <v>513.21328425330285</v>
          </cell>
          <cell r="BV367">
            <v>996.78658847226279</v>
          </cell>
          <cell r="BW367">
            <v>501.0119063331498</v>
          </cell>
          <cell r="BX367">
            <v>1497.7984948054127</v>
          </cell>
          <cell r="BY367">
            <v>570.35768012774111</v>
          </cell>
          <cell r="BZ367">
            <v>2068.1561749331536</v>
          </cell>
          <cell r="CA367">
            <v>1874.7165685701198</v>
          </cell>
          <cell r="CB367">
            <v>1715.8423665729104</v>
          </cell>
          <cell r="CC367">
            <v>1573.2465394041869</v>
          </cell>
          <cell r="CD367">
            <v>1398.6151918732321</v>
          </cell>
          <cell r="CE367">
            <v>1257.7284187110563</v>
          </cell>
          <cell r="CF367">
            <v>1011.7619455746437</v>
          </cell>
          <cell r="CG367">
            <v>908.68473129592678</v>
          </cell>
          <cell r="CH367">
            <v>828.37457474354255</v>
          </cell>
          <cell r="CI367">
            <v>769.84556546705812</v>
          </cell>
          <cell r="CJ367">
            <v>723.3790238385958</v>
          </cell>
          <cell r="CK367">
            <v>0</v>
          </cell>
          <cell r="DC367">
            <v>0.40170940170940161</v>
          </cell>
        </row>
        <row r="368">
          <cell r="A368" t="str">
            <v xml:space="preserve">   growth %</v>
          </cell>
          <cell r="O368">
            <v>0.19999999999999996</v>
          </cell>
          <cell r="P368">
            <v>9.5238095238095344E-2</v>
          </cell>
          <cell r="Q368">
            <v>0.13043478260869557</v>
          </cell>
          <cell r="R368">
            <v>0.11363636363636354</v>
          </cell>
          <cell r="S368">
            <v>0.20618556701030921</v>
          </cell>
          <cell r="T368">
            <v>0.14406779661016955</v>
          </cell>
          <cell r="U368">
            <v>0.15865384615384626</v>
          </cell>
          <cell r="V368">
            <v>0.14786967418546371</v>
          </cell>
          <cell r="W368">
            <v>0.93719806763285018</v>
          </cell>
          <cell r="X368">
            <v>0.33760683760683752</v>
          </cell>
          <cell r="Y368">
            <v>0.61904761904761907</v>
          </cell>
          <cell r="Z368">
            <v>0.40170940170940161</v>
          </cell>
          <cell r="AA368">
            <v>0.5437037037037038</v>
          </cell>
          <cell r="AB368">
            <v>0.36099585062240669</v>
          </cell>
          <cell r="AC368">
            <v>0.49563318777292587</v>
          </cell>
          <cell r="AD368">
            <v>-0.19950124688279303</v>
          </cell>
          <cell r="AE368">
            <v>0.11182108626198084</v>
          </cell>
          <cell r="AF368">
            <v>-6.3025210084033612E-2</v>
          </cell>
          <cell r="AG368">
            <v>-1.8292682926829285E-2</v>
          </cell>
          <cell r="AH368">
            <v>-4.8944337811900218E-2</v>
          </cell>
          <cell r="AI368">
            <v>-7.6219512195121908E-2</v>
          </cell>
          <cell r="AJ368">
            <v>-5.547445255474448E-2</v>
          </cell>
          <cell r="AK368">
            <v>0.17133956386292826</v>
          </cell>
          <cell r="AL368">
            <v>0.11206896551724133</v>
          </cell>
          <cell r="AM368">
            <v>0.14050822122571005</v>
          </cell>
          <cell r="AN368">
            <v>0.29192546583850931</v>
          </cell>
          <cell r="AO368">
            <v>0.18970736629666995</v>
          </cell>
          <cell r="AP368">
            <v>0.32343234323432335</v>
          </cell>
          <cell r="AQ368">
            <v>0.22102009273570333</v>
          </cell>
          <cell r="AR368">
            <v>0.9414893617021276</v>
          </cell>
          <cell r="AS368">
            <v>1.0413436692506459</v>
          </cell>
          <cell r="AT368">
            <v>0.99213630406290965</v>
          </cell>
          <cell r="AU368">
            <v>0.79567307692307687</v>
          </cell>
          <cell r="AV368">
            <v>0.92281594571670911</v>
          </cell>
          <cell r="AW368">
            <v>0.80049875311720697</v>
          </cell>
          <cell r="AX368">
            <v>0.89177215189873427</v>
          </cell>
          <cell r="AY368">
            <v>-0.23835616438356166</v>
          </cell>
          <cell r="AZ368">
            <v>-0.20886075949367089</v>
          </cell>
          <cell r="BA368">
            <v>-0.22302631578947374</v>
          </cell>
          <cell r="BB368">
            <v>-3.3467202141900909E-2</v>
          </cell>
          <cell r="BC368">
            <v>-0.16056462284958095</v>
          </cell>
          <cell r="BD368">
            <v>6.3711911357340778E-2</v>
          </cell>
          <cell r="BE368">
            <v>-0.10639009702241553</v>
          </cell>
          <cell r="BF368">
            <v>6.8345323741007213E-2</v>
          </cell>
          <cell r="BG368">
            <v>-3.2000000000000028E-2</v>
          </cell>
          <cell r="BH368">
            <v>1.5241320914479273E-2</v>
          </cell>
          <cell r="BI368">
            <v>-0.2174515235457064</v>
          </cell>
          <cell r="BJ368">
            <v>-7.304256437204415E-2</v>
          </cell>
          <cell r="BK368">
            <v>-0.18619791666666663</v>
          </cell>
          <cell r="BL368">
            <v>-0.10557843504305509</v>
          </cell>
          <cell r="BM368">
            <v>-0.15656565656565657</v>
          </cell>
          <cell r="BN368">
            <v>-0.11735537190082646</v>
          </cell>
          <cell r="BO368">
            <v>-0.13678065054211841</v>
          </cell>
          <cell r="BP368">
            <v>-8.1415929203539794E-2</v>
          </cell>
          <cell r="BQ368">
            <v>-0.11904761904761907</v>
          </cell>
          <cell r="BR368">
            <v>-5.4400000000000004E-2</v>
          </cell>
          <cell r="BS368">
            <v>-0.10213478442863122</v>
          </cell>
          <cell r="BT368">
            <v>-3.478382391425161E-2</v>
          </cell>
          <cell r="BU368">
            <v>-3.892643398257889E-2</v>
          </cell>
          <cell r="BV368">
            <v>-3.6921170558200211E-2</v>
          </cell>
          <cell r="BW368">
            <v>-3.4659140013198808E-2</v>
          </cell>
          <cell r="BX368">
            <v>-3.6165704758421735E-2</v>
          </cell>
          <cell r="BY368">
            <v>-3.4927783201791684E-2</v>
          </cell>
          <cell r="BZ368">
            <v>-3.5824627070790926E-2</v>
          </cell>
          <cell r="CA368">
            <v>-9.3532397943441592E-2</v>
          </cell>
          <cell r="CB368">
            <v>-8.4745718185221808E-2</v>
          </cell>
          <cell r="CC368">
            <v>-8.3105435526419136E-2</v>
          </cell>
          <cell r="CD368">
            <v>-0.11100062396901278</v>
          </cell>
          <cell r="CE368">
            <v>-0.10073304936254801</v>
          </cell>
          <cell r="CF368">
            <v>-0.19556405777050312</v>
          </cell>
          <cell r="CG368">
            <v>-0.10187891996686327</v>
          </cell>
          <cell r="CH368">
            <v>-8.8380660295512392E-2</v>
          </cell>
          <cell r="CI368">
            <v>-7.0655245900810626E-2</v>
          </cell>
          <cell r="CJ368">
            <v>-6.0358263673664814E-2</v>
          </cell>
        </row>
        <row r="369">
          <cell r="A369" t="str">
            <v xml:space="preserve">      CER growth</v>
          </cell>
          <cell r="BB369">
            <v>0</v>
          </cell>
          <cell r="BC369">
            <v>-0.03</v>
          </cell>
          <cell r="BD369">
            <v>0.17</v>
          </cell>
          <cell r="BE369">
            <v>0.02</v>
          </cell>
          <cell r="BF369">
            <v>0.09</v>
          </cell>
          <cell r="BG369">
            <v>0.03</v>
          </cell>
          <cell r="BH369">
            <v>0.06</v>
          </cell>
          <cell r="BI369">
            <v>-0.04</v>
          </cell>
          <cell r="BJ369">
            <v>-0.04</v>
          </cell>
          <cell r="BK369">
            <v>-0.05</v>
          </cell>
          <cell r="BL369">
            <v>0</v>
          </cell>
          <cell r="BM369">
            <v>-0.05</v>
          </cell>
          <cell r="BN369">
            <v>0</v>
          </cell>
          <cell r="BO369">
            <v>-0.03</v>
          </cell>
          <cell r="BP369">
            <v>0.06</v>
          </cell>
          <cell r="BQ369">
            <v>0</v>
          </cell>
          <cell r="BR369">
            <v>0.08</v>
          </cell>
          <cell r="BS369">
            <v>0.02</v>
          </cell>
        </row>
        <row r="371">
          <cell r="A371" t="str">
            <v>Total strategic franchise</v>
          </cell>
          <cell r="AY371">
            <v>6178</v>
          </cell>
          <cell r="AZ371">
            <v>6732</v>
          </cell>
          <cell r="BA371">
            <v>12910</v>
          </cell>
          <cell r="BB371">
            <v>6594</v>
          </cell>
          <cell r="BC371">
            <v>19504</v>
          </cell>
          <cell r="BD371">
            <v>6711</v>
          </cell>
          <cell r="BE371">
            <v>26215</v>
          </cell>
          <cell r="BF371">
            <v>6380</v>
          </cell>
          <cell r="BG371">
            <v>6738</v>
          </cell>
          <cell r="BH371">
            <v>13118</v>
          </cell>
          <cell r="BI371">
            <v>6406</v>
          </cell>
          <cell r="BJ371">
            <v>19524</v>
          </cell>
          <cell r="BK371">
            <v>6809</v>
          </cell>
          <cell r="BL371">
            <v>26333</v>
          </cell>
          <cell r="BM371">
            <v>6602</v>
          </cell>
          <cell r="BN371">
            <v>6851</v>
          </cell>
          <cell r="BO371">
            <v>13453</v>
          </cell>
          <cell r="BP371">
            <v>6702</v>
          </cell>
          <cell r="BQ371">
            <v>20155</v>
          </cell>
          <cell r="BR371">
            <v>7019</v>
          </cell>
          <cell r="BS371">
            <v>27174</v>
          </cell>
          <cell r="BT371">
            <v>6762.5809126267859</v>
          </cell>
          <cell r="BU371">
            <v>7091.9430015623448</v>
          </cell>
          <cell r="BV371">
            <v>13854.523914189131</v>
          </cell>
          <cell r="BW371">
            <v>6596.4614640606005</v>
          </cell>
          <cell r="BX371">
            <v>20450.98537824973</v>
          </cell>
          <cell r="BY371">
            <v>6878.6775422682094</v>
          </cell>
          <cell r="BZ371">
            <v>27329.662920517942</v>
          </cell>
          <cell r="CA371">
            <v>26612.079202539197</v>
          </cell>
          <cell r="CB371">
            <v>26382.935858721827</v>
          </cell>
          <cell r="CC371">
            <v>26039.907447684855</v>
          </cell>
          <cell r="CD371">
            <v>26154.912270528614</v>
          </cell>
          <cell r="CE371">
            <v>24267.314475521605</v>
          </cell>
          <cell r="CF371">
            <v>23170.272129763525</v>
          </cell>
          <cell r="CG371">
            <v>21363.620767327135</v>
          </cell>
          <cell r="CH371">
            <v>19582.595708846038</v>
          </cell>
          <cell r="CI371">
            <v>18467.21896590192</v>
          </cell>
          <cell r="CJ371">
            <v>15740.71178272476</v>
          </cell>
        </row>
        <row r="372">
          <cell r="A372" t="str">
            <v xml:space="preserve">   growth %</v>
          </cell>
          <cell r="AC372">
            <v>41</v>
          </cell>
          <cell r="AJ372">
            <v>254</v>
          </cell>
          <cell r="AQ372">
            <v>472</v>
          </cell>
          <cell r="BF372">
            <v>3.2696665587568896E-2</v>
          </cell>
          <cell r="BG372">
            <v>8.9126559714802767E-4</v>
          </cell>
          <cell r="BH372">
            <v>1.611154144074356E-2</v>
          </cell>
          <cell r="BI372">
            <v>-2.8510767364270495E-2</v>
          </cell>
          <cell r="BJ372">
            <v>1.0254306808858971E-3</v>
          </cell>
          <cell r="BK372">
            <v>1.4602890776337363E-2</v>
          </cell>
          <cell r="BL372">
            <v>4.5012397482357969E-3</v>
          </cell>
          <cell r="BM372">
            <v>3.4796238244514166E-2</v>
          </cell>
          <cell r="BN372">
            <v>1.6770555060849013E-2</v>
          </cell>
          <cell r="BO372">
            <v>2.5537429486202079E-2</v>
          </cell>
          <cell r="BP372">
            <v>4.6206681236340863E-2</v>
          </cell>
          <cell r="BQ372">
            <v>3.2319196885884027E-2</v>
          </cell>
          <cell r="BR372">
            <v>3.0841533264796661E-2</v>
          </cell>
          <cell r="BS372">
            <v>3.1937113128014172E-2</v>
          </cell>
          <cell r="BT372">
            <v>2.4323070679610037E-2</v>
          </cell>
          <cell r="BU372">
            <v>3.5169026647547064E-2</v>
          </cell>
          <cell r="BV372">
            <v>2.9846421927386402E-2</v>
          </cell>
          <cell r="BW372">
            <v>-1.5747319597045562E-2</v>
          </cell>
          <cell r="BX372">
            <v>1.468545662365317E-2</v>
          </cell>
          <cell r="BY372">
            <v>-1.9991801927880082E-2</v>
          </cell>
          <cell r="BZ372">
            <v>5.7283771442533382E-3</v>
          </cell>
          <cell r="CA372">
            <v>-2.6256588676767501E-2</v>
          </cell>
          <cell r="CB372">
            <v>-8.6105013469036651E-3</v>
          </cell>
          <cell r="CC372">
            <v>-1.300190444588345E-2</v>
          </cell>
          <cell r="CD372">
            <v>4.416483548369321E-3</v>
          </cell>
          <cell r="CE372">
            <v>-7.2169914985108052E-2</v>
          </cell>
          <cell r="CF372">
            <v>-4.5206582164856512E-2</v>
          </cell>
          <cell r="CG372">
            <v>-7.7972815870196222E-2</v>
          </cell>
          <cell r="CH372">
            <v>-8.3367191258372331E-2</v>
          </cell>
          <cell r="CI372">
            <v>-5.6957553509633496E-2</v>
          </cell>
          <cell r="CJ372">
            <v>-0.14764037769906846</v>
          </cell>
        </row>
        <row r="373">
          <cell r="A373" t="str">
            <v xml:space="preserve">      CER growth</v>
          </cell>
          <cell r="BB373">
            <v>7.0000000000000007E-2</v>
          </cell>
          <cell r="BC373">
            <v>7.0000000000000007E-2</v>
          </cell>
          <cell r="BD373">
            <v>0.06</v>
          </cell>
          <cell r="BE373">
            <v>7.0000000000000007E-2</v>
          </cell>
          <cell r="BF373">
            <v>0.04</v>
          </cell>
          <cell r="BG373">
            <v>0.05</v>
          </cell>
          <cell r="BH373">
            <v>0.05</v>
          </cell>
          <cell r="BI373">
            <v>0.03</v>
          </cell>
          <cell r="BJ373">
            <v>0</v>
          </cell>
          <cell r="BK373">
            <v>0.03</v>
          </cell>
          <cell r="BL373">
            <v>0.04</v>
          </cell>
          <cell r="BM373">
            <v>0.05</v>
          </cell>
          <cell r="BN373">
            <v>0.04</v>
          </cell>
          <cell r="BO373">
            <v>0.04</v>
          </cell>
          <cell r="BP373">
            <v>7.0000000000000007E-2</v>
          </cell>
          <cell r="BQ373">
            <v>0.05</v>
          </cell>
          <cell r="BR373">
            <v>0.05</v>
          </cell>
          <cell r="BS373">
            <v>0.05</v>
          </cell>
        </row>
        <row r="374">
          <cell r="O374">
            <v>0</v>
          </cell>
          <cell r="V374">
            <v>5</v>
          </cell>
          <cell r="AC374">
            <v>105</v>
          </cell>
          <cell r="AJ374">
            <v>260</v>
          </cell>
          <cell r="AQ374">
            <v>84</v>
          </cell>
        </row>
        <row r="375">
          <cell r="A375" t="str">
            <v>Total established medicines &amp; additional products</v>
          </cell>
          <cell r="AY375">
            <v>1519.6</v>
          </cell>
          <cell r="AZ375">
            <v>1606.4</v>
          </cell>
          <cell r="BA375">
            <v>3126</v>
          </cell>
          <cell r="BB375">
            <v>1565</v>
          </cell>
          <cell r="BC375">
            <v>4691</v>
          </cell>
          <cell r="BD375">
            <v>1602</v>
          </cell>
          <cell r="BE375">
            <v>6293</v>
          </cell>
          <cell r="BF375">
            <v>1459</v>
          </cell>
          <cell r="BG375">
            <v>1517</v>
          </cell>
          <cell r="BH375">
            <v>2976</v>
          </cell>
          <cell r="BI375">
            <v>1377</v>
          </cell>
          <cell r="BJ375">
            <v>4353</v>
          </cell>
          <cell r="BK375">
            <v>1467</v>
          </cell>
          <cell r="BL375">
            <v>5820</v>
          </cell>
          <cell r="BM375">
            <v>1275</v>
          </cell>
          <cell r="BN375">
            <v>1270</v>
          </cell>
          <cell r="BO375">
            <v>2545</v>
          </cell>
          <cell r="BP375">
            <v>1191</v>
          </cell>
          <cell r="BQ375">
            <v>3736</v>
          </cell>
          <cell r="BR375">
            <v>1304</v>
          </cell>
          <cell r="BS375">
            <v>5040</v>
          </cell>
          <cell r="BT375">
            <v>1183.524690532392</v>
          </cell>
          <cell r="BU375">
            <v>1200.7261553502728</v>
          </cell>
          <cell r="BV375">
            <v>2384.2508458826651</v>
          </cell>
          <cell r="BW375">
            <v>1141.2857107997802</v>
          </cell>
          <cell r="BX375">
            <v>3525.5365566824453</v>
          </cell>
          <cell r="BY375">
            <v>1205.5638615192074</v>
          </cell>
          <cell r="BZ375">
            <v>4731.1004182016522</v>
          </cell>
          <cell r="CA375">
            <v>4409.3053996751933</v>
          </cell>
          <cell r="CB375">
            <v>4135.32187112273</v>
          </cell>
          <cell r="CC375">
            <v>3883.3721837265161</v>
          </cell>
          <cell r="CD375">
            <v>3604.8546689794448</v>
          </cell>
          <cell r="CE375">
            <v>3365.2760369619582</v>
          </cell>
          <cell r="CF375">
            <v>3025.5522979130005</v>
          </cell>
          <cell r="CG375">
            <v>2833.4056810173656</v>
          </cell>
          <cell r="CH375">
            <v>2668.4795919789099</v>
          </cell>
          <cell r="CI375">
            <v>2529.5654468406569</v>
          </cell>
          <cell r="CJ375">
            <v>2406.7330261435145</v>
          </cell>
          <cell r="CK375">
            <v>0</v>
          </cell>
        </row>
        <row r="376">
          <cell r="A376" t="str">
            <v xml:space="preserve">   growth %</v>
          </cell>
          <cell r="O376">
            <v>270</v>
          </cell>
          <cell r="V376">
            <v>179</v>
          </cell>
          <cell r="AC376">
            <v>176</v>
          </cell>
          <cell r="AJ376">
            <v>152</v>
          </cell>
          <cell r="AQ376">
            <v>177</v>
          </cell>
          <cell r="BB376">
            <v>0</v>
          </cell>
          <cell r="BF376">
            <v>-3.9878915504079959E-2</v>
          </cell>
          <cell r="BG376">
            <v>-5.5652390438247101E-2</v>
          </cell>
          <cell r="BH376">
            <v>-4.7984644913627639E-2</v>
          </cell>
          <cell r="BI376">
            <v>-0.12012779552715658</v>
          </cell>
          <cell r="BJ376">
            <v>-7.2052867192496262E-2</v>
          </cell>
          <cell r="BK376">
            <v>-8.4269662921348298E-2</v>
          </cell>
          <cell r="BL376">
            <v>-7.5162879389798154E-2</v>
          </cell>
          <cell r="BM376">
            <v>-0.12611377655928724</v>
          </cell>
          <cell r="BN376">
            <v>-0.16282135794330921</v>
          </cell>
          <cell r="BO376">
            <v>-0.14482526881720426</v>
          </cell>
          <cell r="BP376">
            <v>-0.13507625272331159</v>
          </cell>
          <cell r="BQ376">
            <v>-0.14174132781989435</v>
          </cell>
          <cell r="BR376">
            <v>-0.11111111111111116</v>
          </cell>
          <cell r="BS376">
            <v>-0.134020618556701</v>
          </cell>
          <cell r="BT376">
            <v>-7.174534075890826E-2</v>
          </cell>
          <cell r="BU376">
            <v>-5.4546334369863891E-2</v>
          </cell>
          <cell r="BV376">
            <v>-6.3162732462607063E-2</v>
          </cell>
          <cell r="BW376">
            <v>-4.174163660807706E-2</v>
          </cell>
          <cell r="BX376">
            <v>-5.6333898104270586E-2</v>
          </cell>
          <cell r="BY376">
            <v>-7.5487836258276486E-2</v>
          </cell>
          <cell r="BZ376">
            <v>-6.1289599563164265E-2</v>
          </cell>
          <cell r="CA376">
            <v>-6.8016949563876938E-2</v>
          </cell>
          <cell r="CB376">
            <v>-6.2137571276565717E-2</v>
          </cell>
          <cell r="CC376">
            <v>-6.0926258039452286E-2</v>
          </cell>
          <cell r="CD376">
            <v>-7.1720530912338099E-2</v>
          </cell>
          <cell r="CE376">
            <v>-6.6459997424892725E-2</v>
          </cell>
          <cell r="CF376">
            <v>-0.10094973943226582</v>
          </cell>
          <cell r="CG376">
            <v>-6.350794763262757E-2</v>
          </cell>
          <cell r="CH376">
            <v>-5.8207721592213768E-2</v>
          </cell>
          <cell r="CI376">
            <v>-5.2057413350962145E-2</v>
          </cell>
          <cell r="CJ376">
            <v>-4.8558704361872151E-2</v>
          </cell>
        </row>
        <row r="377">
          <cell r="A377" t="str">
            <v xml:space="preserve">      CER growth</v>
          </cell>
          <cell r="BB377">
            <v>-0.09</v>
          </cell>
          <cell r="BC377">
            <v>-0.09</v>
          </cell>
          <cell r="BD377">
            <v>0</v>
          </cell>
          <cell r="BE377">
            <v>-7.0000000000000007E-2</v>
          </cell>
          <cell r="BF377">
            <v>-0.03</v>
          </cell>
          <cell r="BG377">
            <v>0</v>
          </cell>
          <cell r="BH377">
            <v>-0.02</v>
          </cell>
          <cell r="BI377">
            <v>-0.06</v>
          </cell>
          <cell r="BJ377">
            <v>-0.02</v>
          </cell>
          <cell r="BK377">
            <v>-7.0000000000000007E-2</v>
          </cell>
          <cell r="BL377">
            <v>-0.04</v>
          </cell>
          <cell r="BM377">
            <v>-7.0000000000000007E-2</v>
          </cell>
          <cell r="BN377">
            <v>-0.11</v>
          </cell>
          <cell r="BO377">
            <v>-0.09</v>
          </cell>
          <cell r="BP377">
            <v>-7.0000000000000007E-2</v>
          </cell>
          <cell r="BQ377">
            <v>-0.08</v>
          </cell>
          <cell r="BR377">
            <v>-0.04</v>
          </cell>
          <cell r="BS377">
            <v>-7.0000000000000007E-2</v>
          </cell>
        </row>
        <row r="378">
          <cell r="O378">
            <v>0</v>
          </cell>
          <cell r="V378">
            <v>50</v>
          </cell>
          <cell r="AC378">
            <v>152</v>
          </cell>
          <cell r="AJ378">
            <v>94</v>
          </cell>
          <cell r="AQ378">
            <v>42</v>
          </cell>
        </row>
        <row r="380">
          <cell r="A380" t="str">
            <v>Aclasta</v>
          </cell>
          <cell r="O380">
            <v>1133</v>
          </cell>
          <cell r="V380">
            <v>978</v>
          </cell>
          <cell r="W380">
            <v>2</v>
          </cell>
          <cell r="X380">
            <v>3</v>
          </cell>
          <cell r="Y380">
            <v>5</v>
          </cell>
          <cell r="Z380">
            <v>5</v>
          </cell>
          <cell r="AA380">
            <v>10</v>
          </cell>
          <cell r="AB380">
            <v>31</v>
          </cell>
          <cell r="AC380">
            <v>41</v>
          </cell>
          <cell r="AD380">
            <v>39</v>
          </cell>
          <cell r="AE380">
            <v>64</v>
          </cell>
          <cell r="AF380">
            <v>103</v>
          </cell>
          <cell r="AG380">
            <v>66</v>
          </cell>
          <cell r="AH380">
            <v>169</v>
          </cell>
          <cell r="AI380">
            <v>85</v>
          </cell>
          <cell r="AJ380">
            <v>254</v>
          </cell>
          <cell r="AK380">
            <v>85</v>
          </cell>
          <cell r="AL380">
            <v>115</v>
          </cell>
          <cell r="AM380">
            <v>200</v>
          </cell>
          <cell r="AN380">
            <v>125</v>
          </cell>
          <cell r="AO380">
            <v>325</v>
          </cell>
          <cell r="AP380">
            <v>147</v>
          </cell>
          <cell r="AQ380">
            <v>472</v>
          </cell>
          <cell r="AR380">
            <v>123</v>
          </cell>
          <cell r="AS380">
            <v>142</v>
          </cell>
          <cell r="AT380">
            <v>265</v>
          </cell>
          <cell r="AU380">
            <v>143</v>
          </cell>
          <cell r="AV380">
            <v>408</v>
          </cell>
          <cell r="AW380">
            <v>171</v>
          </cell>
          <cell r="AX380">
            <v>579</v>
          </cell>
          <cell r="AY380">
            <v>135</v>
          </cell>
          <cell r="AZ380">
            <v>161</v>
          </cell>
          <cell r="BA380">
            <v>296</v>
          </cell>
          <cell r="BB380">
            <v>153</v>
          </cell>
          <cell r="BC380">
            <v>449</v>
          </cell>
          <cell r="BD380">
            <v>164</v>
          </cell>
          <cell r="BE380">
            <v>613</v>
          </cell>
          <cell r="BF380">
            <v>141</v>
          </cell>
          <cell r="BG380">
            <v>502</v>
          </cell>
          <cell r="BH380">
            <v>643</v>
          </cell>
          <cell r="CO380">
            <v>0.2</v>
          </cell>
        </row>
        <row r="381">
          <cell r="AJ381">
            <v>5.1036505552654967</v>
          </cell>
          <cell r="AK381">
            <v>1.1955102720175219</v>
          </cell>
          <cell r="AL381">
            <v>0.83066583802663485</v>
          </cell>
          <cell r="AM381">
            <v>0.96665453809402269</v>
          </cell>
          <cell r="AN381">
            <v>0.85918087766068973</v>
          </cell>
          <cell r="AO381">
            <v>0.91815114757681537</v>
          </cell>
          <cell r="AP381">
            <v>0.64249259084896426</v>
          </cell>
          <cell r="AQ381">
            <v>0.84333487138296026</v>
          </cell>
          <cell r="AR381">
            <v>0.37705882352941167</v>
          </cell>
          <cell r="AS381">
            <v>0.23853439695722123</v>
          </cell>
          <cell r="AT381">
            <v>0.29187589413078441</v>
          </cell>
          <cell r="AU381">
            <v>0.14240434457566775</v>
          </cell>
          <cell r="AV381">
            <v>0.23802473473784147</v>
          </cell>
          <cell r="AW381">
            <v>0.15407108087127219</v>
          </cell>
          <cell r="AX381">
            <v>0.21408519446733743</v>
          </cell>
          <cell r="AY381">
            <v>2.7560975609756122E-2</v>
          </cell>
          <cell r="AZ381">
            <v>-1.8921130130369335E-3</v>
          </cell>
          <cell r="BA381">
            <v>1.4133667118249038E-2</v>
          </cell>
          <cell r="BB381">
            <v>-3.9706861505927726E-2</v>
          </cell>
          <cell r="BC381">
            <v>-5.7520021181787229E-3</v>
          </cell>
          <cell r="BD381">
            <v>-7.7543068644010171E-2</v>
          </cell>
          <cell r="BE381">
            <v>-2.2877133900101487E-2</v>
          </cell>
          <cell r="BF381">
            <v>3.4142006164085581E-2</v>
          </cell>
          <cell r="BG381">
            <v>2.1619208287997278</v>
          </cell>
          <cell r="BH381">
            <v>1.1722972972972974</v>
          </cell>
        </row>
        <row r="382">
          <cell r="A382" t="str">
            <v>Sebivo (telbivudine)</v>
          </cell>
          <cell r="B382">
            <v>0</v>
          </cell>
          <cell r="C382">
            <v>0</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5</v>
          </cell>
          <cell r="V382">
            <v>5</v>
          </cell>
          <cell r="W382">
            <v>12</v>
          </cell>
          <cell r="X382">
            <v>18</v>
          </cell>
          <cell r="Y382">
            <v>30</v>
          </cell>
          <cell r="Z382">
            <v>35</v>
          </cell>
          <cell r="AA382">
            <v>65</v>
          </cell>
          <cell r="AB382">
            <v>40</v>
          </cell>
          <cell r="AC382">
            <v>105</v>
          </cell>
          <cell r="AD382">
            <v>60</v>
          </cell>
          <cell r="AE382">
            <v>60</v>
          </cell>
          <cell r="AF382">
            <v>120</v>
          </cell>
          <cell r="AG382">
            <v>65</v>
          </cell>
          <cell r="AH382">
            <v>185</v>
          </cell>
          <cell r="AI382">
            <v>75</v>
          </cell>
          <cell r="AJ382">
            <v>260</v>
          </cell>
          <cell r="AK382">
            <v>20</v>
          </cell>
          <cell r="AL382">
            <v>20</v>
          </cell>
          <cell r="AM382">
            <v>40</v>
          </cell>
          <cell r="AN382">
            <v>20</v>
          </cell>
          <cell r="AO382">
            <v>60</v>
          </cell>
          <cell r="AP382">
            <v>24</v>
          </cell>
          <cell r="AQ382">
            <v>84</v>
          </cell>
          <cell r="AR382">
            <v>25</v>
          </cell>
          <cell r="AS382">
            <v>25</v>
          </cell>
          <cell r="AT382">
            <v>50</v>
          </cell>
          <cell r="AU382">
            <v>25</v>
          </cell>
          <cell r="AV382">
            <v>75</v>
          </cell>
          <cell r="AW382">
            <v>20</v>
          </cell>
          <cell r="AX382">
            <v>95</v>
          </cell>
          <cell r="AY382">
            <v>28</v>
          </cell>
          <cell r="AZ382">
            <v>28</v>
          </cell>
          <cell r="BA382">
            <v>56</v>
          </cell>
          <cell r="BB382">
            <v>28</v>
          </cell>
          <cell r="BC382">
            <v>84</v>
          </cell>
          <cell r="BD382">
            <v>21</v>
          </cell>
          <cell r="BE382">
            <v>105</v>
          </cell>
          <cell r="BF382">
            <v>28</v>
          </cell>
          <cell r="BG382">
            <v>34</v>
          </cell>
          <cell r="BH382">
            <v>62</v>
          </cell>
          <cell r="CO382">
            <v>0.05</v>
          </cell>
          <cell r="DE382">
            <v>20</v>
          </cell>
        </row>
        <row r="383">
          <cell r="Y383">
            <v>0</v>
          </cell>
          <cell r="AA383">
            <v>0</v>
          </cell>
          <cell r="AB383">
            <v>7</v>
          </cell>
          <cell r="AC383">
            <v>7</v>
          </cell>
          <cell r="AD383">
            <v>4</v>
          </cell>
          <cell r="AE383">
            <v>2.3333333333333335</v>
          </cell>
          <cell r="AF383">
            <v>3</v>
          </cell>
          <cell r="AG383">
            <v>0.85714285714285721</v>
          </cell>
          <cell r="AH383">
            <v>1.8461538461538463</v>
          </cell>
          <cell r="AI383">
            <v>0.875</v>
          </cell>
          <cell r="AJ383">
            <v>1.3847190802364606</v>
          </cell>
          <cell r="AK383">
            <v>-0.65064357413632423</v>
          </cell>
          <cell r="AL383">
            <v>-0.63287582864003189</v>
          </cell>
          <cell r="AM383">
            <v>-0.64175970138817806</v>
          </cell>
          <cell r="AR383">
            <v>0.17999999999999994</v>
          </cell>
          <cell r="AS383">
            <v>0.25375178826156908</v>
          </cell>
          <cell r="AT383">
            <v>0.21687589413078445</v>
          </cell>
          <cell r="AU383">
            <v>0.24840434457566785</v>
          </cell>
          <cell r="AV383">
            <v>0.23264011935322615</v>
          </cell>
          <cell r="AW383">
            <v>-0.17586089191784338</v>
          </cell>
          <cell r="AX383">
            <v>0.13095238095238093</v>
          </cell>
          <cell r="AY383">
            <v>5.0000000000000044E-2</v>
          </cell>
          <cell r="AZ383">
            <v>-1.5694929914445321E-2</v>
          </cell>
          <cell r="BA383">
            <v>1.7152535042777473E-2</v>
          </cell>
          <cell r="BB383">
            <v>1.0363068564002376E-2</v>
          </cell>
          <cell r="BC383">
            <v>1.3757801803389924E-2</v>
          </cell>
          <cell r="BD383">
            <v>1.3392603870609809E-2</v>
          </cell>
          <cell r="BE383">
            <v>0.10526315789473695</v>
          </cell>
          <cell r="BF383">
            <v>-1.0302438280358928E-2</v>
          </cell>
          <cell r="BG383">
            <v>0.05</v>
          </cell>
          <cell r="BH383">
            <v>0.10714285714285721</v>
          </cell>
        </row>
        <row r="384">
          <cell r="A384" t="str">
            <v>Elidel</v>
          </cell>
          <cell r="B384">
            <v>79</v>
          </cell>
          <cell r="C384">
            <v>93</v>
          </cell>
          <cell r="D384">
            <v>172</v>
          </cell>
          <cell r="E384">
            <v>83</v>
          </cell>
          <cell r="F384">
            <v>255</v>
          </cell>
          <cell r="G384">
            <v>94</v>
          </cell>
          <cell r="H384">
            <v>349</v>
          </cell>
          <cell r="I384">
            <v>106</v>
          </cell>
          <cell r="J384">
            <v>58</v>
          </cell>
          <cell r="K384">
            <v>164</v>
          </cell>
          <cell r="L384">
            <v>53</v>
          </cell>
          <cell r="M384">
            <v>217</v>
          </cell>
          <cell r="N384">
            <v>53</v>
          </cell>
          <cell r="O384">
            <v>270</v>
          </cell>
          <cell r="P384">
            <v>48</v>
          </cell>
          <cell r="Q384">
            <v>43</v>
          </cell>
          <cell r="R384">
            <v>91</v>
          </cell>
          <cell r="S384">
            <v>41</v>
          </cell>
          <cell r="T384">
            <v>132</v>
          </cell>
          <cell r="U384">
            <v>47</v>
          </cell>
          <cell r="V384">
            <v>179</v>
          </cell>
          <cell r="W384">
            <v>47</v>
          </cell>
          <cell r="X384">
            <v>47</v>
          </cell>
          <cell r="Y384">
            <v>94</v>
          </cell>
          <cell r="Z384">
            <v>39</v>
          </cell>
          <cell r="AA384">
            <v>133</v>
          </cell>
          <cell r="AB384">
            <v>43</v>
          </cell>
          <cell r="AC384">
            <v>176</v>
          </cell>
          <cell r="AD384">
            <v>42</v>
          </cell>
          <cell r="AE384">
            <v>41</v>
          </cell>
          <cell r="AF384">
            <v>83</v>
          </cell>
          <cell r="AG384">
            <v>35</v>
          </cell>
          <cell r="AH384">
            <v>118</v>
          </cell>
          <cell r="AI384">
            <v>34</v>
          </cell>
          <cell r="AJ384">
            <v>152</v>
          </cell>
          <cell r="AK384">
            <v>33</v>
          </cell>
          <cell r="AL384">
            <v>35</v>
          </cell>
          <cell r="AM384">
            <v>68</v>
          </cell>
          <cell r="AN384">
            <v>73</v>
          </cell>
          <cell r="AO384">
            <v>141</v>
          </cell>
          <cell r="AP384">
            <v>36</v>
          </cell>
          <cell r="AQ384">
            <v>177</v>
          </cell>
          <cell r="AR384">
            <v>35</v>
          </cell>
          <cell r="AS384">
            <v>32</v>
          </cell>
          <cell r="AT384">
            <v>67</v>
          </cell>
          <cell r="AU384">
            <v>34</v>
          </cell>
          <cell r="AV384">
            <v>101</v>
          </cell>
          <cell r="AW384">
            <v>25</v>
          </cell>
          <cell r="AX384">
            <v>126</v>
          </cell>
          <cell r="AY384">
            <v>36</v>
          </cell>
          <cell r="AZ384">
            <v>25</v>
          </cell>
          <cell r="BA384">
            <v>61</v>
          </cell>
          <cell r="BB384">
            <v>0</v>
          </cell>
          <cell r="BC384">
            <v>61</v>
          </cell>
          <cell r="BD384">
            <v>0</v>
          </cell>
          <cell r="BE384">
            <v>61</v>
          </cell>
          <cell r="BF384">
            <v>35</v>
          </cell>
          <cell r="BG384">
            <v>40</v>
          </cell>
          <cell r="BH384">
            <v>75</v>
          </cell>
          <cell r="CM384">
            <v>-9.2339469048052982E-3</v>
          </cell>
          <cell r="CO384">
            <v>0.1</v>
          </cell>
          <cell r="CP384" t="str">
            <v>2016 / 2015</v>
          </cell>
          <cell r="CQ384">
            <v>0.34177215189873422</v>
          </cell>
          <cell r="CR384">
            <v>-0.37634408602150538</v>
          </cell>
          <cell r="CS384">
            <v>-0.36144578313253017</v>
          </cell>
          <cell r="CT384">
            <v>-0.43617021276595747</v>
          </cell>
          <cell r="CU384">
            <v>-0.22636103151862463</v>
          </cell>
          <cell r="CV384">
            <v>-0.54716981132075471</v>
          </cell>
          <cell r="CW384">
            <v>-0.25862068965517238</v>
          </cell>
          <cell r="CX384">
            <v>-0.22641509433962259</v>
          </cell>
          <cell r="CY384">
            <v>-0.1132075471698113</v>
          </cell>
          <cell r="CZ384">
            <v>-0.33703703703703702</v>
          </cell>
          <cell r="DA384">
            <v>-2.083333333333337E-2</v>
          </cell>
          <cell r="DB384">
            <v>9.3023255813953432E-2</v>
          </cell>
          <cell r="DC384">
            <v>-4.8780487804878092E-2</v>
          </cell>
          <cell r="DD384">
            <v>-0.2</v>
          </cell>
          <cell r="DE384">
            <v>-1.6759776536312887E-2</v>
          </cell>
          <cell r="DF384">
            <v>-0.05</v>
          </cell>
          <cell r="DG384">
            <v>-0.05</v>
          </cell>
          <cell r="DH384">
            <v>-0.05</v>
          </cell>
          <cell r="DI384">
            <v>-0.05</v>
          </cell>
          <cell r="DJ384">
            <v>-0.05</v>
          </cell>
          <cell r="DK384">
            <v>-0.05</v>
          </cell>
        </row>
        <row r="385">
          <cell r="O385">
            <v>-0.22636103151862463</v>
          </cell>
          <cell r="P385">
            <v>-0.54716981132075471</v>
          </cell>
          <cell r="Q385">
            <v>-0.25862068965517238</v>
          </cell>
          <cell r="R385">
            <v>-0.44512195121951215</v>
          </cell>
          <cell r="S385">
            <v>-0.22641509433962259</v>
          </cell>
          <cell r="T385">
            <v>-0.39170506912442393</v>
          </cell>
          <cell r="U385">
            <v>-0.1132075471698113</v>
          </cell>
          <cell r="V385">
            <v>-0.33703703703703702</v>
          </cell>
          <cell r="W385">
            <v>-2.083333333333337E-2</v>
          </cell>
          <cell r="X385">
            <v>9.3023255813953432E-2</v>
          </cell>
          <cell r="Y385">
            <v>3.2967032967033072E-2</v>
          </cell>
          <cell r="Z385">
            <v>-4.8780487804878092E-2</v>
          </cell>
          <cell r="AA385">
            <v>7.575757575757569E-3</v>
          </cell>
          <cell r="AB385">
            <v>-8.5106382978723416E-2</v>
          </cell>
          <cell r="AC385">
            <v>-1.6759776536312887E-2</v>
          </cell>
          <cell r="AD385">
            <v>-0.1063829787234043</v>
          </cell>
          <cell r="AE385">
            <v>-0.12765957446808507</v>
          </cell>
          <cell r="AF385">
            <v>-0.11702127659574468</v>
          </cell>
          <cell r="AG385">
            <v>-0.10256410256410253</v>
          </cell>
          <cell r="AH385">
            <v>-0.11278195488721809</v>
          </cell>
          <cell r="AI385">
            <v>-0.20930232558139539</v>
          </cell>
          <cell r="AJ385">
            <v>-0.22783503231765201</v>
          </cell>
          <cell r="AK385">
            <v>-0.19826262175537179</v>
          </cell>
          <cell r="AL385">
            <v>-0.11255062538799931</v>
          </cell>
          <cell r="AN385">
            <v>1.0509557694355816</v>
          </cell>
          <cell r="AP385">
            <v>-2.8095644445153445E-2</v>
          </cell>
          <cell r="AQ385">
            <v>0.16447368421052633</v>
          </cell>
          <cell r="AR385">
            <v>-9.3939393939395099E-3</v>
          </cell>
          <cell r="AS385">
            <v>-8.1962497452716665E-2</v>
          </cell>
          <cell r="AT385">
            <v>-4.7829988222156672E-2</v>
          </cell>
          <cell r="AU385">
            <v>-0.53584223076679793</v>
          </cell>
          <cell r="AV385">
            <v>-0.30104782390918516</v>
          </cell>
          <cell r="AW385">
            <v>-0.31474978080673233</v>
          </cell>
          <cell r="AX385">
            <v>-0.28813559322033899</v>
          </cell>
          <cell r="AY385">
            <v>-4.1428571428571592E-2</v>
          </cell>
          <cell r="AZ385">
            <v>-0.35444492991444543</v>
          </cell>
          <cell r="BA385">
            <v>-0.19239970376319282</v>
          </cell>
          <cell r="BC385">
            <v>-0.50228180215700624</v>
          </cell>
          <cell r="BE385">
            <v>-0.59747208414272013</v>
          </cell>
          <cell r="BF385">
            <v>-3.8080216058136718E-2</v>
          </cell>
        </row>
        <row r="386">
          <cell r="A386" t="str">
            <v>Other Strategic</v>
          </cell>
          <cell r="D386">
            <v>0</v>
          </cell>
          <cell r="F386">
            <v>0</v>
          </cell>
          <cell r="H386">
            <v>0</v>
          </cell>
          <cell r="I386">
            <v>0</v>
          </cell>
          <cell r="J386">
            <v>0</v>
          </cell>
          <cell r="K386">
            <v>0</v>
          </cell>
          <cell r="L386">
            <v>0</v>
          </cell>
          <cell r="M386">
            <v>0</v>
          </cell>
          <cell r="N386">
            <v>0</v>
          </cell>
          <cell r="O386">
            <v>0</v>
          </cell>
          <cell r="P386">
            <v>5</v>
          </cell>
          <cell r="Q386">
            <v>15</v>
          </cell>
          <cell r="R386">
            <v>20</v>
          </cell>
          <cell r="S386">
            <v>15</v>
          </cell>
          <cell r="T386">
            <v>35</v>
          </cell>
          <cell r="U386">
            <v>15</v>
          </cell>
          <cell r="V386">
            <v>50</v>
          </cell>
          <cell r="W386">
            <v>42</v>
          </cell>
          <cell r="X386">
            <v>50</v>
          </cell>
          <cell r="Y386">
            <v>92</v>
          </cell>
          <cell r="Z386">
            <v>28</v>
          </cell>
          <cell r="AA386">
            <v>120</v>
          </cell>
          <cell r="AB386">
            <v>32</v>
          </cell>
          <cell r="AC386">
            <v>152</v>
          </cell>
          <cell r="AD386">
            <v>20</v>
          </cell>
          <cell r="AE386">
            <v>25</v>
          </cell>
          <cell r="AF386">
            <v>45</v>
          </cell>
          <cell r="AG386">
            <v>31</v>
          </cell>
          <cell r="AH386">
            <v>76</v>
          </cell>
          <cell r="AI386">
            <v>18</v>
          </cell>
          <cell r="AJ386">
            <v>94</v>
          </cell>
          <cell r="AK386">
            <v>15</v>
          </cell>
          <cell r="AL386">
            <v>27</v>
          </cell>
          <cell r="AM386">
            <v>42</v>
          </cell>
          <cell r="AN386">
            <v>0</v>
          </cell>
          <cell r="AO386">
            <v>42</v>
          </cell>
          <cell r="AP386">
            <v>0</v>
          </cell>
          <cell r="AQ386">
            <v>42</v>
          </cell>
          <cell r="AR386">
            <v>45</v>
          </cell>
          <cell r="AS386">
            <v>58</v>
          </cell>
          <cell r="AT386">
            <v>103</v>
          </cell>
          <cell r="AU386">
            <v>56</v>
          </cell>
          <cell r="AV386">
            <v>159</v>
          </cell>
          <cell r="AW386">
            <v>83</v>
          </cell>
          <cell r="AX386">
            <v>242</v>
          </cell>
          <cell r="AY386">
            <v>75</v>
          </cell>
          <cell r="AZ386">
            <v>80</v>
          </cell>
          <cell r="BA386">
            <v>155</v>
          </cell>
          <cell r="BB386">
            <v>77</v>
          </cell>
          <cell r="BC386">
            <v>232</v>
          </cell>
          <cell r="BD386">
            <v>86</v>
          </cell>
          <cell r="BE386">
            <v>318</v>
          </cell>
          <cell r="BF386">
            <v>96</v>
          </cell>
          <cell r="BG386">
            <v>96</v>
          </cell>
          <cell r="BH386">
            <v>192</v>
          </cell>
          <cell r="CO386">
            <v>0.1</v>
          </cell>
          <cell r="CQ386" t="e">
            <v>#DIV/0!</v>
          </cell>
          <cell r="CR386" t="e">
            <v>#DIV/0!</v>
          </cell>
          <cell r="CS386" t="e">
            <v>#DIV/0!</v>
          </cell>
          <cell r="CT386" t="e">
            <v>#DIV/0!</v>
          </cell>
          <cell r="DA386">
            <v>7.4</v>
          </cell>
          <cell r="DB386">
            <v>2.3333333333333335</v>
          </cell>
          <cell r="DC386">
            <v>0.8666666666666667</v>
          </cell>
          <cell r="DD386">
            <v>0.2</v>
          </cell>
          <cell r="DE386">
            <v>2.04</v>
          </cell>
          <cell r="DF386">
            <v>0.1</v>
          </cell>
          <cell r="DG386">
            <v>0.05</v>
          </cell>
          <cell r="DH386">
            <v>0.05</v>
          </cell>
          <cell r="DI386">
            <v>0.05</v>
          </cell>
          <cell r="DJ386">
            <v>0.05</v>
          </cell>
          <cell r="DK386">
            <v>0.05</v>
          </cell>
        </row>
        <row r="387">
          <cell r="W387">
            <v>7.4</v>
          </cell>
          <cell r="X387">
            <v>2.3333333333333335</v>
          </cell>
          <cell r="Y387">
            <v>3.5999999999999996</v>
          </cell>
          <cell r="Z387">
            <v>0.8666666666666667</v>
          </cell>
          <cell r="AA387">
            <v>2.4285714285714284</v>
          </cell>
          <cell r="AB387">
            <v>1.1333333333333333</v>
          </cell>
          <cell r="AC387">
            <v>2.04</v>
          </cell>
          <cell r="AD387">
            <v>-0.52380952380952384</v>
          </cell>
          <cell r="AE387">
            <v>-0.5</v>
          </cell>
          <cell r="AF387">
            <v>-0.51086956521739135</v>
          </cell>
          <cell r="AG387">
            <v>0.10714285714285721</v>
          </cell>
          <cell r="AH387">
            <v>-0.3666666666666667</v>
          </cell>
          <cell r="AI387">
            <v>-0.4375</v>
          </cell>
          <cell r="AJ387">
            <v>-0.38157894736842102</v>
          </cell>
          <cell r="AR387">
            <v>1.93</v>
          </cell>
          <cell r="AS387">
            <v>1.1518999364097176</v>
          </cell>
          <cell r="AX387">
            <v>4.749295041117862</v>
          </cell>
          <cell r="AY387">
            <v>0.59666666666666668</v>
          </cell>
          <cell r="AZ387">
            <v>0.24361541491314087</v>
          </cell>
          <cell r="BA387">
            <v>0.4020069039748162</v>
          </cell>
          <cell r="BB387">
            <v>0.26536306856400227</v>
          </cell>
          <cell r="BC387">
            <v>0.35287729865873563</v>
          </cell>
          <cell r="BD387">
            <v>-4.6281781613721762E-4</v>
          </cell>
          <cell r="BE387">
            <v>0.23245051850715526</v>
          </cell>
          <cell r="BF387">
            <v>0.2696975617196411</v>
          </cell>
          <cell r="BG387">
            <v>0.3</v>
          </cell>
          <cell r="BH387">
            <v>0.23870967741935489</v>
          </cell>
        </row>
        <row r="388">
          <cell r="A388" t="str">
            <v>Lamisil</v>
          </cell>
          <cell r="B388">
            <v>220</v>
          </cell>
          <cell r="C388">
            <v>296</v>
          </cell>
          <cell r="D388">
            <v>516</v>
          </cell>
          <cell r="E388">
            <v>344</v>
          </cell>
          <cell r="F388">
            <v>860</v>
          </cell>
          <cell r="G388">
            <v>302</v>
          </cell>
          <cell r="H388">
            <v>1162</v>
          </cell>
          <cell r="I388">
            <v>249</v>
          </cell>
          <cell r="J388">
            <v>315</v>
          </cell>
          <cell r="K388">
            <v>564</v>
          </cell>
          <cell r="L388">
            <v>318</v>
          </cell>
          <cell r="M388">
            <v>882</v>
          </cell>
          <cell r="N388">
            <v>251</v>
          </cell>
          <cell r="O388">
            <v>1133</v>
          </cell>
          <cell r="P388">
            <v>200</v>
          </cell>
          <cell r="Q388">
            <v>283</v>
          </cell>
          <cell r="R388">
            <v>483</v>
          </cell>
          <cell r="S388">
            <v>269</v>
          </cell>
          <cell r="T388">
            <v>752</v>
          </cell>
          <cell r="U388">
            <v>226</v>
          </cell>
          <cell r="V388">
            <v>978</v>
          </cell>
          <cell r="W388">
            <v>207</v>
          </cell>
          <cell r="X388">
            <v>225</v>
          </cell>
          <cell r="Y388">
            <v>432</v>
          </cell>
          <cell r="Z388">
            <v>97</v>
          </cell>
          <cell r="AA388">
            <v>529</v>
          </cell>
          <cell r="AB388">
            <v>66</v>
          </cell>
          <cell r="AC388">
            <v>595</v>
          </cell>
          <cell r="AD388">
            <v>60</v>
          </cell>
          <cell r="AE388">
            <v>74</v>
          </cell>
          <cell r="AF388">
            <v>134</v>
          </cell>
          <cell r="AG388">
            <v>71</v>
          </cell>
          <cell r="AH388">
            <v>205</v>
          </cell>
          <cell r="AI388">
            <v>61</v>
          </cell>
          <cell r="AJ388">
            <v>266</v>
          </cell>
          <cell r="AK388">
            <v>43</v>
          </cell>
          <cell r="AL388">
            <v>50</v>
          </cell>
          <cell r="AM388">
            <v>93</v>
          </cell>
          <cell r="AN388">
            <v>54</v>
          </cell>
          <cell r="AO388">
            <v>147</v>
          </cell>
          <cell r="AP388">
            <v>53</v>
          </cell>
          <cell r="AQ388">
            <v>200</v>
          </cell>
          <cell r="AR388">
            <v>40</v>
          </cell>
          <cell r="AS388">
            <v>38</v>
          </cell>
          <cell r="AT388">
            <v>78</v>
          </cell>
          <cell r="AU388">
            <v>41</v>
          </cell>
          <cell r="AV388">
            <v>119</v>
          </cell>
          <cell r="AW388">
            <v>40</v>
          </cell>
          <cell r="AX388">
            <v>159</v>
          </cell>
          <cell r="AY388">
            <v>33</v>
          </cell>
          <cell r="AZ388">
            <v>35</v>
          </cell>
          <cell r="BA388">
            <v>68</v>
          </cell>
          <cell r="BB388">
            <v>37</v>
          </cell>
          <cell r="BC388">
            <v>105</v>
          </cell>
          <cell r="BD388">
            <v>33</v>
          </cell>
          <cell r="BE388">
            <v>138</v>
          </cell>
          <cell r="BF388">
            <v>25</v>
          </cell>
          <cell r="BG388">
            <v>30</v>
          </cell>
          <cell r="BH388">
            <v>55</v>
          </cell>
          <cell r="CM388">
            <v>-1.615940708340927E-2</v>
          </cell>
          <cell r="CO388">
            <v>0</v>
          </cell>
          <cell r="CQ388">
            <v>0.13181818181818183</v>
          </cell>
          <cell r="CR388">
            <v>6.4189189189189255E-2</v>
          </cell>
          <cell r="CS388">
            <v>-7.5581395348837233E-2</v>
          </cell>
          <cell r="CT388">
            <v>-0.16887417218543044</v>
          </cell>
          <cell r="CU388">
            <v>-2.4956970740103279E-2</v>
          </cell>
          <cell r="CV388">
            <v>-0.19678714859437751</v>
          </cell>
          <cell r="CW388">
            <v>-0.10158730158730156</v>
          </cell>
          <cell r="CX388">
            <v>-0.15408805031446537</v>
          </cell>
          <cell r="CY388">
            <v>-9.9601593625498031E-2</v>
          </cell>
          <cell r="CZ388">
            <v>-0.13680494263018539</v>
          </cell>
          <cell r="DA388">
            <v>3.499999999999992E-2</v>
          </cell>
          <cell r="DB388">
            <v>-0.20494699646643111</v>
          </cell>
          <cell r="DC388">
            <v>-0.6394052044609666</v>
          </cell>
          <cell r="DD388">
            <v>-0.70796460176991149</v>
          </cell>
          <cell r="DE388">
            <v>-0.39161554192229042</v>
          </cell>
          <cell r="DF388">
            <v>-0.55294117647058827</v>
          </cell>
          <cell r="DG388">
            <v>-0.24812030075187974</v>
          </cell>
          <cell r="DH388">
            <v>-0.20499999999999996</v>
          </cell>
          <cell r="DI388">
            <v>-0.13207547169811318</v>
          </cell>
          <cell r="DJ388">
            <v>-1</v>
          </cell>
          <cell r="DK388" t="e">
            <v>#DIV/0!</v>
          </cell>
        </row>
        <row r="389">
          <cell r="O389">
            <v>-2.4956970740103279E-2</v>
          </cell>
          <cell r="P389">
            <v>-0.19678714859437751</v>
          </cell>
          <cell r="Q389">
            <v>-0.10158730158730156</v>
          </cell>
          <cell r="R389">
            <v>-0.1436170212765957</v>
          </cell>
          <cell r="S389">
            <v>-0.15408805031446537</v>
          </cell>
          <cell r="T389">
            <v>-0.14739229024943312</v>
          </cell>
          <cell r="U389">
            <v>-9.9601593625498031E-2</v>
          </cell>
          <cell r="V389">
            <v>-0.13680494263018539</v>
          </cell>
          <cell r="W389">
            <v>3.499999999999992E-2</v>
          </cell>
          <cell r="X389">
            <v>-0.20494699646643111</v>
          </cell>
          <cell r="Y389">
            <v>-0.10559006211180122</v>
          </cell>
          <cell r="Z389">
            <v>-0.6394052044609666</v>
          </cell>
          <cell r="AA389">
            <v>-0.29654255319148937</v>
          </cell>
          <cell r="AB389">
            <v>-0.70796460176991149</v>
          </cell>
          <cell r="AC389">
            <v>-0.39161554192229042</v>
          </cell>
          <cell r="AD389">
            <v>-0.71014492753623193</v>
          </cell>
          <cell r="AE389">
            <v>-0.6711111111111111</v>
          </cell>
          <cell r="AF389">
            <v>-0.68981481481481488</v>
          </cell>
          <cell r="AG389">
            <v>-0.26804123711340211</v>
          </cell>
          <cell r="AH389">
            <v>-0.61247637051039705</v>
          </cell>
          <cell r="AI389">
            <v>-7.5757575757575801E-2</v>
          </cell>
          <cell r="AJ389">
            <v>-6.0070671378091856E-2</v>
          </cell>
          <cell r="AK389">
            <v>-0.91097308488612838</v>
          </cell>
          <cell r="AL389">
            <v>-0.81412639405204468</v>
          </cell>
          <cell r="AM389">
            <v>-0.87632978723404253</v>
          </cell>
          <cell r="AN389">
            <v>-0.76106194690265483</v>
          </cell>
          <cell r="AO389">
            <v>-0.84969325153374231</v>
          </cell>
          <cell r="AP389">
            <v>-0.7439613526570048</v>
          </cell>
          <cell r="AQ389">
            <v>-0.11111111111111116</v>
          </cell>
          <cell r="AR389">
            <v>-6.9767441860465129E-2</v>
          </cell>
          <cell r="AS389">
            <v>-0.24</v>
          </cell>
          <cell r="AT389">
            <v>-0.16129032258064513</v>
          </cell>
          <cell r="AU389">
            <v>-0.2407407407407407</v>
          </cell>
          <cell r="AV389">
            <v>-0.19047619047619047</v>
          </cell>
          <cell r="AW389">
            <v>-0.24528301886792447</v>
          </cell>
          <cell r="AX389">
            <v>-0.20499999999999996</v>
          </cell>
          <cell r="AY389">
            <v>-0.17500000000000004</v>
          </cell>
          <cell r="AZ389">
            <v>-7.8947368421052655E-2</v>
          </cell>
          <cell r="BA389">
            <v>-0.12820512820512819</v>
          </cell>
          <cell r="BB389">
            <v>-9.7560975609756073E-2</v>
          </cell>
          <cell r="BC389">
            <v>-0.11764705882352944</v>
          </cell>
          <cell r="BD389">
            <v>-0.17500000000000004</v>
          </cell>
          <cell r="BE389">
            <v>-0.13207547169811318</v>
          </cell>
          <cell r="BF389">
            <v>-0.24242424242424243</v>
          </cell>
          <cell r="BG389">
            <v>-0.1428571428571429</v>
          </cell>
          <cell r="BH389">
            <v>-0.19117647058823528</v>
          </cell>
        </row>
        <row r="390">
          <cell r="A390" t="str">
            <v xml:space="preserve">       Lamisil US</v>
          </cell>
          <cell r="B390">
            <v>106</v>
          </cell>
          <cell r="C390">
            <v>138</v>
          </cell>
          <cell r="D390">
            <v>244</v>
          </cell>
          <cell r="E390">
            <v>158</v>
          </cell>
          <cell r="F390">
            <v>402</v>
          </cell>
          <cell r="G390">
            <v>126</v>
          </cell>
          <cell r="H390">
            <v>528</v>
          </cell>
          <cell r="I390">
            <v>115</v>
          </cell>
          <cell r="J390">
            <v>140</v>
          </cell>
          <cell r="K390">
            <v>255</v>
          </cell>
          <cell r="L390">
            <v>156</v>
          </cell>
          <cell r="M390">
            <v>411</v>
          </cell>
          <cell r="N390">
            <v>127</v>
          </cell>
          <cell r="O390">
            <v>538</v>
          </cell>
          <cell r="P390">
            <v>119</v>
          </cell>
          <cell r="Q390">
            <v>172</v>
          </cell>
          <cell r="R390">
            <v>291</v>
          </cell>
          <cell r="S390">
            <v>156</v>
          </cell>
          <cell r="T390">
            <v>447</v>
          </cell>
          <cell r="U390">
            <v>127</v>
          </cell>
          <cell r="V390">
            <v>574</v>
          </cell>
          <cell r="W390">
            <v>132</v>
          </cell>
          <cell r="X390">
            <v>130</v>
          </cell>
          <cell r="Y390">
            <v>262</v>
          </cell>
          <cell r="Z390">
            <v>7</v>
          </cell>
          <cell r="AA390">
            <v>269</v>
          </cell>
          <cell r="AB390">
            <v>-3</v>
          </cell>
          <cell r="AC390">
            <v>266</v>
          </cell>
          <cell r="AD390">
            <v>0</v>
          </cell>
          <cell r="AE390">
            <v>0</v>
          </cell>
          <cell r="AF390">
            <v>0</v>
          </cell>
          <cell r="AG390">
            <v>2</v>
          </cell>
          <cell r="AH390">
            <v>2</v>
          </cell>
          <cell r="AI390">
            <v>2</v>
          </cell>
          <cell r="AJ390">
            <v>4</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CP390" t="str">
            <v>Dec 2006/Excl Jun 2007</v>
          </cell>
          <cell r="CQ390">
            <v>8.4905660377358583E-2</v>
          </cell>
          <cell r="CR390">
            <v>1.449275362318847E-2</v>
          </cell>
          <cell r="CS390">
            <v>-1.2658227848101222E-2</v>
          </cell>
          <cell r="CT390">
            <v>7.9365079365079083E-3</v>
          </cell>
          <cell r="CU390">
            <v>1.8939393939394034E-2</v>
          </cell>
          <cell r="CV390">
            <v>3.4782608695652195E-2</v>
          </cell>
          <cell r="CW390">
            <v>0.22857142857142865</v>
          </cell>
          <cell r="CX390">
            <v>0</v>
          </cell>
          <cell r="CY390">
            <v>0</v>
          </cell>
          <cell r="CZ390">
            <v>6.6914498141263934E-2</v>
          </cell>
          <cell r="DA390">
            <v>0.10924369747899165</v>
          </cell>
          <cell r="DB390">
            <v>-0.2441860465116279</v>
          </cell>
          <cell r="DC390">
            <v>-0.95512820512820518</v>
          </cell>
          <cell r="DD390">
            <v>-0.8</v>
          </cell>
          <cell r="DE390">
            <v>-0.53658536585365857</v>
          </cell>
          <cell r="DF390">
            <v>-0.8</v>
          </cell>
          <cell r="DG390">
            <v>-0.1</v>
          </cell>
          <cell r="DH390">
            <v>-0.1</v>
          </cell>
          <cell r="DI390">
            <v>-0.1</v>
          </cell>
          <cell r="DJ390">
            <v>-0.1</v>
          </cell>
          <cell r="DK390">
            <v>-0.1</v>
          </cell>
        </row>
        <row r="391">
          <cell r="O391">
            <v>1.8939393939394034E-2</v>
          </cell>
          <cell r="P391">
            <v>3.4782608695652195E-2</v>
          </cell>
          <cell r="Q391">
            <v>0.22857142857142865</v>
          </cell>
          <cell r="R391">
            <v>0.14117647058823524</v>
          </cell>
          <cell r="S391">
            <v>0</v>
          </cell>
          <cell r="T391">
            <v>8.7591240875912302E-2</v>
          </cell>
          <cell r="U391">
            <v>0</v>
          </cell>
          <cell r="V391">
            <v>6.6914498141263934E-2</v>
          </cell>
          <cell r="W391">
            <v>0.10924369747899165</v>
          </cell>
          <cell r="X391">
            <v>-0.2441860465116279</v>
          </cell>
          <cell r="Y391">
            <v>-9.965635738831613E-2</v>
          </cell>
          <cell r="Z391">
            <v>-0.95512820512820518</v>
          </cell>
          <cell r="AA391">
            <v>-0.39821029082774051</v>
          </cell>
          <cell r="AB391">
            <v>-1.0236220472440944</v>
          </cell>
          <cell r="AC391">
            <v>-0.53658536585365857</v>
          </cell>
        </row>
        <row r="392">
          <cell r="A392" t="str">
            <v xml:space="preserve">       Lamisil ROW</v>
          </cell>
          <cell r="B392">
            <v>114</v>
          </cell>
          <cell r="C392">
            <v>158</v>
          </cell>
          <cell r="D392">
            <v>272</v>
          </cell>
          <cell r="E392">
            <v>186</v>
          </cell>
          <cell r="F392">
            <v>458</v>
          </cell>
          <cell r="G392">
            <v>176</v>
          </cell>
          <cell r="H392">
            <v>634</v>
          </cell>
          <cell r="I392">
            <v>134</v>
          </cell>
          <cell r="J392">
            <v>175</v>
          </cell>
          <cell r="K392">
            <v>309</v>
          </cell>
          <cell r="L392">
            <v>162</v>
          </cell>
          <cell r="M392">
            <v>471</v>
          </cell>
          <cell r="N392">
            <v>124</v>
          </cell>
          <cell r="O392">
            <v>595</v>
          </cell>
          <cell r="P392">
            <v>81</v>
          </cell>
          <cell r="Q392">
            <v>111</v>
          </cell>
          <cell r="R392">
            <v>192</v>
          </cell>
          <cell r="S392">
            <v>113</v>
          </cell>
          <cell r="T392">
            <v>305</v>
          </cell>
          <cell r="U392">
            <v>99</v>
          </cell>
          <cell r="V392">
            <v>404</v>
          </cell>
          <cell r="W392">
            <v>75</v>
          </cell>
          <cell r="X392">
            <v>95</v>
          </cell>
          <cell r="Y392">
            <v>170</v>
          </cell>
          <cell r="Z392">
            <v>90</v>
          </cell>
          <cell r="AA392">
            <v>260</v>
          </cell>
          <cell r="AB392">
            <v>69</v>
          </cell>
          <cell r="AC392">
            <v>329</v>
          </cell>
          <cell r="AD392">
            <v>60</v>
          </cell>
          <cell r="AE392">
            <v>74</v>
          </cell>
          <cell r="AF392">
            <v>134</v>
          </cell>
          <cell r="AG392">
            <v>69</v>
          </cell>
          <cell r="AH392">
            <v>203</v>
          </cell>
          <cell r="AI392">
            <v>59</v>
          </cell>
          <cell r="AJ392">
            <v>262</v>
          </cell>
          <cell r="AK392">
            <v>43</v>
          </cell>
          <cell r="AL392">
            <v>50</v>
          </cell>
          <cell r="AM392">
            <v>93</v>
          </cell>
          <cell r="AN392">
            <v>54</v>
          </cell>
          <cell r="AO392">
            <v>147</v>
          </cell>
          <cell r="AP392">
            <v>53</v>
          </cell>
          <cell r="AQ392">
            <v>200</v>
          </cell>
          <cell r="AR392">
            <v>40</v>
          </cell>
          <cell r="AS392">
            <v>38</v>
          </cell>
          <cell r="AT392">
            <v>78</v>
          </cell>
          <cell r="AU392">
            <v>41</v>
          </cell>
          <cell r="AV392">
            <v>119</v>
          </cell>
          <cell r="AW392">
            <v>40</v>
          </cell>
          <cell r="AX392">
            <v>159</v>
          </cell>
          <cell r="AY392">
            <v>33</v>
          </cell>
          <cell r="AZ392">
            <v>35</v>
          </cell>
          <cell r="BA392">
            <v>68</v>
          </cell>
          <cell r="BB392">
            <v>37</v>
          </cell>
          <cell r="BC392">
            <v>105</v>
          </cell>
          <cell r="BD392">
            <v>33</v>
          </cell>
          <cell r="BE392">
            <v>138</v>
          </cell>
          <cell r="BF392">
            <v>25</v>
          </cell>
          <cell r="BG392">
            <v>30</v>
          </cell>
          <cell r="BH392">
            <v>55</v>
          </cell>
          <cell r="CP392" t="str">
            <v>8/2005 (UK) / 2007 (FR)</v>
          </cell>
          <cell r="CQ392">
            <v>0.17543859649122817</v>
          </cell>
          <cell r="CR392">
            <v>0.10759493670886067</v>
          </cell>
          <cell r="CS392">
            <v>-0.12903225806451613</v>
          </cell>
          <cell r="CT392">
            <v>-0.29545454545454541</v>
          </cell>
          <cell r="CU392">
            <v>-6.1514195583596165E-2</v>
          </cell>
          <cell r="CV392">
            <v>-0.39552238805970152</v>
          </cell>
          <cell r="CW392">
            <v>-0.36571428571428577</v>
          </cell>
          <cell r="CX392">
            <v>-0.30246913580246915</v>
          </cell>
          <cell r="CY392">
            <v>-0.20161290322580649</v>
          </cell>
          <cell r="CZ392">
            <v>-0.32100840336134451</v>
          </cell>
          <cell r="DA392">
            <v>-7.407407407407407E-2</v>
          </cell>
          <cell r="DB392">
            <v>-0.14414414414414412</v>
          </cell>
          <cell r="DC392">
            <v>-0.20353982300884954</v>
          </cell>
          <cell r="DD392">
            <v>-0.35</v>
          </cell>
          <cell r="DE392">
            <v>-0.1856435643564357</v>
          </cell>
          <cell r="DF392">
            <v>-0.35</v>
          </cell>
          <cell r="DG392">
            <v>-0.2</v>
          </cell>
          <cell r="DH392">
            <v>-0.2</v>
          </cell>
          <cell r="DI392">
            <v>-0.2</v>
          </cell>
          <cell r="DJ392">
            <v>-0.2</v>
          </cell>
          <cell r="DK392">
            <v>-0.2</v>
          </cell>
        </row>
        <row r="393">
          <cell r="A393" t="str">
            <v>Underlying growth (ex currency)</v>
          </cell>
          <cell r="P393">
            <v>-0.31057431413998415</v>
          </cell>
          <cell r="Q393">
            <v>-0.3591454863939173</v>
          </cell>
          <cell r="R393">
            <v>-0.33288234007898621</v>
          </cell>
          <cell r="S393">
            <v>-0.33972735836826229</v>
          </cell>
          <cell r="T393">
            <v>-0.33435539669667946</v>
          </cell>
          <cell r="U393">
            <v>-0.27570111325844704</v>
          </cell>
          <cell r="V393">
            <v>-0.32596579320093144</v>
          </cell>
          <cell r="W393">
            <v>-0.15066329450454441</v>
          </cell>
          <cell r="X393">
            <v>-0.19937795912363476</v>
          </cell>
          <cell r="Y393">
            <v>-0.18049485103831386</v>
          </cell>
          <cell r="Z393">
            <v>-0.26811011386606387</v>
          </cell>
          <cell r="AA393">
            <v>-0.21300542569561587</v>
          </cell>
          <cell r="AB393">
            <v>-0.41272487106986455</v>
          </cell>
          <cell r="AC393">
            <v>-0.26216553793311992</v>
          </cell>
          <cell r="AD393">
            <v>-0.34440762244882728</v>
          </cell>
          <cell r="AE393">
            <v>-0.38578422644785038</v>
          </cell>
          <cell r="AF393">
            <v>-0.36633431454121801</v>
          </cell>
          <cell r="AG393">
            <v>-0.33074864379487179</v>
          </cell>
          <cell r="AH393">
            <v>-0.345223228790971</v>
          </cell>
          <cell r="AI393">
            <v>-8.5241086009541389E-2</v>
          </cell>
          <cell r="AJ393">
            <v>-0.28848987717122931</v>
          </cell>
          <cell r="AK393">
            <v>-0.1785902533667707</v>
          </cell>
          <cell r="AL393">
            <v>-0.21606304077128935</v>
          </cell>
          <cell r="AN393">
            <v>-0.191361568854437</v>
          </cell>
          <cell r="AP393">
            <v>-0.22138162605881639</v>
          </cell>
          <cell r="AR393">
            <v>-0.13425687191389468</v>
          </cell>
          <cell r="AS393">
            <v>-0.1947634375495233</v>
          </cell>
          <cell r="AU393">
            <v>-0.17923959413962187</v>
          </cell>
          <cell r="AW393">
            <v>-0.1987568835219844</v>
          </cell>
          <cell r="AY393">
            <v>-0.19510921398318271</v>
          </cell>
          <cell r="AZ393">
            <v>-0.23845901553029192</v>
          </cell>
          <cell r="BA393">
            <v>-0.21801555875133927</v>
          </cell>
          <cell r="BB393">
            <v>-0.22310819851152897</v>
          </cell>
          <cell r="BC393">
            <v>-0.22532588554752131</v>
          </cell>
          <cell r="BD393">
            <v>-0.21241985853010181</v>
          </cell>
          <cell r="BE393">
            <v>-0.21588190038984467</v>
          </cell>
          <cell r="BF393">
            <v>-0.22803889467155192</v>
          </cell>
          <cell r="BG393">
            <v>-4.8202187716025913E-2</v>
          </cell>
        </row>
        <row r="394">
          <cell r="A394" t="str">
            <v>Famvir</v>
          </cell>
          <cell r="B394">
            <v>60</v>
          </cell>
          <cell r="C394">
            <v>65</v>
          </cell>
          <cell r="D394">
            <v>125</v>
          </cell>
          <cell r="E394">
            <v>66</v>
          </cell>
          <cell r="F394">
            <v>191</v>
          </cell>
          <cell r="G394">
            <v>64</v>
          </cell>
          <cell r="H394">
            <v>255</v>
          </cell>
          <cell r="I394">
            <v>56</v>
          </cell>
          <cell r="J394">
            <v>64</v>
          </cell>
          <cell r="K394">
            <v>120</v>
          </cell>
          <cell r="L394">
            <v>68</v>
          </cell>
          <cell r="M394">
            <v>188</v>
          </cell>
          <cell r="N394">
            <v>66</v>
          </cell>
          <cell r="O394">
            <v>254</v>
          </cell>
          <cell r="P394">
            <v>61</v>
          </cell>
          <cell r="Q394">
            <v>67</v>
          </cell>
          <cell r="R394">
            <v>128</v>
          </cell>
          <cell r="S394">
            <v>69</v>
          </cell>
          <cell r="T394">
            <v>197</v>
          </cell>
          <cell r="U394">
            <v>71</v>
          </cell>
          <cell r="V394">
            <v>268</v>
          </cell>
          <cell r="W394">
            <v>70</v>
          </cell>
          <cell r="X394">
            <v>72</v>
          </cell>
          <cell r="Y394">
            <v>142</v>
          </cell>
          <cell r="Z394">
            <v>59</v>
          </cell>
          <cell r="AA394">
            <v>201</v>
          </cell>
          <cell r="AB394">
            <v>35</v>
          </cell>
          <cell r="AC394">
            <v>236</v>
          </cell>
          <cell r="AD394">
            <v>30</v>
          </cell>
          <cell r="AE394">
            <v>30</v>
          </cell>
          <cell r="AF394">
            <v>60</v>
          </cell>
          <cell r="AG394">
            <v>20</v>
          </cell>
          <cell r="AH394">
            <v>80</v>
          </cell>
          <cell r="AI394">
            <v>20</v>
          </cell>
          <cell r="AJ394">
            <v>100</v>
          </cell>
          <cell r="AK394">
            <v>20</v>
          </cell>
          <cell r="AL394">
            <v>20</v>
          </cell>
          <cell r="AM394">
            <v>40</v>
          </cell>
          <cell r="AN394">
            <v>20</v>
          </cell>
          <cell r="AO394">
            <v>60</v>
          </cell>
          <cell r="AP394">
            <v>20</v>
          </cell>
          <cell r="AQ394">
            <v>80</v>
          </cell>
          <cell r="AR394">
            <v>21</v>
          </cell>
          <cell r="AS394">
            <v>19</v>
          </cell>
          <cell r="AT394">
            <v>40</v>
          </cell>
          <cell r="AU394">
            <v>19</v>
          </cell>
          <cell r="AV394">
            <v>59</v>
          </cell>
          <cell r="AW394">
            <v>19</v>
          </cell>
          <cell r="AX394">
            <v>78</v>
          </cell>
          <cell r="AY394">
            <v>22</v>
          </cell>
          <cell r="AZ394">
            <v>20</v>
          </cell>
          <cell r="BA394">
            <v>42</v>
          </cell>
          <cell r="BB394">
            <v>20</v>
          </cell>
          <cell r="BC394">
            <v>62</v>
          </cell>
          <cell r="BD394">
            <v>19</v>
          </cell>
          <cell r="BE394">
            <v>81</v>
          </cell>
          <cell r="BF394">
            <v>21</v>
          </cell>
          <cell r="BG394">
            <v>21</v>
          </cell>
          <cell r="BH394">
            <v>42</v>
          </cell>
          <cell r="CO394">
            <v>0</v>
          </cell>
          <cell r="CU394">
            <v>-3.9215686274509665E-3</v>
          </cell>
          <cell r="CV394">
            <v>8.9285714285714191E-2</v>
          </cell>
          <cell r="CW394">
            <v>4.6875E-2</v>
          </cell>
          <cell r="CX394">
            <v>1.4705882352941124E-2</v>
          </cell>
          <cell r="CY394">
            <v>7.575757575757569E-2</v>
          </cell>
          <cell r="CZ394">
            <v>5.5118110236220375E-2</v>
          </cell>
          <cell r="DA394">
            <v>0.14754098360655732</v>
          </cell>
          <cell r="DB394">
            <v>7.4626865671641784E-2</v>
          </cell>
          <cell r="DC394">
            <v>-0.14492753623188404</v>
          </cell>
          <cell r="DD394">
            <v>0.05</v>
          </cell>
          <cell r="DE394">
            <v>-0.11940298507462688</v>
          </cell>
          <cell r="DF394">
            <v>0.05</v>
          </cell>
          <cell r="DG394">
            <v>0.05</v>
          </cell>
          <cell r="DH394">
            <v>0.05</v>
          </cell>
          <cell r="DI394">
            <v>-0.7</v>
          </cell>
          <cell r="DJ394">
            <v>-0.05</v>
          </cell>
          <cell r="DK394">
            <v>-0.05</v>
          </cell>
        </row>
        <row r="395">
          <cell r="O395">
            <v>-3.9215686274509665E-3</v>
          </cell>
          <cell r="P395">
            <v>8.9285714285714191E-2</v>
          </cell>
          <cell r="Q395">
            <v>4.6875E-2</v>
          </cell>
          <cell r="R395">
            <v>6.6666666666666652E-2</v>
          </cell>
          <cell r="S395">
            <v>1.4705882352941124E-2</v>
          </cell>
          <cell r="T395">
            <v>4.7872340425531901E-2</v>
          </cell>
          <cell r="U395">
            <v>7.575757575757569E-2</v>
          </cell>
          <cell r="V395">
            <v>5.5118110236220375E-2</v>
          </cell>
          <cell r="W395">
            <v>0.14754098360655732</v>
          </cell>
          <cell r="X395">
            <v>7.4626865671641784E-2</v>
          </cell>
          <cell r="Y395">
            <v>0.109375</v>
          </cell>
          <cell r="Z395">
            <v>-0.14492753623188404</v>
          </cell>
          <cell r="AA395">
            <v>2.0304568527918843E-2</v>
          </cell>
          <cell r="AB395">
            <v>-0.50704225352112675</v>
          </cell>
          <cell r="AC395">
            <v>-0.11940298507462688</v>
          </cell>
          <cell r="AD395">
            <v>-0.5714285714285714</v>
          </cell>
          <cell r="AE395">
            <v>-0.58333333333333326</v>
          </cell>
          <cell r="AF395">
            <v>-0.57746478873239437</v>
          </cell>
          <cell r="AG395">
            <v>-0.66101694915254239</v>
          </cell>
          <cell r="AH395">
            <v>-0.60199004975124382</v>
          </cell>
          <cell r="AI395">
            <v>-0.4285714285714286</v>
          </cell>
          <cell r="AJ395">
            <v>-0.57627118644067798</v>
          </cell>
          <cell r="AM395">
            <v>0</v>
          </cell>
          <cell r="AO395">
            <v>0</v>
          </cell>
          <cell r="AR395">
            <v>-2.0000000000000018E-2</v>
          </cell>
          <cell r="AS395">
            <v>-4.6248211738430967E-2</v>
          </cell>
          <cell r="AU395">
            <v>-5.1595655424332199E-2</v>
          </cell>
          <cell r="AW395">
            <v>-5.9194225251176791E-2</v>
          </cell>
          <cell r="AY395">
            <v>-2.238095238095239E-2</v>
          </cell>
          <cell r="AZ395">
            <v>-8.3063350967077065E-2</v>
          </cell>
          <cell r="BA395">
            <v>-5.284746495722259E-2</v>
          </cell>
          <cell r="BB395">
            <v>-5.7005352488629368E-2</v>
          </cell>
          <cell r="BC395">
            <v>-5.5394740569491452E-2</v>
          </cell>
          <cell r="BD395">
            <v>-3.6607396129390235E-2</v>
          </cell>
          <cell r="BF395">
            <v>-5.5756983734904342E-2</v>
          </cell>
          <cell r="BG395">
            <v>0</v>
          </cell>
          <cell r="BH395">
            <v>0</v>
          </cell>
          <cell r="BS395">
            <v>100</v>
          </cell>
          <cell r="BZ395">
            <v>635</v>
          </cell>
          <cell r="CA395">
            <v>1780</v>
          </cell>
          <cell r="CB395">
            <v>3559</v>
          </cell>
          <cell r="CC395">
            <v>5547</v>
          </cell>
          <cell r="CD395">
            <v>7049</v>
          </cell>
          <cell r="CE395">
            <v>8342</v>
          </cell>
          <cell r="CF395">
            <v>9484.4500000000007</v>
          </cell>
          <cell r="CG395">
            <v>9863.8280000000013</v>
          </cell>
          <cell r="CH395">
            <v>10258.381120000002</v>
          </cell>
          <cell r="CI395">
            <v>10668.716364800002</v>
          </cell>
        </row>
        <row r="396">
          <cell r="A396" t="str">
            <v>Mature Products</v>
          </cell>
          <cell r="D396">
            <v>0</v>
          </cell>
          <cell r="F396">
            <v>0</v>
          </cell>
          <cell r="H396">
            <v>0</v>
          </cell>
          <cell r="I396">
            <v>35</v>
          </cell>
          <cell r="J396">
            <v>32</v>
          </cell>
          <cell r="K396">
            <v>67</v>
          </cell>
          <cell r="L396">
            <v>36</v>
          </cell>
          <cell r="M396">
            <v>103</v>
          </cell>
          <cell r="N396">
            <v>43</v>
          </cell>
          <cell r="O396">
            <v>146</v>
          </cell>
          <cell r="P396">
            <v>57</v>
          </cell>
          <cell r="Q396">
            <v>66</v>
          </cell>
          <cell r="R396">
            <v>123</v>
          </cell>
          <cell r="S396">
            <v>67</v>
          </cell>
          <cell r="T396">
            <v>190</v>
          </cell>
          <cell r="U396">
            <v>71</v>
          </cell>
          <cell r="V396">
            <v>261</v>
          </cell>
          <cell r="W396">
            <v>140</v>
          </cell>
          <cell r="X396">
            <v>141</v>
          </cell>
          <cell r="Y396">
            <v>281</v>
          </cell>
          <cell r="Z396">
            <v>145</v>
          </cell>
          <cell r="AA396">
            <v>426</v>
          </cell>
          <cell r="AB396">
            <v>125</v>
          </cell>
          <cell r="AC396">
            <v>551</v>
          </cell>
          <cell r="AD396">
            <v>108</v>
          </cell>
          <cell r="AE396">
            <v>190</v>
          </cell>
          <cell r="AF396">
            <v>298</v>
          </cell>
          <cell r="AG396">
            <v>154</v>
          </cell>
          <cell r="AH396">
            <v>452</v>
          </cell>
          <cell r="AI396">
            <v>130</v>
          </cell>
          <cell r="AJ396">
            <v>582</v>
          </cell>
          <cell r="AK396">
            <v>158</v>
          </cell>
          <cell r="AL396">
            <v>167</v>
          </cell>
          <cell r="AM396">
            <v>325</v>
          </cell>
          <cell r="AN396">
            <v>175</v>
          </cell>
          <cell r="AO396">
            <v>500</v>
          </cell>
          <cell r="AP396">
            <v>208</v>
          </cell>
          <cell r="AQ396">
            <v>708</v>
          </cell>
          <cell r="AR396">
            <v>146</v>
          </cell>
          <cell r="AS396">
            <v>160</v>
          </cell>
          <cell r="AT396">
            <v>306</v>
          </cell>
          <cell r="AU396">
            <v>177</v>
          </cell>
          <cell r="AV396">
            <v>483</v>
          </cell>
          <cell r="AW396">
            <v>170</v>
          </cell>
          <cell r="AX396">
            <v>653</v>
          </cell>
          <cell r="AY396">
            <v>156</v>
          </cell>
          <cell r="AZ396">
            <v>187</v>
          </cell>
          <cell r="BA396">
            <v>343</v>
          </cell>
          <cell r="BB396">
            <v>196</v>
          </cell>
          <cell r="BC396">
            <v>539</v>
          </cell>
          <cell r="BD396">
            <v>196</v>
          </cell>
          <cell r="BE396">
            <v>735</v>
          </cell>
          <cell r="BF396">
            <v>98</v>
          </cell>
          <cell r="BG396">
            <v>148</v>
          </cell>
          <cell r="BH396">
            <v>246</v>
          </cell>
          <cell r="CO396">
            <v>0.1</v>
          </cell>
          <cell r="DA396">
            <v>1.4561403508771931</v>
          </cell>
          <cell r="DB396">
            <v>1.1363636363636362</v>
          </cell>
          <cell r="DC396">
            <v>1.1641791044776117</v>
          </cell>
          <cell r="DD396">
            <v>-0.08</v>
          </cell>
          <cell r="DE396">
            <v>1.1111111111111112</v>
          </cell>
          <cell r="DF396">
            <v>-0.08</v>
          </cell>
          <cell r="DG396">
            <v>0</v>
          </cell>
          <cell r="DH396">
            <v>0</v>
          </cell>
          <cell r="DI396">
            <v>0</v>
          </cell>
          <cell r="DJ396">
            <v>0</v>
          </cell>
          <cell r="DK396">
            <v>0</v>
          </cell>
        </row>
        <row r="397">
          <cell r="P397">
            <v>0.62857142857142856</v>
          </cell>
          <cell r="Q397">
            <v>1.0625</v>
          </cell>
          <cell r="R397">
            <v>0.83582089552238803</v>
          </cell>
          <cell r="S397">
            <v>0.86111111111111116</v>
          </cell>
          <cell r="T397">
            <v>0.84466019417475735</v>
          </cell>
          <cell r="U397">
            <v>0.65116279069767447</v>
          </cell>
          <cell r="V397">
            <v>0.78767123287671237</v>
          </cell>
          <cell r="W397">
            <v>1.4561403508771931</v>
          </cell>
          <cell r="X397">
            <v>1.1363636363636362</v>
          </cell>
          <cell r="Y397">
            <v>1.2845528455284554</v>
          </cell>
          <cell r="Z397">
            <v>1.1641791044776117</v>
          </cell>
          <cell r="AA397">
            <v>1.2421052631578946</v>
          </cell>
          <cell r="AB397">
            <v>0.76056338028169024</v>
          </cell>
          <cell r="AC397">
            <v>1.1111111111111112</v>
          </cell>
          <cell r="AD397">
            <v>-0.22857142857142854</v>
          </cell>
          <cell r="AE397">
            <v>0.34751773049645385</v>
          </cell>
          <cell r="AF397">
            <v>6.0498220640569311E-2</v>
          </cell>
          <cell r="AG397">
            <v>6.2068965517241281E-2</v>
          </cell>
          <cell r="AH397">
            <v>6.1032863849765251E-2</v>
          </cell>
          <cell r="AI397">
            <v>4.0000000000000036E-2</v>
          </cell>
          <cell r="AJ397">
            <v>5.6261343012704135E-2</v>
          </cell>
          <cell r="AK397">
            <v>0.46296296296296302</v>
          </cell>
          <cell r="AL397">
            <v>-0.12105263157894741</v>
          </cell>
          <cell r="AN397">
            <v>0.13636363636363646</v>
          </cell>
          <cell r="AP397">
            <v>0.60000000000000009</v>
          </cell>
          <cell r="AQ397">
            <v>0.21649484536082464</v>
          </cell>
          <cell r="AR397">
            <v>-7.5949367088607556E-2</v>
          </cell>
          <cell r="AS397">
            <v>-4.1916167664670656E-2</v>
          </cell>
          <cell r="AU397">
            <v>1.1428571428571344E-2</v>
          </cell>
          <cell r="AW397">
            <v>-0.18269230769230771</v>
          </cell>
          <cell r="AX397">
            <v>-7.7683615819209018E-2</v>
          </cell>
          <cell r="AY397">
            <v>6.8493150684931559E-2</v>
          </cell>
          <cell r="AZ397">
            <v>0.16874999999999996</v>
          </cell>
          <cell r="BA397">
            <v>0.12091503267973858</v>
          </cell>
          <cell r="BB397">
            <v>0.10734463276836159</v>
          </cell>
          <cell r="BC397">
            <v>0.11594202898550732</v>
          </cell>
          <cell r="BD397">
            <v>0.15294117647058814</v>
          </cell>
          <cell r="BE397">
            <v>0.12557427258805509</v>
          </cell>
          <cell r="BF397">
            <v>-0.37179487179487181</v>
          </cell>
          <cell r="BG397">
            <v>-0.20855614973262027</v>
          </cell>
          <cell r="BH397">
            <v>-0.28279883381924198</v>
          </cell>
        </row>
        <row r="398">
          <cell r="A398" t="str">
            <v>Infectious / Immunology</v>
          </cell>
          <cell r="B398">
            <v>311</v>
          </cell>
          <cell r="C398">
            <v>316</v>
          </cell>
          <cell r="D398">
            <v>627</v>
          </cell>
          <cell r="E398">
            <v>307</v>
          </cell>
          <cell r="F398">
            <v>934</v>
          </cell>
          <cell r="G398">
            <v>332</v>
          </cell>
          <cell r="H398">
            <v>2777</v>
          </cell>
          <cell r="I398">
            <v>672</v>
          </cell>
          <cell r="J398">
            <v>713</v>
          </cell>
          <cell r="K398">
            <v>1385</v>
          </cell>
          <cell r="L398">
            <v>717</v>
          </cell>
          <cell r="M398">
            <v>2102</v>
          </cell>
          <cell r="N398">
            <v>654</v>
          </cell>
          <cell r="O398">
            <v>2756</v>
          </cell>
          <cell r="P398">
            <v>585</v>
          </cell>
          <cell r="Q398">
            <v>709</v>
          </cell>
          <cell r="R398">
            <v>1294</v>
          </cell>
          <cell r="S398">
            <v>690</v>
          </cell>
          <cell r="T398">
            <v>1984</v>
          </cell>
          <cell r="U398">
            <v>675</v>
          </cell>
          <cell r="V398">
            <v>2659</v>
          </cell>
          <cell r="W398">
            <v>782</v>
          </cell>
          <cell r="X398">
            <v>831</v>
          </cell>
          <cell r="Y398">
            <v>1613</v>
          </cell>
          <cell r="Z398">
            <v>708</v>
          </cell>
          <cell r="AA398">
            <v>2321</v>
          </cell>
          <cell r="AB398">
            <v>672</v>
          </cell>
          <cell r="AC398">
            <v>2993</v>
          </cell>
          <cell r="AD398">
            <v>668</v>
          </cell>
          <cell r="AE398">
            <v>822</v>
          </cell>
          <cell r="AF398">
            <v>1490</v>
          </cell>
          <cell r="AG398">
            <v>752</v>
          </cell>
          <cell r="AH398">
            <v>2242</v>
          </cell>
          <cell r="AI398">
            <v>712</v>
          </cell>
          <cell r="AJ398">
            <v>2954</v>
          </cell>
          <cell r="AK398">
            <v>668</v>
          </cell>
          <cell r="AL398">
            <v>751</v>
          </cell>
          <cell r="AM398">
            <v>1419</v>
          </cell>
          <cell r="AN398">
            <v>787</v>
          </cell>
          <cell r="AO398">
            <v>2206</v>
          </cell>
          <cell r="AP398">
            <v>829</v>
          </cell>
          <cell r="AQ398">
            <v>3035</v>
          </cell>
          <cell r="AR398">
            <v>747</v>
          </cell>
          <cell r="AS398">
            <v>799</v>
          </cell>
          <cell r="AT398">
            <v>1546</v>
          </cell>
          <cell r="AU398">
            <v>824</v>
          </cell>
          <cell r="AV398">
            <v>2370</v>
          </cell>
          <cell r="AW398">
            <v>877</v>
          </cell>
          <cell r="AX398">
            <v>3247</v>
          </cell>
          <cell r="AY398">
            <v>819</v>
          </cell>
          <cell r="AZ398">
            <v>898</v>
          </cell>
          <cell r="BA398">
            <v>1717</v>
          </cell>
          <cell r="BB398">
            <v>856</v>
          </cell>
          <cell r="BC398">
            <v>2573</v>
          </cell>
          <cell r="BD398">
            <v>899</v>
          </cell>
          <cell r="BE398">
            <v>3472</v>
          </cell>
          <cell r="BF398">
            <v>775</v>
          </cell>
          <cell r="BG398">
            <v>1214</v>
          </cell>
          <cell r="BH398">
            <v>1989</v>
          </cell>
          <cell r="CQ398">
            <v>1.1607717041800645</v>
          </cell>
          <cell r="CR398">
            <v>1.2563291139240507</v>
          </cell>
          <cell r="CS398">
            <v>1.3355048859934855</v>
          </cell>
          <cell r="CT398">
            <v>0.96987951807228923</v>
          </cell>
          <cell r="CU398">
            <v>-7.5621173928700491E-3</v>
          </cell>
          <cell r="CV398">
            <v>-0.1294642857142857</v>
          </cell>
          <cell r="CW398">
            <v>-5.6100981767180924E-3</v>
          </cell>
          <cell r="CX398">
            <v>-3.7656903765690419E-2</v>
          </cell>
          <cell r="CY398">
            <v>3.2110091743119185E-2</v>
          </cell>
          <cell r="CZ398">
            <v>-3.5195936139332362E-2</v>
          </cell>
          <cell r="DA398">
            <v>0.33675213675213667</v>
          </cell>
          <cell r="DB398">
            <v>0.17207334273624819</v>
          </cell>
          <cell r="DC398">
            <v>2.6086956521739202E-2</v>
          </cell>
        </row>
        <row r="399">
          <cell r="BF399">
            <v>-5.3724053724053755E-2</v>
          </cell>
          <cell r="BG399">
            <v>0.35189309576837413</v>
          </cell>
          <cell r="BH399">
            <v>0.15841584158415833</v>
          </cell>
        </row>
        <row r="400">
          <cell r="A400" t="str">
            <v>Enablex</v>
          </cell>
          <cell r="I400">
            <v>0</v>
          </cell>
          <cell r="J400">
            <v>0</v>
          </cell>
          <cell r="K400">
            <v>0</v>
          </cell>
          <cell r="L400">
            <v>0</v>
          </cell>
          <cell r="M400">
            <v>0</v>
          </cell>
          <cell r="N400">
            <v>15</v>
          </cell>
          <cell r="O400">
            <v>15</v>
          </cell>
          <cell r="P400">
            <v>21</v>
          </cell>
          <cell r="Q400">
            <v>26</v>
          </cell>
          <cell r="R400">
            <v>47</v>
          </cell>
          <cell r="S400">
            <v>31</v>
          </cell>
          <cell r="T400">
            <v>78</v>
          </cell>
          <cell r="U400">
            <v>35</v>
          </cell>
          <cell r="V400">
            <v>113</v>
          </cell>
          <cell r="W400">
            <v>38</v>
          </cell>
          <cell r="X400">
            <v>43</v>
          </cell>
          <cell r="Y400">
            <v>81</v>
          </cell>
          <cell r="Z400">
            <v>47</v>
          </cell>
          <cell r="AA400">
            <v>128</v>
          </cell>
          <cell r="AB400">
            <v>51</v>
          </cell>
          <cell r="AC400">
            <v>179</v>
          </cell>
          <cell r="AD400">
            <v>46</v>
          </cell>
          <cell r="AE400">
            <v>49</v>
          </cell>
          <cell r="AF400">
            <v>95</v>
          </cell>
          <cell r="AG400">
            <v>54</v>
          </cell>
          <cell r="AH400">
            <v>149</v>
          </cell>
          <cell r="AI400">
            <v>52</v>
          </cell>
          <cell r="AJ400">
            <v>201</v>
          </cell>
          <cell r="AK400">
            <v>52</v>
          </cell>
          <cell r="AL400">
            <v>55</v>
          </cell>
          <cell r="AM400">
            <v>107</v>
          </cell>
          <cell r="AN400">
            <v>57</v>
          </cell>
          <cell r="AO400">
            <v>164</v>
          </cell>
          <cell r="AP400">
            <v>59</v>
          </cell>
          <cell r="AQ400">
            <v>223</v>
          </cell>
          <cell r="AR400">
            <v>60</v>
          </cell>
          <cell r="AS400">
            <v>58</v>
          </cell>
          <cell r="AT400">
            <v>118</v>
          </cell>
          <cell r="AU400">
            <v>59</v>
          </cell>
          <cell r="AV400">
            <v>177</v>
          </cell>
          <cell r="AW400">
            <v>61</v>
          </cell>
          <cell r="AX400">
            <v>238</v>
          </cell>
          <cell r="BH400">
            <v>0</v>
          </cell>
          <cell r="CO400">
            <v>0.1</v>
          </cell>
          <cell r="CY400">
            <v>1.3333333333333335</v>
          </cell>
          <cell r="CZ400">
            <v>6.5333333333333332</v>
          </cell>
          <cell r="DA400">
            <v>0.80952380952380953</v>
          </cell>
          <cell r="DB400">
            <v>0.65384615384615374</v>
          </cell>
          <cell r="DC400">
            <v>0.5161290322580645</v>
          </cell>
          <cell r="DD400">
            <v>0.4</v>
          </cell>
          <cell r="DE400">
            <v>0.58407079646017701</v>
          </cell>
          <cell r="DF400">
            <v>0.25</v>
          </cell>
          <cell r="DG400">
            <v>0.1</v>
          </cell>
          <cell r="DH400">
            <v>0.08</v>
          </cell>
          <cell r="DI400">
            <v>0.05</v>
          </cell>
          <cell r="DJ400">
            <v>0.05</v>
          </cell>
          <cell r="DK400">
            <v>0.05</v>
          </cell>
        </row>
        <row r="401">
          <cell r="P401" t="e">
            <v>#DIV/0!</v>
          </cell>
          <cell r="Q401" t="e">
            <v>#DIV/0!</v>
          </cell>
          <cell r="R401" t="e">
            <v>#DIV/0!</v>
          </cell>
          <cell r="S401" t="e">
            <v>#DIV/0!</v>
          </cell>
          <cell r="T401" t="e">
            <v>#DIV/0!</v>
          </cell>
          <cell r="U401">
            <v>1.3333333333333335</v>
          </cell>
          <cell r="V401">
            <v>6.5333333333333332</v>
          </cell>
          <cell r="W401">
            <v>0.80952380952380953</v>
          </cell>
          <cell r="X401">
            <v>0.65384615384615374</v>
          </cell>
          <cell r="Y401">
            <v>0.72340425531914887</v>
          </cell>
          <cell r="Z401">
            <v>0.5161290322580645</v>
          </cell>
          <cell r="AA401">
            <v>0.64102564102564097</v>
          </cell>
          <cell r="AB401">
            <v>0.45714285714285707</v>
          </cell>
          <cell r="AC401">
            <v>0.58407079646017701</v>
          </cell>
          <cell r="AD401">
            <v>0.21052631578947367</v>
          </cell>
          <cell r="AE401">
            <v>0.13953488372093026</v>
          </cell>
          <cell r="AF401">
            <v>0.17283950617283961</v>
          </cell>
          <cell r="AG401">
            <v>0.14893617021276606</v>
          </cell>
          <cell r="AH401">
            <v>0.1640625</v>
          </cell>
          <cell r="AI401">
            <v>1.9607843137254832E-2</v>
          </cell>
          <cell r="AJ401">
            <v>3.143363197894522E-2</v>
          </cell>
          <cell r="AK401">
            <v>0.14645787513903807</v>
          </cell>
          <cell r="AL401">
            <v>0.1562398176184715</v>
          </cell>
          <cell r="AN401">
            <v>2.0797039276851281E-2</v>
          </cell>
          <cell r="AP401">
            <v>4.7696210758466417E-2</v>
          </cell>
          <cell r="AQ401">
            <v>0.10945273631840791</v>
          </cell>
          <cell r="AR401">
            <v>8.3846153846153681E-2</v>
          </cell>
          <cell r="AS401">
            <v>5.829724280702353E-2</v>
          </cell>
          <cell r="AU401">
            <v>3.3492063873913569E-2</v>
          </cell>
          <cell r="AW401">
            <v>2.4704079833568926E-2</v>
          </cell>
          <cell r="AX401">
            <v>6.7264573991031362E-2</v>
          </cell>
        </row>
        <row r="403">
          <cell r="A403" t="str">
            <v>New Pipeline Products</v>
          </cell>
          <cell r="B403">
            <v>0</v>
          </cell>
          <cell r="C403">
            <v>0</v>
          </cell>
          <cell r="D403">
            <v>0</v>
          </cell>
          <cell r="E403">
            <v>0</v>
          </cell>
          <cell r="F403">
            <v>0</v>
          </cell>
          <cell r="G403">
            <v>0</v>
          </cell>
          <cell r="H403">
            <v>0</v>
          </cell>
          <cell r="W403">
            <v>0</v>
          </cell>
          <cell r="X403">
            <v>0</v>
          </cell>
          <cell r="Y403">
            <v>0</v>
          </cell>
          <cell r="Z403">
            <v>0</v>
          </cell>
          <cell r="AA403">
            <v>0</v>
          </cell>
          <cell r="AB403">
            <v>0</v>
          </cell>
          <cell r="AM403">
            <v>0</v>
          </cell>
          <cell r="AO403">
            <v>0</v>
          </cell>
          <cell r="CM403">
            <v>0</v>
          </cell>
          <cell r="CO403">
            <v>0.15</v>
          </cell>
          <cell r="DG403" t="e">
            <v>#DIV/0!</v>
          </cell>
          <cell r="DH403" t="e">
            <v>#DIV/0!</v>
          </cell>
          <cell r="DI403" t="e">
            <v>#DIV/0!</v>
          </cell>
          <cell r="DJ403" t="e">
            <v>#DIV/0!</v>
          </cell>
          <cell r="DK403" t="e">
            <v>#DIV/0!</v>
          </cell>
        </row>
        <row r="404">
          <cell r="A404" t="str">
            <v>Cardiovascular</v>
          </cell>
        </row>
        <row r="405">
          <cell r="A405" t="str">
            <v>RLX030 (Serelaxin)</v>
          </cell>
          <cell r="BW405">
            <v>20</v>
          </cell>
          <cell r="BX405">
            <v>20</v>
          </cell>
          <cell r="BY405">
            <v>30</v>
          </cell>
          <cell r="BZ405">
            <v>50</v>
          </cell>
          <cell r="CA405">
            <v>125</v>
          </cell>
          <cell r="CB405">
            <v>187.5</v>
          </cell>
          <cell r="CC405">
            <v>562.5</v>
          </cell>
          <cell r="CD405">
            <v>1125</v>
          </cell>
          <cell r="CE405">
            <v>1687.5</v>
          </cell>
          <cell r="CF405">
            <v>2109.375</v>
          </cell>
          <cell r="CG405">
            <v>2320.3125</v>
          </cell>
          <cell r="CH405">
            <v>2413.125</v>
          </cell>
          <cell r="CI405">
            <v>2509.6500000000005</v>
          </cell>
          <cell r="CJ405">
            <v>2610.0360000000005</v>
          </cell>
        </row>
        <row r="406">
          <cell r="A406" t="str">
            <v>CER growth</v>
          </cell>
          <cell r="CA406">
            <v>1.5</v>
          </cell>
          <cell r="CB406">
            <v>0.5</v>
          </cell>
          <cell r="CC406">
            <v>2</v>
          </cell>
          <cell r="CD406">
            <v>1</v>
          </cell>
          <cell r="CE406">
            <v>0.5</v>
          </cell>
          <cell r="CF406">
            <v>0.25</v>
          </cell>
          <cell r="CG406">
            <v>0.1</v>
          </cell>
          <cell r="CH406">
            <v>0.04</v>
          </cell>
          <cell r="CI406">
            <v>4.0000000000000258E-2</v>
          </cell>
          <cell r="CJ406">
            <v>0.04</v>
          </cell>
        </row>
        <row r="407">
          <cell r="A407" t="str">
            <v>Oncology/Hematology</v>
          </cell>
        </row>
        <row r="408">
          <cell r="A408" t="str">
            <v>LBH589 (Panobinostat)</v>
          </cell>
          <cell r="BY408">
            <v>50</v>
          </cell>
          <cell r="BZ408">
            <v>50</v>
          </cell>
          <cell r="CA408">
            <v>150</v>
          </cell>
          <cell r="CB408">
            <v>300</v>
          </cell>
          <cell r="CC408">
            <v>450</v>
          </cell>
          <cell r="CD408">
            <v>500</v>
          </cell>
          <cell r="CE408">
            <v>525</v>
          </cell>
          <cell r="CF408">
            <v>551.25</v>
          </cell>
          <cell r="CG408">
            <v>573.29999999999995</v>
          </cell>
          <cell r="CH408">
            <v>596.23200000000008</v>
          </cell>
          <cell r="CI408">
            <v>620.08128000000011</v>
          </cell>
          <cell r="CJ408">
            <v>644.88453120000008</v>
          </cell>
        </row>
        <row r="409">
          <cell r="A409" t="str">
            <v>CER growth</v>
          </cell>
          <cell r="CA409">
            <v>2</v>
          </cell>
          <cell r="CB409">
            <v>1</v>
          </cell>
          <cell r="CC409">
            <v>0.5</v>
          </cell>
          <cell r="CD409">
            <v>0.11111111111111116</v>
          </cell>
          <cell r="CE409">
            <v>0.05</v>
          </cell>
          <cell r="CF409">
            <v>0.05</v>
          </cell>
          <cell r="CG409">
            <v>3.9999999999999813E-2</v>
          </cell>
          <cell r="CH409">
            <v>4.0000000000000258E-2</v>
          </cell>
          <cell r="CI409">
            <v>0.04</v>
          </cell>
          <cell r="CJ409">
            <v>0.04</v>
          </cell>
        </row>
        <row r="410">
          <cell r="A410" t="str">
            <v>LDE225 (sonidegib)</v>
          </cell>
          <cell r="BZ410">
            <v>0</v>
          </cell>
          <cell r="CA410">
            <v>50</v>
          </cell>
          <cell r="CB410">
            <v>150</v>
          </cell>
          <cell r="CC410">
            <v>300</v>
          </cell>
          <cell r="CD410">
            <v>450</v>
          </cell>
          <cell r="CE410">
            <v>500</v>
          </cell>
          <cell r="CF410">
            <v>525</v>
          </cell>
          <cell r="CG410">
            <v>546</v>
          </cell>
          <cell r="CH410">
            <v>567.84</v>
          </cell>
          <cell r="CI410">
            <v>590.55360000000007</v>
          </cell>
          <cell r="CJ410">
            <v>614.17574400000012</v>
          </cell>
        </row>
        <row r="411">
          <cell r="A411" t="str">
            <v>CER growth</v>
          </cell>
          <cell r="CB411">
            <v>2</v>
          </cell>
          <cell r="CC411">
            <v>1</v>
          </cell>
          <cell r="CD411">
            <v>0.5</v>
          </cell>
          <cell r="CE411">
            <v>0.11111111111111116</v>
          </cell>
          <cell r="CF411">
            <v>0.05</v>
          </cell>
          <cell r="CG411">
            <v>0.04</v>
          </cell>
          <cell r="CH411">
            <v>0.04</v>
          </cell>
          <cell r="CI411">
            <v>0.04</v>
          </cell>
          <cell r="CJ411">
            <v>0.04</v>
          </cell>
        </row>
        <row r="412">
          <cell r="A412" t="str">
            <v>Inflammation/Transplantation</v>
          </cell>
        </row>
        <row r="413">
          <cell r="A413" t="str">
            <v>AIN457 (secukinumab)</v>
          </cell>
          <cell r="BW413">
            <v>50</v>
          </cell>
          <cell r="BX413">
            <v>50</v>
          </cell>
          <cell r="BY413">
            <v>100</v>
          </cell>
          <cell r="BZ413">
            <v>150</v>
          </cell>
          <cell r="CA413">
            <v>450</v>
          </cell>
          <cell r="CB413">
            <v>900</v>
          </cell>
          <cell r="CC413">
            <v>1350</v>
          </cell>
          <cell r="CD413">
            <v>1500</v>
          </cell>
          <cell r="CE413">
            <v>1575</v>
          </cell>
          <cell r="CF413">
            <v>1653.75</v>
          </cell>
          <cell r="CG413">
            <v>1719.9</v>
          </cell>
          <cell r="CH413">
            <v>1788.6960000000001</v>
          </cell>
          <cell r="CI413">
            <v>1860.2438400000003</v>
          </cell>
          <cell r="CJ413">
            <v>1934.6535936000005</v>
          </cell>
        </row>
        <row r="414">
          <cell r="A414" t="str">
            <v>CER growth</v>
          </cell>
          <cell r="CA414">
            <v>2</v>
          </cell>
          <cell r="CB414">
            <v>1</v>
          </cell>
          <cell r="CC414">
            <v>0.5</v>
          </cell>
          <cell r="CD414">
            <v>0.11111111111111116</v>
          </cell>
          <cell r="CE414">
            <v>0.05</v>
          </cell>
          <cell r="CF414">
            <v>0.05</v>
          </cell>
          <cell r="CG414">
            <v>0.04</v>
          </cell>
          <cell r="CH414">
            <v>0.04</v>
          </cell>
          <cell r="CI414">
            <v>0.04</v>
          </cell>
          <cell r="CJ414">
            <v>0.04</v>
          </cell>
        </row>
        <row r="415">
          <cell r="A415" t="str">
            <v>Total New Pipeline Products</v>
          </cell>
          <cell r="BW415">
            <v>70</v>
          </cell>
          <cell r="BX415">
            <v>70</v>
          </cell>
          <cell r="BY415">
            <v>180</v>
          </cell>
          <cell r="BZ415">
            <v>250</v>
          </cell>
          <cell r="CA415">
            <v>775</v>
          </cell>
          <cell r="CB415">
            <v>1537.5</v>
          </cell>
          <cell r="CC415">
            <v>2662.5</v>
          </cell>
          <cell r="CD415">
            <v>3575</v>
          </cell>
          <cell r="CE415">
            <v>4287.5</v>
          </cell>
          <cell r="CF415">
            <v>4839.375</v>
          </cell>
          <cell r="CG415">
            <v>5159.5125000000007</v>
          </cell>
          <cell r="CH415">
            <v>5365.893</v>
          </cell>
          <cell r="CI415">
            <v>5580.5287200000012</v>
          </cell>
          <cell r="CJ415">
            <v>5803.7498688000014</v>
          </cell>
        </row>
        <row r="416">
          <cell r="A416" t="str">
            <v xml:space="preserve">   growth %</v>
          </cell>
          <cell r="CA416">
            <v>2.1</v>
          </cell>
          <cell r="CB416">
            <v>0.9838709677419355</v>
          </cell>
          <cell r="CC416">
            <v>0.73170731707317072</v>
          </cell>
          <cell r="CD416">
            <v>0.34272300469483574</v>
          </cell>
          <cell r="CE416">
            <v>0.19930069930069938</v>
          </cell>
          <cell r="CF416">
            <v>0.12871720116618079</v>
          </cell>
          <cell r="CG416">
            <v>6.6152654010073864E-2</v>
          </cell>
          <cell r="CH416">
            <v>3.9999999999999813E-2</v>
          </cell>
          <cell r="CI416">
            <v>4.0000000000000258E-2</v>
          </cell>
          <cell r="CJ416">
            <v>4.0000000000000036E-2</v>
          </cell>
        </row>
        <row r="417">
          <cell r="A417" t="str">
            <v>Check</v>
          </cell>
          <cell r="BZ417">
            <v>0</v>
          </cell>
          <cell r="CA417">
            <v>0</v>
          </cell>
          <cell r="CB417">
            <v>0</v>
          </cell>
          <cell r="CC417">
            <v>0</v>
          </cell>
          <cell r="CD417">
            <v>0</v>
          </cell>
          <cell r="CE417">
            <v>0</v>
          </cell>
          <cell r="CF417">
            <v>0</v>
          </cell>
          <cell r="CG417">
            <v>0</v>
          </cell>
          <cell r="CH417">
            <v>0</v>
          </cell>
          <cell r="CI417">
            <v>0</v>
          </cell>
          <cell r="CJ417">
            <v>0</v>
          </cell>
        </row>
        <row r="418">
          <cell r="A418" t="str">
            <v>Total Pharmaceuticals</v>
          </cell>
          <cell r="B418">
            <v>4310</v>
          </cell>
          <cell r="C418">
            <v>4572</v>
          </cell>
          <cell r="D418">
            <v>8882</v>
          </cell>
          <cell r="E418">
            <v>4646</v>
          </cell>
          <cell r="F418">
            <v>13528</v>
          </cell>
          <cell r="G418">
            <v>4969</v>
          </cell>
          <cell r="H418">
            <v>18497</v>
          </cell>
          <cell r="I418">
            <v>4789</v>
          </cell>
          <cell r="J418">
            <v>5132</v>
          </cell>
          <cell r="K418">
            <v>9921</v>
          </cell>
          <cell r="L418">
            <v>5093</v>
          </cell>
          <cell r="M418">
            <v>15014</v>
          </cell>
          <cell r="N418">
            <v>5248</v>
          </cell>
          <cell r="O418">
            <v>20262</v>
          </cell>
          <cell r="P418">
            <v>5052</v>
          </cell>
          <cell r="Q418">
            <v>5699</v>
          </cell>
          <cell r="R418">
            <v>10751</v>
          </cell>
          <cell r="S418">
            <v>5776</v>
          </cell>
          <cell r="T418">
            <v>16527</v>
          </cell>
          <cell r="U418">
            <v>6049</v>
          </cell>
          <cell r="V418">
            <v>22576</v>
          </cell>
          <cell r="W418">
            <v>5923</v>
          </cell>
          <cell r="X418">
            <v>6065</v>
          </cell>
          <cell r="Y418">
            <v>11988</v>
          </cell>
          <cell r="Z418">
            <v>5885</v>
          </cell>
          <cell r="AA418">
            <v>17873</v>
          </cell>
          <cell r="AB418">
            <v>6152</v>
          </cell>
          <cell r="AC418">
            <v>24025</v>
          </cell>
          <cell r="AD418">
            <v>6264</v>
          </cell>
          <cell r="AE418">
            <v>6928</v>
          </cell>
          <cell r="AF418">
            <v>13192</v>
          </cell>
          <cell r="AG418">
            <v>6723</v>
          </cell>
          <cell r="AH418">
            <v>19915</v>
          </cell>
          <cell r="AI418">
            <v>6430</v>
          </cell>
          <cell r="AJ418">
            <v>26331</v>
          </cell>
          <cell r="AK418">
            <v>6433</v>
          </cell>
          <cell r="AL418">
            <v>7115</v>
          </cell>
          <cell r="AM418">
            <v>13548</v>
          </cell>
          <cell r="AN418">
            <v>7217</v>
          </cell>
          <cell r="AO418">
            <v>20765</v>
          </cell>
          <cell r="AP418">
            <v>7773</v>
          </cell>
          <cell r="AQ418">
            <v>28538</v>
          </cell>
          <cell r="AR418">
            <v>7227</v>
          </cell>
          <cell r="AS418">
            <v>7609</v>
          </cell>
          <cell r="AT418">
            <v>14836</v>
          </cell>
          <cell r="AU418">
            <v>7500</v>
          </cell>
          <cell r="AV418">
            <v>22336</v>
          </cell>
          <cell r="AW418">
            <v>7970</v>
          </cell>
          <cell r="AX418">
            <v>30306</v>
          </cell>
          <cell r="AY418">
            <v>7697.6</v>
          </cell>
          <cell r="AZ418">
            <v>8338.4</v>
          </cell>
          <cell r="BA418">
            <v>16036</v>
          </cell>
          <cell r="BB418">
            <v>8159</v>
          </cell>
          <cell r="BC418">
            <v>24195</v>
          </cell>
          <cell r="BD418">
            <v>8313</v>
          </cell>
          <cell r="BE418">
            <v>32508</v>
          </cell>
          <cell r="BF418">
            <v>7839</v>
          </cell>
          <cell r="BG418">
            <v>8255</v>
          </cell>
          <cell r="BH418">
            <v>16094</v>
          </cell>
          <cell r="BI418">
            <v>7783</v>
          </cell>
          <cell r="BJ418">
            <v>23877</v>
          </cell>
          <cell r="BK418">
            <v>8276</v>
          </cell>
          <cell r="BL418">
            <v>32153</v>
          </cell>
          <cell r="BM418">
            <v>7877</v>
          </cell>
          <cell r="BN418">
            <v>8121</v>
          </cell>
          <cell r="BO418">
            <v>15998</v>
          </cell>
          <cell r="BP418">
            <v>7893</v>
          </cell>
          <cell r="BQ418">
            <v>23891</v>
          </cell>
          <cell r="BR418">
            <v>8323</v>
          </cell>
          <cell r="BS418">
            <v>32214</v>
          </cell>
          <cell r="BT418">
            <v>7946.1056031591779</v>
          </cell>
          <cell r="BU418">
            <v>8292.6691569126178</v>
          </cell>
          <cell r="BV418">
            <v>16238.774760071796</v>
          </cell>
          <cell r="BW418">
            <v>7807.7471748603803</v>
          </cell>
          <cell r="BX418">
            <v>24046.521934932174</v>
          </cell>
          <cell r="BY418">
            <v>8264.2414037874169</v>
          </cell>
          <cell r="BZ418">
            <v>32310.763338719593</v>
          </cell>
          <cell r="CA418">
            <v>31796.384602214392</v>
          </cell>
          <cell r="CB418">
            <v>32055.757729844558</v>
          </cell>
          <cell r="CC418">
            <v>32585.779631411369</v>
          </cell>
          <cell r="CD418">
            <v>33334.766939508059</v>
          </cell>
          <cell r="CE418">
            <v>31920.090512483563</v>
          </cell>
          <cell r="CF418">
            <v>31035.199427676525</v>
          </cell>
          <cell r="CG418">
            <v>29356.5389483445</v>
          </cell>
          <cell r="CH418">
            <v>27616.968300824949</v>
          </cell>
          <cell r="CI418">
            <v>26577.31313274258</v>
          </cell>
          <cell r="CJ418">
            <v>23951.194677668278</v>
          </cell>
          <cell r="CM418">
            <v>0.3573901950063787</v>
          </cell>
          <cell r="CU418">
            <v>9.5420879061469455E-2</v>
          </cell>
          <cell r="CV418">
            <v>5.491751931509703E-2</v>
          </cell>
          <cell r="CW418">
            <v>0.11048324240062346</v>
          </cell>
          <cell r="CX418">
            <v>0.13410563518554874</v>
          </cell>
          <cell r="CZ418">
            <v>0.114203928536176</v>
          </cell>
          <cell r="DA418">
            <v>0.17240696753760876</v>
          </cell>
          <cell r="DB418">
            <v>6.4221793297069674E-2</v>
          </cell>
          <cell r="DC418">
            <v>1.8871191135733989E-2</v>
          </cell>
          <cell r="DD418">
            <v>1.7027607869069206E-2</v>
          </cell>
          <cell r="DE418">
            <v>6.4183203401842581E-2</v>
          </cell>
          <cell r="DF418">
            <v>9.5983350676378754E-2</v>
          </cell>
          <cell r="DG418">
            <v>8.3817553454103466E-2</v>
          </cell>
          <cell r="DH418">
            <v>6.1952484406755826E-2</v>
          </cell>
          <cell r="DI418">
            <v>7.265887942981597E-2</v>
          </cell>
          <cell r="DJ418">
            <v>-1.0920388827365568E-2</v>
          </cell>
          <cell r="DK418">
            <v>1.8971791123689741E-3</v>
          </cell>
        </row>
        <row r="419">
          <cell r="A419" t="str">
            <v xml:space="preserve">   growth </v>
          </cell>
          <cell r="O419">
            <v>9.5420879061469455E-2</v>
          </cell>
          <cell r="P419">
            <v>5.491751931509703E-2</v>
          </cell>
          <cell r="Q419">
            <v>0.11048324240062346</v>
          </cell>
          <cell r="R419">
            <v>8.3660921278096989E-2</v>
          </cell>
          <cell r="S419">
            <v>0.13410563518554874</v>
          </cell>
          <cell r="T419">
            <v>0.10077261222858658</v>
          </cell>
          <cell r="U419">
            <v>0.15262957317073167</v>
          </cell>
          <cell r="V419">
            <v>0.114203928536176</v>
          </cell>
          <cell r="W419">
            <v>0.17240696753760876</v>
          </cell>
          <cell r="X419">
            <v>6.4221793297069674E-2</v>
          </cell>
          <cell r="Y419">
            <v>0.11505906427309087</v>
          </cell>
          <cell r="Z419">
            <v>1.8871191135733989E-2</v>
          </cell>
          <cell r="AA419">
            <v>8.1442488049857875E-2</v>
          </cell>
          <cell r="AB419">
            <v>1.7027607869069206E-2</v>
          </cell>
          <cell r="AC419">
            <v>6.4183203401842581E-2</v>
          </cell>
          <cell r="AD419">
            <v>5.7572176262029373E-2</v>
          </cell>
          <cell r="AE419">
            <v>0.14229183841714765</v>
          </cell>
          <cell r="AF419">
            <v>0.10043376710043384</v>
          </cell>
          <cell r="AG419">
            <v>0.14239592183517424</v>
          </cell>
          <cell r="AH419">
            <v>0.11425054551558222</v>
          </cell>
          <cell r="AI419">
            <v>4.5188556566970073E-2</v>
          </cell>
          <cell r="AJ419">
            <v>9.5983350676378754E-2</v>
          </cell>
          <cell r="AK419">
            <v>2.6979565772669245E-2</v>
          </cell>
          <cell r="AL419">
            <v>2.6991916859122389E-2</v>
          </cell>
          <cell r="AM419">
            <v>2.6986052152819795E-2</v>
          </cell>
          <cell r="AN419">
            <v>7.3479101591551466E-2</v>
          </cell>
          <cell r="AO419">
            <v>4.2681395932714139E-2</v>
          </cell>
          <cell r="AP419">
            <v>0.20886469673405905</v>
          </cell>
          <cell r="AQ419">
            <v>8.3817553454103466E-2</v>
          </cell>
          <cell r="AR419">
            <v>0.12342608425307011</v>
          </cell>
          <cell r="AS419">
            <v>6.9430780042164519E-2</v>
          </cell>
          <cell r="AT419">
            <v>9.5069382934750424E-2</v>
          </cell>
          <cell r="AU419">
            <v>3.9212969377857787E-2</v>
          </cell>
          <cell r="AV419">
            <v>7.5656152179147673E-2</v>
          </cell>
          <cell r="AW419">
            <v>2.5344139971696933E-2</v>
          </cell>
          <cell r="AX419">
            <v>6.1952484406755826E-2</v>
          </cell>
          <cell r="AY419">
            <v>6.5116922651169196E-2</v>
          </cell>
          <cell r="AZ419">
            <v>9.5860165593376179E-2</v>
          </cell>
          <cell r="BA419">
            <v>8.0884335400377427E-2</v>
          </cell>
          <cell r="BB419">
            <v>8.786666666666676E-2</v>
          </cell>
          <cell r="BC419">
            <v>8.322886819484232E-2</v>
          </cell>
          <cell r="BD419">
            <v>4.3036386449184505E-2</v>
          </cell>
          <cell r="BE419">
            <v>7.265887942981597E-2</v>
          </cell>
          <cell r="BF419">
            <v>1.8369361879027268E-2</v>
          </cell>
          <cell r="BG419">
            <v>-1.0001918833349333E-2</v>
          </cell>
          <cell r="BH419">
            <v>3.6168620603642676E-3</v>
          </cell>
          <cell r="BI419">
            <v>-4.6084078931241557E-2</v>
          </cell>
          <cell r="BJ419">
            <v>-1.3143211407315558E-2</v>
          </cell>
          <cell r="BK419">
            <v>-4.4508600986407076E-3</v>
          </cell>
          <cell r="BL419">
            <v>-1.0920388827365568E-2</v>
          </cell>
          <cell r="BM419">
            <v>4.8475570863630857E-3</v>
          </cell>
          <cell r="BN419">
            <v>-1.6232586311326513E-2</v>
          </cell>
          <cell r="BO419">
            <v>-5.9649558841804451E-3</v>
          </cell>
          <cell r="BP419">
            <v>1.4133367596042667E-2</v>
          </cell>
          <cell r="BQ419">
            <v>5.8633831720911189E-4</v>
          </cell>
          <cell r="BR419">
            <v>5.6790720154664687E-3</v>
          </cell>
          <cell r="BS419">
            <v>1.8971791123689741E-3</v>
          </cell>
          <cell r="BT419">
            <v>8.7730866013937536E-3</v>
          </cell>
          <cell r="BU419">
            <v>2.1138918472185519E-2</v>
          </cell>
          <cell r="BV419">
            <v>1.5050303792461195E-2</v>
          </cell>
          <cell r="BW419">
            <v>-1.0801067419184074E-2</v>
          </cell>
          <cell r="BX419">
            <v>6.5096452610680089E-3</v>
          </cell>
          <cell r="BY419">
            <v>-7.0597856797528502E-3</v>
          </cell>
          <cell r="BZ419">
            <v>3.0037666455451362E-3</v>
          </cell>
          <cell r="CA419">
            <v>-1.5919733344361919E-2</v>
          </cell>
          <cell r="CB419">
            <v>8.1573150807876527E-3</v>
          </cell>
          <cell r="CC419">
            <v>1.6534374449472145E-2</v>
          </cell>
          <cell r="CD419">
            <v>2.2985097075127081E-2</v>
          </cell>
          <cell r="CE419">
            <v>-4.2438467609258623E-2</v>
          </cell>
          <cell r="CF419">
            <v>-2.7722073170844186E-2</v>
          </cell>
          <cell r="CG419">
            <v>-5.4088921943096446E-2</v>
          </cell>
          <cell r="CH419">
            <v>-5.9256666822355419E-2</v>
          </cell>
          <cell r="CI419">
            <v>-3.7645521288131922E-2</v>
          </cell>
          <cell r="CJ419">
            <v>-9.8810532199321122E-2</v>
          </cell>
        </row>
        <row r="420">
          <cell r="A420" t="str">
            <v xml:space="preserve">   FX</v>
          </cell>
          <cell r="BA420">
            <v>8.0884335400377427E-2</v>
          </cell>
          <cell r="BB420">
            <v>5.7866666666666761E-2</v>
          </cell>
          <cell r="BC420">
            <v>5.3228868194842321E-2</v>
          </cell>
          <cell r="BD420">
            <v>-6.9636135508154978E-3</v>
          </cell>
          <cell r="BE420">
            <v>3.2658879429815969E-2</v>
          </cell>
          <cell r="BF420">
            <v>-1.1630638120972731E-2</v>
          </cell>
          <cell r="BG420">
            <v>-5.0001918833349333E-2</v>
          </cell>
          <cell r="BH420">
            <v>-3.6383137939635733E-2</v>
          </cell>
          <cell r="BI420">
            <v>-4.6084078931241557E-2</v>
          </cell>
          <cell r="BJ420">
            <v>-3.3143211407315562E-2</v>
          </cell>
          <cell r="BK420">
            <v>-0.01</v>
          </cell>
          <cell r="BL420">
            <v>-0.03</v>
          </cell>
          <cell r="BM420">
            <v>-2.5152442913636913E-2</v>
          </cell>
          <cell r="BN420">
            <v>-2.6232586311326515E-2</v>
          </cell>
          <cell r="BO420">
            <v>-2.5964955884180446E-2</v>
          </cell>
          <cell r="BP420">
            <v>-2.5866632403957333E-2</v>
          </cell>
          <cell r="BQ420">
            <v>-2.9413661682790887E-2</v>
          </cell>
          <cell r="BR420">
            <v>-3.4320927984533532E-2</v>
          </cell>
          <cell r="BS420">
            <v>-2.8102820887631025E-2</v>
          </cell>
        </row>
        <row r="421">
          <cell r="A421" t="str">
            <v xml:space="preserve">   Volume</v>
          </cell>
          <cell r="BG421">
            <v>0.09</v>
          </cell>
          <cell r="BH421">
            <v>0.09</v>
          </cell>
          <cell r="BI421">
            <v>0.08</v>
          </cell>
          <cell r="BJ421">
            <v>0.08</v>
          </cell>
          <cell r="BK421">
            <v>0.08</v>
          </cell>
          <cell r="BL421">
            <v>0.08</v>
          </cell>
          <cell r="BM421">
            <v>0.09</v>
          </cell>
          <cell r="BN421">
            <v>0.1</v>
          </cell>
          <cell r="BO421">
            <v>0.1</v>
          </cell>
          <cell r="BP421">
            <v>0.1</v>
          </cell>
          <cell r="BQ421">
            <v>0.09</v>
          </cell>
          <cell r="BR421">
            <v>0.09</v>
          </cell>
          <cell r="BS421">
            <v>0.09</v>
          </cell>
        </row>
        <row r="422">
          <cell r="A422" t="str">
            <v xml:space="preserve">   Price</v>
          </cell>
          <cell r="BG422">
            <v>-0.01</v>
          </cell>
          <cell r="BH422">
            <v>0</v>
          </cell>
          <cell r="BI422">
            <v>-0.01</v>
          </cell>
          <cell r="BJ422">
            <v>-0.01</v>
          </cell>
          <cell r="BK422">
            <v>-0.01</v>
          </cell>
          <cell r="BL422">
            <v>-0.01</v>
          </cell>
          <cell r="BM422">
            <v>0</v>
          </cell>
          <cell r="BN422">
            <v>0</v>
          </cell>
          <cell r="BO422">
            <v>0</v>
          </cell>
          <cell r="BP422">
            <v>0.01</v>
          </cell>
          <cell r="BQ422">
            <v>0.01</v>
          </cell>
          <cell r="BS422">
            <v>0.01</v>
          </cell>
        </row>
        <row r="423">
          <cell r="A423" t="str">
            <v xml:space="preserve">   Generics</v>
          </cell>
          <cell r="BG423">
            <v>-0.04</v>
          </cell>
          <cell r="BH423">
            <v>-0.05</v>
          </cell>
          <cell r="BI423">
            <v>-7.0000000000000007E-2</v>
          </cell>
          <cell r="BJ423">
            <v>-0.05</v>
          </cell>
          <cell r="BK423">
            <v>-7.0000000000000007E-2</v>
          </cell>
          <cell r="BL423">
            <v>-0.06</v>
          </cell>
          <cell r="BM423">
            <v>-0.06</v>
          </cell>
          <cell r="BN423">
            <v>-0.09</v>
          </cell>
          <cell r="BO423">
            <v>-0.08</v>
          </cell>
          <cell r="BP423">
            <v>-7.0000000000000007E-2</v>
          </cell>
          <cell r="BQ423">
            <v>-7.0000000000000007E-2</v>
          </cell>
          <cell r="BR423">
            <v>-0.05</v>
          </cell>
          <cell r="BS423">
            <v>-7.0000000000000007E-2</v>
          </cell>
        </row>
        <row r="424">
          <cell r="A424" t="str">
            <v xml:space="preserve">   CER growth </v>
          </cell>
          <cell r="BB424">
            <v>0.03</v>
          </cell>
          <cell r="BC424">
            <v>0.03</v>
          </cell>
          <cell r="BD424">
            <v>0.05</v>
          </cell>
          <cell r="BE424">
            <v>0.04</v>
          </cell>
          <cell r="BF424">
            <v>0.03</v>
          </cell>
          <cell r="BG424">
            <v>0.04</v>
          </cell>
          <cell r="BH424">
            <v>0.04</v>
          </cell>
          <cell r="BI424">
            <v>0</v>
          </cell>
          <cell r="BJ424">
            <v>0.02</v>
          </cell>
          <cell r="BK424">
            <v>0.01</v>
          </cell>
          <cell r="BL424">
            <v>0.02</v>
          </cell>
          <cell r="BM424">
            <v>0.03</v>
          </cell>
          <cell r="BN424">
            <v>0.01</v>
          </cell>
          <cell r="BO424">
            <v>0.02</v>
          </cell>
          <cell r="BP424">
            <v>0.04</v>
          </cell>
          <cell r="BQ424">
            <v>0.03</v>
          </cell>
          <cell r="BR424">
            <v>0.04</v>
          </cell>
          <cell r="BS424">
            <v>0.03</v>
          </cell>
        </row>
        <row r="425">
          <cell r="A425" t="str">
            <v>Recently launched products</v>
          </cell>
          <cell r="AZ425">
            <v>2334.752</v>
          </cell>
          <cell r="BA425">
            <v>4329.72</v>
          </cell>
          <cell r="BF425">
            <v>2671.96</v>
          </cell>
          <cell r="BG425">
            <v>2800</v>
          </cell>
          <cell r="BH425">
            <v>5471.96</v>
          </cell>
          <cell r="BI425">
            <v>2308</v>
          </cell>
          <cell r="BJ425">
            <v>7779.96</v>
          </cell>
          <cell r="BK425">
            <v>3144.88</v>
          </cell>
          <cell r="BL425">
            <v>11382.162</v>
          </cell>
          <cell r="BM425">
            <v>2835.72</v>
          </cell>
          <cell r="BN425">
            <v>3000</v>
          </cell>
          <cell r="BO425">
            <v>5835.7199999999993</v>
          </cell>
          <cell r="CK425">
            <v>0</v>
          </cell>
        </row>
        <row r="426">
          <cell r="A426" t="str">
            <v>growth CER %</v>
          </cell>
          <cell r="BG426">
            <v>0.28000000000000003</v>
          </cell>
          <cell r="BH426">
            <v>0.26381382629823635</v>
          </cell>
          <cell r="BI426" t="e">
            <v>#DIV/0!</v>
          </cell>
          <cell r="BJ426" t="e">
            <v>#DIV/0!</v>
          </cell>
          <cell r="BK426">
            <v>0.26</v>
          </cell>
          <cell r="BL426">
            <v>0.28000000000000003</v>
          </cell>
          <cell r="BM426">
            <v>0.27</v>
          </cell>
          <cell r="BN426">
            <v>0.26</v>
          </cell>
        </row>
        <row r="427">
          <cell r="A427" t="str">
            <v>% of pharma sales</v>
          </cell>
          <cell r="AZ427">
            <v>0.28000000000000003</v>
          </cell>
          <cell r="BA427">
            <v>0.27</v>
          </cell>
          <cell r="BC427">
            <v>0.28999999999999998</v>
          </cell>
          <cell r="BE427">
            <v>0.28000000000000003</v>
          </cell>
          <cell r="BF427">
            <v>0.34085470085470088</v>
          </cell>
          <cell r="BG427">
            <v>0.34</v>
          </cell>
          <cell r="BH427">
            <v>0.34</v>
          </cell>
          <cell r="BI427">
            <v>0.29654374919696774</v>
          </cell>
          <cell r="BJ427">
            <v>0.32583490388239728</v>
          </cell>
          <cell r="BK427">
            <v>0.38</v>
          </cell>
          <cell r="BL427">
            <v>0.35399999999999998</v>
          </cell>
          <cell r="BM427">
            <v>0.36</v>
          </cell>
          <cell r="BN427">
            <v>0.36941263391207979</v>
          </cell>
          <cell r="BO427">
            <v>0.36477809726215771</v>
          </cell>
        </row>
        <row r="429">
          <cell r="A429" t="str">
            <v>Pharma geo split and CER</v>
          </cell>
        </row>
        <row r="430">
          <cell r="A430" t="str">
            <v>Europe</v>
          </cell>
          <cell r="AY430">
            <v>2814</v>
          </cell>
          <cell r="AZ430">
            <v>3076</v>
          </cell>
          <cell r="BA430">
            <v>5890</v>
          </cell>
          <cell r="BB430">
            <v>2882</v>
          </cell>
          <cell r="BC430">
            <v>8772</v>
          </cell>
          <cell r="BD430">
            <v>2823</v>
          </cell>
          <cell r="BE430">
            <v>11595</v>
          </cell>
          <cell r="BF430">
            <v>2521</v>
          </cell>
          <cell r="BG430">
            <v>2585</v>
          </cell>
          <cell r="BH430">
            <v>5106</v>
          </cell>
          <cell r="BI430">
            <v>2444</v>
          </cell>
          <cell r="BJ430">
            <v>7550</v>
          </cell>
          <cell r="BK430">
            <v>2688</v>
          </cell>
          <cell r="BL430">
            <v>10238</v>
          </cell>
          <cell r="BM430">
            <v>2753</v>
          </cell>
          <cell r="BN430">
            <v>2709</v>
          </cell>
          <cell r="BO430">
            <v>5462</v>
          </cell>
          <cell r="BP430">
            <v>2684</v>
          </cell>
          <cell r="BQ430">
            <v>8146</v>
          </cell>
          <cell r="BR430">
            <v>2847</v>
          </cell>
          <cell r="BS430">
            <v>10993</v>
          </cell>
        </row>
        <row r="431">
          <cell r="A431" t="str">
            <v>US</v>
          </cell>
          <cell r="AY431">
            <v>2414</v>
          </cell>
          <cell r="AZ431">
            <v>2512</v>
          </cell>
          <cell r="BA431">
            <v>4926</v>
          </cell>
          <cell r="BB431">
            <v>2488</v>
          </cell>
          <cell r="BC431">
            <v>7414</v>
          </cell>
          <cell r="BD431">
            <v>2559</v>
          </cell>
          <cell r="BE431">
            <v>9973</v>
          </cell>
          <cell r="BF431">
            <v>2605</v>
          </cell>
          <cell r="BG431">
            <v>2764</v>
          </cell>
          <cell r="BH431">
            <v>5369</v>
          </cell>
          <cell r="BI431">
            <v>2470</v>
          </cell>
          <cell r="BJ431">
            <v>7839</v>
          </cell>
          <cell r="BK431">
            <v>2553</v>
          </cell>
          <cell r="BL431">
            <v>10392</v>
          </cell>
          <cell r="BM431">
            <v>2503</v>
          </cell>
          <cell r="BN431">
            <v>2624</v>
          </cell>
          <cell r="BO431">
            <v>5127</v>
          </cell>
          <cell r="BP431">
            <v>2557</v>
          </cell>
          <cell r="BQ431">
            <v>7684</v>
          </cell>
          <cell r="BR431">
            <v>2572</v>
          </cell>
          <cell r="BS431">
            <v>10256</v>
          </cell>
        </row>
        <row r="432">
          <cell r="A432" t="str">
            <v>Asia/Africa/Australasia</v>
          </cell>
          <cell r="AY432">
            <v>1763</v>
          </cell>
          <cell r="AZ432">
            <v>1971</v>
          </cell>
          <cell r="BA432">
            <v>3734</v>
          </cell>
          <cell r="BB432">
            <v>2015</v>
          </cell>
          <cell r="BC432">
            <v>5749</v>
          </cell>
          <cell r="BD432">
            <v>2179</v>
          </cell>
          <cell r="BE432">
            <v>7928</v>
          </cell>
          <cell r="BF432">
            <v>1954</v>
          </cell>
          <cell r="BG432">
            <v>2131</v>
          </cell>
          <cell r="BH432">
            <v>4085</v>
          </cell>
          <cell r="BI432">
            <v>2083</v>
          </cell>
          <cell r="BJ432">
            <v>6168</v>
          </cell>
          <cell r="BK432">
            <v>2266</v>
          </cell>
          <cell r="BL432">
            <v>8434</v>
          </cell>
          <cell r="BM432">
            <v>1926</v>
          </cell>
          <cell r="BN432">
            <v>2015</v>
          </cell>
          <cell r="BO432">
            <v>3941</v>
          </cell>
          <cell r="BP432">
            <v>1901</v>
          </cell>
          <cell r="BQ432">
            <v>5842</v>
          </cell>
          <cell r="BR432">
            <v>2105</v>
          </cell>
          <cell r="BS432">
            <v>7947</v>
          </cell>
        </row>
        <row r="433">
          <cell r="A433" t="str">
            <v>Canada &amp; Latin America</v>
          </cell>
          <cell r="AY433">
            <v>707</v>
          </cell>
          <cell r="AZ433">
            <v>779</v>
          </cell>
          <cell r="BA433">
            <v>1486</v>
          </cell>
          <cell r="BB433">
            <v>774</v>
          </cell>
          <cell r="BC433">
            <v>2260</v>
          </cell>
          <cell r="BD433">
            <v>752</v>
          </cell>
          <cell r="BE433">
            <v>3012</v>
          </cell>
          <cell r="BF433">
            <v>759</v>
          </cell>
          <cell r="BG433">
            <v>775</v>
          </cell>
          <cell r="BH433">
            <v>1534</v>
          </cell>
          <cell r="BI433">
            <v>756</v>
          </cell>
          <cell r="BJ433">
            <v>2290</v>
          </cell>
          <cell r="BK433">
            <v>769</v>
          </cell>
          <cell r="BL433">
            <v>3059</v>
          </cell>
          <cell r="BM433">
            <v>695</v>
          </cell>
          <cell r="BN433">
            <v>773</v>
          </cell>
          <cell r="BO433">
            <v>1468</v>
          </cell>
          <cell r="BP433">
            <v>751</v>
          </cell>
          <cell r="BQ433">
            <v>2219</v>
          </cell>
          <cell r="BR433">
            <v>799</v>
          </cell>
          <cell r="BS433">
            <v>3018</v>
          </cell>
        </row>
        <row r="434">
          <cell r="A434" t="str">
            <v>Total</v>
          </cell>
          <cell r="AY434">
            <v>7698</v>
          </cell>
          <cell r="AZ434">
            <v>8338</v>
          </cell>
          <cell r="BA434">
            <v>16036</v>
          </cell>
          <cell r="BB434">
            <v>8159</v>
          </cell>
          <cell r="BC434">
            <v>24195</v>
          </cell>
          <cell r="BD434">
            <v>8313</v>
          </cell>
          <cell r="BE434">
            <v>32508</v>
          </cell>
          <cell r="BF434">
            <v>7839</v>
          </cell>
          <cell r="BG434">
            <v>8255</v>
          </cell>
          <cell r="BH434">
            <v>16094</v>
          </cell>
          <cell r="BI434">
            <v>7783</v>
          </cell>
          <cell r="BJ434">
            <v>23877</v>
          </cell>
          <cell r="BK434">
            <v>8276</v>
          </cell>
          <cell r="BL434">
            <v>32153</v>
          </cell>
          <cell r="BM434">
            <v>7877</v>
          </cell>
          <cell r="BN434">
            <v>8121</v>
          </cell>
          <cell r="BO434">
            <v>15998</v>
          </cell>
          <cell r="BP434">
            <v>7893</v>
          </cell>
          <cell r="BQ434">
            <v>23891</v>
          </cell>
          <cell r="BR434">
            <v>8323</v>
          </cell>
          <cell r="BS434">
            <v>32214</v>
          </cell>
        </row>
        <row r="435">
          <cell r="A435" t="str">
            <v xml:space="preserve"> Of which in Established markets</v>
          </cell>
          <cell r="AY435">
            <v>6012</v>
          </cell>
          <cell r="AZ435">
            <v>6423</v>
          </cell>
          <cell r="BA435">
            <v>12435</v>
          </cell>
          <cell r="BB435">
            <v>6340</v>
          </cell>
          <cell r="BC435">
            <v>18775</v>
          </cell>
          <cell r="BD435">
            <v>6397</v>
          </cell>
          <cell r="BE435">
            <v>25172</v>
          </cell>
          <cell r="BF435">
            <v>6095</v>
          </cell>
          <cell r="BG435">
            <v>6398</v>
          </cell>
          <cell r="BH435">
            <v>12493</v>
          </cell>
          <cell r="BI435">
            <v>5969</v>
          </cell>
          <cell r="BJ435">
            <v>18462</v>
          </cell>
          <cell r="BK435">
            <v>6316</v>
          </cell>
          <cell r="BL435">
            <v>24778</v>
          </cell>
          <cell r="BM435">
            <v>6034</v>
          </cell>
          <cell r="BN435">
            <v>6169</v>
          </cell>
          <cell r="BO435">
            <v>12203</v>
          </cell>
          <cell r="BP435">
            <v>6034</v>
          </cell>
          <cell r="BQ435">
            <v>18237</v>
          </cell>
          <cell r="BR435">
            <v>6256</v>
          </cell>
          <cell r="BS435">
            <v>24493</v>
          </cell>
        </row>
        <row r="436">
          <cell r="A436" t="str">
            <v>Of which in EM growth markets</v>
          </cell>
          <cell r="AY436">
            <v>1686</v>
          </cell>
          <cell r="AZ436">
            <v>1915</v>
          </cell>
          <cell r="BA436">
            <v>3601</v>
          </cell>
          <cell r="BB436">
            <v>1819</v>
          </cell>
          <cell r="BC436">
            <v>5420</v>
          </cell>
          <cell r="BD436">
            <v>1916</v>
          </cell>
          <cell r="BE436">
            <v>7336</v>
          </cell>
          <cell r="BF436">
            <v>1744</v>
          </cell>
          <cell r="BG436">
            <v>1857</v>
          </cell>
          <cell r="BH436">
            <v>3601</v>
          </cell>
          <cell r="BI436">
            <v>1814</v>
          </cell>
          <cell r="BJ436">
            <v>5415</v>
          </cell>
          <cell r="BK436">
            <v>1960</v>
          </cell>
          <cell r="BL436">
            <v>7375</v>
          </cell>
          <cell r="BM436">
            <v>1843</v>
          </cell>
          <cell r="BN436">
            <v>1952</v>
          </cell>
          <cell r="BO436">
            <v>3795</v>
          </cell>
          <cell r="BP436">
            <v>1859</v>
          </cell>
          <cell r="BQ436">
            <v>5654</v>
          </cell>
          <cell r="BR436">
            <v>2067</v>
          </cell>
          <cell r="BS436">
            <v>7721</v>
          </cell>
        </row>
        <row r="438">
          <cell r="A438" t="str">
            <v>% total</v>
          </cell>
        </row>
        <row r="439">
          <cell r="A439" t="str">
            <v>Europe</v>
          </cell>
          <cell r="AY439">
            <v>0.36554949337490256</v>
          </cell>
          <cell r="AZ439">
            <v>0.36891340849124488</v>
          </cell>
          <cell r="BA439">
            <v>0.36729857819905215</v>
          </cell>
          <cell r="BB439">
            <v>0.35322956244637821</v>
          </cell>
          <cell r="BC439">
            <v>0.36255424674519526</v>
          </cell>
          <cell r="BD439">
            <v>0.33958859617466619</v>
          </cell>
          <cell r="BE439">
            <v>0.35668143226282761</v>
          </cell>
          <cell r="BF439">
            <v>0.32159714249266486</v>
          </cell>
          <cell r="BG439">
            <v>0.31314354936402178</v>
          </cell>
          <cell r="BH439">
            <v>0.31726109108984712</v>
          </cell>
          <cell r="BI439">
            <v>0.31401773095207502</v>
          </cell>
          <cell r="BJ439">
            <v>0.31620387820915524</v>
          </cell>
          <cell r="BK439">
            <v>0.32479458675688738</v>
          </cell>
          <cell r="BL439">
            <v>0.31841507790874879</v>
          </cell>
          <cell r="BM439">
            <v>0.34949854005331982</v>
          </cell>
          <cell r="BN439">
            <v>0.33357960842260803</v>
          </cell>
          <cell r="BO439">
            <v>0.34141767720965122</v>
          </cell>
          <cell r="BP439">
            <v>0.34004814392499683</v>
          </cell>
          <cell r="BQ439">
            <v>0.34096521702733246</v>
          </cell>
          <cell r="BR439">
            <v>0.34206415955785174</v>
          </cell>
          <cell r="BS439">
            <v>0.34124914633389208</v>
          </cell>
        </row>
        <row r="440">
          <cell r="A440" t="str">
            <v>US</v>
          </cell>
          <cell r="AY440">
            <v>0.31358794492075864</v>
          </cell>
          <cell r="AZ440">
            <v>0.30127128807867593</v>
          </cell>
          <cell r="BA440">
            <v>0.30718383636817159</v>
          </cell>
          <cell r="BB440">
            <v>0.30493933080034319</v>
          </cell>
          <cell r="BC440">
            <v>0.30642694771647033</v>
          </cell>
          <cell r="BD440">
            <v>0.307831107903284</v>
          </cell>
          <cell r="BE440">
            <v>0.30678602190230098</v>
          </cell>
          <cell r="BF440">
            <v>0.33231279499936217</v>
          </cell>
          <cell r="BG440">
            <v>0.33482737734706236</v>
          </cell>
          <cell r="BH440">
            <v>0.33360258481421645</v>
          </cell>
          <cell r="BI440">
            <v>0.31735834511113964</v>
          </cell>
          <cell r="BJ440">
            <v>0.32830757632868451</v>
          </cell>
          <cell r="BK440">
            <v>0.30848235862735623</v>
          </cell>
          <cell r="BL440">
            <v>0.32320467763505739</v>
          </cell>
          <cell r="BM440">
            <v>0.31776056874444586</v>
          </cell>
          <cell r="BN440">
            <v>0.32311291712843249</v>
          </cell>
          <cell r="BO440">
            <v>0.32047755969496189</v>
          </cell>
          <cell r="BP440">
            <v>0.32395793741289752</v>
          </cell>
          <cell r="BQ440">
            <v>0.32162739106776611</v>
          </cell>
          <cell r="BR440">
            <v>0.30902318875405504</v>
          </cell>
          <cell r="BS440">
            <v>0.31837089464208107</v>
          </cell>
        </row>
        <row r="441">
          <cell r="A441" t="str">
            <v>Asia/Africa/Australasia</v>
          </cell>
          <cell r="AY441">
            <v>0.2290205248116394</v>
          </cell>
          <cell r="AZ441">
            <v>0.23638762293115856</v>
          </cell>
          <cell r="BA441">
            <v>0.2328510850586181</v>
          </cell>
          <cell r="BB441">
            <v>0.24696654001715895</v>
          </cell>
          <cell r="BC441">
            <v>0.23761107666873321</v>
          </cell>
          <cell r="BD441">
            <v>0.26211957175508238</v>
          </cell>
          <cell r="BE441">
            <v>0.24387842992494155</v>
          </cell>
          <cell r="BF441">
            <v>0.24926648807245821</v>
          </cell>
          <cell r="BG441">
            <v>0.25814657783161721</v>
          </cell>
          <cell r="BH441">
            <v>0.2538212998633031</v>
          </cell>
          <cell r="BI441">
            <v>0.26763458820506231</v>
          </cell>
          <cell r="BJ441">
            <v>0.25832391003894961</v>
          </cell>
          <cell r="BK441">
            <v>0.27380376993716771</v>
          </cell>
          <cell r="BL441">
            <v>0.26230833825770533</v>
          </cell>
          <cell r="BM441">
            <v>0.24450933096356481</v>
          </cell>
          <cell r="BN441">
            <v>0.24812215244428026</v>
          </cell>
          <cell r="BO441">
            <v>0.24634329291161394</v>
          </cell>
          <cell r="BP441">
            <v>0.24084631952362853</v>
          </cell>
          <cell r="BQ441">
            <v>0.24452722782637815</v>
          </cell>
          <cell r="BR441">
            <v>0.25291361287997116</v>
          </cell>
          <cell r="BS441">
            <v>0.24669398398211959</v>
          </cell>
        </row>
        <row r="442">
          <cell r="A442" t="str">
            <v>Canada &amp; Latin America</v>
          </cell>
          <cell r="AY442">
            <v>9.1842036892699402E-2</v>
          </cell>
          <cell r="AZ442">
            <v>9.3427680498920598E-2</v>
          </cell>
          <cell r="BA442">
            <v>9.2666500374158148E-2</v>
          </cell>
          <cell r="BB442">
            <v>9.4864566736119621E-2</v>
          </cell>
          <cell r="BC442">
            <v>9.340772886960115E-2</v>
          </cell>
          <cell r="BD442">
            <v>9.0460724166967404E-2</v>
          </cell>
          <cell r="BE442">
            <v>9.2654115909929863E-2</v>
          </cell>
          <cell r="BF442">
            <v>9.6823574435514731E-2</v>
          </cell>
          <cell r="BG442">
            <v>9.3882495457298612E-2</v>
          </cell>
          <cell r="BH442">
            <v>9.5315024232633286E-2</v>
          </cell>
          <cell r="BI442">
            <v>9.7134780932802256E-2</v>
          </cell>
          <cell r="BJ442">
            <v>9.5908196172048418E-2</v>
          </cell>
          <cell r="BK442">
            <v>9.291928467858869E-2</v>
          </cell>
          <cell r="BL442">
            <v>9.5138867290766024E-2</v>
          </cell>
          <cell r="BM442">
            <v>8.8231560238669543E-2</v>
          </cell>
          <cell r="BN442">
            <v>9.5185322004679232E-2</v>
          </cell>
          <cell r="BO442">
            <v>9.1761470183772967E-2</v>
          </cell>
          <cell r="BP442">
            <v>9.5147599138477132E-2</v>
          </cell>
          <cell r="BQ442">
            <v>9.28801640785233E-2</v>
          </cell>
          <cell r="BR442">
            <v>9.5999038808122078E-2</v>
          </cell>
          <cell r="BS442">
            <v>9.3685975041907246E-2</v>
          </cell>
        </row>
        <row r="443">
          <cell r="A443" t="str">
            <v xml:space="preserve"> Of which in Established markets</v>
          </cell>
          <cell r="AY443">
            <v>0.78098207326578328</v>
          </cell>
          <cell r="AZ443">
            <v>0.77032861597505398</v>
          </cell>
          <cell r="BA443">
            <v>0.77544275380394112</v>
          </cell>
          <cell r="BF443">
            <v>0.77752264319428499</v>
          </cell>
          <cell r="BG443">
            <v>0.77504542701393098</v>
          </cell>
          <cell r="BH443">
            <v>0.77625201938610666</v>
          </cell>
          <cell r="BI443">
            <v>0.76692791982526021</v>
          </cell>
          <cell r="BJ443">
            <v>0.77321271516522172</v>
          </cell>
          <cell r="BK443">
            <v>0.76317061382310292</v>
          </cell>
          <cell r="BL443">
            <v>0.77062793518489725</v>
          </cell>
          <cell r="BM443">
            <v>0.76602767551098139</v>
          </cell>
          <cell r="BN443">
            <v>0.75963551286787345</v>
          </cell>
          <cell r="BO443">
            <v>0.76278284785598205</v>
          </cell>
          <cell r="BP443">
            <v>0.76447485113391611</v>
          </cell>
          <cell r="BQ443">
            <v>0.76334184420911644</v>
          </cell>
          <cell r="BR443">
            <v>0.75165204854018985</v>
          </cell>
          <cell r="BS443">
            <v>0.76032159930465015</v>
          </cell>
        </row>
        <row r="444">
          <cell r="A444" t="str">
            <v>Of which in EM growth markets</v>
          </cell>
          <cell r="AY444">
            <v>0.21901792673421672</v>
          </cell>
          <cell r="AZ444">
            <v>0.22967138402494602</v>
          </cell>
          <cell r="BA444">
            <v>0.22455724619605888</v>
          </cell>
          <cell r="BF444">
            <v>0.22247735680571501</v>
          </cell>
          <cell r="BG444">
            <v>0.22495457298606902</v>
          </cell>
          <cell r="BH444">
            <v>0.22374798061389334</v>
          </cell>
          <cell r="BI444">
            <v>0.23307208017473979</v>
          </cell>
          <cell r="BJ444">
            <v>0.22678728483477828</v>
          </cell>
          <cell r="BK444">
            <v>0.23682938617689708</v>
          </cell>
          <cell r="BL444">
            <v>0.22937206481510275</v>
          </cell>
          <cell r="BM444">
            <v>0.23397232448901861</v>
          </cell>
          <cell r="BN444">
            <v>0.24036448713212655</v>
          </cell>
          <cell r="BO444">
            <v>0.23721715214401795</v>
          </cell>
          <cell r="BP444">
            <v>0.23552514886608389</v>
          </cell>
          <cell r="BQ444">
            <v>0.23665815579088356</v>
          </cell>
          <cell r="BR444">
            <v>0.24834795145981015</v>
          </cell>
          <cell r="BS444">
            <v>0.23967840069534985</v>
          </cell>
        </row>
        <row r="446">
          <cell r="A446" t="str">
            <v xml:space="preserve">CER growth </v>
          </cell>
        </row>
        <row r="447">
          <cell r="A447" t="str">
            <v>Europe</v>
          </cell>
          <cell r="BB447">
            <v>0.04</v>
          </cell>
          <cell r="BC447">
            <v>0.03</v>
          </cell>
          <cell r="BD447">
            <v>0</v>
          </cell>
          <cell r="BE447">
            <v>0.02</v>
          </cell>
          <cell r="BF447">
            <v>-7.0000000000000007E-2</v>
          </cell>
          <cell r="BG447">
            <v>-0.06</v>
          </cell>
          <cell r="BH447">
            <v>-0.06</v>
          </cell>
          <cell r="BI447">
            <v>-0.05</v>
          </cell>
          <cell r="BJ447">
            <v>-0.06</v>
          </cell>
          <cell r="BK447">
            <v>-0.02</v>
          </cell>
          <cell r="BL447">
            <v>-0.05</v>
          </cell>
          <cell r="BM447">
            <v>0.09</v>
          </cell>
          <cell r="BN447">
            <v>0.04</v>
          </cell>
          <cell r="BO447">
            <v>0.06</v>
          </cell>
          <cell r="BP447">
            <v>0.06</v>
          </cell>
          <cell r="BQ447">
            <v>0.06</v>
          </cell>
          <cell r="BR447">
            <v>0.02</v>
          </cell>
          <cell r="BS447">
            <v>0.05</v>
          </cell>
        </row>
        <row r="448">
          <cell r="A448" t="str">
            <v>US</v>
          </cell>
          <cell r="BB448">
            <v>-0.02</v>
          </cell>
          <cell r="BC448">
            <v>-0.01</v>
          </cell>
          <cell r="BD448">
            <v>0.02</v>
          </cell>
          <cell r="BE448">
            <v>0</v>
          </cell>
          <cell r="BF448">
            <v>0.08</v>
          </cell>
          <cell r="BG448">
            <v>0.1</v>
          </cell>
          <cell r="BH448">
            <v>0.09</v>
          </cell>
          <cell r="BI448">
            <v>-0.01</v>
          </cell>
          <cell r="BJ448">
            <v>0.06</v>
          </cell>
          <cell r="BK448">
            <v>0</v>
          </cell>
          <cell r="BL448">
            <v>0.04</v>
          </cell>
          <cell r="BM448">
            <v>-0.04</v>
          </cell>
          <cell r="BN448">
            <v>-0.05</v>
          </cell>
          <cell r="BO448">
            <v>-0.05</v>
          </cell>
          <cell r="BP448">
            <v>0.04</v>
          </cell>
          <cell r="BQ448">
            <v>-0.02</v>
          </cell>
          <cell r="BR448">
            <v>0.01</v>
          </cell>
          <cell r="BS448">
            <v>-0.01</v>
          </cell>
        </row>
        <row r="449">
          <cell r="A449" t="str">
            <v>Asia/Africa/Australasia</v>
          </cell>
          <cell r="BB449">
            <v>0.1</v>
          </cell>
          <cell r="BC449">
            <v>0.08</v>
          </cell>
          <cell r="BD449">
            <v>0.14000000000000001</v>
          </cell>
          <cell r="BE449">
            <v>0.09</v>
          </cell>
          <cell r="BF449">
            <v>0.09</v>
          </cell>
          <cell r="BG449">
            <v>0.1</v>
          </cell>
          <cell r="BH449">
            <v>0.09</v>
          </cell>
          <cell r="BI449">
            <v>0.06</v>
          </cell>
          <cell r="BJ449">
            <v>0.08</v>
          </cell>
          <cell r="BK449">
            <v>0.06</v>
          </cell>
          <cell r="BL449">
            <v>0.08</v>
          </cell>
          <cell r="BM449">
            <v>0.06</v>
          </cell>
          <cell r="BN449">
            <v>0.04</v>
          </cell>
          <cell r="BO449">
            <v>0.05</v>
          </cell>
          <cell r="BP449">
            <v>0.02</v>
          </cell>
          <cell r="BQ449">
            <v>0.04</v>
          </cell>
          <cell r="BR449">
            <v>0.03</v>
          </cell>
          <cell r="BS449">
            <v>0.04</v>
          </cell>
        </row>
        <row r="450">
          <cell r="A450" t="str">
            <v>Canada &amp; Latin America</v>
          </cell>
          <cell r="BB450">
            <v>0.09</v>
          </cell>
          <cell r="BC450">
            <v>0.1</v>
          </cell>
          <cell r="BD450">
            <v>0.12</v>
          </cell>
          <cell r="BE450">
            <v>0.1</v>
          </cell>
          <cell r="BF450">
            <v>0.11</v>
          </cell>
          <cell r="BG450">
            <v>0.1</v>
          </cell>
          <cell r="BH450">
            <v>0.1</v>
          </cell>
          <cell r="BI450">
            <v>0.11</v>
          </cell>
          <cell r="BJ450">
            <v>0.11</v>
          </cell>
          <cell r="BK450">
            <v>0.05</v>
          </cell>
          <cell r="BL450">
            <v>0.09</v>
          </cell>
          <cell r="BM450">
            <v>-0.02</v>
          </cell>
          <cell r="BN450">
            <v>0.08</v>
          </cell>
          <cell r="BO450">
            <v>0.03</v>
          </cell>
          <cell r="BP450">
            <v>0.08</v>
          </cell>
          <cell r="BQ450">
            <v>0.05</v>
          </cell>
          <cell r="BR450">
            <v>0.19</v>
          </cell>
          <cell r="BS450">
            <v>0.08</v>
          </cell>
        </row>
        <row r="451">
          <cell r="A451" t="str">
            <v>Total</v>
          </cell>
          <cell r="BB451">
            <v>0.03</v>
          </cell>
          <cell r="BC451">
            <v>0.03</v>
          </cell>
          <cell r="BD451">
            <v>0.05</v>
          </cell>
          <cell r="BE451">
            <v>0.04</v>
          </cell>
          <cell r="BF451">
            <v>0.03</v>
          </cell>
          <cell r="BG451">
            <v>0.04</v>
          </cell>
          <cell r="BH451">
            <v>0.04</v>
          </cell>
          <cell r="BI451">
            <v>0</v>
          </cell>
          <cell r="BJ451">
            <v>0.02</v>
          </cell>
          <cell r="BK451">
            <v>0</v>
          </cell>
          <cell r="BL451">
            <v>0.02</v>
          </cell>
          <cell r="BM451">
            <v>0.03</v>
          </cell>
          <cell r="BN451">
            <v>0.01</v>
          </cell>
          <cell r="BO451">
            <v>0.02</v>
          </cell>
          <cell r="BP451">
            <v>0.04</v>
          </cell>
          <cell r="BQ451">
            <v>0.03</v>
          </cell>
          <cell r="BR451">
            <v>0.04</v>
          </cell>
          <cell r="BS451">
            <v>0.03</v>
          </cell>
        </row>
        <row r="452">
          <cell r="A452" t="str">
            <v xml:space="preserve"> Of which in EM</v>
          </cell>
          <cell r="BF452">
            <v>0.02</v>
          </cell>
          <cell r="BG452">
            <v>0.03</v>
          </cell>
          <cell r="BH452">
            <v>0.03</v>
          </cell>
          <cell r="BI452">
            <v>-0.02</v>
          </cell>
          <cell r="BJ452">
            <v>0.01</v>
          </cell>
          <cell r="BK452">
            <v>0</v>
          </cell>
          <cell r="BL452">
            <v>0.01</v>
          </cell>
          <cell r="BM452">
            <v>0.01</v>
          </cell>
          <cell r="BN452">
            <v>-0.01</v>
          </cell>
          <cell r="BO452">
            <v>0</v>
          </cell>
          <cell r="BP452">
            <v>0.03</v>
          </cell>
          <cell r="BQ452">
            <v>0.01</v>
          </cell>
          <cell r="BR452">
            <v>0.01</v>
          </cell>
          <cell r="BS452">
            <v>0.01</v>
          </cell>
        </row>
        <row r="453">
          <cell r="A453" t="str">
            <v>Of which in EM growth markets</v>
          </cell>
          <cell r="BF453">
            <v>7.0000000000000007E-2</v>
          </cell>
          <cell r="BG453">
            <v>0.05</v>
          </cell>
          <cell r="BH453">
            <v>0.06</v>
          </cell>
          <cell r="BI453">
            <v>0.08</v>
          </cell>
          <cell r="BJ453">
            <v>7.0000000000000007E-2</v>
          </cell>
          <cell r="BK453">
            <v>0.04</v>
          </cell>
          <cell r="BL453">
            <v>0.06</v>
          </cell>
          <cell r="BM453">
            <v>0.09</v>
          </cell>
          <cell r="BN453">
            <v>0.08</v>
          </cell>
          <cell r="BO453">
            <v>0.09</v>
          </cell>
          <cell r="BP453">
            <v>0.08</v>
          </cell>
          <cell r="BQ453">
            <v>0.08</v>
          </cell>
          <cell r="BR453">
            <v>0.12</v>
          </cell>
          <cell r="BS453">
            <v>0.09</v>
          </cell>
        </row>
        <row r="455">
          <cell r="A455" t="str">
            <v xml:space="preserve">growth % </v>
          </cell>
        </row>
        <row r="456">
          <cell r="A456" t="str">
            <v>Europe</v>
          </cell>
          <cell r="BF456">
            <v>-0.10412224591329067</v>
          </cell>
          <cell r="BG456">
            <v>-0.15962288686605985</v>
          </cell>
          <cell r="BH456">
            <v>-0.13310696095076402</v>
          </cell>
          <cell r="BI456">
            <v>-0.15197779319916727</v>
          </cell>
          <cell r="BJ456">
            <v>-0.13930688554491566</v>
          </cell>
          <cell r="BK456">
            <v>-4.7821466524973433E-2</v>
          </cell>
          <cell r="BL456">
            <v>-0.11703320396722727</v>
          </cell>
          <cell r="BM456">
            <v>9.202697342324484E-2</v>
          </cell>
          <cell r="BN456">
            <v>4.7969052224371422E-2</v>
          </cell>
          <cell r="BO456">
            <v>6.9721895808852352E-2</v>
          </cell>
          <cell r="BP456">
            <v>9.8199672667757865E-2</v>
          </cell>
          <cell r="BQ456">
            <v>7.8940397350993452E-2</v>
          </cell>
          <cell r="BR456">
            <v>5.9151785714285809E-2</v>
          </cell>
          <cell r="BS456">
            <v>7.3744872045321319E-2</v>
          </cell>
        </row>
        <row r="457">
          <cell r="A457" t="str">
            <v>US</v>
          </cell>
          <cell r="BF457">
            <v>7.9121789560894884E-2</v>
          </cell>
          <cell r="BG457">
            <v>0.10031847133757954</v>
          </cell>
          <cell r="BH457">
            <v>8.9930978481526536E-2</v>
          </cell>
          <cell r="BI457">
            <v>-7.2347266881028771E-3</v>
          </cell>
          <cell r="BJ457">
            <v>5.7323981656325795E-2</v>
          </cell>
          <cell r="BK457">
            <v>-2.3446658851113966E-3</v>
          </cell>
          <cell r="BL457">
            <v>4.2013436277950511E-2</v>
          </cell>
          <cell r="BM457">
            <v>-3.9155470249520152E-2</v>
          </cell>
          <cell r="BN457">
            <v>-5.0651230101302458E-2</v>
          </cell>
          <cell r="BO457">
            <v>-4.507357049729932E-2</v>
          </cell>
          <cell r="BP457">
            <v>3.522267206477725E-2</v>
          </cell>
          <cell r="BQ457">
            <v>-1.9772930220691376E-2</v>
          </cell>
          <cell r="BR457">
            <v>7.4422248335290764E-3</v>
          </cell>
          <cell r="BS457">
            <v>-1.3086989992301734E-2</v>
          </cell>
        </row>
        <row r="458">
          <cell r="A458" t="str">
            <v>Asia/Africa/Australasia</v>
          </cell>
          <cell r="BF458">
            <v>0.10833806012478719</v>
          </cell>
          <cell r="BG458">
            <v>8.1177067478437337E-2</v>
          </cell>
          <cell r="BH458">
            <v>9.4001071237278966E-2</v>
          </cell>
          <cell r="BI458">
            <v>3.3746898263027347E-2</v>
          </cell>
          <cell r="BJ458">
            <v>7.288224038963298E-2</v>
          </cell>
          <cell r="BK458">
            <v>3.9926571821936596E-2</v>
          </cell>
          <cell r="BL458">
            <v>6.3824419778002017E-2</v>
          </cell>
          <cell r="BM458">
            <v>-1.4329580348004134E-2</v>
          </cell>
          <cell r="BN458">
            <v>-5.4434537775692182E-2</v>
          </cell>
          <cell r="BO458">
            <v>-3.5250917992656006E-2</v>
          </cell>
          <cell r="BP458">
            <v>-8.7373979836773863E-2</v>
          </cell>
          <cell r="BQ458">
            <v>-5.2853437094682265E-2</v>
          </cell>
          <cell r="BR458">
            <v>-7.1050308914386573E-2</v>
          </cell>
          <cell r="BS458">
            <v>-5.7742470950913005E-2</v>
          </cell>
        </row>
        <row r="459">
          <cell r="A459" t="str">
            <v>Canada &amp; Latin America</v>
          </cell>
          <cell r="BF459">
            <v>7.3550212164073647E-2</v>
          </cell>
          <cell r="BG459">
            <v>-5.1347881899871384E-3</v>
          </cell>
          <cell r="BH459">
            <v>3.2301480484522305E-2</v>
          </cell>
          <cell r="BI459">
            <v>-2.3255813953488413E-2</v>
          </cell>
          <cell r="BJ459">
            <v>1.327433628318575E-2</v>
          </cell>
          <cell r="BK459">
            <v>2.2606382978723305E-2</v>
          </cell>
          <cell r="BL459">
            <v>1.5604249667994674E-2</v>
          </cell>
          <cell r="BM459">
            <v>-8.4321475625823483E-2</v>
          </cell>
          <cell r="BN459">
            <v>-2.580645161290307E-3</v>
          </cell>
          <cell r="BO459">
            <v>-4.3024771838331199E-2</v>
          </cell>
          <cell r="BP459">
            <v>-6.6137566137566273E-3</v>
          </cell>
          <cell r="BQ459">
            <v>-3.1004366812227069E-2</v>
          </cell>
          <cell r="BR459">
            <v>3.9011703511053319E-2</v>
          </cell>
          <cell r="BS459">
            <v>-1.3403072899640378E-2</v>
          </cell>
        </row>
        <row r="460">
          <cell r="A460" t="str">
            <v>Total</v>
          </cell>
          <cell r="BF460">
            <v>1.8316445830085737E-2</v>
          </cell>
          <cell r="BG460">
            <v>-9.9544255217078881E-3</v>
          </cell>
          <cell r="BH460">
            <v>3.6168620603642676E-3</v>
          </cell>
          <cell r="BI460">
            <v>-4.6084078931241557E-2</v>
          </cell>
          <cell r="BJ460">
            <v>-1.3143211407315558E-2</v>
          </cell>
          <cell r="BK460">
            <v>-4.4508600986407076E-3</v>
          </cell>
          <cell r="BL460">
            <v>-1.0920388827365568E-2</v>
          </cell>
          <cell r="BM460">
            <v>4.8475570863630857E-3</v>
          </cell>
          <cell r="BN460">
            <v>-1.6232586311326513E-2</v>
          </cell>
          <cell r="BO460">
            <v>-5.9649558841804451E-3</v>
          </cell>
          <cell r="BP460">
            <v>1.4133367596042667E-2</v>
          </cell>
          <cell r="BQ460">
            <v>5.8633831720911189E-4</v>
          </cell>
          <cell r="BR460">
            <v>5.6790720154664687E-3</v>
          </cell>
          <cell r="BS460">
            <v>1.8971791123689741E-3</v>
          </cell>
        </row>
        <row r="461">
          <cell r="A461" t="str">
            <v xml:space="preserve"> Of which in EM</v>
          </cell>
          <cell r="BF461">
            <v>1.3805721889554201E-2</v>
          </cell>
          <cell r="BG461">
            <v>-3.8922621827806037E-3</v>
          </cell>
          <cell r="BH461">
            <v>4.6642541214314548E-3</v>
          </cell>
          <cell r="BI461">
            <v>-5.8517350157728742E-2</v>
          </cell>
          <cell r="BJ461">
            <v>-1.6671105193075908E-2</v>
          </cell>
          <cell r="BK461">
            <v>-1.2662185399406001E-2</v>
          </cell>
          <cell r="BL461">
            <v>-1.565231209280149E-2</v>
          </cell>
          <cell r="BM461">
            <v>-1.0008203445447061E-2</v>
          </cell>
          <cell r="BN461">
            <v>-3.5792435135979961E-2</v>
          </cell>
          <cell r="BO461">
            <v>-2.3212999279596525E-2</v>
          </cell>
          <cell r="BP461">
            <v>1.08895962472777E-2</v>
          </cell>
          <cell r="BQ461">
            <v>-1.2187195320117028E-2</v>
          </cell>
          <cell r="BR461">
            <v>-9.4996833438885098E-3</v>
          </cell>
          <cell r="BS461">
            <v>-1.1502138994269107E-2</v>
          </cell>
        </row>
        <row r="462">
          <cell r="A462" t="str">
            <v>Of which in EM growth markets</v>
          </cell>
          <cell r="BF462">
            <v>3.4400948991696323E-2</v>
          </cell>
          <cell r="BG462">
            <v>-3.0287206266318534E-2</v>
          </cell>
          <cell r="BH462">
            <v>0</v>
          </cell>
          <cell r="BI462">
            <v>-2.7487630566245258E-3</v>
          </cell>
          <cell r="BJ462">
            <v>-9.2250922509229394E-4</v>
          </cell>
          <cell r="BK462">
            <v>2.2964509394572064E-2</v>
          </cell>
          <cell r="BL462">
            <v>5.3162486368594219E-3</v>
          </cell>
          <cell r="BM462">
            <v>5.6766055045871511E-2</v>
          </cell>
          <cell r="BN462">
            <v>5.1157781367797472E-2</v>
          </cell>
          <cell r="BO462">
            <v>5.387392391002499E-2</v>
          </cell>
          <cell r="BP462">
            <v>2.480705622932744E-2</v>
          </cell>
          <cell r="BQ462">
            <v>4.4136657433056392E-2</v>
          </cell>
          <cell r="BR462">
            <v>5.459183673469381E-2</v>
          </cell>
          <cell r="BS462">
            <v>4.6915254237288151E-2</v>
          </cell>
        </row>
        <row r="465">
          <cell r="A465" t="str">
            <v xml:space="preserve">Alcon   </v>
          </cell>
          <cell r="BE465" t="str">
            <v>Stats</v>
          </cell>
        </row>
        <row r="466">
          <cell r="A466" t="str">
            <v>Pharmaceuticals</v>
          </cell>
          <cell r="AC466">
            <v>2313.8000000000002</v>
          </cell>
          <cell r="AJ466">
            <v>2660.87</v>
          </cell>
          <cell r="AQ466">
            <v>2714.0873999999999</v>
          </cell>
          <cell r="AR466">
            <v>849</v>
          </cell>
          <cell r="AS466">
            <v>950</v>
          </cell>
          <cell r="AT466">
            <v>1799</v>
          </cell>
          <cell r="AU466">
            <v>869</v>
          </cell>
          <cell r="AV466">
            <v>2668</v>
          </cell>
          <cell r="AW466">
            <v>849</v>
          </cell>
          <cell r="AX466">
            <v>3517</v>
          </cell>
          <cell r="AY466">
            <v>994</v>
          </cell>
          <cell r="AZ466">
            <v>1068</v>
          </cell>
          <cell r="BA466">
            <v>2053</v>
          </cell>
          <cell r="BB466">
            <v>979</v>
          </cell>
          <cell r="BC466">
            <v>3041</v>
          </cell>
          <cell r="BD466">
            <v>916</v>
          </cell>
          <cell r="BE466">
            <v>3957</v>
          </cell>
          <cell r="BF466">
            <v>1029</v>
          </cell>
          <cell r="BG466">
            <v>1061</v>
          </cell>
          <cell r="BH466">
            <v>2090</v>
          </cell>
          <cell r="BI466">
            <v>963</v>
          </cell>
          <cell r="BJ466">
            <v>3053</v>
          </cell>
          <cell r="BK466">
            <v>966</v>
          </cell>
          <cell r="BL466">
            <v>4019</v>
          </cell>
          <cell r="BM466">
            <v>1051</v>
          </cell>
          <cell r="BN466">
            <v>1084</v>
          </cell>
          <cell r="BO466">
            <v>2135</v>
          </cell>
          <cell r="BP466">
            <v>990</v>
          </cell>
          <cell r="BQ466">
            <v>3125</v>
          </cell>
          <cell r="BR466">
            <v>983</v>
          </cell>
          <cell r="BS466">
            <v>4108</v>
          </cell>
          <cell r="BT466">
            <v>1070.8631295998864</v>
          </cell>
          <cell r="BU466">
            <v>1142.4864104870271</v>
          </cell>
          <cell r="BV466">
            <v>2213.3495400869137</v>
          </cell>
          <cell r="BW466">
            <v>1034.8797528103858</v>
          </cell>
          <cell r="BX466">
            <v>3248.2292928972993</v>
          </cell>
          <cell r="BY466">
            <v>1005.7944230132759</v>
          </cell>
          <cell r="BZ466">
            <v>4254.0237159105754</v>
          </cell>
          <cell r="CA466">
            <v>4454.9387513562679</v>
          </cell>
          <cell r="CB466">
            <v>4666.6001796969213</v>
          </cell>
          <cell r="CC466">
            <v>4889.6248788888151</v>
          </cell>
          <cell r="CD466">
            <v>5124.6667501365073</v>
          </cell>
          <cell r="CE466">
            <v>5372.4190138151562</v>
          </cell>
          <cell r="CF466">
            <v>5633.6166515662562</v>
          </cell>
          <cell r="CG466">
            <v>5909.0390040767579</v>
          </cell>
          <cell r="CH466">
            <v>6113.4749285797734</v>
          </cell>
          <cell r="CI466">
            <v>6326.3123287939225</v>
          </cell>
          <cell r="CJ466">
            <v>6496.6927999292593</v>
          </cell>
        </row>
        <row r="467">
          <cell r="A467" t="str">
            <v xml:space="preserve">   growth %</v>
          </cell>
          <cell r="AJ467">
            <v>0.15</v>
          </cell>
          <cell r="AQ467">
            <v>0.02</v>
          </cell>
          <cell r="AY467">
            <v>0.17078916372202602</v>
          </cell>
          <cell r="AZ467">
            <v>0.12421052631578955</v>
          </cell>
          <cell r="BA467">
            <v>0.14118954974986098</v>
          </cell>
          <cell r="BB467">
            <v>0.12658227848101267</v>
          </cell>
          <cell r="BC467">
            <v>0.13980509745127434</v>
          </cell>
          <cell r="BD467">
            <v>7.8916372202591178E-2</v>
          </cell>
          <cell r="BE467">
            <v>0.12510662496445835</v>
          </cell>
          <cell r="BF467">
            <v>3.5211267605633756E-2</v>
          </cell>
          <cell r="BG467">
            <v>-6.5543071161048294E-3</v>
          </cell>
          <cell r="BH467">
            <v>1.8022406234778465E-2</v>
          </cell>
          <cell r="BI467">
            <v>-1.6343207354443279E-2</v>
          </cell>
          <cell r="BJ467">
            <v>3.9460703715883394E-3</v>
          </cell>
          <cell r="BK467">
            <v>5.4585152838428019E-2</v>
          </cell>
          <cell r="BL467">
            <v>1.5668435683598769E-2</v>
          </cell>
          <cell r="BM467">
            <v>2.1379980563654088E-2</v>
          </cell>
          <cell r="BN467">
            <v>2.1677662582469281E-2</v>
          </cell>
          <cell r="BO467">
            <v>2.1531100478468845E-2</v>
          </cell>
          <cell r="BP467">
            <v>2.8037383177569986E-2</v>
          </cell>
          <cell r="BQ467">
            <v>2.3583360628889549E-2</v>
          </cell>
          <cell r="BR467">
            <v>1.7598343685300222E-2</v>
          </cell>
          <cell r="BS467">
            <v>2.2144812142324E-2</v>
          </cell>
          <cell r="BT467">
            <v>1.8899266983716911E-2</v>
          </cell>
          <cell r="BU467">
            <v>5.3954253216814685E-2</v>
          </cell>
          <cell r="BV467">
            <v>3.6697676855697248E-2</v>
          </cell>
          <cell r="BW467">
            <v>4.53330836468544E-2</v>
          </cell>
          <cell r="BX467">
            <v>3.9433373727135734E-2</v>
          </cell>
          <cell r="BY467">
            <v>2.3188629718490228E-2</v>
          </cell>
          <cell r="BZ467">
            <v>3.5546182061970688E-2</v>
          </cell>
          <cell r="CA467">
            <v>4.7229411226421991E-2</v>
          </cell>
          <cell r="CB467">
            <v>4.7511635996390522E-2</v>
          </cell>
          <cell r="CC467">
            <v>4.7791687867799748E-2</v>
          </cell>
          <cell r="CD467">
            <v>4.8069509843688962E-2</v>
          </cell>
          <cell r="CE467">
            <v>4.8345048714055316E-2</v>
          </cell>
          <cell r="CF467">
            <v>4.8618255031752211E-2</v>
          </cell>
          <cell r="CG467">
            <v>4.8889083078439199E-2</v>
          </cell>
          <cell r="CH467">
            <v>3.4597152660859276E-2</v>
          </cell>
          <cell r="CI467">
            <v>3.4814471753071174E-2</v>
          </cell>
          <cell r="CJ467">
            <v>2.6932035960326894E-2</v>
          </cell>
        </row>
        <row r="468">
          <cell r="A468" t="str">
            <v xml:space="preserve">   CER growth %</v>
          </cell>
          <cell r="BD468">
            <v>0.09</v>
          </cell>
          <cell r="BE468">
            <v>0.1</v>
          </cell>
          <cell r="BF468">
            <v>0.06</v>
          </cell>
          <cell r="BG468">
            <v>0.04</v>
          </cell>
          <cell r="BH468">
            <v>0.05</v>
          </cell>
          <cell r="BI468">
            <v>0.03</v>
          </cell>
          <cell r="BJ468">
            <v>0.04</v>
          </cell>
          <cell r="BK468">
            <v>7.0000000000000007E-2</v>
          </cell>
          <cell r="BL468">
            <v>0.05</v>
          </cell>
          <cell r="BM468">
            <v>0.05</v>
          </cell>
          <cell r="BN468">
            <v>0.04</v>
          </cell>
          <cell r="BO468">
            <v>0.04</v>
          </cell>
          <cell r="BP468">
            <v>0.05</v>
          </cell>
          <cell r="BQ468">
            <v>0.05</v>
          </cell>
          <cell r="BR468">
            <v>0.05</v>
          </cell>
          <cell r="BS468">
            <v>0.05</v>
          </cell>
        </row>
        <row r="469">
          <cell r="A469" t="str">
            <v>Glaucoma</v>
          </cell>
          <cell r="AR469">
            <v>272</v>
          </cell>
          <cell r="AY469">
            <v>310.5</v>
          </cell>
          <cell r="AZ469">
            <v>335</v>
          </cell>
          <cell r="BA469">
            <v>645.5</v>
          </cell>
          <cell r="BB469">
            <v>326</v>
          </cell>
          <cell r="BC469">
            <v>971</v>
          </cell>
          <cell r="BD469">
            <v>315</v>
          </cell>
          <cell r="BE469">
            <v>1286</v>
          </cell>
          <cell r="BF469">
            <v>306</v>
          </cell>
          <cell r="BG469">
            <v>335</v>
          </cell>
          <cell r="BH469">
            <v>641</v>
          </cell>
          <cell r="BI469">
            <v>314</v>
          </cell>
          <cell r="BJ469">
            <v>955</v>
          </cell>
          <cell r="BK469">
            <v>304</v>
          </cell>
          <cell r="BL469">
            <v>1259</v>
          </cell>
          <cell r="BM469">
            <v>309</v>
          </cell>
          <cell r="BN469">
            <v>320</v>
          </cell>
          <cell r="BO469">
            <v>629</v>
          </cell>
          <cell r="BP469">
            <v>321</v>
          </cell>
          <cell r="BQ469">
            <v>950</v>
          </cell>
          <cell r="BR469">
            <v>315</v>
          </cell>
          <cell r="BS469">
            <v>1265</v>
          </cell>
          <cell r="BT469">
            <v>320.32004425187671</v>
          </cell>
          <cell r="BU469">
            <v>341.34397467867785</v>
          </cell>
          <cell r="BV469">
            <v>661.66401893055456</v>
          </cell>
          <cell r="BW469">
            <v>339.55339078582676</v>
          </cell>
          <cell r="BX469">
            <v>1001.2174097163813</v>
          </cell>
          <cell r="BY469">
            <v>324.57478220184817</v>
          </cell>
          <cell r="BZ469">
            <v>1325.7921919182295</v>
          </cell>
          <cell r="CA469">
            <v>1392.081801514141</v>
          </cell>
          <cell r="CB469">
            <v>1461.6858915898481</v>
          </cell>
          <cell r="CC469">
            <v>1534.7701861693406</v>
          </cell>
          <cell r="CD469">
            <v>1611.5086954778078</v>
          </cell>
          <cell r="CE469">
            <v>1692.0841302516983</v>
          </cell>
          <cell r="CF469">
            <v>1776.6883367642833</v>
          </cell>
          <cell r="CG469">
            <v>1865.5227536024977</v>
          </cell>
          <cell r="CH469">
            <v>1902.8332086745477</v>
          </cell>
          <cell r="CI469">
            <v>1940.8898728480387</v>
          </cell>
          <cell r="CJ469">
            <v>1979.7076703049995</v>
          </cell>
        </row>
        <row r="470">
          <cell r="A470" t="str">
            <v xml:space="preserve">           growth </v>
          </cell>
          <cell r="AY470">
            <v>0.14338235294117641</v>
          </cell>
          <cell r="AZ470">
            <v>0.16376306620209058</v>
          </cell>
          <cell r="BA470">
            <v>0.15384615384615374</v>
          </cell>
          <cell r="BB470">
            <v>0.16428571428571437</v>
          </cell>
          <cell r="BC470">
            <v>0.15733015494636482</v>
          </cell>
          <cell r="BD470">
            <v>6.0606060606060552E-2</v>
          </cell>
          <cell r="BE470">
            <v>0.13204225352112675</v>
          </cell>
          <cell r="BF470">
            <v>-1.4492753623188359E-2</v>
          </cell>
          <cell r="BG470">
            <v>0</v>
          </cell>
          <cell r="BH470">
            <v>-6.9713400464755937E-3</v>
          </cell>
          <cell r="BI470">
            <v>-3.6809815950920255E-2</v>
          </cell>
          <cell r="BJ470">
            <v>-1.6477857878475777E-2</v>
          </cell>
          <cell r="BK470">
            <v>-3.4920634920634908E-2</v>
          </cell>
          <cell r="BL470">
            <v>-2.0995334370140006E-2</v>
          </cell>
          <cell r="BM470">
            <v>9.8039215686274161E-3</v>
          </cell>
          <cell r="BN470">
            <v>-4.4776119402985093E-2</v>
          </cell>
          <cell r="BO470">
            <v>-1.8720748829953227E-2</v>
          </cell>
          <cell r="BP470">
            <v>2.2292993630573354E-2</v>
          </cell>
          <cell r="BQ470">
            <v>-5.2356020942407877E-3</v>
          </cell>
          <cell r="BR470">
            <v>3.6184210526315708E-2</v>
          </cell>
          <cell r="BS470">
            <v>4.7656870532168938E-3</v>
          </cell>
          <cell r="BT470">
            <v>3.6634447417076776E-2</v>
          </cell>
          <cell r="BU470">
            <v>6.669992087086829E-2</v>
          </cell>
          <cell r="BV470">
            <v>5.1930077791024765E-2</v>
          </cell>
          <cell r="BW470">
            <v>5.7798725189491584E-2</v>
          </cell>
          <cell r="BX470">
            <v>5.3913062859348715E-2</v>
          </cell>
          <cell r="BY470">
            <v>3.039613397412122E-2</v>
          </cell>
          <cell r="BZ470">
            <v>4.8057068710062767E-2</v>
          </cell>
          <cell r="CA470">
            <v>5.0000000000000044E-2</v>
          </cell>
          <cell r="CB470">
            <v>5.0000000000000044E-2</v>
          </cell>
          <cell r="CC470">
            <v>5.0000000000000044E-2</v>
          </cell>
          <cell r="CD470">
            <v>5.0000000000000044E-2</v>
          </cell>
          <cell r="CE470">
            <v>5.0000000000000044E-2</v>
          </cell>
          <cell r="CF470">
            <v>5.0000000000000044E-2</v>
          </cell>
          <cell r="CG470">
            <v>5.0000000000000044E-2</v>
          </cell>
          <cell r="CH470">
            <v>2.0000000000000018E-2</v>
          </cell>
          <cell r="CI470">
            <v>2.0000000000000018E-2</v>
          </cell>
          <cell r="CJ470">
            <v>2.0000000000000018E-2</v>
          </cell>
        </row>
        <row r="471">
          <cell r="A471" t="str">
            <v xml:space="preserve">   CER growth </v>
          </cell>
          <cell r="BD471">
            <v>7.0000000000000007E-2</v>
          </cell>
          <cell r="BE471">
            <v>0.1</v>
          </cell>
          <cell r="BG471">
            <v>0.06</v>
          </cell>
          <cell r="BH471">
            <v>0.03</v>
          </cell>
          <cell r="BI471">
            <v>0.02</v>
          </cell>
          <cell r="BJ471">
            <v>0.02</v>
          </cell>
          <cell r="BK471">
            <v>0.02</v>
          </cell>
          <cell r="BL471">
            <v>0.01</v>
          </cell>
          <cell r="BM471">
            <v>0.04</v>
          </cell>
          <cell r="BN471">
            <v>-0.02</v>
          </cell>
          <cell r="BO471">
            <v>0.01</v>
          </cell>
          <cell r="BP471">
            <v>0.05</v>
          </cell>
          <cell r="BQ471">
            <v>0.02</v>
          </cell>
          <cell r="BR471">
            <v>7.0000000000000007E-2</v>
          </cell>
          <cell r="BS471">
            <v>0.04</v>
          </cell>
          <cell r="BT471">
            <v>0.05</v>
          </cell>
          <cell r="BU471">
            <v>0.05</v>
          </cell>
          <cell r="BW471">
            <v>0.05</v>
          </cell>
          <cell r="BY471">
            <v>2.3587867017934583E-2</v>
          </cell>
          <cell r="BZ471">
            <v>0.05</v>
          </cell>
          <cell r="CA471">
            <v>0.05</v>
          </cell>
          <cell r="CB471">
            <v>0.05</v>
          </cell>
          <cell r="CC471">
            <v>0.05</v>
          </cell>
          <cell r="CD471">
            <v>0.05</v>
          </cell>
          <cell r="CE471">
            <v>0.05</v>
          </cell>
          <cell r="CF471">
            <v>0.05</v>
          </cell>
          <cell r="CG471">
            <v>0.05</v>
          </cell>
          <cell r="CH471">
            <v>0.02</v>
          </cell>
          <cell r="CI471">
            <v>0.02</v>
          </cell>
          <cell r="CJ471">
            <v>0.02</v>
          </cell>
        </row>
        <row r="472">
          <cell r="A472" t="str">
            <v>Allergy/Otic/Nasal</v>
          </cell>
          <cell r="AR472">
            <v>204</v>
          </cell>
          <cell r="AY472">
            <v>258</v>
          </cell>
          <cell r="AZ472">
            <v>261</v>
          </cell>
          <cell r="BA472">
            <v>519</v>
          </cell>
          <cell r="BB472">
            <v>201</v>
          </cell>
          <cell r="BC472">
            <v>725</v>
          </cell>
          <cell r="BD472">
            <v>164</v>
          </cell>
          <cell r="BE472">
            <v>889</v>
          </cell>
          <cell r="BF472">
            <v>264</v>
          </cell>
          <cell r="BG472">
            <v>243</v>
          </cell>
          <cell r="BH472">
            <v>507</v>
          </cell>
          <cell r="BI472">
            <v>208</v>
          </cell>
          <cell r="BJ472">
            <v>715</v>
          </cell>
          <cell r="BK472">
            <v>186</v>
          </cell>
          <cell r="BL472">
            <v>901</v>
          </cell>
          <cell r="BM472">
            <v>290</v>
          </cell>
          <cell r="BN472">
            <v>270</v>
          </cell>
          <cell r="BO472">
            <v>560</v>
          </cell>
          <cell r="BP472">
            <v>206</v>
          </cell>
          <cell r="BQ472">
            <v>766</v>
          </cell>
          <cell r="BR472">
            <v>173</v>
          </cell>
          <cell r="BS472">
            <v>939</v>
          </cell>
          <cell r="BT472">
            <v>292.03473290092506</v>
          </cell>
          <cell r="BU472">
            <v>285.26603598146647</v>
          </cell>
          <cell r="BV472">
            <v>577.30076888239159</v>
          </cell>
          <cell r="BW472">
            <v>215.83123703294922</v>
          </cell>
          <cell r="BX472">
            <v>793.13200591534087</v>
          </cell>
          <cell r="BY472">
            <v>181.6209569603725</v>
          </cell>
          <cell r="BZ472">
            <v>974.75296287571337</v>
          </cell>
          <cell r="CA472">
            <v>1023.4906110194991</v>
          </cell>
          <cell r="CB472">
            <v>1074.6651415704741</v>
          </cell>
          <cell r="CC472">
            <v>1128.398398648998</v>
          </cell>
          <cell r="CD472">
            <v>1184.818318581448</v>
          </cell>
          <cell r="CE472">
            <v>1244.0592345105204</v>
          </cell>
          <cell r="CF472">
            <v>1306.2621962360465</v>
          </cell>
          <cell r="CG472">
            <v>1371.5753060478489</v>
          </cell>
          <cell r="CH472">
            <v>1440.1540713502413</v>
          </cell>
          <cell r="CI472">
            <v>1512.1617749177535</v>
          </cell>
          <cell r="CJ472">
            <v>1557.5266281652862</v>
          </cell>
        </row>
        <row r="473">
          <cell r="A473" t="str">
            <v xml:space="preserve">           growth </v>
          </cell>
          <cell r="AY473">
            <v>0.26470588235294112</v>
          </cell>
          <cell r="AZ473">
            <v>0</v>
          </cell>
          <cell r="BA473">
            <v>0.11489361702127665</v>
          </cell>
          <cell r="BB473">
            <v>3.6082474226804218E-2</v>
          </cell>
          <cell r="BC473">
            <v>9.1867469879518104E-2</v>
          </cell>
          <cell r="BD473">
            <v>8.6092715231788075E-2</v>
          </cell>
          <cell r="BE473">
            <v>9.0797546012269859E-2</v>
          </cell>
          <cell r="BF473">
            <v>2.3255813953488413E-2</v>
          </cell>
          <cell r="BG473">
            <v>-6.8965517241379337E-2</v>
          </cell>
          <cell r="BH473">
            <v>-2.3121387283236983E-2</v>
          </cell>
          <cell r="BI473">
            <v>3.4825870646766122E-2</v>
          </cell>
          <cell r="BJ473">
            <v>-6.8137931034483179E-3</v>
          </cell>
          <cell r="BK473">
            <v>0.13414634146341453</v>
          </cell>
          <cell r="BL473">
            <v>1.3498312710911176E-2</v>
          </cell>
          <cell r="BM473">
            <v>9.8484848484848397E-2</v>
          </cell>
          <cell r="BN473">
            <v>0.11111111111111116</v>
          </cell>
          <cell r="BO473">
            <v>0.10453648915187386</v>
          </cell>
          <cell r="BP473">
            <v>-9.6153846153845812E-3</v>
          </cell>
          <cell r="BQ473">
            <v>7.1328671328671378E-2</v>
          </cell>
          <cell r="BR473">
            <v>-6.9892473118279619E-2</v>
          </cell>
          <cell r="BS473">
            <v>4.2175360710321907E-2</v>
          </cell>
          <cell r="BT473">
            <v>7.0163203480173575E-3</v>
          </cell>
          <cell r="BU473">
            <v>5.6540874005431396E-2</v>
          </cell>
          <cell r="BV473">
            <v>3.0894230147127777E-2</v>
          </cell>
          <cell r="BW473">
            <v>4.7724451616258268E-2</v>
          </cell>
          <cell r="BX473">
            <v>3.5420373257625259E-2</v>
          </cell>
          <cell r="BY473">
            <v>4.9832121158222442E-2</v>
          </cell>
          <cell r="BZ473">
            <v>3.8075572817586112E-2</v>
          </cell>
          <cell r="CA473">
            <v>5.0000000000000044E-2</v>
          </cell>
          <cell r="CB473">
            <v>5.0000000000000044E-2</v>
          </cell>
          <cell r="CC473">
            <v>5.0000000000000044E-2</v>
          </cell>
          <cell r="CD473">
            <v>5.0000000000000044E-2</v>
          </cell>
          <cell r="CE473">
            <v>5.0000000000000044E-2</v>
          </cell>
          <cell r="CF473">
            <v>5.0000000000000044E-2</v>
          </cell>
          <cell r="CG473">
            <v>5.0000000000000044E-2</v>
          </cell>
          <cell r="CH473">
            <v>5.0000000000000044E-2</v>
          </cell>
          <cell r="CI473">
            <v>5.0000000000000044E-2</v>
          </cell>
          <cell r="CJ473">
            <v>3.0000000000000027E-2</v>
          </cell>
        </row>
        <row r="474">
          <cell r="A474" t="str">
            <v xml:space="preserve">   CER growth </v>
          </cell>
          <cell r="BD474">
            <v>0.1</v>
          </cell>
          <cell r="BE474">
            <v>7.0000000000000007E-2</v>
          </cell>
          <cell r="BG474">
            <v>-0.06</v>
          </cell>
          <cell r="BH474">
            <v>-0.02</v>
          </cell>
          <cell r="BI474">
            <v>0.05</v>
          </cell>
          <cell r="BJ474">
            <v>0</v>
          </cell>
          <cell r="BK474">
            <v>0.14000000000000001</v>
          </cell>
          <cell r="BL474">
            <v>0.03</v>
          </cell>
          <cell r="BM474">
            <v>0.14000000000000001</v>
          </cell>
          <cell r="BN474">
            <v>0.13</v>
          </cell>
          <cell r="BO474">
            <v>0.14000000000000001</v>
          </cell>
          <cell r="BP474">
            <v>-0.01</v>
          </cell>
          <cell r="BQ474">
            <v>0.1</v>
          </cell>
          <cell r="BR474">
            <v>-0.05</v>
          </cell>
          <cell r="BS474">
            <v>0.06</v>
          </cell>
          <cell r="BT474">
            <v>0.02</v>
          </cell>
          <cell r="BU474">
            <v>0.04</v>
          </cell>
          <cell r="BW474">
            <v>0.04</v>
          </cell>
          <cell r="BY474">
            <v>4.3023854202035805E-2</v>
          </cell>
          <cell r="BZ474">
            <v>0.04</v>
          </cell>
          <cell r="CA474">
            <v>0.05</v>
          </cell>
          <cell r="CB474">
            <v>0.05</v>
          </cell>
          <cell r="CC474">
            <v>0.05</v>
          </cell>
          <cell r="CD474">
            <v>0.05</v>
          </cell>
          <cell r="CE474">
            <v>0.05</v>
          </cell>
          <cell r="CF474">
            <v>0.05</v>
          </cell>
          <cell r="CG474">
            <v>0.05</v>
          </cell>
          <cell r="CH474">
            <v>0.05</v>
          </cell>
          <cell r="CI474">
            <v>0.05</v>
          </cell>
          <cell r="CJ474">
            <v>0.03</v>
          </cell>
        </row>
        <row r="475">
          <cell r="A475" t="str">
            <v>Infection/Inflammation</v>
          </cell>
          <cell r="AR475">
            <v>200</v>
          </cell>
          <cell r="AY475">
            <v>228</v>
          </cell>
          <cell r="AZ475">
            <v>260</v>
          </cell>
          <cell r="BA475">
            <v>488</v>
          </cell>
          <cell r="BB475">
            <v>239</v>
          </cell>
          <cell r="BC475">
            <v>728</v>
          </cell>
          <cell r="BD475">
            <v>240</v>
          </cell>
          <cell r="BE475">
            <v>968</v>
          </cell>
          <cell r="BF475">
            <v>250</v>
          </cell>
          <cell r="BG475">
            <v>267</v>
          </cell>
          <cell r="BH475">
            <v>517</v>
          </cell>
          <cell r="BI475">
            <v>232</v>
          </cell>
          <cell r="BJ475">
            <v>749</v>
          </cell>
          <cell r="BK475">
            <v>262</v>
          </cell>
          <cell r="BL475">
            <v>1011</v>
          </cell>
          <cell r="BM475">
            <v>245</v>
          </cell>
          <cell r="BN475">
            <v>264</v>
          </cell>
          <cell r="BO475">
            <v>509</v>
          </cell>
          <cell r="BP475">
            <v>247</v>
          </cell>
          <cell r="BQ475">
            <v>756</v>
          </cell>
          <cell r="BR475">
            <v>263</v>
          </cell>
          <cell r="BS475">
            <v>1019</v>
          </cell>
          <cell r="BT475">
            <v>241.88137106398457</v>
          </cell>
          <cell r="BU475">
            <v>268.19883724753259</v>
          </cell>
          <cell r="BV475">
            <v>510.08020831151714</v>
          </cell>
          <cell r="BW475">
            <v>248.83455725886134</v>
          </cell>
          <cell r="BX475">
            <v>758.91476557037845</v>
          </cell>
          <cell r="BY475">
            <v>258.19966587300644</v>
          </cell>
          <cell r="BZ475">
            <v>1017.1144314433849</v>
          </cell>
          <cell r="CA475">
            <v>1037.4567200722527</v>
          </cell>
          <cell r="CB475">
            <v>1058.2058544736976</v>
          </cell>
          <cell r="CC475">
            <v>1079.3699715631717</v>
          </cell>
          <cell r="CD475">
            <v>1100.9573709944352</v>
          </cell>
          <cell r="CE475">
            <v>1122.9765184143239</v>
          </cell>
          <cell r="CF475">
            <v>1145.4360487826104</v>
          </cell>
          <cell r="CG475">
            <v>1168.3447697582626</v>
          </cell>
          <cell r="CH475">
            <v>1191.7116651534279</v>
          </cell>
          <cell r="CI475">
            <v>1215.5458984564966</v>
          </cell>
          <cell r="CJ475">
            <v>1252.0122754101915</v>
          </cell>
        </row>
        <row r="476">
          <cell r="A476" t="str">
            <v xml:space="preserve">           growth </v>
          </cell>
          <cell r="AY476">
            <v>0.1399999999999999</v>
          </cell>
          <cell r="AZ476">
            <v>0.22535211267605626</v>
          </cell>
          <cell r="BA476">
            <v>0.18401937046004835</v>
          </cell>
          <cell r="BB476">
            <v>0.14903846153846145</v>
          </cell>
          <cell r="BC476">
            <v>0.17230273752012892</v>
          </cell>
          <cell r="BD476">
            <v>9.5890410958904049E-2</v>
          </cell>
          <cell r="BE476">
            <v>0.15238095238095228</v>
          </cell>
          <cell r="BF476">
            <v>9.6491228070175517E-2</v>
          </cell>
          <cell r="BG476">
            <v>2.6923076923076827E-2</v>
          </cell>
          <cell r="BH476">
            <v>5.9426229508196649E-2</v>
          </cell>
          <cell r="BI476">
            <v>-2.9288702928870314E-2</v>
          </cell>
          <cell r="BJ476">
            <v>5.8159340659340808E-2</v>
          </cell>
          <cell r="BK476">
            <v>9.1666666666666563E-2</v>
          </cell>
          <cell r="BL476">
            <v>4.4421487603305776E-2</v>
          </cell>
          <cell r="BM476">
            <v>-2.0000000000000018E-2</v>
          </cell>
          <cell r="BN476">
            <v>-1.1235955056179803E-2</v>
          </cell>
          <cell r="BO476">
            <v>-1.5473887814313358E-2</v>
          </cell>
          <cell r="BP476">
            <v>6.4655172413793149E-2</v>
          </cell>
          <cell r="BQ476">
            <v>9.3457943925232545E-3</v>
          </cell>
          <cell r="BR476">
            <v>3.8167938931297218E-3</v>
          </cell>
          <cell r="BS476">
            <v>7.9129574678535874E-3</v>
          </cell>
          <cell r="BT476">
            <v>-1.2729097698022107E-2</v>
          </cell>
          <cell r="BU476">
            <v>1.5904686543684043E-2</v>
          </cell>
          <cell r="BV476">
            <v>2.1222167220376065E-3</v>
          </cell>
          <cell r="BW476">
            <v>7.4273573233252232E-3</v>
          </cell>
          <cell r="BX476">
            <v>3.8555100137280807E-3</v>
          </cell>
          <cell r="BY476">
            <v>-1.8252221015184644E-2</v>
          </cell>
          <cell r="BZ476">
            <v>-1.8504107523210633E-3</v>
          </cell>
          <cell r="CA476">
            <v>2.0000000000000018E-2</v>
          </cell>
          <cell r="CB476">
            <v>2.0000000000000018E-2</v>
          </cell>
          <cell r="CC476">
            <v>2.0000000000000018E-2</v>
          </cell>
          <cell r="CD476">
            <v>2.0000000000000018E-2</v>
          </cell>
          <cell r="CE476">
            <v>2.0000000000000018E-2</v>
          </cell>
          <cell r="CF476">
            <v>2.0000000000000018E-2</v>
          </cell>
          <cell r="CG476">
            <v>2.0000000000000018E-2</v>
          </cell>
          <cell r="CH476">
            <v>2.0000000000000018E-2</v>
          </cell>
          <cell r="CI476">
            <v>2.0000000000000018E-2</v>
          </cell>
          <cell r="CJ476">
            <v>3.0000000000000027E-2</v>
          </cell>
        </row>
        <row r="477">
          <cell r="A477" t="str">
            <v xml:space="preserve">   CER growth </v>
          </cell>
          <cell r="BD477">
            <v>0.11</v>
          </cell>
          <cell r="BE477">
            <v>0.14000000000000001</v>
          </cell>
          <cell r="BG477">
            <v>7.0000000000000007E-2</v>
          </cell>
          <cell r="BH477">
            <v>0.09</v>
          </cell>
          <cell r="BI477">
            <v>0.01</v>
          </cell>
          <cell r="BJ477">
            <v>0.06</v>
          </cell>
          <cell r="BK477">
            <v>0.11</v>
          </cell>
          <cell r="BL477">
            <v>0.08</v>
          </cell>
          <cell r="BM477">
            <v>-0.01</v>
          </cell>
          <cell r="BN477">
            <v>-0.01</v>
          </cell>
          <cell r="BO477">
            <v>-0.01</v>
          </cell>
          <cell r="BP477">
            <v>0.1</v>
          </cell>
          <cell r="BQ477">
            <v>0.02</v>
          </cell>
          <cell r="BR477">
            <v>0.02</v>
          </cell>
          <cell r="BS477">
            <v>0.02</v>
          </cell>
          <cell r="BT477">
            <v>0</v>
          </cell>
          <cell r="BU477">
            <v>0</v>
          </cell>
          <cell r="BW477">
            <v>0</v>
          </cell>
          <cell r="BY477">
            <v>-2.5060487971371281E-2</v>
          </cell>
          <cell r="BZ477">
            <v>0</v>
          </cell>
          <cell r="CA477">
            <v>0.02</v>
          </cell>
          <cell r="CB477">
            <v>0.02</v>
          </cell>
          <cell r="CC477">
            <v>0.02</v>
          </cell>
          <cell r="CD477">
            <v>0.02</v>
          </cell>
          <cell r="CE477">
            <v>0.02</v>
          </cell>
          <cell r="CF477">
            <v>0.02</v>
          </cell>
          <cell r="CG477">
            <v>0.02</v>
          </cell>
          <cell r="CH477">
            <v>0.02</v>
          </cell>
          <cell r="CI477">
            <v>0.02</v>
          </cell>
          <cell r="CJ477">
            <v>0.03</v>
          </cell>
        </row>
        <row r="478">
          <cell r="A478" t="str">
            <v>Dry Eye/Other</v>
          </cell>
          <cell r="AR478">
            <v>173</v>
          </cell>
          <cell r="AY478">
            <v>188.5</v>
          </cell>
          <cell r="AZ478">
            <v>212</v>
          </cell>
          <cell r="BA478">
            <v>400.5</v>
          </cell>
          <cell r="BB478">
            <v>213</v>
          </cell>
          <cell r="BC478">
            <v>617</v>
          </cell>
          <cell r="BD478">
            <v>197</v>
          </cell>
          <cell r="BE478">
            <v>814</v>
          </cell>
          <cell r="BF478">
            <v>209</v>
          </cell>
          <cell r="BG478">
            <v>216</v>
          </cell>
          <cell r="BH478">
            <v>425</v>
          </cell>
          <cell r="BI478">
            <v>209</v>
          </cell>
          <cell r="BJ478">
            <v>634</v>
          </cell>
          <cell r="BK478">
            <v>214</v>
          </cell>
          <cell r="BL478">
            <v>848</v>
          </cell>
          <cell r="BM478">
            <v>207</v>
          </cell>
          <cell r="BN478">
            <v>230</v>
          </cell>
          <cell r="BO478">
            <v>437</v>
          </cell>
          <cell r="BP478">
            <v>216</v>
          </cell>
          <cell r="BQ478">
            <v>653</v>
          </cell>
          <cell r="BR478">
            <v>232</v>
          </cell>
          <cell r="BS478">
            <v>885</v>
          </cell>
          <cell r="BT478">
            <v>216.6269813831</v>
          </cell>
          <cell r="BU478">
            <v>247.67756257935019</v>
          </cell>
          <cell r="BV478">
            <v>464.30454396245023</v>
          </cell>
          <cell r="BW478">
            <v>230.66056773274855</v>
          </cell>
          <cell r="BX478">
            <v>694.96511169519874</v>
          </cell>
          <cell r="BY478">
            <v>241.39901797804885</v>
          </cell>
          <cell r="BZ478">
            <v>936.36412967324759</v>
          </cell>
          <cell r="CA478">
            <v>1001.909618750375</v>
          </cell>
          <cell r="CB478">
            <v>1072.0432920629014</v>
          </cell>
          <cell r="CC478">
            <v>1147.0863225073047</v>
          </cell>
          <cell r="CD478">
            <v>1227.382365082816</v>
          </cell>
          <cell r="CE478">
            <v>1313.2991306386132</v>
          </cell>
          <cell r="CF478">
            <v>1405.2300697833161</v>
          </cell>
          <cell r="CG478">
            <v>1503.5961746681483</v>
          </cell>
          <cell r="CH478">
            <v>1578.7759834015558</v>
          </cell>
          <cell r="CI478">
            <v>1657.7147825716336</v>
          </cell>
          <cell r="CJ478">
            <v>1707.4462260487826</v>
          </cell>
        </row>
        <row r="479">
          <cell r="A479" t="str">
            <v xml:space="preserve">           growth </v>
          </cell>
          <cell r="AY479">
            <v>0.1387283236994219</v>
          </cell>
          <cell r="AZ479">
            <v>0.125</v>
          </cell>
          <cell r="BA479">
            <v>0.13165266106442575</v>
          </cell>
          <cell r="BB479">
            <v>0.1390374331550801</v>
          </cell>
          <cell r="BC479">
            <v>0.13419117647058831</v>
          </cell>
          <cell r="BD479">
            <v>8.2417582417582347E-2</v>
          </cell>
          <cell r="BE479">
            <v>0.1212121212121211</v>
          </cell>
          <cell r="BF479">
            <v>6.0913705583756306E-2</v>
          </cell>
          <cell r="BG479">
            <v>1.8867924528301883E-2</v>
          </cell>
          <cell r="BH479">
            <v>6.1173533083645371E-2</v>
          </cell>
          <cell r="BI479">
            <v>-1.8779342723004744E-2</v>
          </cell>
          <cell r="BJ479">
            <v>5.4748784440842746E-2</v>
          </cell>
          <cell r="BK479">
            <v>8.6294416243654748E-2</v>
          </cell>
          <cell r="BL479">
            <v>4.1769041769041726E-2</v>
          </cell>
          <cell r="BM479">
            <v>-9.5693779904306719E-3</v>
          </cell>
          <cell r="BN479">
            <v>6.4814814814814881E-2</v>
          </cell>
          <cell r="BO479">
            <v>2.8235294117647136E-2</v>
          </cell>
          <cell r="BP479">
            <v>3.3492822966507241E-2</v>
          </cell>
          <cell r="BQ479">
            <v>2.9968454258675115E-2</v>
          </cell>
          <cell r="BR479">
            <v>8.4112149532710179E-2</v>
          </cell>
          <cell r="BS479">
            <v>4.3632075471698117E-2</v>
          </cell>
          <cell r="BT479">
            <v>4.6507156440096731E-2</v>
          </cell>
          <cell r="BU479">
            <v>7.6858967736305184E-2</v>
          </cell>
          <cell r="BV479">
            <v>6.2481793964416887E-2</v>
          </cell>
          <cell r="BW479">
            <v>6.7872998762724679E-2</v>
          </cell>
          <cell r="BX479">
            <v>6.4265102136598307E-2</v>
          </cell>
          <cell r="BY479">
            <v>4.0513008526072536E-2</v>
          </cell>
          <cell r="BZ479">
            <v>5.8038564602539644E-2</v>
          </cell>
          <cell r="CA479">
            <v>7.0000000000000062E-2</v>
          </cell>
          <cell r="CB479">
            <v>7.0000000000000062E-2</v>
          </cell>
          <cell r="CC479">
            <v>7.0000000000000062E-2</v>
          </cell>
          <cell r="CD479">
            <v>7.0000000000000062E-2</v>
          </cell>
          <cell r="CE479">
            <v>7.0000000000000062E-2</v>
          </cell>
          <cell r="CF479">
            <v>7.0000000000000062E-2</v>
          </cell>
          <cell r="CG479">
            <v>7.0000000000000062E-2</v>
          </cell>
          <cell r="CH479">
            <v>5.0000000000000044E-2</v>
          </cell>
          <cell r="CI479">
            <v>5.0000000000000044E-2</v>
          </cell>
          <cell r="CJ479">
            <v>3.0000000000000027E-2</v>
          </cell>
        </row>
        <row r="480">
          <cell r="A480" t="str">
            <v xml:space="preserve">   CER growth </v>
          </cell>
          <cell r="BD480">
            <v>0.11</v>
          </cell>
          <cell r="BE480">
            <v>0.1</v>
          </cell>
          <cell r="BG480">
            <v>0.08</v>
          </cell>
          <cell r="BH480">
            <v>0.11</v>
          </cell>
          <cell r="BI480">
            <v>0.03</v>
          </cell>
          <cell r="BJ480">
            <v>0.08</v>
          </cell>
          <cell r="BK480">
            <v>0.09</v>
          </cell>
          <cell r="BL480">
            <v>0.08</v>
          </cell>
          <cell r="BM480">
            <v>0</v>
          </cell>
          <cell r="BN480">
            <v>0.08</v>
          </cell>
          <cell r="BO480">
            <v>0.04</v>
          </cell>
          <cell r="BP480">
            <v>0.05</v>
          </cell>
          <cell r="BQ480">
            <v>0.04</v>
          </cell>
          <cell r="BR480">
            <v>0.14000000000000001</v>
          </cell>
          <cell r="BS480">
            <v>7.0000000000000007E-2</v>
          </cell>
          <cell r="BT480">
            <v>0.06</v>
          </cell>
          <cell r="BU480">
            <v>0.06</v>
          </cell>
          <cell r="BW480">
            <v>0.06</v>
          </cell>
          <cell r="BY480">
            <v>3.3704741569885899E-2</v>
          </cell>
          <cell r="BZ480">
            <v>0.06</v>
          </cell>
          <cell r="CA480">
            <v>7.0000000000000007E-2</v>
          </cell>
          <cell r="CB480">
            <v>7.0000000000000007E-2</v>
          </cell>
          <cell r="CC480">
            <v>7.0000000000000007E-2</v>
          </cell>
          <cell r="CD480">
            <v>7.0000000000000007E-2</v>
          </cell>
          <cell r="CE480">
            <v>7.0000000000000007E-2</v>
          </cell>
          <cell r="CF480">
            <v>7.0000000000000007E-2</v>
          </cell>
          <cell r="CG480">
            <v>7.0000000000000007E-2</v>
          </cell>
          <cell r="CH480">
            <v>0.05</v>
          </cell>
          <cell r="CI480">
            <v>0.05</v>
          </cell>
          <cell r="CJ480">
            <v>0.03</v>
          </cell>
        </row>
        <row r="481">
          <cell r="A481" t="str">
            <v xml:space="preserve">Surgical </v>
          </cell>
          <cell r="AC481">
            <v>2484.6999999999998</v>
          </cell>
          <cell r="AJ481">
            <v>2782.864</v>
          </cell>
          <cell r="AQ481">
            <v>2852.4355999999998</v>
          </cell>
          <cell r="AR481">
            <v>772</v>
          </cell>
          <cell r="AS481">
            <v>823</v>
          </cell>
          <cell r="AT481">
            <v>1595</v>
          </cell>
          <cell r="AU481">
            <v>766</v>
          </cell>
          <cell r="AV481">
            <v>2361</v>
          </cell>
          <cell r="AW481">
            <v>860</v>
          </cell>
          <cell r="AX481">
            <v>3221</v>
          </cell>
          <cell r="AY481">
            <v>845</v>
          </cell>
          <cell r="AZ481">
            <v>927</v>
          </cell>
          <cell r="BA481">
            <v>1772</v>
          </cell>
          <cell r="BB481">
            <v>887</v>
          </cell>
          <cell r="BC481">
            <v>2659</v>
          </cell>
          <cell r="BD481">
            <v>928</v>
          </cell>
          <cell r="BE481">
            <v>3587</v>
          </cell>
          <cell r="BF481">
            <v>918</v>
          </cell>
          <cell r="BG481">
            <v>957</v>
          </cell>
          <cell r="BH481">
            <v>1875</v>
          </cell>
          <cell r="BI481">
            <v>873</v>
          </cell>
          <cell r="BJ481">
            <v>2748</v>
          </cell>
          <cell r="BK481">
            <v>1004</v>
          </cell>
          <cell r="BL481">
            <v>3752</v>
          </cell>
          <cell r="BM481">
            <v>912</v>
          </cell>
          <cell r="BN481">
            <v>1009</v>
          </cell>
          <cell r="BO481">
            <v>1921</v>
          </cell>
          <cell r="BP481">
            <v>919</v>
          </cell>
          <cell r="BQ481">
            <v>2840</v>
          </cell>
          <cell r="BR481">
            <v>1057</v>
          </cell>
          <cell r="BS481">
            <v>3897</v>
          </cell>
          <cell r="BT481">
            <v>1022.773163948757</v>
          </cell>
          <cell r="BU481">
            <v>1083.0356682304907</v>
          </cell>
          <cell r="BV481">
            <v>2105.8088321792479</v>
          </cell>
          <cell r="BW481">
            <v>981.9696680037647</v>
          </cell>
          <cell r="BX481">
            <v>3087.7785001830121</v>
          </cell>
          <cell r="BY481">
            <v>1118.5436468574167</v>
          </cell>
          <cell r="BZ481">
            <v>4206.3221470404287</v>
          </cell>
          <cell r="CA481">
            <v>4696.0380914855641</v>
          </cell>
          <cell r="CB481">
            <v>5115.0260084563588</v>
          </cell>
          <cell r="CC481">
            <v>5491.2029629697372</v>
          </cell>
          <cell r="CD481">
            <v>5797.7137396588305</v>
          </cell>
          <cell r="CE481">
            <v>6122.0277749180168</v>
          </cell>
          <cell r="CF481">
            <v>6465.2279661163193</v>
          </cell>
          <cell r="CG481">
            <v>6798.0851933257027</v>
          </cell>
          <cell r="CH481">
            <v>7137.9894529919884</v>
          </cell>
          <cell r="CI481">
            <v>7494.8889256415878</v>
          </cell>
          <cell r="CJ481">
            <v>7719.7355934108355</v>
          </cell>
        </row>
        <row r="482">
          <cell r="A482" t="str">
            <v xml:space="preserve">   growth %</v>
          </cell>
          <cell r="AJ482">
            <v>0.12</v>
          </cell>
          <cell r="AQ482">
            <v>2.5000000000000001E-2</v>
          </cell>
          <cell r="AY482">
            <v>9.4559585492227871E-2</v>
          </cell>
          <cell r="AZ482">
            <v>0.12636695018225996</v>
          </cell>
          <cell r="BA482">
            <v>0.11097178683385578</v>
          </cell>
          <cell r="BB482">
            <v>0.15796344647519578</v>
          </cell>
          <cell r="BC482">
            <v>0.1262177043625583</v>
          </cell>
          <cell r="BD482">
            <v>7.9069767441860561E-2</v>
          </cell>
          <cell r="BE482">
            <v>0.11362930766842605</v>
          </cell>
          <cell r="BF482">
            <v>8.6390532544378784E-2</v>
          </cell>
          <cell r="BG482">
            <v>3.2362459546925626E-2</v>
          </cell>
          <cell r="BH482">
            <v>5.8126410835214415E-2</v>
          </cell>
          <cell r="BI482">
            <v>-1.5783540022547893E-2</v>
          </cell>
          <cell r="BJ482">
            <v>3.347122978563366E-2</v>
          </cell>
          <cell r="BK482">
            <v>8.18965517241379E-2</v>
          </cell>
          <cell r="BL482">
            <v>4.5999442431000848E-2</v>
          </cell>
          <cell r="BM482">
            <v>-6.5359477124182774E-3</v>
          </cell>
          <cell r="BN482">
            <v>5.4336468129571491E-2</v>
          </cell>
          <cell r="BO482">
            <v>2.4533333333333296E-2</v>
          </cell>
          <cell r="BP482">
            <v>5.269186712485685E-2</v>
          </cell>
          <cell r="BQ482">
            <v>3.3478893740902516E-2</v>
          </cell>
          <cell r="BR482">
            <v>5.2788844621513897E-2</v>
          </cell>
          <cell r="BS482">
            <v>3.8646055437100202E-2</v>
          </cell>
          <cell r="BT482">
            <v>0.12146180257539152</v>
          </cell>
          <cell r="BU482">
            <v>7.3375290614956068E-2</v>
          </cell>
          <cell r="BV482">
            <v>9.6204493586282025E-2</v>
          </cell>
          <cell r="BW482">
            <v>6.8519769318568846E-2</v>
          </cell>
          <cell r="BX482">
            <v>8.7245950768666258E-2</v>
          </cell>
          <cell r="BY482">
            <v>5.8224831463970395E-2</v>
          </cell>
          <cell r="BZ482">
            <v>7.9374428288536913E-2</v>
          </cell>
          <cell r="CA482">
            <v>0.11642378479967341</v>
          </cell>
          <cell r="CB482">
            <v>8.9221575466022385E-2</v>
          </cell>
          <cell r="CC482">
            <v>7.3543507675516873E-2</v>
          </cell>
          <cell r="CD482">
            <v>5.5818511673319637E-2</v>
          </cell>
          <cell r="CE482">
            <v>5.5938262877785805E-2</v>
          </cell>
          <cell r="CF482">
            <v>5.6059887967904398E-2</v>
          </cell>
          <cell r="CG482">
            <v>5.1484221276319797E-2</v>
          </cell>
          <cell r="CH482">
            <v>5.0000000000000044E-2</v>
          </cell>
          <cell r="CI482">
            <v>5.0000000000000044E-2</v>
          </cell>
          <cell r="CJ482">
            <v>3.0000000000000027E-2</v>
          </cell>
        </row>
        <row r="483">
          <cell r="A483" t="str">
            <v xml:space="preserve">   CER growth %</v>
          </cell>
          <cell r="BD483">
            <v>0.09</v>
          </cell>
          <cell r="BE483">
            <v>0.08</v>
          </cell>
          <cell r="BF483">
            <v>0.1</v>
          </cell>
          <cell r="BG483">
            <v>0.08</v>
          </cell>
          <cell r="BH483">
            <v>0.09</v>
          </cell>
          <cell r="BI483">
            <v>0.03</v>
          </cell>
          <cell r="BJ483">
            <v>7.0000000000000007E-2</v>
          </cell>
          <cell r="BK483">
            <v>0.1</v>
          </cell>
          <cell r="BL483">
            <v>0.08</v>
          </cell>
          <cell r="BM483">
            <v>0.02</v>
          </cell>
          <cell r="BN483">
            <v>0.08</v>
          </cell>
          <cell r="BO483">
            <v>0.05</v>
          </cell>
          <cell r="BP483">
            <v>0.09</v>
          </cell>
          <cell r="BQ483">
            <v>0.06</v>
          </cell>
          <cell r="BR483">
            <v>0.09</v>
          </cell>
          <cell r="BS483">
            <v>7.0000000000000007E-2</v>
          </cell>
        </row>
        <row r="484">
          <cell r="A484" t="str">
            <v>Cataract Products</v>
          </cell>
          <cell r="AR484">
            <v>643</v>
          </cell>
          <cell r="AY484">
            <v>681</v>
          </cell>
          <cell r="AZ484">
            <v>746</v>
          </cell>
          <cell r="BA484">
            <v>1427</v>
          </cell>
          <cell r="BB484">
            <v>699</v>
          </cell>
          <cell r="BC484">
            <v>2126</v>
          </cell>
          <cell r="BD484">
            <v>732</v>
          </cell>
          <cell r="BE484">
            <v>2858</v>
          </cell>
          <cell r="BF484">
            <v>713</v>
          </cell>
          <cell r="BG484">
            <v>757</v>
          </cell>
          <cell r="BH484">
            <v>1470</v>
          </cell>
          <cell r="BI484">
            <v>685</v>
          </cell>
          <cell r="BJ484">
            <v>2155</v>
          </cell>
          <cell r="BK484">
            <v>777</v>
          </cell>
          <cell r="BL484">
            <v>2932</v>
          </cell>
          <cell r="BM484">
            <v>710</v>
          </cell>
          <cell r="BN484">
            <v>788</v>
          </cell>
          <cell r="BO484">
            <v>1498</v>
          </cell>
          <cell r="BP484">
            <v>713</v>
          </cell>
          <cell r="BQ484">
            <v>2211</v>
          </cell>
          <cell r="BR484">
            <v>826</v>
          </cell>
          <cell r="BS484">
            <v>3037</v>
          </cell>
          <cell r="BT484">
            <v>806.10669172956489</v>
          </cell>
          <cell r="BU484">
            <v>840.55953764624428</v>
          </cell>
          <cell r="BV484">
            <v>1646.6662293758091</v>
          </cell>
          <cell r="BW484">
            <v>754.21049106010742</v>
          </cell>
          <cell r="BX484">
            <v>2400.8767204359165</v>
          </cell>
          <cell r="BY484">
            <v>873.01400631290062</v>
          </cell>
          <cell r="BZ484">
            <v>3273.8907267488171</v>
          </cell>
          <cell r="CA484">
            <v>3683.1270675924193</v>
          </cell>
          <cell r="CB484">
            <v>4014.6085036757372</v>
          </cell>
          <cell r="CC484">
            <v>4295.6310989330386</v>
          </cell>
          <cell r="CD484">
            <v>4510.4126538796909</v>
          </cell>
          <cell r="CE484">
            <v>4735.933286573676</v>
          </cell>
          <cell r="CF484">
            <v>4972.7299509023596</v>
          </cell>
          <cell r="CG484">
            <v>5221.3664484474775</v>
          </cell>
          <cell r="CH484">
            <v>5482.4347708698515</v>
          </cell>
          <cell r="CI484">
            <v>5756.5565094133444</v>
          </cell>
          <cell r="CJ484">
            <v>5929.2532046957449</v>
          </cell>
        </row>
        <row r="485">
          <cell r="A485" t="str">
            <v xml:space="preserve">           growth </v>
          </cell>
          <cell r="AY485">
            <v>5.9097978227060644E-2</v>
          </cell>
          <cell r="BD485">
            <v>0.03</v>
          </cell>
          <cell r="BE485">
            <v>7.0000000000000007E-2</v>
          </cell>
          <cell r="BG485">
            <v>1.4745308310991856E-2</v>
          </cell>
          <cell r="BH485">
            <v>3.0133146461107208E-2</v>
          </cell>
          <cell r="BI485">
            <v>-2.002861230329045E-2</v>
          </cell>
          <cell r="BJ485">
            <v>1.3640639698965229E-2</v>
          </cell>
          <cell r="BK485">
            <v>6.1475409836065475E-2</v>
          </cell>
          <cell r="BL485">
            <v>2.5892232330300802E-2</v>
          </cell>
          <cell r="BM485">
            <v>-4.2075736325385416E-3</v>
          </cell>
          <cell r="BN485">
            <v>4.0951122853368549E-2</v>
          </cell>
          <cell r="BO485">
            <v>1.904761904761898E-2</v>
          </cell>
          <cell r="BP485">
            <v>4.0875912408759207E-2</v>
          </cell>
          <cell r="BQ485">
            <v>2.5986078886310882E-2</v>
          </cell>
          <cell r="BR485">
            <v>6.3063063063063085E-2</v>
          </cell>
          <cell r="BS485">
            <v>3.5811732605729896E-2</v>
          </cell>
          <cell r="BT485">
            <v>0.13536153764727454</v>
          </cell>
          <cell r="BU485">
            <v>6.669992087086829E-2</v>
          </cell>
          <cell r="BV485">
            <v>9.9243143775573417E-2</v>
          </cell>
          <cell r="BW485">
            <v>5.7798725189491362E-2</v>
          </cell>
          <cell r="BX485">
            <v>8.5878209152381979E-2</v>
          </cell>
          <cell r="BY485">
            <v>5.6917683187531098E-2</v>
          </cell>
          <cell r="BZ485">
            <v>7.8001556387493176E-2</v>
          </cell>
          <cell r="CA485">
            <v>0.125</v>
          </cell>
          <cell r="CB485">
            <v>9.000000000000008E-2</v>
          </cell>
          <cell r="CC485">
            <v>7.0000000000000062E-2</v>
          </cell>
          <cell r="CD485">
            <v>5.0000000000000044E-2</v>
          </cell>
          <cell r="CE485">
            <v>5.0000000000000044E-2</v>
          </cell>
          <cell r="CF485">
            <v>5.0000000000000044E-2</v>
          </cell>
          <cell r="CG485">
            <v>5.0000000000000044E-2</v>
          </cell>
          <cell r="CH485">
            <v>5.0000000000000044E-2</v>
          </cell>
          <cell r="CI485">
            <v>5.0000000000000044E-2</v>
          </cell>
          <cell r="CJ485">
            <v>3.0000000000000027E-2</v>
          </cell>
        </row>
        <row r="486">
          <cell r="A486" t="str">
            <v xml:space="preserve">   CER growth </v>
          </cell>
          <cell r="BD486">
            <v>0.04</v>
          </cell>
          <cell r="BE486">
            <v>0.04</v>
          </cell>
          <cell r="BG486">
            <v>0.06</v>
          </cell>
          <cell r="BH486">
            <v>0.06</v>
          </cell>
          <cell r="BI486">
            <v>0.02</v>
          </cell>
          <cell r="BJ486">
            <v>0.05</v>
          </cell>
          <cell r="BK486">
            <v>7.0000000000000007E-2</v>
          </cell>
          <cell r="BL486">
            <v>0.06</v>
          </cell>
          <cell r="BM486">
            <v>0.02</v>
          </cell>
          <cell r="BN486">
            <v>7.0000000000000007E-2</v>
          </cell>
          <cell r="BO486">
            <v>0.04</v>
          </cell>
          <cell r="BP486">
            <v>0.08</v>
          </cell>
          <cell r="BQ486">
            <v>0.05</v>
          </cell>
          <cell r="BR486">
            <v>0.1</v>
          </cell>
          <cell r="BS486">
            <v>7.0000000000000007E-2</v>
          </cell>
          <cell r="BT486">
            <v>0.15</v>
          </cell>
          <cell r="BU486">
            <v>0.05</v>
          </cell>
          <cell r="BW486">
            <v>0.05</v>
          </cell>
          <cell r="BY486">
            <v>5.0109416231344461E-2</v>
          </cell>
          <cell r="BZ486">
            <v>0.08</v>
          </cell>
          <cell r="CA486">
            <v>0.125</v>
          </cell>
          <cell r="CB486">
            <v>0.09</v>
          </cell>
          <cell r="CC486">
            <v>7.0000000000000007E-2</v>
          </cell>
          <cell r="CD486">
            <v>0.05</v>
          </cell>
          <cell r="CE486">
            <v>0.05</v>
          </cell>
          <cell r="CF486">
            <v>0.05</v>
          </cell>
          <cell r="CG486">
            <v>0.05</v>
          </cell>
          <cell r="CH486">
            <v>0.05</v>
          </cell>
          <cell r="CI486">
            <v>0.05</v>
          </cell>
          <cell r="CJ486">
            <v>0.03</v>
          </cell>
        </row>
        <row r="487">
          <cell r="A487" t="str">
            <v>Cataract IOLs within CP</v>
          </cell>
          <cell r="AY487">
            <v>318</v>
          </cell>
          <cell r="AZ487">
            <v>336</v>
          </cell>
          <cell r="BA487">
            <v>645</v>
          </cell>
          <cell r="BB487">
            <v>313</v>
          </cell>
          <cell r="BC487">
            <v>958</v>
          </cell>
          <cell r="BD487">
            <v>318</v>
          </cell>
          <cell r="BE487">
            <v>1276</v>
          </cell>
          <cell r="BF487">
            <v>319</v>
          </cell>
          <cell r="BG487">
            <v>335</v>
          </cell>
          <cell r="BH487">
            <v>654</v>
          </cell>
          <cell r="BI487">
            <v>294</v>
          </cell>
          <cell r="BJ487">
            <v>948</v>
          </cell>
          <cell r="BK487">
            <v>333</v>
          </cell>
          <cell r="BL487">
            <v>1281</v>
          </cell>
          <cell r="BM487">
            <v>315</v>
          </cell>
          <cell r="BN487">
            <v>346</v>
          </cell>
          <cell r="BO487">
            <v>661</v>
          </cell>
          <cell r="BP487">
            <v>303</v>
          </cell>
          <cell r="BQ487">
            <v>964</v>
          </cell>
          <cell r="BR487">
            <v>333</v>
          </cell>
          <cell r="BS487">
            <v>1297</v>
          </cell>
          <cell r="BT487">
            <v>342.08936764763536</v>
          </cell>
          <cell r="BU487">
            <v>386.65332369852615</v>
          </cell>
          <cell r="BV487">
            <v>728.74269134616156</v>
          </cell>
          <cell r="BW487">
            <v>335.77553819586433</v>
          </cell>
          <cell r="BX487">
            <v>1064.5182295420259</v>
          </cell>
          <cell r="BY487">
            <v>333.64978909255274</v>
          </cell>
          <cell r="BZ487">
            <v>1398.1680186345786</v>
          </cell>
          <cell r="CA487">
            <v>1537.9848204980367</v>
          </cell>
          <cell r="CB487">
            <v>1691.7833025478405</v>
          </cell>
          <cell r="CC487">
            <v>1860.9616328026248</v>
          </cell>
          <cell r="CD487">
            <v>2047.0577960828873</v>
          </cell>
          <cell r="CE487">
            <v>2251.7635756911764</v>
          </cell>
          <cell r="CF487">
            <v>2476.9399332602943</v>
          </cell>
          <cell r="CG487">
            <v>2724.6339265863239</v>
          </cell>
          <cell r="CH487">
            <v>2997.0973192449565</v>
          </cell>
          <cell r="CI487">
            <v>3296.8070511694523</v>
          </cell>
          <cell r="CJ487">
            <v>3395.7112627045358</v>
          </cell>
        </row>
        <row r="488">
          <cell r="A488" t="str">
            <v xml:space="preserve">           growth </v>
          </cell>
          <cell r="BD488">
            <v>0</v>
          </cell>
          <cell r="BE488">
            <v>0.06</v>
          </cell>
          <cell r="BG488">
            <v>-2.9761904761904656E-3</v>
          </cell>
          <cell r="BH488">
            <v>1.3953488372093092E-2</v>
          </cell>
          <cell r="BI488">
            <v>-6.0702875399361034E-2</v>
          </cell>
          <cell r="BJ488">
            <v>-1.043841336116913E-2</v>
          </cell>
          <cell r="BK488">
            <v>4.7169811320754818E-2</v>
          </cell>
          <cell r="BL488">
            <v>3.9184952978057463E-3</v>
          </cell>
          <cell r="BM488">
            <v>-1.2539184952978011E-2</v>
          </cell>
          <cell r="BN488">
            <v>3.2835820895522394E-2</v>
          </cell>
          <cell r="BO488">
            <v>1.0703363914372988E-2</v>
          </cell>
          <cell r="BP488">
            <v>3.0612244897959107E-2</v>
          </cell>
          <cell r="BQ488">
            <v>1.6877637130801704E-2</v>
          </cell>
          <cell r="BR488">
            <v>0</v>
          </cell>
          <cell r="BS488">
            <v>1.2490241998438734E-2</v>
          </cell>
          <cell r="BT488">
            <v>8.599799253217566E-2</v>
          </cell>
          <cell r="BU488">
            <v>0.11749515519805254</v>
          </cell>
          <cell r="BV488">
            <v>0.10248516088678006</v>
          </cell>
          <cell r="BW488">
            <v>0.10817009305565795</v>
          </cell>
          <cell r="BX488">
            <v>0.1042720223464999</v>
          </cell>
          <cell r="BY488">
            <v>1.9513185962545254E-3</v>
          </cell>
          <cell r="BZ488">
            <v>7.8001556387493176E-2</v>
          </cell>
          <cell r="CA488">
            <v>0.10000000000000009</v>
          </cell>
          <cell r="CB488">
            <v>0.10000000000000009</v>
          </cell>
          <cell r="CC488">
            <v>0.10000000000000009</v>
          </cell>
          <cell r="CD488">
            <v>0.10000000000000009</v>
          </cell>
          <cell r="CE488">
            <v>0.10000000000000009</v>
          </cell>
          <cell r="CF488">
            <v>0.10000000000000009</v>
          </cell>
          <cell r="CG488">
            <v>0.10000000000000009</v>
          </cell>
          <cell r="CH488">
            <v>0.10000000000000009</v>
          </cell>
          <cell r="CI488">
            <v>0.10000000000000009</v>
          </cell>
          <cell r="CJ488">
            <v>3.0000000000000027E-2</v>
          </cell>
        </row>
        <row r="489">
          <cell r="A489" t="str">
            <v xml:space="preserve">   CER growth </v>
          </cell>
          <cell r="BD489">
            <v>0.01</v>
          </cell>
          <cell r="BE489">
            <v>0.03</v>
          </cell>
          <cell r="BG489">
            <v>0.05</v>
          </cell>
          <cell r="BH489">
            <v>0.05</v>
          </cell>
          <cell r="BI489">
            <v>-0.02</v>
          </cell>
          <cell r="BJ489">
            <v>0.03</v>
          </cell>
          <cell r="BK489">
            <v>0.06</v>
          </cell>
          <cell r="BL489">
            <v>0.04</v>
          </cell>
          <cell r="BM489">
            <v>0.01</v>
          </cell>
          <cell r="BN489">
            <v>7.0000000000000007E-2</v>
          </cell>
          <cell r="BO489">
            <v>0.04</v>
          </cell>
          <cell r="BP489">
            <v>7.0000000000000007E-2</v>
          </cell>
          <cell r="BQ489">
            <v>0.05</v>
          </cell>
          <cell r="BR489">
            <v>0.04</v>
          </cell>
          <cell r="BS489">
            <v>0.05</v>
          </cell>
          <cell r="BT489">
            <v>0.1</v>
          </cell>
          <cell r="BU489">
            <v>0.1</v>
          </cell>
          <cell r="BW489">
            <v>0.1</v>
          </cell>
          <cell r="BY489">
            <v>-4.8569483599321117E-3</v>
          </cell>
          <cell r="BZ489">
            <v>0.08</v>
          </cell>
          <cell r="CA489">
            <v>0.1</v>
          </cell>
          <cell r="CB489">
            <v>0.1</v>
          </cell>
          <cell r="CC489">
            <v>0.1</v>
          </cell>
          <cell r="CD489">
            <v>0.1</v>
          </cell>
          <cell r="CE489">
            <v>0.1</v>
          </cell>
          <cell r="CF489">
            <v>0.1</v>
          </cell>
          <cell r="CG489">
            <v>0.1</v>
          </cell>
          <cell r="CH489">
            <v>0.1</v>
          </cell>
          <cell r="CI489">
            <v>0.1</v>
          </cell>
          <cell r="CJ489">
            <v>0.03</v>
          </cell>
        </row>
        <row r="490">
          <cell r="A490" t="str">
            <v>Vitreoretinal products</v>
          </cell>
          <cell r="AR490">
            <v>99</v>
          </cell>
          <cell r="AY490">
            <v>122</v>
          </cell>
          <cell r="AZ490">
            <v>130</v>
          </cell>
          <cell r="BA490">
            <v>252</v>
          </cell>
          <cell r="BB490">
            <v>141</v>
          </cell>
          <cell r="BC490">
            <v>393</v>
          </cell>
          <cell r="BD490">
            <v>136</v>
          </cell>
          <cell r="BE490">
            <v>529</v>
          </cell>
          <cell r="BF490">
            <v>141</v>
          </cell>
          <cell r="BG490">
            <v>140</v>
          </cell>
          <cell r="BH490">
            <v>281</v>
          </cell>
          <cell r="BI490">
            <v>139</v>
          </cell>
          <cell r="BJ490">
            <v>420</v>
          </cell>
          <cell r="BK490">
            <v>158</v>
          </cell>
          <cell r="BL490">
            <v>578</v>
          </cell>
          <cell r="BM490">
            <v>137</v>
          </cell>
          <cell r="BN490">
            <v>148</v>
          </cell>
          <cell r="BO490">
            <v>285</v>
          </cell>
          <cell r="BP490">
            <v>146</v>
          </cell>
          <cell r="BQ490">
            <v>431</v>
          </cell>
          <cell r="BR490">
            <v>161</v>
          </cell>
          <cell r="BS490">
            <v>592</v>
          </cell>
          <cell r="BT490">
            <v>146.07660270460065</v>
          </cell>
          <cell r="BU490">
            <v>162.38220509714247</v>
          </cell>
          <cell r="BV490">
            <v>308.45880780174309</v>
          </cell>
          <cell r="BW490">
            <v>158.85114570274192</v>
          </cell>
          <cell r="BX490">
            <v>467.30995350448501</v>
          </cell>
          <cell r="BY490">
            <v>170.86696787691102</v>
          </cell>
          <cell r="BZ490">
            <v>638.17692138139603</v>
          </cell>
          <cell r="CA490">
            <v>689.23107509190777</v>
          </cell>
          <cell r="CB490">
            <v>744.36956109926041</v>
          </cell>
          <cell r="CC490">
            <v>803.91912598720126</v>
          </cell>
          <cell r="CD490">
            <v>868.23265606617747</v>
          </cell>
          <cell r="CE490">
            <v>937.69126855147169</v>
          </cell>
          <cell r="CF490">
            <v>1012.7065700355895</v>
          </cell>
          <cell r="CG490">
            <v>1063.3418985373689</v>
          </cell>
          <cell r="CH490">
            <v>1116.5089934642374</v>
          </cell>
          <cell r="CI490">
            <v>1172.3344431374494</v>
          </cell>
          <cell r="CJ490">
            <v>1207.5044764315728</v>
          </cell>
        </row>
        <row r="491">
          <cell r="A491" t="str">
            <v xml:space="preserve">           growth </v>
          </cell>
          <cell r="AY491">
            <v>0.23232323232323226</v>
          </cell>
          <cell r="BD491">
            <v>0.2</v>
          </cell>
          <cell r="BE491">
            <v>0.25</v>
          </cell>
          <cell r="BG491">
            <v>7.6923076923076872E-2</v>
          </cell>
          <cell r="BH491">
            <v>0.11507936507936511</v>
          </cell>
          <cell r="BI491">
            <v>-1.4184397163120588E-2</v>
          </cell>
          <cell r="BJ491">
            <v>6.8702290076335881E-2</v>
          </cell>
          <cell r="BK491">
            <v>0.16176470588235303</v>
          </cell>
          <cell r="BL491">
            <v>9.2627599243856329E-2</v>
          </cell>
          <cell r="BM491">
            <v>-2.8368794326241176E-2</v>
          </cell>
          <cell r="BN491">
            <v>5.7142857142857162E-2</v>
          </cell>
          <cell r="BO491">
            <v>1.4234875444839812E-2</v>
          </cell>
          <cell r="BP491">
            <v>5.0359712230215736E-2</v>
          </cell>
          <cell r="BQ491">
            <v>2.6190476190476097E-2</v>
          </cell>
          <cell r="BR491">
            <v>1.8987341772152E-2</v>
          </cell>
          <cell r="BS491">
            <v>2.4221453287197159E-2</v>
          </cell>
          <cell r="BT491">
            <v>6.6252574486136195E-2</v>
          </cell>
          <cell r="BU491">
            <v>9.7177061467178971E-2</v>
          </cell>
          <cell r="BV491">
            <v>8.2311606321905595E-2</v>
          </cell>
          <cell r="BW491">
            <v>8.8021545909191312E-2</v>
          </cell>
          <cell r="BX491">
            <v>8.4245831796949E-2</v>
          </cell>
          <cell r="BY491">
            <v>6.1285514763422588E-2</v>
          </cell>
          <cell r="BZ491">
            <v>7.8001556387493398E-2</v>
          </cell>
          <cell r="CA491">
            <v>8.0000000000000071E-2</v>
          </cell>
          <cell r="CB491">
            <v>8.0000000000000071E-2</v>
          </cell>
          <cell r="CC491">
            <v>8.0000000000000071E-2</v>
          </cell>
          <cell r="CD491">
            <v>8.0000000000000071E-2</v>
          </cell>
          <cell r="CE491">
            <v>8.0000000000000071E-2</v>
          </cell>
          <cell r="CF491">
            <v>8.0000000000000071E-2</v>
          </cell>
          <cell r="CG491">
            <v>5.0000000000000044E-2</v>
          </cell>
          <cell r="CH491">
            <v>5.0000000000000044E-2</v>
          </cell>
          <cell r="CI491">
            <v>5.0000000000000044E-2</v>
          </cell>
          <cell r="CJ491">
            <v>3.0000000000000027E-2</v>
          </cell>
        </row>
        <row r="492">
          <cell r="A492" t="str">
            <v xml:space="preserve">   CER growth </v>
          </cell>
          <cell r="BD492">
            <v>0.21</v>
          </cell>
          <cell r="BE492">
            <v>0.21</v>
          </cell>
          <cell r="BG492">
            <v>0.11</v>
          </cell>
          <cell r="BH492">
            <v>0.14000000000000001</v>
          </cell>
          <cell r="BI492">
            <v>0.03</v>
          </cell>
          <cell r="BJ492">
            <v>0.1</v>
          </cell>
          <cell r="BK492">
            <v>0.17</v>
          </cell>
          <cell r="BL492">
            <v>0.12</v>
          </cell>
          <cell r="BM492">
            <v>0</v>
          </cell>
          <cell r="BN492">
            <v>0.11</v>
          </cell>
          <cell r="BO492">
            <v>0.05</v>
          </cell>
          <cell r="BP492">
            <v>0.1</v>
          </cell>
          <cell r="BQ492">
            <v>7.0000000000000007E-2</v>
          </cell>
          <cell r="BR492">
            <v>0.06</v>
          </cell>
          <cell r="BS492">
            <v>7.0000000000000007E-2</v>
          </cell>
          <cell r="BT492">
            <v>0.08</v>
          </cell>
          <cell r="BU492">
            <v>0.08</v>
          </cell>
          <cell r="BW492">
            <v>0.08</v>
          </cell>
          <cell r="BY492">
            <v>5.4477247807235951E-2</v>
          </cell>
          <cell r="BZ492">
            <v>0.08</v>
          </cell>
          <cell r="CA492">
            <v>0.08</v>
          </cell>
          <cell r="CB492">
            <v>0.08</v>
          </cell>
          <cell r="CC492">
            <v>0.08</v>
          </cell>
          <cell r="CD492">
            <v>0.08</v>
          </cell>
          <cell r="CE492">
            <v>0.08</v>
          </cell>
          <cell r="CF492">
            <v>0.08</v>
          </cell>
          <cell r="CG492">
            <v>0.05</v>
          </cell>
          <cell r="CH492">
            <v>0.05</v>
          </cell>
          <cell r="CI492">
            <v>0.05</v>
          </cell>
          <cell r="CJ492">
            <v>0.03</v>
          </cell>
        </row>
        <row r="493">
          <cell r="A493" t="str">
            <v>Refractive/Other products</v>
          </cell>
          <cell r="AR493">
            <v>30</v>
          </cell>
          <cell r="AY493">
            <v>42</v>
          </cell>
          <cell r="AZ493">
            <v>51</v>
          </cell>
          <cell r="BA493">
            <v>93</v>
          </cell>
          <cell r="BB493">
            <v>47</v>
          </cell>
          <cell r="BC493">
            <v>140</v>
          </cell>
          <cell r="BD493">
            <v>60</v>
          </cell>
          <cell r="BE493">
            <v>200</v>
          </cell>
          <cell r="BF493">
            <v>64</v>
          </cell>
          <cell r="BG493">
            <v>60</v>
          </cell>
          <cell r="BH493">
            <v>124</v>
          </cell>
          <cell r="BI493">
            <v>49</v>
          </cell>
          <cell r="BJ493">
            <v>173</v>
          </cell>
          <cell r="BK493">
            <v>69</v>
          </cell>
          <cell r="BL493">
            <v>242</v>
          </cell>
          <cell r="BM493">
            <v>65</v>
          </cell>
          <cell r="BN493">
            <v>73</v>
          </cell>
          <cell r="BO493">
            <v>138</v>
          </cell>
          <cell r="BP493">
            <v>60</v>
          </cell>
          <cell r="BQ493">
            <v>198</v>
          </cell>
          <cell r="BR493">
            <v>70</v>
          </cell>
          <cell r="BS493">
            <v>268</v>
          </cell>
          <cell r="BT493">
            <v>70.589869514591413</v>
          </cell>
          <cell r="BU493">
            <v>80.093925487104059</v>
          </cell>
          <cell r="BV493">
            <v>150.68379500169547</v>
          </cell>
          <cell r="BW493">
            <v>68.908031240915449</v>
          </cell>
          <cell r="BX493">
            <v>219.59182624261092</v>
          </cell>
          <cell r="BY493">
            <v>74.662672667604852</v>
          </cell>
          <cell r="BZ493">
            <v>294.25449891021577</v>
          </cell>
          <cell r="CA493">
            <v>323.6799488012374</v>
          </cell>
          <cell r="CB493">
            <v>356.04794368136118</v>
          </cell>
          <cell r="CC493">
            <v>391.65273804949732</v>
          </cell>
          <cell r="CD493">
            <v>419.06842971296214</v>
          </cell>
          <cell r="CE493">
            <v>448.40321979286949</v>
          </cell>
          <cell r="CF493">
            <v>479.7914451783704</v>
          </cell>
          <cell r="CG493">
            <v>513.37684634085633</v>
          </cell>
          <cell r="CH493">
            <v>539.04568865789918</v>
          </cell>
          <cell r="CI493">
            <v>565.99797309079418</v>
          </cell>
          <cell r="CJ493">
            <v>582.97791228351798</v>
          </cell>
        </row>
        <row r="494">
          <cell r="A494" t="str">
            <v xml:space="preserve">           growth </v>
          </cell>
          <cell r="AY494">
            <v>0.39999999999999991</v>
          </cell>
          <cell r="BD494">
            <v>0.67</v>
          </cell>
          <cell r="BE494">
            <v>0.55000000000000004</v>
          </cell>
          <cell r="BG494">
            <v>0.17647058823529416</v>
          </cell>
          <cell r="BH494">
            <v>0.33333333333333326</v>
          </cell>
          <cell r="BI494">
            <v>4.2553191489361764E-2</v>
          </cell>
          <cell r="BJ494">
            <v>0.23571428571428577</v>
          </cell>
          <cell r="BK494">
            <v>0.14999999999999991</v>
          </cell>
          <cell r="BL494">
            <v>0.20999999999999996</v>
          </cell>
          <cell r="BM494">
            <v>1.5625E-2</v>
          </cell>
          <cell r="BN494">
            <v>0.21666666666666656</v>
          </cell>
          <cell r="BO494">
            <v>0.11290322580645151</v>
          </cell>
          <cell r="BP494">
            <v>0.22448979591836737</v>
          </cell>
          <cell r="BQ494">
            <v>0.1445086705202312</v>
          </cell>
          <cell r="BR494">
            <v>1.449275362318847E-2</v>
          </cell>
          <cell r="BS494">
            <v>0.10743801652892571</v>
          </cell>
          <cell r="BT494">
            <v>8.599799253217566E-2</v>
          </cell>
          <cell r="BU494">
            <v>9.7177061467178971E-2</v>
          </cell>
          <cell r="BV494">
            <v>9.1911557983300529E-2</v>
          </cell>
          <cell r="BW494">
            <v>0.14846718734859077</v>
          </cell>
          <cell r="BX494">
            <v>0.10904962748793401</v>
          </cell>
          <cell r="BY494">
            <v>6.6609609537212178E-2</v>
          </cell>
          <cell r="BZ494">
            <v>9.796454817244693E-2</v>
          </cell>
          <cell r="CA494">
            <v>0.10000000000000009</v>
          </cell>
          <cell r="CB494">
            <v>0.10000000000000009</v>
          </cell>
          <cell r="CC494">
            <v>0.10000000000000009</v>
          </cell>
          <cell r="CD494">
            <v>7.0000000000000062E-2</v>
          </cell>
          <cell r="CE494">
            <v>7.0000000000000062E-2</v>
          </cell>
          <cell r="CF494">
            <v>7.0000000000000062E-2</v>
          </cell>
          <cell r="CG494">
            <v>7.0000000000000062E-2</v>
          </cell>
          <cell r="CH494">
            <v>5.0000000000000044E-2</v>
          </cell>
          <cell r="CI494">
            <v>5.0000000000000044E-2</v>
          </cell>
          <cell r="CJ494">
            <v>3.0000000000000027E-2</v>
          </cell>
        </row>
        <row r="495">
          <cell r="A495" t="str">
            <v xml:space="preserve">   CER growth </v>
          </cell>
          <cell r="BD495">
            <v>0.65</v>
          </cell>
          <cell r="BE495">
            <v>0.51</v>
          </cell>
          <cell r="BG495">
            <v>0.24</v>
          </cell>
          <cell r="BH495">
            <v>0.37</v>
          </cell>
          <cell r="BI495">
            <v>7.0000000000000007E-2</v>
          </cell>
          <cell r="BJ495">
            <v>0.27</v>
          </cell>
          <cell r="BK495">
            <v>0.17</v>
          </cell>
          <cell r="BL495">
            <v>0.24</v>
          </cell>
          <cell r="BM495">
            <v>0.04</v>
          </cell>
          <cell r="BN495">
            <v>0.22</v>
          </cell>
          <cell r="BO495">
            <v>0.13</v>
          </cell>
          <cell r="BP495">
            <v>0.23</v>
          </cell>
          <cell r="BQ495">
            <v>0.16</v>
          </cell>
          <cell r="BR495">
            <v>0.03</v>
          </cell>
          <cell r="BS495">
            <v>0.12</v>
          </cell>
          <cell r="BT495">
            <v>0.1</v>
          </cell>
          <cell r="BU495">
            <v>0.08</v>
          </cell>
          <cell r="BW495">
            <v>0.14000000000000001</v>
          </cell>
          <cell r="BY495">
            <v>5.9801342581025541E-2</v>
          </cell>
          <cell r="BZ495">
            <v>0.1</v>
          </cell>
          <cell r="CA495">
            <v>0.1</v>
          </cell>
          <cell r="CB495">
            <v>0.1</v>
          </cell>
          <cell r="CC495">
            <v>0.1</v>
          </cell>
          <cell r="CD495">
            <v>7.0000000000000007E-2</v>
          </cell>
          <cell r="CE495">
            <v>7.0000000000000007E-2</v>
          </cell>
          <cell r="CF495">
            <v>7.0000000000000007E-2</v>
          </cell>
          <cell r="CG495">
            <v>7.0000000000000007E-2</v>
          </cell>
          <cell r="CH495">
            <v>0.05</v>
          </cell>
          <cell r="CI495">
            <v>0.05</v>
          </cell>
          <cell r="CJ495">
            <v>0.03</v>
          </cell>
        </row>
        <row r="496">
          <cell r="A496" t="str">
            <v>Vision Care</v>
          </cell>
          <cell r="AC496">
            <v>786</v>
          </cell>
          <cell r="AJ496">
            <v>825.30000000000007</v>
          </cell>
          <cell r="AQ496">
            <v>841.80600000000004</v>
          </cell>
          <cell r="AR496">
            <v>553</v>
          </cell>
          <cell r="AS496">
            <v>573</v>
          </cell>
          <cell r="AT496">
            <v>1126</v>
          </cell>
          <cell r="AU496">
            <v>599</v>
          </cell>
          <cell r="AV496">
            <v>1725</v>
          </cell>
          <cell r="AW496">
            <v>568</v>
          </cell>
          <cell r="AX496">
            <v>2293</v>
          </cell>
          <cell r="AY496">
            <v>577</v>
          </cell>
          <cell r="AZ496">
            <v>630</v>
          </cell>
          <cell r="BA496">
            <v>1207</v>
          </cell>
          <cell r="BB496">
            <v>626</v>
          </cell>
          <cell r="BC496">
            <v>1833</v>
          </cell>
          <cell r="BD496">
            <v>581</v>
          </cell>
          <cell r="BE496">
            <v>2414</v>
          </cell>
          <cell r="BF496">
            <v>594</v>
          </cell>
          <cell r="BG496">
            <v>630</v>
          </cell>
          <cell r="BH496">
            <v>1224</v>
          </cell>
          <cell r="BI496">
            <v>624</v>
          </cell>
          <cell r="BJ496">
            <v>1848</v>
          </cell>
          <cell r="BK496">
            <v>606</v>
          </cell>
          <cell r="BL496">
            <v>2454</v>
          </cell>
          <cell r="BM496">
            <v>603</v>
          </cell>
          <cell r="BN496">
            <v>643</v>
          </cell>
          <cell r="BO496">
            <v>1246</v>
          </cell>
          <cell r="BP496">
            <v>630</v>
          </cell>
          <cell r="BQ496">
            <v>1876</v>
          </cell>
          <cell r="BR496">
            <v>615</v>
          </cell>
          <cell r="BS496">
            <v>2491</v>
          </cell>
          <cell r="BT496">
            <v>627.80556677382776</v>
          </cell>
          <cell r="BU496">
            <v>681.38759135857981</v>
          </cell>
          <cell r="BV496">
            <v>1309.1931581324075</v>
          </cell>
          <cell r="BW496">
            <v>665.74829481354629</v>
          </cell>
          <cell r="BX496">
            <v>1974.9414529459536</v>
          </cell>
          <cell r="BY496">
            <v>632.76427494717768</v>
          </cell>
          <cell r="BZ496">
            <v>2607.7057278931316</v>
          </cell>
          <cell r="CA496">
            <v>2735.7423683042884</v>
          </cell>
          <cell r="CB496">
            <v>2850.7838237237429</v>
          </cell>
          <cell r="CC496">
            <v>2971.1424386542549</v>
          </cell>
          <cell r="CD496">
            <v>3097.0753728061795</v>
          </cell>
          <cell r="CE496">
            <v>3228.8524699100844</v>
          </cell>
          <cell r="CF496">
            <v>3366.7568884384564</v>
          </cell>
          <cell r="CG496">
            <v>3511.0857637939043</v>
          </cell>
          <cell r="CH496">
            <v>3662.1509035357949</v>
          </cell>
          <cell r="CI496">
            <v>3820.279517295824</v>
          </cell>
          <cell r="CJ496">
            <v>3909.4093927696031</v>
          </cell>
        </row>
        <row r="497">
          <cell r="A497" t="str">
            <v xml:space="preserve">   growth %</v>
          </cell>
          <cell r="AJ497">
            <v>0.05</v>
          </cell>
          <cell r="AQ497">
            <v>0.02</v>
          </cell>
          <cell r="AY497">
            <v>4.3399638336347302E-2</v>
          </cell>
          <cell r="AZ497">
            <v>9.9476439790575855E-2</v>
          </cell>
          <cell r="BA497">
            <v>7.1936056838365792E-2</v>
          </cell>
          <cell r="BB497">
            <v>4.5075125208681177E-2</v>
          </cell>
          <cell r="BC497">
            <v>6.2608695652173862E-2</v>
          </cell>
          <cell r="BD497">
            <v>2.2887323943661997E-2</v>
          </cell>
          <cell r="BE497">
            <v>5.2769297863061393E-2</v>
          </cell>
          <cell r="BF497">
            <v>2.9462738301559765E-2</v>
          </cell>
          <cell r="BG497">
            <v>0</v>
          </cell>
          <cell r="BH497">
            <v>1.4084507042253502E-2</v>
          </cell>
          <cell r="BI497">
            <v>-3.1948881789137795E-3</v>
          </cell>
          <cell r="BJ497">
            <v>8.1833060556464332E-3</v>
          </cell>
          <cell r="BK497">
            <v>4.3029259896729677E-2</v>
          </cell>
          <cell r="BL497">
            <v>1.6570008285004212E-2</v>
          </cell>
          <cell r="BM497">
            <v>1.5151515151515138E-2</v>
          </cell>
          <cell r="BN497">
            <v>2.0634920634920562E-2</v>
          </cell>
          <cell r="BO497">
            <v>1.7973856209150263E-2</v>
          </cell>
          <cell r="BP497">
            <v>9.6153846153845812E-3</v>
          </cell>
          <cell r="BQ497">
            <v>1.5151515151515138E-2</v>
          </cell>
          <cell r="BR497">
            <v>1.4851485148514865E-2</v>
          </cell>
          <cell r="BS497">
            <v>1.5077424612876866E-2</v>
          </cell>
          <cell r="BT497">
            <v>4.1136926656430761E-2</v>
          </cell>
          <cell r="BU497">
            <v>5.9700764165754094E-2</v>
          </cell>
          <cell r="BV497">
            <v>5.0716820330985124E-2</v>
          </cell>
          <cell r="BW497">
            <v>5.6743325100867104E-2</v>
          </cell>
          <cell r="BX497">
            <v>5.2740646559676696E-2</v>
          </cell>
          <cell r="BY497">
            <v>2.8884999914110088E-2</v>
          </cell>
          <cell r="BZ497">
            <v>4.6850954593790295E-2</v>
          </cell>
          <cell r="CA497">
            <v>4.9099343933490136E-2</v>
          </cell>
          <cell r="CB497">
            <v>4.2051275278074174E-2</v>
          </cell>
          <cell r="CC497">
            <v>4.2219481508526835E-2</v>
          </cell>
          <cell r="CD497">
            <v>4.2385357401095947E-2</v>
          </cell>
          <cell r="CE497">
            <v>4.2548882814080535E-2</v>
          </cell>
          <cell r="CF497">
            <v>4.2710040119055659E-2</v>
          </cell>
          <cell r="CG497">
            <v>4.2868814154974455E-2</v>
          </cell>
          <cell r="CH497">
            <v>4.3025192178346883E-2</v>
          </cell>
          <cell r="CI497">
            <v>4.317916380981357E-2</v>
          </cell>
          <cell r="CJ497">
            <v>2.3330720977419395E-2</v>
          </cell>
        </row>
        <row r="498">
          <cell r="A498" t="str">
            <v xml:space="preserve">   CER growth %</v>
          </cell>
          <cell r="BD498">
            <v>0.02</v>
          </cell>
          <cell r="BE498">
            <v>0.01</v>
          </cell>
          <cell r="BF498">
            <v>0.02</v>
          </cell>
          <cell r="BG498">
            <v>0.04</v>
          </cell>
          <cell r="BH498">
            <v>0.03</v>
          </cell>
          <cell r="BI498">
            <v>0.04</v>
          </cell>
          <cell r="BJ498">
            <v>0.03</v>
          </cell>
          <cell r="BK498">
            <v>0.06</v>
          </cell>
          <cell r="BL498">
            <v>0.04</v>
          </cell>
          <cell r="BM498">
            <v>0.03</v>
          </cell>
          <cell r="BN498">
            <v>0.04</v>
          </cell>
          <cell r="BO498">
            <v>0.03</v>
          </cell>
          <cell r="BP498">
            <v>0.03</v>
          </cell>
          <cell r="BQ498">
            <v>0.03</v>
          </cell>
          <cell r="BR498">
            <v>0.04</v>
          </cell>
          <cell r="BS498">
            <v>0.04</v>
          </cell>
        </row>
        <row r="499">
          <cell r="A499" t="str">
            <v>Contact Lenses</v>
          </cell>
          <cell r="AR499">
            <v>381</v>
          </cell>
          <cell r="AW499">
            <v>398</v>
          </cell>
          <cell r="AX499">
            <v>1579</v>
          </cell>
          <cell r="AY499">
            <v>413</v>
          </cell>
          <cell r="AZ499">
            <v>439</v>
          </cell>
          <cell r="BA499">
            <v>852</v>
          </cell>
          <cell r="BB499">
            <v>441</v>
          </cell>
          <cell r="BC499">
            <v>1293</v>
          </cell>
          <cell r="BD499">
            <v>408</v>
          </cell>
          <cell r="BE499">
            <v>1701</v>
          </cell>
          <cell r="BF499">
            <v>424</v>
          </cell>
          <cell r="BG499">
            <v>446</v>
          </cell>
          <cell r="BH499">
            <v>870</v>
          </cell>
          <cell r="BI499">
            <v>438</v>
          </cell>
          <cell r="BJ499">
            <v>1308</v>
          </cell>
          <cell r="BK499">
            <v>424</v>
          </cell>
          <cell r="BL499">
            <v>1732</v>
          </cell>
          <cell r="BM499">
            <v>439</v>
          </cell>
          <cell r="BN499">
            <v>462</v>
          </cell>
          <cell r="BO499">
            <v>901</v>
          </cell>
          <cell r="BP499">
            <v>456</v>
          </cell>
          <cell r="BQ499">
            <v>1357</v>
          </cell>
          <cell r="BR499">
            <v>436</v>
          </cell>
          <cell r="BS499">
            <v>1793</v>
          </cell>
          <cell r="BT499">
            <v>459.41664167720245</v>
          </cell>
          <cell r="BU499">
            <v>497.50884309417296</v>
          </cell>
          <cell r="BV499">
            <v>956.92548477137541</v>
          </cell>
          <cell r="BW499">
            <v>486.95008743580252</v>
          </cell>
          <cell r="BX499">
            <v>1443.8755722071778</v>
          </cell>
          <cell r="BY499">
            <v>453.18757412517607</v>
          </cell>
          <cell r="BZ499">
            <v>1897.0631463323539</v>
          </cell>
          <cell r="CA499">
            <v>2010.8869351122953</v>
          </cell>
          <cell r="CB499">
            <v>2111.43128186791</v>
          </cell>
          <cell r="CC499">
            <v>2217.0028459613054</v>
          </cell>
          <cell r="CD499">
            <v>2327.8529882593707</v>
          </cell>
          <cell r="CE499">
            <v>2444.2456376723394</v>
          </cell>
          <cell r="CF499">
            <v>2566.4579195559563</v>
          </cell>
          <cell r="CG499">
            <v>2694.7808155337543</v>
          </cell>
          <cell r="CH499">
            <v>2829.5198563104423</v>
          </cell>
          <cell r="CI499">
            <v>2970.9958491259645</v>
          </cell>
          <cell r="CJ499">
            <v>3060.1257245997435</v>
          </cell>
        </row>
        <row r="500">
          <cell r="A500" t="str">
            <v xml:space="preserve">           growth </v>
          </cell>
          <cell r="AY500">
            <v>8.3989501312335957E-2</v>
          </cell>
          <cell r="BD500">
            <v>0.03</v>
          </cell>
          <cell r="BE500">
            <v>0.08</v>
          </cell>
          <cell r="BF500">
            <v>2.6634382566586012E-2</v>
          </cell>
          <cell r="BG500">
            <v>1.5945330296127658E-2</v>
          </cell>
          <cell r="BH500">
            <v>2.1126760563380254E-2</v>
          </cell>
          <cell r="BI500">
            <v>-6.8027210884353817E-3</v>
          </cell>
          <cell r="BJ500">
            <v>1.1600928074245953E-2</v>
          </cell>
          <cell r="BK500">
            <v>3.9215686274509887E-2</v>
          </cell>
          <cell r="BL500">
            <v>1.8224573780129427E-2</v>
          </cell>
          <cell r="BM500">
            <v>3.5377358490566113E-2</v>
          </cell>
          <cell r="BN500">
            <v>3.5874439461883512E-2</v>
          </cell>
          <cell r="BO500">
            <v>3.5632183908046011E-2</v>
          </cell>
          <cell r="BP500">
            <v>4.1095890410958846E-2</v>
          </cell>
          <cell r="BQ500">
            <v>3.7461773700305789E-2</v>
          </cell>
          <cell r="BR500">
            <v>2.8301886792452935E-2</v>
          </cell>
          <cell r="BS500">
            <v>3.5219399538106266E-2</v>
          </cell>
          <cell r="BT500">
            <v>4.6507156440096731E-2</v>
          </cell>
          <cell r="BU500">
            <v>7.6858967736305184E-2</v>
          </cell>
          <cell r="BV500">
            <v>6.2070460345588607E-2</v>
          </cell>
          <cell r="BW500">
            <v>6.7872998762724901E-2</v>
          </cell>
          <cell r="BX500">
            <v>6.4020318501973428E-2</v>
          </cell>
          <cell r="BY500">
            <v>3.9421041571504833E-2</v>
          </cell>
          <cell r="BZ500">
            <v>5.8038564602539866E-2</v>
          </cell>
          <cell r="CA500">
            <v>6.0000000000000053E-2</v>
          </cell>
          <cell r="CB500">
            <v>5.0000000000000044E-2</v>
          </cell>
          <cell r="CC500">
            <v>5.0000000000000044E-2</v>
          </cell>
          <cell r="CD500">
            <v>5.0000000000000044E-2</v>
          </cell>
          <cell r="CE500">
            <v>5.0000000000000044E-2</v>
          </cell>
          <cell r="CF500">
            <v>5.0000000000000044E-2</v>
          </cell>
          <cell r="CG500">
            <v>5.0000000000000044E-2</v>
          </cell>
          <cell r="CH500">
            <v>5.0000000000000044E-2</v>
          </cell>
          <cell r="CI500">
            <v>5.0000000000000044E-2</v>
          </cell>
          <cell r="CJ500">
            <v>3.0000000000000027E-2</v>
          </cell>
        </row>
        <row r="501">
          <cell r="A501" t="str">
            <v xml:space="preserve">   CER growth </v>
          </cell>
          <cell r="BD501">
            <v>0.03</v>
          </cell>
          <cell r="BE501">
            <v>0.03</v>
          </cell>
          <cell r="BG501">
            <v>0.06</v>
          </cell>
          <cell r="BH501">
            <v>0.05</v>
          </cell>
          <cell r="BI501">
            <v>0.04</v>
          </cell>
          <cell r="BJ501">
            <v>0.05</v>
          </cell>
          <cell r="BK501">
            <v>0.05</v>
          </cell>
          <cell r="BL501">
            <v>0.05</v>
          </cell>
          <cell r="BM501">
            <v>0.05</v>
          </cell>
          <cell r="BN501">
            <v>0.05</v>
          </cell>
          <cell r="BO501">
            <v>0.05</v>
          </cell>
          <cell r="BP501">
            <v>0.06</v>
          </cell>
          <cell r="BQ501">
            <v>0.06</v>
          </cell>
          <cell r="BR501">
            <v>0.05</v>
          </cell>
          <cell r="BS501">
            <v>0.05</v>
          </cell>
          <cell r="BT501">
            <v>0.06</v>
          </cell>
          <cell r="BU501">
            <v>0.06</v>
          </cell>
          <cell r="BW501">
            <v>0.06</v>
          </cell>
          <cell r="BY501">
            <v>3.2612774615318196E-2</v>
          </cell>
          <cell r="BZ501">
            <v>0.06</v>
          </cell>
          <cell r="CA501">
            <v>0.06</v>
          </cell>
          <cell r="CB501">
            <v>0.05</v>
          </cell>
          <cell r="CC501">
            <v>0.05</v>
          </cell>
          <cell r="CD501">
            <v>0.05</v>
          </cell>
          <cell r="CE501">
            <v>0.05</v>
          </cell>
          <cell r="CF501">
            <v>0.05</v>
          </cell>
          <cell r="CG501">
            <v>0.05</v>
          </cell>
          <cell r="CH501">
            <v>0.05</v>
          </cell>
          <cell r="CI501">
            <v>0.05</v>
          </cell>
          <cell r="CJ501">
            <v>0.03</v>
          </cell>
        </row>
        <row r="502">
          <cell r="A502" t="str">
            <v>Contact Lens solutions</v>
          </cell>
          <cell r="AR502">
            <v>172</v>
          </cell>
          <cell r="AW502">
            <v>170</v>
          </cell>
          <cell r="AX502">
            <v>716</v>
          </cell>
          <cell r="AY502">
            <v>173</v>
          </cell>
          <cell r="AZ502">
            <v>191</v>
          </cell>
          <cell r="BA502">
            <v>364</v>
          </cell>
          <cell r="BB502">
            <v>185</v>
          </cell>
          <cell r="BC502">
            <v>549</v>
          </cell>
          <cell r="BD502">
            <v>173</v>
          </cell>
          <cell r="BE502">
            <v>722</v>
          </cell>
          <cell r="BF502">
            <v>170</v>
          </cell>
          <cell r="BG502">
            <v>184</v>
          </cell>
          <cell r="BH502">
            <v>354</v>
          </cell>
          <cell r="BI502">
            <v>186</v>
          </cell>
          <cell r="BJ502">
            <v>540</v>
          </cell>
          <cell r="BK502">
            <v>182</v>
          </cell>
          <cell r="BL502">
            <v>722</v>
          </cell>
          <cell r="BM502">
            <v>164</v>
          </cell>
          <cell r="BN502">
            <v>181</v>
          </cell>
          <cell r="BO502">
            <v>345</v>
          </cell>
          <cell r="BP502">
            <v>174</v>
          </cell>
          <cell r="BQ502">
            <v>519</v>
          </cell>
          <cell r="BR502">
            <v>179</v>
          </cell>
          <cell r="BS502">
            <v>698</v>
          </cell>
          <cell r="BT502">
            <v>168.38892509662534</v>
          </cell>
          <cell r="BU502">
            <v>183.87874826440682</v>
          </cell>
          <cell r="BV502">
            <v>352.26767336103217</v>
          </cell>
          <cell r="BW502">
            <v>178.79820737774375</v>
          </cell>
          <cell r="BX502">
            <v>531.06588073877595</v>
          </cell>
          <cell r="BY502">
            <v>179.57670082200161</v>
          </cell>
          <cell r="BZ502">
            <v>710.64258156077756</v>
          </cell>
          <cell r="CA502">
            <v>724.85543319199314</v>
          </cell>
          <cell r="CB502">
            <v>739.35254185583301</v>
          </cell>
          <cell r="CC502">
            <v>754.13959269294969</v>
          </cell>
          <cell r="CD502">
            <v>769.22238454680871</v>
          </cell>
          <cell r="CE502">
            <v>784.60683223774492</v>
          </cell>
          <cell r="CF502">
            <v>800.29896888249982</v>
          </cell>
          <cell r="CG502">
            <v>816.30494826014979</v>
          </cell>
          <cell r="CH502">
            <v>832.63104722535275</v>
          </cell>
          <cell r="CI502">
            <v>849.28366816985977</v>
          </cell>
          <cell r="CJ502">
            <v>849.28366816985977</v>
          </cell>
        </row>
        <row r="503">
          <cell r="A503" t="str">
            <v xml:space="preserve">           growth </v>
          </cell>
          <cell r="AY503">
            <v>-4.6511627906976716E-2</v>
          </cell>
          <cell r="BD503">
            <v>0.02</v>
          </cell>
          <cell r="BE503">
            <v>0</v>
          </cell>
          <cell r="BF503">
            <v>-1.7341040462427793E-2</v>
          </cell>
          <cell r="BG503">
            <v>-3.6649214659685847E-2</v>
          </cell>
          <cell r="BH503">
            <v>-2.7472527472527486E-2</v>
          </cell>
          <cell r="BI503">
            <v>5.4054054054053502E-3</v>
          </cell>
          <cell r="BJ503">
            <v>-1.6393442622950838E-2</v>
          </cell>
          <cell r="BK503">
            <v>5.2023121387283267E-2</v>
          </cell>
          <cell r="BL503">
            <v>0</v>
          </cell>
          <cell r="BM503">
            <v>-3.5294117647058809E-2</v>
          </cell>
          <cell r="BN503">
            <v>-1.6304347826086918E-2</v>
          </cell>
          <cell r="BO503">
            <v>-2.5423728813559365E-2</v>
          </cell>
          <cell r="BP503">
            <v>-6.4516129032258118E-2</v>
          </cell>
          <cell r="BQ503">
            <v>-3.8888888888888862E-2</v>
          </cell>
          <cell r="BR503">
            <v>-1.6483516483516536E-2</v>
          </cell>
          <cell r="BS503">
            <v>-3.3240997229916913E-2</v>
          </cell>
          <cell r="BT503">
            <v>2.6761738394057044E-2</v>
          </cell>
          <cell r="BU503">
            <v>1.5904686543684043E-2</v>
          </cell>
          <cell r="BV503">
            <v>2.1065719887049861E-2</v>
          </cell>
          <cell r="BW503">
            <v>2.7575904469791634E-2</v>
          </cell>
          <cell r="BX503">
            <v>2.324832512288233E-2</v>
          </cell>
          <cell r="BY503">
            <v>3.2217923016850669E-3</v>
          </cell>
          <cell r="BZ503">
            <v>1.811258103263258E-2</v>
          </cell>
          <cell r="CA503">
            <v>2.0000000000000018E-2</v>
          </cell>
          <cell r="CB503">
            <v>2.0000000000000018E-2</v>
          </cell>
          <cell r="CC503">
            <v>2.0000000000000018E-2</v>
          </cell>
          <cell r="CD503">
            <v>2.0000000000000018E-2</v>
          </cell>
          <cell r="CE503">
            <v>2.0000000000000018E-2</v>
          </cell>
          <cell r="CF503">
            <v>2.0000000000000018E-2</v>
          </cell>
          <cell r="CG503">
            <v>2.0000000000000018E-2</v>
          </cell>
          <cell r="CH503">
            <v>2.0000000000000018E-2</v>
          </cell>
          <cell r="CI503">
            <v>2.0000000000000018E-2</v>
          </cell>
          <cell r="CJ503">
            <v>0</v>
          </cell>
        </row>
        <row r="504">
          <cell r="A504" t="str">
            <v xml:space="preserve">   CER growth </v>
          </cell>
          <cell r="BD504">
            <v>0.01</v>
          </cell>
          <cell r="BE504">
            <v>-0.04</v>
          </cell>
          <cell r="BG504">
            <v>-0.01</v>
          </cell>
          <cell r="BH504">
            <v>-0.01</v>
          </cell>
          <cell r="BI504">
            <v>0.03</v>
          </cell>
          <cell r="BJ504">
            <v>0.03</v>
          </cell>
          <cell r="BK504">
            <v>7.0000000000000007E-2</v>
          </cell>
          <cell r="BL504">
            <v>0.02</v>
          </cell>
          <cell r="BM504">
            <v>-0.03</v>
          </cell>
          <cell r="BN504">
            <v>0.01</v>
          </cell>
          <cell r="BO504">
            <v>-0.01</v>
          </cell>
          <cell r="BP504">
            <v>-0.03</v>
          </cell>
          <cell r="BQ504">
            <v>-0.02</v>
          </cell>
          <cell r="BR504">
            <v>0.01</v>
          </cell>
          <cell r="BS504">
            <v>-0.01</v>
          </cell>
          <cell r="BT504">
            <v>0.04</v>
          </cell>
          <cell r="BU504">
            <v>0</v>
          </cell>
          <cell r="BW504">
            <v>0.02</v>
          </cell>
          <cell r="BY504">
            <v>-3.5864746545015702E-3</v>
          </cell>
          <cell r="BZ504">
            <v>0.02</v>
          </cell>
          <cell r="CA504">
            <v>0.02</v>
          </cell>
          <cell r="CB504">
            <v>0.02</v>
          </cell>
          <cell r="CC504">
            <v>0.02</v>
          </cell>
          <cell r="CD504">
            <v>0.02</v>
          </cell>
          <cell r="CE504">
            <v>0.02</v>
          </cell>
          <cell r="CF504">
            <v>0.02</v>
          </cell>
          <cell r="CG504">
            <v>0.02</v>
          </cell>
          <cell r="CH504">
            <v>0.02</v>
          </cell>
          <cell r="CI504">
            <v>0.02</v>
          </cell>
          <cell r="CJ504">
            <v>0</v>
          </cell>
        </row>
        <row r="505">
          <cell r="A505" t="str">
            <v>Alcon</v>
          </cell>
          <cell r="AC505">
            <v>5584.5</v>
          </cell>
          <cell r="AD505">
            <v>0</v>
          </cell>
          <cell r="AE505">
            <v>0</v>
          </cell>
          <cell r="AF505">
            <v>0</v>
          </cell>
          <cell r="AG505">
            <v>0</v>
          </cell>
          <cell r="AH505">
            <v>0</v>
          </cell>
          <cell r="AI505">
            <v>0</v>
          </cell>
          <cell r="AJ505">
            <v>6269.0339999999997</v>
          </cell>
          <cell r="AQ505">
            <v>6408.3289999999997</v>
          </cell>
          <cell r="AR505">
            <v>507</v>
          </cell>
          <cell r="AS505">
            <v>516</v>
          </cell>
          <cell r="AT505">
            <v>1023</v>
          </cell>
          <cell r="AU505">
            <v>1138</v>
          </cell>
          <cell r="AV505">
            <v>2161</v>
          </cell>
          <cell r="AW505">
            <v>2285</v>
          </cell>
          <cell r="AX505">
            <v>4446</v>
          </cell>
          <cell r="AY505">
            <v>2416</v>
          </cell>
          <cell r="AZ505">
            <v>2625</v>
          </cell>
          <cell r="BA505">
            <v>5041</v>
          </cell>
          <cell r="BB505">
            <v>2492</v>
          </cell>
          <cell r="BC505">
            <v>7533</v>
          </cell>
          <cell r="BD505">
            <v>2425</v>
          </cell>
          <cell r="BE505">
            <v>9958</v>
          </cell>
          <cell r="BF505">
            <v>2541</v>
          </cell>
          <cell r="BG505">
            <v>2648</v>
          </cell>
          <cell r="BH505">
            <v>5189</v>
          </cell>
          <cell r="BI505">
            <v>2460</v>
          </cell>
          <cell r="BJ505">
            <v>7649</v>
          </cell>
          <cell r="BK505">
            <v>2576</v>
          </cell>
          <cell r="BL505">
            <v>10225</v>
          </cell>
          <cell r="BM505">
            <v>2566</v>
          </cell>
          <cell r="BN505">
            <v>2736</v>
          </cell>
          <cell r="BO505">
            <v>5302</v>
          </cell>
          <cell r="BP505">
            <v>2539</v>
          </cell>
          <cell r="BQ505">
            <v>7841</v>
          </cell>
          <cell r="BR505">
            <v>2655</v>
          </cell>
          <cell r="BS505">
            <v>10496</v>
          </cell>
          <cell r="BT505">
            <v>2721.4418603224713</v>
          </cell>
          <cell r="BU505">
            <v>2906.9096700760974</v>
          </cell>
          <cell r="BV505">
            <v>5628.3515303985696</v>
          </cell>
          <cell r="BW505">
            <v>2682.5977156276967</v>
          </cell>
          <cell r="BX505">
            <v>8310.9492460262663</v>
          </cell>
          <cell r="BY505">
            <v>2757.1023448178703</v>
          </cell>
          <cell r="BZ505">
            <v>11068.051590844136</v>
          </cell>
          <cell r="CA505">
            <v>11886.719211146119</v>
          </cell>
          <cell r="CB505">
            <v>12632.410011877022</v>
          </cell>
          <cell r="CC505">
            <v>13351.970280512807</v>
          </cell>
          <cell r="CD505">
            <v>14019.455862601517</v>
          </cell>
          <cell r="CE505">
            <v>14723.299258643259</v>
          </cell>
          <cell r="CF505">
            <v>15465.601506121031</v>
          </cell>
          <cell r="CG505">
            <v>16218.209961196366</v>
          </cell>
          <cell r="CH505">
            <v>16913.615285107557</v>
          </cell>
          <cell r="CI505">
            <v>17641.480771731334</v>
          </cell>
          <cell r="CJ505">
            <v>18125.8377861097</v>
          </cell>
        </row>
        <row r="506">
          <cell r="A506" t="str">
            <v xml:space="preserve">   growth </v>
          </cell>
          <cell r="O506" t="e">
            <v>#DIV/0!</v>
          </cell>
          <cell r="P506" t="e">
            <v>#DIV/0!</v>
          </cell>
          <cell r="Q506" t="e">
            <v>#DIV/0!</v>
          </cell>
          <cell r="R506" t="e">
            <v>#DIV/0!</v>
          </cell>
          <cell r="S506" t="e">
            <v>#DIV/0!</v>
          </cell>
          <cell r="T506" t="e">
            <v>#DIV/0!</v>
          </cell>
          <cell r="U506" t="e">
            <v>#DIV/0!</v>
          </cell>
          <cell r="V506" t="e">
            <v>#DIV/0!</v>
          </cell>
          <cell r="W506" t="e">
            <v>#DIV/0!</v>
          </cell>
          <cell r="X506" t="e">
            <v>#DIV/0!</v>
          </cell>
          <cell r="Y506" t="e">
            <v>#DIV/0!</v>
          </cell>
          <cell r="Z506" t="e">
            <v>#DIV/0!</v>
          </cell>
          <cell r="AA506" t="e">
            <v>#DIV/0!</v>
          </cell>
          <cell r="AB506" t="e">
            <v>#DIV/0!</v>
          </cell>
          <cell r="AC506" t="e">
            <v>#DIV/0!</v>
          </cell>
          <cell r="AD506" t="e">
            <v>#DIV/0!</v>
          </cell>
          <cell r="AE506" t="e">
            <v>#DIV/0!</v>
          </cell>
          <cell r="AF506" t="e">
            <v>#DIV/0!</v>
          </cell>
          <cell r="AG506" t="e">
            <v>#DIV/0!</v>
          </cell>
          <cell r="AH506" t="e">
            <v>#DIV/0!</v>
          </cell>
          <cell r="AI506" t="e">
            <v>#DIV/0!</v>
          </cell>
          <cell r="AJ506">
            <v>0.12257749127048068</v>
          </cell>
          <cell r="AK506" t="e">
            <v>#DIV/0!</v>
          </cell>
          <cell r="AL506" t="e">
            <v>#DIV/0!</v>
          </cell>
          <cell r="AM506" t="e">
            <v>#DIV/0!</v>
          </cell>
          <cell r="AN506" t="e">
            <v>#DIV/0!</v>
          </cell>
          <cell r="AO506" t="e">
            <v>#DIV/0!</v>
          </cell>
          <cell r="AP506" t="e">
            <v>#DIV/0!</v>
          </cell>
          <cell r="AQ506">
            <v>2.2219531749229748E-2</v>
          </cell>
          <cell r="AR506" t="e">
            <v>#DIV/0!</v>
          </cell>
          <cell r="AS506" t="e">
            <v>#DIV/0!</v>
          </cell>
          <cell r="AT506" t="e">
            <v>#DIV/0!</v>
          </cell>
          <cell r="AU506" t="e">
            <v>#DIV/0!</v>
          </cell>
          <cell r="AV506" t="e">
            <v>#DIV/0!</v>
          </cell>
          <cell r="AW506" t="e">
            <v>#DIV/0!</v>
          </cell>
          <cell r="AX506">
            <v>-0.30621539562029354</v>
          </cell>
          <cell r="AY506">
            <v>3.7652859960552272</v>
          </cell>
          <cell r="AZ506">
            <v>4.0872093023255811</v>
          </cell>
          <cell r="BA506">
            <v>3.9276637341153471</v>
          </cell>
          <cell r="BB506">
            <v>1.1898066783831283</v>
          </cell>
          <cell r="BC506">
            <v>2.4858861638130496</v>
          </cell>
          <cell r="BD506">
            <v>6.1269146608315062E-2</v>
          </cell>
          <cell r="BE506">
            <v>1.2397660818713452</v>
          </cell>
          <cell r="BF506">
            <v>5.1738410596026574E-2</v>
          </cell>
          <cell r="BG506">
            <v>8.7619047619047485E-3</v>
          </cell>
          <cell r="BH506">
            <v>2.9359254116246847E-2</v>
          </cell>
          <cell r="BI506">
            <v>-1.2841091492776902E-2</v>
          </cell>
          <cell r="BJ506">
            <v>1.5398911456259157E-2</v>
          </cell>
          <cell r="BK506">
            <v>6.2268041237113492E-2</v>
          </cell>
          <cell r="BL506">
            <v>2.6812612974492778E-2</v>
          </cell>
          <cell r="BM506">
            <v>9.838646202282586E-3</v>
          </cell>
          <cell r="BN506">
            <v>3.3232628398791597E-2</v>
          </cell>
          <cell r="BO506">
            <v>2.1776835613798395E-2</v>
          </cell>
          <cell r="BP506">
            <v>3.2113821138211485E-2</v>
          </cell>
          <cell r="BQ506">
            <v>2.5101320434043561E-2</v>
          </cell>
          <cell r="BR506">
            <v>3.0667701863354102E-2</v>
          </cell>
          <cell r="BS506">
            <v>2.6503667481662552E-2</v>
          </cell>
          <cell r="BT506">
            <v>6.0577498177112776E-2</v>
          </cell>
          <cell r="BU506">
            <v>6.2466984676936121E-2</v>
          </cell>
          <cell r="BV506">
            <v>6.1552533081586036E-2</v>
          </cell>
          <cell r="BW506">
            <v>5.6556800168450883E-2</v>
          </cell>
          <cell r="BX506">
            <v>5.9934861118003724E-2</v>
          </cell>
          <cell r="BY506">
            <v>3.8456627050045267E-2</v>
          </cell>
          <cell r="BZ506">
            <v>5.4501866505729302E-2</v>
          </cell>
          <cell r="CA506">
            <v>7.3966733311869648E-2</v>
          </cell>
          <cell r="CB506">
            <v>6.2733104693149633E-2</v>
          </cell>
          <cell r="CC506">
            <v>5.6961440292014887E-2</v>
          </cell>
          <cell r="CD506">
            <v>4.9991541927179473E-2</v>
          </cell>
          <cell r="CE506">
            <v>5.0204758511300351E-2</v>
          </cell>
          <cell r="CF506">
            <v>5.0416841662849876E-2</v>
          </cell>
          <cell r="CG506">
            <v>4.8663380779432552E-2</v>
          </cell>
          <cell r="CH506">
            <v>4.287805655340593E-2</v>
          </cell>
          <cell r="CI506">
            <v>4.3034293635888954E-2</v>
          </cell>
          <cell r="CJ506">
            <v>2.7455575903497786E-2</v>
          </cell>
        </row>
        <row r="507">
          <cell r="A507" t="str">
            <v xml:space="preserve">   CER growth </v>
          </cell>
          <cell r="BG507">
            <v>0.05</v>
          </cell>
          <cell r="BH507">
            <v>0.06</v>
          </cell>
          <cell r="BI507">
            <v>0.03</v>
          </cell>
          <cell r="BJ507">
            <v>0.05</v>
          </cell>
          <cell r="BK507">
            <v>0.08</v>
          </cell>
          <cell r="BL507">
            <v>0.05</v>
          </cell>
          <cell r="BM507">
            <v>0.03</v>
          </cell>
          <cell r="BN507">
            <v>0.06</v>
          </cell>
          <cell r="BO507">
            <v>0.04</v>
          </cell>
          <cell r="BP507">
            <v>0.06</v>
          </cell>
          <cell r="BQ507">
            <v>0.05</v>
          </cell>
          <cell r="BR507">
            <v>0.06</v>
          </cell>
          <cell r="BS507">
            <v>0.05</v>
          </cell>
        </row>
        <row r="509">
          <cell r="A509" t="str">
            <v>Alcon geo split and CER</v>
          </cell>
        </row>
        <row r="510">
          <cell r="A510" t="str">
            <v>Pharmaceuticals</v>
          </cell>
          <cell r="AJ510">
            <v>0.4244465734274212</v>
          </cell>
          <cell r="AK510" t="e">
            <v>#DIV/0!</v>
          </cell>
          <cell r="AL510" t="e">
            <v>#DIV/0!</v>
          </cell>
          <cell r="AM510" t="e">
            <v>#DIV/0!</v>
          </cell>
          <cell r="AN510" t="e">
            <v>#DIV/0!</v>
          </cell>
          <cell r="AO510" t="e">
            <v>#DIV/0!</v>
          </cell>
          <cell r="AP510" t="e">
            <v>#DIV/0!</v>
          </cell>
          <cell r="AQ510">
            <v>0.42352497819634416</v>
          </cell>
          <cell r="AR510">
            <v>1.6745562130177514</v>
          </cell>
          <cell r="AS510">
            <v>1.8410852713178294</v>
          </cell>
          <cell r="AT510">
            <v>1.7585532746823069</v>
          </cell>
          <cell r="AU510">
            <v>0.76362038664323373</v>
          </cell>
          <cell r="AV510">
            <v>1.2346136048125869</v>
          </cell>
          <cell r="AW510">
            <v>0.37155361050328228</v>
          </cell>
          <cell r="AX510">
            <v>0.79104813315339628</v>
          </cell>
          <cell r="AY510">
            <v>0.41142384105960267</v>
          </cell>
          <cell r="AZ510">
            <v>0.40685714285714286</v>
          </cell>
          <cell r="BA510">
            <v>0.40726046419361239</v>
          </cell>
          <cell r="BB510">
            <v>0.39285714285714285</v>
          </cell>
          <cell r="BC510">
            <v>0.40369042878003453</v>
          </cell>
          <cell r="BD510">
            <v>0.37773195876288662</v>
          </cell>
          <cell r="BE510">
            <v>0.39736894958827074</v>
          </cell>
          <cell r="BF510">
            <v>0.4049586776859504</v>
          </cell>
          <cell r="BG510">
            <v>0.40067975830815711</v>
          </cell>
          <cell r="BH510">
            <v>0.4027751011755637</v>
          </cell>
          <cell r="BI510">
            <v>0.39146341463414636</v>
          </cell>
          <cell r="BJ510">
            <v>0.39913714211007972</v>
          </cell>
          <cell r="BK510">
            <v>0.375</v>
          </cell>
          <cell r="BL510">
            <v>0.39305623471882639</v>
          </cell>
          <cell r="BM510">
            <v>0.40958690568978956</v>
          </cell>
          <cell r="BN510">
            <v>0.39619883040935672</v>
          </cell>
          <cell r="BO510">
            <v>0.4026782346284421</v>
          </cell>
          <cell r="BP510">
            <v>0.38991729027176053</v>
          </cell>
          <cell r="BQ510">
            <v>0.39854610381328914</v>
          </cell>
          <cell r="BR510">
            <v>0.37024482109227874</v>
          </cell>
          <cell r="BS510">
            <v>0.39138719512195119</v>
          </cell>
          <cell r="BT510">
            <v>0.39349109206139604</v>
          </cell>
          <cell r="BU510">
            <v>0.39302439365345637</v>
          </cell>
          <cell r="BV510">
            <v>0.39325005343619257</v>
          </cell>
          <cell r="BW510">
            <v>0.38577523077038628</v>
          </cell>
          <cell r="BX510">
            <v>0.39083733960358169</v>
          </cell>
          <cell r="BY510">
            <v>0.36480126495983128</v>
          </cell>
          <cell r="BZ510">
            <v>0.38435163416022083</v>
          </cell>
          <cell r="CA510">
            <v>0.37478287088491946</v>
          </cell>
          <cell r="CB510">
            <v>0.36941487612493362</v>
          </cell>
          <cell r="CC510">
            <v>0.36620998820115858</v>
          </cell>
          <cell r="CD510">
            <v>0.36553963294731967</v>
          </cell>
          <cell r="CE510">
            <v>0.3648923328554432</v>
          </cell>
          <cell r="CF510">
            <v>0.36426754234787206</v>
          </cell>
          <cell r="CG510">
            <v>0.3643459431228665</v>
          </cell>
          <cell r="CH510">
            <v>0.36145287837797102</v>
          </cell>
          <cell r="CI510">
            <v>0.35860438308167364</v>
          </cell>
          <cell r="CJ510">
            <v>0.35842165623416555</v>
          </cell>
        </row>
        <row r="511">
          <cell r="A511" t="str">
            <v xml:space="preserve">Surgical </v>
          </cell>
          <cell r="AJ511">
            <v>0.44390634984592525</v>
          </cell>
          <cell r="AK511" t="e">
            <v>#DIV/0!</v>
          </cell>
          <cell r="AL511" t="e">
            <v>#DIV/0!</v>
          </cell>
          <cell r="AM511" t="e">
            <v>#DIV/0!</v>
          </cell>
          <cell r="AN511" t="e">
            <v>#DIV/0!</v>
          </cell>
          <cell r="AO511" t="e">
            <v>#DIV/0!</v>
          </cell>
          <cell r="AP511" t="e">
            <v>#DIV/0!</v>
          </cell>
          <cell r="AQ511">
            <v>0.44511378863351114</v>
          </cell>
          <cell r="AR511">
            <v>1.5226824457593688</v>
          </cell>
          <cell r="AS511">
            <v>1.5949612403100775</v>
          </cell>
          <cell r="AT511">
            <v>1.5591397849462365</v>
          </cell>
          <cell r="AU511">
            <v>0.67311072056239019</v>
          </cell>
          <cell r="AV511">
            <v>1.0925497454881998</v>
          </cell>
          <cell r="AW511">
            <v>0.37636761487964987</v>
          </cell>
          <cell r="AX511">
            <v>0.7244714349977508</v>
          </cell>
          <cell r="AY511">
            <v>0.34975165562913907</v>
          </cell>
          <cell r="AZ511">
            <v>0.35314285714285715</v>
          </cell>
          <cell r="BA511">
            <v>0.35151755604046814</v>
          </cell>
          <cell r="BB511">
            <v>0.3559390048154093</v>
          </cell>
          <cell r="BC511">
            <v>0.35298022036373289</v>
          </cell>
          <cell r="BD511">
            <v>0.38268041237113404</v>
          </cell>
          <cell r="BE511">
            <v>0.36021289415545288</v>
          </cell>
          <cell r="BF511">
            <v>0.36127508854781581</v>
          </cell>
          <cell r="BG511">
            <v>0.36140483383685801</v>
          </cell>
          <cell r="BH511">
            <v>0.36134129890152245</v>
          </cell>
          <cell r="BI511">
            <v>0.35487804878048779</v>
          </cell>
          <cell r="BJ511">
            <v>0.35926264871224994</v>
          </cell>
          <cell r="BK511">
            <v>0.38975155279503104</v>
          </cell>
          <cell r="BL511">
            <v>0.36694376528117362</v>
          </cell>
          <cell r="BM511">
            <v>0.35541699142634453</v>
          </cell>
          <cell r="BN511">
            <v>0.36878654970760233</v>
          </cell>
          <cell r="BO511">
            <v>0.36231610712938511</v>
          </cell>
          <cell r="BP511">
            <v>0.3619535250098464</v>
          </cell>
          <cell r="BQ511">
            <v>0.36219869914551717</v>
          </cell>
          <cell r="BR511">
            <v>0.39811676082862524</v>
          </cell>
          <cell r="BS511">
            <v>0.3712842987804878</v>
          </cell>
          <cell r="BT511">
            <v>0.3758203248286795</v>
          </cell>
          <cell r="BU511">
            <v>0.37257286642902077</v>
          </cell>
          <cell r="BV511">
            <v>0.37414308982049777</v>
          </cell>
          <cell r="BW511">
            <v>0.36605177969220598</v>
          </cell>
          <cell r="BX511">
            <v>0.37153138694227722</v>
          </cell>
          <cell r="BY511">
            <v>0.40569536671708351</v>
          </cell>
          <cell r="BZ511">
            <v>0.38004179078095729</v>
          </cell>
          <cell r="CA511">
            <v>0.39506595622130219</v>
          </cell>
          <cell r="CB511">
            <v>0.40491291872629204</v>
          </cell>
          <cell r="CC511">
            <v>0.41126536740305247</v>
          </cell>
          <cell r="CD511">
            <v>0.41354770088651494</v>
          </cell>
          <cell r="CE511">
            <v>0.41580542970517309</v>
          </cell>
          <cell r="CF511">
            <v>0.41803921842661523</v>
          </cell>
          <cell r="CG511">
            <v>0.41916371841225253</v>
          </cell>
          <cell r="CH511">
            <v>0.42202623937396699</v>
          </cell>
          <cell r="CI511">
            <v>0.42484466143292116</v>
          </cell>
          <cell r="CJ511">
            <v>0.42589676044252528</v>
          </cell>
        </row>
        <row r="512">
          <cell r="A512" t="str">
            <v>Vision Care</v>
          </cell>
          <cell r="AJ512">
            <v>0.1316470767266536</v>
          </cell>
          <cell r="AK512" t="e">
            <v>#DIV/0!</v>
          </cell>
          <cell r="AL512" t="e">
            <v>#DIV/0!</v>
          </cell>
          <cell r="AM512" t="e">
            <v>#DIV/0!</v>
          </cell>
          <cell r="AN512" t="e">
            <v>#DIV/0!</v>
          </cell>
          <cell r="AO512" t="e">
            <v>#DIV/0!</v>
          </cell>
          <cell r="AP512" t="e">
            <v>#DIV/0!</v>
          </cell>
          <cell r="AQ512">
            <v>0.13136123317014467</v>
          </cell>
          <cell r="AR512">
            <v>1.0907297830374754</v>
          </cell>
          <cell r="AS512">
            <v>1.1104651162790697</v>
          </cell>
          <cell r="AT512">
            <v>1.1006842619745845</v>
          </cell>
          <cell r="AU512">
            <v>0.52636203866432341</v>
          </cell>
          <cell r="AV512">
            <v>0.79824155483572423</v>
          </cell>
          <cell r="AW512">
            <v>0.2485776805251641</v>
          </cell>
          <cell r="AX512">
            <v>0.51574448942869999</v>
          </cell>
          <cell r="AY512">
            <v>0.23882450331125829</v>
          </cell>
          <cell r="AZ512">
            <v>0.24</v>
          </cell>
          <cell r="BA512">
            <v>0.23943661971830985</v>
          </cell>
          <cell r="BB512">
            <v>0.25120385232744785</v>
          </cell>
          <cell r="BC512">
            <v>0.24332935085623258</v>
          </cell>
          <cell r="BD512">
            <v>0.23958762886597937</v>
          </cell>
          <cell r="BE512">
            <v>0.24241815625627636</v>
          </cell>
          <cell r="BF512">
            <v>0.23376623376623376</v>
          </cell>
          <cell r="BG512">
            <v>0.23791540785498488</v>
          </cell>
          <cell r="BH512">
            <v>0.23588359992291386</v>
          </cell>
          <cell r="BI512">
            <v>0.25365853658536586</v>
          </cell>
          <cell r="BJ512">
            <v>0.24160020917767028</v>
          </cell>
          <cell r="BK512">
            <v>0.23524844720496896</v>
          </cell>
          <cell r="BL512">
            <v>0.24</v>
          </cell>
          <cell r="BM512">
            <v>0.23499610288386594</v>
          </cell>
          <cell r="BN512">
            <v>0.23501461988304093</v>
          </cell>
          <cell r="BO512">
            <v>0.23500565824217276</v>
          </cell>
          <cell r="BP512">
            <v>0.24812918471839307</v>
          </cell>
          <cell r="BQ512">
            <v>0.23925519704119372</v>
          </cell>
          <cell r="BR512">
            <v>0.23163841807909605</v>
          </cell>
          <cell r="BS512">
            <v>0.23732850609756098</v>
          </cell>
          <cell r="BT512">
            <v>0.23068858310992443</v>
          </cell>
          <cell r="BU512">
            <v>0.23440273991752292</v>
          </cell>
          <cell r="BV512">
            <v>0.23260685674330961</v>
          </cell>
          <cell r="BW512">
            <v>0.24817298953740774</v>
          </cell>
          <cell r="BX512">
            <v>0.23763127345414087</v>
          </cell>
          <cell r="BY512">
            <v>0.22950336832308524</v>
          </cell>
          <cell r="BZ512">
            <v>0.23560657505882185</v>
          </cell>
          <cell r="CA512">
            <v>0.23015117289377846</v>
          </cell>
          <cell r="CB512">
            <v>0.2256722051487744</v>
          </cell>
          <cell r="CC512">
            <v>0.22252464439578895</v>
          </cell>
          <cell r="CD512">
            <v>0.22091266616616542</v>
          </cell>
          <cell r="CE512">
            <v>0.2193022374393836</v>
          </cell>
          <cell r="CF512">
            <v>0.21769323922551279</v>
          </cell>
          <cell r="CG512">
            <v>0.21649033846488092</v>
          </cell>
          <cell r="CH512">
            <v>0.21652088224806201</v>
          </cell>
          <cell r="CI512">
            <v>0.21655095548540521</v>
          </cell>
          <cell r="CJ512">
            <v>0.21568158332330906</v>
          </cell>
        </row>
        <row r="514">
          <cell r="A514" t="str">
            <v>Europe</v>
          </cell>
        </row>
        <row r="515">
          <cell r="A515" t="str">
            <v>Europe</v>
          </cell>
          <cell r="AY515">
            <v>704</v>
          </cell>
          <cell r="AZ515">
            <v>759</v>
          </cell>
          <cell r="BA515">
            <v>1463</v>
          </cell>
          <cell r="BB515">
            <v>676</v>
          </cell>
          <cell r="BC515">
            <v>2139</v>
          </cell>
          <cell r="BD515">
            <v>696</v>
          </cell>
          <cell r="BE515">
            <v>2835</v>
          </cell>
          <cell r="BF515">
            <v>691</v>
          </cell>
          <cell r="BG515">
            <v>701</v>
          </cell>
          <cell r="BH515">
            <v>1392</v>
          </cell>
          <cell r="BI515">
            <v>618</v>
          </cell>
          <cell r="BJ515">
            <v>2010</v>
          </cell>
          <cell r="BK515">
            <v>700</v>
          </cell>
          <cell r="BL515">
            <v>2710</v>
          </cell>
          <cell r="BM515">
            <v>692</v>
          </cell>
          <cell r="BN515">
            <v>724</v>
          </cell>
          <cell r="BO515">
            <v>1416</v>
          </cell>
          <cell r="BP515">
            <v>666</v>
          </cell>
          <cell r="BQ515">
            <v>2082</v>
          </cell>
          <cell r="BR515">
            <v>749</v>
          </cell>
          <cell r="BS515">
            <v>2831</v>
          </cell>
        </row>
        <row r="516">
          <cell r="A516" t="str">
            <v>US</v>
          </cell>
          <cell r="AY516">
            <v>893</v>
          </cell>
          <cell r="AZ516">
            <v>1040</v>
          </cell>
          <cell r="BA516">
            <v>1933</v>
          </cell>
          <cell r="BB516">
            <v>949</v>
          </cell>
          <cell r="BC516">
            <v>2882</v>
          </cell>
          <cell r="BD516">
            <v>928</v>
          </cell>
          <cell r="BE516">
            <v>3810</v>
          </cell>
          <cell r="BF516">
            <v>977</v>
          </cell>
          <cell r="BG516">
            <v>1076</v>
          </cell>
          <cell r="BH516">
            <v>2053</v>
          </cell>
          <cell r="BI516">
            <v>984</v>
          </cell>
          <cell r="BJ516">
            <v>3037</v>
          </cell>
          <cell r="BK516">
            <v>979</v>
          </cell>
          <cell r="BL516">
            <v>4016</v>
          </cell>
          <cell r="BM516">
            <v>1000</v>
          </cell>
          <cell r="BN516">
            <v>1114</v>
          </cell>
          <cell r="BO516">
            <v>2114</v>
          </cell>
          <cell r="BP516">
            <v>1037</v>
          </cell>
          <cell r="BQ516">
            <v>3151</v>
          </cell>
          <cell r="BR516">
            <v>1028</v>
          </cell>
          <cell r="BS516">
            <v>4179</v>
          </cell>
        </row>
        <row r="517">
          <cell r="A517" t="str">
            <v>Asia/Africa/Australasia</v>
          </cell>
          <cell r="AY517">
            <v>559</v>
          </cell>
          <cell r="AZ517">
            <v>534</v>
          </cell>
          <cell r="BA517">
            <v>1093</v>
          </cell>
          <cell r="BB517">
            <v>585</v>
          </cell>
          <cell r="BC517">
            <v>1678</v>
          </cell>
          <cell r="BD517">
            <v>529</v>
          </cell>
          <cell r="BE517">
            <v>2207</v>
          </cell>
          <cell r="BF517">
            <v>617</v>
          </cell>
          <cell r="BG517">
            <v>579</v>
          </cell>
          <cell r="BH517">
            <v>1196</v>
          </cell>
          <cell r="BI517">
            <v>581</v>
          </cell>
          <cell r="BJ517">
            <v>1777</v>
          </cell>
          <cell r="BK517">
            <v>618</v>
          </cell>
          <cell r="BL517">
            <v>2395</v>
          </cell>
          <cell r="BM517">
            <v>617</v>
          </cell>
          <cell r="BN517">
            <v>605</v>
          </cell>
          <cell r="BO517">
            <v>1222</v>
          </cell>
          <cell r="BP517">
            <v>559</v>
          </cell>
          <cell r="BQ517">
            <v>1781</v>
          </cell>
          <cell r="BR517">
            <v>597</v>
          </cell>
          <cell r="BS517">
            <v>2378</v>
          </cell>
        </row>
        <row r="518">
          <cell r="A518" t="str">
            <v>Canada &amp; Latin America</v>
          </cell>
          <cell r="AY518">
            <v>260</v>
          </cell>
          <cell r="AZ518">
            <v>292</v>
          </cell>
          <cell r="BA518">
            <v>552</v>
          </cell>
          <cell r="BB518">
            <v>282</v>
          </cell>
          <cell r="BC518">
            <v>834</v>
          </cell>
          <cell r="BD518">
            <v>272</v>
          </cell>
          <cell r="BE518">
            <v>1106</v>
          </cell>
          <cell r="BF518">
            <v>256</v>
          </cell>
          <cell r="BG518">
            <v>292</v>
          </cell>
          <cell r="BH518">
            <v>548</v>
          </cell>
          <cell r="BI518">
            <v>277</v>
          </cell>
          <cell r="BJ518">
            <v>825</v>
          </cell>
          <cell r="BK518">
            <v>279</v>
          </cell>
          <cell r="BL518">
            <v>1104</v>
          </cell>
          <cell r="BM518">
            <v>257</v>
          </cell>
          <cell r="BN518">
            <v>293</v>
          </cell>
          <cell r="BO518">
            <v>550</v>
          </cell>
          <cell r="BP518">
            <v>277</v>
          </cell>
          <cell r="BQ518">
            <v>827</v>
          </cell>
          <cell r="BR518">
            <v>281</v>
          </cell>
          <cell r="BS518">
            <v>1108</v>
          </cell>
        </row>
        <row r="519">
          <cell r="A519" t="str">
            <v>Total</v>
          </cell>
          <cell r="AY519">
            <v>2416</v>
          </cell>
          <cell r="AZ519">
            <v>2625</v>
          </cell>
          <cell r="BA519">
            <v>5041</v>
          </cell>
          <cell r="BB519">
            <v>2492</v>
          </cell>
          <cell r="BC519">
            <v>7533</v>
          </cell>
          <cell r="BD519">
            <v>2425</v>
          </cell>
          <cell r="BE519">
            <v>9958</v>
          </cell>
          <cell r="BF519">
            <v>2541</v>
          </cell>
          <cell r="BG519">
            <v>2648</v>
          </cell>
          <cell r="BH519">
            <v>5189</v>
          </cell>
          <cell r="BI519">
            <v>2460</v>
          </cell>
          <cell r="BJ519">
            <v>7649</v>
          </cell>
          <cell r="BK519">
            <v>2576</v>
          </cell>
          <cell r="BL519">
            <v>10225</v>
          </cell>
          <cell r="BM519">
            <v>2566</v>
          </cell>
          <cell r="BN519">
            <v>2736</v>
          </cell>
          <cell r="BO519">
            <v>5302</v>
          </cell>
          <cell r="BP519">
            <v>2539</v>
          </cell>
          <cell r="BQ519">
            <v>7841</v>
          </cell>
          <cell r="BR519">
            <v>2655</v>
          </cell>
          <cell r="BS519">
            <v>10496</v>
          </cell>
        </row>
        <row r="520">
          <cell r="A520" t="str">
            <v xml:space="preserve"> Of which in Established markets</v>
          </cell>
          <cell r="AY520">
            <v>1890</v>
          </cell>
          <cell r="AZ520">
            <v>2017</v>
          </cell>
          <cell r="BA520">
            <v>3907</v>
          </cell>
          <cell r="BB520">
            <v>1903</v>
          </cell>
          <cell r="BC520">
            <v>5810</v>
          </cell>
          <cell r="BD520">
            <v>1888</v>
          </cell>
          <cell r="BE520">
            <v>7698</v>
          </cell>
          <cell r="BF520">
            <v>1967</v>
          </cell>
          <cell r="BG520">
            <v>2017</v>
          </cell>
          <cell r="BH520">
            <v>3984</v>
          </cell>
          <cell r="BI520">
            <v>1876</v>
          </cell>
          <cell r="BJ520">
            <v>5860</v>
          </cell>
          <cell r="BK520">
            <v>1945</v>
          </cell>
          <cell r="BL520">
            <v>7805</v>
          </cell>
          <cell r="BM520">
            <v>1959</v>
          </cell>
          <cell r="BN520">
            <v>2054</v>
          </cell>
          <cell r="BO520">
            <v>4013</v>
          </cell>
          <cell r="BP520">
            <v>1911</v>
          </cell>
          <cell r="BQ520">
            <v>5924</v>
          </cell>
          <cell r="BR520">
            <v>1994</v>
          </cell>
          <cell r="BS520">
            <v>7918</v>
          </cell>
        </row>
        <row r="521">
          <cell r="A521" t="str">
            <v>Of which in EM growth markets</v>
          </cell>
          <cell r="AY521">
            <v>526</v>
          </cell>
          <cell r="AZ521">
            <v>608</v>
          </cell>
          <cell r="BA521">
            <v>1134</v>
          </cell>
          <cell r="BB521">
            <v>589</v>
          </cell>
          <cell r="BC521">
            <v>1723</v>
          </cell>
          <cell r="BD521">
            <v>537</v>
          </cell>
          <cell r="BE521">
            <v>2260</v>
          </cell>
          <cell r="BF521">
            <v>574</v>
          </cell>
          <cell r="BG521">
            <v>631</v>
          </cell>
          <cell r="BH521">
            <v>1205</v>
          </cell>
          <cell r="BI521">
            <v>584</v>
          </cell>
          <cell r="BJ521">
            <v>1789</v>
          </cell>
          <cell r="BK521">
            <v>631</v>
          </cell>
          <cell r="BL521">
            <v>2420</v>
          </cell>
          <cell r="BM521">
            <v>607</v>
          </cell>
          <cell r="BN521">
            <v>682</v>
          </cell>
          <cell r="BO521">
            <v>1289</v>
          </cell>
          <cell r="BP521">
            <v>628</v>
          </cell>
          <cell r="BQ521">
            <v>1917</v>
          </cell>
          <cell r="BR521">
            <v>661</v>
          </cell>
          <cell r="BS521">
            <v>2578</v>
          </cell>
        </row>
        <row r="523">
          <cell r="A523" t="str">
            <v>% total</v>
          </cell>
        </row>
        <row r="524">
          <cell r="A524" t="str">
            <v>Europe</v>
          </cell>
          <cell r="AY524">
            <v>0.29139072847682118</v>
          </cell>
          <cell r="AZ524">
            <v>0.28914285714285715</v>
          </cell>
          <cell r="BA524">
            <v>0.29022019440587188</v>
          </cell>
          <cell r="BB524">
            <v>0.2712680577849117</v>
          </cell>
          <cell r="BC524">
            <v>0.2839506172839506</v>
          </cell>
          <cell r="BD524">
            <v>0.28701030927835053</v>
          </cell>
          <cell r="BE524">
            <v>0.28469572203253668</v>
          </cell>
          <cell r="BF524">
            <v>0.27194018103109013</v>
          </cell>
          <cell r="BG524">
            <v>0.26472809667673713</v>
          </cell>
          <cell r="BH524">
            <v>0.26825978030449027</v>
          </cell>
          <cell r="BI524">
            <v>0.25121951219512195</v>
          </cell>
          <cell r="BJ524">
            <v>0.2627794482938946</v>
          </cell>
          <cell r="BK524">
            <v>0.27173913043478259</v>
          </cell>
          <cell r="BL524">
            <v>0.26503667481662591</v>
          </cell>
          <cell r="BM524">
            <v>0.26968043647700701</v>
          </cell>
          <cell r="BN524">
            <v>0.2646198830409357</v>
          </cell>
          <cell r="BO524">
            <v>0.26706903055450776</v>
          </cell>
          <cell r="BP524">
            <v>0.26230799527372983</v>
          </cell>
          <cell r="BQ524">
            <v>0.26552735620456575</v>
          </cell>
          <cell r="BR524">
            <v>0.28210922787193976</v>
          </cell>
          <cell r="BS524">
            <v>0.2697217987804878</v>
          </cell>
        </row>
        <row r="525">
          <cell r="A525" t="str">
            <v>US</v>
          </cell>
          <cell r="AY525">
            <v>0.36961920529801323</v>
          </cell>
          <cell r="AZ525">
            <v>0.3961904761904762</v>
          </cell>
          <cell r="BA525">
            <v>0.38345566355881772</v>
          </cell>
          <cell r="BB525">
            <v>0.38081861958266455</v>
          </cell>
          <cell r="BC525">
            <v>0.38258330014602415</v>
          </cell>
          <cell r="BD525">
            <v>0.38268041237113404</v>
          </cell>
          <cell r="BE525">
            <v>0.38260694918658367</v>
          </cell>
          <cell r="BF525">
            <v>0.38449429358520265</v>
          </cell>
          <cell r="BG525">
            <v>0.40634441087613293</v>
          </cell>
          <cell r="BH525">
            <v>0.39564463287724033</v>
          </cell>
          <cell r="BI525">
            <v>0.4</v>
          </cell>
          <cell r="BJ525">
            <v>0.39704536540724278</v>
          </cell>
          <cell r="BK525">
            <v>0.38004658385093165</v>
          </cell>
          <cell r="BL525">
            <v>0.39276283618581909</v>
          </cell>
          <cell r="BM525">
            <v>0.38971161340607952</v>
          </cell>
          <cell r="BN525">
            <v>0.40716374269005851</v>
          </cell>
          <cell r="BO525">
            <v>0.39871746510750661</v>
          </cell>
          <cell r="BP525">
            <v>0.40842851516345019</v>
          </cell>
          <cell r="BQ525">
            <v>0.40186200739701566</v>
          </cell>
          <cell r="BR525">
            <v>0.38719397363465158</v>
          </cell>
          <cell r="BS525">
            <v>0.39815167682926828</v>
          </cell>
        </row>
        <row r="526">
          <cell r="A526" t="str">
            <v>Asia/Africa/Australasia</v>
          </cell>
          <cell r="AY526">
            <v>0.23137417218543047</v>
          </cell>
          <cell r="AZ526">
            <v>0.20342857142857143</v>
          </cell>
          <cell r="BA526">
            <v>0.2168220591152549</v>
          </cell>
          <cell r="BB526">
            <v>0.23475120385232745</v>
          </cell>
          <cell r="BC526">
            <v>0.22275321916898977</v>
          </cell>
          <cell r="BD526">
            <v>0.21814432989690721</v>
          </cell>
          <cell r="BE526">
            <v>0.22163084956818638</v>
          </cell>
          <cell r="BF526">
            <v>0.24281778827233372</v>
          </cell>
          <cell r="BG526">
            <v>0.21865558912386707</v>
          </cell>
          <cell r="BH526">
            <v>0.23048756985931779</v>
          </cell>
          <cell r="BI526">
            <v>0.23617886178861788</v>
          </cell>
          <cell r="BJ526">
            <v>0.23231795005883121</v>
          </cell>
          <cell r="BK526">
            <v>0.23990683229813664</v>
          </cell>
          <cell r="BL526">
            <v>0.23422982885085575</v>
          </cell>
          <cell r="BM526">
            <v>0.24045206547155104</v>
          </cell>
          <cell r="BN526">
            <v>0.22112573099415206</v>
          </cell>
          <cell r="BO526">
            <v>0.23047906450396077</v>
          </cell>
          <cell r="BP526">
            <v>0.22016541945647894</v>
          </cell>
          <cell r="BQ526">
            <v>0.22713939548526973</v>
          </cell>
          <cell r="BR526">
            <v>0.22485875706214689</v>
          </cell>
          <cell r="BS526">
            <v>0.2265625</v>
          </cell>
        </row>
        <row r="527">
          <cell r="A527" t="str">
            <v>Canada &amp; Latin America</v>
          </cell>
          <cell r="AY527">
            <v>0.10761589403973509</v>
          </cell>
          <cell r="AZ527">
            <v>0.11123809523809523</v>
          </cell>
          <cell r="BA527">
            <v>0.10950208292005555</v>
          </cell>
          <cell r="BB527">
            <v>0.11316211878009631</v>
          </cell>
          <cell r="BC527">
            <v>0.11071286340103545</v>
          </cell>
          <cell r="BD527">
            <v>0.11216494845360825</v>
          </cell>
          <cell r="BE527">
            <v>0.11106647921269332</v>
          </cell>
          <cell r="BF527">
            <v>0.10074773711137347</v>
          </cell>
          <cell r="BG527">
            <v>0.11027190332326284</v>
          </cell>
          <cell r="BH527">
            <v>0.10560801695895163</v>
          </cell>
          <cell r="BI527">
            <v>0.11260162601626016</v>
          </cell>
          <cell r="BJ527">
            <v>0.10785723624003138</v>
          </cell>
          <cell r="BK527">
            <v>0.10830745341614907</v>
          </cell>
          <cell r="BL527">
            <v>0.10797066014669926</v>
          </cell>
          <cell r="BM527">
            <v>0.10015588464536243</v>
          </cell>
          <cell r="BN527">
            <v>0.10709064327485381</v>
          </cell>
          <cell r="BO527">
            <v>0.1037344398340249</v>
          </cell>
          <cell r="BP527">
            <v>0.10909807010634108</v>
          </cell>
          <cell r="BQ527">
            <v>0.10547124091314883</v>
          </cell>
          <cell r="BR527">
            <v>0.10583804143126177</v>
          </cell>
          <cell r="BS527">
            <v>0.1055640243902439</v>
          </cell>
        </row>
        <row r="528">
          <cell r="A528" t="str">
            <v xml:space="preserve"> Of which in Established markets</v>
          </cell>
          <cell r="AY528">
            <v>0.7822847682119205</v>
          </cell>
          <cell r="AZ528">
            <v>0.76838095238095239</v>
          </cell>
          <cell r="BA528">
            <v>0.77504463400119028</v>
          </cell>
          <cell r="BF528">
            <v>0.77410468319559234</v>
          </cell>
          <cell r="BG528">
            <v>0.76170694864048338</v>
          </cell>
          <cell r="BH528">
            <v>0.76777799190595486</v>
          </cell>
          <cell r="BI528">
            <v>0.76260162601626014</v>
          </cell>
          <cell r="BJ528">
            <v>0.76611321741404104</v>
          </cell>
          <cell r="BK528">
            <v>0.75504658385093171</v>
          </cell>
          <cell r="BL528">
            <v>0.76332518337408317</v>
          </cell>
          <cell r="BM528">
            <v>0.76344505066250978</v>
          </cell>
          <cell r="BN528">
            <v>0.7507309941520468</v>
          </cell>
          <cell r="BO528">
            <v>0.75688419464353074</v>
          </cell>
          <cell r="BP528">
            <v>0.75265852697912561</v>
          </cell>
          <cell r="BQ528">
            <v>0.75551587807677589</v>
          </cell>
          <cell r="BR528">
            <v>0.7510357815442561</v>
          </cell>
          <cell r="BS528">
            <v>0.75438262195121952</v>
          </cell>
        </row>
        <row r="529">
          <cell r="A529" t="str">
            <v>Of which in EM growth markets</v>
          </cell>
          <cell r="AY529">
            <v>0.2177152317880795</v>
          </cell>
          <cell r="AZ529">
            <v>0.23161904761904761</v>
          </cell>
          <cell r="BA529">
            <v>0.22495536599880972</v>
          </cell>
          <cell r="BF529">
            <v>0.22589531680440766</v>
          </cell>
          <cell r="BG529">
            <v>0.23829305135951662</v>
          </cell>
          <cell r="BH529">
            <v>0.23222200809404514</v>
          </cell>
          <cell r="BI529">
            <v>0.23739837398373986</v>
          </cell>
          <cell r="BJ529">
            <v>0.23388678258595896</v>
          </cell>
          <cell r="BK529">
            <v>0.24495341614906829</v>
          </cell>
          <cell r="BL529">
            <v>0.23667481662591683</v>
          </cell>
          <cell r="BM529">
            <v>0.23655494933749022</v>
          </cell>
          <cell r="BN529">
            <v>0.2492690058479532</v>
          </cell>
          <cell r="BO529">
            <v>0.24311580535646926</v>
          </cell>
          <cell r="BP529">
            <v>0.24734147302087439</v>
          </cell>
          <cell r="BQ529">
            <v>0.24448412192322411</v>
          </cell>
          <cell r="BR529">
            <v>0.2489642184557439</v>
          </cell>
          <cell r="BS529">
            <v>0.24561737804878048</v>
          </cell>
        </row>
        <row r="531">
          <cell r="A531" t="str">
            <v xml:space="preserve">CER growth </v>
          </cell>
        </row>
        <row r="532">
          <cell r="A532" t="str">
            <v>Europe</v>
          </cell>
          <cell r="BB532">
            <v>0.71</v>
          </cell>
          <cell r="BC532">
            <v>2.94</v>
          </cell>
          <cell r="BD532">
            <v>0.04</v>
          </cell>
          <cell r="BE532">
            <v>0.85</v>
          </cell>
          <cell r="BF532">
            <v>0.01</v>
          </cell>
          <cell r="BG532">
            <v>0.02</v>
          </cell>
          <cell r="BH532">
            <v>0.02</v>
          </cell>
          <cell r="BI532">
            <v>0.01</v>
          </cell>
          <cell r="BJ532">
            <v>0.02</v>
          </cell>
          <cell r="BK532">
            <v>0.03</v>
          </cell>
          <cell r="BL532">
            <v>0.02</v>
          </cell>
          <cell r="BM532">
            <v>0</v>
          </cell>
          <cell r="BN532">
            <v>0.02</v>
          </cell>
          <cell r="BO532">
            <v>0.01</v>
          </cell>
          <cell r="BP532">
            <v>0.04</v>
          </cell>
          <cell r="BQ532">
            <v>0.02</v>
          </cell>
          <cell r="BR532">
            <v>0.04</v>
          </cell>
          <cell r="BS532">
            <v>0.03</v>
          </cell>
        </row>
        <row r="533">
          <cell r="A533" t="str">
            <v>US</v>
          </cell>
          <cell r="BB533">
            <v>1.28</v>
          </cell>
          <cell r="BC533">
            <v>1.54</v>
          </cell>
          <cell r="BD533">
            <v>0.08</v>
          </cell>
          <cell r="BE533">
            <v>1.4</v>
          </cell>
          <cell r="BF533">
            <v>0.09</v>
          </cell>
          <cell r="BG533">
            <v>0.04</v>
          </cell>
          <cell r="BH533">
            <v>0.06</v>
          </cell>
          <cell r="BI533">
            <v>0.04</v>
          </cell>
          <cell r="BJ533">
            <v>0.05</v>
          </cell>
          <cell r="BK533">
            <v>0.06</v>
          </cell>
          <cell r="BL533">
            <v>0.05</v>
          </cell>
          <cell r="BM533">
            <v>0.02</v>
          </cell>
          <cell r="BN533">
            <v>0.04</v>
          </cell>
          <cell r="BO533">
            <v>0.03</v>
          </cell>
          <cell r="BP533">
            <v>0.05</v>
          </cell>
          <cell r="BQ533">
            <v>0.04</v>
          </cell>
          <cell r="BR533">
            <v>0.05</v>
          </cell>
          <cell r="BS533">
            <v>0.04</v>
          </cell>
        </row>
        <row r="534">
          <cell r="A534" t="str">
            <v>Asia/Africa/Australasia</v>
          </cell>
          <cell r="BB534">
            <v>1.35</v>
          </cell>
          <cell r="BC534">
            <v>2.64</v>
          </cell>
          <cell r="BD534">
            <v>7.0000000000000007E-2</v>
          </cell>
          <cell r="BE534">
            <v>1.27</v>
          </cell>
          <cell r="BF534">
            <v>0.1</v>
          </cell>
          <cell r="BG534">
            <v>0.11</v>
          </cell>
          <cell r="BH534">
            <v>0.1</v>
          </cell>
          <cell r="BI534">
            <v>0.02</v>
          </cell>
          <cell r="BJ534">
            <v>7.0000000000000007E-2</v>
          </cell>
          <cell r="BK534">
            <v>0.19</v>
          </cell>
          <cell r="BL534">
            <v>0.1</v>
          </cell>
          <cell r="BM534">
            <v>0.08</v>
          </cell>
          <cell r="BN534">
            <v>0.13</v>
          </cell>
          <cell r="BO534">
            <v>0.1</v>
          </cell>
          <cell r="BP534">
            <v>7.0000000000000007E-2</v>
          </cell>
          <cell r="BQ534">
            <v>0.09</v>
          </cell>
          <cell r="BR534">
            <v>7.0000000000000007E-2</v>
          </cell>
          <cell r="BS534">
            <v>0.09</v>
          </cell>
        </row>
        <row r="535">
          <cell r="A535" t="str">
            <v>Canada &amp; Latin America</v>
          </cell>
          <cell r="BB535">
            <v>1.22</v>
          </cell>
          <cell r="BC535">
            <v>2.74</v>
          </cell>
          <cell r="BD535">
            <v>0.08</v>
          </cell>
          <cell r="BE535">
            <v>1.26</v>
          </cell>
          <cell r="BF535">
            <v>0.03</v>
          </cell>
          <cell r="BG535">
            <v>0.09</v>
          </cell>
          <cell r="BH535">
            <v>0.06</v>
          </cell>
          <cell r="BI535">
            <v>0.05</v>
          </cell>
          <cell r="BJ535">
            <v>0.06</v>
          </cell>
          <cell r="BK535">
            <v>0.04</v>
          </cell>
          <cell r="BL535">
            <v>0.05</v>
          </cell>
          <cell r="BM535">
            <v>0.05</v>
          </cell>
          <cell r="BN535">
            <v>0.05</v>
          </cell>
          <cell r="BO535">
            <v>0.05</v>
          </cell>
          <cell r="BP535">
            <v>0.1</v>
          </cell>
          <cell r="BQ535">
            <v>7.0000000000000007E-2</v>
          </cell>
          <cell r="BR535">
            <v>0.11</v>
          </cell>
          <cell r="BS535">
            <v>0.08</v>
          </cell>
        </row>
        <row r="536">
          <cell r="A536" t="str">
            <v>Total</v>
          </cell>
          <cell r="BB536">
            <v>1.1000000000000001</v>
          </cell>
          <cell r="BC536">
            <v>2.35</v>
          </cell>
          <cell r="BD536">
            <v>7.0000000000000007E-2</v>
          </cell>
          <cell r="BE536">
            <v>1.18</v>
          </cell>
          <cell r="BF536">
            <v>0.06</v>
          </cell>
          <cell r="BG536">
            <v>0.05</v>
          </cell>
          <cell r="BH536">
            <v>0.06</v>
          </cell>
          <cell r="BI536">
            <v>0.03</v>
          </cell>
          <cell r="BJ536">
            <v>0.05</v>
          </cell>
          <cell r="BK536">
            <v>0.08</v>
          </cell>
          <cell r="BL536">
            <v>0.05</v>
          </cell>
          <cell r="BM536">
            <v>0.03</v>
          </cell>
          <cell r="BN536">
            <v>0.06</v>
          </cell>
          <cell r="BO536">
            <v>0.04</v>
          </cell>
          <cell r="BP536">
            <v>0.06</v>
          </cell>
          <cell r="BQ536">
            <v>0.05</v>
          </cell>
          <cell r="BR536">
            <v>0.06</v>
          </cell>
          <cell r="BS536">
            <v>0.05</v>
          </cell>
        </row>
        <row r="537">
          <cell r="A537" t="str">
            <v xml:space="preserve"> Of which in EM</v>
          </cell>
          <cell r="BF537">
            <v>0.05</v>
          </cell>
          <cell r="BG537">
            <v>0.03</v>
          </cell>
          <cell r="BH537">
            <v>0.04</v>
          </cell>
          <cell r="BI537">
            <v>0.02</v>
          </cell>
          <cell r="BJ537">
            <v>0.03</v>
          </cell>
          <cell r="BK537">
            <v>0.04</v>
          </cell>
          <cell r="BL537">
            <v>0.03</v>
          </cell>
          <cell r="BM537">
            <v>0.02</v>
          </cell>
          <cell r="BN537">
            <v>0.04</v>
          </cell>
          <cell r="BO537">
            <v>0.03</v>
          </cell>
          <cell r="BP537">
            <v>0.04</v>
          </cell>
          <cell r="BQ537">
            <v>0.03</v>
          </cell>
          <cell r="BR537">
            <v>0.05</v>
          </cell>
          <cell r="BS537">
            <v>0.04</v>
          </cell>
        </row>
        <row r="538">
          <cell r="A538" t="str">
            <v>Of which in EM growth markets</v>
          </cell>
          <cell r="BF538">
            <v>0.13</v>
          </cell>
          <cell r="BG538">
            <v>0.14000000000000001</v>
          </cell>
          <cell r="BH538">
            <v>0.13</v>
          </cell>
          <cell r="BI538">
            <v>0.06</v>
          </cell>
          <cell r="BJ538">
            <v>0.11</v>
          </cell>
          <cell r="BK538">
            <v>0.19</v>
          </cell>
          <cell r="BL538">
            <v>0.13</v>
          </cell>
          <cell r="BM538">
            <v>0.08</v>
          </cell>
          <cell r="BN538">
            <v>0.1</v>
          </cell>
          <cell r="BO538">
            <v>0.09</v>
          </cell>
          <cell r="BP538">
            <v>0.12</v>
          </cell>
          <cell r="BQ538">
            <v>0.1</v>
          </cell>
          <cell r="BR538">
            <v>0.1</v>
          </cell>
          <cell r="BS538">
            <v>0.1</v>
          </cell>
        </row>
        <row r="540">
          <cell r="A540" t="str">
            <v xml:space="preserve">growth % </v>
          </cell>
        </row>
        <row r="541">
          <cell r="A541" t="str">
            <v>Europe</v>
          </cell>
          <cell r="BF541">
            <v>-1.8465909090909061E-2</v>
          </cell>
          <cell r="BG541">
            <v>-7.6416337285902469E-2</v>
          </cell>
          <cell r="BH541">
            <v>-4.8530416951469535E-2</v>
          </cell>
          <cell r="BI541">
            <v>-8.5798816568047331E-2</v>
          </cell>
          <cell r="BJ541">
            <v>-6.0308555399719466E-2</v>
          </cell>
          <cell r="BK541">
            <v>5.7471264367816577E-3</v>
          </cell>
          <cell r="BL541">
            <v>-4.4091710758377478E-2</v>
          </cell>
          <cell r="BM541">
            <v>1.4471780028944004E-3</v>
          </cell>
          <cell r="BN541">
            <v>3.2810271041369576E-2</v>
          </cell>
          <cell r="BO541">
            <v>1.7241379310344751E-2</v>
          </cell>
          <cell r="BP541">
            <v>7.7669902912621325E-2</v>
          </cell>
          <cell r="BQ541">
            <v>3.5820895522387985E-2</v>
          </cell>
          <cell r="BR541">
            <v>7.0000000000000062E-2</v>
          </cell>
          <cell r="BS541">
            <v>4.4649446494464895E-2</v>
          </cell>
        </row>
        <row r="542">
          <cell r="A542" t="str">
            <v>US</v>
          </cell>
          <cell r="BF542">
            <v>9.4064949608062776E-2</v>
          </cell>
          <cell r="BG542">
            <v>3.4615384615384714E-2</v>
          </cell>
          <cell r="BH542">
            <v>6.2079668908432417E-2</v>
          </cell>
          <cell r="BI542">
            <v>3.688092729188619E-2</v>
          </cell>
          <cell r="BJ542">
            <v>5.3782095766828686E-2</v>
          </cell>
          <cell r="BK542">
            <v>5.4956896551724199E-2</v>
          </cell>
          <cell r="BL542">
            <v>5.4068241469816369E-2</v>
          </cell>
          <cell r="BM542">
            <v>2.3541453428863823E-2</v>
          </cell>
          <cell r="BN542">
            <v>3.5315985130111471E-2</v>
          </cell>
          <cell r="BO542">
            <v>2.9712615684364341E-2</v>
          </cell>
          <cell r="BP542">
            <v>5.3861788617886264E-2</v>
          </cell>
          <cell r="BQ542">
            <v>3.7537043134672432E-2</v>
          </cell>
          <cell r="BR542">
            <v>5.0051072522982576E-2</v>
          </cell>
          <cell r="BS542">
            <v>4.0587649402390458E-2</v>
          </cell>
        </row>
        <row r="543">
          <cell r="A543" t="str">
            <v>Asia/Africa/Australasia</v>
          </cell>
          <cell r="BF543">
            <v>0.10375670840787121</v>
          </cell>
          <cell r="BG543">
            <v>8.4269662921348409E-2</v>
          </cell>
          <cell r="BH543">
            <v>9.4236047575480431E-2</v>
          </cell>
          <cell r="BI543">
            <v>-6.8376068376068133E-3</v>
          </cell>
          <cell r="BJ543">
            <v>5.8998808104886669E-2</v>
          </cell>
          <cell r="BK543">
            <v>0.16824196597353502</v>
          </cell>
          <cell r="BL543">
            <v>8.5183507023108396E-2</v>
          </cell>
          <cell r="BM543">
            <v>0</v>
          </cell>
          <cell r="BN543">
            <v>4.4905008635578669E-2</v>
          </cell>
          <cell r="BO543">
            <v>2.1739130434782705E-2</v>
          </cell>
          <cell r="BP543">
            <v>-3.7865748709122182E-2</v>
          </cell>
          <cell r="BQ543">
            <v>2.2509848058525073E-3</v>
          </cell>
          <cell r="BR543">
            <v>-3.398058252427183E-2</v>
          </cell>
          <cell r="BS543">
            <v>-7.0981210855950438E-3</v>
          </cell>
        </row>
        <row r="544">
          <cell r="A544" t="str">
            <v>Canada &amp; Latin America</v>
          </cell>
          <cell r="BF544">
            <v>-1.538461538461533E-2</v>
          </cell>
          <cell r="BG544">
            <v>0</v>
          </cell>
          <cell r="BH544">
            <v>-7.2463768115942351E-3</v>
          </cell>
          <cell r="BI544">
            <v>-1.7730496453900679E-2</v>
          </cell>
          <cell r="BJ544">
            <v>-1.0791366906474864E-2</v>
          </cell>
          <cell r="BK544">
            <v>2.5735294117646967E-2</v>
          </cell>
          <cell r="BL544">
            <v>-1.8083182640145079E-3</v>
          </cell>
          <cell r="BM544">
            <v>3.90625E-3</v>
          </cell>
          <cell r="BN544">
            <v>3.424657534246478E-3</v>
          </cell>
          <cell r="BO544">
            <v>3.6496350364962904E-3</v>
          </cell>
          <cell r="BP544">
            <v>0</v>
          </cell>
          <cell r="BQ544">
            <v>2.4242424242424399E-3</v>
          </cell>
          <cell r="BR544">
            <v>7.1684587813620748E-3</v>
          </cell>
          <cell r="BS544">
            <v>3.6231884057971175E-3</v>
          </cell>
        </row>
        <row r="545">
          <cell r="A545" t="str">
            <v>Total</v>
          </cell>
          <cell r="BF545">
            <v>5.1738410596026574E-2</v>
          </cell>
          <cell r="BG545">
            <v>8.7619047619047485E-3</v>
          </cell>
          <cell r="BH545">
            <v>2.9359254116246847E-2</v>
          </cell>
          <cell r="BI545">
            <v>-1.2841091492776902E-2</v>
          </cell>
          <cell r="BJ545">
            <v>1.5398911456259157E-2</v>
          </cell>
          <cell r="BK545">
            <v>6.2268041237113492E-2</v>
          </cell>
          <cell r="BL545">
            <v>2.6812612974492778E-2</v>
          </cell>
          <cell r="BM545">
            <v>9.838646202282586E-3</v>
          </cell>
          <cell r="BN545">
            <v>3.3232628398791597E-2</v>
          </cell>
          <cell r="BO545">
            <v>2.1776835613798395E-2</v>
          </cell>
          <cell r="BP545">
            <v>3.2113821138211485E-2</v>
          </cell>
          <cell r="BQ545">
            <v>2.5101320434043561E-2</v>
          </cell>
          <cell r="BR545">
            <v>3.0667701863354102E-2</v>
          </cell>
          <cell r="BS545">
            <v>2.6503667481662552E-2</v>
          </cell>
        </row>
        <row r="546">
          <cell r="A546" t="str">
            <v xml:space="preserve"> Of which in EM</v>
          </cell>
          <cell r="BG546">
            <v>0</v>
          </cell>
          <cell r="BH546">
            <v>1.9708216022523706E-2</v>
          </cell>
          <cell r="BI546">
            <v>-1.4188124014713588E-2</v>
          </cell>
          <cell r="BJ546">
            <v>8.6058519793459354E-3</v>
          </cell>
          <cell r="BK546">
            <v>3.0190677966101642E-2</v>
          </cell>
          <cell r="BL546">
            <v>1.3899714211483394E-2</v>
          </cell>
          <cell r="BM546">
            <v>-4.0671072699542954E-3</v>
          </cell>
          <cell r="BN546">
            <v>1.8344075359444822E-2</v>
          </cell>
          <cell r="BO546">
            <v>7.2791164658634333E-3</v>
          </cell>
          <cell r="BP546">
            <v>1.8656716417910557E-2</v>
          </cell>
          <cell r="BQ546">
            <v>1.0921501706484538E-2</v>
          </cell>
          <cell r="BR546">
            <v>2.5192802056555275E-2</v>
          </cell>
          <cell r="BS546">
            <v>1.4477898782831566E-2</v>
          </cell>
        </row>
        <row r="547">
          <cell r="A547" t="str">
            <v>Of which in EM growth markets</v>
          </cell>
          <cell r="BG547">
            <v>3.7828947368421018E-2</v>
          </cell>
          <cell r="BH547">
            <v>6.2610229276895968E-2</v>
          </cell>
          <cell r="BI547">
            <v>-8.4889643463497144E-3</v>
          </cell>
          <cell r="BJ547">
            <v>3.8305281485780718E-2</v>
          </cell>
          <cell r="BK547">
            <v>0.17504655493482302</v>
          </cell>
          <cell r="BL547">
            <v>7.079646017699126E-2</v>
          </cell>
          <cell r="BM547">
            <v>5.7491289198606355E-2</v>
          </cell>
          <cell r="BN547">
            <v>8.0824088748018941E-2</v>
          </cell>
          <cell r="BO547">
            <v>6.9709543568464705E-2</v>
          </cell>
          <cell r="BP547">
            <v>7.5342465753424737E-2</v>
          </cell>
          <cell r="BQ547">
            <v>7.1548351034097291E-2</v>
          </cell>
          <cell r="BR547">
            <v>4.7543581616481756E-2</v>
          </cell>
          <cell r="BS547">
            <v>6.5289256198347134E-2</v>
          </cell>
        </row>
        <row r="550">
          <cell r="A550" t="str">
            <v>Vaccines</v>
          </cell>
        </row>
        <row r="552">
          <cell r="A552" t="str">
            <v>Vaccines (US)</v>
          </cell>
          <cell r="Q552">
            <v>46</v>
          </cell>
          <cell r="R552">
            <v>46</v>
          </cell>
          <cell r="S552">
            <v>186</v>
          </cell>
          <cell r="T552">
            <v>232</v>
          </cell>
          <cell r="U552">
            <v>230</v>
          </cell>
          <cell r="V552">
            <v>462</v>
          </cell>
          <cell r="W552">
            <v>72</v>
          </cell>
          <cell r="X552">
            <v>74</v>
          </cell>
          <cell r="Y552">
            <v>146</v>
          </cell>
          <cell r="Z552">
            <v>302</v>
          </cell>
          <cell r="AA552">
            <v>448</v>
          </cell>
          <cell r="AB552">
            <v>154</v>
          </cell>
          <cell r="AC552">
            <v>602</v>
          </cell>
          <cell r="AD552">
            <v>79</v>
          </cell>
          <cell r="AE552">
            <v>145</v>
          </cell>
          <cell r="AF552">
            <v>224</v>
          </cell>
          <cell r="AG552">
            <v>360</v>
          </cell>
          <cell r="AH552">
            <v>584</v>
          </cell>
          <cell r="AI552">
            <v>181</v>
          </cell>
          <cell r="AJ552">
            <v>765</v>
          </cell>
          <cell r="AK552">
            <v>87</v>
          </cell>
          <cell r="AL552">
            <v>95</v>
          </cell>
          <cell r="AM552">
            <v>182</v>
          </cell>
          <cell r="AN552">
            <v>200</v>
          </cell>
          <cell r="AO552">
            <v>382</v>
          </cell>
          <cell r="AP552">
            <v>591</v>
          </cell>
          <cell r="AQ552">
            <v>973</v>
          </cell>
          <cell r="AR552">
            <v>562</v>
          </cell>
          <cell r="AS552">
            <v>166</v>
          </cell>
          <cell r="AT552">
            <v>728</v>
          </cell>
          <cell r="AU552">
            <v>348</v>
          </cell>
          <cell r="AV552">
            <v>1076</v>
          </cell>
          <cell r="AW552">
            <v>108</v>
          </cell>
          <cell r="AX552">
            <v>1184</v>
          </cell>
          <cell r="AY552">
            <v>105</v>
          </cell>
          <cell r="AZ552">
            <v>128</v>
          </cell>
          <cell r="BA552">
            <v>233</v>
          </cell>
          <cell r="BB552">
            <v>325</v>
          </cell>
          <cell r="BC552">
            <v>558</v>
          </cell>
          <cell r="BD552">
            <v>179</v>
          </cell>
          <cell r="BE552">
            <v>737</v>
          </cell>
          <cell r="BF552">
            <v>96</v>
          </cell>
          <cell r="BG552">
            <v>157</v>
          </cell>
          <cell r="BH552">
            <v>253</v>
          </cell>
          <cell r="BI552">
            <v>301</v>
          </cell>
          <cell r="BJ552">
            <v>554</v>
          </cell>
          <cell r="BK552">
            <v>192</v>
          </cell>
          <cell r="BL552">
            <v>746</v>
          </cell>
          <cell r="BM552">
            <v>120</v>
          </cell>
          <cell r="BN552">
            <v>143</v>
          </cell>
          <cell r="BO552">
            <v>263</v>
          </cell>
          <cell r="BP552">
            <v>307</v>
          </cell>
          <cell r="BQ552">
            <v>570</v>
          </cell>
          <cell r="BR552">
            <v>251</v>
          </cell>
          <cell r="BS552">
            <v>821</v>
          </cell>
          <cell r="BT552">
            <v>37.012500000000003</v>
          </cell>
          <cell r="BU552">
            <v>61.162500000000001</v>
          </cell>
          <cell r="BV552">
            <v>98.175000000000011</v>
          </cell>
          <cell r="BW552">
            <v>233.36250000000001</v>
          </cell>
          <cell r="BX552">
            <v>331.53750000000002</v>
          </cell>
          <cell r="BY552">
            <v>174.5625</v>
          </cell>
          <cell r="BZ552">
            <v>506.1</v>
          </cell>
          <cell r="CA552">
            <v>531.40500000000009</v>
          </cell>
          <cell r="CB552">
            <v>557.97525000000007</v>
          </cell>
          <cell r="CC552">
            <v>574.71450750000008</v>
          </cell>
          <cell r="CD552">
            <v>591.95594272500011</v>
          </cell>
          <cell r="CE552">
            <v>609.71462100675012</v>
          </cell>
          <cell r="CF552">
            <v>628.00605963695261</v>
          </cell>
          <cell r="CG552">
            <v>646.84624142606117</v>
          </cell>
          <cell r="CH552">
            <v>666.25162866884307</v>
          </cell>
          <cell r="CI552">
            <v>686.23917752890839</v>
          </cell>
          <cell r="CJ552">
            <v>706.82635285477568</v>
          </cell>
        </row>
        <row r="553">
          <cell r="A553" t="str">
            <v xml:space="preserve">   growth %</v>
          </cell>
          <cell r="Z553">
            <v>0.62365591397849451</v>
          </cell>
          <cell r="AA553">
            <v>0.93103448275862077</v>
          </cell>
          <cell r="AB553">
            <v>-0.33043478260869563</v>
          </cell>
          <cell r="AC553">
            <v>0.30303030303030298</v>
          </cell>
          <cell r="AD553">
            <v>9.7222222222222321E-2</v>
          </cell>
          <cell r="AE553">
            <v>0.95945945945945943</v>
          </cell>
          <cell r="AF553">
            <v>0.53424657534246567</v>
          </cell>
          <cell r="AG553">
            <v>0.19205298013245042</v>
          </cell>
          <cell r="AH553">
            <v>0.3035714285714286</v>
          </cell>
          <cell r="AI553">
            <v>0.17532467532467533</v>
          </cell>
          <cell r="AJ553">
            <v>0.27076411960132885</v>
          </cell>
          <cell r="AK553">
            <v>0.10126582278481022</v>
          </cell>
          <cell r="AL553">
            <v>-0.34482758620689657</v>
          </cell>
          <cell r="AM553">
            <v>-0.1875</v>
          </cell>
          <cell r="AN553">
            <v>-0.44444444444444442</v>
          </cell>
          <cell r="AO553">
            <v>-0.34589041095890416</v>
          </cell>
          <cell r="AP553">
            <v>2.2651933701657461</v>
          </cell>
          <cell r="AQ553">
            <v>0.27189542483660123</v>
          </cell>
          <cell r="AR553">
            <v>5.4597701149425291</v>
          </cell>
          <cell r="AS553">
            <v>0.74736842105263168</v>
          </cell>
          <cell r="AT553">
            <v>3</v>
          </cell>
          <cell r="AU553">
            <v>0.74</v>
          </cell>
          <cell r="AV553">
            <v>1.8167539267015709</v>
          </cell>
          <cell r="AW553">
            <v>-0.81725888324873097</v>
          </cell>
          <cell r="AX553">
            <v>0.21685508735868453</v>
          </cell>
          <cell r="AY553">
            <v>-0.81316725978647686</v>
          </cell>
          <cell r="AZ553">
            <v>-0.22891566265060237</v>
          </cell>
          <cell r="BA553">
            <v>-0.67994505494505497</v>
          </cell>
          <cell r="BB553">
            <v>-6.6091954022988508E-2</v>
          </cell>
          <cell r="BC553">
            <v>-0.48141263940520451</v>
          </cell>
          <cell r="BD553">
            <v>0.65740740740740744</v>
          </cell>
          <cell r="BE553">
            <v>-0.37753378378378377</v>
          </cell>
          <cell r="BF553">
            <v>-8.5714285714285743E-2</v>
          </cell>
          <cell r="BG553">
            <v>0.2265625</v>
          </cell>
          <cell r="BH553">
            <v>8.5836909871244593E-2</v>
          </cell>
          <cell r="BI553">
            <v>-7.3846153846153895E-2</v>
          </cell>
          <cell r="BJ553">
            <v>-7.1684587813619638E-3</v>
          </cell>
          <cell r="BK553">
            <v>7.2625698324022325E-2</v>
          </cell>
          <cell r="BL553">
            <v>1.2211668928086894E-2</v>
          </cell>
          <cell r="BM553">
            <v>0.25</v>
          </cell>
          <cell r="BN553">
            <v>-8.9171974522292974E-2</v>
          </cell>
          <cell r="BO553">
            <v>3.9525691699604737E-2</v>
          </cell>
          <cell r="BP553">
            <v>1.9933554817275656E-2</v>
          </cell>
          <cell r="BQ553">
            <v>2.8880866425992746E-2</v>
          </cell>
          <cell r="BR553">
            <v>0.30729166666666674</v>
          </cell>
          <cell r="BS553">
            <v>0.10053619302949057</v>
          </cell>
          <cell r="BT553">
            <v>0.05</v>
          </cell>
          <cell r="BU553">
            <v>0.05</v>
          </cell>
          <cell r="BV553">
            <v>5.0000000000000044E-2</v>
          </cell>
          <cell r="BW553">
            <v>0.05</v>
          </cell>
          <cell r="BX553">
            <v>5.0000000000000044E-2</v>
          </cell>
          <cell r="BY553">
            <v>4.3191733043813407E-2</v>
          </cell>
          <cell r="BZ553">
            <v>0.05</v>
          </cell>
          <cell r="CA553">
            <v>0.05</v>
          </cell>
          <cell r="CB553">
            <v>0.05</v>
          </cell>
          <cell r="CC553">
            <v>0.03</v>
          </cell>
          <cell r="CD553">
            <v>0.03</v>
          </cell>
          <cell r="CE553">
            <v>0.03</v>
          </cell>
          <cell r="CF553">
            <v>0.03</v>
          </cell>
          <cell r="CG553">
            <v>0.03</v>
          </cell>
          <cell r="CH553">
            <v>0.03</v>
          </cell>
          <cell r="CI553">
            <v>0.03</v>
          </cell>
          <cell r="CJ553">
            <v>0.03</v>
          </cell>
        </row>
        <row r="554">
          <cell r="A554" t="str">
            <v>Vaccines (ROW)</v>
          </cell>
          <cell r="Q554">
            <v>81</v>
          </cell>
          <cell r="R554">
            <v>81</v>
          </cell>
          <cell r="S554">
            <v>188</v>
          </cell>
          <cell r="T554">
            <v>269</v>
          </cell>
          <cell r="U554">
            <v>225</v>
          </cell>
          <cell r="V554">
            <v>494</v>
          </cell>
          <cell r="W554">
            <v>159</v>
          </cell>
          <cell r="X554">
            <v>177</v>
          </cell>
          <cell r="Y554">
            <v>336</v>
          </cell>
          <cell r="Z554">
            <v>270</v>
          </cell>
          <cell r="AA554">
            <v>606</v>
          </cell>
          <cell r="AB554">
            <v>244</v>
          </cell>
          <cell r="AC554">
            <v>850</v>
          </cell>
          <cell r="AD554">
            <v>201</v>
          </cell>
          <cell r="AE554">
            <v>177</v>
          </cell>
          <cell r="AF554">
            <v>378</v>
          </cell>
          <cell r="AG554">
            <v>306</v>
          </cell>
          <cell r="AH554">
            <v>684</v>
          </cell>
          <cell r="AI554">
            <v>310</v>
          </cell>
          <cell r="AJ554">
            <v>994</v>
          </cell>
          <cell r="AK554">
            <v>160</v>
          </cell>
          <cell r="AL554">
            <v>152</v>
          </cell>
          <cell r="AM554">
            <v>312</v>
          </cell>
          <cell r="AN554">
            <v>343</v>
          </cell>
          <cell r="AO554">
            <v>655</v>
          </cell>
          <cell r="AP554">
            <v>796</v>
          </cell>
          <cell r="AQ554">
            <v>1451</v>
          </cell>
          <cell r="AR554">
            <v>799</v>
          </cell>
          <cell r="AS554">
            <v>398</v>
          </cell>
          <cell r="AT554">
            <v>1197</v>
          </cell>
          <cell r="AU554">
            <v>284</v>
          </cell>
          <cell r="AV554">
            <v>1481</v>
          </cell>
          <cell r="AW554">
            <v>253</v>
          </cell>
          <cell r="AX554">
            <v>1734</v>
          </cell>
          <cell r="AY554">
            <v>266</v>
          </cell>
          <cell r="AZ554">
            <v>171</v>
          </cell>
          <cell r="BA554">
            <v>437</v>
          </cell>
          <cell r="BB554">
            <v>330</v>
          </cell>
          <cell r="BC554">
            <v>767</v>
          </cell>
          <cell r="BD554">
            <v>492</v>
          </cell>
          <cell r="BE554">
            <v>1259</v>
          </cell>
          <cell r="BF554">
            <v>203</v>
          </cell>
          <cell r="BG554">
            <v>192</v>
          </cell>
          <cell r="BH554">
            <v>395</v>
          </cell>
          <cell r="BI554">
            <v>281</v>
          </cell>
          <cell r="BJ554">
            <v>676</v>
          </cell>
          <cell r="BK554">
            <v>436</v>
          </cell>
          <cell r="BL554">
            <v>1112</v>
          </cell>
          <cell r="BM554">
            <v>207</v>
          </cell>
          <cell r="BN554">
            <v>268</v>
          </cell>
          <cell r="BO554">
            <v>475</v>
          </cell>
          <cell r="BP554">
            <v>287</v>
          </cell>
          <cell r="BQ554">
            <v>762</v>
          </cell>
          <cell r="BR554">
            <v>404</v>
          </cell>
          <cell r="BS554">
            <v>1166</v>
          </cell>
          <cell r="BT554">
            <v>156.01348433627007</v>
          </cell>
          <cell r="BU554">
            <v>225.60703326418866</v>
          </cell>
          <cell r="BV554">
            <v>381.6205176004587</v>
          </cell>
          <cell r="BW554">
            <v>243.82260615617778</v>
          </cell>
          <cell r="BX554">
            <v>625.44312375663651</v>
          </cell>
          <cell r="BY554">
            <v>362.27868910005338</v>
          </cell>
          <cell r="BZ554">
            <v>987.72181285668989</v>
          </cell>
          <cell r="CA554">
            <v>1037.1079034995244</v>
          </cell>
          <cell r="CB554">
            <v>1088.9632986745007</v>
          </cell>
          <cell r="CC554">
            <v>1143.4114636082259</v>
          </cell>
          <cell r="CD554">
            <v>1200.5820367886372</v>
          </cell>
          <cell r="CE554">
            <v>1260.6111386280691</v>
          </cell>
          <cell r="CF554">
            <v>1323.6416955594725</v>
          </cell>
          <cell r="CG554">
            <v>1376.5873633818514</v>
          </cell>
          <cell r="CH554">
            <v>1445.4167315509442</v>
          </cell>
          <cell r="CI554">
            <v>1517.6875681284914</v>
          </cell>
          <cell r="CJ554">
            <v>1578.3950708536311</v>
          </cell>
        </row>
        <row r="555">
          <cell r="A555" t="str">
            <v xml:space="preserve">   growth %</v>
          </cell>
          <cell r="X555">
            <v>1.1299513702056945</v>
          </cell>
          <cell r="Y555">
            <v>3.0822366304431674</v>
          </cell>
          <cell r="Z555">
            <v>0.37159992190874314</v>
          </cell>
          <cell r="AA555">
            <v>1.1873236620001608</v>
          </cell>
          <cell r="AB555">
            <v>-2.5250123595117024E-2</v>
          </cell>
          <cell r="AC555">
            <v>0.64412579970266792</v>
          </cell>
          <cell r="AD555">
            <v>0.11974332094739903</v>
          </cell>
          <cell r="AE555">
            <v>-0.16473159486890299</v>
          </cell>
          <cell r="AF555">
            <v>-2.9569608658865043E-2</v>
          </cell>
          <cell r="AG555">
            <v>3.5918022871794797E-2</v>
          </cell>
          <cell r="AH555">
            <v>2.7204117269268302E-3</v>
          </cell>
          <cell r="AI555">
            <v>0.33017825350103114</v>
          </cell>
          <cell r="AJ555">
            <v>8.4569303948026864E-2</v>
          </cell>
          <cell r="AK555">
            <v>-9.9237019535924897E-2</v>
          </cell>
          <cell r="AL555">
            <v>-3.2981654300072383E-2</v>
          </cell>
          <cell r="AN555">
            <v>0.14694476817312763</v>
          </cell>
          <cell r="AO555">
            <v>-4.2397660818713434E-2</v>
          </cell>
          <cell r="AP555">
            <v>1.4480552246792919</v>
          </cell>
          <cell r="AQ555">
            <v>0.45975855130784704</v>
          </cell>
          <cell r="AR555">
            <v>3.929260569946571</v>
          </cell>
          <cell r="AS555">
            <v>1.6636576150820555</v>
          </cell>
          <cell r="AU555">
            <v>-0.11051051520646138</v>
          </cell>
          <cell r="AV555">
            <v>1.2610687022900762</v>
          </cell>
          <cell r="AW555">
            <v>-0.68216080402010049</v>
          </cell>
          <cell r="AX555">
            <v>0.19503790489317718</v>
          </cell>
          <cell r="AY555">
            <v>-0.66708385481852317</v>
          </cell>
          <cell r="AZ555">
            <v>-0.57035175879396993</v>
          </cell>
          <cell r="BA555">
            <v>-0.63492063492063489</v>
          </cell>
          <cell r="BB555">
            <v>0.1619718309859155</v>
          </cell>
          <cell r="BC555">
            <v>-0.4821066846725186</v>
          </cell>
          <cell r="BD555">
            <v>0.94466403162055346</v>
          </cell>
          <cell r="BE555">
            <v>-0.27393310265282589</v>
          </cell>
          <cell r="BF555">
            <v>-0.23684210526315785</v>
          </cell>
          <cell r="BG555">
            <v>0.12280701754385959</v>
          </cell>
          <cell r="BH555">
            <v>-9.6109839816933662E-2</v>
          </cell>
          <cell r="BI555">
            <v>-0.14848484848484844</v>
          </cell>
          <cell r="BJ555">
            <v>-0.11864406779661019</v>
          </cell>
          <cell r="BK555">
            <v>-0.11382113821138207</v>
          </cell>
          <cell r="BL555">
            <v>-0.11675933280381257</v>
          </cell>
          <cell r="BM555">
            <v>1.9704433497536922E-2</v>
          </cell>
          <cell r="BN555">
            <v>0.39583333333333326</v>
          </cell>
          <cell r="BO555">
            <v>0.20253164556962022</v>
          </cell>
          <cell r="BP555">
            <v>2.1352313167259718E-2</v>
          </cell>
          <cell r="BQ555">
            <v>0.1272189349112427</v>
          </cell>
          <cell r="BR555">
            <v>0.08</v>
          </cell>
          <cell r="BS555">
            <v>4.8561151079136611E-2</v>
          </cell>
          <cell r="BT555">
            <v>0.05</v>
          </cell>
          <cell r="BU555">
            <v>0.05</v>
          </cell>
          <cell r="BV555">
            <v>5.4200324863145521E-2</v>
          </cell>
          <cell r="BW555">
            <v>0.05</v>
          </cell>
          <cell r="BX555">
            <v>5.5600208871960266E-2</v>
          </cell>
          <cell r="BY555">
            <v>3.5720334770585671E-2</v>
          </cell>
          <cell r="BZ555">
            <v>0.05</v>
          </cell>
          <cell r="CA555">
            <v>0.05</v>
          </cell>
          <cell r="CB555">
            <v>0.05</v>
          </cell>
          <cell r="CC555">
            <v>0.05</v>
          </cell>
          <cell r="CD555">
            <v>0.05</v>
          </cell>
          <cell r="CE555">
            <v>0.05</v>
          </cell>
          <cell r="CF555">
            <v>0.05</v>
          </cell>
          <cell r="CG555">
            <v>0.04</v>
          </cell>
          <cell r="CH555">
            <v>0.05</v>
          </cell>
          <cell r="CI555">
            <v>0.05</v>
          </cell>
          <cell r="CJ555">
            <v>0.04</v>
          </cell>
        </row>
        <row r="556">
          <cell r="A556" t="str">
            <v>New Pipeline Products</v>
          </cell>
        </row>
        <row r="557">
          <cell r="A557" t="str">
            <v>Fluad US</v>
          </cell>
          <cell r="BZ557">
            <v>90</v>
          </cell>
          <cell r="CA557">
            <v>153</v>
          </cell>
          <cell r="CB557">
            <v>244.8</v>
          </cell>
          <cell r="CC557">
            <v>272</v>
          </cell>
          <cell r="CD557">
            <v>285.60000000000002</v>
          </cell>
          <cell r="CE557">
            <v>299.88000000000005</v>
          </cell>
          <cell r="CF557">
            <v>308.87640000000005</v>
          </cell>
          <cell r="CG557">
            <v>321.23145600000004</v>
          </cell>
          <cell r="CH557">
            <v>334.08071424000008</v>
          </cell>
          <cell r="CI557">
            <v>347.44394280960012</v>
          </cell>
          <cell r="CJ557">
            <v>361.34170052198414</v>
          </cell>
        </row>
        <row r="558">
          <cell r="A558" t="str">
            <v>CER growth</v>
          </cell>
          <cell r="CA558">
            <v>0.7</v>
          </cell>
          <cell r="CB558">
            <v>0.6</v>
          </cell>
          <cell r="CC558">
            <v>0.11111111111111116</v>
          </cell>
          <cell r="CD558">
            <v>0.05</v>
          </cell>
          <cell r="CE558">
            <v>0.05</v>
          </cell>
          <cell r="CF558">
            <v>0.03</v>
          </cell>
          <cell r="CG558">
            <v>0.04</v>
          </cell>
          <cell r="CH558">
            <v>0.04</v>
          </cell>
          <cell r="CI558">
            <v>0.04</v>
          </cell>
          <cell r="CJ558">
            <v>0.04</v>
          </cell>
        </row>
        <row r="559">
          <cell r="A559" t="str">
            <v>Vaccines - Total new pipeline</v>
          </cell>
          <cell r="AO559">
            <v>0</v>
          </cell>
          <cell r="AT559">
            <v>0</v>
          </cell>
          <cell r="AV559">
            <v>0</v>
          </cell>
          <cell r="AW559">
            <v>0</v>
          </cell>
          <cell r="AX559">
            <v>0</v>
          </cell>
          <cell r="AY559">
            <v>0</v>
          </cell>
          <cell r="AZ559">
            <v>0</v>
          </cell>
          <cell r="BA559">
            <v>0</v>
          </cell>
          <cell r="BC559">
            <v>0</v>
          </cell>
          <cell r="BT559">
            <v>22.5</v>
          </cell>
          <cell r="BU559">
            <v>22.5</v>
          </cell>
          <cell r="BV559">
            <v>45</v>
          </cell>
          <cell r="BW559">
            <v>22.5</v>
          </cell>
          <cell r="BX559">
            <v>67.5</v>
          </cell>
          <cell r="BY559">
            <v>22.5</v>
          </cell>
          <cell r="BZ559">
            <v>90</v>
          </cell>
          <cell r="CA559">
            <v>153</v>
          </cell>
          <cell r="CB559">
            <v>244.8</v>
          </cell>
          <cell r="CC559">
            <v>272</v>
          </cell>
          <cell r="CD559">
            <v>285.60000000000002</v>
          </cell>
          <cell r="CE559">
            <v>299.88000000000005</v>
          </cell>
          <cell r="CF559">
            <v>308.87640000000005</v>
          </cell>
          <cell r="CG559">
            <v>321.23145600000004</v>
          </cell>
          <cell r="CH559">
            <v>334.08071424000008</v>
          </cell>
          <cell r="CI559">
            <v>347.44394280960012</v>
          </cell>
          <cell r="CJ559">
            <v>361.34170052198414</v>
          </cell>
        </row>
        <row r="560">
          <cell r="A560" t="str">
            <v xml:space="preserve">   growth %</v>
          </cell>
          <cell r="CA560">
            <v>0.7</v>
          </cell>
          <cell r="CB560">
            <v>0.60000000000000009</v>
          </cell>
          <cell r="CC560">
            <v>0.11111111111111116</v>
          </cell>
          <cell r="CD560">
            <v>5.0000000000000044E-2</v>
          </cell>
          <cell r="CE560">
            <v>5.0000000000000044E-2</v>
          </cell>
          <cell r="CF560">
            <v>3.0000000000000027E-2</v>
          </cell>
          <cell r="CG560">
            <v>4.0000000000000036E-2</v>
          </cell>
          <cell r="CH560">
            <v>4.0000000000000036E-2</v>
          </cell>
          <cell r="CI560">
            <v>4.0000000000000036E-2</v>
          </cell>
          <cell r="CJ560">
            <v>4.0000000000000036E-2</v>
          </cell>
        </row>
        <row r="561">
          <cell r="A561" t="str">
            <v>Vaccines</v>
          </cell>
          <cell r="Q561">
            <v>127</v>
          </cell>
          <cell r="R561">
            <v>127</v>
          </cell>
          <cell r="S561">
            <v>374</v>
          </cell>
          <cell r="T561">
            <v>501</v>
          </cell>
          <cell r="U561">
            <v>455</v>
          </cell>
          <cell r="V561">
            <v>956</v>
          </cell>
          <cell r="W561">
            <v>231</v>
          </cell>
          <cell r="X561">
            <v>251</v>
          </cell>
          <cell r="Y561">
            <v>482</v>
          </cell>
          <cell r="Z561">
            <v>572</v>
          </cell>
          <cell r="AA561">
            <v>1054</v>
          </cell>
          <cell r="AB561">
            <v>398</v>
          </cell>
          <cell r="AC561">
            <v>1452</v>
          </cell>
          <cell r="AD561">
            <v>280</v>
          </cell>
          <cell r="AE561">
            <v>322</v>
          </cell>
          <cell r="AF561">
            <v>602</v>
          </cell>
          <cell r="AG561">
            <v>666</v>
          </cell>
          <cell r="AH561">
            <v>1268</v>
          </cell>
          <cell r="AI561">
            <v>491</v>
          </cell>
          <cell r="AJ561">
            <v>1759</v>
          </cell>
          <cell r="AK561">
            <v>247</v>
          </cell>
          <cell r="AL561">
            <v>247</v>
          </cell>
          <cell r="AM561">
            <v>494</v>
          </cell>
          <cell r="AN561">
            <v>543</v>
          </cell>
          <cell r="AO561">
            <v>1037</v>
          </cell>
          <cell r="AP561">
            <v>1387</v>
          </cell>
          <cell r="AQ561">
            <v>2424</v>
          </cell>
          <cell r="AR561">
            <v>1361</v>
          </cell>
          <cell r="AS561">
            <v>564</v>
          </cell>
          <cell r="AT561">
            <v>1925</v>
          </cell>
          <cell r="AU561">
            <v>632</v>
          </cell>
          <cell r="AV561">
            <v>2557</v>
          </cell>
          <cell r="AW561">
            <v>361</v>
          </cell>
          <cell r="AX561">
            <v>2918</v>
          </cell>
          <cell r="AY561">
            <v>371</v>
          </cell>
          <cell r="AZ561">
            <v>299</v>
          </cell>
          <cell r="BA561">
            <v>670</v>
          </cell>
          <cell r="BB561">
            <v>655</v>
          </cell>
          <cell r="BC561">
            <v>1325</v>
          </cell>
          <cell r="BD561">
            <v>671</v>
          </cell>
          <cell r="BE561">
            <v>1996</v>
          </cell>
          <cell r="BF561">
            <v>299</v>
          </cell>
          <cell r="BG561">
            <v>349</v>
          </cell>
          <cell r="BH561">
            <v>648</v>
          </cell>
          <cell r="BI561">
            <v>582</v>
          </cell>
          <cell r="BJ561">
            <v>1230</v>
          </cell>
          <cell r="BK561">
            <v>628</v>
          </cell>
          <cell r="BL561">
            <v>1858</v>
          </cell>
          <cell r="BM561">
            <v>327</v>
          </cell>
          <cell r="BN561">
            <v>411</v>
          </cell>
          <cell r="BO561">
            <v>738</v>
          </cell>
          <cell r="BP561">
            <v>594</v>
          </cell>
          <cell r="BQ561">
            <v>1332</v>
          </cell>
          <cell r="BR561">
            <v>655</v>
          </cell>
          <cell r="BS561">
            <v>1987</v>
          </cell>
          <cell r="BT561">
            <v>215.52598433627008</v>
          </cell>
          <cell r="BU561">
            <v>309.26953326418868</v>
          </cell>
          <cell r="BV561">
            <v>524.79551760045865</v>
          </cell>
          <cell r="BW561">
            <v>499.68510615617777</v>
          </cell>
          <cell r="BX561">
            <v>1024.4806237566365</v>
          </cell>
          <cell r="BY561">
            <v>559.34118910005338</v>
          </cell>
          <cell r="BZ561">
            <v>1583.82181285669</v>
          </cell>
          <cell r="CA561">
            <v>1721.5129034995243</v>
          </cell>
          <cell r="CB561">
            <v>1891.7385486745009</v>
          </cell>
          <cell r="CC561">
            <v>1990.1259711082259</v>
          </cell>
          <cell r="CD561">
            <v>2078.1379795136372</v>
          </cell>
          <cell r="CE561">
            <v>2170.2057596348191</v>
          </cell>
          <cell r="CF561">
            <v>2260.524155196425</v>
          </cell>
          <cell r="CG561">
            <v>2344.6650608079126</v>
          </cell>
          <cell r="CH561">
            <v>2445.7490744597872</v>
          </cell>
          <cell r="CI561">
            <v>2551.370688467</v>
          </cell>
          <cell r="CJ561">
            <v>2646.5631242303907</v>
          </cell>
        </row>
        <row r="562">
          <cell r="A562" t="str">
            <v>Growth %</v>
          </cell>
          <cell r="Z562">
            <v>0.52941176470588225</v>
          </cell>
          <cell r="AA562">
            <v>1.1037924151696608</v>
          </cell>
          <cell r="AB562">
            <v>-0.12527472527472527</v>
          </cell>
          <cell r="AC562">
            <v>0.51882845188284521</v>
          </cell>
          <cell r="AD562">
            <v>0.21212121212121215</v>
          </cell>
          <cell r="AE562">
            <v>0.28286852589641431</v>
          </cell>
          <cell r="AF562">
            <v>0.24896265560165975</v>
          </cell>
          <cell r="AG562">
            <v>0.16433566433566438</v>
          </cell>
          <cell r="AH562">
            <v>0.20303605313092987</v>
          </cell>
          <cell r="AI562">
            <v>0.23366834170854278</v>
          </cell>
          <cell r="AJ562">
            <v>0.2114325068870524</v>
          </cell>
          <cell r="AK562">
            <v>-0.11785714285714288</v>
          </cell>
          <cell r="AL562">
            <v>-0.23291925465838514</v>
          </cell>
          <cell r="AM562">
            <v>-0.17940199335548168</v>
          </cell>
          <cell r="AN562">
            <v>-0.18468468468468469</v>
          </cell>
          <cell r="AO562">
            <v>-0.18217665615141954</v>
          </cell>
          <cell r="AP562">
            <v>1.8248472505091651</v>
          </cell>
          <cell r="AQ562">
            <v>0.37805571347356448</v>
          </cell>
          <cell r="AR562">
            <v>4.5101214574898787</v>
          </cell>
          <cell r="AS562">
            <v>1.283400809716599</v>
          </cell>
          <cell r="AT562">
            <v>2.8967611336032388</v>
          </cell>
          <cell r="AU562">
            <v>0.16390423572744006</v>
          </cell>
          <cell r="AV562">
            <v>1.4657666345226614</v>
          </cell>
          <cell r="AW562">
            <v>-0.73972602739726034</v>
          </cell>
          <cell r="AX562">
            <v>0.2037953795379539</v>
          </cell>
          <cell r="AY562">
            <v>-0.72740631888317409</v>
          </cell>
          <cell r="AZ562">
            <v>-0.46985815602836878</v>
          </cell>
          <cell r="BA562">
            <v>-0.65194805194805194</v>
          </cell>
          <cell r="BB562">
            <v>3.6392405063291111E-2</v>
          </cell>
          <cell r="BC562">
            <v>-0.48181462651544782</v>
          </cell>
          <cell r="BD562">
            <v>0.8587257617728532</v>
          </cell>
          <cell r="BE562">
            <v>-0.31596984235777925</v>
          </cell>
          <cell r="BF562">
            <v>-0.19407008086253374</v>
          </cell>
          <cell r="BG562">
            <v>0.16722408026755864</v>
          </cell>
          <cell r="BH562">
            <v>-3.2835820895522394E-2</v>
          </cell>
          <cell r="BI562">
            <v>-0.11145038167938937</v>
          </cell>
          <cell r="BJ562">
            <v>-7.1698113207547154E-2</v>
          </cell>
          <cell r="BK562">
            <v>-6.4083457526080467E-2</v>
          </cell>
          <cell r="BL562">
            <v>-6.9138276553106226E-2</v>
          </cell>
          <cell r="BM562">
            <v>9.3645484949832714E-2</v>
          </cell>
          <cell r="BN562">
            <v>0.17765042979942702</v>
          </cell>
          <cell r="BO562">
            <v>0.13888888888888884</v>
          </cell>
          <cell r="BP562">
            <v>2.0618556701030855E-2</v>
          </cell>
          <cell r="BQ562">
            <v>8.2926829268292757E-2</v>
          </cell>
          <cell r="BR562">
            <v>4.2993630573248343E-2</v>
          </cell>
          <cell r="BS562">
            <v>6.9429494079655596E-2</v>
          </cell>
          <cell r="BT562">
            <v>-0.3408991304701221</v>
          </cell>
          <cell r="BU562">
            <v>-0.24751938378542904</v>
          </cell>
          <cell r="BV562">
            <v>-0.28889496260100456</v>
          </cell>
          <cell r="BW562">
            <v>-0.15877928256535734</v>
          </cell>
          <cell r="BX562">
            <v>-0.23087040258510771</v>
          </cell>
          <cell r="BY562">
            <v>-0.1460439861067887</v>
          </cell>
          <cell r="BZ562">
            <v>-0.20290799554268246</v>
          </cell>
          <cell r="CA562">
            <v>8.6935973179006254E-2</v>
          </cell>
          <cell r="CB562">
            <v>9.8881422746782022E-2</v>
          </cell>
          <cell r="CC562">
            <v>5.2008995906259292E-2</v>
          </cell>
          <cell r="CD562">
            <v>4.4224340410170537E-2</v>
          </cell>
          <cell r="CE562">
            <v>4.4303015982956717E-2</v>
          </cell>
          <cell r="CF562">
            <v>4.1617434273515164E-2</v>
          </cell>
          <cell r="CG562">
            <v>3.7221856452215762E-2</v>
          </cell>
          <cell r="CH562">
            <v>4.3112346979335081E-2</v>
          </cell>
          <cell r="CI562">
            <v>4.3185793305694054E-2</v>
          </cell>
          <cell r="CJ562">
            <v>3.7310311744855662E-2</v>
          </cell>
        </row>
        <row r="563">
          <cell r="A563" t="str">
            <v xml:space="preserve">   CER growth %</v>
          </cell>
          <cell r="BG563">
            <v>0.21</v>
          </cell>
          <cell r="BH563">
            <v>-0.01</v>
          </cell>
          <cell r="BI563">
            <v>-0.08</v>
          </cell>
          <cell r="BJ563">
            <v>-0.04</v>
          </cell>
          <cell r="BK563">
            <v>-0.05</v>
          </cell>
          <cell r="BL563">
            <v>-0.04</v>
          </cell>
          <cell r="BM563">
            <v>0.1</v>
          </cell>
          <cell r="BN563">
            <v>0.18</v>
          </cell>
          <cell r="BO563">
            <v>0.14000000000000001</v>
          </cell>
          <cell r="BP563">
            <v>0.01</v>
          </cell>
          <cell r="BQ563">
            <v>0.08</v>
          </cell>
          <cell r="BR563">
            <v>0.03</v>
          </cell>
          <cell r="BS563">
            <v>0.06</v>
          </cell>
        </row>
        <row r="565">
          <cell r="A565" t="str">
            <v>Additional detail on Vaccines division from ol Chiron model</v>
          </cell>
          <cell r="BB565" t="str">
            <v>above 632</v>
          </cell>
        </row>
        <row r="567">
          <cell r="A567" t="str">
            <v>Influenza Vaccines</v>
          </cell>
          <cell r="O567">
            <v>225</v>
          </cell>
        </row>
        <row r="568">
          <cell r="A568" t="str">
            <v>Meningococcal Vaccines</v>
          </cell>
          <cell r="O568">
            <v>43</v>
          </cell>
        </row>
        <row r="569">
          <cell r="A569" t="str">
            <v>Travel Vaccines</v>
          </cell>
          <cell r="O569">
            <v>148</v>
          </cell>
        </row>
        <row r="570">
          <cell r="A570" t="str">
            <v>Pediatric and Other Vaccines</v>
          </cell>
          <cell r="O570">
            <v>166</v>
          </cell>
        </row>
        <row r="571">
          <cell r="A571" t="str">
            <v xml:space="preserve">Vaccines, Total </v>
          </cell>
          <cell r="O571">
            <v>582</v>
          </cell>
        </row>
        <row r="574">
          <cell r="A574" t="str">
            <v>NAT</v>
          </cell>
          <cell r="O574">
            <v>273</v>
          </cell>
        </row>
        <row r="575">
          <cell r="A575" t="str">
            <v>Ortho JB</v>
          </cell>
          <cell r="O575">
            <v>31</v>
          </cell>
        </row>
        <row r="576">
          <cell r="A576" t="str">
            <v>Other</v>
          </cell>
          <cell r="O576">
            <v>405</v>
          </cell>
        </row>
        <row r="577">
          <cell r="A577" t="str">
            <v xml:space="preserve">Blood Testing, Total </v>
          </cell>
          <cell r="O577">
            <v>709</v>
          </cell>
        </row>
        <row r="579">
          <cell r="A579" t="str">
            <v>Total Revenues</v>
          </cell>
          <cell r="O579">
            <v>1291</v>
          </cell>
        </row>
        <row r="583">
          <cell r="A583" t="str">
            <v>V&amp;D geo split and CER</v>
          </cell>
        </row>
        <row r="584">
          <cell r="A584" t="str">
            <v>Europe</v>
          </cell>
          <cell r="AY584">
            <v>137</v>
          </cell>
          <cell r="AZ584">
            <v>101</v>
          </cell>
          <cell r="BA584">
            <v>238</v>
          </cell>
          <cell r="BB584">
            <v>114</v>
          </cell>
          <cell r="BC584">
            <v>352</v>
          </cell>
          <cell r="BD584">
            <v>316</v>
          </cell>
          <cell r="BE584">
            <v>668</v>
          </cell>
          <cell r="BF584">
            <v>96</v>
          </cell>
          <cell r="BG584">
            <v>124</v>
          </cell>
          <cell r="BH584">
            <v>220</v>
          </cell>
          <cell r="BI584">
            <v>155</v>
          </cell>
          <cell r="BJ584">
            <v>375</v>
          </cell>
          <cell r="BK584">
            <v>283</v>
          </cell>
          <cell r="BL584">
            <v>658</v>
          </cell>
          <cell r="BM584">
            <v>116</v>
          </cell>
          <cell r="BN584">
            <v>152</v>
          </cell>
          <cell r="BO584">
            <v>268</v>
          </cell>
          <cell r="BP584">
            <v>178</v>
          </cell>
          <cell r="BQ584">
            <v>446</v>
          </cell>
          <cell r="BR584">
            <v>208</v>
          </cell>
          <cell r="BS584">
            <v>654</v>
          </cell>
        </row>
        <row r="585">
          <cell r="A585" t="str">
            <v>US</v>
          </cell>
          <cell r="AY585">
            <v>105</v>
          </cell>
          <cell r="AZ585">
            <v>128</v>
          </cell>
          <cell r="BA585">
            <v>233</v>
          </cell>
          <cell r="BB585">
            <v>325</v>
          </cell>
          <cell r="BC585">
            <v>558</v>
          </cell>
          <cell r="BD585">
            <v>179</v>
          </cell>
          <cell r="BE585">
            <v>737</v>
          </cell>
          <cell r="BF585">
            <v>96</v>
          </cell>
          <cell r="BG585">
            <v>157</v>
          </cell>
          <cell r="BH585">
            <v>253</v>
          </cell>
          <cell r="BI585">
            <v>301</v>
          </cell>
          <cell r="BJ585">
            <v>554</v>
          </cell>
          <cell r="BK585">
            <v>192</v>
          </cell>
          <cell r="BL585">
            <v>746</v>
          </cell>
          <cell r="BM585">
            <v>120</v>
          </cell>
          <cell r="BN585">
            <v>143</v>
          </cell>
          <cell r="BO585">
            <v>263</v>
          </cell>
          <cell r="BP585">
            <v>307</v>
          </cell>
          <cell r="BQ585">
            <v>570</v>
          </cell>
          <cell r="BR585">
            <v>251</v>
          </cell>
          <cell r="BS585">
            <v>821</v>
          </cell>
        </row>
        <row r="586">
          <cell r="A586" t="str">
            <v>Asia/Africa/Australasia</v>
          </cell>
          <cell r="AY586">
            <v>66</v>
          </cell>
          <cell r="AZ586">
            <v>43</v>
          </cell>
          <cell r="BA586">
            <v>109</v>
          </cell>
          <cell r="BB586">
            <v>158</v>
          </cell>
          <cell r="BC586">
            <v>267</v>
          </cell>
          <cell r="BD586">
            <v>106</v>
          </cell>
          <cell r="BE586">
            <v>373</v>
          </cell>
          <cell r="BF586">
            <v>53</v>
          </cell>
          <cell r="BG586">
            <v>43</v>
          </cell>
          <cell r="BH586">
            <v>96</v>
          </cell>
          <cell r="BI586">
            <v>94</v>
          </cell>
          <cell r="BJ586">
            <v>190</v>
          </cell>
          <cell r="BK586">
            <v>83</v>
          </cell>
          <cell r="BL586">
            <v>273</v>
          </cell>
          <cell r="BM586">
            <v>62</v>
          </cell>
          <cell r="BN586">
            <v>73</v>
          </cell>
          <cell r="BO586">
            <v>135</v>
          </cell>
          <cell r="BP586">
            <v>71</v>
          </cell>
          <cell r="BQ586">
            <v>206</v>
          </cell>
          <cell r="BR586">
            <v>122</v>
          </cell>
          <cell r="BS586">
            <v>328</v>
          </cell>
        </row>
        <row r="587">
          <cell r="A587" t="str">
            <v>Canada &amp; Latin America</v>
          </cell>
          <cell r="AY587">
            <v>63</v>
          </cell>
          <cell r="AZ587">
            <v>27</v>
          </cell>
          <cell r="BA587">
            <v>90</v>
          </cell>
          <cell r="BB587">
            <v>58</v>
          </cell>
          <cell r="BC587">
            <v>148</v>
          </cell>
          <cell r="BD587">
            <v>70</v>
          </cell>
          <cell r="BE587">
            <v>218</v>
          </cell>
          <cell r="BF587">
            <v>54</v>
          </cell>
          <cell r="BG587">
            <v>25</v>
          </cell>
          <cell r="BH587">
            <v>79</v>
          </cell>
          <cell r="BI587">
            <v>32</v>
          </cell>
          <cell r="BJ587">
            <v>111</v>
          </cell>
          <cell r="BK587">
            <v>70</v>
          </cell>
          <cell r="BL587">
            <v>181</v>
          </cell>
          <cell r="BM587">
            <v>29</v>
          </cell>
          <cell r="BN587">
            <v>43</v>
          </cell>
          <cell r="BO587">
            <v>72</v>
          </cell>
          <cell r="BP587">
            <v>38</v>
          </cell>
          <cell r="BQ587">
            <v>110</v>
          </cell>
          <cell r="BR587">
            <v>74</v>
          </cell>
          <cell r="BS587">
            <v>184</v>
          </cell>
        </row>
        <row r="588">
          <cell r="A588" t="str">
            <v>Total</v>
          </cell>
          <cell r="AY588">
            <v>371</v>
          </cell>
          <cell r="AZ588">
            <v>299</v>
          </cell>
          <cell r="BA588">
            <v>670</v>
          </cell>
          <cell r="BB588">
            <v>655</v>
          </cell>
          <cell r="BC588">
            <v>1325</v>
          </cell>
          <cell r="BD588">
            <v>671</v>
          </cell>
          <cell r="BE588">
            <v>1996</v>
          </cell>
          <cell r="BF588">
            <v>299</v>
          </cell>
          <cell r="BG588">
            <v>349</v>
          </cell>
          <cell r="BH588">
            <v>648</v>
          </cell>
          <cell r="BI588">
            <v>582</v>
          </cell>
          <cell r="BJ588">
            <v>1230</v>
          </cell>
          <cell r="BK588">
            <v>628</v>
          </cell>
          <cell r="BL588">
            <v>1858</v>
          </cell>
          <cell r="BM588">
            <v>327</v>
          </cell>
          <cell r="BN588">
            <v>411</v>
          </cell>
          <cell r="BO588">
            <v>738</v>
          </cell>
          <cell r="BP588">
            <v>594</v>
          </cell>
          <cell r="BQ588">
            <v>1332</v>
          </cell>
          <cell r="BR588">
            <v>655</v>
          </cell>
          <cell r="BS588">
            <v>1987</v>
          </cell>
        </row>
        <row r="589">
          <cell r="A589" t="str">
            <v xml:space="preserve"> Of which in Established markets</v>
          </cell>
          <cell r="AY589">
            <v>246</v>
          </cell>
          <cell r="AZ589">
            <v>228</v>
          </cell>
          <cell r="BA589">
            <v>474</v>
          </cell>
          <cell r="BB589">
            <v>536</v>
          </cell>
          <cell r="BC589">
            <v>1010</v>
          </cell>
          <cell r="BD589">
            <v>502</v>
          </cell>
          <cell r="BE589">
            <v>1512</v>
          </cell>
          <cell r="BF589">
            <v>197</v>
          </cell>
          <cell r="BG589">
            <v>283</v>
          </cell>
          <cell r="BH589">
            <v>480</v>
          </cell>
          <cell r="BI589">
            <v>461</v>
          </cell>
          <cell r="BJ589">
            <v>941</v>
          </cell>
          <cell r="BK589">
            <v>493</v>
          </cell>
          <cell r="BL589">
            <v>1434</v>
          </cell>
          <cell r="BM589">
            <v>240</v>
          </cell>
          <cell r="BN589">
            <v>300</v>
          </cell>
          <cell r="BO589">
            <v>540</v>
          </cell>
          <cell r="BP589">
            <v>497</v>
          </cell>
          <cell r="BQ589">
            <v>1037</v>
          </cell>
          <cell r="BR589">
            <v>475</v>
          </cell>
          <cell r="BS589">
            <v>1512</v>
          </cell>
        </row>
        <row r="590">
          <cell r="A590" t="str">
            <v>Of which in EM growth markets</v>
          </cell>
          <cell r="AY590">
            <v>125</v>
          </cell>
          <cell r="AZ590">
            <v>71</v>
          </cell>
          <cell r="BA590">
            <v>196</v>
          </cell>
          <cell r="BB590">
            <v>119</v>
          </cell>
          <cell r="BC590">
            <v>315</v>
          </cell>
          <cell r="BD590">
            <v>169</v>
          </cell>
          <cell r="BE590">
            <v>484</v>
          </cell>
          <cell r="BF590">
            <v>102</v>
          </cell>
          <cell r="BG590">
            <v>66</v>
          </cell>
          <cell r="BH590">
            <v>168</v>
          </cell>
          <cell r="BI590">
            <v>121</v>
          </cell>
          <cell r="BJ590">
            <v>289</v>
          </cell>
          <cell r="BK590">
            <v>135</v>
          </cell>
          <cell r="BL590">
            <v>424</v>
          </cell>
          <cell r="BM590">
            <v>87</v>
          </cell>
          <cell r="BN590">
            <v>111</v>
          </cell>
          <cell r="BO590">
            <v>198</v>
          </cell>
          <cell r="BP590">
            <v>97</v>
          </cell>
          <cell r="BQ590">
            <v>295</v>
          </cell>
          <cell r="BR590">
            <v>180</v>
          </cell>
          <cell r="BS590">
            <v>475</v>
          </cell>
        </row>
        <row r="592">
          <cell r="A592" t="str">
            <v>% total</v>
          </cell>
        </row>
        <row r="593">
          <cell r="A593" t="str">
            <v>Europe</v>
          </cell>
          <cell r="AY593">
            <v>0.3692722371967655</v>
          </cell>
          <cell r="AZ593">
            <v>0.33779264214046822</v>
          </cell>
          <cell r="BA593">
            <v>0.35522388059701493</v>
          </cell>
          <cell r="BB593">
            <v>0.17404580152671756</v>
          </cell>
          <cell r="BC593">
            <v>0.26566037735849057</v>
          </cell>
          <cell r="BD593">
            <v>0.47093889716840537</v>
          </cell>
          <cell r="BE593">
            <v>0.33466933867735471</v>
          </cell>
          <cell r="BF593">
            <v>0.32107023411371238</v>
          </cell>
          <cell r="BG593">
            <v>0.35530085959885388</v>
          </cell>
          <cell r="BH593">
            <v>0.33950617283950618</v>
          </cell>
          <cell r="BI593">
            <v>0.26632302405498282</v>
          </cell>
          <cell r="BJ593">
            <v>0.3048780487804878</v>
          </cell>
          <cell r="BK593">
            <v>0.45063694267515925</v>
          </cell>
          <cell r="BL593">
            <v>0.35414424111948334</v>
          </cell>
          <cell r="BM593">
            <v>0.35474006116207951</v>
          </cell>
          <cell r="BN593">
            <v>0.36982968369829683</v>
          </cell>
          <cell r="BO593">
            <v>0.36314363143631434</v>
          </cell>
          <cell r="BP593">
            <v>0.29966329966329969</v>
          </cell>
          <cell r="BQ593">
            <v>0.33483483483483484</v>
          </cell>
          <cell r="BR593">
            <v>0.31755725190839695</v>
          </cell>
          <cell r="BS593">
            <v>0.32913940613990939</v>
          </cell>
        </row>
        <row r="594">
          <cell r="A594" t="str">
            <v>US</v>
          </cell>
          <cell r="AY594">
            <v>0.28301886792452829</v>
          </cell>
          <cell r="AZ594">
            <v>0.42809364548494983</v>
          </cell>
          <cell r="BA594">
            <v>0.34776119402985073</v>
          </cell>
          <cell r="BB594">
            <v>0.49618320610687022</v>
          </cell>
          <cell r="BC594">
            <v>0.42113207547169812</v>
          </cell>
          <cell r="BD594">
            <v>0.2667660208643815</v>
          </cell>
          <cell r="BE594">
            <v>0.36923847695390782</v>
          </cell>
          <cell r="BF594">
            <v>0.32107023411371238</v>
          </cell>
          <cell r="BG594">
            <v>0.44985673352435529</v>
          </cell>
          <cell r="BH594">
            <v>0.39043209876543211</v>
          </cell>
          <cell r="BI594">
            <v>0.51718213058419249</v>
          </cell>
          <cell r="BJ594">
            <v>0.45040650406504062</v>
          </cell>
          <cell r="BK594">
            <v>0.30573248407643311</v>
          </cell>
          <cell r="BL594">
            <v>0.40150699677072121</v>
          </cell>
          <cell r="BM594">
            <v>0.3669724770642202</v>
          </cell>
          <cell r="BN594">
            <v>0.34793187347931875</v>
          </cell>
          <cell r="BO594">
            <v>0.35636856368563685</v>
          </cell>
          <cell r="BP594">
            <v>0.51683501683501687</v>
          </cell>
          <cell r="BQ594">
            <v>0.42792792792792794</v>
          </cell>
          <cell r="BR594">
            <v>0.38320610687022899</v>
          </cell>
          <cell r="BS594">
            <v>0.41318570709612479</v>
          </cell>
        </row>
        <row r="595">
          <cell r="A595" t="str">
            <v>Asia/Africa/Australasia</v>
          </cell>
          <cell r="AY595">
            <v>0.17789757412398921</v>
          </cell>
          <cell r="AZ595">
            <v>0.14381270903010032</v>
          </cell>
          <cell r="BA595">
            <v>0.16268656716417909</v>
          </cell>
          <cell r="BB595">
            <v>0.24122137404580152</v>
          </cell>
          <cell r="BC595">
            <v>0.20150943396226415</v>
          </cell>
          <cell r="BD595">
            <v>0.15797317436661698</v>
          </cell>
          <cell r="BE595">
            <v>0.18687374749498997</v>
          </cell>
          <cell r="BF595">
            <v>0.17725752508361203</v>
          </cell>
          <cell r="BG595">
            <v>0.12320916905444126</v>
          </cell>
          <cell r="BH595">
            <v>0.14814814814814814</v>
          </cell>
          <cell r="BI595">
            <v>0.16151202749140894</v>
          </cell>
          <cell r="BJ595">
            <v>0.15447154471544716</v>
          </cell>
          <cell r="BK595">
            <v>0.1321656050955414</v>
          </cell>
          <cell r="BL595">
            <v>0.14693218514531756</v>
          </cell>
          <cell r="BM595">
            <v>0.18960244648318042</v>
          </cell>
          <cell r="BN595">
            <v>0.17761557177615572</v>
          </cell>
          <cell r="BO595">
            <v>0.18292682926829268</v>
          </cell>
          <cell r="BP595">
            <v>0.11952861952861953</v>
          </cell>
          <cell r="BQ595">
            <v>0.15465465465465467</v>
          </cell>
          <cell r="BR595">
            <v>0.18625954198473282</v>
          </cell>
          <cell r="BS595">
            <v>0.16507297433316559</v>
          </cell>
        </row>
        <row r="596">
          <cell r="A596" t="str">
            <v>Canada &amp; Latin America</v>
          </cell>
          <cell r="AY596">
            <v>0.16981132075471697</v>
          </cell>
          <cell r="AZ596">
            <v>9.0301003344481601E-2</v>
          </cell>
          <cell r="BA596">
            <v>0.13432835820895522</v>
          </cell>
          <cell r="BB596">
            <v>8.8549618320610687E-2</v>
          </cell>
          <cell r="BC596">
            <v>0.11169811320754718</v>
          </cell>
          <cell r="BD596">
            <v>0.10432190760059612</v>
          </cell>
          <cell r="BE596">
            <v>0.10921843687374749</v>
          </cell>
          <cell r="BF596">
            <v>0.1806020066889632</v>
          </cell>
          <cell r="BG596">
            <v>7.1633237822349566E-2</v>
          </cell>
          <cell r="BH596">
            <v>0.12191358024691358</v>
          </cell>
          <cell r="BI596">
            <v>5.4982817869415807E-2</v>
          </cell>
          <cell r="BJ596">
            <v>9.0243902439024387E-2</v>
          </cell>
          <cell r="BK596">
            <v>0.11146496815286625</v>
          </cell>
          <cell r="BL596">
            <v>9.7416576964477933E-2</v>
          </cell>
          <cell r="BM596">
            <v>8.8685015290519878E-2</v>
          </cell>
          <cell r="BN596">
            <v>0.10462287104622871</v>
          </cell>
          <cell r="BO596">
            <v>9.7560975609756101E-2</v>
          </cell>
          <cell r="BP596">
            <v>6.3973063973063973E-2</v>
          </cell>
          <cell r="BQ596">
            <v>8.2582582582582581E-2</v>
          </cell>
          <cell r="BR596">
            <v>0.11297709923664122</v>
          </cell>
          <cell r="BS596">
            <v>9.2601912430800196E-2</v>
          </cell>
        </row>
        <row r="597">
          <cell r="A597" t="str">
            <v xml:space="preserve"> Of which in Established markets</v>
          </cell>
          <cell r="AY597">
            <v>0.66307277628032346</v>
          </cell>
          <cell r="AZ597">
            <v>0.76254180602006694</v>
          </cell>
          <cell r="BA597">
            <v>0.70746268656716416</v>
          </cell>
          <cell r="BB597">
            <v>0.81832061068702289</v>
          </cell>
          <cell r="BC597">
            <v>0.76226415094339628</v>
          </cell>
          <cell r="BD597">
            <v>0.74813710879284645</v>
          </cell>
          <cell r="BE597">
            <v>0.75751503006012022</v>
          </cell>
          <cell r="BF597">
            <v>0.65886287625418061</v>
          </cell>
          <cell r="BG597">
            <v>0.81088825214899718</v>
          </cell>
          <cell r="BH597">
            <v>0.7407407407407407</v>
          </cell>
          <cell r="BI597">
            <v>0.79209621993127144</v>
          </cell>
          <cell r="BJ597">
            <v>0.76504065040650404</v>
          </cell>
          <cell r="BK597">
            <v>0.78503184713375795</v>
          </cell>
          <cell r="BL597">
            <v>0.77179763186221739</v>
          </cell>
          <cell r="BM597">
            <v>0.73394495412844041</v>
          </cell>
          <cell r="BN597">
            <v>0.72992700729927007</v>
          </cell>
          <cell r="BO597">
            <v>0.73170731707317072</v>
          </cell>
          <cell r="BP597">
            <v>0.83670033670033672</v>
          </cell>
          <cell r="BQ597">
            <v>0.7785285285285285</v>
          </cell>
          <cell r="BR597">
            <v>0.72519083969465647</v>
          </cell>
          <cell r="BS597">
            <v>0.76094614997483645</v>
          </cell>
        </row>
        <row r="598">
          <cell r="A598" t="str">
            <v>Of which in EM growth markets</v>
          </cell>
          <cell r="AY598">
            <v>0.33692722371967654</v>
          </cell>
          <cell r="AZ598">
            <v>0.23745819397993306</v>
          </cell>
          <cell r="BA598">
            <v>0.29253731343283584</v>
          </cell>
          <cell r="BB598">
            <v>0.18167938931297711</v>
          </cell>
          <cell r="BC598">
            <v>0.23773584905660372</v>
          </cell>
          <cell r="BD598">
            <v>0.25186289120715355</v>
          </cell>
          <cell r="BE598">
            <v>0.24248496993987978</v>
          </cell>
          <cell r="BF598">
            <v>0.34113712374581939</v>
          </cell>
          <cell r="BG598">
            <v>0.18911174785100282</v>
          </cell>
          <cell r="BH598">
            <v>0.2592592592592593</v>
          </cell>
          <cell r="BI598">
            <v>0.20790378006872856</v>
          </cell>
          <cell r="BJ598">
            <v>0.23495934959349596</v>
          </cell>
          <cell r="BK598">
            <v>0.21496815286624205</v>
          </cell>
          <cell r="BL598">
            <v>0.22820236813778261</v>
          </cell>
          <cell r="BM598">
            <v>0.26605504587155959</v>
          </cell>
          <cell r="BN598">
            <v>0.27007299270072993</v>
          </cell>
          <cell r="BO598">
            <v>0.26829268292682928</v>
          </cell>
          <cell r="BP598">
            <v>0.16329966329966328</v>
          </cell>
          <cell r="BQ598">
            <v>0.2214714714714715</v>
          </cell>
          <cell r="BR598">
            <v>0.27480916030534353</v>
          </cell>
          <cell r="BS598">
            <v>0.23905385002516355</v>
          </cell>
        </row>
        <row r="600">
          <cell r="A600" t="str">
            <v xml:space="preserve">CER growth </v>
          </cell>
        </row>
        <row r="601">
          <cell r="A601" t="str">
            <v>Europe</v>
          </cell>
          <cell r="BB601">
            <v>-0.36</v>
          </cell>
          <cell r="BC601">
            <v>-0.48</v>
          </cell>
          <cell r="BD601">
            <v>1.08</v>
          </cell>
          <cell r="BE601">
            <v>-0.18</v>
          </cell>
          <cell r="BF601">
            <v>-0.28000000000000003</v>
          </cell>
          <cell r="BG601">
            <v>0.34</v>
          </cell>
          <cell r="BH601">
            <v>-0.02</v>
          </cell>
          <cell r="BI601">
            <v>0.45</v>
          </cell>
          <cell r="BJ601">
            <v>0.13</v>
          </cell>
          <cell r="BK601">
            <v>-0.08</v>
          </cell>
          <cell r="BL601">
            <v>0.03</v>
          </cell>
          <cell r="BM601">
            <v>0.21</v>
          </cell>
          <cell r="BN601">
            <v>0.21</v>
          </cell>
          <cell r="BO601">
            <v>0.21</v>
          </cell>
          <cell r="BP601">
            <v>0.11</v>
          </cell>
          <cell r="BQ601">
            <v>0.17</v>
          </cell>
          <cell r="BR601">
            <v>-0.3</v>
          </cell>
          <cell r="BS601">
            <v>-0.03</v>
          </cell>
        </row>
        <row r="602">
          <cell r="A602" t="str">
            <v>US</v>
          </cell>
          <cell r="BB602">
            <v>-7.0000000000000007E-2</v>
          </cell>
          <cell r="BC602">
            <v>-0.47</v>
          </cell>
          <cell r="BD602">
            <v>0.67</v>
          </cell>
          <cell r="BE602">
            <v>-0.38</v>
          </cell>
          <cell r="BF602">
            <v>-0.08</v>
          </cell>
          <cell r="BG602">
            <v>0.22</v>
          </cell>
          <cell r="BH602">
            <v>0.09</v>
          </cell>
          <cell r="BI602">
            <v>-7.0000000000000007E-2</v>
          </cell>
          <cell r="BJ602">
            <v>-0.01</v>
          </cell>
          <cell r="BK602">
            <v>7.0000000000000007E-2</v>
          </cell>
          <cell r="BL602">
            <v>0.01</v>
          </cell>
          <cell r="BM602">
            <v>0.24</v>
          </cell>
          <cell r="BN602">
            <v>-0.08</v>
          </cell>
          <cell r="BO602">
            <v>0.04</v>
          </cell>
          <cell r="BP602">
            <v>0.02</v>
          </cell>
          <cell r="BQ602">
            <v>0.03</v>
          </cell>
          <cell r="BR602">
            <v>0.3</v>
          </cell>
          <cell r="BS602">
            <v>0.1</v>
          </cell>
        </row>
        <row r="603">
          <cell r="A603" t="str">
            <v>Asia/Africa/Australasia</v>
          </cell>
          <cell r="BB603">
            <v>0.44</v>
          </cell>
          <cell r="BC603">
            <v>-0.59</v>
          </cell>
          <cell r="BD603">
            <v>0.42</v>
          </cell>
          <cell r="BE603">
            <v>-0.48</v>
          </cell>
          <cell r="BF603">
            <v>-0.21</v>
          </cell>
          <cell r="BG603">
            <v>0.05</v>
          </cell>
          <cell r="BH603">
            <v>-0.12</v>
          </cell>
          <cell r="BI603">
            <v>-0.36</v>
          </cell>
          <cell r="BJ603">
            <v>-0.25</v>
          </cell>
          <cell r="BK603">
            <v>-0.2</v>
          </cell>
          <cell r="BL603">
            <v>-0.23</v>
          </cell>
          <cell r="BM603">
            <v>0.19</v>
          </cell>
          <cell r="BN603">
            <v>0.65</v>
          </cell>
          <cell r="BO603">
            <v>0.41</v>
          </cell>
          <cell r="BP603">
            <v>-0.26</v>
          </cell>
          <cell r="BQ603">
            <v>7.0000000000000007E-2</v>
          </cell>
          <cell r="BR603">
            <v>0.45</v>
          </cell>
          <cell r="BS603">
            <v>0.18</v>
          </cell>
        </row>
        <row r="604">
          <cell r="A604" t="str">
            <v>Canada &amp; Latin America</v>
          </cell>
          <cell r="BB604">
            <v>1.1499999999999999</v>
          </cell>
          <cell r="BC604">
            <v>-0.48</v>
          </cell>
          <cell r="BD604">
            <v>1.46</v>
          </cell>
          <cell r="BE604">
            <v>-0.31</v>
          </cell>
          <cell r="BF604">
            <v>0.11</v>
          </cell>
          <cell r="BG604">
            <v>-0.06</v>
          </cell>
          <cell r="BH604">
            <v>-0.1</v>
          </cell>
          <cell r="BI604">
            <v>-0.41</v>
          </cell>
          <cell r="BJ604">
            <v>-0.22</v>
          </cell>
          <cell r="BK604">
            <v>0</v>
          </cell>
          <cell r="BL604">
            <v>-0.14000000000000001</v>
          </cell>
          <cell r="BM604">
            <v>-0.44</v>
          </cell>
          <cell r="BN604">
            <v>0.77</v>
          </cell>
          <cell r="BO604">
            <v>-0.05</v>
          </cell>
          <cell r="BP604">
            <v>0.21</v>
          </cell>
          <cell r="BQ604">
            <v>0.03</v>
          </cell>
          <cell r="BR604">
            <v>7.0000000000000007E-2</v>
          </cell>
          <cell r="BS604">
            <v>0.04</v>
          </cell>
        </row>
        <row r="605">
          <cell r="A605" t="str">
            <v>Total</v>
          </cell>
          <cell r="BB605">
            <v>-0.02</v>
          </cell>
          <cell r="BC605">
            <v>-0.51</v>
          </cell>
          <cell r="BD605">
            <v>0.86</v>
          </cell>
          <cell r="BE605">
            <v>-0.34</v>
          </cell>
          <cell r="BF605">
            <v>-0.18</v>
          </cell>
          <cell r="BG605">
            <v>0.21</v>
          </cell>
          <cell r="BH605">
            <v>-0.01</v>
          </cell>
          <cell r="BI605">
            <v>-0.08</v>
          </cell>
          <cell r="BJ605">
            <v>-0.04</v>
          </cell>
          <cell r="BK605">
            <v>-0.05</v>
          </cell>
          <cell r="BL605">
            <v>-0.04</v>
          </cell>
          <cell r="BM605">
            <v>0.1</v>
          </cell>
          <cell r="BN605">
            <v>0.18</v>
          </cell>
          <cell r="BO605">
            <v>0.14000000000000001</v>
          </cell>
          <cell r="BP605">
            <v>0.01</v>
          </cell>
          <cell r="BQ605">
            <v>0.08</v>
          </cell>
          <cell r="BR605">
            <v>0.03</v>
          </cell>
          <cell r="BS605">
            <v>0.06</v>
          </cell>
        </row>
        <row r="606">
          <cell r="A606" t="str">
            <v xml:space="preserve"> Of which in EM</v>
          </cell>
          <cell r="BF606">
            <v>-0.19</v>
          </cell>
          <cell r="BG606">
            <v>0.28999999999999998</v>
          </cell>
          <cell r="BH606">
            <v>0.24</v>
          </cell>
          <cell r="BI606">
            <v>-0.11</v>
          </cell>
          <cell r="BJ606">
            <v>-0.04</v>
          </cell>
          <cell r="BK606">
            <v>-0.01</v>
          </cell>
          <cell r="BL606">
            <v>-0.03</v>
          </cell>
          <cell r="BM606">
            <v>0.22</v>
          </cell>
          <cell r="BN606">
            <v>0.06</v>
          </cell>
          <cell r="BO606">
            <v>0.12</v>
          </cell>
          <cell r="BP606">
            <v>7.0000000000000007E-2</v>
          </cell>
          <cell r="BQ606">
            <v>0.1</v>
          </cell>
          <cell r="BR606">
            <v>-0.05</v>
          </cell>
          <cell r="BS606">
            <v>0.05</v>
          </cell>
        </row>
        <row r="607">
          <cell r="A607" t="str">
            <v>Of which in EM growth markets</v>
          </cell>
          <cell r="BF607">
            <v>0.17</v>
          </cell>
          <cell r="BG607">
            <v>-0.04</v>
          </cell>
          <cell r="BH607">
            <v>-7.0000000000000007E-2</v>
          </cell>
          <cell r="BI607">
            <v>0.08</v>
          </cell>
          <cell r="BJ607">
            <v>-0.04</v>
          </cell>
          <cell r="BK607">
            <v>-0.18</v>
          </cell>
          <cell r="BL607">
            <v>-0.09</v>
          </cell>
          <cell r="BM607">
            <v>-0.13</v>
          </cell>
          <cell r="BN607">
            <v>0.67</v>
          </cell>
          <cell r="BO607">
            <v>0.19</v>
          </cell>
          <cell r="BP607">
            <v>-0.21</v>
          </cell>
          <cell r="BQ607">
            <v>0.02</v>
          </cell>
          <cell r="BR607">
            <v>0.32</v>
          </cell>
          <cell r="BS607">
            <v>0.12</v>
          </cell>
        </row>
        <row r="609">
          <cell r="A609" t="str">
            <v xml:space="preserve">growth % </v>
          </cell>
        </row>
        <row r="610">
          <cell r="A610" t="str">
            <v>Europe</v>
          </cell>
          <cell r="BF610">
            <v>-0.2992700729927007</v>
          </cell>
          <cell r="BG610">
            <v>0.2277227722772277</v>
          </cell>
          <cell r="BH610">
            <v>-7.5630252100840289E-2</v>
          </cell>
          <cell r="BI610">
            <v>0.35964912280701755</v>
          </cell>
          <cell r="BJ610">
            <v>6.5340909090909172E-2</v>
          </cell>
          <cell r="BK610">
            <v>-0.10443037974683544</v>
          </cell>
          <cell r="BL610">
            <v>-1.4970059880239472E-2</v>
          </cell>
          <cell r="BM610">
            <v>0.20833333333333326</v>
          </cell>
          <cell r="BN610">
            <v>0.22580645161290325</v>
          </cell>
          <cell r="BO610">
            <v>0.21818181818181825</v>
          </cell>
          <cell r="BP610">
            <v>0.14838709677419359</v>
          </cell>
          <cell r="BQ610">
            <v>0.18933333333333335</v>
          </cell>
          <cell r="BR610">
            <v>-0.26501766784452296</v>
          </cell>
          <cell r="BS610">
            <v>-6.0790273556230456E-3</v>
          </cell>
        </row>
        <row r="611">
          <cell r="A611" t="str">
            <v>US</v>
          </cell>
          <cell r="BF611">
            <v>-8.5714285714285743E-2</v>
          </cell>
          <cell r="BG611">
            <v>0.2265625</v>
          </cell>
          <cell r="BH611">
            <v>8.5836909871244593E-2</v>
          </cell>
          <cell r="BI611">
            <v>-7.3846153846153895E-2</v>
          </cell>
          <cell r="BJ611">
            <v>-7.1684587813619638E-3</v>
          </cell>
          <cell r="BK611">
            <v>7.2625698324022325E-2</v>
          </cell>
          <cell r="BL611">
            <v>1.2211668928086894E-2</v>
          </cell>
          <cell r="BM611">
            <v>0.25</v>
          </cell>
          <cell r="BN611">
            <v>-8.9171974522292974E-2</v>
          </cell>
          <cell r="BO611">
            <v>3.9525691699604737E-2</v>
          </cell>
          <cell r="BP611">
            <v>1.9933554817275656E-2</v>
          </cell>
          <cell r="BQ611">
            <v>2.8880866425992746E-2</v>
          </cell>
          <cell r="BR611">
            <v>0.30729166666666674</v>
          </cell>
          <cell r="BS611">
            <v>0.10053619302949057</v>
          </cell>
        </row>
        <row r="612">
          <cell r="A612" t="str">
            <v>Asia/Africa/Australasia</v>
          </cell>
          <cell r="BF612">
            <v>-0.19696969696969702</v>
          </cell>
          <cell r="BG612">
            <v>0</v>
          </cell>
          <cell r="BH612">
            <v>-0.11926605504587151</v>
          </cell>
          <cell r="BI612">
            <v>-0.40506329113924056</v>
          </cell>
          <cell r="BJ612">
            <v>-0.28838951310861427</v>
          </cell>
          <cell r="BK612">
            <v>-0.21698113207547165</v>
          </cell>
          <cell r="BL612">
            <v>-0.26809651474530827</v>
          </cell>
          <cell r="BM612">
            <v>0.16981132075471694</v>
          </cell>
          <cell r="BN612">
            <v>0.69767441860465107</v>
          </cell>
          <cell r="BO612">
            <v>0.40625</v>
          </cell>
          <cell r="BP612">
            <v>-0.24468085106382975</v>
          </cell>
          <cell r="BQ612">
            <v>8.4210526315789513E-2</v>
          </cell>
          <cell r="BR612">
            <v>0.46987951807228923</v>
          </cell>
          <cell r="BS612">
            <v>0.20146520146520142</v>
          </cell>
        </row>
        <row r="613">
          <cell r="A613" t="str">
            <v>Canada &amp; Latin America</v>
          </cell>
          <cell r="BF613">
            <v>-0.1428571428571429</v>
          </cell>
          <cell r="BG613">
            <v>-7.407407407407407E-2</v>
          </cell>
          <cell r="BH613">
            <v>-0.12222222222222223</v>
          </cell>
          <cell r="BI613">
            <v>-0.44827586206896552</v>
          </cell>
          <cell r="BJ613">
            <v>-0.25</v>
          </cell>
          <cell r="BK613">
            <v>0</v>
          </cell>
          <cell r="BL613">
            <v>-0.16972477064220182</v>
          </cell>
          <cell r="BM613">
            <v>-0.46296296296296291</v>
          </cell>
          <cell r="BN613">
            <v>0.72</v>
          </cell>
          <cell r="BO613">
            <v>-8.8607594936708889E-2</v>
          </cell>
          <cell r="BP613">
            <v>0.1875</v>
          </cell>
          <cell r="BQ613">
            <v>-9.009009009009028E-3</v>
          </cell>
          <cell r="BR613">
            <v>5.7142857142857162E-2</v>
          </cell>
          <cell r="BS613">
            <v>1.6574585635359185E-2</v>
          </cell>
        </row>
        <row r="614">
          <cell r="A614" t="str">
            <v>Total</v>
          </cell>
          <cell r="BF614">
            <v>-0.19407008086253374</v>
          </cell>
          <cell r="BG614">
            <v>0.16722408026755864</v>
          </cell>
          <cell r="BH614">
            <v>-3.2835820895522394E-2</v>
          </cell>
          <cell r="BI614">
            <v>-0.11145038167938937</v>
          </cell>
          <cell r="BJ614">
            <v>-7.1698113207547154E-2</v>
          </cell>
          <cell r="BK614">
            <v>-6.4083457526080467E-2</v>
          </cell>
          <cell r="BL614">
            <v>-6.9138276553106226E-2</v>
          </cell>
          <cell r="BM614">
            <v>9.3645484949832714E-2</v>
          </cell>
          <cell r="BN614">
            <v>0.17765042979942702</v>
          </cell>
          <cell r="BO614">
            <v>0.13888888888888884</v>
          </cell>
          <cell r="BP614">
            <v>2.0618556701030855E-2</v>
          </cell>
          <cell r="BQ614">
            <v>8.2926829268292757E-2</v>
          </cell>
          <cell r="BR614">
            <v>4.2993630573248343E-2</v>
          </cell>
          <cell r="BS614">
            <v>6.9429494079655596E-2</v>
          </cell>
        </row>
        <row r="615">
          <cell r="A615" t="str">
            <v xml:space="preserve"> Of which in EM</v>
          </cell>
          <cell r="BF615">
            <v>-0.19918699186991873</v>
          </cell>
          <cell r="BG615">
            <v>0.24122807017543857</v>
          </cell>
          <cell r="BH615">
            <v>1.2658227848101333E-2</v>
          </cell>
          <cell r="BI615">
            <v>-0.1399253731343284</v>
          </cell>
          <cell r="BJ615">
            <v>-6.8316831683168266E-2</v>
          </cell>
          <cell r="BK615">
            <v>-1.7928286852589626E-2</v>
          </cell>
          <cell r="BL615">
            <v>-5.1587301587301626E-2</v>
          </cell>
          <cell r="BM615">
            <v>0.218274111675127</v>
          </cell>
          <cell r="BN615">
            <v>6.0070671378091856E-2</v>
          </cell>
          <cell r="BO615">
            <v>0.125</v>
          </cell>
          <cell r="BP615">
            <v>7.8091106290672396E-2</v>
          </cell>
          <cell r="BQ615">
            <v>0.10201912858660989</v>
          </cell>
          <cell r="BR615">
            <v>-3.6511156186612603E-2</v>
          </cell>
          <cell r="BS615">
            <v>5.439330543933063E-2</v>
          </cell>
        </row>
        <row r="616">
          <cell r="A616" t="str">
            <v>Of which in EM growth markets</v>
          </cell>
          <cell r="BF616">
            <v>-0.18400000000000005</v>
          </cell>
          <cell r="BG616">
            <v>-7.0422535211267623E-2</v>
          </cell>
          <cell r="BH616">
            <v>-0.1428571428571429</v>
          </cell>
          <cell r="BI616">
            <v>1.6806722689075571E-2</v>
          </cell>
          <cell r="BJ616">
            <v>-8.253968253968258E-2</v>
          </cell>
          <cell r="BK616">
            <v>-0.20118343195266275</v>
          </cell>
          <cell r="BL616">
            <v>-0.12396694214876036</v>
          </cell>
          <cell r="BM616">
            <v>-0.1470588235294118</v>
          </cell>
          <cell r="BN616">
            <v>0.68181818181818188</v>
          </cell>
          <cell r="BO616">
            <v>0.1785714285714286</v>
          </cell>
          <cell r="BP616">
            <v>-0.19834710743801653</v>
          </cell>
          <cell r="BQ616">
            <v>2.076124567474058E-2</v>
          </cell>
          <cell r="BR616">
            <v>0.33333333333333326</v>
          </cell>
          <cell r="BS616">
            <v>0.12028301886792447</v>
          </cell>
        </row>
        <row r="619">
          <cell r="A619" t="str">
            <v>Sandoz</v>
          </cell>
        </row>
        <row r="621">
          <cell r="A621" t="str">
            <v xml:space="preserve">   Biosimilars </v>
          </cell>
          <cell r="AY621">
            <v>51.677852348993291</v>
          </cell>
          <cell r="AZ621">
            <v>65.625</v>
          </cell>
          <cell r="BA621">
            <v>117.3028523489933</v>
          </cell>
          <cell r="BB621">
            <v>45</v>
          </cell>
          <cell r="BC621">
            <v>162.3028523489933</v>
          </cell>
          <cell r="BD621">
            <v>77</v>
          </cell>
          <cell r="BE621">
            <v>239.3028523489933</v>
          </cell>
          <cell r="BF621">
            <v>77</v>
          </cell>
          <cell r="BG621">
            <v>84</v>
          </cell>
          <cell r="BH621">
            <v>161</v>
          </cell>
          <cell r="BI621">
            <v>82</v>
          </cell>
          <cell r="BJ621">
            <v>243</v>
          </cell>
          <cell r="BK621">
            <v>92</v>
          </cell>
          <cell r="BL621">
            <v>335</v>
          </cell>
          <cell r="BM621">
            <v>94</v>
          </cell>
          <cell r="BN621">
            <v>101</v>
          </cell>
          <cell r="BO621">
            <v>195</v>
          </cell>
          <cell r="BP621">
            <v>106</v>
          </cell>
          <cell r="BQ621">
            <v>301</v>
          </cell>
          <cell r="BR621">
            <v>119</v>
          </cell>
          <cell r="BS621">
            <v>420</v>
          </cell>
        </row>
        <row r="622">
          <cell r="BF622">
            <v>0.49</v>
          </cell>
          <cell r="BG622">
            <v>0.28000000000000003</v>
          </cell>
          <cell r="BH622">
            <v>0.37251564455569453</v>
          </cell>
          <cell r="BI622">
            <v>0.82222222222222219</v>
          </cell>
          <cell r="BJ622">
            <v>0.49720104411650667</v>
          </cell>
          <cell r="BK622">
            <v>0.19480519480519476</v>
          </cell>
          <cell r="BL622">
            <v>0.39989973672125045</v>
          </cell>
          <cell r="BM622">
            <v>0.22077922077922074</v>
          </cell>
          <cell r="BN622">
            <v>0.20238095238095233</v>
          </cell>
          <cell r="BO622">
            <v>0.21118012422360244</v>
          </cell>
          <cell r="BP622">
            <v>0.29268292682926833</v>
          </cell>
          <cell r="BR622">
            <v>0.26</v>
          </cell>
          <cell r="BS622">
            <v>0.23</v>
          </cell>
        </row>
        <row r="623">
          <cell r="A623" t="str">
            <v>Sandoz (US)</v>
          </cell>
          <cell r="H623">
            <v>981</v>
          </cell>
          <cell r="O623">
            <v>1282</v>
          </cell>
          <cell r="P623">
            <v>371</v>
          </cell>
          <cell r="Q623">
            <v>378</v>
          </cell>
          <cell r="R623">
            <v>749</v>
          </cell>
          <cell r="S623">
            <v>377</v>
          </cell>
          <cell r="T623">
            <v>1126</v>
          </cell>
          <cell r="U623">
            <v>422</v>
          </cell>
          <cell r="V623">
            <v>1548</v>
          </cell>
          <cell r="W623">
            <v>474</v>
          </cell>
          <cell r="X623">
            <v>479</v>
          </cell>
          <cell r="Y623">
            <v>953</v>
          </cell>
          <cell r="Z623">
            <v>504</v>
          </cell>
          <cell r="AA623">
            <v>1457</v>
          </cell>
          <cell r="AB623">
            <v>502</v>
          </cell>
          <cell r="AC623">
            <v>1959</v>
          </cell>
          <cell r="AD623">
            <v>468</v>
          </cell>
          <cell r="AE623">
            <v>430</v>
          </cell>
          <cell r="AF623">
            <v>898</v>
          </cell>
          <cell r="AG623">
            <v>428</v>
          </cell>
          <cell r="AH623">
            <v>1326</v>
          </cell>
          <cell r="AI623">
            <v>439</v>
          </cell>
          <cell r="AJ623">
            <v>1765</v>
          </cell>
          <cell r="AK623">
            <v>447</v>
          </cell>
          <cell r="AL623">
            <v>433</v>
          </cell>
          <cell r="AM623">
            <v>880</v>
          </cell>
          <cell r="AN623">
            <v>431</v>
          </cell>
          <cell r="AO623">
            <v>1311</v>
          </cell>
          <cell r="AP623">
            <v>536</v>
          </cell>
          <cell r="AQ623">
            <v>1847</v>
          </cell>
          <cell r="AR623">
            <v>517</v>
          </cell>
          <cell r="AS623">
            <v>594</v>
          </cell>
          <cell r="AT623">
            <v>1111</v>
          </cell>
          <cell r="AU623">
            <v>789</v>
          </cell>
          <cell r="AV623">
            <v>1900</v>
          </cell>
          <cell r="AW623">
            <v>804</v>
          </cell>
          <cell r="AX623">
            <v>2704</v>
          </cell>
          <cell r="AY623">
            <v>845</v>
          </cell>
          <cell r="AZ623">
            <v>883</v>
          </cell>
          <cell r="BA623">
            <v>1728</v>
          </cell>
          <cell r="BB623">
            <v>801</v>
          </cell>
          <cell r="BC623">
            <v>2529</v>
          </cell>
          <cell r="BD623">
            <v>771</v>
          </cell>
          <cell r="BE623">
            <v>3300</v>
          </cell>
          <cell r="BF623">
            <v>672</v>
          </cell>
          <cell r="BG623">
            <v>676</v>
          </cell>
          <cell r="BH623">
            <v>1348</v>
          </cell>
          <cell r="BI623">
            <v>628</v>
          </cell>
          <cell r="BJ623">
            <v>1976</v>
          </cell>
          <cell r="BK623">
            <v>757</v>
          </cell>
          <cell r="BL623">
            <v>2733</v>
          </cell>
          <cell r="BM623">
            <v>664</v>
          </cell>
          <cell r="BN623">
            <v>628</v>
          </cell>
          <cell r="BO623">
            <v>1292</v>
          </cell>
          <cell r="BP623">
            <v>665</v>
          </cell>
          <cell r="BQ623">
            <v>1957</v>
          </cell>
          <cell r="BR623">
            <v>737</v>
          </cell>
          <cell r="BS623">
            <v>2694</v>
          </cell>
          <cell r="BT623">
            <v>703.84</v>
          </cell>
          <cell r="BU623">
            <v>665.68000000000006</v>
          </cell>
          <cell r="BV623">
            <v>1369.52</v>
          </cell>
          <cell r="BW623">
            <v>704.90000000000009</v>
          </cell>
          <cell r="BX623">
            <v>2074.42</v>
          </cell>
          <cell r="BY623">
            <v>754.2800000000002</v>
          </cell>
          <cell r="BZ623">
            <v>2828.7000000000003</v>
          </cell>
          <cell r="CA623">
            <v>2970.1350000000002</v>
          </cell>
          <cell r="CB623">
            <v>3118.6417500000002</v>
          </cell>
          <cell r="CC623">
            <v>3274.5738375000005</v>
          </cell>
          <cell r="CD623">
            <v>3471.0482677500008</v>
          </cell>
          <cell r="CE623">
            <v>3679.3111638150012</v>
          </cell>
          <cell r="CF623">
            <v>3900.0698336439013</v>
          </cell>
          <cell r="CG623">
            <v>4134.0740236625352</v>
          </cell>
          <cell r="CH623">
            <v>4382.1184650822879</v>
          </cell>
          <cell r="CI623">
            <v>4645.0455729872256</v>
          </cell>
          <cell r="CJ623">
            <v>4877.2978516365874</v>
          </cell>
        </row>
        <row r="624">
          <cell r="A624" t="str">
            <v xml:space="preserve">   growth %</v>
          </cell>
          <cell r="O624">
            <v>0.30682976554536179</v>
          </cell>
          <cell r="V624">
            <v>0.20748829953198134</v>
          </cell>
          <cell r="W624">
            <v>0.27762803234501354</v>
          </cell>
          <cell r="X624">
            <v>0.26719576719576721</v>
          </cell>
          <cell r="Y624">
            <v>0.2723631508678237</v>
          </cell>
          <cell r="Z624">
            <v>0.33687002652519893</v>
          </cell>
          <cell r="AA624">
            <v>0.29396092362344572</v>
          </cell>
          <cell r="AB624">
            <v>0.18957345971563977</v>
          </cell>
          <cell r="AC624">
            <v>0.26550387596899228</v>
          </cell>
          <cell r="AD624">
            <v>-1.2658227848101222E-2</v>
          </cell>
          <cell r="AE624">
            <v>-0.10229645093945716</v>
          </cell>
          <cell r="AF624">
            <v>-5.7712486883525704E-2</v>
          </cell>
          <cell r="AG624">
            <v>-0.15079365079365081</v>
          </cell>
          <cell r="AH624">
            <v>-8.9910775566231949E-2</v>
          </cell>
          <cell r="AI624">
            <v>-0.12549800796812749</v>
          </cell>
          <cell r="AJ624">
            <v>-9.9030117406840201E-2</v>
          </cell>
          <cell r="AK624">
            <v>-4.4871794871794823E-2</v>
          </cell>
          <cell r="AL624">
            <v>6.9767441860464352E-3</v>
          </cell>
          <cell r="AM624">
            <v>-2.0044543429844075E-2</v>
          </cell>
          <cell r="AN624">
            <v>7.0093457943924964E-3</v>
          </cell>
          <cell r="AO624">
            <v>-1.1312217194570096E-2</v>
          </cell>
          <cell r="AP624">
            <v>0.22095671981776754</v>
          </cell>
          <cell r="AQ624">
            <v>4.6458923512747941E-2</v>
          </cell>
          <cell r="AR624">
            <v>0.15659955257270686</v>
          </cell>
          <cell r="AS624">
            <v>0.37182448036951499</v>
          </cell>
          <cell r="AT624">
            <v>0.26249999999999996</v>
          </cell>
          <cell r="AU624">
            <v>0.83062645011600922</v>
          </cell>
          <cell r="AV624">
            <v>0.44927536231884058</v>
          </cell>
          <cell r="AW624">
            <v>0.5</v>
          </cell>
          <cell r="AX624">
            <v>0.46399566865186781</v>
          </cell>
          <cell r="AY624">
            <v>0.63442940038684714</v>
          </cell>
          <cell r="AZ624">
            <v>0.48653198653198659</v>
          </cell>
          <cell r="BA624">
            <v>0.55535553555355532</v>
          </cell>
          <cell r="BB624">
            <v>1.5209125475285079E-2</v>
          </cell>
          <cell r="BC624">
            <v>0.33105263157894727</v>
          </cell>
          <cell r="BD624">
            <v>-4.1044776119402937E-2</v>
          </cell>
          <cell r="BE624">
            <v>0.22041420118343202</v>
          </cell>
          <cell r="BF624">
            <v>-0.20473372781065091</v>
          </cell>
          <cell r="BG624">
            <v>-0.23442808607021515</v>
          </cell>
          <cell r="BH624">
            <v>-0.21990740740740744</v>
          </cell>
          <cell r="BI624">
            <v>-0.21598002496878899</v>
          </cell>
          <cell r="BJ624">
            <v>-0.21866350336101226</v>
          </cell>
          <cell r="BK624">
            <v>-1.8158236057068788E-2</v>
          </cell>
          <cell r="BL624">
            <v>-0.17181818181818187</v>
          </cell>
          <cell r="BM624">
            <v>-1.1904761904761862E-2</v>
          </cell>
          <cell r="BN624">
            <v>0</v>
          </cell>
          <cell r="BO624">
            <v>-4.1543026706231445E-2</v>
          </cell>
          <cell r="BP624">
            <v>0.05</v>
          </cell>
          <cell r="BQ624">
            <v>-9.6153846153845812E-3</v>
          </cell>
          <cell r="BR624">
            <v>-2.6420079260237816E-2</v>
          </cell>
          <cell r="BS624">
            <v>-1.4270032930845278E-2</v>
          </cell>
          <cell r="BT624">
            <v>0.06</v>
          </cell>
          <cell r="BU624">
            <v>0.06</v>
          </cell>
          <cell r="BV624">
            <v>6.0000000000000053E-2</v>
          </cell>
          <cell r="BW624">
            <v>0.06</v>
          </cell>
          <cell r="BX624">
            <v>6.0000000000000053E-2</v>
          </cell>
          <cell r="BY624">
            <v>2.3446404341926907E-2</v>
          </cell>
          <cell r="BZ624">
            <v>0.05</v>
          </cell>
          <cell r="CA624">
            <v>0.05</v>
          </cell>
          <cell r="CB624">
            <v>0.05</v>
          </cell>
          <cell r="CC624">
            <v>0.05</v>
          </cell>
          <cell r="CD624">
            <v>0.06</v>
          </cell>
          <cell r="CE624">
            <v>0.06</v>
          </cell>
          <cell r="CF624">
            <v>0.06</v>
          </cell>
          <cell r="CG624">
            <v>0.06</v>
          </cell>
          <cell r="CH624">
            <v>0.06</v>
          </cell>
          <cell r="CI624">
            <v>0.06</v>
          </cell>
          <cell r="CJ624">
            <v>0.05</v>
          </cell>
        </row>
        <row r="625">
          <cell r="A625" t="str">
            <v>Sandoz (ROW)</v>
          </cell>
          <cell r="H625">
            <v>2064</v>
          </cell>
          <cell r="O625">
            <v>3412</v>
          </cell>
          <cell r="P625">
            <v>1060</v>
          </cell>
          <cell r="Q625">
            <v>1072</v>
          </cell>
          <cell r="R625">
            <v>2132</v>
          </cell>
          <cell r="S625">
            <v>1048</v>
          </cell>
          <cell r="T625">
            <v>3180</v>
          </cell>
          <cell r="U625">
            <v>1231</v>
          </cell>
          <cell r="V625">
            <v>4411</v>
          </cell>
          <cell r="W625">
            <v>1222</v>
          </cell>
          <cell r="X625">
            <v>1240</v>
          </cell>
          <cell r="Y625">
            <v>2462</v>
          </cell>
          <cell r="Z625">
            <v>1279</v>
          </cell>
          <cell r="AA625">
            <v>3741</v>
          </cell>
          <cell r="AB625">
            <v>1469</v>
          </cell>
          <cell r="AC625">
            <v>5210</v>
          </cell>
          <cell r="AD625">
            <v>1438</v>
          </cell>
          <cell r="AE625">
            <v>1518</v>
          </cell>
          <cell r="AF625">
            <v>2956</v>
          </cell>
          <cell r="AG625">
            <v>1471</v>
          </cell>
          <cell r="AH625">
            <v>4427</v>
          </cell>
          <cell r="AI625">
            <v>1365</v>
          </cell>
          <cell r="AJ625">
            <v>5792</v>
          </cell>
          <cell r="AK625">
            <v>1279</v>
          </cell>
          <cell r="AL625">
            <v>1341</v>
          </cell>
          <cell r="AM625">
            <v>2620</v>
          </cell>
          <cell r="AN625">
            <v>1419</v>
          </cell>
          <cell r="AO625">
            <v>4039</v>
          </cell>
          <cell r="AP625">
            <v>1607</v>
          </cell>
          <cell r="AQ625">
            <v>5646</v>
          </cell>
          <cell r="AR625">
            <v>1484</v>
          </cell>
          <cell r="AS625">
            <v>1379</v>
          </cell>
          <cell r="AT625">
            <v>2863</v>
          </cell>
          <cell r="AU625">
            <v>1409</v>
          </cell>
          <cell r="AV625">
            <v>4272</v>
          </cell>
          <cell r="AW625">
            <v>1616</v>
          </cell>
          <cell r="AX625">
            <v>5888</v>
          </cell>
          <cell r="AY625">
            <v>1528</v>
          </cell>
          <cell r="AZ625">
            <v>1583</v>
          </cell>
          <cell r="BA625">
            <v>3111</v>
          </cell>
          <cell r="BB625">
            <v>1539</v>
          </cell>
          <cell r="BC625">
            <v>4650</v>
          </cell>
          <cell r="BD625">
            <v>1523</v>
          </cell>
          <cell r="BE625">
            <v>6173</v>
          </cell>
          <cell r="BF625">
            <v>1452</v>
          </cell>
          <cell r="BG625">
            <v>1471</v>
          </cell>
          <cell r="BH625">
            <v>2923</v>
          </cell>
          <cell r="BI625">
            <v>1416</v>
          </cell>
          <cell r="BJ625">
            <v>4339</v>
          </cell>
          <cell r="BK625">
            <v>1630</v>
          </cell>
          <cell r="BL625">
            <v>5969</v>
          </cell>
          <cell r="BM625">
            <v>1595</v>
          </cell>
          <cell r="BN625">
            <v>1588</v>
          </cell>
          <cell r="BO625">
            <v>3183</v>
          </cell>
          <cell r="BP625">
            <v>1608</v>
          </cell>
          <cell r="BQ625">
            <v>4791</v>
          </cell>
          <cell r="BR625">
            <v>1674</v>
          </cell>
          <cell r="BS625">
            <v>6465</v>
          </cell>
          <cell r="BT625">
            <v>1653.4319436302376</v>
          </cell>
          <cell r="BU625">
            <v>1693.9194743429389</v>
          </cell>
          <cell r="BV625">
            <v>3347.3514179731765</v>
          </cell>
          <cell r="BW625">
            <v>1700.9403501047025</v>
          </cell>
          <cell r="BX625">
            <v>5048.2917680778792</v>
          </cell>
          <cell r="BY625">
            <v>1744.9226150269078</v>
          </cell>
          <cell r="BZ625">
            <v>6793.214383104787</v>
          </cell>
          <cell r="CA625">
            <v>7132.8751022600263</v>
          </cell>
          <cell r="CB625">
            <v>7489.5188573730284</v>
          </cell>
          <cell r="CC625">
            <v>7863.9948002416804</v>
          </cell>
          <cell r="CD625">
            <v>8257.194540253764</v>
          </cell>
          <cell r="CE625">
            <v>8670.0542672664524</v>
          </cell>
          <cell r="CF625">
            <v>9103.5569806297754</v>
          </cell>
          <cell r="CG625">
            <v>9558.7348296612654</v>
          </cell>
          <cell r="CH625">
            <v>10036.671571144328</v>
          </cell>
          <cell r="CI625">
            <v>10538.505149701545</v>
          </cell>
          <cell r="CJ625">
            <v>11065.430407186623</v>
          </cell>
        </row>
        <row r="626">
          <cell r="A626" t="str">
            <v xml:space="preserve">   growth CER</v>
          </cell>
          <cell r="X626">
            <v>0.10148260293095701</v>
          </cell>
          <cell r="Y626">
            <v>8.887272244511335E-2</v>
          </cell>
          <cell r="Z626">
            <v>0.15584955647103005</v>
          </cell>
          <cell r="AA626">
            <v>0.11095065225056411</v>
          </cell>
          <cell r="AB626">
            <v>8.3644180945003921E-2</v>
          </cell>
          <cell r="AC626">
            <v>0.10461609035439712</v>
          </cell>
          <cell r="AD626">
            <v>3.2351788353136568E-2</v>
          </cell>
          <cell r="AE626">
            <v>5.9461953518193722E-2</v>
          </cell>
          <cell r="AF626">
            <v>4.608026948898214E-2</v>
          </cell>
          <cell r="AG626">
            <v>5.2701968662777432E-2</v>
          </cell>
          <cell r="AH626">
            <v>5.7380970004085929E-2</v>
          </cell>
          <cell r="AI626">
            <v>-1.1110009954648503E-2</v>
          </cell>
          <cell r="AJ626">
            <v>2.6865792601069582E-2</v>
          </cell>
          <cell r="AK626">
            <v>-5.8271564729366343E-3</v>
          </cell>
          <cell r="AL626">
            <v>-8.3395069607989925E-3</v>
          </cell>
          <cell r="AM626">
            <v>-0.11366711772665761</v>
          </cell>
          <cell r="AN626">
            <v>-3.5350101971447945E-2</v>
          </cell>
          <cell r="AO626">
            <v>-8.7644002710639213E-2</v>
          </cell>
          <cell r="AP626">
            <v>0.17728937728937733</v>
          </cell>
          <cell r="AQ626">
            <v>-2.5207182320441945E-2</v>
          </cell>
          <cell r="AR626">
            <v>0.16028146989835812</v>
          </cell>
          <cell r="AS626">
            <v>2.8337061894108784E-2</v>
          </cell>
          <cell r="AT626">
            <v>9.2748091603053417E-2</v>
          </cell>
          <cell r="AU626">
            <v>-7.0472163495419737E-3</v>
          </cell>
          <cell r="AV626">
            <v>5.768754642238183E-2</v>
          </cell>
          <cell r="AW626">
            <v>5.6004978220285384E-3</v>
          </cell>
          <cell r="AX626">
            <v>4.286220332979096E-2</v>
          </cell>
          <cell r="AY626">
            <v>2.9649595687331498E-2</v>
          </cell>
          <cell r="AZ626">
            <v>0.14793328498912262</v>
          </cell>
          <cell r="BA626">
            <v>8.6622424030736944E-2</v>
          </cell>
          <cell r="BB626">
            <v>9.2264017033357071E-2</v>
          </cell>
          <cell r="BC626">
            <v>8.8483146067415808E-2</v>
          </cell>
          <cell r="BD626">
            <v>-5.7549504950495045E-2</v>
          </cell>
          <cell r="BE626">
            <v>4.8403532608695565E-2</v>
          </cell>
          <cell r="BF626">
            <v>-4.9738219895287927E-2</v>
          </cell>
          <cell r="BG626">
            <v>-7.0751737207833232E-2</v>
          </cell>
          <cell r="BH626">
            <v>-6.0430729668916716E-2</v>
          </cell>
          <cell r="BI626">
            <v>-7.9922027290448394E-2</v>
          </cell>
          <cell r="BJ626">
            <v>-6.6881720430107539E-2</v>
          </cell>
          <cell r="BK626">
            <v>7.0256073539067598E-2</v>
          </cell>
          <cell r="BL626">
            <v>-3.30471407743399E-2</v>
          </cell>
          <cell r="BM626">
            <v>9.8484848484848397E-2</v>
          </cell>
          <cell r="BN626">
            <v>0.04</v>
          </cell>
          <cell r="BO626">
            <v>8.8949709202873706E-2</v>
          </cell>
          <cell r="BP626">
            <v>0.05</v>
          </cell>
          <cell r="BQ626">
            <v>0.10417146808020283</v>
          </cell>
          <cell r="BR626">
            <v>0</v>
          </cell>
          <cell r="BS626">
            <v>8.3095995979225901E-2</v>
          </cell>
          <cell r="BT626">
            <v>0.05</v>
          </cell>
          <cell r="BU626">
            <v>0.05</v>
          </cell>
          <cell r="BV626">
            <v>5.1634124402506032E-2</v>
          </cell>
          <cell r="BW626">
            <v>0.05</v>
          </cell>
          <cell r="BX626">
            <v>5.3703145079916359E-2</v>
          </cell>
          <cell r="BY626">
            <v>3.5558886584379445E-2</v>
          </cell>
          <cell r="BZ626">
            <v>0.05</v>
          </cell>
          <cell r="CA626">
            <v>0.05</v>
          </cell>
          <cell r="CB626">
            <v>0.05</v>
          </cell>
          <cell r="CC626">
            <v>0.05</v>
          </cell>
          <cell r="CD626">
            <v>0.05</v>
          </cell>
          <cell r="CE626">
            <v>0.05</v>
          </cell>
          <cell r="CF626">
            <v>0.05</v>
          </cell>
          <cell r="CG626">
            <v>0.05</v>
          </cell>
          <cell r="CH626">
            <v>0.05</v>
          </cell>
          <cell r="CI626">
            <v>0.05</v>
          </cell>
          <cell r="CJ626">
            <v>0.05</v>
          </cell>
        </row>
        <row r="627">
          <cell r="A627" t="str">
            <v>Sandoz</v>
          </cell>
          <cell r="B627">
            <v>719</v>
          </cell>
          <cell r="C627">
            <v>737</v>
          </cell>
          <cell r="D627">
            <v>1456</v>
          </cell>
          <cell r="E627">
            <v>722</v>
          </cell>
          <cell r="F627">
            <v>2178</v>
          </cell>
          <cell r="G627">
            <v>867</v>
          </cell>
          <cell r="H627">
            <v>3045</v>
          </cell>
          <cell r="I627">
            <v>803</v>
          </cell>
          <cell r="J627">
            <v>832</v>
          </cell>
          <cell r="K627">
            <v>1635</v>
          </cell>
          <cell r="L627">
            <v>1486</v>
          </cell>
          <cell r="M627">
            <v>3121</v>
          </cell>
          <cell r="N627">
            <v>1573</v>
          </cell>
          <cell r="O627">
            <v>4694</v>
          </cell>
          <cell r="P627">
            <v>1431</v>
          </cell>
          <cell r="Q627">
            <v>1450</v>
          </cell>
          <cell r="R627">
            <v>2881</v>
          </cell>
          <cell r="S627">
            <v>1425</v>
          </cell>
          <cell r="T627">
            <v>4306</v>
          </cell>
          <cell r="U627">
            <v>1653</v>
          </cell>
          <cell r="V627">
            <v>5959</v>
          </cell>
          <cell r="W627">
            <v>1696</v>
          </cell>
          <cell r="X627">
            <v>1719</v>
          </cell>
          <cell r="Y627">
            <v>3415</v>
          </cell>
          <cell r="Z627">
            <v>1783</v>
          </cell>
          <cell r="AA627">
            <v>5198</v>
          </cell>
          <cell r="AB627">
            <v>1971</v>
          </cell>
          <cell r="AC627">
            <v>7169</v>
          </cell>
          <cell r="AD627">
            <v>1906</v>
          </cell>
          <cell r="AE627">
            <v>1948</v>
          </cell>
          <cell r="AF627">
            <v>3854</v>
          </cell>
          <cell r="AG627">
            <v>1899</v>
          </cell>
          <cell r="AH627">
            <v>5753</v>
          </cell>
          <cell r="AI627">
            <v>1804</v>
          </cell>
          <cell r="AJ627">
            <v>7557</v>
          </cell>
          <cell r="AK627">
            <v>1726</v>
          </cell>
          <cell r="AL627">
            <v>1774</v>
          </cell>
          <cell r="AM627">
            <v>3500</v>
          </cell>
          <cell r="AN627">
            <v>1850</v>
          </cell>
          <cell r="AO627">
            <v>5350</v>
          </cell>
          <cell r="AP627">
            <v>2143</v>
          </cell>
          <cell r="AQ627">
            <v>7493</v>
          </cell>
          <cell r="AR627">
            <v>2001</v>
          </cell>
          <cell r="AS627">
            <v>1973</v>
          </cell>
          <cell r="AT627">
            <v>3974</v>
          </cell>
          <cell r="AU627">
            <v>2198</v>
          </cell>
          <cell r="AV627">
            <v>6172</v>
          </cell>
          <cell r="AW627">
            <v>2420</v>
          </cell>
          <cell r="AX627">
            <v>8592</v>
          </cell>
          <cell r="AY627">
            <v>2373</v>
          </cell>
          <cell r="AZ627">
            <v>2466</v>
          </cell>
          <cell r="BA627">
            <v>4839</v>
          </cell>
          <cell r="BB627">
            <v>2340</v>
          </cell>
          <cell r="BC627">
            <v>7179</v>
          </cell>
          <cell r="BD627">
            <v>2294</v>
          </cell>
          <cell r="BE627">
            <v>9473</v>
          </cell>
          <cell r="BF627">
            <v>2124</v>
          </cell>
          <cell r="BG627">
            <v>2147</v>
          </cell>
          <cell r="BH627">
            <v>4271</v>
          </cell>
          <cell r="BI627">
            <v>2044</v>
          </cell>
          <cell r="BJ627">
            <v>6315</v>
          </cell>
          <cell r="BK627">
            <v>2387</v>
          </cell>
          <cell r="BL627">
            <v>8702</v>
          </cell>
          <cell r="BM627">
            <v>2259</v>
          </cell>
          <cell r="BN627">
            <v>2216</v>
          </cell>
          <cell r="BO627">
            <v>4475</v>
          </cell>
          <cell r="BP627">
            <v>2273</v>
          </cell>
          <cell r="BQ627">
            <v>6748</v>
          </cell>
          <cell r="BR627">
            <v>2411</v>
          </cell>
          <cell r="BS627">
            <v>9159</v>
          </cell>
          <cell r="BT627">
            <v>2357.2719436302377</v>
          </cell>
          <cell r="BU627">
            <v>2359.5994743429392</v>
          </cell>
          <cell r="BV627">
            <v>4716.871417973176</v>
          </cell>
          <cell r="BW627">
            <v>2405.8403501047023</v>
          </cell>
          <cell r="BX627">
            <v>7122.7117680778792</v>
          </cell>
          <cell r="BY627">
            <v>2499.202615026908</v>
          </cell>
          <cell r="BZ627">
            <v>9621.9143831047877</v>
          </cell>
          <cell r="CA627">
            <v>10103.010102260027</v>
          </cell>
          <cell r="CB627">
            <v>10608.160607373029</v>
          </cell>
          <cell r="CC627">
            <v>11138.568637741681</v>
          </cell>
          <cell r="CD627">
            <v>11728.242808003764</v>
          </cell>
          <cell r="CE627">
            <v>12349.365431081453</v>
          </cell>
          <cell r="CF627">
            <v>13003.626814273677</v>
          </cell>
          <cell r="CG627">
            <v>13692.808853323801</v>
          </cell>
          <cell r="CH627">
            <v>14418.790036226615</v>
          </cell>
          <cell r="CI627">
            <v>15183.550722688771</v>
          </cell>
          <cell r="CJ627">
            <v>15942.72825882321</v>
          </cell>
          <cell r="CM627">
            <v>9.7320940404592673E-2</v>
          </cell>
          <cell r="CQ627">
            <v>0.11682892906815012</v>
          </cell>
          <cell r="CR627">
            <v>0.12890094979647215</v>
          </cell>
          <cell r="CS627">
            <v>0.15</v>
          </cell>
          <cell r="CT627">
            <v>0.1</v>
          </cell>
          <cell r="CU627">
            <v>0.54154351395730704</v>
          </cell>
          <cell r="CV627">
            <v>0.7820672478206725</v>
          </cell>
          <cell r="CW627">
            <v>0.74278846153846145</v>
          </cell>
          <cell r="CX627">
            <v>-4.1049798115746938E-2</v>
          </cell>
          <cell r="CY627">
            <v>0.15513626834381555</v>
          </cell>
          <cell r="CZ627">
            <v>0.26949296974861525</v>
          </cell>
          <cell r="DA627">
            <v>0.18518518518518512</v>
          </cell>
          <cell r="DB627">
            <v>0.18551724137931025</v>
          </cell>
          <cell r="DC627">
            <v>0.25122807017543858</v>
          </cell>
          <cell r="DD627">
            <v>0.08</v>
          </cell>
          <cell r="DE627">
            <v>0.20305420372545724</v>
          </cell>
          <cell r="DF627">
            <v>0.1</v>
          </cell>
          <cell r="DG627">
            <v>0.08</v>
          </cell>
          <cell r="DH627">
            <v>7.0000000000000007E-2</v>
          </cell>
          <cell r="DI627">
            <v>0.06</v>
          </cell>
          <cell r="DJ627">
            <v>0.05</v>
          </cell>
          <cell r="DK627">
            <v>0.04</v>
          </cell>
        </row>
        <row r="628">
          <cell r="A628" t="str">
            <v>Growth %</v>
          </cell>
          <cell r="I628">
            <v>0.11682892906815012</v>
          </cell>
          <cell r="J628">
            <v>0.12890094979647215</v>
          </cell>
          <cell r="K628">
            <v>0.12293956043956045</v>
          </cell>
          <cell r="L628">
            <v>1.0581717451523547</v>
          </cell>
          <cell r="M628">
            <v>0.43296602387511474</v>
          </cell>
          <cell r="N628">
            <v>0.81430219146482119</v>
          </cell>
          <cell r="O628">
            <v>0.54154351395730704</v>
          </cell>
          <cell r="P628">
            <v>0.7820672478206725</v>
          </cell>
          <cell r="Q628">
            <v>0.74278846153846145</v>
          </cell>
          <cell r="R628">
            <v>0.76207951070336399</v>
          </cell>
          <cell r="S628">
            <v>-4.1049798115746938E-2</v>
          </cell>
          <cell r="T628">
            <v>0.37968599807753933</v>
          </cell>
          <cell r="U628">
            <v>5.0858232676414428E-2</v>
          </cell>
          <cell r="V628">
            <v>0.26949296974861525</v>
          </cell>
          <cell r="W628">
            <v>0.18518518518518512</v>
          </cell>
          <cell r="X628">
            <v>0.18551724137931025</v>
          </cell>
          <cell r="Y628">
            <v>0.18535230822631021</v>
          </cell>
          <cell r="Z628">
            <v>0.25122807017543858</v>
          </cell>
          <cell r="AA628">
            <v>0.20715281003251285</v>
          </cell>
          <cell r="AB628">
            <v>0.19237749546279481</v>
          </cell>
          <cell r="AC628">
            <v>0.20305420372545724</v>
          </cell>
          <cell r="AD628">
            <v>0.12382075471698117</v>
          </cell>
          <cell r="AE628">
            <v>0.13321698662012804</v>
          </cell>
          <cell r="AF628">
            <v>0.12855051244509519</v>
          </cell>
          <cell r="AG628">
            <v>6.5058889512058293E-2</v>
          </cell>
          <cell r="AH628">
            <v>0.10677183532127743</v>
          </cell>
          <cell r="AI628">
            <v>-8.4728564180619026E-2</v>
          </cell>
          <cell r="AJ628">
            <v>5.4121913795508458E-2</v>
          </cell>
          <cell r="AK628">
            <v>-9.4438614900314799E-2</v>
          </cell>
          <cell r="AL628">
            <v>-8.9322381930184824E-2</v>
          </cell>
          <cell r="AM628">
            <v>-9.1852620653866124E-2</v>
          </cell>
          <cell r="AN628">
            <v>-2.5803054239073142E-2</v>
          </cell>
          <cell r="AO628">
            <v>-7.0050408482530857E-2</v>
          </cell>
          <cell r="AP628">
            <v>0.18791574279379164</v>
          </cell>
          <cell r="AQ628">
            <v>-8.4689691676591572E-3</v>
          </cell>
          <cell r="AR628">
            <v>0.15932792584009281</v>
          </cell>
          <cell r="AS628">
            <v>0.11217587373167981</v>
          </cell>
          <cell r="AT628">
            <v>0.13542857142857145</v>
          </cell>
          <cell r="AU628">
            <v>0.18810810810810819</v>
          </cell>
          <cell r="AV628">
            <v>0.15364485981308418</v>
          </cell>
          <cell r="AW628">
            <v>0.12925804946336905</v>
          </cell>
          <cell r="AX628">
            <v>0.14667022554384102</v>
          </cell>
          <cell r="AY628">
            <v>0.18590704647676159</v>
          </cell>
          <cell r="AZ628">
            <v>0.24987328940699438</v>
          </cell>
          <cell r="BA628">
            <v>0.21766482133870158</v>
          </cell>
          <cell r="BB628">
            <v>6.4604185623293953E-2</v>
          </cell>
          <cell r="BC628">
            <v>0.1631561892417368</v>
          </cell>
          <cell r="BD628">
            <v>-5.2066115702479321E-2</v>
          </cell>
          <cell r="BE628">
            <v>0.10253724394785846</v>
          </cell>
          <cell r="BF628">
            <v>-0.10493046776232617</v>
          </cell>
          <cell r="BG628">
            <v>-0.12935928629359283</v>
          </cell>
          <cell r="BH628">
            <v>-0.11737962388923329</v>
          </cell>
          <cell r="BI628">
            <v>-0.12649572649572649</v>
          </cell>
          <cell r="BJ628">
            <v>-0.12035102381947349</v>
          </cell>
          <cell r="BK628">
            <v>4.0540540540540571E-2</v>
          </cell>
          <cell r="BL628">
            <v>-8.138921144304867E-2</v>
          </cell>
          <cell r="BM628">
            <v>6.3559322033898358E-2</v>
          </cell>
          <cell r="BN628">
            <v>3.2137866790870939E-2</v>
          </cell>
          <cell r="BO628">
            <v>4.7763989697962916E-2</v>
          </cell>
          <cell r="BP628">
            <v>0.1120352250489236</v>
          </cell>
          <cell r="BQ628">
            <v>6.8566904196357914E-2</v>
          </cell>
          <cell r="BR628">
            <v>1.0054461667364789E-2</v>
          </cell>
          <cell r="BS628">
            <v>5.2516662836129546E-2</v>
          </cell>
          <cell r="BT628">
            <v>4.3502409752207871E-2</v>
          </cell>
          <cell r="BU628">
            <v>6.4801206833456249E-2</v>
          </cell>
          <cell r="BV628">
            <v>5.4049478876687429E-2</v>
          </cell>
          <cell r="BW628">
            <v>5.8442740917159064E-2</v>
          </cell>
          <cell r="BX628">
            <v>5.5529307658251259E-2</v>
          </cell>
          <cell r="BY628">
            <v>3.6583415606349146E-2</v>
          </cell>
          <cell r="BZ628">
            <v>5.0542022393797126E-2</v>
          </cell>
          <cell r="CA628">
            <v>5.0000000000000044E-2</v>
          </cell>
          <cell r="CB628">
            <v>5.0000000000000044E-2</v>
          </cell>
          <cell r="CC628">
            <v>5.0000000000000044E-2</v>
          </cell>
          <cell r="CD628">
            <v>5.2939851559027584E-2</v>
          </cell>
          <cell r="CE628">
            <v>5.2959563785106134E-2</v>
          </cell>
          <cell r="CF628">
            <v>5.2979352408306646E-2</v>
          </cell>
          <cell r="CG628">
            <v>5.2999216979499053E-2</v>
          </cell>
          <cell r="CH628">
            <v>5.3019157039250642E-2</v>
          </cell>
          <cell r="CI628">
            <v>5.3039172117821609E-2</v>
          </cell>
          <cell r="CJ628">
            <v>5.0000000000000044E-2</v>
          </cell>
        </row>
        <row r="629">
          <cell r="A629" t="str">
            <v xml:space="preserve">   CER growth %</v>
          </cell>
          <cell r="BD629">
            <v>-0.04</v>
          </cell>
          <cell r="BE629">
            <v>-7.0000000000000007E-2</v>
          </cell>
          <cell r="BF629">
            <v>-0.08</v>
          </cell>
          <cell r="BG629">
            <v>-7.0000000000000007E-2</v>
          </cell>
          <cell r="BH629">
            <v>-7.0000000000000007E-2</v>
          </cell>
          <cell r="BI629">
            <v>-0.06</v>
          </cell>
          <cell r="BJ629">
            <v>-7.0000000000000007E-2</v>
          </cell>
          <cell r="BK629">
            <v>0.06</v>
          </cell>
          <cell r="BL629">
            <v>-0.04</v>
          </cell>
          <cell r="BM629">
            <v>7.0000000000000007E-2</v>
          </cell>
          <cell r="BN629">
            <v>0.03</v>
          </cell>
          <cell r="BO629">
            <v>0.05</v>
          </cell>
          <cell r="BP629">
            <v>0.11</v>
          </cell>
          <cell r="BR629">
            <v>0.01</v>
          </cell>
          <cell r="BS629">
            <v>0.05</v>
          </cell>
        </row>
        <row r="630">
          <cell r="A630" t="str">
            <v xml:space="preserve">   FX</v>
          </cell>
          <cell r="BD630">
            <v>-1.206611570247932E-2</v>
          </cell>
          <cell r="BE630">
            <v>0.17253724394785847</v>
          </cell>
          <cell r="BF630">
            <v>-2.4930467762326172E-2</v>
          </cell>
          <cell r="BG630">
            <v>-5.9359286293592828E-2</v>
          </cell>
          <cell r="BH630">
            <v>-4.737962388923328E-2</v>
          </cell>
          <cell r="BI630">
            <v>-6.6495726495726493E-2</v>
          </cell>
          <cell r="BJ630">
            <v>-4.4999999999999998E-2</v>
          </cell>
          <cell r="BK630">
            <v>-1.9459459459459427E-2</v>
          </cell>
          <cell r="BL630">
            <v>-4.1389211443048669E-2</v>
          </cell>
          <cell r="BM630">
            <v>-6.4406779661016489E-3</v>
          </cell>
          <cell r="BN630">
            <v>2.1378667908709403E-3</v>
          </cell>
          <cell r="BO630">
            <v>-2.2360103020370864E-3</v>
          </cell>
          <cell r="BP630">
            <v>2.0352250489236029E-3</v>
          </cell>
          <cell r="BR630">
            <v>5.4461667364788871E-5</v>
          </cell>
          <cell r="BS630">
            <v>2.5166628361295434E-3</v>
          </cell>
        </row>
        <row r="631">
          <cell r="A631" t="str">
            <v xml:space="preserve">   Volume</v>
          </cell>
          <cell r="BG631">
            <v>0</v>
          </cell>
          <cell r="BH631">
            <v>0</v>
          </cell>
          <cell r="BI631">
            <v>0</v>
          </cell>
          <cell r="BJ631">
            <v>-0.01</v>
          </cell>
          <cell r="BK631">
            <v>7.0000000000000007E-2</v>
          </cell>
          <cell r="BL631">
            <v>-0.01</v>
          </cell>
          <cell r="BM631">
            <v>0.12</v>
          </cell>
          <cell r="BN631">
            <v>0.15</v>
          </cell>
          <cell r="BO631">
            <v>0.17</v>
          </cell>
          <cell r="BP631">
            <v>0.17</v>
          </cell>
          <cell r="BR631">
            <v>0.09</v>
          </cell>
          <cell r="BS631">
            <v>0.14000000000000001</v>
          </cell>
        </row>
        <row r="632">
          <cell r="A632" t="str">
            <v xml:space="preserve">   Price</v>
          </cell>
          <cell r="BG632">
            <v>-7.0000000000000007E-2</v>
          </cell>
          <cell r="BH632">
            <v>-7.0000000000000007E-2</v>
          </cell>
          <cell r="BI632">
            <v>-0.06</v>
          </cell>
          <cell r="BJ632">
            <v>-6.5000000000000002E-2</v>
          </cell>
          <cell r="BK632">
            <v>-0.01</v>
          </cell>
          <cell r="BL632">
            <v>-0.05</v>
          </cell>
          <cell r="BM632">
            <v>-0.11</v>
          </cell>
          <cell r="BN632">
            <v>-0.12</v>
          </cell>
          <cell r="BO632">
            <v>-0.12</v>
          </cell>
          <cell r="BP632">
            <v>-0.06</v>
          </cell>
          <cell r="BR632">
            <v>-0.08</v>
          </cell>
          <cell r="BS632">
            <v>-0.09</v>
          </cell>
        </row>
        <row r="634">
          <cell r="A634" t="str">
            <v>Sandoz geo split and CER</v>
          </cell>
        </row>
        <row r="635">
          <cell r="A635" t="str">
            <v>Europe</v>
          </cell>
          <cell r="AY635">
            <v>1114</v>
          </cell>
          <cell r="AZ635">
            <v>1117</v>
          </cell>
          <cell r="BA635">
            <v>2231</v>
          </cell>
          <cell r="BB635">
            <v>1107</v>
          </cell>
          <cell r="BC635">
            <v>3338</v>
          </cell>
          <cell r="BD635">
            <v>1107</v>
          </cell>
          <cell r="BE635">
            <v>4445</v>
          </cell>
          <cell r="BF635">
            <v>1050</v>
          </cell>
          <cell r="BG635">
            <v>1047</v>
          </cell>
          <cell r="BH635">
            <v>2097</v>
          </cell>
          <cell r="BI635">
            <v>1005</v>
          </cell>
          <cell r="BJ635">
            <v>3102</v>
          </cell>
          <cell r="BK635">
            <v>1123</v>
          </cell>
          <cell r="BL635">
            <v>4225</v>
          </cell>
          <cell r="BM635">
            <v>1152</v>
          </cell>
          <cell r="BN635">
            <v>1110</v>
          </cell>
          <cell r="BO635">
            <v>2262</v>
          </cell>
          <cell r="BP635">
            <v>1127</v>
          </cell>
          <cell r="BQ635">
            <v>3389</v>
          </cell>
          <cell r="BR635">
            <v>1207</v>
          </cell>
          <cell r="BS635">
            <v>4596</v>
          </cell>
        </row>
        <row r="636">
          <cell r="A636" t="str">
            <v>US</v>
          </cell>
          <cell r="AY636">
            <v>845</v>
          </cell>
          <cell r="AZ636">
            <v>883</v>
          </cell>
          <cell r="BA636">
            <v>1728</v>
          </cell>
          <cell r="BB636">
            <v>801</v>
          </cell>
          <cell r="BC636">
            <v>2529</v>
          </cell>
          <cell r="BD636">
            <v>771</v>
          </cell>
          <cell r="BE636">
            <v>3300</v>
          </cell>
          <cell r="BF636">
            <v>672</v>
          </cell>
          <cell r="BG636">
            <v>676</v>
          </cell>
          <cell r="BH636">
            <v>1348</v>
          </cell>
          <cell r="BI636">
            <v>628</v>
          </cell>
          <cell r="BJ636">
            <v>1976</v>
          </cell>
          <cell r="BK636">
            <v>810</v>
          </cell>
          <cell r="BL636">
            <v>2786</v>
          </cell>
          <cell r="BM636">
            <v>696</v>
          </cell>
          <cell r="BN636">
            <v>670</v>
          </cell>
          <cell r="BO636">
            <v>1366</v>
          </cell>
          <cell r="BP636">
            <v>718</v>
          </cell>
          <cell r="BQ636">
            <v>2084</v>
          </cell>
          <cell r="BR636">
            <v>737</v>
          </cell>
          <cell r="BS636">
            <v>2821</v>
          </cell>
        </row>
        <row r="637">
          <cell r="A637" t="str">
            <v>Asia/Africa/Australasia</v>
          </cell>
          <cell r="AY637">
            <v>252</v>
          </cell>
          <cell r="AZ637">
            <v>297</v>
          </cell>
          <cell r="BA637">
            <v>549</v>
          </cell>
          <cell r="BB637">
            <v>268</v>
          </cell>
          <cell r="BC637">
            <v>817</v>
          </cell>
          <cell r="BD637">
            <v>247</v>
          </cell>
          <cell r="BE637">
            <v>1064</v>
          </cell>
          <cell r="BF637">
            <v>241</v>
          </cell>
          <cell r="BG637">
            <v>271</v>
          </cell>
          <cell r="BH637">
            <v>512</v>
          </cell>
          <cell r="BI637">
            <v>258</v>
          </cell>
          <cell r="BJ637">
            <v>770</v>
          </cell>
          <cell r="BK637">
            <v>287</v>
          </cell>
          <cell r="BL637">
            <v>1057</v>
          </cell>
          <cell r="BM637">
            <v>266</v>
          </cell>
          <cell r="BN637">
            <v>277</v>
          </cell>
          <cell r="BO637">
            <v>543</v>
          </cell>
          <cell r="BP637">
            <v>280</v>
          </cell>
          <cell r="BQ637">
            <v>823</v>
          </cell>
          <cell r="BR637">
            <v>316</v>
          </cell>
          <cell r="BS637">
            <v>1139</v>
          </cell>
        </row>
        <row r="638">
          <cell r="A638" t="str">
            <v>Canada &amp; Latin America</v>
          </cell>
          <cell r="AY638">
            <v>162</v>
          </cell>
          <cell r="AZ638">
            <v>169</v>
          </cell>
          <cell r="BA638">
            <v>331</v>
          </cell>
          <cell r="BB638">
            <v>164</v>
          </cell>
          <cell r="BC638">
            <v>495</v>
          </cell>
          <cell r="BD638">
            <v>169</v>
          </cell>
          <cell r="BE638">
            <v>664</v>
          </cell>
          <cell r="BF638">
            <v>161</v>
          </cell>
          <cell r="BG638">
            <v>153</v>
          </cell>
          <cell r="BH638">
            <v>314</v>
          </cell>
          <cell r="BI638">
            <v>153</v>
          </cell>
          <cell r="BJ638">
            <v>467</v>
          </cell>
          <cell r="BK638">
            <v>167</v>
          </cell>
          <cell r="BL638">
            <v>634</v>
          </cell>
          <cell r="BM638">
            <v>145</v>
          </cell>
          <cell r="BN638">
            <v>159</v>
          </cell>
          <cell r="BO638">
            <v>304</v>
          </cell>
          <cell r="BP638">
            <v>148</v>
          </cell>
          <cell r="BQ638">
            <v>452</v>
          </cell>
          <cell r="BR638">
            <v>151</v>
          </cell>
          <cell r="BS638">
            <v>603</v>
          </cell>
        </row>
        <row r="639">
          <cell r="A639" t="str">
            <v>Total</v>
          </cell>
          <cell r="AY639">
            <v>2373</v>
          </cell>
          <cell r="AZ639">
            <v>2466</v>
          </cell>
          <cell r="BA639">
            <v>4839</v>
          </cell>
          <cell r="BB639">
            <v>2340</v>
          </cell>
          <cell r="BC639">
            <v>7179</v>
          </cell>
          <cell r="BD639">
            <v>2294</v>
          </cell>
          <cell r="BE639">
            <v>9473</v>
          </cell>
          <cell r="BF639">
            <v>2124</v>
          </cell>
          <cell r="BG639">
            <v>2147</v>
          </cell>
          <cell r="BH639">
            <v>4271</v>
          </cell>
          <cell r="BI639">
            <v>2044</v>
          </cell>
          <cell r="BJ639">
            <v>6315</v>
          </cell>
          <cell r="BK639">
            <v>2387</v>
          </cell>
          <cell r="BL639">
            <v>8702</v>
          </cell>
          <cell r="BM639">
            <v>2259</v>
          </cell>
          <cell r="BN639">
            <v>2216</v>
          </cell>
          <cell r="BO639">
            <v>4475</v>
          </cell>
          <cell r="BP639">
            <v>2273</v>
          </cell>
          <cell r="BQ639">
            <v>6748</v>
          </cell>
          <cell r="BR639">
            <v>2411</v>
          </cell>
          <cell r="BS639">
            <v>9159</v>
          </cell>
        </row>
        <row r="640">
          <cell r="A640" t="str">
            <v xml:space="preserve"> Of which in Established markets</v>
          </cell>
          <cell r="AY640">
            <v>1742</v>
          </cell>
          <cell r="AZ640">
            <v>1874</v>
          </cell>
          <cell r="BA640">
            <v>3616</v>
          </cell>
          <cell r="BB640">
            <v>1749</v>
          </cell>
          <cell r="BC640">
            <v>5365</v>
          </cell>
          <cell r="BD640">
            <v>1728</v>
          </cell>
          <cell r="BE640">
            <v>7093</v>
          </cell>
          <cell r="BF640">
            <v>1554</v>
          </cell>
          <cell r="BG640">
            <v>1592</v>
          </cell>
          <cell r="BH640">
            <v>3146</v>
          </cell>
          <cell r="BI640">
            <v>1489</v>
          </cell>
          <cell r="BJ640">
            <v>4635</v>
          </cell>
          <cell r="BK640">
            <v>1767</v>
          </cell>
          <cell r="BL640">
            <v>6402</v>
          </cell>
          <cell r="BM640">
            <v>1613</v>
          </cell>
          <cell r="BN640">
            <v>1608</v>
          </cell>
          <cell r="BO640">
            <v>3221</v>
          </cell>
          <cell r="BP640">
            <v>1669</v>
          </cell>
          <cell r="BQ640">
            <v>4890</v>
          </cell>
          <cell r="BR640">
            <v>1735</v>
          </cell>
          <cell r="BS640">
            <v>6625</v>
          </cell>
        </row>
        <row r="641">
          <cell r="A641" t="str">
            <v>Of which in EM growth markets</v>
          </cell>
          <cell r="AY641">
            <v>631</v>
          </cell>
          <cell r="AZ641">
            <v>592</v>
          </cell>
          <cell r="BA641">
            <v>1223</v>
          </cell>
          <cell r="BB641">
            <v>591</v>
          </cell>
          <cell r="BC641">
            <v>1814</v>
          </cell>
          <cell r="BD641">
            <v>566</v>
          </cell>
          <cell r="BE641">
            <v>2380</v>
          </cell>
          <cell r="BF641">
            <v>570</v>
          </cell>
          <cell r="BG641">
            <v>555</v>
          </cell>
          <cell r="BH641">
            <v>1125</v>
          </cell>
          <cell r="BI641">
            <v>555</v>
          </cell>
          <cell r="BJ641">
            <v>1680</v>
          </cell>
          <cell r="BK641">
            <v>620</v>
          </cell>
          <cell r="BL641">
            <v>2300</v>
          </cell>
          <cell r="BM641">
            <v>646</v>
          </cell>
          <cell r="BN641">
            <v>608</v>
          </cell>
          <cell r="BO641">
            <v>1254</v>
          </cell>
          <cell r="BP641">
            <v>604</v>
          </cell>
          <cell r="BQ641">
            <v>1858</v>
          </cell>
          <cell r="BR641">
            <v>676</v>
          </cell>
          <cell r="BS641">
            <v>2534</v>
          </cell>
        </row>
        <row r="643">
          <cell r="A643" t="str">
            <v>% total</v>
          </cell>
        </row>
        <row r="644">
          <cell r="A644" t="str">
            <v>Europe</v>
          </cell>
          <cell r="AY644">
            <v>0.4694479561736199</v>
          </cell>
          <cell r="AZ644">
            <v>0.45296025952960262</v>
          </cell>
          <cell r="BA644">
            <v>0.46104567059309776</v>
          </cell>
          <cell r="BB644">
            <v>0.47307692307692306</v>
          </cell>
          <cell r="BC644">
            <v>0.46496726563588242</v>
          </cell>
          <cell r="BD644">
            <v>0.48256320836965999</v>
          </cell>
          <cell r="BE644">
            <v>0.46922833315739471</v>
          </cell>
          <cell r="BF644">
            <v>0.4943502824858757</v>
          </cell>
          <cell r="BG644">
            <v>0.48765719608756403</v>
          </cell>
          <cell r="BH644">
            <v>0.4909857176305315</v>
          </cell>
          <cell r="BI644">
            <v>0.4916829745596869</v>
          </cell>
          <cell r="BJ644">
            <v>0.49121140142517816</v>
          </cell>
          <cell r="BK644">
            <v>0.47046501885211561</v>
          </cell>
          <cell r="BL644">
            <v>0.48552056998391174</v>
          </cell>
          <cell r="BM644">
            <v>0.50996015936254979</v>
          </cell>
          <cell r="BN644">
            <v>0.50090252707581229</v>
          </cell>
          <cell r="BO644">
            <v>0.50547486033519551</v>
          </cell>
          <cell r="BP644">
            <v>0.49582050153981522</v>
          </cell>
          <cell r="BQ644">
            <v>0.50222288085358624</v>
          </cell>
          <cell r="BR644">
            <v>0.50062214848610531</v>
          </cell>
          <cell r="BS644">
            <v>0.5018015067147068</v>
          </cell>
        </row>
        <row r="645">
          <cell r="A645" t="str">
            <v>US</v>
          </cell>
          <cell r="AY645">
            <v>0.35608933839022333</v>
          </cell>
          <cell r="AZ645">
            <v>0.35806974858069751</v>
          </cell>
          <cell r="BA645">
            <v>0.35709857408555484</v>
          </cell>
          <cell r="BB645">
            <v>0.34230769230769231</v>
          </cell>
          <cell r="BC645">
            <v>0.35227747597158376</v>
          </cell>
          <cell r="BD645">
            <v>0.33609415867480386</v>
          </cell>
          <cell r="BE645">
            <v>0.34835849255779583</v>
          </cell>
          <cell r="BF645">
            <v>0.31638418079096048</v>
          </cell>
          <cell r="BG645">
            <v>0.31485794131346062</v>
          </cell>
          <cell r="BH645">
            <v>0.3156169515335987</v>
          </cell>
          <cell r="BI645">
            <v>0.30724070450097846</v>
          </cell>
          <cell r="BJ645">
            <v>0.3129057798891528</v>
          </cell>
          <cell r="BK645">
            <v>0.33933808127356513</v>
          </cell>
          <cell r="BL645">
            <v>0.32015628591128475</v>
          </cell>
          <cell r="BM645">
            <v>0.30810092961487384</v>
          </cell>
          <cell r="BN645">
            <v>0.30234657039711194</v>
          </cell>
          <cell r="BO645">
            <v>0.30525139664804468</v>
          </cell>
          <cell r="BP645">
            <v>0.31588209414870216</v>
          </cell>
          <cell r="BQ645">
            <v>0.3088322465915827</v>
          </cell>
          <cell r="BR645">
            <v>0.30568228950642889</v>
          </cell>
          <cell r="BS645">
            <v>0.30800305710230375</v>
          </cell>
        </row>
        <row r="646">
          <cell r="A646" t="str">
            <v>Asia/Africa/Australasia</v>
          </cell>
          <cell r="AY646">
            <v>0.10619469026548672</v>
          </cell>
          <cell r="AZ646">
            <v>0.12043795620437957</v>
          </cell>
          <cell r="BA646">
            <v>0.1134531928084315</v>
          </cell>
          <cell r="BB646">
            <v>0.11452991452991453</v>
          </cell>
          <cell r="BC646">
            <v>0.11380415099596045</v>
          </cell>
          <cell r="BD646">
            <v>0.10767218831734961</v>
          </cell>
          <cell r="BE646">
            <v>0.11231922305499842</v>
          </cell>
          <cell r="BF646">
            <v>0.11346516007532957</v>
          </cell>
          <cell r="BG646">
            <v>0.12622263623660923</v>
          </cell>
          <cell r="BH646">
            <v>0.11987824865371108</v>
          </cell>
          <cell r="BI646">
            <v>0.12622309197651663</v>
          </cell>
          <cell r="BJ646">
            <v>0.12193190815518606</v>
          </cell>
          <cell r="BK646">
            <v>0.12023460410557185</v>
          </cell>
          <cell r="BL646">
            <v>0.12146632957940703</v>
          </cell>
          <cell r="BM646">
            <v>0.11775121735281098</v>
          </cell>
          <cell r="BN646">
            <v>0.125</v>
          </cell>
          <cell r="BO646">
            <v>0.12134078212290503</v>
          </cell>
          <cell r="BP646">
            <v>0.12318521777386714</v>
          </cell>
          <cell r="BQ646">
            <v>0.12196206283343212</v>
          </cell>
          <cell r="BR646">
            <v>0.13106594773952718</v>
          </cell>
          <cell r="BS646">
            <v>0.12435855442733923</v>
          </cell>
        </row>
        <row r="647">
          <cell r="A647" t="str">
            <v>Canada &amp; Latin America</v>
          </cell>
          <cell r="AY647">
            <v>6.8268015170670035E-2</v>
          </cell>
          <cell r="AZ647">
            <v>6.8532035685320361E-2</v>
          </cell>
          <cell r="BA647">
            <v>6.840256251291589E-2</v>
          </cell>
          <cell r="BB647">
            <v>7.0085470085470086E-2</v>
          </cell>
          <cell r="BC647">
            <v>6.8951107396573341E-2</v>
          </cell>
          <cell r="BD647">
            <v>7.3670444638186575E-2</v>
          </cell>
          <cell r="BE647">
            <v>7.0093951229811047E-2</v>
          </cell>
          <cell r="BF647">
            <v>7.5800376647834275E-2</v>
          </cell>
          <cell r="BG647">
            <v>7.1262226362366093E-2</v>
          </cell>
          <cell r="BH647">
            <v>7.3519082182158746E-2</v>
          </cell>
          <cell r="BI647">
            <v>7.4853228962818E-2</v>
          </cell>
          <cell r="BJ647">
            <v>7.3950910530482972E-2</v>
          </cell>
          <cell r="BK647">
            <v>6.9962295768747379E-2</v>
          </cell>
          <cell r="BL647">
            <v>7.2856814525396454E-2</v>
          </cell>
          <cell r="BM647">
            <v>6.4187693669765386E-2</v>
          </cell>
          <cell r="BN647">
            <v>7.1750902527075819E-2</v>
          </cell>
          <cell r="BO647">
            <v>6.7932960893854755E-2</v>
          </cell>
          <cell r="BP647">
            <v>6.5112186537615482E-2</v>
          </cell>
          <cell r="BQ647">
            <v>6.6982809721398931E-2</v>
          </cell>
          <cell r="BR647">
            <v>6.2629614267938616E-2</v>
          </cell>
          <cell r="BS647">
            <v>6.5836881755650181E-2</v>
          </cell>
        </row>
        <row r="648">
          <cell r="A648" t="str">
            <v xml:space="preserve"> Of which in Established markets</v>
          </cell>
          <cell r="AY648">
            <v>0.73409186683522965</v>
          </cell>
          <cell r="AZ648">
            <v>0.75993511759935117</v>
          </cell>
          <cell r="BA648">
            <v>0.7472618309568092</v>
          </cell>
          <cell r="BF648">
            <v>0.73163841807909602</v>
          </cell>
          <cell r="BG648">
            <v>0.74149976711690735</v>
          </cell>
          <cell r="BH648">
            <v>0.73659564504799813</v>
          </cell>
          <cell r="BI648">
            <v>0.72847358121330719</v>
          </cell>
          <cell r="BJ648">
            <v>0.73396674584323041</v>
          </cell>
          <cell r="BK648">
            <v>0.74025974025974028</v>
          </cell>
          <cell r="BL648">
            <v>0.73569294415076991</v>
          </cell>
          <cell r="BM648">
            <v>0.71403275785745901</v>
          </cell>
          <cell r="BN648">
            <v>0.72563176895306858</v>
          </cell>
          <cell r="BO648">
            <v>0.71977653631284921</v>
          </cell>
          <cell r="BP648">
            <v>0.73427188737351523</v>
          </cell>
          <cell r="BQ648">
            <v>0.72465915826911675</v>
          </cell>
          <cell r="BR648">
            <v>0.71961841559518869</v>
          </cell>
          <cell r="BS648">
            <v>0.723332241511082</v>
          </cell>
        </row>
        <row r="649">
          <cell r="A649" t="str">
            <v>Of which in EM growth markets</v>
          </cell>
          <cell r="AY649">
            <v>0.26590813316477035</v>
          </cell>
          <cell r="AZ649">
            <v>0.24006488240064883</v>
          </cell>
          <cell r="BA649">
            <v>0.2527381690431908</v>
          </cell>
          <cell r="BF649">
            <v>0.26836158192090398</v>
          </cell>
          <cell r="BG649">
            <v>0.25850023288309265</v>
          </cell>
          <cell r="BH649">
            <v>0.26340435495200187</v>
          </cell>
          <cell r="BI649">
            <v>0.27152641878669281</v>
          </cell>
          <cell r="BJ649">
            <v>0.26603325415676959</v>
          </cell>
          <cell r="BK649">
            <v>0.25974025974025972</v>
          </cell>
          <cell r="BL649">
            <v>0.26430705584923009</v>
          </cell>
          <cell r="BM649">
            <v>0.28596724214254099</v>
          </cell>
          <cell r="BN649">
            <v>0.27436823104693142</v>
          </cell>
          <cell r="BO649">
            <v>0.28022346368715079</v>
          </cell>
          <cell r="BP649">
            <v>0.26572811262648477</v>
          </cell>
          <cell r="BQ649">
            <v>0.27534084173088325</v>
          </cell>
          <cell r="BR649">
            <v>0.28038158440481131</v>
          </cell>
          <cell r="BS649">
            <v>0.276667758488918</v>
          </cell>
        </row>
        <row r="651">
          <cell r="A651" t="str">
            <v xml:space="preserve">CER growth </v>
          </cell>
        </row>
        <row r="652">
          <cell r="A652" t="str">
            <v>Europe</v>
          </cell>
          <cell r="BB652">
            <v>0.01</v>
          </cell>
          <cell r="BC652">
            <v>0</v>
          </cell>
          <cell r="BD652">
            <v>-0.02</v>
          </cell>
          <cell r="BE652">
            <v>-0.01</v>
          </cell>
          <cell r="BF652">
            <v>-0.01</v>
          </cell>
          <cell r="BG652">
            <v>0.05</v>
          </cell>
          <cell r="BH652">
            <v>0.02</v>
          </cell>
          <cell r="BI652">
            <v>0.02</v>
          </cell>
          <cell r="BJ652">
            <v>0.02</v>
          </cell>
          <cell r="BK652">
            <v>0.04</v>
          </cell>
          <cell r="BL652">
            <v>0.02</v>
          </cell>
          <cell r="BM652">
            <v>0.09</v>
          </cell>
          <cell r="BN652">
            <v>0.05</v>
          </cell>
          <cell r="BO652">
            <v>7.0000000000000007E-2</v>
          </cell>
          <cell r="BP652">
            <v>0.08</v>
          </cell>
          <cell r="BQ652">
            <v>7.0000000000000007E-2</v>
          </cell>
          <cell r="BR652">
            <v>0.04</v>
          </cell>
          <cell r="BS652">
            <v>7.0000000000000007E-2</v>
          </cell>
        </row>
        <row r="653">
          <cell r="A653" t="str">
            <v>US</v>
          </cell>
          <cell r="BB653">
            <v>0.01</v>
          </cell>
          <cell r="BC653">
            <v>0.33</v>
          </cell>
          <cell r="BD653">
            <v>-0.04</v>
          </cell>
          <cell r="BE653">
            <v>0.22</v>
          </cell>
          <cell r="BF653">
            <v>-0.2</v>
          </cell>
          <cell r="BG653">
            <v>-0.24</v>
          </cell>
          <cell r="BH653">
            <v>-0.22</v>
          </cell>
          <cell r="BI653">
            <v>-0.22</v>
          </cell>
          <cell r="BJ653">
            <v>-0.22</v>
          </cell>
          <cell r="BK653">
            <v>0.04</v>
          </cell>
          <cell r="BL653">
            <v>-0.16</v>
          </cell>
          <cell r="BM653">
            <v>0.04</v>
          </cell>
          <cell r="BN653">
            <v>-0.01</v>
          </cell>
          <cell r="BO653">
            <v>0.01</v>
          </cell>
          <cell r="BP653">
            <v>0.14000000000000001</v>
          </cell>
          <cell r="BQ653">
            <v>0.05</v>
          </cell>
          <cell r="BR653">
            <v>-0.09</v>
          </cell>
          <cell r="BS653">
            <v>0.01</v>
          </cell>
        </row>
        <row r="654">
          <cell r="A654" t="str">
            <v>Asia/Africa/Australasia</v>
          </cell>
          <cell r="BB654">
            <v>-0.04</v>
          </cell>
          <cell r="BC654">
            <v>0.04</v>
          </cell>
          <cell r="BD654">
            <v>-0.17</v>
          </cell>
          <cell r="BE654">
            <v>-0.02</v>
          </cell>
          <cell r="BF654">
            <v>-0.03</v>
          </cell>
          <cell r="BG654">
            <v>-0.04</v>
          </cell>
          <cell r="BH654">
            <v>-0.04</v>
          </cell>
          <cell r="BI654">
            <v>0.01</v>
          </cell>
          <cell r="BJ654">
            <v>-0.02</v>
          </cell>
          <cell r="BK654">
            <v>0.18</v>
          </cell>
          <cell r="BL654">
            <v>0.03</v>
          </cell>
          <cell r="BM654">
            <v>0.14000000000000001</v>
          </cell>
          <cell r="BN654">
            <v>0.06</v>
          </cell>
          <cell r="BO654">
            <v>0.1</v>
          </cell>
          <cell r="BP654">
            <v>0.15</v>
          </cell>
          <cell r="BQ654">
            <v>0.12</v>
          </cell>
          <cell r="BR654">
            <v>0.16</v>
          </cell>
          <cell r="BS654">
            <v>0.13</v>
          </cell>
        </row>
        <row r="655">
          <cell r="A655" t="str">
            <v>Canada &amp; Latin America</v>
          </cell>
          <cell r="BB655">
            <v>0.14000000000000001</v>
          </cell>
          <cell r="BC655">
            <v>0.14000000000000001</v>
          </cell>
          <cell r="BD655">
            <v>0.1</v>
          </cell>
          <cell r="BE655">
            <v>-0.13</v>
          </cell>
          <cell r="BF655">
            <v>0.02</v>
          </cell>
          <cell r="BG655">
            <v>-0.02</v>
          </cell>
          <cell r="BH655">
            <v>0</v>
          </cell>
          <cell r="BI655">
            <v>0</v>
          </cell>
          <cell r="BJ655">
            <v>0</v>
          </cell>
          <cell r="BK655">
            <v>0</v>
          </cell>
          <cell r="BL655">
            <v>0</v>
          </cell>
          <cell r="BM655">
            <v>-7.0000000000000007E-2</v>
          </cell>
          <cell r="BN655">
            <v>0.09</v>
          </cell>
          <cell r="BO655">
            <v>0.01</v>
          </cell>
          <cell r="BP655">
            <v>0.05</v>
          </cell>
          <cell r="BQ655">
            <v>0.02</v>
          </cell>
          <cell r="BR655">
            <v>-0.03</v>
          </cell>
          <cell r="BS655">
            <v>0.01</v>
          </cell>
        </row>
        <row r="656">
          <cell r="A656" t="str">
            <v>Total</v>
          </cell>
          <cell r="BB656">
            <v>0.01</v>
          </cell>
          <cell r="BC656">
            <v>0.12</v>
          </cell>
          <cell r="BD656">
            <v>-0.04</v>
          </cell>
          <cell r="BE656">
            <v>7.0000000000000007E-2</v>
          </cell>
          <cell r="BF656">
            <v>-0.08</v>
          </cell>
          <cell r="BG656">
            <v>-7.0000000000000007E-2</v>
          </cell>
          <cell r="BH656">
            <v>-7.0000000000000007E-2</v>
          </cell>
          <cell r="BI656">
            <v>-0.06</v>
          </cell>
          <cell r="BJ656">
            <v>-7.0000000000000007E-2</v>
          </cell>
          <cell r="BK656">
            <v>0.06</v>
          </cell>
          <cell r="BL656">
            <v>-0.04</v>
          </cell>
          <cell r="BM656">
            <v>7.0000000000000007E-2</v>
          </cell>
          <cell r="BN656">
            <v>0.03</v>
          </cell>
          <cell r="BO656">
            <v>0.05</v>
          </cell>
          <cell r="BP656">
            <v>0.11</v>
          </cell>
          <cell r="BQ656">
            <v>7.0000000000000007E-2</v>
          </cell>
          <cell r="BR656">
            <v>0.01</v>
          </cell>
          <cell r="BS656">
            <v>0.05</v>
          </cell>
        </row>
        <row r="657">
          <cell r="A657" t="str">
            <v xml:space="preserve"> Of which in EM</v>
          </cell>
          <cell r="BF657">
            <v>-0.09</v>
          </cell>
          <cell r="BG657">
            <v>-0.1</v>
          </cell>
          <cell r="BH657">
            <v>-0.1</v>
          </cell>
          <cell r="BI657">
            <v>-0.1</v>
          </cell>
          <cell r="BJ657">
            <v>-0.1</v>
          </cell>
          <cell r="BK657">
            <v>0.04</v>
          </cell>
          <cell r="BL657">
            <v>-0.06</v>
          </cell>
          <cell r="BM657">
            <v>0.04</v>
          </cell>
          <cell r="BN657">
            <v>0.01</v>
          </cell>
          <cell r="BO657">
            <v>0.02</v>
          </cell>
          <cell r="BP657">
            <v>0.1</v>
          </cell>
          <cell r="BQ657">
            <v>0.05</v>
          </cell>
          <cell r="BR657">
            <v>-0.03</v>
          </cell>
          <cell r="BS657">
            <v>0.03</v>
          </cell>
        </row>
        <row r="658">
          <cell r="A658" t="str">
            <v>Of which in EM growth markets</v>
          </cell>
          <cell r="BF658">
            <v>-0.05</v>
          </cell>
          <cell r="BG658">
            <v>0.05</v>
          </cell>
          <cell r="BH658">
            <v>0</v>
          </cell>
          <cell r="BI658">
            <v>-0.03</v>
          </cell>
          <cell r="BJ658">
            <v>0.01</v>
          </cell>
          <cell r="BK658">
            <v>0.12</v>
          </cell>
          <cell r="BL658">
            <v>0.03</v>
          </cell>
          <cell r="BM658">
            <v>0.15</v>
          </cell>
          <cell r="BN658">
            <v>0.11</v>
          </cell>
          <cell r="BO658">
            <v>0.13</v>
          </cell>
          <cell r="BP658">
            <v>0.11</v>
          </cell>
          <cell r="BQ658">
            <v>0.12</v>
          </cell>
          <cell r="BR658">
            <v>0.12</v>
          </cell>
          <cell r="BS658">
            <v>0.12</v>
          </cell>
        </row>
        <row r="660">
          <cell r="A660" t="str">
            <v xml:space="preserve">growth % </v>
          </cell>
        </row>
        <row r="661">
          <cell r="A661" t="str">
            <v>Europe</v>
          </cell>
          <cell r="BF661">
            <v>-5.7450628366247702E-2</v>
          </cell>
          <cell r="BG661">
            <v>-6.2667860340197001E-2</v>
          </cell>
          <cell r="BH661">
            <v>-6.0062752129090069E-2</v>
          </cell>
          <cell r="BI661">
            <v>-9.2140921409214038E-2</v>
          </cell>
          <cell r="BJ661">
            <v>-7.0701018573996355E-2</v>
          </cell>
          <cell r="BK661">
            <v>1.4453477868112019E-2</v>
          </cell>
          <cell r="BL661">
            <v>-4.9493813273340792E-2</v>
          </cell>
          <cell r="BM661">
            <v>9.7142857142857197E-2</v>
          </cell>
          <cell r="BN661">
            <v>6.0171919770773741E-2</v>
          </cell>
          <cell r="BO661">
            <v>7.8683834048640877E-2</v>
          </cell>
          <cell r="BP661">
            <v>0.12139303482587072</v>
          </cell>
          <cell r="BQ661">
            <v>9.2520954223081819E-2</v>
          </cell>
          <cell r="BR661">
            <v>7.4799643811219951E-2</v>
          </cell>
          <cell r="BS661">
            <v>8.7810650887574004E-2</v>
          </cell>
        </row>
        <row r="662">
          <cell r="A662" t="str">
            <v>US</v>
          </cell>
          <cell r="BF662">
            <v>-0.20473372781065091</v>
          </cell>
          <cell r="BG662">
            <v>-0.23442808607021515</v>
          </cell>
          <cell r="BH662">
            <v>-0.21990740740740744</v>
          </cell>
          <cell r="BI662">
            <v>-0.21598002496878899</v>
          </cell>
          <cell r="BJ662">
            <v>-0.21866350336101226</v>
          </cell>
          <cell r="BK662">
            <v>5.058365758754868E-2</v>
          </cell>
          <cell r="BL662">
            <v>-0.15575757575757576</v>
          </cell>
          <cell r="BM662">
            <v>3.5714285714285809E-2</v>
          </cell>
          <cell r="BN662">
            <v>-8.8757396449704595E-3</v>
          </cell>
          <cell r="BO662">
            <v>1.335311572700304E-2</v>
          </cell>
          <cell r="BP662">
            <v>0.1433121019108281</v>
          </cell>
          <cell r="BQ662">
            <v>5.4655870445344146E-2</v>
          </cell>
          <cell r="BR662">
            <v>-9.0123456790123457E-2</v>
          </cell>
          <cell r="BS662">
            <v>1.2562814070351758E-2</v>
          </cell>
        </row>
        <row r="663">
          <cell r="A663" t="str">
            <v>Asia/Africa/Australasia</v>
          </cell>
          <cell r="BF663">
            <v>-4.3650793650793607E-2</v>
          </cell>
          <cell r="BG663">
            <v>-8.7542087542087588E-2</v>
          </cell>
          <cell r="BH663">
            <v>-6.7395264116575593E-2</v>
          </cell>
          <cell r="BI663">
            <v>-3.7313432835820892E-2</v>
          </cell>
          <cell r="BJ663">
            <v>-5.7527539779681724E-2</v>
          </cell>
          <cell r="BK663">
            <v>0.16194331983805665</v>
          </cell>
          <cell r="BL663">
            <v>-6.5789473684210176E-3</v>
          </cell>
          <cell r="BM663">
            <v>0.10373443983402497</v>
          </cell>
          <cell r="BN663">
            <v>2.2140221402213944E-2</v>
          </cell>
          <cell r="BO663">
            <v>6.0546875E-2</v>
          </cell>
          <cell r="BP663">
            <v>8.5271317829457294E-2</v>
          </cell>
          <cell r="BQ663">
            <v>6.883116883116891E-2</v>
          </cell>
          <cell r="BR663">
            <v>0.10104529616724744</v>
          </cell>
          <cell r="BS663">
            <v>7.7578051087984878E-2</v>
          </cell>
        </row>
        <row r="664">
          <cell r="A664" t="str">
            <v>Canada &amp; Latin America</v>
          </cell>
          <cell r="BF664">
            <v>-6.1728395061728669E-3</v>
          </cell>
          <cell r="BG664">
            <v>-9.4674556213017791E-2</v>
          </cell>
          <cell r="BH664">
            <v>-5.1359516616314216E-2</v>
          </cell>
          <cell r="BI664">
            <v>-6.7073170731707266E-2</v>
          </cell>
          <cell r="BJ664">
            <v>-5.6565656565656597E-2</v>
          </cell>
          <cell r="BK664">
            <v>-1.1834319526627168E-2</v>
          </cell>
          <cell r="BL664">
            <v>-4.5180722891566272E-2</v>
          </cell>
          <cell r="BM664">
            <v>-9.9378881987577605E-2</v>
          </cell>
          <cell r="BN664">
            <v>3.9215686274509887E-2</v>
          </cell>
          <cell r="BO664">
            <v>-3.1847133757961776E-2</v>
          </cell>
          <cell r="BP664">
            <v>-3.2679738562091498E-2</v>
          </cell>
          <cell r="BQ664">
            <v>-3.2119914346895095E-2</v>
          </cell>
          <cell r="BR664">
            <v>-9.5808383233532912E-2</v>
          </cell>
          <cell r="BS664">
            <v>-4.8895899053627789E-2</v>
          </cell>
        </row>
        <row r="665">
          <cell r="A665" t="str">
            <v>Total</v>
          </cell>
          <cell r="BF665">
            <v>-0.10493046776232617</v>
          </cell>
          <cell r="BG665">
            <v>-0.12935928629359283</v>
          </cell>
          <cell r="BH665">
            <v>-0.11737962388923329</v>
          </cell>
          <cell r="BI665">
            <v>-0.12649572649572649</v>
          </cell>
          <cell r="BJ665">
            <v>-0.12035102381947349</v>
          </cell>
          <cell r="BK665">
            <v>4.0540540540540571E-2</v>
          </cell>
          <cell r="BL665">
            <v>-8.138921144304867E-2</v>
          </cell>
          <cell r="BM665">
            <v>6.3559322033898358E-2</v>
          </cell>
          <cell r="BN665">
            <v>3.2137866790870939E-2</v>
          </cell>
          <cell r="BO665">
            <v>4.7763989697962916E-2</v>
          </cell>
          <cell r="BP665">
            <v>0.1120352250489236</v>
          </cell>
          <cell r="BQ665">
            <v>6.8566904196357914E-2</v>
          </cell>
          <cell r="BR665">
            <v>1.0054461667364789E-2</v>
          </cell>
          <cell r="BS665">
            <v>5.2516662836129546E-2</v>
          </cell>
        </row>
        <row r="666">
          <cell r="A666" t="str">
            <v xml:space="preserve"> Of which in EM</v>
          </cell>
          <cell r="BF666">
            <v>-0.10792192881745122</v>
          </cell>
          <cell r="BG666">
            <v>-0.15048025613660621</v>
          </cell>
          <cell r="BH666">
            <v>-0.12997787610619471</v>
          </cell>
          <cell r="BI666">
            <v>-0.14865637507146945</v>
          </cell>
          <cell r="BJ666">
            <v>-0.13606710158434299</v>
          </cell>
          <cell r="BK666">
            <v>2.256944444444442E-2</v>
          </cell>
          <cell r="BL666">
            <v>-9.7419991540955819E-2</v>
          </cell>
          <cell r="BM666">
            <v>3.7966537966537928E-2</v>
          </cell>
          <cell r="BN666">
            <v>1.0050251256281451E-2</v>
          </cell>
          <cell r="BO666">
            <v>2.383979656706936E-2</v>
          </cell>
          <cell r="BP666">
            <v>0.1208865010073874</v>
          </cell>
          <cell r="BQ666">
            <v>5.5016181229773364E-2</v>
          </cell>
          <cell r="BR666">
            <v>-1.8109790605546072E-2</v>
          </cell>
          <cell r="BS666">
            <v>3.4832864729771984E-2</v>
          </cell>
        </row>
        <row r="667">
          <cell r="A667" t="str">
            <v>Of which in EM growth markets</v>
          </cell>
          <cell r="BF667">
            <v>-9.6671949286846304E-2</v>
          </cell>
          <cell r="BG667">
            <v>-6.25E-2</v>
          </cell>
          <cell r="BH667">
            <v>-8.0130825838103048E-2</v>
          </cell>
          <cell r="BI667">
            <v>-6.0913705583756306E-2</v>
          </cell>
          <cell r="BJ667">
            <v>-7.3869900771775132E-2</v>
          </cell>
          <cell r="BK667">
            <v>9.540636042402828E-2</v>
          </cell>
          <cell r="BL667">
            <v>-3.3613445378151252E-2</v>
          </cell>
          <cell r="BM667">
            <v>0.1333333333333333</v>
          </cell>
          <cell r="BN667">
            <v>9.5495495495495408E-2</v>
          </cell>
          <cell r="BO667">
            <v>0.11466666666666669</v>
          </cell>
          <cell r="BP667">
            <v>8.8288288288288275E-2</v>
          </cell>
          <cell r="BQ667">
            <v>0.10595238095238102</v>
          </cell>
          <cell r="BR667">
            <v>9.0322580645161299E-2</v>
          </cell>
          <cell r="BS667">
            <v>0.10173913043478255</v>
          </cell>
        </row>
        <row r="670">
          <cell r="A670" t="str">
            <v>Consumer Health</v>
          </cell>
        </row>
        <row r="672">
          <cell r="A672" t="str">
            <v>OTC</v>
          </cell>
          <cell r="B672">
            <v>498</v>
          </cell>
          <cell r="C672">
            <v>467</v>
          </cell>
          <cell r="D672">
            <v>965</v>
          </cell>
          <cell r="E672">
            <v>478</v>
          </cell>
          <cell r="F672">
            <v>1443</v>
          </cell>
          <cell r="G672">
            <v>532</v>
          </cell>
          <cell r="H672">
            <v>1975</v>
          </cell>
          <cell r="I672">
            <v>555</v>
          </cell>
          <cell r="J672">
            <v>524</v>
          </cell>
          <cell r="K672">
            <v>1079</v>
          </cell>
          <cell r="L672">
            <v>225</v>
          </cell>
          <cell r="M672">
            <v>1304</v>
          </cell>
          <cell r="N672">
            <v>646.30920800000001</v>
          </cell>
          <cell r="O672">
            <v>1950.3092080000001</v>
          </cell>
          <cell r="V672">
            <v>2220.8016321263167</v>
          </cell>
          <cell r="AC672">
            <v>2390.9687741040102</v>
          </cell>
          <cell r="AJ672">
            <v>2714.0609865759161</v>
          </cell>
          <cell r="AQ672">
            <v>2864.7732245837351</v>
          </cell>
          <cell r="AX672">
            <v>3016.9331036660637</v>
          </cell>
          <cell r="BE672">
            <v>3393.6365153155316</v>
          </cell>
          <cell r="BL672">
            <v>3398.9219450389619</v>
          </cell>
          <cell r="BS672">
            <v>3467.3698903867598</v>
          </cell>
          <cell r="CM672">
            <v>4.5763252767805344E-2</v>
          </cell>
          <cell r="CQ672">
            <v>0.1144578313253013</v>
          </cell>
          <cell r="CR672">
            <v>0.12205567451820132</v>
          </cell>
          <cell r="CS672">
            <v>8.7046632124352374E-2</v>
          </cell>
          <cell r="CT672">
            <v>8.6999999999999994E-2</v>
          </cell>
          <cell r="CU672">
            <v>-1.2501666835442959E-2</v>
          </cell>
          <cell r="CZ672">
            <v>0.06</v>
          </cell>
          <cell r="DA672">
            <v>0.04</v>
          </cell>
          <cell r="DB672">
            <v>0.04</v>
          </cell>
          <cell r="DC672" t="e">
            <v>#DIV/0!</v>
          </cell>
          <cell r="DD672">
            <v>0.04</v>
          </cell>
          <cell r="DE672">
            <v>0.04</v>
          </cell>
          <cell r="DF672">
            <v>0.04</v>
          </cell>
          <cell r="DG672">
            <v>0.04</v>
          </cell>
          <cell r="DH672">
            <v>0.04</v>
          </cell>
          <cell r="DI672">
            <v>0.04</v>
          </cell>
          <cell r="DJ672">
            <v>0.04</v>
          </cell>
          <cell r="DK672">
            <v>0.04</v>
          </cell>
        </row>
        <row r="673">
          <cell r="A673" t="str">
            <v>Animal Health</v>
          </cell>
          <cell r="B673">
            <v>168</v>
          </cell>
          <cell r="C673">
            <v>185</v>
          </cell>
          <cell r="D673">
            <v>353</v>
          </cell>
          <cell r="E673">
            <v>194</v>
          </cell>
          <cell r="F673">
            <v>547</v>
          </cell>
          <cell r="G673">
            <v>209</v>
          </cell>
          <cell r="H673">
            <v>756</v>
          </cell>
          <cell r="I673">
            <v>182</v>
          </cell>
          <cell r="J673">
            <v>208</v>
          </cell>
          <cell r="K673">
            <v>390</v>
          </cell>
          <cell r="L673">
            <v>214</v>
          </cell>
          <cell r="M673">
            <v>604</v>
          </cell>
          <cell r="N673">
            <v>221.16380000000001</v>
          </cell>
          <cell r="O673">
            <v>825.16380000000004</v>
          </cell>
          <cell r="V673">
            <v>851.67499271339454</v>
          </cell>
          <cell r="AC673">
            <v>908.11723305373334</v>
          </cell>
          <cell r="AJ673">
            <v>1020.9195035725883</v>
          </cell>
          <cell r="AQ673">
            <v>1067.2496785255546</v>
          </cell>
          <cell r="AX673">
            <v>1113.1286209511206</v>
          </cell>
          <cell r="BE673">
            <v>1240.0776456636252</v>
          </cell>
          <cell r="BL673">
            <v>1230.0666141296892</v>
          </cell>
          <cell r="BS673">
            <v>1242.7721116910175</v>
          </cell>
          <cell r="CM673">
            <v>1.3477468447750999E-2</v>
          </cell>
          <cell r="CQ673">
            <v>8.3333333333333259E-2</v>
          </cell>
          <cell r="CR673">
            <v>0.12432432432432439</v>
          </cell>
          <cell r="CS673">
            <v>0.10481586402266285</v>
          </cell>
          <cell r="CT673">
            <v>0.1</v>
          </cell>
          <cell r="CU673">
            <v>9.1486507936507921E-2</v>
          </cell>
          <cell r="CZ673">
            <v>0.04</v>
          </cell>
          <cell r="DA673">
            <v>0.03</v>
          </cell>
          <cell r="DB673">
            <v>0.03</v>
          </cell>
          <cell r="DC673" t="e">
            <v>#DIV/0!</v>
          </cell>
          <cell r="DD673">
            <v>0.03</v>
          </cell>
          <cell r="DE673">
            <v>0.03</v>
          </cell>
          <cell r="DF673">
            <v>0.03</v>
          </cell>
          <cell r="DG673">
            <v>0.03</v>
          </cell>
          <cell r="DH673">
            <v>0.03</v>
          </cell>
          <cell r="DI673">
            <v>0.03</v>
          </cell>
          <cell r="DJ673">
            <v>0.03</v>
          </cell>
          <cell r="DK673">
            <v>0.03</v>
          </cell>
        </row>
        <row r="674">
          <cell r="A674" t="str">
            <v>Medical Nutrition</v>
          </cell>
          <cell r="B674">
            <v>258</v>
          </cell>
          <cell r="C674">
            <v>289</v>
          </cell>
          <cell r="D674">
            <v>547</v>
          </cell>
          <cell r="E674">
            <v>289</v>
          </cell>
          <cell r="F674">
            <v>836</v>
          </cell>
          <cell r="G674">
            <v>285</v>
          </cell>
          <cell r="H674">
            <v>1121</v>
          </cell>
          <cell r="I674">
            <v>287</v>
          </cell>
          <cell r="J674">
            <v>328</v>
          </cell>
          <cell r="K674">
            <v>615</v>
          </cell>
          <cell r="L674">
            <v>322</v>
          </cell>
          <cell r="M674">
            <v>937</v>
          </cell>
          <cell r="N674">
            <v>307.07040000000001</v>
          </cell>
          <cell r="O674">
            <v>1244.0704000000001</v>
          </cell>
          <cell r="V674">
            <v>1308.7334760153155</v>
          </cell>
          <cell r="AC674">
            <v>654.36673800765777</v>
          </cell>
          <cell r="AJ674">
            <v>0</v>
          </cell>
          <cell r="AQ674">
            <v>0</v>
          </cell>
          <cell r="AX674">
            <v>0</v>
          </cell>
          <cell r="BE674">
            <v>0</v>
          </cell>
          <cell r="BL674">
            <v>0</v>
          </cell>
          <cell r="BS674">
            <v>0</v>
          </cell>
          <cell r="CM674">
            <v>0</v>
          </cell>
          <cell r="CQ674">
            <v>0.11240310077519378</v>
          </cell>
          <cell r="CR674">
            <v>0.13494809688581322</v>
          </cell>
          <cell r="CS674">
            <v>0.12431444241316281</v>
          </cell>
          <cell r="CT674">
            <v>0.12</v>
          </cell>
          <cell r="CU674">
            <v>0.1097862622658341</v>
          </cell>
          <cell r="CZ674">
            <v>0.06</v>
          </cell>
          <cell r="DA674">
            <v>0.04</v>
          </cell>
          <cell r="DB674">
            <v>0.04</v>
          </cell>
          <cell r="DC674" t="e">
            <v>#DIV/0!</v>
          </cell>
          <cell r="DD674">
            <v>0.04</v>
          </cell>
          <cell r="DE674">
            <v>0.04</v>
          </cell>
          <cell r="DF674">
            <v>0.04</v>
          </cell>
          <cell r="DG674">
            <v>0.04</v>
          </cell>
          <cell r="DH674">
            <v>0.04</v>
          </cell>
          <cell r="DI674">
            <v>0.04</v>
          </cell>
          <cell r="DJ674">
            <v>0.04</v>
          </cell>
          <cell r="DK674">
            <v>0.04</v>
          </cell>
        </row>
        <row r="675">
          <cell r="A675" t="str">
            <v>Infant and Baby</v>
          </cell>
          <cell r="B675">
            <v>349</v>
          </cell>
          <cell r="C675">
            <v>367</v>
          </cell>
          <cell r="D675">
            <v>716</v>
          </cell>
          <cell r="E675">
            <v>371</v>
          </cell>
          <cell r="F675">
            <v>1087</v>
          </cell>
          <cell r="G675">
            <v>354</v>
          </cell>
          <cell r="H675">
            <v>1441</v>
          </cell>
          <cell r="I675">
            <v>367</v>
          </cell>
          <cell r="J675">
            <v>391</v>
          </cell>
          <cell r="K675">
            <v>758</v>
          </cell>
          <cell r="L675">
            <v>392</v>
          </cell>
          <cell r="M675">
            <v>1150</v>
          </cell>
          <cell r="N675">
            <v>360.98088000000001</v>
          </cell>
          <cell r="O675">
            <v>1510.9808800000001</v>
          </cell>
          <cell r="V675">
            <v>1529.5353882877557</v>
          </cell>
          <cell r="AC675">
            <v>1615.0668322468405</v>
          </cell>
          <cell r="AJ675">
            <v>0</v>
          </cell>
          <cell r="AQ675">
            <v>0</v>
          </cell>
          <cell r="AX675">
            <v>0</v>
          </cell>
          <cell r="BE675">
            <v>0</v>
          </cell>
          <cell r="BL675">
            <v>0</v>
          </cell>
          <cell r="BS675">
            <v>0</v>
          </cell>
          <cell r="CM675">
            <v>0</v>
          </cell>
          <cell r="CQ675">
            <v>5.1575931232091587E-2</v>
          </cell>
          <cell r="CR675">
            <v>6.5395095367847489E-2</v>
          </cell>
          <cell r="CS675">
            <v>5.8659217877095049E-2</v>
          </cell>
          <cell r="CT675">
            <v>0.06</v>
          </cell>
          <cell r="CU675">
            <v>4.8564108258154048E-2</v>
          </cell>
          <cell r="CZ675">
            <v>0.02</v>
          </cell>
          <cell r="DA675">
            <v>0.02</v>
          </cell>
          <cell r="DB675">
            <v>0.02</v>
          </cell>
          <cell r="DC675" t="e">
            <v>#DIV/0!</v>
          </cell>
          <cell r="DD675">
            <v>0.02</v>
          </cell>
          <cell r="DE675">
            <v>0.02</v>
          </cell>
          <cell r="DF675">
            <v>0.02</v>
          </cell>
          <cell r="DG675">
            <v>0.02</v>
          </cell>
          <cell r="DH675">
            <v>0.02</v>
          </cell>
          <cell r="DI675">
            <v>0.02</v>
          </cell>
          <cell r="DJ675">
            <v>0.02</v>
          </cell>
          <cell r="DK675">
            <v>0.02</v>
          </cell>
        </row>
        <row r="676">
          <cell r="A676" t="str">
            <v>CIBA Vision</v>
          </cell>
          <cell r="B676">
            <v>337</v>
          </cell>
          <cell r="C676">
            <v>356</v>
          </cell>
          <cell r="D676">
            <v>693</v>
          </cell>
          <cell r="E676">
            <v>357</v>
          </cell>
          <cell r="F676">
            <v>1050</v>
          </cell>
          <cell r="G676">
            <v>362</v>
          </cell>
          <cell r="H676">
            <v>1412</v>
          </cell>
          <cell r="I676">
            <v>358</v>
          </cell>
          <cell r="J676">
            <v>384</v>
          </cell>
          <cell r="K676">
            <v>742</v>
          </cell>
          <cell r="L676">
            <v>382</v>
          </cell>
          <cell r="M676">
            <v>1124</v>
          </cell>
          <cell r="N676">
            <v>372.62108000000001</v>
          </cell>
          <cell r="O676">
            <v>1496.6210799999999</v>
          </cell>
          <cell r="V676">
            <v>1529.8521870000745</v>
          </cell>
          <cell r="AC676">
            <v>1631.238614407964</v>
          </cell>
          <cell r="AJ676">
            <v>1833.8637962300133</v>
          </cell>
          <cell r="AQ676">
            <v>1917.0860583397375</v>
          </cell>
          <cell r="AX676">
            <v>1999.4977776076557</v>
          </cell>
          <cell r="CM676">
            <v>-0.11140658503310936</v>
          </cell>
          <cell r="CQ676">
            <v>6.2314540059347223E-2</v>
          </cell>
          <cell r="CR676">
            <v>7.8651685393258397E-2</v>
          </cell>
          <cell r="CS676">
            <v>7.0707070707070718E-2</v>
          </cell>
          <cell r="CT676">
            <v>7.0000000000000007E-2</v>
          </cell>
          <cell r="CU676">
            <v>5.9929943342776237E-2</v>
          </cell>
          <cell r="CZ676">
            <v>0.03</v>
          </cell>
          <cell r="DA676">
            <v>0.03</v>
          </cell>
          <cell r="DB676">
            <v>0.03</v>
          </cell>
          <cell r="DC676" t="e">
            <v>#DIV/0!</v>
          </cell>
          <cell r="DD676">
            <v>0.03</v>
          </cell>
          <cell r="DE676">
            <v>0.03</v>
          </cell>
          <cell r="DF676">
            <v>0.03</v>
          </cell>
          <cell r="DG676">
            <v>0.03</v>
          </cell>
          <cell r="DH676">
            <v>0.03</v>
          </cell>
          <cell r="DI676">
            <v>0.03</v>
          </cell>
          <cell r="DJ676">
            <v>0.03</v>
          </cell>
          <cell r="DK676">
            <v>0.03</v>
          </cell>
        </row>
        <row r="678">
          <cell r="A678" t="str">
            <v>Consumer Health (US)</v>
          </cell>
          <cell r="W678">
            <v>430</v>
          </cell>
          <cell r="X678">
            <v>443</v>
          </cell>
          <cell r="Y678">
            <v>873</v>
          </cell>
          <cell r="Z678">
            <v>462</v>
          </cell>
          <cell r="AA678">
            <v>1335</v>
          </cell>
          <cell r="AB678">
            <v>430</v>
          </cell>
          <cell r="AC678">
            <v>1765</v>
          </cell>
          <cell r="AD678">
            <v>419</v>
          </cell>
          <cell r="AE678">
            <v>428</v>
          </cell>
          <cell r="AF678">
            <v>847</v>
          </cell>
          <cell r="AG678">
            <v>433</v>
          </cell>
          <cell r="AH678">
            <v>1280</v>
          </cell>
          <cell r="AI678">
            <v>434</v>
          </cell>
          <cell r="AJ678">
            <v>1714</v>
          </cell>
          <cell r="AK678">
            <v>421</v>
          </cell>
          <cell r="AL678">
            <v>447</v>
          </cell>
          <cell r="AM678">
            <v>868</v>
          </cell>
          <cell r="AN678">
            <v>461</v>
          </cell>
          <cell r="AO678">
            <v>1329</v>
          </cell>
          <cell r="AP678">
            <v>563</v>
          </cell>
          <cell r="AQ678">
            <v>1892</v>
          </cell>
          <cell r="AR678">
            <v>325</v>
          </cell>
          <cell r="AS678">
            <v>334</v>
          </cell>
          <cell r="AT678">
            <v>659</v>
          </cell>
          <cell r="AU678">
            <v>360</v>
          </cell>
          <cell r="AV678">
            <v>1019</v>
          </cell>
          <cell r="AW678">
            <v>400</v>
          </cell>
          <cell r="AX678">
            <v>1419</v>
          </cell>
          <cell r="AY678">
            <v>393</v>
          </cell>
          <cell r="AZ678">
            <v>368</v>
          </cell>
          <cell r="BA678">
            <v>761</v>
          </cell>
          <cell r="BB678">
            <v>361</v>
          </cell>
          <cell r="BC678">
            <v>1122</v>
          </cell>
          <cell r="BD678">
            <v>283</v>
          </cell>
          <cell r="BE678">
            <v>1405</v>
          </cell>
          <cell r="BF678">
            <v>161</v>
          </cell>
          <cell r="BG678">
            <v>167</v>
          </cell>
          <cell r="BH678">
            <v>328</v>
          </cell>
          <cell r="BI678">
            <v>148</v>
          </cell>
          <cell r="BJ678">
            <v>476</v>
          </cell>
          <cell r="BK678">
            <v>176</v>
          </cell>
          <cell r="BL678">
            <v>652</v>
          </cell>
          <cell r="BM678">
            <v>196</v>
          </cell>
          <cell r="BN678">
            <v>219</v>
          </cell>
          <cell r="BO678">
            <v>415</v>
          </cell>
          <cell r="BP678">
            <v>222</v>
          </cell>
          <cell r="BQ678">
            <v>637</v>
          </cell>
          <cell r="BR678">
            <v>210</v>
          </cell>
          <cell r="BS678">
            <v>847</v>
          </cell>
          <cell r="BT678">
            <v>254.8</v>
          </cell>
          <cell r="BU678">
            <v>284.7</v>
          </cell>
          <cell r="BV678">
            <v>539.5</v>
          </cell>
          <cell r="BW678">
            <v>288.60000000000002</v>
          </cell>
          <cell r="BX678">
            <v>828.1</v>
          </cell>
          <cell r="BY678">
            <v>273.00000000000011</v>
          </cell>
          <cell r="BZ678">
            <v>1101.1000000000001</v>
          </cell>
          <cell r="CA678">
            <v>1266.2650000000001</v>
          </cell>
          <cell r="CB678">
            <v>1329.5782500000003</v>
          </cell>
          <cell r="CC678">
            <v>1396.0571625000002</v>
          </cell>
          <cell r="CD678">
            <v>1451.8994490000002</v>
          </cell>
          <cell r="CE678">
            <v>1509.9754269600003</v>
          </cell>
          <cell r="CF678">
            <v>1570.3744440384003</v>
          </cell>
          <cell r="CG678">
            <v>1633.1894217999363</v>
          </cell>
          <cell r="CH678">
            <v>1698.5169986719338</v>
          </cell>
          <cell r="CI678">
            <v>1766.4576786188113</v>
          </cell>
          <cell r="CJ678">
            <v>1801.7868321911876</v>
          </cell>
        </row>
        <row r="679">
          <cell r="A679" t="str">
            <v xml:space="preserve">           growth </v>
          </cell>
          <cell r="AD679">
            <v>-2.5581395348837188E-2</v>
          </cell>
          <cell r="AE679">
            <v>-3.3860045146726914E-2</v>
          </cell>
          <cell r="AF679">
            <v>-2.9782359679266901E-2</v>
          </cell>
          <cell r="AG679">
            <v>-6.277056277056281E-2</v>
          </cell>
          <cell r="AH679">
            <v>-4.1198501872659166E-2</v>
          </cell>
          <cell r="AI679">
            <v>9.302325581395321E-3</v>
          </cell>
          <cell r="AJ679">
            <v>-2.8895184135977359E-2</v>
          </cell>
          <cell r="AK679">
            <v>4.7732696897375693E-3</v>
          </cell>
          <cell r="AL679">
            <v>4.4392523364485958E-2</v>
          </cell>
          <cell r="AM679">
            <v>2.4793388429751984E-2</v>
          </cell>
          <cell r="AN679">
            <v>6.4665127020785196E-2</v>
          </cell>
          <cell r="AO679">
            <v>3.8281250000000044E-2</v>
          </cell>
          <cell r="AP679">
            <v>0.29723502304147464</v>
          </cell>
          <cell r="AQ679">
            <v>0.1038506417736289</v>
          </cell>
          <cell r="AY679">
            <v>0.20923076923076933</v>
          </cell>
          <cell r="AZ679">
            <v>0.10179640718562877</v>
          </cell>
          <cell r="BA679">
            <v>0.15477996965098639</v>
          </cell>
          <cell r="BB679">
            <v>2.7777777777777679E-3</v>
          </cell>
          <cell r="BC679">
            <v>0.10107948969578007</v>
          </cell>
          <cell r="BD679">
            <v>-0.29249999999999998</v>
          </cell>
          <cell r="BE679">
            <v>-9.866102889358741E-3</v>
          </cell>
          <cell r="BF679">
            <v>-0.59033078880407119</v>
          </cell>
          <cell r="BG679">
            <v>-0.54619565217391308</v>
          </cell>
          <cell r="BH679">
            <v>-0.56898817345597896</v>
          </cell>
          <cell r="BI679">
            <v>0.06</v>
          </cell>
          <cell r="BJ679">
            <v>-0.57575757575757569</v>
          </cell>
          <cell r="BK679">
            <v>-0.37809187279151946</v>
          </cell>
          <cell r="BL679">
            <v>-0.53594306049822071</v>
          </cell>
          <cell r="BM679">
            <v>0.21739130434782616</v>
          </cell>
          <cell r="BN679">
            <v>0.31137724550898205</v>
          </cell>
          <cell r="BO679">
            <v>0.26524390243902429</v>
          </cell>
          <cell r="BP679">
            <v>0.5</v>
          </cell>
          <cell r="BQ679">
            <v>0.33823529411764697</v>
          </cell>
          <cell r="BR679">
            <v>0.19318181818181812</v>
          </cell>
          <cell r="BS679">
            <v>0.29907975460122693</v>
          </cell>
          <cell r="BT679">
            <v>0.3</v>
          </cell>
          <cell r="BU679">
            <v>0.3</v>
          </cell>
          <cell r="BV679">
            <v>0.30000000000000004</v>
          </cell>
          <cell r="BW679">
            <v>0.3</v>
          </cell>
          <cell r="BX679">
            <v>0.30000000000000004</v>
          </cell>
          <cell r="BY679">
            <v>0.30000000000000049</v>
          </cell>
          <cell r="BZ679">
            <v>0.3</v>
          </cell>
          <cell r="CA679">
            <v>0.15</v>
          </cell>
          <cell r="CB679">
            <v>0.05</v>
          </cell>
          <cell r="CC679">
            <v>0.05</v>
          </cell>
          <cell r="CD679">
            <v>0.04</v>
          </cell>
          <cell r="CE679">
            <v>0.04</v>
          </cell>
          <cell r="CF679">
            <v>0.04</v>
          </cell>
          <cell r="CG679">
            <v>0.04</v>
          </cell>
          <cell r="CH679">
            <v>0.04</v>
          </cell>
          <cell r="CI679">
            <v>0.04</v>
          </cell>
          <cell r="CJ679">
            <v>0.02</v>
          </cell>
        </row>
        <row r="680">
          <cell r="A680" t="str">
            <v>Consumer Health (ROW)</v>
          </cell>
          <cell r="W680">
            <v>848</v>
          </cell>
          <cell r="X680">
            <v>922</v>
          </cell>
          <cell r="Y680">
            <v>1770</v>
          </cell>
          <cell r="Z680">
            <v>911</v>
          </cell>
          <cell r="AA680">
            <v>2681</v>
          </cell>
          <cell r="AB680">
            <v>980</v>
          </cell>
          <cell r="AC680">
            <v>3661</v>
          </cell>
          <cell r="AD680">
            <v>1040</v>
          </cell>
          <cell r="AE680">
            <v>1100</v>
          </cell>
          <cell r="AF680">
            <v>2140</v>
          </cell>
          <cell r="AG680">
            <v>1040</v>
          </cell>
          <cell r="AH680">
            <v>3180</v>
          </cell>
          <cell r="AI680">
            <v>918</v>
          </cell>
          <cell r="AJ680">
            <v>4098</v>
          </cell>
          <cell r="AK680">
            <v>882</v>
          </cell>
          <cell r="AL680">
            <v>963</v>
          </cell>
          <cell r="AM680">
            <v>1845</v>
          </cell>
          <cell r="AN680">
            <v>1015</v>
          </cell>
          <cell r="AO680">
            <v>2860</v>
          </cell>
          <cell r="AP680">
            <v>1060</v>
          </cell>
          <cell r="AQ680">
            <v>3920</v>
          </cell>
          <cell r="AR680">
            <v>710</v>
          </cell>
          <cell r="AS680">
            <v>720</v>
          </cell>
          <cell r="AT680">
            <v>1430</v>
          </cell>
          <cell r="AU680">
            <v>750</v>
          </cell>
          <cell r="AV680">
            <v>2180</v>
          </cell>
          <cell r="AW680">
            <v>763</v>
          </cell>
          <cell r="AX680">
            <v>2943</v>
          </cell>
          <cell r="AY680">
            <v>776</v>
          </cell>
          <cell r="AZ680">
            <v>819</v>
          </cell>
          <cell r="BA680">
            <v>1595</v>
          </cell>
          <cell r="BB680">
            <v>836</v>
          </cell>
          <cell r="BC680">
            <v>2431</v>
          </cell>
          <cell r="BD680">
            <v>795</v>
          </cell>
          <cell r="BE680">
            <v>3226</v>
          </cell>
          <cell r="BF680">
            <v>771</v>
          </cell>
          <cell r="BG680">
            <v>737</v>
          </cell>
          <cell r="BH680">
            <v>1508</v>
          </cell>
          <cell r="BI680">
            <v>790</v>
          </cell>
          <cell r="BJ680">
            <v>2298</v>
          </cell>
          <cell r="BK680">
            <v>785</v>
          </cell>
          <cell r="BL680">
            <v>3083</v>
          </cell>
          <cell r="BM680">
            <v>791</v>
          </cell>
          <cell r="BN680">
            <v>785</v>
          </cell>
          <cell r="BO680">
            <v>1576</v>
          </cell>
          <cell r="BP680">
            <v>817</v>
          </cell>
          <cell r="BQ680">
            <v>2393</v>
          </cell>
          <cell r="BR680">
            <v>824</v>
          </cell>
          <cell r="BS680">
            <v>3217</v>
          </cell>
          <cell r="BT680">
            <v>819.97784790690775</v>
          </cell>
          <cell r="BU680">
            <v>837.35943788363159</v>
          </cell>
          <cell r="BV680">
            <v>1657.3372857905392</v>
          </cell>
          <cell r="BW680">
            <v>864.22155847981458</v>
          </cell>
          <cell r="BX680">
            <v>2521.5588442703538</v>
          </cell>
          <cell r="BY680">
            <v>858.76144504876493</v>
          </cell>
          <cell r="BZ680">
            <v>3380.3202893191187</v>
          </cell>
          <cell r="CA680">
            <v>3549.336303785075</v>
          </cell>
          <cell r="CB680">
            <v>3726.8031189743288</v>
          </cell>
          <cell r="CC680">
            <v>3913.1432749230453</v>
          </cell>
          <cell r="CD680">
            <v>4108.8004386691973</v>
          </cell>
          <cell r="CE680">
            <v>4314.2404606026575</v>
          </cell>
          <cell r="CF680">
            <v>4529.952483632791</v>
          </cell>
          <cell r="CG680">
            <v>4756.4501078144303</v>
          </cell>
          <cell r="CH680">
            <v>4994.2726132051521</v>
          </cell>
          <cell r="CI680">
            <v>5243.98624386541</v>
          </cell>
          <cell r="CJ680">
            <v>5348.865968742718</v>
          </cell>
        </row>
        <row r="681">
          <cell r="A681" t="str">
            <v xml:space="preserve">           growth </v>
          </cell>
          <cell r="AJ681">
            <v>3.452383260461378E-2</v>
          </cell>
          <cell r="AK681">
            <v>-4.7179996956514314E-2</v>
          </cell>
          <cell r="AL681">
            <v>-1.6284170992419522E-2</v>
          </cell>
          <cell r="AM681">
            <v>-0.13785046728971961</v>
          </cell>
          <cell r="AN681">
            <v>-2.4038461538461564E-2</v>
          </cell>
          <cell r="AO681">
            <v>-0.10062893081761004</v>
          </cell>
          <cell r="AP681">
            <v>0.15468409586056642</v>
          </cell>
          <cell r="AQ681">
            <v>-4.3435822352366982E-2</v>
          </cell>
          <cell r="AR681">
            <v>-0.19501133786848068</v>
          </cell>
          <cell r="AS681">
            <v>-0.25233644859813087</v>
          </cell>
          <cell r="AT681">
            <v>-0.22493224932249323</v>
          </cell>
          <cell r="AU681">
            <v>-0.26108374384236455</v>
          </cell>
          <cell r="AV681">
            <v>-0.23776223776223782</v>
          </cell>
          <cell r="AW681">
            <v>-0.28018867924528301</v>
          </cell>
          <cell r="AX681">
            <v>-0.24923469387755104</v>
          </cell>
          <cell r="AY681">
            <v>9.2957746478873338E-2</v>
          </cell>
          <cell r="AZ681">
            <v>0.13749999999999996</v>
          </cell>
          <cell r="BA681">
            <v>0.11538461538461542</v>
          </cell>
          <cell r="BB681">
            <v>0.11466666666666669</v>
          </cell>
          <cell r="BC681">
            <v>0.11513761467889916</v>
          </cell>
          <cell r="BD681">
            <v>4.1939711664482404E-2</v>
          </cell>
          <cell r="BE681">
            <v>9.6160380564050296E-2</v>
          </cell>
          <cell r="BF681">
            <v>-6.4432989690721421E-3</v>
          </cell>
          <cell r="BG681">
            <v>-0.1001221001221001</v>
          </cell>
          <cell r="BH681">
            <v>-5.4545454545454564E-2</v>
          </cell>
          <cell r="BI681">
            <v>-5.5023923444976086E-2</v>
          </cell>
          <cell r="BJ681">
            <v>-5.4709995886466523E-2</v>
          </cell>
          <cell r="BK681">
            <v>-1.2578616352201255E-2</v>
          </cell>
          <cell r="BL681">
            <v>-4.4327340359578415E-2</v>
          </cell>
          <cell r="BM681">
            <v>2.5940337224383825E-2</v>
          </cell>
          <cell r="BN681">
            <v>6.5128900949796398E-2</v>
          </cell>
          <cell r="BO681">
            <v>4.5092838196286511E-2</v>
          </cell>
          <cell r="BP681">
            <v>3.4177215189873378E-2</v>
          </cell>
          <cell r="BQ681">
            <v>4.1340295909486402E-2</v>
          </cell>
          <cell r="BR681">
            <v>4.9681528662420371E-2</v>
          </cell>
          <cell r="BS681">
            <v>4.3464158287382482E-2</v>
          </cell>
          <cell r="BT681">
            <v>3.6634447417076776E-2</v>
          </cell>
          <cell r="BU681">
            <v>6.669992087086829E-2</v>
          </cell>
          <cell r="BV681">
            <v>5.16099529127787E-2</v>
          </cell>
          <cell r="BW681">
            <v>5.7798725189491584E-2</v>
          </cell>
          <cell r="BX681">
            <v>5.3722876836754585E-2</v>
          </cell>
          <cell r="BY681">
            <v>4.2186219719374973E-2</v>
          </cell>
          <cell r="BZ681">
            <v>5.0767886017755171E-2</v>
          </cell>
          <cell r="CA681">
            <v>5.0000000000000044E-2</v>
          </cell>
          <cell r="CB681">
            <v>5.0000000000000044E-2</v>
          </cell>
          <cell r="CC681">
            <v>5.0000000000000044E-2</v>
          </cell>
          <cell r="CD681">
            <v>5.0000000000000044E-2</v>
          </cell>
          <cell r="CE681">
            <v>5.0000000000000044E-2</v>
          </cell>
          <cell r="CF681">
            <v>5.0000000000000044E-2</v>
          </cell>
          <cell r="CG681">
            <v>5.0000000000000044E-2</v>
          </cell>
          <cell r="CH681">
            <v>5.0000000000000044E-2</v>
          </cell>
          <cell r="CI681">
            <v>5.0000000000000044E-2</v>
          </cell>
          <cell r="CJ681">
            <v>2.0000000000000018E-2</v>
          </cell>
        </row>
        <row r="682">
          <cell r="A682" t="str">
            <v xml:space="preserve">   CER growth </v>
          </cell>
          <cell r="AD682">
            <v>8.2007471890795269E-2</v>
          </cell>
          <cell r="AE682">
            <v>2.8326973460814919E-2</v>
          </cell>
          <cell r="AF682">
            <v>5.4469939363733788E-2</v>
          </cell>
          <cell r="AG682">
            <v>4.4187324006079498E-2</v>
          </cell>
          <cell r="AH682">
            <v>6.013212082025321E-2</v>
          </cell>
          <cell r="AI682">
            <v>-3.5788559001063147E-3</v>
          </cell>
          <cell r="BI682">
            <v>7.0000000000000007E-2</v>
          </cell>
          <cell r="BJ682">
            <v>-5.4709995886466523E-2</v>
          </cell>
          <cell r="BT682">
            <v>0.05</v>
          </cell>
          <cell r="BU682">
            <v>0.05</v>
          </cell>
          <cell r="BW682">
            <v>0.05</v>
          </cell>
          <cell r="BY682">
            <v>3.5377952763188336E-2</v>
          </cell>
          <cell r="BZ682">
            <v>0.05</v>
          </cell>
          <cell r="CA682">
            <v>0.05</v>
          </cell>
          <cell r="CB682">
            <v>0.05</v>
          </cell>
          <cell r="CC682">
            <v>0.05</v>
          </cell>
          <cell r="CD682">
            <v>0.05</v>
          </cell>
          <cell r="CE682">
            <v>0.05</v>
          </cell>
          <cell r="CF682">
            <v>0.05</v>
          </cell>
          <cell r="CG682">
            <v>0.05</v>
          </cell>
          <cell r="CH682">
            <v>0.05</v>
          </cell>
          <cell r="CI682">
            <v>0.05</v>
          </cell>
          <cell r="CJ682">
            <v>0.02</v>
          </cell>
        </row>
        <row r="684">
          <cell r="A684" t="str">
            <v>Consumer Health (ongoing)</v>
          </cell>
          <cell r="B684">
            <v>1610</v>
          </cell>
          <cell r="C684">
            <v>1664</v>
          </cell>
          <cell r="D684">
            <v>3274</v>
          </cell>
          <cell r="E684">
            <v>1689</v>
          </cell>
          <cell r="F684">
            <v>4963</v>
          </cell>
          <cell r="G684">
            <v>1742</v>
          </cell>
          <cell r="H684">
            <v>6705</v>
          </cell>
          <cell r="I684">
            <v>1448</v>
          </cell>
          <cell r="J684">
            <v>1515</v>
          </cell>
          <cell r="K684">
            <v>2963</v>
          </cell>
          <cell r="L684">
            <v>1535</v>
          </cell>
          <cell r="M684">
            <v>4498</v>
          </cell>
          <cell r="N684">
            <v>1551</v>
          </cell>
          <cell r="O684">
            <v>6049</v>
          </cell>
          <cell r="P684">
            <v>1183</v>
          </cell>
          <cell r="Q684">
            <v>1232</v>
          </cell>
          <cell r="R684">
            <v>2415</v>
          </cell>
          <cell r="S684">
            <v>1246</v>
          </cell>
          <cell r="T684">
            <v>3661</v>
          </cell>
          <cell r="U684">
            <v>1241</v>
          </cell>
          <cell r="V684">
            <v>4902</v>
          </cell>
          <cell r="W684">
            <v>1278</v>
          </cell>
          <cell r="X684">
            <v>1365</v>
          </cell>
          <cell r="Y684">
            <v>2643</v>
          </cell>
          <cell r="Z684">
            <v>1373</v>
          </cell>
          <cell r="AA684">
            <v>4016</v>
          </cell>
          <cell r="AB684">
            <v>1410</v>
          </cell>
          <cell r="AC684">
            <v>5426</v>
          </cell>
          <cell r="AD684">
            <v>1459</v>
          </cell>
          <cell r="AE684">
            <v>1528</v>
          </cell>
          <cell r="AF684">
            <v>2987</v>
          </cell>
          <cell r="AG684">
            <v>1473</v>
          </cell>
          <cell r="AH684">
            <v>4460</v>
          </cell>
          <cell r="AI684">
            <v>1352</v>
          </cell>
          <cell r="AJ684">
            <v>5812</v>
          </cell>
          <cell r="AK684">
            <v>1303</v>
          </cell>
          <cell r="AL684">
            <v>1410</v>
          </cell>
          <cell r="AM684">
            <v>2713</v>
          </cell>
          <cell r="AN684">
            <v>1476</v>
          </cell>
          <cell r="AO684">
            <v>4189</v>
          </cell>
          <cell r="AP684">
            <v>1623</v>
          </cell>
          <cell r="AQ684">
            <v>5812</v>
          </cell>
          <cell r="AR684">
            <v>1035</v>
          </cell>
          <cell r="AS684">
            <v>1054</v>
          </cell>
          <cell r="AT684">
            <v>2089</v>
          </cell>
          <cell r="AU684">
            <v>1110</v>
          </cell>
          <cell r="AV684">
            <v>3199</v>
          </cell>
          <cell r="AW684">
            <v>1163</v>
          </cell>
          <cell r="AX684">
            <v>4362</v>
          </cell>
          <cell r="AY684">
            <v>1169</v>
          </cell>
          <cell r="AZ684">
            <v>1187</v>
          </cell>
          <cell r="BA684">
            <v>2356</v>
          </cell>
          <cell r="BB684">
            <v>1197</v>
          </cell>
          <cell r="BC684">
            <v>3553</v>
          </cell>
          <cell r="BD684">
            <v>1078</v>
          </cell>
          <cell r="BE684">
            <v>4631</v>
          </cell>
          <cell r="BF684">
            <v>932</v>
          </cell>
          <cell r="BG684">
            <v>904</v>
          </cell>
          <cell r="BH684">
            <v>1836</v>
          </cell>
          <cell r="BI684">
            <v>938</v>
          </cell>
          <cell r="BJ684">
            <v>2774</v>
          </cell>
          <cell r="BK684">
            <v>961</v>
          </cell>
          <cell r="BL684">
            <v>3735</v>
          </cell>
          <cell r="BM684">
            <v>987</v>
          </cell>
          <cell r="BN684">
            <v>1004</v>
          </cell>
          <cell r="BO684">
            <v>1991</v>
          </cell>
          <cell r="BP684">
            <v>1039</v>
          </cell>
          <cell r="BQ684">
            <v>3030</v>
          </cell>
          <cell r="BR684">
            <v>1034</v>
          </cell>
          <cell r="BS684">
            <v>4064</v>
          </cell>
          <cell r="BT684">
            <v>1074.7778479069077</v>
          </cell>
          <cell r="BU684">
            <v>1122.0594378836315</v>
          </cell>
          <cell r="BV684">
            <v>2196.8372857905392</v>
          </cell>
          <cell r="BW684">
            <v>1152.8215584798145</v>
          </cell>
          <cell r="BX684">
            <v>3349.6588442703537</v>
          </cell>
          <cell r="BY684">
            <v>1131.7614450487649</v>
          </cell>
          <cell r="BZ684">
            <v>4481.4202893191186</v>
          </cell>
          <cell r="CA684">
            <v>4815.6013037850753</v>
          </cell>
          <cell r="CB684">
            <v>5056.3813689743292</v>
          </cell>
          <cell r="CC684">
            <v>5309.2004374230455</v>
          </cell>
          <cell r="CD684">
            <v>5560.6998876691978</v>
          </cell>
          <cell r="CE684">
            <v>5824.2158875626574</v>
          </cell>
          <cell r="CF684">
            <v>6100.3269276711908</v>
          </cell>
          <cell r="CG684">
            <v>6389.6395296143664</v>
          </cell>
          <cell r="CH684">
            <v>6692.7896118770859</v>
          </cell>
          <cell r="CI684">
            <v>7010.4439224842208</v>
          </cell>
          <cell r="CJ684">
            <v>7150.6528009339054</v>
          </cell>
          <cell r="CV684">
            <v>-0.18301104972375692</v>
          </cell>
          <cell r="CW684">
            <v>-0.18679867986798682</v>
          </cell>
          <cell r="CX684">
            <v>-0.18827361563517919</v>
          </cell>
          <cell r="CY684">
            <v>4.9027895181741332E-2</v>
          </cell>
          <cell r="CZ684">
            <v>-0.18961811869730538</v>
          </cell>
          <cell r="DA684">
            <v>8.0304311073541745E-2</v>
          </cell>
          <cell r="DB684">
            <v>0.08</v>
          </cell>
          <cell r="DC684">
            <v>0.10192616372391661</v>
          </cell>
          <cell r="DD684">
            <v>0.05</v>
          </cell>
          <cell r="DE684">
            <v>0.10689514483884133</v>
          </cell>
          <cell r="DF684">
            <v>0.03</v>
          </cell>
          <cell r="DG684">
            <v>0.03</v>
          </cell>
          <cell r="DH684">
            <v>0.03</v>
          </cell>
          <cell r="DI684">
            <v>0.03</v>
          </cell>
          <cell r="DJ684">
            <v>0.03</v>
          </cell>
          <cell r="DK684">
            <v>0.03</v>
          </cell>
        </row>
        <row r="685">
          <cell r="W685">
            <v>8.0304311073541745E-2</v>
          </cell>
          <cell r="X685">
            <v>0.10795454545454541</v>
          </cell>
          <cell r="Y685">
            <v>9.4409937888198847E-2</v>
          </cell>
          <cell r="Z685">
            <v>0.10192616372391661</v>
          </cell>
          <cell r="AA685">
            <v>9.6968041518710635E-2</v>
          </cell>
          <cell r="AB685">
            <v>0.13618049959709921</v>
          </cell>
          <cell r="AC685">
            <v>0.10689514483884133</v>
          </cell>
          <cell r="AD685">
            <v>0.14162754303599367</v>
          </cell>
          <cell r="AE685">
            <v>0.11941391941391943</v>
          </cell>
          <cell r="AF685">
            <v>0.13015512674990548</v>
          </cell>
          <cell r="AG685">
            <v>7.283321194464687E-2</v>
          </cell>
          <cell r="AH685">
            <v>0.11055776892430269</v>
          </cell>
          <cell r="AI685">
            <v>-4.1134751773049594E-2</v>
          </cell>
          <cell r="AJ685">
            <v>1.5821115004239862E-2</v>
          </cell>
          <cell r="AK685">
            <v>-3.0393868592683119E-2</v>
          </cell>
          <cell r="AL685">
            <v>2.9516321122164714E-3</v>
          </cell>
          <cell r="AM685">
            <v>-8.5814025430338364E-2</v>
          </cell>
          <cell r="AN685">
            <v>3.6663855657476201E-3</v>
          </cell>
          <cell r="AO685">
            <v>-5.6558357815317421E-2</v>
          </cell>
          <cell r="AP685">
            <v>0.20413337004593385</v>
          </cell>
          <cell r="AQ685">
            <v>4.5108380272586568E-3</v>
          </cell>
          <cell r="AR685">
            <v>-0.13377589361026213</v>
          </cell>
          <cell r="AS685">
            <v>-0.17237404458316341</v>
          </cell>
          <cell r="AT685">
            <v>-0.15397468479232423</v>
          </cell>
          <cell r="AU685">
            <v>-0.1764079350286247</v>
          </cell>
          <cell r="AV685">
            <v>-0.16202615764979006</v>
          </cell>
          <cell r="AW685">
            <v>-0.18382111974561557</v>
          </cell>
          <cell r="AX685">
            <v>-0.16815628245796257</v>
          </cell>
          <cell r="AY685">
            <v>0.13204696627484863</v>
          </cell>
          <cell r="AZ685">
            <v>0.12643098386209886</v>
          </cell>
          <cell r="BA685">
            <v>0.12810951546810789</v>
          </cell>
          <cell r="BB685">
            <v>8.0922398589065275E-2</v>
          </cell>
          <cell r="BC685">
            <v>0.11069820678949313</v>
          </cell>
          <cell r="BD685">
            <v>-4.5858468670442021E-2</v>
          </cell>
          <cell r="BE685">
            <v>6.3992984914721926E-2</v>
          </cell>
          <cell r="BF685">
            <v>-0.10730798337189923</v>
          </cell>
          <cell r="BG685">
            <v>-0.18252728064494608</v>
          </cell>
          <cell r="BH685">
            <v>-0.14645025400223671</v>
          </cell>
          <cell r="BI685">
            <v>6.8422174840085295E-2</v>
          </cell>
          <cell r="BJ685">
            <v>-0.14411830447285728</v>
          </cell>
          <cell r="BK685">
            <v>-6.9244713435283489E-2</v>
          </cell>
          <cell r="BL685">
            <v>-9.3556860895539468E-2</v>
          </cell>
          <cell r="BM685">
            <v>4.3169904409497396E-2</v>
          </cell>
          <cell r="BN685">
            <v>6.7919937018393495E-2</v>
          </cell>
          <cell r="BO685">
            <v>5.5286900809741371E-2</v>
          </cell>
          <cell r="BP685">
            <v>0.1068334937439846</v>
          </cell>
          <cell r="BQ685">
            <v>7.1107551931663737E-2</v>
          </cell>
          <cell r="BR685">
            <v>3.9234218392825732E-2</v>
          </cell>
          <cell r="BS685">
            <v>6.2332813028356103E-2</v>
          </cell>
          <cell r="BT685">
            <v>0.10926806188279144</v>
          </cell>
          <cell r="BU685">
            <v>0.1134324685457363</v>
          </cell>
          <cell r="BV685">
            <v>7.3674095503963449E-2</v>
          </cell>
          <cell r="BW685">
            <v>0.11258557490470747</v>
          </cell>
          <cell r="BX685">
            <v>7.4165761813309319E-2</v>
          </cell>
          <cell r="BY685">
            <v>9.9209265635431504E-2</v>
          </cell>
          <cell r="BZ685">
            <v>0.11142583873601014</v>
          </cell>
          <cell r="CA685">
            <v>7.6295054763040951E-2</v>
          </cell>
          <cell r="CB685">
            <v>4.9999999999999996E-2</v>
          </cell>
          <cell r="CC685">
            <v>0.05</v>
          </cell>
          <cell r="CD685">
            <v>4.7388998726186293E-2</v>
          </cell>
          <cell r="CE685">
            <v>4.7407418515882149E-2</v>
          </cell>
          <cell r="CF685">
            <v>4.7425753631473173E-2</v>
          </cell>
          <cell r="CG685">
            <v>4.74440038217641E-2</v>
          </cell>
          <cell r="CH685">
            <v>4.7462168845621967E-2</v>
          </cell>
          <cell r="CI685">
            <v>4.7480248471921525E-2</v>
          </cell>
          <cell r="CJ685">
            <v>0.02</v>
          </cell>
        </row>
        <row r="686">
          <cell r="A686" t="str">
            <v>Discontinued Ops</v>
          </cell>
          <cell r="I686">
            <v>301</v>
          </cell>
          <cell r="J686">
            <v>320</v>
          </cell>
          <cell r="K686">
            <v>621</v>
          </cell>
          <cell r="L686">
            <v>301</v>
          </cell>
          <cell r="M686">
            <v>922</v>
          </cell>
          <cell r="N686">
            <v>285</v>
          </cell>
          <cell r="O686">
            <v>1207</v>
          </cell>
          <cell r="P686">
            <v>635</v>
          </cell>
          <cell r="Q686">
            <v>674</v>
          </cell>
          <cell r="R686">
            <v>1309</v>
          </cell>
          <cell r="S686">
            <v>663</v>
          </cell>
          <cell r="T686">
            <v>1972</v>
          </cell>
          <cell r="U686">
            <v>655</v>
          </cell>
          <cell r="V686">
            <v>2627</v>
          </cell>
          <cell r="W686">
            <v>691</v>
          </cell>
          <cell r="X686">
            <v>722</v>
          </cell>
          <cell r="Y686">
            <v>1413</v>
          </cell>
          <cell r="Z686">
            <v>315</v>
          </cell>
          <cell r="AA686">
            <v>1728</v>
          </cell>
          <cell r="AC686">
            <v>1728</v>
          </cell>
          <cell r="DA686">
            <v>8.8188976377952866E-2</v>
          </cell>
          <cell r="DB686">
            <v>0.08</v>
          </cell>
          <cell r="DC686">
            <v>-0.52488687782805432</v>
          </cell>
          <cell r="DD686">
            <v>0.05</v>
          </cell>
          <cell r="DE686">
            <v>-0.34221545489151128</v>
          </cell>
          <cell r="DF686">
            <v>0.05</v>
          </cell>
          <cell r="DG686">
            <v>0.05</v>
          </cell>
          <cell r="DH686">
            <v>0.05</v>
          </cell>
          <cell r="DI686">
            <v>0.05</v>
          </cell>
          <cell r="DJ686">
            <v>0.05</v>
          </cell>
          <cell r="DK686">
            <v>0.05</v>
          </cell>
        </row>
        <row r="687">
          <cell r="A687" t="str">
            <v>Consumer Health</v>
          </cell>
          <cell r="B687">
            <v>1610</v>
          </cell>
          <cell r="C687">
            <v>1664</v>
          </cell>
          <cell r="D687">
            <v>3274</v>
          </cell>
          <cell r="E687">
            <v>1689</v>
          </cell>
          <cell r="F687">
            <v>4963</v>
          </cell>
          <cell r="G687">
            <v>1742</v>
          </cell>
          <cell r="H687">
            <v>6705</v>
          </cell>
          <cell r="I687">
            <v>1749</v>
          </cell>
          <cell r="J687">
            <v>1835</v>
          </cell>
          <cell r="K687">
            <v>3584</v>
          </cell>
          <cell r="L687">
            <v>1836</v>
          </cell>
          <cell r="M687">
            <v>5420</v>
          </cell>
          <cell r="N687">
            <v>1836</v>
          </cell>
          <cell r="O687">
            <v>7256</v>
          </cell>
          <cell r="P687">
            <v>1818</v>
          </cell>
          <cell r="Q687">
            <v>1906</v>
          </cell>
          <cell r="R687">
            <v>3724</v>
          </cell>
          <cell r="S687">
            <v>1909</v>
          </cell>
          <cell r="T687">
            <v>5633</v>
          </cell>
          <cell r="U687">
            <v>1896</v>
          </cell>
          <cell r="V687">
            <v>7529</v>
          </cell>
          <cell r="W687">
            <v>1969</v>
          </cell>
          <cell r="X687">
            <v>2087</v>
          </cell>
          <cell r="Y687">
            <v>4056</v>
          </cell>
          <cell r="Z687">
            <v>1688</v>
          </cell>
          <cell r="AA687">
            <v>5744</v>
          </cell>
          <cell r="AB687">
            <v>1410</v>
          </cell>
          <cell r="AC687">
            <v>7154</v>
          </cell>
          <cell r="AD687">
            <v>1459</v>
          </cell>
          <cell r="AE687">
            <v>1528</v>
          </cell>
          <cell r="AF687">
            <v>2987</v>
          </cell>
          <cell r="AG687">
            <v>1473</v>
          </cell>
          <cell r="AH687">
            <v>4460</v>
          </cell>
          <cell r="AI687">
            <v>1352</v>
          </cell>
          <cell r="AJ687">
            <v>5812</v>
          </cell>
          <cell r="AK687">
            <v>1303</v>
          </cell>
          <cell r="AL687">
            <v>1410</v>
          </cell>
          <cell r="AM687">
            <v>2713</v>
          </cell>
          <cell r="AN687">
            <v>1476</v>
          </cell>
          <cell r="AO687">
            <v>4189</v>
          </cell>
          <cell r="AP687">
            <v>1623</v>
          </cell>
          <cell r="AQ687">
            <v>5812</v>
          </cell>
          <cell r="AR687">
            <v>1035</v>
          </cell>
          <cell r="AS687">
            <v>1054</v>
          </cell>
          <cell r="AT687">
            <v>2089</v>
          </cell>
          <cell r="AU687">
            <v>1110</v>
          </cell>
          <cell r="AV687">
            <v>3199</v>
          </cell>
          <cell r="AW687">
            <v>1163</v>
          </cell>
          <cell r="AX687">
            <v>4362</v>
          </cell>
          <cell r="AY687">
            <v>1169</v>
          </cell>
          <cell r="AZ687">
            <v>1187</v>
          </cell>
          <cell r="BA687">
            <v>2356</v>
          </cell>
          <cell r="BB687">
            <v>1197</v>
          </cell>
          <cell r="BC687">
            <v>3553</v>
          </cell>
          <cell r="BD687">
            <v>1078</v>
          </cell>
          <cell r="BE687">
            <v>4631</v>
          </cell>
          <cell r="BF687">
            <v>932</v>
          </cell>
          <cell r="BG687">
            <v>904</v>
          </cell>
          <cell r="BH687">
            <v>1836</v>
          </cell>
          <cell r="BI687">
            <v>938</v>
          </cell>
          <cell r="BJ687">
            <v>2774</v>
          </cell>
          <cell r="BK687">
            <v>961</v>
          </cell>
          <cell r="BL687">
            <v>3735</v>
          </cell>
          <cell r="BM687">
            <v>987</v>
          </cell>
          <cell r="BN687">
            <v>1004</v>
          </cell>
          <cell r="BO687">
            <v>1991</v>
          </cell>
          <cell r="BP687">
            <v>1039</v>
          </cell>
          <cell r="BQ687">
            <v>3030</v>
          </cell>
          <cell r="BR687">
            <v>1034</v>
          </cell>
          <cell r="BS687">
            <v>4064</v>
          </cell>
          <cell r="BT687">
            <v>1074.7778479069077</v>
          </cell>
          <cell r="BU687">
            <v>1122.0594378836315</v>
          </cell>
          <cell r="BV687">
            <v>2196.8372857905392</v>
          </cell>
          <cell r="BW687">
            <v>1152.8215584798145</v>
          </cell>
          <cell r="BX687">
            <v>3349.6588442703537</v>
          </cell>
          <cell r="BY687">
            <v>1131.7614450487649</v>
          </cell>
          <cell r="BZ687">
            <v>4481.4202893191186</v>
          </cell>
          <cell r="CA687">
            <v>4815.6013037850753</v>
          </cell>
          <cell r="CB687">
            <v>5056.3813689743292</v>
          </cell>
          <cell r="CC687">
            <v>5309.2004374230455</v>
          </cell>
          <cell r="CD687">
            <v>5560.6998876691978</v>
          </cell>
          <cell r="CE687">
            <v>5824.2158875626574</v>
          </cell>
          <cell r="CF687">
            <v>6100.3269276711908</v>
          </cell>
          <cell r="CG687">
            <v>6389.6395296143664</v>
          </cell>
          <cell r="CH687">
            <v>6692.7896118770859</v>
          </cell>
          <cell r="CI687">
            <v>7010.4439224842208</v>
          </cell>
          <cell r="CJ687">
            <v>7150.6528009339054</v>
          </cell>
          <cell r="CM687">
            <v>-0.10619038940526092</v>
          </cell>
          <cell r="CU687">
            <v>8.2177479492915761E-2</v>
          </cell>
          <cell r="CZ687">
            <v>4.32444291205758E-2</v>
          </cell>
          <cell r="DA687">
            <v>8.3058305830583157E-2</v>
          </cell>
          <cell r="DB687">
            <v>9.4963273871983223E-2</v>
          </cell>
          <cell r="DC687">
            <v>-0.11576741749607122</v>
          </cell>
          <cell r="DD687">
            <v>-0.25632911392405067</v>
          </cell>
          <cell r="DE687">
            <v>-4.9807411342807861E-2</v>
          </cell>
          <cell r="DF687">
            <v>-0.18758736371260831</v>
          </cell>
          <cell r="DG687">
            <v>0</v>
          </cell>
          <cell r="DH687">
            <v>-0.2494838265657261</v>
          </cell>
          <cell r="DI687">
            <v>6.1668959193030615E-2</v>
          </cell>
          <cell r="DJ687">
            <v>-0.1934787302958324</v>
          </cell>
          <cell r="DK687">
            <v>8.8085676037483296E-2</v>
          </cell>
        </row>
        <row r="688">
          <cell r="A688" t="str">
            <v>Growth %</v>
          </cell>
          <cell r="O688">
            <v>8.2177479492915761E-2</v>
          </cell>
          <cell r="X688">
            <v>3.7346996558783797E-2</v>
          </cell>
          <cell r="Y688">
            <v>3.2889852622294123E-2</v>
          </cell>
          <cell r="Z688">
            <v>1.90205815006124E-2</v>
          </cell>
          <cell r="AA688">
            <v>2.9171444245183146E-2</v>
          </cell>
          <cell r="AB688">
            <v>0</v>
          </cell>
          <cell r="AC688">
            <v>2.5819794559899054E-2</v>
          </cell>
          <cell r="AD688">
            <v>8.2007471890795269E-2</v>
          </cell>
          <cell r="AE688">
            <v>2.8326973460814919E-2</v>
          </cell>
          <cell r="AF688">
            <v>5.4469939363733788E-2</v>
          </cell>
          <cell r="AG688">
            <v>4.4187324006079498E-2</v>
          </cell>
          <cell r="AH688">
            <v>6.0132120820253203E-2</v>
          </cell>
          <cell r="AI688">
            <v>-3.5788559001063147E-3</v>
          </cell>
          <cell r="AJ688">
            <v>3.452383260461378E-2</v>
          </cell>
          <cell r="AK688">
            <v>-4.7179996956514314E-2</v>
          </cell>
          <cell r="AL688">
            <v>-1.6284170992419522E-2</v>
          </cell>
          <cell r="AM688">
            <v>-0.13785046728971961</v>
          </cell>
          <cell r="AN688">
            <v>-2.4038461538461564E-2</v>
          </cell>
          <cell r="AO688">
            <v>-0.10062893081761004</v>
          </cell>
          <cell r="AP688">
            <v>0.15468409586056642</v>
          </cell>
          <cell r="AQ688">
            <v>-4.3435822352366982E-2</v>
          </cell>
          <cell r="AR688">
            <v>-0.19501133786848068</v>
          </cell>
          <cell r="AS688">
            <v>-0.25233644859813087</v>
          </cell>
          <cell r="AT688">
            <v>-0.22493224932249323</v>
          </cell>
          <cell r="AU688">
            <v>-0.26108374384236455</v>
          </cell>
          <cell r="AV688">
            <v>-0.23776223776223784</v>
          </cell>
          <cell r="AW688">
            <v>-0.28018867924528301</v>
          </cell>
          <cell r="AX688">
            <v>-0.2494838265657261</v>
          </cell>
          <cell r="AY688">
            <v>0.12946859903381647</v>
          </cell>
          <cell r="AZ688">
            <v>0.12618595825426948</v>
          </cell>
          <cell r="BA688">
            <v>0.12781235040689332</v>
          </cell>
          <cell r="BB688">
            <v>7.8378378378378466E-2</v>
          </cell>
          <cell r="BC688">
            <v>0.11065958111909979</v>
          </cell>
          <cell r="BD688">
            <v>-7.3086844368013715E-2</v>
          </cell>
          <cell r="BE688">
            <v>6.1668959193030615E-2</v>
          </cell>
          <cell r="BF688">
            <v>-0.20273738237810091</v>
          </cell>
          <cell r="BG688">
            <v>-0.23841617523167646</v>
          </cell>
          <cell r="BH688">
            <v>-0.22071307300509335</v>
          </cell>
          <cell r="BI688">
            <v>-0.216374269005848</v>
          </cell>
          <cell r="BJ688">
            <v>-0.21925133689839571</v>
          </cell>
          <cell r="BK688">
            <v>-0.10853432282003705</v>
          </cell>
          <cell r="BL688">
            <v>-0.1934787302958324</v>
          </cell>
          <cell r="BM688">
            <v>5.9012875536480713E-2</v>
          </cell>
          <cell r="BN688">
            <v>0.11061946902654873</v>
          </cell>
          <cell r="BO688">
            <v>8.4422657952069713E-2</v>
          </cell>
          <cell r="BP688">
            <v>0.10767590618336897</v>
          </cell>
          <cell r="BQ688">
            <v>9.228550829127613E-2</v>
          </cell>
          <cell r="BR688">
            <v>7.5962539021852127E-2</v>
          </cell>
          <cell r="BS688">
            <v>8.8085676037483296E-2</v>
          </cell>
          <cell r="BT688">
            <v>8.893398977396938E-2</v>
          </cell>
          <cell r="BU688">
            <v>0.11758908155740189</v>
          </cell>
          <cell r="BV688">
            <v>0.10338387031167207</v>
          </cell>
          <cell r="BW688">
            <v>0.10954914194399845</v>
          </cell>
          <cell r="BX688">
            <v>0.1054979684060573</v>
          </cell>
          <cell r="BY688">
            <v>9.45468520781092E-2</v>
          </cell>
          <cell r="BZ688">
            <v>0.10271168536395625</v>
          </cell>
          <cell r="CA688">
            <v>7.4570335494404283E-2</v>
          </cell>
          <cell r="CB688">
            <v>5.0000000000000044E-2</v>
          </cell>
          <cell r="CC688">
            <v>5.0000000000000044E-2</v>
          </cell>
          <cell r="CD688">
            <v>4.7370494523695905E-2</v>
          </cell>
          <cell r="CE688">
            <v>4.7388998726186182E-2</v>
          </cell>
          <cell r="CF688">
            <v>4.7407418515882149E-2</v>
          </cell>
          <cell r="CG688">
            <v>4.7425753631473277E-2</v>
          </cell>
          <cell r="CH688">
            <v>4.744400382176428E-2</v>
          </cell>
          <cell r="CI688">
            <v>4.7462168845622044E-2</v>
          </cell>
          <cell r="CJ688">
            <v>2.0000000000000018E-2</v>
          </cell>
        </row>
        <row r="689">
          <cell r="A689" t="str">
            <v xml:space="preserve">   CER growth %</v>
          </cell>
          <cell r="BG689">
            <v>-0.18</v>
          </cell>
          <cell r="BH689">
            <v>-0.18</v>
          </cell>
          <cell r="BI689">
            <v>-0.16</v>
          </cell>
          <cell r="BJ689">
            <v>-0.17</v>
          </cell>
          <cell r="BK689">
            <v>-0.1</v>
          </cell>
          <cell r="BL689">
            <v>-0.16</v>
          </cell>
          <cell r="BM689">
            <v>7.0000000000000007E-2</v>
          </cell>
          <cell r="BN689">
            <v>0.12</v>
          </cell>
          <cell r="BO689">
            <v>0.1</v>
          </cell>
          <cell r="BP689">
            <v>0.12</v>
          </cell>
          <cell r="BQ689">
            <v>0.1</v>
          </cell>
          <cell r="BR689">
            <v>0.1</v>
          </cell>
          <cell r="BS689">
            <v>0.1</v>
          </cell>
        </row>
        <row r="691">
          <cell r="A691" t="str">
            <v>Consumer geo split and CER</v>
          </cell>
        </row>
        <row r="692">
          <cell r="A692" t="str">
            <v>Europe</v>
          </cell>
          <cell r="AY692">
            <v>488</v>
          </cell>
          <cell r="AZ692">
            <v>503</v>
          </cell>
          <cell r="BA692">
            <v>991</v>
          </cell>
          <cell r="BB692">
            <v>515</v>
          </cell>
          <cell r="BC692">
            <v>1506</v>
          </cell>
          <cell r="BD692">
            <v>458</v>
          </cell>
          <cell r="BE692">
            <v>1964</v>
          </cell>
          <cell r="BF692">
            <v>482</v>
          </cell>
          <cell r="BG692">
            <v>449</v>
          </cell>
          <cell r="BH692">
            <v>931</v>
          </cell>
          <cell r="BI692">
            <v>482</v>
          </cell>
          <cell r="BJ692">
            <v>1413</v>
          </cell>
          <cell r="BK692">
            <v>464</v>
          </cell>
          <cell r="BL692">
            <v>1877</v>
          </cell>
          <cell r="BM692">
            <v>508</v>
          </cell>
          <cell r="BN692">
            <v>478</v>
          </cell>
          <cell r="BO692">
            <v>986</v>
          </cell>
          <cell r="BP692">
            <v>512</v>
          </cell>
          <cell r="BQ692">
            <v>1498</v>
          </cell>
          <cell r="BR692">
            <v>506</v>
          </cell>
          <cell r="BS692">
            <v>2004</v>
          </cell>
        </row>
        <row r="693">
          <cell r="A693" t="str">
            <v>US</v>
          </cell>
          <cell r="AY693">
            <v>393</v>
          </cell>
          <cell r="AZ693">
            <v>368</v>
          </cell>
          <cell r="BA693">
            <v>761</v>
          </cell>
          <cell r="BB693">
            <v>361</v>
          </cell>
          <cell r="BC693">
            <v>1122</v>
          </cell>
          <cell r="BD693">
            <v>283</v>
          </cell>
          <cell r="BE693">
            <v>1405</v>
          </cell>
          <cell r="BF693">
            <v>161</v>
          </cell>
          <cell r="BG693">
            <v>167</v>
          </cell>
          <cell r="BH693">
            <v>328</v>
          </cell>
          <cell r="BI693">
            <v>148</v>
          </cell>
          <cell r="BJ693">
            <v>476</v>
          </cell>
          <cell r="BK693">
            <v>176</v>
          </cell>
          <cell r="BL693">
            <v>652</v>
          </cell>
          <cell r="BM693">
            <v>196</v>
          </cell>
          <cell r="BN693">
            <v>219</v>
          </cell>
          <cell r="BO693">
            <v>415</v>
          </cell>
          <cell r="BP693">
            <v>222</v>
          </cell>
          <cell r="BQ693">
            <v>637</v>
          </cell>
          <cell r="BR693">
            <v>210</v>
          </cell>
          <cell r="BS693">
            <v>847</v>
          </cell>
        </row>
        <row r="694">
          <cell r="A694" t="str">
            <v>Asia/Africa/Australasia</v>
          </cell>
          <cell r="AY694">
            <v>172</v>
          </cell>
          <cell r="AZ694">
            <v>201</v>
          </cell>
          <cell r="BA694">
            <v>373</v>
          </cell>
          <cell r="BB694">
            <v>201</v>
          </cell>
          <cell r="BC694">
            <v>574</v>
          </cell>
          <cell r="BD694">
            <v>208</v>
          </cell>
          <cell r="BE694">
            <v>782</v>
          </cell>
          <cell r="BF694">
            <v>180</v>
          </cell>
          <cell r="BG694">
            <v>189</v>
          </cell>
          <cell r="BH694">
            <v>369</v>
          </cell>
          <cell r="BI694">
            <v>203</v>
          </cell>
          <cell r="BJ694">
            <v>572</v>
          </cell>
          <cell r="BK694">
            <v>205</v>
          </cell>
          <cell r="BL694">
            <v>777</v>
          </cell>
          <cell r="BM694">
            <v>183</v>
          </cell>
          <cell r="BN694">
            <v>207</v>
          </cell>
          <cell r="BO694">
            <v>390</v>
          </cell>
          <cell r="BP694">
            <v>201</v>
          </cell>
          <cell r="BQ694">
            <v>591</v>
          </cell>
          <cell r="BR694">
            <v>202</v>
          </cell>
          <cell r="BS694">
            <v>793</v>
          </cell>
        </row>
        <row r="695">
          <cell r="A695" t="str">
            <v>Canada &amp; Latin America</v>
          </cell>
          <cell r="AY695">
            <v>116</v>
          </cell>
          <cell r="AZ695">
            <v>115</v>
          </cell>
          <cell r="BA695">
            <v>231</v>
          </cell>
          <cell r="BB695">
            <v>120</v>
          </cell>
          <cell r="BC695">
            <v>351</v>
          </cell>
          <cell r="BD695">
            <v>129</v>
          </cell>
          <cell r="BE695">
            <v>480</v>
          </cell>
          <cell r="BF695">
            <v>109</v>
          </cell>
          <cell r="BG695">
            <v>99</v>
          </cell>
          <cell r="BH695">
            <v>208</v>
          </cell>
          <cell r="BI695">
            <v>105</v>
          </cell>
          <cell r="BJ695">
            <v>313</v>
          </cell>
          <cell r="BK695">
            <v>116</v>
          </cell>
          <cell r="BL695">
            <v>429</v>
          </cell>
          <cell r="BM695">
            <v>100</v>
          </cell>
          <cell r="BN695">
            <v>100</v>
          </cell>
          <cell r="BO695">
            <v>200</v>
          </cell>
          <cell r="BP695">
            <v>104</v>
          </cell>
          <cell r="BQ695">
            <v>304</v>
          </cell>
          <cell r="BR695">
            <v>116</v>
          </cell>
          <cell r="BS695">
            <v>420</v>
          </cell>
        </row>
        <row r="696">
          <cell r="A696" t="str">
            <v>Total</v>
          </cell>
          <cell r="AY696">
            <v>1169</v>
          </cell>
          <cell r="AZ696">
            <v>1187</v>
          </cell>
          <cell r="BA696">
            <v>2356</v>
          </cell>
          <cell r="BB696">
            <v>1197</v>
          </cell>
          <cell r="BC696">
            <v>3553</v>
          </cell>
          <cell r="BD696">
            <v>1078</v>
          </cell>
          <cell r="BE696">
            <v>4631</v>
          </cell>
          <cell r="BF696">
            <v>932</v>
          </cell>
          <cell r="BG696">
            <v>904</v>
          </cell>
          <cell r="BH696">
            <v>1836</v>
          </cell>
          <cell r="BI696">
            <v>938</v>
          </cell>
          <cell r="BJ696">
            <v>2774</v>
          </cell>
          <cell r="BK696">
            <v>961</v>
          </cell>
          <cell r="BL696">
            <v>3735</v>
          </cell>
          <cell r="BM696">
            <v>987</v>
          </cell>
          <cell r="BN696">
            <v>1004</v>
          </cell>
          <cell r="BO696">
            <v>1991</v>
          </cell>
          <cell r="BP696">
            <v>1039</v>
          </cell>
          <cell r="BQ696">
            <v>3030</v>
          </cell>
          <cell r="BR696">
            <v>1034</v>
          </cell>
          <cell r="BS696">
            <v>4064</v>
          </cell>
        </row>
        <row r="697">
          <cell r="A697" t="str">
            <v xml:space="preserve"> Of which in Established markets</v>
          </cell>
          <cell r="AY697">
            <v>868</v>
          </cell>
          <cell r="AZ697">
            <v>855</v>
          </cell>
          <cell r="BA697">
            <v>1723</v>
          </cell>
          <cell r="BB697">
            <v>846</v>
          </cell>
          <cell r="BC697">
            <v>2569</v>
          </cell>
          <cell r="BD697">
            <v>730</v>
          </cell>
          <cell r="BE697">
            <v>3299</v>
          </cell>
          <cell r="BF697">
            <v>616</v>
          </cell>
          <cell r="BG697">
            <v>596</v>
          </cell>
          <cell r="BH697">
            <v>1212</v>
          </cell>
          <cell r="BI697">
            <v>602</v>
          </cell>
          <cell r="BJ697">
            <v>1814</v>
          </cell>
          <cell r="BK697">
            <v>601</v>
          </cell>
          <cell r="BL697">
            <v>2415</v>
          </cell>
          <cell r="BM697">
            <v>647</v>
          </cell>
          <cell r="BN697">
            <v>654</v>
          </cell>
          <cell r="BO697">
            <v>1301</v>
          </cell>
          <cell r="BP697">
            <v>672</v>
          </cell>
          <cell r="BQ697">
            <v>1973</v>
          </cell>
          <cell r="BR697">
            <v>663</v>
          </cell>
          <cell r="BS697">
            <v>2636</v>
          </cell>
        </row>
        <row r="698">
          <cell r="A698" t="str">
            <v>Of which in EM growth markets</v>
          </cell>
          <cell r="AY698">
            <v>301</v>
          </cell>
          <cell r="AZ698">
            <v>332</v>
          </cell>
          <cell r="BA698">
            <v>633</v>
          </cell>
          <cell r="BB698">
            <v>351</v>
          </cell>
          <cell r="BC698">
            <v>984</v>
          </cell>
          <cell r="BD698">
            <v>348</v>
          </cell>
          <cell r="BE698">
            <v>1332</v>
          </cell>
          <cell r="BF698">
            <v>316</v>
          </cell>
          <cell r="BG698">
            <v>308</v>
          </cell>
          <cell r="BH698">
            <v>624</v>
          </cell>
          <cell r="BI698">
            <v>336</v>
          </cell>
          <cell r="BJ698">
            <v>960</v>
          </cell>
          <cell r="BK698">
            <v>360</v>
          </cell>
          <cell r="BL698">
            <v>1320</v>
          </cell>
          <cell r="BM698">
            <v>340</v>
          </cell>
          <cell r="BN698">
            <v>350</v>
          </cell>
          <cell r="BO698">
            <v>690</v>
          </cell>
          <cell r="BP698">
            <v>367</v>
          </cell>
          <cell r="BQ698">
            <v>1057</v>
          </cell>
          <cell r="BR698">
            <v>371</v>
          </cell>
          <cell r="BS698">
            <v>1428</v>
          </cell>
        </row>
        <row r="700">
          <cell r="A700" t="str">
            <v>% total</v>
          </cell>
        </row>
        <row r="701">
          <cell r="A701" t="str">
            <v>Europe</v>
          </cell>
          <cell r="AY701">
            <v>0.41745081266039352</v>
          </cell>
          <cell r="AZ701">
            <v>0.42375737152485254</v>
          </cell>
          <cell r="BA701">
            <v>0.42062818336162988</v>
          </cell>
          <cell r="BB701">
            <v>0.43024227234753548</v>
          </cell>
          <cell r="BC701">
            <v>0.42386715451730933</v>
          </cell>
          <cell r="BD701">
            <v>0.42486085343228203</v>
          </cell>
          <cell r="BE701">
            <v>0.42409846685381125</v>
          </cell>
          <cell r="BF701">
            <v>0.51716738197424894</v>
          </cell>
          <cell r="BG701">
            <v>0.49668141592920356</v>
          </cell>
          <cell r="BH701">
            <v>0.5070806100217865</v>
          </cell>
          <cell r="BI701">
            <v>0.51385927505330486</v>
          </cell>
          <cell r="BJ701">
            <v>0.50937274693583279</v>
          </cell>
          <cell r="BK701">
            <v>0.48283038501560877</v>
          </cell>
          <cell r="BL701">
            <v>0.50254350736278453</v>
          </cell>
          <cell r="BM701">
            <v>0.51469098277608916</v>
          </cell>
          <cell r="BN701">
            <v>0.4760956175298805</v>
          </cell>
          <cell r="BO701">
            <v>0.49522852837769965</v>
          </cell>
          <cell r="BP701">
            <v>0.49278152069297404</v>
          </cell>
          <cell r="BQ701">
            <v>0.49438943894389437</v>
          </cell>
          <cell r="BR701">
            <v>0.48936170212765956</v>
          </cell>
          <cell r="BS701">
            <v>0.49311023622047245</v>
          </cell>
        </row>
        <row r="702">
          <cell r="A702" t="str">
            <v>US</v>
          </cell>
          <cell r="AY702">
            <v>0.33618477331052182</v>
          </cell>
          <cell r="AZ702">
            <v>0.31002527379949452</v>
          </cell>
          <cell r="BA702">
            <v>0.32300509337860783</v>
          </cell>
          <cell r="BB702">
            <v>0.30158730158730157</v>
          </cell>
          <cell r="BC702">
            <v>0.31578947368421051</v>
          </cell>
          <cell r="BD702">
            <v>0.26252319109461969</v>
          </cell>
          <cell r="BE702">
            <v>0.30339019650183546</v>
          </cell>
          <cell r="BF702">
            <v>0.17274678111587982</v>
          </cell>
          <cell r="BG702">
            <v>0.18473451327433629</v>
          </cell>
          <cell r="BH702">
            <v>0.1786492374727669</v>
          </cell>
          <cell r="BI702">
            <v>0.15778251599147122</v>
          </cell>
          <cell r="BJ702">
            <v>0.17159336697909156</v>
          </cell>
          <cell r="BK702">
            <v>0.18314255983350677</v>
          </cell>
          <cell r="BL702">
            <v>0.17456492637215529</v>
          </cell>
          <cell r="BM702">
            <v>0.19858156028368795</v>
          </cell>
          <cell r="BN702">
            <v>0.21812749003984064</v>
          </cell>
          <cell r="BO702">
            <v>0.20843797086891008</v>
          </cell>
          <cell r="BP702">
            <v>0.2136669874879692</v>
          </cell>
          <cell r="BQ702">
            <v>0.21023102310231023</v>
          </cell>
          <cell r="BR702">
            <v>0.20309477756286268</v>
          </cell>
          <cell r="BS702">
            <v>0.20841535433070865</v>
          </cell>
        </row>
        <row r="703">
          <cell r="A703" t="str">
            <v>Asia/Africa/Australasia</v>
          </cell>
          <cell r="AY703">
            <v>0.14713430282292558</v>
          </cell>
          <cell r="AZ703">
            <v>0.16933445661331087</v>
          </cell>
          <cell r="BA703">
            <v>0.15831918505942275</v>
          </cell>
          <cell r="BB703">
            <v>0.16791979949874686</v>
          </cell>
          <cell r="BC703">
            <v>0.16155361666197579</v>
          </cell>
          <cell r="BD703">
            <v>0.19294990723562153</v>
          </cell>
          <cell r="BE703">
            <v>0.16886201684301447</v>
          </cell>
          <cell r="BF703">
            <v>0.19313304721030042</v>
          </cell>
          <cell r="BG703">
            <v>0.20907079646017698</v>
          </cell>
          <cell r="BH703">
            <v>0.20098039215686275</v>
          </cell>
          <cell r="BI703">
            <v>0.21641791044776118</v>
          </cell>
          <cell r="BJ703">
            <v>0.2062004325883201</v>
          </cell>
          <cell r="BK703">
            <v>0.21331945889698231</v>
          </cell>
          <cell r="BL703">
            <v>0.20803212851405622</v>
          </cell>
          <cell r="BM703">
            <v>0.18541033434650456</v>
          </cell>
          <cell r="BN703">
            <v>0.20617529880478089</v>
          </cell>
          <cell r="BO703">
            <v>0.19588146659969866</v>
          </cell>
          <cell r="BP703">
            <v>0.19345524542829645</v>
          </cell>
          <cell r="BQ703">
            <v>0.19504950495049506</v>
          </cell>
          <cell r="BR703">
            <v>0.195357833655706</v>
          </cell>
          <cell r="BS703">
            <v>0.1951279527559055</v>
          </cell>
        </row>
        <row r="704">
          <cell r="A704" t="str">
            <v>Canada &amp; Latin America</v>
          </cell>
          <cell r="AY704">
            <v>9.9230111206159113E-2</v>
          </cell>
          <cell r="AZ704">
            <v>9.6882898062342043E-2</v>
          </cell>
          <cell r="BA704">
            <v>9.8047538200339554E-2</v>
          </cell>
          <cell r="BB704">
            <v>0.10025062656641603</v>
          </cell>
          <cell r="BC704">
            <v>9.8789755136504356E-2</v>
          </cell>
          <cell r="BD704">
            <v>0.11966604823747681</v>
          </cell>
          <cell r="BE704">
            <v>0.1036493198013388</v>
          </cell>
          <cell r="BF704">
            <v>0.11695278969957082</v>
          </cell>
          <cell r="BG704">
            <v>0.10951327433628319</v>
          </cell>
          <cell r="BH704">
            <v>0.11328976034858387</v>
          </cell>
          <cell r="BI704">
            <v>0.11194029850746269</v>
          </cell>
          <cell r="BJ704">
            <v>0.11283345349675558</v>
          </cell>
          <cell r="BK704">
            <v>0.12070759625390219</v>
          </cell>
          <cell r="BL704">
            <v>0.11485943775100402</v>
          </cell>
          <cell r="BM704">
            <v>0.10131712259371833</v>
          </cell>
          <cell r="BN704">
            <v>9.9601593625498003E-2</v>
          </cell>
          <cell r="BO704">
            <v>0.10045203415369161</v>
          </cell>
          <cell r="BP704">
            <v>0.10009624639076034</v>
          </cell>
          <cell r="BQ704">
            <v>0.10033003300330033</v>
          </cell>
          <cell r="BR704">
            <v>0.11218568665377177</v>
          </cell>
          <cell r="BS704">
            <v>0.10334645669291338</v>
          </cell>
        </row>
        <row r="705">
          <cell r="A705" t="str">
            <v xml:space="preserve"> Of which in Established markets</v>
          </cell>
          <cell r="AY705">
            <v>0.74251497005988021</v>
          </cell>
          <cell r="AZ705">
            <v>0.72030328559393431</v>
          </cell>
          <cell r="BA705">
            <v>0.73132427843803061</v>
          </cell>
          <cell r="BB705">
            <v>0.70676691729323304</v>
          </cell>
          <cell r="BF705">
            <v>0.66094420600858372</v>
          </cell>
          <cell r="BG705">
            <v>0.65929203539823011</v>
          </cell>
          <cell r="BH705">
            <v>0.66013071895424835</v>
          </cell>
          <cell r="BI705">
            <v>0.64179104477611937</v>
          </cell>
          <cell r="BJ705">
            <v>0.65392934390771451</v>
          </cell>
          <cell r="BK705">
            <v>0.62539021852237253</v>
          </cell>
          <cell r="BL705">
            <v>0.64658634538152615</v>
          </cell>
          <cell r="BM705">
            <v>0.65552178318135768</v>
          </cell>
          <cell r="BN705">
            <v>0.65139442231075695</v>
          </cell>
          <cell r="BO705">
            <v>0.65344048216976391</v>
          </cell>
          <cell r="BP705">
            <v>0.64677574590952835</v>
          </cell>
          <cell r="BQ705">
            <v>0.65115511551155114</v>
          </cell>
          <cell r="BR705">
            <v>0.64119922630560933</v>
          </cell>
          <cell r="BS705">
            <v>0.64862204724409445</v>
          </cell>
        </row>
        <row r="706">
          <cell r="A706" t="str">
            <v>Of which in EM growth markets</v>
          </cell>
          <cell r="AY706">
            <v>0.25748502994011979</v>
          </cell>
          <cell r="AZ706">
            <v>0.27969671440606569</v>
          </cell>
          <cell r="BA706">
            <v>0.26867572156196939</v>
          </cell>
          <cell r="BB706">
            <v>0.29323308270676696</v>
          </cell>
          <cell r="BF706">
            <v>0.33905579399141628</v>
          </cell>
          <cell r="BG706">
            <v>0.34070796460176989</v>
          </cell>
          <cell r="BH706">
            <v>0.33986928104575165</v>
          </cell>
          <cell r="BI706">
            <v>0.35820895522388063</v>
          </cell>
          <cell r="BJ706">
            <v>0.34607065609228549</v>
          </cell>
          <cell r="BK706">
            <v>0.37460978147762747</v>
          </cell>
          <cell r="BL706">
            <v>0.35341365461847385</v>
          </cell>
          <cell r="BM706">
            <v>0.34447821681864232</v>
          </cell>
          <cell r="BN706">
            <v>0.34860557768924305</v>
          </cell>
          <cell r="BO706">
            <v>0.34655951783023609</v>
          </cell>
          <cell r="BP706">
            <v>0.35322425409047165</v>
          </cell>
          <cell r="BQ706">
            <v>0.34884488448844886</v>
          </cell>
          <cell r="BR706">
            <v>0.35880077369439067</v>
          </cell>
          <cell r="BS706">
            <v>0.35137795275590555</v>
          </cell>
        </row>
        <row r="708">
          <cell r="A708" t="str">
            <v xml:space="preserve">CER growth </v>
          </cell>
        </row>
        <row r="709">
          <cell r="A709" t="str">
            <v>Europe</v>
          </cell>
          <cell r="BB709">
            <v>0.02</v>
          </cell>
          <cell r="BC709">
            <v>0.01</v>
          </cell>
          <cell r="BD709">
            <v>-0.01</v>
          </cell>
          <cell r="BE709">
            <v>0.01</v>
          </cell>
          <cell r="BF709">
            <v>0.03</v>
          </cell>
          <cell r="BG709">
            <v>-0.01</v>
          </cell>
          <cell r="BH709">
            <v>0.01</v>
          </cell>
          <cell r="BI709">
            <v>0.01</v>
          </cell>
          <cell r="BJ709">
            <v>0.02</v>
          </cell>
          <cell r="BK709">
            <v>0.03</v>
          </cell>
          <cell r="BL709">
            <v>0.02</v>
          </cell>
          <cell r="BM709">
            <v>0.05</v>
          </cell>
          <cell r="BN709">
            <v>0.06</v>
          </cell>
          <cell r="BO709">
            <v>0.05</v>
          </cell>
          <cell r="BP709">
            <v>0.04</v>
          </cell>
          <cell r="BQ709">
            <v>0.05</v>
          </cell>
          <cell r="BR709">
            <v>7.0000000000000007E-2</v>
          </cell>
          <cell r="BS709">
            <v>0.05</v>
          </cell>
        </row>
        <row r="710">
          <cell r="A710" t="str">
            <v>US</v>
          </cell>
          <cell r="BB710">
            <v>-0.01</v>
          </cell>
          <cell r="BC710">
            <v>0.08</v>
          </cell>
          <cell r="BD710">
            <v>-0.25</v>
          </cell>
          <cell r="BE710">
            <v>-0.01</v>
          </cell>
          <cell r="BF710">
            <v>-0.59</v>
          </cell>
          <cell r="BG710">
            <v>-0.54</v>
          </cell>
          <cell r="BH710">
            <v>-0.56999999999999995</v>
          </cell>
          <cell r="BI710">
            <v>-0.56999999999999995</v>
          </cell>
          <cell r="BJ710">
            <v>-0.56999999999999995</v>
          </cell>
          <cell r="BK710">
            <v>-0.38</v>
          </cell>
          <cell r="BL710">
            <v>-0.56999999999999995</v>
          </cell>
          <cell r="BM710">
            <v>0.22</v>
          </cell>
          <cell r="BN710">
            <v>0.3</v>
          </cell>
          <cell r="BO710">
            <v>0.26</v>
          </cell>
          <cell r="BP710">
            <v>0.51</v>
          </cell>
          <cell r="BQ710">
            <v>0.34</v>
          </cell>
          <cell r="BR710">
            <v>0.2</v>
          </cell>
          <cell r="BS710">
            <v>0.3</v>
          </cell>
        </row>
        <row r="711">
          <cell r="A711" t="str">
            <v>Asia/Africa/Australasia</v>
          </cell>
          <cell r="BB711">
            <v>7.0000000000000007E-2</v>
          </cell>
          <cell r="BC711">
            <v>0.1</v>
          </cell>
          <cell r="BD711">
            <v>0.1</v>
          </cell>
          <cell r="BE711">
            <v>0.1</v>
          </cell>
          <cell r="BF711">
            <v>0.05</v>
          </cell>
          <cell r="BG711">
            <v>-0.02</v>
          </cell>
          <cell r="BH711">
            <v>0.01</v>
          </cell>
          <cell r="BI711">
            <v>0.01</v>
          </cell>
          <cell r="BJ711">
            <v>0.02</v>
          </cell>
          <cell r="BK711">
            <v>0</v>
          </cell>
          <cell r="BL711">
            <v>0.02</v>
          </cell>
          <cell r="BM711">
            <v>0.05</v>
          </cell>
          <cell r="BN711">
            <v>0.15</v>
          </cell>
          <cell r="BO711">
            <v>0.1</v>
          </cell>
          <cell r="BP711">
            <v>7.0000000000000007E-2</v>
          </cell>
          <cell r="BQ711">
            <v>0.09</v>
          </cell>
          <cell r="BR711">
            <v>0.04</v>
          </cell>
          <cell r="BS711">
            <v>0.08</v>
          </cell>
        </row>
        <row r="712">
          <cell r="A712" t="str">
            <v>Canada &amp; Latin America</v>
          </cell>
          <cell r="BB712">
            <v>0.11</v>
          </cell>
          <cell r="BC712">
            <v>0.15</v>
          </cell>
          <cell r="BD712">
            <v>0.01</v>
          </cell>
          <cell r="BE712">
            <v>0.13</v>
          </cell>
          <cell r="BF712">
            <v>-0.04</v>
          </cell>
          <cell r="BG712">
            <v>-0.06</v>
          </cell>
          <cell r="BH712">
            <v>-0.05</v>
          </cell>
          <cell r="BI712">
            <v>-0.05</v>
          </cell>
          <cell r="BJ712">
            <v>-0.05</v>
          </cell>
          <cell r="BK712">
            <v>-0.08</v>
          </cell>
          <cell r="BL712">
            <v>-0.05</v>
          </cell>
          <cell r="BM712">
            <v>-0.02</v>
          </cell>
          <cell r="BN712">
            <v>0.05</v>
          </cell>
          <cell r="BO712">
            <v>0.01</v>
          </cell>
          <cell r="BP712">
            <v>0.06</v>
          </cell>
          <cell r="BQ712">
            <v>0.03</v>
          </cell>
          <cell r="BR712">
            <v>0.13</v>
          </cell>
          <cell r="BS712">
            <v>0.06</v>
          </cell>
        </row>
        <row r="713">
          <cell r="A713" t="str">
            <v>Total</v>
          </cell>
          <cell r="BB713">
            <v>0.03</v>
          </cell>
          <cell r="BC713">
            <v>0.06</v>
          </cell>
          <cell r="BD713">
            <v>-0.06</v>
          </cell>
          <cell r="BE713">
            <v>0.03</v>
          </cell>
          <cell r="BF713">
            <v>-0.18</v>
          </cell>
          <cell r="BG713">
            <v>-0.18</v>
          </cell>
          <cell r="BH713">
            <v>-0.18</v>
          </cell>
          <cell r="BI713">
            <v>-0.18</v>
          </cell>
          <cell r="BJ713">
            <v>-0.17</v>
          </cell>
          <cell r="BK713">
            <v>-0.1</v>
          </cell>
          <cell r="BL713">
            <v>-0.17</v>
          </cell>
          <cell r="BM713">
            <v>7.0000000000000007E-2</v>
          </cell>
          <cell r="BN713">
            <v>0.12</v>
          </cell>
          <cell r="BO713">
            <v>0.1</v>
          </cell>
          <cell r="BP713">
            <v>0.12</v>
          </cell>
          <cell r="BQ713">
            <v>0.1</v>
          </cell>
          <cell r="BR713">
            <v>0.1</v>
          </cell>
          <cell r="BS713">
            <v>0.1</v>
          </cell>
        </row>
        <row r="714">
          <cell r="A714" t="str">
            <v xml:space="preserve"> Of which in EM</v>
          </cell>
          <cell r="BF714">
            <v>-0.28000000000000003</v>
          </cell>
          <cell r="BG714">
            <v>-0.26</v>
          </cell>
          <cell r="BH714">
            <v>-0.27</v>
          </cell>
          <cell r="BI714">
            <v>-0.27</v>
          </cell>
          <cell r="BJ714">
            <v>-0.26</v>
          </cell>
          <cell r="BK714">
            <v>-0.17</v>
          </cell>
          <cell r="BL714">
            <v>-0.26</v>
          </cell>
          <cell r="BM714">
            <v>0.06</v>
          </cell>
          <cell r="BN714">
            <v>0.1</v>
          </cell>
          <cell r="BO714">
            <v>0.08</v>
          </cell>
          <cell r="BP714">
            <v>0.12</v>
          </cell>
          <cell r="BQ714">
            <v>0.09</v>
          </cell>
          <cell r="BR714">
            <v>0.11</v>
          </cell>
          <cell r="BS714">
            <v>0.09</v>
          </cell>
        </row>
        <row r="715">
          <cell r="A715" t="str">
            <v>Of which in EM growth markets</v>
          </cell>
          <cell r="BF715">
            <v>0.09</v>
          </cell>
          <cell r="BG715">
            <v>0.01</v>
          </cell>
          <cell r="BH715">
            <v>0.05</v>
          </cell>
          <cell r="BI715">
            <v>0.05</v>
          </cell>
          <cell r="BJ715">
            <v>0.05</v>
          </cell>
          <cell r="BK715">
            <v>0.05</v>
          </cell>
          <cell r="BL715">
            <v>0.05</v>
          </cell>
          <cell r="BM715">
            <v>0.1</v>
          </cell>
          <cell r="BN715">
            <v>0.16</v>
          </cell>
          <cell r="BO715">
            <v>0.13</v>
          </cell>
          <cell r="BP715">
            <v>0.13</v>
          </cell>
          <cell r="BQ715">
            <v>0.13</v>
          </cell>
          <cell r="BR715">
            <v>0.08</v>
          </cell>
          <cell r="BS715">
            <v>0.12</v>
          </cell>
        </row>
        <row r="717">
          <cell r="A717" t="str">
            <v xml:space="preserve">growth % </v>
          </cell>
        </row>
        <row r="718">
          <cell r="A718" t="str">
            <v>Europe</v>
          </cell>
          <cell r="BF718">
            <v>-1.2295081967213073E-2</v>
          </cell>
          <cell r="BG718">
            <v>-0.10735586481113324</v>
          </cell>
          <cell r="BH718">
            <v>-6.0544904137235123E-2</v>
          </cell>
          <cell r="BI718">
            <v>-6.4077669902912637E-2</v>
          </cell>
          <cell r="BJ718">
            <v>-6.175298804780871E-2</v>
          </cell>
          <cell r="BK718">
            <v>1.3100436681222627E-2</v>
          </cell>
          <cell r="BL718">
            <v>-4.4297352342158813E-2</v>
          </cell>
          <cell r="BM718">
            <v>5.3941908713692976E-2</v>
          </cell>
          <cell r="BN718">
            <v>6.4587973273942056E-2</v>
          </cell>
          <cell r="BO718">
            <v>5.9076262083780806E-2</v>
          </cell>
          <cell r="BP718">
            <v>6.2240663900414939E-2</v>
          </cell>
          <cell r="BQ718">
            <v>6.0155697098372318E-2</v>
          </cell>
          <cell r="BR718">
            <v>9.0517241379310276E-2</v>
          </cell>
          <cell r="BS718">
            <v>6.7661161427810423E-2</v>
          </cell>
        </row>
        <row r="719">
          <cell r="A719" t="str">
            <v>US</v>
          </cell>
          <cell r="BF719">
            <v>-0.59033078880407119</v>
          </cell>
          <cell r="BG719">
            <v>-0.54619565217391308</v>
          </cell>
          <cell r="BH719">
            <v>-0.56898817345597896</v>
          </cell>
          <cell r="BI719">
            <v>-0.59002770083102485</v>
          </cell>
          <cell r="BJ719">
            <v>-0.57575757575757569</v>
          </cell>
          <cell r="BK719">
            <v>-0.37809187279151946</v>
          </cell>
          <cell r="BL719">
            <v>-0.53594306049822071</v>
          </cell>
          <cell r="BM719">
            <v>0.21739130434782616</v>
          </cell>
          <cell r="BN719">
            <v>0.31137724550898205</v>
          </cell>
          <cell r="BO719">
            <v>0.26524390243902429</v>
          </cell>
          <cell r="BP719">
            <v>0.5</v>
          </cell>
          <cell r="BQ719">
            <v>0.33823529411764697</v>
          </cell>
          <cell r="BR719">
            <v>0.19318181818181812</v>
          </cell>
          <cell r="BS719">
            <v>0.29907975460122693</v>
          </cell>
        </row>
        <row r="720">
          <cell r="A720" t="str">
            <v>Asia/Africa/Australasia</v>
          </cell>
          <cell r="BF720">
            <v>4.6511627906976827E-2</v>
          </cell>
          <cell r="BG720">
            <v>-5.9701492537313383E-2</v>
          </cell>
          <cell r="BH720">
            <v>-1.072386058981234E-2</v>
          </cell>
          <cell r="BI720">
            <v>9.9502487562188602E-3</v>
          </cell>
          <cell r="BJ720">
            <v>-3.4843205574912606E-3</v>
          </cell>
          <cell r="BK720">
            <v>-1.4423076923076872E-2</v>
          </cell>
          <cell r="BL720">
            <v>-6.3938618925831747E-3</v>
          </cell>
          <cell r="BM720">
            <v>1.6666666666666607E-2</v>
          </cell>
          <cell r="BN720">
            <v>9.5238095238095344E-2</v>
          </cell>
          <cell r="BO720">
            <v>5.6910569105691033E-2</v>
          </cell>
          <cell r="BP720">
            <v>-9.8522167487684609E-3</v>
          </cell>
          <cell r="BQ720">
            <v>3.3216783216783119E-2</v>
          </cell>
          <cell r="BR720">
            <v>-1.4634146341463428E-2</v>
          </cell>
          <cell r="BS720">
            <v>2.0592020592020699E-2</v>
          </cell>
        </row>
        <row r="721">
          <cell r="A721" t="str">
            <v>Canada &amp; Latin America</v>
          </cell>
          <cell r="BF721">
            <v>-6.0344827586206851E-2</v>
          </cell>
          <cell r="BG721">
            <v>-0.13913043478260867</v>
          </cell>
          <cell r="BH721">
            <v>-9.9567099567099526E-2</v>
          </cell>
          <cell r="BI721">
            <v>-0.125</v>
          </cell>
          <cell r="BJ721">
            <v>-0.10826210826210825</v>
          </cell>
          <cell r="BK721">
            <v>-0.10077519379844957</v>
          </cell>
          <cell r="BL721">
            <v>-0.10624999999999996</v>
          </cell>
          <cell r="BM721">
            <v>-8.256880733944949E-2</v>
          </cell>
          <cell r="BN721">
            <v>1.0101010101010166E-2</v>
          </cell>
          <cell r="BO721">
            <v>-3.8461538461538436E-2</v>
          </cell>
          <cell r="BP721">
            <v>-9.52380952380949E-3</v>
          </cell>
          <cell r="BQ721">
            <v>-2.8753993610223683E-2</v>
          </cell>
          <cell r="BR721">
            <v>0</v>
          </cell>
          <cell r="BS721">
            <v>-2.0979020979020935E-2</v>
          </cell>
        </row>
        <row r="722">
          <cell r="A722" t="str">
            <v>Total</v>
          </cell>
          <cell r="BF722">
            <v>-0.20273738237810091</v>
          </cell>
          <cell r="BG722">
            <v>-0.23841617523167646</v>
          </cell>
          <cell r="BH722">
            <v>-0.22071307300509335</v>
          </cell>
          <cell r="BI722">
            <v>-0.216374269005848</v>
          </cell>
          <cell r="BJ722">
            <v>-0.21925133689839571</v>
          </cell>
          <cell r="BK722">
            <v>-0.10853432282003705</v>
          </cell>
          <cell r="BL722">
            <v>-0.1934787302958324</v>
          </cell>
          <cell r="BM722">
            <v>5.9012875536480713E-2</v>
          </cell>
          <cell r="BN722">
            <v>0.11061946902654873</v>
          </cell>
          <cell r="BO722">
            <v>8.4422657952069713E-2</v>
          </cell>
          <cell r="BP722">
            <v>0.10767590618336897</v>
          </cell>
          <cell r="BQ722">
            <v>9.228550829127613E-2</v>
          </cell>
          <cell r="BR722">
            <v>7.5962539021852127E-2</v>
          </cell>
          <cell r="BS722">
            <v>8.8085676037483296E-2</v>
          </cell>
        </row>
        <row r="723">
          <cell r="A723" t="str">
            <v xml:space="preserve"> Of which in EM</v>
          </cell>
          <cell r="BF723">
            <v>-0.29032258064516125</v>
          </cell>
          <cell r="BG723">
            <v>-0.30292397660818715</v>
          </cell>
          <cell r="BH723">
            <v>-0.29657573998839237</v>
          </cell>
          <cell r="BI723">
            <v>-0.28841607565011818</v>
          </cell>
          <cell r="BJ723">
            <v>-0.29388867263526663</v>
          </cell>
          <cell r="BK723">
            <v>-0.17671232876712328</v>
          </cell>
          <cell r="BL723">
            <v>-0.26795998787511366</v>
          </cell>
          <cell r="BM723">
            <v>5.0324675324675328E-2</v>
          </cell>
          <cell r="BN723">
            <v>9.7315436241610653E-2</v>
          </cell>
          <cell r="BO723">
            <v>7.343234323432335E-2</v>
          </cell>
          <cell r="BP723">
            <v>0.11627906976744184</v>
          </cell>
          <cell r="BQ723">
            <v>8.7651598676957043E-2</v>
          </cell>
          <cell r="BR723">
            <v>0.10316139767054899</v>
          </cell>
          <cell r="BS723">
            <v>9.1511387163561109E-2</v>
          </cell>
        </row>
        <row r="724">
          <cell r="A724" t="str">
            <v>Of which in EM growth markets</v>
          </cell>
          <cell r="BF724">
            <v>4.9833887043189362E-2</v>
          </cell>
          <cell r="BG724">
            <v>-7.2289156626506035E-2</v>
          </cell>
          <cell r="BH724">
            <v>-1.4218009478673022E-2</v>
          </cell>
          <cell r="BI724">
            <v>-4.2735042735042694E-2</v>
          </cell>
          <cell r="BJ724">
            <v>-2.4390243902439046E-2</v>
          </cell>
          <cell r="BK724">
            <v>3.4482758620689724E-2</v>
          </cell>
          <cell r="BL724">
            <v>-9.009009009009028E-3</v>
          </cell>
          <cell r="BM724">
            <v>7.5949367088607556E-2</v>
          </cell>
          <cell r="BN724">
            <v>0.13636363636363646</v>
          </cell>
          <cell r="BO724">
            <v>0.10576923076923084</v>
          </cell>
          <cell r="BP724">
            <v>9.2261904761904656E-2</v>
          </cell>
          <cell r="BQ724">
            <v>0.1010416666666667</v>
          </cell>
          <cell r="BR724">
            <v>3.0555555555555447E-2</v>
          </cell>
          <cell r="BS724">
            <v>8.181818181818179E-2</v>
          </cell>
        </row>
        <row r="726">
          <cell r="AY726">
            <v>1931</v>
          </cell>
        </row>
        <row r="727">
          <cell r="A727" t="str">
            <v>Total Sales (reported)</v>
          </cell>
          <cell r="B727">
            <v>6639</v>
          </cell>
          <cell r="C727">
            <v>6973</v>
          </cell>
          <cell r="D727">
            <v>13612</v>
          </cell>
          <cell r="E727">
            <v>7057</v>
          </cell>
          <cell r="F727">
            <v>20669</v>
          </cell>
          <cell r="G727">
            <v>7578</v>
          </cell>
          <cell r="H727">
            <v>28247</v>
          </cell>
          <cell r="I727">
            <v>7341</v>
          </cell>
          <cell r="J727">
            <v>7799</v>
          </cell>
          <cell r="K727">
            <v>15140</v>
          </cell>
          <cell r="L727">
            <v>8415</v>
          </cell>
          <cell r="M727">
            <v>23555</v>
          </cell>
          <cell r="N727">
            <v>8657</v>
          </cell>
          <cell r="O727">
            <v>32212</v>
          </cell>
          <cell r="P727">
            <v>8301</v>
          </cell>
          <cell r="Q727">
            <v>9182</v>
          </cell>
          <cell r="R727">
            <v>17483</v>
          </cell>
          <cell r="S727">
            <v>9484</v>
          </cell>
          <cell r="T727">
            <v>26967</v>
          </cell>
          <cell r="U727">
            <v>10053</v>
          </cell>
          <cell r="V727">
            <v>37020</v>
          </cell>
          <cell r="W727">
            <v>9819</v>
          </cell>
          <cell r="X727">
            <v>10122</v>
          </cell>
          <cell r="Y727">
            <v>19941</v>
          </cell>
          <cell r="Z727">
            <v>9928</v>
          </cell>
          <cell r="AA727">
            <v>29869</v>
          </cell>
          <cell r="AB727">
            <v>9931</v>
          </cell>
          <cell r="AC727">
            <v>39800</v>
          </cell>
          <cell r="AD727">
            <v>9909</v>
          </cell>
          <cell r="AE727">
            <v>10726</v>
          </cell>
          <cell r="AF727">
            <v>20635</v>
          </cell>
          <cell r="AG727">
            <v>10761</v>
          </cell>
          <cell r="AH727">
            <v>31396</v>
          </cell>
          <cell r="AI727">
            <v>10077</v>
          </cell>
          <cell r="AJ727">
            <v>41459</v>
          </cell>
          <cell r="AK727">
            <v>9709</v>
          </cell>
          <cell r="AL727">
            <v>10546</v>
          </cell>
          <cell r="AM727">
            <v>20255</v>
          </cell>
          <cell r="AN727">
            <v>11086</v>
          </cell>
          <cell r="AO727">
            <v>31341</v>
          </cell>
          <cell r="AP727">
            <v>12926</v>
          </cell>
          <cell r="AQ727">
            <v>44267</v>
          </cell>
          <cell r="AR727">
            <v>12131</v>
          </cell>
          <cell r="AS727">
            <v>11200</v>
          </cell>
          <cell r="AT727">
            <v>22824</v>
          </cell>
          <cell r="AU727">
            <v>12578</v>
          </cell>
          <cell r="AV727">
            <v>36425</v>
          </cell>
          <cell r="AW727">
            <v>14199</v>
          </cell>
          <cell r="AX727">
            <v>50624</v>
          </cell>
          <cell r="AY727">
            <v>14026.6</v>
          </cell>
          <cell r="AZ727">
            <v>14915.4</v>
          </cell>
          <cell r="BA727">
            <v>28942</v>
          </cell>
          <cell r="BB727">
            <v>14843</v>
          </cell>
          <cell r="BC727">
            <v>43785</v>
          </cell>
          <cell r="BD727">
            <v>14781</v>
          </cell>
          <cell r="BE727">
            <v>58566</v>
          </cell>
          <cell r="BF727">
            <v>13735</v>
          </cell>
          <cell r="BG727">
            <v>14303</v>
          </cell>
          <cell r="BH727">
            <v>28038</v>
          </cell>
          <cell r="BI727">
            <v>13807</v>
          </cell>
          <cell r="BJ727">
            <v>41845</v>
          </cell>
          <cell r="BK727">
            <v>14828</v>
          </cell>
          <cell r="BL727">
            <v>56673</v>
          </cell>
          <cell r="BM727">
            <v>14016</v>
          </cell>
          <cell r="BN727">
            <v>14488</v>
          </cell>
          <cell r="BO727">
            <v>28504</v>
          </cell>
          <cell r="BP727">
            <v>14338</v>
          </cell>
          <cell r="BQ727">
            <v>42842</v>
          </cell>
          <cell r="BR727">
            <v>15078</v>
          </cell>
          <cell r="BS727">
            <v>57920</v>
          </cell>
          <cell r="BT727">
            <v>14315.123239355065</v>
          </cell>
          <cell r="BU727">
            <v>14990.507272479474</v>
          </cell>
          <cell r="BV727">
            <v>29305.630511834537</v>
          </cell>
          <cell r="BW727">
            <v>14548.691905228772</v>
          </cell>
          <cell r="BX727">
            <v>43854.322417063318</v>
          </cell>
          <cell r="BY727">
            <v>15211.648997781016</v>
          </cell>
          <cell r="BZ727">
            <v>59065.971414844331</v>
          </cell>
          <cell r="CA727">
            <v>60323.228122905137</v>
          </cell>
          <cell r="CB727">
            <v>62244.448266743442</v>
          </cell>
          <cell r="CC727">
            <v>64375.644958197125</v>
          </cell>
          <cell r="CD727">
            <v>66721.303477296169</v>
          </cell>
          <cell r="CE727">
            <v>66987.176849405747</v>
          </cell>
          <cell r="CF727">
            <v>67865.278830938856</v>
          </cell>
          <cell r="CG727">
            <v>68001.862353286953</v>
          </cell>
          <cell r="CH727">
            <v>68087.912308496001</v>
          </cell>
          <cell r="CI727">
            <v>68964.159238113905</v>
          </cell>
          <cell r="CJ727">
            <v>67816.976647765492</v>
          </cell>
          <cell r="CM727">
            <v>1</v>
          </cell>
          <cell r="CP727">
            <v>2.2895570108803831E-2</v>
          </cell>
          <cell r="CU727">
            <v>0.14036888873154663</v>
          </cell>
          <cell r="CZ727">
            <v>0.14926114491493858</v>
          </cell>
          <cell r="DA727">
            <v>0.18286953379110948</v>
          </cell>
          <cell r="DB727">
            <v>0.10237421041167494</v>
          </cell>
          <cell r="DC727">
            <v>4.6815689582454745E-2</v>
          </cell>
          <cell r="DD727">
            <v>-1.2135680891276257E-2</v>
          </cell>
          <cell r="DE727">
            <v>7.5094543490005439E-2</v>
          </cell>
          <cell r="DF727">
            <v>4.1683417085427221E-2</v>
          </cell>
          <cell r="DG727">
            <v>6.7729564147712251E-2</v>
          </cell>
          <cell r="DH727">
            <v>0.14360584634151841</v>
          </cell>
          <cell r="DI727">
            <v>0.15688211125158036</v>
          </cell>
          <cell r="DJ727">
            <v>-3.2322507939760325E-2</v>
          </cell>
          <cell r="DK727">
            <v>2.2003423146824685E-2</v>
          </cell>
        </row>
        <row r="728">
          <cell r="A728" t="str">
            <v xml:space="preserve">   growth %</v>
          </cell>
          <cell r="V728">
            <v>0.14926114491493858</v>
          </cell>
          <cell r="AC728">
            <v>7.5094543490005439E-2</v>
          </cell>
          <cell r="AJ728">
            <v>4.1683417085427221E-2</v>
          </cell>
          <cell r="AK728">
            <v>-2.0183671409829462E-2</v>
          </cell>
          <cell r="AL728">
            <v>-1.6781652060413932E-2</v>
          </cell>
          <cell r="AM728">
            <v>-1.8415313787254695E-2</v>
          </cell>
          <cell r="AN728">
            <v>3.0201654121364108E-2</v>
          </cell>
          <cell r="AO728">
            <v>-1.7518155179003791E-3</v>
          </cell>
          <cell r="AP728">
            <v>0.28272303264860565</v>
          </cell>
          <cell r="AQ728">
            <v>6.7729564147712251E-2</v>
          </cell>
          <cell r="AR728">
            <v>0.2494592645998559</v>
          </cell>
          <cell r="AS728">
            <v>6.2014033756874642E-2</v>
          </cell>
          <cell r="AT728">
            <v>0.12683288077018018</v>
          </cell>
          <cell r="AU728">
            <v>0.13458416020205655</v>
          </cell>
          <cell r="AV728">
            <v>0.16221562809099899</v>
          </cell>
          <cell r="AW728">
            <v>9.8483676311310608E-2</v>
          </cell>
          <cell r="AX728">
            <v>0.14360584634151841</v>
          </cell>
          <cell r="AY728">
            <v>0.15626081938834391</v>
          </cell>
          <cell r="AZ728">
            <v>0.33173214285714292</v>
          </cell>
          <cell r="BA728">
            <v>0.26805117420259372</v>
          </cell>
          <cell r="BB728">
            <v>0.18007632373986326</v>
          </cell>
          <cell r="BC728">
            <v>0.2020590253946466</v>
          </cell>
          <cell r="BD728">
            <v>4.0988802028311788E-2</v>
          </cell>
          <cell r="BE728">
            <v>0.15688211125158036</v>
          </cell>
          <cell r="BF728">
            <v>-2.0789072191407798E-2</v>
          </cell>
          <cell r="BG728">
            <v>-4.1058235112702235E-2</v>
          </cell>
          <cell r="BH728">
            <v>-3.1234883560223858E-2</v>
          </cell>
          <cell r="BI728">
            <v>-6.9797210806440746E-2</v>
          </cell>
          <cell r="BJ728">
            <v>-4.4307411213886039E-2</v>
          </cell>
          <cell r="BK728">
            <v>3.1797577971719448E-3</v>
          </cell>
          <cell r="BL728">
            <v>-3.2322507939760325E-2</v>
          </cell>
          <cell r="BM728">
            <v>2.0458682198762235E-2</v>
          </cell>
          <cell r="BN728">
            <v>1.293434943718097E-2</v>
          </cell>
          <cell r="BO728">
            <v>1.6620301020044304E-2</v>
          </cell>
          <cell r="BP728">
            <v>3.8458752806547425E-2</v>
          </cell>
          <cell r="BQ728">
            <v>2.3826024614649333E-2</v>
          </cell>
          <cell r="BR728">
            <v>1.6859994604801809E-2</v>
          </cell>
          <cell r="BS728">
            <v>2.2003423146824685E-2</v>
          </cell>
          <cell r="BT728">
            <v>2.1341555319282612E-2</v>
          </cell>
          <cell r="BU728">
            <v>3.4684378277158645E-2</v>
          </cell>
          <cell r="BV728">
            <v>2.8123439230793412E-2</v>
          </cell>
          <cell r="BW728">
            <v>1.4694650943560594E-2</v>
          </cell>
          <cell r="BX728">
            <v>2.3629205384046559E-2</v>
          </cell>
          <cell r="BY728">
            <v>8.8638412111032849E-3</v>
          </cell>
          <cell r="BZ728">
            <v>1.9785418073969829E-2</v>
          </cell>
          <cell r="CA728">
            <v>2.1285634993295499E-2</v>
          </cell>
          <cell r="CB728">
            <v>3.1848762137263842E-2</v>
          </cell>
          <cell r="CC728">
            <v>3.4239145028976958E-2</v>
          </cell>
          <cell r="CD728">
            <v>3.6437048834574215E-2</v>
          </cell>
          <cell r="CE728">
            <v>3.9848348016768842E-3</v>
          </cell>
          <cell r="CF728">
            <v>1.3108508565858434E-2</v>
          </cell>
          <cell r="CG728">
            <v>2.0125684989571457E-3</v>
          </cell>
          <cell r="CH728">
            <v>1.2654058614158803E-3</v>
          </cell>
          <cell r="CI728">
            <v>1.2869346406859439E-2</v>
          </cell>
          <cell r="CJ728">
            <v>-1.6634475110289038E-2</v>
          </cell>
        </row>
        <row r="729">
          <cell r="A729" t="str">
            <v xml:space="preserve">   CER growth </v>
          </cell>
          <cell r="AY729">
            <v>0.14000000000000001</v>
          </cell>
          <cell r="AZ729">
            <v>0.25</v>
          </cell>
          <cell r="BB729">
            <v>0.12</v>
          </cell>
          <cell r="BD729">
            <v>0.05</v>
          </cell>
          <cell r="BF729">
            <v>-0.01</v>
          </cell>
          <cell r="BG729">
            <v>0.01</v>
          </cell>
          <cell r="BH729">
            <v>0</v>
          </cell>
          <cell r="BI729">
            <v>-0.02</v>
          </cell>
          <cell r="BJ729">
            <v>-0.01</v>
          </cell>
          <cell r="BK729">
            <v>0.02</v>
          </cell>
          <cell r="BL729">
            <v>0</v>
          </cell>
          <cell r="BM729">
            <v>0.04</v>
          </cell>
          <cell r="BN729">
            <v>0.03</v>
          </cell>
          <cell r="BO729">
            <v>0.04</v>
          </cell>
          <cell r="BP729">
            <v>0.06</v>
          </cell>
          <cell r="BQ729">
            <v>0.04</v>
          </cell>
          <cell r="BR729">
            <v>0.04</v>
          </cell>
          <cell r="BS729">
            <v>0.04</v>
          </cell>
        </row>
        <row r="731">
          <cell r="A731" t="str">
            <v>Europe</v>
          </cell>
          <cell r="AY731">
            <v>5257</v>
          </cell>
          <cell r="AZ731">
            <v>5556</v>
          </cell>
          <cell r="BA731">
            <v>10813</v>
          </cell>
          <cell r="BB731">
            <v>5294</v>
          </cell>
          <cell r="BC731">
            <v>16107</v>
          </cell>
          <cell r="BD731">
            <v>5400</v>
          </cell>
          <cell r="BE731">
            <v>21507</v>
          </cell>
          <cell r="BF731">
            <v>4840</v>
          </cell>
          <cell r="BG731">
            <v>4906</v>
          </cell>
          <cell r="BH731">
            <v>9746</v>
          </cell>
          <cell r="BI731">
            <v>4704</v>
          </cell>
          <cell r="BJ731">
            <v>14450</v>
          </cell>
          <cell r="BK731">
            <v>5258</v>
          </cell>
          <cell r="BL731">
            <v>19708</v>
          </cell>
          <cell r="BM731">
            <v>5221</v>
          </cell>
          <cell r="BN731">
            <v>5173</v>
          </cell>
          <cell r="BO731">
            <v>10394</v>
          </cell>
          <cell r="BP731">
            <v>5167</v>
          </cell>
          <cell r="BQ731">
            <v>15561</v>
          </cell>
          <cell r="BR731">
            <v>5517</v>
          </cell>
          <cell r="BS731">
            <v>21078</v>
          </cell>
        </row>
        <row r="732">
          <cell r="A732" t="str">
            <v>US</v>
          </cell>
          <cell r="AY732">
            <v>4650</v>
          </cell>
          <cell r="AZ732">
            <v>4931</v>
          </cell>
          <cell r="BA732">
            <v>9581</v>
          </cell>
          <cell r="BB732">
            <v>4924</v>
          </cell>
          <cell r="BC732">
            <v>14505</v>
          </cell>
          <cell r="BD732">
            <v>4720</v>
          </cell>
          <cell r="BE732">
            <v>19225</v>
          </cell>
          <cell r="BF732">
            <v>4511</v>
          </cell>
          <cell r="BG732">
            <v>4840</v>
          </cell>
          <cell r="BH732">
            <v>9351</v>
          </cell>
          <cell r="BI732">
            <v>4531</v>
          </cell>
          <cell r="BJ732">
            <v>13882</v>
          </cell>
          <cell r="BK732">
            <v>4710</v>
          </cell>
          <cell r="BL732">
            <v>18592</v>
          </cell>
          <cell r="BM732">
            <v>4515</v>
          </cell>
          <cell r="BN732">
            <v>4770</v>
          </cell>
          <cell r="BO732">
            <v>9285</v>
          </cell>
          <cell r="BP732">
            <v>4841</v>
          </cell>
          <cell r="BQ732">
            <v>14126</v>
          </cell>
          <cell r="BR732">
            <v>4798</v>
          </cell>
          <cell r="BS732">
            <v>18924</v>
          </cell>
        </row>
        <row r="733">
          <cell r="A733" t="str">
            <v>Asia/Africa/Australasia</v>
          </cell>
          <cell r="AY733">
            <v>2812</v>
          </cell>
          <cell r="AZ733">
            <v>3046</v>
          </cell>
          <cell r="BA733">
            <v>5858</v>
          </cell>
          <cell r="BB733">
            <v>3227</v>
          </cell>
          <cell r="BC733">
            <v>9085</v>
          </cell>
          <cell r="BD733">
            <v>3269</v>
          </cell>
          <cell r="BE733">
            <v>12354</v>
          </cell>
          <cell r="BF733">
            <v>3045</v>
          </cell>
          <cell r="BG733">
            <v>3213</v>
          </cell>
          <cell r="BH733">
            <v>6258</v>
          </cell>
          <cell r="BI733">
            <v>3219</v>
          </cell>
          <cell r="BJ733">
            <v>9477</v>
          </cell>
          <cell r="BK733">
            <v>3459</v>
          </cell>
          <cell r="BL733">
            <v>12936</v>
          </cell>
          <cell r="BM733">
            <v>3054</v>
          </cell>
          <cell r="BN733">
            <v>3177</v>
          </cell>
          <cell r="BO733">
            <v>6231</v>
          </cell>
          <cell r="BP733">
            <v>3012</v>
          </cell>
          <cell r="BQ733">
            <v>9243</v>
          </cell>
          <cell r="BR733">
            <v>3342</v>
          </cell>
          <cell r="BS733">
            <v>12585</v>
          </cell>
        </row>
        <row r="734">
          <cell r="A734" t="str">
            <v>Canada &amp; Latin America</v>
          </cell>
          <cell r="AY734">
            <v>1308</v>
          </cell>
          <cell r="AZ734">
            <v>1382</v>
          </cell>
          <cell r="BA734">
            <v>2690</v>
          </cell>
          <cell r="BB734">
            <v>1398</v>
          </cell>
          <cell r="BC734">
            <v>4088</v>
          </cell>
          <cell r="BD734">
            <v>1392</v>
          </cell>
          <cell r="BE734">
            <v>5480</v>
          </cell>
          <cell r="BF734">
            <v>1339</v>
          </cell>
          <cell r="BG734">
            <v>1344</v>
          </cell>
          <cell r="BH734">
            <v>2683</v>
          </cell>
          <cell r="BI734">
            <v>1353</v>
          </cell>
          <cell r="BJ734">
            <v>4036</v>
          </cell>
          <cell r="BK734">
            <v>1401</v>
          </cell>
          <cell r="BL734">
            <v>5437</v>
          </cell>
          <cell r="BM734">
            <v>1226</v>
          </cell>
          <cell r="BN734">
            <v>1368</v>
          </cell>
          <cell r="BO734">
            <v>2594</v>
          </cell>
          <cell r="BP734">
            <v>1318</v>
          </cell>
          <cell r="BQ734">
            <v>3912</v>
          </cell>
          <cell r="BR734">
            <v>1421</v>
          </cell>
          <cell r="BS734">
            <v>5333</v>
          </cell>
        </row>
        <row r="735">
          <cell r="A735" t="str">
            <v>Total</v>
          </cell>
          <cell r="AY735">
            <v>14027</v>
          </cell>
          <cell r="AZ735">
            <v>14915</v>
          </cell>
          <cell r="BA735">
            <v>28942</v>
          </cell>
          <cell r="BB735">
            <v>14843</v>
          </cell>
          <cell r="BC735">
            <v>43785</v>
          </cell>
          <cell r="BD735">
            <v>14781</v>
          </cell>
          <cell r="BE735">
            <v>58566</v>
          </cell>
          <cell r="BF735">
            <v>13735</v>
          </cell>
          <cell r="BG735">
            <v>14303</v>
          </cell>
          <cell r="BH735">
            <v>28038</v>
          </cell>
          <cell r="BI735">
            <v>13807</v>
          </cell>
          <cell r="BJ735">
            <v>41845</v>
          </cell>
          <cell r="BK735">
            <v>14828</v>
          </cell>
          <cell r="BL735">
            <v>56673</v>
          </cell>
          <cell r="BM735">
            <v>14016</v>
          </cell>
          <cell r="BN735">
            <v>14488</v>
          </cell>
          <cell r="BO735">
            <v>28504</v>
          </cell>
          <cell r="BP735">
            <v>14338</v>
          </cell>
          <cell r="BQ735">
            <v>42842</v>
          </cell>
          <cell r="BR735">
            <v>15078</v>
          </cell>
          <cell r="BS735">
            <v>57920</v>
          </cell>
        </row>
        <row r="736">
          <cell r="A736" t="str">
            <v xml:space="preserve"> Of which in Established markets</v>
          </cell>
          <cell r="AY736">
            <v>10758</v>
          </cell>
          <cell r="AZ736">
            <v>11397</v>
          </cell>
          <cell r="BA736">
            <v>22155</v>
          </cell>
          <cell r="BB736">
            <v>11374</v>
          </cell>
          <cell r="BC736">
            <v>33529</v>
          </cell>
          <cell r="BD736">
            <v>11245</v>
          </cell>
          <cell r="BE736">
            <v>44774</v>
          </cell>
          <cell r="BF736">
            <v>10429</v>
          </cell>
          <cell r="BG736">
            <v>10886</v>
          </cell>
          <cell r="BH736">
            <v>21315</v>
          </cell>
          <cell r="BI736">
            <v>10397</v>
          </cell>
          <cell r="BJ736">
            <v>31712</v>
          </cell>
          <cell r="BK736">
            <v>11122</v>
          </cell>
          <cell r="BL736">
            <v>42834</v>
          </cell>
          <cell r="BM736">
            <v>10493</v>
          </cell>
          <cell r="BN736">
            <v>10785</v>
          </cell>
          <cell r="BO736">
            <v>21278</v>
          </cell>
          <cell r="BP736">
            <v>10783</v>
          </cell>
          <cell r="BQ736">
            <v>32061</v>
          </cell>
          <cell r="BR736">
            <v>11123</v>
          </cell>
          <cell r="BS736">
            <v>43184</v>
          </cell>
        </row>
        <row r="737">
          <cell r="A737" t="str">
            <v>Of which in EM growth markets</v>
          </cell>
          <cell r="AY737">
            <v>3269</v>
          </cell>
          <cell r="AZ737">
            <v>3518</v>
          </cell>
          <cell r="BA737">
            <v>6787</v>
          </cell>
          <cell r="BB737">
            <v>3469</v>
          </cell>
          <cell r="BC737">
            <v>10256</v>
          </cell>
          <cell r="BD737">
            <v>3536</v>
          </cell>
          <cell r="BE737">
            <v>13792</v>
          </cell>
          <cell r="BF737">
            <v>3306</v>
          </cell>
          <cell r="BG737">
            <v>3417</v>
          </cell>
          <cell r="BH737">
            <v>6723</v>
          </cell>
          <cell r="BI737">
            <v>3410</v>
          </cell>
          <cell r="BJ737">
            <v>10133</v>
          </cell>
          <cell r="BK737">
            <v>3706</v>
          </cell>
          <cell r="BL737">
            <v>13839</v>
          </cell>
          <cell r="BM737">
            <v>3523</v>
          </cell>
          <cell r="BN737">
            <v>3703</v>
          </cell>
          <cell r="BO737">
            <v>7226</v>
          </cell>
          <cell r="BP737">
            <v>3555</v>
          </cell>
          <cell r="BQ737">
            <v>10781</v>
          </cell>
          <cell r="BR737">
            <v>3955</v>
          </cell>
          <cell r="BS737">
            <v>14736</v>
          </cell>
        </row>
        <row r="739">
          <cell r="A739" t="str">
            <v>% total</v>
          </cell>
        </row>
        <row r="740">
          <cell r="A740" t="str">
            <v>Europe</v>
          </cell>
          <cell r="AY740">
            <v>0.37477721537035719</v>
          </cell>
          <cell r="AZ740">
            <v>0.37251089507207508</v>
          </cell>
          <cell r="BA740">
            <v>0.37360928754059841</v>
          </cell>
          <cell r="BB740">
            <v>0.35666644209391635</v>
          </cell>
          <cell r="BC740">
            <v>0.36786570743405278</v>
          </cell>
          <cell r="BD740">
            <v>0.36533387456870309</v>
          </cell>
          <cell r="BE740">
            <v>0.36722671857391659</v>
          </cell>
          <cell r="BF740">
            <v>0.35238441936658171</v>
          </cell>
          <cell r="BG740">
            <v>0.34300496399356778</v>
          </cell>
          <cell r="BH740">
            <v>0.34759968614023823</v>
          </cell>
          <cell r="BI740">
            <v>0.34069674802636346</v>
          </cell>
          <cell r="BJ740">
            <v>0.34532202174692317</v>
          </cell>
          <cell r="BK740">
            <v>0.35459940652818989</v>
          </cell>
          <cell r="BL740">
            <v>0.34774936918814958</v>
          </cell>
          <cell r="BM740">
            <v>0.37250285388127852</v>
          </cell>
          <cell r="BN740">
            <v>0.35705411374930979</v>
          </cell>
          <cell r="BO740">
            <v>0.36465057535784451</v>
          </cell>
          <cell r="BP740">
            <v>0.36037104198633002</v>
          </cell>
          <cell r="BQ740">
            <v>0.36321833714579149</v>
          </cell>
          <cell r="BR740">
            <v>0.36589733386390766</v>
          </cell>
          <cell r="BS740">
            <v>0.36391574585635361</v>
          </cell>
        </row>
        <row r="741">
          <cell r="A741" t="str">
            <v>US</v>
          </cell>
          <cell r="AY741">
            <v>0.33150352890853352</v>
          </cell>
          <cell r="AZ741">
            <v>0.3306067717063359</v>
          </cell>
          <cell r="BA741">
            <v>0.33104139313108977</v>
          </cell>
          <cell r="BB741">
            <v>0.33173886680590176</v>
          </cell>
          <cell r="BC741">
            <v>0.33127783487495716</v>
          </cell>
          <cell r="BD741">
            <v>0.31932886814153305</v>
          </cell>
          <cell r="BE741">
            <v>0.32826213161219819</v>
          </cell>
          <cell r="BF741">
            <v>0.32843101565344013</v>
          </cell>
          <cell r="BG741">
            <v>0.3383905474376005</v>
          </cell>
          <cell r="BH741">
            <v>0.33351166274341965</v>
          </cell>
          <cell r="BI741">
            <v>0.32816687187658433</v>
          </cell>
          <cell r="BJ741">
            <v>0.33174811805472576</v>
          </cell>
          <cell r="BK741">
            <v>0.3176422983544645</v>
          </cell>
          <cell r="BL741">
            <v>0.32805745240237855</v>
          </cell>
          <cell r="BM741">
            <v>0.3221318493150685</v>
          </cell>
          <cell r="BN741">
            <v>0.32923799006073995</v>
          </cell>
          <cell r="BO741">
            <v>0.32574375526241933</v>
          </cell>
          <cell r="BP741">
            <v>0.33763425861347468</v>
          </cell>
          <cell r="BQ741">
            <v>0.32972316885299474</v>
          </cell>
          <cell r="BR741">
            <v>0.31821196445151878</v>
          </cell>
          <cell r="BS741">
            <v>0.32672651933701657</v>
          </cell>
        </row>
        <row r="742">
          <cell r="A742" t="str">
            <v>Asia/Africa/Australasia</v>
          </cell>
          <cell r="AY742">
            <v>0.20047052113780567</v>
          </cell>
          <cell r="AZ742">
            <v>0.2042239356352665</v>
          </cell>
          <cell r="BA742">
            <v>0.20240480961923848</v>
          </cell>
          <cell r="BB742">
            <v>0.21740887960654853</v>
          </cell>
          <cell r="BC742">
            <v>0.20749114993719311</v>
          </cell>
          <cell r="BD742">
            <v>0.22116230295649822</v>
          </cell>
          <cell r="BE742">
            <v>0.21094150189529762</v>
          </cell>
          <cell r="BF742">
            <v>0.2216963960684383</v>
          </cell>
          <cell r="BG742">
            <v>0.22463818779277075</v>
          </cell>
          <cell r="BH742">
            <v>0.2231970896640274</v>
          </cell>
          <cell r="BI742">
            <v>0.23314260882161222</v>
          </cell>
          <cell r="BJ742">
            <v>0.22647867128689211</v>
          </cell>
          <cell r="BK742">
            <v>0.23327488535203669</v>
          </cell>
          <cell r="BL742">
            <v>0.22825684188237785</v>
          </cell>
          <cell r="BM742">
            <v>0.21789383561643835</v>
          </cell>
          <cell r="BN742">
            <v>0.21928492545554942</v>
          </cell>
          <cell r="BO742">
            <v>0.21860089811956215</v>
          </cell>
          <cell r="BP742">
            <v>0.21007113962895801</v>
          </cell>
          <cell r="BQ742">
            <v>0.21574623033471826</v>
          </cell>
          <cell r="BR742">
            <v>0.2216474333465977</v>
          </cell>
          <cell r="BS742">
            <v>0.21728245856353592</v>
          </cell>
        </row>
        <row r="743">
          <cell r="A743" t="str">
            <v>Canada &amp; Latin America</v>
          </cell>
          <cell r="AY743">
            <v>9.3248734583303627E-2</v>
          </cell>
          <cell r="AZ743">
            <v>9.2658397586322494E-2</v>
          </cell>
          <cell r="BA743">
            <v>9.2944509709073322E-2</v>
          </cell>
          <cell r="BB743">
            <v>9.4185811493633365E-2</v>
          </cell>
          <cell r="BC743">
            <v>9.3365307753796964E-2</v>
          </cell>
          <cell r="BD743">
            <v>9.4174954333265684E-2</v>
          </cell>
          <cell r="BE743">
            <v>9.3569647918587573E-2</v>
          </cell>
          <cell r="BF743">
            <v>9.7488168911539858E-2</v>
          </cell>
          <cell r="BG743">
            <v>9.3966300776060968E-2</v>
          </cell>
          <cell r="BH743">
            <v>9.5691561452314722E-2</v>
          </cell>
          <cell r="BI743">
            <v>9.7993771275439998E-2</v>
          </cell>
          <cell r="BJ743">
            <v>9.6451188911458957E-2</v>
          </cell>
          <cell r="BK743">
            <v>9.4483409765308876E-2</v>
          </cell>
          <cell r="BL743">
            <v>9.5936336527094032E-2</v>
          </cell>
          <cell r="BM743">
            <v>8.7471461187214605E-2</v>
          </cell>
          <cell r="BN743">
            <v>9.4422970734400882E-2</v>
          </cell>
          <cell r="BO743">
            <v>9.1004771260174006E-2</v>
          </cell>
          <cell r="BP743">
            <v>9.192355977123727E-2</v>
          </cell>
          <cell r="BQ743">
            <v>9.1312263666495488E-2</v>
          </cell>
          <cell r="BR743">
            <v>9.4243268337975861E-2</v>
          </cell>
          <cell r="BS743">
            <v>9.2075276243093918E-2</v>
          </cell>
        </row>
        <row r="744">
          <cell r="A744" t="str">
            <v xml:space="preserve"> Of which in Established markets</v>
          </cell>
          <cell r="AY744">
            <v>0.76694945462322661</v>
          </cell>
          <cell r="AZ744">
            <v>0.76413007039892722</v>
          </cell>
          <cell r="BA744">
            <v>0.76549651026190313</v>
          </cell>
          <cell r="BF744">
            <v>0.75930105569712414</v>
          </cell>
          <cell r="BG744">
            <v>0.76109907012514855</v>
          </cell>
          <cell r="BH744">
            <v>0.7602182751979456</v>
          </cell>
          <cell r="BI744">
            <v>0.75302382849279348</v>
          </cell>
          <cell r="BJ744">
            <v>0.75784442585733058</v>
          </cell>
          <cell r="BK744">
            <v>0.75006743997841918</v>
          </cell>
          <cell r="BL744">
            <v>0.75580964480440427</v>
          </cell>
          <cell r="BM744">
            <v>0.74864440639269403</v>
          </cell>
          <cell r="BN744">
            <v>0.74440916620651576</v>
          </cell>
          <cell r="BO744">
            <v>0.74649172046028622</v>
          </cell>
          <cell r="BP744">
            <v>0.75205746966104059</v>
          </cell>
          <cell r="BQ744">
            <v>0.74835441856122498</v>
          </cell>
          <cell r="BR744">
            <v>0.73769730733519034</v>
          </cell>
          <cell r="BS744">
            <v>0.7455801104972376</v>
          </cell>
        </row>
        <row r="745">
          <cell r="A745" t="str">
            <v>Of which in EM growth markets</v>
          </cell>
          <cell r="AY745">
            <v>0.23305054537677339</v>
          </cell>
          <cell r="AZ745">
            <v>0.23586992960107278</v>
          </cell>
          <cell r="BA745">
            <v>0.23450348973809687</v>
          </cell>
          <cell r="BF745">
            <v>0.24069894430287586</v>
          </cell>
          <cell r="BG745">
            <v>0.23890092987485145</v>
          </cell>
          <cell r="BH745">
            <v>0.2397817248020544</v>
          </cell>
          <cell r="BI745">
            <v>0.24697617150720652</v>
          </cell>
          <cell r="BJ745">
            <v>0.24215557414266942</v>
          </cell>
          <cell r="BK745">
            <v>0.24993256002158082</v>
          </cell>
          <cell r="BL745">
            <v>0.24419035519559573</v>
          </cell>
          <cell r="BM745">
            <v>0.25135559360730597</v>
          </cell>
          <cell r="BN745">
            <v>0.25559083379348424</v>
          </cell>
          <cell r="BO745">
            <v>0.25350827953971378</v>
          </cell>
          <cell r="BP745">
            <v>0.24794253033895941</v>
          </cell>
          <cell r="BQ745">
            <v>0.25164558143877502</v>
          </cell>
          <cell r="BR745">
            <v>0.26230269266480966</v>
          </cell>
          <cell r="BS745">
            <v>0.2544198895027624</v>
          </cell>
        </row>
        <row r="747">
          <cell r="A747" t="str">
            <v xml:space="preserve">CER growth </v>
          </cell>
        </row>
        <row r="748">
          <cell r="A748" t="str">
            <v>Europe</v>
          </cell>
          <cell r="BB748">
            <v>0.1</v>
          </cell>
          <cell r="BC748">
            <v>0.09</v>
          </cell>
          <cell r="BD748">
            <v>0.03</v>
          </cell>
          <cell r="BE748">
            <v>7.0000000000000007E-2</v>
          </cell>
          <cell r="BF748">
            <v>-0.04</v>
          </cell>
          <cell r="BG748">
            <v>-0.02</v>
          </cell>
          <cell r="BH748">
            <v>-0.03</v>
          </cell>
          <cell r="BI748">
            <v>-0.01</v>
          </cell>
          <cell r="BJ748">
            <v>-0.02</v>
          </cell>
          <cell r="BK748">
            <v>0</v>
          </cell>
          <cell r="BL748">
            <v>-0.02</v>
          </cell>
          <cell r="BM748">
            <v>7.0000000000000007E-2</v>
          </cell>
          <cell r="BN748">
            <v>0.04</v>
          </cell>
          <cell r="BO748">
            <v>0.06</v>
          </cell>
          <cell r="BP748">
            <v>0.06</v>
          </cell>
          <cell r="BQ748">
            <v>0.06</v>
          </cell>
          <cell r="BR748">
            <v>0.02</v>
          </cell>
          <cell r="BS748">
            <v>0.05</v>
          </cell>
        </row>
        <row r="749">
          <cell r="A749" t="str">
            <v>US</v>
          </cell>
          <cell r="BB749">
            <v>7.0000000000000007E-2</v>
          </cell>
          <cell r="BC749">
            <v>0.19</v>
          </cell>
          <cell r="BD749">
            <v>0.01</v>
          </cell>
          <cell r="BE749">
            <v>0.14000000000000001</v>
          </cell>
          <cell r="BF749">
            <v>-0.03</v>
          </cell>
          <cell r="BG749">
            <v>-0.02</v>
          </cell>
          <cell r="BH749">
            <v>-0.02</v>
          </cell>
          <cell r="BI749">
            <v>-0.08</v>
          </cell>
          <cell r="BJ749">
            <v>-0.04</v>
          </cell>
          <cell r="BK749">
            <v>0</v>
          </cell>
          <cell r="BL749">
            <v>-0.03</v>
          </cell>
          <cell r="BM749">
            <v>0</v>
          </cell>
          <cell r="BN749">
            <v>-0.01</v>
          </cell>
          <cell r="BO749">
            <v>-0.01</v>
          </cell>
          <cell r="BP749">
            <v>7.0000000000000007E-2</v>
          </cell>
          <cell r="BQ749">
            <v>0.02</v>
          </cell>
          <cell r="BR749">
            <v>0.02</v>
          </cell>
          <cell r="BS749">
            <v>0.02</v>
          </cell>
        </row>
        <row r="750">
          <cell r="A750" t="str">
            <v>Asia/Africa/Australasia</v>
          </cell>
          <cell r="BB750">
            <v>0.21</v>
          </cell>
          <cell r="BC750">
            <v>0.17</v>
          </cell>
          <cell r="BD750">
            <v>0.1</v>
          </cell>
          <cell r="BE750">
            <v>0.15</v>
          </cell>
          <cell r="BF750">
            <v>7.0000000000000007E-2</v>
          </cell>
          <cell r="BG750">
            <v>0.08</v>
          </cell>
          <cell r="BH750">
            <v>7.0000000000000007E-2</v>
          </cell>
          <cell r="BI750">
            <v>0.03</v>
          </cell>
          <cell r="BJ750">
            <v>0.06</v>
          </cell>
          <cell r="BK750">
            <v>0.08</v>
          </cell>
          <cell r="BL750">
            <v>0.06</v>
          </cell>
          <cell r="BM750">
            <v>7.0000000000000007E-2</v>
          </cell>
          <cell r="BN750">
            <v>7.0000000000000007E-2</v>
          </cell>
          <cell r="BO750">
            <v>7.0000000000000007E-2</v>
          </cell>
          <cell r="BP750">
            <v>0.04</v>
          </cell>
          <cell r="BQ750">
            <v>0.06</v>
          </cell>
          <cell r="BR750">
            <v>0.06</v>
          </cell>
          <cell r="BS750">
            <v>0.06</v>
          </cell>
        </row>
        <row r="751">
          <cell r="A751" t="str">
            <v>Canada &amp; Latin America</v>
          </cell>
          <cell r="BB751">
            <v>0.24</v>
          </cell>
          <cell r="BC751">
            <v>0.23</v>
          </cell>
          <cell r="BD751">
            <v>0.14000000000000001</v>
          </cell>
          <cell r="BE751">
            <v>0.21</v>
          </cell>
          <cell r="BF751">
            <v>0.06</v>
          </cell>
          <cell r="BG751">
            <v>7.0000000000000007E-2</v>
          </cell>
          <cell r="BH751">
            <v>0.06</v>
          </cell>
          <cell r="BI751">
            <v>0.05</v>
          </cell>
          <cell r="BJ751">
            <v>0.06</v>
          </cell>
          <cell r="BK751">
            <v>0.03</v>
          </cell>
          <cell r="BL751">
            <v>0.05</v>
          </cell>
          <cell r="BM751">
            <v>-0.03</v>
          </cell>
          <cell r="BN751">
            <v>0.08</v>
          </cell>
          <cell r="BO751">
            <v>0.03</v>
          </cell>
          <cell r="BP751">
            <v>0.08</v>
          </cell>
          <cell r="BQ751">
            <v>0.05</v>
          </cell>
          <cell r="BR751">
            <v>0.14000000000000001</v>
          </cell>
          <cell r="BS751">
            <v>7.0000000000000007E-2</v>
          </cell>
        </row>
        <row r="752">
          <cell r="A752" t="str">
            <v>Total</v>
          </cell>
          <cell r="BB752">
            <v>0.12</v>
          </cell>
          <cell r="BC752">
            <v>0.15</v>
          </cell>
          <cell r="BD752">
            <v>0.05</v>
          </cell>
          <cell r="BE752">
            <v>0.12</v>
          </cell>
          <cell r="BF752">
            <v>-0.01</v>
          </cell>
          <cell r="BG752">
            <v>0.01</v>
          </cell>
          <cell r="BH752">
            <v>0</v>
          </cell>
          <cell r="BI752">
            <v>-0.02</v>
          </cell>
          <cell r="BJ752">
            <v>-0.01</v>
          </cell>
          <cell r="BK752">
            <v>0.02</v>
          </cell>
          <cell r="BL752">
            <v>0</v>
          </cell>
          <cell r="BM752">
            <v>0.04</v>
          </cell>
          <cell r="BN752">
            <v>0.03</v>
          </cell>
          <cell r="BO752">
            <v>0.04</v>
          </cell>
          <cell r="BP752">
            <v>0.06</v>
          </cell>
          <cell r="BQ752">
            <v>0.04</v>
          </cell>
          <cell r="BR752">
            <v>0.04</v>
          </cell>
          <cell r="BS752">
            <v>0.04</v>
          </cell>
        </row>
        <row r="753">
          <cell r="A753" t="str">
            <v xml:space="preserve"> Of which in EM</v>
          </cell>
          <cell r="BF753">
            <v>-0.02</v>
          </cell>
          <cell r="BG753">
            <v>-0.01</v>
          </cell>
          <cell r="BH753">
            <v>-0.01</v>
          </cell>
          <cell r="BI753">
            <v>-0.05</v>
          </cell>
          <cell r="BJ753">
            <v>-0.02</v>
          </cell>
          <cell r="BK753">
            <v>0</v>
          </cell>
          <cell r="BL753">
            <v>-0.02</v>
          </cell>
          <cell r="BM753">
            <v>0.02</v>
          </cell>
          <cell r="BN753">
            <v>0.01</v>
          </cell>
          <cell r="BO753">
            <v>0.02</v>
          </cell>
          <cell r="BP753">
            <v>0.05</v>
          </cell>
          <cell r="BQ753">
            <v>0.03</v>
          </cell>
          <cell r="BR753">
            <v>0.01</v>
          </cell>
          <cell r="BS753">
            <v>0.02</v>
          </cell>
        </row>
        <row r="754">
          <cell r="A754" t="str">
            <v>Of which in EM growth markets</v>
          </cell>
          <cell r="BF754">
            <v>0.05</v>
          </cell>
          <cell r="BG754">
            <v>0.06</v>
          </cell>
          <cell r="BH754">
            <v>0.05</v>
          </cell>
          <cell r="BI754">
            <v>0.06</v>
          </cell>
          <cell r="BJ754">
            <v>0.06</v>
          </cell>
          <cell r="BK754">
            <v>7.0000000000000007E-2</v>
          </cell>
          <cell r="BL754">
            <v>0.06</v>
          </cell>
          <cell r="BM754">
            <v>0.09</v>
          </cell>
          <cell r="BN754">
            <v>0.11</v>
          </cell>
          <cell r="BO754">
            <v>0.1</v>
          </cell>
          <cell r="BP754">
            <v>0.09</v>
          </cell>
          <cell r="BQ754">
            <v>0.1</v>
          </cell>
          <cell r="BR754">
            <v>0.12</v>
          </cell>
          <cell r="BS754">
            <v>0.1</v>
          </cell>
        </row>
        <row r="756">
          <cell r="A756" t="str">
            <v xml:space="preserve">growth % </v>
          </cell>
        </row>
        <row r="757">
          <cell r="A757" t="str">
            <v>Europe</v>
          </cell>
          <cell r="BF757">
            <v>-7.9322807684991448E-2</v>
          </cell>
          <cell r="BG757">
            <v>-0.1169906407487401</v>
          </cell>
          <cell r="BH757">
            <v>-9.8677517802644998E-2</v>
          </cell>
          <cell r="BI757">
            <v>-0.11144692104268983</v>
          </cell>
          <cell r="BJ757">
            <v>-0.10287452660334018</v>
          </cell>
          <cell r="BK757">
            <v>-2.6296296296296262E-2</v>
          </cell>
          <cell r="BL757">
            <v>-8.3647184637559824E-2</v>
          </cell>
          <cell r="BM757">
            <v>7.8719008264462875E-2</v>
          </cell>
          <cell r="BN757">
            <v>5.4423155320016292E-2</v>
          </cell>
          <cell r="BO757">
            <v>6.6488815924481859E-2</v>
          </cell>
          <cell r="BP757">
            <v>9.8426870748299367E-2</v>
          </cell>
          <cell r="BQ757">
            <v>7.688581314878884E-2</v>
          </cell>
          <cell r="BR757">
            <v>4.9258273107645412E-2</v>
          </cell>
          <cell r="BS757">
            <v>6.9514917799878173E-2</v>
          </cell>
        </row>
        <row r="758">
          <cell r="A758" t="str">
            <v>US</v>
          </cell>
          <cell r="BF758">
            <v>-2.9892473118279583E-2</v>
          </cell>
          <cell r="BG758">
            <v>-1.8454674508213365E-2</v>
          </cell>
          <cell r="BH758">
            <v>-2.4005844901367257E-2</v>
          </cell>
          <cell r="BI758">
            <v>-7.9813160032493946E-2</v>
          </cell>
          <cell r="BJ758">
            <v>-4.2950706652878368E-2</v>
          </cell>
          <cell r="BK758">
            <v>-2.1186440677966045E-3</v>
          </cell>
          <cell r="BL758">
            <v>-3.2925877763329003E-2</v>
          </cell>
          <cell r="BM758">
            <v>8.8672134781653256E-4</v>
          </cell>
          <cell r="BN758">
            <v>-1.4462809917355379E-2</v>
          </cell>
          <cell r="BO758">
            <v>-7.0580686557587535E-3</v>
          </cell>
          <cell r="BP758">
            <v>6.8417567865813211E-2</v>
          </cell>
          <cell r="BQ758">
            <v>1.7576718052153772E-2</v>
          </cell>
          <cell r="BR758">
            <v>1.8683651804670909E-2</v>
          </cell>
          <cell r="BS758">
            <v>1.7857142857142794E-2</v>
          </cell>
        </row>
        <row r="759">
          <cell r="A759" t="str">
            <v>Asia/Africa/Australasia</v>
          </cell>
          <cell r="BF759">
            <v>8.2859174964438065E-2</v>
          </cell>
          <cell r="BG759">
            <v>5.4826001313197592E-2</v>
          </cell>
          <cell r="BH759">
            <v>6.8282690337999385E-2</v>
          </cell>
          <cell r="BI759">
            <v>-2.4790827393864623E-3</v>
          </cell>
          <cell r="BJ759">
            <v>4.314804623004953E-2</v>
          </cell>
          <cell r="BK759">
            <v>5.812174977057194E-2</v>
          </cell>
          <cell r="BL759">
            <v>4.7110247693054941E-2</v>
          </cell>
          <cell r="BM759">
            <v>2.9556650246305161E-3</v>
          </cell>
          <cell r="BN759">
            <v>-1.1204481792717047E-2</v>
          </cell>
          <cell r="BO759">
            <v>-4.3144774688398391E-3</v>
          </cell>
          <cell r="BP759">
            <v>-6.4305684995340173E-2</v>
          </cell>
          <cell r="BQ759">
            <v>-2.4691358024691357E-2</v>
          </cell>
          <cell r="BR759">
            <v>-3.3824804856895097E-2</v>
          </cell>
          <cell r="BS759">
            <v>-2.7133580705009264E-2</v>
          </cell>
        </row>
        <row r="760">
          <cell r="A760" t="str">
            <v>Canada &amp; Latin America</v>
          </cell>
          <cell r="BF760">
            <v>2.3700305810397504E-2</v>
          </cell>
          <cell r="BG760">
            <v>-2.7496382054992718E-2</v>
          </cell>
          <cell r="BH760">
            <v>-2.6022304832713505E-3</v>
          </cell>
          <cell r="BI760">
            <v>-3.2188841201716722E-2</v>
          </cell>
          <cell r="BJ760">
            <v>-1.2720156555772966E-2</v>
          </cell>
          <cell r="BK760">
            <v>6.4655172413792261E-3</v>
          </cell>
          <cell r="BL760">
            <v>-7.8467153284671465E-3</v>
          </cell>
          <cell r="BM760">
            <v>-8.439133681852129E-2</v>
          </cell>
          <cell r="BN760">
            <v>1.7857142857142794E-2</v>
          </cell>
          <cell r="BO760">
            <v>-3.3171822586656741E-2</v>
          </cell>
          <cell r="BP760">
            <v>-2.5868440502586854E-2</v>
          </cell>
          <cell r="BQ760">
            <v>-3.0723488602576787E-2</v>
          </cell>
          <cell r="BR760">
            <v>1.4275517487508882E-2</v>
          </cell>
          <cell r="BS760">
            <v>-1.9128195696155981E-2</v>
          </cell>
        </row>
        <row r="761">
          <cell r="A761" t="str">
            <v>Total</v>
          </cell>
          <cell r="BF761">
            <v>-2.0816995793826232E-2</v>
          </cell>
          <cell r="BG761">
            <v>-4.103251759973181E-2</v>
          </cell>
          <cell r="BH761">
            <v>-3.1234883560223858E-2</v>
          </cell>
          <cell r="BI761">
            <v>-6.9797210806440746E-2</v>
          </cell>
          <cell r="BJ761">
            <v>-4.4307411213886039E-2</v>
          </cell>
          <cell r="BK761">
            <v>3.1797577971719448E-3</v>
          </cell>
          <cell r="BL761">
            <v>-3.2322507939760325E-2</v>
          </cell>
          <cell r="BM761">
            <v>2.0458682198762235E-2</v>
          </cell>
          <cell r="BN761">
            <v>1.293434943718097E-2</v>
          </cell>
          <cell r="BO761">
            <v>1.6620301020044304E-2</v>
          </cell>
          <cell r="BP761">
            <v>3.8458752806547425E-2</v>
          </cell>
          <cell r="BQ761">
            <v>2.3826024614649333E-2</v>
          </cell>
          <cell r="BR761">
            <v>1.6859994604801809E-2</v>
          </cell>
          <cell r="BS761">
            <v>2.2003423146824685E-2</v>
          </cell>
        </row>
        <row r="762">
          <cell r="A762" t="str">
            <v xml:space="preserve"> Of which in EM</v>
          </cell>
          <cell r="BF762">
            <v>-3.0581892545082701E-2</v>
          </cell>
          <cell r="BG762">
            <v>-4.483636044573136E-2</v>
          </cell>
          <cell r="BH762">
            <v>-3.7914691943127909E-2</v>
          </cell>
          <cell r="BI762">
            <v>-8.5897661332864472E-2</v>
          </cell>
          <cell r="BJ762">
            <v>-5.4191893584658035E-2</v>
          </cell>
          <cell r="BK762">
            <v>-1.0938194753223662E-2</v>
          </cell>
          <cell r="BL762">
            <v>-4.3328717559297791E-2</v>
          </cell>
          <cell r="BM762">
            <v>6.1367341068174763E-3</v>
          </cell>
          <cell r="BN762">
            <v>-9.2779717067793532E-3</v>
          </cell>
          <cell r="BO762">
            <v>-1.7358667604973066E-3</v>
          </cell>
          <cell r="BP762">
            <v>3.7126094065595749E-2</v>
          </cell>
          <cell r="BQ762">
            <v>1.1005297679111958E-2</v>
          </cell>
          <cell r="BR762">
            <v>8.9911886351323744E-5</v>
          </cell>
          <cell r="BS762">
            <v>8.1710790493532137E-3</v>
          </cell>
        </row>
        <row r="763">
          <cell r="A763" t="str">
            <v>Of which in EM growth markets</v>
          </cell>
          <cell r="BF763">
            <v>1.1318446007953398E-2</v>
          </cell>
          <cell r="BG763">
            <v>-2.8709494030699223E-2</v>
          </cell>
          <cell r="BH763">
            <v>-9.4297922498894904E-3</v>
          </cell>
          <cell r="BI763">
            <v>-1.7007783222830808E-2</v>
          </cell>
          <cell r="BJ763">
            <v>-1.1992979719188779E-2</v>
          </cell>
          <cell r="BK763">
            <v>4.8076923076923128E-2</v>
          </cell>
          <cell r="BL763">
            <v>3.4077726218098014E-3</v>
          </cell>
          <cell r="BM763">
            <v>6.5638233514821565E-2</v>
          </cell>
          <cell r="BN763">
            <v>8.369915130231198E-2</v>
          </cell>
          <cell r="BO763">
            <v>7.481778967722752E-2</v>
          </cell>
          <cell r="BP763">
            <v>4.2521994134897323E-2</v>
          </cell>
          <cell r="BQ763">
            <v>6.394947202210588E-2</v>
          </cell>
          <cell r="BR763">
            <v>6.7188343227199132E-2</v>
          </cell>
          <cell r="BS763">
            <v>6.4816822024712728E-2</v>
          </cell>
        </row>
        <row r="767">
          <cell r="A767" t="str">
            <v>Total Sales (organic - ex disposals,  ex alcon)</v>
          </cell>
          <cell r="H767">
            <v>28247</v>
          </cell>
          <cell r="I767">
            <v>7040</v>
          </cell>
          <cell r="J767">
            <v>7479</v>
          </cell>
          <cell r="K767">
            <v>14519</v>
          </cell>
          <cell r="L767">
            <v>8114</v>
          </cell>
          <cell r="M767">
            <v>22633</v>
          </cell>
          <cell r="N767">
            <v>8372</v>
          </cell>
          <cell r="O767">
            <v>31005</v>
          </cell>
          <cell r="P767">
            <v>7666</v>
          </cell>
          <cell r="Q767">
            <v>8508</v>
          </cell>
          <cell r="R767">
            <v>16174</v>
          </cell>
          <cell r="S767">
            <v>8821</v>
          </cell>
          <cell r="T767">
            <v>24995</v>
          </cell>
          <cell r="U767">
            <v>9398</v>
          </cell>
          <cell r="V767">
            <v>34393</v>
          </cell>
          <cell r="W767">
            <v>9128</v>
          </cell>
          <cell r="X767">
            <v>9400</v>
          </cell>
          <cell r="Y767">
            <v>18528</v>
          </cell>
          <cell r="Z767">
            <v>9613</v>
          </cell>
          <cell r="AA767">
            <v>28141</v>
          </cell>
          <cell r="AB767">
            <v>9931</v>
          </cell>
          <cell r="AC767">
            <v>38072</v>
          </cell>
          <cell r="AD767">
            <v>9909</v>
          </cell>
          <cell r="AE767">
            <v>10726</v>
          </cell>
          <cell r="AF767">
            <v>20635</v>
          </cell>
          <cell r="AG767">
            <v>10761</v>
          </cell>
          <cell r="AH767">
            <v>31396</v>
          </cell>
          <cell r="AI767">
            <v>10077</v>
          </cell>
          <cell r="AJ767">
            <v>41459</v>
          </cell>
          <cell r="AK767">
            <v>9709</v>
          </cell>
          <cell r="AL767">
            <v>10546</v>
          </cell>
          <cell r="AM767">
            <v>20255</v>
          </cell>
          <cell r="AN767">
            <v>11086</v>
          </cell>
          <cell r="AO767">
            <v>31341</v>
          </cell>
          <cell r="AP767">
            <v>12926</v>
          </cell>
          <cell r="AQ767">
            <v>44267</v>
          </cell>
          <cell r="AR767">
            <v>12131</v>
          </cell>
          <cell r="AS767">
            <v>11200</v>
          </cell>
          <cell r="AT767">
            <v>21801</v>
          </cell>
          <cell r="AU767">
            <v>11440</v>
          </cell>
          <cell r="AV767">
            <v>34264</v>
          </cell>
          <cell r="AW767">
            <v>11914</v>
          </cell>
          <cell r="AX767">
            <v>46178</v>
          </cell>
          <cell r="AY767">
            <v>11610.6</v>
          </cell>
          <cell r="AZ767">
            <v>12290.4</v>
          </cell>
          <cell r="BA767">
            <v>23901</v>
          </cell>
          <cell r="BB767">
            <v>12351</v>
          </cell>
          <cell r="BC767">
            <v>36252</v>
          </cell>
          <cell r="BD767">
            <v>12356</v>
          </cell>
          <cell r="BE767">
            <v>48608</v>
          </cell>
          <cell r="BF767">
            <v>11194</v>
          </cell>
          <cell r="BG767">
            <v>11655</v>
          </cell>
          <cell r="BH767">
            <v>22849</v>
          </cell>
          <cell r="BI767">
            <v>11347</v>
          </cell>
          <cell r="BJ767">
            <v>34196</v>
          </cell>
          <cell r="BK767">
            <v>12252</v>
          </cell>
          <cell r="BL767">
            <v>46448</v>
          </cell>
          <cell r="BM767">
            <v>11450</v>
          </cell>
          <cell r="BN767">
            <v>11752</v>
          </cell>
          <cell r="BP767">
            <v>11799</v>
          </cell>
          <cell r="BR767">
            <v>12423</v>
          </cell>
          <cell r="BS767">
            <v>47424</v>
          </cell>
          <cell r="BZ767">
            <v>47997.919824000193</v>
          </cell>
          <cell r="CA767">
            <v>48436.508911759018</v>
          </cell>
          <cell r="CB767">
            <v>49612.03825486642</v>
          </cell>
          <cell r="CC767">
            <v>51023.674677684321</v>
          </cell>
          <cell r="CD767">
            <v>52701.847614694649</v>
          </cell>
          <cell r="CE767">
            <v>52263.877590762488</v>
          </cell>
          <cell r="CF767">
            <v>52399.677324817821</v>
          </cell>
          <cell r="CG767">
            <v>51783.652392090589</v>
          </cell>
        </row>
        <row r="768">
          <cell r="A768" t="str">
            <v xml:space="preserve">   growth %</v>
          </cell>
          <cell r="V768">
            <v>0.10927269795194317</v>
          </cell>
          <cell r="AC768">
            <v>0.1069694414561102</v>
          </cell>
          <cell r="AJ768">
            <v>8.8963017440638836E-2</v>
          </cell>
          <cell r="AK768">
            <v>-2.0183671409829462E-2</v>
          </cell>
          <cell r="AL768">
            <v>-1.6781652060413932E-2</v>
          </cell>
          <cell r="AM768">
            <v>-1.8415313787254695E-2</v>
          </cell>
          <cell r="AN768">
            <v>3.0201654121364108E-2</v>
          </cell>
          <cell r="AO768">
            <v>-1.7518155179003791E-3</v>
          </cell>
          <cell r="AP768">
            <v>0.28272303264860565</v>
          </cell>
          <cell r="AQ768">
            <v>6.7729564147712251E-2</v>
          </cell>
          <cell r="AR768">
            <v>0.2494592645998559</v>
          </cell>
          <cell r="AS768">
            <v>6.2014033756874642E-2</v>
          </cell>
          <cell r="AT768">
            <v>7.6326832880770246E-2</v>
          </cell>
          <cell r="AU768">
            <v>3.193216669673471E-2</v>
          </cell>
          <cell r="AV768">
            <v>9.3264414026355213E-2</v>
          </cell>
          <cell r="AW768">
            <v>-7.8291814946619187E-2</v>
          </cell>
          <cell r="AX768">
            <v>4.3169855648677258E-2</v>
          </cell>
          <cell r="AY768">
            <v>-4.2898359574643496E-2</v>
          </cell>
          <cell r="AZ768">
            <v>9.735714285714292E-2</v>
          </cell>
          <cell r="BA768">
            <v>9.6325856612081928E-2</v>
          </cell>
          <cell r="BB768">
            <v>7.9632867132867213E-2</v>
          </cell>
          <cell r="BC768">
            <v>5.8020079383609646E-2</v>
          </cell>
          <cell r="BD768">
            <v>3.7099211012254552E-2</v>
          </cell>
          <cell r="BE768">
            <v>5.2622460912122637E-2</v>
          </cell>
          <cell r="BF768">
            <v>-3.5881005288271095E-2</v>
          </cell>
          <cell r="BG768">
            <v>-5.1698886936145216E-2</v>
          </cell>
          <cell r="BH768">
            <v>-4.4014894774277225E-2</v>
          </cell>
          <cell r="BI768">
            <v>-8.1288964456319279E-2</v>
          </cell>
          <cell r="BJ768">
            <v>-5.6714112324837251E-2</v>
          </cell>
          <cell r="BK768">
            <v>-8.4169634185821129E-3</v>
          </cell>
          <cell r="BL768">
            <v>-4.4437129690585886E-2</v>
          </cell>
          <cell r="BM768">
            <v>2.2869394318384861E-2</v>
          </cell>
          <cell r="BN768">
            <v>8.322608322608227E-3</v>
          </cell>
          <cell r="BP768">
            <v>3.983431744073318E-2</v>
          </cell>
          <cell r="BR768">
            <v>1.3956904995102937E-2</v>
          </cell>
          <cell r="BS768">
            <v>2.1012745435756042E-2</v>
          </cell>
          <cell r="BZ768">
            <v>1.2101885627534337E-2</v>
          </cell>
          <cell r="CA768">
            <v>9.1376686607889113E-3</v>
          </cell>
          <cell r="CB768">
            <v>2.4269489472269035E-2</v>
          </cell>
          <cell r="CC768">
            <v>2.8453505892381603E-2</v>
          </cell>
          <cell r="CD768">
            <v>3.2890083821114802E-2</v>
          </cell>
          <cell r="CE768">
            <v>-8.3103352871833902E-3</v>
          </cell>
          <cell r="CF768">
            <v>2.5983478516209413E-3</v>
          </cell>
          <cell r="CG768">
            <v>-1.1756273400475026E-2</v>
          </cell>
        </row>
        <row r="770">
          <cell r="W770">
            <v>0</v>
          </cell>
          <cell r="X770">
            <v>0</v>
          </cell>
          <cell r="Y770">
            <v>0</v>
          </cell>
          <cell r="Z770">
            <v>0</v>
          </cell>
          <cell r="AA770">
            <v>0</v>
          </cell>
          <cell r="AB770">
            <v>0</v>
          </cell>
        </row>
        <row r="771">
          <cell r="A771" t="str">
            <v>Notes:</v>
          </cell>
        </row>
        <row r="772">
          <cell r="A772" t="str">
            <v>E= Morgan Stanley Research Estimates</v>
          </cell>
        </row>
        <row r="773">
          <cell r="A773" t="str">
            <v>Source: Morgan Stanley Research</v>
          </cell>
        </row>
        <row r="787">
          <cell r="H787" t="str">
            <v>2004-FY</v>
          </cell>
          <cell r="O787" t="str">
            <v>2005-FY</v>
          </cell>
          <cell r="V787" t="str">
            <v>2006-FY</v>
          </cell>
          <cell r="AC787" t="str">
            <v>2007-FY</v>
          </cell>
          <cell r="AJ787" t="str">
            <v>2008-FY</v>
          </cell>
          <cell r="AQ787" t="str">
            <v>2009-FY</v>
          </cell>
          <cell r="AX787" t="str">
            <v>2010-FY</v>
          </cell>
          <cell r="BE787" t="str">
            <v>2011-FY</v>
          </cell>
          <cell r="BL787" t="str">
            <v>2012-FY</v>
          </cell>
          <cell r="BS787" t="str">
            <v>2013-FY</v>
          </cell>
          <cell r="BZ787" t="str">
            <v>2014-FY</v>
          </cell>
          <cell r="CA787" t="str">
            <v>2015-FY</v>
          </cell>
          <cell r="CB787" t="str">
            <v>2016-FY</v>
          </cell>
          <cell r="CC787" t="str">
            <v>2017-FY</v>
          </cell>
          <cell r="CD787" t="str">
            <v>2018-FY</v>
          </cell>
          <cell r="CE787" t="str">
            <v>2019-FY</v>
          </cell>
          <cell r="CF787" t="str">
            <v>2020-FY</v>
          </cell>
          <cell r="CG787" t="str">
            <v>2021-FY</v>
          </cell>
          <cell r="CH787" t="str">
            <v>2022-FY</v>
          </cell>
          <cell r="CI787" t="str">
            <v>2023-FY</v>
          </cell>
          <cell r="CJ787" t="str">
            <v>2024-FY</v>
          </cell>
        </row>
        <row r="788">
          <cell r="A788" t="str">
            <v>Medicare</v>
          </cell>
          <cell r="AJ788">
            <v>2547.88</v>
          </cell>
          <cell r="AK788">
            <v>646.38053877723644</v>
          </cell>
          <cell r="AL788">
            <v>714.99656261447058</v>
          </cell>
          <cell r="AM788">
            <v>1361.3771013917069</v>
          </cell>
          <cell r="AN788">
            <v>711.37905432551008</v>
          </cell>
          <cell r="AO788">
            <v>2072.7561557172176</v>
          </cell>
          <cell r="AP788">
            <v>749.63632783123035</v>
          </cell>
          <cell r="AQ788">
            <v>2822.3924835484468</v>
          </cell>
          <cell r="AX788">
            <v>2973.8526922015753</v>
          </cell>
          <cell r="BE788">
            <v>3114.770087995601</v>
          </cell>
          <cell r="BL788">
            <v>2737.1975763072141</v>
          </cell>
          <cell r="BS788">
            <v>2475.4207857341289</v>
          </cell>
          <cell r="BZ788">
            <v>2096.7122382671155</v>
          </cell>
          <cell r="CA788">
            <v>1539.7094708630661</v>
          </cell>
          <cell r="CB788">
            <v>1331.8864238081844</v>
          </cell>
        </row>
        <row r="789">
          <cell r="AJ789">
            <v>6.1455413782290941E-2</v>
          </cell>
          <cell r="AK789">
            <v>6.6575397958310481E-2</v>
          </cell>
          <cell r="AL789">
            <v>6.7797891391472645E-2</v>
          </cell>
          <cell r="AM789">
            <v>6.721190330247874E-2</v>
          </cell>
          <cell r="AN789">
            <v>6.4169137139230573E-2</v>
          </cell>
          <cell r="AO789">
            <v>6.6135610086379429E-2</v>
          </cell>
          <cell r="AP789">
            <v>5.7994455193503817E-2</v>
          </cell>
          <cell r="AQ789">
            <v>6.3758386236890841E-2</v>
          </cell>
          <cell r="AX789">
            <v>5.8743929602591172E-2</v>
          </cell>
          <cell r="BE789">
            <v>5.3183930744725626E-2</v>
          </cell>
          <cell r="BL789">
            <v>4.8298088619046359E-2</v>
          </cell>
          <cell r="BS789">
            <v>4.2738618538227365E-2</v>
          </cell>
          <cell r="BZ789">
            <v>3.5497803355184883E-2</v>
          </cell>
          <cell r="CA789">
            <v>2.5524321538727933E-2</v>
          </cell>
          <cell r="CB789">
            <v>2.139767418453924E-2</v>
          </cell>
        </row>
        <row r="791">
          <cell r="A791" t="str">
            <v>US</v>
          </cell>
          <cell r="AJ791">
            <v>9177.5333333333347</v>
          </cell>
          <cell r="AK791">
            <v>2306.5886482643327</v>
          </cell>
          <cell r="AL791">
            <v>2494.537343061148</v>
          </cell>
          <cell r="AM791">
            <v>4801.1259913254808</v>
          </cell>
          <cell r="AN791">
            <v>2494.1457951872126</v>
          </cell>
          <cell r="AO791">
            <v>7295.2717865126961</v>
          </cell>
          <cell r="AP791">
            <v>2612.0587338948912</v>
          </cell>
          <cell r="AQ791">
            <v>9907.3305204075859</v>
          </cell>
          <cell r="AX791">
            <v>10257.866488196694</v>
          </cell>
          <cell r="BE791">
            <v>10682.246621677747</v>
          </cell>
          <cell r="BL791">
            <v>9418.1157520234392</v>
          </cell>
          <cell r="BS791">
            <v>8735.1279448157438</v>
          </cell>
          <cell r="BZ791">
            <v>7773.1799062750661</v>
          </cell>
          <cell r="CA791">
            <v>5793.1410728091896</v>
          </cell>
          <cell r="CB791">
            <v>4911.4184558944335</v>
          </cell>
        </row>
        <row r="793">
          <cell r="AC793" t="str">
            <v>2007e</v>
          </cell>
          <cell r="AJ793" t="str">
            <v>2008e</v>
          </cell>
          <cell r="AQ793" t="str">
            <v>2009e</v>
          </cell>
          <cell r="AX793" t="str">
            <v>2010e</v>
          </cell>
          <cell r="BE793" t="str">
            <v>2011e</v>
          </cell>
          <cell r="BL793" t="str">
            <v>2012e</v>
          </cell>
          <cell r="BS793" t="str">
            <v>2013e</v>
          </cell>
          <cell r="BZ793" t="str">
            <v>2014e</v>
          </cell>
          <cell r="CA793" t="str">
            <v>2015e</v>
          </cell>
          <cell r="CB793" t="str">
            <v>2016e</v>
          </cell>
          <cell r="CC793" t="str">
            <v>2017e</v>
          </cell>
          <cell r="CD793" t="str">
            <v>2018e</v>
          </cell>
          <cell r="CE793" t="str">
            <v>2019e</v>
          </cell>
          <cell r="CF793" t="str">
            <v>2020e</v>
          </cell>
          <cell r="CG793" t="str">
            <v>2021e</v>
          </cell>
        </row>
        <row r="794">
          <cell r="A794" t="str">
            <v>already generic</v>
          </cell>
          <cell r="AC794">
            <v>7495</v>
          </cell>
          <cell r="AJ794">
            <v>6571.8</v>
          </cell>
          <cell r="AQ794">
            <v>6396</v>
          </cell>
          <cell r="AX794">
            <v>5949</v>
          </cell>
          <cell r="BE794">
            <v>7665</v>
          </cell>
          <cell r="BL794">
            <v>5647.8706934532374</v>
          </cell>
          <cell r="BS794">
            <v>4958.606767201105</v>
          </cell>
          <cell r="BZ794">
            <v>4604.4463090866666</v>
          </cell>
          <cell r="CA794">
            <v>4373.0381730098479</v>
          </cell>
          <cell r="CB794">
            <v>4142.9355263389352</v>
          </cell>
          <cell r="CC794">
            <v>3917.9289097533692</v>
          </cell>
          <cell r="CD794">
            <v>3723.8267095861011</v>
          </cell>
          <cell r="CE794">
            <v>3541.8243562175835</v>
          </cell>
          <cell r="CF794">
            <v>3370.8970057391684</v>
          </cell>
          <cell r="CG794">
            <v>3210.1424564764511</v>
          </cell>
        </row>
        <row r="795">
          <cell r="A795" t="str">
            <v>generic between 2008 and 2013</v>
          </cell>
          <cell r="AC795">
            <v>11276</v>
          </cell>
          <cell r="AJ795">
            <v>12088.2</v>
          </cell>
          <cell r="AQ795">
            <v>12668</v>
          </cell>
          <cell r="AX795">
            <v>12839</v>
          </cell>
          <cell r="BE795">
            <v>11920</v>
          </cell>
          <cell r="BL795">
            <v>9514</v>
          </cell>
          <cell r="BS795">
            <v>7787</v>
          </cell>
          <cell r="BZ795">
            <v>5971.7797133240865</v>
          </cell>
          <cell r="CA795">
            <v>4607.2311659325906</v>
          </cell>
          <cell r="CB795">
            <v>4227.0306046280339</v>
          </cell>
          <cell r="CC795">
            <v>3783.3628608892986</v>
          </cell>
          <cell r="CD795">
            <v>3346.7389601971249</v>
          </cell>
          <cell r="CE795">
            <v>2784.667318030155</v>
          </cell>
          <cell r="CF795">
            <v>2329.2756776373171</v>
          </cell>
          <cell r="CG795">
            <v>1957.8002826886366</v>
          </cell>
        </row>
        <row r="796">
          <cell r="A796" t="str">
            <v>other products (to face generics &gt;2013)</v>
          </cell>
          <cell r="AC796" t="e">
            <v>#REF!</v>
          </cell>
          <cell r="AJ796" t="e">
            <v>#REF!</v>
          </cell>
          <cell r="AQ796" t="e">
            <v>#REF!</v>
          </cell>
          <cell r="AX796" t="e">
            <v>#REF!</v>
          </cell>
          <cell r="BE796" t="e">
            <v>#REF!</v>
          </cell>
          <cell r="BL796" t="e">
            <v>#REF!</v>
          </cell>
          <cell r="BS796" t="e">
            <v>#REF!</v>
          </cell>
          <cell r="BZ796" t="e">
            <v>#REF!</v>
          </cell>
          <cell r="CA796" t="e">
            <v>#REF!</v>
          </cell>
          <cell r="CB796" t="e">
            <v>#REF!</v>
          </cell>
          <cell r="CC796" t="e">
            <v>#REF!</v>
          </cell>
          <cell r="CD796" t="e">
            <v>#REF!</v>
          </cell>
          <cell r="CE796" t="e">
            <v>#REF!</v>
          </cell>
          <cell r="CF796" t="e">
            <v>#REF!</v>
          </cell>
          <cell r="CG796" t="e">
            <v>#REF!</v>
          </cell>
        </row>
        <row r="797">
          <cell r="A797" t="str">
            <v>non pharma assets (e.g. consumer health)</v>
          </cell>
          <cell r="AC797">
            <v>14047</v>
          </cell>
          <cell r="AJ797">
            <v>15128</v>
          </cell>
          <cell r="AQ797">
            <v>15729</v>
          </cell>
          <cell r="AX797">
            <v>15872</v>
          </cell>
          <cell r="BE797">
            <v>16100</v>
          </cell>
          <cell r="BL797">
            <v>14295</v>
          </cell>
          <cell r="BS797">
            <v>15210</v>
          </cell>
          <cell r="BZ797">
            <v>15687.156485280597</v>
          </cell>
          <cell r="CA797">
            <v>16640.124309544626</v>
          </cell>
          <cell r="CB797">
            <v>17556.280525021859</v>
          </cell>
          <cell r="CC797">
            <v>18437.895046272952</v>
          </cell>
          <cell r="CD797">
            <v>19367.0806751866</v>
          </cell>
          <cell r="CE797">
            <v>20343.787078278929</v>
          </cell>
          <cell r="CF797">
            <v>21364.477897141292</v>
          </cell>
          <cell r="CG797">
            <v>22427.113443746079</v>
          </cell>
        </row>
        <row r="798">
          <cell r="A798" t="str">
            <v>Sub total</v>
          </cell>
          <cell r="AC798" t="e">
            <v>#REF!</v>
          </cell>
          <cell r="AJ798" t="e">
            <v>#REF!</v>
          </cell>
          <cell r="AQ798" t="e">
            <v>#REF!</v>
          </cell>
          <cell r="AX798" t="e">
            <v>#REF!</v>
          </cell>
          <cell r="BE798" t="e">
            <v>#REF!</v>
          </cell>
          <cell r="BL798" t="e">
            <v>#REF!</v>
          </cell>
          <cell r="BS798" t="e">
            <v>#REF!</v>
          </cell>
          <cell r="BZ798" t="e">
            <v>#REF!</v>
          </cell>
          <cell r="CA798" t="e">
            <v>#REF!</v>
          </cell>
          <cell r="CB798" t="e">
            <v>#REF!</v>
          </cell>
          <cell r="CC798" t="e">
            <v>#REF!</v>
          </cell>
          <cell r="CD798" t="e">
            <v>#REF!</v>
          </cell>
          <cell r="CE798" t="e">
            <v>#REF!</v>
          </cell>
          <cell r="CF798" t="e">
            <v>#REF!</v>
          </cell>
          <cell r="CG798" t="e">
            <v>#REF!</v>
          </cell>
        </row>
        <row r="799">
          <cell r="A799" t="str">
            <v>Sub total as a % of 2007 revenues</v>
          </cell>
          <cell r="AC799" t="e">
            <v>#REF!</v>
          </cell>
          <cell r="AJ799" t="e">
            <v>#REF!</v>
          </cell>
          <cell r="AQ799" t="e">
            <v>#REF!</v>
          </cell>
          <cell r="AX799" t="e">
            <v>#REF!</v>
          </cell>
          <cell r="BE799" t="e">
            <v>#REF!</v>
          </cell>
          <cell r="BL799" t="e">
            <v>#REF!</v>
          </cell>
          <cell r="BS799" t="e">
            <v>#REF!</v>
          </cell>
          <cell r="BZ799" t="e">
            <v>#REF!</v>
          </cell>
          <cell r="CA799" t="e">
            <v>#REF!</v>
          </cell>
          <cell r="CB799" t="e">
            <v>#REF!</v>
          </cell>
          <cell r="CC799" t="e">
            <v>#REF!</v>
          </cell>
          <cell r="CD799" t="e">
            <v>#REF!</v>
          </cell>
          <cell r="CE799" t="e">
            <v>#REF!</v>
          </cell>
          <cell r="CF799" t="e">
            <v>#REF!</v>
          </cell>
          <cell r="CG799" t="e">
            <v>#REF!</v>
          </cell>
        </row>
        <row r="801">
          <cell r="A801" t="str">
            <v>Pipeline products</v>
          </cell>
          <cell r="AC801" t="e">
            <v>#REF!</v>
          </cell>
          <cell r="AJ801" t="e">
            <v>#REF!</v>
          </cell>
          <cell r="AQ801" t="e">
            <v>#REF!</v>
          </cell>
          <cell r="AX801" t="e">
            <v>#REF!</v>
          </cell>
          <cell r="BE801" t="e">
            <v>#REF!</v>
          </cell>
          <cell r="BL801" t="e">
            <v>#REF!</v>
          </cell>
          <cell r="BS801" t="e">
            <v>#REF!</v>
          </cell>
          <cell r="BZ801" t="e">
            <v>#REF!</v>
          </cell>
          <cell r="CA801" t="e">
            <v>#REF!</v>
          </cell>
          <cell r="CB801" t="e">
            <v>#REF!</v>
          </cell>
          <cell r="CC801" t="e">
            <v>#REF!</v>
          </cell>
          <cell r="CD801" t="e">
            <v>#REF!</v>
          </cell>
          <cell r="CE801" t="e">
            <v>#REF!</v>
          </cell>
          <cell r="CF801" t="e">
            <v>#REF!</v>
          </cell>
          <cell r="CG801" t="e">
            <v>#REF!</v>
          </cell>
        </row>
        <row r="802">
          <cell r="A802" t="str">
            <v>Total</v>
          </cell>
          <cell r="AC802">
            <v>38072</v>
          </cell>
          <cell r="AJ802">
            <v>41459</v>
          </cell>
          <cell r="AQ802">
            <v>44267</v>
          </cell>
          <cell r="AX802">
            <v>46178</v>
          </cell>
          <cell r="BE802">
            <v>48608</v>
          </cell>
          <cell r="BL802">
            <v>46448</v>
          </cell>
          <cell r="BS802">
            <v>47424</v>
          </cell>
          <cell r="BZ802">
            <v>47997.919824000193</v>
          </cell>
          <cell r="CA802">
            <v>48436.508911759018</v>
          </cell>
          <cell r="CB802">
            <v>49612.03825486642</v>
          </cell>
          <cell r="CC802">
            <v>51023.674677684321</v>
          </cell>
          <cell r="CD802">
            <v>52701.847614694649</v>
          </cell>
          <cell r="CE802">
            <v>52263.877590762488</v>
          </cell>
          <cell r="CF802">
            <v>52399.677324817821</v>
          </cell>
          <cell r="CG802">
            <v>51783.652392090589</v>
          </cell>
        </row>
        <row r="804">
          <cell r="V804" t="str">
            <v>For Chart</v>
          </cell>
          <cell r="AC804" t="str">
            <v>2007e</v>
          </cell>
          <cell r="AJ804" t="str">
            <v>2008e</v>
          </cell>
          <cell r="AQ804" t="str">
            <v>2009e</v>
          </cell>
          <cell r="AX804" t="str">
            <v>2010e</v>
          </cell>
          <cell r="BE804" t="str">
            <v>2011e</v>
          </cell>
          <cell r="BL804" t="str">
            <v>2012e</v>
          </cell>
          <cell r="BS804" t="str">
            <v>2013e</v>
          </cell>
          <cell r="BZ804" t="str">
            <v>2014e</v>
          </cell>
          <cell r="CA804" t="str">
            <v>2015e</v>
          </cell>
          <cell r="CB804" t="str">
            <v>2016e</v>
          </cell>
          <cell r="CC804" t="str">
            <v>2017e</v>
          </cell>
          <cell r="CD804" t="str">
            <v>2018e</v>
          </cell>
          <cell r="CE804" t="str">
            <v>2019e</v>
          </cell>
          <cell r="CF804" t="str">
            <v>2020e</v>
          </cell>
          <cell r="CG804" t="str">
            <v>2021e</v>
          </cell>
        </row>
        <row r="805">
          <cell r="V805" t="str">
            <v>Already generic</v>
          </cell>
          <cell r="AC805">
            <v>7495</v>
          </cell>
          <cell r="AJ805">
            <v>6571.8</v>
          </cell>
          <cell r="AQ805">
            <v>6396</v>
          </cell>
          <cell r="AX805">
            <v>5949</v>
          </cell>
          <cell r="BE805">
            <v>7665</v>
          </cell>
          <cell r="BL805">
            <v>5647.8706934532374</v>
          </cell>
          <cell r="BS805">
            <v>4958.606767201105</v>
          </cell>
          <cell r="BZ805">
            <v>4604.4463090866666</v>
          </cell>
          <cell r="CA805">
            <v>4373.0381730098479</v>
          </cell>
          <cell r="CB805">
            <v>4142.9355263389352</v>
          </cell>
          <cell r="CC805">
            <v>3917.9289097533692</v>
          </cell>
          <cell r="CD805">
            <v>3723.8267095861011</v>
          </cell>
          <cell r="CE805">
            <v>3541.8243562175835</v>
          </cell>
          <cell r="CF805">
            <v>3370.8970057391684</v>
          </cell>
          <cell r="CG805">
            <v>3210.1424564764511</v>
          </cell>
        </row>
        <row r="806">
          <cell r="V806" t="str">
            <v>Generic 2008 - 2013</v>
          </cell>
          <cell r="AC806">
            <v>11276</v>
          </cell>
          <cell r="AJ806">
            <v>12088.2</v>
          </cell>
          <cell r="AQ806">
            <v>12668</v>
          </cell>
          <cell r="AX806">
            <v>12839</v>
          </cell>
          <cell r="BE806">
            <v>11920</v>
          </cell>
          <cell r="BL806">
            <v>9514</v>
          </cell>
          <cell r="BS806">
            <v>7787</v>
          </cell>
          <cell r="BZ806">
            <v>5971.7797133240865</v>
          </cell>
          <cell r="CA806">
            <v>4607.2311659325906</v>
          </cell>
          <cell r="CB806">
            <v>4227.0306046280339</v>
          </cell>
          <cell r="CC806">
            <v>3783.3628608892986</v>
          </cell>
          <cell r="CD806">
            <v>3346.7389601971249</v>
          </cell>
          <cell r="CE806">
            <v>2784.667318030155</v>
          </cell>
          <cell r="CF806">
            <v>2329.2756776373171</v>
          </cell>
          <cell r="CG806">
            <v>1957.8002826886366</v>
          </cell>
        </row>
        <row r="807">
          <cell r="V807" t="str">
            <v>Other products (including products facing generics &gt;2013)</v>
          </cell>
          <cell r="AC807" t="e">
            <v>#REF!</v>
          </cell>
          <cell r="AJ807" t="e">
            <v>#REF!</v>
          </cell>
          <cell r="AQ807" t="e">
            <v>#REF!</v>
          </cell>
          <cell r="AX807" t="e">
            <v>#REF!</v>
          </cell>
          <cell r="BE807" t="e">
            <v>#REF!</v>
          </cell>
          <cell r="BL807" t="e">
            <v>#REF!</v>
          </cell>
          <cell r="BS807" t="e">
            <v>#REF!</v>
          </cell>
          <cell r="BZ807" t="e">
            <v>#REF!</v>
          </cell>
          <cell r="CA807" t="e">
            <v>#REF!</v>
          </cell>
          <cell r="CB807" t="e">
            <v>#REF!</v>
          </cell>
          <cell r="CC807" t="e">
            <v>#REF!</v>
          </cell>
          <cell r="CD807" t="e">
            <v>#REF!</v>
          </cell>
          <cell r="CE807" t="e">
            <v>#REF!</v>
          </cell>
          <cell r="CF807" t="e">
            <v>#REF!</v>
          </cell>
          <cell r="CG807" t="e">
            <v>#REF!</v>
          </cell>
        </row>
        <row r="808">
          <cell r="V808" t="str">
            <v>Non pharma assets</v>
          </cell>
          <cell r="AC808">
            <v>14047</v>
          </cell>
          <cell r="AJ808">
            <v>15128</v>
          </cell>
          <cell r="AQ808">
            <v>15729</v>
          </cell>
          <cell r="AX808">
            <v>15872</v>
          </cell>
          <cell r="BE808">
            <v>16100</v>
          </cell>
          <cell r="BL808">
            <v>14295</v>
          </cell>
          <cell r="BS808">
            <v>15210</v>
          </cell>
          <cell r="BZ808">
            <v>15687.156485280597</v>
          </cell>
          <cell r="CA808">
            <v>16640.124309544626</v>
          </cell>
          <cell r="CB808">
            <v>17556.280525021859</v>
          </cell>
          <cell r="CC808">
            <v>18437.895046272952</v>
          </cell>
          <cell r="CD808">
            <v>19367.0806751866</v>
          </cell>
          <cell r="CE808">
            <v>20343.787078278929</v>
          </cell>
          <cell r="CF808">
            <v>21364.477897141292</v>
          </cell>
          <cell r="CG808">
            <v>22427.113443746079</v>
          </cell>
        </row>
        <row r="809">
          <cell r="V809" t="str">
            <v>Pipeline products</v>
          </cell>
          <cell r="AC809" t="e">
            <v>#REF!</v>
          </cell>
          <cell r="AJ809" t="e">
            <v>#REF!</v>
          </cell>
          <cell r="AQ809" t="e">
            <v>#REF!</v>
          </cell>
          <cell r="AX809" t="e">
            <v>#REF!</v>
          </cell>
          <cell r="BE809" t="e">
            <v>#REF!</v>
          </cell>
          <cell r="BL809" t="e">
            <v>#REF!</v>
          </cell>
          <cell r="BS809" t="e">
            <v>#REF!</v>
          </cell>
          <cell r="BZ809" t="e">
            <v>#REF!</v>
          </cell>
          <cell r="CA809" t="e">
            <v>#REF!</v>
          </cell>
          <cell r="CB809" t="e">
            <v>#REF!</v>
          </cell>
          <cell r="CC809" t="e">
            <v>#REF!</v>
          </cell>
          <cell r="CD809" t="e">
            <v>#REF!</v>
          </cell>
          <cell r="CE809" t="e">
            <v>#REF!</v>
          </cell>
          <cell r="CF809" t="e">
            <v>#REF!</v>
          </cell>
          <cell r="CG809" t="e">
            <v>#REF!</v>
          </cell>
        </row>
        <row r="813">
          <cell r="A813" t="str">
            <v>Pharma 2.0 Analysis</v>
          </cell>
        </row>
        <row r="814">
          <cell r="A814" t="str">
            <v>Pharma</v>
          </cell>
          <cell r="O814">
            <v>20251</v>
          </cell>
          <cell r="P814">
            <v>5048</v>
          </cell>
          <cell r="Q814">
            <v>5660</v>
          </cell>
          <cell r="R814">
            <v>10708</v>
          </cell>
          <cell r="S814">
            <v>5748</v>
          </cell>
          <cell r="T814">
            <v>16456</v>
          </cell>
          <cell r="U814">
            <v>6004</v>
          </cell>
          <cell r="V814">
            <v>22460</v>
          </cell>
          <cell r="W814">
            <v>5860</v>
          </cell>
          <cell r="X814">
            <v>5963</v>
          </cell>
          <cell r="Y814">
            <v>11823</v>
          </cell>
          <cell r="Z814">
            <v>5727</v>
          </cell>
          <cell r="AA814">
            <v>17550</v>
          </cell>
          <cell r="AB814">
            <v>5942</v>
          </cell>
          <cell r="AC814">
            <v>23492</v>
          </cell>
          <cell r="AD814">
            <v>6030</v>
          </cell>
          <cell r="AE814">
            <v>6630</v>
          </cell>
          <cell r="AF814">
            <v>12660</v>
          </cell>
          <cell r="AG814">
            <v>6441</v>
          </cell>
          <cell r="AH814">
            <v>19101</v>
          </cell>
          <cell r="AI814">
            <v>6147</v>
          </cell>
          <cell r="AJ814">
            <v>25234</v>
          </cell>
          <cell r="AK814">
            <v>6140</v>
          </cell>
          <cell r="AL814">
            <v>6733</v>
          </cell>
          <cell r="AM814">
            <v>12873</v>
          </cell>
          <cell r="AN814">
            <v>6790</v>
          </cell>
          <cell r="AO814">
            <v>19663</v>
          </cell>
          <cell r="AP814">
            <v>7256</v>
          </cell>
          <cell r="AQ814">
            <v>26919</v>
          </cell>
          <cell r="AX814">
            <v>27212</v>
          </cell>
          <cell r="BE814">
            <v>33783</v>
          </cell>
          <cell r="BL814">
            <v>33111</v>
          </cell>
          <cell r="BS814">
            <v>33146</v>
          </cell>
          <cell r="BZ814">
            <v>33213.575932480482</v>
          </cell>
          <cell r="CA814">
            <v>32686.581951780368</v>
          </cell>
          <cell r="CB814">
            <v>32970.84509103615</v>
          </cell>
          <cell r="CC814">
            <v>33601.9823597176</v>
          </cell>
          <cell r="CD814">
            <v>34635.163176170601</v>
          </cell>
          <cell r="CE814">
            <v>33451.481363439532</v>
          </cell>
          <cell r="CF814">
            <v>32839.053476502937</v>
          </cell>
          <cell r="CG814">
            <v>31941.52975637401</v>
          </cell>
        </row>
        <row r="815">
          <cell r="A815" t="str">
            <v>Vaccines</v>
          </cell>
          <cell r="O815">
            <v>0</v>
          </cell>
          <cell r="P815">
            <v>0</v>
          </cell>
          <cell r="Q815">
            <v>127</v>
          </cell>
          <cell r="R815">
            <v>127</v>
          </cell>
          <cell r="S815">
            <v>374</v>
          </cell>
          <cell r="T815">
            <v>501</v>
          </cell>
          <cell r="U815">
            <v>455</v>
          </cell>
          <cell r="V815">
            <v>956</v>
          </cell>
          <cell r="W815">
            <v>231</v>
          </cell>
          <cell r="X815">
            <v>251</v>
          </cell>
          <cell r="Y815">
            <v>482</v>
          </cell>
          <cell r="Z815">
            <v>572</v>
          </cell>
          <cell r="AA815">
            <v>1054</v>
          </cell>
          <cell r="AB815">
            <v>398</v>
          </cell>
          <cell r="AC815">
            <v>1452</v>
          </cell>
          <cell r="AD815">
            <v>280</v>
          </cell>
          <cell r="AE815">
            <v>322</v>
          </cell>
          <cell r="AF815">
            <v>602</v>
          </cell>
          <cell r="AG815">
            <v>666</v>
          </cell>
          <cell r="AH815">
            <v>1268</v>
          </cell>
          <cell r="AI815">
            <v>491</v>
          </cell>
          <cell r="AJ815">
            <v>1759</v>
          </cell>
          <cell r="AK815">
            <v>247</v>
          </cell>
          <cell r="AL815">
            <v>247</v>
          </cell>
          <cell r="AM815">
            <v>494</v>
          </cell>
          <cell r="AN815">
            <v>543</v>
          </cell>
          <cell r="AO815">
            <v>1037</v>
          </cell>
          <cell r="AP815">
            <v>1387</v>
          </cell>
          <cell r="AQ815">
            <v>2424</v>
          </cell>
          <cell r="AX815">
            <v>2918</v>
          </cell>
          <cell r="BE815">
            <v>1996</v>
          </cell>
          <cell r="BL815">
            <v>1858</v>
          </cell>
          <cell r="BS815">
            <v>2008</v>
          </cell>
          <cell r="BZ815">
            <v>1646.82181285669</v>
          </cell>
          <cell r="CA815">
            <v>1847.5129034995243</v>
          </cell>
          <cell r="CB815">
            <v>2095.7385486745006</v>
          </cell>
          <cell r="CC815">
            <v>2245.1259711082257</v>
          </cell>
          <cell r="CD815">
            <v>2391.6379795136372</v>
          </cell>
          <cell r="CE815">
            <v>2545.7307596348192</v>
          </cell>
          <cell r="CF815">
            <v>2666.994905196425</v>
          </cell>
          <cell r="CG815">
            <v>2344.6650608079126</v>
          </cell>
        </row>
        <row r="816">
          <cell r="A816" t="str">
            <v>Generics</v>
          </cell>
          <cell r="O816">
            <v>4694</v>
          </cell>
          <cell r="P816">
            <v>1431</v>
          </cell>
          <cell r="Q816">
            <v>1450</v>
          </cell>
          <cell r="R816">
            <v>2881</v>
          </cell>
          <cell r="S816">
            <v>1425</v>
          </cell>
          <cell r="T816">
            <v>4306</v>
          </cell>
          <cell r="U816">
            <v>1653</v>
          </cell>
          <cell r="V816">
            <v>5959</v>
          </cell>
          <cell r="W816">
            <v>1696</v>
          </cell>
          <cell r="X816">
            <v>1719</v>
          </cell>
          <cell r="Y816">
            <v>3415</v>
          </cell>
          <cell r="Z816">
            <v>1783</v>
          </cell>
          <cell r="AA816">
            <v>5198</v>
          </cell>
          <cell r="AB816">
            <v>1971</v>
          </cell>
          <cell r="AC816">
            <v>7169</v>
          </cell>
          <cell r="AD816">
            <v>1906</v>
          </cell>
          <cell r="AE816">
            <v>1948</v>
          </cell>
          <cell r="AF816">
            <v>3854</v>
          </cell>
          <cell r="AG816">
            <v>1899</v>
          </cell>
          <cell r="AH816">
            <v>5753</v>
          </cell>
          <cell r="AI816">
            <v>1804</v>
          </cell>
          <cell r="AJ816">
            <v>7557</v>
          </cell>
          <cell r="AK816">
            <v>1726</v>
          </cell>
          <cell r="AL816">
            <v>1774</v>
          </cell>
          <cell r="AM816">
            <v>3500</v>
          </cell>
          <cell r="AN816">
            <v>1850</v>
          </cell>
          <cell r="AO816">
            <v>5350</v>
          </cell>
          <cell r="AP816">
            <v>2143</v>
          </cell>
          <cell r="AQ816">
            <v>7493</v>
          </cell>
          <cell r="AX816">
            <v>8592</v>
          </cell>
          <cell r="BE816">
            <v>9473</v>
          </cell>
          <cell r="BL816">
            <v>8702</v>
          </cell>
          <cell r="BS816">
            <v>9159</v>
          </cell>
          <cell r="BZ816">
            <v>9621.9143831047877</v>
          </cell>
          <cell r="CA816">
            <v>10103.010102260027</v>
          </cell>
          <cell r="CB816">
            <v>10608.160607373029</v>
          </cell>
          <cell r="CC816">
            <v>11138.568637741681</v>
          </cell>
          <cell r="CD816">
            <v>11728.242808003764</v>
          </cell>
          <cell r="CE816">
            <v>12349.365431081453</v>
          </cell>
          <cell r="CF816">
            <v>13003.626814273677</v>
          </cell>
          <cell r="CG816">
            <v>13692.808853323801</v>
          </cell>
        </row>
        <row r="817">
          <cell r="A817" t="str">
            <v>Consumer Health</v>
          </cell>
          <cell r="O817">
            <v>7256</v>
          </cell>
          <cell r="P817">
            <v>1818</v>
          </cell>
          <cell r="Q817">
            <v>1906</v>
          </cell>
          <cell r="R817">
            <v>3724</v>
          </cell>
          <cell r="S817">
            <v>1909</v>
          </cell>
          <cell r="T817">
            <v>5633</v>
          </cell>
          <cell r="U817">
            <v>1896</v>
          </cell>
          <cell r="V817">
            <v>7529</v>
          </cell>
          <cell r="W817">
            <v>1969</v>
          </cell>
          <cell r="X817">
            <v>2087</v>
          </cell>
          <cell r="Y817">
            <v>4056</v>
          </cell>
          <cell r="Z817">
            <v>1688</v>
          </cell>
          <cell r="AA817">
            <v>5744</v>
          </cell>
          <cell r="AB817">
            <v>1410</v>
          </cell>
          <cell r="AC817">
            <v>7154</v>
          </cell>
          <cell r="AD817">
            <v>1459</v>
          </cell>
          <cell r="AE817">
            <v>1528</v>
          </cell>
          <cell r="AF817">
            <v>2987</v>
          </cell>
          <cell r="AG817">
            <v>1473</v>
          </cell>
          <cell r="AH817">
            <v>4460</v>
          </cell>
          <cell r="AI817">
            <v>1352</v>
          </cell>
          <cell r="AJ817">
            <v>5812</v>
          </cell>
          <cell r="AK817">
            <v>1303</v>
          </cell>
          <cell r="AL817">
            <v>1410</v>
          </cell>
          <cell r="AM817">
            <v>2713</v>
          </cell>
          <cell r="AN817">
            <v>1476</v>
          </cell>
          <cell r="AO817">
            <v>4189</v>
          </cell>
          <cell r="AP817">
            <v>1623</v>
          </cell>
          <cell r="AQ817">
            <v>5812</v>
          </cell>
          <cell r="AX817">
            <v>6655</v>
          </cell>
          <cell r="BE817">
            <v>7045</v>
          </cell>
          <cell r="BL817">
            <v>6189</v>
          </cell>
          <cell r="BS817">
            <v>6555</v>
          </cell>
          <cell r="BZ817">
            <v>7089.1260172122502</v>
          </cell>
          <cell r="CA817">
            <v>7551.3436720893642</v>
          </cell>
          <cell r="CB817">
            <v>7907.1651926980721</v>
          </cell>
          <cell r="CC817">
            <v>8280.3428760773004</v>
          </cell>
          <cell r="CD817">
            <v>8657.7752604753769</v>
          </cell>
          <cell r="CE817">
            <v>9053.0683574727409</v>
          </cell>
          <cell r="CF817">
            <v>9467.0838161096472</v>
          </cell>
          <cell r="CG817">
            <v>9900.7252934082717</v>
          </cell>
        </row>
        <row r="818">
          <cell r="A818" t="str">
            <v>Diagnostics</v>
          </cell>
          <cell r="AX818">
            <v>3221</v>
          </cell>
          <cell r="BE818">
            <v>3587</v>
          </cell>
          <cell r="BL818">
            <v>3752</v>
          </cell>
          <cell r="BS818">
            <v>3897</v>
          </cell>
          <cell r="BZ818">
            <v>4206.3221470404287</v>
          </cell>
          <cell r="CA818">
            <v>4696.0380914855641</v>
          </cell>
          <cell r="CB818">
            <v>5115.0260084563588</v>
          </cell>
          <cell r="CC818">
            <v>5491.2029629697372</v>
          </cell>
          <cell r="CD818">
            <v>5797.7137396588305</v>
          </cell>
          <cell r="CE818">
            <v>6122.0277749180168</v>
          </cell>
          <cell r="CF818">
            <v>6465.2279661163193</v>
          </cell>
          <cell r="CG818">
            <v>6798.0851933257027</v>
          </cell>
        </row>
        <row r="819">
          <cell r="A819" t="str">
            <v>Biologics</v>
          </cell>
          <cell r="O819">
            <v>11</v>
          </cell>
          <cell r="P819">
            <v>4</v>
          </cell>
          <cell r="Q819">
            <v>39</v>
          </cell>
          <cell r="R819">
            <v>43</v>
          </cell>
          <cell r="S819">
            <v>28</v>
          </cell>
          <cell r="T819">
            <v>71</v>
          </cell>
          <cell r="U819">
            <v>45</v>
          </cell>
          <cell r="V819">
            <v>116</v>
          </cell>
          <cell r="W819">
            <v>63</v>
          </cell>
          <cell r="X819">
            <v>102</v>
          </cell>
          <cell r="Y819">
            <v>165</v>
          </cell>
          <cell r="Z819">
            <v>158</v>
          </cell>
          <cell r="AA819">
            <v>323</v>
          </cell>
          <cell r="AB819">
            <v>210</v>
          </cell>
          <cell r="AC819">
            <v>533</v>
          </cell>
          <cell r="AD819">
            <v>234</v>
          </cell>
          <cell r="AE819">
            <v>298</v>
          </cell>
          <cell r="AF819">
            <v>532</v>
          </cell>
          <cell r="AG819">
            <v>282</v>
          </cell>
          <cell r="AH819">
            <v>814</v>
          </cell>
          <cell r="AI819">
            <v>283</v>
          </cell>
          <cell r="AJ819">
            <v>1097</v>
          </cell>
          <cell r="AK819">
            <v>293</v>
          </cell>
          <cell r="AL819">
            <v>382</v>
          </cell>
          <cell r="AM819">
            <v>675</v>
          </cell>
          <cell r="AN819">
            <v>427</v>
          </cell>
          <cell r="AO819">
            <v>1102</v>
          </cell>
          <cell r="AP819">
            <v>517</v>
          </cell>
          <cell r="AQ819">
            <v>1619</v>
          </cell>
          <cell r="AX819">
            <v>2026</v>
          </cell>
          <cell r="BE819">
            <v>2682</v>
          </cell>
          <cell r="BL819">
            <v>3061</v>
          </cell>
          <cell r="BS819">
            <v>3155</v>
          </cell>
          <cell r="BZ819">
            <v>3288.2111221496916</v>
          </cell>
          <cell r="CA819">
            <v>3438.7414017902834</v>
          </cell>
          <cell r="CB819">
            <v>3547.5128185053418</v>
          </cell>
          <cell r="CC819">
            <v>3618.4221505825853</v>
          </cell>
          <cell r="CD819">
            <v>3510.7705134739599</v>
          </cell>
          <cell r="CE819">
            <v>3465.5031628591855</v>
          </cell>
          <cell r="CF819">
            <v>3423.2918527398497</v>
          </cell>
          <cell r="CG819">
            <v>3324.0481960472589</v>
          </cell>
        </row>
        <row r="820">
          <cell r="A820" t="str">
            <v>Other non-pharma</v>
          </cell>
        </row>
        <row r="841">
          <cell r="V841">
            <v>2006</v>
          </cell>
          <cell r="W841" t="str">
            <v>Q107</v>
          </cell>
          <cell r="X841" t="str">
            <v>Q207</v>
          </cell>
          <cell r="Y841" t="str">
            <v>H107</v>
          </cell>
          <cell r="Z841" t="str">
            <v>Q307</v>
          </cell>
          <cell r="AA841" t="str">
            <v>9M07</v>
          </cell>
          <cell r="AB841" t="str">
            <v>Q407A</v>
          </cell>
          <cell r="AC841">
            <v>2007</v>
          </cell>
          <cell r="AD841" t="str">
            <v>Q108</v>
          </cell>
          <cell r="AE841" t="str">
            <v>Q208</v>
          </cell>
          <cell r="AF841" t="str">
            <v>H108</v>
          </cell>
          <cell r="AG841" t="str">
            <v>Q308</v>
          </cell>
          <cell r="AH841" t="str">
            <v>9M08</v>
          </cell>
          <cell r="AI841" t="str">
            <v>Q408</v>
          </cell>
          <cell r="AJ841">
            <v>2008</v>
          </cell>
          <cell r="AQ841">
            <v>2009</v>
          </cell>
          <cell r="AX841">
            <v>2010</v>
          </cell>
          <cell r="BE841">
            <v>2011</v>
          </cell>
          <cell r="BL841">
            <v>2012</v>
          </cell>
          <cell r="BS841">
            <v>2013</v>
          </cell>
          <cell r="BZ841" t="str">
            <v>2014E</v>
          </cell>
          <cell r="CA841" t="str">
            <v>2015E</v>
          </cell>
          <cell r="CB841" t="str">
            <v>2016E</v>
          </cell>
          <cell r="CC841" t="str">
            <v>2017E</v>
          </cell>
          <cell r="CD841" t="str">
            <v>2018E</v>
          </cell>
          <cell r="CE841" t="str">
            <v>2019E</v>
          </cell>
          <cell r="CF841" t="str">
            <v>2020E</v>
          </cell>
        </row>
        <row r="842">
          <cell r="A842" t="str">
            <v>Pharmaceuticals</v>
          </cell>
          <cell r="P842" t="e">
            <v>#REF!</v>
          </cell>
          <cell r="Q842" t="e">
            <v>#REF!</v>
          </cell>
          <cell r="R842" t="e">
            <v>#REF!</v>
          </cell>
          <cell r="S842" t="e">
            <v>#REF!</v>
          </cell>
          <cell r="T842" t="e">
            <v>#REF!</v>
          </cell>
          <cell r="U842" t="e">
            <v>#REF!</v>
          </cell>
          <cell r="V842">
            <v>22576</v>
          </cell>
          <cell r="W842">
            <v>5923</v>
          </cell>
          <cell r="X842">
            <v>6065</v>
          </cell>
          <cell r="Y842">
            <v>11988</v>
          </cell>
          <cell r="Z842">
            <v>5885</v>
          </cell>
          <cell r="AA842">
            <v>17873</v>
          </cell>
          <cell r="AB842">
            <v>6152</v>
          </cell>
          <cell r="AC842">
            <v>24025</v>
          </cell>
          <cell r="AD842">
            <v>6264</v>
          </cell>
          <cell r="AE842">
            <v>6928</v>
          </cell>
          <cell r="AF842">
            <v>13192</v>
          </cell>
          <cell r="AG842">
            <v>6723</v>
          </cell>
          <cell r="AH842">
            <v>19915</v>
          </cell>
          <cell r="AI842">
            <v>6430</v>
          </cell>
          <cell r="AJ842">
            <v>26331</v>
          </cell>
          <cell r="AQ842">
            <v>28538</v>
          </cell>
          <cell r="AX842">
            <v>34752</v>
          </cell>
          <cell r="BE842">
            <v>42466</v>
          </cell>
          <cell r="BL842">
            <v>42378</v>
          </cell>
          <cell r="BS842">
            <v>42710</v>
          </cell>
          <cell r="BZ842">
            <v>43378.814929563734</v>
          </cell>
          <cell r="CA842">
            <v>43683.103813360511</v>
          </cell>
          <cell r="CB842">
            <v>44688.167741721576</v>
          </cell>
          <cell r="CC842">
            <v>45937.749911924177</v>
          </cell>
          <cell r="CD842">
            <v>47354.222802109573</v>
          </cell>
          <cell r="CE842">
            <v>46643.389771126822</v>
          </cell>
          <cell r="CF842">
            <v>46500.800933797553</v>
          </cell>
        </row>
        <row r="843">
          <cell r="A843" t="str">
            <v>Vaccines</v>
          </cell>
          <cell r="P843">
            <v>0</v>
          </cell>
          <cell r="Q843">
            <v>127</v>
          </cell>
          <cell r="R843">
            <v>127</v>
          </cell>
          <cell r="S843">
            <v>374</v>
          </cell>
          <cell r="T843">
            <v>501</v>
          </cell>
          <cell r="U843">
            <v>455</v>
          </cell>
          <cell r="V843">
            <v>956</v>
          </cell>
          <cell r="W843">
            <v>231</v>
          </cell>
          <cell r="X843">
            <v>251</v>
          </cell>
          <cell r="Y843">
            <v>482</v>
          </cell>
          <cell r="Z843">
            <v>572</v>
          </cell>
          <cell r="AA843">
            <v>1054</v>
          </cell>
          <cell r="AB843">
            <v>398</v>
          </cell>
          <cell r="AC843">
            <v>1452</v>
          </cell>
          <cell r="AD843">
            <v>280</v>
          </cell>
          <cell r="AE843">
            <v>322</v>
          </cell>
          <cell r="AF843">
            <v>602</v>
          </cell>
          <cell r="AG843">
            <v>666</v>
          </cell>
          <cell r="AH843">
            <v>1268</v>
          </cell>
          <cell r="AI843">
            <v>491</v>
          </cell>
          <cell r="AJ843">
            <v>1759</v>
          </cell>
          <cell r="AQ843">
            <v>2424</v>
          </cell>
          <cell r="AX843">
            <v>2918</v>
          </cell>
          <cell r="BE843">
            <v>1996</v>
          </cell>
          <cell r="BL843">
            <v>1858</v>
          </cell>
          <cell r="BS843">
            <v>1987</v>
          </cell>
          <cell r="BZ843">
            <v>1583.82181285669</v>
          </cell>
          <cell r="CA843">
            <v>1721.5129034995243</v>
          </cell>
          <cell r="CB843">
            <v>1891.7385486745009</v>
          </cell>
          <cell r="CC843">
            <v>1990.1259711082259</v>
          </cell>
          <cell r="CD843">
            <v>2078.1379795136372</v>
          </cell>
          <cell r="CE843">
            <v>2170.2057596348191</v>
          </cell>
          <cell r="CF843">
            <v>2260.524155196425</v>
          </cell>
        </row>
        <row r="844">
          <cell r="A844" t="str">
            <v>Eyecare/ Opthalmics</v>
          </cell>
          <cell r="P844" t="e">
            <v>#REF!</v>
          </cell>
          <cell r="Q844" t="e">
            <v>#REF!</v>
          </cell>
          <cell r="R844" t="e">
            <v>#REF!</v>
          </cell>
          <cell r="S844" t="e">
            <v>#REF!</v>
          </cell>
          <cell r="T844" t="e">
            <v>#REF!</v>
          </cell>
          <cell r="U844" t="e">
            <v>#REF!</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X844">
            <v>0</v>
          </cell>
          <cell r="BE844">
            <v>0</v>
          </cell>
          <cell r="BL844">
            <v>0</v>
          </cell>
          <cell r="BS844">
            <v>0</v>
          </cell>
          <cell r="BZ844">
            <v>0</v>
          </cell>
          <cell r="CA844">
            <v>0</v>
          </cell>
          <cell r="CB844">
            <v>0</v>
          </cell>
          <cell r="CC844">
            <v>0</v>
          </cell>
          <cell r="CD844">
            <v>0</v>
          </cell>
          <cell r="CE844">
            <v>0</v>
          </cell>
          <cell r="CF844">
            <v>0</v>
          </cell>
        </row>
        <row r="845">
          <cell r="A845" t="str">
            <v>Sandoz</v>
          </cell>
          <cell r="P845">
            <v>1431</v>
          </cell>
          <cell r="Q845">
            <v>1450</v>
          </cell>
          <cell r="R845">
            <v>2881</v>
          </cell>
          <cell r="S845">
            <v>1425</v>
          </cell>
          <cell r="T845">
            <v>4306</v>
          </cell>
          <cell r="U845">
            <v>1653</v>
          </cell>
          <cell r="V845">
            <v>5959</v>
          </cell>
          <cell r="W845">
            <v>1696</v>
          </cell>
          <cell r="X845">
            <v>1719</v>
          </cell>
          <cell r="Y845">
            <v>3415</v>
          </cell>
          <cell r="Z845">
            <v>1783</v>
          </cell>
          <cell r="AA845">
            <v>5198</v>
          </cell>
          <cell r="AB845">
            <v>1971</v>
          </cell>
          <cell r="AC845">
            <v>7169</v>
          </cell>
          <cell r="AD845">
            <v>1906</v>
          </cell>
          <cell r="AE845">
            <v>1948</v>
          </cell>
          <cell r="AF845">
            <v>3854</v>
          </cell>
          <cell r="AG845">
            <v>1899</v>
          </cell>
          <cell r="AH845">
            <v>5753</v>
          </cell>
          <cell r="AI845">
            <v>1804</v>
          </cell>
          <cell r="AJ845">
            <v>7557</v>
          </cell>
          <cell r="AQ845">
            <v>7493</v>
          </cell>
          <cell r="AX845">
            <v>8592</v>
          </cell>
          <cell r="BE845">
            <v>9473</v>
          </cell>
          <cell r="BL845">
            <v>8702</v>
          </cell>
          <cell r="BS845">
            <v>9159</v>
          </cell>
          <cell r="BZ845">
            <v>9621.9143831047877</v>
          </cell>
          <cell r="CA845">
            <v>10103.010102260027</v>
          </cell>
          <cell r="CB845">
            <v>10608.160607373029</v>
          </cell>
          <cell r="CC845">
            <v>11138.568637741681</v>
          </cell>
          <cell r="CD845">
            <v>11728.242808003764</v>
          </cell>
          <cell r="CE845">
            <v>12349.365431081453</v>
          </cell>
          <cell r="CF845">
            <v>13003.626814273677</v>
          </cell>
        </row>
        <row r="846">
          <cell r="A846" t="str">
            <v>Consumer</v>
          </cell>
          <cell r="P846">
            <v>1818</v>
          </cell>
          <cell r="Q846">
            <v>1906</v>
          </cell>
          <cell r="R846">
            <v>3724</v>
          </cell>
          <cell r="S846">
            <v>1909</v>
          </cell>
          <cell r="T846">
            <v>5633</v>
          </cell>
          <cell r="U846">
            <v>1896</v>
          </cell>
          <cell r="V846">
            <v>7529</v>
          </cell>
          <cell r="W846">
            <v>1969</v>
          </cell>
          <cell r="X846">
            <v>2087</v>
          </cell>
          <cell r="Y846">
            <v>4056</v>
          </cell>
          <cell r="Z846">
            <v>1688</v>
          </cell>
          <cell r="AA846">
            <v>5744</v>
          </cell>
          <cell r="AB846">
            <v>1410</v>
          </cell>
          <cell r="AC846">
            <v>7154</v>
          </cell>
          <cell r="AD846">
            <v>1459</v>
          </cell>
          <cell r="AE846">
            <v>1528</v>
          </cell>
          <cell r="AF846">
            <v>2987</v>
          </cell>
          <cell r="AG846">
            <v>1473</v>
          </cell>
          <cell r="AH846">
            <v>4460</v>
          </cell>
          <cell r="AI846">
            <v>1352</v>
          </cell>
          <cell r="AJ846">
            <v>5812</v>
          </cell>
          <cell r="AQ846">
            <v>5812</v>
          </cell>
          <cell r="AX846">
            <v>4362</v>
          </cell>
          <cell r="BE846">
            <v>4631</v>
          </cell>
          <cell r="BL846">
            <v>3735</v>
          </cell>
          <cell r="BS846">
            <v>4064</v>
          </cell>
          <cell r="BZ846">
            <v>4481.4202893191186</v>
          </cell>
          <cell r="CA846">
            <v>4815.6013037850753</v>
          </cell>
          <cell r="CB846">
            <v>5056.3813689743292</v>
          </cell>
          <cell r="CC846">
            <v>5309.2004374230455</v>
          </cell>
          <cell r="CD846">
            <v>5560.6998876691978</v>
          </cell>
          <cell r="CE846">
            <v>5824.2158875626574</v>
          </cell>
          <cell r="CF846">
            <v>6100.3269276711908</v>
          </cell>
        </row>
        <row r="847">
          <cell r="A847" t="str">
            <v>Total</v>
          </cell>
          <cell r="P847">
            <v>8301</v>
          </cell>
          <cell r="Q847">
            <v>9182</v>
          </cell>
          <cell r="R847">
            <v>17483</v>
          </cell>
          <cell r="S847">
            <v>9484</v>
          </cell>
          <cell r="T847">
            <v>26967</v>
          </cell>
          <cell r="U847">
            <v>10053</v>
          </cell>
          <cell r="V847">
            <v>37020</v>
          </cell>
          <cell r="W847">
            <v>9819</v>
          </cell>
          <cell r="X847">
            <v>10122</v>
          </cell>
          <cell r="Y847">
            <v>19941</v>
          </cell>
          <cell r="Z847">
            <v>9928</v>
          </cell>
          <cell r="AA847">
            <v>29869</v>
          </cell>
          <cell r="AB847">
            <v>9931</v>
          </cell>
          <cell r="AC847">
            <v>39800</v>
          </cell>
          <cell r="AD847">
            <v>9909</v>
          </cell>
          <cell r="AE847">
            <v>10726</v>
          </cell>
          <cell r="AF847">
            <v>20635</v>
          </cell>
          <cell r="AG847">
            <v>10761</v>
          </cell>
          <cell r="AH847">
            <v>31396</v>
          </cell>
          <cell r="AI847">
            <v>10077</v>
          </cell>
          <cell r="AJ847">
            <v>41459</v>
          </cell>
          <cell r="AQ847">
            <v>44267</v>
          </cell>
          <cell r="AX847">
            <v>50624</v>
          </cell>
          <cell r="BE847">
            <v>58566</v>
          </cell>
          <cell r="BL847">
            <v>56673</v>
          </cell>
          <cell r="BS847">
            <v>57920</v>
          </cell>
          <cell r="BZ847">
            <v>59065.971414844331</v>
          </cell>
          <cell r="CA847">
            <v>60323.228122905137</v>
          </cell>
          <cell r="CB847">
            <v>62244.448266743442</v>
          </cell>
          <cell r="CC847">
            <v>64375.644958197125</v>
          </cell>
          <cell r="CD847">
            <v>66721.303477296169</v>
          </cell>
          <cell r="CE847">
            <v>66987.176849405747</v>
          </cell>
          <cell r="CF847">
            <v>67865.278830938856</v>
          </cell>
        </row>
        <row r="849">
          <cell r="V849">
            <v>2006</v>
          </cell>
          <cell r="W849" t="str">
            <v>Q107</v>
          </cell>
          <cell r="X849" t="str">
            <v>Q207</v>
          </cell>
          <cell r="Y849" t="str">
            <v>H107</v>
          </cell>
          <cell r="Z849" t="str">
            <v>Q307</v>
          </cell>
          <cell r="AA849" t="str">
            <v>9M07</v>
          </cell>
          <cell r="AB849" t="str">
            <v>Q407A</v>
          </cell>
          <cell r="AC849">
            <v>2007</v>
          </cell>
          <cell r="AD849" t="str">
            <v>Q108</v>
          </cell>
          <cell r="AE849" t="str">
            <v>Q208</v>
          </cell>
          <cell r="AF849" t="str">
            <v>H108</v>
          </cell>
          <cell r="AG849" t="str">
            <v>Q308</v>
          </cell>
          <cell r="AH849" t="str">
            <v>9M08</v>
          </cell>
          <cell r="AI849" t="str">
            <v>Q408</v>
          </cell>
          <cell r="AJ849">
            <v>2008</v>
          </cell>
          <cell r="AQ849">
            <v>2009</v>
          </cell>
          <cell r="AX849">
            <v>2010</v>
          </cell>
          <cell r="BE849">
            <v>2011</v>
          </cell>
          <cell r="BL849">
            <v>2012</v>
          </cell>
          <cell r="BS849">
            <v>2013</v>
          </cell>
          <cell r="BZ849" t="str">
            <v>2014E</v>
          </cell>
          <cell r="CA849" t="str">
            <v>2015E</v>
          </cell>
          <cell r="CB849" t="str">
            <v>2016E</v>
          </cell>
          <cell r="CC849" t="str">
            <v>2017E</v>
          </cell>
          <cell r="CD849" t="str">
            <v>2018E</v>
          </cell>
          <cell r="CE849" t="str">
            <v>2019E</v>
          </cell>
          <cell r="CF849" t="str">
            <v>2020E</v>
          </cell>
        </row>
        <row r="850">
          <cell r="A850" t="str">
            <v>Pharma as a percentage</v>
          </cell>
          <cell r="V850">
            <v>0.6098325229605619</v>
          </cell>
          <cell r="W850">
            <v>0.60321825033099097</v>
          </cell>
          <cell r="X850">
            <v>0.59918988342224855</v>
          </cell>
          <cell r="Y850">
            <v>0.60117346171205055</v>
          </cell>
          <cell r="Z850">
            <v>0.59276792908944398</v>
          </cell>
          <cell r="AA850">
            <v>0.59837959088017678</v>
          </cell>
          <cell r="AB850">
            <v>0.61947437317490683</v>
          </cell>
          <cell r="AC850">
            <v>0.60364321608040206</v>
          </cell>
          <cell r="AD850">
            <v>0.63215258855585832</v>
          </cell>
          <cell r="AE850">
            <v>0.64590714152526574</v>
          </cell>
          <cell r="AF850">
            <v>0.6393021565301672</v>
          </cell>
          <cell r="AG850">
            <v>0.62475606356286595</v>
          </cell>
          <cell r="AH850">
            <v>0.63431647343610653</v>
          </cell>
          <cell r="AI850">
            <v>0.6380867321623499</v>
          </cell>
          <cell r="AJ850">
            <v>0.6351093851757158</v>
          </cell>
          <cell r="AQ850">
            <v>0.64467888043011723</v>
          </cell>
          <cell r="AX850">
            <v>0.68647281921618208</v>
          </cell>
          <cell r="BE850">
            <v>0.72509647235597441</v>
          </cell>
          <cell r="BL850">
            <v>0.74776348525753</v>
          </cell>
          <cell r="BS850">
            <v>0.73739640883977897</v>
          </cell>
          <cell r="BZ850">
            <v>0.73441296046579307</v>
          </cell>
          <cell r="CA850">
            <v>0.72415063272739111</v>
          </cell>
          <cell r="CB850">
            <v>0.71794624237352256</v>
          </cell>
          <cell r="CC850">
            <v>0.71358896585431097</v>
          </cell>
          <cell r="CD850">
            <v>0.70973167990075614</v>
          </cell>
          <cell r="CE850">
            <v>0.69630326227937767</v>
          </cell>
          <cell r="CF850">
            <v>0.6851928074978817</v>
          </cell>
        </row>
        <row r="851">
          <cell r="A851" t="str">
            <v>Vaccines as a percentage</v>
          </cell>
          <cell r="V851">
            <v>2.5823878984332794E-2</v>
          </cell>
          <cell r="W851">
            <v>2.3525817293003362E-2</v>
          </cell>
          <cell r="X851">
            <v>2.4797470855562141E-2</v>
          </cell>
          <cell r="Y851">
            <v>2.4171305350784815E-2</v>
          </cell>
          <cell r="Z851">
            <v>5.7614826752618857E-2</v>
          </cell>
          <cell r="AA851">
            <v>3.5287421741605006E-2</v>
          </cell>
          <cell r="AB851">
            <v>4.0076528043500148E-2</v>
          </cell>
          <cell r="AC851">
            <v>3.6482412060301506E-2</v>
          </cell>
          <cell r="AD851">
            <v>2.8257139973761228E-2</v>
          </cell>
          <cell r="AE851">
            <v>3.0020510908073839E-2</v>
          </cell>
          <cell r="AF851">
            <v>2.9173733947177125E-2</v>
          </cell>
          <cell r="AG851">
            <v>6.1890158907164761E-2</v>
          </cell>
          <cell r="AH851">
            <v>4.0387310485412158E-2</v>
          </cell>
          <cell r="AI851">
            <v>4.8724818894512259E-2</v>
          </cell>
          <cell r="AJ851">
            <v>4.2427458452929404E-2</v>
          </cell>
          <cell r="AQ851">
            <v>5.4758623805543631E-2</v>
          </cell>
          <cell r="AX851">
            <v>5.7640644753476612E-2</v>
          </cell>
          <cell r="BE851">
            <v>3.4081207526551242E-2</v>
          </cell>
          <cell r="BL851">
            <v>3.2784571136167132E-2</v>
          </cell>
          <cell r="BS851">
            <v>3.4305939226519339E-2</v>
          </cell>
          <cell r="BZ851">
            <v>2.6814454666848116E-2</v>
          </cell>
          <cell r="CA851">
            <v>2.8538142885722893E-2</v>
          </cell>
          <cell r="CB851">
            <v>3.0392084777868245E-2</v>
          </cell>
          <cell r="CC851">
            <v>3.0914268469085338E-2</v>
          </cell>
          <cell r="CD851">
            <v>3.1146543475739846E-2</v>
          </cell>
          <cell r="CE851">
            <v>3.23973312760093E-2</v>
          </cell>
          <cell r="CF851">
            <v>3.3308993849825351E-2</v>
          </cell>
        </row>
        <row r="852">
          <cell r="A852" t="str">
            <v>Eyecare as a percentage</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Q852">
            <v>0</v>
          </cell>
          <cell r="AX852">
            <v>0</v>
          </cell>
          <cell r="BE852">
            <v>0</v>
          </cell>
          <cell r="BL852">
            <v>0</v>
          </cell>
          <cell r="BS852">
            <v>0</v>
          </cell>
          <cell r="BZ852">
            <v>0</v>
          </cell>
          <cell r="CA852">
            <v>0</v>
          </cell>
          <cell r="CB852">
            <v>0</v>
          </cell>
          <cell r="CC852">
            <v>0</v>
          </cell>
          <cell r="CD852">
            <v>0</v>
          </cell>
          <cell r="CE852">
            <v>0</v>
          </cell>
          <cell r="CF852">
            <v>0</v>
          </cell>
        </row>
        <row r="853">
          <cell r="A853" t="str">
            <v>Sandoz as a percentage</v>
          </cell>
          <cell r="V853">
            <v>0.16096704484062668</v>
          </cell>
          <cell r="W853">
            <v>0.17272634687850086</v>
          </cell>
          <cell r="X853">
            <v>0.16982809721398934</v>
          </cell>
          <cell r="Y853">
            <v>0.17125520284840279</v>
          </cell>
          <cell r="Z853">
            <v>0.17959307010475423</v>
          </cell>
          <cell r="AA853">
            <v>0.17402658274465166</v>
          </cell>
          <cell r="AB853">
            <v>0.19846943912999698</v>
          </cell>
          <cell r="AC853">
            <v>0.18012562814070351</v>
          </cell>
          <cell r="AD853">
            <v>0.19235038853567463</v>
          </cell>
          <cell r="AE853">
            <v>0.18161476785381317</v>
          </cell>
          <cell r="AF853">
            <v>0.18677005088441967</v>
          </cell>
          <cell r="AG853">
            <v>0.17647058823529413</v>
          </cell>
          <cell r="AH853">
            <v>0.18323990317237865</v>
          </cell>
          <cell r="AI853">
            <v>0.17902153418676192</v>
          </cell>
          <cell r="AJ853">
            <v>0.18227646590607588</v>
          </cell>
          <cell r="AQ853">
            <v>0.16926830370253235</v>
          </cell>
          <cell r="AX853">
            <v>0.16972187104930467</v>
          </cell>
          <cell r="BE853">
            <v>0.16174913772495988</v>
          </cell>
          <cell r="BL853">
            <v>0.15354754468618212</v>
          </cell>
          <cell r="BS853">
            <v>0.15813190607734806</v>
          </cell>
          <cell r="BZ853">
            <v>0.16290114515388515</v>
          </cell>
          <cell r="CA853">
            <v>0.16748125749629511</v>
          </cell>
          <cell r="CB853">
            <v>0.17042741807128939</v>
          </cell>
          <cell r="CC853">
            <v>0.17302457544269428</v>
          </cell>
          <cell r="CD853">
            <v>0.17577958158438309</v>
          </cell>
          <cell r="CE853">
            <v>0.18435417063245002</v>
          </cell>
          <cell r="CF853">
            <v>0.19160942146377066</v>
          </cell>
        </row>
        <row r="854">
          <cell r="A854" t="str">
            <v>Consumer as a percentage</v>
          </cell>
          <cell r="V854">
            <v>0.20337655321447867</v>
          </cell>
          <cell r="W854">
            <v>0.20052958549750483</v>
          </cell>
          <cell r="X854">
            <v>0.20618454850819995</v>
          </cell>
          <cell r="Y854">
            <v>0.20340003008876184</v>
          </cell>
          <cell r="Z854">
            <v>0.17002417405318293</v>
          </cell>
          <cell r="AA854">
            <v>0.19230640463356657</v>
          </cell>
          <cell r="AB854">
            <v>0.14197965965159601</v>
          </cell>
          <cell r="AC854">
            <v>0.17974874371859295</v>
          </cell>
          <cell r="AD854">
            <v>0.14723988293470583</v>
          </cell>
          <cell r="AE854">
            <v>0.14245757971284728</v>
          </cell>
          <cell r="AF854">
            <v>0.14475405863823601</v>
          </cell>
          <cell r="AG854">
            <v>0.13688318929467522</v>
          </cell>
          <cell r="AH854">
            <v>0.14205631290610268</v>
          </cell>
          <cell r="AI854">
            <v>0.1341669147563759</v>
          </cell>
          <cell r="AJ854">
            <v>0.14018669046527896</v>
          </cell>
          <cell r="AQ854">
            <v>0.13129419206180676</v>
          </cell>
          <cell r="AX854">
            <v>8.6164664981036657E-2</v>
          </cell>
          <cell r="BE854">
            <v>7.9073182392514429E-2</v>
          </cell>
          <cell r="BL854">
            <v>6.5904398920120691E-2</v>
          </cell>
          <cell r="BS854">
            <v>7.0165745856353587E-2</v>
          </cell>
          <cell r="BZ854">
            <v>7.587143971347364E-2</v>
          </cell>
          <cell r="CA854">
            <v>7.9829966890590839E-2</v>
          </cell>
          <cell r="CB854">
            <v>8.1234254777319645E-2</v>
          </cell>
          <cell r="CC854">
            <v>8.247219023390942E-2</v>
          </cell>
          <cell r="CD854">
            <v>8.3342195039120978E-2</v>
          </cell>
          <cell r="CE854">
            <v>8.6945235812163124E-2</v>
          </cell>
          <cell r="CF854">
            <v>8.9888777188522132E-2</v>
          </cell>
        </row>
      </sheetData>
      <sheetData sheetId="12" refreshError="1">
        <row r="2">
          <cell r="B2" t="str">
            <v>Investment Case</v>
          </cell>
        </row>
        <row r="5">
          <cell r="B5" t="str">
            <v>Data for charts</v>
          </cell>
          <cell r="F5" t="str">
            <v>Reported (not restated)</v>
          </cell>
        </row>
        <row r="7">
          <cell r="B7" t="str">
            <v>Sales by geography, Q2 13 ($m)</v>
          </cell>
          <cell r="F7" t="str">
            <v>Pharmaceuticals</v>
          </cell>
          <cell r="I7" t="str">
            <v>Sandoz</v>
          </cell>
          <cell r="L7" t="str">
            <v>Consumer</v>
          </cell>
        </row>
        <row r="8">
          <cell r="F8" t="str">
            <v>US</v>
          </cell>
          <cell r="G8">
            <v>10043</v>
          </cell>
          <cell r="I8" t="str">
            <v>US</v>
          </cell>
          <cell r="J8">
            <v>2630</v>
          </cell>
          <cell r="L8" t="str">
            <v>US</v>
          </cell>
          <cell r="M8">
            <v>2006</v>
          </cell>
        </row>
        <row r="9">
          <cell r="B9" t="str">
            <v>US</v>
          </cell>
          <cell r="C9">
            <v>18924</v>
          </cell>
          <cell r="D9">
            <v>0.32672651933701657</v>
          </cell>
          <cell r="F9" t="str">
            <v>Americas (ex US)</v>
          </cell>
          <cell r="G9">
            <v>2918</v>
          </cell>
          <cell r="I9" t="str">
            <v>Americas (ex US)</v>
          </cell>
          <cell r="J9">
            <v>583</v>
          </cell>
          <cell r="L9" t="str">
            <v>Americas (ex US)</v>
          </cell>
          <cell r="M9">
            <v>555</v>
          </cell>
        </row>
        <row r="10">
          <cell r="B10" t="str">
            <v>Americas (ex US)</v>
          </cell>
          <cell r="C10">
            <v>5333</v>
          </cell>
          <cell r="D10">
            <v>9.2075276243093918E-2</v>
          </cell>
          <cell r="F10" t="str">
            <v>Europe</v>
          </cell>
          <cell r="G10">
            <v>10877</v>
          </cell>
          <cell r="I10" t="str">
            <v>Europe</v>
          </cell>
          <cell r="J10">
            <v>4273</v>
          </cell>
          <cell r="L10" t="str">
            <v>Europe</v>
          </cell>
          <cell r="M10">
            <v>2624</v>
          </cell>
        </row>
        <row r="11">
          <cell r="B11" t="str">
            <v>Europe</v>
          </cell>
          <cell r="C11">
            <v>21078</v>
          </cell>
          <cell r="D11">
            <v>0.36391574585635361</v>
          </cell>
          <cell r="F11" t="str">
            <v>Japan</v>
          </cell>
          <cell r="G11">
            <v>3344</v>
          </cell>
          <cell r="I11" t="str">
            <v>ROW</v>
          </cell>
          <cell r="J11">
            <v>1032</v>
          </cell>
          <cell r="L11" t="str">
            <v>ROW</v>
          </cell>
          <cell r="M11">
            <v>1019</v>
          </cell>
        </row>
        <row r="12">
          <cell r="B12" t="str">
            <v>ROW</v>
          </cell>
          <cell r="C12">
            <v>12585</v>
          </cell>
          <cell r="D12">
            <v>0.21728245856353592</v>
          </cell>
          <cell r="F12" t="str">
            <v>ROW</v>
          </cell>
          <cell r="G12">
            <v>3376</v>
          </cell>
          <cell r="J12">
            <v>8518</v>
          </cell>
          <cell r="M12">
            <v>6204</v>
          </cell>
        </row>
        <row r="13">
          <cell r="C13">
            <v>57920</v>
          </cell>
          <cell r="G13">
            <v>30558</v>
          </cell>
        </row>
        <row r="15">
          <cell r="F15" t="str">
            <v>Alcon</v>
          </cell>
          <cell r="I15" t="str">
            <v>Vaccines &amp; Diagnostics</v>
          </cell>
          <cell r="L15" t="str">
            <v>Sales by Division, 2012 ($mm)</v>
          </cell>
          <cell r="P15" t="str">
            <v>Sales by Division, 2015 ($mm)</v>
          </cell>
        </row>
        <row r="16">
          <cell r="F16" t="str">
            <v>US</v>
          </cell>
          <cell r="G16">
            <v>1000</v>
          </cell>
          <cell r="I16" t="str">
            <v>US</v>
          </cell>
          <cell r="J16">
            <v>1184</v>
          </cell>
          <cell r="L16" t="str">
            <v>Pharmaceuticals</v>
          </cell>
          <cell r="M16">
            <v>32214</v>
          </cell>
          <cell r="N16">
            <v>0.55618093922651934</v>
          </cell>
          <cell r="P16" t="str">
            <v>Pharmaceuticals</v>
          </cell>
          <cell r="Q16">
            <v>31796.384602214392</v>
          </cell>
          <cell r="R16">
            <v>0.52710018332293274</v>
          </cell>
        </row>
        <row r="17">
          <cell r="B17">
            <v>5462</v>
          </cell>
          <cell r="C17" t="str">
            <v>Europe</v>
          </cell>
          <cell r="F17" t="str">
            <v>Americas (ex US)</v>
          </cell>
          <cell r="I17" t="str">
            <v>Americas (ex US)</v>
          </cell>
          <cell r="J17">
            <v>305</v>
          </cell>
          <cell r="L17" t="str">
            <v>Alcon</v>
          </cell>
          <cell r="M17">
            <v>10496</v>
          </cell>
          <cell r="N17">
            <v>0.18121546961325966</v>
          </cell>
          <cell r="P17" t="str">
            <v>Alcon</v>
          </cell>
          <cell r="Q17">
            <v>11886.719211146119</v>
          </cell>
          <cell r="R17">
            <v>0.19705044940445837</v>
          </cell>
        </row>
        <row r="18">
          <cell r="B18">
            <v>5127</v>
          </cell>
          <cell r="C18" t="str">
            <v>US</v>
          </cell>
          <cell r="F18" t="str">
            <v>Europe</v>
          </cell>
          <cell r="I18" t="str">
            <v>Europe</v>
          </cell>
          <cell r="J18">
            <v>784</v>
          </cell>
          <cell r="L18" t="str">
            <v>Sandoz</v>
          </cell>
          <cell r="M18">
            <v>9159</v>
          </cell>
          <cell r="N18">
            <v>0.15813190607734806</v>
          </cell>
          <cell r="P18" t="str">
            <v>Sandoz</v>
          </cell>
          <cell r="Q18">
            <v>10103.010102260027</v>
          </cell>
          <cell r="R18">
            <v>0.16748125749629511</v>
          </cell>
        </row>
        <row r="19">
          <cell r="B19">
            <v>3941</v>
          </cell>
          <cell r="C19" t="str">
            <v>ROW</v>
          </cell>
          <cell r="F19" t="str">
            <v>ROW</v>
          </cell>
          <cell r="G19">
            <v>1426</v>
          </cell>
          <cell r="I19" t="str">
            <v>ROW</v>
          </cell>
          <cell r="J19">
            <v>645</v>
          </cell>
          <cell r="L19" t="str">
            <v>Consumer</v>
          </cell>
          <cell r="M19">
            <v>4064</v>
          </cell>
          <cell r="N19">
            <v>7.0165745856353587E-2</v>
          </cell>
          <cell r="P19" t="str">
            <v>Consumer</v>
          </cell>
          <cell r="Q19">
            <v>4815.6013037850753</v>
          </cell>
          <cell r="R19">
            <v>7.9829966890590839E-2</v>
          </cell>
        </row>
        <row r="20">
          <cell r="B20">
            <v>1468</v>
          </cell>
          <cell r="C20" t="str">
            <v>Americas</v>
          </cell>
          <cell r="G20">
            <v>2426</v>
          </cell>
          <cell r="J20">
            <v>2918</v>
          </cell>
          <cell r="L20" t="str">
            <v>Vaccines &amp; Diagnostics</v>
          </cell>
          <cell r="M20">
            <v>1987</v>
          </cell>
          <cell r="N20">
            <v>3.4305939226519339E-2</v>
          </cell>
          <cell r="P20" t="str">
            <v>Vaccines &amp; Diagnostics</v>
          </cell>
          <cell r="Q20">
            <v>1721.5129034995243</v>
          </cell>
          <cell r="R20">
            <v>2.8538142885722893E-2</v>
          </cell>
        </row>
        <row r="21">
          <cell r="M21">
            <v>57920</v>
          </cell>
          <cell r="Q21">
            <v>60323.228122905137</v>
          </cell>
        </row>
        <row r="24">
          <cell r="D24" t="str">
            <v>Sales by geography, Q2 13 ($m)</v>
          </cell>
          <cell r="N24" t="str">
            <v>Sales by Division, 2015 ($mm)</v>
          </cell>
        </row>
        <row r="41">
          <cell r="I41" t="str">
            <v>Sales by Division, 2012 ($mm)</v>
          </cell>
        </row>
        <row r="67">
          <cell r="B67" t="str">
            <v>* Reported</v>
          </cell>
        </row>
        <row r="69">
          <cell r="B69" t="str">
            <v>Key Drugs</v>
          </cell>
        </row>
        <row r="71">
          <cell r="B71" t="str">
            <v>Drug</v>
          </cell>
          <cell r="C71" t="str">
            <v>Indication</v>
          </cell>
          <cell r="D71" t="str">
            <v>Peak sales
(year)</v>
          </cell>
          <cell r="E71" t="str">
            <v>% of
FY12 sales</v>
          </cell>
          <cell r="F71" t="str">
            <v>Patent Expiry</v>
          </cell>
        </row>
        <row r="72">
          <cell r="B72" t="str">
            <v>Diovan</v>
          </cell>
          <cell r="C72" t="str">
            <v>Hyperten.</v>
          </cell>
          <cell r="D72" t="str">
            <v>$6.0bn (2010)</v>
          </cell>
          <cell r="E72">
            <v>7.7938348066980745E-2</v>
          </cell>
          <cell r="F72" t="str">
            <v>US: 2012 EU: 2011</v>
          </cell>
        </row>
        <row r="73">
          <cell r="B73" t="str">
            <v>Gleevec</v>
          </cell>
          <cell r="C73" t="str">
            <v>CML</v>
          </cell>
          <cell r="D73" t="str">
            <v>$4.5bn (2013)</v>
          </cell>
          <cell r="E73">
            <v>8.2490780442185871E-2</v>
          </cell>
          <cell r="F73" t="str">
            <v>US: 2015 EU: 2016</v>
          </cell>
        </row>
        <row r="74">
          <cell r="B74" t="str">
            <v>Tasigna</v>
          </cell>
          <cell r="C74" t="str">
            <v>CML</v>
          </cell>
          <cell r="D74" t="str">
            <v>$3.8bn (2022)</v>
          </cell>
          <cell r="E74">
            <v>1.7609796552150055E-2</v>
          </cell>
          <cell r="F74" t="str">
            <v>US: 2023 EU: 2023</v>
          </cell>
        </row>
        <row r="75">
          <cell r="B75" t="str">
            <v>Gilenya</v>
          </cell>
          <cell r="C75" t="str">
            <v>MS</v>
          </cell>
          <cell r="D75" t="str">
            <v>$3.1bn (2019)</v>
          </cell>
          <cell r="E75">
            <v>2.1085878637093502E-2</v>
          </cell>
          <cell r="F75" t="str">
            <v>US: 2019 EU: 2018</v>
          </cell>
        </row>
        <row r="76">
          <cell r="B76" t="str">
            <v>Lucentis</v>
          </cell>
          <cell r="C76" t="str">
            <v>AMD/DME/RVO</v>
          </cell>
          <cell r="D76" t="str">
            <v>$2.8bn (2018)</v>
          </cell>
          <cell r="E76">
            <v>4.231291796799181E-2</v>
          </cell>
          <cell r="F76" t="str">
            <v>EU: 2018-22</v>
          </cell>
        </row>
        <row r="79">
          <cell r="B79" t="str">
            <v>MS vs. Consensus</v>
          </cell>
        </row>
        <row r="81">
          <cell r="B81" t="str">
            <v>$m</v>
          </cell>
          <cell r="C81" t="str">
            <v>2013e</v>
          </cell>
          <cell r="D81" t="str">
            <v>2014e</v>
          </cell>
          <cell r="E81" t="str">
            <v>2015e</v>
          </cell>
          <cell r="F81" t="str">
            <v>2016e</v>
          </cell>
        </row>
        <row r="82">
          <cell r="B82" t="str">
            <v>Sales - MS</v>
          </cell>
          <cell r="C82">
            <v>57920</v>
          </cell>
          <cell r="D82">
            <v>59065.971414844316</v>
          </cell>
          <cell r="E82">
            <v>60323.228122905137</v>
          </cell>
          <cell r="F82">
            <v>62244.448266743449</v>
          </cell>
        </row>
        <row r="83">
          <cell r="B83" t="str">
            <v>Sales - consensus</v>
          </cell>
          <cell r="C83">
            <v>57084.140453098524</v>
          </cell>
          <cell r="D83">
            <v>59149.258426324988</v>
          </cell>
          <cell r="E83">
            <v>61461.105410011725</v>
          </cell>
          <cell r="F83">
            <v>63259.282757018249</v>
          </cell>
        </row>
        <row r="84">
          <cell r="B84" t="str">
            <v>MS vs. consensus (%)</v>
          </cell>
          <cell r="C84">
            <v>1.4642587945915331E-2</v>
          </cell>
          <cell r="D84">
            <v>-1.4080820909092573E-3</v>
          </cell>
          <cell r="E84">
            <v>-1.8513778421584193E-2</v>
          </cell>
          <cell r="F84">
            <v>-1.6042459636680162E-2</v>
          </cell>
        </row>
        <row r="85">
          <cell r="B85" t="str">
            <v>Core EBIT - MS</v>
          </cell>
          <cell r="C85">
            <v>14485</v>
          </cell>
          <cell r="D85">
            <v>14745.133633023201</v>
          </cell>
          <cell r="E85">
            <v>15088.051697490875</v>
          </cell>
        </row>
        <row r="86">
          <cell r="B86" t="str">
            <v>Core EBIT - consensus</v>
          </cell>
          <cell r="C86">
            <v>14638.718839178422</v>
          </cell>
          <cell r="D86">
            <v>15586.051959024526</v>
          </cell>
          <cell r="E86">
            <v>16367.796573954958</v>
          </cell>
        </row>
        <row r="87">
          <cell r="B87" t="str">
            <v>MS vs. consensus (%)</v>
          </cell>
          <cell r="C87">
            <v>-1.0500839647730409E-2</v>
          </cell>
          <cell r="D87">
            <v>-5.3953260788048518E-2</v>
          </cell>
          <cell r="E87">
            <v>-7.8186753524323471E-2</v>
          </cell>
        </row>
        <row r="88">
          <cell r="B88" t="str">
            <v>Core EPS - MS</v>
          </cell>
          <cell r="C88">
            <v>5.086439983613273</v>
          </cell>
          <cell r="D88">
            <v>5.3647375416336782</v>
          </cell>
          <cell r="E88">
            <v>5.6654186389614241</v>
          </cell>
          <cell r="F88">
            <v>5.9960549762800301</v>
          </cell>
        </row>
        <row r="89">
          <cell r="B89" t="str">
            <v>Core EPS - consensus</v>
          </cell>
          <cell r="C89">
            <v>5.1037644981489585</v>
          </cell>
          <cell r="D89">
            <v>5.6121732093939372</v>
          </cell>
          <cell r="E89">
            <v>6.0612886028646908</v>
          </cell>
          <cell r="F89">
            <v>6.4084846413776342</v>
          </cell>
        </row>
        <row r="90">
          <cell r="B90" t="str">
            <v>MS vs. consensus (%)</v>
          </cell>
          <cell r="C90">
            <v>-3.3944580597260465E-3</v>
          </cell>
          <cell r="D90">
            <v>-4.4089100341038745E-2</v>
          </cell>
          <cell r="E90">
            <v>-6.5311188732404268E-2</v>
          </cell>
          <cell r="F90">
            <v>-6.4356815718129567E-2</v>
          </cell>
        </row>
        <row r="93">
          <cell r="B93" t="str">
            <v>Newsflow</v>
          </cell>
        </row>
        <row r="95">
          <cell r="B95" t="str">
            <v>Catalyst</v>
          </cell>
          <cell r="C95" t="str">
            <v>Type</v>
          </cell>
          <cell r="D95" t="str">
            <v>Event</v>
          </cell>
          <cell r="E95" t="str">
            <v>Expected Timing</v>
          </cell>
        </row>
        <row r="96">
          <cell r="B96" t="str">
            <v>Copaxone</v>
          </cell>
          <cell r="C96" t="str">
            <v>Legal</v>
          </cell>
          <cell r="D96" t="str">
            <v>Appeals hearing in Supreme court re validity of Copaxone patents</v>
          </cell>
          <cell r="E96">
            <v>41395</v>
          </cell>
        </row>
        <row r="97">
          <cell r="B97" t="str">
            <v>Results</v>
          </cell>
          <cell r="C97" t="str">
            <v>Results</v>
          </cell>
          <cell r="D97" t="str">
            <v>Q213 results</v>
          </cell>
          <cell r="E97" t="str">
            <v>Jul 17th</v>
          </cell>
        </row>
        <row r="98">
          <cell r="B98" t="str">
            <v>Results</v>
          </cell>
          <cell r="C98" t="str">
            <v>Results</v>
          </cell>
          <cell r="D98" t="str">
            <v>Q313 results</v>
          </cell>
          <cell r="E98" t="str">
            <v>Oct 22nd</v>
          </cell>
        </row>
        <row r="99">
          <cell r="B99" t="str">
            <v>Jakavi</v>
          </cell>
          <cell r="C99" t="str">
            <v>Clinical Data</v>
          </cell>
          <cell r="D99" t="str">
            <v>Ph IIb in pancreatic cancer (RECAP)</v>
          </cell>
          <cell r="E99">
            <v>2013</v>
          </cell>
        </row>
        <row r="100">
          <cell r="B100" t="str">
            <v>secukinumab (AIN457)</v>
          </cell>
          <cell r="C100" t="str">
            <v>Regulatory</v>
          </cell>
          <cell r="D100" t="str">
            <v>Filing Ph III data and filing in psoriasis</v>
          </cell>
          <cell r="E100">
            <v>2013</v>
          </cell>
        </row>
        <row r="101">
          <cell r="B101" t="str">
            <v>panobinistat (LBH589)</v>
          </cell>
          <cell r="C101" t="str">
            <v>Clinical Data</v>
          </cell>
          <cell r="D101" t="str">
            <v>Ph III pivotal data in 2nd line multiple myeloma</v>
          </cell>
          <cell r="E101">
            <v>2013</v>
          </cell>
        </row>
        <row r="102">
          <cell r="B102" t="str">
            <v>Serelaxin (RLX030)</v>
          </cell>
          <cell r="C102" t="str">
            <v>Regulatory</v>
          </cell>
          <cell r="D102" t="str">
            <v>EU approval in acute heart failure</v>
          </cell>
          <cell r="E102">
            <v>2013</v>
          </cell>
        </row>
        <row r="103">
          <cell r="B103" t="str">
            <v>TKI258</v>
          </cell>
          <cell r="C103" t="str">
            <v>Clinical Data</v>
          </cell>
          <cell r="D103" t="str">
            <v>Ph III pivotal data in renal cell carcinoma following mTOR therapy + US/EU filing</v>
          </cell>
          <cell r="E103">
            <v>2013</v>
          </cell>
        </row>
        <row r="104">
          <cell r="B104" t="str">
            <v>Afinitor</v>
          </cell>
          <cell r="C104" t="str">
            <v>Clinical Data</v>
          </cell>
          <cell r="D104" t="str">
            <v>Ph III BOLERO-3 data in 2nd/3rd line met. BC</v>
          </cell>
          <cell r="E104" t="str">
            <v>2H 13</v>
          </cell>
        </row>
      </sheetData>
      <sheetData sheetId="13"/>
      <sheetData sheetId="14" refreshError="1">
        <row r="2">
          <cell r="A2" t="str">
            <v>NOVARTIS: FUTURE PRODUCTS FORECAST</v>
          </cell>
          <cell r="AX2" t="str">
            <v>Primary Care</v>
          </cell>
        </row>
        <row r="3">
          <cell r="A3" t="str">
            <v>Product/Indication</v>
          </cell>
          <cell r="B3" t="str">
            <v>Indication</v>
          </cell>
          <cell r="C3" t="str">
            <v>Preclin.</v>
          </cell>
          <cell r="D3" t="str">
            <v>I</v>
          </cell>
          <cell r="E3" t="str">
            <v>II</v>
          </cell>
          <cell r="F3" t="str">
            <v>III</v>
          </cell>
          <cell r="G3" t="str">
            <v>Filed</v>
          </cell>
          <cell r="H3" t="str">
            <v>Launch Year (E)</v>
          </cell>
          <cell r="I3" t="str">
            <v>Specialty or Primary Care Mkt</v>
          </cell>
          <cell r="K3" t="str">
            <v>Yrs to Launch (E)</v>
          </cell>
          <cell r="L3" t="str">
            <v>Peak Sales (E in $ mm)</v>
          </cell>
          <cell r="M3" t="str">
            <v>Clinical Success Probability</v>
          </cell>
          <cell r="N3" t="str">
            <v>Risk Adjusted Peak Sales</v>
          </cell>
          <cell r="O3" t="str">
            <v>Sales 2005E</v>
          </cell>
          <cell r="P3" t="str">
            <v>Sales 2006E</v>
          </cell>
          <cell r="Q3" t="str">
            <v>Sales 2007</v>
          </cell>
          <cell r="R3" t="str">
            <v>Sales 2008</v>
          </cell>
          <cell r="S3" t="str">
            <v>Sales 2009</v>
          </cell>
          <cell r="T3" t="str">
            <v>Sales 2010</v>
          </cell>
          <cell r="U3" t="str">
            <v>Sales 2011</v>
          </cell>
          <cell r="V3" t="str">
            <v>Sales 2012E</v>
          </cell>
          <cell r="W3" t="str">
            <v>Sales 2013</v>
          </cell>
          <cell r="X3" t="str">
            <v>Sales 2014E</v>
          </cell>
          <cell r="Y3" t="str">
            <v>Sales 2015E</v>
          </cell>
          <cell r="Z3" t="str">
            <v>Sales 2016E</v>
          </cell>
          <cell r="AA3" t="str">
            <v>Sales 2017E</v>
          </cell>
          <cell r="AB3" t="str">
            <v>Sales 2018E</v>
          </cell>
          <cell r="AC3" t="str">
            <v>Sales 2019E</v>
          </cell>
          <cell r="AD3" t="str">
            <v>Sales 2020E</v>
          </cell>
          <cell r="AE3" t="str">
            <v>Sales 2021E</v>
          </cell>
          <cell r="AF3" t="str">
            <v>Sales 2022E</v>
          </cell>
          <cell r="AG3" t="str">
            <v>Sales 2023E</v>
          </cell>
          <cell r="AH3" t="str">
            <v>Sales 2024E</v>
          </cell>
          <cell r="AI3" t="str">
            <v>Novel Target</v>
          </cell>
          <cell r="AJ3" t="str">
            <v>End Points Definite</v>
          </cell>
          <cell r="AK3" t="str">
            <v>Collaboration?</v>
          </cell>
          <cell r="AM3" t="str">
            <v>Surrogate endpoints</v>
          </cell>
          <cell r="AN3" t="str">
            <v>Ist in class</v>
          </cell>
          <cell r="AO3" t="str">
            <v>End Pts</v>
          </cell>
          <cell r="AP3" t="str">
            <v>Collab</v>
          </cell>
          <cell r="AX3" t="str">
            <v>Sales 2007E</v>
          </cell>
          <cell r="AY3" t="str">
            <v>Sales 2008E</v>
          </cell>
          <cell r="AZ3" t="str">
            <v>Sales 2009E</v>
          </cell>
          <cell r="BA3" t="str">
            <v>Sales 2010E</v>
          </cell>
          <cell r="BB3" t="str">
            <v>Sales 2011E</v>
          </cell>
          <cell r="BC3" t="str">
            <v>Sales 2012E</v>
          </cell>
          <cell r="BD3" t="str">
            <v>Sales 2013E</v>
          </cell>
        </row>
        <row r="4">
          <cell r="O4">
            <v>2005</v>
          </cell>
          <cell r="P4">
            <v>2006</v>
          </cell>
          <cell r="Q4">
            <v>2007</v>
          </cell>
          <cell r="R4">
            <v>2008</v>
          </cell>
          <cell r="S4">
            <v>2009</v>
          </cell>
          <cell r="T4">
            <v>2010</v>
          </cell>
          <cell r="U4">
            <v>2011</v>
          </cell>
          <cell r="V4">
            <v>2012</v>
          </cell>
          <cell r="W4">
            <v>2013</v>
          </cell>
          <cell r="X4">
            <v>2014</v>
          </cell>
          <cell r="Y4">
            <v>2015</v>
          </cell>
          <cell r="Z4">
            <v>2016</v>
          </cell>
          <cell r="AA4">
            <v>2017</v>
          </cell>
          <cell r="AB4">
            <v>2018</v>
          </cell>
          <cell r="AC4">
            <v>2019</v>
          </cell>
          <cell r="AD4">
            <v>2020</v>
          </cell>
          <cell r="AN4">
            <v>2</v>
          </cell>
          <cell r="AO4">
            <v>4</v>
          </cell>
          <cell r="AP4">
            <v>0</v>
          </cell>
        </row>
        <row r="5">
          <cell r="A5" t="str">
            <v>Cardiovascular/Endocrinology</v>
          </cell>
          <cell r="L5">
            <v>4500</v>
          </cell>
          <cell r="N5">
            <v>2250</v>
          </cell>
          <cell r="O5">
            <v>0</v>
          </cell>
          <cell r="P5">
            <v>0</v>
          </cell>
          <cell r="Q5">
            <v>0</v>
          </cell>
          <cell r="R5">
            <v>0</v>
          </cell>
          <cell r="S5">
            <v>0</v>
          </cell>
          <cell r="T5">
            <v>0</v>
          </cell>
          <cell r="U5">
            <v>0</v>
          </cell>
          <cell r="V5">
            <v>0</v>
          </cell>
          <cell r="W5">
            <v>0</v>
          </cell>
          <cell r="X5">
            <v>180</v>
          </cell>
          <cell r="Y5">
            <v>565</v>
          </cell>
          <cell r="Z5">
            <v>1155</v>
          </cell>
          <cell r="AA5">
            <v>1770</v>
          </cell>
          <cell r="AB5">
            <v>2025</v>
          </cell>
          <cell r="AC5">
            <v>2160</v>
          </cell>
          <cell r="AD5">
            <v>2307</v>
          </cell>
          <cell r="AE5">
            <v>2399.2800000000002</v>
          </cell>
          <cell r="AF5">
            <v>2495.2512000000006</v>
          </cell>
          <cell r="AG5">
            <v>2595.0612480000004</v>
          </cell>
          <cell r="AH5">
            <v>2698.863697920001</v>
          </cell>
          <cell r="AQ5" t="str">
            <v>PC</v>
          </cell>
          <cell r="AR5" t="str">
            <v>SC</v>
          </cell>
          <cell r="AS5" t="str">
            <v>PC</v>
          </cell>
          <cell r="AT5" t="str">
            <v>SC</v>
          </cell>
        </row>
        <row r="6">
          <cell r="A6" t="str">
            <v>serelaxin</v>
          </cell>
          <cell r="B6" t="str">
            <v>Acute heart failure</v>
          </cell>
          <cell r="C6">
            <v>1</v>
          </cell>
          <cell r="D6">
            <v>1</v>
          </cell>
          <cell r="E6">
            <v>1</v>
          </cell>
          <cell r="F6">
            <v>1</v>
          </cell>
          <cell r="H6">
            <v>2014</v>
          </cell>
          <cell r="L6">
            <v>2500</v>
          </cell>
          <cell r="M6">
            <v>0.6</v>
          </cell>
          <cell r="N6">
            <v>1500</v>
          </cell>
          <cell r="R6">
            <v>0</v>
          </cell>
          <cell r="S6">
            <v>0</v>
          </cell>
          <cell r="T6">
            <v>0</v>
          </cell>
          <cell r="U6">
            <v>0</v>
          </cell>
          <cell r="V6">
            <v>0</v>
          </cell>
          <cell r="W6">
            <v>0</v>
          </cell>
          <cell r="X6">
            <v>150</v>
          </cell>
          <cell r="Y6">
            <v>450</v>
          </cell>
          <cell r="Z6">
            <v>900</v>
          </cell>
          <cell r="AA6">
            <v>1350</v>
          </cell>
          <cell r="AB6">
            <v>1500</v>
          </cell>
          <cell r="AC6">
            <v>1575</v>
          </cell>
          <cell r="AD6">
            <v>1653.75</v>
          </cell>
          <cell r="AE6">
            <v>1719.9</v>
          </cell>
          <cell r="AF6">
            <v>1788.6960000000001</v>
          </cell>
          <cell r="AG6">
            <v>1860.2438400000003</v>
          </cell>
          <cell r="AH6">
            <v>1934.6535936000005</v>
          </cell>
          <cell r="AK6" t="str">
            <v>Yes</v>
          </cell>
          <cell r="AL6" t="str">
            <v>Corthera</v>
          </cell>
          <cell r="AU6">
            <v>0.5</v>
          </cell>
        </row>
        <row r="7">
          <cell r="A7" t="str">
            <v>Aliskiren</v>
          </cell>
          <cell r="B7" t="str">
            <v>Chronic heart failure</v>
          </cell>
          <cell r="C7">
            <v>1</v>
          </cell>
          <cell r="D7">
            <v>1</v>
          </cell>
          <cell r="E7">
            <v>1</v>
          </cell>
          <cell r="F7">
            <v>1</v>
          </cell>
          <cell r="M7">
            <v>0.5</v>
          </cell>
          <cell r="N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8">
          <cell r="A8" t="str">
            <v>LCZ696</v>
          </cell>
          <cell r="B8" t="str">
            <v>Heart failure/hypertension</v>
          </cell>
          <cell r="C8">
            <v>1</v>
          </cell>
          <cell r="D8">
            <v>1</v>
          </cell>
          <cell r="E8">
            <v>1</v>
          </cell>
          <cell r="F8">
            <v>1</v>
          </cell>
          <cell r="H8">
            <v>2014</v>
          </cell>
          <cell r="L8">
            <v>500</v>
          </cell>
          <cell r="M8">
            <v>0.6</v>
          </cell>
          <cell r="N8">
            <v>300</v>
          </cell>
          <cell r="R8">
            <v>0</v>
          </cell>
          <cell r="S8">
            <v>0</v>
          </cell>
          <cell r="T8">
            <v>0</v>
          </cell>
          <cell r="U8">
            <v>0</v>
          </cell>
          <cell r="V8">
            <v>0</v>
          </cell>
          <cell r="W8">
            <v>0</v>
          </cell>
          <cell r="X8">
            <v>30</v>
          </cell>
          <cell r="Y8">
            <v>90</v>
          </cell>
          <cell r="Z8">
            <v>180</v>
          </cell>
          <cell r="AA8">
            <v>270</v>
          </cell>
          <cell r="AB8">
            <v>300</v>
          </cell>
          <cell r="AC8">
            <v>315</v>
          </cell>
          <cell r="AD8">
            <v>330.75</v>
          </cell>
          <cell r="AE8">
            <v>343.98</v>
          </cell>
          <cell r="AF8">
            <v>357.73920000000004</v>
          </cell>
          <cell r="AG8">
            <v>372.04876800000005</v>
          </cell>
          <cell r="AH8">
            <v>386.93071872000007</v>
          </cell>
          <cell r="AU8">
            <v>0.5</v>
          </cell>
        </row>
        <row r="9">
          <cell r="A9" t="str">
            <v>LCQ908</v>
          </cell>
          <cell r="B9" t="str">
            <v>Familial chylomicronemia</v>
          </cell>
          <cell r="C9">
            <v>1</v>
          </cell>
          <cell r="D9">
            <v>1</v>
          </cell>
          <cell r="E9">
            <v>1</v>
          </cell>
          <cell r="F9">
            <v>1</v>
          </cell>
          <cell r="H9">
            <v>2015</v>
          </cell>
          <cell r="L9">
            <v>500</v>
          </cell>
          <cell r="M9">
            <v>0.5</v>
          </cell>
          <cell r="N9">
            <v>250</v>
          </cell>
          <cell r="R9">
            <v>0</v>
          </cell>
          <cell r="S9">
            <v>0</v>
          </cell>
          <cell r="T9">
            <v>0</v>
          </cell>
          <cell r="U9">
            <v>0</v>
          </cell>
          <cell r="V9">
            <v>0</v>
          </cell>
          <cell r="W9">
            <v>0</v>
          </cell>
          <cell r="X9">
            <v>0</v>
          </cell>
          <cell r="Y9">
            <v>25</v>
          </cell>
          <cell r="Z9">
            <v>75</v>
          </cell>
          <cell r="AA9">
            <v>150</v>
          </cell>
          <cell r="AB9">
            <v>225</v>
          </cell>
          <cell r="AC9">
            <v>250</v>
          </cell>
          <cell r="AD9">
            <v>262.5</v>
          </cell>
          <cell r="AE9">
            <v>273</v>
          </cell>
          <cell r="AF9">
            <v>283.92</v>
          </cell>
          <cell r="AG9">
            <v>295.27680000000004</v>
          </cell>
          <cell r="AH9">
            <v>307.08787200000006</v>
          </cell>
          <cell r="AU9">
            <v>0.2</v>
          </cell>
        </row>
        <row r="10">
          <cell r="A10" t="str">
            <v>LIK066</v>
          </cell>
          <cell r="B10" t="str">
            <v>Diabetes</v>
          </cell>
          <cell r="C10">
            <v>1</v>
          </cell>
          <cell r="D10">
            <v>1</v>
          </cell>
          <cell r="E10">
            <v>1</v>
          </cell>
          <cell r="F10">
            <v>0</v>
          </cell>
          <cell r="H10">
            <v>2019</v>
          </cell>
          <cell r="L10">
            <v>1000</v>
          </cell>
          <cell r="M10">
            <v>0.2</v>
          </cell>
          <cell r="N10">
            <v>200</v>
          </cell>
          <cell r="R10">
            <v>0</v>
          </cell>
          <cell r="S10">
            <v>0</v>
          </cell>
          <cell r="T10">
            <v>0</v>
          </cell>
          <cell r="U10">
            <v>0</v>
          </cell>
          <cell r="V10">
            <v>0</v>
          </cell>
          <cell r="W10">
            <v>0</v>
          </cell>
          <cell r="X10">
            <v>0</v>
          </cell>
          <cell r="Y10">
            <v>0</v>
          </cell>
          <cell r="Z10">
            <v>0</v>
          </cell>
          <cell r="AA10">
            <v>0</v>
          </cell>
          <cell r="AB10">
            <v>0</v>
          </cell>
          <cell r="AC10">
            <v>20</v>
          </cell>
          <cell r="AD10">
            <v>60</v>
          </cell>
          <cell r="AE10">
            <v>62.400000000000006</v>
          </cell>
          <cell r="AF10">
            <v>64.896000000000015</v>
          </cell>
          <cell r="AG10">
            <v>67.491840000000025</v>
          </cell>
          <cell r="AH10">
            <v>70.191513600000022</v>
          </cell>
          <cell r="AU10">
            <v>0.2</v>
          </cell>
        </row>
        <row r="11">
          <cell r="A11" t="str">
            <v>Oncology/Hematology</v>
          </cell>
          <cell r="L11">
            <v>8900</v>
          </cell>
          <cell r="N11">
            <v>3850</v>
          </cell>
          <cell r="O11">
            <v>0</v>
          </cell>
          <cell r="P11">
            <v>0</v>
          </cell>
          <cell r="Q11">
            <v>0</v>
          </cell>
          <cell r="R11">
            <v>0</v>
          </cell>
          <cell r="S11">
            <v>0</v>
          </cell>
          <cell r="T11">
            <v>0</v>
          </cell>
          <cell r="U11">
            <v>0</v>
          </cell>
          <cell r="V11">
            <v>0</v>
          </cell>
          <cell r="W11">
            <v>0</v>
          </cell>
          <cell r="X11">
            <v>50</v>
          </cell>
          <cell r="Y11">
            <v>250</v>
          </cell>
          <cell r="Z11">
            <v>704</v>
          </cell>
          <cell r="AA11">
            <v>1462</v>
          </cell>
          <cell r="AB11">
            <v>2324</v>
          </cell>
          <cell r="AC11">
            <v>3092</v>
          </cell>
          <cell r="AD11">
            <v>3634.25</v>
          </cell>
          <cell r="AE11">
            <v>3779.62</v>
          </cell>
          <cell r="AF11">
            <v>3930.8048000000003</v>
          </cell>
          <cell r="AG11">
            <v>4088.0369920000007</v>
          </cell>
          <cell r="AH11">
            <v>4251.5584716800013</v>
          </cell>
          <cell r="AQ11">
            <v>0</v>
          </cell>
          <cell r="AR11">
            <v>0</v>
          </cell>
          <cell r="AS11">
            <v>0</v>
          </cell>
          <cell r="AT11">
            <v>0</v>
          </cell>
          <cell r="AX11">
            <v>0</v>
          </cell>
          <cell r="AY11">
            <v>0</v>
          </cell>
          <cell r="AZ11">
            <v>0</v>
          </cell>
          <cell r="BA11">
            <v>0</v>
          </cell>
          <cell r="BB11">
            <v>0</v>
          </cell>
          <cell r="BC11">
            <v>0</v>
          </cell>
          <cell r="BD11">
            <v>0</v>
          </cell>
        </row>
        <row r="12">
          <cell r="A12" t="str">
            <v>TKI258</v>
          </cell>
          <cell r="B12" t="str">
            <v>Solid tumours</v>
          </cell>
          <cell r="C12">
            <v>1</v>
          </cell>
          <cell r="D12">
            <v>1</v>
          </cell>
          <cell r="E12">
            <v>1</v>
          </cell>
          <cell r="F12">
            <v>1</v>
          </cell>
          <cell r="H12">
            <v>2014</v>
          </cell>
          <cell r="L12">
            <v>500</v>
          </cell>
          <cell r="M12">
            <v>0.5</v>
          </cell>
          <cell r="N12">
            <v>250</v>
          </cell>
          <cell r="R12">
            <v>0</v>
          </cell>
          <cell r="S12">
            <v>0</v>
          </cell>
          <cell r="T12">
            <v>0</v>
          </cell>
          <cell r="U12">
            <v>0</v>
          </cell>
          <cell r="V12">
            <v>0</v>
          </cell>
          <cell r="W12">
            <v>0</v>
          </cell>
          <cell r="X12">
            <v>25</v>
          </cell>
          <cell r="Y12">
            <v>75</v>
          </cell>
          <cell r="Z12">
            <v>150</v>
          </cell>
          <cell r="AA12">
            <v>225</v>
          </cell>
          <cell r="AB12">
            <v>250</v>
          </cell>
          <cell r="AC12">
            <v>262.5</v>
          </cell>
          <cell r="AD12">
            <v>275.625</v>
          </cell>
          <cell r="AE12">
            <v>286.65000000000003</v>
          </cell>
          <cell r="AF12">
            <v>298.11600000000004</v>
          </cell>
          <cell r="AG12">
            <v>310.04064000000005</v>
          </cell>
          <cell r="AH12">
            <v>322.44226560000004</v>
          </cell>
          <cell r="AU12">
            <v>0.5</v>
          </cell>
        </row>
        <row r="13">
          <cell r="A13" t="str">
            <v>LBH589 (Panobinostat)</v>
          </cell>
          <cell r="B13" t="str">
            <v>Multiple myeloma (refractory)/hematological cancers</v>
          </cell>
          <cell r="C13">
            <v>1</v>
          </cell>
          <cell r="D13">
            <v>1</v>
          </cell>
          <cell r="E13">
            <v>1</v>
          </cell>
          <cell r="F13">
            <v>1</v>
          </cell>
          <cell r="G13">
            <v>0</v>
          </cell>
          <cell r="H13">
            <v>2014</v>
          </cell>
          <cell r="I13" t="str">
            <v>S</v>
          </cell>
          <cell r="J13">
            <v>0</v>
          </cell>
          <cell r="K13">
            <v>2</v>
          </cell>
          <cell r="L13">
            <v>500</v>
          </cell>
          <cell r="M13">
            <v>0.5</v>
          </cell>
          <cell r="N13">
            <v>250</v>
          </cell>
          <cell r="O13">
            <v>0</v>
          </cell>
          <cell r="P13">
            <v>0</v>
          </cell>
          <cell r="Q13">
            <v>0</v>
          </cell>
          <cell r="R13">
            <v>0</v>
          </cell>
          <cell r="S13">
            <v>0</v>
          </cell>
          <cell r="T13">
            <v>0</v>
          </cell>
          <cell r="U13">
            <v>0</v>
          </cell>
          <cell r="V13">
            <v>0</v>
          </cell>
          <cell r="W13">
            <v>0</v>
          </cell>
          <cell r="X13">
            <v>25</v>
          </cell>
          <cell r="Y13">
            <v>75</v>
          </cell>
          <cell r="Z13">
            <v>150</v>
          </cell>
          <cell r="AA13">
            <v>225</v>
          </cell>
          <cell r="AB13">
            <v>250</v>
          </cell>
          <cell r="AC13">
            <v>262.5</v>
          </cell>
          <cell r="AD13">
            <v>275.625</v>
          </cell>
          <cell r="AE13">
            <v>286.65000000000003</v>
          </cell>
          <cell r="AF13">
            <v>298.11600000000004</v>
          </cell>
          <cell r="AG13">
            <v>310.04064000000005</v>
          </cell>
          <cell r="AH13">
            <v>322.44226560000004</v>
          </cell>
          <cell r="AI13" t="str">
            <v>Yes</v>
          </cell>
          <cell r="AJ13" t="str">
            <v>Yes</v>
          </cell>
          <cell r="AK13" t="str">
            <v>No</v>
          </cell>
          <cell r="AM13" t="str">
            <v>No</v>
          </cell>
          <cell r="AN13">
            <v>250</v>
          </cell>
          <cell r="AO13">
            <v>250</v>
          </cell>
          <cell r="AP13">
            <v>0</v>
          </cell>
          <cell r="AQ13">
            <v>0</v>
          </cell>
          <cell r="AR13">
            <v>1</v>
          </cell>
          <cell r="AS13">
            <v>0</v>
          </cell>
          <cell r="AT13">
            <v>250</v>
          </cell>
          <cell r="AU13">
            <v>0.5</v>
          </cell>
          <cell r="AX13">
            <v>0</v>
          </cell>
          <cell r="AY13">
            <v>0</v>
          </cell>
          <cell r="AZ13">
            <v>0</v>
          </cell>
          <cell r="BA13">
            <v>0</v>
          </cell>
          <cell r="BB13">
            <v>0</v>
          </cell>
          <cell r="BC13">
            <v>0</v>
          </cell>
          <cell r="BD13">
            <v>0</v>
          </cell>
        </row>
        <row r="14">
          <cell r="A14" t="str">
            <v>PKC412 (midostaurin)</v>
          </cell>
          <cell r="B14" t="str">
            <v>Aggressive systematic mastocytosis/AML</v>
          </cell>
          <cell r="C14">
            <v>1</v>
          </cell>
          <cell r="D14">
            <v>1</v>
          </cell>
          <cell r="E14">
            <v>1</v>
          </cell>
          <cell r="F14">
            <v>1</v>
          </cell>
          <cell r="G14">
            <v>0</v>
          </cell>
          <cell r="H14">
            <v>2016</v>
          </cell>
          <cell r="I14" t="str">
            <v>S</v>
          </cell>
          <cell r="J14">
            <v>0</v>
          </cell>
          <cell r="K14">
            <v>2</v>
          </cell>
          <cell r="L14">
            <v>1000</v>
          </cell>
          <cell r="M14">
            <v>0.5</v>
          </cell>
          <cell r="N14">
            <v>500</v>
          </cell>
          <cell r="O14">
            <v>0</v>
          </cell>
          <cell r="P14">
            <v>0</v>
          </cell>
          <cell r="Q14">
            <v>0</v>
          </cell>
          <cell r="R14">
            <v>0</v>
          </cell>
          <cell r="S14">
            <v>0</v>
          </cell>
          <cell r="T14">
            <v>0</v>
          </cell>
          <cell r="U14">
            <v>0</v>
          </cell>
          <cell r="V14">
            <v>0</v>
          </cell>
          <cell r="W14">
            <v>0</v>
          </cell>
          <cell r="X14">
            <v>0</v>
          </cell>
          <cell r="Y14">
            <v>0</v>
          </cell>
          <cell r="Z14">
            <v>50</v>
          </cell>
          <cell r="AA14">
            <v>150</v>
          </cell>
          <cell r="AB14">
            <v>300</v>
          </cell>
          <cell r="AC14">
            <v>450</v>
          </cell>
          <cell r="AD14">
            <v>500</v>
          </cell>
          <cell r="AE14">
            <v>520</v>
          </cell>
          <cell r="AF14">
            <v>540.80000000000007</v>
          </cell>
          <cell r="AG14">
            <v>562.43200000000013</v>
          </cell>
          <cell r="AH14">
            <v>584.92928000000018</v>
          </cell>
          <cell r="AI14" t="str">
            <v>Yes</v>
          </cell>
          <cell r="AJ14" t="str">
            <v>Yes</v>
          </cell>
          <cell r="AK14" t="str">
            <v>No</v>
          </cell>
          <cell r="AM14" t="str">
            <v>No</v>
          </cell>
          <cell r="AN14">
            <v>500</v>
          </cell>
          <cell r="AO14">
            <v>500</v>
          </cell>
          <cell r="AP14">
            <v>0</v>
          </cell>
          <cell r="AQ14">
            <v>0</v>
          </cell>
          <cell r="AR14">
            <v>1</v>
          </cell>
          <cell r="AS14">
            <v>0</v>
          </cell>
          <cell r="AT14">
            <v>500</v>
          </cell>
          <cell r="AU14">
            <v>0.5</v>
          </cell>
          <cell r="AX14">
            <v>0</v>
          </cell>
          <cell r="AY14">
            <v>0</v>
          </cell>
          <cell r="AZ14">
            <v>0</v>
          </cell>
          <cell r="BA14">
            <v>0</v>
          </cell>
          <cell r="BB14">
            <v>0</v>
          </cell>
          <cell r="BC14">
            <v>0</v>
          </cell>
          <cell r="BD14">
            <v>0</v>
          </cell>
        </row>
        <row r="15">
          <cell r="A15" t="str">
            <v>LDK378</v>
          </cell>
          <cell r="B15" t="str">
            <v>ALK+ NSCLC</v>
          </cell>
          <cell r="C15">
            <v>1</v>
          </cell>
          <cell r="D15">
            <v>1</v>
          </cell>
          <cell r="E15">
            <v>1</v>
          </cell>
          <cell r="F15">
            <v>1</v>
          </cell>
          <cell r="H15">
            <v>2015</v>
          </cell>
          <cell r="L15">
            <v>1500</v>
          </cell>
          <cell r="M15">
            <v>0.5</v>
          </cell>
          <cell r="N15">
            <v>750</v>
          </cell>
          <cell r="R15">
            <v>0</v>
          </cell>
          <cell r="S15">
            <v>0</v>
          </cell>
          <cell r="T15">
            <v>0</v>
          </cell>
          <cell r="U15">
            <v>0</v>
          </cell>
          <cell r="V15">
            <v>0</v>
          </cell>
          <cell r="W15">
            <v>0</v>
          </cell>
          <cell r="X15">
            <v>0</v>
          </cell>
          <cell r="Y15">
            <v>75</v>
          </cell>
          <cell r="Z15">
            <v>225</v>
          </cell>
          <cell r="AA15">
            <v>450</v>
          </cell>
          <cell r="AB15">
            <v>675</v>
          </cell>
          <cell r="AC15">
            <v>750</v>
          </cell>
          <cell r="AD15">
            <v>787.5</v>
          </cell>
          <cell r="AE15">
            <v>819</v>
          </cell>
          <cell r="AF15">
            <v>851.76</v>
          </cell>
          <cell r="AG15">
            <v>885.83040000000005</v>
          </cell>
          <cell r="AH15">
            <v>921.26361600000007</v>
          </cell>
          <cell r="AU15">
            <v>0.5</v>
          </cell>
        </row>
        <row r="16">
          <cell r="A16" t="str">
            <v>BKM120</v>
          </cell>
          <cell r="B16" t="str">
            <v>Solid tumours</v>
          </cell>
          <cell r="C16">
            <v>1</v>
          </cell>
          <cell r="D16">
            <v>1</v>
          </cell>
          <cell r="E16">
            <v>1</v>
          </cell>
          <cell r="F16">
            <v>1</v>
          </cell>
          <cell r="H16">
            <v>2016</v>
          </cell>
          <cell r="L16">
            <v>1000</v>
          </cell>
          <cell r="M16">
            <v>0.5</v>
          </cell>
          <cell r="N16">
            <v>500</v>
          </cell>
          <cell r="O16">
            <v>0</v>
          </cell>
          <cell r="P16">
            <v>0</v>
          </cell>
          <cell r="Q16">
            <v>0</v>
          </cell>
          <cell r="R16">
            <v>0</v>
          </cell>
          <cell r="S16">
            <v>0</v>
          </cell>
          <cell r="T16">
            <v>0</v>
          </cell>
          <cell r="U16">
            <v>0</v>
          </cell>
          <cell r="V16">
            <v>0</v>
          </cell>
          <cell r="W16">
            <v>0</v>
          </cell>
          <cell r="X16">
            <v>0</v>
          </cell>
          <cell r="Y16">
            <v>0</v>
          </cell>
          <cell r="Z16">
            <v>50</v>
          </cell>
          <cell r="AA16">
            <v>150</v>
          </cell>
          <cell r="AB16">
            <v>300</v>
          </cell>
          <cell r="AC16">
            <v>450</v>
          </cell>
          <cell r="AD16">
            <v>500</v>
          </cell>
          <cell r="AE16">
            <v>520</v>
          </cell>
          <cell r="AF16">
            <v>540.80000000000007</v>
          </cell>
          <cell r="AG16">
            <v>562.43200000000013</v>
          </cell>
          <cell r="AH16">
            <v>584.92928000000018</v>
          </cell>
          <cell r="AU16">
            <v>0.5</v>
          </cell>
        </row>
        <row r="17">
          <cell r="A17" t="str">
            <v>CTL-019</v>
          </cell>
          <cell r="B17" t="str">
            <v>Leukemia/solid tumours</v>
          </cell>
          <cell r="C17">
            <v>1</v>
          </cell>
          <cell r="D17">
            <v>1</v>
          </cell>
          <cell r="E17">
            <v>1</v>
          </cell>
          <cell r="F17">
            <v>1</v>
          </cell>
          <cell r="H17">
            <v>2017</v>
          </cell>
          <cell r="L17">
            <v>2000</v>
          </cell>
          <cell r="M17">
            <v>0.5</v>
          </cell>
          <cell r="N17">
            <v>1000</v>
          </cell>
          <cell r="O17">
            <v>0</v>
          </cell>
          <cell r="P17">
            <v>0</v>
          </cell>
          <cell r="Q17">
            <v>0</v>
          </cell>
          <cell r="R17">
            <v>0</v>
          </cell>
          <cell r="S17">
            <v>0</v>
          </cell>
          <cell r="T17">
            <v>0</v>
          </cell>
          <cell r="U17">
            <v>0</v>
          </cell>
          <cell r="V17">
            <v>0</v>
          </cell>
          <cell r="W17">
            <v>0</v>
          </cell>
          <cell r="X17">
            <v>0</v>
          </cell>
          <cell r="Y17">
            <v>0</v>
          </cell>
          <cell r="Z17">
            <v>0</v>
          </cell>
          <cell r="AA17">
            <v>100</v>
          </cell>
          <cell r="AB17">
            <v>300</v>
          </cell>
          <cell r="AC17">
            <v>600</v>
          </cell>
          <cell r="AD17">
            <v>900</v>
          </cell>
          <cell r="AE17">
            <v>936</v>
          </cell>
          <cell r="AF17">
            <v>973.44</v>
          </cell>
          <cell r="AG17">
            <v>1012.3776000000001</v>
          </cell>
          <cell r="AH17">
            <v>1052.8727040000001</v>
          </cell>
          <cell r="AU17">
            <v>0.05</v>
          </cell>
        </row>
        <row r="18">
          <cell r="A18" t="str">
            <v>LDE225</v>
          </cell>
          <cell r="B18" t="str">
            <v>BCC/solid tumours</v>
          </cell>
          <cell r="C18">
            <v>1</v>
          </cell>
          <cell r="D18">
            <v>1</v>
          </cell>
          <cell r="E18">
            <v>1</v>
          </cell>
          <cell r="F18">
            <v>1</v>
          </cell>
          <cell r="H18">
            <v>2015</v>
          </cell>
          <cell r="L18">
            <v>500</v>
          </cell>
          <cell r="M18">
            <v>0.5</v>
          </cell>
          <cell r="N18">
            <v>250</v>
          </cell>
          <cell r="O18">
            <v>0</v>
          </cell>
          <cell r="P18">
            <v>0</v>
          </cell>
          <cell r="Q18">
            <v>0</v>
          </cell>
          <cell r="R18">
            <v>0</v>
          </cell>
          <cell r="S18">
            <v>0</v>
          </cell>
          <cell r="T18">
            <v>0</v>
          </cell>
          <cell r="U18">
            <v>0</v>
          </cell>
          <cell r="V18">
            <v>0</v>
          </cell>
          <cell r="W18">
            <v>0</v>
          </cell>
          <cell r="X18">
            <v>0</v>
          </cell>
          <cell r="Y18">
            <v>25</v>
          </cell>
          <cell r="Z18">
            <v>75</v>
          </cell>
          <cell r="AA18">
            <v>150</v>
          </cell>
          <cell r="AB18">
            <v>225</v>
          </cell>
          <cell r="AC18">
            <v>250</v>
          </cell>
          <cell r="AD18">
            <v>262.5</v>
          </cell>
          <cell r="AE18">
            <v>273</v>
          </cell>
          <cell r="AF18">
            <v>283.92</v>
          </cell>
          <cell r="AG18">
            <v>295.27680000000004</v>
          </cell>
          <cell r="AH18">
            <v>307.08787200000006</v>
          </cell>
          <cell r="AU18">
            <v>0.5</v>
          </cell>
        </row>
        <row r="19">
          <cell r="A19" t="str">
            <v>LEE011</v>
          </cell>
          <cell r="B19" t="str">
            <v>Breast cancer/Solid Tumors</v>
          </cell>
          <cell r="C19">
            <v>1</v>
          </cell>
          <cell r="D19">
            <v>1</v>
          </cell>
          <cell r="E19">
            <v>1</v>
          </cell>
          <cell r="F19">
            <v>1</v>
          </cell>
          <cell r="M19">
            <v>0.5</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A20" t="str">
            <v>AUY922</v>
          </cell>
          <cell r="B20" t="str">
            <v>Solid tumours (BC, NSCLC, gastric)</v>
          </cell>
          <cell r="H20">
            <v>2019</v>
          </cell>
          <cell r="L20">
            <v>1000</v>
          </cell>
          <cell r="M20">
            <v>0.2</v>
          </cell>
          <cell r="N20">
            <v>200</v>
          </cell>
          <cell r="R20">
            <v>0</v>
          </cell>
          <cell r="S20">
            <v>0</v>
          </cell>
          <cell r="T20">
            <v>0</v>
          </cell>
          <cell r="U20">
            <v>0</v>
          </cell>
          <cell r="V20">
            <v>0</v>
          </cell>
          <cell r="W20">
            <v>0</v>
          </cell>
          <cell r="X20">
            <v>0</v>
          </cell>
          <cell r="Y20">
            <v>0</v>
          </cell>
          <cell r="Z20">
            <v>0</v>
          </cell>
          <cell r="AA20">
            <v>0</v>
          </cell>
          <cell r="AB20">
            <v>0</v>
          </cell>
          <cell r="AC20">
            <v>20</v>
          </cell>
          <cell r="AD20">
            <v>60</v>
          </cell>
          <cell r="AE20">
            <v>62.400000000000006</v>
          </cell>
          <cell r="AF20">
            <v>64.896000000000015</v>
          </cell>
          <cell r="AG20">
            <v>67.491840000000025</v>
          </cell>
          <cell r="AH20">
            <v>70.191513600000022</v>
          </cell>
          <cell r="AU20">
            <v>0.2</v>
          </cell>
        </row>
        <row r="21">
          <cell r="A21" t="str">
            <v>MEK162</v>
          </cell>
          <cell r="B21" t="str">
            <v>melanoma</v>
          </cell>
          <cell r="C21">
            <v>1</v>
          </cell>
          <cell r="D21">
            <v>1</v>
          </cell>
          <cell r="E21">
            <v>1</v>
          </cell>
          <cell r="H21">
            <v>2016</v>
          </cell>
          <cell r="L21">
            <v>200</v>
          </cell>
          <cell r="M21">
            <v>0.2</v>
          </cell>
          <cell r="N21">
            <v>40</v>
          </cell>
          <cell r="O21">
            <v>0</v>
          </cell>
          <cell r="P21">
            <v>0</v>
          </cell>
          <cell r="Q21">
            <v>0</v>
          </cell>
          <cell r="R21">
            <v>0</v>
          </cell>
          <cell r="S21">
            <v>0</v>
          </cell>
          <cell r="T21">
            <v>0</v>
          </cell>
          <cell r="U21">
            <v>0</v>
          </cell>
          <cell r="V21">
            <v>0</v>
          </cell>
          <cell r="W21">
            <v>0</v>
          </cell>
          <cell r="X21">
            <v>0</v>
          </cell>
          <cell r="Y21">
            <v>0</v>
          </cell>
          <cell r="Z21">
            <v>4</v>
          </cell>
          <cell r="AA21">
            <v>12</v>
          </cell>
          <cell r="AB21">
            <v>24</v>
          </cell>
          <cell r="AC21">
            <v>36</v>
          </cell>
          <cell r="AD21">
            <v>40</v>
          </cell>
          <cell r="AE21">
            <v>41.6</v>
          </cell>
          <cell r="AF21">
            <v>43.264000000000003</v>
          </cell>
          <cell r="AG21">
            <v>44.994560000000007</v>
          </cell>
          <cell r="AH21">
            <v>46.794342400000012</v>
          </cell>
          <cell r="AU21">
            <v>0.2</v>
          </cell>
        </row>
        <row r="22">
          <cell r="A22" t="str">
            <v>LGX818</v>
          </cell>
          <cell r="B22" t="str">
            <v>Solid tumours</v>
          </cell>
          <cell r="C22">
            <v>1</v>
          </cell>
          <cell r="D22">
            <v>1</v>
          </cell>
          <cell r="E22">
            <v>1</v>
          </cell>
          <cell r="H22">
            <v>2019</v>
          </cell>
          <cell r="L22">
            <v>500</v>
          </cell>
          <cell r="M22">
            <v>0.2</v>
          </cell>
          <cell r="N22">
            <v>100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10</v>
          </cell>
          <cell r="AD22">
            <v>30</v>
          </cell>
          <cell r="AE22">
            <v>31.200000000000003</v>
          </cell>
          <cell r="AF22">
            <v>32.448000000000008</v>
          </cell>
          <cell r="AG22">
            <v>33.745920000000012</v>
          </cell>
          <cell r="AH22">
            <v>35.095756800000011</v>
          </cell>
          <cell r="AU22">
            <v>0.2</v>
          </cell>
        </row>
        <row r="23">
          <cell r="A23" t="str">
            <v>LJM716</v>
          </cell>
          <cell r="B23" t="str">
            <v>Solid tumours</v>
          </cell>
          <cell r="C23">
            <v>1</v>
          </cell>
          <cell r="D23">
            <v>1</v>
          </cell>
          <cell r="E23">
            <v>1</v>
          </cell>
          <cell r="M23">
            <v>0.1</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row>
        <row r="24">
          <cell r="A24" t="str">
            <v>BGJ398</v>
          </cell>
          <cell r="B24" t="str">
            <v>Solid tumours</v>
          </cell>
          <cell r="C24">
            <v>1</v>
          </cell>
          <cell r="D24">
            <v>1</v>
          </cell>
          <cell r="E24">
            <v>1</v>
          </cell>
          <cell r="M24">
            <v>0.1</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A25" t="str">
            <v>BYL719</v>
          </cell>
          <cell r="B25" t="str">
            <v>Solid tumours</v>
          </cell>
          <cell r="C25">
            <v>1</v>
          </cell>
          <cell r="H25">
            <v>2019</v>
          </cell>
          <cell r="L25">
            <v>200</v>
          </cell>
          <cell r="M25">
            <v>0.05</v>
          </cell>
          <cell r="N25">
            <v>10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1</v>
          </cell>
          <cell r="AD25">
            <v>3</v>
          </cell>
          <cell r="AE25">
            <v>3.12</v>
          </cell>
          <cell r="AF25">
            <v>3.2448000000000001</v>
          </cell>
          <cell r="AG25">
            <v>3.3745920000000003</v>
          </cell>
          <cell r="AH25">
            <v>3.5095756800000002</v>
          </cell>
          <cell r="AU25">
            <v>0.05</v>
          </cell>
        </row>
        <row r="26">
          <cell r="A26" t="str">
            <v>CNS</v>
          </cell>
          <cell r="L26">
            <v>3500</v>
          </cell>
          <cell r="N26">
            <v>1450</v>
          </cell>
          <cell r="O26">
            <v>0</v>
          </cell>
          <cell r="P26">
            <v>0</v>
          </cell>
          <cell r="Q26">
            <v>0</v>
          </cell>
          <cell r="R26">
            <v>0</v>
          </cell>
          <cell r="S26">
            <v>0</v>
          </cell>
          <cell r="T26">
            <v>0</v>
          </cell>
          <cell r="U26">
            <v>0</v>
          </cell>
          <cell r="V26">
            <v>0</v>
          </cell>
          <cell r="W26">
            <v>0</v>
          </cell>
          <cell r="X26">
            <v>0</v>
          </cell>
          <cell r="Y26">
            <v>50</v>
          </cell>
          <cell r="Z26">
            <v>150</v>
          </cell>
          <cell r="AA26">
            <v>300</v>
          </cell>
          <cell r="AB26">
            <v>450</v>
          </cell>
          <cell r="AC26">
            <v>595</v>
          </cell>
          <cell r="AD26">
            <v>810</v>
          </cell>
          <cell r="AE26">
            <v>842.4</v>
          </cell>
          <cell r="AF26">
            <v>876.096</v>
          </cell>
          <cell r="AG26">
            <v>911.13984000000016</v>
          </cell>
          <cell r="AH26">
            <v>947.58543360000021</v>
          </cell>
          <cell r="AQ26">
            <v>0</v>
          </cell>
          <cell r="AR26">
            <v>0</v>
          </cell>
          <cell r="AS26">
            <v>0</v>
          </cell>
          <cell r="AT26">
            <v>0</v>
          </cell>
          <cell r="AX26">
            <v>0</v>
          </cell>
          <cell r="AY26">
            <v>0</v>
          </cell>
          <cell r="AZ26">
            <v>0</v>
          </cell>
          <cell r="BA26">
            <v>0</v>
          </cell>
          <cell r="BB26">
            <v>0</v>
          </cell>
          <cell r="BC26">
            <v>0</v>
          </cell>
          <cell r="BD26">
            <v>0</v>
          </cell>
        </row>
        <row r="27">
          <cell r="A27" t="str">
            <v>AFQ056 (mavoglurant)</v>
          </cell>
          <cell r="B27" t="str">
            <v>Fragile X syndrome/Parkinson's/ Huntington's</v>
          </cell>
          <cell r="C27">
            <v>1</v>
          </cell>
          <cell r="D27">
            <v>1</v>
          </cell>
          <cell r="E27">
            <v>1</v>
          </cell>
          <cell r="F27">
            <v>1</v>
          </cell>
          <cell r="H27">
            <v>2015</v>
          </cell>
          <cell r="L27">
            <v>1000</v>
          </cell>
          <cell r="M27">
            <v>0.5</v>
          </cell>
          <cell r="N27">
            <v>500</v>
          </cell>
          <cell r="R27">
            <v>0</v>
          </cell>
          <cell r="S27">
            <v>0</v>
          </cell>
          <cell r="T27">
            <v>0</v>
          </cell>
          <cell r="U27">
            <v>0</v>
          </cell>
          <cell r="V27">
            <v>0</v>
          </cell>
          <cell r="W27">
            <v>0</v>
          </cell>
          <cell r="X27">
            <v>0</v>
          </cell>
          <cell r="Y27">
            <v>50</v>
          </cell>
          <cell r="Z27">
            <v>150</v>
          </cell>
          <cell r="AA27">
            <v>300</v>
          </cell>
          <cell r="AB27">
            <v>450</v>
          </cell>
          <cell r="AC27">
            <v>500</v>
          </cell>
          <cell r="AD27">
            <v>525</v>
          </cell>
          <cell r="AE27">
            <v>546</v>
          </cell>
          <cell r="AF27">
            <v>567.84</v>
          </cell>
          <cell r="AG27">
            <v>590.55360000000007</v>
          </cell>
          <cell r="AH27">
            <v>614.17574400000012</v>
          </cell>
          <cell r="AU27">
            <v>0.2</v>
          </cell>
        </row>
        <row r="28">
          <cell r="A28" t="str">
            <v>BAF312 (siponimod)</v>
          </cell>
          <cell r="B28" t="str">
            <v>Multiple Sclerosis (RRMS)</v>
          </cell>
          <cell r="C28">
            <v>1</v>
          </cell>
          <cell r="D28">
            <v>1</v>
          </cell>
          <cell r="E28">
            <v>1</v>
          </cell>
          <cell r="F28">
            <v>1</v>
          </cell>
          <cell r="G28">
            <v>0</v>
          </cell>
          <cell r="H28">
            <v>2019</v>
          </cell>
          <cell r="L28">
            <v>1500</v>
          </cell>
          <cell r="M28">
            <v>0.5</v>
          </cell>
          <cell r="N28">
            <v>750</v>
          </cell>
          <cell r="S28">
            <v>0</v>
          </cell>
          <cell r="T28">
            <v>0</v>
          </cell>
          <cell r="U28">
            <v>0</v>
          </cell>
          <cell r="V28">
            <v>0</v>
          </cell>
          <cell r="W28">
            <v>0</v>
          </cell>
          <cell r="X28">
            <v>0</v>
          </cell>
          <cell r="Y28">
            <v>0</v>
          </cell>
          <cell r="Z28">
            <v>0</v>
          </cell>
          <cell r="AA28">
            <v>0</v>
          </cell>
          <cell r="AB28">
            <v>0</v>
          </cell>
          <cell r="AC28">
            <v>75</v>
          </cell>
          <cell r="AD28">
            <v>225</v>
          </cell>
          <cell r="AE28">
            <v>234</v>
          </cell>
          <cell r="AF28">
            <v>243.36</v>
          </cell>
          <cell r="AG28">
            <v>253.09440000000004</v>
          </cell>
          <cell r="AH28">
            <v>263.21817600000003</v>
          </cell>
          <cell r="AU28">
            <v>0.2</v>
          </cell>
        </row>
        <row r="29">
          <cell r="A29" t="str">
            <v>CAD106</v>
          </cell>
          <cell r="B29" t="str">
            <v>Alzheimer's</v>
          </cell>
          <cell r="C29">
            <v>1</v>
          </cell>
          <cell r="D29">
            <v>1</v>
          </cell>
          <cell r="E29">
            <v>1</v>
          </cell>
          <cell r="F29">
            <v>0</v>
          </cell>
          <cell r="G29">
            <v>0</v>
          </cell>
          <cell r="H29">
            <v>2019</v>
          </cell>
          <cell r="L29">
            <v>1000</v>
          </cell>
          <cell r="M29">
            <v>0.2</v>
          </cell>
          <cell r="N29">
            <v>200</v>
          </cell>
          <cell r="R29">
            <v>0</v>
          </cell>
          <cell r="S29">
            <v>0</v>
          </cell>
          <cell r="T29">
            <v>0</v>
          </cell>
          <cell r="U29">
            <v>0</v>
          </cell>
          <cell r="V29">
            <v>0</v>
          </cell>
          <cell r="W29">
            <v>0</v>
          </cell>
          <cell r="X29">
            <v>0</v>
          </cell>
          <cell r="Y29">
            <v>0</v>
          </cell>
          <cell r="Z29">
            <v>0</v>
          </cell>
          <cell r="AA29">
            <v>0</v>
          </cell>
          <cell r="AB29">
            <v>0</v>
          </cell>
          <cell r="AC29">
            <v>20</v>
          </cell>
          <cell r="AD29">
            <v>60</v>
          </cell>
          <cell r="AE29">
            <v>62.400000000000006</v>
          </cell>
          <cell r="AF29">
            <v>64.896000000000015</v>
          </cell>
          <cell r="AG29">
            <v>67.491840000000025</v>
          </cell>
          <cell r="AH29">
            <v>70.191513600000022</v>
          </cell>
          <cell r="AU29">
            <v>0.2</v>
          </cell>
        </row>
        <row r="30">
          <cell r="A30" t="str">
            <v>Respiratory</v>
          </cell>
          <cell r="L30">
            <v>1200</v>
          </cell>
          <cell r="N30">
            <v>240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24</v>
          </cell>
          <cell r="AD30">
            <v>72</v>
          </cell>
          <cell r="AE30">
            <v>74.88000000000001</v>
          </cell>
          <cell r="AF30">
            <v>77.875200000000021</v>
          </cell>
          <cell r="AG30">
            <v>80.990208000000024</v>
          </cell>
          <cell r="AH30">
            <v>84.229816320000026</v>
          </cell>
          <cell r="AQ30">
            <v>0</v>
          </cell>
          <cell r="AR30">
            <v>0</v>
          </cell>
          <cell r="AS30">
            <v>0</v>
          </cell>
          <cell r="AT30">
            <v>0</v>
          </cell>
          <cell r="AX30">
            <v>0</v>
          </cell>
          <cell r="AY30">
            <v>0</v>
          </cell>
          <cell r="AZ30">
            <v>0</v>
          </cell>
          <cell r="BA30">
            <v>0</v>
          </cell>
          <cell r="BB30">
            <v>0</v>
          </cell>
          <cell r="BC30">
            <v>0</v>
          </cell>
          <cell r="BD30">
            <v>0</v>
          </cell>
        </row>
        <row r="31">
          <cell r="A31" t="str">
            <v>BCT197</v>
          </cell>
          <cell r="B31" t="str">
            <v>COPD</v>
          </cell>
          <cell r="C31">
            <v>1</v>
          </cell>
          <cell r="D31">
            <v>1</v>
          </cell>
          <cell r="E31">
            <v>1</v>
          </cell>
          <cell r="F31">
            <v>0</v>
          </cell>
          <cell r="G31">
            <v>0</v>
          </cell>
          <cell r="H31">
            <v>2019</v>
          </cell>
          <cell r="I31" t="str">
            <v>PC</v>
          </cell>
          <cell r="J31">
            <v>4</v>
          </cell>
          <cell r="K31">
            <v>4</v>
          </cell>
          <cell r="L31">
            <v>200</v>
          </cell>
          <cell r="M31">
            <v>0.2</v>
          </cell>
          <cell r="N31">
            <v>40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4</v>
          </cell>
          <cell r="AD31">
            <v>12</v>
          </cell>
          <cell r="AE31">
            <v>12.48</v>
          </cell>
          <cell r="AF31">
            <v>12.979200000000001</v>
          </cell>
          <cell r="AG31">
            <v>13.498368000000001</v>
          </cell>
          <cell r="AH31">
            <v>14.038302720000001</v>
          </cell>
          <cell r="AI31" t="str">
            <v>No</v>
          </cell>
          <cell r="AJ31" t="str">
            <v>Yes</v>
          </cell>
          <cell r="AK31" t="str">
            <v>No</v>
          </cell>
          <cell r="AM31" t="str">
            <v>No</v>
          </cell>
          <cell r="AN31">
            <v>0</v>
          </cell>
          <cell r="AO31">
            <v>40</v>
          </cell>
          <cell r="AP31">
            <v>0</v>
          </cell>
          <cell r="AQ31">
            <v>1</v>
          </cell>
          <cell r="AR31">
            <v>0</v>
          </cell>
          <cell r="AS31">
            <v>40</v>
          </cell>
          <cell r="AT31">
            <v>0</v>
          </cell>
          <cell r="AU31">
            <v>0.2</v>
          </cell>
          <cell r="AX31">
            <v>0</v>
          </cell>
          <cell r="AY31">
            <v>0</v>
          </cell>
          <cell r="AZ31">
            <v>0</v>
          </cell>
          <cell r="BA31">
            <v>0</v>
          </cell>
          <cell r="BB31">
            <v>0</v>
          </cell>
          <cell r="BC31">
            <v>0</v>
          </cell>
          <cell r="BD31">
            <v>0</v>
          </cell>
        </row>
        <row r="32">
          <cell r="A32" t="str">
            <v>QAW039</v>
          </cell>
          <cell r="B32" t="str">
            <v>Asthma</v>
          </cell>
          <cell r="C32">
            <v>1</v>
          </cell>
          <cell r="D32">
            <v>1</v>
          </cell>
          <cell r="E32">
            <v>1</v>
          </cell>
          <cell r="F32">
            <v>0</v>
          </cell>
          <cell r="G32">
            <v>0</v>
          </cell>
          <cell r="H32">
            <v>2019</v>
          </cell>
          <cell r="I32" t="str">
            <v>PC</v>
          </cell>
          <cell r="J32">
            <v>4</v>
          </cell>
          <cell r="K32">
            <v>4</v>
          </cell>
          <cell r="L32">
            <v>1000</v>
          </cell>
          <cell r="M32">
            <v>0.2</v>
          </cell>
          <cell r="N32">
            <v>200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20</v>
          </cell>
          <cell r="AD32">
            <v>60</v>
          </cell>
          <cell r="AE32">
            <v>62.400000000000006</v>
          </cell>
          <cell r="AF32">
            <v>64.896000000000015</v>
          </cell>
          <cell r="AG32">
            <v>67.491840000000025</v>
          </cell>
          <cell r="AH32">
            <v>70.191513600000022</v>
          </cell>
          <cell r="AI32" t="str">
            <v>No</v>
          </cell>
          <cell r="AJ32" t="str">
            <v>Yes</v>
          </cell>
          <cell r="AK32" t="str">
            <v>No</v>
          </cell>
          <cell r="AM32" t="str">
            <v>No</v>
          </cell>
          <cell r="AN32">
            <v>0</v>
          </cell>
          <cell r="AO32">
            <v>200</v>
          </cell>
          <cell r="AP32">
            <v>0</v>
          </cell>
          <cell r="AQ32">
            <v>1</v>
          </cell>
          <cell r="AR32">
            <v>0</v>
          </cell>
          <cell r="AS32">
            <v>200</v>
          </cell>
          <cell r="AT32">
            <v>0</v>
          </cell>
          <cell r="AU32">
            <v>0.2</v>
          </cell>
          <cell r="AX32">
            <v>0</v>
          </cell>
          <cell r="AY32">
            <v>0</v>
          </cell>
          <cell r="AZ32">
            <v>0</v>
          </cell>
          <cell r="BA32">
            <v>0</v>
          </cell>
          <cell r="BB32">
            <v>0</v>
          </cell>
          <cell r="BC32">
            <v>0</v>
          </cell>
          <cell r="BD32">
            <v>0</v>
          </cell>
        </row>
        <row r="33">
          <cell r="X33" t="e">
            <v>#DIV/0!</v>
          </cell>
          <cell r="Y33" t="e">
            <v>#DIV/0!</v>
          </cell>
          <cell r="Z33" t="e">
            <v>#DIV/0!</v>
          </cell>
          <cell r="AA33" t="e">
            <v>#DIV/0!</v>
          </cell>
          <cell r="AB33" t="e">
            <v>#DIV/0!</v>
          </cell>
          <cell r="AC33" t="e">
            <v>#DIV/0!</v>
          </cell>
          <cell r="AD33">
            <v>2</v>
          </cell>
          <cell r="AE33">
            <v>4.0000000000000036E-2</v>
          </cell>
          <cell r="AF33">
            <v>4.0000000000000036E-2</v>
          </cell>
          <cell r="AG33">
            <v>4.0000000000000036E-2</v>
          </cell>
          <cell r="AH33">
            <v>4.0000000000000036E-2</v>
          </cell>
        </row>
        <row r="34">
          <cell r="A34" t="str">
            <v>Infectious/Transplantation/ Immunology</v>
          </cell>
          <cell r="L34">
            <v>3800</v>
          </cell>
          <cell r="N34">
            <v>1370</v>
          </cell>
          <cell r="O34">
            <v>0</v>
          </cell>
          <cell r="P34">
            <v>0</v>
          </cell>
          <cell r="Q34">
            <v>0</v>
          </cell>
          <cell r="R34">
            <v>0</v>
          </cell>
          <cell r="S34">
            <v>0</v>
          </cell>
          <cell r="T34">
            <v>0</v>
          </cell>
          <cell r="U34">
            <v>0</v>
          </cell>
          <cell r="V34">
            <v>0</v>
          </cell>
          <cell r="W34">
            <v>0</v>
          </cell>
          <cell r="X34">
            <v>105</v>
          </cell>
          <cell r="Y34">
            <v>315</v>
          </cell>
          <cell r="Z34">
            <v>630</v>
          </cell>
          <cell r="AA34">
            <v>955</v>
          </cell>
          <cell r="AB34">
            <v>1080</v>
          </cell>
          <cell r="AC34">
            <v>1184.5</v>
          </cell>
          <cell r="AD34">
            <v>1313.625</v>
          </cell>
          <cell r="AE34">
            <v>1366.1700000000003</v>
          </cell>
          <cell r="AF34">
            <v>1420.8168000000005</v>
          </cell>
          <cell r="AG34">
            <v>1477.6494720000003</v>
          </cell>
          <cell r="AH34">
            <v>1536.7554508800004</v>
          </cell>
          <cell r="AQ34">
            <v>0</v>
          </cell>
          <cell r="AR34">
            <v>0</v>
          </cell>
          <cell r="AS34">
            <v>0</v>
          </cell>
          <cell r="AT34">
            <v>0</v>
          </cell>
          <cell r="AX34">
            <v>0</v>
          </cell>
          <cell r="AY34">
            <v>0</v>
          </cell>
          <cell r="AZ34">
            <v>0</v>
          </cell>
          <cell r="BA34">
            <v>0</v>
          </cell>
          <cell r="BB34">
            <v>0</v>
          </cell>
          <cell r="BC34">
            <v>0</v>
          </cell>
          <cell r="BD34">
            <v>0</v>
          </cell>
        </row>
        <row r="35">
          <cell r="A35" t="str">
            <v>DEB025</v>
          </cell>
          <cell r="B35" t="str">
            <v>HCV</v>
          </cell>
          <cell r="C35">
            <v>1</v>
          </cell>
          <cell r="D35">
            <v>1</v>
          </cell>
          <cell r="E35">
            <v>1</v>
          </cell>
          <cell r="F35">
            <v>1</v>
          </cell>
          <cell r="H35">
            <v>2019</v>
          </cell>
          <cell r="L35">
            <v>400</v>
          </cell>
          <cell r="N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K35" t="str">
            <v>Yes</v>
          </cell>
          <cell r="AL35" t="str">
            <v>Debiopharm</v>
          </cell>
        </row>
        <row r="36">
          <cell r="A36" t="str">
            <v>AIN457 (secukinumab)</v>
          </cell>
          <cell r="B36" t="str">
            <v>Psoriatic arthritis, arthritides, MS</v>
          </cell>
          <cell r="C36">
            <v>1</v>
          </cell>
          <cell r="D36">
            <v>1</v>
          </cell>
          <cell r="E36">
            <v>1</v>
          </cell>
          <cell r="F36">
            <v>1</v>
          </cell>
          <cell r="H36">
            <v>2014</v>
          </cell>
          <cell r="L36">
            <v>1500</v>
          </cell>
          <cell r="M36">
            <v>0.7</v>
          </cell>
          <cell r="N36">
            <v>1050</v>
          </cell>
          <cell r="O36">
            <v>0</v>
          </cell>
          <cell r="P36">
            <v>0</v>
          </cell>
          <cell r="Q36">
            <v>0</v>
          </cell>
          <cell r="R36">
            <v>0</v>
          </cell>
          <cell r="S36">
            <v>0</v>
          </cell>
          <cell r="T36">
            <v>0</v>
          </cell>
          <cell r="U36">
            <v>0</v>
          </cell>
          <cell r="V36">
            <v>0</v>
          </cell>
          <cell r="W36">
            <v>0</v>
          </cell>
          <cell r="X36">
            <v>105</v>
          </cell>
          <cell r="Y36">
            <v>315</v>
          </cell>
          <cell r="Z36">
            <v>630</v>
          </cell>
          <cell r="AA36">
            <v>945</v>
          </cell>
          <cell r="AB36">
            <v>1050</v>
          </cell>
          <cell r="AC36">
            <v>1102.5</v>
          </cell>
          <cell r="AD36">
            <v>1157.625</v>
          </cell>
          <cell r="AE36">
            <v>1203.93</v>
          </cell>
          <cell r="AF36">
            <v>1252.0872000000002</v>
          </cell>
          <cell r="AG36">
            <v>1302.1706880000002</v>
          </cell>
          <cell r="AH36">
            <v>1354.2575155200002</v>
          </cell>
          <cell r="AU36">
            <v>0.5</v>
          </cell>
        </row>
        <row r="37">
          <cell r="A37" t="str">
            <v>BGS649</v>
          </cell>
          <cell r="B37" t="str">
            <v>Obese hypogonadotropic hypogonadism</v>
          </cell>
          <cell r="C37">
            <v>1</v>
          </cell>
          <cell r="D37">
            <v>1</v>
          </cell>
          <cell r="E37">
            <v>1</v>
          </cell>
          <cell r="H37">
            <v>2019</v>
          </cell>
          <cell r="I37" t="str">
            <v>S</v>
          </cell>
          <cell r="J37">
            <v>0</v>
          </cell>
          <cell r="K37">
            <v>3</v>
          </cell>
          <cell r="L37">
            <v>300</v>
          </cell>
          <cell r="M37">
            <v>0.2</v>
          </cell>
          <cell r="N37">
            <v>60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6</v>
          </cell>
          <cell r="AD37">
            <v>18</v>
          </cell>
          <cell r="AE37">
            <v>18.72</v>
          </cell>
          <cell r="AF37">
            <v>19.468799999999998</v>
          </cell>
          <cell r="AG37">
            <v>20.247551999999999</v>
          </cell>
          <cell r="AH37">
            <v>21.057454079999999</v>
          </cell>
          <cell r="AU37">
            <v>0.2</v>
          </cell>
        </row>
        <row r="38">
          <cell r="A38" t="str">
            <v>BYM338</v>
          </cell>
          <cell r="B38" t="str">
            <v>sporadic inclusion body myositis</v>
          </cell>
          <cell r="C38">
            <v>1</v>
          </cell>
          <cell r="D38">
            <v>1</v>
          </cell>
          <cell r="E38">
            <v>1</v>
          </cell>
          <cell r="H38">
            <v>2017</v>
          </cell>
          <cell r="I38" t="str">
            <v>S</v>
          </cell>
          <cell r="J38">
            <v>0</v>
          </cell>
          <cell r="K38">
            <v>3</v>
          </cell>
          <cell r="L38">
            <v>300</v>
          </cell>
          <cell r="M38">
            <v>0.2</v>
          </cell>
          <cell r="N38">
            <v>60</v>
          </cell>
          <cell r="O38">
            <v>0</v>
          </cell>
          <cell r="P38">
            <v>0</v>
          </cell>
          <cell r="Q38">
            <v>0</v>
          </cell>
          <cell r="R38">
            <v>0</v>
          </cell>
          <cell r="S38">
            <v>0</v>
          </cell>
          <cell r="T38">
            <v>0</v>
          </cell>
          <cell r="U38">
            <v>0</v>
          </cell>
          <cell r="V38">
            <v>0</v>
          </cell>
          <cell r="W38">
            <v>0</v>
          </cell>
          <cell r="X38">
            <v>0</v>
          </cell>
          <cell r="Y38">
            <v>0</v>
          </cell>
          <cell r="Z38">
            <v>0</v>
          </cell>
          <cell r="AA38">
            <v>6</v>
          </cell>
          <cell r="AB38">
            <v>18</v>
          </cell>
          <cell r="AC38">
            <v>36</v>
          </cell>
          <cell r="AD38">
            <v>54</v>
          </cell>
          <cell r="AE38">
            <v>56.160000000000004</v>
          </cell>
          <cell r="AF38">
            <v>58.406400000000005</v>
          </cell>
          <cell r="AG38">
            <v>60.742656000000004</v>
          </cell>
          <cell r="AH38">
            <v>63.172362240000005</v>
          </cell>
          <cell r="AU38">
            <v>0.2</v>
          </cell>
        </row>
        <row r="39">
          <cell r="A39" t="str">
            <v>LCI699</v>
          </cell>
          <cell r="B39" t="str">
            <v>Cushing's disease</v>
          </cell>
          <cell r="C39">
            <v>1</v>
          </cell>
          <cell r="D39">
            <v>1</v>
          </cell>
          <cell r="E39">
            <v>1</v>
          </cell>
          <cell r="H39">
            <v>2017</v>
          </cell>
          <cell r="L39">
            <v>200</v>
          </cell>
          <cell r="M39">
            <v>0.2</v>
          </cell>
          <cell r="N39">
            <v>40</v>
          </cell>
          <cell r="O39">
            <v>0</v>
          </cell>
          <cell r="P39">
            <v>0</v>
          </cell>
          <cell r="Q39">
            <v>0</v>
          </cell>
          <cell r="R39">
            <v>0</v>
          </cell>
          <cell r="S39">
            <v>0</v>
          </cell>
          <cell r="T39">
            <v>0</v>
          </cell>
          <cell r="U39">
            <v>0</v>
          </cell>
          <cell r="V39">
            <v>0</v>
          </cell>
          <cell r="W39">
            <v>0</v>
          </cell>
          <cell r="X39">
            <v>0</v>
          </cell>
          <cell r="Y39">
            <v>0</v>
          </cell>
          <cell r="Z39">
            <v>0</v>
          </cell>
          <cell r="AA39">
            <v>4</v>
          </cell>
          <cell r="AB39">
            <v>12</v>
          </cell>
          <cell r="AC39">
            <v>24</v>
          </cell>
          <cell r="AD39">
            <v>36</v>
          </cell>
          <cell r="AE39">
            <v>37.44</v>
          </cell>
          <cell r="AF39">
            <v>38.937599999999996</v>
          </cell>
          <cell r="AG39">
            <v>40.495103999999998</v>
          </cell>
          <cell r="AH39">
            <v>42.114908159999999</v>
          </cell>
          <cell r="AU39">
            <v>0.1</v>
          </cell>
        </row>
        <row r="40">
          <cell r="A40" t="str">
            <v>LFF571</v>
          </cell>
          <cell r="B40" t="str">
            <v>Clostridium difficile infection</v>
          </cell>
          <cell r="C40">
            <v>1</v>
          </cell>
          <cell r="D40">
            <v>1</v>
          </cell>
          <cell r="E40">
            <v>1</v>
          </cell>
          <cell r="H40">
            <v>2019</v>
          </cell>
          <cell r="I40" t="str">
            <v>S</v>
          </cell>
          <cell r="J40">
            <v>0</v>
          </cell>
          <cell r="K40">
            <v>3</v>
          </cell>
          <cell r="L40">
            <v>300</v>
          </cell>
          <cell r="M40">
            <v>0.2</v>
          </cell>
          <cell r="N40">
            <v>60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6</v>
          </cell>
          <cell r="AD40">
            <v>18</v>
          </cell>
          <cell r="AE40">
            <v>18.72</v>
          </cell>
          <cell r="AF40">
            <v>19.468799999999998</v>
          </cell>
          <cell r="AG40">
            <v>20.247551999999999</v>
          </cell>
          <cell r="AH40">
            <v>21.057454079999999</v>
          </cell>
          <cell r="AU40">
            <v>0.2</v>
          </cell>
        </row>
        <row r="41">
          <cell r="A41" t="str">
            <v>HSC835</v>
          </cell>
          <cell r="B41" t="str">
            <v>Stem Cell Transplantation</v>
          </cell>
          <cell r="C41">
            <v>1</v>
          </cell>
          <cell r="D41">
            <v>1</v>
          </cell>
          <cell r="E41">
            <v>1</v>
          </cell>
          <cell r="M41">
            <v>0.1</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A42" t="str">
            <v>KAE609</v>
          </cell>
          <cell r="B42" t="str">
            <v>Malaria</v>
          </cell>
          <cell r="C42">
            <v>1</v>
          </cell>
          <cell r="D42">
            <v>1</v>
          </cell>
          <cell r="E42">
            <v>1</v>
          </cell>
          <cell r="M42">
            <v>0.1</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3">
          <cell r="A43" t="str">
            <v>QAX576</v>
          </cell>
          <cell r="B43" t="str">
            <v>Allergic diseases</v>
          </cell>
          <cell r="C43">
            <v>1</v>
          </cell>
          <cell r="D43">
            <v>1</v>
          </cell>
          <cell r="E43">
            <v>1</v>
          </cell>
          <cell r="M43">
            <v>0.1</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row>
        <row r="44">
          <cell r="A44" t="str">
            <v>ATI355</v>
          </cell>
          <cell r="B44" t="str">
            <v>Spinal cord injury</v>
          </cell>
          <cell r="C44">
            <v>1</v>
          </cell>
          <cell r="D44">
            <v>1</v>
          </cell>
          <cell r="E44">
            <v>0</v>
          </cell>
          <cell r="F44">
            <v>0</v>
          </cell>
          <cell r="H44">
            <v>2019</v>
          </cell>
          <cell r="L44">
            <v>400</v>
          </cell>
          <cell r="M44">
            <v>0.05</v>
          </cell>
          <cell r="N44">
            <v>20</v>
          </cell>
          <cell r="R44">
            <v>0</v>
          </cell>
          <cell r="S44">
            <v>0</v>
          </cell>
          <cell r="T44">
            <v>0</v>
          </cell>
          <cell r="U44">
            <v>0</v>
          </cell>
          <cell r="V44">
            <v>0</v>
          </cell>
          <cell r="W44">
            <v>0</v>
          </cell>
          <cell r="X44">
            <v>0</v>
          </cell>
          <cell r="Y44">
            <v>0</v>
          </cell>
          <cell r="Z44">
            <v>0</v>
          </cell>
          <cell r="AA44">
            <v>0</v>
          </cell>
          <cell r="AB44">
            <v>0</v>
          </cell>
          <cell r="AC44">
            <v>2</v>
          </cell>
          <cell r="AD44">
            <v>6</v>
          </cell>
          <cell r="AE44">
            <v>6.24</v>
          </cell>
          <cell r="AF44">
            <v>6.4896000000000003</v>
          </cell>
          <cell r="AG44">
            <v>6.7491840000000005</v>
          </cell>
          <cell r="AH44">
            <v>7.0191513600000004</v>
          </cell>
          <cell r="AU44">
            <v>0.05</v>
          </cell>
        </row>
        <row r="45">
          <cell r="A45" t="str">
            <v>QGE031</v>
          </cell>
          <cell r="B45" t="str">
            <v>Allergic diseases</v>
          </cell>
          <cell r="C45">
            <v>1</v>
          </cell>
          <cell r="D45">
            <v>1</v>
          </cell>
          <cell r="E45">
            <v>1</v>
          </cell>
          <cell r="F45">
            <v>0</v>
          </cell>
          <cell r="H45">
            <v>2019</v>
          </cell>
          <cell r="L45">
            <v>400</v>
          </cell>
          <cell r="M45">
            <v>0.2</v>
          </cell>
          <cell r="N45">
            <v>80</v>
          </cell>
          <cell r="R45">
            <v>0</v>
          </cell>
          <cell r="S45">
            <v>0</v>
          </cell>
          <cell r="T45">
            <v>0</v>
          </cell>
          <cell r="U45">
            <v>0</v>
          </cell>
          <cell r="V45">
            <v>0</v>
          </cell>
          <cell r="W45">
            <v>0</v>
          </cell>
          <cell r="X45">
            <v>0</v>
          </cell>
          <cell r="Y45">
            <v>0</v>
          </cell>
          <cell r="Z45">
            <v>0</v>
          </cell>
          <cell r="AA45">
            <v>0</v>
          </cell>
          <cell r="AB45">
            <v>0</v>
          </cell>
          <cell r="AC45">
            <v>8</v>
          </cell>
          <cell r="AD45">
            <v>24</v>
          </cell>
          <cell r="AE45">
            <v>24.96</v>
          </cell>
          <cell r="AF45">
            <v>25.958400000000001</v>
          </cell>
          <cell r="AG45">
            <v>26.996736000000002</v>
          </cell>
          <cell r="AH45">
            <v>28.076605440000002</v>
          </cell>
          <cell r="AU45">
            <v>0.2</v>
          </cell>
        </row>
        <row r="46">
          <cell r="A46" t="str">
            <v>Arthritis/Bone</v>
          </cell>
          <cell r="L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Q46">
            <v>0</v>
          </cell>
          <cell r="AR46">
            <v>0</v>
          </cell>
          <cell r="AS46">
            <v>0</v>
          </cell>
          <cell r="AT46">
            <v>0</v>
          </cell>
          <cell r="AX46">
            <v>0</v>
          </cell>
          <cell r="AY46">
            <v>0</v>
          </cell>
          <cell r="AZ46">
            <v>0</v>
          </cell>
          <cell r="BA46">
            <v>0</v>
          </cell>
          <cell r="BB46">
            <v>0</v>
          </cell>
          <cell r="BC46">
            <v>0</v>
          </cell>
          <cell r="BD46">
            <v>0</v>
          </cell>
        </row>
        <row r="48">
          <cell r="A48" t="str">
            <v>TOTAL ($)</v>
          </cell>
          <cell r="L48">
            <v>21900</v>
          </cell>
          <cell r="N48">
            <v>9160</v>
          </cell>
          <cell r="O48">
            <v>0</v>
          </cell>
          <cell r="P48">
            <v>0</v>
          </cell>
          <cell r="Q48">
            <v>0</v>
          </cell>
          <cell r="R48">
            <v>0</v>
          </cell>
          <cell r="S48">
            <v>0</v>
          </cell>
          <cell r="T48">
            <v>0</v>
          </cell>
          <cell r="U48">
            <v>0</v>
          </cell>
          <cell r="V48">
            <v>0</v>
          </cell>
          <cell r="W48">
            <v>0</v>
          </cell>
          <cell r="X48">
            <v>335</v>
          </cell>
          <cell r="Y48">
            <v>1180</v>
          </cell>
          <cell r="Z48">
            <v>2639</v>
          </cell>
          <cell r="AA48">
            <v>4487</v>
          </cell>
          <cell r="AB48">
            <v>5879</v>
          </cell>
          <cell r="AC48">
            <v>7055.5</v>
          </cell>
          <cell r="AD48">
            <v>8136.875</v>
          </cell>
          <cell r="AE48">
            <v>8462.3499999999985</v>
          </cell>
          <cell r="AF48">
            <v>8800.844000000001</v>
          </cell>
          <cell r="AG48">
            <v>9152.8777600000012</v>
          </cell>
          <cell r="AH48">
            <v>9518.9928704000013</v>
          </cell>
          <cell r="AN48">
            <v>750</v>
          </cell>
          <cell r="AO48">
            <v>990</v>
          </cell>
          <cell r="AP48">
            <v>0</v>
          </cell>
          <cell r="AQ48">
            <v>2</v>
          </cell>
          <cell r="AR48">
            <v>2</v>
          </cell>
          <cell r="AS48">
            <v>240</v>
          </cell>
          <cell r="AT48">
            <v>750</v>
          </cell>
          <cell r="AX48">
            <v>0</v>
          </cell>
          <cell r="AY48">
            <v>0</v>
          </cell>
          <cell r="AZ48">
            <v>0</v>
          </cell>
          <cell r="BA48">
            <v>0</v>
          </cell>
          <cell r="BB48">
            <v>0</v>
          </cell>
          <cell r="BC48">
            <v>0</v>
          </cell>
          <cell r="BD48">
            <v>0</v>
          </cell>
        </row>
        <row r="51">
          <cell r="A51" t="str">
            <v>Vaccines</v>
          </cell>
          <cell r="L51">
            <v>1400</v>
          </cell>
          <cell r="N51">
            <v>390</v>
          </cell>
          <cell r="O51">
            <v>0</v>
          </cell>
          <cell r="P51">
            <v>0</v>
          </cell>
          <cell r="Q51">
            <v>0</v>
          </cell>
          <cell r="R51">
            <v>0</v>
          </cell>
          <cell r="S51">
            <v>0</v>
          </cell>
          <cell r="T51">
            <v>0</v>
          </cell>
          <cell r="U51">
            <v>0</v>
          </cell>
          <cell r="V51">
            <v>0</v>
          </cell>
          <cell r="W51">
            <v>21</v>
          </cell>
          <cell r="X51">
            <v>63</v>
          </cell>
          <cell r="Y51">
            <v>126</v>
          </cell>
          <cell r="Z51">
            <v>204</v>
          </cell>
          <cell r="AA51">
            <v>255</v>
          </cell>
          <cell r="AB51">
            <v>313.5</v>
          </cell>
          <cell r="AC51">
            <v>375.52499999999998</v>
          </cell>
          <cell r="AD51">
            <v>406.47075000000001</v>
          </cell>
          <cell r="AE51">
            <v>422.72958000000006</v>
          </cell>
          <cell r="AF51">
            <v>439.63876320000003</v>
          </cell>
          <cell r="AG51">
            <v>457.22431372800008</v>
          </cell>
          <cell r="AH51">
            <v>475.51328627712007</v>
          </cell>
          <cell r="AQ51">
            <v>0</v>
          </cell>
          <cell r="AR51">
            <v>0</v>
          </cell>
          <cell r="AS51">
            <v>0</v>
          </cell>
          <cell r="AT51">
            <v>0</v>
          </cell>
          <cell r="AX51">
            <v>0</v>
          </cell>
          <cell r="AY51">
            <v>0</v>
          </cell>
          <cell r="AZ51">
            <v>0</v>
          </cell>
          <cell r="BA51">
            <v>0</v>
          </cell>
          <cell r="BB51">
            <v>0</v>
          </cell>
          <cell r="BC51">
            <v>0</v>
          </cell>
          <cell r="BD51">
            <v>0</v>
          </cell>
        </row>
        <row r="52">
          <cell r="A52" t="str">
            <v>Fluad</v>
          </cell>
          <cell r="B52" t="str">
            <v>seasonal flu (subunit vacine MF59 adjuvant)</v>
          </cell>
          <cell r="C52">
            <v>1</v>
          </cell>
          <cell r="D52">
            <v>1</v>
          </cell>
          <cell r="E52">
            <v>1</v>
          </cell>
          <cell r="F52">
            <v>1</v>
          </cell>
          <cell r="H52">
            <v>2013</v>
          </cell>
          <cell r="I52" t="str">
            <v>V</v>
          </cell>
          <cell r="J52">
            <v>0</v>
          </cell>
          <cell r="K52">
            <v>2</v>
          </cell>
          <cell r="L52">
            <v>300</v>
          </cell>
          <cell r="M52">
            <v>0.5</v>
          </cell>
          <cell r="N52">
            <v>150</v>
          </cell>
          <cell r="O52">
            <v>0</v>
          </cell>
          <cell r="P52">
            <v>0</v>
          </cell>
          <cell r="Q52">
            <v>0</v>
          </cell>
          <cell r="R52">
            <v>0</v>
          </cell>
          <cell r="S52">
            <v>0</v>
          </cell>
          <cell r="T52">
            <v>0</v>
          </cell>
          <cell r="U52">
            <v>0</v>
          </cell>
          <cell r="V52">
            <v>0</v>
          </cell>
          <cell r="W52">
            <v>15</v>
          </cell>
          <cell r="X52">
            <v>45</v>
          </cell>
          <cell r="Y52">
            <v>90</v>
          </cell>
          <cell r="Z52">
            <v>135</v>
          </cell>
          <cell r="AA52">
            <v>150</v>
          </cell>
          <cell r="AB52">
            <v>157.5</v>
          </cell>
          <cell r="AC52">
            <v>165.375</v>
          </cell>
          <cell r="AD52">
            <v>170.33625000000001</v>
          </cell>
          <cell r="AE52">
            <v>177.14970000000002</v>
          </cell>
          <cell r="AF52">
            <v>184.23568800000004</v>
          </cell>
          <cell r="AG52">
            <v>191.60511552000006</v>
          </cell>
          <cell r="AH52">
            <v>199.26932014080006</v>
          </cell>
          <cell r="AI52" t="str">
            <v>Yes</v>
          </cell>
          <cell r="AJ52" t="str">
            <v>No</v>
          </cell>
          <cell r="AK52" t="str">
            <v>No</v>
          </cell>
          <cell r="AM52" t="str">
            <v>No</v>
          </cell>
          <cell r="AN52">
            <v>150</v>
          </cell>
          <cell r="AO52">
            <v>0</v>
          </cell>
          <cell r="AP52">
            <v>0</v>
          </cell>
          <cell r="AQ52">
            <v>0</v>
          </cell>
          <cell r="AR52">
            <v>0</v>
          </cell>
          <cell r="AS52">
            <v>0</v>
          </cell>
          <cell r="AT52">
            <v>0</v>
          </cell>
          <cell r="AU52">
            <v>0.5</v>
          </cell>
          <cell r="AX52">
            <v>0</v>
          </cell>
          <cell r="AY52">
            <v>0</v>
          </cell>
          <cell r="AZ52">
            <v>0</v>
          </cell>
          <cell r="BA52">
            <v>0</v>
          </cell>
          <cell r="BB52">
            <v>0</v>
          </cell>
          <cell r="BC52">
            <v>0</v>
          </cell>
          <cell r="BD52">
            <v>0</v>
          </cell>
        </row>
        <row r="53">
          <cell r="A53" t="str">
            <v>Menveo (MenABCWY)</v>
          </cell>
          <cell r="B53" t="str">
            <v xml:space="preserve">Meningococcal disease (sero ABCYW-135) </v>
          </cell>
          <cell r="C53">
            <v>1</v>
          </cell>
          <cell r="D53">
            <v>1</v>
          </cell>
          <cell r="E53">
            <v>1</v>
          </cell>
          <cell r="H53">
            <v>2018</v>
          </cell>
          <cell r="I53" t="str">
            <v>V</v>
          </cell>
          <cell r="J53">
            <v>0</v>
          </cell>
          <cell r="K53">
            <v>3</v>
          </cell>
          <cell r="L53">
            <v>300</v>
          </cell>
          <cell r="M53">
            <v>0.1</v>
          </cell>
          <cell r="N53">
            <v>30</v>
          </cell>
          <cell r="O53">
            <v>0</v>
          </cell>
          <cell r="P53">
            <v>0</v>
          </cell>
          <cell r="Q53">
            <v>0</v>
          </cell>
          <cell r="R53">
            <v>0</v>
          </cell>
          <cell r="S53">
            <v>0</v>
          </cell>
          <cell r="T53">
            <v>0</v>
          </cell>
          <cell r="U53">
            <v>0</v>
          </cell>
          <cell r="V53">
            <v>0</v>
          </cell>
          <cell r="W53">
            <v>0</v>
          </cell>
          <cell r="X53">
            <v>0</v>
          </cell>
          <cell r="Y53">
            <v>0</v>
          </cell>
          <cell r="Z53">
            <v>0</v>
          </cell>
          <cell r="AA53">
            <v>0</v>
          </cell>
          <cell r="AB53">
            <v>3</v>
          </cell>
          <cell r="AC53">
            <v>9</v>
          </cell>
          <cell r="AD53">
            <v>18</v>
          </cell>
          <cell r="AE53">
            <v>18.72</v>
          </cell>
          <cell r="AF53">
            <v>19.468799999999998</v>
          </cell>
          <cell r="AG53">
            <v>20.247551999999999</v>
          </cell>
          <cell r="AH53">
            <v>21.057454079999999</v>
          </cell>
          <cell r="AI53" t="str">
            <v>Yes</v>
          </cell>
          <cell r="AJ53" t="str">
            <v>No</v>
          </cell>
          <cell r="AK53" t="str">
            <v>No</v>
          </cell>
          <cell r="AM53" t="str">
            <v>No</v>
          </cell>
          <cell r="AN53">
            <v>30</v>
          </cell>
          <cell r="AO53">
            <v>0</v>
          </cell>
          <cell r="AP53">
            <v>0</v>
          </cell>
          <cell r="AQ53">
            <v>0</v>
          </cell>
          <cell r="AR53">
            <v>0</v>
          </cell>
          <cell r="AS53">
            <v>0</v>
          </cell>
          <cell r="AT53">
            <v>0</v>
          </cell>
          <cell r="AU53">
            <v>0.1</v>
          </cell>
          <cell r="AX53">
            <v>0</v>
          </cell>
          <cell r="AY53">
            <v>0</v>
          </cell>
          <cell r="AZ53">
            <v>0</v>
          </cell>
          <cell r="BA53">
            <v>0</v>
          </cell>
          <cell r="BB53">
            <v>0</v>
          </cell>
          <cell r="BC53">
            <v>0</v>
          </cell>
          <cell r="BD53">
            <v>0</v>
          </cell>
        </row>
        <row r="54">
          <cell r="A54" t="str">
            <v>Quadrivalent flu</v>
          </cell>
          <cell r="B54" t="str">
            <v>QIV - seasonal flu</v>
          </cell>
          <cell r="C54">
            <v>1</v>
          </cell>
          <cell r="D54">
            <v>1</v>
          </cell>
          <cell r="E54">
            <v>1</v>
          </cell>
          <cell r="H54">
            <v>2016</v>
          </cell>
          <cell r="I54" t="str">
            <v>V</v>
          </cell>
          <cell r="J54">
            <v>0</v>
          </cell>
          <cell r="K54">
            <v>3</v>
          </cell>
          <cell r="L54">
            <v>500</v>
          </cell>
          <cell r="M54">
            <v>0.3</v>
          </cell>
          <cell r="N54">
            <v>150</v>
          </cell>
          <cell r="O54">
            <v>0</v>
          </cell>
          <cell r="P54">
            <v>0</v>
          </cell>
          <cell r="Q54">
            <v>0</v>
          </cell>
          <cell r="R54">
            <v>0</v>
          </cell>
          <cell r="S54">
            <v>0</v>
          </cell>
          <cell r="T54">
            <v>0</v>
          </cell>
          <cell r="U54">
            <v>0</v>
          </cell>
          <cell r="V54">
            <v>0</v>
          </cell>
          <cell r="W54">
            <v>0</v>
          </cell>
          <cell r="X54">
            <v>0</v>
          </cell>
          <cell r="Y54">
            <v>0</v>
          </cell>
          <cell r="Z54">
            <v>15</v>
          </cell>
          <cell r="AA54">
            <v>45</v>
          </cell>
          <cell r="AB54">
            <v>90</v>
          </cell>
          <cell r="AC54">
            <v>135</v>
          </cell>
          <cell r="AD54">
            <v>150</v>
          </cell>
          <cell r="AE54">
            <v>156</v>
          </cell>
          <cell r="AF54">
            <v>162.24</v>
          </cell>
          <cell r="AG54">
            <v>168.7296</v>
          </cell>
          <cell r="AH54">
            <v>175.47878400000002</v>
          </cell>
          <cell r="AI54" t="str">
            <v>Yes</v>
          </cell>
          <cell r="AJ54" t="str">
            <v>No</v>
          </cell>
          <cell r="AK54" t="str">
            <v>No</v>
          </cell>
          <cell r="AM54" t="str">
            <v>No</v>
          </cell>
          <cell r="AN54">
            <v>150</v>
          </cell>
          <cell r="AO54">
            <v>0</v>
          </cell>
          <cell r="AP54">
            <v>0</v>
          </cell>
          <cell r="AQ54">
            <v>0</v>
          </cell>
          <cell r="AR54">
            <v>0</v>
          </cell>
          <cell r="AS54">
            <v>0</v>
          </cell>
          <cell r="AT54">
            <v>0</v>
          </cell>
          <cell r="AU54">
            <v>0.1</v>
          </cell>
          <cell r="AX54">
            <v>0</v>
          </cell>
          <cell r="AY54">
            <v>0</v>
          </cell>
          <cell r="AZ54">
            <v>0</v>
          </cell>
          <cell r="BA54">
            <v>0</v>
          </cell>
          <cell r="BB54">
            <v>0</v>
          </cell>
          <cell r="BC54">
            <v>0</v>
          </cell>
          <cell r="BD54">
            <v>0</v>
          </cell>
        </row>
        <row r="55">
          <cell r="A55" t="str">
            <v>Group B streptoccoccus</v>
          </cell>
          <cell r="B55" t="str">
            <v>Group B streptoccoccus</v>
          </cell>
          <cell r="C55">
            <v>1</v>
          </cell>
          <cell r="D55">
            <v>1</v>
          </cell>
          <cell r="E55">
            <v>1</v>
          </cell>
          <cell r="H55">
            <v>2013</v>
          </cell>
          <cell r="I55" t="str">
            <v>V</v>
          </cell>
          <cell r="J55">
            <v>0</v>
          </cell>
          <cell r="K55">
            <v>3</v>
          </cell>
          <cell r="L55">
            <v>300</v>
          </cell>
          <cell r="M55">
            <v>0.2</v>
          </cell>
          <cell r="N55">
            <v>60</v>
          </cell>
          <cell r="O55">
            <v>0</v>
          </cell>
          <cell r="P55">
            <v>0</v>
          </cell>
          <cell r="Q55">
            <v>0</v>
          </cell>
          <cell r="R55">
            <v>0</v>
          </cell>
          <cell r="S55">
            <v>0</v>
          </cell>
          <cell r="T55">
            <v>0</v>
          </cell>
          <cell r="U55">
            <v>0</v>
          </cell>
          <cell r="V55">
            <v>0</v>
          </cell>
          <cell r="W55">
            <v>6</v>
          </cell>
          <cell r="X55">
            <v>18</v>
          </cell>
          <cell r="Y55">
            <v>36</v>
          </cell>
          <cell r="Z55">
            <v>54</v>
          </cell>
          <cell r="AA55">
            <v>60</v>
          </cell>
          <cell r="AB55">
            <v>63</v>
          </cell>
          <cell r="AC55">
            <v>66.150000000000006</v>
          </cell>
          <cell r="AD55">
            <v>68.134500000000003</v>
          </cell>
          <cell r="AE55">
            <v>70.859880000000004</v>
          </cell>
          <cell r="AF55">
            <v>73.694275200000007</v>
          </cell>
          <cell r="AG55">
            <v>76.642046208000011</v>
          </cell>
          <cell r="AH55">
            <v>79.707728056320008</v>
          </cell>
          <cell r="AI55" t="str">
            <v>Yes</v>
          </cell>
          <cell r="AJ55" t="str">
            <v>No</v>
          </cell>
          <cell r="AK55" t="str">
            <v>No</v>
          </cell>
          <cell r="AM55" t="str">
            <v>No</v>
          </cell>
          <cell r="AN55">
            <v>60</v>
          </cell>
          <cell r="AO55">
            <v>0</v>
          </cell>
          <cell r="AP55">
            <v>0</v>
          </cell>
          <cell r="AQ55">
            <v>0</v>
          </cell>
          <cell r="AR55">
            <v>0</v>
          </cell>
          <cell r="AS55">
            <v>0</v>
          </cell>
          <cell r="AT55">
            <v>0</v>
          </cell>
          <cell r="AU55">
            <v>0.1</v>
          </cell>
          <cell r="AX55">
            <v>0</v>
          </cell>
          <cell r="AY55">
            <v>0</v>
          </cell>
          <cell r="AZ55">
            <v>0</v>
          </cell>
          <cell r="BA55">
            <v>0</v>
          </cell>
          <cell r="BB55">
            <v>0</v>
          </cell>
          <cell r="BC55">
            <v>0</v>
          </cell>
          <cell r="BD55">
            <v>0</v>
          </cell>
        </row>
        <row r="57">
          <cell r="N57" t="str">
            <v>Oncology 6</v>
          </cell>
          <cell r="V57">
            <v>0</v>
          </cell>
          <cell r="W57">
            <v>0</v>
          </cell>
          <cell r="X57">
            <v>50</v>
          </cell>
          <cell r="Y57">
            <v>250</v>
          </cell>
          <cell r="Z57">
            <v>700</v>
          </cell>
          <cell r="AA57">
            <v>1350</v>
          </cell>
          <cell r="AB57">
            <v>2000</v>
          </cell>
          <cell r="AC57">
            <v>2425</v>
          </cell>
          <cell r="AD57">
            <v>2601.25</v>
          </cell>
          <cell r="AE57">
            <v>2705.3</v>
          </cell>
          <cell r="AF57">
            <v>2813.5120000000002</v>
          </cell>
          <cell r="AG57">
            <v>2926.0524800000003</v>
          </cell>
          <cell r="AH57">
            <v>3043.0945792000007</v>
          </cell>
        </row>
        <row r="58">
          <cell r="Y58">
            <v>31796.384602214392</v>
          </cell>
          <cell r="Z58">
            <v>32055.757729844558</v>
          </cell>
          <cell r="AA58">
            <v>32585.779631411369</v>
          </cell>
          <cell r="AB58">
            <v>33334.766939508059</v>
          </cell>
          <cell r="AC58">
            <v>31920.090512483563</v>
          </cell>
          <cell r="AD58">
            <v>31035.199427676525</v>
          </cell>
          <cell r="AE58">
            <v>29356.5389483445</v>
          </cell>
          <cell r="AF58">
            <v>27616.968300824949</v>
          </cell>
          <cell r="AG58">
            <v>26577.31313274258</v>
          </cell>
          <cell r="AH58">
            <v>23951.194677668278</v>
          </cell>
        </row>
        <row r="60">
          <cell r="A60" t="str">
            <v>ASSUMPTIONS:</v>
          </cell>
          <cell r="J60" t="str">
            <v xml:space="preserve"> </v>
          </cell>
          <cell r="O60" t="str">
            <v>2007</v>
          </cell>
          <cell r="P60" t="str">
            <v>2008</v>
          </cell>
          <cell r="Q60" t="str">
            <v>2009</v>
          </cell>
          <cell r="R60" t="str">
            <v>2010</v>
          </cell>
          <cell r="S60" t="str">
            <v>2011</v>
          </cell>
          <cell r="T60" t="str">
            <v>2012</v>
          </cell>
          <cell r="U60" t="str">
            <v>2013</v>
          </cell>
          <cell r="X60" t="str">
            <v>2004</v>
          </cell>
          <cell r="Y60" t="str">
            <v>2005</v>
          </cell>
          <cell r="Z60" t="str">
            <v>2006</v>
          </cell>
          <cell r="AA60" t="str">
            <v>2007</v>
          </cell>
          <cell r="AB60" t="str">
            <v>2008</v>
          </cell>
          <cell r="AC60" t="str">
            <v>2009</v>
          </cell>
          <cell r="AD60" t="str">
            <v>2010</v>
          </cell>
          <cell r="AE60" t="str">
            <v>2011</v>
          </cell>
          <cell r="AF60" t="str">
            <v>2012</v>
          </cell>
          <cell r="AG60" t="str">
            <v>2012</v>
          </cell>
        </row>
        <row r="61">
          <cell r="A61" t="str">
            <v>Clinical success probabilities:</v>
          </cell>
          <cell r="W61" t="str">
            <v>NME</v>
          </cell>
          <cell r="X61">
            <v>58</v>
          </cell>
          <cell r="Y61">
            <v>62</v>
          </cell>
          <cell r="Z61">
            <v>78</v>
          </cell>
          <cell r="AA61">
            <v>88</v>
          </cell>
          <cell r="AB61">
            <v>92</v>
          </cell>
          <cell r="AC61">
            <v>92</v>
          </cell>
          <cell r="AD61">
            <v>91</v>
          </cell>
          <cell r="AE61">
            <v>90</v>
          </cell>
          <cell r="AF61">
            <v>92</v>
          </cell>
          <cell r="AG61">
            <v>92</v>
          </cell>
        </row>
        <row r="62">
          <cell r="A62" t="str">
            <v>Phase I</v>
          </cell>
          <cell r="C62">
            <v>0.05</v>
          </cell>
        </row>
        <row r="63">
          <cell r="A63" t="str">
            <v>Phase II</v>
          </cell>
          <cell r="C63">
            <v>0.1</v>
          </cell>
        </row>
        <row r="64">
          <cell r="A64" t="str">
            <v>Phase III</v>
          </cell>
          <cell r="C64">
            <v>0.5</v>
          </cell>
          <cell r="W64" t="str">
            <v>NME</v>
          </cell>
        </row>
        <row r="65">
          <cell r="A65" t="str">
            <v>Filed</v>
          </cell>
          <cell r="C65">
            <v>0.8</v>
          </cell>
        </row>
        <row r="66">
          <cell r="A66" t="str">
            <v>Estimated years to market (Specialty Products):</v>
          </cell>
        </row>
        <row r="67">
          <cell r="A67" t="str">
            <v>Phase I</v>
          </cell>
          <cell r="C67">
            <v>5</v>
          </cell>
          <cell r="V67" t="str">
            <v xml:space="preserve"> </v>
          </cell>
        </row>
        <row r="68">
          <cell r="A68" t="str">
            <v>Phase II</v>
          </cell>
          <cell r="C68">
            <v>3</v>
          </cell>
          <cell r="N68" t="str">
            <v>WACC</v>
          </cell>
          <cell r="W68">
            <v>0.08</v>
          </cell>
          <cell r="X68">
            <v>1</v>
          </cell>
          <cell r="Y68">
            <v>2</v>
          </cell>
          <cell r="Z68">
            <v>3</v>
          </cell>
          <cell r="AA68">
            <v>4</v>
          </cell>
          <cell r="AB68">
            <v>5</v>
          </cell>
          <cell r="AC68">
            <v>6</v>
          </cell>
          <cell r="AD68">
            <v>7</v>
          </cell>
          <cell r="AE68">
            <v>8</v>
          </cell>
          <cell r="AF68">
            <v>9</v>
          </cell>
          <cell r="AG68">
            <v>9</v>
          </cell>
          <cell r="AH68">
            <v>10</v>
          </cell>
          <cell r="AI68">
            <v>11</v>
          </cell>
          <cell r="AJ68">
            <v>12</v>
          </cell>
          <cell r="AK68">
            <v>13</v>
          </cell>
        </row>
        <row r="69">
          <cell r="A69" t="str">
            <v>Phase III</v>
          </cell>
          <cell r="C69">
            <v>2</v>
          </cell>
          <cell r="N69" t="str">
            <v>g</v>
          </cell>
          <cell r="W69">
            <v>-0.15</v>
          </cell>
          <cell r="X69">
            <v>0.92592592592592582</v>
          </cell>
          <cell r="Y69">
            <v>0.85733882030178321</v>
          </cell>
          <cell r="Z69">
            <v>0.79383224102016958</v>
          </cell>
          <cell r="AA69">
            <v>0.73502985279645328</v>
          </cell>
          <cell r="AB69">
            <v>0.68058319703375303</v>
          </cell>
          <cell r="AC69">
            <v>0.63016962688310452</v>
          </cell>
          <cell r="AD69">
            <v>0.58349039526213387</v>
          </cell>
          <cell r="AE69">
            <v>0.54026888450197574</v>
          </cell>
          <cell r="AF69">
            <v>0.50024896713145905</v>
          </cell>
          <cell r="AG69">
            <v>0.50024896713145905</v>
          </cell>
          <cell r="AH69">
            <v>0.46319348808468425</v>
          </cell>
          <cell r="AI69">
            <v>0.42888285933767062</v>
          </cell>
          <cell r="AJ69">
            <v>0.39711375864599124</v>
          </cell>
          <cell r="AK69">
            <v>0.36769792467221413</v>
          </cell>
        </row>
        <row r="70">
          <cell r="A70" t="str">
            <v>Estimated years to market (Primary Care Products):</v>
          </cell>
          <cell r="N70" t="str">
            <v>serelaxin</v>
          </cell>
          <cell r="W70" t="str">
            <v>sales</v>
          </cell>
          <cell r="X70">
            <v>150</v>
          </cell>
          <cell r="Y70">
            <v>450</v>
          </cell>
          <cell r="Z70">
            <v>900</v>
          </cell>
          <cell r="AA70">
            <v>1350</v>
          </cell>
          <cell r="AB70">
            <v>1500</v>
          </cell>
          <cell r="AC70">
            <v>1575</v>
          </cell>
          <cell r="AD70">
            <v>1653.75</v>
          </cell>
          <cell r="AE70">
            <v>1719.9</v>
          </cell>
          <cell r="AF70">
            <v>1788.6960000000001</v>
          </cell>
          <cell r="AG70">
            <v>1860.2438400000003</v>
          </cell>
          <cell r="AH70">
            <v>1934.6535936000005</v>
          </cell>
          <cell r="AI70">
            <v>1860.2438400000003</v>
          </cell>
          <cell r="AJ70">
            <v>1860.2438400000003</v>
          </cell>
          <cell r="AK70">
            <v>1860.2438400000003</v>
          </cell>
        </row>
        <row r="71">
          <cell r="A71" t="str">
            <v>Phase I</v>
          </cell>
          <cell r="C71">
            <v>6</v>
          </cell>
          <cell r="W71" t="str">
            <v>COGS</v>
          </cell>
          <cell r="X71">
            <v>-75</v>
          </cell>
          <cell r="Y71">
            <v>-75</v>
          </cell>
          <cell r="Z71">
            <v>-75</v>
          </cell>
          <cell r="AA71">
            <v>-75</v>
          </cell>
          <cell r="AB71">
            <v>-75</v>
          </cell>
          <cell r="AC71">
            <v>-75</v>
          </cell>
          <cell r="AD71">
            <v>-75</v>
          </cell>
          <cell r="AE71">
            <v>-75</v>
          </cell>
          <cell r="AF71">
            <v>-75</v>
          </cell>
          <cell r="AG71">
            <v>-75</v>
          </cell>
          <cell r="AH71">
            <v>-75</v>
          </cell>
          <cell r="AI71">
            <v>-75</v>
          </cell>
          <cell r="AJ71">
            <v>-75</v>
          </cell>
          <cell r="AK71">
            <v>-75</v>
          </cell>
        </row>
        <row r="72">
          <cell r="A72" t="str">
            <v>Phase II</v>
          </cell>
          <cell r="C72">
            <v>4</v>
          </cell>
          <cell r="W72" t="str">
            <v>R&amp;D</v>
          </cell>
          <cell r="X72">
            <v>-200</v>
          </cell>
          <cell r="Y72">
            <v>-200</v>
          </cell>
          <cell r="Z72">
            <v>-100</v>
          </cell>
          <cell r="AA72">
            <v>-50</v>
          </cell>
          <cell r="AB72">
            <v>-50</v>
          </cell>
          <cell r="AC72">
            <v>-50</v>
          </cell>
          <cell r="AD72">
            <v>-50</v>
          </cell>
          <cell r="AE72">
            <v>-50</v>
          </cell>
          <cell r="AF72">
            <v>-50</v>
          </cell>
          <cell r="AG72">
            <v>-50</v>
          </cell>
          <cell r="AH72">
            <v>-50</v>
          </cell>
          <cell r="AI72">
            <v>-50</v>
          </cell>
          <cell r="AJ72">
            <v>-50</v>
          </cell>
          <cell r="AK72">
            <v>-50</v>
          </cell>
        </row>
        <row r="73">
          <cell r="A73" t="str">
            <v>Phase III</v>
          </cell>
          <cell r="C73">
            <v>2</v>
          </cell>
          <cell r="W73" t="str">
            <v>SGA</v>
          </cell>
          <cell r="X73">
            <v>-300</v>
          </cell>
          <cell r="Y73">
            <v>-300</v>
          </cell>
          <cell r="Z73">
            <v>-300</v>
          </cell>
          <cell r="AA73">
            <v>-300</v>
          </cell>
          <cell r="AB73">
            <v>-300</v>
          </cell>
          <cell r="AC73">
            <v>-300</v>
          </cell>
          <cell r="AD73">
            <v>-300</v>
          </cell>
          <cell r="AE73">
            <v>-300</v>
          </cell>
          <cell r="AF73">
            <v>-300</v>
          </cell>
          <cell r="AG73">
            <v>-300</v>
          </cell>
          <cell r="AH73">
            <v>-300</v>
          </cell>
          <cell r="AI73">
            <v>-300</v>
          </cell>
          <cell r="AJ73">
            <v>-300</v>
          </cell>
          <cell r="AK73">
            <v>-300</v>
          </cell>
        </row>
        <row r="74">
          <cell r="A74" t="str">
            <v>Estimated years to peak sales for all products:</v>
          </cell>
          <cell r="C74">
            <v>5</v>
          </cell>
          <cell r="W74" t="str">
            <v>EBIT</v>
          </cell>
          <cell r="X74">
            <v>-425</v>
          </cell>
          <cell r="Y74">
            <v>-125</v>
          </cell>
          <cell r="Z74">
            <v>425</v>
          </cell>
          <cell r="AA74">
            <v>925</v>
          </cell>
          <cell r="AB74">
            <v>1075</v>
          </cell>
          <cell r="AC74">
            <v>1150</v>
          </cell>
          <cell r="AD74">
            <v>1228.75</v>
          </cell>
          <cell r="AE74">
            <v>1294.9000000000001</v>
          </cell>
          <cell r="AF74">
            <v>1363.6960000000001</v>
          </cell>
          <cell r="AG74">
            <v>1435.2438400000003</v>
          </cell>
          <cell r="AH74">
            <v>1509.6535936000005</v>
          </cell>
          <cell r="AI74">
            <v>1435.2438400000003</v>
          </cell>
          <cell r="AJ74">
            <v>1435.2438400000003</v>
          </cell>
          <cell r="AK74">
            <v>1435.2438400000003</v>
          </cell>
        </row>
        <row r="75">
          <cell r="A75" t="str">
            <v>Estimated sales ramp curve (% of peak sales):</v>
          </cell>
          <cell r="N75" t="str">
            <v>Tax</v>
          </cell>
          <cell r="W75">
            <v>0.15</v>
          </cell>
        </row>
        <row r="76">
          <cell r="A76" t="str">
            <v>Year 1</v>
          </cell>
          <cell r="C76">
            <v>0.1</v>
          </cell>
          <cell r="W76" t="str">
            <v>margin</v>
          </cell>
          <cell r="X76">
            <v>-2.8333333333333335</v>
          </cell>
          <cell r="Y76">
            <v>-0.27777777777777779</v>
          </cell>
          <cell r="Z76">
            <v>0.47222222222222221</v>
          </cell>
          <cell r="AA76">
            <v>0.68518518518518523</v>
          </cell>
          <cell r="AB76">
            <v>0.71666666666666667</v>
          </cell>
          <cell r="AC76">
            <v>0.73015873015873012</v>
          </cell>
          <cell r="AD76">
            <v>0.74300831443688586</v>
          </cell>
          <cell r="AE76">
            <v>0.75289261003546715</v>
          </cell>
          <cell r="AF76">
            <v>0.76239674041871841</v>
          </cell>
          <cell r="AG76">
            <v>0.77153532732569086</v>
          </cell>
          <cell r="AH76">
            <v>0.78032243012085656</v>
          </cell>
          <cell r="AI76">
            <v>0.77153532732569086</v>
          </cell>
          <cell r="AJ76">
            <v>0.77153532732569086</v>
          </cell>
          <cell r="AK76">
            <v>0.77153532732569086</v>
          </cell>
        </row>
        <row r="77">
          <cell r="A77" t="str">
            <v>Year 2</v>
          </cell>
          <cell r="C77">
            <v>0.3</v>
          </cell>
          <cell r="W77" t="str">
            <v>NOPAT</v>
          </cell>
          <cell r="X77">
            <v>-361.25</v>
          </cell>
          <cell r="Y77">
            <v>-106.25</v>
          </cell>
          <cell r="Z77">
            <v>361.25</v>
          </cell>
          <cell r="AA77">
            <v>786.25</v>
          </cell>
          <cell r="AB77">
            <v>913.75</v>
          </cell>
          <cell r="AC77">
            <v>977.5</v>
          </cell>
          <cell r="AD77">
            <v>1044.4375</v>
          </cell>
          <cell r="AE77">
            <v>1100.665</v>
          </cell>
          <cell r="AF77">
            <v>1159.1416000000002</v>
          </cell>
          <cell r="AG77">
            <v>1219.9572640000004</v>
          </cell>
          <cell r="AH77">
            <v>1283.2055545600003</v>
          </cell>
          <cell r="AI77">
            <v>1219.9572640000004</v>
          </cell>
          <cell r="AJ77">
            <v>1219.9572640000004</v>
          </cell>
          <cell r="AK77">
            <v>1219.9572640000004</v>
          </cell>
        </row>
        <row r="78">
          <cell r="A78" t="str">
            <v>Year 3</v>
          </cell>
          <cell r="C78">
            <v>0.6</v>
          </cell>
          <cell r="X78">
            <v>-334.4907407407407</v>
          </cell>
          <cell r="Y78">
            <v>-91.092249657064471</v>
          </cell>
          <cell r="Z78">
            <v>286.77189706853625</v>
          </cell>
          <cell r="AA78">
            <v>577.91722176121141</v>
          </cell>
          <cell r="AB78">
            <v>621.88289628959183</v>
          </cell>
          <cell r="AC78">
            <v>615.99081027823468</v>
          </cell>
          <cell r="AD78">
            <v>609.41924970159494</v>
          </cell>
          <cell r="AE78">
            <v>594.65505176036709</v>
          </cell>
          <cell r="AF78">
            <v>579.85938815910697</v>
          </cell>
          <cell r="AG78">
            <v>610.28236126052093</v>
          </cell>
          <cell r="AH78">
            <v>594.37245674628821</v>
          </cell>
          <cell r="AI78">
            <v>523.21875965408162</v>
          </cell>
          <cell r="AJ78">
            <v>484.46181449451996</v>
          </cell>
          <cell r="AK78">
            <v>448.57575416159256</v>
          </cell>
        </row>
        <row r="79">
          <cell r="A79" t="str">
            <v>Year 4</v>
          </cell>
          <cell r="C79">
            <v>0.9</v>
          </cell>
          <cell r="W79" t="str">
            <v>PV</v>
          </cell>
          <cell r="X79">
            <v>6121.82467093784</v>
          </cell>
        </row>
        <row r="80">
          <cell r="A80" t="str">
            <v>Year 5</v>
          </cell>
          <cell r="C80">
            <v>1</v>
          </cell>
          <cell r="W80" t="str">
            <v>TV</v>
          </cell>
          <cell r="X80">
            <v>1036.9636744000002</v>
          </cell>
        </row>
        <row r="81">
          <cell r="A81" t="str">
            <v>Year 6</v>
          </cell>
          <cell r="C81">
            <v>1.05</v>
          </cell>
          <cell r="X81">
            <v>4508.5377147826102</v>
          </cell>
        </row>
        <row r="82">
          <cell r="A82" t="str">
            <v>Year 7</v>
          </cell>
          <cell r="C82">
            <v>1.1025</v>
          </cell>
          <cell r="W82" t="str">
            <v>TV</v>
          </cell>
          <cell r="X82">
            <v>1657.7799610319726</v>
          </cell>
          <cell r="AB82">
            <v>1.1282725565937133</v>
          </cell>
        </row>
        <row r="83">
          <cell r="A83" t="str">
            <v>Year 8</v>
          </cell>
          <cell r="C83">
            <v>1.135575</v>
          </cell>
          <cell r="W83" t="str">
            <v xml:space="preserve">NPV </v>
          </cell>
          <cell r="X83">
            <v>7779.6046319698125</v>
          </cell>
          <cell r="AA83">
            <v>1350</v>
          </cell>
          <cell r="AB83">
            <v>1523.1679514015129</v>
          </cell>
          <cell r="AC83">
            <v>1718.5485986493939</v>
          </cell>
          <cell r="AD83">
            <v>1938.9912210286948</v>
          </cell>
          <cell r="AE83">
            <v>2187.7105821628111</v>
          </cell>
          <cell r="AF83">
            <v>2468.3338116239556</v>
          </cell>
          <cell r="AG83">
            <v>2784.9533001676655</v>
          </cell>
          <cell r="AH83">
            <v>3142.1863799742709</v>
          </cell>
          <cell r="AI83">
            <v>3142.1863799742709</v>
          </cell>
          <cell r="AJ83">
            <v>3545.2426602275159</v>
          </cell>
          <cell r="AK83">
            <v>4000</v>
          </cell>
        </row>
        <row r="84">
          <cell r="A84" t="str">
            <v>Year 9</v>
          </cell>
          <cell r="C84">
            <v>1.1696422500000001</v>
          </cell>
          <cell r="W84" t="str">
            <v>NPV/share</v>
          </cell>
          <cell r="X84">
            <v>3.1382027559378027</v>
          </cell>
          <cell r="AB84">
            <v>323.80134488759307</v>
          </cell>
          <cell r="AC84">
            <v>410.77636252418705</v>
          </cell>
          <cell r="AD84">
            <v>513.1492821932319</v>
          </cell>
          <cell r="AE84">
            <v>645.05564561263088</v>
          </cell>
          <cell r="AF84">
            <v>798.10081889830781</v>
          </cell>
          <cell r="AG84">
            <v>975.16508497113796</v>
          </cell>
          <cell r="AH84">
            <v>1179.5049381554104</v>
          </cell>
          <cell r="AI84">
            <v>1233.2659851314106</v>
          </cell>
          <cell r="AJ84">
            <v>1524.4741476143797</v>
          </cell>
          <cell r="AK84">
            <v>1853.0363255999998</v>
          </cell>
        </row>
        <row r="85">
          <cell r="A85" t="str">
            <v>Year 10</v>
          </cell>
          <cell r="C85">
            <v>1.2047315175000002</v>
          </cell>
          <cell r="X85">
            <v>1.7653251587702949</v>
          </cell>
          <cell r="AB85">
            <v>220.37375450742698</v>
          </cell>
          <cell r="AC85">
            <v>258.85878710426584</v>
          </cell>
          <cell r="AD85">
            <v>299.41767749540912</v>
          </cell>
          <cell r="AE85">
            <v>348.50349409683787</v>
          </cell>
          <cell r="AF85">
            <v>399.24911032065012</v>
          </cell>
          <cell r="AG85">
            <v>487.82532653947328</v>
          </cell>
          <cell r="AH85">
            <v>546.33900651731426</v>
          </cell>
          <cell r="AI85">
            <v>528.92664202704862</v>
          </cell>
          <cell r="AJ85">
            <v>605.38965871778998</v>
          </cell>
          <cell r="AK85">
            <v>681.35761126534521</v>
          </cell>
        </row>
        <row r="86">
          <cell r="A86" t="str">
            <v>Year 11</v>
          </cell>
          <cell r="C86">
            <v>1.2408734630250002</v>
          </cell>
        </row>
        <row r="87">
          <cell r="A87" t="str">
            <v>Year 12</v>
          </cell>
          <cell r="C87">
            <v>1.2780996669157503</v>
          </cell>
          <cell r="N87" t="str">
            <v>WACC</v>
          </cell>
          <cell r="W87">
            <v>0.08</v>
          </cell>
          <cell r="X87">
            <v>1</v>
          </cell>
          <cell r="Y87">
            <v>2</v>
          </cell>
          <cell r="Z87">
            <v>3</v>
          </cell>
          <cell r="AA87">
            <v>4</v>
          </cell>
          <cell r="AB87">
            <v>5</v>
          </cell>
          <cell r="AC87">
            <v>6</v>
          </cell>
          <cell r="AD87">
            <v>7</v>
          </cell>
          <cell r="AE87">
            <v>8</v>
          </cell>
          <cell r="AF87">
            <v>9</v>
          </cell>
          <cell r="AG87">
            <v>9</v>
          </cell>
          <cell r="AH87">
            <v>10</v>
          </cell>
          <cell r="AI87">
            <v>11</v>
          </cell>
          <cell r="AJ87">
            <v>12</v>
          </cell>
          <cell r="AK87">
            <v>13</v>
          </cell>
        </row>
        <row r="88">
          <cell r="A88" t="str">
            <v>Year 13</v>
          </cell>
          <cell r="C88">
            <v>1.3164426569232228</v>
          </cell>
          <cell r="N88" t="str">
            <v>g</v>
          </cell>
          <cell r="W88">
            <v>-0.15</v>
          </cell>
          <cell r="X88">
            <v>0.92592592592592582</v>
          </cell>
          <cell r="Y88">
            <v>0.85733882030178321</v>
          </cell>
          <cell r="Z88">
            <v>0.79383224102016958</v>
          </cell>
          <cell r="AA88">
            <v>0.73502985279645328</v>
          </cell>
          <cell r="AB88">
            <v>0.68058319703375303</v>
          </cell>
          <cell r="AC88">
            <v>0.63016962688310452</v>
          </cell>
          <cell r="AD88">
            <v>0.58349039526213387</v>
          </cell>
          <cell r="AE88">
            <v>0.54026888450197574</v>
          </cell>
          <cell r="AF88">
            <v>0.50024896713145905</v>
          </cell>
          <cell r="AG88">
            <v>0.50024896713145905</v>
          </cell>
          <cell r="AH88">
            <v>0.46319348808468425</v>
          </cell>
          <cell r="AI88">
            <v>0.42888285933767062</v>
          </cell>
          <cell r="AJ88">
            <v>0.39711375864599124</v>
          </cell>
          <cell r="AK88">
            <v>0.36769792467221413</v>
          </cell>
        </row>
        <row r="89">
          <cell r="A89" t="str">
            <v>Year 14</v>
          </cell>
          <cell r="C89">
            <v>1.3559359366309196</v>
          </cell>
          <cell r="N89" t="str">
            <v>LCZ696</v>
          </cell>
          <cell r="W89" t="str">
            <v>sales</v>
          </cell>
          <cell r="X89">
            <v>30</v>
          </cell>
          <cell r="Y89">
            <v>90</v>
          </cell>
          <cell r="Z89">
            <v>180</v>
          </cell>
          <cell r="AA89">
            <v>270</v>
          </cell>
          <cell r="AB89">
            <v>300</v>
          </cell>
          <cell r="AC89">
            <v>315</v>
          </cell>
          <cell r="AD89">
            <v>330.75</v>
          </cell>
          <cell r="AE89">
            <v>343.98</v>
          </cell>
          <cell r="AF89">
            <v>357.73920000000004</v>
          </cell>
          <cell r="AG89">
            <v>372.04876800000005</v>
          </cell>
          <cell r="AH89">
            <v>386.93071872000007</v>
          </cell>
          <cell r="AI89">
            <v>390.65120640000009</v>
          </cell>
          <cell r="AJ89">
            <v>410.18376672000011</v>
          </cell>
          <cell r="AK89">
            <v>430.69295505600013</v>
          </cell>
        </row>
        <row r="90">
          <cell r="A90" t="str">
            <v>Current year</v>
          </cell>
          <cell r="C90">
            <v>2011</v>
          </cell>
          <cell r="W90" t="str">
            <v>COGS</v>
          </cell>
          <cell r="X90">
            <v>-30</v>
          </cell>
          <cell r="Y90">
            <v>-30</v>
          </cell>
          <cell r="Z90">
            <v>-30</v>
          </cell>
          <cell r="AA90">
            <v>-30</v>
          </cell>
          <cell r="AB90">
            <v>-30</v>
          </cell>
          <cell r="AC90">
            <v>-30</v>
          </cell>
          <cell r="AD90">
            <v>-30</v>
          </cell>
          <cell r="AE90">
            <v>-30</v>
          </cell>
          <cell r="AF90">
            <v>-30</v>
          </cell>
          <cell r="AG90">
            <v>-30</v>
          </cell>
          <cell r="AH90">
            <v>-30</v>
          </cell>
          <cell r="AI90">
            <v>-30</v>
          </cell>
          <cell r="AJ90">
            <v>-30</v>
          </cell>
          <cell r="AK90">
            <v>-30</v>
          </cell>
        </row>
        <row r="91">
          <cell r="W91" t="str">
            <v>R&amp;D</v>
          </cell>
          <cell r="X91">
            <v>-200</v>
          </cell>
          <cell r="Y91">
            <v>-200</v>
          </cell>
          <cell r="Z91">
            <v>-50</v>
          </cell>
          <cell r="AA91">
            <v>-50</v>
          </cell>
        </row>
        <row r="92">
          <cell r="W92" t="str">
            <v>SGA</v>
          </cell>
          <cell r="X92">
            <v>-100</v>
          </cell>
          <cell r="Y92">
            <v>-100</v>
          </cell>
          <cell r="Z92">
            <v>-100</v>
          </cell>
          <cell r="AA92">
            <v>-100</v>
          </cell>
          <cell r="AB92">
            <v>-100</v>
          </cell>
          <cell r="AC92">
            <v>-100</v>
          </cell>
          <cell r="AD92">
            <v>-100</v>
          </cell>
          <cell r="AE92">
            <v>-100</v>
          </cell>
          <cell r="AF92">
            <v>-100</v>
          </cell>
          <cell r="AG92">
            <v>-100</v>
          </cell>
          <cell r="AH92">
            <v>-100</v>
          </cell>
          <cell r="AI92">
            <v>-100</v>
          </cell>
          <cell r="AJ92">
            <v>-100</v>
          </cell>
          <cell r="AK92">
            <v>-100</v>
          </cell>
        </row>
        <row r="93">
          <cell r="W93" t="str">
            <v>EBIT</v>
          </cell>
          <cell r="X93">
            <v>-300</v>
          </cell>
          <cell r="Y93">
            <v>-240</v>
          </cell>
          <cell r="Z93">
            <v>0</v>
          </cell>
          <cell r="AA93">
            <v>90</v>
          </cell>
          <cell r="AB93">
            <v>170</v>
          </cell>
          <cell r="AC93">
            <v>185</v>
          </cell>
          <cell r="AD93">
            <v>200.75</v>
          </cell>
          <cell r="AE93">
            <v>213.98000000000002</v>
          </cell>
          <cell r="AF93">
            <v>227.73920000000004</v>
          </cell>
          <cell r="AG93">
            <v>242.04876800000005</v>
          </cell>
          <cell r="AH93">
            <v>256.93071872000007</v>
          </cell>
          <cell r="AI93">
            <v>260.65120640000009</v>
          </cell>
          <cell r="AJ93">
            <v>280.18376672000011</v>
          </cell>
          <cell r="AK93">
            <v>300.69295505600013</v>
          </cell>
        </row>
        <row r="94">
          <cell r="N94" t="str">
            <v>Tax</v>
          </cell>
          <cell r="W94">
            <v>0.15</v>
          </cell>
        </row>
        <row r="95">
          <cell r="W95" t="str">
            <v>margin</v>
          </cell>
          <cell r="X95">
            <v>-10</v>
          </cell>
          <cell r="Y95">
            <v>-2.6666666666666665</v>
          </cell>
          <cell r="Z95">
            <v>0</v>
          </cell>
          <cell r="AA95">
            <v>0.33333333333333331</v>
          </cell>
          <cell r="AB95">
            <v>0.56666666666666665</v>
          </cell>
          <cell r="AC95">
            <v>0.58730158730158732</v>
          </cell>
          <cell r="AD95">
            <v>0.60695389266817834</v>
          </cell>
          <cell r="AE95">
            <v>0.62207105064247925</v>
          </cell>
          <cell r="AF95">
            <v>0.63660677946392241</v>
          </cell>
          <cell r="AG95">
            <v>0.65058344179223304</v>
          </cell>
          <cell r="AH95">
            <v>0.66402254018483953</v>
          </cell>
          <cell r="AI95">
            <v>0.66722232551641247</v>
          </cell>
          <cell r="AJ95">
            <v>0.6830688814442023</v>
          </cell>
          <cell r="AK95">
            <v>0.69816083947066887</v>
          </cell>
        </row>
        <row r="96">
          <cell r="W96" t="str">
            <v>NOPAT</v>
          </cell>
          <cell r="X96">
            <v>-255</v>
          </cell>
          <cell r="Y96">
            <v>-204</v>
          </cell>
          <cell r="Z96">
            <v>0</v>
          </cell>
          <cell r="AA96">
            <v>76.5</v>
          </cell>
          <cell r="AB96">
            <v>144.5</v>
          </cell>
          <cell r="AC96">
            <v>157.25</v>
          </cell>
          <cell r="AD96">
            <v>170.63749999999999</v>
          </cell>
          <cell r="AE96">
            <v>181.88300000000001</v>
          </cell>
          <cell r="AF96">
            <v>193.57832000000002</v>
          </cell>
          <cell r="AG96">
            <v>205.74145280000005</v>
          </cell>
          <cell r="AH96">
            <v>218.39111091200004</v>
          </cell>
          <cell r="AI96">
            <v>221.55352544000007</v>
          </cell>
          <cell r="AJ96">
            <v>238.1562017120001</v>
          </cell>
          <cell r="AK96">
            <v>255.58901179760011</v>
          </cell>
        </row>
        <row r="97">
          <cell r="X97">
            <v>-236.11111111111109</v>
          </cell>
          <cell r="Y97">
            <v>-174.89711934156378</v>
          </cell>
          <cell r="Z97">
            <v>0</v>
          </cell>
          <cell r="AA97">
            <v>56.229783738928674</v>
          </cell>
          <cell r="AB97">
            <v>98.34427197137731</v>
          </cell>
          <cell r="AC97">
            <v>99.094173827368181</v>
          </cell>
          <cell r="AD97">
            <v>99.56534232154236</v>
          </cell>
          <cell r="AE97">
            <v>98.265725519872859</v>
          </cell>
          <cell r="AF97">
            <v>96.83735463904307</v>
          </cell>
          <cell r="AG97">
            <v>102.92194925932586</v>
          </cell>
          <cell r="AH97">
            <v>101.15734043001845</v>
          </cell>
          <cell r="AI97">
            <v>95.020509487048585</v>
          </cell>
          <cell r="AJ97">
            <v>94.575104406705208</v>
          </cell>
          <cell r="AK97">
            <v>93.979549206999607</v>
          </cell>
        </row>
        <row r="98">
          <cell r="W98" t="str">
            <v>PV</v>
          </cell>
          <cell r="X98">
            <v>624.98287435555528</v>
          </cell>
        </row>
        <row r="99">
          <cell r="W99" t="str">
            <v>TV</v>
          </cell>
          <cell r="X99">
            <v>217.25066002796009</v>
          </cell>
        </row>
        <row r="100">
          <cell r="X100">
            <v>944.56808707808739</v>
          </cell>
        </row>
        <row r="101">
          <cell r="W101" t="str">
            <v>TV</v>
          </cell>
          <cell r="X101">
            <v>347.31572533021597</v>
          </cell>
        </row>
        <row r="102">
          <cell r="W102" t="str">
            <v xml:space="preserve">NPV </v>
          </cell>
          <cell r="X102">
            <v>972.29859968577125</v>
          </cell>
        </row>
        <row r="103">
          <cell r="W103" t="str">
            <v>NPV/share</v>
          </cell>
          <cell r="X103">
            <v>0.39221403779175928</v>
          </cell>
        </row>
        <row r="105">
          <cell r="Z105">
            <v>6031.7172593498954</v>
          </cell>
          <cell r="AA105">
            <v>0.221</v>
          </cell>
        </row>
        <row r="106">
          <cell r="N106" t="str">
            <v>WACC</v>
          </cell>
          <cell r="W106">
            <v>0.08</v>
          </cell>
          <cell r="X106">
            <v>1</v>
          </cell>
          <cell r="Y106">
            <v>2</v>
          </cell>
          <cell r="Z106">
            <v>3</v>
          </cell>
          <cell r="AA106">
            <v>4</v>
          </cell>
          <cell r="AB106">
            <v>5</v>
          </cell>
          <cell r="AC106">
            <v>6</v>
          </cell>
          <cell r="AD106">
            <v>7</v>
          </cell>
          <cell r="AE106">
            <v>8</v>
          </cell>
          <cell r="AF106">
            <v>9</v>
          </cell>
          <cell r="AG106">
            <v>9</v>
          </cell>
          <cell r="AH106">
            <v>10</v>
          </cell>
          <cell r="AI106">
            <v>11</v>
          </cell>
          <cell r="AJ106">
            <v>12</v>
          </cell>
          <cell r="AK106">
            <v>13</v>
          </cell>
        </row>
        <row r="107">
          <cell r="N107" t="str">
            <v>g</v>
          </cell>
          <cell r="W107">
            <v>-0.15</v>
          </cell>
          <cell r="X107">
            <v>0.92592592592592582</v>
          </cell>
          <cell r="Y107">
            <v>0.85733882030178321</v>
          </cell>
          <cell r="Z107">
            <v>0.79383224102016958</v>
          </cell>
          <cell r="AA107">
            <v>0.73502985279645328</v>
          </cell>
          <cell r="AB107">
            <v>0.68058319703375303</v>
          </cell>
          <cell r="AC107">
            <v>0.63016962688310452</v>
          </cell>
          <cell r="AD107">
            <v>0.58349039526213387</v>
          </cell>
          <cell r="AE107">
            <v>0.54026888450197574</v>
          </cell>
          <cell r="AF107">
            <v>0.50024896713145905</v>
          </cell>
          <cell r="AG107">
            <v>0.50024896713145905</v>
          </cell>
          <cell r="AH107">
            <v>0.46319348808468425</v>
          </cell>
          <cell r="AI107">
            <v>0.42888285933767062</v>
          </cell>
          <cell r="AJ107">
            <v>0.39711375864599124</v>
          </cell>
          <cell r="AK107">
            <v>0.36769792467221413</v>
          </cell>
        </row>
        <row r="108">
          <cell r="N108" t="str">
            <v>LCZ696</v>
          </cell>
          <cell r="W108" t="str">
            <v>sales</v>
          </cell>
          <cell r="X108">
            <v>30</v>
          </cell>
          <cell r="Y108">
            <v>300</v>
          </cell>
          <cell r="Z108">
            <v>500</v>
          </cell>
          <cell r="AA108">
            <v>1000</v>
          </cell>
          <cell r="AB108">
            <v>1221</v>
          </cell>
          <cell r="AC108">
            <v>1490.8410000000001</v>
          </cell>
          <cell r="AD108">
            <v>1820.3168610000002</v>
          </cell>
          <cell r="AE108">
            <v>2222.6068872810006</v>
          </cell>
          <cell r="AF108">
            <v>2713.8030093701018</v>
          </cell>
          <cell r="AG108">
            <v>3313.5534744408947</v>
          </cell>
          <cell r="AH108">
            <v>4045.8487922923327</v>
          </cell>
          <cell r="AI108">
            <v>4045.8487922923327</v>
          </cell>
          <cell r="AJ108">
            <v>4939.9813753889384</v>
          </cell>
          <cell r="AK108">
            <v>6000</v>
          </cell>
        </row>
        <row r="109">
          <cell r="W109" t="str">
            <v>COGS</v>
          </cell>
          <cell r="X109">
            <v>-30</v>
          </cell>
          <cell r="Y109">
            <v>-30</v>
          </cell>
          <cell r="Z109">
            <v>-30</v>
          </cell>
          <cell r="AA109">
            <v>-30</v>
          </cell>
          <cell r="AB109">
            <v>-30</v>
          </cell>
          <cell r="AC109">
            <v>-30</v>
          </cell>
          <cell r="AD109">
            <v>-30</v>
          </cell>
          <cell r="AE109">
            <v>-30</v>
          </cell>
          <cell r="AF109">
            <v>-30</v>
          </cell>
          <cell r="AG109">
            <v>-30</v>
          </cell>
          <cell r="AH109">
            <v>-30</v>
          </cell>
          <cell r="AI109">
            <v>-30</v>
          </cell>
          <cell r="AJ109">
            <v>-30</v>
          </cell>
          <cell r="AK109">
            <v>-30</v>
          </cell>
        </row>
        <row r="110">
          <cell r="W110" t="str">
            <v>R&amp;D</v>
          </cell>
          <cell r="X110">
            <v>-200</v>
          </cell>
          <cell r="Y110">
            <v>-200</v>
          </cell>
          <cell r="Z110">
            <v>-50</v>
          </cell>
          <cell r="AA110">
            <v>-50</v>
          </cell>
          <cell r="AB110">
            <v>-50</v>
          </cell>
          <cell r="AC110">
            <v>-50</v>
          </cell>
          <cell r="AD110">
            <v>-50</v>
          </cell>
        </row>
        <row r="111">
          <cell r="W111" t="str">
            <v>SGA</v>
          </cell>
          <cell r="X111">
            <v>-200</v>
          </cell>
          <cell r="Y111">
            <v>-200</v>
          </cell>
          <cell r="Z111">
            <v>-200</v>
          </cell>
          <cell r="AA111">
            <v>-200</v>
          </cell>
          <cell r="AB111">
            <v>-200</v>
          </cell>
          <cell r="AC111">
            <v>-200</v>
          </cell>
          <cell r="AD111">
            <v>-200</v>
          </cell>
          <cell r="AE111">
            <v>-200</v>
          </cell>
          <cell r="AF111">
            <v>-200</v>
          </cell>
          <cell r="AG111">
            <v>-200</v>
          </cell>
          <cell r="AH111">
            <v>-200</v>
          </cell>
          <cell r="AI111">
            <v>-200</v>
          </cell>
          <cell r="AJ111">
            <v>-200</v>
          </cell>
          <cell r="AK111">
            <v>-200</v>
          </cell>
        </row>
        <row r="112">
          <cell r="W112" t="str">
            <v>EBIT</v>
          </cell>
          <cell r="X112">
            <v>-400</v>
          </cell>
          <cell r="Y112">
            <v>-130</v>
          </cell>
          <cell r="Z112">
            <v>220</v>
          </cell>
          <cell r="AA112">
            <v>720</v>
          </cell>
          <cell r="AB112">
            <v>941</v>
          </cell>
          <cell r="AC112">
            <v>1210.8410000000001</v>
          </cell>
          <cell r="AD112">
            <v>1540.3168610000002</v>
          </cell>
          <cell r="AE112">
            <v>1992.6068872810006</v>
          </cell>
          <cell r="AF112">
            <v>2483.8030093701018</v>
          </cell>
          <cell r="AG112">
            <v>3083.5534744408947</v>
          </cell>
          <cell r="AH112">
            <v>3815.8487922923327</v>
          </cell>
          <cell r="AI112">
            <v>3815.8487922923327</v>
          </cell>
          <cell r="AJ112">
            <v>4709.9813753889384</v>
          </cell>
          <cell r="AK112">
            <v>5770</v>
          </cell>
        </row>
        <row r="113">
          <cell r="N113" t="str">
            <v>Tax</v>
          </cell>
          <cell r="W113">
            <v>0.15</v>
          </cell>
        </row>
        <row r="114">
          <cell r="W114" t="str">
            <v>margin</v>
          </cell>
          <cell r="X114">
            <v>-13.333333333333334</v>
          </cell>
          <cell r="Y114">
            <v>-0.43333333333333335</v>
          </cell>
          <cell r="Z114">
            <v>0.44</v>
          </cell>
          <cell r="AA114">
            <v>0.72</v>
          </cell>
          <cell r="AB114">
            <v>0.77067977067977067</v>
          </cell>
          <cell r="AC114">
            <v>0.81218654437327653</v>
          </cell>
          <cell r="AD114">
            <v>0.84618062602233957</v>
          </cell>
          <cell r="AE114">
            <v>0.89651791267444159</v>
          </cell>
          <cell r="AF114">
            <v>0.9152480857284534</v>
          </cell>
          <cell r="AG114">
            <v>0.93058811279971621</v>
          </cell>
          <cell r="AH114">
            <v>0.94315160753457505</v>
          </cell>
          <cell r="AI114">
            <v>0.94315160753457505</v>
          </cell>
          <cell r="AJ114">
            <v>0.95344112001193704</v>
          </cell>
          <cell r="AK114">
            <v>0.96166666666666667</v>
          </cell>
        </row>
        <row r="115">
          <cell r="W115" t="str">
            <v>NOPAT</v>
          </cell>
          <cell r="X115">
            <v>-340</v>
          </cell>
          <cell r="Y115">
            <v>-110.5</v>
          </cell>
          <cell r="Z115">
            <v>187</v>
          </cell>
          <cell r="AA115">
            <v>612</v>
          </cell>
          <cell r="AB115">
            <v>799.85</v>
          </cell>
          <cell r="AC115">
            <v>1029.2148500000001</v>
          </cell>
          <cell r="AD115">
            <v>1309.2693318500001</v>
          </cell>
          <cell r="AE115">
            <v>1693.7158541888505</v>
          </cell>
          <cell r="AF115">
            <v>2111.2325579645862</v>
          </cell>
          <cell r="AG115">
            <v>2621.0204532747603</v>
          </cell>
          <cell r="AH115">
            <v>3243.4714734484828</v>
          </cell>
          <cell r="AI115">
            <v>3243.4714734484828</v>
          </cell>
          <cell r="AJ115">
            <v>4003.4841690805974</v>
          </cell>
          <cell r="AK115">
            <v>4904.5</v>
          </cell>
        </row>
        <row r="116">
          <cell r="X116">
            <v>-314.81481481481478</v>
          </cell>
          <cell r="Y116">
            <v>-94.735939643347038</v>
          </cell>
          <cell r="Z116">
            <v>148.44662907077171</v>
          </cell>
          <cell r="AA116">
            <v>449.83826991142939</v>
          </cell>
          <cell r="AB116">
            <v>544.36447014744738</v>
          </cell>
          <cell r="AC116">
            <v>648.57993800705037</v>
          </cell>
          <cell r="AD116">
            <v>763.94607994574642</v>
          </cell>
          <cell r="AE116">
            <v>915.06197520592127</v>
          </cell>
          <cell r="AF116">
            <v>1056.1419064960926</v>
          </cell>
          <cell r="AG116">
            <v>1311.1627745811275</v>
          </cell>
          <cell r="AH116">
            <v>1502.354865289773</v>
          </cell>
          <cell r="AI116">
            <v>1391.069319712753</v>
          </cell>
          <cell r="AJ116">
            <v>1589.8386460633192</v>
          </cell>
          <cell r="AK116">
            <v>1803.3744715548742</v>
          </cell>
        </row>
        <row r="117">
          <cell r="W117" t="str">
            <v>PV</v>
          </cell>
          <cell r="X117">
            <v>11714.628591528144</v>
          </cell>
        </row>
        <row r="118">
          <cell r="W118" t="str">
            <v>TV</v>
          </cell>
          <cell r="X118">
            <v>4168.8249999999998</v>
          </cell>
        </row>
        <row r="119">
          <cell r="X119">
            <v>18125.326086956524</v>
          </cell>
        </row>
        <row r="120">
          <cell r="W120" t="str">
            <v>TV</v>
          </cell>
          <cell r="X120">
            <v>6664.6447861810575</v>
          </cell>
        </row>
        <row r="121">
          <cell r="W121" t="str">
            <v xml:space="preserve">NPV </v>
          </cell>
          <cell r="X121">
            <v>18379.2733777092</v>
          </cell>
        </row>
        <row r="122">
          <cell r="W122" t="str">
            <v>NPV/share</v>
          </cell>
          <cell r="X122">
            <v>7.4139868405442515</v>
          </cell>
        </row>
      </sheetData>
      <sheetData sheetId="15" refreshError="1">
        <row r="1">
          <cell r="AQ1">
            <v>1.024409657734147</v>
          </cell>
          <cell r="CL1" t="str">
            <v>ElementName</v>
          </cell>
          <cell r="CM1" t="str">
            <v>ScaleOverride</v>
          </cell>
          <cell r="CN1" t="str">
            <v>UnitOverride</v>
          </cell>
          <cell r="CO1" t="str">
            <v>ReverseSign</v>
          </cell>
          <cell r="CP1" t="str">
            <v>IsDrivingAssumption</v>
          </cell>
          <cell r="CQ1" t="str">
            <v>SegmentID</v>
          </cell>
        </row>
        <row r="2">
          <cell r="A2" t="str">
            <v>NOVARTIS</v>
          </cell>
        </row>
        <row r="3">
          <cell r="A3" t="str">
            <v>Quarterly Income Statement</v>
          </cell>
          <cell r="BF3" t="str">
            <v>Restated to reflect IAS adjustment</v>
          </cell>
          <cell r="CD3" t="str">
            <v>Morgan Stanley Equity Research: Pharmaceuticals</v>
          </cell>
        </row>
        <row r="4">
          <cell r="A4" t="str">
            <v>USD mlns except per share data</v>
          </cell>
          <cell r="B4" t="str">
            <v>Q1 04</v>
          </cell>
          <cell r="C4" t="str">
            <v>Q2 04</v>
          </cell>
          <cell r="D4" t="str">
            <v>H1 04</v>
          </cell>
          <cell r="E4" t="str">
            <v>Q3 04</v>
          </cell>
          <cell r="F4" t="str">
            <v>9M 04</v>
          </cell>
          <cell r="G4" t="str">
            <v>Q4 04</v>
          </cell>
          <cell r="H4">
            <v>2004</v>
          </cell>
          <cell r="I4" t="str">
            <v>Q105A</v>
          </cell>
          <cell r="J4" t="str">
            <v>Q205A</v>
          </cell>
          <cell r="K4" t="str">
            <v>H105A</v>
          </cell>
          <cell r="L4" t="str">
            <v>Q305A</v>
          </cell>
          <cell r="M4" t="str">
            <v>9M05A</v>
          </cell>
          <cell r="N4" t="str">
            <v>Q405A</v>
          </cell>
          <cell r="O4">
            <v>2005</v>
          </cell>
          <cell r="P4" t="str">
            <v>Q106A</v>
          </cell>
          <cell r="Q4" t="str">
            <v>Q206A</v>
          </cell>
          <cell r="R4" t="str">
            <v>H106A</v>
          </cell>
          <cell r="S4" t="str">
            <v>Q306A</v>
          </cell>
          <cell r="T4" t="str">
            <v>9M06A</v>
          </cell>
          <cell r="U4" t="str">
            <v>Q406A</v>
          </cell>
          <cell r="V4" t="str">
            <v>2006A</v>
          </cell>
          <cell r="W4" t="str">
            <v>Q107A</v>
          </cell>
          <cell r="X4" t="str">
            <v>Q207A</v>
          </cell>
          <cell r="Y4" t="str">
            <v>H107A</v>
          </cell>
          <cell r="Z4" t="str">
            <v>Q307A</v>
          </cell>
          <cell r="AA4" t="str">
            <v>9M07A</v>
          </cell>
          <cell r="AB4" t="str">
            <v>Q407A</v>
          </cell>
          <cell r="AC4" t="str">
            <v>2007A</v>
          </cell>
          <cell r="AD4" t="str">
            <v>Q108</v>
          </cell>
          <cell r="AE4" t="str">
            <v>Q208</v>
          </cell>
          <cell r="AF4" t="str">
            <v>H108</v>
          </cell>
          <cell r="AG4" t="str">
            <v>Q308</v>
          </cell>
          <cell r="AH4" t="str">
            <v>9M08</v>
          </cell>
          <cell r="AI4" t="str">
            <v>Q408</v>
          </cell>
          <cell r="AJ4" t="str">
            <v>2008A</v>
          </cell>
          <cell r="AK4" t="str">
            <v>Q109</v>
          </cell>
          <cell r="AL4" t="str">
            <v>Q209</v>
          </cell>
          <cell r="AM4" t="str">
            <v>H109</v>
          </cell>
          <cell r="AN4" t="str">
            <v>Q309</v>
          </cell>
          <cell r="AO4" t="str">
            <v>9M09</v>
          </cell>
          <cell r="AP4" t="str">
            <v>Q409</v>
          </cell>
          <cell r="AQ4">
            <v>2009</v>
          </cell>
          <cell r="AR4" t="str">
            <v>Q110</v>
          </cell>
          <cell r="AS4" t="str">
            <v>Q210</v>
          </cell>
          <cell r="AT4" t="str">
            <v>H110</v>
          </cell>
          <cell r="AU4" t="str">
            <v>Q310</v>
          </cell>
          <cell r="AV4" t="str">
            <v>9M10</v>
          </cell>
          <cell r="AW4" t="str">
            <v>Q410</v>
          </cell>
          <cell r="AX4">
            <v>2010</v>
          </cell>
          <cell r="AY4" t="str">
            <v>Q111</v>
          </cell>
          <cell r="AZ4" t="str">
            <v>Q211</v>
          </cell>
          <cell r="BA4" t="str">
            <v>H111</v>
          </cell>
          <cell r="BB4" t="str">
            <v>Q311</v>
          </cell>
          <cell r="BC4" t="str">
            <v>9M11</v>
          </cell>
          <cell r="BD4" t="str">
            <v>Q411</v>
          </cell>
          <cell r="BE4">
            <v>2011</v>
          </cell>
          <cell r="BF4" t="str">
            <v>Q112</v>
          </cell>
          <cell r="BG4" t="str">
            <v>Q212</v>
          </cell>
          <cell r="BH4" t="str">
            <v>H112</v>
          </cell>
          <cell r="BI4" t="str">
            <v>Q312A</v>
          </cell>
          <cell r="BJ4" t="str">
            <v>9M12A</v>
          </cell>
          <cell r="BK4" t="str">
            <v>Q412</v>
          </cell>
          <cell r="BL4">
            <v>2012</v>
          </cell>
          <cell r="BM4" t="str">
            <v>Q113A</v>
          </cell>
          <cell r="BN4" t="str">
            <v>Q213</v>
          </cell>
          <cell r="BO4" t="str">
            <v>H113</v>
          </cell>
          <cell r="BP4" t="str">
            <v>Q313</v>
          </cell>
          <cell r="BQ4" t="str">
            <v>9M13</v>
          </cell>
          <cell r="BR4" t="str">
            <v>Q413</v>
          </cell>
          <cell r="BS4">
            <v>2013</v>
          </cell>
          <cell r="BT4" t="str">
            <v>1Q14e</v>
          </cell>
          <cell r="BU4" t="str">
            <v>2Q14e</v>
          </cell>
          <cell r="BV4" t="str">
            <v>H114e</v>
          </cell>
          <cell r="BW4" t="str">
            <v>3Q14e</v>
          </cell>
          <cell r="BX4" t="str">
            <v>9M14e</v>
          </cell>
          <cell r="BY4" t="str">
            <v>4Q14e</v>
          </cell>
          <cell r="BZ4" t="str">
            <v>2014E</v>
          </cell>
          <cell r="CA4" t="str">
            <v>2015E</v>
          </cell>
          <cell r="CB4" t="str">
            <v>2016E</v>
          </cell>
          <cell r="CC4" t="str">
            <v>2017E</v>
          </cell>
          <cell r="CD4" t="str">
            <v>2018E</v>
          </cell>
          <cell r="CE4" t="str">
            <v>2019E</v>
          </cell>
          <cell r="CF4" t="str">
            <v>2020E</v>
          </cell>
          <cell r="CG4" t="str">
            <v>2021E</v>
          </cell>
          <cell r="CH4" t="str">
            <v>2022E</v>
          </cell>
          <cell r="CI4" t="str">
            <v>2023E</v>
          </cell>
          <cell r="CJ4" t="str">
            <v>2024E</v>
          </cell>
        </row>
        <row r="5">
          <cell r="A5" t="str">
            <v>Total Sales</v>
          </cell>
          <cell r="B5">
            <v>6639</v>
          </cell>
          <cell r="C5">
            <v>6973</v>
          </cell>
          <cell r="D5">
            <v>13612</v>
          </cell>
          <cell r="E5">
            <v>7057</v>
          </cell>
          <cell r="F5">
            <v>20669</v>
          </cell>
          <cell r="G5">
            <v>7578</v>
          </cell>
          <cell r="H5">
            <v>28247</v>
          </cell>
          <cell r="I5">
            <v>7040</v>
          </cell>
          <cell r="J5">
            <v>7479</v>
          </cell>
          <cell r="K5">
            <v>14519</v>
          </cell>
          <cell r="L5">
            <v>8114</v>
          </cell>
          <cell r="M5">
            <v>22633</v>
          </cell>
          <cell r="N5">
            <v>8372</v>
          </cell>
          <cell r="O5">
            <v>31005</v>
          </cell>
          <cell r="P5">
            <v>7666</v>
          </cell>
          <cell r="Q5">
            <v>8508</v>
          </cell>
          <cell r="R5">
            <v>16174</v>
          </cell>
          <cell r="S5">
            <v>8821</v>
          </cell>
          <cell r="T5">
            <v>24995</v>
          </cell>
          <cell r="U5">
            <v>9398</v>
          </cell>
          <cell r="V5">
            <v>34393</v>
          </cell>
          <cell r="W5">
            <v>9128</v>
          </cell>
          <cell r="X5">
            <v>9400</v>
          </cell>
          <cell r="Y5">
            <v>18528</v>
          </cell>
          <cell r="Z5">
            <v>9613</v>
          </cell>
          <cell r="AA5">
            <v>28141</v>
          </cell>
          <cell r="AB5">
            <v>9931</v>
          </cell>
          <cell r="AC5">
            <v>38072</v>
          </cell>
          <cell r="AD5">
            <v>9909</v>
          </cell>
          <cell r="AE5">
            <v>10726</v>
          </cell>
          <cell r="AF5">
            <v>20635</v>
          </cell>
          <cell r="AG5">
            <v>10761</v>
          </cell>
          <cell r="AH5">
            <v>31396</v>
          </cell>
          <cell r="AI5">
            <v>10077</v>
          </cell>
          <cell r="AJ5">
            <v>41459</v>
          </cell>
          <cell r="AK5">
            <v>9709</v>
          </cell>
          <cell r="AL5">
            <v>10546</v>
          </cell>
          <cell r="AM5">
            <v>20255</v>
          </cell>
          <cell r="AN5">
            <v>11086</v>
          </cell>
          <cell r="AO5">
            <v>31341</v>
          </cell>
          <cell r="AP5">
            <v>12926</v>
          </cell>
          <cell r="AQ5">
            <v>44267</v>
          </cell>
          <cell r="AR5">
            <v>12131</v>
          </cell>
          <cell r="AS5">
            <v>11716</v>
          </cell>
          <cell r="AT5">
            <v>23847</v>
          </cell>
          <cell r="AU5">
            <v>12578</v>
          </cell>
          <cell r="AV5">
            <v>36425</v>
          </cell>
          <cell r="AW5">
            <v>14199</v>
          </cell>
          <cell r="AX5">
            <v>50624</v>
          </cell>
          <cell r="AY5">
            <v>14026.6</v>
          </cell>
          <cell r="AZ5">
            <v>14915.4</v>
          </cell>
          <cell r="BA5">
            <v>28942</v>
          </cell>
          <cell r="BB5">
            <v>14843</v>
          </cell>
          <cell r="BC5">
            <v>43785</v>
          </cell>
          <cell r="BD5">
            <v>14781</v>
          </cell>
          <cell r="BE5">
            <v>58566</v>
          </cell>
          <cell r="BF5">
            <v>13735</v>
          </cell>
          <cell r="BG5">
            <v>14303</v>
          </cell>
          <cell r="BH5">
            <v>28038</v>
          </cell>
          <cell r="BI5">
            <v>13807</v>
          </cell>
          <cell r="BJ5">
            <v>41845</v>
          </cell>
          <cell r="BK5">
            <v>14828</v>
          </cell>
          <cell r="BL5">
            <v>56673</v>
          </cell>
          <cell r="BM5">
            <v>14016</v>
          </cell>
          <cell r="BN5">
            <v>14488</v>
          </cell>
          <cell r="BO5">
            <v>28504</v>
          </cell>
          <cell r="BP5">
            <v>14338</v>
          </cell>
          <cell r="BQ5">
            <v>42842</v>
          </cell>
          <cell r="BR5">
            <v>15078</v>
          </cell>
          <cell r="BS5">
            <v>57920</v>
          </cell>
          <cell r="BT5">
            <v>14315.123239355065</v>
          </cell>
          <cell r="BU5">
            <v>14990.507272479474</v>
          </cell>
          <cell r="BV5">
            <v>29305.630511834541</v>
          </cell>
          <cell r="BW5">
            <v>14548.69190522877</v>
          </cell>
          <cell r="BX5">
            <v>43854.322417063311</v>
          </cell>
          <cell r="BY5">
            <v>15211.648997781016</v>
          </cell>
          <cell r="BZ5">
            <v>59065.971414844331</v>
          </cell>
          <cell r="CA5">
            <v>60323.228122905137</v>
          </cell>
          <cell r="CB5">
            <v>62244.448266743442</v>
          </cell>
          <cell r="CC5">
            <v>64375.644958197125</v>
          </cell>
          <cell r="CD5">
            <v>66721.303477296184</v>
          </cell>
          <cell r="CE5">
            <v>66987.176849405761</v>
          </cell>
          <cell r="CF5">
            <v>67865.278830938856</v>
          </cell>
          <cell r="CG5">
            <v>68001.862353286939</v>
          </cell>
          <cell r="CH5">
            <v>68087.912308495987</v>
          </cell>
          <cell r="CI5">
            <v>68964.159238113905</v>
          </cell>
          <cell r="CJ5">
            <v>67816.976647765492</v>
          </cell>
          <cell r="CL5" t="str">
            <v>mstag:revenueNet</v>
          </cell>
          <cell r="CM5">
            <v>6</v>
          </cell>
          <cell r="CN5" t="str">
            <v>ISO4217:USD</v>
          </cell>
          <cell r="CO5" t="b">
            <v>0</v>
          </cell>
        </row>
        <row r="6">
          <cell r="A6" t="str">
            <v xml:space="preserve"> growth (%)</v>
          </cell>
          <cell r="O6">
            <v>9.7638687294225868E-2</v>
          </cell>
          <cell r="V6">
            <v>0.10927269795194317</v>
          </cell>
          <cell r="AC6">
            <v>0.1069694414561102</v>
          </cell>
          <cell r="AD6">
            <v>8.5560911481156854E-2</v>
          </cell>
          <cell r="AE6">
            <v>0.14106382978723397</v>
          </cell>
          <cell r="AF6">
            <v>0.11371977547495682</v>
          </cell>
          <cell r="AG6">
            <v>0.119421616560907</v>
          </cell>
          <cell r="AH6">
            <v>0.11566753135993735</v>
          </cell>
          <cell r="AI6">
            <v>1.4701439935555394E-2</v>
          </cell>
          <cell r="AJ6">
            <v>8.8963017440638836E-2</v>
          </cell>
          <cell r="AK6">
            <v>-2.0183671409829462E-2</v>
          </cell>
          <cell r="AL6">
            <v>-1.6781652060413932E-2</v>
          </cell>
          <cell r="AM6">
            <v>-1.8415313787254695E-2</v>
          </cell>
          <cell r="AN6">
            <v>3.0201654121364108E-2</v>
          </cell>
          <cell r="AO6">
            <v>-1.7518155179003791E-3</v>
          </cell>
          <cell r="AP6">
            <v>0.28272303264860565</v>
          </cell>
          <cell r="AQ6">
            <v>6.7729564147712251E-2</v>
          </cell>
          <cell r="AR6">
            <v>0.2494592645998559</v>
          </cell>
          <cell r="AS6">
            <v>0.1109425374549593</v>
          </cell>
          <cell r="AT6">
            <v>0.17733892865959033</v>
          </cell>
          <cell r="AU6">
            <v>0.13458416020205655</v>
          </cell>
          <cell r="AV6">
            <v>0.16221562809099899</v>
          </cell>
          <cell r="AW6">
            <v>9.8483676311310608E-2</v>
          </cell>
          <cell r="AX6">
            <v>0.14360584634151841</v>
          </cell>
          <cell r="AY6">
            <v>0.15626081938834391</v>
          </cell>
          <cell r="AZ6">
            <v>0.27307954933424372</v>
          </cell>
          <cell r="BA6">
            <v>0.21365370906193659</v>
          </cell>
          <cell r="BB6">
            <v>0.18007632373986326</v>
          </cell>
          <cell r="BC6">
            <v>0.2020590253946466</v>
          </cell>
          <cell r="BD6">
            <v>4.0988802028311788E-2</v>
          </cell>
          <cell r="BE6">
            <v>0.15688211125158036</v>
          </cell>
          <cell r="BF6">
            <v>-2.0789072191407798E-2</v>
          </cell>
          <cell r="BG6">
            <v>-4.1058235112702235E-2</v>
          </cell>
          <cell r="BH6">
            <v>-3.1234883560223858E-2</v>
          </cell>
          <cell r="BI6">
            <v>-6.9797210806440746E-2</v>
          </cell>
          <cell r="BJ6">
            <v>-4.4307411213886039E-2</v>
          </cell>
          <cell r="BK6">
            <v>3.1797577971719448E-3</v>
          </cell>
          <cell r="BL6">
            <v>-3.2322507939760325E-2</v>
          </cell>
          <cell r="BM6">
            <v>2.0458682198762235E-2</v>
          </cell>
          <cell r="BN6">
            <v>1.293434943718097E-2</v>
          </cell>
          <cell r="BO6">
            <v>1.6620301020044304E-2</v>
          </cell>
          <cell r="BP6">
            <v>3.8458752806547425E-2</v>
          </cell>
          <cell r="BQ6">
            <v>2.3826024614649333E-2</v>
          </cell>
          <cell r="BR6">
            <v>1.6859994604801809E-2</v>
          </cell>
          <cell r="BS6">
            <v>2.2003423146824685E-2</v>
          </cell>
          <cell r="BT6">
            <v>2.1341555319282612E-2</v>
          </cell>
          <cell r="BU6">
            <v>3.4684378277158645E-2</v>
          </cell>
          <cell r="BV6">
            <v>2.8123439230793634E-2</v>
          </cell>
          <cell r="BW6">
            <v>1.4694650943560594E-2</v>
          </cell>
          <cell r="BX6">
            <v>2.3629205384046337E-2</v>
          </cell>
          <cell r="BY6">
            <v>8.8638412111032849E-3</v>
          </cell>
          <cell r="BZ6">
            <v>1.9785418073969829E-2</v>
          </cell>
          <cell r="CA6">
            <v>2.1285634993295499E-2</v>
          </cell>
          <cell r="CB6">
            <v>3.1848762137263842E-2</v>
          </cell>
          <cell r="CC6">
            <v>3.4239145028976958E-2</v>
          </cell>
          <cell r="CD6">
            <v>3.6437048834574437E-2</v>
          </cell>
          <cell r="CE6">
            <v>3.9848348016768842E-3</v>
          </cell>
          <cell r="CF6">
            <v>1.3108508565858212E-2</v>
          </cell>
          <cell r="CG6">
            <v>2.0125684989569237E-3</v>
          </cell>
          <cell r="CH6">
            <v>1.2654058614158803E-3</v>
          </cell>
          <cell r="CI6">
            <v>1.2869346406859661E-2</v>
          </cell>
          <cell r="CJ6">
            <v>-1.6634475110289038E-2</v>
          </cell>
        </row>
        <row r="7">
          <cell r="A7" t="str">
            <v xml:space="preserve">   CER%</v>
          </cell>
          <cell r="AY7">
            <v>0.14000000000000001</v>
          </cell>
          <cell r="AZ7">
            <v>0.19</v>
          </cell>
          <cell r="BB7">
            <v>0.12</v>
          </cell>
          <cell r="BD7">
            <v>0.05</v>
          </cell>
          <cell r="BF7">
            <v>-0.01</v>
          </cell>
          <cell r="BG7">
            <v>0.01</v>
          </cell>
          <cell r="BH7">
            <v>0</v>
          </cell>
          <cell r="BI7">
            <v>-0.02</v>
          </cell>
          <cell r="BJ7">
            <v>-0.01</v>
          </cell>
          <cell r="BK7">
            <v>0.02</v>
          </cell>
          <cell r="BL7">
            <v>0</v>
          </cell>
          <cell r="BM7">
            <v>0.04</v>
          </cell>
          <cell r="BN7">
            <v>0.03</v>
          </cell>
          <cell r="BO7">
            <v>0.04</v>
          </cell>
          <cell r="BP7">
            <v>0.06</v>
          </cell>
          <cell r="BQ7">
            <v>-0.01</v>
          </cell>
        </row>
        <row r="8">
          <cell r="A8" t="str">
            <v>PRODUCTS LAUNCHED since 2007</v>
          </cell>
          <cell r="AZ8">
            <v>3850</v>
          </cell>
          <cell r="BA8">
            <v>6946.08</v>
          </cell>
          <cell r="BB8">
            <v>3710.75</v>
          </cell>
          <cell r="BF8">
            <v>3660.7233000000006</v>
          </cell>
          <cell r="BG8">
            <v>4217.9547000000002</v>
          </cell>
          <cell r="BH8">
            <v>7878.6780000000008</v>
          </cell>
          <cell r="BI8">
            <v>4059.2579999999998</v>
          </cell>
          <cell r="BJ8">
            <v>11937.936000000002</v>
          </cell>
          <cell r="BM8">
            <v>4190.7839999999997</v>
          </cell>
          <cell r="BO8">
            <v>8009.6240000000007</v>
          </cell>
          <cell r="BQ8">
            <v>8009.6240000000007</v>
          </cell>
        </row>
        <row r="9">
          <cell r="A9" t="str">
            <v xml:space="preserve">   growth %</v>
          </cell>
          <cell r="BG9">
            <v>9.5572649350649463E-2</v>
          </cell>
          <cell r="BH9">
            <v>0.13426249049823791</v>
          </cell>
          <cell r="BI9">
            <v>9.3918480091625733E-2</v>
          </cell>
          <cell r="BM9">
            <v>0.14479671271521632</v>
          </cell>
          <cell r="BO9">
            <v>1.6620301020044304E-2</v>
          </cell>
        </row>
        <row r="10">
          <cell r="A10" t="str">
            <v>% of sales</v>
          </cell>
          <cell r="AZ10">
            <v>0.25812247743942501</v>
          </cell>
          <cell r="BA10">
            <v>0.24</v>
          </cell>
          <cell r="BB10">
            <v>0.25</v>
          </cell>
          <cell r="BF10">
            <v>0.26652517655624319</v>
          </cell>
          <cell r="BG10">
            <v>0.2949</v>
          </cell>
          <cell r="BH10">
            <v>0.28100000000000003</v>
          </cell>
          <cell r="BI10">
            <v>0.29399999999999998</v>
          </cell>
          <cell r="BJ10">
            <v>0.28528942525988771</v>
          </cell>
          <cell r="BM10">
            <v>0.29899999999999999</v>
          </cell>
          <cell r="BO10">
            <v>0.28100000000000003</v>
          </cell>
          <cell r="BQ10">
            <v>0.18695728490733393</v>
          </cell>
        </row>
        <row r="11">
          <cell r="A11" t="str">
            <v>PRODUCTS LAUNCHED excl 2017</v>
          </cell>
          <cell r="BN11">
            <v>3000</v>
          </cell>
        </row>
        <row r="12">
          <cell r="A12" t="str">
            <v xml:space="preserve">   growth %</v>
          </cell>
          <cell r="BN12">
            <v>0.26</v>
          </cell>
        </row>
        <row r="13">
          <cell r="A13" t="str">
            <v>% of sales</v>
          </cell>
          <cell r="BN13">
            <v>0.20706791827719492</v>
          </cell>
        </row>
        <row r="15">
          <cell r="A15" t="str">
            <v>EMERGING MARKETS</v>
          </cell>
          <cell r="BG15">
            <v>3432.72</v>
          </cell>
          <cell r="BH15">
            <v>6729.12</v>
          </cell>
          <cell r="BI15">
            <v>3313.68</v>
          </cell>
          <cell r="BJ15">
            <v>10042.799999999999</v>
          </cell>
          <cell r="BM15">
            <v>3523</v>
          </cell>
          <cell r="BN15">
            <v>3703</v>
          </cell>
          <cell r="BO15">
            <v>7226</v>
          </cell>
          <cell r="BQ15">
            <v>10282.08</v>
          </cell>
        </row>
        <row r="16">
          <cell r="A16" t="str">
            <v xml:space="preserve"> % of sales</v>
          </cell>
          <cell r="BG16">
            <v>0.24</v>
          </cell>
          <cell r="BH16">
            <v>0.24</v>
          </cell>
          <cell r="BI16">
            <v>0.24</v>
          </cell>
          <cell r="BJ16">
            <v>0.24</v>
          </cell>
          <cell r="BM16">
            <v>0.25135559360730592</v>
          </cell>
          <cell r="BN16">
            <v>0.25559083379348424</v>
          </cell>
          <cell r="BO16">
            <v>0.25350827953971372</v>
          </cell>
          <cell r="BQ16">
            <v>0.24</v>
          </cell>
        </row>
        <row r="17">
          <cell r="A17" t="str">
            <v xml:space="preserve">   CER growth </v>
          </cell>
          <cell r="BG17">
            <v>0.06</v>
          </cell>
          <cell r="BH17">
            <v>0.06</v>
          </cell>
          <cell r="BI17">
            <v>0.06</v>
          </cell>
          <cell r="BJ17">
            <v>0.06</v>
          </cell>
          <cell r="BM17">
            <v>0.09</v>
          </cell>
          <cell r="BN17">
            <v>0.11</v>
          </cell>
          <cell r="BO17">
            <v>0.1</v>
          </cell>
          <cell r="BQ17">
            <v>0.06</v>
          </cell>
        </row>
        <row r="19">
          <cell r="A19" t="str">
            <v>Core operating result (consensus)</v>
          </cell>
          <cell r="BS19">
            <v>57554.28</v>
          </cell>
          <cell r="BZ19">
            <v>59053.099970252326</v>
          </cell>
          <cell r="CA19">
            <v>61028.314735468033</v>
          </cell>
          <cell r="CB19">
            <v>63113.068350000249</v>
          </cell>
          <cell r="CC19">
            <v>65250.54061282974</v>
          </cell>
        </row>
        <row r="20">
          <cell r="A20" t="str">
            <v>MS vs. Cons</v>
          </cell>
          <cell r="BS20">
            <v>6.3543493203286339E-3</v>
          </cell>
          <cell r="BZ20">
            <v>2.1796391042117058E-4</v>
          </cell>
          <cell r="CA20">
            <v>-1.1553434100534332E-2</v>
          </cell>
          <cell r="CB20">
            <v>-1.3762919565877829E-2</v>
          </cell>
          <cell r="CC20">
            <v>-1.340825143233515E-2</v>
          </cell>
        </row>
        <row r="22">
          <cell r="A22" t="str">
            <v>Other revenue</v>
          </cell>
          <cell r="B22">
            <v>27</v>
          </cell>
          <cell r="C22">
            <v>32</v>
          </cell>
          <cell r="D22">
            <v>59</v>
          </cell>
          <cell r="E22">
            <v>43</v>
          </cell>
          <cell r="F22">
            <v>102</v>
          </cell>
          <cell r="G22">
            <v>52</v>
          </cell>
          <cell r="H22">
            <v>154</v>
          </cell>
          <cell r="I22">
            <v>73</v>
          </cell>
          <cell r="J22">
            <v>71</v>
          </cell>
          <cell r="K22">
            <v>144</v>
          </cell>
          <cell r="L22">
            <v>74</v>
          </cell>
          <cell r="M22">
            <v>218</v>
          </cell>
          <cell r="N22">
            <v>96</v>
          </cell>
          <cell r="O22">
            <v>314</v>
          </cell>
          <cell r="P22">
            <v>90</v>
          </cell>
          <cell r="Q22">
            <v>163</v>
          </cell>
          <cell r="R22">
            <v>253</v>
          </cell>
          <cell r="S22">
            <v>203</v>
          </cell>
          <cell r="T22">
            <v>456</v>
          </cell>
          <cell r="U22">
            <v>256</v>
          </cell>
          <cell r="V22">
            <v>712</v>
          </cell>
          <cell r="W22">
            <v>246</v>
          </cell>
          <cell r="X22">
            <v>184</v>
          </cell>
          <cell r="Y22">
            <v>430</v>
          </cell>
          <cell r="Z22">
            <v>205</v>
          </cell>
          <cell r="AA22">
            <v>635</v>
          </cell>
          <cell r="AB22">
            <v>240</v>
          </cell>
          <cell r="AC22">
            <v>875</v>
          </cell>
          <cell r="AD22">
            <v>307</v>
          </cell>
          <cell r="AE22">
            <v>264</v>
          </cell>
          <cell r="AF22">
            <v>571</v>
          </cell>
          <cell r="AG22">
            <v>283</v>
          </cell>
          <cell r="AH22">
            <v>854</v>
          </cell>
          <cell r="AI22">
            <v>271</v>
          </cell>
          <cell r="AJ22">
            <v>1125</v>
          </cell>
          <cell r="AK22">
            <v>217</v>
          </cell>
          <cell r="AL22">
            <v>196</v>
          </cell>
          <cell r="AM22">
            <v>413</v>
          </cell>
          <cell r="AN22">
            <v>204</v>
          </cell>
          <cell r="AO22">
            <v>617</v>
          </cell>
          <cell r="AP22">
            <v>219</v>
          </cell>
          <cell r="AQ22">
            <v>836</v>
          </cell>
          <cell r="AR22">
            <v>225</v>
          </cell>
          <cell r="AS22">
            <v>205</v>
          </cell>
          <cell r="AT22">
            <v>430</v>
          </cell>
          <cell r="AU22">
            <v>242</v>
          </cell>
          <cell r="AV22">
            <v>672</v>
          </cell>
          <cell r="AW22">
            <v>265</v>
          </cell>
          <cell r="AX22">
            <v>937</v>
          </cell>
          <cell r="AY22">
            <v>195</v>
          </cell>
          <cell r="AZ22">
            <v>208</v>
          </cell>
          <cell r="BA22">
            <v>403</v>
          </cell>
          <cell r="BB22">
            <v>191</v>
          </cell>
          <cell r="BC22">
            <v>594</v>
          </cell>
          <cell r="BD22">
            <v>215</v>
          </cell>
          <cell r="BE22">
            <v>809</v>
          </cell>
          <cell r="BF22">
            <v>178</v>
          </cell>
          <cell r="BG22">
            <v>238</v>
          </cell>
          <cell r="BH22">
            <v>416</v>
          </cell>
          <cell r="BI22">
            <v>232</v>
          </cell>
          <cell r="BJ22">
            <v>648</v>
          </cell>
          <cell r="BK22">
            <v>240</v>
          </cell>
          <cell r="BL22">
            <v>888</v>
          </cell>
          <cell r="BM22">
            <v>190</v>
          </cell>
          <cell r="BN22">
            <v>216</v>
          </cell>
          <cell r="BO22">
            <v>406</v>
          </cell>
          <cell r="BP22">
            <v>220</v>
          </cell>
          <cell r="BQ22">
            <v>626</v>
          </cell>
          <cell r="BR22">
            <v>285</v>
          </cell>
          <cell r="BS22">
            <v>911</v>
          </cell>
          <cell r="BT22">
            <v>208.86095452874611</v>
          </cell>
          <cell r="BU22">
            <v>215.72539530237037</v>
          </cell>
          <cell r="BV22">
            <v>424.58634983111648</v>
          </cell>
          <cell r="BW22">
            <v>211.2180734702923</v>
          </cell>
          <cell r="BX22">
            <v>635.80442330140875</v>
          </cell>
          <cell r="BY22">
            <v>215.23459125906874</v>
          </cell>
          <cell r="BZ22">
            <v>851.03901456047743</v>
          </cell>
          <cell r="CA22">
            <v>852.29353335005953</v>
          </cell>
          <cell r="CB22">
            <v>864.84772164410015</v>
          </cell>
          <cell r="CC22">
            <v>881.85470273460203</v>
          </cell>
          <cell r="CD22">
            <v>902.46535913621165</v>
          </cell>
          <cell r="CE22">
            <v>889.87484821251644</v>
          </cell>
          <cell r="CF22">
            <v>885.77423874170427</v>
          </cell>
          <cell r="CG22">
            <v>869.6930655581757</v>
          </cell>
          <cell r="CH22">
            <v>852.98378898885949</v>
          </cell>
          <cell r="CI22">
            <v>847.43216207799719</v>
          </cell>
          <cell r="CJ22">
            <v>815.8720273693508</v>
          </cell>
          <cell r="CL22" t="str">
            <v>mstag:royaltyLicenseeIncome</v>
          </cell>
          <cell r="CM22">
            <v>6</v>
          </cell>
          <cell r="CN22" t="str">
            <v>ISO4217:USD</v>
          </cell>
          <cell r="CO22" t="b">
            <v>0</v>
          </cell>
        </row>
        <row r="23">
          <cell r="A23" t="str">
            <v>COGS</v>
          </cell>
          <cell r="B23">
            <v>-1689</v>
          </cell>
          <cell r="C23">
            <v>-1763</v>
          </cell>
          <cell r="D23">
            <v>-3452</v>
          </cell>
          <cell r="E23">
            <v>-1765</v>
          </cell>
          <cell r="F23">
            <v>-5217</v>
          </cell>
          <cell r="G23">
            <v>-2051</v>
          </cell>
          <cell r="H23">
            <v>-7268</v>
          </cell>
          <cell r="I23">
            <v>-1782</v>
          </cell>
          <cell r="J23">
            <v>-1817</v>
          </cell>
          <cell r="K23">
            <v>-3599</v>
          </cell>
          <cell r="L23">
            <v>-2294</v>
          </cell>
          <cell r="M23">
            <v>-5893</v>
          </cell>
          <cell r="N23">
            <v>-2366</v>
          </cell>
          <cell r="O23">
            <v>-8259</v>
          </cell>
          <cell r="P23">
            <v>-1980</v>
          </cell>
          <cell r="Q23">
            <v>-2225</v>
          </cell>
          <cell r="R23">
            <v>-4205</v>
          </cell>
          <cell r="S23">
            <v>-2529</v>
          </cell>
          <cell r="T23">
            <v>-6734</v>
          </cell>
          <cell r="U23">
            <v>-2677</v>
          </cell>
          <cell r="V23">
            <v>-9411</v>
          </cell>
          <cell r="W23">
            <v>-2488</v>
          </cell>
          <cell r="X23">
            <v>-2497</v>
          </cell>
          <cell r="Y23">
            <v>-4985</v>
          </cell>
          <cell r="Z23">
            <v>-3034</v>
          </cell>
          <cell r="AA23">
            <v>-8019</v>
          </cell>
          <cell r="AB23">
            <v>-3013</v>
          </cell>
          <cell r="AC23">
            <v>-11032</v>
          </cell>
          <cell r="AD23">
            <v>-2648</v>
          </cell>
          <cell r="AE23">
            <v>-2936</v>
          </cell>
          <cell r="AF23">
            <v>-5584</v>
          </cell>
          <cell r="AG23">
            <v>-3021</v>
          </cell>
          <cell r="AH23">
            <v>-8605</v>
          </cell>
          <cell r="AI23">
            <v>-2834</v>
          </cell>
          <cell r="AJ23">
            <v>-11439</v>
          </cell>
          <cell r="AK23">
            <v>-2585</v>
          </cell>
          <cell r="AL23">
            <v>-2824</v>
          </cell>
          <cell r="AM23">
            <v>-5409</v>
          </cell>
          <cell r="AN23">
            <v>-3103</v>
          </cell>
          <cell r="AO23">
            <v>-8512</v>
          </cell>
          <cell r="AP23">
            <v>-3667</v>
          </cell>
          <cell r="AQ23">
            <v>-12179</v>
          </cell>
          <cell r="AR23">
            <v>-3096</v>
          </cell>
          <cell r="AS23">
            <v>-3206</v>
          </cell>
          <cell r="AT23">
            <v>-6302</v>
          </cell>
          <cell r="AU23">
            <v>-3662</v>
          </cell>
          <cell r="AV23">
            <v>-9964</v>
          </cell>
          <cell r="AW23">
            <v>-4524</v>
          </cell>
          <cell r="AX23">
            <v>-14488</v>
          </cell>
          <cell r="AY23">
            <v>-4458</v>
          </cell>
          <cell r="AZ23">
            <v>-4619</v>
          </cell>
          <cell r="BA23">
            <v>-9077</v>
          </cell>
          <cell r="BB23">
            <v>-4788</v>
          </cell>
          <cell r="BC23">
            <v>-13865</v>
          </cell>
          <cell r="BD23">
            <v>-5118</v>
          </cell>
          <cell r="BE23">
            <v>-18983</v>
          </cell>
          <cell r="BF23">
            <v>-4484</v>
          </cell>
          <cell r="BG23">
            <v>-4610</v>
          </cell>
          <cell r="BH23">
            <v>-9094</v>
          </cell>
          <cell r="BI23">
            <v>-4575</v>
          </cell>
          <cell r="BJ23">
            <v>-13669</v>
          </cell>
          <cell r="BK23">
            <v>-5087</v>
          </cell>
          <cell r="BL23">
            <v>-18756</v>
          </cell>
          <cell r="BM23">
            <v>-4606</v>
          </cell>
          <cell r="BN23">
            <v>-4780</v>
          </cell>
          <cell r="BO23">
            <v>-9386</v>
          </cell>
          <cell r="BP23">
            <v>-4910</v>
          </cell>
          <cell r="BQ23">
            <v>-14296</v>
          </cell>
          <cell r="BR23">
            <v>-5312</v>
          </cell>
          <cell r="BS23">
            <v>-19608</v>
          </cell>
          <cell r="BT23">
            <v>-4797.1954101656311</v>
          </cell>
          <cell r="BU23">
            <v>-5006.1538153015545</v>
          </cell>
          <cell r="BV23">
            <v>-9803.3492254671855</v>
          </cell>
          <cell r="BW23">
            <v>-4873.5906449367503</v>
          </cell>
          <cell r="BX23">
            <v>-14676.939870403936</v>
          </cell>
          <cell r="BY23">
            <v>-5056.5511206972815</v>
          </cell>
          <cell r="BZ23">
            <v>-19733.490991101215</v>
          </cell>
          <cell r="CA23">
            <v>-20142.448570343011</v>
          </cell>
          <cell r="CB23">
            <v>-20699.60776372195</v>
          </cell>
          <cell r="CC23">
            <v>-21279.265649321434</v>
          </cell>
          <cell r="CD23">
            <v>-21891.021123043782</v>
          </cell>
          <cell r="CE23">
            <v>-22371.801328279162</v>
          </cell>
          <cell r="CF23">
            <v>-22970.071976905088</v>
          </cell>
          <cell r="CG23">
            <v>-23458.033090268589</v>
          </cell>
          <cell r="CH23">
            <v>-23942.645902774369</v>
          </cell>
          <cell r="CI23">
            <v>-24489.423416506954</v>
          </cell>
          <cell r="CJ23">
            <v>-22544.643410125002</v>
          </cell>
          <cell r="CL23" t="str">
            <v>mstag:costOfSalesWithDepreciation</v>
          </cell>
          <cell r="CM23">
            <v>6</v>
          </cell>
          <cell r="CN23" t="str">
            <v>ISO4217:USD</v>
          </cell>
          <cell r="CO23" t="b">
            <v>1</v>
          </cell>
        </row>
        <row r="24">
          <cell r="A24" t="str">
            <v>COGS (% of Sales)</v>
          </cell>
          <cell r="B24">
            <v>0.25440578400361502</v>
          </cell>
          <cell r="C24">
            <v>0.25283235336297144</v>
          </cell>
          <cell r="D24">
            <v>0.25359976491331176</v>
          </cell>
          <cell r="E24">
            <v>0.25010627745500918</v>
          </cell>
          <cell r="F24">
            <v>0.25240698630799746</v>
          </cell>
          <cell r="G24">
            <v>0.27065188704143572</v>
          </cell>
          <cell r="H24">
            <v>0.25730166035331187</v>
          </cell>
          <cell r="I24">
            <v>0.25312499999999999</v>
          </cell>
          <cell r="J24">
            <v>0.24294691803717075</v>
          </cell>
          <cell r="K24">
            <v>0.24788208554308147</v>
          </cell>
          <cell r="L24">
            <v>0.28272122257825982</v>
          </cell>
          <cell r="M24">
            <v>0.26037202315203462</v>
          </cell>
          <cell r="N24">
            <v>0.28260869565217389</v>
          </cell>
          <cell r="O24">
            <v>0.26637639090469278</v>
          </cell>
          <cell r="P24">
            <v>0.25828332898512912</v>
          </cell>
          <cell r="Q24">
            <v>0.26151857075693463</v>
          </cell>
          <cell r="R24">
            <v>0.25998516137010014</v>
          </cell>
          <cell r="S24">
            <v>0.28670218796054869</v>
          </cell>
          <cell r="T24">
            <v>0.26941388277655531</v>
          </cell>
          <cell r="U24">
            <v>0.2848478399659502</v>
          </cell>
          <cell r="V24">
            <v>0.2736312621754427</v>
          </cell>
          <cell r="AC24">
            <v>0.28976675772221056</v>
          </cell>
          <cell r="AJ24">
            <v>0.27591114112737886</v>
          </cell>
          <cell r="AK24">
            <v>0.26624781130909464</v>
          </cell>
          <cell r="AL24">
            <v>0.26777925279726911</v>
          </cell>
          <cell r="AM24">
            <v>0.26704517403110345</v>
          </cell>
          <cell r="AN24">
            <v>0.27990257983041672</v>
          </cell>
          <cell r="AO24">
            <v>0.27159312083213683</v>
          </cell>
          <cell r="AP24">
            <v>0.28369178400123779</v>
          </cell>
          <cell r="AQ24">
            <v>0.2751259403167145</v>
          </cell>
          <cell r="AR24">
            <v>0.25521391476382821</v>
          </cell>
          <cell r="AS24">
            <v>0.27364288152953226</v>
          </cell>
          <cell r="AT24">
            <v>0.26426804210173188</v>
          </cell>
          <cell r="AU24">
            <v>0.29114326602003499</v>
          </cell>
          <cell r="AV24">
            <v>0.2735483870967742</v>
          </cell>
          <cell r="AW24">
            <v>0.31861398690048592</v>
          </cell>
          <cell r="AX24">
            <v>0.28618836915297091</v>
          </cell>
          <cell r="AY24">
            <v>0.31782470449004036</v>
          </cell>
          <cell r="AZ24">
            <v>0.30967992812797512</v>
          </cell>
          <cell r="BA24">
            <v>0.31362725450901802</v>
          </cell>
          <cell r="BB24">
            <v>0.32257629859192888</v>
          </cell>
          <cell r="BC24">
            <v>0.31666095694872676</v>
          </cell>
          <cell r="BD24">
            <v>0.34625532778567081</v>
          </cell>
          <cell r="BE24">
            <v>0.3241300413209029</v>
          </cell>
          <cell r="BF24">
            <v>0.32646523480160172</v>
          </cell>
          <cell r="BG24">
            <v>0.32231000489407818</v>
          </cell>
          <cell r="BH24">
            <v>0.32434553106498326</v>
          </cell>
          <cell r="BI24">
            <v>0.33135366118635473</v>
          </cell>
          <cell r="BJ24">
            <v>0.32665790417015172</v>
          </cell>
          <cell r="BK24">
            <v>0.34306717021850552</v>
          </cell>
          <cell r="BL24">
            <v>0.33095124662537717</v>
          </cell>
          <cell r="BM24">
            <v>0.3286244292237443</v>
          </cell>
          <cell r="BN24">
            <v>0.32992821645499726</v>
          </cell>
          <cell r="BO24">
            <v>0.32928711759753015</v>
          </cell>
          <cell r="BP24">
            <v>0.3424466452782815</v>
          </cell>
          <cell r="BQ24">
            <v>0.33369123757060826</v>
          </cell>
          <cell r="BR24">
            <v>0.35230136622894281</v>
          </cell>
          <cell r="BS24">
            <v>0.33853591160220997</v>
          </cell>
          <cell r="BT24">
            <v>0.33511380446779565</v>
          </cell>
          <cell r="BU24">
            <v>0.33395493056410236</v>
          </cell>
          <cell r="BV24">
            <v>0.33452101368398413</v>
          </cell>
          <cell r="BW24">
            <v>0.33498479978019136</v>
          </cell>
          <cell r="BX24">
            <v>0.3346748749376019</v>
          </cell>
          <cell r="BY24">
            <v>0.33241308167411049</v>
          </cell>
          <cell r="BZ24">
            <v>0.33409238040808448</v>
          </cell>
          <cell r="CA24">
            <v>0.33390866498894789</v>
          </cell>
          <cell r="CB24">
            <v>0.33255347810322761</v>
          </cell>
          <cell r="CC24">
            <v>0.33054838771928896</v>
          </cell>
          <cell r="CD24">
            <v>0.32809642471227835</v>
          </cell>
          <cell r="CE24">
            <v>0.3339714014007984</v>
          </cell>
          <cell r="CF24">
            <v>0.33846574231465981</v>
          </cell>
          <cell r="CG24">
            <v>0.34496162720365148</v>
          </cell>
          <cell r="CH24">
            <v>0.35164311976983342</v>
          </cell>
          <cell r="CI24">
            <v>0.35510363190178018</v>
          </cell>
          <cell r="CJ24">
            <v>0.33243362539175986</v>
          </cell>
        </row>
        <row r="26">
          <cell r="A26" t="str">
            <v>Gross Profit</v>
          </cell>
          <cell r="B26">
            <v>4977</v>
          </cell>
          <cell r="C26">
            <v>5242</v>
          </cell>
          <cell r="D26">
            <v>10219</v>
          </cell>
          <cell r="E26">
            <v>5335</v>
          </cell>
          <cell r="F26">
            <v>15554</v>
          </cell>
          <cell r="G26">
            <v>5579</v>
          </cell>
          <cell r="H26">
            <v>21133</v>
          </cell>
          <cell r="I26">
            <v>5331</v>
          </cell>
          <cell r="J26">
            <v>5733</v>
          </cell>
          <cell r="K26">
            <v>11064</v>
          </cell>
          <cell r="L26">
            <v>5894</v>
          </cell>
          <cell r="M26">
            <v>16958</v>
          </cell>
          <cell r="N26">
            <v>6102</v>
          </cell>
          <cell r="O26">
            <v>23060</v>
          </cell>
          <cell r="P26">
            <v>5776</v>
          </cell>
          <cell r="Q26">
            <v>6446</v>
          </cell>
          <cell r="R26">
            <v>12222</v>
          </cell>
          <cell r="S26">
            <v>6495</v>
          </cell>
          <cell r="T26">
            <v>18717</v>
          </cell>
          <cell r="U26">
            <v>6977</v>
          </cell>
          <cell r="V26">
            <v>25694</v>
          </cell>
          <cell r="W26">
            <v>6886</v>
          </cell>
          <cell r="X26">
            <v>7087</v>
          </cell>
          <cell r="Y26">
            <v>13973</v>
          </cell>
          <cell r="Z26">
            <v>6784</v>
          </cell>
          <cell r="AA26">
            <v>20757</v>
          </cell>
          <cell r="AB26">
            <v>7158</v>
          </cell>
          <cell r="AC26">
            <v>27915</v>
          </cell>
          <cell r="AD26">
            <v>7568</v>
          </cell>
          <cell r="AE26">
            <v>8054</v>
          </cell>
          <cell r="AF26">
            <v>15622</v>
          </cell>
          <cell r="AG26">
            <v>8023</v>
          </cell>
          <cell r="AH26">
            <v>23645</v>
          </cell>
          <cell r="AI26">
            <v>7514</v>
          </cell>
          <cell r="AJ26">
            <v>31145</v>
          </cell>
          <cell r="AK26">
            <v>7341</v>
          </cell>
          <cell r="AL26">
            <v>7918</v>
          </cell>
          <cell r="AM26">
            <v>15259</v>
          </cell>
          <cell r="AN26">
            <v>8187</v>
          </cell>
          <cell r="AO26">
            <v>23446</v>
          </cell>
          <cell r="AP26">
            <v>9478</v>
          </cell>
          <cell r="AQ26">
            <v>32924</v>
          </cell>
          <cell r="AR26">
            <v>9260</v>
          </cell>
          <cell r="AS26">
            <v>8715</v>
          </cell>
          <cell r="AT26">
            <v>17975</v>
          </cell>
          <cell r="AU26">
            <v>9158</v>
          </cell>
          <cell r="AV26">
            <v>27133</v>
          </cell>
          <cell r="AW26">
            <v>9940</v>
          </cell>
          <cell r="AX26">
            <v>37073</v>
          </cell>
          <cell r="AY26">
            <v>9763.6</v>
          </cell>
          <cell r="AZ26">
            <v>10504.4</v>
          </cell>
          <cell r="BA26">
            <v>20268</v>
          </cell>
          <cell r="BB26">
            <v>10246</v>
          </cell>
          <cell r="BC26">
            <v>30514</v>
          </cell>
          <cell r="BD26">
            <v>9878</v>
          </cell>
          <cell r="BE26">
            <v>40392</v>
          </cell>
          <cell r="BF26">
            <v>9429</v>
          </cell>
          <cell r="BG26">
            <v>9931</v>
          </cell>
          <cell r="BH26">
            <v>19360</v>
          </cell>
          <cell r="BI26">
            <v>9464</v>
          </cell>
          <cell r="BJ26">
            <v>28824</v>
          </cell>
          <cell r="BK26">
            <v>9981</v>
          </cell>
          <cell r="BL26">
            <v>38805</v>
          </cell>
          <cell r="BM26">
            <v>9600</v>
          </cell>
          <cell r="BN26">
            <v>9924</v>
          </cell>
          <cell r="BO26">
            <v>19524</v>
          </cell>
          <cell r="BP26">
            <v>9648</v>
          </cell>
          <cell r="BQ26">
            <v>29172</v>
          </cell>
          <cell r="BR26">
            <v>10051</v>
          </cell>
          <cell r="BS26">
            <v>39223</v>
          </cell>
          <cell r="BT26">
            <v>9726.7887837181788</v>
          </cell>
          <cell r="BU26">
            <v>10200.07885248029</v>
          </cell>
          <cell r="BV26">
            <v>19926.867636198469</v>
          </cell>
          <cell r="BW26">
            <v>9886.3193337623125</v>
          </cell>
          <cell r="BX26">
            <v>29813.186969960785</v>
          </cell>
          <cell r="BY26">
            <v>10370.332468342804</v>
          </cell>
          <cell r="BZ26">
            <v>40183.519438303592</v>
          </cell>
          <cell r="CA26">
            <v>41033.073085912183</v>
          </cell>
          <cell r="CB26">
            <v>42409.688224665595</v>
          </cell>
          <cell r="CC26">
            <v>43978.234011610293</v>
          </cell>
          <cell r="CD26">
            <v>45732.747713388613</v>
          </cell>
          <cell r="CE26">
            <v>45505.250369339112</v>
          </cell>
          <cell r="CF26">
            <v>45780.981092775466</v>
          </cell>
          <cell r="CG26">
            <v>45413.522328576524</v>
          </cell>
          <cell r="CH26">
            <v>44998.250194710476</v>
          </cell>
          <cell r="CI26">
            <v>45322.167983684951</v>
          </cell>
          <cell r="CJ26">
            <v>46088.205265009841</v>
          </cell>
        </row>
        <row r="27">
          <cell r="A27" t="str">
            <v>Gross Margin %</v>
          </cell>
          <cell r="B27">
            <v>0.74966109353818344</v>
          </cell>
          <cell r="C27">
            <v>0.75175677613652658</v>
          </cell>
          <cell r="D27">
            <v>0.75073464590067585</v>
          </cell>
          <cell r="E27">
            <v>0.75598696329885218</v>
          </cell>
          <cell r="F27">
            <v>0.75252794039382653</v>
          </cell>
          <cell r="G27">
            <v>0.73621008181578251</v>
          </cell>
          <cell r="H27">
            <v>0.74815024604382763</v>
          </cell>
          <cell r="I27">
            <v>0.75724431818181814</v>
          </cell>
          <cell r="J27">
            <v>0.76654632972322501</v>
          </cell>
          <cell r="K27">
            <v>0.76203595288931747</v>
          </cell>
          <cell r="L27">
            <v>0.72639881685974861</v>
          </cell>
          <cell r="M27">
            <v>0.74925993019042991</v>
          </cell>
          <cell r="N27">
            <v>0.72885809842331584</v>
          </cell>
          <cell r="O27">
            <v>0.74375100790195126</v>
          </cell>
          <cell r="P27">
            <v>0.75345682233237676</v>
          </cell>
          <cell r="Q27">
            <v>0.75763986835919139</v>
          </cell>
          <cell r="R27">
            <v>0.75565722764931376</v>
          </cell>
          <cell r="S27">
            <v>0.73631107584174127</v>
          </cell>
          <cell r="T27">
            <v>0.74882976595319062</v>
          </cell>
          <cell r="U27">
            <v>0.74239199829751013</v>
          </cell>
          <cell r="V27">
            <v>0.74707062483644926</v>
          </cell>
          <cell r="W27">
            <v>0.75438212094653812</v>
          </cell>
          <cell r="X27">
            <v>0.75393617021276593</v>
          </cell>
          <cell r="Y27">
            <v>0.75415587219343694</v>
          </cell>
          <cell r="Z27">
            <v>0.70571101633205036</v>
          </cell>
          <cell r="AA27">
            <v>0.73760705021143524</v>
          </cell>
          <cell r="AB27">
            <v>0.72077333601852789</v>
          </cell>
          <cell r="AC27">
            <v>0.73321601176717799</v>
          </cell>
          <cell r="AD27">
            <v>0.76375012614794635</v>
          </cell>
          <cell r="AE27">
            <v>0.75088569830318852</v>
          </cell>
          <cell r="AF27">
            <v>0.75706324206445363</v>
          </cell>
          <cell r="AG27">
            <v>0.7455626800483226</v>
          </cell>
          <cell r="AH27">
            <v>0.75312141674098609</v>
          </cell>
          <cell r="AI27">
            <v>0.74565843008831989</v>
          </cell>
          <cell r="AJ27">
            <v>0.75122410091898018</v>
          </cell>
          <cell r="AK27">
            <v>0.7561025852301988</v>
          </cell>
          <cell r="AL27">
            <v>0.75080599279347615</v>
          </cell>
          <cell r="AM27">
            <v>0.75334485312268573</v>
          </cell>
          <cell r="AN27">
            <v>0.73849900775753208</v>
          </cell>
          <cell r="AO27">
            <v>0.74809355157780544</v>
          </cell>
          <cell r="AP27">
            <v>0.73325081231626177</v>
          </cell>
          <cell r="AQ27">
            <v>0.74375945964262313</v>
          </cell>
          <cell r="AR27">
            <v>0.76333360811145001</v>
          </cell>
          <cell r="AS27">
            <v>0.7438545578695801</v>
          </cell>
          <cell r="AT27">
            <v>0.75376357613116951</v>
          </cell>
          <cell r="AU27">
            <v>0.72809667673716016</v>
          </cell>
          <cell r="AV27">
            <v>0.74490048043925872</v>
          </cell>
          <cell r="AW27">
            <v>0.70004929924642578</v>
          </cell>
          <cell r="AX27">
            <v>0.73232063843236406</v>
          </cell>
          <cell r="AY27">
            <v>0.69607745283960476</v>
          </cell>
          <cell r="AZ27">
            <v>0.70426539013368727</v>
          </cell>
          <cell r="BA27">
            <v>0.70029714601617032</v>
          </cell>
          <cell r="BB27">
            <v>0.6902917200026949</v>
          </cell>
          <cell r="BC27">
            <v>0.69690533287655587</v>
          </cell>
          <cell r="BD27">
            <v>0.6682903727758609</v>
          </cell>
          <cell r="BE27">
            <v>0.6896834340743776</v>
          </cell>
          <cell r="BF27">
            <v>0.68649435748088827</v>
          </cell>
          <cell r="BG27">
            <v>0.69432986086834925</v>
          </cell>
          <cell r="BH27">
            <v>0.6904914758541979</v>
          </cell>
          <cell r="BI27">
            <v>0.68544940971970736</v>
          </cell>
          <cell r="BJ27">
            <v>0.68882781694348194</v>
          </cell>
          <cell r="BK27">
            <v>0.67311842460210414</v>
          </cell>
          <cell r="BL27">
            <v>0.68471759038695679</v>
          </cell>
          <cell r="BM27">
            <v>0.68493150684931503</v>
          </cell>
          <cell r="BN27">
            <v>0.68498067366096083</v>
          </cell>
          <cell r="BO27">
            <v>0.68495649733370756</v>
          </cell>
          <cell r="BP27">
            <v>0.67289719626168221</v>
          </cell>
          <cell r="BQ27">
            <v>0.68092059194248633</v>
          </cell>
          <cell r="BR27">
            <v>0.66660034487332542</v>
          </cell>
          <cell r="BS27">
            <v>0.6771926795580111</v>
          </cell>
          <cell r="BT27">
            <v>0.67947642650936735</v>
          </cell>
          <cell r="BU27">
            <v>0.68043586965240621</v>
          </cell>
          <cell r="BV27">
            <v>0.67996720385017373</v>
          </cell>
          <cell r="BW27">
            <v>0.67953321151911872</v>
          </cell>
          <cell r="BX27">
            <v>0.6798232266920341</v>
          </cell>
          <cell r="BY27">
            <v>0.68173624502219088</v>
          </cell>
          <cell r="BZ27">
            <v>0.68031589891374844</v>
          </cell>
          <cell r="CA27">
            <v>0.68022011359056644</v>
          </cell>
          <cell r="CB27">
            <v>0.6813408971499334</v>
          </cell>
          <cell r="CC27">
            <v>0.68315018886673584</v>
          </cell>
          <cell r="CD27">
            <v>0.68542947049813674</v>
          </cell>
          <cell r="CE27">
            <v>0.67931285522958695</v>
          </cell>
          <cell r="CF27">
            <v>0.67458620787253787</v>
          </cell>
          <cell r="CG27">
            <v>0.66782762643531357</v>
          </cell>
          <cell r="CH27">
            <v>0.66088456333967538</v>
          </cell>
          <cell r="CI27">
            <v>0.65718437641210437</v>
          </cell>
          <cell r="CJ27">
            <v>0.67959687298340221</v>
          </cell>
        </row>
        <row r="29">
          <cell r="A29" t="str">
            <v>Marketing, &amp; Distribution</v>
          </cell>
          <cell r="B29">
            <v>-2060</v>
          </cell>
          <cell r="C29">
            <v>-2204</v>
          </cell>
          <cell r="D29">
            <v>-4264</v>
          </cell>
          <cell r="E29">
            <v>-2109</v>
          </cell>
          <cell r="F29">
            <v>-6373</v>
          </cell>
          <cell r="G29">
            <v>-2500</v>
          </cell>
          <cell r="H29">
            <v>-8873</v>
          </cell>
          <cell r="I29">
            <v>-2213</v>
          </cell>
          <cell r="J29">
            <v>-2352</v>
          </cell>
          <cell r="K29">
            <v>-4565</v>
          </cell>
          <cell r="L29">
            <v>-2299</v>
          </cell>
          <cell r="M29">
            <v>-6864</v>
          </cell>
          <cell r="N29">
            <v>-2533</v>
          </cell>
          <cell r="O29">
            <v>-9397</v>
          </cell>
          <cell r="P29">
            <v>-2200</v>
          </cell>
          <cell r="Q29">
            <v>-2510</v>
          </cell>
          <cell r="R29">
            <v>-4710</v>
          </cell>
          <cell r="S29">
            <v>-2478</v>
          </cell>
          <cell r="T29">
            <v>-7188</v>
          </cell>
          <cell r="U29">
            <v>-2904</v>
          </cell>
          <cell r="V29">
            <v>-10092</v>
          </cell>
          <cell r="W29">
            <v>-2587</v>
          </cell>
          <cell r="X29">
            <v>-2812</v>
          </cell>
          <cell r="Y29">
            <v>-5399</v>
          </cell>
          <cell r="Z29">
            <v>-2682</v>
          </cell>
          <cell r="AA29">
            <v>-8081</v>
          </cell>
          <cell r="AB29">
            <v>-3045</v>
          </cell>
          <cell r="AC29">
            <v>-11126</v>
          </cell>
          <cell r="AD29">
            <v>-2815</v>
          </cell>
          <cell r="AE29">
            <v>-3106</v>
          </cell>
          <cell r="AF29">
            <v>-5921</v>
          </cell>
          <cell r="AG29">
            <v>-2877</v>
          </cell>
          <cell r="AH29">
            <v>-8798</v>
          </cell>
          <cell r="AI29">
            <v>-3054</v>
          </cell>
          <cell r="AJ29">
            <v>-11852</v>
          </cell>
          <cell r="AK29">
            <v>-2721</v>
          </cell>
          <cell r="AL29">
            <v>-2990</v>
          </cell>
          <cell r="AM29">
            <v>-5711</v>
          </cell>
          <cell r="AN29">
            <v>-2863</v>
          </cell>
          <cell r="AO29">
            <v>-8574</v>
          </cell>
          <cell r="AP29">
            <v>-3476</v>
          </cell>
          <cell r="AQ29">
            <v>-12050</v>
          </cell>
          <cell r="AR29">
            <v>-3014</v>
          </cell>
          <cell r="AS29">
            <v>-3145</v>
          </cell>
          <cell r="AT29">
            <v>-6159</v>
          </cell>
          <cell r="AU29">
            <v>-3167</v>
          </cell>
          <cell r="AV29">
            <v>-9326</v>
          </cell>
          <cell r="AW29">
            <v>-3990</v>
          </cell>
          <cell r="AX29">
            <v>-13316</v>
          </cell>
          <cell r="AY29">
            <v>-3524</v>
          </cell>
          <cell r="AZ29">
            <v>-3904</v>
          </cell>
          <cell r="BA29">
            <v>-7428</v>
          </cell>
          <cell r="BB29">
            <v>-3652</v>
          </cell>
          <cell r="BC29">
            <v>-11080</v>
          </cell>
          <cell r="BD29">
            <v>-3999</v>
          </cell>
          <cell r="BE29">
            <v>-15079</v>
          </cell>
          <cell r="BF29">
            <v>-3495</v>
          </cell>
          <cell r="BG29">
            <v>-3613</v>
          </cell>
          <cell r="BH29">
            <v>-7108</v>
          </cell>
          <cell r="BI29">
            <v>-3393</v>
          </cell>
          <cell r="BJ29">
            <v>-10501</v>
          </cell>
          <cell r="BK29">
            <v>-3852</v>
          </cell>
          <cell r="BL29">
            <v>-14353</v>
          </cell>
          <cell r="BM29">
            <v>-3457</v>
          </cell>
          <cell r="BN29">
            <v>-3657</v>
          </cell>
          <cell r="BO29">
            <v>-7114</v>
          </cell>
          <cell r="BP29">
            <v>-3481</v>
          </cell>
          <cell r="BQ29">
            <v>-10595</v>
          </cell>
          <cell r="BR29">
            <v>-3954</v>
          </cell>
          <cell r="BS29">
            <v>-14549</v>
          </cell>
          <cell r="BT29">
            <v>-3587.5338715225139</v>
          </cell>
          <cell r="BU29">
            <v>-3726.2057503273913</v>
          </cell>
          <cell r="BV29">
            <v>-7313.7396218499052</v>
          </cell>
          <cell r="BW29">
            <v>-3551.6216904133753</v>
          </cell>
          <cell r="BX29">
            <v>-10865.361312263281</v>
          </cell>
          <cell r="BY29">
            <v>-3870.3797118227658</v>
          </cell>
          <cell r="BZ29">
            <v>-14735.741024086044</v>
          </cell>
          <cell r="CA29">
            <v>-14973.333668076248</v>
          </cell>
          <cell r="CB29">
            <v>-15301.95738419263</v>
          </cell>
          <cell r="CC29">
            <v>-15721.531907129794</v>
          </cell>
          <cell r="CD29">
            <v>-16223.485283880689</v>
          </cell>
          <cell r="CE29">
            <v>-16161.718743070447</v>
          </cell>
          <cell r="CF29">
            <v>-16274.670687685664</v>
          </cell>
          <cell r="CG29">
            <v>-16183.322454120229</v>
          </cell>
          <cell r="CH29">
            <v>-16049.344852036285</v>
          </cell>
          <cell r="CI29">
            <v>-16089.086000425323</v>
          </cell>
          <cell r="CJ29">
            <v>-15589.295710606686</v>
          </cell>
        </row>
        <row r="30">
          <cell r="A30" t="str">
            <v>M&amp;D (% of Sales)</v>
          </cell>
          <cell r="B30">
            <v>0.31028769392980871</v>
          </cell>
          <cell r="C30">
            <v>0.31607629427792916</v>
          </cell>
          <cell r="D30">
            <v>0.31325301204819278</v>
          </cell>
          <cell r="E30">
            <v>0.29885220348590052</v>
          </cell>
          <cell r="F30">
            <v>0.308336155595336</v>
          </cell>
          <cell r="G30">
            <v>0.3299023489047242</v>
          </cell>
          <cell r="H30">
            <v>0.31412185364817502</v>
          </cell>
          <cell r="I30">
            <v>0.31434659090909089</v>
          </cell>
          <cell r="J30">
            <v>0.31448054552747695</v>
          </cell>
          <cell r="K30">
            <v>0.31441559336042429</v>
          </cell>
          <cell r="L30">
            <v>0.28333744145920631</v>
          </cell>
          <cell r="M30">
            <v>0.30327398047099369</v>
          </cell>
          <cell r="N30">
            <v>0.30255613951266125</v>
          </cell>
          <cell r="O30">
            <v>0.30308014836316721</v>
          </cell>
          <cell r="P30">
            <v>0.28698147665014351</v>
          </cell>
          <cell r="Q30">
            <v>0.29501645510108132</v>
          </cell>
          <cell r="R30">
            <v>0.29120811178434525</v>
          </cell>
          <cell r="S30">
            <v>0.2809205305520916</v>
          </cell>
          <cell r="T30">
            <v>0.28757751550310062</v>
          </cell>
          <cell r="U30">
            <v>0.30900191530112792</v>
          </cell>
          <cell r="V30">
            <v>0.29343180298316518</v>
          </cell>
          <cell r="W30">
            <v>0.2834136722173532</v>
          </cell>
          <cell r="X30">
            <v>0.29914893617021276</v>
          </cell>
          <cell r="Y30">
            <v>0.29139680483592401</v>
          </cell>
          <cell r="Z30">
            <v>0.27899719130344325</v>
          </cell>
          <cell r="AA30">
            <v>0.28716108169574645</v>
          </cell>
          <cell r="AB30">
            <v>0.30661564797099988</v>
          </cell>
          <cell r="AC30">
            <v>0.2922357638159277</v>
          </cell>
          <cell r="AD30">
            <v>0.28408517509334946</v>
          </cell>
          <cell r="AE30">
            <v>0.2895767294424762</v>
          </cell>
          <cell r="AF30">
            <v>0.28693966561667072</v>
          </cell>
          <cell r="AG30">
            <v>0.2673543350989685</v>
          </cell>
          <cell r="AH30">
            <v>0.28022678048159</v>
          </cell>
          <cell r="AI30">
            <v>0.3030663888061923</v>
          </cell>
          <cell r="AJ30">
            <v>0.28587278998528665</v>
          </cell>
          <cell r="AK30">
            <v>0.2802554331033062</v>
          </cell>
          <cell r="AL30">
            <v>0.28351981794045134</v>
          </cell>
          <cell r="AM30">
            <v>0.28195507282152554</v>
          </cell>
          <cell r="AN30">
            <v>0.25825365325635935</v>
          </cell>
          <cell r="AO30">
            <v>0.27357136019910022</v>
          </cell>
          <cell r="AP30">
            <v>0.26891536438186603</v>
          </cell>
          <cell r="AQ30">
            <v>0.27221180563399372</v>
          </cell>
          <cell r="AR30">
            <v>0.24845437309372681</v>
          </cell>
          <cell r="AS30">
            <v>0.26843632639125981</v>
          </cell>
          <cell r="AT30">
            <v>0.25827148068939487</v>
          </cell>
          <cell r="AU30">
            <v>0.25178883765304499</v>
          </cell>
          <cell r="AV30">
            <v>0.25603294440631436</v>
          </cell>
          <cell r="AW30">
            <v>0.28100570462708641</v>
          </cell>
          <cell r="AX30">
            <v>0.26303729456384323</v>
          </cell>
          <cell r="AY30">
            <v>0.25123693553676585</v>
          </cell>
          <cell r="AZ30">
            <v>0.26174289660351047</v>
          </cell>
          <cell r="BA30">
            <v>0.25665123350148572</v>
          </cell>
          <cell r="BB30">
            <v>0.24604190527521391</v>
          </cell>
          <cell r="BC30">
            <v>0.25305469909786454</v>
          </cell>
          <cell r="BD30">
            <v>0.27055003044448955</v>
          </cell>
          <cell r="BE30">
            <v>0.25747020455554415</v>
          </cell>
          <cell r="BF30">
            <v>0.25445941026574442</v>
          </cell>
          <cell r="BG30">
            <v>0.25260434873802701</v>
          </cell>
          <cell r="BH30">
            <v>0.25351308937870032</v>
          </cell>
          <cell r="BI30">
            <v>0.24574491200115883</v>
          </cell>
          <cell r="BJ30">
            <v>0.25094993428127615</v>
          </cell>
          <cell r="BK30">
            <v>0.25977879687078498</v>
          </cell>
          <cell r="BL30">
            <v>0.25325992977255485</v>
          </cell>
          <cell r="BM30">
            <v>0.2466466894977169</v>
          </cell>
          <cell r="BN30">
            <v>0.25241579237990058</v>
          </cell>
          <cell r="BO30">
            <v>0.24957900645523434</v>
          </cell>
          <cell r="BP30">
            <v>0.24278142000278979</v>
          </cell>
          <cell r="BQ30">
            <v>0.24730404743009196</v>
          </cell>
          <cell r="BR30">
            <v>0.26223637087146834</v>
          </cell>
          <cell r="BS30">
            <v>0.25119129834254145</v>
          </cell>
          <cell r="BT30">
            <v>0.25061145555908898</v>
          </cell>
          <cell r="BU30">
            <v>0.24857102448882412</v>
          </cell>
          <cell r="BV30">
            <v>0.2495677279114123</v>
          </cell>
          <cell r="BW30">
            <v>0.24411965787363535</v>
          </cell>
          <cell r="BX30">
            <v>0.24776032813667803</v>
          </cell>
          <cell r="BY30">
            <v>0.2544352497475687</v>
          </cell>
          <cell r="BZ30">
            <v>0.24947936470207091</v>
          </cell>
          <cell r="CA30">
            <v>0.2482183751434677</v>
          </cell>
          <cell r="CB30">
            <v>0.24583650125096065</v>
          </cell>
          <cell r="CC30">
            <v>0.24421552463417967</v>
          </cell>
          <cell r="CD30">
            <v>0.24315300268978093</v>
          </cell>
          <cell r="CE30">
            <v>0.24126585867924685</v>
          </cell>
          <cell r="CF30">
            <v>0.23980849954551817</v>
          </cell>
          <cell r="CG30">
            <v>0.23798351830489231</v>
          </cell>
          <cell r="CH30">
            <v>0.23571503821881251</v>
          </cell>
          <cell r="CI30">
            <v>0.23329634085546117</v>
          </cell>
          <cell r="CJ30">
            <v>0.22987305658841015</v>
          </cell>
        </row>
        <row r="31">
          <cell r="A31" t="str">
            <v xml:space="preserve"> growth (%)</v>
          </cell>
          <cell r="O31">
            <v>5.9055561816747426E-2</v>
          </cell>
          <cell r="V31">
            <v>7.3959774396083811E-2</v>
          </cell>
          <cell r="AC31">
            <v>0.10245739199365844</v>
          </cell>
          <cell r="AD31">
            <v>8.8132972555083011E-2</v>
          </cell>
          <cell r="AE31">
            <v>0.10455192034139404</v>
          </cell>
          <cell r="AF31">
            <v>9.6684571216892001E-2</v>
          </cell>
          <cell r="AG31">
            <v>7.2706935123042493E-2</v>
          </cell>
          <cell r="AH31">
            <v>8.8726642742234851E-2</v>
          </cell>
          <cell r="AI31">
            <v>2.9556650246305161E-3</v>
          </cell>
          <cell r="AJ31">
            <v>6.5252561567499479E-2</v>
          </cell>
          <cell r="AK31">
            <v>-3.3392539964475998E-2</v>
          </cell>
          <cell r="AL31">
            <v>-3.7347070186735332E-2</v>
          </cell>
          <cell r="AM31">
            <v>-3.5466981928728214E-2</v>
          </cell>
          <cell r="AN31">
            <v>-4.8661800486617945E-3</v>
          </cell>
          <cell r="AO31">
            <v>-2.5460331893612187E-2</v>
          </cell>
          <cell r="AP31">
            <v>0.13817943680419131</v>
          </cell>
          <cell r="AQ31">
            <v>1.6706041174485264E-2</v>
          </cell>
          <cell r="AR31">
            <v>0.10768099963248812</v>
          </cell>
          <cell r="AS31">
            <v>5.183946488294322E-2</v>
          </cell>
          <cell r="AT31">
            <v>7.8445105935913251E-2</v>
          </cell>
          <cell r="AU31">
            <v>0.10618232623122603</v>
          </cell>
          <cell r="AV31">
            <v>8.7707021226965276E-2</v>
          </cell>
          <cell r="AW31">
            <v>0.14787111622554661</v>
          </cell>
          <cell r="AX31">
            <v>0.10506224066390035</v>
          </cell>
          <cell r="AY31">
            <v>0.16921035169210352</v>
          </cell>
          <cell r="AZ31">
            <v>0.24133545310015903</v>
          </cell>
          <cell r="BA31">
            <v>0.20603994154895267</v>
          </cell>
          <cell r="BB31">
            <v>0.1531417745500474</v>
          </cell>
          <cell r="BC31">
            <v>0.18807634570019305</v>
          </cell>
          <cell r="BD31">
            <v>2.2556390977443996E-3</v>
          </cell>
          <cell r="BE31">
            <v>0.13239711625112638</v>
          </cell>
          <cell r="BF31">
            <v>-8.2292849035187077E-3</v>
          </cell>
          <cell r="BG31">
            <v>-7.4538934426229497E-2</v>
          </cell>
          <cell r="BH31">
            <v>-4.3080236941303141E-2</v>
          </cell>
          <cell r="BI31">
            <v>-7.0920043811610101E-2</v>
          </cell>
          <cell r="BJ31">
            <v>-5.2256317689530651E-2</v>
          </cell>
          <cell r="BK31">
            <v>-3.675918979744941E-2</v>
          </cell>
          <cell r="BL31">
            <v>-1.6352473833845194E-2</v>
          </cell>
          <cell r="BM31">
            <v>-3.0703210228571698E-2</v>
          </cell>
          <cell r="BN31">
            <v>-7.4644937455914384E-4</v>
          </cell>
          <cell r="BO31">
            <v>-1.5518263507053875E-2</v>
          </cell>
          <cell r="BP31">
            <v>-1.2059220165482221E-2</v>
          </cell>
          <cell r="BQ31">
            <v>-1.4528343518503295E-2</v>
          </cell>
          <cell r="BR31">
            <v>9.4602563037728959E-3</v>
          </cell>
          <cell r="BS31">
            <v>-8.1680170719117262E-3</v>
          </cell>
          <cell r="BT31">
            <v>3.7759291733443501E-2</v>
          </cell>
          <cell r="BU31">
            <v>1.8924186581184443E-2</v>
          </cell>
          <cell r="BV31">
            <v>2.8076978050310064E-2</v>
          </cell>
          <cell r="BW31">
            <v>2.028775938333105E-2</v>
          </cell>
          <cell r="BX31">
            <v>2.5517820883745213E-2</v>
          </cell>
          <cell r="BY31">
            <v>-2.1148277232482138E-2</v>
          </cell>
          <cell r="BZ31">
            <v>1.2835316797446206E-2</v>
          </cell>
          <cell r="CA31">
            <v>1.6123562676749748E-2</v>
          </cell>
          <cell r="CB31">
            <v>2.1947264610620465E-2</v>
          </cell>
          <cell r="CC31">
            <v>2.7419663537332717E-2</v>
          </cell>
          <cell r="CD31">
            <v>3.1927765036895428E-2</v>
          </cell>
          <cell r="CE31">
            <v>-3.8072300575026086E-3</v>
          </cell>
          <cell r="CF31">
            <v>6.9888572131999727E-3</v>
          </cell>
          <cell r="CG31">
            <v>-5.6129082620733906E-3</v>
          </cell>
          <cell r="CH31">
            <v>-8.2787451380129662E-3</v>
          </cell>
          <cell r="CI31">
            <v>2.4761850876420244E-3</v>
          </cell>
          <cell r="CJ31">
            <v>-3.106393301679311E-2</v>
          </cell>
        </row>
        <row r="33">
          <cell r="A33" t="str">
            <v>R&amp;D</v>
          </cell>
          <cell r="B33">
            <v>-938</v>
          </cell>
          <cell r="C33">
            <v>-955</v>
          </cell>
          <cell r="D33">
            <v>-1893</v>
          </cell>
          <cell r="E33">
            <v>-1044</v>
          </cell>
          <cell r="F33">
            <v>-2937</v>
          </cell>
          <cell r="G33">
            <v>-1234</v>
          </cell>
          <cell r="H33">
            <v>-4171</v>
          </cell>
          <cell r="I33">
            <v>-1082</v>
          </cell>
          <cell r="J33">
            <v>-1090</v>
          </cell>
          <cell r="K33">
            <v>-2172</v>
          </cell>
          <cell r="L33">
            <v>-1187</v>
          </cell>
          <cell r="M33">
            <v>-3359</v>
          </cell>
          <cell r="N33">
            <v>-1466</v>
          </cell>
          <cell r="O33">
            <v>-4825</v>
          </cell>
          <cell r="P33">
            <v>-1124</v>
          </cell>
          <cell r="Q33">
            <v>-1253</v>
          </cell>
          <cell r="R33">
            <v>-2377</v>
          </cell>
          <cell r="S33">
            <v>-1404</v>
          </cell>
          <cell r="T33">
            <v>-3781</v>
          </cell>
          <cell r="U33">
            <v>-1540</v>
          </cell>
          <cell r="V33">
            <v>-5321</v>
          </cell>
          <cell r="W33">
            <v>-1502</v>
          </cell>
          <cell r="X33">
            <v>-1529</v>
          </cell>
          <cell r="Y33">
            <v>-3031</v>
          </cell>
          <cell r="Z33">
            <v>-1552</v>
          </cell>
          <cell r="AA33">
            <v>-4583</v>
          </cell>
          <cell r="AB33">
            <v>-1847</v>
          </cell>
          <cell r="AC33">
            <v>-6430</v>
          </cell>
          <cell r="AD33">
            <v>-1674</v>
          </cell>
          <cell r="AE33">
            <v>-1767</v>
          </cell>
          <cell r="AF33">
            <v>-3441</v>
          </cell>
          <cell r="AG33">
            <v>-1942</v>
          </cell>
          <cell r="AH33">
            <v>-5383</v>
          </cell>
          <cell r="AI33">
            <v>-1834</v>
          </cell>
          <cell r="AJ33">
            <v>-7217</v>
          </cell>
          <cell r="AK33">
            <v>-1694</v>
          </cell>
          <cell r="AL33">
            <v>-1802</v>
          </cell>
          <cell r="AM33">
            <v>-3496</v>
          </cell>
          <cell r="AN33">
            <v>-1825</v>
          </cell>
          <cell r="AO33">
            <v>-5321</v>
          </cell>
          <cell r="AP33">
            <v>-2148</v>
          </cell>
          <cell r="AQ33">
            <v>-7469</v>
          </cell>
          <cell r="AR33">
            <v>-2037</v>
          </cell>
          <cell r="AS33">
            <v>-1893</v>
          </cell>
          <cell r="AT33">
            <v>-3930</v>
          </cell>
          <cell r="AU33">
            <v>-2548</v>
          </cell>
          <cell r="AV33">
            <v>-6478</v>
          </cell>
          <cell r="AW33">
            <v>-2592</v>
          </cell>
          <cell r="AX33">
            <v>-9070</v>
          </cell>
          <cell r="AY33">
            <v>-2188</v>
          </cell>
          <cell r="AZ33">
            <v>-2397</v>
          </cell>
          <cell r="BA33">
            <v>-4585</v>
          </cell>
          <cell r="BB33">
            <v>-2475</v>
          </cell>
          <cell r="BC33">
            <v>-7060</v>
          </cell>
          <cell r="BD33">
            <v>-2523</v>
          </cell>
          <cell r="BE33">
            <v>-9583</v>
          </cell>
          <cell r="BF33">
            <v>-2235</v>
          </cell>
          <cell r="BG33">
            <v>-2285</v>
          </cell>
          <cell r="BH33">
            <v>-4520</v>
          </cell>
          <cell r="BI33">
            <v>-2191</v>
          </cell>
          <cell r="BJ33">
            <v>-6711</v>
          </cell>
          <cell r="BK33">
            <v>-2621</v>
          </cell>
          <cell r="BL33">
            <v>-9332</v>
          </cell>
          <cell r="BM33">
            <v>-2297</v>
          </cell>
          <cell r="BN33">
            <v>-2439</v>
          </cell>
          <cell r="BO33">
            <v>-4736</v>
          </cell>
          <cell r="BP33">
            <v>-2419</v>
          </cell>
          <cell r="BQ33">
            <v>-7155</v>
          </cell>
          <cell r="BR33">
            <v>-2697</v>
          </cell>
          <cell r="BS33">
            <v>-9852</v>
          </cell>
          <cell r="BT33">
            <v>-2415.4393351756062</v>
          </cell>
          <cell r="BU33">
            <v>-2514.2306315135702</v>
          </cell>
          <cell r="BV33">
            <v>-4929.6699666891764</v>
          </cell>
          <cell r="BW33">
            <v>-2398.1148650509849</v>
          </cell>
          <cell r="BX33">
            <v>-7327.7848317401613</v>
          </cell>
          <cell r="BY33">
            <v>-2644.1621496758971</v>
          </cell>
          <cell r="BZ33">
            <v>-9971.9469814160584</v>
          </cell>
          <cell r="CA33">
            <v>-10201.175801283414</v>
          </cell>
          <cell r="CB33">
            <v>-10613.565424617489</v>
          </cell>
          <cell r="CC33">
            <v>-10966.233613181721</v>
          </cell>
          <cell r="CD33">
            <v>-11314.607820126537</v>
          </cell>
          <cell r="CE33">
            <v>-11502.758604549917</v>
          </cell>
          <cell r="CF33">
            <v>-11687.580024495563</v>
          </cell>
          <cell r="CG33">
            <v>-11430.406765306374</v>
          </cell>
          <cell r="CH33">
            <v>-11159.588605491626</v>
          </cell>
          <cell r="CI33">
            <v>-11075.293023511362</v>
          </cell>
          <cell r="CJ33">
            <v>-9713.0238856283213</v>
          </cell>
          <cell r="CL33" t="str">
            <v>mstag:researchAndDevelopment</v>
          </cell>
          <cell r="CM33">
            <v>6</v>
          </cell>
          <cell r="CN33" t="str">
            <v>ISO4217:USD</v>
          </cell>
          <cell r="CO33" t="b">
            <v>1</v>
          </cell>
        </row>
        <row r="34">
          <cell r="A34" t="str">
            <v>R&amp;D (% of Sales)</v>
          </cell>
          <cell r="B34">
            <v>0.14128633830396145</v>
          </cell>
          <cell r="C34">
            <v>0.13695683350064536</v>
          </cell>
          <cell r="D34">
            <v>0.13906846899794298</v>
          </cell>
          <cell r="E34">
            <v>0.14793821737282131</v>
          </cell>
          <cell r="F34">
            <v>0.14209686003193187</v>
          </cell>
          <cell r="G34">
            <v>0.16283979941937188</v>
          </cell>
          <cell r="H34">
            <v>0.14766169858746062</v>
          </cell>
          <cell r="I34">
            <v>0.15369318181818181</v>
          </cell>
          <cell r="J34">
            <v>0.14574140927931542</v>
          </cell>
          <cell r="K34">
            <v>0.1495970796886838</v>
          </cell>
          <cell r="L34">
            <v>0.14629036233670201</v>
          </cell>
          <cell r="M34">
            <v>0.1484116113639376</v>
          </cell>
          <cell r="N34">
            <v>0.17510750119445773</v>
          </cell>
          <cell r="O34">
            <v>0.15562006128043865</v>
          </cell>
          <cell r="P34">
            <v>0.14662144534307331</v>
          </cell>
          <cell r="Q34">
            <v>0.14727315467795016</v>
          </cell>
          <cell r="R34">
            <v>0.14696426363299123</v>
          </cell>
          <cell r="S34">
            <v>0.15916562747987756</v>
          </cell>
          <cell r="T34">
            <v>0.15127025405081015</v>
          </cell>
          <cell r="U34">
            <v>0.16386465205362843</v>
          </cell>
          <cell r="V34">
            <v>0.1547117145930858</v>
          </cell>
          <cell r="W34">
            <v>0.16454864154250656</v>
          </cell>
          <cell r="X34">
            <v>0.1626595744680851</v>
          </cell>
          <cell r="Y34">
            <v>0.16359024179620035</v>
          </cell>
          <cell r="Z34">
            <v>0.1614480391137002</v>
          </cell>
          <cell r="AA34">
            <v>0.16285846274119611</v>
          </cell>
          <cell r="AB34">
            <v>0.18598328466418287</v>
          </cell>
          <cell r="AC34">
            <v>0.1688905232191637</v>
          </cell>
          <cell r="AD34">
            <v>0.16893732970027248</v>
          </cell>
          <cell r="AE34">
            <v>0.16473988439306358</v>
          </cell>
          <cell r="AF34">
            <v>0.16675551247879816</v>
          </cell>
          <cell r="AG34">
            <v>0.18046649939596693</v>
          </cell>
          <cell r="AH34">
            <v>0.17145496241559435</v>
          </cell>
          <cell r="AI34">
            <v>0.18199861069762827</v>
          </cell>
          <cell r="AJ34">
            <v>0.17407559275428736</v>
          </cell>
          <cell r="AK34">
            <v>0.17447728911319393</v>
          </cell>
          <cell r="AL34">
            <v>0.17087047221695428</v>
          </cell>
          <cell r="AM34">
            <v>0.17259935818316466</v>
          </cell>
          <cell r="AN34">
            <v>0.16462204582356124</v>
          </cell>
          <cell r="AO34">
            <v>0.16977760760664945</v>
          </cell>
          <cell r="AP34">
            <v>0.16617669812780442</v>
          </cell>
          <cell r="AQ34">
            <v>0.16872613911039827</v>
          </cell>
          <cell r="AR34">
            <v>0.16791690709751875</v>
          </cell>
          <cell r="AS34">
            <v>0.16157391601229087</v>
          </cell>
          <cell r="AT34">
            <v>0.16480060384954082</v>
          </cell>
          <cell r="AU34">
            <v>0.20257592622038481</v>
          </cell>
          <cell r="AV34">
            <v>0.1778448867536033</v>
          </cell>
          <cell r="AW34">
            <v>0.18254806676526517</v>
          </cell>
          <cell r="AX34">
            <v>0.17916403286978508</v>
          </cell>
          <cell r="AY34">
            <v>0.15598933455006914</v>
          </cell>
          <cell r="AZ34">
            <v>0.16070638400579268</v>
          </cell>
          <cell r="BA34">
            <v>0.15842028885356921</v>
          </cell>
          <cell r="BB34">
            <v>0.16674526712928653</v>
          </cell>
          <cell r="BC34">
            <v>0.16124243462372959</v>
          </cell>
          <cell r="BD34">
            <v>0.17069210472904403</v>
          </cell>
          <cell r="BE34">
            <v>0.16362736058463956</v>
          </cell>
          <cell r="BF34">
            <v>0.16272297051328721</v>
          </cell>
          <cell r="BG34">
            <v>0.15975669439977627</v>
          </cell>
          <cell r="BH34">
            <v>0.16120978671802555</v>
          </cell>
          <cell r="BI34">
            <v>0.15868762222061272</v>
          </cell>
          <cell r="BJ34">
            <v>0.16037758394073365</v>
          </cell>
          <cell r="BK34">
            <v>0.1767601834367413</v>
          </cell>
          <cell r="BL34">
            <v>0.16466394932331094</v>
          </cell>
          <cell r="BM34">
            <v>0.16388413242009131</v>
          </cell>
          <cell r="BN34">
            <v>0.16834621755935947</v>
          </cell>
          <cell r="BO34">
            <v>0.16615211900084198</v>
          </cell>
          <cell r="BP34">
            <v>0.16871251220532849</v>
          </cell>
          <cell r="BQ34">
            <v>0.16700900985014705</v>
          </cell>
          <cell r="BR34">
            <v>0.17886987664146439</v>
          </cell>
          <cell r="BS34">
            <v>0.17009668508287293</v>
          </cell>
          <cell r="BT34">
            <v>0.16873339438217985</v>
          </cell>
          <cell r="BU34">
            <v>0.16772151774539043</v>
          </cell>
          <cell r="BV34">
            <v>0.16821579609755946</v>
          </cell>
          <cell r="BW34">
            <v>0.16483371018318888</v>
          </cell>
          <cell r="BX34">
            <v>0.16709378751885556</v>
          </cell>
          <cell r="BY34">
            <v>0.17382482004821512</v>
          </cell>
          <cell r="BZ34">
            <v>0.16882727469898057</v>
          </cell>
          <cell r="CA34">
            <v>0.16910858584190985</v>
          </cell>
          <cell r="CB34">
            <v>0.17051425018877076</v>
          </cell>
          <cell r="CC34">
            <v>0.17034755333795473</v>
          </cell>
          <cell r="CD34">
            <v>0.16958013753398349</v>
          </cell>
          <cell r="CE34">
            <v>0.17171582899230597</v>
          </cell>
          <cell r="CF34">
            <v>0.17221737279840593</v>
          </cell>
          <cell r="CG34">
            <v>0.16808961357444166</v>
          </cell>
          <cell r="CH34">
            <v>0.16389970300351148</v>
          </cell>
          <cell r="CI34">
            <v>0.16059491112291358</v>
          </cell>
          <cell r="CJ34">
            <v>0.14322407700474152</v>
          </cell>
        </row>
        <row r="35">
          <cell r="A35" t="str">
            <v xml:space="preserve"> growth (%)</v>
          </cell>
          <cell r="O35">
            <v>0.15679693119156068</v>
          </cell>
          <cell r="V35">
            <v>0.10279792746113992</v>
          </cell>
          <cell r="AC35">
            <v>0.20841947002443151</v>
          </cell>
          <cell r="AD35">
            <v>0.11451398135818902</v>
          </cell>
          <cell r="AE35">
            <v>0.15565729234793979</v>
          </cell>
          <cell r="AF35">
            <v>0.13526888815572424</v>
          </cell>
          <cell r="AG35">
            <v>0.25128865979381443</v>
          </cell>
          <cell r="AH35">
            <v>0.17455814968361327</v>
          </cell>
          <cell r="AI35">
            <v>-7.0384407146724115E-3</v>
          </cell>
          <cell r="AJ35">
            <v>0.12239502332814922</v>
          </cell>
          <cell r="AK35">
            <v>1.1947431302270051E-2</v>
          </cell>
          <cell r="AL35">
            <v>1.9807583474816148E-2</v>
          </cell>
          <cell r="AM35">
            <v>1.5983725661145032E-2</v>
          </cell>
          <cell r="AN35">
            <v>-6.0247167868177187E-2</v>
          </cell>
          <cell r="AO35">
            <v>-1.151774103659664E-2</v>
          </cell>
          <cell r="AP35">
            <v>0.1712104689203926</v>
          </cell>
          <cell r="AQ35">
            <v>3.491755577109612E-2</v>
          </cell>
          <cell r="AR35">
            <v>0.20247933884297531</v>
          </cell>
          <cell r="AS35">
            <v>5.0499445061043202E-2</v>
          </cell>
          <cell r="AT35">
            <v>0.12414187643020602</v>
          </cell>
          <cell r="AU35">
            <v>0.39616438356164374</v>
          </cell>
          <cell r="AV35">
            <v>0.21744033076489377</v>
          </cell>
          <cell r="AW35">
            <v>0.2067039106145252</v>
          </cell>
          <cell r="AX35">
            <v>0.21435265765162681</v>
          </cell>
          <cell r="AY35">
            <v>7.4128620520373056E-2</v>
          </cell>
          <cell r="AZ35">
            <v>0.26624405705229792</v>
          </cell>
          <cell r="BA35">
            <v>0.16666666666666674</v>
          </cell>
          <cell r="BB35">
            <v>-2.8649921507064358E-2</v>
          </cell>
          <cell r="BC35">
            <v>8.9842543995060309E-2</v>
          </cell>
          <cell r="BD35">
            <v>-2.662037037037035E-2</v>
          </cell>
          <cell r="BE35">
            <v>5.656008820286651E-2</v>
          </cell>
          <cell r="BF35">
            <v>2.1480804387568497E-2</v>
          </cell>
          <cell r="BG35">
            <v>-4.672507300792661E-2</v>
          </cell>
          <cell r="BH35">
            <v>-1.4176663031624903E-2</v>
          </cell>
          <cell r="BI35">
            <v>-0.11474747474747471</v>
          </cell>
          <cell r="BJ35">
            <v>-4.9433427762039628E-2</v>
          </cell>
          <cell r="BK35">
            <v>3.8842647641696315E-2</v>
          </cell>
          <cell r="BL35">
            <v>6.3350575048553015E-3</v>
          </cell>
          <cell r="BM35">
            <v>7.1358204876752485E-3</v>
          </cell>
          <cell r="BN35">
            <v>5.3766279978782583E-2</v>
          </cell>
          <cell r="BO35">
            <v>3.0657768262302376E-2</v>
          </cell>
          <cell r="BP35">
            <v>6.3173736202177366E-2</v>
          </cell>
          <cell r="BQ35">
            <v>4.13488328385343E-2</v>
          </cell>
          <cell r="BR35">
            <v>1.1935341793068988E-2</v>
          </cell>
          <cell r="BS35">
            <v>3.2992866877588511E-2</v>
          </cell>
          <cell r="BT35">
            <v>5.1562618709449781E-2</v>
          </cell>
          <cell r="BU35">
            <v>3.0844867369237416E-2</v>
          </cell>
          <cell r="BV35">
            <v>4.0893151750248435E-2</v>
          </cell>
          <cell r="BW35">
            <v>-8.633788734607295E-3</v>
          </cell>
          <cell r="BX35">
            <v>2.4148823443768119E-2</v>
          </cell>
          <cell r="BY35">
            <v>-1.9591342352281327E-2</v>
          </cell>
          <cell r="BZ35">
            <v>1.2174886461232104E-2</v>
          </cell>
          <cell r="CA35">
            <v>2.2987368494292282E-2</v>
          </cell>
          <cell r="CB35">
            <v>4.0425695171549814E-2</v>
          </cell>
          <cell r="CC35">
            <v>3.3228059983145819E-2</v>
          </cell>
          <cell r="CD35">
            <v>3.1767899466053739E-2</v>
          </cell>
          <cell r="CE35">
            <v>1.662901511165904E-2</v>
          </cell>
          <cell r="CF35">
            <v>1.6067573553403047E-2</v>
          </cell>
          <cell r="CG35">
            <v>-2.2003978466901497E-2</v>
          </cell>
          <cell r="CH35">
            <v>-2.3692784113049759E-2</v>
          </cell>
          <cell r="CI35">
            <v>-7.553646013329085E-3</v>
          </cell>
          <cell r="CJ35">
            <v>-0.12300073099566089</v>
          </cell>
        </row>
        <row r="37">
          <cell r="A37" t="str">
            <v>General &amp; Administrative</v>
          </cell>
          <cell r="B37">
            <v>-355</v>
          </cell>
          <cell r="C37">
            <v>-372</v>
          </cell>
          <cell r="D37">
            <v>-727</v>
          </cell>
          <cell r="E37">
            <v>-361</v>
          </cell>
          <cell r="F37">
            <v>-1088</v>
          </cell>
          <cell r="G37">
            <v>-452</v>
          </cell>
          <cell r="H37">
            <v>-1540</v>
          </cell>
          <cell r="I37">
            <v>-385</v>
          </cell>
          <cell r="J37">
            <v>-390</v>
          </cell>
          <cell r="K37">
            <v>-775</v>
          </cell>
          <cell r="L37">
            <v>-414</v>
          </cell>
          <cell r="M37">
            <v>-1189</v>
          </cell>
          <cell r="N37">
            <v>-492</v>
          </cell>
          <cell r="O37">
            <v>-1681</v>
          </cell>
          <cell r="P37">
            <v>-388</v>
          </cell>
          <cell r="Q37">
            <v>-455</v>
          </cell>
          <cell r="R37">
            <v>-843</v>
          </cell>
          <cell r="S37">
            <v>-446</v>
          </cell>
          <cell r="T37">
            <v>-1289</v>
          </cell>
          <cell r="U37">
            <v>-593</v>
          </cell>
          <cell r="V37">
            <v>-1882</v>
          </cell>
          <cell r="W37">
            <v>-483</v>
          </cell>
          <cell r="X37">
            <v>-517</v>
          </cell>
          <cell r="Y37">
            <v>-1000</v>
          </cell>
          <cell r="Z37">
            <v>-499</v>
          </cell>
          <cell r="AA37">
            <v>-1499</v>
          </cell>
          <cell r="AB37">
            <v>-634</v>
          </cell>
          <cell r="AC37">
            <v>-2133</v>
          </cell>
          <cell r="AD37">
            <v>-519</v>
          </cell>
          <cell r="AE37">
            <v>-559</v>
          </cell>
          <cell r="AF37">
            <v>-1078</v>
          </cell>
          <cell r="AG37">
            <v>-538</v>
          </cell>
          <cell r="AH37">
            <v>-1616</v>
          </cell>
          <cell r="AI37">
            <v>-629</v>
          </cell>
          <cell r="AJ37">
            <v>-2245</v>
          </cell>
          <cell r="AK37">
            <v>-505</v>
          </cell>
          <cell r="AL37">
            <v>-542</v>
          </cell>
          <cell r="AM37">
            <v>-1047</v>
          </cell>
          <cell r="AN37">
            <v>-542</v>
          </cell>
          <cell r="AO37">
            <v>-1589</v>
          </cell>
          <cell r="AP37">
            <v>-692</v>
          </cell>
          <cell r="AQ37">
            <v>-2281</v>
          </cell>
          <cell r="AR37">
            <v>-570</v>
          </cell>
          <cell r="AS37">
            <v>-543</v>
          </cell>
          <cell r="AT37">
            <v>-1113</v>
          </cell>
          <cell r="AU37">
            <v>-574</v>
          </cell>
          <cell r="AV37">
            <v>-1687</v>
          </cell>
          <cell r="AW37">
            <v>-794</v>
          </cell>
          <cell r="AX37">
            <v>-2481</v>
          </cell>
          <cell r="AY37">
            <v>-694</v>
          </cell>
          <cell r="AZ37">
            <v>-738</v>
          </cell>
          <cell r="BA37">
            <v>-1432</v>
          </cell>
          <cell r="BB37">
            <v>-734</v>
          </cell>
          <cell r="BC37">
            <v>-2166</v>
          </cell>
          <cell r="BD37">
            <v>-804</v>
          </cell>
          <cell r="BE37">
            <v>-2970</v>
          </cell>
          <cell r="BF37">
            <v>-719</v>
          </cell>
          <cell r="BG37">
            <v>-737</v>
          </cell>
          <cell r="BH37">
            <v>-1456</v>
          </cell>
          <cell r="BI37">
            <v>-693</v>
          </cell>
          <cell r="BJ37">
            <v>-2149</v>
          </cell>
          <cell r="BK37">
            <v>-788</v>
          </cell>
          <cell r="BL37">
            <v>-2937</v>
          </cell>
          <cell r="BM37">
            <v>-761</v>
          </cell>
          <cell r="BN37">
            <v>-731</v>
          </cell>
          <cell r="BO37">
            <v>-1492</v>
          </cell>
          <cell r="BP37">
            <v>-746</v>
          </cell>
          <cell r="BQ37">
            <v>-2238</v>
          </cell>
          <cell r="BR37">
            <v>-822</v>
          </cell>
          <cell r="BS37">
            <v>-3060</v>
          </cell>
          <cell r="BT37">
            <v>-752.62811145798617</v>
          </cell>
          <cell r="BU37">
            <v>-776.51916804461746</v>
          </cell>
          <cell r="BV37">
            <v>-1529.1472795026036</v>
          </cell>
          <cell r="BW37">
            <v>-750.60048363377382</v>
          </cell>
          <cell r="BX37">
            <v>-2279.7477631363772</v>
          </cell>
          <cell r="BY37">
            <v>-785.98444329778135</v>
          </cell>
          <cell r="BZ37">
            <v>-3065.7322064341588</v>
          </cell>
          <cell r="CA37">
            <v>-3127.6986762369215</v>
          </cell>
          <cell r="CB37">
            <v>-3178.1519378048033</v>
          </cell>
          <cell r="CC37">
            <v>-3248.3417646662429</v>
          </cell>
          <cell r="CD37">
            <v>-3323.1796184668492</v>
          </cell>
          <cell r="CE37">
            <v>-3311.8832232586865</v>
          </cell>
          <cell r="CF37">
            <v>-3338.3476218084306</v>
          </cell>
          <cell r="CG37">
            <v>-3353.6120004331742</v>
          </cell>
          <cell r="CH37">
            <v>-3365.485746149664</v>
          </cell>
          <cell r="CI37">
            <v>-3402.217588206131</v>
          </cell>
          <cell r="CJ37">
            <v>-3338.1434122913874</v>
          </cell>
          <cell r="CL37" t="str">
            <v>mstag:generalAndAdministrativeExpenses</v>
          </cell>
          <cell r="CM37">
            <v>6</v>
          </cell>
          <cell r="CN37" t="str">
            <v>ISO4217:USD</v>
          </cell>
          <cell r="CO37" t="b">
            <v>1</v>
          </cell>
        </row>
        <row r="38">
          <cell r="A38" t="str">
            <v>G&amp;A (% of Sales)</v>
          </cell>
          <cell r="B38">
            <v>5.347190841994276E-2</v>
          </cell>
          <cell r="C38">
            <v>5.3348630431664996E-2</v>
          </cell>
          <cell r="D38">
            <v>5.3408756979136059E-2</v>
          </cell>
          <cell r="E38">
            <v>5.1154881677766759E-2</v>
          </cell>
          <cell r="F38">
            <v>5.2639218152789199E-2</v>
          </cell>
          <cell r="G38">
            <v>5.9646344681974134E-2</v>
          </cell>
          <cell r="H38">
            <v>5.4519063971395193E-2</v>
          </cell>
          <cell r="I38">
            <v>5.46875E-2</v>
          </cell>
          <cell r="J38">
            <v>5.2146008824709184E-2</v>
          </cell>
          <cell r="K38">
            <v>5.3378331841035881E-2</v>
          </cell>
          <cell r="L38">
            <v>5.1022923342371213E-2</v>
          </cell>
          <cell r="M38">
            <v>5.2533910661423586E-2</v>
          </cell>
          <cell r="N38">
            <v>5.8767319636884856E-2</v>
          </cell>
          <cell r="O38">
            <v>5.4217061764231578E-2</v>
          </cell>
          <cell r="P38">
            <v>5.0613096791025304E-2</v>
          </cell>
          <cell r="Q38">
            <v>5.3479078514339445E-2</v>
          </cell>
          <cell r="R38">
            <v>5.2120687523185362E-2</v>
          </cell>
          <cell r="S38">
            <v>5.0561160866114951E-2</v>
          </cell>
          <cell r="T38">
            <v>5.157031406281256E-2</v>
          </cell>
          <cell r="U38">
            <v>6.3098531602468616E-2</v>
          </cell>
          <cell r="V38">
            <v>5.472043729828744E-2</v>
          </cell>
          <cell r="W38">
            <v>5.2914110429447853E-2</v>
          </cell>
          <cell r="X38">
            <v>5.5E-2</v>
          </cell>
          <cell r="Y38">
            <v>5.3972366148531951E-2</v>
          </cell>
          <cell r="Z38">
            <v>5.190887340060335E-2</v>
          </cell>
          <cell r="AA38">
            <v>5.3267474503393628E-2</v>
          </cell>
          <cell r="AB38">
            <v>6.3840499446178631E-2</v>
          </cell>
          <cell r="AC38">
            <v>5.6025425509560835E-2</v>
          </cell>
          <cell r="AD38">
            <v>5.2376627308507416E-2</v>
          </cell>
          <cell r="AE38">
            <v>5.2116352787618871E-2</v>
          </cell>
          <cell r="AF38">
            <v>5.2241337533317181E-2</v>
          </cell>
          <cell r="AG38">
            <v>4.9995353591673633E-2</v>
          </cell>
          <cell r="AH38">
            <v>5.1471525035036311E-2</v>
          </cell>
          <cell r="AI38">
            <v>6.241937084449737E-2</v>
          </cell>
          <cell r="AJ38">
            <v>5.4149883016956508E-2</v>
          </cell>
          <cell r="AK38">
            <v>5.2013595632917908E-2</v>
          </cell>
          <cell r="AL38">
            <v>5.1393893419305899E-2</v>
          </cell>
          <cell r="AM38">
            <v>5.1690940508516414E-2</v>
          </cell>
          <cell r="AN38">
            <v>4.8890492513079559E-2</v>
          </cell>
          <cell r="AO38">
            <v>5.070036055007817E-2</v>
          </cell>
          <cell r="AP38">
            <v>5.3535509825158596E-2</v>
          </cell>
          <cell r="AQ38">
            <v>5.1528226444077979E-2</v>
          </cell>
          <cell r="AR38">
            <v>4.6987057950704805E-2</v>
          </cell>
          <cell r="AS38">
            <v>4.6346876066917037E-2</v>
          </cell>
          <cell r="AT38">
            <v>4.6672537426091329E-2</v>
          </cell>
          <cell r="AU38">
            <v>4.5635236126570201E-2</v>
          </cell>
          <cell r="AV38">
            <v>4.6314344543582707E-2</v>
          </cell>
          <cell r="AW38">
            <v>5.5919430945841259E-2</v>
          </cell>
          <cell r="AX38">
            <v>4.9008375474083439E-2</v>
          </cell>
          <cell r="AY38">
            <v>4.9477421470634365E-2</v>
          </cell>
          <cell r="AZ38">
            <v>4.9479061909167704E-2</v>
          </cell>
          <cell r="BA38">
            <v>4.9478266878584753E-2</v>
          </cell>
          <cell r="BB38">
            <v>4.9450919625412655E-2</v>
          </cell>
          <cell r="BC38">
            <v>4.9468996231586161E-2</v>
          </cell>
          <cell r="BD38">
            <v>5.4394154658006899E-2</v>
          </cell>
          <cell r="BE38">
            <v>5.0712017211351296E-2</v>
          </cell>
          <cell r="BF38">
            <v>5.234801601747361E-2</v>
          </cell>
          <cell r="BG38">
            <v>5.152765154163462E-2</v>
          </cell>
          <cell r="BH38">
            <v>5.1929524217133892E-2</v>
          </cell>
          <cell r="BI38">
            <v>5.0191931628883898E-2</v>
          </cell>
          <cell r="BJ38">
            <v>5.1356195483331341E-2</v>
          </cell>
          <cell r="BK38">
            <v>5.3142702994335045E-2</v>
          </cell>
          <cell r="BL38">
            <v>5.1823619713090893E-2</v>
          </cell>
          <cell r="BM38">
            <v>5.4295091324200913E-2</v>
          </cell>
          <cell r="BN38">
            <v>5.0455549420209828E-2</v>
          </cell>
          <cell r="BO38">
            <v>5.2343530732528766E-2</v>
          </cell>
          <cell r="BP38">
            <v>5.2029571767331563E-2</v>
          </cell>
          <cell r="BQ38">
            <v>5.2238457588347886E-2</v>
          </cell>
          <cell r="BR38">
            <v>5.451651412654198E-2</v>
          </cell>
          <cell r="BS38">
            <v>5.2831491712707179E-2</v>
          </cell>
          <cell r="BT38">
            <v>5.2575733989412309E-2</v>
          </cell>
          <cell r="BU38">
            <v>5.1800726548473827E-2</v>
          </cell>
          <cell r="BV38">
            <v>5.2179299772618287E-2</v>
          </cell>
          <cell r="BW38">
            <v>5.1592300429704578E-2</v>
          </cell>
          <cell r="BX38">
            <v>5.1984562466967872E-2</v>
          </cell>
          <cell r="BY38">
            <v>5.1669903993474743E-2</v>
          </cell>
          <cell r="BZ38">
            <v>5.1903526395972989E-2</v>
          </cell>
          <cell r="CA38">
            <v>5.1848993722027177E-2</v>
          </cell>
          <cell r="CB38">
            <v>5.1059203291273392E-2</v>
          </cell>
          <cell r="CC38">
            <v>5.0459172358981126E-2</v>
          </cell>
          <cell r="CD38">
            <v>4.9806874945086399E-2</v>
          </cell>
          <cell r="CE38">
            <v>4.9440555327539021E-2</v>
          </cell>
          <cell r="CF38">
            <v>4.9190803888460907E-2</v>
          </cell>
          <cell r="CG38">
            <v>4.9316472878497185E-2</v>
          </cell>
          <cell r="CH38">
            <v>4.9428534846261099E-2</v>
          </cell>
          <cell r="CI38">
            <v>4.9333126449917671E-2</v>
          </cell>
          <cell r="CJ38">
            <v>4.9222828520200275E-2</v>
          </cell>
        </row>
        <row r="39">
          <cell r="A39" t="str">
            <v xml:space="preserve"> growth (%)</v>
          </cell>
          <cell r="O39">
            <v>9.1558441558441617E-2</v>
          </cell>
          <cell r="V39">
            <v>0.11957168352171332</v>
          </cell>
          <cell r="AC39">
            <v>0.13336875664187042</v>
          </cell>
          <cell r="AD39">
            <v>7.4534161490683148E-2</v>
          </cell>
          <cell r="AE39">
            <v>8.1237911025145104E-2</v>
          </cell>
          <cell r="AF39">
            <v>7.8000000000000069E-2</v>
          </cell>
          <cell r="AG39">
            <v>7.8156312625250468E-2</v>
          </cell>
          <cell r="AH39">
            <v>7.805203468979327E-2</v>
          </cell>
          <cell r="AI39">
            <v>-7.8864353312302349E-3</v>
          </cell>
          <cell r="AJ39">
            <v>5.2508204406938486E-2</v>
          </cell>
          <cell r="AK39">
            <v>-2.6974951830443183E-2</v>
          </cell>
          <cell r="AL39">
            <v>-3.0411449016100156E-2</v>
          </cell>
          <cell r="AM39">
            <v>-2.8756957328385901E-2</v>
          </cell>
          <cell r="AN39">
            <v>7.4349442379182396E-3</v>
          </cell>
          <cell r="AO39">
            <v>-1.6707920792079167E-2</v>
          </cell>
          <cell r="AP39">
            <v>0.10015898251192379</v>
          </cell>
          <cell r="AQ39">
            <v>1.603563474387526E-2</v>
          </cell>
          <cell r="AR39">
            <v>0.12871287128712861</v>
          </cell>
          <cell r="AS39">
            <v>1.8450184501845879E-3</v>
          </cell>
          <cell r="AT39">
            <v>6.3037249283667718E-2</v>
          </cell>
          <cell r="AU39">
            <v>5.9040590405904148E-2</v>
          </cell>
          <cell r="AV39">
            <v>6.1674008810572722E-2</v>
          </cell>
          <cell r="AW39">
            <v>0.14739884393063574</v>
          </cell>
          <cell r="AX39">
            <v>8.7680841736080595E-2</v>
          </cell>
          <cell r="AY39">
            <v>0.21754385964912282</v>
          </cell>
          <cell r="AZ39">
            <v>0.3591160220994476</v>
          </cell>
          <cell r="BA39">
            <v>0.28661275831087152</v>
          </cell>
          <cell r="BB39">
            <v>0.27874564459930307</v>
          </cell>
          <cell r="BC39">
            <v>0.28393598103141682</v>
          </cell>
          <cell r="BD39">
            <v>1.2594458438287104E-2</v>
          </cell>
          <cell r="BE39">
            <v>0.19709794437726713</v>
          </cell>
          <cell r="BF39">
            <v>3.6023054755043304E-2</v>
          </cell>
          <cell r="BG39">
            <v>-1.3550135501354532E-3</v>
          </cell>
          <cell r="BH39">
            <v>1.6759776536312776E-2</v>
          </cell>
          <cell r="BI39">
            <v>-5.5858310626702989E-2</v>
          </cell>
          <cell r="BJ39">
            <v>-7.8485687903970813E-3</v>
          </cell>
          <cell r="BK39">
            <v>-1.9900497512437831E-2</v>
          </cell>
          <cell r="BL39">
            <v>2.1919903069657076E-2</v>
          </cell>
          <cell r="BM39">
            <v>3.7194825226563921E-2</v>
          </cell>
          <cell r="BN39">
            <v>-2.0806345512535684E-2</v>
          </cell>
          <cell r="BO39">
            <v>7.9724688726934279E-3</v>
          </cell>
          <cell r="BP39">
            <v>3.6612261748264041E-2</v>
          </cell>
          <cell r="BQ39">
            <v>1.71792730499849E-2</v>
          </cell>
          <cell r="BR39">
            <v>2.5851359731426937E-2</v>
          </cell>
          <cell r="BS39">
            <v>1.9448120474720332E-2</v>
          </cell>
          <cell r="BT39">
            <v>-1.1001167597915695E-2</v>
          </cell>
          <cell r="BU39">
            <v>6.2269723727246928E-2</v>
          </cell>
          <cell r="BV39">
            <v>2.4897640417294697E-2</v>
          </cell>
          <cell r="BW39">
            <v>6.1668681417879068E-3</v>
          </cell>
          <cell r="BX39">
            <v>1.865404965879236E-2</v>
          </cell>
          <cell r="BY39">
            <v>-4.3814545866446064E-2</v>
          </cell>
          <cell r="BZ39">
            <v>1.873270076522493E-3</v>
          </cell>
          <cell r="CA39">
            <v>2.0212616637784508E-2</v>
          </cell>
          <cell r="CB39">
            <v>1.6131113253078588E-2</v>
          </cell>
          <cell r="CC39">
            <v>2.2085107394179682E-2</v>
          </cell>
          <cell r="CD39">
            <v>2.3038786932660038E-2</v>
          </cell>
          <cell r="CE39">
            <v>-3.3992731375063201E-3</v>
          </cell>
          <cell r="CF39">
            <v>7.9907402422554341E-3</v>
          </cell>
          <cell r="CG39">
            <v>4.5724353344829272E-3</v>
          </cell>
          <cell r="CH39">
            <v>3.5405842163482859E-3</v>
          </cell>
          <cell r="CI39">
            <v>1.091427651966459E-2</v>
          </cell>
          <cell r="CJ39">
            <v>-1.8833062334654427E-2</v>
          </cell>
        </row>
        <row r="41">
          <cell r="A41" t="str">
            <v>Other income and expense</v>
          </cell>
          <cell r="B41">
            <v>-170</v>
          </cell>
          <cell r="C41">
            <v>4</v>
          </cell>
          <cell r="D41">
            <v>-166</v>
          </cell>
          <cell r="E41">
            <v>-201</v>
          </cell>
          <cell r="F41">
            <v>-367</v>
          </cell>
          <cell r="G41">
            <v>-30</v>
          </cell>
          <cell r="H41">
            <v>-397</v>
          </cell>
          <cell r="I41">
            <v>0</v>
          </cell>
          <cell r="J41">
            <v>-80</v>
          </cell>
          <cell r="K41">
            <v>-80</v>
          </cell>
          <cell r="L41">
            <v>-135</v>
          </cell>
          <cell r="M41">
            <v>-215</v>
          </cell>
          <cell r="N41">
            <v>-140</v>
          </cell>
          <cell r="O41">
            <v>-355</v>
          </cell>
          <cell r="P41">
            <v>-90</v>
          </cell>
          <cell r="Q41">
            <v>-264</v>
          </cell>
          <cell r="R41">
            <v>-354</v>
          </cell>
          <cell r="S41">
            <v>-188</v>
          </cell>
          <cell r="T41">
            <v>-542</v>
          </cell>
          <cell r="U41">
            <v>-215</v>
          </cell>
          <cell r="V41">
            <v>-757</v>
          </cell>
          <cell r="W41">
            <v>21</v>
          </cell>
          <cell r="X41">
            <v>-132</v>
          </cell>
          <cell r="Y41">
            <v>-111</v>
          </cell>
          <cell r="Z41">
            <v>-599</v>
          </cell>
          <cell r="AA41">
            <v>-710</v>
          </cell>
          <cell r="AB41">
            <v>-735</v>
          </cell>
          <cell r="AC41">
            <v>-1445</v>
          </cell>
          <cell r="AD41">
            <v>-72</v>
          </cell>
          <cell r="AE41">
            <v>-161</v>
          </cell>
          <cell r="AF41">
            <v>-233</v>
          </cell>
          <cell r="AG41">
            <v>-317</v>
          </cell>
          <cell r="AH41">
            <v>-550</v>
          </cell>
          <cell r="AI41">
            <v>-317</v>
          </cell>
          <cell r="AJ41">
            <v>-867</v>
          </cell>
          <cell r="AK41">
            <v>-74</v>
          </cell>
          <cell r="AL41">
            <v>-220</v>
          </cell>
          <cell r="AM41">
            <v>-294</v>
          </cell>
          <cell r="AN41">
            <v>-323</v>
          </cell>
          <cell r="AO41">
            <v>-617</v>
          </cell>
          <cell r="AP41">
            <v>-525</v>
          </cell>
          <cell r="AQ41">
            <v>-1142</v>
          </cell>
          <cell r="AR41">
            <v>-128</v>
          </cell>
          <cell r="AS41">
            <v>-173</v>
          </cell>
          <cell r="AT41">
            <v>-301</v>
          </cell>
          <cell r="AU41">
            <v>-282</v>
          </cell>
          <cell r="AV41">
            <v>-583</v>
          </cell>
          <cell r="AW41">
            <v>-97</v>
          </cell>
          <cell r="AX41">
            <v>-680</v>
          </cell>
          <cell r="AY41">
            <v>50</v>
          </cell>
          <cell r="AZ41">
            <v>-143</v>
          </cell>
          <cell r="BA41">
            <v>-93</v>
          </cell>
          <cell r="BB41">
            <v>-434</v>
          </cell>
          <cell r="BC41">
            <v>-527</v>
          </cell>
          <cell r="BD41">
            <v>-1235</v>
          </cell>
          <cell r="BE41">
            <v>-1762</v>
          </cell>
          <cell r="BF41">
            <v>-244</v>
          </cell>
          <cell r="BG41">
            <v>-188</v>
          </cell>
          <cell r="BH41">
            <v>-432</v>
          </cell>
          <cell r="BI41">
            <v>-239</v>
          </cell>
          <cell r="BJ41">
            <v>-671</v>
          </cell>
          <cell r="BK41">
            <v>-319</v>
          </cell>
          <cell r="BL41">
            <v>-990</v>
          </cell>
          <cell r="BM41">
            <v>-189</v>
          </cell>
          <cell r="BN41">
            <v>-127</v>
          </cell>
          <cell r="BO41">
            <v>-316</v>
          </cell>
          <cell r="BP41">
            <v>-331</v>
          </cell>
          <cell r="BQ41">
            <v>-647</v>
          </cell>
          <cell r="BR41">
            <v>-205</v>
          </cell>
          <cell r="BS41">
            <v>-852</v>
          </cell>
          <cell r="BT41">
            <v>691.45860166396642</v>
          </cell>
          <cell r="BU41">
            <v>-114.54139833603357</v>
          </cell>
          <cell r="BV41">
            <v>576.91720332793284</v>
          </cell>
          <cell r="BW41">
            <v>-112.54139833603357</v>
          </cell>
          <cell r="BX41">
            <v>464.37580499189926</v>
          </cell>
          <cell r="BY41">
            <v>-72.54139833603368</v>
          </cell>
          <cell r="BZ41">
            <v>391.83440665586573</v>
          </cell>
          <cell r="CA41">
            <v>-486.22324282472528</v>
          </cell>
          <cell r="CB41">
            <v>-468.92859396585231</v>
          </cell>
          <cell r="CC41">
            <v>-456.69886256502923</v>
          </cell>
          <cell r="CD41">
            <v>-447.79878878859887</v>
          </cell>
          <cell r="CE41">
            <v>-391.82474826885334</v>
          </cell>
          <cell r="CF41">
            <v>-347.67604871365631</v>
          </cell>
          <cell r="CG41">
            <v>-285.84569173520543</v>
          </cell>
          <cell r="CH41">
            <v>-225.44887585607592</v>
          </cell>
          <cell r="CI41">
            <v>-163.84657477787479</v>
          </cell>
          <cell r="CJ41">
            <v>-95.14057462737938</v>
          </cell>
        </row>
        <row r="43">
          <cell r="A43" t="str">
            <v>Group Operating Profit</v>
          </cell>
          <cell r="B43">
            <v>1454</v>
          </cell>
          <cell r="C43">
            <v>1715</v>
          </cell>
          <cell r="D43">
            <v>3169</v>
          </cell>
          <cell r="E43">
            <v>1620</v>
          </cell>
          <cell r="F43">
            <v>4789</v>
          </cell>
          <cell r="G43">
            <v>1363</v>
          </cell>
          <cell r="H43">
            <v>6152</v>
          </cell>
          <cell r="I43">
            <v>1651</v>
          </cell>
          <cell r="J43">
            <v>1821</v>
          </cell>
          <cell r="K43">
            <v>3472</v>
          </cell>
          <cell r="L43">
            <v>1859</v>
          </cell>
          <cell r="M43">
            <v>5331</v>
          </cell>
          <cell r="N43">
            <v>1471</v>
          </cell>
          <cell r="O43">
            <v>6802</v>
          </cell>
          <cell r="P43">
            <v>1974</v>
          </cell>
          <cell r="Q43">
            <v>1964</v>
          </cell>
          <cell r="R43">
            <v>3938</v>
          </cell>
          <cell r="S43">
            <v>1979</v>
          </cell>
          <cell r="T43">
            <v>5917</v>
          </cell>
          <cell r="U43">
            <v>1725</v>
          </cell>
          <cell r="V43">
            <v>7642</v>
          </cell>
          <cell r="W43">
            <v>2335</v>
          </cell>
          <cell r="X43">
            <v>2097</v>
          </cell>
          <cell r="Y43">
            <v>4432</v>
          </cell>
          <cell r="Z43">
            <v>1452</v>
          </cell>
          <cell r="AA43">
            <v>5884</v>
          </cell>
          <cell r="AB43">
            <v>897</v>
          </cell>
          <cell r="AC43">
            <v>6781</v>
          </cell>
          <cell r="AD43">
            <v>2488</v>
          </cell>
          <cell r="AE43">
            <v>2461</v>
          </cell>
          <cell r="AF43">
            <v>4949</v>
          </cell>
          <cell r="AG43">
            <v>2349</v>
          </cell>
          <cell r="AH43">
            <v>7298</v>
          </cell>
          <cell r="AI43">
            <v>1680</v>
          </cell>
          <cell r="AJ43">
            <v>8964</v>
          </cell>
          <cell r="AK43">
            <v>2347</v>
          </cell>
          <cell r="AL43">
            <v>2364</v>
          </cell>
          <cell r="AM43">
            <v>4711</v>
          </cell>
          <cell r="AN43">
            <v>2634</v>
          </cell>
          <cell r="AO43">
            <v>7345</v>
          </cell>
          <cell r="AP43">
            <v>2637</v>
          </cell>
          <cell r="AQ43">
            <v>9982</v>
          </cell>
          <cell r="AR43">
            <v>3511</v>
          </cell>
          <cell r="AS43">
            <v>2961</v>
          </cell>
          <cell r="AT43">
            <v>6472</v>
          </cell>
          <cell r="AU43">
            <v>2587</v>
          </cell>
          <cell r="AV43">
            <v>9059</v>
          </cell>
          <cell r="AW43">
            <v>2467</v>
          </cell>
          <cell r="AX43">
            <v>11526</v>
          </cell>
          <cell r="AY43">
            <v>3407.6000000000004</v>
          </cell>
          <cell r="AZ43">
            <v>3322.3999999999996</v>
          </cell>
          <cell r="BA43">
            <v>6730</v>
          </cell>
          <cell r="BB43">
            <v>2951</v>
          </cell>
          <cell r="BC43">
            <v>9681</v>
          </cell>
          <cell r="BD43">
            <v>1317</v>
          </cell>
          <cell r="BE43">
            <v>10998</v>
          </cell>
          <cell r="BF43">
            <v>2736</v>
          </cell>
          <cell r="BG43">
            <v>3108</v>
          </cell>
          <cell r="BH43">
            <v>5844</v>
          </cell>
          <cell r="BI43">
            <v>2948</v>
          </cell>
          <cell r="BJ43">
            <v>8792</v>
          </cell>
          <cell r="BK43">
            <v>2401</v>
          </cell>
          <cell r="BL43">
            <v>11193</v>
          </cell>
          <cell r="BM43">
            <v>2896</v>
          </cell>
          <cell r="BN43">
            <v>2970</v>
          </cell>
          <cell r="BO43">
            <v>5866</v>
          </cell>
          <cell r="BP43">
            <v>2671</v>
          </cell>
          <cell r="BQ43">
            <v>8537</v>
          </cell>
          <cell r="BR43">
            <v>2373</v>
          </cell>
          <cell r="BS43">
            <v>10910</v>
          </cell>
          <cell r="BT43">
            <v>3662.64606722604</v>
          </cell>
          <cell r="BU43">
            <v>3068.5819042586772</v>
          </cell>
          <cell r="BV43">
            <v>6731.2279714847173</v>
          </cell>
          <cell r="BW43">
            <v>3073.4408963281448</v>
          </cell>
          <cell r="BX43">
            <v>9804.668867812863</v>
          </cell>
          <cell r="BY43">
            <v>2997.2647652103251</v>
          </cell>
          <cell r="BZ43">
            <v>12801.9336330232</v>
          </cell>
          <cell r="CA43">
            <v>12244.641697490875</v>
          </cell>
          <cell r="CB43">
            <v>12847.084884084819</v>
          </cell>
          <cell r="CC43">
            <v>13585.427864067507</v>
          </cell>
          <cell r="CD43">
            <v>14423.676202125942</v>
          </cell>
          <cell r="CE43">
            <v>14137.06505019121</v>
          </cell>
          <cell r="CF43">
            <v>14132.706710072154</v>
          </cell>
          <cell r="CG43">
            <v>14160.335416981539</v>
          </cell>
          <cell r="CH43">
            <v>14198.382115176821</v>
          </cell>
          <cell r="CI43">
            <v>14591.724796764258</v>
          </cell>
          <cell r="CJ43">
            <v>17352.601681856067</v>
          </cell>
        </row>
        <row r="44">
          <cell r="A44" t="str">
            <v>Operating Margin %</v>
          </cell>
          <cell r="B44">
            <v>0.21900888688055431</v>
          </cell>
          <cell r="C44">
            <v>0.24594865911372438</v>
          </cell>
          <cell r="D44">
            <v>0.23280928592418454</v>
          </cell>
          <cell r="E44">
            <v>0.22955930281989514</v>
          </cell>
          <cell r="F44">
            <v>0.23169964681406938</v>
          </cell>
          <cell r="G44">
            <v>0.17986276062285564</v>
          </cell>
          <cell r="H44">
            <v>0.21779303996884625</v>
          </cell>
          <cell r="I44">
            <v>0.23451704545454546</v>
          </cell>
          <cell r="J44">
            <v>0.24348174889691135</v>
          </cell>
          <cell r="K44">
            <v>0.23913492664784075</v>
          </cell>
          <cell r="L44">
            <v>0.22911017993591323</v>
          </cell>
          <cell r="M44">
            <v>0.2355410241682499</v>
          </cell>
          <cell r="N44">
            <v>0.17570473005255613</v>
          </cell>
          <cell r="O44">
            <v>0.21938397032736656</v>
          </cell>
          <cell r="P44">
            <v>0.25750065223062873</v>
          </cell>
          <cell r="Q44">
            <v>0.230841560883874</v>
          </cell>
          <cell r="R44">
            <v>0.24347718560652901</v>
          </cell>
          <cell r="S44">
            <v>0.22435098061444281</v>
          </cell>
          <cell r="T44">
            <v>0.23672734546909383</v>
          </cell>
          <cell r="U44">
            <v>0.18354969142370717</v>
          </cell>
          <cell r="V44">
            <v>0.22219637716977292</v>
          </cell>
          <cell r="W44">
            <v>0.25580631025416301</v>
          </cell>
          <cell r="X44">
            <v>0.22308510638297871</v>
          </cell>
          <cell r="Y44">
            <v>0.23920552677029361</v>
          </cell>
          <cell r="Z44">
            <v>0.15104545927389992</v>
          </cell>
          <cell r="AA44">
            <v>0.20908993994527558</v>
          </cell>
          <cell r="AB44">
            <v>9.0323230288994055E-2</v>
          </cell>
          <cell r="AC44">
            <v>0.17810989703719268</v>
          </cell>
          <cell r="AD44">
            <v>0.25108487233827831</v>
          </cell>
          <cell r="AE44">
            <v>0.22944247622599293</v>
          </cell>
          <cell r="AF44">
            <v>0.23983523140295615</v>
          </cell>
          <cell r="AG44">
            <v>0.21828826317256761</v>
          </cell>
          <cell r="AH44">
            <v>0.23244999362976176</v>
          </cell>
          <cell r="AI44">
            <v>0.16671628460851443</v>
          </cell>
          <cell r="AJ44">
            <v>0.21621360862538894</v>
          </cell>
          <cell r="AK44">
            <v>0.24173447316922442</v>
          </cell>
          <cell r="AL44">
            <v>0.22416081926796891</v>
          </cell>
          <cell r="AM44">
            <v>0.23258454702542583</v>
          </cell>
          <cell r="AN44">
            <v>0.23759696915027964</v>
          </cell>
          <cell r="AO44">
            <v>0.23435755081203535</v>
          </cell>
          <cell r="AP44">
            <v>0.20400742689153645</v>
          </cell>
          <cell r="AQ44">
            <v>0.22549528994510584</v>
          </cell>
          <cell r="AR44">
            <v>0.28942379028934134</v>
          </cell>
          <cell r="AS44">
            <v>0.25273130761351997</v>
          </cell>
          <cell r="AT44">
            <v>0.2713968214031115</v>
          </cell>
          <cell r="AU44">
            <v>0.20567657815232945</v>
          </cell>
          <cell r="AV44">
            <v>0.24870281400137267</v>
          </cell>
          <cell r="AW44">
            <v>0.17374462990351433</v>
          </cell>
          <cell r="AX44">
            <v>0.22767857142857142</v>
          </cell>
          <cell r="AY44">
            <v>0.24293841700768543</v>
          </cell>
          <cell r="AZ44">
            <v>0.22274964131032354</v>
          </cell>
          <cell r="BA44">
            <v>0.23253403358441019</v>
          </cell>
          <cell r="BB44">
            <v>0.19881425587819174</v>
          </cell>
          <cell r="BC44">
            <v>0.22110311750599521</v>
          </cell>
          <cell r="BD44">
            <v>8.9100872742033696E-2</v>
          </cell>
          <cell r="BE44">
            <v>0.18778813646142814</v>
          </cell>
          <cell r="BF44">
            <v>0.19919912631962142</v>
          </cell>
          <cell r="BG44">
            <v>0.21729707054464098</v>
          </cell>
          <cell r="BH44">
            <v>0.20843141450888081</v>
          </cell>
          <cell r="BI44">
            <v>0.21351488375461722</v>
          </cell>
          <cell r="BJ44">
            <v>0.2101087346158442</v>
          </cell>
          <cell r="BK44">
            <v>0.16192338818451579</v>
          </cell>
          <cell r="BL44">
            <v>0.19750145571965486</v>
          </cell>
          <cell r="BM44">
            <v>0.20662100456621005</v>
          </cell>
          <cell r="BN44">
            <v>0.20499723909442297</v>
          </cell>
          <cell r="BO44">
            <v>0.20579567779960709</v>
          </cell>
          <cell r="BP44">
            <v>0.18628818524201424</v>
          </cell>
          <cell r="BQ44">
            <v>0.19926707436627608</v>
          </cell>
          <cell r="BR44">
            <v>0.1573816155988858</v>
          </cell>
          <cell r="BS44">
            <v>0.18836325966850828</v>
          </cell>
          <cell r="BT44">
            <v>0.25585850753675049</v>
          </cell>
          <cell r="BU44">
            <v>0.20470167209699267</v>
          </cell>
          <cell r="BV44">
            <v>0.22969060395293098</v>
          </cell>
          <cell r="BW44">
            <v>0.21125204357537852</v>
          </cell>
          <cell r="BX44">
            <v>0.22357360295225898</v>
          </cell>
          <cell r="BY44">
            <v>0.19703746554022827</v>
          </cell>
          <cell r="BZ44">
            <v>0.21673957655093853</v>
          </cell>
          <cell r="CA44">
            <v>0.20298386009023117</v>
          </cell>
          <cell r="CB44">
            <v>0.2063972810720355</v>
          </cell>
          <cell r="CC44">
            <v>0.2110336583484223</v>
          </cell>
          <cell r="CD44">
            <v>0.21617797390655005</v>
          </cell>
          <cell r="CE44">
            <v>0.21104136216955108</v>
          </cell>
          <cell r="CF44">
            <v>0.20824649885073848</v>
          </cell>
          <cell r="CG44">
            <v>0.20823452368723377</v>
          </cell>
          <cell r="CH44">
            <v>0.20853014336591946</v>
          </cell>
          <cell r="CI44">
            <v>0.2115841758671069</v>
          </cell>
          <cell r="CJ44">
            <v>0.25587400883386063</v>
          </cell>
        </row>
        <row r="45">
          <cell r="A45" t="str">
            <v xml:space="preserve"> growth (%)</v>
          </cell>
          <cell r="O45">
            <v>0.10565669700910263</v>
          </cell>
          <cell r="P45">
            <v>0.19563900666262879</v>
          </cell>
          <cell r="Q45">
            <v>7.8528281164195413E-2</v>
          </cell>
          <cell r="R45">
            <v>0.13421658986175111</v>
          </cell>
          <cell r="S45">
            <v>6.4550833781602979E-2</v>
          </cell>
          <cell r="T45">
            <v>0.1099230913524667</v>
          </cell>
          <cell r="U45">
            <v>0.17267165193745759</v>
          </cell>
          <cell r="V45">
            <v>0.12349309026756838</v>
          </cell>
          <cell r="W45">
            <v>0.1828774062816616</v>
          </cell>
          <cell r="X45">
            <v>6.7718940936863481E-2</v>
          </cell>
          <cell r="Y45">
            <v>0.12544438801422042</v>
          </cell>
          <cell r="Z45">
            <v>-0.2662961091460333</v>
          </cell>
          <cell r="AA45">
            <v>-5.5771505830657375E-3</v>
          </cell>
          <cell r="AB45">
            <v>-0.48</v>
          </cell>
          <cell r="AC45">
            <v>-0.11266684114106251</v>
          </cell>
          <cell r="AD45">
            <v>6.5524625267666003E-2</v>
          </cell>
          <cell r="AE45">
            <v>0.17358130662851701</v>
          </cell>
          <cell r="AF45">
            <v>0.11665162454873657</v>
          </cell>
          <cell r="AG45">
            <v>0.61776859504132231</v>
          </cell>
          <cell r="AH45">
            <v>0.24031271244051666</v>
          </cell>
          <cell r="AI45">
            <v>0.8729096989966556</v>
          </cell>
          <cell r="AJ45">
            <v>0.32192891903848997</v>
          </cell>
          <cell r="AK45">
            <v>-5.667202572347263E-2</v>
          </cell>
          <cell r="AL45">
            <v>-3.9414872003250667E-2</v>
          </cell>
          <cell r="AM45">
            <v>-4.8090523338048086E-2</v>
          </cell>
          <cell r="AN45">
            <v>0.12132822477650063</v>
          </cell>
          <cell r="AO45">
            <v>6.4401205809812012E-3</v>
          </cell>
          <cell r="AP45">
            <v>0.56964285714285712</v>
          </cell>
          <cell r="AQ45">
            <v>0.11356537260151711</v>
          </cell>
          <cell r="AR45">
            <v>0.49595227950575205</v>
          </cell>
          <cell r="AS45">
            <v>0.25253807106598991</v>
          </cell>
          <cell r="AT45">
            <v>0.37380598599023562</v>
          </cell>
          <cell r="AU45">
            <v>-1.7843583902809379E-2</v>
          </cell>
          <cell r="AV45">
            <v>0.23335602450646697</v>
          </cell>
          <cell r="AW45">
            <v>-6.4467197572999568E-2</v>
          </cell>
          <cell r="AX45">
            <v>0.1546784211580845</v>
          </cell>
          <cell r="AY45">
            <v>-2.9450299060096774E-2</v>
          </cell>
          <cell r="AZ45">
            <v>0.1220533603512326</v>
          </cell>
          <cell r="BA45">
            <v>3.9864029666254686E-2</v>
          </cell>
          <cell r="BB45">
            <v>0.14070351758793964</v>
          </cell>
          <cell r="BC45">
            <v>6.866100011038756E-2</v>
          </cell>
          <cell r="BD45">
            <v>-0.46615322253749492</v>
          </cell>
          <cell r="BE45">
            <v>-4.5809474232170744E-2</v>
          </cell>
          <cell r="BF45">
            <v>-0.19708886019485861</v>
          </cell>
          <cell r="BG45">
            <v>-6.4531663857452348E-2</v>
          </cell>
          <cell r="BH45">
            <v>-0.13164933135215451</v>
          </cell>
          <cell r="BI45">
            <v>-1.0166045408336322E-3</v>
          </cell>
          <cell r="BJ45">
            <v>-9.1829356471438861E-2</v>
          </cell>
          <cell r="BK45">
            <v>0.82308276385725132</v>
          </cell>
          <cell r="BL45">
            <v>5.1724882312902842E-2</v>
          </cell>
          <cell r="BM45">
            <v>3.7258588346818389E-2</v>
          </cell>
          <cell r="BN45">
            <v>-5.6603761014307641E-2</v>
          </cell>
          <cell r="BO45">
            <v>-1.2645582795108967E-2</v>
          </cell>
          <cell r="BP45">
            <v>-0.12751663038110905</v>
          </cell>
          <cell r="BQ45">
            <v>-5.1600235798814564E-2</v>
          </cell>
          <cell r="BR45">
            <v>-2.8048897917418381E-2</v>
          </cell>
          <cell r="BS45">
            <v>-4.6269006057949591E-2</v>
          </cell>
          <cell r="BT45">
            <v>0.23829863316128974</v>
          </cell>
          <cell r="BU45">
            <v>-1.4418096494175359E-3</v>
          </cell>
          <cell r="BV45">
            <v>0.11610995142760716</v>
          </cell>
          <cell r="BW45">
            <v>0.13400666446416221</v>
          </cell>
          <cell r="BX45">
            <v>0.12197965300230518</v>
          </cell>
          <cell r="BY45">
            <v>0.25197256865383966</v>
          </cell>
          <cell r="BZ45">
            <v>0.15064677120351599</v>
          </cell>
          <cell r="CA45">
            <v>-6.3466565172856093E-2</v>
          </cell>
          <cell r="CB45">
            <v>1.6816218689934104E-2</v>
          </cell>
          <cell r="CC45">
            <v>2.2463364111703799E-2</v>
          </cell>
          <cell r="CD45">
            <v>2.4376753918724958E-2</v>
          </cell>
          <cell r="CE45">
            <v>-2.3761031913544728E-2</v>
          </cell>
          <cell r="CF45">
            <v>-1.3243201664739024E-2</v>
          </cell>
          <cell r="CG45">
            <v>-5.7504753120940499E-5</v>
          </cell>
          <cell r="CH45">
            <v>1.4196477771846183E-3</v>
          </cell>
          <cell r="CI45">
            <v>1.4645520555885971E-2</v>
          </cell>
          <cell r="CJ45">
            <v>0.20932488351383882</v>
          </cell>
        </row>
        <row r="46">
          <cell r="A46" t="str">
            <v xml:space="preserve">   CER growth %</v>
          </cell>
          <cell r="BG46">
            <v>0.01</v>
          </cell>
          <cell r="BH46">
            <v>-7.0000000000000007E-2</v>
          </cell>
          <cell r="BI46">
            <v>0.05</v>
          </cell>
          <cell r="BM46">
            <v>0.1</v>
          </cell>
          <cell r="BN46">
            <v>0.01</v>
          </cell>
          <cell r="BO46">
            <v>0.05</v>
          </cell>
          <cell r="BS46">
            <v>0.05</v>
          </cell>
        </row>
        <row r="48">
          <cell r="A48" t="str">
            <v>Adjustments</v>
          </cell>
          <cell r="O48">
            <v>1037</v>
          </cell>
          <cell r="P48">
            <v>-1974</v>
          </cell>
          <cell r="Q48">
            <v>-1964</v>
          </cell>
          <cell r="R48">
            <v>-3938</v>
          </cell>
          <cell r="S48">
            <v>-1979</v>
          </cell>
          <cell r="T48">
            <v>-5917</v>
          </cell>
          <cell r="U48">
            <v>-1725</v>
          </cell>
          <cell r="V48">
            <v>1360</v>
          </cell>
          <cell r="W48">
            <v>-2335</v>
          </cell>
          <cell r="X48">
            <v>-2097</v>
          </cell>
          <cell r="Y48">
            <v>-4432</v>
          </cell>
          <cell r="Z48">
            <v>-1452</v>
          </cell>
          <cell r="AA48">
            <v>-5884</v>
          </cell>
          <cell r="AB48">
            <v>-897</v>
          </cell>
          <cell r="AC48">
            <v>2505</v>
          </cell>
          <cell r="AD48">
            <v>-2488</v>
          </cell>
          <cell r="AE48">
            <v>-2461</v>
          </cell>
          <cell r="AF48">
            <v>-4949</v>
          </cell>
          <cell r="AG48">
            <v>-2349</v>
          </cell>
          <cell r="AH48">
            <v>-7298</v>
          </cell>
          <cell r="AI48">
            <v>-1680</v>
          </cell>
          <cell r="AJ48">
            <v>1345</v>
          </cell>
          <cell r="AK48">
            <v>-2347</v>
          </cell>
          <cell r="AL48">
            <v>-2364</v>
          </cell>
          <cell r="AM48">
            <v>-4711</v>
          </cell>
          <cell r="AN48">
            <v>-2634</v>
          </cell>
          <cell r="AO48">
            <v>-7345</v>
          </cell>
          <cell r="AP48">
            <v>-2637</v>
          </cell>
          <cell r="AQ48">
            <v>1455</v>
          </cell>
          <cell r="AR48">
            <v>-3511</v>
          </cell>
          <cell r="AS48">
            <v>-2961</v>
          </cell>
          <cell r="AT48">
            <v>-6472</v>
          </cell>
          <cell r="AU48">
            <v>-2587</v>
          </cell>
          <cell r="AV48">
            <v>-9059</v>
          </cell>
          <cell r="AW48">
            <v>-2467</v>
          </cell>
          <cell r="AX48">
            <v>2480</v>
          </cell>
          <cell r="AY48">
            <v>604</v>
          </cell>
          <cell r="AZ48">
            <v>913</v>
          </cell>
          <cell r="BA48">
            <v>1517</v>
          </cell>
          <cell r="BB48">
            <v>1161</v>
          </cell>
          <cell r="BC48">
            <v>2678</v>
          </cell>
          <cell r="BD48">
            <v>2233</v>
          </cell>
          <cell r="BE48">
            <v>4911</v>
          </cell>
          <cell r="BF48">
            <v>871</v>
          </cell>
          <cell r="BG48">
            <v>723</v>
          </cell>
          <cell r="BH48">
            <v>1594</v>
          </cell>
          <cell r="BI48">
            <v>862</v>
          </cell>
          <cell r="BJ48">
            <v>2456</v>
          </cell>
          <cell r="BK48">
            <v>1192.9000000000001</v>
          </cell>
          <cell r="BL48">
            <v>3649</v>
          </cell>
          <cell r="BM48">
            <v>818</v>
          </cell>
          <cell r="BN48">
            <v>785</v>
          </cell>
          <cell r="BO48">
            <v>1603</v>
          </cell>
          <cell r="BP48">
            <v>950</v>
          </cell>
          <cell r="BQ48">
            <v>2553</v>
          </cell>
          <cell r="BR48">
            <v>1022</v>
          </cell>
          <cell r="BS48">
            <v>3575</v>
          </cell>
          <cell r="BT48">
            <v>-206.44999999999982</v>
          </cell>
          <cell r="BU48">
            <v>707.55000000000018</v>
          </cell>
          <cell r="BV48">
            <v>501.10000000000036</v>
          </cell>
          <cell r="BW48">
            <v>711.55000000000018</v>
          </cell>
          <cell r="BX48">
            <v>1212.6499999999996</v>
          </cell>
          <cell r="BY48">
            <v>730.55000000000018</v>
          </cell>
          <cell r="BZ48">
            <v>1943.2000000000007</v>
          </cell>
          <cell r="CA48">
            <v>2843.41</v>
          </cell>
          <cell r="CB48">
            <v>2843.6304999999993</v>
          </cell>
          <cell r="CC48">
            <v>2843.8620249999985</v>
          </cell>
          <cell r="CD48">
            <v>2844.1051262500005</v>
          </cell>
          <cell r="CE48">
            <v>2844.3603825624996</v>
          </cell>
          <cell r="CF48">
            <v>2844.6284016906247</v>
          </cell>
          <cell r="CG48">
            <v>2844.9098217751562</v>
          </cell>
          <cell r="CH48">
            <v>2845.2053128639127</v>
          </cell>
          <cell r="CI48">
            <v>2206.5155785071111</v>
          </cell>
          <cell r="CJ48">
            <v>6.8413574324658839</v>
          </cell>
        </row>
        <row r="50">
          <cell r="A50" t="str">
            <v>Core operating profit</v>
          </cell>
          <cell r="O50">
            <v>7839</v>
          </cell>
          <cell r="V50">
            <v>9002</v>
          </cell>
          <cell r="AC50">
            <v>9286</v>
          </cell>
          <cell r="AJ50">
            <v>10309</v>
          </cell>
          <cell r="AQ50">
            <v>11437</v>
          </cell>
          <cell r="AX50">
            <v>14006</v>
          </cell>
          <cell r="AY50">
            <v>4011.6000000000004</v>
          </cell>
          <cell r="AZ50">
            <v>4235.3999999999996</v>
          </cell>
          <cell r="BA50">
            <v>8247</v>
          </cell>
          <cell r="BB50">
            <v>4112</v>
          </cell>
          <cell r="BC50">
            <v>12359</v>
          </cell>
          <cell r="BD50">
            <v>3550</v>
          </cell>
          <cell r="BE50">
            <v>15909</v>
          </cell>
          <cell r="BF50">
            <v>3607</v>
          </cell>
          <cell r="BG50">
            <v>3831</v>
          </cell>
          <cell r="BH50">
            <v>7438</v>
          </cell>
          <cell r="BI50">
            <v>3810</v>
          </cell>
          <cell r="BJ50">
            <v>11248</v>
          </cell>
          <cell r="BK50">
            <v>3593.9</v>
          </cell>
          <cell r="BL50">
            <v>15160</v>
          </cell>
          <cell r="BM50">
            <v>3714</v>
          </cell>
          <cell r="BN50">
            <v>3755</v>
          </cell>
          <cell r="BO50">
            <v>7469</v>
          </cell>
          <cell r="BP50">
            <v>3621</v>
          </cell>
          <cell r="BQ50">
            <v>11090</v>
          </cell>
          <cell r="BR50">
            <v>3395</v>
          </cell>
          <cell r="BS50">
            <v>14485</v>
          </cell>
          <cell r="BT50">
            <v>3456.1960672260402</v>
          </cell>
          <cell r="BU50">
            <v>3776.1319042586774</v>
          </cell>
          <cell r="BV50">
            <v>7232.3279714847176</v>
          </cell>
          <cell r="BW50">
            <v>3784.990896328145</v>
          </cell>
          <cell r="BX50">
            <v>11017.318867812863</v>
          </cell>
          <cell r="BY50">
            <v>3727.8147652103253</v>
          </cell>
          <cell r="BZ50">
            <v>14745.133633023201</v>
          </cell>
          <cell r="CA50">
            <v>15088.051697490875</v>
          </cell>
          <cell r="CB50">
            <v>15690.715384084819</v>
          </cell>
          <cell r="CC50">
            <v>16429.289889067506</v>
          </cell>
          <cell r="CD50">
            <v>17267.781328375942</v>
          </cell>
          <cell r="CE50">
            <v>16981.425432753709</v>
          </cell>
          <cell r="CF50">
            <v>16977.335111762779</v>
          </cell>
          <cell r="CG50">
            <v>17005.245238756695</v>
          </cell>
          <cell r="CH50">
            <v>17043.587428040733</v>
          </cell>
          <cell r="CI50">
            <v>16798.240375271369</v>
          </cell>
          <cell r="CJ50">
            <v>17359.443039288533</v>
          </cell>
        </row>
        <row r="51">
          <cell r="A51" t="str">
            <v xml:space="preserve">   margin %</v>
          </cell>
          <cell r="O51">
            <v>0.25283018867924528</v>
          </cell>
          <cell r="V51">
            <v>0.26173930741720697</v>
          </cell>
          <cell r="AC51">
            <v>0.24390628283252785</v>
          </cell>
          <cell r="AJ51">
            <v>0.24865529800525821</v>
          </cell>
          <cell r="AQ51">
            <v>0.25836401834323536</v>
          </cell>
          <cell r="AX51">
            <v>0.27666719342604296</v>
          </cell>
          <cell r="AY51">
            <v>0.28599945817232975</v>
          </cell>
          <cell r="AZ51">
            <v>0.28396154310310145</v>
          </cell>
          <cell r="BA51">
            <v>0.2849492087623523</v>
          </cell>
          <cell r="BB51">
            <v>0.27703294482247526</v>
          </cell>
          <cell r="BC51">
            <v>0.28226561607856571</v>
          </cell>
          <cell r="BD51">
            <v>0.24017319531831405</v>
          </cell>
          <cell r="BE51">
            <v>0.27164224976949081</v>
          </cell>
          <cell r="BF51">
            <v>0.26261376046596285</v>
          </cell>
          <cell r="BG51">
            <v>0.26784590645319162</v>
          </cell>
          <cell r="BH51">
            <v>0.26528283044439688</v>
          </cell>
          <cell r="BI51">
            <v>0.2759469834142102</v>
          </cell>
          <cell r="BJ51">
            <v>0.26880152945393715</v>
          </cell>
          <cell r="BK51">
            <v>0.24237253844078771</v>
          </cell>
          <cell r="BL51">
            <v>0.26749951476011502</v>
          </cell>
          <cell r="BM51">
            <v>0.26498287671232879</v>
          </cell>
          <cell r="BN51">
            <v>0.25918001104362232</v>
          </cell>
          <cell r="BO51">
            <v>0.26203339882121807</v>
          </cell>
          <cell r="BP51">
            <v>0.25254568280094852</v>
          </cell>
          <cell r="BQ51">
            <v>0.25885812987255497</v>
          </cell>
          <cell r="BR51">
            <v>0.22516248839368616</v>
          </cell>
          <cell r="BS51">
            <v>0.25008632596685082</v>
          </cell>
          <cell r="BT51">
            <v>0.24143669666246975</v>
          </cell>
          <cell r="BU51">
            <v>0.25190154246421936</v>
          </cell>
          <cell r="BV51">
            <v>0.24678970713713444</v>
          </cell>
          <cell r="BW51">
            <v>0.260160220656527</v>
          </cell>
          <cell r="BX51">
            <v>0.25122538123006377</v>
          </cell>
          <cell r="BY51">
            <v>0.24506315954004174</v>
          </cell>
          <cell r="BZ51">
            <v>0.24963838365515284</v>
          </cell>
          <cell r="CA51">
            <v>0.25012009746477476</v>
          </cell>
          <cell r="CB51">
            <v>0.25208216669932643</v>
          </cell>
          <cell r="CC51">
            <v>0.25520971323450048</v>
          </cell>
          <cell r="CD51">
            <v>0.25880461604368676</v>
          </cell>
          <cell r="CE51">
            <v>0.25350262888268515</v>
          </cell>
          <cell r="CF51">
            <v>0.25016231280881501</v>
          </cell>
          <cell r="CG51">
            <v>0.25007028705199469</v>
          </cell>
          <cell r="CH51">
            <v>0.25031737426195166</v>
          </cell>
          <cell r="CI51">
            <v>0.24357928177260532</v>
          </cell>
          <cell r="CJ51">
            <v>0.25597488855116207</v>
          </cell>
        </row>
        <row r="52">
          <cell r="BE52">
            <v>-50.249436565521499</v>
          </cell>
          <cell r="BF52">
            <v>-233.85697706366892</v>
          </cell>
          <cell r="BG52">
            <v>-161.15636649909837</v>
          </cell>
          <cell r="BH52">
            <v>-196.66378317955423</v>
          </cell>
          <cell r="BI52">
            <v>-10.85961408265057</v>
          </cell>
          <cell r="BJ52">
            <v>-134.64086624628558</v>
          </cell>
          <cell r="BK52">
            <v>21.993431224736625</v>
          </cell>
          <cell r="BL52">
            <v>-41.427350093757866</v>
          </cell>
          <cell r="BM52">
            <v>23.691162463659321</v>
          </cell>
          <cell r="BN52">
            <v>-86.658954095693019</v>
          </cell>
          <cell r="BO52">
            <v>-32.494316231788112</v>
          </cell>
          <cell r="BP52">
            <v>-127.37147643448354</v>
          </cell>
          <cell r="BQ52">
            <v>-99.433995813821838</v>
          </cell>
          <cell r="BR52">
            <v>-507.84495020524042</v>
          </cell>
        </row>
        <row r="53">
          <cell r="A53" t="str">
            <v xml:space="preserve">   growth %</v>
          </cell>
          <cell r="O53" t="e">
            <v>#DIV/0!</v>
          </cell>
          <cell r="V53">
            <v>0.14836076030105882</v>
          </cell>
          <cell r="AC53">
            <v>3.1548544767829423E-2</v>
          </cell>
          <cell r="AJ53">
            <v>0.11016584105104466</v>
          </cell>
          <cell r="AQ53">
            <v>0.10941895431176651</v>
          </cell>
          <cell r="AX53">
            <v>0.22462184139197339</v>
          </cell>
          <cell r="BE53">
            <v>0.13587034128230768</v>
          </cell>
          <cell r="BF53">
            <v>-0.10085751321168623</v>
          </cell>
          <cell r="BG53">
            <v>-9.5480946309675518E-2</v>
          </cell>
          <cell r="BH53">
            <v>-9.8096277434218448E-2</v>
          </cell>
          <cell r="BI53">
            <v>-7.3443579766536926E-2</v>
          </cell>
          <cell r="BJ53">
            <v>-8.9894004369285518E-2</v>
          </cell>
          <cell r="BK53">
            <v>1.2366197183098615E-2</v>
          </cell>
          <cell r="BL53">
            <v>-4.7080269030108757E-2</v>
          </cell>
          <cell r="BM53">
            <v>2.9664541169947434E-2</v>
          </cell>
          <cell r="BN53">
            <v>-1.9838162359697153E-2</v>
          </cell>
          <cell r="BO53">
            <v>4.1677870395266936E-3</v>
          </cell>
          <cell r="BP53">
            <v>-0.51317558483463299</v>
          </cell>
          <cell r="BQ53">
            <v>-1.4046941678520608E-2</v>
          </cell>
          <cell r="BR53">
            <v>-0.10892388451443569</v>
          </cell>
          <cell r="BS53">
            <v>-4.4525065963060717E-2</v>
          </cell>
          <cell r="BT53">
            <v>-6.9414090676887419E-2</v>
          </cell>
          <cell r="BU53">
            <v>5.6276709077702769E-3</v>
          </cell>
          <cell r="BV53">
            <v>-3.1687244412275106E-2</v>
          </cell>
          <cell r="BW53">
            <v>4.5288841847043626E-2</v>
          </cell>
          <cell r="BX53">
            <v>-6.5537540294984264E-3</v>
          </cell>
          <cell r="BY53">
            <v>9.8030858677562671E-2</v>
          </cell>
          <cell r="BZ53">
            <v>1.7958828651929659E-2</v>
          </cell>
          <cell r="CA53">
            <v>2.3256355147550201E-2</v>
          </cell>
          <cell r="CB53">
            <v>3.9943108538935235E-2</v>
          </cell>
          <cell r="CC53">
            <v>4.7070798679569981E-2</v>
          </cell>
          <cell r="CD53">
            <v>5.1036377407059463E-2</v>
          </cell>
          <cell r="CE53">
            <v>-1.6583247736156381E-2</v>
          </cell>
          <cell r="CF53">
            <v>-2.4087029720376574E-4</v>
          </cell>
          <cell r="CG53">
            <v>1.6439639560732466E-3</v>
          </cell>
          <cell r="CH53">
            <v>2.2547272177322331E-3</v>
          </cell>
          <cell r="CI53">
            <v>-1.4395270585212061E-2</v>
          </cell>
          <cell r="CJ53">
            <v>3.3408419660627686E-2</v>
          </cell>
        </row>
        <row r="54">
          <cell r="A54" t="str">
            <v xml:space="preserve">   CER growth %</v>
          </cell>
          <cell r="BG54">
            <v>-0.03</v>
          </cell>
          <cell r="BH54">
            <v>-0.05</v>
          </cell>
          <cell r="BI54">
            <v>-0.03</v>
          </cell>
          <cell r="BJ54">
            <v>-0.04</v>
          </cell>
          <cell r="BM54">
            <v>0.06</v>
          </cell>
          <cell r="BN54">
            <v>0.02</v>
          </cell>
          <cell r="BO54">
            <v>0.04</v>
          </cell>
          <cell r="BP54">
            <v>0.01</v>
          </cell>
          <cell r="BQ54">
            <v>0.03</v>
          </cell>
        </row>
        <row r="55">
          <cell r="A55" t="str">
            <v>SAVINGS</v>
          </cell>
          <cell r="BF55">
            <v>406.36999999999989</v>
          </cell>
          <cell r="BG55">
            <v>715.15000000000009</v>
          </cell>
          <cell r="BH55">
            <v>1121.52</v>
          </cell>
          <cell r="BM55">
            <v>600</v>
          </cell>
          <cell r="BO55">
            <v>1140.1600000000001</v>
          </cell>
        </row>
        <row r="56">
          <cell r="A56" t="str">
            <v>bps saving</v>
          </cell>
          <cell r="BF56">
            <v>295.86457954131771</v>
          </cell>
          <cell r="BG56">
            <v>500</v>
          </cell>
          <cell r="BH56">
            <v>400</v>
          </cell>
          <cell r="BM56">
            <v>428.08219178082192</v>
          </cell>
          <cell r="BO56">
            <v>400</v>
          </cell>
        </row>
        <row r="58">
          <cell r="A58" t="str">
            <v>Core operating result (consensus)</v>
          </cell>
          <cell r="BS58">
            <v>14638.718839178422</v>
          </cell>
          <cell r="BZ58">
            <v>15586.051959024526</v>
          </cell>
          <cell r="CA58">
            <v>16367.796573954958</v>
          </cell>
          <cell r="CB58">
            <v>17035.484312015433</v>
          </cell>
          <cell r="CC58">
            <v>18271.782937595468</v>
          </cell>
        </row>
        <row r="59">
          <cell r="A59" t="str">
            <v>MS vs. Cons</v>
          </cell>
          <cell r="BS59">
            <v>-1.0500839647730409E-2</v>
          </cell>
          <cell r="BZ59">
            <v>-5.3953260788048518E-2</v>
          </cell>
          <cell r="CA59">
            <v>-7.8186753524323471E-2</v>
          </cell>
          <cell r="CB59">
            <v>-7.8939283632935786E-2</v>
          </cell>
          <cell r="CC59">
            <v>-0.10083816422407821</v>
          </cell>
        </row>
        <row r="62">
          <cell r="A62" t="str">
            <v>Roche Net income (SFr)</v>
          </cell>
          <cell r="H62">
            <v>0</v>
          </cell>
          <cell r="J62">
            <v>1399</v>
          </cell>
          <cell r="K62">
            <v>2798</v>
          </cell>
          <cell r="L62">
            <v>1453.3027624598362</v>
          </cell>
          <cell r="M62">
            <v>4251.3027624598362</v>
          </cell>
          <cell r="N62">
            <v>1453.3027624598362</v>
          </cell>
          <cell r="O62">
            <v>5704.6055249196725</v>
          </cell>
          <cell r="P62">
            <v>1965</v>
          </cell>
          <cell r="Q62">
            <v>0</v>
          </cell>
          <cell r="R62">
            <v>1965</v>
          </cell>
          <cell r="S62">
            <v>0</v>
          </cell>
          <cell r="T62">
            <v>1965</v>
          </cell>
          <cell r="U62">
            <v>5895</v>
          </cell>
          <cell r="V62">
            <v>7860</v>
          </cell>
          <cell r="AC62">
            <v>9761</v>
          </cell>
          <cell r="AJ62">
            <v>8969</v>
          </cell>
          <cell r="AQ62">
            <v>7784</v>
          </cell>
          <cell r="AX62">
            <v>9371.5229104107784</v>
          </cell>
          <cell r="BE62">
            <v>9423.7892697709867</v>
          </cell>
          <cell r="BL62">
            <v>10203.026947212995</v>
          </cell>
          <cell r="BS62">
            <v>13120.582433316291</v>
          </cell>
          <cell r="BZ62">
            <v>13239.856184282684</v>
          </cell>
          <cell r="CA62">
            <v>14431.31101447421</v>
          </cell>
          <cell r="CB62">
            <v>15681.005777353843</v>
          </cell>
          <cell r="CC62">
            <v>16965.372739619994</v>
          </cell>
          <cell r="CD62">
            <v>17923.825226379802</v>
          </cell>
          <cell r="CE62">
            <v>18170.989877710592</v>
          </cell>
          <cell r="CF62">
            <v>18448.715393304527</v>
          </cell>
          <cell r="CG62">
            <v>18448.715393304527</v>
          </cell>
          <cell r="CH62">
            <v>18448.715393304527</v>
          </cell>
          <cell r="CI62">
            <v>18448.715393304527</v>
          </cell>
          <cell r="CJ62">
            <v>18448.715393304527</v>
          </cell>
        </row>
        <row r="63">
          <cell r="A63" t="str">
            <v>Roche Net income ($)</v>
          </cell>
          <cell r="AC63">
            <v>8133.3278562055684</v>
          </cell>
          <cell r="AJ63">
            <v>8311.9808523773772</v>
          </cell>
          <cell r="AQ63">
            <v>7181.0131233097245</v>
          </cell>
          <cell r="AX63">
            <v>9006.3791218222759</v>
          </cell>
          <cell r="BE63">
            <v>10905.437724646163</v>
          </cell>
          <cell r="BL63">
            <v>10968.253968253968</v>
          </cell>
          <cell r="BS63">
            <v>14157.108445548278</v>
          </cell>
          <cell r="BZ63">
            <v>14656.52079600093</v>
          </cell>
          <cell r="CA63">
            <v>15975.46129302295</v>
          </cell>
          <cell r="CB63">
            <v>17358.873395530703</v>
          </cell>
          <cell r="CC63">
            <v>18780.667622759334</v>
          </cell>
          <cell r="CD63">
            <v>19841.674525602441</v>
          </cell>
          <cell r="CE63">
            <v>20115.285794625626</v>
          </cell>
          <cell r="CF63">
            <v>20422.727940388111</v>
          </cell>
          <cell r="CG63">
            <v>20422.727940388111</v>
          </cell>
          <cell r="CH63">
            <v>20422.727940388111</v>
          </cell>
          <cell r="CI63">
            <v>20422.727940388111</v>
          </cell>
          <cell r="CJ63">
            <v>20422.727940388111</v>
          </cell>
        </row>
        <row r="64">
          <cell r="A64" t="str">
            <v>Chiron Net income ($)</v>
          </cell>
          <cell r="J64">
            <v>7.3</v>
          </cell>
          <cell r="K64">
            <v>7.3</v>
          </cell>
          <cell r="L64">
            <v>86.5</v>
          </cell>
          <cell r="M64">
            <v>93.8</v>
          </cell>
          <cell r="N64">
            <v>116.5</v>
          </cell>
          <cell r="O64">
            <v>182</v>
          </cell>
          <cell r="P64">
            <v>0</v>
          </cell>
          <cell r="Q64">
            <v>0</v>
          </cell>
          <cell r="R64">
            <v>0</v>
          </cell>
          <cell r="T64">
            <v>0</v>
          </cell>
        </row>
        <row r="65">
          <cell r="A65" t="str">
            <v>D&amp;A of fair value adj</v>
          </cell>
          <cell r="H65">
            <v>0</v>
          </cell>
          <cell r="I65">
            <v>-30</v>
          </cell>
          <cell r="J65">
            <v>-30</v>
          </cell>
          <cell r="K65">
            <v>-60</v>
          </cell>
          <cell r="L65">
            <v>-30</v>
          </cell>
          <cell r="M65">
            <v>-90</v>
          </cell>
          <cell r="N65">
            <v>-30</v>
          </cell>
          <cell r="O65">
            <v>-120</v>
          </cell>
          <cell r="P65">
            <v>-30</v>
          </cell>
          <cell r="Q65">
            <v>-29</v>
          </cell>
          <cell r="R65">
            <v>-59</v>
          </cell>
          <cell r="S65">
            <v>-30</v>
          </cell>
          <cell r="T65">
            <v>-89</v>
          </cell>
          <cell r="U65">
            <v>-30</v>
          </cell>
        </row>
        <row r="66">
          <cell r="A66" t="str">
            <v>Income effect, Roche investment</v>
          </cell>
          <cell r="I66">
            <v>63</v>
          </cell>
          <cell r="J66">
            <v>63</v>
          </cell>
          <cell r="K66">
            <v>126</v>
          </cell>
          <cell r="L66" t="e">
            <v>#REF!</v>
          </cell>
          <cell r="M66">
            <v>123</v>
          </cell>
          <cell r="N66" t="e">
            <v>#REF!</v>
          </cell>
          <cell r="O66">
            <v>166</v>
          </cell>
          <cell r="P66" t="e">
            <v>#REF!</v>
          </cell>
          <cell r="Q66" t="e">
            <v>#REF!</v>
          </cell>
          <cell r="R66" t="e">
            <v>#REF!</v>
          </cell>
          <cell r="S66" t="e">
            <v>#REF!</v>
          </cell>
          <cell r="T66" t="e">
            <v>#REF!</v>
          </cell>
          <cell r="U66" t="e">
            <v>#REF!</v>
          </cell>
          <cell r="V66">
            <v>290</v>
          </cell>
          <cell r="W66">
            <v>96</v>
          </cell>
          <cell r="X66">
            <v>87</v>
          </cell>
          <cell r="Y66">
            <v>183</v>
          </cell>
          <cell r="Z66">
            <v>113</v>
          </cell>
          <cell r="AA66">
            <v>296</v>
          </cell>
          <cell r="AB66">
            <v>95</v>
          </cell>
          <cell r="AC66">
            <v>391</v>
          </cell>
          <cell r="AD66">
            <v>134</v>
          </cell>
          <cell r="AE66">
            <v>116</v>
          </cell>
          <cell r="AF66">
            <v>250</v>
          </cell>
          <cell r="AG66">
            <v>91</v>
          </cell>
          <cell r="AH66">
            <v>341</v>
          </cell>
          <cell r="AI66">
            <v>98</v>
          </cell>
          <cell r="AJ66">
            <v>439</v>
          </cell>
          <cell r="AK66">
            <v>68</v>
          </cell>
          <cell r="AL66">
            <v>100</v>
          </cell>
          <cell r="AM66">
            <v>168</v>
          </cell>
          <cell r="AN66">
            <v>43</v>
          </cell>
          <cell r="AO66">
            <v>211</v>
          </cell>
          <cell r="AP66">
            <v>80</v>
          </cell>
          <cell r="AQ66">
            <v>291</v>
          </cell>
          <cell r="AR66">
            <v>80</v>
          </cell>
          <cell r="AS66">
            <v>120</v>
          </cell>
          <cell r="AT66">
            <v>200</v>
          </cell>
          <cell r="AU66">
            <v>120</v>
          </cell>
          <cell r="AV66">
            <v>320</v>
          </cell>
          <cell r="AW66">
            <v>175</v>
          </cell>
          <cell r="AX66">
            <v>495</v>
          </cell>
          <cell r="AY66">
            <v>197</v>
          </cell>
          <cell r="AZ66">
            <v>163</v>
          </cell>
          <cell r="BA66">
            <v>360</v>
          </cell>
          <cell r="BB66">
            <v>148</v>
          </cell>
          <cell r="BC66">
            <v>508</v>
          </cell>
          <cell r="BD66">
            <v>130</v>
          </cell>
          <cell r="BE66">
            <v>638</v>
          </cell>
          <cell r="BF66">
            <v>173</v>
          </cell>
          <cell r="BG66">
            <v>189</v>
          </cell>
          <cell r="BH66">
            <v>362</v>
          </cell>
          <cell r="BI66">
            <v>180</v>
          </cell>
          <cell r="BJ66">
            <v>542</v>
          </cell>
          <cell r="BK66">
            <v>149</v>
          </cell>
          <cell r="BL66">
            <v>691</v>
          </cell>
          <cell r="BM66">
            <v>151</v>
          </cell>
          <cell r="BN66">
            <v>205</v>
          </cell>
          <cell r="BO66">
            <v>356</v>
          </cell>
          <cell r="BP66">
            <v>195</v>
          </cell>
          <cell r="BQ66">
            <v>551</v>
          </cell>
          <cell r="BR66">
            <v>207</v>
          </cell>
          <cell r="BS66">
            <v>758</v>
          </cell>
          <cell r="BT66">
            <v>230.84020253701465</v>
          </cell>
          <cell r="BU66">
            <v>230.84020253701465</v>
          </cell>
          <cell r="BV66">
            <v>461.6804050740293</v>
          </cell>
          <cell r="BW66">
            <v>230.84020253701465</v>
          </cell>
          <cell r="BX66">
            <v>692.52060761104394</v>
          </cell>
          <cell r="BY66">
            <v>230.84020253701465</v>
          </cell>
          <cell r="BZ66">
            <v>923.36081014805859</v>
          </cell>
          <cell r="CA66">
            <v>1006.4540614604459</v>
          </cell>
          <cell r="CB66">
            <v>1093.6090239184343</v>
          </cell>
          <cell r="CC66">
            <v>1183.182060233838</v>
          </cell>
          <cell r="CD66">
            <v>1250.0254951129539</v>
          </cell>
          <cell r="CE66">
            <v>1267.2630050614146</v>
          </cell>
          <cell r="CF66">
            <v>1286.631860244451</v>
          </cell>
          <cell r="CG66">
            <v>1286.631860244451</v>
          </cell>
          <cell r="CH66">
            <v>1286.631860244451</v>
          </cell>
          <cell r="CI66">
            <v>1286.631860244451</v>
          </cell>
          <cell r="CJ66">
            <v>1286.631860244451</v>
          </cell>
        </row>
        <row r="67">
          <cell r="A67" t="str">
            <v>Income effect, Chiron investment</v>
          </cell>
          <cell r="H67">
            <v>0</v>
          </cell>
          <cell r="I67">
            <v>-2</v>
          </cell>
          <cell r="J67">
            <v>3.0659999999999998</v>
          </cell>
          <cell r="K67">
            <v>1.0659999999999998</v>
          </cell>
          <cell r="L67">
            <v>36.33</v>
          </cell>
          <cell r="M67">
            <v>3</v>
          </cell>
          <cell r="N67">
            <v>48.93</v>
          </cell>
          <cell r="O67">
            <v>19</v>
          </cell>
          <cell r="P67">
            <v>0</v>
          </cell>
          <cell r="Q67">
            <v>0</v>
          </cell>
          <cell r="R67">
            <v>0</v>
          </cell>
          <cell r="S67">
            <v>0</v>
          </cell>
          <cell r="T67">
            <v>0</v>
          </cell>
          <cell r="U67">
            <v>0</v>
          </cell>
          <cell r="V67">
            <v>-44</v>
          </cell>
          <cell r="AW67">
            <v>0</v>
          </cell>
        </row>
        <row r="68">
          <cell r="A68" t="str">
            <v>Income effect, Alcon investment</v>
          </cell>
          <cell r="AG68">
            <v>-5</v>
          </cell>
          <cell r="AH68">
            <v>-5</v>
          </cell>
          <cell r="AI68">
            <v>-6</v>
          </cell>
          <cell r="AJ68">
            <v>-11</v>
          </cell>
          <cell r="AK68">
            <v>12</v>
          </cell>
          <cell r="AL68">
            <v>20</v>
          </cell>
          <cell r="AM68">
            <v>32</v>
          </cell>
          <cell r="AN68">
            <v>-62</v>
          </cell>
          <cell r="AO68">
            <v>-30</v>
          </cell>
          <cell r="AP68">
            <v>25</v>
          </cell>
          <cell r="AQ68">
            <v>-5</v>
          </cell>
          <cell r="AR68">
            <v>131</v>
          </cell>
          <cell r="AS68">
            <v>167.5</v>
          </cell>
          <cell r="AT68">
            <v>298.5</v>
          </cell>
          <cell r="AU68">
            <v>0</v>
          </cell>
          <cell r="AV68">
            <v>298.5</v>
          </cell>
          <cell r="AW68">
            <v>0</v>
          </cell>
          <cell r="AX68">
            <v>298.5</v>
          </cell>
          <cell r="AY68">
            <v>0</v>
          </cell>
          <cell r="AZ68">
            <v>0</v>
          </cell>
          <cell r="BA68">
            <v>0</v>
          </cell>
          <cell r="BB68">
            <v>0</v>
          </cell>
          <cell r="BC68">
            <v>0</v>
          </cell>
          <cell r="BD68">
            <v>0</v>
          </cell>
          <cell r="BE68">
            <v>0</v>
          </cell>
        </row>
        <row r="69">
          <cell r="A69" t="str">
            <v xml:space="preserve">     …note - intangible amortisation</v>
          </cell>
          <cell r="AY69">
            <v>-38</v>
          </cell>
          <cell r="AZ69">
            <v>-41</v>
          </cell>
          <cell r="BA69">
            <v>-79</v>
          </cell>
          <cell r="BC69">
            <v>-79</v>
          </cell>
          <cell r="BE69">
            <v>-79</v>
          </cell>
          <cell r="BF69">
            <v>-39</v>
          </cell>
          <cell r="BG69">
            <v>-38</v>
          </cell>
          <cell r="BH69">
            <v>-77</v>
          </cell>
          <cell r="BI69">
            <v>-99</v>
          </cell>
          <cell r="BJ69">
            <v>-176</v>
          </cell>
          <cell r="BK69">
            <v>23</v>
          </cell>
          <cell r="BL69">
            <v>-153</v>
          </cell>
          <cell r="BM69">
            <v>-38</v>
          </cell>
          <cell r="BN69">
            <v>-38</v>
          </cell>
          <cell r="BO69">
            <v>-76</v>
          </cell>
          <cell r="BP69">
            <v>-39</v>
          </cell>
          <cell r="BQ69">
            <v>-115</v>
          </cell>
          <cell r="BR69">
            <v>-39</v>
          </cell>
          <cell r="BS69">
            <v>-154</v>
          </cell>
          <cell r="BT69">
            <v>-38.5</v>
          </cell>
          <cell r="BU69">
            <v>-38.5</v>
          </cell>
          <cell r="BV69">
            <v>-77</v>
          </cell>
          <cell r="BW69">
            <v>-38.5</v>
          </cell>
          <cell r="BX69">
            <v>-115.5</v>
          </cell>
          <cell r="BY69">
            <v>-38.5</v>
          </cell>
          <cell r="BZ69">
            <v>-154</v>
          </cell>
          <cell r="CA69">
            <v>-154</v>
          </cell>
          <cell r="CB69">
            <v>-154</v>
          </cell>
          <cell r="CC69">
            <v>-154</v>
          </cell>
          <cell r="CD69">
            <v>-154</v>
          </cell>
          <cell r="CE69">
            <v>-154</v>
          </cell>
          <cell r="CF69">
            <v>-154</v>
          </cell>
          <cell r="CG69">
            <v>-154</v>
          </cell>
          <cell r="CH69">
            <v>-154</v>
          </cell>
          <cell r="CI69">
            <v>-154</v>
          </cell>
          <cell r="CJ69">
            <v>-154</v>
          </cell>
        </row>
        <row r="70">
          <cell r="A70" t="str">
            <v>Other</v>
          </cell>
          <cell r="B70">
            <v>0</v>
          </cell>
          <cell r="C70">
            <v>0</v>
          </cell>
          <cell r="D70">
            <v>0</v>
          </cell>
          <cell r="F70">
            <v>0</v>
          </cell>
          <cell r="G70">
            <v>0</v>
          </cell>
          <cell r="H70">
            <v>0</v>
          </cell>
          <cell r="I70">
            <v>2</v>
          </cell>
          <cell r="O70">
            <v>8</v>
          </cell>
          <cell r="V70">
            <v>18</v>
          </cell>
          <cell r="AC70">
            <v>21</v>
          </cell>
          <cell r="AD70">
            <v>3</v>
          </cell>
          <cell r="AE70">
            <v>3</v>
          </cell>
          <cell r="AF70">
            <v>6</v>
          </cell>
          <cell r="AG70">
            <v>2</v>
          </cell>
          <cell r="AH70">
            <v>8</v>
          </cell>
          <cell r="AI70">
            <v>5</v>
          </cell>
          <cell r="AJ70">
            <v>13</v>
          </cell>
          <cell r="AK70">
            <v>3</v>
          </cell>
          <cell r="AL70">
            <v>4</v>
          </cell>
          <cell r="AM70">
            <v>7</v>
          </cell>
          <cell r="AN70">
            <v>-2</v>
          </cell>
          <cell r="AO70">
            <v>5</v>
          </cell>
          <cell r="AP70">
            <v>2</v>
          </cell>
          <cell r="AQ70">
            <v>7</v>
          </cell>
          <cell r="AR70">
            <v>-108</v>
          </cell>
          <cell r="AS70">
            <v>-129.5</v>
          </cell>
          <cell r="AT70">
            <v>-237.5</v>
          </cell>
          <cell r="AU70">
            <v>248</v>
          </cell>
          <cell r="AV70">
            <v>10.5</v>
          </cell>
          <cell r="AW70">
            <v>0</v>
          </cell>
          <cell r="AX70">
            <v>10.5</v>
          </cell>
          <cell r="AY70">
            <v>-42</v>
          </cell>
          <cell r="AZ70">
            <v>8</v>
          </cell>
          <cell r="BA70">
            <v>-34</v>
          </cell>
          <cell r="BB70">
            <v>3</v>
          </cell>
          <cell r="BC70">
            <v>-31</v>
          </cell>
          <cell r="BD70">
            <v>0</v>
          </cell>
          <cell r="BE70">
            <v>-31</v>
          </cell>
          <cell r="BF70">
            <v>-6</v>
          </cell>
          <cell r="BG70">
            <v>25</v>
          </cell>
          <cell r="BH70">
            <v>19</v>
          </cell>
          <cell r="BI70">
            <v>0</v>
          </cell>
          <cell r="BJ70">
            <v>19</v>
          </cell>
          <cell r="BK70">
            <v>-5</v>
          </cell>
          <cell r="BL70">
            <v>14</v>
          </cell>
          <cell r="BM70">
            <v>-2</v>
          </cell>
          <cell r="BN70">
            <v>7</v>
          </cell>
          <cell r="BO70">
            <v>5</v>
          </cell>
          <cell r="BP70">
            <v>5</v>
          </cell>
          <cell r="BQ70">
            <v>10</v>
          </cell>
          <cell r="BR70">
            <v>-14</v>
          </cell>
          <cell r="BS70">
            <v>-4</v>
          </cell>
          <cell r="CA70">
            <v>0</v>
          </cell>
          <cell r="CB70">
            <v>0</v>
          </cell>
          <cell r="CC70">
            <v>0</v>
          </cell>
          <cell r="CD70">
            <v>0</v>
          </cell>
          <cell r="CE70">
            <v>0</v>
          </cell>
          <cell r="CF70">
            <v>0</v>
          </cell>
          <cell r="CG70">
            <v>0</v>
          </cell>
          <cell r="CH70">
            <v>0</v>
          </cell>
          <cell r="CI70">
            <v>0</v>
          </cell>
          <cell r="CJ70">
            <v>0</v>
          </cell>
        </row>
        <row r="71">
          <cell r="A71" t="str">
            <v>Income from Associated Companies</v>
          </cell>
          <cell r="B71">
            <v>42</v>
          </cell>
          <cell r="C71">
            <v>14</v>
          </cell>
          <cell r="D71">
            <v>56</v>
          </cell>
          <cell r="E71">
            <v>98</v>
          </cell>
          <cell r="F71">
            <v>154</v>
          </cell>
          <cell r="G71">
            <v>-86</v>
          </cell>
          <cell r="H71">
            <v>68</v>
          </cell>
          <cell r="I71">
            <v>33</v>
          </cell>
          <cell r="J71">
            <v>28</v>
          </cell>
          <cell r="K71">
            <v>61</v>
          </cell>
          <cell r="L71">
            <v>65</v>
          </cell>
          <cell r="M71">
            <v>126</v>
          </cell>
          <cell r="N71">
            <v>67</v>
          </cell>
          <cell r="O71">
            <v>193</v>
          </cell>
          <cell r="P71">
            <v>104</v>
          </cell>
          <cell r="Q71">
            <v>1</v>
          </cell>
          <cell r="R71">
            <v>105</v>
          </cell>
          <cell r="S71">
            <v>88</v>
          </cell>
          <cell r="T71">
            <v>193</v>
          </cell>
          <cell r="U71">
            <v>71</v>
          </cell>
          <cell r="V71">
            <v>264</v>
          </cell>
          <cell r="W71">
            <v>97</v>
          </cell>
          <cell r="X71">
            <v>95</v>
          </cell>
          <cell r="Y71">
            <v>192</v>
          </cell>
          <cell r="Z71">
            <v>116</v>
          </cell>
          <cell r="AA71">
            <v>308</v>
          </cell>
          <cell r="AB71">
            <v>104</v>
          </cell>
          <cell r="AC71">
            <v>412</v>
          </cell>
          <cell r="AD71">
            <v>137</v>
          </cell>
          <cell r="AE71">
            <v>119</v>
          </cell>
          <cell r="AF71">
            <v>256</v>
          </cell>
          <cell r="AG71">
            <v>88</v>
          </cell>
          <cell r="AH71">
            <v>344</v>
          </cell>
          <cell r="AI71">
            <v>97</v>
          </cell>
          <cell r="AJ71">
            <v>441</v>
          </cell>
          <cell r="AK71">
            <v>83</v>
          </cell>
          <cell r="AL71">
            <v>124</v>
          </cell>
          <cell r="AM71">
            <v>207</v>
          </cell>
          <cell r="AN71">
            <v>-21</v>
          </cell>
          <cell r="AO71">
            <v>186</v>
          </cell>
          <cell r="AP71">
            <v>107</v>
          </cell>
          <cell r="AQ71">
            <v>293</v>
          </cell>
          <cell r="AR71">
            <v>103</v>
          </cell>
          <cell r="AS71">
            <v>158</v>
          </cell>
          <cell r="AT71">
            <v>261</v>
          </cell>
          <cell r="AU71">
            <v>368</v>
          </cell>
          <cell r="AV71">
            <v>629</v>
          </cell>
          <cell r="AW71">
            <v>175</v>
          </cell>
          <cell r="AX71">
            <v>804</v>
          </cell>
          <cell r="AY71">
            <v>117</v>
          </cell>
          <cell r="AZ71">
            <v>130</v>
          </cell>
          <cell r="BA71">
            <v>247</v>
          </cell>
          <cell r="BB71">
            <v>151</v>
          </cell>
          <cell r="BC71">
            <v>398</v>
          </cell>
          <cell r="BD71">
            <v>130</v>
          </cell>
          <cell r="BE71">
            <v>528</v>
          </cell>
          <cell r="BF71">
            <v>128</v>
          </cell>
          <cell r="BG71">
            <v>176</v>
          </cell>
          <cell r="BH71">
            <v>304</v>
          </cell>
          <cell r="BI71">
            <v>81</v>
          </cell>
          <cell r="BJ71">
            <v>385</v>
          </cell>
          <cell r="BK71">
            <v>167</v>
          </cell>
          <cell r="BL71">
            <v>552</v>
          </cell>
          <cell r="BM71">
            <v>111</v>
          </cell>
          <cell r="BN71">
            <v>174</v>
          </cell>
          <cell r="BO71">
            <v>285</v>
          </cell>
          <cell r="BP71">
            <v>161</v>
          </cell>
          <cell r="BQ71">
            <v>446</v>
          </cell>
          <cell r="BR71">
            <v>154</v>
          </cell>
          <cell r="BS71">
            <v>600</v>
          </cell>
          <cell r="BT71">
            <v>192.34020253701465</v>
          </cell>
          <cell r="BU71">
            <v>192.34020253701465</v>
          </cell>
          <cell r="BV71">
            <v>384.6804050740293</v>
          </cell>
          <cell r="BW71">
            <v>192.34020253701465</v>
          </cell>
          <cell r="BX71">
            <v>577.02060761104394</v>
          </cell>
          <cell r="BY71">
            <v>192.34020253701465</v>
          </cell>
          <cell r="BZ71">
            <v>769.36081014805859</v>
          </cell>
          <cell r="CA71">
            <v>852.45406146044593</v>
          </cell>
          <cell r="CB71">
            <v>939.60902391843433</v>
          </cell>
          <cell r="CC71">
            <v>1029.182060233838</v>
          </cell>
          <cell r="CD71">
            <v>1096.0254951129539</v>
          </cell>
          <cell r="CE71">
            <v>1113.2630050614146</v>
          </cell>
          <cell r="CF71">
            <v>1132.631860244451</v>
          </cell>
          <cell r="CG71">
            <v>1132.631860244451</v>
          </cell>
          <cell r="CH71">
            <v>1132.631860244451</v>
          </cell>
          <cell r="CI71">
            <v>1132.631860244451</v>
          </cell>
          <cell r="CJ71">
            <v>1132.631860244451</v>
          </cell>
          <cell r="CL71" t="str">
            <v>mstag:incomeLossFromInvestmentsAccountedForUnderTheEquityMethodNonOperatingIncomeStatement</v>
          </cell>
          <cell r="CM71">
            <v>6</v>
          </cell>
          <cell r="CN71" t="str">
            <v>ISO4217:USD</v>
          </cell>
          <cell r="CO71" t="b">
            <v>0</v>
          </cell>
        </row>
        <row r="73">
          <cell r="A73" t="str">
            <v>Financial Income</v>
          </cell>
          <cell r="B73">
            <v>83</v>
          </cell>
          <cell r="C73">
            <v>152</v>
          </cell>
          <cell r="D73">
            <v>235</v>
          </cell>
          <cell r="E73">
            <v>82</v>
          </cell>
          <cell r="F73">
            <v>317</v>
          </cell>
          <cell r="G73">
            <v>169</v>
          </cell>
          <cell r="H73">
            <v>486</v>
          </cell>
          <cell r="O73">
            <v>585</v>
          </cell>
          <cell r="V73">
            <v>705</v>
          </cell>
          <cell r="W73">
            <v>87</v>
          </cell>
          <cell r="X73">
            <v>90</v>
          </cell>
          <cell r="Y73">
            <v>177</v>
          </cell>
          <cell r="Z73">
            <v>109</v>
          </cell>
          <cell r="AA73">
            <v>286</v>
          </cell>
          <cell r="AB73">
            <v>245</v>
          </cell>
          <cell r="AC73">
            <v>807</v>
          </cell>
          <cell r="AD73">
            <v>148</v>
          </cell>
          <cell r="AE73">
            <v>85</v>
          </cell>
          <cell r="AF73">
            <v>233</v>
          </cell>
          <cell r="AG73">
            <v>93</v>
          </cell>
          <cell r="AH73">
            <v>326</v>
          </cell>
          <cell r="AI73">
            <v>58</v>
          </cell>
          <cell r="AJ73">
            <v>445</v>
          </cell>
          <cell r="AK73">
            <v>-48</v>
          </cell>
          <cell r="AL73">
            <v>91</v>
          </cell>
          <cell r="AM73">
            <v>43</v>
          </cell>
          <cell r="AN73">
            <v>51</v>
          </cell>
          <cell r="AO73">
            <v>94</v>
          </cell>
          <cell r="AP73">
            <v>104</v>
          </cell>
          <cell r="AQ73">
            <v>198</v>
          </cell>
          <cell r="AR73">
            <v>49</v>
          </cell>
          <cell r="AS73">
            <v>14</v>
          </cell>
          <cell r="AT73">
            <v>63</v>
          </cell>
          <cell r="AU73">
            <v>27</v>
          </cell>
          <cell r="AV73">
            <v>90</v>
          </cell>
          <cell r="AW73">
            <v>-26</v>
          </cell>
          <cell r="AX73">
            <v>64</v>
          </cell>
          <cell r="AY73">
            <v>22</v>
          </cell>
          <cell r="AZ73">
            <v>-16</v>
          </cell>
          <cell r="BA73">
            <v>6</v>
          </cell>
          <cell r="BB73">
            <v>4</v>
          </cell>
          <cell r="BC73">
            <v>10</v>
          </cell>
          <cell r="BD73">
            <v>0</v>
          </cell>
          <cell r="BE73">
            <v>10</v>
          </cell>
          <cell r="BF73">
            <v>-41</v>
          </cell>
          <cell r="BG73">
            <v>34</v>
          </cell>
          <cell r="BH73">
            <v>-7</v>
          </cell>
          <cell r="BI73">
            <v>-178</v>
          </cell>
          <cell r="BJ73">
            <v>-185</v>
          </cell>
          <cell r="BK73">
            <v>89</v>
          </cell>
          <cell r="BL73">
            <v>-96</v>
          </cell>
          <cell r="BM73">
            <v>7</v>
          </cell>
          <cell r="BN73">
            <v>5</v>
          </cell>
          <cell r="BO73">
            <v>12</v>
          </cell>
          <cell r="BP73">
            <v>0</v>
          </cell>
          <cell r="BQ73">
            <v>12</v>
          </cell>
          <cell r="BR73">
            <v>0</v>
          </cell>
          <cell r="BS73">
            <v>12</v>
          </cell>
          <cell r="BT73">
            <v>11.242901529720955</v>
          </cell>
          <cell r="BU73">
            <v>11.242901529720955</v>
          </cell>
          <cell r="BV73">
            <v>22.48580305944191</v>
          </cell>
          <cell r="BW73">
            <v>11.242901529720955</v>
          </cell>
          <cell r="BX73">
            <v>33.728704589162867</v>
          </cell>
          <cell r="BY73">
            <v>11.242901529720953</v>
          </cell>
          <cell r="BZ73">
            <v>44.97160611888382</v>
          </cell>
          <cell r="CA73">
            <v>49.946585125176767</v>
          </cell>
          <cell r="CB73">
            <v>56.881297645978243</v>
          </cell>
          <cell r="CC73">
            <v>68.522654397755261</v>
          </cell>
          <cell r="CD73">
            <v>87.441258031894975</v>
          </cell>
          <cell r="CE73">
            <v>108.78474193346153</v>
          </cell>
          <cell r="CF73">
            <v>127.05980408286807</v>
          </cell>
          <cell r="CG73">
            <v>143.3224760103314</v>
          </cell>
          <cell r="CH73">
            <v>157.23602471324764</v>
          </cell>
          <cell r="CI73">
            <v>168.22561611713672</v>
          </cell>
          <cell r="CJ73">
            <v>178.65939070799485</v>
          </cell>
          <cell r="CL73" t="str">
            <v>mstag:interestAndDividendIncome</v>
          </cell>
          <cell r="CM73">
            <v>6</v>
          </cell>
          <cell r="CN73" t="str">
            <v>ISO4217:USD</v>
          </cell>
          <cell r="CO73" t="b">
            <v>0</v>
          </cell>
        </row>
        <row r="74">
          <cell r="A74" t="str">
            <v>Financial Expense</v>
          </cell>
          <cell r="B74">
            <v>-59</v>
          </cell>
          <cell r="C74">
            <v>-70</v>
          </cell>
          <cell r="D74">
            <v>-129</v>
          </cell>
          <cell r="E74">
            <v>-69</v>
          </cell>
          <cell r="F74">
            <v>-198</v>
          </cell>
          <cell r="G74">
            <v>-63</v>
          </cell>
          <cell r="H74">
            <v>-261</v>
          </cell>
          <cell r="O74">
            <v>-533</v>
          </cell>
          <cell r="V74">
            <v>-655</v>
          </cell>
          <cell r="W74">
            <v>-53</v>
          </cell>
          <cell r="X74">
            <v>-57</v>
          </cell>
          <cell r="Y74">
            <v>-110</v>
          </cell>
          <cell r="Z74">
            <v>-66</v>
          </cell>
          <cell r="AA74">
            <v>-176</v>
          </cell>
          <cell r="AB74">
            <v>-61</v>
          </cell>
          <cell r="AC74">
            <v>-671</v>
          </cell>
          <cell r="AD74">
            <v>-57</v>
          </cell>
          <cell r="AE74">
            <v>-61</v>
          </cell>
          <cell r="AF74">
            <v>-118</v>
          </cell>
          <cell r="AG74">
            <v>-96</v>
          </cell>
          <cell r="AH74">
            <v>-214</v>
          </cell>
          <cell r="AI74">
            <v>-76</v>
          </cell>
          <cell r="AJ74">
            <v>-451</v>
          </cell>
          <cell r="AK74">
            <v>-86</v>
          </cell>
          <cell r="AL74">
            <v>-136</v>
          </cell>
          <cell r="AM74">
            <v>-222</v>
          </cell>
          <cell r="AN74">
            <v>-173</v>
          </cell>
          <cell r="AO74">
            <v>-395</v>
          </cell>
          <cell r="AP74">
            <v>-156</v>
          </cell>
          <cell r="AQ74">
            <v>-551</v>
          </cell>
          <cell r="AR74">
            <v>-133</v>
          </cell>
          <cell r="AS74">
            <v>-175</v>
          </cell>
          <cell r="AT74">
            <v>-308</v>
          </cell>
          <cell r="AU74">
            <v>-188</v>
          </cell>
          <cell r="AV74">
            <v>-496</v>
          </cell>
          <cell r="AW74">
            <v>-196</v>
          </cell>
          <cell r="AX74">
            <v>-692</v>
          </cell>
          <cell r="AY74">
            <v>-189</v>
          </cell>
          <cell r="AZ74">
            <v>-190</v>
          </cell>
          <cell r="BA74">
            <v>-379</v>
          </cell>
          <cell r="BB74">
            <v>-198</v>
          </cell>
          <cell r="BC74">
            <v>-577</v>
          </cell>
          <cell r="BD74">
            <v>-186</v>
          </cell>
          <cell r="BE74">
            <v>-763</v>
          </cell>
          <cell r="BF74">
            <v>-164</v>
          </cell>
          <cell r="BG74">
            <v>-183</v>
          </cell>
          <cell r="BH74">
            <v>-347</v>
          </cell>
          <cell r="BI74">
            <v>-70</v>
          </cell>
          <cell r="BJ74">
            <v>-417</v>
          </cell>
          <cell r="BK74">
            <v>-307</v>
          </cell>
          <cell r="BL74">
            <v>-724</v>
          </cell>
          <cell r="BM74">
            <v>-175</v>
          </cell>
          <cell r="BN74">
            <v>-175</v>
          </cell>
          <cell r="BO74">
            <v>-350</v>
          </cell>
          <cell r="BP74">
            <v>-232</v>
          </cell>
          <cell r="BQ74">
            <v>-582</v>
          </cell>
          <cell r="BR74">
            <v>-205</v>
          </cell>
          <cell r="BS74">
            <v>-787</v>
          </cell>
          <cell r="BT74">
            <v>-180.30850000000001</v>
          </cell>
          <cell r="BU74">
            <v>-180.30850000000001</v>
          </cell>
          <cell r="BV74">
            <v>-360.61700000000002</v>
          </cell>
          <cell r="BW74">
            <v>-180.30850000000001</v>
          </cell>
          <cell r="BX74">
            <v>-540.92550000000006</v>
          </cell>
          <cell r="BY74">
            <v>-180.30849999999998</v>
          </cell>
          <cell r="BZ74">
            <v>-721.23400000000004</v>
          </cell>
          <cell r="CA74">
            <v>-721.23400000000004</v>
          </cell>
          <cell r="CB74">
            <v>-721.23400000000004</v>
          </cell>
          <cell r="CC74">
            <v>-721.23400000000004</v>
          </cell>
          <cell r="CD74">
            <v>-721.23400000000004</v>
          </cell>
          <cell r="CE74">
            <v>-721.23400000000004</v>
          </cell>
          <cell r="CF74">
            <v>-721.23400000000004</v>
          </cell>
          <cell r="CG74">
            <v>-721.23400000000004</v>
          </cell>
          <cell r="CH74">
            <v>-721.23400000000004</v>
          </cell>
          <cell r="CI74">
            <v>-721.23400000000004</v>
          </cell>
          <cell r="CJ74">
            <v>-721.23400000000004</v>
          </cell>
          <cell r="CL74" t="str">
            <v>mstag:interestExpense</v>
          </cell>
          <cell r="CM74">
            <v>6</v>
          </cell>
          <cell r="CN74" t="str">
            <v>ISO4217:USD</v>
          </cell>
          <cell r="CO74" t="b">
            <v>1</v>
          </cell>
        </row>
        <row r="75">
          <cell r="A75" t="str">
            <v>Currency Gains/(Losses)/Adjustments</v>
          </cell>
          <cell r="B75">
            <v>4</v>
          </cell>
          <cell r="C75">
            <v>16</v>
          </cell>
          <cell r="D75">
            <v>20</v>
          </cell>
          <cell r="E75">
            <v>22</v>
          </cell>
          <cell r="F75">
            <v>42</v>
          </cell>
          <cell r="G75">
            <v>-42</v>
          </cell>
          <cell r="H75">
            <v>0</v>
          </cell>
          <cell r="O75">
            <v>115</v>
          </cell>
          <cell r="V75">
            <v>38</v>
          </cell>
          <cell r="AC75">
            <v>158</v>
          </cell>
          <cell r="AJ75">
            <v>0</v>
          </cell>
          <cell r="AU75">
            <v>0</v>
          </cell>
          <cell r="AV75">
            <v>0</v>
          </cell>
          <cell r="AW75">
            <v>0</v>
          </cell>
          <cell r="AX75">
            <v>0</v>
          </cell>
          <cell r="AY75">
            <v>0</v>
          </cell>
          <cell r="AZ75">
            <v>0</v>
          </cell>
          <cell r="BA75">
            <v>0</v>
          </cell>
          <cell r="BB75">
            <v>0</v>
          </cell>
          <cell r="BC75">
            <v>0</v>
          </cell>
          <cell r="BD75">
            <v>0</v>
          </cell>
          <cell r="BE75">
            <v>0</v>
          </cell>
          <cell r="BF75">
            <v>0</v>
          </cell>
          <cell r="BL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L75" t="str">
            <v>mstag:foreignCurrencyExchangeGainsLosses</v>
          </cell>
          <cell r="CM75">
            <v>6</v>
          </cell>
          <cell r="CN75" t="str">
            <v>ISO4217:USD</v>
          </cell>
          <cell r="CO75" t="b">
            <v>0</v>
          </cell>
        </row>
        <row r="76">
          <cell r="A76" t="str">
            <v>Net Financial Income</v>
          </cell>
          <cell r="B76">
            <v>28</v>
          </cell>
          <cell r="C76">
            <v>98</v>
          </cell>
          <cell r="D76">
            <v>126</v>
          </cell>
          <cell r="E76">
            <v>35</v>
          </cell>
          <cell r="F76">
            <v>161</v>
          </cell>
          <cell r="G76">
            <v>64</v>
          </cell>
          <cell r="H76">
            <v>225</v>
          </cell>
          <cell r="I76">
            <v>45</v>
          </cell>
          <cell r="J76">
            <v>61</v>
          </cell>
          <cell r="K76">
            <v>106</v>
          </cell>
          <cell r="L76">
            <v>18</v>
          </cell>
          <cell r="M76">
            <v>124</v>
          </cell>
          <cell r="N76">
            <v>43</v>
          </cell>
          <cell r="O76">
            <v>167</v>
          </cell>
          <cell r="P76">
            <v>50</v>
          </cell>
          <cell r="Q76">
            <v>4</v>
          </cell>
          <cell r="R76">
            <v>54</v>
          </cell>
          <cell r="S76">
            <v>-4</v>
          </cell>
          <cell r="T76">
            <v>50</v>
          </cell>
          <cell r="U76">
            <v>38</v>
          </cell>
          <cell r="V76">
            <v>88</v>
          </cell>
          <cell r="W76">
            <v>34</v>
          </cell>
          <cell r="X76">
            <v>33</v>
          </cell>
          <cell r="Y76">
            <v>67</v>
          </cell>
          <cell r="Z76">
            <v>43</v>
          </cell>
          <cell r="AA76">
            <v>110</v>
          </cell>
          <cell r="AB76">
            <v>184</v>
          </cell>
          <cell r="AC76">
            <v>294</v>
          </cell>
          <cell r="AD76">
            <v>91</v>
          </cell>
          <cell r="AE76">
            <v>24</v>
          </cell>
          <cell r="AF76">
            <v>115</v>
          </cell>
          <cell r="AG76">
            <v>-3</v>
          </cell>
          <cell r="AH76">
            <v>112</v>
          </cell>
          <cell r="AI76">
            <v>-18</v>
          </cell>
          <cell r="AJ76">
            <v>-6</v>
          </cell>
          <cell r="AK76">
            <v>-134</v>
          </cell>
          <cell r="AL76">
            <v>-45</v>
          </cell>
          <cell r="AM76">
            <v>-179</v>
          </cell>
          <cell r="AN76">
            <v>-122</v>
          </cell>
          <cell r="AO76">
            <v>-301</v>
          </cell>
          <cell r="AP76">
            <v>-52</v>
          </cell>
          <cell r="AQ76">
            <v>-353</v>
          </cell>
          <cell r="AR76">
            <v>-84</v>
          </cell>
          <cell r="AS76">
            <v>-161</v>
          </cell>
          <cell r="AT76">
            <v>-245</v>
          </cell>
          <cell r="AU76">
            <v>-161</v>
          </cell>
          <cell r="AV76">
            <v>-406</v>
          </cell>
          <cell r="AW76">
            <v>-222</v>
          </cell>
          <cell r="AX76">
            <v>-628</v>
          </cell>
          <cell r="AY76">
            <v>-167</v>
          </cell>
          <cell r="AZ76">
            <v>-206</v>
          </cell>
          <cell r="BA76">
            <v>-373</v>
          </cell>
          <cell r="BB76">
            <v>-194</v>
          </cell>
          <cell r="BC76">
            <v>-567</v>
          </cell>
          <cell r="BD76">
            <v>-186</v>
          </cell>
          <cell r="BE76">
            <v>-753</v>
          </cell>
          <cell r="BF76">
            <v>-205</v>
          </cell>
          <cell r="BG76">
            <v>-149</v>
          </cell>
          <cell r="BH76">
            <v>-354</v>
          </cell>
          <cell r="BI76">
            <v>-248</v>
          </cell>
          <cell r="BJ76">
            <v>-602</v>
          </cell>
          <cell r="BK76">
            <v>-218</v>
          </cell>
          <cell r="BL76">
            <v>-820</v>
          </cell>
          <cell r="BM76">
            <v>-168</v>
          </cell>
          <cell r="BN76">
            <v>-170</v>
          </cell>
          <cell r="BO76">
            <v>-338</v>
          </cell>
          <cell r="BP76">
            <v>-232</v>
          </cell>
          <cell r="BQ76">
            <v>-570</v>
          </cell>
          <cell r="BR76">
            <v>-205</v>
          </cell>
          <cell r="BS76">
            <v>-775</v>
          </cell>
          <cell r="BT76">
            <v>-169.06559847027904</v>
          </cell>
          <cell r="BU76">
            <v>-169.06559847027904</v>
          </cell>
          <cell r="BV76">
            <v>-338.13119694055808</v>
          </cell>
          <cell r="BW76">
            <v>-169.06559847027904</v>
          </cell>
          <cell r="BX76">
            <v>-507.19679541083718</v>
          </cell>
          <cell r="BY76">
            <v>-169.06559847027904</v>
          </cell>
          <cell r="BZ76">
            <v>-676.26239388111617</v>
          </cell>
          <cell r="CA76">
            <v>-671.2874148748233</v>
          </cell>
          <cell r="CB76">
            <v>-664.35270235402174</v>
          </cell>
          <cell r="CC76">
            <v>-652.71134560224482</v>
          </cell>
          <cell r="CD76">
            <v>-633.79274196810502</v>
          </cell>
          <cell r="CE76">
            <v>-612.4492580665385</v>
          </cell>
          <cell r="CF76">
            <v>-594.17419591713201</v>
          </cell>
          <cell r="CG76">
            <v>-577.91152398966869</v>
          </cell>
          <cell r="CH76">
            <v>-563.99797528675242</v>
          </cell>
          <cell r="CI76">
            <v>-553.00838388286331</v>
          </cell>
          <cell r="CJ76">
            <v>-542.57460929200522</v>
          </cell>
        </row>
        <row r="78">
          <cell r="A78" t="str">
            <v>Profit Before Taxes</v>
          </cell>
          <cell r="B78">
            <v>1524</v>
          </cell>
          <cell r="C78">
            <v>1827</v>
          </cell>
          <cell r="D78">
            <v>3351</v>
          </cell>
          <cell r="E78">
            <v>1753</v>
          </cell>
          <cell r="F78">
            <v>5104</v>
          </cell>
          <cell r="G78">
            <v>1341</v>
          </cell>
          <cell r="H78">
            <v>6445</v>
          </cell>
          <cell r="I78">
            <v>1729</v>
          </cell>
          <cell r="J78">
            <v>1910</v>
          </cell>
          <cell r="K78">
            <v>3639</v>
          </cell>
          <cell r="L78">
            <v>1942</v>
          </cell>
          <cell r="M78">
            <v>5581</v>
          </cell>
          <cell r="N78">
            <v>1581</v>
          </cell>
          <cell r="O78">
            <v>7162</v>
          </cell>
          <cell r="P78">
            <v>2128</v>
          </cell>
          <cell r="Q78">
            <v>1969</v>
          </cell>
          <cell r="R78">
            <v>4097</v>
          </cell>
          <cell r="S78">
            <v>2063</v>
          </cell>
          <cell r="T78">
            <v>6160</v>
          </cell>
          <cell r="U78">
            <v>1834</v>
          </cell>
          <cell r="V78">
            <v>7994</v>
          </cell>
          <cell r="W78">
            <v>2466</v>
          </cell>
          <cell r="X78">
            <v>2225</v>
          </cell>
          <cell r="Y78">
            <v>4691</v>
          </cell>
          <cell r="Z78">
            <v>1611</v>
          </cell>
          <cell r="AA78">
            <v>6302</v>
          </cell>
          <cell r="AB78">
            <v>1185</v>
          </cell>
          <cell r="AC78">
            <v>7487</v>
          </cell>
          <cell r="AD78">
            <v>2716</v>
          </cell>
          <cell r="AE78">
            <v>2604</v>
          </cell>
          <cell r="AF78">
            <v>5320</v>
          </cell>
          <cell r="AG78">
            <v>2434</v>
          </cell>
          <cell r="AH78">
            <v>7754</v>
          </cell>
          <cell r="AI78">
            <v>1759</v>
          </cell>
          <cell r="AJ78">
            <v>9399</v>
          </cell>
          <cell r="AK78">
            <v>2296</v>
          </cell>
          <cell r="AL78">
            <v>2443</v>
          </cell>
          <cell r="AM78">
            <v>4739</v>
          </cell>
          <cell r="AN78">
            <v>2491</v>
          </cell>
          <cell r="AO78">
            <v>7230</v>
          </cell>
          <cell r="AP78">
            <v>2692</v>
          </cell>
          <cell r="AQ78">
            <v>9922</v>
          </cell>
          <cell r="AR78">
            <v>3530</v>
          </cell>
          <cell r="AS78">
            <v>2958</v>
          </cell>
          <cell r="AT78">
            <v>6488</v>
          </cell>
          <cell r="AU78">
            <v>2794</v>
          </cell>
          <cell r="AV78">
            <v>9282</v>
          </cell>
          <cell r="AW78">
            <v>2420</v>
          </cell>
          <cell r="AX78">
            <v>11702</v>
          </cell>
          <cell r="AY78">
            <v>3357.6000000000004</v>
          </cell>
          <cell r="AZ78">
            <v>3246.3999999999996</v>
          </cell>
          <cell r="BA78">
            <v>6604</v>
          </cell>
          <cell r="BB78">
            <v>2908</v>
          </cell>
          <cell r="BC78">
            <v>9512</v>
          </cell>
          <cell r="BD78">
            <v>1261</v>
          </cell>
          <cell r="BE78">
            <v>10773</v>
          </cell>
          <cell r="BF78">
            <v>2659</v>
          </cell>
          <cell r="BG78">
            <v>3135</v>
          </cell>
          <cell r="BH78">
            <v>5794</v>
          </cell>
          <cell r="BI78">
            <v>2781</v>
          </cell>
          <cell r="BJ78">
            <v>8575</v>
          </cell>
          <cell r="BK78">
            <v>2350</v>
          </cell>
          <cell r="BL78">
            <v>10925</v>
          </cell>
          <cell r="BM78">
            <v>2839</v>
          </cell>
          <cell r="BN78">
            <v>2974</v>
          </cell>
          <cell r="BO78">
            <v>5813</v>
          </cell>
          <cell r="BP78">
            <v>2600</v>
          </cell>
          <cell r="BQ78">
            <v>8413</v>
          </cell>
          <cell r="BR78">
            <v>2322</v>
          </cell>
          <cell r="BS78">
            <v>10735</v>
          </cell>
          <cell r="BT78">
            <v>3685.9206712927758</v>
          </cell>
          <cell r="BU78">
            <v>3091.856508325413</v>
          </cell>
          <cell r="BV78">
            <v>6777.7771796181887</v>
          </cell>
          <cell r="BW78">
            <v>3096.7155003948806</v>
          </cell>
          <cell r="BX78">
            <v>9874.4926800130706</v>
          </cell>
          <cell r="BY78">
            <v>3020.5393692770608</v>
          </cell>
          <cell r="BZ78">
            <v>12895.032049290143</v>
          </cell>
          <cell r="CA78">
            <v>12425.808344076499</v>
          </cell>
          <cell r="CB78">
            <v>13122.341205649233</v>
          </cell>
          <cell r="CC78">
            <v>13961.8985786991</v>
          </cell>
          <cell r="CD78">
            <v>14885.90895527079</v>
          </cell>
          <cell r="CE78">
            <v>14637.878797186086</v>
          </cell>
          <cell r="CF78">
            <v>14671.164374399474</v>
          </cell>
          <cell r="CG78">
            <v>14715.055753236322</v>
          </cell>
          <cell r="CH78">
            <v>14767.016000134519</v>
          </cell>
          <cell r="CI78">
            <v>15171.348273125846</v>
          </cell>
          <cell r="CJ78">
            <v>17942.658932808514</v>
          </cell>
          <cell r="CK78">
            <v>-0.2181732402408737</v>
          </cell>
        </row>
        <row r="80">
          <cell r="A80" t="str">
            <v>Tax</v>
          </cell>
          <cell r="B80">
            <v>-254</v>
          </cell>
          <cell r="C80">
            <v>-319</v>
          </cell>
          <cell r="D80">
            <v>-573</v>
          </cell>
          <cell r="E80">
            <v>-284</v>
          </cell>
          <cell r="F80">
            <v>-857</v>
          </cell>
          <cell r="G80">
            <v>-208</v>
          </cell>
          <cell r="H80">
            <v>-1065</v>
          </cell>
          <cell r="I80">
            <v>-271</v>
          </cell>
          <cell r="J80">
            <v>-282</v>
          </cell>
          <cell r="K80">
            <v>-553</v>
          </cell>
          <cell r="L80">
            <v>-295</v>
          </cell>
          <cell r="M80">
            <v>-848</v>
          </cell>
          <cell r="N80">
            <v>-242</v>
          </cell>
          <cell r="O80">
            <v>-1090</v>
          </cell>
          <cell r="P80">
            <v>-343</v>
          </cell>
          <cell r="Q80">
            <v>-317</v>
          </cell>
          <cell r="R80">
            <v>-660</v>
          </cell>
          <cell r="S80">
            <v>-271</v>
          </cell>
          <cell r="T80">
            <v>-931</v>
          </cell>
          <cell r="U80">
            <v>-238</v>
          </cell>
          <cell r="V80">
            <v>-1169</v>
          </cell>
          <cell r="W80">
            <v>-374</v>
          </cell>
          <cell r="X80">
            <v>-282</v>
          </cell>
          <cell r="Y80">
            <v>-656</v>
          </cell>
          <cell r="Z80">
            <v>-37</v>
          </cell>
          <cell r="AA80">
            <v>-693</v>
          </cell>
          <cell r="AB80">
            <v>-254</v>
          </cell>
          <cell r="AC80">
            <v>-947</v>
          </cell>
          <cell r="AD80">
            <v>-408</v>
          </cell>
          <cell r="AE80">
            <v>-338</v>
          </cell>
          <cell r="AF80">
            <v>-746</v>
          </cell>
          <cell r="AG80">
            <v>-338</v>
          </cell>
          <cell r="AH80">
            <v>-1084</v>
          </cell>
          <cell r="AI80">
            <v>-252</v>
          </cell>
          <cell r="AJ80">
            <v>-1336</v>
          </cell>
          <cell r="AK80">
            <v>-321</v>
          </cell>
          <cell r="AL80">
            <v>-399</v>
          </cell>
          <cell r="AM80">
            <v>-720</v>
          </cell>
          <cell r="AN80">
            <v>-379</v>
          </cell>
          <cell r="AO80">
            <v>-1099</v>
          </cell>
          <cell r="AP80">
            <v>-369</v>
          </cell>
          <cell r="AQ80">
            <v>-1468</v>
          </cell>
          <cell r="AR80">
            <v>-582</v>
          </cell>
          <cell r="AS80">
            <v>-521</v>
          </cell>
          <cell r="AT80">
            <v>-1103</v>
          </cell>
          <cell r="AU80">
            <v>-475</v>
          </cell>
          <cell r="AV80">
            <v>-1578</v>
          </cell>
          <cell r="AW80">
            <v>-155</v>
          </cell>
          <cell r="AX80">
            <v>-1733</v>
          </cell>
          <cell r="AY80">
            <v>-537</v>
          </cell>
          <cell r="AZ80">
            <v>-520</v>
          </cell>
          <cell r="BA80">
            <v>-1057</v>
          </cell>
          <cell r="BB80">
            <v>-420</v>
          </cell>
          <cell r="BC80">
            <v>-1477</v>
          </cell>
          <cell r="BD80">
            <v>-51</v>
          </cell>
          <cell r="BE80">
            <v>-1528</v>
          </cell>
          <cell r="BF80">
            <v>-390</v>
          </cell>
          <cell r="BG80">
            <v>-460</v>
          </cell>
          <cell r="BH80">
            <v>-850</v>
          </cell>
          <cell r="BI80">
            <v>-363</v>
          </cell>
          <cell r="BJ80">
            <v>-1213</v>
          </cell>
          <cell r="BK80">
            <v>-329</v>
          </cell>
          <cell r="BL80">
            <v>-1542</v>
          </cell>
          <cell r="BM80">
            <v>-417</v>
          </cell>
          <cell r="BN80">
            <v>-426</v>
          </cell>
          <cell r="BO80">
            <v>-843</v>
          </cell>
          <cell r="BP80">
            <v>-336</v>
          </cell>
          <cell r="BQ80">
            <v>-1179</v>
          </cell>
          <cell r="BR80">
            <v>-264</v>
          </cell>
          <cell r="BS80">
            <v>-1443</v>
          </cell>
          <cell r="BT80">
            <v>-534.4584973374524</v>
          </cell>
          <cell r="BU80">
            <v>-448.31919370718487</v>
          </cell>
          <cell r="BV80">
            <v>-982.77769104463732</v>
          </cell>
          <cell r="BW80">
            <v>-449.02374755725765</v>
          </cell>
          <cell r="BX80">
            <v>-1431.8014386018949</v>
          </cell>
          <cell r="BY80">
            <v>-437.97820854517568</v>
          </cell>
          <cell r="BZ80">
            <v>-1869.7796471470706</v>
          </cell>
          <cell r="CA80">
            <v>-1801.7422098910922</v>
          </cell>
          <cell r="CB80">
            <v>-1902.7394748191386</v>
          </cell>
          <cell r="CC80">
            <v>-2024.4752939113694</v>
          </cell>
          <cell r="CD80">
            <v>-2158.4567985142644</v>
          </cell>
          <cell r="CE80">
            <v>-2122.4924255919823</v>
          </cell>
          <cell r="CF80">
            <v>-2127.3188342879234</v>
          </cell>
          <cell r="CG80">
            <v>-2133.6830842192667</v>
          </cell>
          <cell r="CH80">
            <v>-2141.2173200195052</v>
          </cell>
          <cell r="CI80">
            <v>-2199.8454996032474</v>
          </cell>
          <cell r="CJ80">
            <v>-2601.6855452572345</v>
          </cell>
          <cell r="CL80" t="str">
            <v>mstag:taxExpenseIncome</v>
          </cell>
          <cell r="CM80">
            <v>6</v>
          </cell>
          <cell r="CN80" t="str">
            <v>ISO4217:USD</v>
          </cell>
          <cell r="CO80" t="b">
            <v>1</v>
          </cell>
        </row>
        <row r="81">
          <cell r="A81" t="str">
            <v>Tax Rate</v>
          </cell>
          <cell r="B81">
            <v>0.16666666666666666</v>
          </cell>
          <cell r="C81">
            <v>0.17460317460317459</v>
          </cell>
          <cell r="D81">
            <v>0.17099373321396599</v>
          </cell>
          <cell r="E81">
            <v>0.16200798630918425</v>
          </cell>
          <cell r="F81">
            <v>0.1679075235109718</v>
          </cell>
          <cell r="G81">
            <v>0.15510812826249068</v>
          </cell>
          <cell r="H81">
            <v>0.165244375484872</v>
          </cell>
          <cell r="I81">
            <v>0.15673799884326201</v>
          </cell>
          <cell r="J81">
            <v>0.14764397905759163</v>
          </cell>
          <cell r="K81">
            <v>0.15196482550151141</v>
          </cell>
          <cell r="L81">
            <v>0.15190525231719876</v>
          </cell>
          <cell r="M81">
            <v>0.15194409604013617</v>
          </cell>
          <cell r="N81">
            <v>0.15306767868437698</v>
          </cell>
          <cell r="O81">
            <v>0.15219212510471936</v>
          </cell>
          <cell r="P81">
            <v>0.16118421052631579</v>
          </cell>
          <cell r="Q81">
            <v>0.16099542915185372</v>
          </cell>
          <cell r="R81">
            <v>0.16109348303636808</v>
          </cell>
          <cell r="S81">
            <v>0.13136209403780902</v>
          </cell>
          <cell r="T81">
            <v>0.15113636363636362</v>
          </cell>
          <cell r="U81">
            <v>0.12977099236641221</v>
          </cell>
          <cell r="V81">
            <v>0.14623467600700527</v>
          </cell>
          <cell r="W81">
            <v>0.15166261151662611</v>
          </cell>
          <cell r="X81">
            <v>0.12674157303370787</v>
          </cell>
          <cell r="Y81">
            <v>0.13984225111916435</v>
          </cell>
          <cell r="Z81">
            <v>2.2967101179391682E-2</v>
          </cell>
          <cell r="AA81">
            <v>0.10996509044747699</v>
          </cell>
          <cell r="AB81">
            <v>0.21434599156118145</v>
          </cell>
          <cell r="AC81">
            <v>0.1264859089087752</v>
          </cell>
          <cell r="AD81">
            <v>0.15022091310751104</v>
          </cell>
          <cell r="AE81">
            <v>0.12980030721966207</v>
          </cell>
          <cell r="AF81">
            <v>0.14022556390977445</v>
          </cell>
          <cell r="AG81">
            <v>0.13886606409202959</v>
          </cell>
          <cell r="AH81">
            <v>0.13979881351560486</v>
          </cell>
          <cell r="AI81">
            <v>0.14326321773735076</v>
          </cell>
          <cell r="AJ81">
            <v>0.14214278114693052</v>
          </cell>
          <cell r="AK81">
            <v>0.13980836236933797</v>
          </cell>
          <cell r="AL81">
            <v>0.16332378223495703</v>
          </cell>
          <cell r="AM81">
            <v>0.15193078708588309</v>
          </cell>
          <cell r="AN81">
            <v>0.15214773183460459</v>
          </cell>
          <cell r="AO81">
            <v>0.1520055325034578</v>
          </cell>
          <cell r="AP81">
            <v>0.13707280832095098</v>
          </cell>
          <cell r="AQ81">
            <v>0.1479540415238863</v>
          </cell>
          <cell r="AR81">
            <v>0.16487252124645893</v>
          </cell>
          <cell r="AS81">
            <v>0.17613252197430695</v>
          </cell>
          <cell r="AT81">
            <v>0.17000616522811343</v>
          </cell>
          <cell r="AU81">
            <v>0.17000715819613457</v>
          </cell>
          <cell r="AV81">
            <v>0.17000646412411119</v>
          </cell>
          <cell r="AW81">
            <v>6.4049586776859499E-2</v>
          </cell>
          <cell r="AX81">
            <v>0.14809434284737652</v>
          </cell>
          <cell r="AY81">
            <v>0.15993566833452463</v>
          </cell>
          <cell r="AZ81">
            <v>0.16017742730409071</v>
          </cell>
          <cell r="BA81">
            <v>0.16005451241671714</v>
          </cell>
          <cell r="BB81">
            <v>0.14442916093535077</v>
          </cell>
          <cell r="BC81">
            <v>0.1552775441547519</v>
          </cell>
          <cell r="BD81">
            <v>4.0444091990483745E-2</v>
          </cell>
          <cell r="BE81">
            <v>0.14183607166063306</v>
          </cell>
          <cell r="BF81">
            <v>0.14667168108311396</v>
          </cell>
          <cell r="BG81">
            <v>0.14673046251993621</v>
          </cell>
          <cell r="BH81">
            <v>0.14670348636520539</v>
          </cell>
          <cell r="BI81">
            <v>0.13052858683926646</v>
          </cell>
          <cell r="BJ81">
            <v>0.14145772594752187</v>
          </cell>
          <cell r="BK81">
            <v>0.14000000000000001</v>
          </cell>
          <cell r="BL81">
            <v>0.14114416475972541</v>
          </cell>
          <cell r="BM81">
            <v>0.14688270517787955</v>
          </cell>
          <cell r="BN81">
            <v>0.14324142568930734</v>
          </cell>
          <cell r="BO81">
            <v>0.14501978324445208</v>
          </cell>
          <cell r="BP81">
            <v>0.12923076923076923</v>
          </cell>
          <cell r="BQ81">
            <v>0.14014025912278616</v>
          </cell>
          <cell r="BR81">
            <v>0.11369509043927649</v>
          </cell>
          <cell r="BS81">
            <v>0.1344201210992082</v>
          </cell>
          <cell r="BT81">
            <v>0.14499999999999999</v>
          </cell>
          <cell r="BU81">
            <v>0.14499999999999999</v>
          </cell>
          <cell r="BV81">
            <v>0.14499999999999999</v>
          </cell>
          <cell r="BW81">
            <v>0.14499999999999999</v>
          </cell>
          <cell r="BX81">
            <v>0.14499999999999996</v>
          </cell>
          <cell r="BY81">
            <v>0.14500000000000063</v>
          </cell>
          <cell r="BZ81">
            <v>0.14499999999999999</v>
          </cell>
          <cell r="CA81">
            <v>0.14499999999999999</v>
          </cell>
          <cell r="CB81">
            <v>0.14499999999999999</v>
          </cell>
          <cell r="CC81">
            <v>0.14499999999999999</v>
          </cell>
          <cell r="CD81">
            <v>0.14499999999999999</v>
          </cell>
          <cell r="CE81">
            <v>0.14499999999999999</v>
          </cell>
          <cell r="CF81">
            <v>0.14499999999999999</v>
          </cell>
          <cell r="CG81">
            <v>0.14499999999999999</v>
          </cell>
          <cell r="CH81">
            <v>0.14499999999999999</v>
          </cell>
          <cell r="CI81">
            <v>0.14499999999999999</v>
          </cell>
          <cell r="CJ81">
            <v>0.14499999999999999</v>
          </cell>
        </row>
        <row r="83">
          <cell r="A83" t="str">
            <v>Net income before minority interests</v>
          </cell>
          <cell r="B83">
            <v>1270</v>
          </cell>
          <cell r="C83">
            <v>1508</v>
          </cell>
          <cell r="D83">
            <v>2778</v>
          </cell>
          <cell r="E83">
            <v>1469</v>
          </cell>
          <cell r="F83">
            <v>4247</v>
          </cell>
          <cell r="G83">
            <v>1133</v>
          </cell>
          <cell r="H83">
            <v>5380</v>
          </cell>
          <cell r="I83">
            <v>1458</v>
          </cell>
          <cell r="J83">
            <v>1628</v>
          </cell>
          <cell r="K83">
            <v>3086</v>
          </cell>
          <cell r="L83">
            <v>1647</v>
          </cell>
          <cell r="M83">
            <v>4733</v>
          </cell>
          <cell r="N83">
            <v>1339</v>
          </cell>
          <cell r="O83">
            <v>6072</v>
          </cell>
          <cell r="P83">
            <v>1785</v>
          </cell>
          <cell r="Q83">
            <v>1652</v>
          </cell>
          <cell r="R83">
            <v>3437</v>
          </cell>
          <cell r="S83">
            <v>1792</v>
          </cell>
          <cell r="T83">
            <v>5229</v>
          </cell>
          <cell r="U83">
            <v>1596</v>
          </cell>
          <cell r="V83">
            <v>6825</v>
          </cell>
          <cell r="W83">
            <v>2092</v>
          </cell>
          <cell r="X83">
            <v>1943</v>
          </cell>
          <cell r="Y83">
            <v>4035</v>
          </cell>
          <cell r="Z83">
            <v>1574</v>
          </cell>
          <cell r="AA83">
            <v>5609</v>
          </cell>
          <cell r="AB83">
            <v>931</v>
          </cell>
          <cell r="AC83">
            <v>6540</v>
          </cell>
          <cell r="AD83">
            <v>2308</v>
          </cell>
          <cell r="AE83">
            <v>2266</v>
          </cell>
          <cell r="AF83">
            <v>4574</v>
          </cell>
          <cell r="AG83">
            <v>2096</v>
          </cell>
          <cell r="AH83">
            <v>6670</v>
          </cell>
          <cell r="AI83">
            <v>1507</v>
          </cell>
          <cell r="AJ83">
            <v>8063</v>
          </cell>
          <cell r="AK83">
            <v>1975</v>
          </cell>
          <cell r="AL83">
            <v>2044</v>
          </cell>
          <cell r="AM83">
            <v>4019</v>
          </cell>
          <cell r="AN83">
            <v>2112</v>
          </cell>
          <cell r="AO83">
            <v>6131</v>
          </cell>
          <cell r="AP83">
            <v>2323</v>
          </cell>
          <cell r="AQ83">
            <v>8454</v>
          </cell>
          <cell r="AR83">
            <v>2948</v>
          </cell>
          <cell r="AS83">
            <v>2437</v>
          </cell>
          <cell r="AT83">
            <v>5385</v>
          </cell>
          <cell r="AU83">
            <v>2319</v>
          </cell>
          <cell r="AV83">
            <v>7704</v>
          </cell>
          <cell r="AW83">
            <v>2265</v>
          </cell>
          <cell r="AX83">
            <v>9969</v>
          </cell>
          <cell r="AY83">
            <v>2820.6000000000004</v>
          </cell>
          <cell r="AZ83">
            <v>2726.3999999999996</v>
          </cell>
          <cell r="BA83">
            <v>5547</v>
          </cell>
          <cell r="BB83">
            <v>2488</v>
          </cell>
          <cell r="BC83">
            <v>8035</v>
          </cell>
          <cell r="BD83">
            <v>1210</v>
          </cell>
          <cell r="BE83">
            <v>9245</v>
          </cell>
          <cell r="BF83">
            <v>2269</v>
          </cell>
          <cell r="BG83">
            <v>2675</v>
          </cell>
          <cell r="BH83">
            <v>4944</v>
          </cell>
          <cell r="BI83">
            <v>2418</v>
          </cell>
          <cell r="BJ83">
            <v>7362</v>
          </cell>
          <cell r="BK83">
            <v>2021</v>
          </cell>
          <cell r="BL83">
            <v>9383</v>
          </cell>
          <cell r="BM83">
            <v>2422</v>
          </cell>
          <cell r="BN83">
            <v>2548</v>
          </cell>
          <cell r="BO83">
            <v>4970</v>
          </cell>
          <cell r="BP83">
            <v>2264</v>
          </cell>
          <cell r="BQ83">
            <v>7234</v>
          </cell>
          <cell r="BR83">
            <v>2058</v>
          </cell>
          <cell r="BS83">
            <v>9292</v>
          </cell>
          <cell r="BT83">
            <v>3151.4621739553231</v>
          </cell>
          <cell r="BU83">
            <v>2643.5373146182283</v>
          </cell>
          <cell r="BV83">
            <v>5794.9994885735514</v>
          </cell>
          <cell r="BW83">
            <v>2647.691752837623</v>
          </cell>
          <cell r="BX83">
            <v>8442.6912414111757</v>
          </cell>
          <cell r="BY83">
            <v>2582.5611607318851</v>
          </cell>
          <cell r="BZ83">
            <v>11025.252402143073</v>
          </cell>
          <cell r="CA83">
            <v>10624.066134185407</v>
          </cell>
          <cell r="CB83">
            <v>11219.601730830094</v>
          </cell>
          <cell r="CC83">
            <v>11937.42328478773</v>
          </cell>
          <cell r="CD83">
            <v>12727.452156756526</v>
          </cell>
          <cell r="CE83">
            <v>12515.386371594104</v>
          </cell>
          <cell r="CF83">
            <v>12543.84554011155</v>
          </cell>
          <cell r="CG83">
            <v>12581.372669017055</v>
          </cell>
          <cell r="CH83">
            <v>12625.798680115015</v>
          </cell>
          <cell r="CI83">
            <v>12971.502773522599</v>
          </cell>
          <cell r="CJ83">
            <v>15340.973387551279</v>
          </cell>
        </row>
        <row r="84">
          <cell r="A84" t="str">
            <v xml:space="preserve">   </v>
          </cell>
        </row>
        <row r="85">
          <cell r="A85" t="str">
            <v>Minority interest to Alcon</v>
          </cell>
          <cell r="BE85">
            <v>-309.85157212826084</v>
          </cell>
          <cell r="BL85">
            <v>-312.18965512826088</v>
          </cell>
          <cell r="BS85">
            <v>-271.0316651282609</v>
          </cell>
          <cell r="BZ85">
            <v>-298.13483164108703</v>
          </cell>
          <cell r="CA85">
            <v>-327.94831480519576</v>
          </cell>
          <cell r="CB85">
            <v>-360.7431462857154</v>
          </cell>
          <cell r="CC85">
            <v>-396.81746091428698</v>
          </cell>
          <cell r="CD85">
            <v>-436.49920700571573</v>
          </cell>
          <cell r="CE85">
            <v>-480.14912770628735</v>
          </cell>
          <cell r="CF85">
            <v>-528.16404047691617</v>
          </cell>
        </row>
        <row r="86">
          <cell r="A86" t="str">
            <v>Minority Interests</v>
          </cell>
          <cell r="B86">
            <v>4</v>
          </cell>
          <cell r="C86">
            <v>-17</v>
          </cell>
          <cell r="D86">
            <v>-13</v>
          </cell>
          <cell r="E86">
            <v>1</v>
          </cell>
          <cell r="F86">
            <v>-12</v>
          </cell>
          <cell r="G86">
            <v>-3</v>
          </cell>
          <cell r="H86">
            <v>-15</v>
          </cell>
          <cell r="I86">
            <v>4</v>
          </cell>
          <cell r="J86">
            <v>-6</v>
          </cell>
          <cell r="K86">
            <v>-2</v>
          </cell>
          <cell r="L86">
            <v>-7</v>
          </cell>
          <cell r="M86">
            <v>-9</v>
          </cell>
          <cell r="N86">
            <v>-2</v>
          </cell>
          <cell r="O86">
            <v>-11</v>
          </cell>
          <cell r="P86">
            <v>-9</v>
          </cell>
          <cell r="Q86">
            <v>-6</v>
          </cell>
          <cell r="R86">
            <v>-15</v>
          </cell>
          <cell r="S86">
            <v>-3</v>
          </cell>
          <cell r="T86">
            <v>-18</v>
          </cell>
          <cell r="U86">
            <v>-9</v>
          </cell>
          <cell r="V86">
            <v>-27</v>
          </cell>
          <cell r="W86">
            <v>-2</v>
          </cell>
          <cell r="X86">
            <v>-8</v>
          </cell>
          <cell r="Y86">
            <v>-10</v>
          </cell>
          <cell r="Z86">
            <v>-3</v>
          </cell>
          <cell r="AA86">
            <v>-13</v>
          </cell>
          <cell r="AB86">
            <v>-9</v>
          </cell>
          <cell r="AC86">
            <v>-22</v>
          </cell>
          <cell r="AD86">
            <v>-6</v>
          </cell>
          <cell r="AE86">
            <v>-11</v>
          </cell>
          <cell r="AF86">
            <v>-17</v>
          </cell>
          <cell r="AG86">
            <v>-11</v>
          </cell>
          <cell r="AH86">
            <v>-28</v>
          </cell>
          <cell r="AI86">
            <v>-10</v>
          </cell>
          <cell r="AJ86">
            <v>-38</v>
          </cell>
          <cell r="AK86">
            <v>-13</v>
          </cell>
          <cell r="AL86">
            <v>-9</v>
          </cell>
          <cell r="AM86">
            <v>-22</v>
          </cell>
          <cell r="AN86">
            <v>-14</v>
          </cell>
          <cell r="AO86">
            <v>-36</v>
          </cell>
          <cell r="AP86">
            <v>-18</v>
          </cell>
          <cell r="AQ86">
            <v>-54</v>
          </cell>
          <cell r="AR86">
            <v>-15</v>
          </cell>
          <cell r="AS86">
            <v>-20</v>
          </cell>
          <cell r="AT86">
            <v>-35</v>
          </cell>
          <cell r="AU86">
            <v>-44</v>
          </cell>
          <cell r="AV86">
            <v>-79</v>
          </cell>
          <cell r="AW86">
            <v>-96</v>
          </cell>
          <cell r="AX86">
            <v>-175</v>
          </cell>
          <cell r="AY86">
            <v>-51</v>
          </cell>
          <cell r="AZ86">
            <v>-22</v>
          </cell>
          <cell r="BA86">
            <v>-73</v>
          </cell>
          <cell r="BB86">
            <v>-24</v>
          </cell>
          <cell r="BC86">
            <v>-97</v>
          </cell>
          <cell r="BD86">
            <v>-35</v>
          </cell>
          <cell r="BE86">
            <v>-132</v>
          </cell>
          <cell r="BF86">
            <v>-22</v>
          </cell>
          <cell r="BG86">
            <v>-27</v>
          </cell>
          <cell r="BH86">
            <v>-49</v>
          </cell>
          <cell r="BI86">
            <v>-27</v>
          </cell>
          <cell r="BJ86">
            <v>-76</v>
          </cell>
          <cell r="BK86">
            <v>-37</v>
          </cell>
          <cell r="BL86">
            <v>-113</v>
          </cell>
          <cell r="BM86">
            <v>-24</v>
          </cell>
          <cell r="BN86">
            <v>-32</v>
          </cell>
          <cell r="BO86">
            <v>-56</v>
          </cell>
          <cell r="BP86">
            <v>-32</v>
          </cell>
          <cell r="BQ86">
            <v>-88</v>
          </cell>
          <cell r="BR86">
            <v>-29</v>
          </cell>
          <cell r="BS86">
            <v>-117</v>
          </cell>
          <cell r="BT86">
            <v>-30.127500000000001</v>
          </cell>
          <cell r="BU86">
            <v>-30.127500000000001</v>
          </cell>
          <cell r="BV86">
            <v>-60.255000000000003</v>
          </cell>
          <cell r="BW86">
            <v>-30.127500000000001</v>
          </cell>
          <cell r="BX86">
            <v>-90.382500000000007</v>
          </cell>
          <cell r="BY86">
            <v>-30.127499999999998</v>
          </cell>
          <cell r="BZ86">
            <v>-120.51</v>
          </cell>
          <cell r="CA86">
            <v>-124.12530000000001</v>
          </cell>
          <cell r="CB86">
            <v>-127.84905900000001</v>
          </cell>
          <cell r="CC86">
            <v>-131.68453077000001</v>
          </cell>
          <cell r="CD86">
            <v>-135.63506669310001</v>
          </cell>
          <cell r="CE86">
            <v>-139.70411869389301</v>
          </cell>
          <cell r="CF86">
            <v>-143.89524225470981</v>
          </cell>
          <cell r="CG86">
            <v>-148.21209952235111</v>
          </cell>
          <cell r="CH86">
            <v>-152.65846250802164</v>
          </cell>
          <cell r="CI86">
            <v>-157.23821638326228</v>
          </cell>
          <cell r="CJ86">
            <v>-161.95536287476017</v>
          </cell>
          <cell r="CL86" t="str">
            <v>mstag:minorityInterestsInNetIncome</v>
          </cell>
          <cell r="CM86">
            <v>6</v>
          </cell>
          <cell r="CN86" t="str">
            <v>ISO4217:USD</v>
          </cell>
          <cell r="CO86" t="b">
            <v>1</v>
          </cell>
        </row>
        <row r="88">
          <cell r="A88" t="str">
            <v>Net Income</v>
          </cell>
          <cell r="B88">
            <v>1274</v>
          </cell>
          <cell r="C88">
            <v>1491</v>
          </cell>
          <cell r="D88">
            <v>2765</v>
          </cell>
          <cell r="E88">
            <v>1470</v>
          </cell>
          <cell r="F88">
            <v>4235</v>
          </cell>
          <cell r="G88">
            <v>1130</v>
          </cell>
          <cell r="H88">
            <v>5365</v>
          </cell>
          <cell r="I88">
            <v>1462</v>
          </cell>
          <cell r="J88">
            <v>1622</v>
          </cell>
          <cell r="K88">
            <v>3084</v>
          </cell>
          <cell r="L88">
            <v>1640</v>
          </cell>
          <cell r="M88">
            <v>4724</v>
          </cell>
          <cell r="N88">
            <v>1337</v>
          </cell>
          <cell r="O88">
            <v>6061</v>
          </cell>
          <cell r="P88">
            <v>1776</v>
          </cell>
          <cell r="Q88">
            <v>1646</v>
          </cell>
          <cell r="R88">
            <v>3422</v>
          </cell>
          <cell r="S88">
            <v>1789</v>
          </cell>
          <cell r="T88">
            <v>5211</v>
          </cell>
          <cell r="U88">
            <v>1587</v>
          </cell>
          <cell r="V88">
            <v>6798</v>
          </cell>
          <cell r="W88">
            <v>2090</v>
          </cell>
          <cell r="X88">
            <v>1935</v>
          </cell>
          <cell r="Y88">
            <v>4025</v>
          </cell>
          <cell r="Z88">
            <v>1571</v>
          </cell>
          <cell r="AA88">
            <v>5596</v>
          </cell>
          <cell r="AB88">
            <v>922</v>
          </cell>
          <cell r="AC88">
            <v>6518</v>
          </cell>
          <cell r="AD88">
            <v>2302</v>
          </cell>
          <cell r="AE88">
            <v>2255</v>
          </cell>
          <cell r="AF88">
            <v>4557</v>
          </cell>
          <cell r="AG88">
            <v>2085</v>
          </cell>
          <cell r="AH88">
            <v>6642</v>
          </cell>
          <cell r="AI88">
            <v>1497</v>
          </cell>
          <cell r="AJ88">
            <v>8025</v>
          </cell>
          <cell r="AK88">
            <v>1962</v>
          </cell>
          <cell r="AL88">
            <v>2035</v>
          </cell>
          <cell r="AM88">
            <v>3997</v>
          </cell>
          <cell r="AN88">
            <v>2098</v>
          </cell>
          <cell r="AO88">
            <v>6095</v>
          </cell>
          <cell r="AP88">
            <v>2305</v>
          </cell>
          <cell r="AQ88">
            <v>8400</v>
          </cell>
          <cell r="AR88">
            <v>2933</v>
          </cell>
          <cell r="AS88">
            <v>2417</v>
          </cell>
          <cell r="AT88">
            <v>5350</v>
          </cell>
          <cell r="AU88">
            <v>2275</v>
          </cell>
          <cell r="AV88">
            <v>7625</v>
          </cell>
          <cell r="AW88">
            <v>2169</v>
          </cell>
          <cell r="AX88">
            <v>9794</v>
          </cell>
          <cell r="AY88">
            <v>2769.6000000000004</v>
          </cell>
          <cell r="AZ88">
            <v>2704.3999999999996</v>
          </cell>
          <cell r="BA88">
            <v>5474</v>
          </cell>
          <cell r="BB88">
            <v>2464</v>
          </cell>
          <cell r="BC88">
            <v>7938</v>
          </cell>
          <cell r="BD88">
            <v>1175</v>
          </cell>
          <cell r="BE88">
            <v>9113</v>
          </cell>
          <cell r="BF88">
            <v>2247</v>
          </cell>
          <cell r="BG88">
            <v>2648</v>
          </cell>
          <cell r="BH88">
            <v>4895</v>
          </cell>
          <cell r="BI88">
            <v>2391</v>
          </cell>
          <cell r="BJ88">
            <v>7286</v>
          </cell>
          <cell r="BK88">
            <v>1984</v>
          </cell>
          <cell r="BL88">
            <v>9270</v>
          </cell>
          <cell r="BM88">
            <v>2398</v>
          </cell>
          <cell r="BN88">
            <v>2516</v>
          </cell>
          <cell r="BO88">
            <v>4914</v>
          </cell>
          <cell r="BP88">
            <v>2232</v>
          </cell>
          <cell r="BQ88">
            <v>7146</v>
          </cell>
          <cell r="BR88">
            <v>2029</v>
          </cell>
          <cell r="BS88">
            <v>9175</v>
          </cell>
          <cell r="BT88">
            <v>3121.3346739553231</v>
          </cell>
          <cell r="BU88">
            <v>2613.4098146182282</v>
          </cell>
          <cell r="BV88">
            <v>5734.7444885735513</v>
          </cell>
          <cell r="BW88">
            <v>2617.5642528376229</v>
          </cell>
          <cell r="BX88">
            <v>8352.308741411176</v>
          </cell>
          <cell r="BY88">
            <v>2552.4336607318851</v>
          </cell>
          <cell r="BZ88">
            <v>10904.742402143072</v>
          </cell>
          <cell r="CA88">
            <v>10499.940834185407</v>
          </cell>
          <cell r="CB88">
            <v>11091.752671830094</v>
          </cell>
          <cell r="CC88">
            <v>11805.73875401773</v>
          </cell>
          <cell r="CD88">
            <v>12591.817090063427</v>
          </cell>
          <cell r="CE88">
            <v>12375.682252900211</v>
          </cell>
          <cell r="CF88">
            <v>12399.95029785684</v>
          </cell>
          <cell r="CG88">
            <v>12433.160569494705</v>
          </cell>
          <cell r="CH88">
            <v>12473.140217606993</v>
          </cell>
          <cell r="CI88">
            <v>12814.264557139337</v>
          </cell>
          <cell r="CJ88">
            <v>15179.018024676519</v>
          </cell>
          <cell r="CK88">
            <v>0.77969361467230525</v>
          </cell>
        </row>
        <row r="89">
          <cell r="A89" t="str">
            <v xml:space="preserve"> growth (%)</v>
          </cell>
          <cell r="O89">
            <v>0.12972972972972974</v>
          </cell>
          <cell r="V89">
            <v>0.12159709618874781</v>
          </cell>
          <cell r="AC89">
            <v>-4.1188584877905221E-2</v>
          </cell>
          <cell r="AD89">
            <v>0.10143540669856455</v>
          </cell>
          <cell r="AE89">
            <v>0.1653746770025839</v>
          </cell>
          <cell r="AF89">
            <v>0.13217391304347825</v>
          </cell>
          <cell r="AG89">
            <v>0.32718014003819218</v>
          </cell>
          <cell r="AH89">
            <v>0.18691922802001426</v>
          </cell>
          <cell r="AI89">
            <v>0.62364425162689807</v>
          </cell>
          <cell r="AJ89">
            <v>0.23120589137772329</v>
          </cell>
          <cell r="AK89">
            <v>-0.14769765421372716</v>
          </cell>
          <cell r="AL89">
            <v>-9.7560975609756073E-2</v>
          </cell>
          <cell r="AM89">
            <v>-0.12288786482334868</v>
          </cell>
          <cell r="AN89">
            <v>6.2350119904077683E-3</v>
          </cell>
          <cell r="AO89">
            <v>-8.2354712436013222E-2</v>
          </cell>
          <cell r="AP89">
            <v>0.53974615898463596</v>
          </cell>
          <cell r="AQ89">
            <v>4.6728971962616717E-2</v>
          </cell>
          <cell r="AR89">
            <v>0.49490316004077473</v>
          </cell>
          <cell r="AS89">
            <v>0.18771498771498774</v>
          </cell>
          <cell r="AT89">
            <v>0.33850387790843128</v>
          </cell>
          <cell r="AU89">
            <v>8.4366062917063944E-2</v>
          </cell>
          <cell r="AV89">
            <v>0.2510254306808859</v>
          </cell>
          <cell r="AW89">
            <v>-5.9002169197396981E-2</v>
          </cell>
          <cell r="AX89">
            <v>0.16595238095238085</v>
          </cell>
          <cell r="AY89">
            <v>-5.5710876235935736E-2</v>
          </cell>
          <cell r="AZ89">
            <v>0.11890773686388068</v>
          </cell>
          <cell r="BA89">
            <v>2.3177570093458E-2</v>
          </cell>
          <cell r="BB89">
            <v>8.3076923076923048E-2</v>
          </cell>
          <cell r="BC89">
            <v>4.1049180327868751E-2</v>
          </cell>
          <cell r="BD89">
            <v>-0.45827570308898113</v>
          </cell>
          <cell r="BE89">
            <v>-6.9532366755156172E-2</v>
          </cell>
          <cell r="BF89">
            <v>-0.18869150779896027</v>
          </cell>
          <cell r="BG89">
            <v>-2.0854903120839929E-2</v>
          </cell>
          <cell r="BH89">
            <v>-0.10577274388016078</v>
          </cell>
          <cell r="BI89">
            <v>-2.9626623376623362E-2</v>
          </cell>
          <cell r="BJ89">
            <v>-8.2136558327034481E-2</v>
          </cell>
          <cell r="BK89">
            <v>0.68851063829787229</v>
          </cell>
          <cell r="BL89">
            <v>1.7228135630418029E-2</v>
          </cell>
          <cell r="BM89">
            <v>6.7200712060525136E-2</v>
          </cell>
          <cell r="BN89">
            <v>-4.9848942598187285E-2</v>
          </cell>
          <cell r="BO89">
            <v>3.8815117466803883E-3</v>
          </cell>
          <cell r="BP89">
            <v>-6.649937264742789E-2</v>
          </cell>
          <cell r="BQ89">
            <v>-1.9214932747735336E-2</v>
          </cell>
          <cell r="BR89">
            <v>2.2681451612903247E-2</v>
          </cell>
          <cell r="BS89">
            <v>-1.024811218985977E-2</v>
          </cell>
          <cell r="BT89">
            <v>0.30164081482707394</v>
          </cell>
          <cell r="BU89">
            <v>3.8716142535066833E-2</v>
          </cell>
          <cell r="BV89">
            <v>0.16702167044638805</v>
          </cell>
          <cell r="BW89">
            <v>0.17274384087707118</v>
          </cell>
          <cell r="BX89">
            <v>0.16880894786050593</v>
          </cell>
          <cell r="BY89">
            <v>0.2579761758166017</v>
          </cell>
          <cell r="BZ89">
            <v>0.18852778224992606</v>
          </cell>
          <cell r="CA89">
            <v>-3.7121607556553693E-2</v>
          </cell>
          <cell r="CB89">
            <v>5.6363349755065517E-2</v>
          </cell>
          <cell r="CC89">
            <v>6.4370898208085503E-2</v>
          </cell>
          <cell r="CD89">
            <v>6.6584425797003188E-2</v>
          </cell>
          <cell r="CE89">
            <v>-1.7164705905216349E-2</v>
          </cell>
          <cell r="CF89">
            <v>1.9609460279204072E-3</v>
          </cell>
          <cell r="CG89">
            <v>2.6782584478266536E-3</v>
          </cell>
          <cell r="CH89">
            <v>3.2155659768748901E-3</v>
          </cell>
          <cell r="CI89">
            <v>2.734871360227431E-2</v>
          </cell>
          <cell r="CJ89">
            <v>0.18454070906626363</v>
          </cell>
        </row>
        <row r="90">
          <cell r="A90" t="str">
            <v xml:space="preserve">   CER growth </v>
          </cell>
          <cell r="BG90">
            <v>0.05</v>
          </cell>
          <cell r="BN90">
            <v>0</v>
          </cell>
          <cell r="BO90">
            <v>0.06</v>
          </cell>
          <cell r="BS90">
            <v>7.0000000000000007E-2</v>
          </cell>
        </row>
        <row r="92">
          <cell r="A92" t="str">
            <v>Add back Net Income (disc)</v>
          </cell>
          <cell r="H92">
            <v>0</v>
          </cell>
          <cell r="I92">
            <v>19</v>
          </cell>
          <cell r="J92">
            <v>18</v>
          </cell>
          <cell r="K92">
            <v>37</v>
          </cell>
          <cell r="L92">
            <v>19</v>
          </cell>
          <cell r="M92">
            <v>56</v>
          </cell>
          <cell r="N92">
            <v>13</v>
          </cell>
          <cell r="O92">
            <v>69</v>
          </cell>
          <cell r="P92">
            <v>171</v>
          </cell>
          <cell r="Q92">
            <v>61</v>
          </cell>
          <cell r="R92">
            <v>232</v>
          </cell>
          <cell r="S92">
            <v>78</v>
          </cell>
          <cell r="T92">
            <v>310</v>
          </cell>
          <cell r="U92">
            <v>67</v>
          </cell>
          <cell r="V92">
            <v>377</v>
          </cell>
          <cell r="W92">
            <v>79</v>
          </cell>
          <cell r="X92">
            <v>73</v>
          </cell>
          <cell r="Y92">
            <v>152</v>
          </cell>
          <cell r="Z92">
            <v>5294</v>
          </cell>
          <cell r="AA92">
            <v>5446</v>
          </cell>
          <cell r="AB92">
            <v>-18</v>
          </cell>
          <cell r="AC92">
            <v>5428</v>
          </cell>
          <cell r="AD92">
            <v>15</v>
          </cell>
          <cell r="AE92">
            <v>-6</v>
          </cell>
          <cell r="AF92">
            <v>9</v>
          </cell>
          <cell r="AG92">
            <v>19</v>
          </cell>
          <cell r="AH92">
            <v>28</v>
          </cell>
          <cell r="AI92">
            <v>42</v>
          </cell>
          <cell r="AJ92">
            <v>70</v>
          </cell>
          <cell r="AX92">
            <v>0</v>
          </cell>
          <cell r="BE92">
            <v>0</v>
          </cell>
          <cell r="BL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L92" t="str">
            <v>mstag:incomeLossFromDiscontinuedOperationsNetOfTax</v>
          </cell>
          <cell r="CM92">
            <v>6</v>
          </cell>
          <cell r="CN92" t="str">
            <v>ISO4217:USD</v>
          </cell>
          <cell r="CO92" t="b">
            <v>0</v>
          </cell>
        </row>
        <row r="93">
          <cell r="A93" t="str">
            <v>Group Net Income</v>
          </cell>
          <cell r="H93">
            <v>5365</v>
          </cell>
          <cell r="I93">
            <v>1481</v>
          </cell>
          <cell r="J93">
            <v>1640</v>
          </cell>
          <cell r="K93">
            <v>3121</v>
          </cell>
          <cell r="L93">
            <v>1659</v>
          </cell>
          <cell r="M93">
            <v>4780</v>
          </cell>
          <cell r="N93">
            <v>1350</v>
          </cell>
          <cell r="O93">
            <v>6130</v>
          </cell>
          <cell r="P93">
            <v>1947</v>
          </cell>
          <cell r="Q93">
            <v>1707</v>
          </cell>
          <cell r="R93">
            <v>3654</v>
          </cell>
          <cell r="S93">
            <v>1867</v>
          </cell>
          <cell r="T93">
            <v>5521</v>
          </cell>
          <cell r="U93">
            <v>1654</v>
          </cell>
          <cell r="V93">
            <v>7175</v>
          </cell>
          <cell r="W93">
            <v>2169</v>
          </cell>
          <cell r="X93">
            <v>2008</v>
          </cell>
          <cell r="Y93">
            <v>4177</v>
          </cell>
          <cell r="Z93">
            <v>6865</v>
          </cell>
          <cell r="AA93">
            <v>11042</v>
          </cell>
          <cell r="AB93">
            <v>904</v>
          </cell>
          <cell r="AC93">
            <v>11946</v>
          </cell>
          <cell r="AD93">
            <v>2317</v>
          </cell>
          <cell r="AE93">
            <v>2249</v>
          </cell>
          <cell r="AF93">
            <v>4566</v>
          </cell>
          <cell r="AG93">
            <v>2104</v>
          </cell>
          <cell r="AH93">
            <v>6670</v>
          </cell>
          <cell r="AI93">
            <v>1539</v>
          </cell>
          <cell r="AJ93">
            <v>8095</v>
          </cell>
          <cell r="AK93">
            <v>1962</v>
          </cell>
          <cell r="AL93">
            <v>2035</v>
          </cell>
          <cell r="AM93">
            <v>3997</v>
          </cell>
          <cell r="AN93">
            <v>2098</v>
          </cell>
          <cell r="AO93">
            <v>6095</v>
          </cell>
          <cell r="AP93">
            <v>2305</v>
          </cell>
          <cell r="AQ93">
            <v>8400</v>
          </cell>
          <cell r="AR93">
            <v>2933</v>
          </cell>
          <cell r="AS93">
            <v>2417</v>
          </cell>
          <cell r="AT93">
            <v>5350</v>
          </cell>
          <cell r="AU93">
            <v>2275</v>
          </cell>
          <cell r="AV93">
            <v>7625</v>
          </cell>
          <cell r="AW93">
            <v>2169</v>
          </cell>
          <cell r="AX93">
            <v>9794</v>
          </cell>
          <cell r="AY93">
            <v>2769.6000000000004</v>
          </cell>
          <cell r="AZ93">
            <v>2704.3999999999996</v>
          </cell>
          <cell r="BA93">
            <v>5474</v>
          </cell>
          <cell r="BB93">
            <v>2464</v>
          </cell>
          <cell r="BC93">
            <v>7938</v>
          </cell>
          <cell r="BD93">
            <v>1175</v>
          </cell>
          <cell r="BE93">
            <v>9113</v>
          </cell>
          <cell r="BF93">
            <v>2247</v>
          </cell>
          <cell r="BG93">
            <v>2648</v>
          </cell>
          <cell r="BH93">
            <v>4895</v>
          </cell>
          <cell r="BI93">
            <v>2391</v>
          </cell>
          <cell r="BJ93">
            <v>7286</v>
          </cell>
          <cell r="BK93">
            <v>1984</v>
          </cell>
          <cell r="BL93">
            <v>9270</v>
          </cell>
          <cell r="BM93">
            <v>2398</v>
          </cell>
          <cell r="BN93">
            <v>2516</v>
          </cell>
          <cell r="BO93">
            <v>4914</v>
          </cell>
          <cell r="BP93">
            <v>2232</v>
          </cell>
          <cell r="BQ93">
            <v>7146</v>
          </cell>
          <cell r="BR93">
            <v>2029</v>
          </cell>
          <cell r="BS93">
            <v>9175</v>
          </cell>
          <cell r="BT93">
            <v>3121.3346739553231</v>
          </cell>
          <cell r="BU93">
            <v>2613.4098146182282</v>
          </cell>
          <cell r="BV93">
            <v>5734.7444885735513</v>
          </cell>
          <cell r="BW93">
            <v>2617.5642528376229</v>
          </cell>
          <cell r="BX93">
            <v>8352.308741411176</v>
          </cell>
          <cell r="BY93">
            <v>2552.4336607318851</v>
          </cell>
          <cell r="BZ93">
            <v>10904.742402143072</v>
          </cell>
          <cell r="CA93">
            <v>10499.940834185407</v>
          </cell>
          <cell r="CB93">
            <v>11091.752671830094</v>
          </cell>
          <cell r="CC93">
            <v>11805.73875401773</v>
          </cell>
          <cell r="CD93">
            <v>12591.817090063427</v>
          </cell>
          <cell r="CE93">
            <v>12375.682252900211</v>
          </cell>
          <cell r="CF93">
            <v>12399.95029785684</v>
          </cell>
          <cell r="CG93">
            <v>12433.160569494705</v>
          </cell>
          <cell r="CH93">
            <v>12473.140217606993</v>
          </cell>
          <cell r="CI93">
            <v>12814.264557139337</v>
          </cell>
          <cell r="CJ93">
            <v>15179.018024676519</v>
          </cell>
          <cell r="CL93" t="str">
            <v>mstag:netIncomeAsReported</v>
          </cell>
          <cell r="CM93">
            <v>6</v>
          </cell>
          <cell r="CN93" t="str">
            <v>ISO4217:USD</v>
          </cell>
          <cell r="CO93" t="b">
            <v>0</v>
          </cell>
        </row>
        <row r="95">
          <cell r="A95" t="str">
            <v>Basic Shares Outstanding (average)</v>
          </cell>
          <cell r="B95">
            <v>2370</v>
          </cell>
          <cell r="C95">
            <v>2345</v>
          </cell>
          <cell r="E95">
            <v>2355</v>
          </cell>
          <cell r="G95">
            <v>2350</v>
          </cell>
          <cell r="H95">
            <v>2355.5</v>
          </cell>
          <cell r="I95">
            <v>2337.5</v>
          </cell>
          <cell r="J95">
            <v>2329.6</v>
          </cell>
          <cell r="L95">
            <v>2333.8000000000002</v>
          </cell>
          <cell r="N95">
            <v>2335.5</v>
          </cell>
          <cell r="O95">
            <v>2332.848144</v>
          </cell>
          <cell r="P95">
            <v>2339.6999999999998</v>
          </cell>
          <cell r="Q95">
            <v>2346.1</v>
          </cell>
          <cell r="S95">
            <v>2347.5</v>
          </cell>
          <cell r="U95">
            <v>2347.5</v>
          </cell>
          <cell r="V95">
            <v>2345.1999999999998</v>
          </cell>
          <cell r="W95">
            <v>2345.3000000000002</v>
          </cell>
          <cell r="X95">
            <v>2338.8000000000002</v>
          </cell>
          <cell r="Z95">
            <v>2312.1</v>
          </cell>
          <cell r="AB95">
            <v>2278</v>
          </cell>
          <cell r="AC95">
            <v>2317.5</v>
          </cell>
          <cell r="AD95">
            <v>2267.5</v>
          </cell>
          <cell r="AE95">
            <v>2266.8000000000002</v>
          </cell>
          <cell r="AG95">
            <v>2264.1999999999998</v>
          </cell>
          <cell r="AI95">
            <v>2264.9</v>
          </cell>
          <cell r="AJ95">
            <v>2265.5</v>
          </cell>
          <cell r="AK95">
            <v>2265.9</v>
          </cell>
          <cell r="AL95">
            <v>2263.3000000000002</v>
          </cell>
          <cell r="AN95">
            <v>2268.1999999999998</v>
          </cell>
          <cell r="AP95">
            <v>2272.8000000000002</v>
          </cell>
          <cell r="AQ95">
            <v>2267.9</v>
          </cell>
          <cell r="AR95">
            <v>2279.1</v>
          </cell>
          <cell r="AS95">
            <v>2287.6999999999998</v>
          </cell>
          <cell r="AT95">
            <v>2282.8000000000002</v>
          </cell>
          <cell r="AU95">
            <v>2288.1</v>
          </cell>
          <cell r="AV95">
            <v>2284.4</v>
          </cell>
          <cell r="AW95">
            <v>2289.8000000000002</v>
          </cell>
          <cell r="AX95">
            <v>2285.6999999999998</v>
          </cell>
          <cell r="AY95">
            <v>2290.1999999999998</v>
          </cell>
          <cell r="AZ95">
            <v>2399</v>
          </cell>
          <cell r="BA95">
            <v>2353</v>
          </cell>
          <cell r="BB95">
            <v>2424</v>
          </cell>
          <cell r="BC95">
            <v>2374</v>
          </cell>
          <cell r="BD95">
            <v>2412.6</v>
          </cell>
          <cell r="BE95">
            <v>2382.5</v>
          </cell>
          <cell r="BF95">
            <v>2414.6</v>
          </cell>
          <cell r="BG95">
            <v>2421</v>
          </cell>
          <cell r="BH95">
            <v>2417</v>
          </cell>
          <cell r="BI95">
            <v>2418.5</v>
          </cell>
          <cell r="BJ95">
            <v>2417.5</v>
          </cell>
          <cell r="BK95">
            <v>2420</v>
          </cell>
          <cell r="BL95">
            <v>2418</v>
          </cell>
          <cell r="BM95">
            <v>2441</v>
          </cell>
          <cell r="BN95">
            <v>2452</v>
          </cell>
          <cell r="BO95">
            <v>2446</v>
          </cell>
          <cell r="BP95">
            <v>2442</v>
          </cell>
          <cell r="BQ95">
            <v>2445</v>
          </cell>
          <cell r="BR95">
            <v>2432</v>
          </cell>
          <cell r="BS95">
            <v>2441</v>
          </cell>
          <cell r="BT95">
            <v>2437.75</v>
          </cell>
          <cell r="BU95">
            <v>2446.75</v>
          </cell>
          <cell r="BV95">
            <v>2442.25</v>
          </cell>
          <cell r="BW95">
            <v>2443.5</v>
          </cell>
          <cell r="BX95">
            <v>2442.875</v>
          </cell>
          <cell r="BY95">
            <v>2452.5</v>
          </cell>
          <cell r="BZ95">
            <v>2370.9988688383519</v>
          </cell>
          <cell r="CA95">
            <v>2339.3718282495583</v>
          </cell>
          <cell r="CB95">
            <v>2315.8146827878481</v>
          </cell>
          <cell r="CC95">
            <v>2299.6952286875048</v>
          </cell>
          <cell r="CD95">
            <v>2291.9640756417771</v>
          </cell>
          <cell r="CE95">
            <v>2291.9640756417771</v>
          </cell>
          <cell r="CF95">
            <v>2291.9640756417771</v>
          </cell>
          <cell r="CG95">
            <v>2291.9640756417771</v>
          </cell>
          <cell r="CH95">
            <v>2291.9640756417771</v>
          </cell>
          <cell r="CI95">
            <v>2291.9640756417771</v>
          </cell>
          <cell r="CJ95">
            <v>2291.9640756417771</v>
          </cell>
          <cell r="CL95" t="str">
            <v>mstag:averageBasicSharesOutstanding~NOVN.VX</v>
          </cell>
          <cell r="CM95">
            <v>6</v>
          </cell>
          <cell r="CN95" t="str">
            <v>ms_eqr_gcim_Decimal:ms_eqr_gcim_decimal</v>
          </cell>
          <cell r="CO95" t="b">
            <v>0</v>
          </cell>
        </row>
        <row r="96">
          <cell r="A96" t="str">
            <v>Diluted Shares Outstanding (average)</v>
          </cell>
          <cell r="H96">
            <v>2370</v>
          </cell>
          <cell r="I96">
            <v>0</v>
          </cell>
          <cell r="J96">
            <v>0</v>
          </cell>
          <cell r="K96">
            <v>0</v>
          </cell>
          <cell r="L96">
            <v>0</v>
          </cell>
          <cell r="M96">
            <v>0</v>
          </cell>
          <cell r="N96">
            <v>0</v>
          </cell>
          <cell r="O96">
            <v>2342</v>
          </cell>
          <cell r="P96">
            <v>0</v>
          </cell>
          <cell r="Q96">
            <v>0</v>
          </cell>
          <cell r="R96">
            <v>0</v>
          </cell>
          <cell r="S96">
            <v>0</v>
          </cell>
          <cell r="T96">
            <v>0</v>
          </cell>
          <cell r="U96">
            <v>0</v>
          </cell>
          <cell r="V96">
            <v>2361</v>
          </cell>
          <cell r="W96">
            <v>0</v>
          </cell>
          <cell r="X96">
            <v>0</v>
          </cell>
          <cell r="Y96">
            <v>0</v>
          </cell>
          <cell r="Z96">
            <v>0</v>
          </cell>
          <cell r="AA96">
            <v>0</v>
          </cell>
          <cell r="AB96">
            <v>0</v>
          </cell>
          <cell r="AC96">
            <v>2328.9</v>
          </cell>
          <cell r="AD96">
            <v>2272.6999999999998</v>
          </cell>
          <cell r="AE96">
            <v>2272</v>
          </cell>
          <cell r="AG96">
            <v>2283.1999999999998</v>
          </cell>
          <cell r="AI96">
            <v>2282.6</v>
          </cell>
          <cell r="AJ96">
            <v>2284.1999999999998</v>
          </cell>
          <cell r="AK96">
            <v>2282.8000000000002</v>
          </cell>
          <cell r="AL96">
            <v>2279.6</v>
          </cell>
          <cell r="AN96">
            <v>2285.1999999999998</v>
          </cell>
          <cell r="AP96">
            <v>2286.6999999999998</v>
          </cell>
          <cell r="AQ96">
            <v>2276.6</v>
          </cell>
          <cell r="AR96">
            <v>2290</v>
          </cell>
          <cell r="AS96">
            <v>2297</v>
          </cell>
          <cell r="AT96">
            <v>2293.4</v>
          </cell>
          <cell r="AU96">
            <v>2300.3000000000002</v>
          </cell>
          <cell r="AV96">
            <v>2297.5</v>
          </cell>
          <cell r="AW96">
            <v>2307</v>
          </cell>
          <cell r="AX96">
            <v>2300.8000000000002</v>
          </cell>
          <cell r="AY96">
            <v>2304.5</v>
          </cell>
          <cell r="AZ96">
            <v>2426</v>
          </cell>
          <cell r="BA96">
            <v>2378.6999999999998</v>
          </cell>
          <cell r="BB96">
            <v>2449.6</v>
          </cell>
          <cell r="BC96">
            <v>2403.1999999999998</v>
          </cell>
          <cell r="BD96">
            <v>2436.8000000000002</v>
          </cell>
          <cell r="BE96">
            <v>2413.4</v>
          </cell>
          <cell r="BF96">
            <v>2435.1</v>
          </cell>
          <cell r="BG96">
            <v>2441.1999999999998</v>
          </cell>
          <cell r="BH96">
            <v>2438.6</v>
          </cell>
          <cell r="BI96">
            <v>2444.5</v>
          </cell>
          <cell r="BJ96">
            <v>2441.6999999999998</v>
          </cell>
          <cell r="BK96">
            <v>2450.8000000000002</v>
          </cell>
          <cell r="BL96">
            <v>2445</v>
          </cell>
          <cell r="BM96">
            <v>2473</v>
          </cell>
          <cell r="BN96">
            <v>2490</v>
          </cell>
          <cell r="BO96">
            <v>2480</v>
          </cell>
          <cell r="BP96">
            <v>2480</v>
          </cell>
          <cell r="BQ96">
            <v>2481</v>
          </cell>
          <cell r="BR96">
            <v>2469</v>
          </cell>
          <cell r="BS96">
            <v>2479</v>
          </cell>
          <cell r="BT96">
            <v>2477.5</v>
          </cell>
          <cell r="BU96">
            <v>2487.5</v>
          </cell>
          <cell r="BV96">
            <v>2482.5</v>
          </cell>
          <cell r="BW96">
            <v>2486</v>
          </cell>
          <cell r="BX96">
            <v>2484.25</v>
          </cell>
          <cell r="BY96">
            <v>2496</v>
          </cell>
          <cell r="BZ96">
            <v>2441.61323238973</v>
          </cell>
          <cell r="CA96">
            <v>2409.9861918009365</v>
          </cell>
          <cell r="CB96">
            <v>2386.4290463392263</v>
          </cell>
          <cell r="CC96">
            <v>2370.3095922388829</v>
          </cell>
          <cell r="CD96">
            <v>2362.5784391931552</v>
          </cell>
          <cell r="CE96">
            <v>2362.5784391931552</v>
          </cell>
          <cell r="CF96">
            <v>2362.5784391931552</v>
          </cell>
          <cell r="CG96">
            <v>2362.5784391931552</v>
          </cell>
          <cell r="CH96">
            <v>2362.5784391931552</v>
          </cell>
          <cell r="CI96">
            <v>2362.5784391931552</v>
          </cell>
          <cell r="CJ96">
            <v>2362.5784391931552</v>
          </cell>
        </row>
        <row r="98">
          <cell r="A98" t="str">
            <v>EPS, basic (Continuing)</v>
          </cell>
          <cell r="B98">
            <v>0.53755274261603381</v>
          </cell>
          <cell r="C98">
            <v>0.63582089552238807</v>
          </cell>
          <cell r="D98">
            <v>1.1733736381384219</v>
          </cell>
          <cell r="E98">
            <v>0.62420382165605093</v>
          </cell>
          <cell r="F98">
            <v>1.7975774597944727</v>
          </cell>
          <cell r="G98">
            <v>0.48085106382978721</v>
          </cell>
          <cell r="H98">
            <v>2.2776480577372107</v>
          </cell>
          <cell r="I98">
            <v>0.62545454545454549</v>
          </cell>
          <cell r="J98">
            <v>0.69625686813186816</v>
          </cell>
          <cell r="K98">
            <v>1.3217114135864136</v>
          </cell>
          <cell r="L98">
            <v>0.70271659953723531</v>
          </cell>
          <cell r="M98">
            <v>2.0244280131236492</v>
          </cell>
          <cell r="N98">
            <v>0.57246842217940486</v>
          </cell>
          <cell r="O98">
            <v>2.5981116754593176</v>
          </cell>
          <cell r="P98">
            <v>0.75907167585587898</v>
          </cell>
          <cell r="Q98">
            <v>0.70158987255445204</v>
          </cell>
          <cell r="R98">
            <v>1.4606615484103309</v>
          </cell>
          <cell r="S98">
            <v>0.76208732694355696</v>
          </cell>
          <cell r="T98">
            <v>2.2227488753538878</v>
          </cell>
          <cell r="U98">
            <v>0.676038338658147</v>
          </cell>
          <cell r="V98">
            <v>2.8986866791744843</v>
          </cell>
          <cell r="W98">
            <v>0.89114399010787526</v>
          </cell>
          <cell r="X98">
            <v>0.8273473576192919</v>
          </cell>
          <cell r="Y98">
            <v>1.7184913477271673</v>
          </cell>
          <cell r="Z98">
            <v>0.67946888110375847</v>
          </cell>
          <cell r="AA98">
            <v>2.3979602288309256</v>
          </cell>
          <cell r="AB98">
            <v>0.40474100087796311</v>
          </cell>
          <cell r="AC98">
            <v>2.8125134843581447</v>
          </cell>
          <cell r="AD98">
            <v>1.0152149944873208</v>
          </cell>
          <cell r="AE98">
            <v>0.99479442385742012</v>
          </cell>
          <cell r="AF98">
            <v>2.0100094183447408</v>
          </cell>
          <cell r="AG98">
            <v>0.92085504814062369</v>
          </cell>
          <cell r="AH98">
            <v>2.9308644664853647</v>
          </cell>
          <cell r="AI98">
            <v>0.66095633361296302</v>
          </cell>
          <cell r="AJ98">
            <v>3.5918208000983278</v>
          </cell>
          <cell r="AK98">
            <v>0.86588110684496222</v>
          </cell>
          <cell r="AL98">
            <v>0.89912958953740107</v>
          </cell>
          <cell r="AM98">
            <v>1.7650106963823633</v>
          </cell>
          <cell r="AN98">
            <v>0.92496252535049828</v>
          </cell>
          <cell r="AO98">
            <v>2.6899732217328616</v>
          </cell>
          <cell r="AP98">
            <v>1.0141675466385074</v>
          </cell>
          <cell r="AQ98">
            <v>3.703867013536752</v>
          </cell>
          <cell r="AR98">
            <v>1.2869115001535694</v>
          </cell>
          <cell r="AS98">
            <v>1.0565196485553177</v>
          </cell>
          <cell r="AT98">
            <v>2.3436131067110564</v>
          </cell>
          <cell r="AU98">
            <v>0.99427472575499332</v>
          </cell>
          <cell r="AV98">
            <v>3.3378567676413935</v>
          </cell>
          <cell r="AW98">
            <v>0.94724430081229793</v>
          </cell>
          <cell r="AX98">
            <v>4.2849017806361296</v>
          </cell>
          <cell r="AY98">
            <v>1.2093266963583968</v>
          </cell>
          <cell r="AZ98">
            <v>1.1273030429345559</v>
          </cell>
          <cell r="BA98">
            <v>2.3263918402039949</v>
          </cell>
          <cell r="BB98">
            <v>1.0165016501650166</v>
          </cell>
          <cell r="BC98">
            <v>3.3437236731255267</v>
          </cell>
          <cell r="BD98">
            <v>0.48702644449970989</v>
          </cell>
          <cell r="BE98">
            <v>3.8249737670514166</v>
          </cell>
          <cell r="BF98">
            <v>0.93058891741903427</v>
          </cell>
          <cell r="BG98">
            <v>1.0937629078893019</v>
          </cell>
          <cell r="BH98">
            <v>2.0252378982209351</v>
          </cell>
          <cell r="BI98">
            <v>0.98862931569154433</v>
          </cell>
          <cell r="BJ98">
            <v>3.0138572905894518</v>
          </cell>
          <cell r="BK98">
            <v>0.81983471074380165</v>
          </cell>
          <cell r="BL98">
            <v>3.8337468982630272</v>
          </cell>
          <cell r="BM98">
            <v>0.98238426874231877</v>
          </cell>
          <cell r="BN98">
            <v>1.0261011419249593</v>
          </cell>
          <cell r="BO98">
            <v>2.0089942763695832</v>
          </cell>
          <cell r="BP98">
            <v>0.91400491400491402</v>
          </cell>
          <cell r="BQ98">
            <v>2.9226993865030675</v>
          </cell>
          <cell r="BR98">
            <v>0.83429276315789469</v>
          </cell>
          <cell r="BS98">
            <v>3.7587054485866447</v>
          </cell>
          <cell r="BT98">
            <v>1.2804162338038449</v>
          </cell>
          <cell r="BU98">
            <v>1.0681147704580476</v>
          </cell>
          <cell r="BV98">
            <v>2.3481398253960699</v>
          </cell>
          <cell r="BW98">
            <v>1.0712356262891847</v>
          </cell>
          <cell r="BX98">
            <v>3.4190487607475522</v>
          </cell>
          <cell r="BY98">
            <v>1.0407476700231948</v>
          </cell>
          <cell r="BZ98">
            <v>4.5992187282171697</v>
          </cell>
          <cell r="CA98">
            <v>4.4883591002470169</v>
          </cell>
          <cell r="CB98">
            <v>4.7895683338865034</v>
          </cell>
          <cell r="CC98">
            <v>5.1336101439648454</v>
          </cell>
          <cell r="CD98">
            <v>5.4938981042002455</v>
          </cell>
          <cell r="CE98">
            <v>5.3995969589684227</v>
          </cell>
          <cell r="CF98">
            <v>5.4101852771774821</v>
          </cell>
          <cell r="CG98">
            <v>5.4246751516003897</v>
          </cell>
          <cell r="CH98">
            <v>5.4421185524534748</v>
          </cell>
          <cell r="CI98">
            <v>5.5909534941341485</v>
          </cell>
          <cell r="CJ98">
            <v>6.6227120162981672</v>
          </cell>
        </row>
        <row r="99">
          <cell r="A99" t="str">
            <v>growth (%)</v>
          </cell>
          <cell r="O99">
            <v>0.14069935723102023</v>
          </cell>
          <cell r="V99">
            <v>0.11568979368911392</v>
          </cell>
          <cell r="AC99">
            <v>-2.9728357823371465E-2</v>
          </cell>
          <cell r="AD99">
            <v>0.13922666343115475</v>
          </cell>
          <cell r="AE99">
            <v>0.2023902834716973</v>
          </cell>
          <cell r="AF99">
            <v>0.1696360421035159</v>
          </cell>
          <cell r="AG99">
            <v>0.35525713354929089</v>
          </cell>
          <cell r="AH99">
            <v>0.22223230862934074</v>
          </cell>
          <cell r="AI99">
            <v>0.63303527979428398</v>
          </cell>
          <cell r="AJ99">
            <v>0.27708571712609298</v>
          </cell>
          <cell r="AK99">
            <v>-0.14709582546874367</v>
          </cell>
          <cell r="AL99">
            <v>-9.6165430792292339E-2</v>
          </cell>
          <cell r="AM99">
            <v>-0.12188934028186593</v>
          </cell>
          <cell r="AN99">
            <v>4.4605035484883704E-3</v>
          </cell>
          <cell r="AO99">
            <v>-8.2191192225744669E-2</v>
          </cell>
          <cell r="AP99">
            <v>0.53439417259956956</v>
          </cell>
          <cell r="AQ99">
            <v>3.1194822813921164E-2</v>
          </cell>
          <cell r="AR99">
            <v>0.48624503985625545</v>
          </cell>
          <cell r="AS99">
            <v>0.17504713541781358</v>
          </cell>
          <cell r="AT99">
            <v>0.32781807584204437</v>
          </cell>
          <cell r="AU99">
            <v>7.4935144402991316E-2</v>
          </cell>
          <cell r="AV99">
            <v>0.24085129943827832</v>
          </cell>
          <cell r="AW99">
            <v>-6.598835276087156E-2</v>
          </cell>
          <cell r="AX99">
            <v>0.15687247003627136</v>
          </cell>
          <cell r="AY99">
            <v>-6.0287598475819215E-2</v>
          </cell>
          <cell r="AZ99">
            <v>6.6996760993538684E-2</v>
          </cell>
          <cell r="BA99">
            <v>-7.3481695667887426E-3</v>
          </cell>
          <cell r="BB99">
            <v>2.2354912414318306E-2</v>
          </cell>
          <cell r="BC99">
            <v>1.7576864115349533E-3</v>
          </cell>
          <cell r="BD99">
            <v>-0.4858491689186557</v>
          </cell>
          <cell r="BE99">
            <v>-0.10733688591490487</v>
          </cell>
          <cell r="BF99">
            <v>-0.23049005680492785</v>
          </cell>
          <cell r="BG99">
            <v>-2.9752545471662617E-2</v>
          </cell>
          <cell r="BH99">
            <v>-0.12945108247828641</v>
          </cell>
          <cell r="BI99">
            <v>-2.741986151124054E-2</v>
          </cell>
          <cell r="BJ99">
            <v>-9.8652405157551248E-2</v>
          </cell>
          <cell r="BK99">
            <v>0.68334742394935799</v>
          </cell>
          <cell r="BL99">
            <v>2.2936448054056147E-3</v>
          </cell>
          <cell r="BM99">
            <v>5.5658680598666077E-2</v>
          </cell>
          <cell r="BN99">
            <v>-6.1861455966644052E-2</v>
          </cell>
          <cell r="BO99">
            <v>-8.0205993901364403E-3</v>
          </cell>
          <cell r="BP99">
            <v>-7.5482691542917313E-2</v>
          </cell>
          <cell r="BQ99">
            <v>-3.0246257635030749E-2</v>
          </cell>
          <cell r="BR99">
            <v>1.7635326029286968E-2</v>
          </cell>
          <cell r="BS99">
            <v>-1.9573918588726258E-2</v>
          </cell>
          <cell r="BT99">
            <v>0.30337615792960193</v>
          </cell>
          <cell r="BU99">
            <v>4.0944919381213252E-2</v>
          </cell>
          <cell r="BV99">
            <v>0.16881359644256944</v>
          </cell>
          <cell r="BW99">
            <v>0.17202392446155423</v>
          </cell>
          <cell r="BX99">
            <v>0.16982566751018258</v>
          </cell>
          <cell r="BY99">
            <v>0.24746098250192694</v>
          </cell>
          <cell r="BZ99">
            <v>0.22361775646627913</v>
          </cell>
          <cell r="CA99">
            <v>-2.4104012990294632E-2</v>
          </cell>
          <cell r="CB99">
            <v>6.7108987251690566E-2</v>
          </cell>
          <cell r="CC99">
            <v>7.1831485865693656E-2</v>
          </cell>
          <cell r="CD99">
            <v>7.0182181765197083E-2</v>
          </cell>
          <cell r="CE99">
            <v>-1.7164705905216349E-2</v>
          </cell>
          <cell r="CF99">
            <v>1.9609460279201851E-3</v>
          </cell>
          <cell r="CG99">
            <v>2.6782584478266536E-3</v>
          </cell>
          <cell r="CH99">
            <v>3.2155659768748901E-3</v>
          </cell>
          <cell r="CI99">
            <v>2.734871360227431E-2</v>
          </cell>
          <cell r="CJ99">
            <v>0.18454070906626341</v>
          </cell>
        </row>
        <row r="101">
          <cell r="A101" t="str">
            <v>EPS (including discontinued)</v>
          </cell>
          <cell r="H101">
            <v>2.2776480577372107</v>
          </cell>
          <cell r="I101">
            <v>0.63358288770053472</v>
          </cell>
          <cell r="J101">
            <v>0.70398351648351654</v>
          </cell>
          <cell r="K101" t="e">
            <v>#DIV/0!</v>
          </cell>
          <cell r="L101">
            <v>0.71085782843431311</v>
          </cell>
          <cell r="M101" t="e">
            <v>#DIV/0!</v>
          </cell>
          <cell r="N101">
            <v>0.5780346820809249</v>
          </cell>
          <cell r="O101">
            <v>2.6276892543417949</v>
          </cell>
          <cell r="P101">
            <v>0.83215796897038086</v>
          </cell>
          <cell r="Q101">
            <v>0.72759046928945914</v>
          </cell>
          <cell r="S101">
            <v>0.7953141640042598</v>
          </cell>
          <cell r="U101">
            <v>0.70457933972310971</v>
          </cell>
          <cell r="V101">
            <v>3.0594405594405596</v>
          </cell>
          <cell r="W101">
            <v>0.92482838016458446</v>
          </cell>
          <cell r="X101">
            <v>0.85855994527107915</v>
          </cell>
          <cell r="Y101">
            <v>1.7833883254356637</v>
          </cell>
          <cell r="Z101">
            <v>2.9691622334674106</v>
          </cell>
          <cell r="AA101">
            <v>4.7525505589030743</v>
          </cell>
          <cell r="AB101">
            <v>0.39683933274802458</v>
          </cell>
          <cell r="AC101">
            <v>5.1546925566343038</v>
          </cell>
          <cell r="AD101">
            <v>1.0218302094818081</v>
          </cell>
          <cell r="AE101">
            <v>0.99214752073407442</v>
          </cell>
          <cell r="AF101">
            <v>2.0139777302158826</v>
          </cell>
          <cell r="AG101">
            <v>0.92924653299178528</v>
          </cell>
          <cell r="AH101">
            <v>2.9432242632076679</v>
          </cell>
          <cell r="AI101">
            <v>0.67950019868426859</v>
          </cell>
          <cell r="AJ101">
            <v>3.6227244618919365</v>
          </cell>
          <cell r="AK101">
            <v>0.86588110684496222</v>
          </cell>
          <cell r="AL101">
            <v>0.89912958953740107</v>
          </cell>
          <cell r="AM101">
            <v>1.7650106963823633</v>
          </cell>
          <cell r="AN101">
            <v>0.92496252535049828</v>
          </cell>
          <cell r="AO101">
            <v>2.6899732217328616</v>
          </cell>
          <cell r="AP101">
            <v>1.0141675466385074</v>
          </cell>
          <cell r="AQ101">
            <v>3.704140768371369</v>
          </cell>
          <cell r="AR101">
            <v>1.2869115001535694</v>
          </cell>
          <cell r="AS101">
            <v>1.0565196485553177</v>
          </cell>
          <cell r="AT101">
            <v>2.3436131067110564</v>
          </cell>
          <cell r="AU101">
            <v>0.99427472575499332</v>
          </cell>
          <cell r="AV101">
            <v>3.3378567676413935</v>
          </cell>
          <cell r="AW101">
            <v>0.94724430081229793</v>
          </cell>
          <cell r="AX101">
            <v>4.2849017806361296</v>
          </cell>
          <cell r="AY101">
            <v>1.2093266963583968</v>
          </cell>
          <cell r="AZ101">
            <v>1.1273030429345559</v>
          </cell>
          <cell r="BA101">
            <v>2.3263918402039949</v>
          </cell>
          <cell r="BB101">
            <v>1.0165016501650166</v>
          </cell>
          <cell r="BC101">
            <v>3.3428934903690113</v>
          </cell>
          <cell r="BD101">
            <v>0.48702644449970989</v>
          </cell>
          <cell r="BE101">
            <v>3.8249737670514166</v>
          </cell>
          <cell r="BF101">
            <v>0.93058891741903427</v>
          </cell>
          <cell r="BG101">
            <v>1.0937629078893019</v>
          </cell>
          <cell r="BH101">
            <v>2.0252378982209351</v>
          </cell>
          <cell r="BI101">
            <v>0.98862931569154433</v>
          </cell>
          <cell r="BJ101">
            <v>3.0138572905894518</v>
          </cell>
          <cell r="BK101">
            <v>0.81983471074380165</v>
          </cell>
          <cell r="BL101">
            <v>3.8337468982630272</v>
          </cell>
          <cell r="BM101">
            <v>0.98238426874231877</v>
          </cell>
          <cell r="BN101">
            <v>1.0261011419249593</v>
          </cell>
          <cell r="BO101">
            <v>2.0089942763695832</v>
          </cell>
          <cell r="BP101">
            <v>0.91400491400491402</v>
          </cell>
          <cell r="BQ101">
            <v>2.9226993865030675</v>
          </cell>
          <cell r="BR101">
            <v>0.83429276315789469</v>
          </cell>
          <cell r="BS101">
            <v>3.7587054485866447</v>
          </cell>
          <cell r="BT101">
            <v>1.2804162338038449</v>
          </cell>
          <cell r="BU101">
            <v>1.0681147704580476</v>
          </cell>
          <cell r="BV101">
            <v>2.3481398253960699</v>
          </cell>
          <cell r="BW101">
            <v>1.0712356262891847</v>
          </cell>
          <cell r="BX101">
            <v>3.4190487607475522</v>
          </cell>
          <cell r="BY101">
            <v>1.0407476700231948</v>
          </cell>
          <cell r="BZ101">
            <v>4.5992187282171697</v>
          </cell>
          <cell r="CA101">
            <v>4.4883591002470169</v>
          </cell>
          <cell r="CB101">
            <v>4.7895683338865034</v>
          </cell>
          <cell r="CC101">
            <v>5.1336101439648454</v>
          </cell>
          <cell r="CD101">
            <v>5.4938981042002455</v>
          </cell>
          <cell r="CE101">
            <v>5.3995969589684227</v>
          </cell>
          <cell r="CF101">
            <v>5.4101852771774821</v>
          </cell>
          <cell r="CG101">
            <v>5.4246751516003897</v>
          </cell>
          <cell r="CH101">
            <v>5.4421185524534748</v>
          </cell>
          <cell r="CI101">
            <v>5.5909534941341485</v>
          </cell>
          <cell r="CJ101">
            <v>6.6227120162981672</v>
          </cell>
        </row>
        <row r="102">
          <cell r="A102" t="str">
            <v>Diluted EPS (including discontinued)</v>
          </cell>
          <cell r="H102">
            <v>2.2637130801687766</v>
          </cell>
          <cell r="O102">
            <v>2.6174210076857385</v>
          </cell>
          <cell r="V102">
            <v>3.0389665396018635</v>
          </cell>
          <cell r="AC102">
            <v>5.1294602602086821</v>
          </cell>
          <cell r="AJ102">
            <v>3.543910340600648</v>
          </cell>
          <cell r="AK102">
            <v>0.85947082530226027</v>
          </cell>
          <cell r="AL102">
            <v>0.89270047376732764</v>
          </cell>
          <cell r="AN102">
            <v>0.91808156835287946</v>
          </cell>
          <cell r="AP102">
            <v>1.0080027987930207</v>
          </cell>
          <cell r="AQ102">
            <v>3.6897127295089169</v>
          </cell>
          <cell r="AR102">
            <v>1.2807860262008735</v>
          </cell>
          <cell r="AS102">
            <v>1.0522420548541576</v>
          </cell>
          <cell r="AT102">
            <v>2.3327810238074473</v>
          </cell>
          <cell r="AU102">
            <v>0.98900143459548751</v>
          </cell>
          <cell r="AV102">
            <v>3.3188248095756259</v>
          </cell>
          <cell r="AW102">
            <v>0.94018205461638493</v>
          </cell>
          <cell r="AX102">
            <v>4.2567802503477052</v>
          </cell>
          <cell r="AY102">
            <v>1.2018225211542635</v>
          </cell>
          <cell r="AZ102">
            <v>1.1147568013190436</v>
          </cell>
          <cell r="BA102">
            <v>2.3012569891116996</v>
          </cell>
          <cell r="BB102">
            <v>1.0058785107772699</v>
          </cell>
          <cell r="BC102">
            <v>3.3030958721704398</v>
          </cell>
          <cell r="BD102">
            <v>0.48218975705843725</v>
          </cell>
          <cell r="BE102">
            <v>3.7760006629651115</v>
          </cell>
          <cell r="BF102">
            <v>0.92275471233214246</v>
          </cell>
          <cell r="BG102">
            <v>1.0847124365066361</v>
          </cell>
          <cell r="BH102">
            <v>2.0072992700729926</v>
          </cell>
          <cell r="BI102">
            <v>0.97811413376968703</v>
          </cell>
          <cell r="BJ102">
            <v>2.9839865667362906</v>
          </cell>
          <cell r="BK102">
            <v>0.80953158152440019</v>
          </cell>
          <cell r="BL102">
            <v>3.7914110429447851</v>
          </cell>
          <cell r="BM102">
            <v>0.96967246259603723</v>
          </cell>
          <cell r="BN102">
            <v>1.010441767068273</v>
          </cell>
          <cell r="BO102">
            <v>1.9814516129032258</v>
          </cell>
          <cell r="BP102">
            <v>0.9</v>
          </cell>
          <cell r="BQ102">
            <v>2.8802902055622734</v>
          </cell>
          <cell r="BR102">
            <v>0.82179019846091539</v>
          </cell>
          <cell r="BS102">
            <v>3.7010891488503428</v>
          </cell>
          <cell r="BT102">
            <v>1.2598727240990204</v>
          </cell>
          <cell r="BU102">
            <v>1.0506170109018003</v>
          </cell>
          <cell r="BV102">
            <v>2.3100682733428202</v>
          </cell>
          <cell r="BW102">
            <v>1.0529220646973543</v>
          </cell>
          <cell r="BX102">
            <v>3.3621047565306132</v>
          </cell>
          <cell r="BY102">
            <v>1.0226096397163</v>
          </cell>
          <cell r="BZ102">
            <v>4.466203843214779</v>
          </cell>
          <cell r="CA102">
            <v>4.3568468856408682</v>
          </cell>
          <cell r="CB102">
            <v>4.6478451512500669</v>
          </cell>
          <cell r="CC102">
            <v>4.9806737451821999</v>
          </cell>
          <cell r="CD102">
            <v>5.3296927124940927</v>
          </cell>
          <cell r="CE102">
            <v>5.2382101045189566</v>
          </cell>
          <cell r="CF102">
            <v>5.2484819518168253</v>
          </cell>
          <cell r="CG102">
            <v>5.2625387429425441</v>
          </cell>
          <cell r="CH102">
            <v>5.2794607834763356</v>
          </cell>
          <cell r="CI102">
            <v>5.4238472444180692</v>
          </cell>
          <cell r="CJ102">
            <v>6.4247678607700784</v>
          </cell>
        </row>
        <row r="103">
          <cell r="A103" t="str">
            <v>growth (%)</v>
          </cell>
          <cell r="O103">
            <v>0.1562512186794407</v>
          </cell>
          <cell r="V103">
            <v>0.16105377418394196</v>
          </cell>
          <cell r="AC103">
            <v>0.68789626123382575</v>
          </cell>
          <cell r="AD103" t="e">
            <v>#DIV/0!</v>
          </cell>
          <cell r="AE103" t="e">
            <v>#DIV/0!</v>
          </cell>
          <cell r="AF103" t="e">
            <v>#DIV/0!</v>
          </cell>
          <cell r="AG103" t="e">
            <v>#DIV/0!</v>
          </cell>
          <cell r="AH103" t="e">
            <v>#DIV/0!</v>
          </cell>
          <cell r="AI103" t="e">
            <v>#DIV/0!</v>
          </cell>
          <cell r="AJ103">
            <v>-0.3091065802590951</v>
          </cell>
          <cell r="AK103" t="e">
            <v>#DIV/0!</v>
          </cell>
          <cell r="AL103" t="e">
            <v>#DIV/0!</v>
          </cell>
          <cell r="AM103" t="e">
            <v>#DIV/0!</v>
          </cell>
          <cell r="AN103" t="e">
            <v>#DIV/0!</v>
          </cell>
          <cell r="AO103" t="e">
            <v>#DIV/0!</v>
          </cell>
          <cell r="AP103" t="e">
            <v>#DIV/0!</v>
          </cell>
          <cell r="AQ103">
            <v>4.1141669764579003E-2</v>
          </cell>
          <cell r="AR103">
            <v>0.49020302783453329</v>
          </cell>
          <cell r="AS103">
            <v>0.1787179303417874</v>
          </cell>
          <cell r="AT103" t="e">
            <v>#DIV/0!</v>
          </cell>
          <cell r="AU103">
            <v>7.7247892439279209E-2</v>
          </cell>
          <cell r="AV103" t="e">
            <v>#DIV/0!</v>
          </cell>
          <cell r="AW103">
            <v>-6.7282297487511022E-2</v>
          </cell>
          <cell r="AX103">
            <v>0.15368879975495076</v>
          </cell>
          <cell r="AY103">
            <v>-6.1652378641915084E-2</v>
          </cell>
          <cell r="AZ103">
            <v>5.9410994054548416E-2</v>
          </cell>
          <cell r="BA103">
            <v>-1.3513499284341646E-2</v>
          </cell>
          <cell r="BB103">
            <v>1.7064764105913843E-2</v>
          </cell>
          <cell r="BC103">
            <v>-4.7393093361856042E-3</v>
          </cell>
          <cell r="BD103">
            <v>-0.48713150321170373</v>
          </cell>
          <cell r="BE103">
            <v>-0.11294442256992765</v>
          </cell>
          <cell r="BF103">
            <v>-0.23220384367077473</v>
          </cell>
          <cell r="BG103">
            <v>-2.6951497202669983E-2</v>
          </cell>
          <cell r="BH103">
            <v>-0.12773789299915461</v>
          </cell>
          <cell r="BI103">
            <v>-2.7602117661434611E-2</v>
          </cell>
          <cell r="BJ103">
            <v>-9.6609156313850697E-2</v>
          </cell>
          <cell r="BK103">
            <v>0.67886515562439032</v>
          </cell>
          <cell r="BL103">
            <v>4.0811380492642435E-3</v>
          </cell>
          <cell r="BM103">
            <v>5.0845310933515853E-2</v>
          </cell>
          <cell r="BN103">
            <v>-6.8470376976182745E-2</v>
          </cell>
          <cell r="BO103">
            <v>-1.2876832844574748E-2</v>
          </cell>
          <cell r="BP103">
            <v>-7.9861982434127898E-2</v>
          </cell>
          <cell r="BQ103">
            <v>-3.475094771872056E-2</v>
          </cell>
          <cell r="BR103">
            <v>1.5142852010086472E-2</v>
          </cell>
          <cell r="BS103">
            <v>-2.3822764947239672E-2</v>
          </cell>
          <cell r="BT103">
            <v>0.29927658327642925</v>
          </cell>
          <cell r="BU103">
            <v>3.9760078356710249E-2</v>
          </cell>
          <cell r="BV103">
            <v>0.16584642203707656</v>
          </cell>
          <cell r="BW103">
            <v>0.16991340521928255</v>
          </cell>
          <cell r="BX103">
            <v>0.16727986299362585</v>
          </cell>
          <cell r="BY103">
            <v>0.24436826045320093</v>
          </cell>
          <cell r="BZ103">
            <v>0.20672690216124656</v>
          </cell>
          <cell r="CA103">
            <v>-2.4485438061688569E-2</v>
          </cell>
          <cell r="CB103">
            <v>6.6791024162051738E-2</v>
          </cell>
          <cell r="CC103">
            <v>7.1609226017914196E-2</v>
          </cell>
          <cell r="CD103">
            <v>7.0074649569146885E-2</v>
          </cell>
          <cell r="CE103">
            <v>-1.7164705905216349E-2</v>
          </cell>
          <cell r="CF103">
            <v>1.9609460279204072E-3</v>
          </cell>
          <cell r="CG103">
            <v>2.6782584478266536E-3</v>
          </cell>
          <cell r="CH103">
            <v>3.2155659768748901E-3</v>
          </cell>
          <cell r="CI103">
            <v>2.734871360227431E-2</v>
          </cell>
          <cell r="CJ103">
            <v>0.18454070906626341</v>
          </cell>
        </row>
        <row r="104">
          <cell r="A104" t="str">
            <v xml:space="preserve">CER growth </v>
          </cell>
          <cell r="BG104">
            <v>0.04</v>
          </cell>
          <cell r="BN104">
            <v>-0.01</v>
          </cell>
          <cell r="BO104">
            <v>0.05</v>
          </cell>
          <cell r="BP104">
            <v>0</v>
          </cell>
          <cell r="BS104">
            <v>0.06</v>
          </cell>
        </row>
        <row r="106">
          <cell r="A106" t="str">
            <v>Restructuring charge/share</v>
          </cell>
          <cell r="O106">
            <v>0.10119555935098207</v>
          </cell>
          <cell r="V106">
            <v>7.7509529860228715E-2</v>
          </cell>
          <cell r="AC106">
            <v>1.3203658379492464E-2</v>
          </cell>
          <cell r="AJ106">
            <v>1.7073811400052537E-2</v>
          </cell>
          <cell r="AQ106">
            <v>0</v>
          </cell>
          <cell r="AX106">
            <v>0</v>
          </cell>
          <cell r="BE106">
            <v>0</v>
          </cell>
          <cell r="BL106">
            <v>0</v>
          </cell>
          <cell r="BS106">
            <v>0</v>
          </cell>
        </row>
        <row r="107">
          <cell r="A107" t="str">
            <v>EPS based on diluted shares</v>
          </cell>
          <cell r="O107">
            <v>2.5879590093936806</v>
          </cell>
          <cell r="V107">
            <v>2.8792884371029226</v>
          </cell>
          <cell r="AC107">
            <v>2.7987461891880288</v>
          </cell>
          <cell r="AJ107">
            <v>3.5132650380877335</v>
          </cell>
          <cell r="AQ107">
            <v>3.6897127295089169</v>
          </cell>
          <cell r="AX107">
            <v>4.2567802503477052</v>
          </cell>
          <cell r="BE107">
            <v>3.7760006629651115</v>
          </cell>
          <cell r="BL107">
            <v>3.7914110429447851</v>
          </cell>
          <cell r="BS107">
            <v>3.7010891488503428</v>
          </cell>
          <cell r="BZ107">
            <v>4.466203843214779</v>
          </cell>
          <cell r="CA107">
            <v>4.3568468856408682</v>
          </cell>
          <cell r="CB107">
            <v>4.6478451512500669</v>
          </cell>
          <cell r="CC107">
            <v>4.9806737451821999</v>
          </cell>
          <cell r="CD107">
            <v>5.3296927124940927</v>
          </cell>
          <cell r="CE107">
            <v>5.2382101045189566</v>
          </cell>
          <cell r="CF107">
            <v>5.2484819518168253</v>
          </cell>
          <cell r="CG107">
            <v>5.2625387429425441</v>
          </cell>
          <cell r="CH107">
            <v>5.2794607834763356</v>
          </cell>
          <cell r="CI107">
            <v>5.4238472444180692</v>
          </cell>
          <cell r="CJ107">
            <v>6.4247678607700784</v>
          </cell>
        </row>
        <row r="108">
          <cell r="A108" t="str">
            <v>Modelware EPS</v>
          </cell>
          <cell r="O108">
            <v>2.6891545687446627</v>
          </cell>
          <cell r="V108">
            <v>2.9567979669631512</v>
          </cell>
          <cell r="AC108">
            <v>2.8119498475675213</v>
          </cell>
          <cell r="AJ108">
            <v>4.0872077751510378</v>
          </cell>
          <cell r="AQ108">
            <v>4.3288236844417103</v>
          </cell>
          <cell r="AX108">
            <v>5.3346662030598049</v>
          </cell>
          <cell r="BE108">
            <v>5.8108892019557468</v>
          </cell>
          <cell r="BL108">
            <v>5.2838036809815954</v>
          </cell>
          <cell r="BS108">
            <v>5.1432029043969347</v>
          </cell>
          <cell r="BZ108">
            <v>5.2620710896001093</v>
          </cell>
          <cell r="CA108">
            <v>5.5366918198872268</v>
          </cell>
          <cell r="CB108">
            <v>5.8394290805364282</v>
          </cell>
          <cell r="CC108">
            <v>6.1804588003967895</v>
          </cell>
          <cell r="CD108">
            <v>6.5335067654240335</v>
          </cell>
          <cell r="CE108">
            <v>6.4421321988617288</v>
          </cell>
          <cell r="CF108">
            <v>6.4525174896430766</v>
          </cell>
          <cell r="CG108">
            <v>6.466693396426443</v>
          </cell>
          <cell r="CH108">
            <v>6.4837405084007624</v>
          </cell>
          <cell r="CI108">
            <v>6.3577910838702971</v>
          </cell>
          <cell r="CJ108">
            <v>6.4276635772969772</v>
          </cell>
        </row>
        <row r="110">
          <cell r="A110" t="str">
            <v>Dividends (Accrued, to be paid in cash in the year shown)</v>
          </cell>
          <cell r="H110">
            <v>1896</v>
          </cell>
          <cell r="O110">
            <v>2107</v>
          </cell>
          <cell r="V110">
            <v>2049</v>
          </cell>
          <cell r="AC110">
            <v>2598</v>
          </cell>
          <cell r="AJ110">
            <v>3345</v>
          </cell>
          <cell r="AQ110">
            <v>3941</v>
          </cell>
          <cell r="AX110">
            <v>4486</v>
          </cell>
          <cell r="BE110">
            <v>5368</v>
          </cell>
          <cell r="BL110">
            <v>6030</v>
          </cell>
          <cell r="BS110">
            <v>6100</v>
          </cell>
          <cell r="BZ110">
            <v>6724.4179800000002</v>
          </cell>
          <cell r="CA110">
            <v>6858.1592770934421</v>
          </cell>
          <cell r="CB110">
            <v>7105.0113343404146</v>
          </cell>
          <cell r="CC110">
            <v>7385.1381124132149</v>
          </cell>
          <cell r="CD110">
            <v>7700.419794757956</v>
          </cell>
          <cell r="CE110">
            <v>8058.2590173784865</v>
          </cell>
          <cell r="CF110">
            <v>8461.1719682474104</v>
          </cell>
          <cell r="CG110">
            <v>8884.2305666597804</v>
          </cell>
          <cell r="CH110">
            <v>9328.4420949927699</v>
          </cell>
          <cell r="CI110">
            <v>9794.8641997424111</v>
          </cell>
          <cell r="CJ110">
            <v>10284.607409729531</v>
          </cell>
          <cell r="CL110" t="str">
            <v>mstag:commonDividends</v>
          </cell>
          <cell r="CM110">
            <v>6</v>
          </cell>
          <cell r="CN110" t="str">
            <v>ISO4217:USD</v>
          </cell>
          <cell r="CO110" t="b">
            <v>0</v>
          </cell>
          <cell r="CP110" t="b">
            <v>0</v>
          </cell>
        </row>
        <row r="111">
          <cell r="A111" t="str">
            <v>DPS (announced in CHF)</v>
          </cell>
          <cell r="H111">
            <v>1.05</v>
          </cell>
          <cell r="O111">
            <v>1.1499999999999999</v>
          </cell>
          <cell r="V111">
            <v>1.35</v>
          </cell>
          <cell r="AC111">
            <v>1.6</v>
          </cell>
          <cell r="AJ111">
            <v>2</v>
          </cell>
          <cell r="AQ111">
            <v>2.1</v>
          </cell>
          <cell r="AX111">
            <v>2.2000000000000002</v>
          </cell>
          <cell r="BE111">
            <v>2.25</v>
          </cell>
          <cell r="BL111">
            <v>2.2999999999999998</v>
          </cell>
          <cell r="BS111">
            <v>2.4500000000000002</v>
          </cell>
          <cell r="BZ111">
            <v>2.5725000000000002</v>
          </cell>
          <cell r="CA111">
            <v>2.7011250000000002</v>
          </cell>
          <cell r="CB111">
            <v>2.8361812500000005</v>
          </cell>
          <cell r="CC111">
            <v>2.9779903125000007</v>
          </cell>
          <cell r="CD111">
            <v>3.1268898281250008</v>
          </cell>
          <cell r="CE111">
            <v>3.283234319531251</v>
          </cell>
          <cell r="CF111">
            <v>3.4473960355078135</v>
          </cell>
          <cell r="CG111">
            <v>3.6197658372832042</v>
          </cell>
          <cell r="CH111">
            <v>3.8007541291473648</v>
          </cell>
          <cell r="CI111">
            <v>3.9907918356047332</v>
          </cell>
          <cell r="CJ111">
            <v>4.1903314273849697</v>
          </cell>
          <cell r="CL111" t="str">
            <v>mstag:dividendsPerShare~NOVN.VX</v>
          </cell>
          <cell r="CM111">
            <v>0</v>
          </cell>
          <cell r="CN111" t="str">
            <v>ISO4217:USD</v>
          </cell>
          <cell r="CO111" t="b">
            <v>0</v>
          </cell>
        </row>
        <row r="112">
          <cell r="A112" t="str">
            <v>YoY growth (%)</v>
          </cell>
          <cell r="O112">
            <v>9.5238095238095122E-2</v>
          </cell>
          <cell r="V112">
            <v>0.17391304347826098</v>
          </cell>
          <cell r="AC112">
            <v>0.18518518518518512</v>
          </cell>
          <cell r="AJ112">
            <v>0.25</v>
          </cell>
          <cell r="AQ112">
            <v>5.0000000000000044E-2</v>
          </cell>
          <cell r="AX112">
            <v>4.7619047619047672E-2</v>
          </cell>
          <cell r="BE112">
            <v>2.2727272727272707E-2</v>
          </cell>
          <cell r="BL112">
            <v>2.2222222222222143E-2</v>
          </cell>
          <cell r="BS112">
            <v>6.5217391304347894E-2</v>
          </cell>
          <cell r="BZ112">
            <v>0.05</v>
          </cell>
          <cell r="CA112">
            <v>0.05</v>
          </cell>
          <cell r="CB112">
            <v>0.05</v>
          </cell>
          <cell r="CC112">
            <v>0.05</v>
          </cell>
          <cell r="CD112">
            <v>0.05</v>
          </cell>
          <cell r="CE112">
            <v>0.05</v>
          </cell>
          <cell r="CF112">
            <v>0.05</v>
          </cell>
          <cell r="CG112">
            <v>0.05</v>
          </cell>
          <cell r="CH112">
            <v>0.05</v>
          </cell>
          <cell r="CI112">
            <v>0.05</v>
          </cell>
          <cell r="CJ112">
            <v>0.05</v>
          </cell>
        </row>
        <row r="113">
          <cell r="A113" t="str">
            <v>Year End Exch rate</v>
          </cell>
          <cell r="H113">
            <v>1.1738372093023255</v>
          </cell>
          <cell r="O113">
            <v>1.3093095976573939</v>
          </cell>
          <cell r="V113">
            <v>1.2281629983256355</v>
          </cell>
          <cell r="AC113">
            <v>1.0885995011061287</v>
          </cell>
          <cell r="AJ113">
            <v>1.0649999999999999</v>
          </cell>
          <cell r="AQ113">
            <v>0.96499999999999997</v>
          </cell>
          <cell r="AX113">
            <v>1.0675066719166995</v>
          </cell>
          <cell r="BE113">
            <v>1.3017255246402062</v>
          </cell>
          <cell r="BL113">
            <v>1.0968461178839861</v>
          </cell>
          <cell r="BS113">
            <v>1.1244000000000001</v>
          </cell>
          <cell r="BZ113">
            <v>1.1244000000000001</v>
          </cell>
          <cell r="CA113">
            <v>1.1244000000000001</v>
          </cell>
          <cell r="CB113">
            <v>1.1244000000000001</v>
          </cell>
          <cell r="CC113">
            <v>1.1244000000000001</v>
          </cell>
          <cell r="CD113">
            <v>1.1244000000000001</v>
          </cell>
          <cell r="CE113">
            <v>1.1244000000000001</v>
          </cell>
          <cell r="CF113">
            <v>1.1244000000000001</v>
          </cell>
          <cell r="CG113">
            <v>1.1244000000000001</v>
          </cell>
          <cell r="CH113">
            <v>1.1244000000000001</v>
          </cell>
          <cell r="CI113">
            <v>1.1244000000000001</v>
          </cell>
          <cell r="CJ113">
            <v>1.1244000000000001</v>
          </cell>
        </row>
        <row r="114">
          <cell r="A114" t="str">
            <v>Dividend (Announced in USD)</v>
          </cell>
          <cell r="H114">
            <v>2107</v>
          </cell>
          <cell r="O114">
            <v>2049</v>
          </cell>
          <cell r="V114">
            <v>2598</v>
          </cell>
          <cell r="AC114">
            <v>3345</v>
          </cell>
          <cell r="AJ114">
            <v>3941</v>
          </cell>
          <cell r="AQ114">
            <v>4486</v>
          </cell>
          <cell r="AX114">
            <v>5368</v>
          </cell>
          <cell r="BE114">
            <v>6030</v>
          </cell>
          <cell r="BL114">
            <v>6100</v>
          </cell>
          <cell r="BS114">
            <v>6724.4179800000002</v>
          </cell>
          <cell r="BZ114">
            <v>6858.1592770934421</v>
          </cell>
          <cell r="CA114">
            <v>7105.0113343404146</v>
          </cell>
          <cell r="CB114">
            <v>7385.1381124132149</v>
          </cell>
          <cell r="CC114">
            <v>7700.419794757956</v>
          </cell>
          <cell r="CD114">
            <v>8058.2590173784865</v>
          </cell>
          <cell r="CE114">
            <v>8461.1719682474104</v>
          </cell>
          <cell r="CF114">
            <v>8884.2305666597804</v>
          </cell>
          <cell r="CG114">
            <v>9328.4420949927699</v>
          </cell>
          <cell r="CH114">
            <v>9794.8641997424111</v>
          </cell>
          <cell r="CI114">
            <v>10284.607409729531</v>
          </cell>
          <cell r="CJ114">
            <v>10798.837780216007</v>
          </cell>
        </row>
        <row r="115">
          <cell r="A115" t="str">
            <v>DPS ($)</v>
          </cell>
          <cell r="H115">
            <v>0.8945022288261516</v>
          </cell>
          <cell r="I115">
            <v>0</v>
          </cell>
          <cell r="J115">
            <v>0</v>
          </cell>
          <cell r="K115" t="e">
            <v>#DIV/0!</v>
          </cell>
          <cell r="L115">
            <v>0</v>
          </cell>
          <cell r="M115" t="e">
            <v>#DIV/0!</v>
          </cell>
          <cell r="N115">
            <v>0</v>
          </cell>
          <cell r="O115">
            <v>0.87832549464051179</v>
          </cell>
          <cell r="V115">
            <v>1.0992026317683126</v>
          </cell>
          <cell r="AC115">
            <v>1.4697783697073497</v>
          </cell>
          <cell r="AJ115">
            <v>1.8779342723004695</v>
          </cell>
          <cell r="AQ115">
            <v>1.9780413598483177</v>
          </cell>
          <cell r="AX115">
            <v>2.348514678216739</v>
          </cell>
          <cell r="BE115">
            <v>2.9288824304404639</v>
          </cell>
          <cell r="BL115">
            <v>2.522746071133168</v>
          </cell>
          <cell r="BS115">
            <v>2.7547800000000002</v>
          </cell>
          <cell r="BZ115">
            <v>2.8925190000000005</v>
          </cell>
          <cell r="CA115">
            <v>3.0371449500000005</v>
          </cell>
          <cell r="CB115">
            <v>3.1890021975000007</v>
          </cell>
          <cell r="CC115">
            <v>3.348452307375001</v>
          </cell>
          <cell r="CD115">
            <v>3.5158749227437514</v>
          </cell>
          <cell r="CE115">
            <v>3.691668668880939</v>
          </cell>
          <cell r="CF115">
            <v>3.8762521023249858</v>
          </cell>
          <cell r="CG115">
            <v>4.0700647074412348</v>
          </cell>
          <cell r="CH115">
            <v>4.2735679428132975</v>
          </cell>
          <cell r="CI115">
            <v>4.4872463399539626</v>
          </cell>
          <cell r="CJ115">
            <v>4.7116086569516602</v>
          </cell>
        </row>
        <row r="116">
          <cell r="A116" t="str">
            <v>growth (%)</v>
          </cell>
          <cell r="O116">
            <v>-1.8084621440092374E-2</v>
          </cell>
          <cell r="V116">
            <v>0.25147526569088519</v>
          </cell>
          <cell r="AC116">
            <v>0.33713141438069827</v>
          </cell>
          <cell r="AD116" t="e">
            <v>#DIV/0!</v>
          </cell>
          <cell r="AE116" t="e">
            <v>#DIV/0!</v>
          </cell>
          <cell r="AF116" t="e">
            <v>#DIV/0!</v>
          </cell>
          <cell r="AG116" t="e">
            <v>#DIV/0!</v>
          </cell>
          <cell r="AH116" t="e">
            <v>#DIV/0!</v>
          </cell>
          <cell r="AI116" t="e">
            <v>#DIV/0!</v>
          </cell>
          <cell r="AJ116">
            <v>0.27769894496024494</v>
          </cell>
          <cell r="AK116" t="e">
            <v>#DIV/0!</v>
          </cell>
          <cell r="AL116" t="e">
            <v>#DIV/0!</v>
          </cell>
          <cell r="AM116" t="e">
            <v>#DIV/0!</v>
          </cell>
          <cell r="AN116" t="e">
            <v>#DIV/0!</v>
          </cell>
          <cell r="AO116" t="e">
            <v>#DIV/0!</v>
          </cell>
          <cell r="AP116" t="e">
            <v>#DIV/0!</v>
          </cell>
          <cell r="AQ116">
            <v>5.3307024119229274E-2</v>
          </cell>
          <cell r="AR116" t="e">
            <v>#DIV/0!</v>
          </cell>
          <cell r="AS116" t="e">
            <v>#DIV/0!</v>
          </cell>
          <cell r="AT116" t="e">
            <v>#DIV/0!</v>
          </cell>
          <cell r="AU116" t="e">
            <v>#DIV/0!</v>
          </cell>
          <cell r="AV116" t="e">
            <v>#DIV/0!</v>
          </cell>
          <cell r="AW116" t="e">
            <v>#DIV/0!</v>
          </cell>
          <cell r="AX116">
            <v>0.18729300907885471</v>
          </cell>
          <cell r="AY116" t="e">
            <v>#DIV/0!</v>
          </cell>
          <cell r="AZ116" t="e">
            <v>#DIV/0!</v>
          </cell>
          <cell r="BA116" t="e">
            <v>#DIV/0!</v>
          </cell>
          <cell r="BB116" t="e">
            <v>#DIV/0!</v>
          </cell>
          <cell r="BC116" t="e">
            <v>#DIV/0!</v>
          </cell>
          <cell r="BD116" t="e">
            <v>#DIV/0!</v>
          </cell>
          <cell r="BE116">
            <v>0.24712119434757218</v>
          </cell>
          <cell r="BL116">
            <v>-0.13866598231674965</v>
          </cell>
          <cell r="BS116">
            <v>9.1976727868852581E-2</v>
          </cell>
          <cell r="BZ116">
            <v>5.0000000000000044E-2</v>
          </cell>
          <cell r="CA116">
            <v>5.0000000000000044E-2</v>
          </cell>
          <cell r="CB116">
            <v>5.0000000000000044E-2</v>
          </cell>
          <cell r="CC116">
            <v>5.0000000000000044E-2</v>
          </cell>
          <cell r="CD116">
            <v>5.0000000000000044E-2</v>
          </cell>
          <cell r="CE116">
            <v>5.0000000000000044E-2</v>
          </cell>
          <cell r="CF116">
            <v>5.0000000000000044E-2</v>
          </cell>
          <cell r="CG116">
            <v>4.9999999999999822E-2</v>
          </cell>
          <cell r="CH116">
            <v>5.0000000000000266E-2</v>
          </cell>
          <cell r="CI116">
            <v>5.0000000000000044E-2</v>
          </cell>
          <cell r="CJ116">
            <v>4.9999999999999822E-2</v>
          </cell>
        </row>
        <row r="117">
          <cell r="A117" t="str">
            <v>Payout Ratio</v>
          </cell>
          <cell r="H117">
            <v>0.39273066169617893</v>
          </cell>
          <cell r="O117">
            <v>0.33806302590331627</v>
          </cell>
          <cell r="V117">
            <v>0.38217122683142102</v>
          </cell>
          <cell r="AC117">
            <v>0.51319423135931264</v>
          </cell>
          <cell r="AJ117">
            <v>0.49109034267912771</v>
          </cell>
          <cell r="AQ117">
            <v>0.53404761904761899</v>
          </cell>
          <cell r="AX117">
            <v>0.54809066775576887</v>
          </cell>
          <cell r="BE117">
            <v>0.66169208822561176</v>
          </cell>
          <cell r="BL117">
            <v>0.65803667745415317</v>
          </cell>
          <cell r="BM117">
            <v>0</v>
          </cell>
          <cell r="BN117">
            <v>0</v>
          </cell>
          <cell r="BO117">
            <v>0</v>
          </cell>
          <cell r="BP117">
            <v>0</v>
          </cell>
          <cell r="BQ117">
            <v>0</v>
          </cell>
          <cell r="BR117">
            <v>0</v>
          </cell>
          <cell r="BS117">
            <v>0.73290659182561313</v>
          </cell>
          <cell r="BZ117">
            <v>0.62891529429852755</v>
          </cell>
          <cell r="CA117">
            <v>0.67667155906327792</v>
          </cell>
          <cell r="CB117">
            <v>0.66582246565679115</v>
          </cell>
          <cell r="CC117">
            <v>0.65226073142922536</v>
          </cell>
          <cell r="CD117">
            <v>0.63995998033814327</v>
          </cell>
          <cell r="CE117">
            <v>0.68369337506742756</v>
          </cell>
          <cell r="CF117">
            <v>0.71647307878284783</v>
          </cell>
          <cell r="CG117">
            <v>0.75028726950414404</v>
          </cell>
          <cell r="CH117">
            <v>0.78527652450471552</v>
          </cell>
          <cell r="CI117">
            <v>0.80259053212691533</v>
          </cell>
          <cell r="CJ117">
            <v>0.71143190967033199</v>
          </cell>
        </row>
        <row r="118">
          <cell r="A118" t="str">
            <v>Dividends declared are denominated in CHF. Geared to growth in after tax earnings. Announced in AGM Feb and paid immediately in March. Eg 1.35 for 2006 announced at FY2006</v>
          </cell>
        </row>
        <row r="120">
          <cell r="AE120" t="str">
            <v xml:space="preserve"> </v>
          </cell>
        </row>
        <row r="121">
          <cell r="A121" t="str">
            <v>Core EPS</v>
          </cell>
          <cell r="H121">
            <v>2.4300000000000002</v>
          </cell>
          <cell r="O121">
            <v>2.91</v>
          </cell>
          <cell r="V121">
            <v>3.2875900042354935</v>
          </cell>
          <cell r="W121">
            <v>0.94785315311474005</v>
          </cell>
          <cell r="X121">
            <v>0.92868137506413539</v>
          </cell>
          <cell r="Y121">
            <v>1.8765345281788754</v>
          </cell>
          <cell r="Z121">
            <v>1.0423424592361923</v>
          </cell>
          <cell r="AA121">
            <v>2.918876987415068</v>
          </cell>
          <cell r="AB121">
            <v>0.6957857769973661</v>
          </cell>
          <cell r="AC121">
            <v>3.5772252994976168</v>
          </cell>
          <cell r="AD121">
            <v>1.0709728516742201</v>
          </cell>
          <cell r="AE121">
            <v>1.0607394366197183</v>
          </cell>
          <cell r="AF121">
            <v>2.1317122882939383</v>
          </cell>
          <cell r="AG121">
            <v>1.1716012613875264</v>
          </cell>
          <cell r="AH121">
            <v>3.303313549681465</v>
          </cell>
          <cell r="AI121">
            <v>0.84377464295102078</v>
          </cell>
          <cell r="AJ121">
            <v>4.0850188249715442</v>
          </cell>
          <cell r="AK121">
            <v>0.99439285088487817</v>
          </cell>
          <cell r="AL121">
            <v>1.0488682224951746</v>
          </cell>
          <cell r="AM121">
            <v>2.0432610733800529</v>
          </cell>
          <cell r="AN121">
            <v>1.1736390687904779</v>
          </cell>
          <cell r="AO121">
            <v>3.2169001421705308</v>
          </cell>
          <cell r="AP121">
            <v>1.2647045961429135</v>
          </cell>
          <cell r="AQ121">
            <v>4.5097953087938158</v>
          </cell>
          <cell r="AR121">
            <v>1.4453073581676978</v>
          </cell>
          <cell r="AS121">
            <v>1.2025178126502603</v>
          </cell>
          <cell r="AT121">
            <v>2.6480637813211843</v>
          </cell>
          <cell r="AU121">
            <v>1.3557099777107644</v>
          </cell>
          <cell r="AV121">
            <v>4.0041148660479777</v>
          </cell>
          <cell r="AW121">
            <v>1.1442047340379071</v>
          </cell>
          <cell r="AX121">
            <v>5.1480946755917225</v>
          </cell>
          <cell r="AY121">
            <v>1.4145489476901583</v>
          </cell>
          <cell r="AZ121">
            <v>1.4766152563568151</v>
          </cell>
          <cell r="BA121">
            <v>2.8822779430514238</v>
          </cell>
          <cell r="BB121">
            <v>1.4500825082508251</v>
          </cell>
          <cell r="BC121">
            <v>4.3374052232518956</v>
          </cell>
          <cell r="BD121">
            <v>1.2335239990052227</v>
          </cell>
          <cell r="BE121">
            <v>5.5710388247639031</v>
          </cell>
          <cell r="BF121">
            <v>1.2478257268284603</v>
          </cell>
          <cell r="BG121">
            <v>1.3510945890128045</v>
          </cell>
          <cell r="BH121">
            <v>2.5999172527927183</v>
          </cell>
          <cell r="BI121">
            <v>1.3123837089104817</v>
          </cell>
          <cell r="BJ121">
            <v>3.9123061013443641</v>
          </cell>
          <cell r="BK121">
            <v>1.241694214876033</v>
          </cell>
          <cell r="BL121">
            <v>5.1542183622828786</v>
          </cell>
          <cell r="BM121">
            <v>1.3207701761573125</v>
          </cell>
          <cell r="BN121">
            <v>1.3030179445350734</v>
          </cell>
          <cell r="BO121">
            <v>2.6242845461978739</v>
          </cell>
          <cell r="BP121">
            <v>1.2575757575757576</v>
          </cell>
          <cell r="BQ121">
            <v>3.8813905930470347</v>
          </cell>
          <cell r="BR121">
            <v>1.203125</v>
          </cell>
          <cell r="BS121">
            <v>5.086439983613273</v>
          </cell>
          <cell r="BT121">
            <v>1.1837876050155178</v>
          </cell>
          <cell r="BU121">
            <v>1.3444256155265077</v>
          </cell>
          <cell r="BV121">
            <v>2.5285092062303458</v>
          </cell>
          <cell r="BW121">
            <v>1.3492726879512493</v>
          </cell>
          <cell r="BX121">
            <v>3.8774801911374674</v>
          </cell>
          <cell r="BY121">
            <v>1.3241945854854802</v>
          </cell>
          <cell r="BZ121">
            <v>5.3647375416336782</v>
          </cell>
          <cell r="CA121">
            <v>5.6654186389614241</v>
          </cell>
          <cell r="CB121">
            <v>5.9960549762800301</v>
          </cell>
          <cell r="CC121">
            <v>6.3666189777091349</v>
          </cell>
          <cell r="CD121">
            <v>6.7446182713107605</v>
          </cell>
          <cell r="CE121">
            <v>6.6538816874024489</v>
          </cell>
          <cell r="CF121">
            <v>6.6684685022647701</v>
          </cell>
          <cell r="CG121">
            <v>6.6830602886995836</v>
          </cell>
          <cell r="CH121">
            <v>6.7006106971651667</v>
          </cell>
          <cell r="CI121">
            <v>6.6181538462955096</v>
          </cell>
          <cell r="CJ121">
            <v>6.8533337384124033</v>
          </cell>
          <cell r="CL121" t="str">
            <v>mstag:adjEpsForConsensus~NOVN.VX</v>
          </cell>
          <cell r="CM121">
            <v>0</v>
          </cell>
          <cell r="CN121" t="str">
            <v>ISO4217:USD</v>
          </cell>
          <cell r="CO121" t="b">
            <v>0</v>
          </cell>
        </row>
        <row r="122">
          <cell r="A122" t="str">
            <v>growth (%)</v>
          </cell>
          <cell r="O122">
            <v>0.19753086419753085</v>
          </cell>
          <cell r="V122">
            <v>0.1297560152012005</v>
          </cell>
          <cell r="AC122">
            <v>8.8099578989161653E-2</v>
          </cell>
          <cell r="AD122">
            <v>0.12989322043704377</v>
          </cell>
          <cell r="AE122">
            <v>0.14219953700101162</v>
          </cell>
          <cell r="AF122">
            <v>0.13598351444282009</v>
          </cell>
          <cell r="AG122">
            <v>0.12400799852867195</v>
          </cell>
          <cell r="AH122">
            <v>0.13170701058109713</v>
          </cell>
          <cell r="AI122">
            <v>0.21269314614664059</v>
          </cell>
          <cell r="AJ122">
            <v>0.14195178747764126</v>
          </cell>
          <cell r="AK122">
            <v>-7.1505081262915882E-2</v>
          </cell>
          <cell r="AL122">
            <v>-1.1191451656001328E-2</v>
          </cell>
          <cell r="AM122">
            <v>-4.1493036091036051E-2</v>
          </cell>
          <cell r="AN122">
            <v>1.739335275670495E-3</v>
          </cell>
          <cell r="AO122">
            <v>-2.6159614039444445E-2</v>
          </cell>
          <cell r="AP122">
            <v>0.49886537443188694</v>
          </cell>
          <cell r="AQ122">
            <v>0.1039839721730611</v>
          </cell>
          <cell r="AR122">
            <v>0.45345710890978896</v>
          </cell>
          <cell r="AS122">
            <v>0.14649084304371951</v>
          </cell>
          <cell r="AT122">
            <v>0.29599874231472523</v>
          </cell>
          <cell r="AU122">
            <v>0.15513364692939557</v>
          </cell>
          <cell r="AV122">
            <v>0.24471220401211813</v>
          </cell>
          <cell r="AW122">
            <v>-9.527905763330502E-2</v>
          </cell>
          <cell r="AX122">
            <v>0.14153621685517814</v>
          </cell>
          <cell r="AY122">
            <v>-2.1281570528039029E-2</v>
          </cell>
          <cell r="AZ122">
            <v>0.22793628570246649</v>
          </cell>
          <cell r="BA122">
            <v>8.8447326451247532E-2</v>
          </cell>
          <cell r="BB122">
            <v>6.9611149944781792E-2</v>
          </cell>
          <cell r="BC122">
            <v>8.3236962063696351E-2</v>
          </cell>
          <cell r="BD122">
            <v>7.8062310275633262E-2</v>
          </cell>
          <cell r="BE122">
            <v>8.2155472232757099E-2</v>
          </cell>
          <cell r="BF122">
            <v>-0.11786316842124356</v>
          </cell>
          <cell r="BG122">
            <v>-8.5005668743868945E-2</v>
          </cell>
          <cell r="BH122">
            <v>-9.7964421141069624E-2</v>
          </cell>
          <cell r="BI122">
            <v>-9.495928580398072E-2</v>
          </cell>
          <cell r="BJ122">
            <v>-9.800770276861992E-2</v>
          </cell>
          <cell r="BK122">
            <v>6.6234754065581658E-3</v>
          </cell>
          <cell r="BL122">
            <v>-7.4819163102617381E-2</v>
          </cell>
          <cell r="BM122">
            <v>5.8457241071837585E-2</v>
          </cell>
          <cell r="BN122">
            <v>-3.5583477921304563E-2</v>
          </cell>
          <cell r="BO122">
            <v>9.3723342075526794E-3</v>
          </cell>
          <cell r="BP122">
            <v>-0.51630162220550513</v>
          </cell>
          <cell r="BQ122">
            <v>-7.9021189795721591E-3</v>
          </cell>
          <cell r="BR122">
            <v>-8.3252106962822925E-2</v>
          </cell>
          <cell r="BS122">
            <v>-1.3150079004333404E-2</v>
          </cell>
          <cell r="BT122">
            <v>-0.10371416133905731</v>
          </cell>
          <cell r="BU122">
            <v>3.1778281461970925E-2</v>
          </cell>
          <cell r="BV122">
            <v>-3.6495790864709998E-2</v>
          </cell>
          <cell r="BW122">
            <v>7.291563138292112E-2</v>
          </cell>
          <cell r="BX122">
            <v>-1.0074744645829359E-3</v>
          </cell>
          <cell r="BY122">
            <v>0.10062926585806142</v>
          </cell>
          <cell r="BZ122">
            <v>5.4713622674598117E-2</v>
          </cell>
          <cell r="CA122">
            <v>5.6047680803445576E-2</v>
          </cell>
          <cell r="CB122">
            <v>5.8360442253075462E-2</v>
          </cell>
          <cell r="CC122">
            <v>6.1801301504911033E-2</v>
          </cell>
          <cell r="CD122">
            <v>5.9372061517279473E-2</v>
          </cell>
          <cell r="CE122">
            <v>-1.3453183005815661E-2</v>
          </cell>
          <cell r="CF122">
            <v>2.1922263646403373E-3</v>
          </cell>
          <cell r="CG122">
            <v>2.1881765550602061E-3</v>
          </cell>
          <cell r="CH122">
            <v>2.626103567441973E-3</v>
          </cell>
          <cell r="CI122">
            <v>-1.2305871001361379E-2</v>
          </cell>
          <cell r="CJ122">
            <v>3.5535573451278335E-2</v>
          </cell>
        </row>
        <row r="123">
          <cell r="A123" t="str">
            <v xml:space="preserve">CER growth </v>
          </cell>
          <cell r="BG123">
            <v>-0.03</v>
          </cell>
          <cell r="BH123">
            <v>-0.05</v>
          </cell>
          <cell r="BI123">
            <v>-0.06</v>
          </cell>
          <cell r="BJ123">
            <v>-0.05</v>
          </cell>
          <cell r="BM123">
            <v>0.09</v>
          </cell>
          <cell r="BN123">
            <v>0.01</v>
          </cell>
          <cell r="BO123">
            <v>0.05</v>
          </cell>
          <cell r="BP123">
            <v>0.01</v>
          </cell>
          <cell r="BQ123">
            <v>-0.05</v>
          </cell>
          <cell r="BS123">
            <v>0.04</v>
          </cell>
        </row>
        <row r="124">
          <cell r="A124" t="str">
            <v>diff versus EPS</v>
          </cell>
          <cell r="H124">
            <v>6.6890027958993681E-2</v>
          </cell>
          <cell r="O124">
            <v>0.1200442334664249</v>
          </cell>
          <cell r="V124">
            <v>0.13416535421198561</v>
          </cell>
          <cell r="AC124">
            <v>0.27189623068206914</v>
          </cell>
          <cell r="AD124">
            <v>5.4922215973629118E-2</v>
          </cell>
          <cell r="AE124">
            <v>6.6290090877861418E-2</v>
          </cell>
          <cell r="AF124">
            <v>6.0548407802696103E-2</v>
          </cell>
          <cell r="AG124">
            <v>0.27229715876913052</v>
          </cell>
          <cell r="AH124">
            <v>0.12707823492184001</v>
          </cell>
          <cell r="AI124">
            <v>0.27659665251821441</v>
          </cell>
          <cell r="AJ124">
            <v>0.13731142290275589</v>
          </cell>
          <cell r="AK124">
            <v>0.14841730928646557</v>
          </cell>
          <cell r="AL124">
            <v>0.16653732087141471</v>
          </cell>
          <cell r="AM124">
            <v>0.15764798341902564</v>
          </cell>
          <cell r="AN124">
            <v>0.26885039839397606</v>
          </cell>
          <cell r="AO124">
            <v>0.19588556353666098</v>
          </cell>
          <cell r="AP124">
            <v>0.24703713931176319</v>
          </cell>
          <cell r="AQ124">
            <v>0.21759104533493989</v>
          </cell>
          <cell r="AR124">
            <v>0.12308216842823061</v>
          </cell>
          <cell r="AS124">
            <v>0.13818783616052954</v>
          </cell>
          <cell r="AT124">
            <v>0.12990654205607477</v>
          </cell>
          <cell r="AU124">
            <v>0.36351648351648347</v>
          </cell>
          <cell r="AV124">
            <v>0.19960655737704935</v>
          </cell>
          <cell r="AW124">
            <v>0.20792992162286761</v>
          </cell>
          <cell r="AX124">
            <v>0.2014498672656726</v>
          </cell>
          <cell r="BE124">
            <v>0.45649072753209685</v>
          </cell>
          <cell r="BL124">
            <v>0.34443365695792894</v>
          </cell>
          <cell r="BS124">
            <v>0.3532425068119891</v>
          </cell>
          <cell r="BT124">
            <v>-7.5466575819070902E-2</v>
          </cell>
          <cell r="BU124">
            <v>0.25869022010618559</v>
          </cell>
          <cell r="BV124">
            <v>7.6813730972708383E-2</v>
          </cell>
          <cell r="BW124">
            <v>0.25954799750751323</v>
          </cell>
          <cell r="BX124">
            <v>0.13408157135778387</v>
          </cell>
          <cell r="BY124">
            <v>0.27234931542625351</v>
          </cell>
          <cell r="BZ124">
            <v>0.16644540272022512</v>
          </cell>
          <cell r="CA124">
            <v>0.26224718486754495</v>
          </cell>
          <cell r="CB124">
            <v>0.25189882642608019</v>
          </cell>
          <cell r="CC124">
            <v>0.24018357435923221</v>
          </cell>
          <cell r="CD124">
            <v>0.22765623668089208</v>
          </cell>
          <cell r="CE124">
            <v>0.23229228736243557</v>
          </cell>
          <cell r="CF124">
            <v>0.23257673455200778</v>
          </cell>
          <cell r="CG124">
            <v>0.23197428452982005</v>
          </cell>
          <cell r="CH124">
            <v>0.23125040966708177</v>
          </cell>
          <cell r="CI124">
            <v>0.18372543310171818</v>
          </cell>
          <cell r="CJ124">
            <v>3.4822852261533921E-2</v>
          </cell>
        </row>
        <row r="126">
          <cell r="A126" t="str">
            <v>Consensus EPS (Core)</v>
          </cell>
          <cell r="BS126">
            <v>5.123185578975364</v>
          </cell>
          <cell r="BZ126">
            <v>5.27</v>
          </cell>
          <cell r="CA126">
            <v>5.64</v>
          </cell>
          <cell r="CB126">
            <v>5.96</v>
          </cell>
          <cell r="CC126">
            <v>6.39</v>
          </cell>
          <cell r="CD126">
            <v>6.83</v>
          </cell>
          <cell r="CL126" t="str">
            <v>mstag:tag017</v>
          </cell>
          <cell r="CM126">
            <v>6</v>
          </cell>
          <cell r="CN126" t="str">
            <v>ISO4217:USD</v>
          </cell>
          <cell r="CO126" t="b">
            <v>0</v>
          </cell>
        </row>
        <row r="127">
          <cell r="A127" t="str">
            <v>MS vs. consensus EPS (Core)</v>
          </cell>
          <cell r="BS127">
            <v>-7.1724115388066556E-3</v>
          </cell>
          <cell r="BZ127">
            <v>1.7976763118345174E-2</v>
          </cell>
          <cell r="CA127">
            <v>4.5068508796852758E-3</v>
          </cell>
          <cell r="CB127">
            <v>6.0494926644345526E-3</v>
          </cell>
          <cell r="CC127">
            <v>-3.6590019234530313E-3</v>
          </cell>
          <cell r="CD127">
            <v>-1.2500985166799317E-2</v>
          </cell>
        </row>
        <row r="129">
          <cell r="A129" t="str">
            <v>Intangible amortisation</v>
          </cell>
          <cell r="H129">
            <v>435</v>
          </cell>
          <cell r="O129">
            <v>861</v>
          </cell>
          <cell r="V129">
            <v>934</v>
          </cell>
          <cell r="AC129">
            <v>1570</v>
          </cell>
          <cell r="AJ129">
            <v>1439</v>
          </cell>
          <cell r="AQ129">
            <v>1051</v>
          </cell>
          <cell r="AX129">
            <v>2046</v>
          </cell>
          <cell r="BE129">
            <v>3647</v>
          </cell>
          <cell r="BL129">
            <v>3177</v>
          </cell>
          <cell r="BS129">
            <v>3090</v>
          </cell>
          <cell r="BZ129">
            <v>2843.2</v>
          </cell>
          <cell r="CA129">
            <v>2843.41</v>
          </cell>
          <cell r="CB129">
            <v>2843.6305000000002</v>
          </cell>
          <cell r="CC129">
            <v>2843.8620249999999</v>
          </cell>
          <cell r="CD129">
            <v>2844.10512625</v>
          </cell>
          <cell r="CE129">
            <v>2844.3603825625</v>
          </cell>
          <cell r="CF129">
            <v>2844.6284016906247</v>
          </cell>
          <cell r="CG129">
            <v>2844.9098217751562</v>
          </cell>
          <cell r="CH129">
            <v>2845.2053128639141</v>
          </cell>
          <cell r="CI129">
            <v>2206.5155785071097</v>
          </cell>
          <cell r="CJ129">
            <v>6.8413574324652568</v>
          </cell>
        </row>
        <row r="130">
          <cell r="A130" t="str">
            <v>EBITA</v>
          </cell>
          <cell r="O130">
            <v>7663</v>
          </cell>
          <cell r="P130">
            <v>1974</v>
          </cell>
          <cell r="Q130">
            <v>1964</v>
          </cell>
          <cell r="R130">
            <v>3938</v>
          </cell>
          <cell r="S130">
            <v>1979</v>
          </cell>
          <cell r="T130">
            <v>5917</v>
          </cell>
          <cell r="U130">
            <v>1725</v>
          </cell>
          <cell r="V130">
            <v>8576</v>
          </cell>
          <cell r="W130">
            <v>2335</v>
          </cell>
          <cell r="X130">
            <v>2097</v>
          </cell>
          <cell r="Y130">
            <v>4432</v>
          </cell>
          <cell r="Z130">
            <v>1452</v>
          </cell>
          <cell r="AA130">
            <v>5884</v>
          </cell>
          <cell r="AB130">
            <v>897</v>
          </cell>
          <cell r="AC130">
            <v>8351</v>
          </cell>
          <cell r="AD130">
            <v>2488</v>
          </cell>
          <cell r="AE130">
            <v>2461</v>
          </cell>
          <cell r="AF130">
            <v>4949</v>
          </cell>
          <cell r="AG130">
            <v>2349</v>
          </cell>
          <cell r="AH130">
            <v>7298</v>
          </cell>
          <cell r="AI130">
            <v>1680</v>
          </cell>
          <cell r="AJ130">
            <v>10403</v>
          </cell>
          <cell r="AQ130">
            <v>11033</v>
          </cell>
          <cell r="AX130">
            <v>13572</v>
          </cell>
          <cell r="BE130">
            <v>14645</v>
          </cell>
          <cell r="BL130">
            <v>14370</v>
          </cell>
          <cell r="BS130">
            <v>14000</v>
          </cell>
          <cell r="BZ130">
            <v>15645.133633023201</v>
          </cell>
          <cell r="CA130">
            <v>15088.051697490875</v>
          </cell>
          <cell r="CB130">
            <v>15690.715384084819</v>
          </cell>
          <cell r="CC130">
            <v>16429.289889067506</v>
          </cell>
          <cell r="CD130">
            <v>17267.781328375942</v>
          </cell>
          <cell r="CE130">
            <v>16981.425432753709</v>
          </cell>
          <cell r="CF130">
            <v>16977.335111762779</v>
          </cell>
          <cell r="CG130">
            <v>17005.245238756695</v>
          </cell>
          <cell r="CH130">
            <v>17043.587428040733</v>
          </cell>
          <cell r="CI130">
            <v>16798.240375271369</v>
          </cell>
          <cell r="CJ130">
            <v>17359.443039288533</v>
          </cell>
        </row>
        <row r="132">
          <cell r="A132" t="str">
            <v>Consensus (Core) EPS</v>
          </cell>
          <cell r="BS132">
            <v>5.123185578975364</v>
          </cell>
          <cell r="BZ132">
            <v>5.27</v>
          </cell>
          <cell r="CA132">
            <v>5.64</v>
          </cell>
          <cell r="CB132">
            <v>5.96</v>
          </cell>
          <cell r="CC132">
            <v>6.39</v>
          </cell>
          <cell r="CD132">
            <v>6.83</v>
          </cell>
          <cell r="CL132" t="str">
            <v>mstag:tag017</v>
          </cell>
          <cell r="CM132">
            <v>6</v>
          </cell>
          <cell r="CN132" t="str">
            <v>ISO4217:USD</v>
          </cell>
          <cell r="CO132" t="b">
            <v>0</v>
          </cell>
        </row>
        <row r="136">
          <cell r="A136" t="str">
            <v>Notes:</v>
          </cell>
        </row>
        <row r="137">
          <cell r="A137" t="str">
            <v>E= Morgan Stanley Research Estimate</v>
          </cell>
          <cell r="AX137">
            <v>0.27666719342604296</v>
          </cell>
          <cell r="AY137">
            <v>0.28599945817232975</v>
          </cell>
          <cell r="AZ137">
            <v>0.28396154310310145</v>
          </cell>
          <cell r="BA137">
            <v>0.2849492087623523</v>
          </cell>
          <cell r="BB137">
            <v>0.27703294482247526</v>
          </cell>
          <cell r="BC137">
            <v>0.28226561607856571</v>
          </cell>
          <cell r="BD137">
            <v>0.24017319531831405</v>
          </cell>
          <cell r="BE137">
            <v>0.27164224976949081</v>
          </cell>
          <cell r="BF137">
            <v>0.26261376046596285</v>
          </cell>
          <cell r="BG137">
            <v>0.26784590645319162</v>
          </cell>
          <cell r="BH137">
            <v>0.26528283044439688</v>
          </cell>
          <cell r="BI137">
            <v>0.2759469834142102</v>
          </cell>
          <cell r="BJ137">
            <v>0.26880152945393715</v>
          </cell>
          <cell r="BK137">
            <v>0.24237253844078771</v>
          </cell>
          <cell r="BL137">
            <v>0.2618866126727013</v>
          </cell>
          <cell r="BM137">
            <v>0.26498287671232879</v>
          </cell>
          <cell r="BN137">
            <v>0.25918001104362232</v>
          </cell>
          <cell r="BO137">
            <v>0.26203339882121807</v>
          </cell>
          <cell r="BP137">
            <v>0.25254568280094852</v>
          </cell>
          <cell r="BQ137">
            <v>0.25885812987255497</v>
          </cell>
          <cell r="BR137">
            <v>0.22516248839368616</v>
          </cell>
        </row>
        <row r="138">
          <cell r="A138" t="str">
            <v>Source: Morgan Stanley Research</v>
          </cell>
        </row>
        <row r="140">
          <cell r="A140" t="str">
            <v>Core EPS (as of 4Q09)</v>
          </cell>
        </row>
        <row r="141">
          <cell r="A141" t="str">
            <v>Reported operating income</v>
          </cell>
          <cell r="H141">
            <v>6152</v>
          </cell>
          <cell r="I141">
            <v>1651</v>
          </cell>
          <cell r="J141">
            <v>1821</v>
          </cell>
          <cell r="K141">
            <v>3472</v>
          </cell>
          <cell r="L141">
            <v>1859</v>
          </cell>
          <cell r="M141">
            <v>5331</v>
          </cell>
          <cell r="N141">
            <v>1471</v>
          </cell>
          <cell r="O141">
            <v>6802</v>
          </cell>
          <cell r="P141">
            <v>1974</v>
          </cell>
          <cell r="Q141">
            <v>1964</v>
          </cell>
          <cell r="R141">
            <v>3938</v>
          </cell>
          <cell r="S141">
            <v>1979</v>
          </cell>
          <cell r="T141">
            <v>5917</v>
          </cell>
          <cell r="U141">
            <v>1725</v>
          </cell>
          <cell r="V141">
            <v>7642</v>
          </cell>
          <cell r="W141">
            <v>2335</v>
          </cell>
          <cell r="X141">
            <v>2097</v>
          </cell>
          <cell r="Y141">
            <v>4432</v>
          </cell>
          <cell r="Z141">
            <v>1452</v>
          </cell>
          <cell r="AA141">
            <v>5884</v>
          </cell>
          <cell r="AB141">
            <v>897</v>
          </cell>
          <cell r="AC141">
            <v>6781</v>
          </cell>
          <cell r="AD141">
            <v>2488</v>
          </cell>
          <cell r="AE141">
            <v>2461</v>
          </cell>
          <cell r="AF141">
            <v>4949</v>
          </cell>
          <cell r="AG141">
            <v>2349</v>
          </cell>
          <cell r="AH141">
            <v>7298</v>
          </cell>
          <cell r="AI141">
            <v>1680</v>
          </cell>
          <cell r="AJ141">
            <v>8964</v>
          </cell>
          <cell r="AK141">
            <v>2347</v>
          </cell>
          <cell r="AL141">
            <v>2364</v>
          </cell>
          <cell r="AM141">
            <v>4711</v>
          </cell>
          <cell r="AN141">
            <v>2634</v>
          </cell>
          <cell r="AO141">
            <v>7345</v>
          </cell>
          <cell r="AP141">
            <v>2637</v>
          </cell>
          <cell r="AQ141">
            <v>9982</v>
          </cell>
          <cell r="AR141">
            <v>3511</v>
          </cell>
          <cell r="AS141">
            <v>2961</v>
          </cell>
          <cell r="AT141">
            <v>6472</v>
          </cell>
          <cell r="AU141">
            <v>2587</v>
          </cell>
          <cell r="AV141">
            <v>9059</v>
          </cell>
          <cell r="AW141">
            <v>2467</v>
          </cell>
          <cell r="AX141">
            <v>11526</v>
          </cell>
          <cell r="AY141">
            <v>3407.6000000000004</v>
          </cell>
          <cell r="AZ141">
            <v>3322.3999999999996</v>
          </cell>
          <cell r="BA141">
            <v>6730</v>
          </cell>
          <cell r="BB141">
            <v>2951</v>
          </cell>
          <cell r="BC141">
            <v>9681</v>
          </cell>
          <cell r="BD141">
            <v>1317</v>
          </cell>
          <cell r="BE141">
            <v>10998</v>
          </cell>
          <cell r="BF141">
            <v>2736</v>
          </cell>
          <cell r="BG141">
            <v>3108</v>
          </cell>
          <cell r="BH141">
            <v>5844</v>
          </cell>
          <cell r="BI141">
            <v>2948</v>
          </cell>
          <cell r="BJ141">
            <v>8792</v>
          </cell>
          <cell r="BK141">
            <v>2401</v>
          </cell>
          <cell r="BL141">
            <v>11193</v>
          </cell>
          <cell r="BM141">
            <v>2896</v>
          </cell>
          <cell r="BN141">
            <v>2970</v>
          </cell>
          <cell r="BO141">
            <v>5866</v>
          </cell>
          <cell r="BP141">
            <v>2671</v>
          </cell>
          <cell r="BQ141">
            <v>8537</v>
          </cell>
          <cell r="BR141">
            <v>2373</v>
          </cell>
          <cell r="BS141">
            <v>10910</v>
          </cell>
          <cell r="BT141">
            <v>3662.64606722604</v>
          </cell>
          <cell r="BU141">
            <v>3068.5819042586772</v>
          </cell>
          <cell r="BV141">
            <v>6731.2279714847173</v>
          </cell>
          <cell r="BW141">
            <v>3073.4408963281448</v>
          </cell>
          <cell r="BX141">
            <v>9804.668867812863</v>
          </cell>
          <cell r="BY141">
            <v>2997.2647652103251</v>
          </cell>
          <cell r="BZ141">
            <v>12801.9336330232</v>
          </cell>
          <cell r="CA141">
            <v>12244.641697490875</v>
          </cell>
          <cell r="CB141">
            <v>12847.084884084819</v>
          </cell>
          <cell r="CC141">
            <v>13585.427864067507</v>
          </cell>
          <cell r="CD141">
            <v>14423.676202125942</v>
          </cell>
          <cell r="CE141">
            <v>14137.06505019121</v>
          </cell>
          <cell r="CF141">
            <v>14132.706710072154</v>
          </cell>
          <cell r="CG141">
            <v>14160.335416981539</v>
          </cell>
          <cell r="CH141">
            <v>14198.382115176821</v>
          </cell>
          <cell r="CI141">
            <v>14591.724796764258</v>
          </cell>
          <cell r="CJ141">
            <v>17352.601681856067</v>
          </cell>
        </row>
        <row r="142">
          <cell r="A142" t="str">
            <v>Recurring amortisation</v>
          </cell>
          <cell r="AR142">
            <v>270</v>
          </cell>
          <cell r="AS142">
            <v>266</v>
          </cell>
          <cell r="AT142">
            <v>536</v>
          </cell>
          <cell r="AU142">
            <v>270</v>
          </cell>
          <cell r="AV142">
            <v>806</v>
          </cell>
          <cell r="AW142">
            <v>278</v>
          </cell>
          <cell r="AX142">
            <v>1084</v>
          </cell>
          <cell r="AY142">
            <v>789</v>
          </cell>
          <cell r="AZ142">
            <v>744</v>
          </cell>
          <cell r="BA142">
            <v>1533</v>
          </cell>
          <cell r="BB142">
            <v>761</v>
          </cell>
          <cell r="BC142">
            <v>2294</v>
          </cell>
          <cell r="BD142">
            <v>742</v>
          </cell>
          <cell r="BE142">
            <v>3036</v>
          </cell>
          <cell r="BF142">
            <v>714</v>
          </cell>
          <cell r="BG142">
            <v>711</v>
          </cell>
          <cell r="BH142">
            <v>1425</v>
          </cell>
          <cell r="BI142">
            <v>720</v>
          </cell>
          <cell r="BJ142">
            <v>2145</v>
          </cell>
          <cell r="BK142">
            <v>731</v>
          </cell>
          <cell r="BL142">
            <v>2876</v>
          </cell>
          <cell r="BM142">
            <v>722</v>
          </cell>
          <cell r="BN142">
            <v>738</v>
          </cell>
          <cell r="BO142">
            <v>1460</v>
          </cell>
          <cell r="BP142">
            <v>739</v>
          </cell>
          <cell r="BQ142">
            <v>2199</v>
          </cell>
          <cell r="BR142">
            <v>756</v>
          </cell>
          <cell r="BS142">
            <v>2955</v>
          </cell>
          <cell r="BT142">
            <v>693.55</v>
          </cell>
          <cell r="BU142">
            <v>707.55</v>
          </cell>
          <cell r="BV142">
            <v>1401.1</v>
          </cell>
          <cell r="BW142">
            <v>711.55</v>
          </cell>
          <cell r="BX142">
            <v>2112.6499999999996</v>
          </cell>
          <cell r="BY142">
            <v>730.55</v>
          </cell>
          <cell r="BZ142">
            <v>2843.2</v>
          </cell>
          <cell r="CA142">
            <v>2843.41</v>
          </cell>
          <cell r="CB142">
            <v>2843.6305000000002</v>
          </cell>
          <cell r="CC142">
            <v>2843.8620249999999</v>
          </cell>
          <cell r="CD142">
            <v>2844.10512625</v>
          </cell>
          <cell r="CE142">
            <v>2844.3603825625</v>
          </cell>
          <cell r="CF142">
            <v>2844.6284016906247</v>
          </cell>
          <cell r="CG142">
            <v>2844.9098217751562</v>
          </cell>
          <cell r="CH142">
            <v>2845.2053128639141</v>
          </cell>
          <cell r="CI142">
            <v>2206.5155785071097</v>
          </cell>
          <cell r="CJ142">
            <v>6.8413574324652568</v>
          </cell>
        </row>
        <row r="143">
          <cell r="A143" t="str">
            <v>Impairment of intangible assets</v>
          </cell>
          <cell r="AR143">
            <v>65</v>
          </cell>
          <cell r="AS143">
            <v>82</v>
          </cell>
          <cell r="AT143">
            <v>147</v>
          </cell>
          <cell r="AU143">
            <v>618</v>
          </cell>
          <cell r="AV143">
            <v>765</v>
          </cell>
          <cell r="AW143">
            <v>210</v>
          </cell>
          <cell r="AX143">
            <v>975</v>
          </cell>
          <cell r="AY143">
            <v>0</v>
          </cell>
          <cell r="AZ143">
            <v>204</v>
          </cell>
          <cell r="BA143">
            <v>204</v>
          </cell>
          <cell r="BB143">
            <v>215</v>
          </cell>
          <cell r="BC143">
            <v>419</v>
          </cell>
          <cell r="BD143">
            <v>781</v>
          </cell>
          <cell r="BE143">
            <v>1200</v>
          </cell>
          <cell r="BF143">
            <v>2</v>
          </cell>
          <cell r="BG143">
            <v>63</v>
          </cell>
          <cell r="BH143">
            <v>65</v>
          </cell>
          <cell r="BI143">
            <v>91</v>
          </cell>
          <cell r="BJ143">
            <v>156</v>
          </cell>
          <cell r="BK143">
            <v>201.9</v>
          </cell>
          <cell r="BL143">
            <v>357.9</v>
          </cell>
          <cell r="BM143">
            <v>38</v>
          </cell>
          <cell r="BN143">
            <v>89</v>
          </cell>
          <cell r="BO143">
            <v>127</v>
          </cell>
          <cell r="BP143">
            <v>20</v>
          </cell>
          <cell r="BQ143">
            <v>147</v>
          </cell>
          <cell r="BR143">
            <v>111</v>
          </cell>
          <cell r="BS143">
            <v>258</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row>
        <row r="144">
          <cell r="A144" t="str">
            <v>Intangible Asset charges</v>
          </cell>
          <cell r="H144">
            <v>448</v>
          </cell>
          <cell r="O144">
            <v>882</v>
          </cell>
          <cell r="V144">
            <v>936</v>
          </cell>
          <cell r="W144">
            <v>273</v>
          </cell>
          <cell r="X144">
            <v>277</v>
          </cell>
          <cell r="Y144">
            <v>550</v>
          </cell>
          <cell r="Z144">
            <v>640</v>
          </cell>
          <cell r="AA144">
            <v>1190</v>
          </cell>
          <cell r="AB144">
            <v>383</v>
          </cell>
          <cell r="AC144">
            <v>1573</v>
          </cell>
          <cell r="AD144">
            <v>307</v>
          </cell>
          <cell r="AE144">
            <v>301</v>
          </cell>
          <cell r="AF144">
            <v>608</v>
          </cell>
          <cell r="AG144">
            <v>539</v>
          </cell>
          <cell r="AH144">
            <v>1147</v>
          </cell>
          <cell r="AI144">
            <v>292</v>
          </cell>
          <cell r="AJ144">
            <v>1439</v>
          </cell>
          <cell r="AK144">
            <v>258</v>
          </cell>
          <cell r="AL144">
            <v>264</v>
          </cell>
          <cell r="AM144">
            <v>522</v>
          </cell>
          <cell r="AN144">
            <v>293</v>
          </cell>
          <cell r="AO144">
            <v>815</v>
          </cell>
          <cell r="AP144">
            <v>284</v>
          </cell>
          <cell r="AQ144">
            <v>1099</v>
          </cell>
          <cell r="AR144">
            <v>335</v>
          </cell>
          <cell r="AS144">
            <v>348</v>
          </cell>
          <cell r="AT144">
            <v>683</v>
          </cell>
          <cell r="AU144">
            <v>888</v>
          </cell>
          <cell r="AV144">
            <v>1571</v>
          </cell>
          <cell r="AW144">
            <v>488</v>
          </cell>
          <cell r="AX144">
            <v>2059</v>
          </cell>
          <cell r="AY144">
            <v>789</v>
          </cell>
          <cell r="AZ144">
            <v>948</v>
          </cell>
          <cell r="BA144">
            <v>1737</v>
          </cell>
          <cell r="BB144">
            <v>976</v>
          </cell>
          <cell r="BC144">
            <v>2713</v>
          </cell>
          <cell r="BD144">
            <v>1523</v>
          </cell>
          <cell r="BE144">
            <v>4236</v>
          </cell>
          <cell r="BF144">
            <v>716</v>
          </cell>
          <cell r="BG144">
            <v>774</v>
          </cell>
          <cell r="BH144">
            <v>1490</v>
          </cell>
          <cell r="BI144">
            <v>811</v>
          </cell>
          <cell r="BJ144">
            <v>2301</v>
          </cell>
          <cell r="BK144">
            <v>932.9</v>
          </cell>
          <cell r="BL144">
            <v>3233.9</v>
          </cell>
          <cell r="BM144">
            <v>760</v>
          </cell>
          <cell r="BN144">
            <v>827</v>
          </cell>
          <cell r="BO144">
            <v>1587</v>
          </cell>
          <cell r="BP144">
            <v>759</v>
          </cell>
          <cell r="BQ144">
            <v>2346</v>
          </cell>
          <cell r="BR144">
            <v>867</v>
          </cell>
          <cell r="BS144">
            <v>3213</v>
          </cell>
          <cell r="BT144">
            <v>693.55</v>
          </cell>
          <cell r="BU144">
            <v>707.55</v>
          </cell>
          <cell r="BV144">
            <v>1401.1</v>
          </cell>
          <cell r="BW144">
            <v>711.55</v>
          </cell>
          <cell r="BX144">
            <v>2112.6499999999996</v>
          </cell>
          <cell r="BY144">
            <v>730.55</v>
          </cell>
          <cell r="BZ144">
            <v>2843.2</v>
          </cell>
          <cell r="CA144">
            <v>2843.41</v>
          </cell>
          <cell r="CB144">
            <v>2843.6305000000002</v>
          </cell>
          <cell r="CC144">
            <v>2843.8620249999999</v>
          </cell>
          <cell r="CD144">
            <v>2844.10512625</v>
          </cell>
          <cell r="CE144">
            <v>2844.3603825625</v>
          </cell>
          <cell r="CF144">
            <v>2844.6284016906247</v>
          </cell>
          <cell r="CG144">
            <v>2844.9098217751562</v>
          </cell>
          <cell r="CH144">
            <v>2845.2053128639141</v>
          </cell>
          <cell r="CI144">
            <v>2206.5155785071097</v>
          </cell>
          <cell r="CJ144">
            <v>6.8413574324652568</v>
          </cell>
          <cell r="CL144" t="str">
            <v>mstag:assetImpairmentNonGoodwillOneTimeIncomeStatement</v>
          </cell>
          <cell r="CM144">
            <v>6</v>
          </cell>
          <cell r="CN144" t="str">
            <v>ISO4217:USD</v>
          </cell>
          <cell r="CO144" t="b">
            <v>0</v>
          </cell>
        </row>
        <row r="145">
          <cell r="A145" t="str">
            <v>Acquisition integration expenses</v>
          </cell>
          <cell r="V145">
            <v>440</v>
          </cell>
          <cell r="W145">
            <v>7</v>
          </cell>
          <cell r="X145">
            <v>9</v>
          </cell>
          <cell r="Y145">
            <v>16</v>
          </cell>
          <cell r="Z145">
            <v>3</v>
          </cell>
          <cell r="AA145">
            <v>19</v>
          </cell>
          <cell r="AB145">
            <v>13</v>
          </cell>
          <cell r="AC145">
            <v>34</v>
          </cell>
          <cell r="AD145">
            <v>0</v>
          </cell>
          <cell r="AE145">
            <v>11</v>
          </cell>
          <cell r="AF145">
            <v>11</v>
          </cell>
          <cell r="AG145">
            <v>6</v>
          </cell>
          <cell r="AH145">
            <v>17</v>
          </cell>
          <cell r="AI145">
            <v>-43</v>
          </cell>
          <cell r="AJ145">
            <v>-26</v>
          </cell>
          <cell r="AM145">
            <v>0</v>
          </cell>
          <cell r="AO145">
            <v>0</v>
          </cell>
          <cell r="AQ145">
            <v>0</v>
          </cell>
          <cell r="AR145">
            <v>4</v>
          </cell>
          <cell r="AS145">
            <v>0</v>
          </cell>
          <cell r="AT145">
            <v>4</v>
          </cell>
          <cell r="AU145">
            <v>210</v>
          </cell>
          <cell r="AV145">
            <v>214</v>
          </cell>
          <cell r="AW145">
            <v>386</v>
          </cell>
          <cell r="AX145">
            <v>600</v>
          </cell>
          <cell r="AY145">
            <v>2</v>
          </cell>
          <cell r="AZ145">
            <v>84</v>
          </cell>
          <cell r="BA145">
            <v>86</v>
          </cell>
          <cell r="BB145">
            <v>77</v>
          </cell>
          <cell r="BC145">
            <v>163</v>
          </cell>
          <cell r="BD145">
            <v>61</v>
          </cell>
          <cell r="BE145">
            <v>224</v>
          </cell>
          <cell r="BF145">
            <v>57</v>
          </cell>
          <cell r="BG145">
            <v>72</v>
          </cell>
          <cell r="BH145">
            <v>129</v>
          </cell>
          <cell r="BI145">
            <v>96</v>
          </cell>
          <cell r="BJ145">
            <v>225</v>
          </cell>
          <cell r="BK145">
            <v>105</v>
          </cell>
          <cell r="BL145">
            <v>330</v>
          </cell>
          <cell r="BM145">
            <v>53</v>
          </cell>
          <cell r="BN145">
            <v>82</v>
          </cell>
          <cell r="BO145">
            <v>135</v>
          </cell>
          <cell r="BP145">
            <v>75</v>
          </cell>
          <cell r="BQ145">
            <v>210</v>
          </cell>
          <cell r="BR145">
            <v>121</v>
          </cell>
          <cell r="BS145">
            <v>331</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cell r="CI145">
            <v>0</v>
          </cell>
          <cell r="CJ145">
            <v>0</v>
          </cell>
          <cell r="CL145" t="str">
            <v>mstag:incomeLossFromExtraordinaryItemsPretax</v>
          </cell>
          <cell r="CM145">
            <v>6</v>
          </cell>
          <cell r="CN145" t="str">
            <v>ISO4217:USD</v>
          </cell>
          <cell r="CO145" t="b">
            <v>1</v>
          </cell>
        </row>
        <row r="146">
          <cell r="A146" t="str">
            <v>Restructuring</v>
          </cell>
          <cell r="V146">
            <v>8</v>
          </cell>
          <cell r="W146">
            <v>7</v>
          </cell>
          <cell r="X146">
            <v>0</v>
          </cell>
          <cell r="Y146">
            <v>7</v>
          </cell>
          <cell r="Z146">
            <v>8</v>
          </cell>
          <cell r="AA146">
            <v>15</v>
          </cell>
          <cell r="AB146">
            <v>467</v>
          </cell>
          <cell r="AC146">
            <v>480</v>
          </cell>
          <cell r="AD146">
            <v>43</v>
          </cell>
          <cell r="AE146">
            <v>5</v>
          </cell>
          <cell r="AF146">
            <v>48</v>
          </cell>
          <cell r="AG146">
            <v>39</v>
          </cell>
          <cell r="AH146">
            <v>87</v>
          </cell>
          <cell r="AI146">
            <v>21</v>
          </cell>
          <cell r="AJ146">
            <v>108</v>
          </cell>
          <cell r="AK146">
            <v>-11</v>
          </cell>
          <cell r="AL146">
            <v>4</v>
          </cell>
          <cell r="AM146">
            <v>-7</v>
          </cell>
          <cell r="AN146">
            <v>7</v>
          </cell>
          <cell r="AO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G146">
            <v>0</v>
          </cell>
          <cell r="BL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row>
        <row r="147">
          <cell r="A147" t="str">
            <v>PPE Impairment</v>
          </cell>
          <cell r="V147">
            <v>10</v>
          </cell>
          <cell r="W147">
            <v>0</v>
          </cell>
          <cell r="X147">
            <v>18</v>
          </cell>
          <cell r="Y147">
            <v>18</v>
          </cell>
          <cell r="Z147">
            <v>2</v>
          </cell>
          <cell r="AA147">
            <v>20</v>
          </cell>
          <cell r="AB147">
            <v>11</v>
          </cell>
          <cell r="AC147">
            <v>31</v>
          </cell>
          <cell r="AD147">
            <v>8</v>
          </cell>
          <cell r="AE147">
            <v>4</v>
          </cell>
          <cell r="AF147">
            <v>12</v>
          </cell>
          <cell r="AG147">
            <v>-2</v>
          </cell>
          <cell r="AH147">
            <v>10</v>
          </cell>
          <cell r="AI147">
            <v>6</v>
          </cell>
          <cell r="AJ147">
            <v>16</v>
          </cell>
          <cell r="AK147">
            <v>2</v>
          </cell>
          <cell r="AL147">
            <v>-5</v>
          </cell>
          <cell r="AM147">
            <v>-3</v>
          </cell>
          <cell r="AN147">
            <v>3</v>
          </cell>
          <cell r="AO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G147">
            <v>0</v>
          </cell>
          <cell r="BL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v>0</v>
          </cell>
        </row>
        <row r="148">
          <cell r="A148" t="str">
            <v>Exceptional gains</v>
          </cell>
          <cell r="V148">
            <v>-80</v>
          </cell>
          <cell r="W148">
            <v>0</v>
          </cell>
          <cell r="X148">
            <v>0</v>
          </cell>
          <cell r="Y148">
            <v>0</v>
          </cell>
          <cell r="Z148">
            <v>-166</v>
          </cell>
          <cell r="AA148">
            <v>-166</v>
          </cell>
          <cell r="AB148">
            <v>-5</v>
          </cell>
          <cell r="AC148">
            <v>-171</v>
          </cell>
          <cell r="AD148">
            <v>-115</v>
          </cell>
          <cell r="AE148">
            <v>-26</v>
          </cell>
          <cell r="AF148">
            <v>-141</v>
          </cell>
          <cell r="AG148">
            <v>0</v>
          </cell>
          <cell r="AH148">
            <v>-141</v>
          </cell>
          <cell r="AJ148">
            <v>-141</v>
          </cell>
          <cell r="AM148">
            <v>0</v>
          </cell>
          <cell r="AO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G148">
            <v>0</v>
          </cell>
          <cell r="BL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row>
        <row r="149">
          <cell r="A149" t="str">
            <v>Impairment of financial assets</v>
          </cell>
          <cell r="V149">
            <v>39</v>
          </cell>
          <cell r="W149">
            <v>5</v>
          </cell>
          <cell r="X149">
            <v>12</v>
          </cell>
          <cell r="Y149">
            <v>17</v>
          </cell>
          <cell r="Z149">
            <v>22</v>
          </cell>
          <cell r="AA149">
            <v>39</v>
          </cell>
          <cell r="AB149">
            <v>39</v>
          </cell>
          <cell r="AC149">
            <v>78</v>
          </cell>
          <cell r="AD149">
            <v>20</v>
          </cell>
          <cell r="AE149">
            <v>7</v>
          </cell>
          <cell r="AF149">
            <v>27</v>
          </cell>
          <cell r="AG149">
            <v>8</v>
          </cell>
          <cell r="AH149">
            <v>35</v>
          </cell>
          <cell r="AI149">
            <v>55</v>
          </cell>
          <cell r="AJ149">
            <v>90</v>
          </cell>
          <cell r="AK149">
            <v>4</v>
          </cell>
          <cell r="AL149">
            <v>-11</v>
          </cell>
          <cell r="AM149">
            <v>-7</v>
          </cell>
          <cell r="AN149">
            <v>7</v>
          </cell>
          <cell r="AO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G149">
            <v>0</v>
          </cell>
          <cell r="BL149">
            <v>0</v>
          </cell>
          <cell r="BS149">
            <v>0</v>
          </cell>
          <cell r="BT149">
            <v>0</v>
          </cell>
          <cell r="BU149">
            <v>0</v>
          </cell>
          <cell r="BV149">
            <v>0</v>
          </cell>
          <cell r="BW149">
            <v>0</v>
          </cell>
          <cell r="BX149">
            <v>0</v>
          </cell>
          <cell r="BY149">
            <v>0</v>
          </cell>
          <cell r="BZ149">
            <v>0</v>
          </cell>
          <cell r="CA149">
            <v>0</v>
          </cell>
          <cell r="CB149">
            <v>0</v>
          </cell>
          <cell r="CC149">
            <v>0</v>
          </cell>
          <cell r="CD149">
            <v>0</v>
          </cell>
          <cell r="CE149">
            <v>0</v>
          </cell>
          <cell r="CF149">
            <v>0</v>
          </cell>
          <cell r="CG149">
            <v>0</v>
          </cell>
          <cell r="CH149">
            <v>0</v>
          </cell>
          <cell r="CI149">
            <v>0</v>
          </cell>
          <cell r="CJ149">
            <v>0</v>
          </cell>
        </row>
        <row r="150">
          <cell r="A150" t="str">
            <v>Other exceptional items</v>
          </cell>
          <cell r="H150">
            <v>60</v>
          </cell>
          <cell r="V150">
            <v>7</v>
          </cell>
          <cell r="W150">
            <v>-122</v>
          </cell>
          <cell r="X150">
            <v>3</v>
          </cell>
          <cell r="Y150">
            <v>-119</v>
          </cell>
          <cell r="Z150">
            <v>606</v>
          </cell>
          <cell r="AA150">
            <v>487</v>
          </cell>
          <cell r="AB150">
            <v>-7</v>
          </cell>
          <cell r="AC150">
            <v>480</v>
          </cell>
          <cell r="AD150">
            <v>-94</v>
          </cell>
          <cell r="AE150">
            <v>-104</v>
          </cell>
          <cell r="AF150">
            <v>-198</v>
          </cell>
          <cell r="AG150">
            <v>0</v>
          </cell>
          <cell r="AH150">
            <v>-198</v>
          </cell>
          <cell r="AI150">
            <v>57</v>
          </cell>
          <cell r="AJ150">
            <v>-141</v>
          </cell>
          <cell r="AK150">
            <v>-15</v>
          </cell>
          <cell r="AL150">
            <v>56</v>
          </cell>
          <cell r="AM150">
            <v>41</v>
          </cell>
          <cell r="AN150">
            <v>32</v>
          </cell>
          <cell r="AO150">
            <v>73</v>
          </cell>
          <cell r="AP150">
            <v>283</v>
          </cell>
          <cell r="AQ150">
            <v>356</v>
          </cell>
          <cell r="AR150">
            <v>15</v>
          </cell>
          <cell r="AS150">
            <v>-33</v>
          </cell>
          <cell r="AT150">
            <v>-18</v>
          </cell>
          <cell r="AU150">
            <v>14</v>
          </cell>
          <cell r="AV150">
            <v>-4</v>
          </cell>
          <cell r="AW150">
            <v>-175</v>
          </cell>
          <cell r="AX150">
            <v>-179</v>
          </cell>
          <cell r="AY150">
            <v>-187</v>
          </cell>
          <cell r="AZ150">
            <v>-119</v>
          </cell>
          <cell r="BA150">
            <v>-306</v>
          </cell>
          <cell r="BB150">
            <v>108</v>
          </cell>
          <cell r="BC150">
            <v>-198</v>
          </cell>
          <cell r="BD150">
            <v>649</v>
          </cell>
          <cell r="BE150">
            <v>451</v>
          </cell>
          <cell r="BF150">
            <v>98</v>
          </cell>
          <cell r="BG150">
            <v>-123</v>
          </cell>
          <cell r="BH150">
            <v>-25</v>
          </cell>
          <cell r="BI150">
            <v>-45</v>
          </cell>
          <cell r="BJ150">
            <v>-70</v>
          </cell>
          <cell r="BK150">
            <v>155</v>
          </cell>
          <cell r="BL150">
            <v>85</v>
          </cell>
          <cell r="BM150">
            <v>5</v>
          </cell>
          <cell r="BN150">
            <v>-124</v>
          </cell>
          <cell r="BO150">
            <v>-119</v>
          </cell>
          <cell r="BP150">
            <v>116</v>
          </cell>
          <cell r="BQ150">
            <v>-3</v>
          </cell>
          <cell r="BR150">
            <v>34</v>
          </cell>
          <cell r="BS150">
            <v>31</v>
          </cell>
          <cell r="BT150">
            <v>-900</v>
          </cell>
          <cell r="BU150">
            <v>0</v>
          </cell>
          <cell r="BV150">
            <v>-900</v>
          </cell>
          <cell r="BW150">
            <v>0</v>
          </cell>
          <cell r="BX150">
            <v>-900</v>
          </cell>
          <cell r="BY150">
            <v>0</v>
          </cell>
          <cell r="BZ150">
            <v>-900</v>
          </cell>
          <cell r="CA150">
            <v>0</v>
          </cell>
          <cell r="CB150">
            <v>0</v>
          </cell>
          <cell r="CC150">
            <v>0</v>
          </cell>
          <cell r="CD150">
            <v>0</v>
          </cell>
          <cell r="CE150">
            <v>0</v>
          </cell>
          <cell r="CF150">
            <v>0</v>
          </cell>
          <cell r="CG150">
            <v>0</v>
          </cell>
          <cell r="CH150">
            <v>0</v>
          </cell>
          <cell r="CI150">
            <v>0</v>
          </cell>
          <cell r="CJ150">
            <v>0</v>
          </cell>
          <cell r="CL150" t="str">
            <v>mstag:incomeLossFromExtraordinaryItemsPretax</v>
          </cell>
          <cell r="CM150">
            <v>6</v>
          </cell>
          <cell r="CN150" t="str">
            <v>ISO4217:USD</v>
          </cell>
          <cell r="CO150" t="b">
            <v>1</v>
          </cell>
        </row>
        <row r="151">
          <cell r="A151" t="str">
            <v>Core operating income</v>
          </cell>
          <cell r="H151">
            <v>6660</v>
          </cell>
          <cell r="O151">
            <v>7839</v>
          </cell>
          <cell r="V151">
            <v>9002</v>
          </cell>
          <cell r="W151">
            <v>2505</v>
          </cell>
          <cell r="X151">
            <v>2416</v>
          </cell>
          <cell r="Y151">
            <v>4921</v>
          </cell>
          <cell r="Z151">
            <v>2567</v>
          </cell>
          <cell r="AA151">
            <v>7488</v>
          </cell>
          <cell r="AB151">
            <v>1798</v>
          </cell>
          <cell r="AC151">
            <v>9286</v>
          </cell>
          <cell r="AD151">
            <v>2657</v>
          </cell>
          <cell r="AE151">
            <v>2659</v>
          </cell>
          <cell r="AF151">
            <v>5316</v>
          </cell>
          <cell r="AG151">
            <v>2939</v>
          </cell>
          <cell r="AH151">
            <v>8255</v>
          </cell>
          <cell r="AI151">
            <v>2068</v>
          </cell>
          <cell r="AJ151">
            <v>10309</v>
          </cell>
          <cell r="AK151">
            <v>2585</v>
          </cell>
          <cell r="AL151">
            <v>2672</v>
          </cell>
          <cell r="AM151">
            <v>5257</v>
          </cell>
          <cell r="AN151">
            <v>2976</v>
          </cell>
          <cell r="AO151">
            <v>8233</v>
          </cell>
          <cell r="AP151">
            <v>3204</v>
          </cell>
          <cell r="AQ151">
            <v>11437</v>
          </cell>
          <cell r="AR151">
            <v>3865</v>
          </cell>
          <cell r="AS151">
            <v>3276</v>
          </cell>
          <cell r="AT151">
            <v>7141</v>
          </cell>
          <cell r="AU151">
            <v>3699</v>
          </cell>
          <cell r="AV151">
            <v>10840</v>
          </cell>
          <cell r="AW151">
            <v>3166</v>
          </cell>
          <cell r="AX151">
            <v>14006</v>
          </cell>
          <cell r="AY151">
            <v>4011.6000000000004</v>
          </cell>
          <cell r="AZ151">
            <v>4235.3999999999996</v>
          </cell>
          <cell r="BA151">
            <v>8247</v>
          </cell>
          <cell r="BB151">
            <v>4112</v>
          </cell>
          <cell r="BC151">
            <v>12359</v>
          </cell>
          <cell r="BD151">
            <v>3550</v>
          </cell>
          <cell r="BE151">
            <v>15909</v>
          </cell>
          <cell r="BF151">
            <v>3607</v>
          </cell>
          <cell r="BG151">
            <v>3831</v>
          </cell>
          <cell r="BH151">
            <v>7438</v>
          </cell>
          <cell r="BI151">
            <v>3810</v>
          </cell>
          <cell r="BJ151">
            <v>11248</v>
          </cell>
          <cell r="BK151">
            <v>3593.9</v>
          </cell>
          <cell r="BL151">
            <v>14841.9</v>
          </cell>
          <cell r="BM151">
            <v>3714</v>
          </cell>
          <cell r="BN151">
            <v>3755</v>
          </cell>
          <cell r="BO151">
            <v>7469</v>
          </cell>
          <cell r="BP151">
            <v>3621</v>
          </cell>
          <cell r="BQ151">
            <v>11090</v>
          </cell>
          <cell r="BR151">
            <v>3395</v>
          </cell>
          <cell r="BS151">
            <v>14485</v>
          </cell>
          <cell r="BT151">
            <v>3456.1960672260402</v>
          </cell>
          <cell r="BU151">
            <v>3776.1319042586774</v>
          </cell>
          <cell r="BV151">
            <v>7232.3279714847176</v>
          </cell>
          <cell r="BW151">
            <v>3784.990896328145</v>
          </cell>
          <cell r="BX151">
            <v>11017.318867812863</v>
          </cell>
          <cell r="BY151">
            <v>3727.8147652103253</v>
          </cell>
          <cell r="BZ151">
            <v>14745.133633023201</v>
          </cell>
          <cell r="CA151">
            <v>15088.051697490875</v>
          </cell>
          <cell r="CB151">
            <v>15690.715384084819</v>
          </cell>
          <cell r="CC151">
            <v>16429.289889067506</v>
          </cell>
          <cell r="CD151">
            <v>17267.781328375942</v>
          </cell>
          <cell r="CE151">
            <v>16981.425432753709</v>
          </cell>
          <cell r="CF151">
            <v>16977.335111762779</v>
          </cell>
          <cell r="CG151">
            <v>17005.245238756695</v>
          </cell>
          <cell r="CH151">
            <v>17043.587428040733</v>
          </cell>
          <cell r="CI151">
            <v>16798.240375271369</v>
          </cell>
          <cell r="CJ151">
            <v>17359.443039288533</v>
          </cell>
        </row>
        <row r="152">
          <cell r="A152" t="str">
            <v>Income from associated companies</v>
          </cell>
          <cell r="AK152">
            <v>83</v>
          </cell>
          <cell r="AL152">
            <v>124</v>
          </cell>
          <cell r="AM152">
            <v>207</v>
          </cell>
          <cell r="AN152">
            <v>-21</v>
          </cell>
          <cell r="AO152">
            <v>186</v>
          </cell>
          <cell r="AP152">
            <v>107</v>
          </cell>
          <cell r="AR152">
            <v>103</v>
          </cell>
          <cell r="AS152">
            <v>158</v>
          </cell>
          <cell r="AT152">
            <v>261</v>
          </cell>
          <cell r="AU152">
            <v>368</v>
          </cell>
          <cell r="AV152">
            <v>629</v>
          </cell>
          <cell r="AW152">
            <v>175</v>
          </cell>
          <cell r="AX152">
            <v>804</v>
          </cell>
          <cell r="AY152">
            <v>117</v>
          </cell>
          <cell r="AZ152">
            <v>130</v>
          </cell>
          <cell r="BA152">
            <v>247</v>
          </cell>
          <cell r="BB152">
            <v>151</v>
          </cell>
          <cell r="BC152">
            <v>398</v>
          </cell>
          <cell r="BD152">
            <v>130</v>
          </cell>
          <cell r="BE152">
            <v>528</v>
          </cell>
          <cell r="BF152">
            <v>128</v>
          </cell>
          <cell r="BG152">
            <v>176</v>
          </cell>
          <cell r="BH152">
            <v>304</v>
          </cell>
          <cell r="BI152">
            <v>81</v>
          </cell>
          <cell r="BJ152">
            <v>385</v>
          </cell>
          <cell r="BK152">
            <v>167</v>
          </cell>
          <cell r="BL152">
            <v>552</v>
          </cell>
          <cell r="BM152">
            <v>111</v>
          </cell>
          <cell r="BN152">
            <v>174</v>
          </cell>
          <cell r="BO152">
            <v>285</v>
          </cell>
          <cell r="BP152">
            <v>161</v>
          </cell>
          <cell r="BQ152">
            <v>446</v>
          </cell>
          <cell r="BR152">
            <v>154</v>
          </cell>
          <cell r="BS152">
            <v>600</v>
          </cell>
          <cell r="BT152">
            <v>192.34020253701465</v>
          </cell>
          <cell r="BU152">
            <v>192.34020253701465</v>
          </cell>
          <cell r="BV152">
            <v>384.6804050740293</v>
          </cell>
          <cell r="BW152">
            <v>192.34020253701465</v>
          </cell>
          <cell r="BX152">
            <v>577.02060761104394</v>
          </cell>
          <cell r="BY152">
            <v>192.34020253701465</v>
          </cell>
          <cell r="BZ152">
            <v>769.36081014805859</v>
          </cell>
          <cell r="CA152">
            <v>852.45406146044593</v>
          </cell>
          <cell r="CB152">
            <v>939.60902391843433</v>
          </cell>
          <cell r="CC152">
            <v>1029.182060233838</v>
          </cell>
          <cell r="CD152">
            <v>1096.0254951129539</v>
          </cell>
          <cell r="CE152">
            <v>1113.2630050614146</v>
          </cell>
          <cell r="CF152">
            <v>1132.631860244451</v>
          </cell>
          <cell r="CG152">
            <v>1132.631860244451</v>
          </cell>
          <cell r="CH152">
            <v>1132.631860244451</v>
          </cell>
          <cell r="CI152">
            <v>1132.631860244451</v>
          </cell>
          <cell r="CJ152">
            <v>1132.631860244451</v>
          </cell>
        </row>
        <row r="153">
          <cell r="A153" t="str">
            <v>Core adj to inc from associates, net of tax</v>
          </cell>
          <cell r="V153">
            <v>53</v>
          </cell>
          <cell r="W153">
            <v>28</v>
          </cell>
          <cell r="X153">
            <v>31</v>
          </cell>
          <cell r="Y153">
            <v>59</v>
          </cell>
          <cell r="AA153">
            <v>59</v>
          </cell>
          <cell r="AD153">
            <v>34</v>
          </cell>
          <cell r="AE153">
            <v>35</v>
          </cell>
          <cell r="AF153">
            <v>69</v>
          </cell>
          <cell r="AG153">
            <v>160</v>
          </cell>
          <cell r="AH153">
            <v>229</v>
          </cell>
          <cell r="AI153">
            <v>169</v>
          </cell>
          <cell r="AJ153">
            <v>398</v>
          </cell>
          <cell r="AK153">
            <v>139</v>
          </cell>
          <cell r="AL153">
            <v>140</v>
          </cell>
          <cell r="AM153">
            <v>279</v>
          </cell>
          <cell r="AN153">
            <v>334</v>
          </cell>
          <cell r="AO153">
            <v>613</v>
          </cell>
          <cell r="AP153">
            <v>252</v>
          </cell>
          <cell r="AQ153">
            <v>1051</v>
          </cell>
          <cell r="AR153">
            <v>185</v>
          </cell>
          <cell r="AS153">
            <v>141</v>
          </cell>
          <cell r="AT153">
            <v>326</v>
          </cell>
          <cell r="AU153">
            <v>-82</v>
          </cell>
          <cell r="AV153">
            <v>244</v>
          </cell>
          <cell r="AW153">
            <v>-7</v>
          </cell>
          <cell r="AX153">
            <v>237</v>
          </cell>
          <cell r="AY153">
            <v>79</v>
          </cell>
          <cell r="AZ153">
            <v>40</v>
          </cell>
          <cell r="BA153">
            <v>119</v>
          </cell>
          <cell r="BB153">
            <v>71</v>
          </cell>
          <cell r="BC153">
            <v>190</v>
          </cell>
          <cell r="BD153">
            <v>61</v>
          </cell>
          <cell r="BE153">
            <v>251</v>
          </cell>
          <cell r="BF153">
            <v>47</v>
          </cell>
          <cell r="BG153">
            <v>28</v>
          </cell>
          <cell r="BH153">
            <v>75</v>
          </cell>
          <cell r="BI153">
            <v>105</v>
          </cell>
          <cell r="BJ153">
            <v>180</v>
          </cell>
          <cell r="BK153">
            <v>23</v>
          </cell>
          <cell r="BL153">
            <v>203</v>
          </cell>
          <cell r="BM153">
            <v>120</v>
          </cell>
          <cell r="BN153">
            <v>47</v>
          </cell>
          <cell r="BO153">
            <v>167</v>
          </cell>
          <cell r="BP153">
            <v>66</v>
          </cell>
          <cell r="BQ153">
            <v>233</v>
          </cell>
          <cell r="BR153">
            <v>44</v>
          </cell>
          <cell r="BS153">
            <v>277</v>
          </cell>
          <cell r="BT153">
            <v>88.797060171255097</v>
          </cell>
          <cell r="BU153">
            <v>88.797060171255097</v>
          </cell>
          <cell r="BV153">
            <v>177.59412034251019</v>
          </cell>
          <cell r="BW153">
            <v>88.797060171255097</v>
          </cell>
          <cell r="BX153">
            <v>266.39118051376528</v>
          </cell>
          <cell r="BY153">
            <v>88.797060171255112</v>
          </cell>
          <cell r="BZ153">
            <v>355.18824068502039</v>
          </cell>
          <cell r="CA153">
            <v>393.54962504090588</v>
          </cell>
          <cell r="CB153">
            <v>433.78616604234384</v>
          </cell>
          <cell r="CC153">
            <v>475.13905114128852</v>
          </cell>
          <cell r="CD153">
            <v>505.99843691048034</v>
          </cell>
          <cell r="CE153">
            <v>513.95642067001972</v>
          </cell>
          <cell r="CF153">
            <v>522.89837547952152</v>
          </cell>
          <cell r="CG153">
            <v>522.89837547952152</v>
          </cell>
          <cell r="CH153">
            <v>522.89837547952152</v>
          </cell>
          <cell r="CI153">
            <v>522.89837547952152</v>
          </cell>
          <cell r="CJ153">
            <v>522.89837547952152</v>
          </cell>
        </row>
        <row r="154">
          <cell r="A154" t="str">
            <v>Financial expense</v>
          </cell>
          <cell r="AP154">
            <v>104</v>
          </cell>
          <cell r="AQ154">
            <v>198</v>
          </cell>
          <cell r="AR154">
            <v>49</v>
          </cell>
          <cell r="AS154">
            <v>14</v>
          </cell>
          <cell r="AT154">
            <v>63</v>
          </cell>
          <cell r="AU154">
            <v>27</v>
          </cell>
          <cell r="AV154">
            <v>90</v>
          </cell>
          <cell r="AW154">
            <v>-26</v>
          </cell>
          <cell r="AX154">
            <v>64</v>
          </cell>
          <cell r="AY154">
            <v>22</v>
          </cell>
          <cell r="AZ154">
            <v>-16</v>
          </cell>
          <cell r="BA154">
            <v>6</v>
          </cell>
          <cell r="BB154">
            <v>4</v>
          </cell>
          <cell r="BC154">
            <v>10</v>
          </cell>
          <cell r="BD154">
            <v>-12</v>
          </cell>
          <cell r="BE154">
            <v>-2</v>
          </cell>
          <cell r="BF154">
            <v>-41</v>
          </cell>
          <cell r="BG154">
            <v>34</v>
          </cell>
          <cell r="BH154">
            <v>-7</v>
          </cell>
          <cell r="BI154">
            <v>-70</v>
          </cell>
          <cell r="BJ154">
            <v>-77</v>
          </cell>
          <cell r="BK154">
            <v>-307</v>
          </cell>
          <cell r="BL154">
            <v>-384</v>
          </cell>
          <cell r="BM154">
            <v>-175</v>
          </cell>
          <cell r="BN154">
            <v>-175</v>
          </cell>
          <cell r="BO154">
            <v>-350</v>
          </cell>
          <cell r="BP154">
            <v>-232</v>
          </cell>
          <cell r="BQ154">
            <v>-582</v>
          </cell>
          <cell r="BR154">
            <v>-205</v>
          </cell>
          <cell r="BS154">
            <v>-787</v>
          </cell>
          <cell r="BT154">
            <v>-180.30850000000001</v>
          </cell>
          <cell r="BU154">
            <v>-180.30850000000001</v>
          </cell>
          <cell r="BV154">
            <v>-360.61700000000002</v>
          </cell>
          <cell r="BW154">
            <v>-180.30850000000001</v>
          </cell>
          <cell r="BX154">
            <v>-540.92550000000006</v>
          </cell>
          <cell r="BY154">
            <v>-180.30849999999998</v>
          </cell>
          <cell r="BZ154">
            <v>-721.23400000000004</v>
          </cell>
          <cell r="CA154">
            <v>-721.23400000000004</v>
          </cell>
          <cell r="CB154">
            <v>-721.23400000000004</v>
          </cell>
          <cell r="CC154">
            <v>-721.23400000000004</v>
          </cell>
          <cell r="CD154">
            <v>-721.23400000000004</v>
          </cell>
          <cell r="CE154">
            <v>-721.23400000000004</v>
          </cell>
          <cell r="CF154">
            <v>-721.23400000000004</v>
          </cell>
          <cell r="CG154">
            <v>-721.23400000000004</v>
          </cell>
          <cell r="CH154">
            <v>-721.23400000000004</v>
          </cell>
          <cell r="CI154">
            <v>-721.23400000000004</v>
          </cell>
          <cell r="CJ154">
            <v>-721.23400000000004</v>
          </cell>
        </row>
        <row r="155">
          <cell r="A155" t="str">
            <v>Interest income</v>
          </cell>
          <cell r="AP155">
            <v>-156</v>
          </cell>
          <cell r="AQ155">
            <v>-551</v>
          </cell>
          <cell r="AR155">
            <v>-133</v>
          </cell>
          <cell r="AS155">
            <v>-175</v>
          </cell>
          <cell r="AT155">
            <v>-308</v>
          </cell>
          <cell r="AU155">
            <v>-188</v>
          </cell>
          <cell r="AV155">
            <v>-496</v>
          </cell>
          <cell r="AW155">
            <v>-196</v>
          </cell>
          <cell r="AX155">
            <v>-692</v>
          </cell>
          <cell r="AY155">
            <v>-189</v>
          </cell>
          <cell r="AZ155">
            <v>-190</v>
          </cell>
          <cell r="BA155">
            <v>-379</v>
          </cell>
          <cell r="BB155">
            <v>-198</v>
          </cell>
          <cell r="BC155">
            <v>-577</v>
          </cell>
          <cell r="BD155">
            <v>-174</v>
          </cell>
          <cell r="BE155">
            <v>-751</v>
          </cell>
          <cell r="BF155">
            <v>-164</v>
          </cell>
          <cell r="BG155">
            <v>-183</v>
          </cell>
          <cell r="BH155">
            <v>-347</v>
          </cell>
          <cell r="BI155">
            <v>-178</v>
          </cell>
          <cell r="BJ155">
            <v>-525</v>
          </cell>
          <cell r="BK155">
            <v>89</v>
          </cell>
          <cell r="BL155">
            <v>-436</v>
          </cell>
          <cell r="BM155">
            <v>51</v>
          </cell>
          <cell r="BN155">
            <v>5</v>
          </cell>
          <cell r="BO155">
            <v>56</v>
          </cell>
          <cell r="BP155">
            <v>0</v>
          </cell>
          <cell r="BQ155">
            <v>56</v>
          </cell>
          <cell r="BR155">
            <v>0</v>
          </cell>
          <cell r="BS155">
            <v>56</v>
          </cell>
          <cell r="BT155">
            <v>11.242901529720955</v>
          </cell>
          <cell r="BU155">
            <v>11.242901529720955</v>
          </cell>
          <cell r="BV155">
            <v>22.48580305944191</v>
          </cell>
          <cell r="BW155">
            <v>11.242901529720955</v>
          </cell>
          <cell r="BX155">
            <v>33.728704589162867</v>
          </cell>
          <cell r="BY155">
            <v>11.242901529720953</v>
          </cell>
          <cell r="BZ155">
            <v>44.97160611888382</v>
          </cell>
          <cell r="CA155">
            <v>49.946585125176767</v>
          </cell>
          <cell r="CB155">
            <v>56.881297645978243</v>
          </cell>
          <cell r="CC155">
            <v>68.522654397755261</v>
          </cell>
          <cell r="CD155">
            <v>87.441258031894975</v>
          </cell>
          <cell r="CE155">
            <v>108.78474193346153</v>
          </cell>
          <cell r="CF155">
            <v>127.05980408286807</v>
          </cell>
          <cell r="CG155">
            <v>143.3224760103314</v>
          </cell>
          <cell r="CH155">
            <v>157.23602471324764</v>
          </cell>
          <cell r="CI155">
            <v>168.22561611713672</v>
          </cell>
          <cell r="CJ155">
            <v>178.65939070799485</v>
          </cell>
        </row>
        <row r="156">
          <cell r="A156" t="str">
            <v>Core PBT</v>
          </cell>
          <cell r="AQ156">
            <v>12135</v>
          </cell>
          <cell r="AR156">
            <v>4069</v>
          </cell>
          <cell r="AS156">
            <v>3414</v>
          </cell>
          <cell r="AT156">
            <v>7483</v>
          </cell>
          <cell r="AU156">
            <v>3824</v>
          </cell>
          <cell r="AV156">
            <v>11307</v>
          </cell>
          <cell r="AW156">
            <v>3112</v>
          </cell>
          <cell r="AX156">
            <v>14419</v>
          </cell>
          <cell r="AY156">
            <v>4040.6000000000004</v>
          </cell>
          <cell r="AZ156">
            <v>4199.3999999999996</v>
          </cell>
          <cell r="BA156">
            <v>8240</v>
          </cell>
          <cell r="BB156">
            <v>4140</v>
          </cell>
          <cell r="BC156">
            <v>12380</v>
          </cell>
          <cell r="BD156">
            <v>3555</v>
          </cell>
          <cell r="BE156">
            <v>15935</v>
          </cell>
          <cell r="BF156">
            <v>3577</v>
          </cell>
          <cell r="BG156">
            <v>3886</v>
          </cell>
          <cell r="BH156">
            <v>7463</v>
          </cell>
          <cell r="BI156">
            <v>3748</v>
          </cell>
          <cell r="BJ156">
            <v>11211</v>
          </cell>
          <cell r="BK156">
            <v>3565.9</v>
          </cell>
          <cell r="BL156">
            <v>14776.9</v>
          </cell>
          <cell r="BM156">
            <v>3821</v>
          </cell>
          <cell r="BN156">
            <v>3806</v>
          </cell>
          <cell r="BO156">
            <v>7627</v>
          </cell>
          <cell r="BP156">
            <v>3616</v>
          </cell>
          <cell r="BQ156">
            <v>11243</v>
          </cell>
          <cell r="BR156">
            <v>3388</v>
          </cell>
          <cell r="BS156">
            <v>14631</v>
          </cell>
          <cell r="BT156">
            <v>3568.2677314640309</v>
          </cell>
          <cell r="BU156">
            <v>3888.2035684966681</v>
          </cell>
          <cell r="BV156">
            <v>7456.4712999606991</v>
          </cell>
          <cell r="BW156">
            <v>3897.0625605661357</v>
          </cell>
          <cell r="BX156">
            <v>11353.533860526835</v>
          </cell>
          <cell r="BY156">
            <v>3839.886429448316</v>
          </cell>
          <cell r="BZ156">
            <v>15193.420289975164</v>
          </cell>
          <cell r="CA156">
            <v>15662.767969117403</v>
          </cell>
          <cell r="CB156">
            <v>16399.757871691574</v>
          </cell>
          <cell r="CC156">
            <v>17280.899654840388</v>
          </cell>
          <cell r="CD156">
            <v>18236.012518431271</v>
          </cell>
          <cell r="CE156">
            <v>17996.195600418603</v>
          </cell>
          <cell r="CF156">
            <v>18038.691151569619</v>
          </cell>
          <cell r="CG156">
            <v>18082.863950491002</v>
          </cell>
          <cell r="CH156">
            <v>18135.119688477957</v>
          </cell>
          <cell r="CI156">
            <v>17900.762227112478</v>
          </cell>
          <cell r="CJ156">
            <v>18472.398665720502</v>
          </cell>
        </row>
        <row r="157">
          <cell r="A157" t="str">
            <v>Adjusted taxes</v>
          </cell>
          <cell r="V157">
            <v>-1618</v>
          </cell>
          <cell r="W157">
            <v>-439</v>
          </cell>
          <cell r="X157">
            <v>-395</v>
          </cell>
          <cell r="Y157">
            <v>-834</v>
          </cell>
          <cell r="Z157">
            <v>-313</v>
          </cell>
          <cell r="AA157">
            <v>-1147</v>
          </cell>
          <cell r="AB157">
            <v>-492</v>
          </cell>
          <cell r="AC157">
            <v>-1639</v>
          </cell>
          <cell r="AD157">
            <v>-479</v>
          </cell>
          <cell r="AE157">
            <v>-416</v>
          </cell>
          <cell r="AF157">
            <v>-895</v>
          </cell>
          <cell r="AG157">
            <v>-498</v>
          </cell>
          <cell r="AH157">
            <v>-1393</v>
          </cell>
          <cell r="AI157">
            <v>-380</v>
          </cell>
          <cell r="AJ157">
            <v>-1773</v>
          </cell>
          <cell r="AK157">
            <v>-390</v>
          </cell>
          <cell r="AL157">
            <v>-491</v>
          </cell>
          <cell r="AM157">
            <v>-881</v>
          </cell>
          <cell r="AN157">
            <v>-471</v>
          </cell>
          <cell r="AO157">
            <v>-1352</v>
          </cell>
          <cell r="AP157">
            <v>-512</v>
          </cell>
          <cell r="AQ157">
            <v>-1868</v>
          </cell>
          <cell r="AR157">
            <v>-760</v>
          </cell>
          <cell r="AS157">
            <v>-643</v>
          </cell>
          <cell r="AT157">
            <v>-1403</v>
          </cell>
          <cell r="AU157">
            <v>-678</v>
          </cell>
          <cell r="AV157">
            <v>-2081</v>
          </cell>
          <cell r="AW157">
            <v>-309</v>
          </cell>
          <cell r="AX157">
            <v>-2390</v>
          </cell>
          <cell r="AY157">
            <v>-665</v>
          </cell>
          <cell r="AZ157">
            <v>-635</v>
          </cell>
          <cell r="BA157">
            <v>-1300</v>
          </cell>
          <cell r="BB157">
            <v>-601</v>
          </cell>
          <cell r="BC157">
            <v>-1901</v>
          </cell>
          <cell r="BD157">
            <v>-544</v>
          </cell>
          <cell r="BE157">
            <v>-2445</v>
          </cell>
          <cell r="BF157">
            <v>-542</v>
          </cell>
          <cell r="BG157">
            <v>-588</v>
          </cell>
          <cell r="BH157">
            <v>-1130</v>
          </cell>
          <cell r="BI157">
            <v>-547</v>
          </cell>
          <cell r="BJ157">
            <v>-1677</v>
          </cell>
          <cell r="BK157">
            <v>-524</v>
          </cell>
          <cell r="BL157">
            <v>-2201</v>
          </cell>
          <cell r="BM157">
            <v>-573</v>
          </cell>
          <cell r="BN157">
            <v>-579</v>
          </cell>
          <cell r="BO157">
            <v>-1152</v>
          </cell>
          <cell r="BP157">
            <v>-513</v>
          </cell>
          <cell r="BQ157">
            <v>-1665</v>
          </cell>
          <cell r="BR157">
            <v>-433</v>
          </cell>
          <cell r="BS157">
            <v>-2098</v>
          </cell>
          <cell r="BT157">
            <v>-652.36199733745241</v>
          </cell>
          <cell r="BU157">
            <v>-568.60269370718493</v>
          </cell>
          <cell r="BV157">
            <v>-1220.9646910446372</v>
          </cell>
          <cell r="BW157">
            <v>-569.98724755725766</v>
          </cell>
          <cell r="BX157">
            <v>-1790.9519386018949</v>
          </cell>
          <cell r="BY157">
            <v>-562.17170854517576</v>
          </cell>
          <cell r="BZ157">
            <v>-2353.1236471470706</v>
          </cell>
          <cell r="CA157">
            <v>-2285.1219098910924</v>
          </cell>
          <cell r="CB157">
            <v>-2386.1566598191389</v>
          </cell>
          <cell r="CC157">
            <v>-2507.9318381613693</v>
          </cell>
          <cell r="CD157">
            <v>-2641.9546699767643</v>
          </cell>
          <cell r="CE157">
            <v>-2606.0336906276075</v>
          </cell>
          <cell r="CF157">
            <v>-2610.9056625753296</v>
          </cell>
          <cell r="CG157">
            <v>-2617.3177539210433</v>
          </cell>
          <cell r="CH157">
            <v>-2624.9022232063708</v>
          </cell>
          <cell r="CI157">
            <v>-2574.9531479494563</v>
          </cell>
          <cell r="CJ157">
            <v>-2602.8485760207536</v>
          </cell>
        </row>
        <row r="158">
          <cell r="A158" t="str">
            <v>Core tax rate</v>
          </cell>
          <cell r="AQ158">
            <v>0.15393489905232799</v>
          </cell>
          <cell r="AR158">
            <v>0.18677807815188008</v>
          </cell>
          <cell r="AS158">
            <v>0.18834212067955478</v>
          </cell>
          <cell r="AT158">
            <v>0.18749164773486571</v>
          </cell>
          <cell r="AU158">
            <v>0.17730125523012552</v>
          </cell>
          <cell r="AV158">
            <v>0.18404528168391263</v>
          </cell>
          <cell r="AW158">
            <v>9.9293059125964006E-2</v>
          </cell>
          <cell r="AX158">
            <v>0.16575351966155766</v>
          </cell>
          <cell r="AY158">
            <v>0.16457951789338215</v>
          </cell>
          <cell r="AZ158">
            <v>0.15121207791589275</v>
          </cell>
          <cell r="BA158">
            <v>0.15776699029126215</v>
          </cell>
          <cell r="BB158">
            <v>0.14516908212560387</v>
          </cell>
          <cell r="BC158">
            <v>0.15355411954765752</v>
          </cell>
          <cell r="BD158">
            <v>0.15302390998593529</v>
          </cell>
          <cell r="BE158">
            <v>0.15343583307185441</v>
          </cell>
          <cell r="BF158">
            <v>0.15152362314788928</v>
          </cell>
          <cell r="BG158">
            <v>0.15131240349974268</v>
          </cell>
          <cell r="BH158">
            <v>0.15141364062709367</v>
          </cell>
          <cell r="BI158">
            <v>0.1459445037353255</v>
          </cell>
          <cell r="BJ158">
            <v>0.14958522879314959</v>
          </cell>
          <cell r="BK158">
            <v>0.14694747469082139</v>
          </cell>
          <cell r="BL158">
            <v>0.14894869695267615</v>
          </cell>
          <cell r="BM158">
            <v>0.14996074326092645</v>
          </cell>
          <cell r="BN158">
            <v>0.15212821860220704</v>
          </cell>
          <cell r="BO158">
            <v>0.15104234954765963</v>
          </cell>
          <cell r="BP158">
            <v>0.14186946902654868</v>
          </cell>
          <cell r="BQ158">
            <v>0.14809214622431735</v>
          </cell>
          <cell r="BR158">
            <v>0.12780401416765053</v>
          </cell>
          <cell r="BS158">
            <v>0.1433941630783952</v>
          </cell>
          <cell r="BT158">
            <v>0.18282316418835357</v>
          </cell>
          <cell r="BU158">
            <v>0.14623789204715662</v>
          </cell>
          <cell r="BV158">
            <v>0.16374564347227791</v>
          </cell>
          <cell r="BW158">
            <v>0.14626073836352635</v>
          </cell>
          <cell r="BX158">
            <v>0.15774400821831783</v>
          </cell>
          <cell r="BY158">
            <v>0.14640321240593152</v>
          </cell>
          <cell r="BZ158">
            <v>0.14499999999999999</v>
          </cell>
          <cell r="CA158">
            <v>0.14499999999999999</v>
          </cell>
          <cell r="CB158">
            <v>0.14499999999999999</v>
          </cell>
          <cell r="CC158">
            <v>0.14499999999999999</v>
          </cell>
          <cell r="CD158">
            <v>0.14499999999999999</v>
          </cell>
          <cell r="CE158">
            <v>0.14499999999999999</v>
          </cell>
          <cell r="CF158">
            <v>0.14499999999999999</v>
          </cell>
          <cell r="CG158">
            <v>0.14499999999999999</v>
          </cell>
          <cell r="CH158">
            <v>0.14499999999999999</v>
          </cell>
          <cell r="CI158">
            <v>0.14499999999999999</v>
          </cell>
          <cell r="CJ158">
            <v>0.14499999999999999</v>
          </cell>
        </row>
        <row r="159">
          <cell r="A159" t="str">
            <v>Minortiy interests</v>
          </cell>
          <cell r="B159">
            <v>4</v>
          </cell>
          <cell r="C159">
            <v>-17</v>
          </cell>
          <cell r="D159">
            <v>-13</v>
          </cell>
          <cell r="E159">
            <v>1</v>
          </cell>
          <cell r="F159">
            <v>-12</v>
          </cell>
          <cell r="G159">
            <v>-3</v>
          </cell>
          <cell r="H159">
            <v>-15</v>
          </cell>
          <cell r="I159">
            <v>4</v>
          </cell>
          <cell r="J159">
            <v>-6</v>
          </cell>
          <cell r="K159">
            <v>-2</v>
          </cell>
          <cell r="L159">
            <v>-7</v>
          </cell>
          <cell r="M159">
            <v>-9</v>
          </cell>
          <cell r="N159">
            <v>-2</v>
          </cell>
          <cell r="O159">
            <v>-11</v>
          </cell>
          <cell r="P159">
            <v>-9</v>
          </cell>
          <cell r="Q159">
            <v>-6</v>
          </cell>
          <cell r="R159">
            <v>-15</v>
          </cell>
          <cell r="S159">
            <v>-3</v>
          </cell>
          <cell r="T159">
            <v>-18</v>
          </cell>
          <cell r="U159">
            <v>-9</v>
          </cell>
          <cell r="V159">
            <v>-27</v>
          </cell>
          <cell r="W159">
            <v>-2</v>
          </cell>
          <cell r="X159">
            <v>-8</v>
          </cell>
          <cell r="Y159">
            <v>-10</v>
          </cell>
          <cell r="Z159">
            <v>-3</v>
          </cell>
          <cell r="AA159">
            <v>-13</v>
          </cell>
          <cell r="AB159">
            <v>-9</v>
          </cell>
          <cell r="AC159">
            <v>-22</v>
          </cell>
          <cell r="AD159">
            <v>-6</v>
          </cell>
          <cell r="AE159">
            <v>-11</v>
          </cell>
          <cell r="AF159">
            <v>-17</v>
          </cell>
          <cell r="AG159">
            <v>-11</v>
          </cell>
          <cell r="AH159">
            <v>-28</v>
          </cell>
          <cell r="AI159">
            <v>-10</v>
          </cell>
          <cell r="AJ159">
            <v>-38</v>
          </cell>
          <cell r="AK159">
            <v>-13</v>
          </cell>
          <cell r="AL159">
            <v>-9</v>
          </cell>
          <cell r="AM159">
            <v>-22</v>
          </cell>
          <cell r="AN159">
            <v>-14</v>
          </cell>
          <cell r="AO159">
            <v>-36</v>
          </cell>
          <cell r="AP159">
            <v>-18</v>
          </cell>
          <cell r="AQ159">
            <v>-54</v>
          </cell>
          <cell r="AR159">
            <v>-15</v>
          </cell>
          <cell r="AS159">
            <v>-20</v>
          </cell>
          <cell r="AT159">
            <v>-35</v>
          </cell>
          <cell r="AU159">
            <v>-44</v>
          </cell>
          <cell r="AV159">
            <v>-79</v>
          </cell>
          <cell r="AW159">
            <v>-183</v>
          </cell>
          <cell r="AX159">
            <v>-262</v>
          </cell>
          <cell r="AY159">
            <v>-136</v>
          </cell>
          <cell r="AZ159">
            <v>-22</v>
          </cell>
          <cell r="BA159">
            <v>-158</v>
          </cell>
          <cell r="BB159">
            <v>-24</v>
          </cell>
          <cell r="BC159">
            <v>-182</v>
          </cell>
          <cell r="BD159">
            <v>-35</v>
          </cell>
          <cell r="BE159">
            <v>-217</v>
          </cell>
          <cell r="BF159">
            <v>-22</v>
          </cell>
          <cell r="BG159">
            <v>-27</v>
          </cell>
          <cell r="BH159">
            <v>-49</v>
          </cell>
          <cell r="BI159">
            <v>-27</v>
          </cell>
          <cell r="BJ159">
            <v>-76</v>
          </cell>
          <cell r="BK159">
            <v>-37</v>
          </cell>
          <cell r="BL159">
            <v>-113</v>
          </cell>
          <cell r="BM159">
            <v>-24</v>
          </cell>
          <cell r="BN159">
            <v>-32</v>
          </cell>
          <cell r="BO159">
            <v>-56</v>
          </cell>
          <cell r="BP159">
            <v>-32</v>
          </cell>
          <cell r="BQ159">
            <v>-88</v>
          </cell>
          <cell r="BR159">
            <v>-29</v>
          </cell>
          <cell r="BS159">
            <v>-117</v>
          </cell>
          <cell r="BT159">
            <v>-30.127500000000001</v>
          </cell>
          <cell r="BU159">
            <v>-30.127500000000001</v>
          </cell>
          <cell r="BV159">
            <v>-60.255000000000003</v>
          </cell>
          <cell r="BW159">
            <v>-30.127500000000001</v>
          </cell>
          <cell r="BX159">
            <v>-90.382500000000007</v>
          </cell>
          <cell r="BY159">
            <v>-30.127499999999998</v>
          </cell>
          <cell r="BZ159">
            <v>-120.51</v>
          </cell>
          <cell r="CA159">
            <v>-124.12530000000001</v>
          </cell>
          <cell r="CB159">
            <v>-127.84905900000001</v>
          </cell>
          <cell r="CC159">
            <v>-131.68453077000001</v>
          </cell>
          <cell r="CD159">
            <v>-135.63506669310001</v>
          </cell>
          <cell r="CE159">
            <v>-139.70411869389301</v>
          </cell>
          <cell r="CF159">
            <v>-143.89524225470981</v>
          </cell>
          <cell r="CG159">
            <v>-148.21209952235111</v>
          </cell>
          <cell r="CH159">
            <v>-152.65846250802164</v>
          </cell>
          <cell r="CI159">
            <v>-157.23821638326228</v>
          </cell>
          <cell r="CJ159">
            <v>-161.95536287476017</v>
          </cell>
        </row>
        <row r="160">
          <cell r="A160" t="str">
            <v>Core net income (group)</v>
          </cell>
          <cell r="H160">
            <v>5723.8650000000007</v>
          </cell>
          <cell r="I160">
            <v>0</v>
          </cell>
          <cell r="J160">
            <v>0</v>
          </cell>
          <cell r="K160">
            <v>0</v>
          </cell>
          <cell r="L160">
            <v>0</v>
          </cell>
          <cell r="M160">
            <v>0</v>
          </cell>
          <cell r="N160">
            <v>0</v>
          </cell>
          <cell r="O160">
            <v>6788.5880990400001</v>
          </cell>
          <cell r="P160">
            <v>0</v>
          </cell>
          <cell r="Q160">
            <v>0</v>
          </cell>
          <cell r="R160">
            <v>0</v>
          </cell>
          <cell r="S160">
            <v>0</v>
          </cell>
          <cell r="T160">
            <v>0</v>
          </cell>
          <cell r="U160">
            <v>0</v>
          </cell>
          <cell r="V160">
            <v>7762</v>
          </cell>
          <cell r="W160">
            <v>2223</v>
          </cell>
          <cell r="X160">
            <v>2172</v>
          </cell>
          <cell r="Y160">
            <v>4395</v>
          </cell>
          <cell r="Z160">
            <v>2410</v>
          </cell>
          <cell r="AA160">
            <v>6805</v>
          </cell>
          <cell r="AB160">
            <v>1585</v>
          </cell>
          <cell r="AC160">
            <v>8331</v>
          </cell>
          <cell r="AD160">
            <v>2434</v>
          </cell>
          <cell r="AE160">
            <v>2410</v>
          </cell>
          <cell r="AF160">
            <v>4844</v>
          </cell>
          <cell r="AG160">
            <v>2675</v>
          </cell>
          <cell r="AH160">
            <v>7519</v>
          </cell>
          <cell r="AI160">
            <v>1926</v>
          </cell>
          <cell r="AJ160">
            <v>9331</v>
          </cell>
          <cell r="AK160">
            <v>2270</v>
          </cell>
          <cell r="AL160">
            <v>2391</v>
          </cell>
          <cell r="AM160">
            <v>4661</v>
          </cell>
          <cell r="AN160">
            <v>2682</v>
          </cell>
          <cell r="AO160">
            <v>7343</v>
          </cell>
          <cell r="AP160">
            <v>2892</v>
          </cell>
          <cell r="AQ160">
            <v>10267</v>
          </cell>
          <cell r="AR160">
            <v>3294</v>
          </cell>
          <cell r="AS160">
            <v>2751</v>
          </cell>
          <cell r="AT160">
            <v>6045</v>
          </cell>
          <cell r="AU160">
            <v>3102</v>
          </cell>
          <cell r="AV160">
            <v>9147</v>
          </cell>
          <cell r="AW160">
            <v>2620</v>
          </cell>
          <cell r="AX160">
            <v>11767</v>
          </cell>
          <cell r="AY160">
            <v>3239.6000000000004</v>
          </cell>
          <cell r="AZ160">
            <v>3542.3999999999996</v>
          </cell>
          <cell r="BA160">
            <v>6782</v>
          </cell>
          <cell r="BB160">
            <v>3515</v>
          </cell>
          <cell r="BC160">
            <v>10297</v>
          </cell>
          <cell r="BD160">
            <v>2976</v>
          </cell>
          <cell r="BE160">
            <v>13273</v>
          </cell>
          <cell r="BF160">
            <v>3013</v>
          </cell>
          <cell r="BG160">
            <v>3271</v>
          </cell>
          <cell r="BH160">
            <v>6284</v>
          </cell>
          <cell r="BI160">
            <v>3174</v>
          </cell>
          <cell r="BJ160">
            <v>9458</v>
          </cell>
          <cell r="BK160">
            <v>3004.9</v>
          </cell>
          <cell r="BL160">
            <v>12462.9</v>
          </cell>
          <cell r="BM160">
            <v>3224</v>
          </cell>
          <cell r="BN160">
            <v>3195</v>
          </cell>
          <cell r="BO160">
            <v>6419</v>
          </cell>
          <cell r="BP160">
            <v>3071</v>
          </cell>
          <cell r="BQ160">
            <v>9490</v>
          </cell>
          <cell r="BR160">
            <v>2926</v>
          </cell>
          <cell r="BS160">
            <v>12416</v>
          </cell>
          <cell r="BT160">
            <v>2885.7782341265784</v>
          </cell>
          <cell r="BU160">
            <v>3289.4733747894829</v>
          </cell>
          <cell r="BV160">
            <v>6175.2516089160617</v>
          </cell>
          <cell r="BW160">
            <v>3296.9478130088778</v>
          </cell>
          <cell r="BX160">
            <v>9472.1994219249409</v>
          </cell>
          <cell r="BY160">
            <v>3247.58722090314</v>
          </cell>
          <cell r="BZ160">
            <v>12719.786642828092</v>
          </cell>
          <cell r="CA160">
            <v>13253.52075922631</v>
          </cell>
          <cell r="CB160">
            <v>13885.752152872436</v>
          </cell>
          <cell r="CC160">
            <v>14641.283285909018</v>
          </cell>
          <cell r="CD160">
            <v>15458.422781761408</v>
          </cell>
          <cell r="CE160">
            <v>15250.457791097102</v>
          </cell>
          <cell r="CF160">
            <v>15283.89024673958</v>
          </cell>
          <cell r="CG160">
            <v>15317.334097047609</v>
          </cell>
          <cell r="CH160">
            <v>15357.559002763564</v>
          </cell>
          <cell r="CI160">
            <v>15168.570862779759</v>
          </cell>
          <cell r="CJ160">
            <v>15707.594726824989</v>
          </cell>
          <cell r="CL160" t="str">
            <v>mstag:netIncomeAdjustedForConsensus</v>
          </cell>
          <cell r="CM160">
            <v>6</v>
          </cell>
          <cell r="CN160" t="str">
            <v>ISO4217:USD</v>
          </cell>
          <cell r="CO160" t="b">
            <v>0</v>
          </cell>
        </row>
        <row r="161">
          <cell r="AX161">
            <v>0.14609915262491469</v>
          </cell>
          <cell r="AY161">
            <v>-1.6514875531268847E-2</v>
          </cell>
          <cell r="AZ161">
            <v>0.28767720828789511</v>
          </cell>
          <cell r="BA161">
            <v>0.12191894127378</v>
          </cell>
          <cell r="BB161">
            <v>0.13313990973565448</v>
          </cell>
          <cell r="BC161">
            <v>0.12572428118508805</v>
          </cell>
          <cell r="BD161">
            <v>0.13587786259541978</v>
          </cell>
          <cell r="BE161">
            <v>0.12798504291663115</v>
          </cell>
          <cell r="BF161">
            <v>-6.9946907025558835E-2</v>
          </cell>
          <cell r="BG161">
            <v>-7.6614724480578045E-2</v>
          </cell>
          <cell r="BH161">
            <v>-7.3429666764966095E-2</v>
          </cell>
          <cell r="BI161">
            <v>-9.7012802275960208E-2</v>
          </cell>
          <cell r="BJ161">
            <v>-8.1480042730892488E-2</v>
          </cell>
          <cell r="BK161">
            <v>9.7110215053763937E-3</v>
          </cell>
          <cell r="BL161">
            <v>-6.103367739019061E-2</v>
          </cell>
          <cell r="BM161">
            <v>7.0029870560902818E-2</v>
          </cell>
          <cell r="BN161">
            <v>-2.3234484867013183E-2</v>
          </cell>
          <cell r="BO161">
            <v>2.1483131763208041E-2</v>
          </cell>
          <cell r="BP161">
            <v>-0.51129853596435393</v>
          </cell>
          <cell r="BQ161">
            <v>3.3833791499260357E-3</v>
          </cell>
          <cell r="BR161">
            <v>-7.813484562066797E-2</v>
          </cell>
          <cell r="BS161">
            <v>-3.7631690858467293E-3</v>
          </cell>
          <cell r="BT161">
            <v>-0.10490749561830692</v>
          </cell>
          <cell r="BU161">
            <v>2.9569131389509451E-2</v>
          </cell>
          <cell r="BV161">
            <v>-3.7972953899974793E-2</v>
          </cell>
          <cell r="BW161">
            <v>7.3574670468537162E-2</v>
          </cell>
          <cell r="BX161">
            <v>-1.8757195021137374E-3</v>
          </cell>
          <cell r="BY161">
            <v>0.1099067740612234</v>
          </cell>
          <cell r="BZ161">
            <v>2.4467352031901868E-2</v>
          </cell>
          <cell r="CA161">
            <v>4.1960933102534348E-2</v>
          </cell>
          <cell r="CB161">
            <v>4.7702901374791606E-2</v>
          </cell>
          <cell r="CC161">
            <v>5.4410529924393769E-2</v>
          </cell>
          <cell r="CD161">
            <v>5.5810647188202278E-2</v>
          </cell>
          <cell r="CE161">
            <v>-1.3453183005815661E-2</v>
          </cell>
          <cell r="CF161">
            <v>2.1922263646403373E-3</v>
          </cell>
          <cell r="CG161">
            <v>2.1881765550602061E-3</v>
          </cell>
          <cell r="CH161">
            <v>2.626103567441751E-3</v>
          </cell>
          <cell r="CI161">
            <v>-1.2305871001361379E-2</v>
          </cell>
          <cell r="CJ161">
            <v>3.5535573451278335E-2</v>
          </cell>
        </row>
        <row r="163">
          <cell r="A163" t="str">
            <v>Other operating income</v>
          </cell>
          <cell r="B163">
            <v>-170</v>
          </cell>
          <cell r="C163">
            <v>4</v>
          </cell>
          <cell r="D163">
            <v>-166</v>
          </cell>
          <cell r="E163">
            <v>-201</v>
          </cell>
          <cell r="F163">
            <v>-367</v>
          </cell>
          <cell r="G163">
            <v>-30</v>
          </cell>
          <cell r="H163">
            <v>-397</v>
          </cell>
          <cell r="I163">
            <v>0</v>
          </cell>
          <cell r="J163">
            <v>-50</v>
          </cell>
          <cell r="K163">
            <v>-50</v>
          </cell>
          <cell r="L163">
            <v>-6</v>
          </cell>
          <cell r="M163">
            <v>-56</v>
          </cell>
          <cell r="N163">
            <v>-62</v>
          </cell>
          <cell r="O163">
            <v>-118</v>
          </cell>
          <cell r="P163">
            <v>-67</v>
          </cell>
          <cell r="Q163">
            <v>-221</v>
          </cell>
          <cell r="R163">
            <v>-288</v>
          </cell>
          <cell r="S163">
            <v>-71</v>
          </cell>
          <cell r="T163">
            <v>-359</v>
          </cell>
          <cell r="U163">
            <v>-215</v>
          </cell>
          <cell r="V163">
            <v>-574</v>
          </cell>
          <cell r="W163">
            <v>35</v>
          </cell>
          <cell r="X163">
            <v>-125</v>
          </cell>
          <cell r="Y163">
            <v>-90</v>
          </cell>
          <cell r="Z163">
            <v>-589.25</v>
          </cell>
          <cell r="AA163">
            <v>-679.25</v>
          </cell>
          <cell r="AB163">
            <v>-735</v>
          </cell>
          <cell r="AC163">
            <v>-1414.25</v>
          </cell>
          <cell r="AJ163">
            <v>-828</v>
          </cell>
          <cell r="AQ163">
            <v>-1142</v>
          </cell>
          <cell r="AX163">
            <v>-680</v>
          </cell>
          <cell r="BE163">
            <v>-1762</v>
          </cell>
          <cell r="BL163">
            <v>-990</v>
          </cell>
          <cell r="BS163">
            <v>-852</v>
          </cell>
          <cell r="BT163">
            <v>691.45860166396642</v>
          </cell>
          <cell r="BU163">
            <v>-114.54139833603357</v>
          </cell>
          <cell r="BV163">
            <v>576.91720332793284</v>
          </cell>
          <cell r="BW163">
            <v>-112.54139833603357</v>
          </cell>
          <cell r="BX163">
            <v>464.37580499189926</v>
          </cell>
          <cell r="BY163">
            <v>-72.54139833603368</v>
          </cell>
          <cell r="BZ163">
            <v>391.83440665586573</v>
          </cell>
          <cell r="CA163">
            <v>-486.22324282472528</v>
          </cell>
          <cell r="CB163">
            <v>-468.92859396585231</v>
          </cell>
          <cell r="CC163">
            <v>-456.69886256502923</v>
          </cell>
          <cell r="CD163">
            <v>-447.79878878859887</v>
          </cell>
          <cell r="CE163">
            <v>-391.82474826885334</v>
          </cell>
          <cell r="CF163">
            <v>-347.67604871365631</v>
          </cell>
          <cell r="CG163">
            <v>-285.84569173520543</v>
          </cell>
          <cell r="CH163">
            <v>-225.44887585607592</v>
          </cell>
          <cell r="CI163">
            <v>-163.84657477787479</v>
          </cell>
          <cell r="CJ163">
            <v>-95.14057462737938</v>
          </cell>
          <cell r="CL163" t="str">
            <v>mstag:otherOperatingExpense</v>
          </cell>
          <cell r="CM163">
            <v>6</v>
          </cell>
          <cell r="CN163" t="str">
            <v>ISO4217:USD</v>
          </cell>
          <cell r="CO163" t="b">
            <v>1</v>
          </cell>
        </row>
        <row r="164">
          <cell r="A164" t="str">
            <v>Sandoz restructuring</v>
          </cell>
          <cell r="I164">
            <v>0</v>
          </cell>
          <cell r="J164">
            <v>-30</v>
          </cell>
          <cell r="K164">
            <v>-30</v>
          </cell>
          <cell r="L164">
            <v>-129</v>
          </cell>
          <cell r="M164">
            <v>-159</v>
          </cell>
          <cell r="N164">
            <v>-78</v>
          </cell>
          <cell r="O164">
            <v>-237</v>
          </cell>
          <cell r="P164">
            <v>-23</v>
          </cell>
          <cell r="Q164">
            <v>-1</v>
          </cell>
          <cell r="R164">
            <v>-24</v>
          </cell>
          <cell r="S164">
            <v>-37</v>
          </cell>
          <cell r="T164">
            <v>-61</v>
          </cell>
          <cell r="U164">
            <v>0</v>
          </cell>
          <cell r="V164">
            <v>-61</v>
          </cell>
          <cell r="W164">
            <v>-7</v>
          </cell>
          <cell r="X164">
            <v>0</v>
          </cell>
          <cell r="Y164">
            <v>-7</v>
          </cell>
          <cell r="Z164">
            <v>0</v>
          </cell>
          <cell r="AA164">
            <v>-7</v>
          </cell>
          <cell r="AB164">
            <v>0</v>
          </cell>
          <cell r="AC164">
            <v>-7</v>
          </cell>
          <cell r="AJ164">
            <v>0</v>
          </cell>
          <cell r="AQ164">
            <v>0</v>
          </cell>
          <cell r="AX164">
            <v>0</v>
          </cell>
          <cell r="BE164">
            <v>0</v>
          </cell>
          <cell r="BL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L164" t="str">
            <v>mstag:restructuringCostsOneTime</v>
          </cell>
          <cell r="CM164">
            <v>6</v>
          </cell>
          <cell r="CN164" t="str">
            <v>ISO4217:USD</v>
          </cell>
          <cell r="CO164" t="b">
            <v>1</v>
          </cell>
        </row>
        <row r="165">
          <cell r="A165" t="str">
            <v>Chiron restructuring</v>
          </cell>
          <cell r="I165">
            <v>0</v>
          </cell>
          <cell r="J165">
            <v>0</v>
          </cell>
          <cell r="K165">
            <v>0</v>
          </cell>
          <cell r="L165">
            <v>0</v>
          </cell>
          <cell r="M165">
            <v>0</v>
          </cell>
          <cell r="N165">
            <v>0</v>
          </cell>
          <cell r="O165">
            <v>0</v>
          </cell>
          <cell r="P165">
            <v>0</v>
          </cell>
          <cell r="Q165">
            <v>-42</v>
          </cell>
          <cell r="R165">
            <v>-42</v>
          </cell>
          <cell r="S165">
            <v>-80</v>
          </cell>
          <cell r="T165">
            <v>-122</v>
          </cell>
          <cell r="U165">
            <v>0</v>
          </cell>
          <cell r="V165">
            <v>-122</v>
          </cell>
          <cell r="W165">
            <v>-7</v>
          </cell>
          <cell r="X165">
            <v>-7</v>
          </cell>
          <cell r="Y165">
            <v>-14</v>
          </cell>
          <cell r="Z165">
            <v>-9.75</v>
          </cell>
          <cell r="AA165">
            <v>-23.75</v>
          </cell>
          <cell r="AB165">
            <v>0</v>
          </cell>
          <cell r="AC165">
            <v>-23.75</v>
          </cell>
          <cell r="AJ165">
            <v>-39</v>
          </cell>
          <cell r="AQ165">
            <v>0</v>
          </cell>
          <cell r="AX165">
            <v>0</v>
          </cell>
          <cell r="BE165">
            <v>0</v>
          </cell>
          <cell r="BL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L165" t="str">
            <v>mstag:restructuringCostsOneTime</v>
          </cell>
          <cell r="CM165">
            <v>6</v>
          </cell>
          <cell r="CN165" t="str">
            <v>ISO4217:USD</v>
          </cell>
          <cell r="CO165" t="b">
            <v>1</v>
          </cell>
        </row>
        <row r="166">
          <cell r="A166" t="str">
            <v>ADR ratio</v>
          </cell>
          <cell r="I166">
            <v>1</v>
          </cell>
          <cell r="J166">
            <v>1</v>
          </cell>
          <cell r="K166">
            <v>1</v>
          </cell>
          <cell r="L166">
            <v>1</v>
          </cell>
          <cell r="M166">
            <v>1</v>
          </cell>
          <cell r="N166">
            <v>1</v>
          </cell>
          <cell r="O166">
            <v>1</v>
          </cell>
          <cell r="P166">
            <v>1</v>
          </cell>
          <cell r="Q166">
            <v>1</v>
          </cell>
          <cell r="R166">
            <v>1</v>
          </cell>
          <cell r="S166">
            <v>1</v>
          </cell>
          <cell r="T166">
            <v>1</v>
          </cell>
          <cell r="U166">
            <v>1</v>
          </cell>
          <cell r="V166">
            <v>1</v>
          </cell>
          <cell r="W166">
            <v>1</v>
          </cell>
          <cell r="X166">
            <v>1</v>
          </cell>
          <cell r="Y166">
            <v>1</v>
          </cell>
          <cell r="Z166">
            <v>1</v>
          </cell>
          <cell r="AA166">
            <v>1</v>
          </cell>
          <cell r="AB166">
            <v>1</v>
          </cell>
          <cell r="AC166">
            <v>1</v>
          </cell>
          <cell r="AJ166">
            <v>1</v>
          </cell>
          <cell r="AQ166">
            <v>1</v>
          </cell>
          <cell r="AX166">
            <v>1</v>
          </cell>
          <cell r="BE166">
            <v>1</v>
          </cell>
          <cell r="BL166">
            <v>1</v>
          </cell>
          <cell r="BS166">
            <v>1</v>
          </cell>
          <cell r="BT166">
            <v>0.25</v>
          </cell>
          <cell r="BU166">
            <v>0.25</v>
          </cell>
          <cell r="BV166">
            <v>0.5</v>
          </cell>
          <cell r="BW166">
            <v>0.25</v>
          </cell>
          <cell r="BX166">
            <v>0.75</v>
          </cell>
          <cell r="BY166">
            <v>0.25</v>
          </cell>
          <cell r="BZ166">
            <v>1</v>
          </cell>
          <cell r="CA166">
            <v>1</v>
          </cell>
          <cell r="CB166">
            <v>1</v>
          </cell>
          <cell r="CC166">
            <v>1</v>
          </cell>
          <cell r="CD166">
            <v>1</v>
          </cell>
          <cell r="CE166">
            <v>1</v>
          </cell>
          <cell r="CF166">
            <v>2</v>
          </cell>
          <cell r="CG166">
            <v>3</v>
          </cell>
          <cell r="CH166">
            <v>4</v>
          </cell>
          <cell r="CI166">
            <v>5</v>
          </cell>
          <cell r="CJ166">
            <v>5</v>
          </cell>
          <cell r="CL166" t="str">
            <v>mstag:adrRatioNew~NVS.N</v>
          </cell>
          <cell r="CM166">
            <v>0</v>
          </cell>
          <cell r="CN166" t="str">
            <v>ms_eqr_gcim_Decimal:ms_eqr_gcim_decimal</v>
          </cell>
          <cell r="CO166" t="b">
            <v>0</v>
          </cell>
        </row>
        <row r="167">
          <cell r="A167" t="str">
            <v>Financial income</v>
          </cell>
          <cell r="O167">
            <v>585</v>
          </cell>
          <cell r="V167">
            <v>705</v>
          </cell>
          <cell r="BT167">
            <v>11.242901529720955</v>
          </cell>
          <cell r="BU167">
            <v>11.242901529720955</v>
          </cell>
          <cell r="BV167">
            <v>22.48580305944191</v>
          </cell>
          <cell r="BW167">
            <v>11.242901529720955</v>
          </cell>
          <cell r="BX167">
            <v>33.728704589162867</v>
          </cell>
          <cell r="BY167">
            <v>11.242901529720953</v>
          </cell>
          <cell r="BZ167">
            <v>44.97160611888382</v>
          </cell>
          <cell r="CA167">
            <v>49.946585125176767</v>
          </cell>
          <cell r="CB167">
            <v>56.881297645978243</v>
          </cell>
          <cell r="CC167">
            <v>68.522654397755261</v>
          </cell>
          <cell r="CD167">
            <v>87.441258031894975</v>
          </cell>
          <cell r="CE167">
            <v>108.78474193346153</v>
          </cell>
          <cell r="CF167">
            <v>127.05980408286807</v>
          </cell>
          <cell r="CG167">
            <v>143.3224760103314</v>
          </cell>
          <cell r="CH167">
            <v>157.23602471324764</v>
          </cell>
          <cell r="CI167">
            <v>168.22561611713672</v>
          </cell>
          <cell r="CJ167">
            <v>178.65939070799485</v>
          </cell>
        </row>
        <row r="168">
          <cell r="A168" t="str">
            <v>Financial expense</v>
          </cell>
          <cell r="O168">
            <v>-533</v>
          </cell>
          <cell r="V168">
            <v>-655</v>
          </cell>
          <cell r="BT168">
            <v>-180.30850000000001</v>
          </cell>
          <cell r="BU168">
            <v>-180.30850000000001</v>
          </cell>
          <cell r="BV168">
            <v>-360.61700000000002</v>
          </cell>
          <cell r="BW168">
            <v>-180.30850000000001</v>
          </cell>
          <cell r="BX168">
            <v>-540.92550000000006</v>
          </cell>
          <cell r="BY168">
            <v>-180.30849999999998</v>
          </cell>
          <cell r="BZ168">
            <v>-721.23400000000004</v>
          </cell>
          <cell r="CA168">
            <v>-721.23400000000004</v>
          </cell>
          <cell r="CB168">
            <v>-721.23400000000004</v>
          </cell>
          <cell r="CC168">
            <v>-721.23400000000004</v>
          </cell>
          <cell r="CD168">
            <v>-721.23400000000004</v>
          </cell>
          <cell r="CE168">
            <v>-721.23400000000004</v>
          </cell>
          <cell r="CF168">
            <v>-721.23400000000004</v>
          </cell>
          <cell r="CG168">
            <v>-721.23400000000004</v>
          </cell>
          <cell r="CH168">
            <v>-721.23400000000004</v>
          </cell>
          <cell r="CI168">
            <v>-721.23400000000004</v>
          </cell>
          <cell r="CJ168">
            <v>-721.23400000000004</v>
          </cell>
        </row>
        <row r="169">
          <cell r="A169" t="str">
            <v>Currency result, net</v>
          </cell>
          <cell r="O169">
            <v>115</v>
          </cell>
          <cell r="V169">
            <v>38</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row>
        <row r="170">
          <cell r="A170" t="str">
            <v>Statutory Tax Rate</v>
          </cell>
          <cell r="H170">
            <v>0.156</v>
          </cell>
          <cell r="I170">
            <v>0.156</v>
          </cell>
          <cell r="J170">
            <v>0.156</v>
          </cell>
          <cell r="K170">
            <v>0.156</v>
          </cell>
          <cell r="L170">
            <v>0.156</v>
          </cell>
          <cell r="M170">
            <v>0.156</v>
          </cell>
          <cell r="N170">
            <v>0.156</v>
          </cell>
          <cell r="O170">
            <v>0.156</v>
          </cell>
          <cell r="P170">
            <v>0.156</v>
          </cell>
          <cell r="Q170">
            <v>0.156</v>
          </cell>
          <cell r="R170">
            <v>0.156</v>
          </cell>
          <cell r="S170">
            <v>0.156</v>
          </cell>
          <cell r="T170">
            <v>0.156</v>
          </cell>
          <cell r="U170">
            <v>0.156</v>
          </cell>
          <cell r="V170">
            <v>0.156</v>
          </cell>
          <cell r="W170">
            <v>0.156</v>
          </cell>
          <cell r="X170">
            <v>0.156</v>
          </cell>
          <cell r="Y170">
            <v>0.156</v>
          </cell>
          <cell r="Z170">
            <v>0.156</v>
          </cell>
          <cell r="AA170">
            <v>0.156</v>
          </cell>
          <cell r="AB170">
            <v>0.156</v>
          </cell>
          <cell r="AC170">
            <v>0.156</v>
          </cell>
          <cell r="AD170">
            <v>0.156</v>
          </cell>
          <cell r="AE170">
            <v>0.156</v>
          </cell>
          <cell r="AF170">
            <v>0.156</v>
          </cell>
          <cell r="AG170">
            <v>0.156</v>
          </cell>
          <cell r="AH170">
            <v>0.156</v>
          </cell>
          <cell r="AI170">
            <v>0.156</v>
          </cell>
          <cell r="AJ170">
            <v>0.156</v>
          </cell>
          <cell r="AQ170">
            <v>0.156</v>
          </cell>
          <cell r="AX170">
            <v>0.158</v>
          </cell>
          <cell r="BE170">
            <v>0.155</v>
          </cell>
          <cell r="BL170">
            <v>0.14114416475972541</v>
          </cell>
          <cell r="BS170">
            <v>0.1344201210992082</v>
          </cell>
          <cell r="BZ170">
            <v>0.14499999999999999</v>
          </cell>
          <cell r="CA170">
            <v>0.14499999999999999</v>
          </cell>
          <cell r="CB170">
            <v>0.14499999999999999</v>
          </cell>
          <cell r="CC170">
            <v>0.14499999999999999</v>
          </cell>
          <cell r="CD170">
            <v>0.14499999999999999</v>
          </cell>
          <cell r="CE170">
            <v>0.14499999999999999</v>
          </cell>
          <cell r="CF170">
            <v>0.14499999999999999</v>
          </cell>
          <cell r="CG170">
            <v>0.14499999999999999</v>
          </cell>
          <cell r="CH170">
            <v>0.14499999999999999</v>
          </cell>
          <cell r="CI170">
            <v>0.14499999999999999</v>
          </cell>
          <cell r="CJ170">
            <v>0.14499999999999999</v>
          </cell>
          <cell r="CL170" t="str">
            <v>mstag:statutoryTaxRate</v>
          </cell>
          <cell r="CM170">
            <v>0</v>
          </cell>
          <cell r="CN170" t="str">
            <v>ms_eqr_gcim_Decimal:ms_eqr_gcim_decimal</v>
          </cell>
          <cell r="CO170" t="b">
            <v>0</v>
          </cell>
        </row>
        <row r="171">
          <cell r="H171" t="str">
            <v>2004-FY</v>
          </cell>
          <cell r="O171" t="str">
            <v>2005-FY</v>
          </cell>
          <cell r="V171" t="str">
            <v>2006-FY</v>
          </cell>
          <cell r="AC171" t="str">
            <v>2007-FY</v>
          </cell>
          <cell r="AJ171" t="str">
            <v>2008-FY</v>
          </cell>
          <cell r="AQ171" t="str">
            <v>2009-FY</v>
          </cell>
          <cell r="AX171" t="str">
            <v>2010-FY</v>
          </cell>
          <cell r="BE171" t="str">
            <v>2011-FY</v>
          </cell>
          <cell r="BL171" t="str">
            <v>2012-FY</v>
          </cell>
          <cell r="BS171" t="str">
            <v>2013-FY</v>
          </cell>
          <cell r="BZ171" t="str">
            <v>2014-FY</v>
          </cell>
          <cell r="CA171" t="str">
            <v>2015-FY</v>
          </cell>
          <cell r="CB171" t="str">
            <v>2016-FY</v>
          </cell>
          <cell r="CC171" t="str">
            <v>2017-FY</v>
          </cell>
          <cell r="CD171" t="str">
            <v>2018-FY</v>
          </cell>
          <cell r="CE171" t="str">
            <v>2019-FY</v>
          </cell>
          <cell r="CF171" t="str">
            <v>2020-FY</v>
          </cell>
          <cell r="CG171" t="str">
            <v>2021-FY</v>
          </cell>
          <cell r="CH171" t="str">
            <v>2022-FY</v>
          </cell>
          <cell r="CI171" t="str">
            <v>2023-FY</v>
          </cell>
          <cell r="CJ171" t="str">
            <v>2024-FY</v>
          </cell>
        </row>
        <row r="173">
          <cell r="A173" t="str">
            <v>ModelWare EPS Calc</v>
          </cell>
        </row>
        <row r="175">
          <cell r="A175" t="str">
            <v>Operating Rev</v>
          </cell>
          <cell r="W175">
            <v>9374</v>
          </cell>
          <cell r="X175">
            <v>9584</v>
          </cell>
          <cell r="Y175">
            <v>18958</v>
          </cell>
          <cell r="Z175">
            <v>9818</v>
          </cell>
          <cell r="AA175">
            <v>28776</v>
          </cell>
          <cell r="AB175">
            <v>10171</v>
          </cell>
          <cell r="AC175">
            <v>38947</v>
          </cell>
          <cell r="AJ175">
            <v>42584</v>
          </cell>
          <cell r="AQ175">
            <v>45103</v>
          </cell>
          <cell r="AX175">
            <v>51561</v>
          </cell>
          <cell r="BE175">
            <v>59375</v>
          </cell>
          <cell r="BL175">
            <v>57561</v>
          </cell>
          <cell r="BS175">
            <v>58831</v>
          </cell>
          <cell r="BZ175">
            <v>59917.010429404807</v>
          </cell>
          <cell r="CA175">
            <v>61175.521656255194</v>
          </cell>
          <cell r="CB175">
            <v>63109.295988387545</v>
          </cell>
          <cell r="CC175">
            <v>65257.499660931724</v>
          </cell>
          <cell r="CD175">
            <v>67623.768836432399</v>
          </cell>
          <cell r="CE175">
            <v>67877.051697618284</v>
          </cell>
          <cell r="CF175">
            <v>68751.053069680565</v>
          </cell>
          <cell r="CG175">
            <v>68871.555418845121</v>
          </cell>
          <cell r="CH175">
            <v>68940.896097484845</v>
          </cell>
          <cell r="CI175">
            <v>69811.591400191901</v>
          </cell>
          <cell r="CJ175">
            <v>68632.848675134839</v>
          </cell>
        </row>
        <row r="176">
          <cell r="A176" t="str">
            <v>Operating Expense</v>
          </cell>
          <cell r="W176">
            <v>-7032</v>
          </cell>
          <cell r="X176">
            <v>-7480</v>
          </cell>
          <cell r="Y176">
            <v>-14512</v>
          </cell>
          <cell r="Z176">
            <v>-8356.25</v>
          </cell>
          <cell r="AA176">
            <v>-22868.25</v>
          </cell>
          <cell r="AB176">
            <v>-9274</v>
          </cell>
          <cell r="AC176">
            <v>-30055.25</v>
          </cell>
          <cell r="AJ176">
            <v>-32309</v>
          </cell>
          <cell r="AQ176">
            <v>-33666</v>
          </cell>
          <cell r="AX176">
            <v>-37555</v>
          </cell>
          <cell r="BE176">
            <v>-43466</v>
          </cell>
          <cell r="BL176">
            <v>-42719.1</v>
          </cell>
          <cell r="BS176">
            <v>-44346</v>
          </cell>
          <cell r="BZ176">
            <v>-45171.876796381606</v>
          </cell>
          <cell r="CA176">
            <v>-46087.469958764312</v>
          </cell>
          <cell r="CB176">
            <v>-47418.580604302726</v>
          </cell>
          <cell r="CC176">
            <v>-48828.209771864218</v>
          </cell>
          <cell r="CD176">
            <v>-50355.987508056452</v>
          </cell>
          <cell r="CE176">
            <v>-50895.626264864572</v>
          </cell>
          <cell r="CF176">
            <v>-51773.717957917775</v>
          </cell>
          <cell r="CG176">
            <v>-51866.310180088418</v>
          </cell>
          <cell r="CH176">
            <v>-51897.308669444108</v>
          </cell>
          <cell r="CI176">
            <v>-53013.351024920536</v>
          </cell>
          <cell r="CJ176">
            <v>-51273.405635846306</v>
          </cell>
        </row>
        <row r="177">
          <cell r="A177" t="str">
            <v>PTOP</v>
          </cell>
          <cell r="W177">
            <v>2342</v>
          </cell>
          <cell r="X177">
            <v>2104</v>
          </cell>
          <cell r="Y177">
            <v>4446</v>
          </cell>
          <cell r="Z177">
            <v>1461.75</v>
          </cell>
          <cell r="AA177">
            <v>5907.75</v>
          </cell>
          <cell r="AB177">
            <v>897</v>
          </cell>
          <cell r="AC177">
            <v>8891.75</v>
          </cell>
          <cell r="AJ177">
            <v>10275</v>
          </cell>
          <cell r="AQ177">
            <v>11437</v>
          </cell>
          <cell r="AX177">
            <v>14006</v>
          </cell>
          <cell r="BE177">
            <v>15909</v>
          </cell>
          <cell r="BL177">
            <v>14841.900000000001</v>
          </cell>
          <cell r="BS177">
            <v>14485</v>
          </cell>
          <cell r="BZ177">
            <v>14745.133633023201</v>
          </cell>
          <cell r="CA177">
            <v>15088.051697490882</v>
          </cell>
          <cell r="CB177">
            <v>15690.715384084819</v>
          </cell>
          <cell r="CC177">
            <v>16429.289889067506</v>
          </cell>
          <cell r="CD177">
            <v>17267.781328375946</v>
          </cell>
          <cell r="CE177">
            <v>16981.425432753713</v>
          </cell>
          <cell r="CF177">
            <v>16977.33511176279</v>
          </cell>
          <cell r="CG177">
            <v>17005.245238756703</v>
          </cell>
          <cell r="CH177">
            <v>17043.587428040737</v>
          </cell>
          <cell r="CI177">
            <v>16798.240375271365</v>
          </cell>
          <cell r="CJ177">
            <v>17359.443039288533</v>
          </cell>
        </row>
        <row r="178">
          <cell r="A178" t="str">
            <v>Tax</v>
          </cell>
          <cell r="W178">
            <v>-365.35199999999998</v>
          </cell>
          <cell r="X178">
            <v>-328.22399999999999</v>
          </cell>
          <cell r="Y178">
            <v>-693.57600000000002</v>
          </cell>
          <cell r="Z178">
            <v>-228.03299999999999</v>
          </cell>
          <cell r="AA178">
            <v>-921.60900000000004</v>
          </cell>
          <cell r="AB178">
            <v>-139.93199999999999</v>
          </cell>
          <cell r="AC178">
            <v>-1387.1130000000001</v>
          </cell>
          <cell r="AJ178">
            <v>-1602.9</v>
          </cell>
          <cell r="AQ178">
            <v>-1784.172</v>
          </cell>
          <cell r="AX178">
            <v>-2212.9479999999999</v>
          </cell>
          <cell r="BE178">
            <v>-2465.895</v>
          </cell>
          <cell r="BL178">
            <v>-2094.8475789473687</v>
          </cell>
          <cell r="BS178">
            <v>-1947.0754541220308</v>
          </cell>
          <cell r="BZ178">
            <v>-2138.0443767883639</v>
          </cell>
          <cell r="CA178">
            <v>-2187.7674961361777</v>
          </cell>
          <cell r="CB178">
            <v>-2275.1537306922987</v>
          </cell>
          <cell r="CC178">
            <v>-2382.2470339147881</v>
          </cell>
          <cell r="CD178">
            <v>-2503.8282926145121</v>
          </cell>
          <cell r="CE178">
            <v>-2462.3066877492884</v>
          </cell>
          <cell r="CF178">
            <v>-2461.7135912056042</v>
          </cell>
          <cell r="CG178">
            <v>-2465.7605596197218</v>
          </cell>
          <cell r="CH178">
            <v>-2471.3201770659066</v>
          </cell>
          <cell r="CI178">
            <v>-2435.7448544143476</v>
          </cell>
          <cell r="CJ178">
            <v>-2517.1192406968371</v>
          </cell>
        </row>
        <row r="179">
          <cell r="A179" t="str">
            <v>NOPAT</v>
          </cell>
          <cell r="W179">
            <v>1976.6480000000001</v>
          </cell>
          <cell r="X179">
            <v>1775.7760000000001</v>
          </cell>
          <cell r="Y179">
            <v>3752.424</v>
          </cell>
          <cell r="Z179">
            <v>1233.7170000000001</v>
          </cell>
          <cell r="AA179">
            <v>4986.1409999999996</v>
          </cell>
          <cell r="AB179">
            <v>757.06799999999998</v>
          </cell>
          <cell r="AC179">
            <v>7504.6369999999997</v>
          </cell>
          <cell r="AJ179">
            <v>8672.1</v>
          </cell>
          <cell r="AQ179">
            <v>9652.8279999999995</v>
          </cell>
          <cell r="AX179">
            <v>11793.052</v>
          </cell>
          <cell r="BE179">
            <v>13443.105</v>
          </cell>
          <cell r="BL179">
            <v>12747.052421052633</v>
          </cell>
          <cell r="BS179">
            <v>12537.92454587797</v>
          </cell>
          <cell r="BZ179">
            <v>12607.089256234836</v>
          </cell>
          <cell r="CA179">
            <v>12900.284201354705</v>
          </cell>
          <cell r="CB179">
            <v>13415.56165339252</v>
          </cell>
          <cell r="CC179">
            <v>14047.042855152718</v>
          </cell>
          <cell r="CD179">
            <v>14763.953035761435</v>
          </cell>
          <cell r="CE179">
            <v>14519.118745004424</v>
          </cell>
          <cell r="CF179">
            <v>14515.621520557186</v>
          </cell>
          <cell r="CG179">
            <v>14539.484679136982</v>
          </cell>
          <cell r="CH179">
            <v>14572.26725097483</v>
          </cell>
          <cell r="CI179">
            <v>14362.495520857017</v>
          </cell>
          <cell r="CJ179">
            <v>14842.323798591697</v>
          </cell>
        </row>
        <row r="180">
          <cell r="A180" t="str">
            <v>Net Financing Income</v>
          </cell>
          <cell r="W180">
            <v>28.695999999999998</v>
          </cell>
          <cell r="X180">
            <v>27.852</v>
          </cell>
          <cell r="Y180">
            <v>56.547999999999995</v>
          </cell>
          <cell r="Z180">
            <v>36.292000000000002</v>
          </cell>
          <cell r="AA180">
            <v>92.84</v>
          </cell>
          <cell r="AB180">
            <v>155.29599999999999</v>
          </cell>
          <cell r="AC180">
            <v>248.136</v>
          </cell>
          <cell r="AJ180">
            <v>-5.0640000000000001</v>
          </cell>
          <cell r="AQ180">
            <v>-297.93200000000002</v>
          </cell>
          <cell r="AX180">
            <v>-528.77599999999995</v>
          </cell>
          <cell r="BE180">
            <v>-636.28499999999997</v>
          </cell>
          <cell r="BL180">
            <v>-704.26178489702522</v>
          </cell>
          <cell r="BS180">
            <v>-670.82440614811367</v>
          </cell>
          <cell r="BZ180">
            <v>-578.2043467683543</v>
          </cell>
          <cell r="CA180">
            <v>-573.95073971797387</v>
          </cell>
          <cell r="CB180">
            <v>-568.02156051268855</v>
          </cell>
          <cell r="CC180">
            <v>-558.06820048991926</v>
          </cell>
          <cell r="CD180">
            <v>-541.89279438272979</v>
          </cell>
          <cell r="CE180">
            <v>-523.64411564689044</v>
          </cell>
          <cell r="CF180">
            <v>-508.01893750914786</v>
          </cell>
          <cell r="CG180">
            <v>-494.11435301116671</v>
          </cell>
          <cell r="CH180">
            <v>-482.21826887017329</v>
          </cell>
          <cell r="CI180">
            <v>-472.82216821984809</v>
          </cell>
          <cell r="CJ180">
            <v>-463.90129094466448</v>
          </cell>
        </row>
        <row r="181">
          <cell r="A181" t="str">
            <v>Other</v>
          </cell>
          <cell r="W181">
            <v>91.655999999999977</v>
          </cell>
          <cell r="X181">
            <v>138.37199999999999</v>
          </cell>
          <cell r="Y181">
            <v>230.02800000000002</v>
          </cell>
          <cell r="Z181">
            <v>310.74099999999999</v>
          </cell>
          <cell r="AA181">
            <v>540.76900000000001</v>
          </cell>
          <cell r="AB181">
            <v>9.6359999999999957</v>
          </cell>
          <cell r="AC181">
            <v>875.97700000000009</v>
          </cell>
          <cell r="AJ181">
            <v>668.96400000000006</v>
          </cell>
          <cell r="AQ181">
            <v>500.10400000000004</v>
          </cell>
          <cell r="AX181">
            <v>1009.7239999999998</v>
          </cell>
          <cell r="BE181">
            <v>1217.1799999999998</v>
          </cell>
          <cell r="BL181">
            <v>876.1093638443939</v>
          </cell>
          <cell r="BS181">
            <v>882.89986027014447</v>
          </cell>
          <cell r="BZ181">
            <v>819.05749267659007</v>
          </cell>
          <cell r="CA181">
            <v>1017.0173725486818</v>
          </cell>
          <cell r="CB181">
            <v>1087.8430789502613</v>
          </cell>
          <cell r="CC181">
            <v>1160.6261243549311</v>
          </cell>
          <cell r="CD181">
            <v>1213.8619749347263</v>
          </cell>
          <cell r="CE181">
            <v>1224.5680061051796</v>
          </cell>
          <cell r="CF181">
            <v>1236.9761164994379</v>
          </cell>
          <cell r="CG181">
            <v>1232.700065144053</v>
          </cell>
          <cell r="CH181">
            <v>1228.2965483662517</v>
          </cell>
          <cell r="CI181">
            <v>1131.1067830092736</v>
          </cell>
          <cell r="CJ181">
            <v>807.43687446195281</v>
          </cell>
        </row>
        <row r="182">
          <cell r="A182" t="str">
            <v>MW Net Income</v>
          </cell>
          <cell r="W182">
            <v>2097</v>
          </cell>
          <cell r="X182">
            <v>1942.0000000000002</v>
          </cell>
          <cell r="Y182">
            <v>4039</v>
          </cell>
          <cell r="Z182">
            <v>1580.75</v>
          </cell>
          <cell r="AA182">
            <v>5619.75</v>
          </cell>
          <cell r="AB182">
            <v>922</v>
          </cell>
          <cell r="AC182">
            <v>8628.75</v>
          </cell>
          <cell r="AJ182">
            <v>9336</v>
          </cell>
          <cell r="AQ182">
            <v>9854.9999999999982</v>
          </cell>
          <cell r="AX182">
            <v>12274</v>
          </cell>
          <cell r="BE182">
            <v>14024</v>
          </cell>
          <cell r="BL182">
            <v>12918.900000000001</v>
          </cell>
          <cell r="BS182">
            <v>12750.000000000002</v>
          </cell>
          <cell r="BZ182">
            <v>12847.942402143071</v>
          </cell>
          <cell r="CA182">
            <v>13343.350834185414</v>
          </cell>
          <cell r="CB182">
            <v>13935.383171830093</v>
          </cell>
          <cell r="CC182">
            <v>14649.60077901773</v>
          </cell>
          <cell r="CD182">
            <v>15435.922216313433</v>
          </cell>
          <cell r="CE182">
            <v>15220.042635462712</v>
          </cell>
          <cell r="CF182">
            <v>15244.578699547475</v>
          </cell>
          <cell r="CG182">
            <v>15278.07039126987</v>
          </cell>
          <cell r="CH182">
            <v>15318.345530470908</v>
          </cell>
          <cell r="CI182">
            <v>15020.780135646444</v>
          </cell>
          <cell r="CJ182">
            <v>15185.859382108985</v>
          </cell>
        </row>
        <row r="183">
          <cell r="A183" t="str">
            <v>Diluted Shares</v>
          </cell>
          <cell r="H183">
            <v>2370</v>
          </cell>
          <cell r="O183">
            <v>2342</v>
          </cell>
          <cell r="V183">
            <v>2361</v>
          </cell>
          <cell r="AC183">
            <v>2328.9</v>
          </cell>
          <cell r="AJ183">
            <v>2284.1999999999998</v>
          </cell>
          <cell r="AQ183">
            <v>2276.6</v>
          </cell>
          <cell r="AX183">
            <v>2300.8000000000002</v>
          </cell>
          <cell r="BE183">
            <v>2413.4</v>
          </cell>
          <cell r="BL183">
            <v>2445</v>
          </cell>
          <cell r="BS183">
            <v>2479</v>
          </cell>
          <cell r="BZ183">
            <v>2441.61323238973</v>
          </cell>
          <cell r="CA183">
            <v>2409.9861918009365</v>
          </cell>
          <cell r="CB183">
            <v>2386.4290463392263</v>
          </cell>
          <cell r="CC183">
            <v>2370.3095922388829</v>
          </cell>
          <cell r="CD183">
            <v>2362.5784391931552</v>
          </cell>
          <cell r="CE183">
            <v>2362.5784391931552</v>
          </cell>
          <cell r="CF183">
            <v>2362.5784391931552</v>
          </cell>
          <cell r="CG183">
            <v>2362.5784391931552</v>
          </cell>
          <cell r="CH183">
            <v>2362.5784391931552</v>
          </cell>
          <cell r="CI183">
            <v>2362.5784391931552</v>
          </cell>
          <cell r="CJ183">
            <v>2362.5784391931552</v>
          </cell>
        </row>
        <row r="184">
          <cell r="A184" t="str">
            <v>ModelWare EPS</v>
          </cell>
          <cell r="H184">
            <v>2.52</v>
          </cell>
          <cell r="I184" t="e">
            <v>#DIV/0!</v>
          </cell>
          <cell r="J184" t="e">
            <v>#DIV/0!</v>
          </cell>
          <cell r="K184" t="e">
            <v>#DIV/0!</v>
          </cell>
          <cell r="L184" t="e">
            <v>#DIV/0!</v>
          </cell>
          <cell r="M184" t="e">
            <v>#DIV/0!</v>
          </cell>
          <cell r="N184" t="e">
            <v>#DIV/0!</v>
          </cell>
          <cell r="O184">
            <v>3.07</v>
          </cell>
          <cell r="P184" t="e">
            <v>#DIV/0!</v>
          </cell>
          <cell r="Q184" t="e">
            <v>#DIV/0!</v>
          </cell>
          <cell r="R184" t="e">
            <v>#DIV/0!</v>
          </cell>
          <cell r="S184" t="e">
            <v>#DIV/0!</v>
          </cell>
          <cell r="T184" t="e">
            <v>#DIV/0!</v>
          </cell>
          <cell r="U184" t="e">
            <v>#DIV/0!</v>
          </cell>
          <cell r="V184">
            <v>3.54</v>
          </cell>
          <cell r="W184" t="e">
            <v>#DIV/0!</v>
          </cell>
          <cell r="X184" t="e">
            <v>#DIV/0!</v>
          </cell>
          <cell r="Y184" t="e">
            <v>#DIV/0!</v>
          </cell>
          <cell r="Z184" t="e">
            <v>#DIV/0!</v>
          </cell>
          <cell r="AA184" t="e">
            <v>#DIV/0!</v>
          </cell>
          <cell r="AB184" t="e">
            <v>#DIV/0!</v>
          </cell>
          <cell r="AC184">
            <v>3.7050753574648976</v>
          </cell>
          <cell r="AJ184">
            <v>4.0872077751510378</v>
          </cell>
          <cell r="AQ184">
            <v>4.3288236844417103</v>
          </cell>
          <cell r="AX184">
            <v>5.3346662030598049</v>
          </cell>
          <cell r="BE184">
            <v>5.8108892019557468</v>
          </cell>
          <cell r="BL184">
            <v>5.2838036809815954</v>
          </cell>
          <cell r="BS184">
            <v>5.1432029043969347</v>
          </cell>
          <cell r="BZ184">
            <v>5.2620710896001093</v>
          </cell>
          <cell r="CA184">
            <v>5.5366918198872268</v>
          </cell>
          <cell r="CB184">
            <v>5.8394290805364282</v>
          </cell>
          <cell r="CC184">
            <v>6.1804588003967895</v>
          </cell>
          <cell r="CD184">
            <v>6.5335067654240335</v>
          </cell>
          <cell r="CE184">
            <v>6.4421321988617288</v>
          </cell>
          <cell r="CF184">
            <v>6.4525174896430766</v>
          </cell>
          <cell r="CG184">
            <v>6.466693396426443</v>
          </cell>
          <cell r="CH184">
            <v>6.4837405084007624</v>
          </cell>
          <cell r="CI184">
            <v>6.3577910838702971</v>
          </cell>
          <cell r="CJ184">
            <v>6.4276635772969772</v>
          </cell>
        </row>
        <row r="187">
          <cell r="A187" t="str">
            <v>For MW Purpose:</v>
          </cell>
        </row>
        <row r="189">
          <cell r="A189" t="str">
            <v>Marketing, &amp; Distribution</v>
          </cell>
          <cell r="H189">
            <v>-8365</v>
          </cell>
          <cell r="O189">
            <v>-8515</v>
          </cell>
          <cell r="V189">
            <v>-8709</v>
          </cell>
          <cell r="AC189">
            <v>-9039</v>
          </cell>
          <cell r="AJ189">
            <v>-10580</v>
          </cell>
          <cell r="AQ189">
            <v>-10595</v>
          </cell>
          <cell r="AX189">
            <v>-10836</v>
          </cell>
          <cell r="BE189">
            <v>-10168</v>
          </cell>
          <cell r="BL189">
            <v>-10704.1</v>
          </cell>
          <cell r="BS189">
            <v>-10974</v>
          </cell>
          <cell r="BZ189">
            <v>-12792.541024086044</v>
          </cell>
          <cell r="CA189">
            <v>-12129.923668076248</v>
          </cell>
          <cell r="CB189">
            <v>-12458.326884192629</v>
          </cell>
          <cell r="CC189">
            <v>-12877.669882129794</v>
          </cell>
          <cell r="CD189">
            <v>-13379.380157630689</v>
          </cell>
          <cell r="CE189">
            <v>-13317.358360507948</v>
          </cell>
          <cell r="CF189">
            <v>-13430.042285995039</v>
          </cell>
          <cell r="CG189">
            <v>-13338.412632345073</v>
          </cell>
          <cell r="CH189">
            <v>-13204.139539172371</v>
          </cell>
          <cell r="CI189">
            <v>-13882.570421918213</v>
          </cell>
          <cell r="CJ189">
            <v>-15582.45435317422</v>
          </cell>
          <cell r="CL189" t="str">
            <v>mstag:marketingAndDistributionCosts</v>
          </cell>
          <cell r="CM189">
            <v>6</v>
          </cell>
          <cell r="CN189" t="str">
            <v>ISO4217:USD</v>
          </cell>
          <cell r="CO189" t="b">
            <v>1</v>
          </cell>
        </row>
      </sheetData>
      <sheetData sheetId="16"/>
      <sheetData sheetId="17" refreshError="1">
        <row r="2">
          <cell r="A2" t="str">
            <v>NOVARTIS</v>
          </cell>
        </row>
        <row r="3">
          <cell r="A3" t="str">
            <v>Annual Income Statement</v>
          </cell>
          <cell r="L3" t="str">
            <v>Morgan Stanley Equity Research: Pharmaceuticals</v>
          </cell>
        </row>
        <row r="4">
          <cell r="A4" t="str">
            <v>USD mlns except per share data</v>
          </cell>
          <cell r="B4">
            <v>2005</v>
          </cell>
          <cell r="C4">
            <v>2006</v>
          </cell>
          <cell r="D4">
            <v>2007</v>
          </cell>
          <cell r="E4">
            <v>2008</v>
          </cell>
          <cell r="F4">
            <v>2009</v>
          </cell>
          <cell r="G4">
            <v>2010</v>
          </cell>
          <cell r="H4">
            <v>2011</v>
          </cell>
          <cell r="I4">
            <v>2012</v>
          </cell>
          <cell r="J4">
            <v>2013</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cell r="V4" t="str">
            <v>2015-18 CAGR</v>
          </cell>
          <cell r="W4" t="str">
            <v>2015-20 CAGR</v>
          </cell>
        </row>
        <row r="6">
          <cell r="A6" t="str">
            <v>Total Sales</v>
          </cell>
          <cell r="B6">
            <v>31005</v>
          </cell>
          <cell r="C6">
            <v>34393</v>
          </cell>
          <cell r="D6">
            <v>38072</v>
          </cell>
          <cell r="E6">
            <v>41459</v>
          </cell>
          <cell r="F6">
            <v>44267</v>
          </cell>
          <cell r="G6">
            <v>50624</v>
          </cell>
          <cell r="H6">
            <v>58566</v>
          </cell>
          <cell r="I6">
            <v>56673</v>
          </cell>
          <cell r="J6">
            <v>57920</v>
          </cell>
          <cell r="K6">
            <v>59065.971414844331</v>
          </cell>
          <cell r="L6">
            <v>60323.228122905137</v>
          </cell>
          <cell r="M6">
            <v>62244.448266743442</v>
          </cell>
          <cell r="N6">
            <v>64375.644958197125</v>
          </cell>
          <cell r="O6">
            <v>66721.303477296184</v>
          </cell>
          <cell r="P6">
            <v>66987.176849405761</v>
          </cell>
          <cell r="Q6">
            <v>67865.278830938856</v>
          </cell>
          <cell r="R6">
            <v>68001.862353286939</v>
          </cell>
          <cell r="S6">
            <v>68087.912308495987</v>
          </cell>
          <cell r="T6">
            <v>68964.159238113905</v>
          </cell>
          <cell r="U6">
            <v>67816.976647765492</v>
          </cell>
          <cell r="V6">
            <v>3.4173287840038036E-2</v>
          </cell>
          <cell r="W6">
            <v>2.3841225621999751E-2</v>
          </cell>
        </row>
        <row r="7">
          <cell r="A7" t="str">
            <v>Other revenue</v>
          </cell>
          <cell r="B7">
            <v>314</v>
          </cell>
          <cell r="C7">
            <v>712</v>
          </cell>
          <cell r="D7">
            <v>875</v>
          </cell>
          <cell r="E7">
            <v>1125</v>
          </cell>
          <cell r="F7">
            <v>836</v>
          </cell>
          <cell r="G7">
            <v>937</v>
          </cell>
          <cell r="H7">
            <v>809</v>
          </cell>
          <cell r="I7">
            <v>888</v>
          </cell>
          <cell r="J7">
            <v>911</v>
          </cell>
          <cell r="K7">
            <v>851.03901456047743</v>
          </cell>
          <cell r="L7">
            <v>852.29353335005953</v>
          </cell>
          <cell r="M7">
            <v>864.84772164410015</v>
          </cell>
          <cell r="N7">
            <v>881.85470273460203</v>
          </cell>
          <cell r="O7">
            <v>902.46535913621165</v>
          </cell>
          <cell r="P7">
            <v>889.87484821251644</v>
          </cell>
          <cell r="Q7">
            <v>885.77423874170427</v>
          </cell>
          <cell r="R7">
            <v>869.6930655581757</v>
          </cell>
          <cell r="S7">
            <v>852.98378898885949</v>
          </cell>
          <cell r="T7">
            <v>847.43216207799719</v>
          </cell>
          <cell r="U7">
            <v>815.8720273693508</v>
          </cell>
        </row>
        <row r="9">
          <cell r="A9" t="str">
            <v>COGS</v>
          </cell>
          <cell r="B9">
            <v>-8259</v>
          </cell>
          <cell r="C9">
            <v>-9411</v>
          </cell>
          <cell r="D9">
            <v>-11032</v>
          </cell>
          <cell r="E9">
            <v>-11439</v>
          </cell>
          <cell r="F9">
            <v>-12179</v>
          </cell>
          <cell r="G9">
            <v>-14488</v>
          </cell>
          <cell r="H9">
            <v>-18983</v>
          </cell>
          <cell r="I9">
            <v>-18756</v>
          </cell>
          <cell r="J9">
            <v>-19608</v>
          </cell>
          <cell r="K9">
            <v>-19733.490991101215</v>
          </cell>
          <cell r="L9">
            <v>-20142.448570343011</v>
          </cell>
          <cell r="M9">
            <v>-20699.60776372195</v>
          </cell>
          <cell r="N9">
            <v>-21279.265649321434</v>
          </cell>
          <cell r="O9">
            <v>-21891.021123043782</v>
          </cell>
          <cell r="P9">
            <v>-22371.801328279162</v>
          </cell>
          <cell r="Q9">
            <v>-22970.071976905088</v>
          </cell>
          <cell r="R9">
            <v>-23458.033090268589</v>
          </cell>
          <cell r="S9">
            <v>-23942.645902774369</v>
          </cell>
          <cell r="T9">
            <v>-24489.423416506954</v>
          </cell>
          <cell r="U9">
            <v>-22544.643410125002</v>
          </cell>
        </row>
        <row r="11">
          <cell r="A11" t="str">
            <v>Gross Profit</v>
          </cell>
          <cell r="B11">
            <v>23060</v>
          </cell>
          <cell r="C11">
            <v>25694</v>
          </cell>
          <cell r="D11">
            <v>27915</v>
          </cell>
          <cell r="E11">
            <v>31145</v>
          </cell>
          <cell r="F11">
            <v>32924</v>
          </cell>
          <cell r="G11">
            <v>37073</v>
          </cell>
          <cell r="H11">
            <v>40392</v>
          </cell>
          <cell r="I11">
            <v>38805</v>
          </cell>
          <cell r="J11">
            <v>39223</v>
          </cell>
          <cell r="K11">
            <v>40183.519438303592</v>
          </cell>
          <cell r="L11">
            <v>41033.073085912183</v>
          </cell>
          <cell r="M11">
            <v>42409.688224665595</v>
          </cell>
          <cell r="N11">
            <v>43978.234011610293</v>
          </cell>
          <cell r="O11">
            <v>45732.747713388613</v>
          </cell>
          <cell r="P11">
            <v>45505.250369339112</v>
          </cell>
          <cell r="Q11">
            <v>45780.981092775466</v>
          </cell>
          <cell r="R11">
            <v>45413.522328576524</v>
          </cell>
          <cell r="S11">
            <v>44998.250194710476</v>
          </cell>
          <cell r="T11">
            <v>45322.167983684951</v>
          </cell>
          <cell r="U11">
            <v>46088.205265009841</v>
          </cell>
          <cell r="V11">
            <v>3.6806593872927396E-2</v>
          </cell>
          <cell r="W11">
            <v>2.2139590985998492E-2</v>
          </cell>
        </row>
        <row r="12">
          <cell r="A12" t="str">
            <v>Gross Margin %</v>
          </cell>
          <cell r="B12">
            <v>0.74375100790195126</v>
          </cell>
          <cell r="C12">
            <v>0.74707062483644926</v>
          </cell>
          <cell r="D12">
            <v>0.73321601176717799</v>
          </cell>
          <cell r="E12">
            <v>0.75122410091898018</v>
          </cell>
          <cell r="F12">
            <v>0.74375945964262313</v>
          </cell>
          <cell r="G12">
            <v>0.73232063843236406</v>
          </cell>
          <cell r="H12">
            <v>0.6896834340743776</v>
          </cell>
          <cell r="I12">
            <v>0.68471759038695679</v>
          </cell>
          <cell r="J12">
            <v>0.6771926795580111</v>
          </cell>
          <cell r="K12">
            <v>0.68031589891374844</v>
          </cell>
          <cell r="L12">
            <v>0.68022011359056644</v>
          </cell>
          <cell r="M12">
            <v>0.6813408971499334</v>
          </cell>
          <cell r="N12">
            <v>0.68315018886673584</v>
          </cell>
          <cell r="O12">
            <v>0.68542947049813674</v>
          </cell>
          <cell r="P12">
            <v>0.67931285522958695</v>
          </cell>
          <cell r="Q12">
            <v>0.67458620787253787</v>
          </cell>
          <cell r="R12">
            <v>0.66782762643531357</v>
          </cell>
          <cell r="S12">
            <v>0.66088456333967538</v>
          </cell>
          <cell r="T12">
            <v>0.65718437641210437</v>
          </cell>
          <cell r="U12">
            <v>0.67959687298340221</v>
          </cell>
        </row>
        <row r="14">
          <cell r="A14" t="str">
            <v>Marketing, &amp; Distribution</v>
          </cell>
          <cell r="B14">
            <v>-9397</v>
          </cell>
          <cell r="C14">
            <v>-10092</v>
          </cell>
          <cell r="D14">
            <v>-11126</v>
          </cell>
          <cell r="E14">
            <v>-11852</v>
          </cell>
          <cell r="F14">
            <v>-12050</v>
          </cell>
          <cell r="G14">
            <v>-13316</v>
          </cell>
          <cell r="H14">
            <v>-15079</v>
          </cell>
          <cell r="I14">
            <v>-14353</v>
          </cell>
          <cell r="J14">
            <v>-14549</v>
          </cell>
          <cell r="K14">
            <v>-14735.741024086044</v>
          </cell>
          <cell r="L14">
            <v>-14973.333668076248</v>
          </cell>
          <cell r="M14">
            <v>-15301.95738419263</v>
          </cell>
          <cell r="N14">
            <v>-15721.531907129794</v>
          </cell>
          <cell r="O14">
            <v>-16223.485283880689</v>
          </cell>
          <cell r="P14">
            <v>-16161.718743070447</v>
          </cell>
          <cell r="Q14">
            <v>-16274.670687685664</v>
          </cell>
          <cell r="R14">
            <v>-16183.322454120229</v>
          </cell>
          <cell r="S14">
            <v>-16049.344852036285</v>
          </cell>
          <cell r="T14">
            <v>-16089.086000425323</v>
          </cell>
          <cell r="U14">
            <v>-15589.295710606686</v>
          </cell>
        </row>
        <row r="15">
          <cell r="A15" t="str">
            <v>M&amp;D (% of Sales)</v>
          </cell>
          <cell r="B15">
            <v>0.30308014836316721</v>
          </cell>
          <cell r="C15">
            <v>0.29343180298316518</v>
          </cell>
          <cell r="D15">
            <v>0.2922357638159277</v>
          </cell>
          <cell r="E15">
            <v>0.28587278998528665</v>
          </cell>
          <cell r="F15">
            <v>0.27221180563399372</v>
          </cell>
          <cell r="G15">
            <v>0.26303729456384323</v>
          </cell>
          <cell r="H15">
            <v>0.25747020455554415</v>
          </cell>
          <cell r="I15">
            <v>0.25325992977255485</v>
          </cell>
          <cell r="J15">
            <v>0.25119129834254145</v>
          </cell>
          <cell r="K15">
            <v>0.24947936470207091</v>
          </cell>
          <cell r="L15">
            <v>0.2482183751434677</v>
          </cell>
          <cell r="M15">
            <v>0.24583650125096065</v>
          </cell>
          <cell r="N15">
            <v>0.24421552463417967</v>
          </cell>
          <cell r="O15">
            <v>0.24315300268978093</v>
          </cell>
          <cell r="P15">
            <v>0.24126585867924685</v>
          </cell>
          <cell r="Q15">
            <v>0.23980849954551817</v>
          </cell>
          <cell r="R15">
            <v>0.23798351830489231</v>
          </cell>
          <cell r="S15">
            <v>0.23571503821881251</v>
          </cell>
          <cell r="T15">
            <v>0.23329634085546117</v>
          </cell>
          <cell r="U15">
            <v>0.22987305658841015</v>
          </cell>
        </row>
        <row r="16">
          <cell r="A16" t="str">
            <v>R&amp;D</v>
          </cell>
          <cell r="B16">
            <v>-4825</v>
          </cell>
          <cell r="C16">
            <v>-5321</v>
          </cell>
          <cell r="D16">
            <v>-6430</v>
          </cell>
          <cell r="E16">
            <v>-7217</v>
          </cell>
          <cell r="F16">
            <v>-7469</v>
          </cell>
          <cell r="G16">
            <v>-9070</v>
          </cell>
          <cell r="H16">
            <v>-9583</v>
          </cell>
          <cell r="I16">
            <v>-9332</v>
          </cell>
          <cell r="J16">
            <v>-9852</v>
          </cell>
          <cell r="K16">
            <v>-9971.9469814160584</v>
          </cell>
          <cell r="L16">
            <v>-10201.175801283414</v>
          </cell>
          <cell r="M16">
            <v>-10613.565424617489</v>
          </cell>
          <cell r="N16">
            <v>-10966.233613181721</v>
          </cell>
          <cell r="O16">
            <v>-11314.607820126537</v>
          </cell>
          <cell r="P16">
            <v>-11502.758604549917</v>
          </cell>
          <cell r="Q16">
            <v>-11687.580024495563</v>
          </cell>
          <cell r="R16">
            <v>-11430.406765306374</v>
          </cell>
          <cell r="S16">
            <v>-11159.588605491626</v>
          </cell>
          <cell r="T16">
            <v>-11075.293023511362</v>
          </cell>
          <cell r="U16">
            <v>-9713.0238856283213</v>
          </cell>
        </row>
        <row r="17">
          <cell r="A17" t="str">
            <v>R&amp;D (% of Sales)</v>
          </cell>
          <cell r="B17">
            <v>0.15562006128043865</v>
          </cell>
          <cell r="C17">
            <v>0.1547117145930858</v>
          </cell>
          <cell r="D17">
            <v>0.1688905232191637</v>
          </cell>
          <cell r="E17">
            <v>0.17407559275428736</v>
          </cell>
          <cell r="F17">
            <v>0.16872613911039827</v>
          </cell>
          <cell r="G17">
            <v>0.17916403286978508</v>
          </cell>
          <cell r="H17">
            <v>0.16362736058463956</v>
          </cell>
          <cell r="I17">
            <v>0.16466394932331094</v>
          </cell>
          <cell r="J17">
            <v>0.17009668508287293</v>
          </cell>
          <cell r="K17">
            <v>0.16882727469898057</v>
          </cell>
          <cell r="L17">
            <v>0.16910858584190985</v>
          </cell>
          <cell r="M17">
            <v>0.17051425018877076</v>
          </cell>
          <cell r="N17">
            <v>0.17034755333795473</v>
          </cell>
          <cell r="O17">
            <v>0.16958013753398349</v>
          </cell>
          <cell r="P17">
            <v>0.17171582899230597</v>
          </cell>
          <cell r="Q17">
            <v>0.17221737279840593</v>
          </cell>
          <cell r="R17">
            <v>0.16808961357444166</v>
          </cell>
          <cell r="S17">
            <v>0.16389970300351148</v>
          </cell>
          <cell r="T17">
            <v>0.16059491112291358</v>
          </cell>
          <cell r="U17">
            <v>0.14322407700474152</v>
          </cell>
        </row>
        <row r="18">
          <cell r="A18" t="str">
            <v>General &amp; Administrative</v>
          </cell>
          <cell r="B18">
            <v>-1681</v>
          </cell>
          <cell r="C18">
            <v>-1882</v>
          </cell>
          <cell r="D18">
            <v>-2133</v>
          </cell>
          <cell r="E18">
            <v>-2245</v>
          </cell>
          <cell r="F18">
            <v>-2281</v>
          </cell>
          <cell r="G18">
            <v>-2481</v>
          </cell>
          <cell r="H18">
            <v>-2970</v>
          </cell>
          <cell r="I18">
            <v>-2937</v>
          </cell>
          <cell r="J18">
            <v>-3060</v>
          </cell>
          <cell r="K18">
            <v>-3065.7322064341588</v>
          </cell>
          <cell r="L18">
            <v>-3127.6986762369215</v>
          </cell>
          <cell r="M18">
            <v>-3178.1519378048033</v>
          </cell>
          <cell r="N18">
            <v>-3248.3417646662429</v>
          </cell>
          <cell r="O18">
            <v>-3323.1796184668492</v>
          </cell>
          <cell r="P18">
            <v>-3311.8832232586865</v>
          </cell>
          <cell r="Q18">
            <v>-3338.3476218084306</v>
          </cell>
          <cell r="R18">
            <v>-3353.6120004331742</v>
          </cell>
          <cell r="S18">
            <v>-3365.485746149664</v>
          </cell>
          <cell r="T18">
            <v>-3402.217588206131</v>
          </cell>
          <cell r="U18">
            <v>-3338.1434122913874</v>
          </cell>
        </row>
        <row r="19">
          <cell r="A19" t="str">
            <v>G&amp;A (% of Sales)</v>
          </cell>
          <cell r="B19">
            <v>5.4217061764231578E-2</v>
          </cell>
          <cell r="C19">
            <v>5.472043729828744E-2</v>
          </cell>
          <cell r="D19">
            <v>5.6025425509560835E-2</v>
          </cell>
          <cell r="E19">
            <v>5.4149883016956508E-2</v>
          </cell>
          <cell r="F19">
            <v>5.1528226444077979E-2</v>
          </cell>
          <cell r="G19">
            <v>4.9008375474083439E-2</v>
          </cell>
          <cell r="H19">
            <v>5.0712017211351296E-2</v>
          </cell>
          <cell r="I19">
            <v>5.1823619713090893E-2</v>
          </cell>
          <cell r="J19">
            <v>5.2831491712707179E-2</v>
          </cell>
          <cell r="K19">
            <v>5.1903526395972989E-2</v>
          </cell>
          <cell r="L19">
            <v>5.1848993722027177E-2</v>
          </cell>
          <cell r="M19">
            <v>5.1059203291273392E-2</v>
          </cell>
          <cell r="N19">
            <v>5.0459172358981126E-2</v>
          </cell>
          <cell r="O19">
            <v>4.9806874945086399E-2</v>
          </cell>
          <cell r="P19">
            <v>4.9440555327539021E-2</v>
          </cell>
          <cell r="Q19">
            <v>4.9190803888460907E-2</v>
          </cell>
          <cell r="R19">
            <v>4.9316472878497185E-2</v>
          </cell>
          <cell r="S19">
            <v>4.9428534846261099E-2</v>
          </cell>
          <cell r="T19">
            <v>4.9333126449917671E-2</v>
          </cell>
          <cell r="U19">
            <v>4.9222828520200275E-2</v>
          </cell>
        </row>
        <row r="20">
          <cell r="A20" t="str">
            <v>Other income and expense</v>
          </cell>
          <cell r="B20">
            <v>-355</v>
          </cell>
          <cell r="C20">
            <v>-757</v>
          </cell>
          <cell r="D20">
            <v>-1445</v>
          </cell>
          <cell r="E20">
            <v>-867</v>
          </cell>
          <cell r="F20">
            <v>-1142</v>
          </cell>
          <cell r="G20">
            <v>-680</v>
          </cell>
          <cell r="H20">
            <v>-1762</v>
          </cell>
          <cell r="I20">
            <v>-990</v>
          </cell>
          <cell r="J20">
            <v>-852</v>
          </cell>
          <cell r="K20">
            <v>391.83440665586573</v>
          </cell>
          <cell r="L20">
            <v>-486.22324282472528</v>
          </cell>
          <cell r="M20">
            <v>-468.92859396585231</v>
          </cell>
          <cell r="N20">
            <v>-456.69886256502923</v>
          </cell>
          <cell r="O20">
            <v>-447.79878878859887</v>
          </cell>
          <cell r="P20">
            <v>-391.82474826885334</v>
          </cell>
          <cell r="Q20">
            <v>-347.67604871365631</v>
          </cell>
          <cell r="R20">
            <v>-285.84569173520543</v>
          </cell>
          <cell r="S20">
            <v>-225.44887585607592</v>
          </cell>
          <cell r="T20">
            <v>-163.84657477787479</v>
          </cell>
          <cell r="U20">
            <v>-95.14057462737938</v>
          </cell>
        </row>
        <row r="21">
          <cell r="F21">
            <v>0.32374003207807167</v>
          </cell>
          <cell r="G21">
            <v>0.31204567003792666</v>
          </cell>
          <cell r="H21">
            <v>0.30818222176689547</v>
          </cell>
          <cell r="I21">
            <v>0.30508354948564576</v>
          </cell>
          <cell r="J21">
            <v>0.30402279005524863</v>
          </cell>
          <cell r="K21">
            <v>0.30138289109804389</v>
          </cell>
          <cell r="L21">
            <v>0.3000673688654949</v>
          </cell>
          <cell r="M21">
            <v>0.29689570454223402</v>
          </cell>
          <cell r="N21">
            <v>0.29467469699316079</v>
          </cell>
          <cell r="O21">
            <v>0.29295987763486731</v>
          </cell>
          <cell r="P21">
            <v>0.29070641400678587</v>
          </cell>
          <cell r="Q21">
            <v>0.28899930343397906</v>
          </cell>
          <cell r="R21">
            <v>0.2872999911833895</v>
          </cell>
          <cell r="S21">
            <v>0.2851435730650736</v>
          </cell>
          <cell r="T21">
            <v>0.28262946730537886</v>
          </cell>
          <cell r="U21">
            <v>0.27909588510861044</v>
          </cell>
        </row>
        <row r="22">
          <cell r="A22" t="str">
            <v>Group Operating Profit</v>
          </cell>
          <cell r="B22">
            <v>6802</v>
          </cell>
          <cell r="C22">
            <v>7642</v>
          </cell>
          <cell r="D22">
            <v>6781</v>
          </cell>
          <cell r="E22">
            <v>8964</v>
          </cell>
          <cell r="F22">
            <v>9982</v>
          </cell>
          <cell r="G22">
            <v>11526</v>
          </cell>
          <cell r="H22">
            <v>10998</v>
          </cell>
          <cell r="I22">
            <v>11193</v>
          </cell>
          <cell r="J22">
            <v>10910</v>
          </cell>
          <cell r="K22">
            <v>12801.9336330232</v>
          </cell>
          <cell r="L22">
            <v>12244.641697490875</v>
          </cell>
          <cell r="M22">
            <v>12847.084884084819</v>
          </cell>
          <cell r="N22">
            <v>13585.427864067507</v>
          </cell>
          <cell r="O22">
            <v>14423.676202125942</v>
          </cell>
          <cell r="P22">
            <v>14137.06505019121</v>
          </cell>
          <cell r="Q22">
            <v>14132.706710072154</v>
          </cell>
          <cell r="R22">
            <v>14160.335416981539</v>
          </cell>
          <cell r="S22">
            <v>14198.382115176821</v>
          </cell>
          <cell r="T22">
            <v>14591.724796764258</v>
          </cell>
          <cell r="U22">
            <v>17352.601681856067</v>
          </cell>
        </row>
        <row r="23">
          <cell r="A23" t="str">
            <v>Operating Margin %</v>
          </cell>
          <cell r="B23">
            <v>0.21938397032736656</v>
          </cell>
          <cell r="C23">
            <v>0.22219637716977292</v>
          </cell>
          <cell r="D23">
            <v>0.17810989703719268</v>
          </cell>
          <cell r="E23">
            <v>0.21621360862538894</v>
          </cell>
          <cell r="F23">
            <v>0.22549528994510584</v>
          </cell>
          <cell r="G23">
            <v>0.22767857142857142</v>
          </cell>
          <cell r="H23">
            <v>0.18778813646142814</v>
          </cell>
          <cell r="I23">
            <v>0.19750145571965486</v>
          </cell>
          <cell r="J23">
            <v>0.18836325966850828</v>
          </cell>
          <cell r="K23">
            <v>0.21673957655093853</v>
          </cell>
          <cell r="L23">
            <v>0.20298386009023117</v>
          </cell>
          <cell r="M23">
            <v>0.2063972810720355</v>
          </cell>
          <cell r="N23">
            <v>0.2110336583484223</v>
          </cell>
          <cell r="O23">
            <v>0.21617797390655005</v>
          </cell>
          <cell r="P23">
            <v>0.21104136216955108</v>
          </cell>
          <cell r="Q23">
            <v>0.20824649885073848</v>
          </cell>
          <cell r="R23">
            <v>0.20823452368723377</v>
          </cell>
          <cell r="S23">
            <v>0.20853014336591946</v>
          </cell>
          <cell r="T23">
            <v>0.2115841758671069</v>
          </cell>
          <cell r="U23">
            <v>0.25587400883386063</v>
          </cell>
        </row>
        <row r="25">
          <cell r="A25" t="str">
            <v>Core Operating Profit</v>
          </cell>
          <cell r="F25">
            <v>11437</v>
          </cell>
          <cell r="G25">
            <v>14006</v>
          </cell>
          <cell r="H25">
            <v>15909</v>
          </cell>
          <cell r="I25">
            <v>14841.9</v>
          </cell>
          <cell r="J25">
            <v>14485</v>
          </cell>
          <cell r="K25">
            <v>14745.133633023201</v>
          </cell>
          <cell r="L25">
            <v>15088.051697490875</v>
          </cell>
          <cell r="M25">
            <v>15690.715384084819</v>
          </cell>
          <cell r="N25">
            <v>16429.289889067506</v>
          </cell>
          <cell r="O25">
            <v>17267.781328375942</v>
          </cell>
          <cell r="P25">
            <v>16981.425432753709</v>
          </cell>
          <cell r="Q25">
            <v>16977.335111762779</v>
          </cell>
          <cell r="R25">
            <v>17005.245238756695</v>
          </cell>
          <cell r="S25">
            <v>17043.587428040733</v>
          </cell>
          <cell r="T25">
            <v>16798.240375271369</v>
          </cell>
          <cell r="U25">
            <v>17359.443039288533</v>
          </cell>
          <cell r="V25">
            <v>4.6006682217963446E-2</v>
          </cell>
          <cell r="W25">
            <v>2.3875784133946532E-2</v>
          </cell>
        </row>
        <row r="26">
          <cell r="A26" t="str">
            <v>Operating Margin %</v>
          </cell>
          <cell r="H26">
            <v>0.27164224976949081</v>
          </cell>
          <cell r="I26">
            <v>0.2618866126727013</v>
          </cell>
          <cell r="J26">
            <v>0.25008632596685082</v>
          </cell>
          <cell r="K26">
            <v>0.24963838365515284</v>
          </cell>
          <cell r="L26">
            <v>0.25012009746477476</v>
          </cell>
          <cell r="M26">
            <v>0.25208216669932643</v>
          </cell>
          <cell r="N26">
            <v>0.25520971323450048</v>
          </cell>
          <cell r="O26">
            <v>0.25880461604368676</v>
          </cell>
          <cell r="P26">
            <v>0.25350262888268515</v>
          </cell>
          <cell r="Q26">
            <v>0.25016231280881501</v>
          </cell>
          <cell r="R26">
            <v>0.25007028705199469</v>
          </cell>
          <cell r="S26">
            <v>0.25031737426195166</v>
          </cell>
          <cell r="T26">
            <v>0.24357928177260532</v>
          </cell>
          <cell r="U26">
            <v>0.25597488855116207</v>
          </cell>
        </row>
        <row r="28">
          <cell r="A28" t="str">
            <v>Income from Associated Companies</v>
          </cell>
          <cell r="B28">
            <v>193</v>
          </cell>
          <cell r="C28">
            <v>264</v>
          </cell>
          <cell r="D28">
            <v>412</v>
          </cell>
          <cell r="E28">
            <v>441</v>
          </cell>
          <cell r="F28">
            <v>293</v>
          </cell>
          <cell r="G28">
            <v>804</v>
          </cell>
          <cell r="H28">
            <v>528</v>
          </cell>
          <cell r="I28">
            <v>552</v>
          </cell>
          <cell r="J28">
            <v>600</v>
          </cell>
          <cell r="K28">
            <v>769.36081014805859</v>
          </cell>
          <cell r="L28">
            <v>852.45406146044593</v>
          </cell>
          <cell r="M28">
            <v>939.60902391843433</v>
          </cell>
          <cell r="N28">
            <v>1029.182060233838</v>
          </cell>
          <cell r="O28">
            <v>1096.0254951129539</v>
          </cell>
          <cell r="P28">
            <v>1113.2630050614146</v>
          </cell>
          <cell r="Q28">
            <v>1132.631860244451</v>
          </cell>
          <cell r="R28">
            <v>1132.631860244451</v>
          </cell>
          <cell r="S28">
            <v>1132.631860244451</v>
          </cell>
          <cell r="T28">
            <v>1132.631860244451</v>
          </cell>
          <cell r="U28">
            <v>1132.631860244451</v>
          </cell>
        </row>
        <row r="29">
          <cell r="A29" t="str">
            <v>Net Financial Income</v>
          </cell>
          <cell r="B29">
            <v>167</v>
          </cell>
          <cell r="C29">
            <v>88</v>
          </cell>
          <cell r="D29">
            <v>294</v>
          </cell>
          <cell r="E29">
            <v>-6</v>
          </cell>
          <cell r="F29">
            <v>-353</v>
          </cell>
          <cell r="G29">
            <v>-628</v>
          </cell>
          <cell r="H29">
            <v>-753</v>
          </cell>
          <cell r="I29">
            <v>-820</v>
          </cell>
          <cell r="J29">
            <v>-775</v>
          </cell>
          <cell r="K29">
            <v>-676.26239388111617</v>
          </cell>
          <cell r="L29">
            <v>-671.2874148748233</v>
          </cell>
          <cell r="M29">
            <v>-664.35270235402174</v>
          </cell>
          <cell r="N29">
            <v>-652.71134560224482</v>
          </cell>
          <cell r="O29">
            <v>-633.79274196810502</v>
          </cell>
          <cell r="P29">
            <v>-612.4492580665385</v>
          </cell>
          <cell r="Q29">
            <v>-594.17419591713201</v>
          </cell>
          <cell r="R29">
            <v>-577.91152398966869</v>
          </cell>
          <cell r="S29">
            <v>-563.99797528675242</v>
          </cell>
          <cell r="T29">
            <v>-553.00838388286331</v>
          </cell>
          <cell r="U29">
            <v>-542.57460929200522</v>
          </cell>
        </row>
        <row r="31">
          <cell r="A31" t="str">
            <v>Profit Before Taxes</v>
          </cell>
          <cell r="B31">
            <v>7162</v>
          </cell>
          <cell r="C31">
            <v>7994</v>
          </cell>
          <cell r="D31">
            <v>7487</v>
          </cell>
          <cell r="E31">
            <v>9399</v>
          </cell>
          <cell r="F31">
            <v>9922</v>
          </cell>
          <cell r="G31">
            <v>11702</v>
          </cell>
          <cell r="H31">
            <v>10773</v>
          </cell>
          <cell r="I31">
            <v>10925</v>
          </cell>
          <cell r="J31">
            <v>10735</v>
          </cell>
          <cell r="K31">
            <v>12895.032049290143</v>
          </cell>
          <cell r="L31">
            <v>12425.808344076499</v>
          </cell>
          <cell r="M31">
            <v>13122.341205649233</v>
          </cell>
          <cell r="N31">
            <v>13961.8985786991</v>
          </cell>
          <cell r="O31">
            <v>14885.90895527079</v>
          </cell>
          <cell r="P31">
            <v>14637.878797186086</v>
          </cell>
          <cell r="Q31">
            <v>14671.164374399474</v>
          </cell>
          <cell r="R31">
            <v>14715.055753236322</v>
          </cell>
          <cell r="S31">
            <v>14767.016000134519</v>
          </cell>
          <cell r="T31">
            <v>15171.348273125846</v>
          </cell>
          <cell r="U31">
            <v>17942.658932808514</v>
          </cell>
        </row>
        <row r="33">
          <cell r="A33" t="str">
            <v>Tax</v>
          </cell>
          <cell r="B33">
            <v>-1090</v>
          </cell>
          <cell r="C33">
            <v>-1169</v>
          </cell>
          <cell r="D33">
            <v>-947</v>
          </cell>
          <cell r="E33">
            <v>-1336</v>
          </cell>
          <cell r="F33">
            <v>-1468</v>
          </cell>
          <cell r="G33">
            <v>-1733</v>
          </cell>
          <cell r="H33">
            <v>-1528</v>
          </cell>
          <cell r="I33">
            <v>-1542</v>
          </cell>
          <cell r="J33">
            <v>-1443</v>
          </cell>
          <cell r="K33">
            <v>-1869.7796471470706</v>
          </cell>
          <cell r="L33">
            <v>-1801.7422098910922</v>
          </cell>
          <cell r="M33">
            <v>-1902.7394748191386</v>
          </cell>
          <cell r="N33">
            <v>-2024.4752939113694</v>
          </cell>
          <cell r="O33">
            <v>-2158.4567985142644</v>
          </cell>
          <cell r="P33">
            <v>-2122.4924255919823</v>
          </cell>
          <cell r="Q33">
            <v>-2127.3188342879234</v>
          </cell>
          <cell r="R33">
            <v>-2133.6830842192667</v>
          </cell>
          <cell r="S33">
            <v>-2141.2173200195052</v>
          </cell>
          <cell r="T33">
            <v>-2199.8454996032474</v>
          </cell>
          <cell r="U33">
            <v>-2601.6855452572345</v>
          </cell>
        </row>
        <row r="34">
          <cell r="A34" t="str">
            <v>Tax Rate</v>
          </cell>
          <cell r="B34">
            <v>0.15219212510471936</v>
          </cell>
          <cell r="C34">
            <v>0.14623467600700527</v>
          </cell>
          <cell r="D34">
            <v>0.1264859089087752</v>
          </cell>
          <cell r="E34">
            <v>0.14214278114693052</v>
          </cell>
          <cell r="F34">
            <v>0.1479540415238863</v>
          </cell>
          <cell r="G34">
            <v>0.14809434284737652</v>
          </cell>
          <cell r="H34">
            <v>0.14183607166063306</v>
          </cell>
          <cell r="I34">
            <v>0.14114416475972541</v>
          </cell>
          <cell r="J34">
            <v>0.1344201210992082</v>
          </cell>
          <cell r="K34">
            <v>0.14499999999999999</v>
          </cell>
          <cell r="L34">
            <v>0.14499999999999999</v>
          </cell>
          <cell r="M34">
            <v>0.14499999999999999</v>
          </cell>
          <cell r="N34">
            <v>0.14499999999999999</v>
          </cell>
          <cell r="O34">
            <v>0.14499999999999999</v>
          </cell>
          <cell r="P34">
            <v>0.14499999999999999</v>
          </cell>
          <cell r="Q34">
            <v>0.14499999999999999</v>
          </cell>
          <cell r="R34">
            <v>0.14499999999999999</v>
          </cell>
          <cell r="S34">
            <v>0.14499999999999999</v>
          </cell>
          <cell r="T34">
            <v>0.14499999999999999</v>
          </cell>
          <cell r="U34">
            <v>0.14499999999999999</v>
          </cell>
        </row>
        <row r="36">
          <cell r="A36" t="str">
            <v>Net income before minority interests</v>
          </cell>
          <cell r="B36">
            <v>6072</v>
          </cell>
          <cell r="C36">
            <v>6825</v>
          </cell>
          <cell r="D36">
            <v>6540</v>
          </cell>
          <cell r="E36">
            <v>8063</v>
          </cell>
          <cell r="F36">
            <v>8454</v>
          </cell>
          <cell r="G36">
            <v>9969</v>
          </cell>
          <cell r="H36">
            <v>9245</v>
          </cell>
          <cell r="I36">
            <v>9383</v>
          </cell>
          <cell r="J36">
            <v>9292</v>
          </cell>
          <cell r="K36">
            <v>11025.252402143073</v>
          </cell>
          <cell r="L36">
            <v>10624.066134185407</v>
          </cell>
          <cell r="M36">
            <v>11219.601730830094</v>
          </cell>
          <cell r="N36">
            <v>11937.42328478773</v>
          </cell>
          <cell r="O36">
            <v>12727.452156756526</v>
          </cell>
          <cell r="P36">
            <v>12515.386371594104</v>
          </cell>
          <cell r="Q36">
            <v>12543.84554011155</v>
          </cell>
          <cell r="R36">
            <v>12581.372669017055</v>
          </cell>
          <cell r="S36">
            <v>12625.798680115015</v>
          </cell>
          <cell r="T36">
            <v>12971.502773522599</v>
          </cell>
          <cell r="U36">
            <v>15340.973387551279</v>
          </cell>
        </row>
        <row r="38">
          <cell r="A38" t="str">
            <v>Minority Interests</v>
          </cell>
          <cell r="B38">
            <v>-11</v>
          </cell>
          <cell r="C38">
            <v>-27</v>
          </cell>
          <cell r="D38">
            <v>-22</v>
          </cell>
          <cell r="E38">
            <v>-38</v>
          </cell>
          <cell r="F38">
            <v>-54</v>
          </cell>
          <cell r="G38">
            <v>-175</v>
          </cell>
          <cell r="H38">
            <v>-132</v>
          </cell>
          <cell r="I38">
            <v>-113</v>
          </cell>
          <cell r="J38">
            <v>-117</v>
          </cell>
          <cell r="K38">
            <v>-120.51</v>
          </cell>
          <cell r="L38">
            <v>-124.12530000000001</v>
          </cell>
          <cell r="M38">
            <v>-127.84905900000001</v>
          </cell>
          <cell r="N38">
            <v>-131.68453077000001</v>
          </cell>
          <cell r="O38">
            <v>-135.63506669310001</v>
          </cell>
          <cell r="P38">
            <v>-139.70411869389301</v>
          </cell>
          <cell r="Q38">
            <v>-143.89524225470981</v>
          </cell>
          <cell r="R38">
            <v>-148.21209952235111</v>
          </cell>
          <cell r="S38">
            <v>-152.65846250802164</v>
          </cell>
          <cell r="T38">
            <v>-157.23821638326228</v>
          </cell>
          <cell r="U38">
            <v>-161.95536287476017</v>
          </cell>
        </row>
        <row r="40">
          <cell r="A40" t="str">
            <v>Net Income</v>
          </cell>
          <cell r="B40">
            <v>6061</v>
          </cell>
          <cell r="C40">
            <v>6798</v>
          </cell>
          <cell r="D40">
            <v>6518</v>
          </cell>
          <cell r="E40">
            <v>8025</v>
          </cell>
          <cell r="F40">
            <v>8400</v>
          </cell>
          <cell r="G40">
            <v>9794</v>
          </cell>
          <cell r="H40">
            <v>9113</v>
          </cell>
          <cell r="I40">
            <v>9270</v>
          </cell>
          <cell r="J40">
            <v>9175</v>
          </cell>
          <cell r="K40">
            <v>10904.742402143072</v>
          </cell>
          <cell r="L40">
            <v>10499.940834185407</v>
          </cell>
          <cell r="M40">
            <v>11091.752671830094</v>
          </cell>
          <cell r="N40">
            <v>11805.73875401773</v>
          </cell>
          <cell r="O40">
            <v>12591.817090063427</v>
          </cell>
          <cell r="P40">
            <v>12375.682252900211</v>
          </cell>
          <cell r="Q40">
            <v>12399.95029785684</v>
          </cell>
          <cell r="R40">
            <v>12433.160569494705</v>
          </cell>
          <cell r="S40">
            <v>12473.140217606993</v>
          </cell>
          <cell r="T40">
            <v>12814.264557139337</v>
          </cell>
          <cell r="U40">
            <v>15179.018024676519</v>
          </cell>
          <cell r="V40">
            <v>6.2430471541083277E-2</v>
          </cell>
          <cell r="W40">
            <v>3.3824020241296937E-2</v>
          </cell>
        </row>
        <row r="42">
          <cell r="A42" t="str">
            <v>Add back Net Income (disc)</v>
          </cell>
          <cell r="B42">
            <v>69</v>
          </cell>
          <cell r="C42">
            <v>377</v>
          </cell>
          <cell r="D42">
            <v>5428</v>
          </cell>
          <cell r="E42">
            <v>70</v>
          </cell>
          <cell r="F42">
            <v>0</v>
          </cell>
          <cell r="G42">
            <v>0</v>
          </cell>
          <cell r="H42">
            <v>0</v>
          </cell>
          <cell r="I42">
            <v>0</v>
          </cell>
          <cell r="J42">
            <v>0</v>
          </cell>
          <cell r="K42">
            <v>0</v>
          </cell>
          <cell r="L42">
            <v>0</v>
          </cell>
          <cell r="M42">
            <v>0</v>
          </cell>
          <cell r="N42">
            <v>0</v>
          </cell>
          <cell r="O42">
            <v>0</v>
          </cell>
          <cell r="P42">
            <v>0</v>
          </cell>
          <cell r="Q42">
            <v>0</v>
          </cell>
        </row>
        <row r="43">
          <cell r="A43" t="str">
            <v>Core Net Income</v>
          </cell>
          <cell r="B43">
            <v>6130</v>
          </cell>
          <cell r="C43">
            <v>7175</v>
          </cell>
          <cell r="D43">
            <v>11946</v>
          </cell>
          <cell r="E43">
            <v>8095</v>
          </cell>
          <cell r="F43">
            <v>8400</v>
          </cell>
          <cell r="G43">
            <v>9794</v>
          </cell>
          <cell r="H43">
            <v>13273</v>
          </cell>
          <cell r="I43">
            <v>12462.9</v>
          </cell>
          <cell r="J43">
            <v>12416</v>
          </cell>
          <cell r="K43">
            <v>12719.786642828092</v>
          </cell>
          <cell r="L43">
            <v>13253.52075922631</v>
          </cell>
          <cell r="M43">
            <v>13885.752152872436</v>
          </cell>
          <cell r="N43">
            <v>14641.283285909018</v>
          </cell>
          <cell r="O43">
            <v>15458.422781761408</v>
          </cell>
          <cell r="P43">
            <v>15250.457791097102</v>
          </cell>
          <cell r="Q43">
            <v>15283.89024673958</v>
          </cell>
          <cell r="R43">
            <v>15317.334097047609</v>
          </cell>
          <cell r="S43">
            <v>15357.559002763564</v>
          </cell>
          <cell r="T43">
            <v>15168.570862779759</v>
          </cell>
          <cell r="U43">
            <v>15707.594726824989</v>
          </cell>
          <cell r="V43">
            <v>5.2635403757236743E-2</v>
          </cell>
          <cell r="W43">
            <v>2.8917442435690388E-2</v>
          </cell>
        </row>
        <row r="45">
          <cell r="A45" t="str">
            <v>Basic Shares Outstanding (average)</v>
          </cell>
          <cell r="B45">
            <v>2332.848144</v>
          </cell>
          <cell r="C45">
            <v>2345.1999999999998</v>
          </cell>
          <cell r="D45">
            <v>2317.5</v>
          </cell>
          <cell r="E45">
            <v>2265.5</v>
          </cell>
          <cell r="F45">
            <v>2267.9</v>
          </cell>
          <cell r="G45">
            <v>2285.6999999999998</v>
          </cell>
          <cell r="H45">
            <v>2382.5</v>
          </cell>
          <cell r="I45">
            <v>2418</v>
          </cell>
          <cell r="J45">
            <v>2441</v>
          </cell>
          <cell r="K45">
            <v>2370.9988688383519</v>
          </cell>
          <cell r="L45">
            <v>2339.3718282495583</v>
          </cell>
          <cell r="M45">
            <v>2315.8146827878481</v>
          </cell>
          <cell r="N45">
            <v>2299.6952286875048</v>
          </cell>
          <cell r="O45">
            <v>2291.9640756417771</v>
          </cell>
          <cell r="P45">
            <v>2291.9640756417771</v>
          </cell>
          <cell r="Q45">
            <v>2291.9640756417771</v>
          </cell>
          <cell r="R45">
            <v>2291.9640756417771</v>
          </cell>
          <cell r="S45">
            <v>2291.9640756417771</v>
          </cell>
          <cell r="T45">
            <v>2291.9640756417771</v>
          </cell>
          <cell r="U45">
            <v>2291.9640756417771</v>
          </cell>
        </row>
        <row r="47">
          <cell r="A47" t="str">
            <v>EPS, basic (Continuing)</v>
          </cell>
          <cell r="B47">
            <v>2.5981116754593176</v>
          </cell>
          <cell r="C47">
            <v>2.8986866791744843</v>
          </cell>
          <cell r="D47">
            <v>2.8125134843581447</v>
          </cell>
          <cell r="E47">
            <v>3.5918208000983278</v>
          </cell>
          <cell r="F47">
            <v>3.703867013536752</v>
          </cell>
          <cell r="G47">
            <v>4.2849017806361296</v>
          </cell>
          <cell r="H47">
            <v>3.8249737670514166</v>
          </cell>
          <cell r="I47">
            <v>3.8337468982630272</v>
          </cell>
          <cell r="J47">
            <v>3.7587054485866447</v>
          </cell>
          <cell r="K47">
            <v>4.5992187282171697</v>
          </cell>
          <cell r="L47">
            <v>4.4883591002470169</v>
          </cell>
          <cell r="M47">
            <v>4.7895683338865034</v>
          </cell>
          <cell r="N47">
            <v>5.1336101439648454</v>
          </cell>
          <cell r="O47">
            <v>5.4938981042002455</v>
          </cell>
          <cell r="P47">
            <v>5.3995969589684227</v>
          </cell>
          <cell r="Q47">
            <v>5.4101852771774821</v>
          </cell>
          <cell r="R47">
            <v>5.4246751516003897</v>
          </cell>
          <cell r="S47">
            <v>5.4421185524534748</v>
          </cell>
          <cell r="T47">
            <v>5.5909534941341485</v>
          </cell>
          <cell r="U47">
            <v>6.6227120162981672</v>
          </cell>
          <cell r="V47">
            <v>6.9705760822774687E-2</v>
          </cell>
          <cell r="W47">
            <v>3.8065860548172958E-2</v>
          </cell>
        </row>
        <row r="48">
          <cell r="A48" t="str">
            <v>growth (%)</v>
          </cell>
          <cell r="B48">
            <v>0.14069935723102023</v>
          </cell>
          <cell r="C48">
            <v>0.11568979368911392</v>
          </cell>
          <cell r="D48">
            <v>-2.9728357823371465E-2</v>
          </cell>
          <cell r="E48">
            <v>0.27708571712609298</v>
          </cell>
          <cell r="F48">
            <v>3.1194822813921164E-2</v>
          </cell>
          <cell r="G48">
            <v>0.15687247003627136</v>
          </cell>
          <cell r="H48">
            <v>-0.10733688591490487</v>
          </cell>
          <cell r="I48">
            <v>2.2936448054056147E-3</v>
          </cell>
          <cell r="J48">
            <v>-1.9573918588726258E-2</v>
          </cell>
          <cell r="K48">
            <v>0.22361775646627913</v>
          </cell>
          <cell r="L48">
            <v>-2.4104012990294632E-2</v>
          </cell>
          <cell r="M48">
            <v>6.7108987251690566E-2</v>
          </cell>
          <cell r="N48">
            <v>7.1831485865693656E-2</v>
          </cell>
          <cell r="O48">
            <v>7.0182181765197083E-2</v>
          </cell>
          <cell r="P48">
            <v>-1.7164705905216349E-2</v>
          </cell>
          <cell r="Q48">
            <v>1.9609460279201851E-3</v>
          </cell>
          <cell r="R48">
            <v>2.6782584478266536E-3</v>
          </cell>
          <cell r="S48">
            <v>3.2155659768748901E-3</v>
          </cell>
          <cell r="T48">
            <v>2.734871360227431E-2</v>
          </cell>
          <cell r="U48">
            <v>0.18454070906626341</v>
          </cell>
        </row>
        <row r="50">
          <cell r="A50" t="str">
            <v>Core EPS</v>
          </cell>
          <cell r="F50">
            <v>3.6897127295089169</v>
          </cell>
          <cell r="G50">
            <v>4.2567802503477052</v>
          </cell>
          <cell r="H50">
            <v>5.5710388247639031</v>
          </cell>
          <cell r="I50">
            <v>5.1542183622828786</v>
          </cell>
          <cell r="J50">
            <v>5.086439983613273</v>
          </cell>
          <cell r="K50">
            <v>5.3647375416336782</v>
          </cell>
          <cell r="L50">
            <v>5.6654186389614241</v>
          </cell>
          <cell r="M50">
            <v>5.9960549762800301</v>
          </cell>
          <cell r="N50">
            <v>6.3666189777091349</v>
          </cell>
          <cell r="O50">
            <v>6.7446182713107605</v>
          </cell>
          <cell r="P50">
            <v>6.6538816874024489</v>
          </cell>
          <cell r="Q50">
            <v>6.6684685022647701</v>
          </cell>
          <cell r="R50">
            <v>6.6830602886995836</v>
          </cell>
          <cell r="S50">
            <v>6.7006106971651667</v>
          </cell>
          <cell r="T50">
            <v>6.6181538462955096</v>
          </cell>
          <cell r="U50">
            <v>6.8533337384124033</v>
          </cell>
          <cell r="V50">
            <v>5.9843618577521074E-2</v>
          </cell>
          <cell r="W50">
            <v>3.3139150767397263E-2</v>
          </cell>
        </row>
        <row r="51">
          <cell r="A51" t="str">
            <v>YoY growth (%)</v>
          </cell>
          <cell r="H51">
            <v>8.2155472232757099E-2</v>
          </cell>
          <cell r="I51">
            <v>-7.4819163102617381E-2</v>
          </cell>
          <cell r="J51">
            <v>-1.3150079004333404E-2</v>
          </cell>
          <cell r="K51">
            <v>5.4713622674598117E-2</v>
          </cell>
          <cell r="L51">
            <v>5.6047680803445576E-2</v>
          </cell>
          <cell r="M51">
            <v>5.8360442253075462E-2</v>
          </cell>
          <cell r="N51">
            <v>6.1801301504911033E-2</v>
          </cell>
          <cell r="O51">
            <v>5.9372061517279473E-2</v>
          </cell>
          <cell r="P51">
            <v>-1.3453183005815661E-2</v>
          </cell>
          <cell r="Q51">
            <v>2.1922263646403373E-3</v>
          </cell>
          <cell r="R51">
            <v>2.1881765550602061E-3</v>
          </cell>
          <cell r="S51">
            <v>2.626103567441973E-3</v>
          </cell>
          <cell r="T51">
            <v>-1.2305871001361379E-2</v>
          </cell>
          <cell r="U51">
            <v>3.5535573451278335E-2</v>
          </cell>
        </row>
        <row r="53">
          <cell r="A53" t="str">
            <v>EPS (Including Disc)</v>
          </cell>
          <cell r="B53">
            <v>2.6276892543417949</v>
          </cell>
          <cell r="C53">
            <v>3.0594405594405596</v>
          </cell>
          <cell r="D53">
            <v>5.1546925566343038</v>
          </cell>
          <cell r="E53">
            <v>3.5731626572500552</v>
          </cell>
          <cell r="F53">
            <v>3.703867013536752</v>
          </cell>
          <cell r="G53">
            <v>4.2849017806361296</v>
          </cell>
          <cell r="H53">
            <v>5.5710388247639031</v>
          </cell>
          <cell r="I53">
            <v>5.1542183622828786</v>
          </cell>
          <cell r="J53">
            <v>5.086439983613273</v>
          </cell>
          <cell r="K53">
            <v>5.3647375416336782</v>
          </cell>
          <cell r="L53">
            <v>5.6654186389614241</v>
          </cell>
          <cell r="M53">
            <v>5.9960549762800301</v>
          </cell>
          <cell r="N53">
            <v>6.3666189777091349</v>
          </cell>
          <cell r="O53">
            <v>6.7446182713107605</v>
          </cell>
          <cell r="P53">
            <v>6.6538816874024489</v>
          </cell>
          <cell r="Q53">
            <v>6.6684685022647701</v>
          </cell>
          <cell r="R53">
            <v>6.6830602886995836</v>
          </cell>
          <cell r="S53">
            <v>6.7006106971651667</v>
          </cell>
          <cell r="T53">
            <v>6.6181538462955096</v>
          </cell>
          <cell r="U53">
            <v>6.8533337384124033</v>
          </cell>
        </row>
        <row r="55">
          <cell r="A55" t="str">
            <v>D&amp;A</v>
          </cell>
          <cell r="B55">
            <v>1679</v>
          </cell>
          <cell r="C55">
            <v>1923</v>
          </cell>
          <cell r="D55">
            <v>2858</v>
          </cell>
          <cell r="E55">
            <v>2670</v>
          </cell>
          <cell r="F55">
            <v>2301</v>
          </cell>
          <cell r="G55">
            <v>3419</v>
          </cell>
          <cell r="H55">
            <v>5788</v>
          </cell>
          <cell r="I55">
            <v>4920</v>
          </cell>
          <cell r="J55">
            <v>4925</v>
          </cell>
          <cell r="K55">
            <v>4731.2108791417304</v>
          </cell>
          <cell r="L55">
            <v>4865.3498875124387</v>
          </cell>
          <cell r="M55">
            <v>4984.5731735074114</v>
          </cell>
          <cell r="N55">
            <v>5106.8865722919872</v>
          </cell>
          <cell r="O55">
            <v>5232.7784057027093</v>
          </cell>
          <cell r="P55">
            <v>5480.708242667477</v>
          </cell>
          <cell r="Q55">
            <v>5480.708242667477</v>
          </cell>
          <cell r="R55">
            <v>5602.457490582342</v>
          </cell>
          <cell r="S55">
            <v>5722.0118732637748</v>
          </cell>
          <cell r="T55">
            <v>5202.440393379462</v>
          </cell>
          <cell r="U55">
            <v>3116.5635087061341</v>
          </cell>
        </row>
        <row r="56">
          <cell r="A56" t="str">
            <v>EBITDA</v>
          </cell>
          <cell r="B56">
            <v>8481</v>
          </cell>
          <cell r="C56">
            <v>9565</v>
          </cell>
          <cell r="D56">
            <v>9639</v>
          </cell>
          <cell r="E56">
            <v>11634</v>
          </cell>
          <cell r="F56">
            <v>12283</v>
          </cell>
          <cell r="G56">
            <v>14945</v>
          </cell>
          <cell r="H56">
            <v>16786</v>
          </cell>
          <cell r="I56">
            <v>16113</v>
          </cell>
          <cell r="J56">
            <v>15835</v>
          </cell>
          <cell r="K56">
            <v>17533.14451216493</v>
          </cell>
          <cell r="L56">
            <v>17109.991585003314</v>
          </cell>
          <cell r="M56">
            <v>17831.658057592231</v>
          </cell>
          <cell r="N56">
            <v>18692.314436359495</v>
          </cell>
          <cell r="O56">
            <v>19656.454607828651</v>
          </cell>
          <cell r="P56">
            <v>19617.773292858685</v>
          </cell>
          <cell r="Q56">
            <v>19613.414952739629</v>
          </cell>
          <cell r="R56">
            <v>19762.792907563882</v>
          </cell>
          <cell r="S56">
            <v>19920.393988440595</v>
          </cell>
          <cell r="T56">
            <v>19794.165190143722</v>
          </cell>
          <cell r="U56">
            <v>20469.165190562202</v>
          </cell>
        </row>
        <row r="58">
          <cell r="A58" t="str">
            <v>Notes:</v>
          </cell>
        </row>
        <row r="59">
          <cell r="A59" t="str">
            <v>E= Morgan Stanley Research Estimate</v>
          </cell>
        </row>
        <row r="60">
          <cell r="A60" t="str">
            <v>Source: Morgan Stanley Research</v>
          </cell>
        </row>
      </sheetData>
      <sheetData sheetId="18"/>
      <sheetData sheetId="19"/>
      <sheetData sheetId="20" refreshError="1">
        <row r="1">
          <cell r="AD1" t="str">
            <v>ElementName</v>
          </cell>
          <cell r="AE1" t="str">
            <v>ScaleOverride</v>
          </cell>
          <cell r="AF1" t="str">
            <v>UnitOverride</v>
          </cell>
          <cell r="AG1" t="str">
            <v>ReverseSign</v>
          </cell>
          <cell r="AH1" t="str">
            <v>IsDrivingAssumption</v>
          </cell>
          <cell r="AI1" t="str">
            <v>SegmentID</v>
          </cell>
        </row>
        <row r="2">
          <cell r="A2" t="str">
            <v>NOVARTIS</v>
          </cell>
        </row>
        <row r="3">
          <cell r="A3" t="str">
            <v>Balance Sheet</v>
          </cell>
          <cell r="R3" t="str">
            <v>Morgan Stanley Equity Research: Pharmaceuticals</v>
          </cell>
        </row>
        <row r="5">
          <cell r="A5" t="str">
            <v>US$m</v>
          </cell>
          <cell r="C5">
            <v>2004</v>
          </cell>
          <cell r="D5">
            <v>2005</v>
          </cell>
          <cell r="E5">
            <v>2006</v>
          </cell>
          <cell r="F5">
            <v>2007</v>
          </cell>
          <cell r="G5">
            <v>2008</v>
          </cell>
          <cell r="H5">
            <v>2009</v>
          </cell>
          <cell r="I5">
            <v>2010</v>
          </cell>
          <cell r="J5">
            <v>2011</v>
          </cell>
          <cell r="K5" t="str">
            <v>1H</v>
          </cell>
          <cell r="L5" t="str">
            <v>9M</v>
          </cell>
          <cell r="M5">
            <v>2012</v>
          </cell>
          <cell r="N5" t="str">
            <v>2Q13</v>
          </cell>
          <cell r="O5" t="str">
            <v>3Q13</v>
          </cell>
          <cell r="P5">
            <v>2013</v>
          </cell>
          <cell r="Q5" t="str">
            <v>2014E</v>
          </cell>
          <cell r="R5" t="str">
            <v>2015E</v>
          </cell>
          <cell r="S5" t="str">
            <v>2016E</v>
          </cell>
          <cell r="T5" t="str">
            <v>2017E</v>
          </cell>
          <cell r="U5" t="str">
            <v>2018E</v>
          </cell>
          <cell r="V5" t="str">
            <v>2019E</v>
          </cell>
          <cell r="W5" t="str">
            <v>2020E</v>
          </cell>
          <cell r="X5" t="str">
            <v>2021E</v>
          </cell>
          <cell r="Y5" t="str">
            <v>2022E</v>
          </cell>
          <cell r="Z5" t="str">
            <v>2023E</v>
          </cell>
          <cell r="AA5" t="str">
            <v>2024E</v>
          </cell>
        </row>
        <row r="7">
          <cell r="A7" t="str">
            <v>Tangible Fixed Assets</v>
          </cell>
          <cell r="C7">
            <v>8497</v>
          </cell>
          <cell r="D7">
            <v>8679</v>
          </cell>
          <cell r="E7">
            <v>10945</v>
          </cell>
          <cell r="F7">
            <v>12633</v>
          </cell>
          <cell r="G7">
            <v>13100.053281555272</v>
          </cell>
          <cell r="H7">
            <v>14075.095818885562</v>
          </cell>
          <cell r="I7">
            <v>15840.128471382402</v>
          </cell>
          <cell r="J7">
            <v>15627.128471382402</v>
          </cell>
          <cell r="K7">
            <v>15584</v>
          </cell>
          <cell r="L7">
            <v>16182</v>
          </cell>
          <cell r="M7">
            <v>16939</v>
          </cell>
          <cell r="N7">
            <v>16832</v>
          </cell>
          <cell r="O7">
            <v>17575</v>
          </cell>
          <cell r="P7">
            <v>18197</v>
          </cell>
          <cell r="Q7">
            <v>19262.28769160049</v>
          </cell>
          <cell r="R7">
            <v>20256.509210233307</v>
          </cell>
          <cell r="S7">
            <v>20916.566708729351</v>
          </cell>
          <cell r="T7">
            <v>21550.446184556233</v>
          </cell>
          <cell r="U7">
            <v>22164.231561581855</v>
          </cell>
          <cell r="V7">
            <v>22666.164437814736</v>
          </cell>
          <cell r="W7">
            <v>23084.022144230134</v>
          </cell>
          <cell r="X7">
            <v>23386.55828132086</v>
          </cell>
          <cell r="Y7">
            <v>23573.707774803319</v>
          </cell>
          <cell r="Z7">
            <v>23681.170125646095</v>
          </cell>
          <cell r="AA7">
            <v>23623.211923521871</v>
          </cell>
          <cell r="AB7" t="str">
            <v>Linked to Schedule below</v>
          </cell>
          <cell r="AD7" t="str">
            <v>mstag:propertyPlantAndEquipmentNet</v>
          </cell>
          <cell r="AE7">
            <v>6</v>
          </cell>
          <cell r="AF7" t="str">
            <v>ISO4217:USD</v>
          </cell>
          <cell r="AG7" t="b">
            <v>0</v>
          </cell>
          <cell r="AH7" t="b">
            <v>0</v>
          </cell>
        </row>
        <row r="8">
          <cell r="A8" t="str">
            <v>Goodwill</v>
          </cell>
          <cell r="C8">
            <v>1899</v>
          </cell>
          <cell r="D8">
            <v>7279</v>
          </cell>
          <cell r="E8">
            <v>10659</v>
          </cell>
          <cell r="F8">
            <v>11110</v>
          </cell>
          <cell r="G8">
            <v>11285</v>
          </cell>
          <cell r="H8">
            <v>12039</v>
          </cell>
          <cell r="I8">
            <v>29692</v>
          </cell>
          <cell r="J8">
            <v>29943</v>
          </cell>
          <cell r="K8">
            <v>29831</v>
          </cell>
          <cell r="L8">
            <v>30836</v>
          </cell>
          <cell r="M8">
            <v>31090</v>
          </cell>
          <cell r="N8">
            <v>30984</v>
          </cell>
          <cell r="O8">
            <v>31180</v>
          </cell>
          <cell r="P8">
            <v>31026</v>
          </cell>
          <cell r="Q8">
            <v>31026</v>
          </cell>
          <cell r="R8">
            <v>31026</v>
          </cell>
          <cell r="S8">
            <v>31026</v>
          </cell>
          <cell r="T8">
            <v>31026</v>
          </cell>
          <cell r="U8">
            <v>31026</v>
          </cell>
          <cell r="V8">
            <v>31026</v>
          </cell>
          <cell r="W8">
            <v>31026</v>
          </cell>
          <cell r="X8">
            <v>31026</v>
          </cell>
          <cell r="Y8">
            <v>31026</v>
          </cell>
          <cell r="Z8">
            <v>31026</v>
          </cell>
          <cell r="AA8">
            <v>31026</v>
          </cell>
          <cell r="AB8" t="str">
            <v>Linked to Schedule below</v>
          </cell>
          <cell r="AD8" t="str">
            <v>mstag:goodwill</v>
          </cell>
          <cell r="AE8">
            <v>6</v>
          </cell>
          <cell r="AF8" t="str">
            <v>ISO4217:USD</v>
          </cell>
          <cell r="AG8" t="b">
            <v>0</v>
          </cell>
          <cell r="AH8" t="b">
            <v>0</v>
          </cell>
        </row>
        <row r="9">
          <cell r="A9" t="str">
            <v>Other Intangible Fixed Assets</v>
          </cell>
          <cell r="C9">
            <v>3730</v>
          </cell>
          <cell r="D9">
            <v>6015</v>
          </cell>
          <cell r="E9">
            <v>10571</v>
          </cell>
          <cell r="F9">
            <v>10139</v>
          </cell>
          <cell r="G9">
            <v>9534</v>
          </cell>
          <cell r="H9">
            <v>10331</v>
          </cell>
          <cell r="I9">
            <v>35231</v>
          </cell>
          <cell r="J9">
            <v>31969</v>
          </cell>
          <cell r="K9">
            <v>30735</v>
          </cell>
          <cell r="L9">
            <v>31088</v>
          </cell>
          <cell r="M9">
            <v>30331</v>
          </cell>
          <cell r="N9">
            <v>28999</v>
          </cell>
          <cell r="O9">
            <v>28532</v>
          </cell>
          <cell r="P9">
            <v>27841</v>
          </cell>
          <cell r="Q9">
            <v>25579.200000000001</v>
          </cell>
          <cell r="R9">
            <v>23328.817999999999</v>
          </cell>
          <cell r="S9">
            <v>21090.076059999999</v>
          </cell>
          <cell r="T9">
            <v>18863.200366200002</v>
          </cell>
          <cell r="U9">
            <v>16648.421297774003</v>
          </cell>
          <cell r="V9">
            <v>14445.973494191981</v>
          </cell>
          <cell r="W9">
            <v>12256.095923061454</v>
          </cell>
          <cell r="X9">
            <v>10079.031948457588</v>
          </cell>
          <cell r="Y9">
            <v>7915.0293997083863</v>
          </cell>
          <cell r="Z9">
            <v>6403.3406405982896</v>
          </cell>
          <cell r="AA9">
            <v>7105.2226389507778</v>
          </cell>
          <cell r="AB9" t="str">
            <v>Linked to Schedule below</v>
          </cell>
          <cell r="AD9" t="str">
            <v>mstag:otherIntangibleAssets</v>
          </cell>
          <cell r="AE9">
            <v>6</v>
          </cell>
          <cell r="AF9" t="str">
            <v>ISO4217:USD</v>
          </cell>
          <cell r="AG9" t="b">
            <v>0</v>
          </cell>
          <cell r="AH9" t="b">
            <v>0</v>
          </cell>
        </row>
        <row r="10">
          <cell r="A10" t="str">
            <v>Invest. In associated companies</v>
          </cell>
          <cell r="C10">
            <v>7450</v>
          </cell>
          <cell r="D10">
            <v>7086</v>
          </cell>
          <cell r="E10">
            <v>6111</v>
          </cell>
          <cell r="F10">
            <v>6945</v>
          </cell>
          <cell r="G10">
            <v>17712</v>
          </cell>
          <cell r="H10">
            <v>17791</v>
          </cell>
          <cell r="I10">
            <v>8385</v>
          </cell>
          <cell r="J10">
            <v>8622</v>
          </cell>
          <cell r="M10">
            <v>8840</v>
          </cell>
          <cell r="N10">
            <v>17412</v>
          </cell>
          <cell r="O10">
            <v>18537</v>
          </cell>
          <cell r="P10">
            <v>9225</v>
          </cell>
          <cell r="Q10">
            <v>9952.0459655899158</v>
          </cell>
          <cell r="R10">
            <v>10757.615053670037</v>
          </cell>
          <cell r="S10">
            <v>11645.545581272958</v>
          </cell>
          <cell r="T10">
            <v>12618.122628193934</v>
          </cell>
          <cell r="U10">
            <v>13653.866721075676</v>
          </cell>
          <cell r="V10">
            <v>14705.900260858712</v>
          </cell>
          <cell r="W10">
            <v>15776.23736878972</v>
          </cell>
          <cell r="X10">
            <v>16846.574476720725</v>
          </cell>
          <cell r="Y10">
            <v>17916.911584651731</v>
          </cell>
          <cell r="Z10">
            <v>18987.248692582736</v>
          </cell>
          <cell r="AA10">
            <v>20057.585800513742</v>
          </cell>
          <cell r="AB10" t="str">
            <v>Prior Yr + Inc from Assoc. Companies (Q P&amp;L) - Div received from Roche</v>
          </cell>
          <cell r="AD10" t="str">
            <v>mstag:investmentsUnderTheEquityMethodNonOperating</v>
          </cell>
          <cell r="AE10">
            <v>6</v>
          </cell>
          <cell r="AF10" t="str">
            <v>ISO4217:USD</v>
          </cell>
          <cell r="AG10" t="b">
            <v>0</v>
          </cell>
          <cell r="AH10" t="b">
            <v>0</v>
          </cell>
        </row>
        <row r="11">
          <cell r="A11" t="str">
            <v>Deferred Taxes</v>
          </cell>
          <cell r="C11">
            <v>2535</v>
          </cell>
          <cell r="D11">
            <v>3401</v>
          </cell>
          <cell r="E11">
            <v>3903</v>
          </cell>
          <cell r="F11">
            <v>3567</v>
          </cell>
          <cell r="G11">
            <v>4423</v>
          </cell>
          <cell r="H11">
            <v>4615</v>
          </cell>
          <cell r="I11">
            <v>5240</v>
          </cell>
          <cell r="J11">
            <v>5857</v>
          </cell>
          <cell r="M11">
            <v>7390</v>
          </cell>
          <cell r="P11">
            <v>7375</v>
          </cell>
          <cell r="Q11">
            <v>7743.75</v>
          </cell>
          <cell r="R11">
            <v>8130.9375</v>
          </cell>
          <cell r="S11">
            <v>8537.484375</v>
          </cell>
          <cell r="T11">
            <v>8964.3585937500011</v>
          </cell>
          <cell r="U11">
            <v>9412.5765234375012</v>
          </cell>
          <cell r="V11">
            <v>9883.2053496093758</v>
          </cell>
          <cell r="W11">
            <v>10377.365617089845</v>
          </cell>
          <cell r="X11">
            <v>10896.233897944338</v>
          </cell>
          <cell r="Y11">
            <v>11441.045592841554</v>
          </cell>
          <cell r="Z11">
            <v>12013.097872483631</v>
          </cell>
          <cell r="AA11">
            <v>12613.752766107813</v>
          </cell>
          <cell r="AB11" t="str">
            <v>Linked to CAPEX growth</v>
          </cell>
          <cell r="AD11" t="str">
            <v>mstag:deferredTaxAssetsNonCurrent</v>
          </cell>
          <cell r="AE11">
            <v>6</v>
          </cell>
          <cell r="AF11" t="str">
            <v>ISO4217:USD</v>
          </cell>
          <cell r="AG11" t="b">
            <v>0</v>
          </cell>
          <cell r="AH11" t="b">
            <v>0</v>
          </cell>
        </row>
        <row r="12">
          <cell r="A12" t="str">
            <v>Other Investments and Long Term Loans</v>
          </cell>
          <cell r="C12">
            <v>1756</v>
          </cell>
          <cell r="D12">
            <v>1910</v>
          </cell>
          <cell r="E12">
            <v>2313</v>
          </cell>
          <cell r="F12">
            <v>1319</v>
          </cell>
          <cell r="G12">
            <v>1182</v>
          </cell>
          <cell r="H12">
            <v>1378</v>
          </cell>
          <cell r="I12">
            <v>1263</v>
          </cell>
          <cell r="J12">
            <v>1356</v>
          </cell>
          <cell r="M12">
            <v>1092</v>
          </cell>
          <cell r="P12">
            <v>1523</v>
          </cell>
          <cell r="Q12">
            <v>1523</v>
          </cell>
          <cell r="R12">
            <v>1523</v>
          </cell>
          <cell r="S12">
            <v>1523</v>
          </cell>
          <cell r="T12">
            <v>1523</v>
          </cell>
          <cell r="U12">
            <v>1523</v>
          </cell>
          <cell r="V12">
            <v>1523</v>
          </cell>
          <cell r="W12">
            <v>1523</v>
          </cell>
          <cell r="X12">
            <v>1523</v>
          </cell>
          <cell r="Y12">
            <v>1523</v>
          </cell>
          <cell r="Z12">
            <v>1523</v>
          </cell>
          <cell r="AA12">
            <v>1523</v>
          </cell>
          <cell r="AD12" t="str">
            <v>mstag:longTermInvestmentsNonOperating</v>
          </cell>
          <cell r="AE12">
            <v>6</v>
          </cell>
          <cell r="AF12" t="str">
            <v>ISO4217:USD</v>
          </cell>
          <cell r="AG12" t="b">
            <v>0</v>
          </cell>
          <cell r="AH12" t="b">
            <v>0</v>
          </cell>
        </row>
        <row r="13">
          <cell r="A13" t="str">
            <v>Prepaid Pension</v>
          </cell>
          <cell r="C13">
            <v>2701</v>
          </cell>
          <cell r="D13">
            <v>1919</v>
          </cell>
          <cell r="E13">
            <v>2102</v>
          </cell>
          <cell r="F13">
            <v>2309</v>
          </cell>
          <cell r="G13">
            <v>182</v>
          </cell>
          <cell r="H13">
            <v>1585</v>
          </cell>
          <cell r="I13">
            <v>982</v>
          </cell>
          <cell r="J13">
            <v>38</v>
          </cell>
          <cell r="M13">
            <v>505</v>
          </cell>
          <cell r="P13">
            <v>525</v>
          </cell>
          <cell r="Q13">
            <v>525</v>
          </cell>
          <cell r="R13">
            <v>525</v>
          </cell>
          <cell r="S13">
            <v>525</v>
          </cell>
          <cell r="T13">
            <v>525</v>
          </cell>
          <cell r="U13">
            <v>525</v>
          </cell>
          <cell r="V13">
            <v>525</v>
          </cell>
          <cell r="W13">
            <v>525</v>
          </cell>
          <cell r="X13">
            <v>525</v>
          </cell>
          <cell r="Y13">
            <v>525</v>
          </cell>
          <cell r="Z13">
            <v>525</v>
          </cell>
          <cell r="AA13">
            <v>525</v>
          </cell>
          <cell r="AD13" t="str">
            <v>mstag:otherAssetsNonOperatingNonCurrent</v>
          </cell>
          <cell r="AE13">
            <v>6</v>
          </cell>
          <cell r="AF13" t="str">
            <v>ISO4217:USD</v>
          </cell>
          <cell r="AG13" t="b">
            <v>0</v>
          </cell>
          <cell r="AH13" t="b">
            <v>0</v>
          </cell>
        </row>
        <row r="14">
          <cell r="A14" t="str">
            <v>Fixed assets</v>
          </cell>
          <cell r="C14">
            <v>28568</v>
          </cell>
          <cell r="D14">
            <v>36289</v>
          </cell>
          <cell r="E14">
            <v>46604</v>
          </cell>
          <cell r="F14">
            <v>48022</v>
          </cell>
          <cell r="G14">
            <v>57418.053281555272</v>
          </cell>
          <cell r="H14">
            <v>61814.095818885558</v>
          </cell>
          <cell r="I14">
            <v>96633.128471382399</v>
          </cell>
          <cell r="J14">
            <v>93412.128471382399</v>
          </cell>
          <cell r="K14">
            <v>92370</v>
          </cell>
          <cell r="L14">
            <v>95071</v>
          </cell>
          <cell r="M14">
            <v>96187</v>
          </cell>
          <cell r="N14">
            <v>94227</v>
          </cell>
          <cell r="O14">
            <v>95824</v>
          </cell>
          <cell r="P14">
            <v>95712</v>
          </cell>
          <cell r="Q14">
            <v>95611.283657190404</v>
          </cell>
          <cell r="R14">
            <v>95547.879763903358</v>
          </cell>
          <cell r="S14">
            <v>95263.67272500231</v>
          </cell>
          <cell r="T14">
            <v>95070.127772700172</v>
          </cell>
          <cell r="U14">
            <v>94953.096103869029</v>
          </cell>
          <cell r="V14">
            <v>94775.243542474796</v>
          </cell>
          <cell r="W14">
            <v>94567.721053171161</v>
          </cell>
          <cell r="X14">
            <v>94282.398604443515</v>
          </cell>
          <cell r="Y14">
            <v>93920.694352004997</v>
          </cell>
          <cell r="Z14">
            <v>94158.857331310748</v>
          </cell>
          <cell r="AA14">
            <v>96473.773129094203</v>
          </cell>
        </row>
        <row r="16">
          <cell r="A16" t="str">
            <v>Inventories</v>
          </cell>
          <cell r="C16">
            <v>3558</v>
          </cell>
          <cell r="D16">
            <v>3725</v>
          </cell>
          <cell r="E16">
            <v>4498</v>
          </cell>
          <cell r="F16">
            <v>5455</v>
          </cell>
          <cell r="G16">
            <v>5792</v>
          </cell>
          <cell r="H16">
            <v>5830</v>
          </cell>
          <cell r="I16">
            <v>6093</v>
          </cell>
          <cell r="J16">
            <v>5930</v>
          </cell>
          <cell r="K16">
            <v>6420</v>
          </cell>
          <cell r="L16">
            <v>6845</v>
          </cell>
          <cell r="M16">
            <v>6744</v>
          </cell>
          <cell r="N16">
            <v>7263</v>
          </cell>
          <cell r="O16">
            <v>7516</v>
          </cell>
          <cell r="P16">
            <v>7267</v>
          </cell>
          <cell r="Q16">
            <v>7313.5087225791785</v>
          </cell>
          <cell r="R16">
            <v>7465.074141201686</v>
          </cell>
          <cell r="S16">
            <v>7671.5651580460726</v>
          </cell>
          <cell r="T16">
            <v>7886.3945059985135</v>
          </cell>
          <cell r="U16">
            <v>8113.1196706017517</v>
          </cell>
          <cell r="V16">
            <v>8291.303562454339</v>
          </cell>
          <cell r="W16">
            <v>8513.0310616161387</v>
          </cell>
          <cell r="X16">
            <v>8693.8762988056824</v>
          </cell>
          <cell r="Y16">
            <v>8873.4806087036577</v>
          </cell>
          <cell r="Z16">
            <v>9076.1240293633218</v>
          </cell>
          <cell r="AA16">
            <v>9076.1240293633218</v>
          </cell>
          <cell r="AB16" t="str">
            <v>Linked to Schedule below</v>
          </cell>
          <cell r="AD16" t="str">
            <v>mstag:inventories</v>
          </cell>
          <cell r="AE16">
            <v>6</v>
          </cell>
          <cell r="AF16" t="str">
            <v>ISO4217:USD</v>
          </cell>
          <cell r="AG16" t="b">
            <v>0</v>
          </cell>
          <cell r="AH16" t="b">
            <v>0</v>
          </cell>
        </row>
        <row r="17">
          <cell r="A17" t="str">
            <v>Trade Accounts Receivable</v>
          </cell>
          <cell r="C17">
            <v>4851</v>
          </cell>
          <cell r="D17">
            <v>5343</v>
          </cell>
          <cell r="E17">
            <v>6161</v>
          </cell>
          <cell r="F17">
            <v>6648</v>
          </cell>
          <cell r="G17">
            <v>7026</v>
          </cell>
          <cell r="H17">
            <v>8310</v>
          </cell>
          <cell r="I17">
            <v>9873</v>
          </cell>
          <cell r="J17">
            <v>10323</v>
          </cell>
          <cell r="K17">
            <v>10487</v>
          </cell>
          <cell r="L17">
            <v>10519</v>
          </cell>
          <cell r="M17">
            <v>10051</v>
          </cell>
          <cell r="N17">
            <v>10792</v>
          </cell>
          <cell r="O17">
            <v>10502</v>
          </cell>
          <cell r="P17">
            <v>9902</v>
          </cell>
          <cell r="Q17">
            <v>10097.915209768449</v>
          </cell>
          <cell r="R17">
            <v>10312.855747116826</v>
          </cell>
          <cell r="S17">
            <v>10641.307436762665</v>
          </cell>
          <cell r="T17">
            <v>11005.656705387913</v>
          </cell>
          <cell r="U17">
            <v>11406.670356218694</v>
          </cell>
          <cell r="V17">
            <v>11452.124053225411</v>
          </cell>
          <cell r="W17">
            <v>11602.244319474386</v>
          </cell>
          <cell r="X17">
            <v>11625.594630908963</v>
          </cell>
          <cell r="Y17">
            <v>11640.305726497363</v>
          </cell>
          <cell r="Z17">
            <v>11790.108853173409</v>
          </cell>
          <cell r="AA17">
            <v>11790.108853173409</v>
          </cell>
          <cell r="AB17" t="str">
            <v>Linked to Schedule below</v>
          </cell>
          <cell r="AD17" t="str">
            <v>mstag:tradeReceivables</v>
          </cell>
          <cell r="AE17">
            <v>6</v>
          </cell>
          <cell r="AF17" t="str">
            <v>ISO4217:USD</v>
          </cell>
          <cell r="AG17" t="b">
            <v>0</v>
          </cell>
          <cell r="AH17" t="b">
            <v>0</v>
          </cell>
        </row>
        <row r="18">
          <cell r="A18" t="str">
            <v>Other current assets</v>
          </cell>
          <cell r="C18">
            <v>1619</v>
          </cell>
          <cell r="D18">
            <v>1442</v>
          </cell>
          <cell r="E18">
            <v>2054</v>
          </cell>
          <cell r="F18">
            <v>2126</v>
          </cell>
          <cell r="G18">
            <v>1946</v>
          </cell>
          <cell r="H18">
            <v>2102</v>
          </cell>
          <cell r="I18">
            <v>2585</v>
          </cell>
          <cell r="J18">
            <v>2756</v>
          </cell>
          <cell r="K18">
            <v>3109</v>
          </cell>
          <cell r="L18">
            <v>2983</v>
          </cell>
          <cell r="M18">
            <v>3090</v>
          </cell>
          <cell r="N18">
            <v>3540</v>
          </cell>
          <cell r="O18">
            <v>3413</v>
          </cell>
          <cell r="P18">
            <v>3392</v>
          </cell>
          <cell r="Q18">
            <v>3731.2000000000003</v>
          </cell>
          <cell r="R18">
            <v>4104.3200000000006</v>
          </cell>
          <cell r="S18">
            <v>4514.7520000000013</v>
          </cell>
          <cell r="T18">
            <v>4966.2272000000021</v>
          </cell>
          <cell r="U18">
            <v>5462.8499200000024</v>
          </cell>
          <cell r="V18">
            <v>6009.1349120000032</v>
          </cell>
          <cell r="W18">
            <v>6610.048403200004</v>
          </cell>
          <cell r="X18">
            <v>7271.0532435200048</v>
          </cell>
          <cell r="Y18">
            <v>7998.1585678720057</v>
          </cell>
          <cell r="Z18">
            <v>8797.9744246592072</v>
          </cell>
          <cell r="AA18">
            <v>8797.9744246592072</v>
          </cell>
          <cell r="AB18" t="str">
            <v>Linked to Schedule below</v>
          </cell>
          <cell r="AD18" t="str">
            <v>mstag:otherAssetsOperatingCurrent</v>
          </cell>
          <cell r="AE18">
            <v>6</v>
          </cell>
          <cell r="AF18" t="str">
            <v>ISO4217:USD</v>
          </cell>
          <cell r="AG18" t="b">
            <v>0</v>
          </cell>
          <cell r="AH18" t="b">
            <v>0</v>
          </cell>
        </row>
        <row r="19">
          <cell r="A19" t="str">
            <v>Marketable Securities</v>
          </cell>
          <cell r="C19">
            <v>7809</v>
          </cell>
          <cell r="D19">
            <v>4612</v>
          </cell>
          <cell r="E19">
            <v>4140</v>
          </cell>
          <cell r="F19">
            <v>7841</v>
          </cell>
          <cell r="G19">
            <v>4079</v>
          </cell>
          <cell r="H19">
            <v>14555</v>
          </cell>
          <cell r="I19">
            <v>2815</v>
          </cell>
          <cell r="J19">
            <v>1366</v>
          </cell>
          <cell r="K19">
            <v>1366</v>
          </cell>
          <cell r="L19">
            <v>1366</v>
          </cell>
          <cell r="M19">
            <v>2567</v>
          </cell>
          <cell r="P19">
            <v>2535</v>
          </cell>
          <cell r="Q19">
            <v>2535</v>
          </cell>
          <cell r="R19">
            <v>2535</v>
          </cell>
          <cell r="S19">
            <v>2535</v>
          </cell>
          <cell r="T19">
            <v>2535</v>
          </cell>
          <cell r="U19">
            <v>2535</v>
          </cell>
          <cell r="V19">
            <v>2535</v>
          </cell>
          <cell r="W19">
            <v>2535</v>
          </cell>
          <cell r="X19">
            <v>2535</v>
          </cell>
          <cell r="Y19">
            <v>2535</v>
          </cell>
          <cell r="Z19">
            <v>2535</v>
          </cell>
          <cell r="AA19">
            <v>2535</v>
          </cell>
          <cell r="AB19" t="str">
            <v>Linked to Schedule below</v>
          </cell>
          <cell r="AD19" t="str">
            <v>mstag:shortTermInvestments</v>
          </cell>
          <cell r="AE19">
            <v>6</v>
          </cell>
          <cell r="AF19" t="str">
            <v>ISO4217:USD</v>
          </cell>
          <cell r="AG19" t="b">
            <v>0</v>
          </cell>
          <cell r="AH19" t="b">
            <v>0</v>
          </cell>
        </row>
        <row r="20">
          <cell r="A20" t="str">
            <v>Cash and cash equivalents</v>
          </cell>
          <cell r="B20">
            <v>5862</v>
          </cell>
          <cell r="C20">
            <v>6083</v>
          </cell>
          <cell r="D20">
            <v>6321</v>
          </cell>
          <cell r="E20">
            <v>3815</v>
          </cell>
          <cell r="F20">
            <v>5360</v>
          </cell>
          <cell r="G20">
            <v>2038</v>
          </cell>
          <cell r="H20">
            <v>2894</v>
          </cell>
          <cell r="I20">
            <v>5319</v>
          </cell>
          <cell r="J20">
            <v>3709</v>
          </cell>
          <cell r="K20">
            <v>4740</v>
          </cell>
          <cell r="L20">
            <v>4435</v>
          </cell>
          <cell r="M20">
            <v>5552</v>
          </cell>
          <cell r="N20">
            <v>5250</v>
          </cell>
          <cell r="O20">
            <v>7339</v>
          </cell>
          <cell r="P20">
            <v>6687</v>
          </cell>
          <cell r="Q20">
            <v>7732.9149646160513</v>
          </cell>
          <cell r="R20">
            <v>8815.8510681852531</v>
          </cell>
          <cell r="S20">
            <v>10762.815150404433</v>
          </cell>
          <cell r="T20">
            <v>13741.538687866214</v>
          </cell>
          <cell r="U20">
            <v>18622.106521279507</v>
          </cell>
          <cell r="V20">
            <v>22608.442866788522</v>
          </cell>
          <cell r="W20">
            <v>26305.730246124338</v>
          </cell>
          <cell r="X20">
            <v>29531.531897604371</v>
          </cell>
          <cell r="Y20">
            <v>32336.693282791053</v>
          </cell>
          <cell r="Z20">
            <v>34438.55461659198</v>
          </cell>
          <cell r="AA20">
            <v>37067.360458081152</v>
          </cell>
          <cell r="AB20" t="str">
            <v>Linked to Schedule below</v>
          </cell>
          <cell r="AD20" t="str">
            <v>mstag:cashAndCashEquivalents</v>
          </cell>
          <cell r="AE20">
            <v>6</v>
          </cell>
          <cell r="AF20" t="str">
            <v>ISO4217:USD</v>
          </cell>
          <cell r="AG20" t="b">
            <v>0</v>
          </cell>
          <cell r="AH20" t="b">
            <v>0</v>
          </cell>
        </row>
        <row r="21">
          <cell r="A21" t="str">
            <v>Current Assets</v>
          </cell>
          <cell r="C21">
            <v>23920</v>
          </cell>
          <cell r="D21">
            <v>21443</v>
          </cell>
          <cell r="E21">
            <v>20668</v>
          </cell>
          <cell r="F21">
            <v>27430</v>
          </cell>
          <cell r="G21">
            <v>20881</v>
          </cell>
          <cell r="H21">
            <v>33691</v>
          </cell>
          <cell r="I21">
            <v>26685</v>
          </cell>
          <cell r="J21">
            <v>24084</v>
          </cell>
          <cell r="K21">
            <v>26122</v>
          </cell>
          <cell r="L21">
            <v>26148</v>
          </cell>
          <cell r="M21">
            <v>28004</v>
          </cell>
          <cell r="N21">
            <v>26845</v>
          </cell>
          <cell r="O21">
            <v>28770</v>
          </cell>
          <cell r="P21">
            <v>29783</v>
          </cell>
          <cell r="Q21">
            <v>31410.538896963681</v>
          </cell>
          <cell r="R21">
            <v>33233.100956503768</v>
          </cell>
          <cell r="S21">
            <v>36125.439745213167</v>
          </cell>
          <cell r="T21">
            <v>40134.817099252643</v>
          </cell>
          <cell r="U21">
            <v>46139.746468099955</v>
          </cell>
          <cell r="V21">
            <v>50896.005394468273</v>
          </cell>
          <cell r="W21">
            <v>55566.054030414867</v>
          </cell>
          <cell r="X21">
            <v>59657.056070839026</v>
          </cell>
          <cell r="Y21">
            <v>63383.638185864082</v>
          </cell>
          <cell r="Z21">
            <v>66637.761923787912</v>
          </cell>
          <cell r="AA21">
            <v>69266.567765277083</v>
          </cell>
        </row>
        <row r="22">
          <cell r="A22" t="str">
            <v>Assets (Discontinued Ops)</v>
          </cell>
          <cell r="E22">
            <v>736</v>
          </cell>
          <cell r="F22">
            <v>0</v>
          </cell>
          <cell r="G22">
            <v>0</v>
          </cell>
          <cell r="H22">
            <v>0</v>
          </cell>
          <cell r="I22">
            <v>0</v>
          </cell>
          <cell r="J22">
            <v>0</v>
          </cell>
          <cell r="M22">
            <v>0</v>
          </cell>
          <cell r="N22">
            <v>0</v>
          </cell>
          <cell r="P22">
            <v>759</v>
          </cell>
          <cell r="Q22">
            <v>759</v>
          </cell>
          <cell r="R22">
            <v>759</v>
          </cell>
          <cell r="S22">
            <v>759</v>
          </cell>
          <cell r="T22">
            <v>759</v>
          </cell>
          <cell r="U22">
            <v>759</v>
          </cell>
          <cell r="V22">
            <v>759</v>
          </cell>
          <cell r="W22">
            <v>759</v>
          </cell>
          <cell r="X22">
            <v>759</v>
          </cell>
          <cell r="Y22">
            <v>759</v>
          </cell>
          <cell r="Z22">
            <v>759</v>
          </cell>
          <cell r="AA22">
            <v>759</v>
          </cell>
          <cell r="AD22" t="str">
            <v>mstag:assetsOfDiscontinuedOperations</v>
          </cell>
          <cell r="AE22">
            <v>6</v>
          </cell>
          <cell r="AF22" t="str">
            <v>ISO4217:USD</v>
          </cell>
          <cell r="AG22" t="b">
            <v>0</v>
          </cell>
        </row>
        <row r="23">
          <cell r="A23" t="str">
            <v>Total Assets</v>
          </cell>
          <cell r="C23">
            <v>52488</v>
          </cell>
          <cell r="D23">
            <v>57732</v>
          </cell>
          <cell r="E23">
            <v>68008</v>
          </cell>
          <cell r="F23">
            <v>75452</v>
          </cell>
          <cell r="G23">
            <v>78299.053281555272</v>
          </cell>
          <cell r="H23">
            <v>95505.095818885558</v>
          </cell>
          <cell r="I23">
            <v>123318.1284713824</v>
          </cell>
          <cell r="J23">
            <v>117496.1284713824</v>
          </cell>
          <cell r="K23">
            <v>118492</v>
          </cell>
          <cell r="L23">
            <v>121219</v>
          </cell>
          <cell r="M23">
            <v>124191</v>
          </cell>
          <cell r="N23">
            <v>121072</v>
          </cell>
          <cell r="O23">
            <v>124594</v>
          </cell>
          <cell r="P23">
            <v>126254</v>
          </cell>
          <cell r="Q23">
            <v>127780.82255415409</v>
          </cell>
          <cell r="R23">
            <v>129539.98072040713</v>
          </cell>
          <cell r="S23">
            <v>132148.11247021548</v>
          </cell>
          <cell r="T23">
            <v>135963.94487195282</v>
          </cell>
          <cell r="U23">
            <v>141851.84257196897</v>
          </cell>
          <cell r="V23">
            <v>146430.24893694307</v>
          </cell>
          <cell r="W23">
            <v>150892.77508358602</v>
          </cell>
          <cell r="X23">
            <v>154698.45467528253</v>
          </cell>
          <cell r="Y23">
            <v>158063.33253786908</v>
          </cell>
          <cell r="Z23">
            <v>161555.61925509866</v>
          </cell>
          <cell r="AA23">
            <v>166499.34089437127</v>
          </cell>
        </row>
        <row r="25">
          <cell r="A25" t="str">
            <v>Trade Accounts Payable</v>
          </cell>
          <cell r="C25">
            <v>2020</v>
          </cell>
          <cell r="D25">
            <v>1961</v>
          </cell>
          <cell r="E25">
            <v>2487</v>
          </cell>
          <cell r="F25">
            <v>3018</v>
          </cell>
          <cell r="G25">
            <v>3395</v>
          </cell>
          <cell r="H25">
            <v>4012</v>
          </cell>
          <cell r="I25">
            <v>4788</v>
          </cell>
          <cell r="J25">
            <v>4989</v>
          </cell>
          <cell r="K25">
            <v>4585</v>
          </cell>
          <cell r="L25">
            <v>4591</v>
          </cell>
          <cell r="M25">
            <v>5593</v>
          </cell>
          <cell r="N25">
            <v>5042</v>
          </cell>
          <cell r="O25">
            <v>5079</v>
          </cell>
          <cell r="P25">
            <v>6148</v>
          </cell>
          <cell r="Q25">
            <v>6187.3471345007283</v>
          </cell>
          <cell r="R25">
            <v>6315.5739397423931</v>
          </cell>
          <cell r="S25">
            <v>6490.2686929499478</v>
          </cell>
          <cell r="T25">
            <v>6672.0178096709606</v>
          </cell>
          <cell r="U25">
            <v>6863.8309804402888</v>
          </cell>
          <cell r="V25">
            <v>7014.5774462597046</v>
          </cell>
          <cell r="W25">
            <v>7202.1625109145507</v>
          </cell>
          <cell r="X25">
            <v>7355.160518103391</v>
          </cell>
          <cell r="Y25">
            <v>7507.1086806536541</v>
          </cell>
          <cell r="Z25">
            <v>7678.5483050124831</v>
          </cell>
          <cell r="AA25">
            <v>7678.5483050124831</v>
          </cell>
          <cell r="AB25" t="str">
            <v>Linked to Schedule below</v>
          </cell>
          <cell r="AD25" t="str">
            <v>mstag:tradeAndOtherPayablesCurrent</v>
          </cell>
          <cell r="AE25">
            <v>6</v>
          </cell>
          <cell r="AF25" t="str">
            <v>ISO4217:USD</v>
          </cell>
          <cell r="AG25" t="b">
            <v>0</v>
          </cell>
          <cell r="AH25" t="b">
            <v>0</v>
          </cell>
        </row>
        <row r="26">
          <cell r="A26" t="str">
            <v>Financial debts</v>
          </cell>
          <cell r="C26">
            <v>4119</v>
          </cell>
          <cell r="D26">
            <v>7135</v>
          </cell>
          <cell r="E26">
            <v>6643</v>
          </cell>
          <cell r="F26">
            <v>5117</v>
          </cell>
          <cell r="G26">
            <v>5186</v>
          </cell>
          <cell r="H26">
            <v>5313</v>
          </cell>
          <cell r="I26">
            <v>8627</v>
          </cell>
          <cell r="J26">
            <v>6374</v>
          </cell>
          <cell r="K26">
            <v>8878</v>
          </cell>
          <cell r="L26">
            <v>5017</v>
          </cell>
          <cell r="M26">
            <v>5945</v>
          </cell>
          <cell r="N26">
            <v>7256</v>
          </cell>
          <cell r="O26">
            <v>7656</v>
          </cell>
          <cell r="P26">
            <v>6776</v>
          </cell>
          <cell r="Q26">
            <v>6776</v>
          </cell>
          <cell r="R26">
            <v>6776</v>
          </cell>
          <cell r="S26">
            <v>6776</v>
          </cell>
          <cell r="T26">
            <v>6776</v>
          </cell>
          <cell r="U26">
            <v>6776</v>
          </cell>
          <cell r="V26">
            <v>6776</v>
          </cell>
          <cell r="W26">
            <v>6776</v>
          </cell>
          <cell r="X26">
            <v>6776</v>
          </cell>
          <cell r="Y26">
            <v>6776</v>
          </cell>
          <cell r="Z26">
            <v>6776</v>
          </cell>
          <cell r="AA26">
            <v>6776</v>
          </cell>
          <cell r="AB26" t="str">
            <v>Linked to Schedule below</v>
          </cell>
          <cell r="AD26" t="str">
            <v>mstag:shortTermBorrowings</v>
          </cell>
          <cell r="AE26">
            <v>6</v>
          </cell>
          <cell r="AF26" t="str">
            <v>ISO4217:USD</v>
          </cell>
          <cell r="AG26" t="b">
            <v>0</v>
          </cell>
          <cell r="AH26" t="b">
            <v>0</v>
          </cell>
        </row>
        <row r="27">
          <cell r="A27" t="str">
            <v>Other short term liabilities</v>
          </cell>
          <cell r="C27">
            <v>5710</v>
          </cell>
          <cell r="D27">
            <v>6232</v>
          </cell>
          <cell r="E27">
            <v>6897</v>
          </cell>
          <cell r="F27">
            <v>8506</v>
          </cell>
          <cell r="G27">
            <v>7923</v>
          </cell>
          <cell r="H27">
            <v>10145</v>
          </cell>
          <cell r="I27">
            <v>11243</v>
          </cell>
          <cell r="J27">
            <v>11785</v>
          </cell>
          <cell r="K27">
            <v>11457</v>
          </cell>
          <cell r="L27">
            <v>12251</v>
          </cell>
          <cell r="M27">
            <v>12513</v>
          </cell>
          <cell r="N27">
            <v>12090</v>
          </cell>
          <cell r="O27">
            <v>13077</v>
          </cell>
          <cell r="P27">
            <v>13394</v>
          </cell>
          <cell r="Q27">
            <v>13540.401638343325</v>
          </cell>
          <cell r="R27">
            <v>13768.256415454061</v>
          </cell>
          <cell r="S27">
            <v>14056.595164906221</v>
          </cell>
          <cell r="T27">
            <v>14429.126467149532</v>
          </cell>
          <cell r="U27">
            <v>14867.853353514845</v>
          </cell>
          <cell r="V27">
            <v>14812.27921727596</v>
          </cell>
          <cell r="W27">
            <v>14918.323995534322</v>
          </cell>
          <cell r="X27">
            <v>14860.452046356309</v>
          </cell>
          <cell r="Y27">
            <v>14767.575730143821</v>
          </cell>
          <cell r="Z27">
            <v>14825.743668926665</v>
          </cell>
          <cell r="AA27">
            <v>14825.743668926665</v>
          </cell>
          <cell r="AB27" t="str">
            <v>Linked to Schedule below</v>
          </cell>
          <cell r="AD27" t="str">
            <v>mstag:otherLiabilitiesNonOperatingCurrent</v>
          </cell>
          <cell r="AE27">
            <v>6</v>
          </cell>
          <cell r="AF27" t="str">
            <v>ISO4217:USD</v>
          </cell>
          <cell r="AG27" t="b">
            <v>0</v>
          </cell>
          <cell r="AH27" t="b">
            <v>0</v>
          </cell>
        </row>
        <row r="28">
          <cell r="A28" t="str">
            <v>Current Liabilities</v>
          </cell>
          <cell r="C28">
            <v>11849</v>
          </cell>
          <cell r="D28">
            <v>15328</v>
          </cell>
          <cell r="E28">
            <v>16027</v>
          </cell>
          <cell r="F28">
            <v>16641</v>
          </cell>
          <cell r="G28">
            <v>16504</v>
          </cell>
          <cell r="H28">
            <v>19470</v>
          </cell>
          <cell r="I28">
            <v>24658</v>
          </cell>
          <cell r="J28">
            <v>23148</v>
          </cell>
          <cell r="K28">
            <v>24920</v>
          </cell>
          <cell r="L28">
            <v>21859</v>
          </cell>
          <cell r="M28">
            <v>24051</v>
          </cell>
          <cell r="N28">
            <v>24388</v>
          </cell>
          <cell r="O28">
            <v>25812</v>
          </cell>
          <cell r="P28">
            <v>26318</v>
          </cell>
          <cell r="Q28">
            <v>26503.748772844054</v>
          </cell>
          <cell r="R28">
            <v>26859.830355196456</v>
          </cell>
          <cell r="S28">
            <v>27322.863857856166</v>
          </cell>
          <cell r="T28">
            <v>27877.144276820494</v>
          </cell>
          <cell r="U28">
            <v>28507.684333955134</v>
          </cell>
          <cell r="V28">
            <v>28602.856663535662</v>
          </cell>
          <cell r="W28">
            <v>28896.486506448869</v>
          </cell>
          <cell r="X28">
            <v>28991.612564459701</v>
          </cell>
          <cell r="Y28">
            <v>29050.684410797476</v>
          </cell>
          <cell r="Z28">
            <v>29280.291973939147</v>
          </cell>
          <cell r="AA28">
            <v>29280.291973939147</v>
          </cell>
        </row>
        <row r="30">
          <cell r="A30" t="str">
            <v>Long-term debt</v>
          </cell>
          <cell r="C30">
            <v>2736</v>
          </cell>
          <cell r="D30">
            <v>1319</v>
          </cell>
          <cell r="E30">
            <v>656</v>
          </cell>
          <cell r="F30">
            <v>677</v>
          </cell>
          <cell r="G30">
            <v>2178</v>
          </cell>
          <cell r="H30">
            <v>8675</v>
          </cell>
          <cell r="I30">
            <v>14360</v>
          </cell>
          <cell r="J30">
            <v>13855</v>
          </cell>
          <cell r="K30">
            <v>13754</v>
          </cell>
          <cell r="L30">
            <v>15823</v>
          </cell>
          <cell r="M30">
            <v>13781</v>
          </cell>
          <cell r="N30">
            <v>11615</v>
          </cell>
          <cell r="O30">
            <v>11119</v>
          </cell>
          <cell r="P30">
            <v>11242</v>
          </cell>
          <cell r="Q30">
            <v>11242</v>
          </cell>
          <cell r="R30">
            <v>11242</v>
          </cell>
          <cell r="S30">
            <v>11242</v>
          </cell>
          <cell r="T30">
            <v>11242</v>
          </cell>
          <cell r="U30">
            <v>11242</v>
          </cell>
          <cell r="V30">
            <v>11242</v>
          </cell>
          <cell r="W30">
            <v>11242</v>
          </cell>
          <cell r="X30">
            <v>11242</v>
          </cell>
          <cell r="Y30">
            <v>11242</v>
          </cell>
          <cell r="Z30">
            <v>11242</v>
          </cell>
          <cell r="AA30">
            <v>11242</v>
          </cell>
          <cell r="AB30" t="str">
            <v>Linked to Schedule below</v>
          </cell>
          <cell r="AD30" t="str">
            <v>mstag:longTermDebt</v>
          </cell>
          <cell r="AE30">
            <v>6</v>
          </cell>
          <cell r="AF30" t="str">
            <v>ISO4217:USD</v>
          </cell>
          <cell r="AG30" t="b">
            <v>0</v>
          </cell>
          <cell r="AH30" t="b">
            <v>0</v>
          </cell>
        </row>
        <row r="31">
          <cell r="A31" t="str">
            <v>Deferred taxes</v>
          </cell>
          <cell r="C31">
            <v>2340</v>
          </cell>
          <cell r="D31">
            <v>3472</v>
          </cell>
          <cell r="E31">
            <v>5290</v>
          </cell>
          <cell r="F31">
            <v>4466</v>
          </cell>
          <cell r="G31">
            <v>4144</v>
          </cell>
          <cell r="H31">
            <v>4407</v>
          </cell>
          <cell r="I31">
            <v>7689</v>
          </cell>
          <cell r="J31">
            <v>6761</v>
          </cell>
          <cell r="K31">
            <v>7236.7276162990447</v>
          </cell>
          <cell r="M31">
            <v>7286</v>
          </cell>
          <cell r="P31">
            <v>6904</v>
          </cell>
          <cell r="Q31">
            <v>6444.2393591669606</v>
          </cell>
          <cell r="R31">
            <v>6581.409085975617</v>
          </cell>
          <cell r="S31">
            <v>6111.9169366345923</v>
          </cell>
          <cell r="T31">
            <v>6321.1837470330847</v>
          </cell>
          <cell r="U31">
            <v>6551.5090279160477</v>
          </cell>
          <cell r="V31">
            <v>6577.6157090939878</v>
          </cell>
          <cell r="W31">
            <v>6663.8384409595701</v>
          </cell>
          <cell r="X31">
            <v>6677.2498722879855</v>
          </cell>
          <cell r="Y31">
            <v>6685.6993034145171</v>
          </cell>
          <cell r="Z31">
            <v>6771.739883722259</v>
          </cell>
          <cell r="AA31">
            <v>6659.0955451731297</v>
          </cell>
          <cell r="AB31" t="str">
            <v>Linked to CAPEX growth</v>
          </cell>
          <cell r="AD31" t="str">
            <v>mstag:deferredTaxLiabilitiesNonCurrent</v>
          </cell>
          <cell r="AE31">
            <v>6</v>
          </cell>
          <cell r="AF31" t="str">
            <v>ISO4217:USD</v>
          </cell>
          <cell r="AG31" t="b">
            <v>0</v>
          </cell>
          <cell r="AH31" t="b">
            <v>0</v>
          </cell>
        </row>
        <row r="32">
          <cell r="A32" t="str">
            <v>Provisions and other long term liabilities</v>
          </cell>
          <cell r="C32">
            <v>4248</v>
          </cell>
          <cell r="D32">
            <v>4449</v>
          </cell>
          <cell r="E32">
            <v>4534</v>
          </cell>
          <cell r="F32">
            <v>4272</v>
          </cell>
          <cell r="G32">
            <v>5036</v>
          </cell>
          <cell r="H32">
            <v>5491</v>
          </cell>
          <cell r="I32">
            <v>6842</v>
          </cell>
          <cell r="J32">
            <v>7792</v>
          </cell>
          <cell r="K32">
            <v>8340.2723837009544</v>
          </cell>
          <cell r="M32">
            <v>9810</v>
          </cell>
          <cell r="N32">
            <v>15441</v>
          </cell>
          <cell r="O32">
            <v>15484</v>
          </cell>
          <cell r="P32">
            <v>7268</v>
          </cell>
          <cell r="Q32">
            <v>7268</v>
          </cell>
          <cell r="R32">
            <v>7268</v>
          </cell>
          <cell r="S32">
            <v>7268</v>
          </cell>
          <cell r="T32">
            <v>7268</v>
          </cell>
          <cell r="U32">
            <v>7268</v>
          </cell>
          <cell r="V32">
            <v>7268</v>
          </cell>
          <cell r="W32">
            <v>7268</v>
          </cell>
          <cell r="X32">
            <v>7268</v>
          </cell>
          <cell r="Y32">
            <v>7268</v>
          </cell>
          <cell r="Z32">
            <v>7268</v>
          </cell>
          <cell r="AA32">
            <v>7268</v>
          </cell>
          <cell r="AB32" t="str">
            <v>Flat - contains pension liability</v>
          </cell>
          <cell r="AD32" t="str">
            <v>mstag:otherLiabilitiesNonOperatingNonCurrent</v>
          </cell>
          <cell r="AE32">
            <v>6</v>
          </cell>
          <cell r="AF32" t="str">
            <v>ISO4217:USD</v>
          </cell>
          <cell r="AG32" t="b">
            <v>0</v>
          </cell>
          <cell r="AH32" t="b">
            <v>0</v>
          </cell>
        </row>
        <row r="33">
          <cell r="A33" t="str">
            <v>Long-term liabilitites</v>
          </cell>
          <cell r="C33">
            <v>9324</v>
          </cell>
          <cell r="D33">
            <v>9240</v>
          </cell>
          <cell r="E33">
            <v>10480</v>
          </cell>
          <cell r="F33">
            <v>9415</v>
          </cell>
          <cell r="G33">
            <v>11358</v>
          </cell>
          <cell r="H33">
            <v>18573</v>
          </cell>
          <cell r="I33">
            <v>28891</v>
          </cell>
          <cell r="J33">
            <v>28408</v>
          </cell>
          <cell r="K33">
            <v>29331</v>
          </cell>
          <cell r="L33">
            <v>32155</v>
          </cell>
          <cell r="M33">
            <v>30877</v>
          </cell>
          <cell r="N33">
            <v>27056</v>
          </cell>
          <cell r="O33">
            <v>26603</v>
          </cell>
          <cell r="P33">
            <v>25414</v>
          </cell>
          <cell r="Q33">
            <v>24954.239359166961</v>
          </cell>
          <cell r="R33">
            <v>25091.409085975618</v>
          </cell>
          <cell r="S33">
            <v>24621.916936634592</v>
          </cell>
          <cell r="T33">
            <v>24831.183747033087</v>
          </cell>
          <cell r="U33">
            <v>25061.509027916047</v>
          </cell>
          <cell r="V33">
            <v>25087.615709093989</v>
          </cell>
          <cell r="W33">
            <v>25173.838440959571</v>
          </cell>
          <cell r="X33">
            <v>25187.249872287986</v>
          </cell>
          <cell r="Y33">
            <v>25195.699303414516</v>
          </cell>
          <cell r="Z33">
            <v>25281.739883722257</v>
          </cell>
          <cell r="AA33">
            <v>25169.095545173128</v>
          </cell>
        </row>
        <row r="34">
          <cell r="A34" t="str">
            <v>Liabilities (Disc Ops)</v>
          </cell>
          <cell r="E34">
            <v>207</v>
          </cell>
          <cell r="F34">
            <v>0</v>
          </cell>
          <cell r="G34">
            <v>0</v>
          </cell>
          <cell r="H34">
            <v>0</v>
          </cell>
          <cell r="I34">
            <v>0</v>
          </cell>
          <cell r="J34">
            <v>0</v>
          </cell>
          <cell r="M34">
            <v>0</v>
          </cell>
          <cell r="N34">
            <v>0</v>
          </cell>
          <cell r="P34">
            <v>50</v>
          </cell>
          <cell r="Q34">
            <v>50</v>
          </cell>
          <cell r="R34">
            <v>50</v>
          </cell>
          <cell r="S34">
            <v>50</v>
          </cell>
          <cell r="T34">
            <v>50</v>
          </cell>
          <cell r="U34">
            <v>50</v>
          </cell>
          <cell r="V34">
            <v>50</v>
          </cell>
          <cell r="W34">
            <v>50</v>
          </cell>
          <cell r="X34">
            <v>50</v>
          </cell>
          <cell r="Y34">
            <v>50</v>
          </cell>
          <cell r="Z34">
            <v>50</v>
          </cell>
          <cell r="AA34">
            <v>50</v>
          </cell>
          <cell r="AD34" t="str">
            <v>mstag:liabilitiesOfDiscontinuedOperations</v>
          </cell>
          <cell r="AE34">
            <v>6</v>
          </cell>
          <cell r="AF34" t="str">
            <v>ISO4217:USD</v>
          </cell>
          <cell r="AG34" t="b">
            <v>0</v>
          </cell>
        </row>
        <row r="35">
          <cell r="A35" t="str">
            <v>Total Liabilities</v>
          </cell>
          <cell r="C35">
            <v>21173</v>
          </cell>
          <cell r="D35">
            <v>24568</v>
          </cell>
          <cell r="E35">
            <v>26714</v>
          </cell>
          <cell r="F35">
            <v>26056</v>
          </cell>
          <cell r="G35">
            <v>27862</v>
          </cell>
          <cell r="H35">
            <v>38043</v>
          </cell>
          <cell r="I35">
            <v>53549</v>
          </cell>
          <cell r="J35">
            <v>51556</v>
          </cell>
          <cell r="K35">
            <v>54251</v>
          </cell>
          <cell r="L35">
            <v>54014</v>
          </cell>
          <cell r="M35">
            <v>54928</v>
          </cell>
          <cell r="N35">
            <v>51444</v>
          </cell>
          <cell r="O35">
            <v>52415</v>
          </cell>
          <cell r="P35">
            <v>51782</v>
          </cell>
          <cell r="Q35">
            <v>51507.988132011014</v>
          </cell>
          <cell r="R35">
            <v>52001.239441172074</v>
          </cell>
          <cell r="S35">
            <v>51994.780794490754</v>
          </cell>
          <cell r="T35">
            <v>52758.328023853581</v>
          </cell>
          <cell r="U35">
            <v>53619.193361871177</v>
          </cell>
          <cell r="V35">
            <v>53740.472372629651</v>
          </cell>
          <cell r="W35">
            <v>54120.324947408444</v>
          </cell>
          <cell r="X35">
            <v>54228.862436747688</v>
          </cell>
          <cell r="Y35">
            <v>54296.383714211988</v>
          </cell>
          <cell r="Z35">
            <v>54612.031857661408</v>
          </cell>
          <cell r="AA35">
            <v>54499.387519112279</v>
          </cell>
        </row>
        <row r="37">
          <cell r="A37" t="str">
            <v>Share Capital</v>
          </cell>
          <cell r="C37">
            <v>1008</v>
          </cell>
          <cell r="D37">
            <v>994</v>
          </cell>
          <cell r="E37">
            <v>990</v>
          </cell>
          <cell r="F37">
            <v>990</v>
          </cell>
          <cell r="G37">
            <v>959</v>
          </cell>
          <cell r="H37">
            <v>957</v>
          </cell>
          <cell r="I37">
            <v>957</v>
          </cell>
          <cell r="J37">
            <v>1016</v>
          </cell>
          <cell r="M37">
            <v>1001</v>
          </cell>
          <cell r="P37">
            <v>1001</v>
          </cell>
          <cell r="Q37">
            <v>1001</v>
          </cell>
          <cell r="R37">
            <v>1001</v>
          </cell>
          <cell r="S37">
            <v>1001</v>
          </cell>
          <cell r="T37">
            <v>1001</v>
          </cell>
          <cell r="U37">
            <v>1001</v>
          </cell>
          <cell r="V37">
            <v>1001</v>
          </cell>
          <cell r="W37">
            <v>1001</v>
          </cell>
          <cell r="X37">
            <v>1001</v>
          </cell>
          <cell r="Y37">
            <v>1001</v>
          </cell>
          <cell r="Z37">
            <v>1001</v>
          </cell>
          <cell r="AA37">
            <v>1001</v>
          </cell>
          <cell r="AD37" t="str">
            <v>mstag:totalShareCapital</v>
          </cell>
          <cell r="AE37">
            <v>6</v>
          </cell>
          <cell r="AF37" t="str">
            <v>ISO4217:USD</v>
          </cell>
          <cell r="AG37" t="b">
            <v>0</v>
          </cell>
          <cell r="AH37" t="b">
            <v>0</v>
          </cell>
        </row>
        <row r="38">
          <cell r="A38" t="str">
            <v>Treasury Shares</v>
          </cell>
          <cell r="C38">
            <v>-159</v>
          </cell>
          <cell r="D38">
            <v>-146</v>
          </cell>
          <cell r="E38">
            <v>-140</v>
          </cell>
          <cell r="F38">
            <v>-175</v>
          </cell>
          <cell r="G38">
            <v>-139</v>
          </cell>
          <cell r="H38">
            <v>-132</v>
          </cell>
          <cell r="I38">
            <v>-125</v>
          </cell>
          <cell r="J38">
            <v>-121</v>
          </cell>
          <cell r="M38">
            <v>-92</v>
          </cell>
          <cell r="P38">
            <v>-89</v>
          </cell>
          <cell r="Q38">
            <v>-89</v>
          </cell>
          <cell r="R38">
            <v>-89</v>
          </cell>
          <cell r="S38">
            <v>-89</v>
          </cell>
          <cell r="T38">
            <v>-89</v>
          </cell>
          <cell r="U38">
            <v>-89</v>
          </cell>
          <cell r="V38">
            <v>-89</v>
          </cell>
          <cell r="W38">
            <v>-89</v>
          </cell>
          <cell r="X38">
            <v>-89</v>
          </cell>
          <cell r="Y38">
            <v>-89</v>
          </cell>
          <cell r="Z38">
            <v>-89</v>
          </cell>
          <cell r="AA38">
            <v>-89</v>
          </cell>
          <cell r="AD38" t="str">
            <v>mstag:treasuryStockAndInvestmentInOwnShares</v>
          </cell>
          <cell r="AE38">
            <v>6</v>
          </cell>
          <cell r="AF38" t="str">
            <v>ISO4217:USD</v>
          </cell>
          <cell r="AG38" t="b">
            <v>1</v>
          </cell>
          <cell r="AH38" t="b">
            <v>0</v>
          </cell>
        </row>
        <row r="39">
          <cell r="A39" t="str">
            <v>Other reserve</v>
          </cell>
          <cell r="P39">
            <v>0</v>
          </cell>
          <cell r="Q39">
            <v>0</v>
          </cell>
          <cell r="R39">
            <v>0</v>
          </cell>
          <cell r="S39">
            <v>0</v>
          </cell>
          <cell r="T39">
            <v>0</v>
          </cell>
          <cell r="U39">
            <v>0</v>
          </cell>
          <cell r="V39">
            <v>0</v>
          </cell>
          <cell r="W39">
            <v>0</v>
          </cell>
          <cell r="X39">
            <v>0</v>
          </cell>
          <cell r="Y39">
            <v>0</v>
          </cell>
          <cell r="Z39">
            <v>0</v>
          </cell>
          <cell r="AA39">
            <v>0</v>
          </cell>
          <cell r="AD39" t="str">
            <v>mstag:otherEquityItems</v>
          </cell>
          <cell r="AE39">
            <v>6</v>
          </cell>
          <cell r="AF39" t="str">
            <v>ISO4217:USD</v>
          </cell>
          <cell r="AG39" t="b">
            <v>0</v>
          </cell>
          <cell r="AH39" t="b">
            <v>0</v>
          </cell>
        </row>
        <row r="40">
          <cell r="A40" t="str">
            <v>Reserves</v>
          </cell>
          <cell r="B40">
            <v>30620</v>
          </cell>
          <cell r="C40">
            <v>30328</v>
          </cell>
          <cell r="D40">
            <v>32142</v>
          </cell>
          <cell r="E40">
            <v>40261</v>
          </cell>
          <cell r="F40">
            <v>48408</v>
          </cell>
          <cell r="G40">
            <v>49468</v>
          </cell>
          <cell r="H40">
            <v>56562</v>
          </cell>
          <cell r="I40">
            <v>62364</v>
          </cell>
          <cell r="J40">
            <v>64949</v>
          </cell>
          <cell r="M40">
            <v>68228</v>
          </cell>
          <cell r="P40">
            <v>73431</v>
          </cell>
          <cell r="Q40">
            <v>75111.32442214308</v>
          </cell>
          <cell r="R40">
            <v>76253.105979235042</v>
          </cell>
          <cell r="S40">
            <v>78739.847316724728</v>
          </cell>
          <cell r="T40">
            <v>81660.447958329241</v>
          </cell>
          <cell r="U40">
            <v>86551.845253634718</v>
          </cell>
          <cell r="V40">
            <v>90869.268489156442</v>
          </cell>
          <cell r="W40">
            <v>94808.04681876587</v>
          </cell>
          <cell r="X40">
            <v>98356.976821600794</v>
          </cell>
          <cell r="Y40">
            <v>101501.67494421502</v>
          </cell>
          <cell r="Z40">
            <v>104521.07530161194</v>
          </cell>
          <cell r="AA40">
            <v>109415.48591655893</v>
          </cell>
          <cell r="AB40" t="str">
            <v>Linked to Retained Earnings below</v>
          </cell>
          <cell r="AD40" t="str">
            <v>mstag:retainedEarnings</v>
          </cell>
          <cell r="AE40">
            <v>6</v>
          </cell>
          <cell r="AF40" t="str">
            <v>ISO4217:USD</v>
          </cell>
          <cell r="AG40" t="b">
            <v>0</v>
          </cell>
          <cell r="AH40" t="b">
            <v>0</v>
          </cell>
        </row>
        <row r="41">
          <cell r="A41" t="str">
            <v>Shareholders Equity</v>
          </cell>
          <cell r="C41">
            <v>31177</v>
          </cell>
          <cell r="D41">
            <v>32990</v>
          </cell>
          <cell r="E41">
            <v>41111</v>
          </cell>
          <cell r="F41">
            <v>49223</v>
          </cell>
          <cell r="G41">
            <v>50288</v>
          </cell>
          <cell r="H41">
            <v>57387</v>
          </cell>
          <cell r="I41">
            <v>63196</v>
          </cell>
          <cell r="J41">
            <v>65844</v>
          </cell>
          <cell r="K41">
            <v>64130</v>
          </cell>
          <cell r="L41">
            <v>67082</v>
          </cell>
          <cell r="M41">
            <v>69137</v>
          </cell>
          <cell r="N41">
            <v>69493</v>
          </cell>
          <cell r="O41">
            <v>72047</v>
          </cell>
          <cell r="P41">
            <v>74343</v>
          </cell>
          <cell r="Q41">
            <v>76023.32442214308</v>
          </cell>
          <cell r="R41">
            <v>77165.105979235042</v>
          </cell>
          <cell r="S41">
            <v>79651.847316724728</v>
          </cell>
          <cell r="T41">
            <v>82572.447958329241</v>
          </cell>
          <cell r="U41">
            <v>87463.845253634718</v>
          </cell>
          <cell r="V41">
            <v>91781.268489156442</v>
          </cell>
          <cell r="W41">
            <v>95720.04681876587</v>
          </cell>
          <cell r="X41">
            <v>99268.976821600794</v>
          </cell>
          <cell r="Y41">
            <v>102413.67494421502</v>
          </cell>
          <cell r="Z41">
            <v>105433.07530161194</v>
          </cell>
          <cell r="AA41">
            <v>110327.48591655893</v>
          </cell>
        </row>
        <row r="43">
          <cell r="A43" t="str">
            <v>Minority interests</v>
          </cell>
          <cell r="C43">
            <v>138</v>
          </cell>
          <cell r="D43">
            <v>174</v>
          </cell>
          <cell r="E43">
            <v>183</v>
          </cell>
          <cell r="F43">
            <v>173</v>
          </cell>
          <cell r="G43">
            <v>149</v>
          </cell>
          <cell r="H43">
            <v>75</v>
          </cell>
          <cell r="I43">
            <v>6573</v>
          </cell>
          <cell r="J43">
            <v>96</v>
          </cell>
          <cell r="K43">
            <v>111</v>
          </cell>
          <cell r="L43">
            <v>123</v>
          </cell>
          <cell r="M43">
            <v>126</v>
          </cell>
          <cell r="N43">
            <v>135</v>
          </cell>
          <cell r="O43">
            <v>132</v>
          </cell>
          <cell r="P43">
            <v>129</v>
          </cell>
          <cell r="Q43">
            <v>249.51</v>
          </cell>
          <cell r="R43">
            <v>373.63530000000003</v>
          </cell>
          <cell r="S43">
            <v>501.48435900000004</v>
          </cell>
          <cell r="T43">
            <v>633.16888977000008</v>
          </cell>
          <cell r="U43">
            <v>768.80395646310012</v>
          </cell>
          <cell r="V43">
            <v>908.50807515699307</v>
          </cell>
          <cell r="W43">
            <v>1052.4033174117028</v>
          </cell>
          <cell r="X43">
            <v>1200.6154169340539</v>
          </cell>
          <cell r="Y43">
            <v>1353.2738794420754</v>
          </cell>
          <cell r="Z43">
            <v>1510.5120958253378</v>
          </cell>
          <cell r="AA43">
            <v>1672.4674587000979</v>
          </cell>
          <cell r="AD43" t="str">
            <v>mstag:minorityInterestsInShareholdersEquity</v>
          </cell>
          <cell r="AE43">
            <v>6</v>
          </cell>
          <cell r="AF43" t="str">
            <v>ISO4217:USD</v>
          </cell>
          <cell r="AG43" t="b">
            <v>0</v>
          </cell>
          <cell r="AH43" t="b">
            <v>0</v>
          </cell>
        </row>
        <row r="45">
          <cell r="A45" t="str">
            <v>Liabilities + Shareholders Equity</v>
          </cell>
          <cell r="C45">
            <v>52488</v>
          </cell>
          <cell r="D45">
            <v>57732</v>
          </cell>
          <cell r="E45">
            <v>68008</v>
          </cell>
          <cell r="F45">
            <v>75452</v>
          </cell>
          <cell r="G45">
            <v>78299</v>
          </cell>
          <cell r="H45">
            <v>95505</v>
          </cell>
          <cell r="I45">
            <v>123318</v>
          </cell>
          <cell r="J45">
            <v>117496</v>
          </cell>
          <cell r="K45">
            <v>118492</v>
          </cell>
          <cell r="L45">
            <v>121219</v>
          </cell>
          <cell r="M45">
            <v>124191</v>
          </cell>
          <cell r="N45">
            <v>121072</v>
          </cell>
          <cell r="O45">
            <v>124594</v>
          </cell>
          <cell r="P45">
            <v>126254</v>
          </cell>
          <cell r="Q45">
            <v>127780.82255415409</v>
          </cell>
          <cell r="R45">
            <v>129539.98072040711</v>
          </cell>
          <cell r="S45">
            <v>132148.11247021548</v>
          </cell>
          <cell r="T45">
            <v>135963.94487195282</v>
          </cell>
          <cell r="U45">
            <v>141851.842571969</v>
          </cell>
          <cell r="V45">
            <v>146430.2489369431</v>
          </cell>
          <cell r="W45">
            <v>150892.77508358602</v>
          </cell>
          <cell r="X45">
            <v>154698.45467528253</v>
          </cell>
          <cell r="Y45">
            <v>158063.33253786908</v>
          </cell>
          <cell r="Z45">
            <v>161555.61925509869</v>
          </cell>
          <cell r="AA45">
            <v>166499.3408943713</v>
          </cell>
        </row>
        <row r="46">
          <cell r="C46">
            <v>0</v>
          </cell>
          <cell r="D46">
            <v>0</v>
          </cell>
          <cell r="E46">
            <v>0</v>
          </cell>
          <cell r="F46">
            <v>0</v>
          </cell>
          <cell r="G46">
            <v>-5.3281555272405967E-2</v>
          </cell>
          <cell r="H46">
            <v>-9.5818885558401234E-2</v>
          </cell>
          <cell r="I46">
            <v>-0.1284713823988568</v>
          </cell>
          <cell r="J46">
            <v>-0.1284713823988568</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row>
        <row r="49">
          <cell r="A49" t="str">
            <v>Net Debt (excl pensions), company defin</v>
          </cell>
          <cell r="C49">
            <v>-7037</v>
          </cell>
          <cell r="D49">
            <v>-2479</v>
          </cell>
          <cell r="E49">
            <v>-656</v>
          </cell>
          <cell r="F49">
            <v>-7407</v>
          </cell>
          <cell r="G49">
            <v>1247</v>
          </cell>
          <cell r="H49">
            <v>-3461</v>
          </cell>
          <cell r="I49">
            <v>14853</v>
          </cell>
          <cell r="J49">
            <v>15080</v>
          </cell>
          <cell r="K49">
            <v>16500</v>
          </cell>
          <cell r="M49">
            <v>11607</v>
          </cell>
          <cell r="N49">
            <v>13621</v>
          </cell>
          <cell r="O49">
            <v>11436</v>
          </cell>
          <cell r="P49">
            <v>8796</v>
          </cell>
          <cell r="Q49">
            <v>7750.0850353839487</v>
          </cell>
          <cell r="R49">
            <v>6667.1489318147469</v>
          </cell>
          <cell r="S49">
            <v>4720.1848495955674</v>
          </cell>
          <cell r="T49">
            <v>1741.4613121337861</v>
          </cell>
          <cell r="U49">
            <v>-3139.1065212795074</v>
          </cell>
          <cell r="V49">
            <v>-7125.4428667885222</v>
          </cell>
          <cell r="W49">
            <v>-10822.730246124338</v>
          </cell>
          <cell r="X49">
            <v>-14048.531897604371</v>
          </cell>
          <cell r="Y49">
            <v>-16853.693282791053</v>
          </cell>
          <cell r="Z49">
            <v>-18955.55461659198</v>
          </cell>
          <cell r="AA49">
            <v>-21584.360458081152</v>
          </cell>
        </row>
        <row r="50">
          <cell r="A50" t="str">
            <v>ROA (%)</v>
          </cell>
        </row>
        <row r="51">
          <cell r="A51" t="str">
            <v>ROE (%)</v>
          </cell>
        </row>
        <row r="52">
          <cell r="A52" t="str">
            <v>ROCE (%)</v>
          </cell>
        </row>
        <row r="53">
          <cell r="A53" t="str">
            <v>Debt: Equity</v>
          </cell>
          <cell r="M53">
            <v>0.16788405629402492</v>
          </cell>
        </row>
        <row r="54">
          <cell r="A54" t="str">
            <v>Leverage (Total Assets:Equity)</v>
          </cell>
        </row>
        <row r="55">
          <cell r="A55" t="str">
            <v>Asset turnover</v>
          </cell>
        </row>
        <row r="56">
          <cell r="A56" t="str">
            <v>Working Capital as a % Sales</v>
          </cell>
        </row>
        <row r="57">
          <cell r="A57" t="str">
            <v>Book Value per share</v>
          </cell>
        </row>
        <row r="59">
          <cell r="A59" t="str">
            <v>FIGURES FOR WORKINGS</v>
          </cell>
        </row>
        <row r="60">
          <cell r="A60" t="str">
            <v>Sales</v>
          </cell>
          <cell r="D60">
            <v>31005</v>
          </cell>
          <cell r="E60">
            <v>34393</v>
          </cell>
          <cell r="F60">
            <v>38072</v>
          </cell>
          <cell r="G60">
            <v>41459</v>
          </cell>
          <cell r="H60">
            <v>44267</v>
          </cell>
          <cell r="I60">
            <v>50624</v>
          </cell>
          <cell r="J60">
            <v>58566</v>
          </cell>
          <cell r="M60">
            <v>56673</v>
          </cell>
          <cell r="P60">
            <v>57920</v>
          </cell>
          <cell r="Q60">
            <v>59065.971414844331</v>
          </cell>
          <cell r="R60">
            <v>60323.228122905137</v>
          </cell>
          <cell r="S60">
            <v>62244.448266743442</v>
          </cell>
          <cell r="T60">
            <v>64375.644958197125</v>
          </cell>
          <cell r="U60">
            <v>66721.303477296184</v>
          </cell>
          <cell r="V60">
            <v>66987.176849405761</v>
          </cell>
          <cell r="W60">
            <v>67865.278830938856</v>
          </cell>
          <cell r="X60">
            <v>68001.862353286939</v>
          </cell>
          <cell r="Y60">
            <v>68087.912308495987</v>
          </cell>
          <cell r="Z60">
            <v>68964.159238113905</v>
          </cell>
          <cell r="AA60">
            <v>67816.976647765492</v>
          </cell>
        </row>
        <row r="61">
          <cell r="A61" t="str">
            <v>Sales Growth</v>
          </cell>
          <cell r="E61">
            <v>0.10927269795194317</v>
          </cell>
          <cell r="F61">
            <v>0.1069694414561102</v>
          </cell>
          <cell r="G61">
            <v>8.8963017440638836E-2</v>
          </cell>
          <cell r="H61">
            <v>6.7729564147712251E-2</v>
          </cell>
          <cell r="I61">
            <v>0.14360584634151841</v>
          </cell>
          <cell r="J61">
            <v>0.15688211125158036</v>
          </cell>
          <cell r="M61">
            <v>-3.2322507939760325E-2</v>
          </cell>
          <cell r="P61">
            <v>2.2003423146824685E-2</v>
          </cell>
          <cell r="Q61">
            <v>1.9785418073969829E-2</v>
          </cell>
          <cell r="R61">
            <v>2.1285634993295499E-2</v>
          </cell>
          <cell r="S61">
            <v>3.1848762137263842E-2</v>
          </cell>
          <cell r="T61">
            <v>3.4239145028976958E-2</v>
          </cell>
          <cell r="U61">
            <v>3.6437048834574437E-2</v>
          </cell>
          <cell r="V61">
            <v>3.9848348016768842E-3</v>
          </cell>
          <cell r="W61">
            <v>1.3108508565858212E-2</v>
          </cell>
          <cell r="X61">
            <v>2.0125684989569237E-3</v>
          </cell>
          <cell r="Y61">
            <v>1.2654058614158803E-3</v>
          </cell>
          <cell r="Z61">
            <v>1.2869346406859661E-2</v>
          </cell>
          <cell r="AA61">
            <v>-1.6634475110289038E-2</v>
          </cell>
        </row>
        <row r="62">
          <cell r="A62" t="str">
            <v>Cost of Goods Sold</v>
          </cell>
          <cell r="D62">
            <v>8259</v>
          </cell>
          <cell r="E62">
            <v>9411</v>
          </cell>
          <cell r="F62">
            <v>11032</v>
          </cell>
          <cell r="G62">
            <v>11439</v>
          </cell>
          <cell r="H62">
            <v>12179</v>
          </cell>
          <cell r="I62">
            <v>14488</v>
          </cell>
          <cell r="J62">
            <v>18983</v>
          </cell>
          <cell r="M62">
            <v>18756</v>
          </cell>
          <cell r="P62">
            <v>19608</v>
          </cell>
          <cell r="Q62">
            <v>19733.490991101215</v>
          </cell>
          <cell r="R62">
            <v>20142.448570343011</v>
          </cell>
          <cell r="S62">
            <v>20699.60776372195</v>
          </cell>
          <cell r="T62">
            <v>21279.265649321434</v>
          </cell>
          <cell r="U62">
            <v>21891.021123043782</v>
          </cell>
          <cell r="V62">
            <v>22371.801328279162</v>
          </cell>
          <cell r="W62">
            <v>22970.071976905088</v>
          </cell>
          <cell r="X62">
            <v>23458.033090268589</v>
          </cell>
          <cell r="Y62">
            <v>23942.645902774369</v>
          </cell>
          <cell r="Z62">
            <v>24489.423416506954</v>
          </cell>
          <cell r="AA62">
            <v>22544.643410125002</v>
          </cell>
        </row>
        <row r="63">
          <cell r="A63" t="str">
            <v>Cost of Goods Sold Growth</v>
          </cell>
          <cell r="E63">
            <v>0.13948419905557574</v>
          </cell>
          <cell r="F63">
            <v>0.17224524492615023</v>
          </cell>
          <cell r="G63">
            <v>3.6892675852066681E-2</v>
          </cell>
          <cell r="H63">
            <v>6.4690969490340144E-2</v>
          </cell>
          <cell r="I63">
            <v>0.18958863617702604</v>
          </cell>
          <cell r="J63">
            <v>0.31025676421866377</v>
          </cell>
          <cell r="M63">
            <v>-1.195806774482433E-2</v>
          </cell>
          <cell r="P63">
            <v>4.5425463851567427E-2</v>
          </cell>
          <cell r="Q63">
            <v>6.3999893462471924E-3</v>
          </cell>
          <cell r="R63">
            <v>2.0724036077864438E-2</v>
          </cell>
          <cell r="S63">
            <v>2.7660946554396437E-2</v>
          </cell>
          <cell r="T63">
            <v>2.8003327029963776E-2</v>
          </cell>
          <cell r="U63">
            <v>2.8748899694377217E-2</v>
          </cell>
          <cell r="V63">
            <v>2.1962438505405357E-2</v>
          </cell>
          <cell r="W63">
            <v>2.674217600304174E-2</v>
          </cell>
          <cell r="X63">
            <v>2.1243342809465826E-2</v>
          </cell>
          <cell r="Y63">
            <v>2.065871467743885E-2</v>
          </cell>
          <cell r="Z63">
            <v>2.2836971149843732E-2</v>
          </cell>
          <cell r="AA63">
            <v>-7.9413058172332684E-2</v>
          </cell>
        </row>
        <row r="64">
          <cell r="A64" t="str">
            <v>SG&amp;A</v>
          </cell>
          <cell r="D64">
            <v>11078</v>
          </cell>
          <cell r="E64">
            <v>11974</v>
          </cell>
          <cell r="F64">
            <v>13259</v>
          </cell>
          <cell r="G64">
            <v>14097</v>
          </cell>
          <cell r="H64">
            <v>14331</v>
          </cell>
          <cell r="I64">
            <v>15797</v>
          </cell>
          <cell r="J64">
            <v>18049</v>
          </cell>
          <cell r="M64">
            <v>17290</v>
          </cell>
          <cell r="P64">
            <v>17609</v>
          </cell>
          <cell r="Q64">
            <v>17801.473230520205</v>
          </cell>
          <cell r="R64">
            <v>18101.032344313171</v>
          </cell>
          <cell r="S64">
            <v>18480.109321997435</v>
          </cell>
          <cell r="T64">
            <v>18969.873671796038</v>
          </cell>
          <cell r="U64">
            <v>19546.66490234754</v>
          </cell>
          <cell r="V64">
            <v>19473.601966329134</v>
          </cell>
          <cell r="W64">
            <v>19613.018309494095</v>
          </cell>
          <cell r="X64">
            <v>19536.934454553404</v>
          </cell>
          <cell r="Y64">
            <v>19414.830598185948</v>
          </cell>
          <cell r="Z64">
            <v>19491.303588631454</v>
          </cell>
          <cell r="AA64">
            <v>18927.439122898075</v>
          </cell>
        </row>
        <row r="65">
          <cell r="A65" t="str">
            <v>SG&amp;A Growth</v>
          </cell>
          <cell r="E65">
            <v>8.0881025455858513E-2</v>
          </cell>
          <cell r="F65">
            <v>0.10731585101052277</v>
          </cell>
          <cell r="G65">
            <v>6.3202353118636312E-2</v>
          </cell>
          <cell r="H65">
            <v>1.6599276441796151E-2</v>
          </cell>
          <cell r="I65">
            <v>0.10229572255948649</v>
          </cell>
          <cell r="J65">
            <v>0.14255871367981254</v>
          </cell>
          <cell r="M65">
            <v>-4.2052191257133331E-2</v>
          </cell>
          <cell r="P65">
            <v>1.8449971081549998E-2</v>
          </cell>
          <cell r="Q65">
            <v>1.0930389603055479E-2</v>
          </cell>
          <cell r="R65">
            <v>1.6827770932990926E-2</v>
          </cell>
          <cell r="S65">
            <v>2.0942284974335257E-2</v>
          </cell>
          <cell r="T65">
            <v>2.6502243101755862E-2</v>
          </cell>
          <cell r="U65">
            <v>3.0405644261567222E-2</v>
          </cell>
          <cell r="V65">
            <v>-3.7378722346456117E-3</v>
          </cell>
          <cell r="W65">
            <v>7.1592478579987073E-3</v>
          </cell>
          <cell r="X65">
            <v>-3.8792527361207751E-3</v>
          </cell>
          <cell r="Y65">
            <v>-6.2498984501121457E-3</v>
          </cell>
          <cell r="Z65">
            <v>3.9388955808170589E-3</v>
          </cell>
          <cell r="AA65">
            <v>-2.8929027921060113E-2</v>
          </cell>
        </row>
        <row r="66">
          <cell r="A66" t="str">
            <v>EBIT</v>
          </cell>
          <cell r="D66">
            <v>6802</v>
          </cell>
          <cell r="E66">
            <v>7642</v>
          </cell>
          <cell r="F66">
            <v>6781</v>
          </cell>
          <cell r="G66">
            <v>8964</v>
          </cell>
          <cell r="H66">
            <v>9982</v>
          </cell>
          <cell r="I66">
            <v>11526</v>
          </cell>
          <cell r="J66">
            <v>10998</v>
          </cell>
          <cell r="M66">
            <v>11193</v>
          </cell>
          <cell r="P66">
            <v>10910</v>
          </cell>
          <cell r="Q66">
            <v>12801.9336330232</v>
          </cell>
          <cell r="R66">
            <v>12244.641697490875</v>
          </cell>
          <cell r="S66">
            <v>12847.084884084819</v>
          </cell>
          <cell r="T66">
            <v>13585.427864067507</v>
          </cell>
          <cell r="U66">
            <v>14423.676202125942</v>
          </cell>
          <cell r="V66">
            <v>14137.06505019121</v>
          </cell>
          <cell r="W66">
            <v>14132.706710072154</v>
          </cell>
          <cell r="X66">
            <v>14160.335416981539</v>
          </cell>
          <cell r="Y66">
            <v>14198.382115176821</v>
          </cell>
          <cell r="Z66">
            <v>14591.724796764258</v>
          </cell>
          <cell r="AA66">
            <v>17352.601681856067</v>
          </cell>
        </row>
        <row r="67">
          <cell r="A67" t="str">
            <v>EBIT Growth</v>
          </cell>
          <cell r="E67">
            <v>0.12349309026756838</v>
          </cell>
          <cell r="F67">
            <v>-0.11266684114106251</v>
          </cell>
          <cell r="G67">
            <v>0.32192891903848997</v>
          </cell>
          <cell r="H67">
            <v>0.11356537260151711</v>
          </cell>
          <cell r="I67">
            <v>0.1546784211580845</v>
          </cell>
          <cell r="J67">
            <v>-4.5809474232170744E-2</v>
          </cell>
          <cell r="M67">
            <v>1.7730496453900679E-2</v>
          </cell>
          <cell r="P67">
            <v>-2.5283659430000882E-2</v>
          </cell>
          <cell r="Q67">
            <v>0.17341279862724113</v>
          </cell>
          <cell r="R67">
            <v>-4.3531856320108031E-2</v>
          </cell>
          <cell r="S67">
            <v>4.9200556576301846E-2</v>
          </cell>
          <cell r="T67">
            <v>5.7471635522340137E-2</v>
          </cell>
          <cell r="U67">
            <v>6.1702019726264323E-2</v>
          </cell>
          <cell r="V67">
            <v>-1.9870880898760657E-2</v>
          </cell>
          <cell r="W67">
            <v>-3.0829172134261285E-4</v>
          </cell>
          <cell r="X67">
            <v>1.9549480135814257E-3</v>
          </cell>
          <cell r="Y67">
            <v>2.6868500692189823E-3</v>
          </cell>
          <cell r="Z67">
            <v>2.7703345240088106E-2</v>
          </cell>
          <cell r="AA67">
            <v>0.18920839883877472</v>
          </cell>
        </row>
        <row r="68">
          <cell r="A68" t="str">
            <v>Net Income</v>
          </cell>
          <cell r="D68">
            <v>6061</v>
          </cell>
          <cell r="E68">
            <v>6798</v>
          </cell>
          <cell r="F68">
            <v>11946</v>
          </cell>
          <cell r="G68">
            <v>8095</v>
          </cell>
          <cell r="H68">
            <v>8400</v>
          </cell>
          <cell r="I68">
            <v>9794</v>
          </cell>
          <cell r="J68">
            <v>13273</v>
          </cell>
          <cell r="M68">
            <v>9270</v>
          </cell>
          <cell r="P68">
            <v>9175</v>
          </cell>
          <cell r="Q68">
            <v>10904.742402143072</v>
          </cell>
          <cell r="R68">
            <v>10499.940834185407</v>
          </cell>
          <cell r="S68">
            <v>11091.752671830094</v>
          </cell>
          <cell r="T68">
            <v>11805.73875401773</v>
          </cell>
          <cell r="U68">
            <v>12591.817090063427</v>
          </cell>
          <cell r="V68">
            <v>12375.682252900211</v>
          </cell>
          <cell r="W68">
            <v>12399.95029785684</v>
          </cell>
          <cell r="X68">
            <v>12433.160569494705</v>
          </cell>
          <cell r="Y68">
            <v>12473.140217606993</v>
          </cell>
          <cell r="Z68">
            <v>12814.264557139337</v>
          </cell>
          <cell r="AA68">
            <v>15179.018024676519</v>
          </cell>
        </row>
        <row r="69">
          <cell r="A69" t="str">
            <v>Dividends</v>
          </cell>
          <cell r="D69">
            <v>-2107</v>
          </cell>
          <cell r="E69">
            <v>-2049</v>
          </cell>
          <cell r="F69">
            <v>-2598</v>
          </cell>
          <cell r="G69">
            <v>-3345</v>
          </cell>
          <cell r="H69">
            <v>-3941</v>
          </cell>
          <cell r="I69">
            <v>-4486</v>
          </cell>
          <cell r="J69">
            <v>-5368</v>
          </cell>
          <cell r="M69">
            <v>-6030</v>
          </cell>
          <cell r="P69">
            <v>-6100</v>
          </cell>
          <cell r="Q69">
            <v>-6724.4179800000002</v>
          </cell>
          <cell r="R69">
            <v>-6858.1592770934421</v>
          </cell>
          <cell r="S69">
            <v>-7105.0113343404146</v>
          </cell>
          <cell r="T69">
            <v>-7385.1381124132149</v>
          </cell>
          <cell r="U69">
            <v>-7700.419794757956</v>
          </cell>
          <cell r="V69">
            <v>-8058.2590173784865</v>
          </cell>
          <cell r="W69">
            <v>-8461.1719682474104</v>
          </cell>
          <cell r="X69">
            <v>-8884.2305666597804</v>
          </cell>
          <cell r="Y69">
            <v>-9328.4420949927699</v>
          </cell>
          <cell r="Z69">
            <v>-9794.8641997424111</v>
          </cell>
          <cell r="AA69">
            <v>-10284.607409729531</v>
          </cell>
        </row>
        <row r="70">
          <cell r="A70" t="str">
            <v>Share Repurchases</v>
          </cell>
          <cell r="D70">
            <v>-231</v>
          </cell>
          <cell r="E70">
            <v>0</v>
          </cell>
          <cell r="F70">
            <v>-1215.5999999999999</v>
          </cell>
          <cell r="G70">
            <v>0</v>
          </cell>
          <cell r="H70">
            <v>0</v>
          </cell>
          <cell r="I70">
            <v>-311</v>
          </cell>
          <cell r="J70">
            <v>-3628</v>
          </cell>
          <cell r="M70">
            <v>-505</v>
          </cell>
          <cell r="P70">
            <v>-2930</v>
          </cell>
          <cell r="Q70">
            <v>-2500</v>
          </cell>
          <cell r="R70">
            <v>-2500</v>
          </cell>
          <cell r="S70">
            <v>-1500</v>
          </cell>
          <cell r="T70">
            <v>-1500</v>
          </cell>
          <cell r="U70">
            <v>0</v>
          </cell>
          <cell r="V70">
            <v>0</v>
          </cell>
          <cell r="W70">
            <v>0</v>
          </cell>
          <cell r="X70">
            <v>0</v>
          </cell>
          <cell r="Y70">
            <v>0</v>
          </cell>
          <cell r="Z70">
            <v>0</v>
          </cell>
          <cell r="AA70">
            <v>0</v>
          </cell>
        </row>
        <row r="71">
          <cell r="A71" t="str">
            <v>Retained Earnings</v>
          </cell>
          <cell r="D71">
            <v>3723</v>
          </cell>
          <cell r="E71">
            <v>4749</v>
          </cell>
          <cell r="F71">
            <v>8132.4</v>
          </cell>
          <cell r="G71">
            <v>4750</v>
          </cell>
          <cell r="H71">
            <v>4459</v>
          </cell>
          <cell r="I71">
            <v>4997</v>
          </cell>
          <cell r="J71">
            <v>4277</v>
          </cell>
          <cell r="M71">
            <v>2735</v>
          </cell>
          <cell r="P71">
            <v>145</v>
          </cell>
          <cell r="Q71">
            <v>1680.3244221430723</v>
          </cell>
          <cell r="R71">
            <v>1141.7815570919647</v>
          </cell>
          <cell r="S71">
            <v>2486.7413374896796</v>
          </cell>
          <cell r="T71">
            <v>2920.6006416045147</v>
          </cell>
          <cell r="U71">
            <v>4891.3972953054708</v>
          </cell>
          <cell r="V71">
            <v>4317.4232355217246</v>
          </cell>
          <cell r="W71">
            <v>3938.7783296094294</v>
          </cell>
          <cell r="X71">
            <v>3548.9300028349244</v>
          </cell>
          <cell r="Y71">
            <v>3144.6981226142234</v>
          </cell>
          <cell r="Z71">
            <v>3019.4003573969258</v>
          </cell>
          <cell r="AA71">
            <v>4894.4106149469881</v>
          </cell>
        </row>
        <row r="72">
          <cell r="A72" t="str">
            <v>Growth in Capex on Tangibles</v>
          </cell>
          <cell r="D72">
            <v>-5.9101654846335672E-2</v>
          </cell>
          <cell r="E72">
            <v>0.54103852596314916</v>
          </cell>
          <cell r="F72">
            <v>0.44402173913043486</v>
          </cell>
          <cell r="G72">
            <v>-0.16861121565675574</v>
          </cell>
          <cell r="H72">
            <v>-0.1475780896333182</v>
          </cell>
          <cell r="I72">
            <v>-0.12214551248008498</v>
          </cell>
          <cell r="J72">
            <v>0.32244404113732617</v>
          </cell>
          <cell r="M72">
            <v>0.25983531564501372</v>
          </cell>
          <cell r="P72">
            <v>0.14887436456063896</v>
          </cell>
          <cell r="Q72">
            <v>-6.6593372078945445E-2</v>
          </cell>
          <cell r="R72">
            <v>2.1285634993295499E-2</v>
          </cell>
          <cell r="S72">
            <v>-7.1336114076462676E-2</v>
          </cell>
          <cell r="T72">
            <v>3.4239145028976958E-2</v>
          </cell>
          <cell r="U72">
            <v>3.6437048834574437E-2</v>
          </cell>
          <cell r="V72">
            <v>3.9848348016768842E-3</v>
          </cell>
          <cell r="W72">
            <v>1.3108508565858212E-2</v>
          </cell>
          <cell r="X72">
            <v>2.0125684989571457E-3</v>
          </cell>
          <cell r="Y72">
            <v>1.2654058614158803E-3</v>
          </cell>
          <cell r="Z72">
            <v>1.2869346406859661E-2</v>
          </cell>
          <cell r="AA72">
            <v>-1.6634475110289038E-2</v>
          </cell>
        </row>
        <row r="73">
          <cell r="A73" t="str">
            <v>Investment in Assoc (Growth) - Hard coded</v>
          </cell>
          <cell r="C73">
            <v>6.8966926394179007E-2</v>
          </cell>
          <cell r="D73">
            <v>7.340126434269223E-2</v>
          </cell>
          <cell r="E73">
            <v>7.7758684855530058E-2</v>
          </cell>
          <cell r="F73">
            <v>8.0519736361408301E-2</v>
          </cell>
          <cell r="G73">
            <v>8.0243319459720075E-2</v>
          </cell>
          <cell r="H73">
            <v>7.9859459199273397E-2</v>
          </cell>
          <cell r="I73">
            <v>0.08</v>
          </cell>
          <cell r="J73">
            <v>0.08</v>
          </cell>
          <cell r="M73">
            <v>0.08</v>
          </cell>
          <cell r="P73">
            <v>0.08</v>
          </cell>
          <cell r="Q73">
            <v>0.08</v>
          </cell>
          <cell r="R73">
            <v>0.08</v>
          </cell>
          <cell r="S73">
            <v>0.08</v>
          </cell>
          <cell r="T73">
            <v>0.08</v>
          </cell>
          <cell r="U73">
            <v>0.08</v>
          </cell>
          <cell r="V73">
            <v>0.08</v>
          </cell>
          <cell r="W73">
            <v>0.08</v>
          </cell>
          <cell r="X73">
            <v>0.08</v>
          </cell>
          <cell r="Y73">
            <v>0.08</v>
          </cell>
          <cell r="Z73">
            <v>0.08</v>
          </cell>
          <cell r="AA73">
            <v>0.08</v>
          </cell>
        </row>
        <row r="74">
          <cell r="A74" t="str">
            <v>Unrecorded goodwill</v>
          </cell>
          <cell r="C74">
            <v>840</v>
          </cell>
          <cell r="D74">
            <v>801</v>
          </cell>
          <cell r="E74">
            <v>745</v>
          </cell>
          <cell r="F74">
            <v>744</v>
          </cell>
          <cell r="G74">
            <v>691</v>
          </cell>
          <cell r="H74">
            <v>585</v>
          </cell>
          <cell r="I74">
            <v>569</v>
          </cell>
          <cell r="J74">
            <v>508</v>
          </cell>
          <cell r="M74">
            <v>515</v>
          </cell>
          <cell r="P74">
            <v>528</v>
          </cell>
          <cell r="Q74">
            <v>528</v>
          </cell>
          <cell r="R74">
            <v>528</v>
          </cell>
          <cell r="S74">
            <v>528</v>
          </cell>
          <cell r="T74">
            <v>528</v>
          </cell>
          <cell r="U74">
            <v>528</v>
          </cell>
          <cell r="V74">
            <v>528</v>
          </cell>
          <cell r="W74">
            <v>528</v>
          </cell>
          <cell r="X74">
            <v>528</v>
          </cell>
          <cell r="Y74">
            <v>528</v>
          </cell>
          <cell r="Z74">
            <v>528</v>
          </cell>
          <cell r="AA74">
            <v>528</v>
          </cell>
          <cell r="AD74" t="str">
            <v>mstag:unrecordedGoodwillFromPoolingAndAmortizedOrWrittenOffGoodwill</v>
          </cell>
          <cell r="AE74">
            <v>6</v>
          </cell>
          <cell r="AF74" t="str">
            <v>ISO4217:USD</v>
          </cell>
          <cell r="AG74" t="b">
            <v>0</v>
          </cell>
          <cell r="AH74" t="b">
            <v>0</v>
          </cell>
        </row>
        <row r="75">
          <cell r="A75" t="str">
            <v>Accumulated other Comp Income</v>
          </cell>
          <cell r="C75">
            <v>0</v>
          </cell>
          <cell r="D75">
            <v>0</v>
          </cell>
          <cell r="E75">
            <v>0</v>
          </cell>
          <cell r="F75">
            <v>0</v>
          </cell>
          <cell r="G75">
            <v>0</v>
          </cell>
          <cell r="H75">
            <v>0</v>
          </cell>
          <cell r="I75">
            <v>0</v>
          </cell>
          <cell r="J75">
            <v>0</v>
          </cell>
          <cell r="M75">
            <v>0</v>
          </cell>
          <cell r="P75">
            <v>0</v>
          </cell>
          <cell r="Q75">
            <v>0</v>
          </cell>
          <cell r="R75">
            <v>0</v>
          </cell>
          <cell r="S75">
            <v>0</v>
          </cell>
          <cell r="T75">
            <v>0</v>
          </cell>
          <cell r="U75">
            <v>0</v>
          </cell>
          <cell r="V75">
            <v>0</v>
          </cell>
          <cell r="W75">
            <v>0</v>
          </cell>
          <cell r="AD75" t="str">
            <v>mstag:accumulatedOtherComprehensiveIncomeLossAndReserves</v>
          </cell>
          <cell r="AE75">
            <v>6</v>
          </cell>
          <cell r="AF75" t="str">
            <v>ISO4217:USD</v>
          </cell>
          <cell r="AG75" t="b">
            <v>0</v>
          </cell>
          <cell r="AH75" t="b">
            <v>0</v>
          </cell>
        </row>
        <row r="76">
          <cell r="A76" t="str">
            <v>Change in AOCI</v>
          </cell>
          <cell r="C76">
            <v>-1233</v>
          </cell>
          <cell r="D76">
            <v>-2394</v>
          </cell>
          <cell r="E76">
            <v>2220</v>
          </cell>
          <cell r="F76">
            <v>2793</v>
          </cell>
          <cell r="G76">
            <v>-3879.4082560000002</v>
          </cell>
          <cell r="AD76" t="str">
            <v>mstag:changeInAccumulatedOtherComprehensiveIncomeLossOrOtherReserves</v>
          </cell>
          <cell r="AE76">
            <v>6</v>
          </cell>
          <cell r="AF76" t="str">
            <v>ISO4217:USD</v>
          </cell>
          <cell r="AG76" t="b">
            <v>0</v>
          </cell>
          <cell r="AH76" t="b">
            <v>0</v>
          </cell>
        </row>
        <row r="77">
          <cell r="A77" t="str">
            <v>INPUTS</v>
          </cell>
        </row>
        <row r="78">
          <cell r="A78" t="str">
            <v>1) WORKING CAPITAL</v>
          </cell>
        </row>
        <row r="79">
          <cell r="A79" t="str">
            <v>Inventories</v>
          </cell>
          <cell r="C79">
            <v>3558</v>
          </cell>
          <cell r="D79">
            <v>3725</v>
          </cell>
          <cell r="E79">
            <v>4498</v>
          </cell>
          <cell r="F79">
            <v>5455</v>
          </cell>
          <cell r="G79">
            <v>5792</v>
          </cell>
          <cell r="H79">
            <v>5830</v>
          </cell>
          <cell r="I79">
            <v>6093</v>
          </cell>
          <cell r="J79">
            <v>5930</v>
          </cell>
          <cell r="M79">
            <v>6744</v>
          </cell>
          <cell r="P79">
            <v>7267</v>
          </cell>
          <cell r="Q79">
            <v>7313.5087225791785</v>
          </cell>
          <cell r="R79">
            <v>7465.074141201686</v>
          </cell>
          <cell r="S79">
            <v>7671.5651580460726</v>
          </cell>
          <cell r="T79">
            <v>7886.3945059985135</v>
          </cell>
          <cell r="U79">
            <v>8113.1196706017517</v>
          </cell>
          <cell r="V79">
            <v>8291.303562454339</v>
          </cell>
          <cell r="W79">
            <v>8513.0310616161387</v>
          </cell>
          <cell r="X79">
            <v>8693.8762988056824</v>
          </cell>
          <cell r="Y79">
            <v>8873.4806087036577</v>
          </cell>
          <cell r="Z79">
            <v>9076.1240293633218</v>
          </cell>
          <cell r="AA79">
            <v>9076.1240293633218</v>
          </cell>
          <cell r="AB79" t="str">
            <v>Feeds into balance sheet</v>
          </cell>
        </row>
        <row r="80">
          <cell r="A80" t="str">
            <v>Change in Inventories</v>
          </cell>
          <cell r="C80">
            <v>212</v>
          </cell>
          <cell r="D80">
            <v>167</v>
          </cell>
          <cell r="E80">
            <v>773</v>
          </cell>
          <cell r="F80">
            <v>957</v>
          </cell>
          <cell r="G80">
            <v>337</v>
          </cell>
          <cell r="H80">
            <v>38</v>
          </cell>
          <cell r="I80">
            <v>263</v>
          </cell>
          <cell r="J80">
            <v>-163</v>
          </cell>
          <cell r="M80">
            <v>814</v>
          </cell>
          <cell r="P80">
            <v>523</v>
          </cell>
          <cell r="Q80">
            <v>46.508722579178539</v>
          </cell>
          <cell r="R80">
            <v>151.56541862250742</v>
          </cell>
          <cell r="S80">
            <v>206.49101684438665</v>
          </cell>
          <cell r="T80">
            <v>214.82934795244091</v>
          </cell>
          <cell r="U80">
            <v>226.72516460323823</v>
          </cell>
          <cell r="V80">
            <v>178.18389185258729</v>
          </cell>
          <cell r="W80">
            <v>221.72749916179964</v>
          </cell>
          <cell r="X80">
            <v>180.8452371895437</v>
          </cell>
          <cell r="Y80">
            <v>179.60430989797533</v>
          </cell>
          <cell r="Z80">
            <v>202.64342065966412</v>
          </cell>
          <cell r="AA80">
            <v>0</v>
          </cell>
          <cell r="AB80" t="str">
            <v>Feeds into Cash Flow</v>
          </cell>
        </row>
        <row r="81">
          <cell r="A81" t="str">
            <v>Inventory Days</v>
          </cell>
          <cell r="C81" t="e">
            <v>#DIV/0!</v>
          </cell>
          <cell r="D81">
            <v>164.6234410945635</v>
          </cell>
          <cell r="E81">
            <v>174.45223674423548</v>
          </cell>
          <cell r="F81">
            <v>180.48178027556202</v>
          </cell>
          <cell r="G81">
            <v>184.81335781099745</v>
          </cell>
          <cell r="H81">
            <v>174.72288365218819</v>
          </cell>
          <cell r="I81">
            <v>153.50255383765875</v>
          </cell>
          <cell r="J81">
            <v>114.02043934046253</v>
          </cell>
          <cell r="M81">
            <v>131.24120281509917</v>
          </cell>
          <cell r="P81">
            <v>135.27412280701753</v>
          </cell>
          <cell r="Q81">
            <v>135.27412280701753</v>
          </cell>
          <cell r="R81">
            <v>135.27412280701753</v>
          </cell>
          <cell r="S81">
            <v>135.27412280701753</v>
          </cell>
          <cell r="T81">
            <v>135.27412280701753</v>
          </cell>
          <cell r="U81">
            <v>135.27412280701753</v>
          </cell>
          <cell r="V81">
            <v>135.27412280701753</v>
          </cell>
          <cell r="W81">
            <v>135.27412280701753</v>
          </cell>
          <cell r="X81">
            <v>135.27412280701753</v>
          </cell>
          <cell r="Y81">
            <v>135.27412280701753</v>
          </cell>
          <cell r="Z81">
            <v>135.27412280701753</v>
          </cell>
          <cell r="AA81">
            <v>146.94334305726082</v>
          </cell>
          <cell r="AB81" t="str">
            <v>Input</v>
          </cell>
        </row>
        <row r="83">
          <cell r="A83" t="str">
            <v>Trade Receivables</v>
          </cell>
          <cell r="C83">
            <v>4851</v>
          </cell>
          <cell r="D83">
            <v>5343</v>
          </cell>
          <cell r="E83">
            <v>6161</v>
          </cell>
          <cell r="F83">
            <v>6648</v>
          </cell>
          <cell r="G83">
            <v>7026</v>
          </cell>
          <cell r="H83">
            <v>8310</v>
          </cell>
          <cell r="I83">
            <v>9873</v>
          </cell>
          <cell r="J83">
            <v>10323</v>
          </cell>
          <cell r="M83">
            <v>10051</v>
          </cell>
          <cell r="P83">
            <v>9902</v>
          </cell>
          <cell r="Q83">
            <v>10097.915209768449</v>
          </cell>
          <cell r="R83">
            <v>10312.855747116826</v>
          </cell>
          <cell r="S83">
            <v>10641.307436762665</v>
          </cell>
          <cell r="T83">
            <v>11005.656705387913</v>
          </cell>
          <cell r="U83">
            <v>11406.670356218694</v>
          </cell>
          <cell r="V83">
            <v>11452.124053225411</v>
          </cell>
          <cell r="W83">
            <v>11602.244319474386</v>
          </cell>
          <cell r="X83">
            <v>11625.594630908963</v>
          </cell>
          <cell r="Y83">
            <v>11640.305726497363</v>
          </cell>
          <cell r="Z83">
            <v>11790.108853173409</v>
          </cell>
          <cell r="AA83">
            <v>11790.108853173409</v>
          </cell>
          <cell r="AB83" t="str">
            <v>Feeds into balance sheet</v>
          </cell>
        </row>
        <row r="84">
          <cell r="A84" t="str">
            <v>Change in Trade Receivables</v>
          </cell>
          <cell r="C84">
            <v>475</v>
          </cell>
          <cell r="D84">
            <v>492</v>
          </cell>
          <cell r="E84">
            <v>818</v>
          </cell>
          <cell r="F84">
            <v>487</v>
          </cell>
          <cell r="G84">
            <v>378</v>
          </cell>
          <cell r="H84">
            <v>1284</v>
          </cell>
          <cell r="I84">
            <v>1563</v>
          </cell>
          <cell r="J84">
            <v>450</v>
          </cell>
          <cell r="M84">
            <v>-272</v>
          </cell>
          <cell r="P84">
            <v>-149</v>
          </cell>
          <cell r="Q84">
            <v>195.91520976844913</v>
          </cell>
          <cell r="R84">
            <v>214.94053734837689</v>
          </cell>
          <cell r="S84">
            <v>328.451689645839</v>
          </cell>
          <cell r="T84">
            <v>364.34926862524844</v>
          </cell>
          <cell r="U84">
            <v>401.01365083078053</v>
          </cell>
          <cell r="V84">
            <v>45.453697006716538</v>
          </cell>
          <cell r="W84">
            <v>150.12026624897589</v>
          </cell>
          <cell r="X84">
            <v>23.350311434576724</v>
          </cell>
          <cell r="Y84">
            <v>14.711095588399985</v>
          </cell>
          <cell r="Z84">
            <v>149.8031266760463</v>
          </cell>
          <cell r="AA84">
            <v>0</v>
          </cell>
          <cell r="AB84" t="str">
            <v>Feeds into Cash Flow</v>
          </cell>
        </row>
        <row r="85">
          <cell r="A85" t="str">
            <v>Trade Receivable Days</v>
          </cell>
          <cell r="C85" t="e">
            <v>#DIV/0!</v>
          </cell>
          <cell r="D85">
            <v>62.899371069182386</v>
          </cell>
          <cell r="E85">
            <v>65.384380542552265</v>
          </cell>
          <cell r="F85">
            <v>63.735028367304054</v>
          </cell>
          <cell r="G85">
            <v>61.85605055597096</v>
          </cell>
          <cell r="H85">
            <v>68.519438859647138</v>
          </cell>
          <cell r="I85">
            <v>71.184517225031598</v>
          </cell>
          <cell r="J85">
            <v>64.335877471570541</v>
          </cell>
          <cell r="M85">
            <v>64.733029837841656</v>
          </cell>
          <cell r="P85">
            <v>62.400379834254139</v>
          </cell>
          <cell r="Q85">
            <v>62.400379834254139</v>
          </cell>
          <cell r="R85">
            <v>62.400379834254139</v>
          </cell>
          <cell r="S85">
            <v>62.400379834254139</v>
          </cell>
          <cell r="T85">
            <v>62.400379834254139</v>
          </cell>
          <cell r="U85">
            <v>62.400379834254139</v>
          </cell>
          <cell r="V85">
            <v>62.400379834254139</v>
          </cell>
          <cell r="W85">
            <v>62.400379834254139</v>
          </cell>
          <cell r="X85">
            <v>62.400379834254139</v>
          </cell>
          <cell r="Y85">
            <v>62.400379834254139</v>
          </cell>
          <cell r="Z85">
            <v>62.400379834254139</v>
          </cell>
          <cell r="AA85">
            <v>63.455936022622552</v>
          </cell>
          <cell r="AB85" t="str">
            <v>Input</v>
          </cell>
        </row>
        <row r="87">
          <cell r="A87" t="str">
            <v>Other Current Assets</v>
          </cell>
          <cell r="C87">
            <v>1619</v>
          </cell>
          <cell r="D87">
            <v>1442</v>
          </cell>
          <cell r="E87">
            <v>2054</v>
          </cell>
          <cell r="F87">
            <v>2126</v>
          </cell>
          <cell r="G87">
            <v>1946</v>
          </cell>
          <cell r="H87">
            <v>2102</v>
          </cell>
          <cell r="I87">
            <v>2585</v>
          </cell>
          <cell r="J87">
            <v>2756</v>
          </cell>
          <cell r="M87">
            <v>3090</v>
          </cell>
          <cell r="P87">
            <v>3392</v>
          </cell>
          <cell r="Q87">
            <v>3731.2000000000003</v>
          </cell>
          <cell r="R87">
            <v>4104.3200000000006</v>
          </cell>
          <cell r="S87">
            <v>4514.7520000000013</v>
          </cell>
          <cell r="T87">
            <v>4966.2272000000021</v>
          </cell>
          <cell r="U87">
            <v>5462.8499200000024</v>
          </cell>
          <cell r="V87">
            <v>6009.1349120000032</v>
          </cell>
          <cell r="W87">
            <v>6610.048403200004</v>
          </cell>
          <cell r="X87">
            <v>7271.0532435200048</v>
          </cell>
          <cell r="Y87">
            <v>7998.1585678720057</v>
          </cell>
          <cell r="Z87">
            <v>8797.9744246592072</v>
          </cell>
          <cell r="AA87">
            <v>8797.9744246592072</v>
          </cell>
          <cell r="AB87" t="str">
            <v>Grows at 10% annually</v>
          </cell>
        </row>
        <row r="88">
          <cell r="A88" t="str">
            <v>Change in Other Receivables</v>
          </cell>
          <cell r="C88">
            <v>317</v>
          </cell>
          <cell r="D88">
            <v>-177</v>
          </cell>
          <cell r="E88">
            <v>612</v>
          </cell>
          <cell r="F88">
            <v>72</v>
          </cell>
          <cell r="G88">
            <v>-180</v>
          </cell>
          <cell r="H88">
            <v>156</v>
          </cell>
          <cell r="I88">
            <v>483</v>
          </cell>
          <cell r="J88">
            <v>171</v>
          </cell>
          <cell r="M88">
            <v>334</v>
          </cell>
          <cell r="P88">
            <v>302</v>
          </cell>
          <cell r="Q88">
            <v>339.20000000000027</v>
          </cell>
          <cell r="R88">
            <v>373.12000000000035</v>
          </cell>
          <cell r="S88">
            <v>410.4320000000007</v>
          </cell>
          <cell r="T88">
            <v>451.47520000000077</v>
          </cell>
          <cell r="U88">
            <v>496.6227200000003</v>
          </cell>
          <cell r="V88">
            <v>546.28499200000078</v>
          </cell>
          <cell r="W88">
            <v>600.91349120000086</v>
          </cell>
          <cell r="X88">
            <v>661.00484032000077</v>
          </cell>
          <cell r="Y88">
            <v>727.10532435200093</v>
          </cell>
          <cell r="Z88">
            <v>799.81585678720148</v>
          </cell>
          <cell r="AA88">
            <v>0</v>
          </cell>
          <cell r="AB88" t="str">
            <v>Feeds into Cash Flow</v>
          </cell>
        </row>
        <row r="90">
          <cell r="A90" t="str">
            <v>Trade Creditors</v>
          </cell>
          <cell r="C90">
            <v>2020</v>
          </cell>
          <cell r="D90">
            <v>1961</v>
          </cell>
          <cell r="E90">
            <v>2487</v>
          </cell>
          <cell r="F90">
            <v>3018</v>
          </cell>
          <cell r="G90">
            <v>3395</v>
          </cell>
          <cell r="H90">
            <v>4012</v>
          </cell>
          <cell r="I90">
            <v>4788</v>
          </cell>
          <cell r="J90">
            <v>4989</v>
          </cell>
          <cell r="M90">
            <v>5593</v>
          </cell>
          <cell r="P90">
            <v>6148</v>
          </cell>
          <cell r="Q90">
            <v>6187.3471345007283</v>
          </cell>
          <cell r="R90">
            <v>6315.5739397423931</v>
          </cell>
          <cell r="S90">
            <v>6490.2686929499478</v>
          </cell>
          <cell r="T90">
            <v>6672.0178096709606</v>
          </cell>
          <cell r="U90">
            <v>6863.8309804402888</v>
          </cell>
          <cell r="V90">
            <v>7014.5774462597046</v>
          </cell>
          <cell r="W90">
            <v>7202.1625109145507</v>
          </cell>
          <cell r="X90">
            <v>7355.160518103391</v>
          </cell>
          <cell r="Y90">
            <v>7507.1086806536541</v>
          </cell>
          <cell r="Z90">
            <v>7678.5483050124831</v>
          </cell>
          <cell r="AA90">
            <v>7678.5483050124831</v>
          </cell>
          <cell r="AB90" t="str">
            <v>Feeds into balance sheet</v>
          </cell>
        </row>
        <row r="91">
          <cell r="A91" t="str">
            <v>Change in Trade Creditors</v>
          </cell>
          <cell r="C91">
            <v>355</v>
          </cell>
          <cell r="D91">
            <v>-59</v>
          </cell>
          <cell r="E91">
            <v>526</v>
          </cell>
          <cell r="F91">
            <v>531</v>
          </cell>
          <cell r="G91">
            <v>377</v>
          </cell>
          <cell r="H91">
            <v>617</v>
          </cell>
          <cell r="I91">
            <v>776</v>
          </cell>
          <cell r="J91">
            <v>201</v>
          </cell>
          <cell r="M91">
            <v>604</v>
          </cell>
          <cell r="P91">
            <v>555</v>
          </cell>
          <cell r="Q91">
            <v>39.347134500728316</v>
          </cell>
          <cell r="R91">
            <v>128.22680524166481</v>
          </cell>
          <cell r="S91">
            <v>174.69475320755464</v>
          </cell>
          <cell r="T91">
            <v>181.7491167210128</v>
          </cell>
          <cell r="U91">
            <v>191.81317076932828</v>
          </cell>
          <cell r="V91">
            <v>150.74646581941579</v>
          </cell>
          <cell r="W91">
            <v>187.58506465484606</v>
          </cell>
          <cell r="X91">
            <v>152.99800718884035</v>
          </cell>
          <cell r="Y91">
            <v>151.94816255026308</v>
          </cell>
          <cell r="Z91">
            <v>171.43962435882895</v>
          </cell>
          <cell r="AA91">
            <v>0</v>
          </cell>
          <cell r="AB91" t="str">
            <v>Feeds into Cash Flow</v>
          </cell>
        </row>
        <row r="92">
          <cell r="A92" t="str">
            <v>Trade Creditor Days</v>
          </cell>
          <cell r="C92">
            <v>26.101886926045246</v>
          </cell>
          <cell r="D92">
            <v>86.664850466158128</v>
          </cell>
          <cell r="E92">
            <v>96.456805865476568</v>
          </cell>
          <cell r="F92">
            <v>99.852248005801314</v>
          </cell>
          <cell r="G92">
            <v>108.32896232188128</v>
          </cell>
          <cell r="H92">
            <v>120.23811478774941</v>
          </cell>
          <cell r="I92">
            <v>120.62534511319713</v>
          </cell>
          <cell r="J92">
            <v>95.927145340567876</v>
          </cell>
          <cell r="M92">
            <v>108.84223715077842</v>
          </cell>
          <cell r="P92">
            <v>114.44410444716443</v>
          </cell>
          <cell r="Q92">
            <v>114.44410444716443</v>
          </cell>
          <cell r="R92">
            <v>114.44410444716443</v>
          </cell>
          <cell r="S92">
            <v>114.44410444716443</v>
          </cell>
          <cell r="T92">
            <v>114.44410444716443</v>
          </cell>
          <cell r="U92">
            <v>114.44410444716443</v>
          </cell>
          <cell r="V92">
            <v>114.44410444716443</v>
          </cell>
          <cell r="W92">
            <v>114.44410444716443</v>
          </cell>
          <cell r="X92">
            <v>114.44410444716443</v>
          </cell>
          <cell r="Y92">
            <v>114.44410444716443</v>
          </cell>
          <cell r="Z92">
            <v>114.44410444716443</v>
          </cell>
          <cell r="AA92">
            <v>124.31645426118614</v>
          </cell>
          <cell r="AB92" t="str">
            <v>Input</v>
          </cell>
        </row>
        <row r="94">
          <cell r="A94" t="str">
            <v>Other Current Liabilities</v>
          </cell>
          <cell r="C94">
            <v>5710</v>
          </cell>
          <cell r="D94">
            <v>6232</v>
          </cell>
          <cell r="E94">
            <v>6897</v>
          </cell>
          <cell r="F94">
            <v>8506</v>
          </cell>
          <cell r="G94">
            <v>7923</v>
          </cell>
          <cell r="H94">
            <v>10145</v>
          </cell>
          <cell r="I94">
            <v>11243</v>
          </cell>
          <cell r="J94">
            <v>11785</v>
          </cell>
          <cell r="M94">
            <v>12513</v>
          </cell>
          <cell r="P94">
            <v>13394</v>
          </cell>
          <cell r="Q94">
            <v>13540.401638343325</v>
          </cell>
          <cell r="R94">
            <v>13768.256415454061</v>
          </cell>
          <cell r="S94">
            <v>14056.595164906221</v>
          </cell>
          <cell r="T94">
            <v>14429.126467149532</v>
          </cell>
          <cell r="U94">
            <v>14867.853353514845</v>
          </cell>
          <cell r="V94">
            <v>14812.27921727596</v>
          </cell>
          <cell r="W94">
            <v>14918.323995534322</v>
          </cell>
          <cell r="X94">
            <v>14860.452046356309</v>
          </cell>
          <cell r="Y94">
            <v>14767.575730143821</v>
          </cell>
          <cell r="Z94">
            <v>14825.743668926665</v>
          </cell>
          <cell r="AA94">
            <v>14825.743668926665</v>
          </cell>
          <cell r="AB94" t="str">
            <v>Linked to SG&amp;A Growth</v>
          </cell>
        </row>
        <row r="95">
          <cell r="A95" t="str">
            <v>Change in Other Creditors</v>
          </cell>
          <cell r="C95">
            <v>63</v>
          </cell>
          <cell r="D95">
            <v>522</v>
          </cell>
          <cell r="E95">
            <v>665</v>
          </cell>
          <cell r="F95">
            <v>1609</v>
          </cell>
          <cell r="G95">
            <v>-583</v>
          </cell>
          <cell r="H95">
            <v>2222</v>
          </cell>
          <cell r="I95">
            <v>1098</v>
          </cell>
          <cell r="J95">
            <v>542</v>
          </cell>
          <cell r="M95">
            <v>728</v>
          </cell>
          <cell r="P95">
            <v>881</v>
          </cell>
          <cell r="Q95">
            <v>146.40163834332452</v>
          </cell>
          <cell r="R95">
            <v>227.8547771107369</v>
          </cell>
          <cell r="S95">
            <v>288.33874945215939</v>
          </cell>
          <cell r="T95">
            <v>372.53130224331107</v>
          </cell>
          <cell r="U95">
            <v>438.72688636531348</v>
          </cell>
          <cell r="V95">
            <v>-55.57413623888533</v>
          </cell>
          <cell r="W95">
            <v>106.04477825836148</v>
          </cell>
          <cell r="X95">
            <v>-57.871949178012073</v>
          </cell>
          <cell r="Y95">
            <v>-92.876316212488746</v>
          </cell>
          <cell r="Z95">
            <v>58.167938782844431</v>
          </cell>
          <cell r="AA95">
            <v>0</v>
          </cell>
          <cell r="AB95" t="str">
            <v>Feeds into Cash Flow</v>
          </cell>
        </row>
        <row r="97">
          <cell r="A97" t="str">
            <v>2) TANGIBLE FIXED ASSETS</v>
          </cell>
        </row>
        <row r="98">
          <cell r="A98" t="str">
            <v>Cost</v>
          </cell>
        </row>
        <row r="99">
          <cell r="A99" t="str">
            <v>Cost at start of year</v>
          </cell>
          <cell r="C99">
            <v>14893</v>
          </cell>
          <cell r="D99">
            <v>16846</v>
          </cell>
          <cell r="E99">
            <v>16514</v>
          </cell>
          <cell r="F99">
            <v>19703</v>
          </cell>
          <cell r="G99">
            <v>22800</v>
          </cell>
          <cell r="H99">
            <v>23973.053281555272</v>
          </cell>
          <cell r="I99">
            <v>25900.095818885562</v>
          </cell>
          <cell r="J99">
            <v>28957.128471382402</v>
          </cell>
          <cell r="M99">
            <v>29935.128471382402</v>
          </cell>
          <cell r="P99">
            <v>32772</v>
          </cell>
          <cell r="Q99">
            <v>35456</v>
          </cell>
          <cell r="R99">
            <v>38409.298570742219</v>
          </cell>
          <cell r="S99">
            <v>41425.459976887476</v>
          </cell>
          <cell r="T99">
            <v>44226.460148890932</v>
          </cell>
          <cell r="U99">
            <v>47123.364172009802</v>
          </cell>
          <cell r="V99">
            <v>50125.822828488133</v>
          </cell>
          <cell r="W99">
            <v>53140.245786711392</v>
          </cell>
          <cell r="X99">
            <v>56194.18333410364</v>
          </cell>
          <cell r="Y99">
            <v>59254.267140001553</v>
          </cell>
          <cell r="Z99">
            <v>62318.223193883874</v>
          </cell>
          <cell r="AA99">
            <v>65421.610359598999</v>
          </cell>
        </row>
        <row r="100">
          <cell r="A100" t="str">
            <v>Consolidation Changes/reclassifications</v>
          </cell>
          <cell r="C100">
            <v>30</v>
          </cell>
          <cell r="D100">
            <v>665</v>
          </cell>
          <cell r="E100">
            <v>751</v>
          </cell>
          <cell r="F100">
            <v>33</v>
          </cell>
          <cell r="G100">
            <v>0</v>
          </cell>
          <cell r="H100">
            <v>0</v>
          </cell>
          <cell r="I100">
            <v>0</v>
          </cell>
          <cell r="J100">
            <v>0</v>
          </cell>
          <cell r="P100">
            <v>0</v>
          </cell>
          <cell r="Q100">
            <v>0</v>
          </cell>
          <cell r="R100">
            <v>0</v>
          </cell>
          <cell r="S100">
            <v>0</v>
          </cell>
          <cell r="T100">
            <v>0</v>
          </cell>
          <cell r="U100">
            <v>0</v>
          </cell>
          <cell r="V100">
            <v>0</v>
          </cell>
          <cell r="W100">
            <v>0</v>
          </cell>
          <cell r="X100">
            <v>0</v>
          </cell>
          <cell r="Y100">
            <v>0</v>
          </cell>
          <cell r="Z100">
            <v>0</v>
          </cell>
          <cell r="AA100">
            <v>0</v>
          </cell>
          <cell r="AB100" t="str">
            <v>Hard Coded as 0</v>
          </cell>
        </row>
        <row r="101">
          <cell r="A101" t="str">
            <v>CAPEX</v>
          </cell>
          <cell r="C101">
            <v>1269</v>
          </cell>
          <cell r="D101">
            <v>1194</v>
          </cell>
          <cell r="E101">
            <v>1840</v>
          </cell>
          <cell r="F101">
            <v>2657</v>
          </cell>
          <cell r="G101">
            <v>2209</v>
          </cell>
          <cell r="H101">
            <v>1883</v>
          </cell>
          <cell r="I101">
            <v>1653</v>
          </cell>
          <cell r="J101">
            <v>2186</v>
          </cell>
          <cell r="M101">
            <v>2754</v>
          </cell>
          <cell r="P101">
            <v>3164</v>
          </cell>
          <cell r="Q101">
            <v>2953.2985707422167</v>
          </cell>
          <cell r="R101">
            <v>3016.1614061452569</v>
          </cell>
          <cell r="S101">
            <v>2801.0001720034547</v>
          </cell>
          <cell r="T101">
            <v>2896.9040231188706</v>
          </cell>
          <cell r="U101">
            <v>3002.4586564783281</v>
          </cell>
          <cell r="V101">
            <v>3014.4229582232592</v>
          </cell>
          <cell r="W101">
            <v>3053.9375473922482</v>
          </cell>
          <cell r="X101">
            <v>3060.083805897912</v>
          </cell>
          <cell r="Y101">
            <v>3063.9560538823193</v>
          </cell>
          <cell r="Z101">
            <v>3103.3871657151258</v>
          </cell>
          <cell r="AA101">
            <v>3051.7639491494469</v>
          </cell>
          <cell r="AB101" t="str">
            <v>Linked to sales</v>
          </cell>
        </row>
        <row r="102">
          <cell r="G102">
            <v>5.3281555271473019E-2</v>
          </cell>
          <cell r="H102">
            <v>4.2537330291187565E-2</v>
          </cell>
          <cell r="I102">
            <v>3.265249683944374E-2</v>
          </cell>
          <cell r="J102">
            <v>3.7325410647816137E-2</v>
          </cell>
          <cell r="M102">
            <v>4.8594568842305862E-2</v>
          </cell>
          <cell r="P102">
            <v>5.4627071823204421E-2</v>
          </cell>
          <cell r="Q102">
            <v>0.05</v>
          </cell>
          <cell r="R102">
            <v>0.05</v>
          </cell>
          <cell r="S102">
            <v>4.4999999999999998E-2</v>
          </cell>
          <cell r="T102">
            <v>4.4999999999999998E-2</v>
          </cell>
          <cell r="U102">
            <v>4.4999999999999998E-2</v>
          </cell>
          <cell r="V102">
            <v>4.4999999999999998E-2</v>
          </cell>
          <cell r="W102">
            <v>4.4999999999999998E-2</v>
          </cell>
          <cell r="X102">
            <v>4.4999999999999998E-2</v>
          </cell>
          <cell r="Y102">
            <v>4.4999999999999998E-2</v>
          </cell>
          <cell r="Z102">
            <v>4.4999999999999998E-2</v>
          </cell>
          <cell r="AA102">
            <v>4.4999999999999998E-2</v>
          </cell>
        </row>
        <row r="103">
          <cell r="A103" t="str">
            <v>Disposals</v>
          </cell>
          <cell r="C103">
            <v>-473</v>
          </cell>
          <cell r="D103">
            <v>-571</v>
          </cell>
          <cell r="E103">
            <v>-596</v>
          </cell>
          <cell r="F103">
            <v>-493</v>
          </cell>
          <cell r="G103">
            <v>-481</v>
          </cell>
          <cell r="H103">
            <v>-660</v>
          </cell>
          <cell r="I103">
            <v>-374</v>
          </cell>
          <cell r="J103">
            <v>-810</v>
          </cell>
          <cell r="M103">
            <v>-596</v>
          </cell>
          <cell r="P103">
            <v>-987</v>
          </cell>
          <cell r="Q103">
            <v>0</v>
          </cell>
          <cell r="R103">
            <v>0</v>
          </cell>
          <cell r="S103">
            <v>0</v>
          </cell>
          <cell r="T103">
            <v>0</v>
          </cell>
          <cell r="U103">
            <v>0</v>
          </cell>
          <cell r="V103">
            <v>0</v>
          </cell>
          <cell r="W103">
            <v>0</v>
          </cell>
          <cell r="X103">
            <v>0</v>
          </cell>
          <cell r="Y103">
            <v>0</v>
          </cell>
          <cell r="Z103">
            <v>0</v>
          </cell>
          <cell r="AA103">
            <v>0</v>
          </cell>
          <cell r="AB103" t="str">
            <v>Constant</v>
          </cell>
        </row>
        <row r="104">
          <cell r="A104" t="str">
            <v>Translation effects</v>
          </cell>
          <cell r="C104">
            <v>1127</v>
          </cell>
          <cell r="D104">
            <v>-1620</v>
          </cell>
          <cell r="E104">
            <v>1194</v>
          </cell>
          <cell r="F104">
            <v>1430</v>
          </cell>
          <cell r="G104">
            <v>-599</v>
          </cell>
          <cell r="H104">
            <v>640</v>
          </cell>
          <cell r="I104">
            <v>359</v>
          </cell>
          <cell r="J104">
            <v>-439</v>
          </cell>
          <cell r="M104">
            <v>553</v>
          </cell>
          <cell r="P104">
            <v>507</v>
          </cell>
        </row>
        <row r="105">
          <cell r="A105" t="str">
            <v>Divest/ Acqu</v>
          </cell>
          <cell r="F105">
            <v>-530</v>
          </cell>
          <cell r="G105">
            <v>44</v>
          </cell>
          <cell r="H105">
            <v>64</v>
          </cell>
          <cell r="I105">
            <v>1419</v>
          </cell>
          <cell r="J105">
            <v>41</v>
          </cell>
          <cell r="M105">
            <v>125.87152861759751</v>
          </cell>
          <cell r="P105">
            <v>0</v>
          </cell>
        </row>
        <row r="106">
          <cell r="A106" t="str">
            <v>Cost at end of year</v>
          </cell>
          <cell r="C106">
            <v>16846</v>
          </cell>
          <cell r="D106">
            <v>16514</v>
          </cell>
          <cell r="E106">
            <v>19703</v>
          </cell>
          <cell r="F106">
            <v>22800</v>
          </cell>
          <cell r="G106">
            <v>23973.053281555272</v>
          </cell>
          <cell r="H106">
            <v>25900.095818885562</v>
          </cell>
          <cell r="I106">
            <v>28957.128471382402</v>
          </cell>
          <cell r="J106">
            <v>29935.128471382402</v>
          </cell>
          <cell r="M106">
            <v>32772</v>
          </cell>
          <cell r="P106">
            <v>35456</v>
          </cell>
          <cell r="Q106">
            <v>38409.298570742219</v>
          </cell>
          <cell r="R106">
            <v>41425.459976887476</v>
          </cell>
          <cell r="S106">
            <v>44226.460148890932</v>
          </cell>
          <cell r="T106">
            <v>47123.364172009802</v>
          </cell>
          <cell r="U106">
            <v>50125.822828488133</v>
          </cell>
          <cell r="V106">
            <v>53140.245786711392</v>
          </cell>
          <cell r="W106">
            <v>56194.18333410364</v>
          </cell>
          <cell r="X106">
            <v>59254.267140001553</v>
          </cell>
          <cell r="Y106">
            <v>62318.223193883874</v>
          </cell>
          <cell r="Z106">
            <v>65421.610359598999</v>
          </cell>
          <cell r="AA106">
            <v>68473.374308748447</v>
          </cell>
        </row>
        <row r="107">
          <cell r="A107" t="str">
            <v>Depreciation</v>
          </cell>
        </row>
        <row r="108">
          <cell r="A108" t="str">
            <v>At start of year</v>
          </cell>
          <cell r="C108">
            <v>7296</v>
          </cell>
          <cell r="D108">
            <v>8349</v>
          </cell>
          <cell r="E108">
            <v>7835</v>
          </cell>
          <cell r="F108">
            <v>8758</v>
          </cell>
          <cell r="G108">
            <v>10167</v>
          </cell>
          <cell r="H108">
            <v>10873</v>
          </cell>
          <cell r="I108">
            <v>11825</v>
          </cell>
          <cell r="J108">
            <v>13117</v>
          </cell>
          <cell r="M108">
            <v>14308</v>
          </cell>
          <cell r="P108">
            <v>15833</v>
          </cell>
          <cell r="Q108">
            <v>17259</v>
          </cell>
          <cell r="R108">
            <v>19147.01087914173</v>
          </cell>
          <cell r="S108">
            <v>21168.950766654169</v>
          </cell>
          <cell r="T108">
            <v>23309.893440161581</v>
          </cell>
          <cell r="U108">
            <v>25572.917987453569</v>
          </cell>
          <cell r="V108">
            <v>27961.591266906278</v>
          </cell>
          <cell r="W108">
            <v>30474.081348896656</v>
          </cell>
          <cell r="X108">
            <v>33110.161189873506</v>
          </cell>
          <cell r="Y108">
            <v>35867.708858680693</v>
          </cell>
          <cell r="Z108">
            <v>38744.515419080555</v>
          </cell>
          <cell r="AA108">
            <v>41740.440233952904</v>
          </cell>
        </row>
        <row r="109">
          <cell r="A109" t="str">
            <v>Consolidation Changes/reclassifications</v>
          </cell>
          <cell r="C109">
            <v>1</v>
          </cell>
          <cell r="D109">
            <v>0</v>
          </cell>
          <cell r="E109">
            <v>-175</v>
          </cell>
          <cell r="F109">
            <v>62</v>
          </cell>
          <cell r="G109">
            <v>0</v>
          </cell>
          <cell r="H109">
            <v>0</v>
          </cell>
          <cell r="I109">
            <v>0</v>
          </cell>
          <cell r="J109">
            <v>-9</v>
          </cell>
          <cell r="M109">
            <v>0</v>
          </cell>
          <cell r="P109">
            <v>0</v>
          </cell>
          <cell r="Q109">
            <v>0</v>
          </cell>
          <cell r="R109">
            <v>0</v>
          </cell>
          <cell r="S109">
            <v>0</v>
          </cell>
          <cell r="T109">
            <v>0</v>
          </cell>
          <cell r="U109">
            <v>0</v>
          </cell>
          <cell r="V109">
            <v>0</v>
          </cell>
          <cell r="W109">
            <v>0</v>
          </cell>
          <cell r="X109">
            <v>0</v>
          </cell>
          <cell r="Y109">
            <v>0</v>
          </cell>
          <cell r="Z109">
            <v>0</v>
          </cell>
          <cell r="AA109">
            <v>0</v>
          </cell>
          <cell r="AB109" t="str">
            <v>Hard Coded as 0</v>
          </cell>
        </row>
        <row r="110">
          <cell r="A110" t="str">
            <v>Depreciation charge (P&amp;L)</v>
          </cell>
          <cell r="C110">
            <v>780</v>
          </cell>
          <cell r="D110">
            <v>821</v>
          </cell>
          <cell r="E110">
            <v>1016</v>
          </cell>
          <cell r="F110">
            <v>1130</v>
          </cell>
          <cell r="G110">
            <v>1205</v>
          </cell>
          <cell r="H110">
            <v>1241</v>
          </cell>
          <cell r="I110">
            <v>1363</v>
          </cell>
          <cell r="J110">
            <v>1728</v>
          </cell>
          <cell r="M110">
            <v>1704</v>
          </cell>
          <cell r="P110">
            <v>1823.6123419052071</v>
          </cell>
          <cell r="Q110">
            <v>1940.83243697231</v>
          </cell>
          <cell r="R110">
            <v>2055.7081301380708</v>
          </cell>
          <cell r="S110">
            <v>2166.8515886682794</v>
          </cell>
          <cell r="T110">
            <v>2285.6398463776295</v>
          </cell>
          <cell r="U110">
            <v>2410.5137429778497</v>
          </cell>
          <cell r="V110">
            <v>2512.4900819903792</v>
          </cell>
          <cell r="W110">
            <v>2636.0798409768527</v>
          </cell>
          <cell r="X110">
            <v>2757.5476688071858</v>
          </cell>
          <cell r="Y110">
            <v>2876.8065603998607</v>
          </cell>
          <cell r="Z110">
            <v>2995.9248148723527</v>
          </cell>
          <cell r="AA110">
            <v>3109.7221512736687</v>
          </cell>
          <cell r="AB110" t="str">
            <v>2% Fall off</v>
          </cell>
        </row>
        <row r="111">
          <cell r="A111" t="str">
            <v>Depreciation on disposals</v>
          </cell>
          <cell r="C111">
            <v>-344</v>
          </cell>
          <cell r="D111">
            <v>-490</v>
          </cell>
          <cell r="E111">
            <v>-495</v>
          </cell>
          <cell r="F111">
            <v>-356</v>
          </cell>
          <cell r="G111">
            <v>-420</v>
          </cell>
          <cell r="H111">
            <v>-585</v>
          </cell>
          <cell r="I111">
            <v>-293</v>
          </cell>
          <cell r="J111">
            <v>-692</v>
          </cell>
          <cell r="M111">
            <v>-499</v>
          </cell>
          <cell r="P111">
            <v>-712</v>
          </cell>
        </row>
        <row r="112">
          <cell r="A112" t="str">
            <v>Impairment</v>
          </cell>
          <cell r="C112">
            <v>16</v>
          </cell>
          <cell r="D112">
            <v>14</v>
          </cell>
          <cell r="E112">
            <v>11</v>
          </cell>
          <cell r="F112">
            <v>155</v>
          </cell>
          <cell r="G112">
            <v>26</v>
          </cell>
          <cell r="H112">
            <v>9</v>
          </cell>
          <cell r="I112">
            <v>10</v>
          </cell>
          <cell r="J112">
            <v>413</v>
          </cell>
          <cell r="M112">
            <v>39</v>
          </cell>
          <cell r="P112">
            <v>80</v>
          </cell>
        </row>
        <row r="113">
          <cell r="A113" t="str">
            <v>Translation effects</v>
          </cell>
          <cell r="C113">
            <v>600</v>
          </cell>
          <cell r="D113">
            <v>-859</v>
          </cell>
          <cell r="E113">
            <v>566</v>
          </cell>
          <cell r="F113">
            <v>666</v>
          </cell>
          <cell r="G113">
            <v>-105</v>
          </cell>
          <cell r="H113">
            <v>287</v>
          </cell>
          <cell r="I113">
            <v>212</v>
          </cell>
          <cell r="J113">
            <v>-249</v>
          </cell>
          <cell r="M113">
            <v>281</v>
          </cell>
          <cell r="P113">
            <v>303</v>
          </cell>
          <cell r="Q113">
            <v>0</v>
          </cell>
          <cell r="R113">
            <v>0</v>
          </cell>
          <cell r="S113">
            <v>0</v>
          </cell>
          <cell r="T113">
            <v>0</v>
          </cell>
          <cell r="U113">
            <v>0</v>
          </cell>
          <cell r="V113">
            <v>0</v>
          </cell>
          <cell r="W113">
            <v>0</v>
          </cell>
          <cell r="X113">
            <v>0</v>
          </cell>
          <cell r="Y113">
            <v>0</v>
          </cell>
          <cell r="Z113">
            <v>0</v>
          </cell>
          <cell r="AA113">
            <v>0</v>
          </cell>
          <cell r="AB113" t="str">
            <v>Hard Coded as 0</v>
          </cell>
        </row>
        <row r="114">
          <cell r="A114" t="str">
            <v>Acquired</v>
          </cell>
          <cell r="F114">
            <v>-248</v>
          </cell>
        </row>
        <row r="115">
          <cell r="A115" t="str">
            <v>At end of year</v>
          </cell>
          <cell r="C115">
            <v>8349</v>
          </cell>
          <cell r="D115">
            <v>7835</v>
          </cell>
          <cell r="E115">
            <v>8758</v>
          </cell>
          <cell r="F115">
            <v>10167</v>
          </cell>
          <cell r="G115">
            <v>10873</v>
          </cell>
          <cell r="H115">
            <v>11825</v>
          </cell>
          <cell r="I115">
            <v>13117</v>
          </cell>
          <cell r="J115">
            <v>14308</v>
          </cell>
          <cell r="M115">
            <v>15833</v>
          </cell>
          <cell r="P115">
            <v>17259</v>
          </cell>
          <cell r="Q115">
            <v>19147.01087914173</v>
          </cell>
          <cell r="R115">
            <v>21168.950766654169</v>
          </cell>
          <cell r="S115">
            <v>23309.893440161581</v>
          </cell>
          <cell r="T115">
            <v>25572.917987453569</v>
          </cell>
          <cell r="U115">
            <v>27961.591266906278</v>
          </cell>
          <cell r="V115">
            <v>30474.081348896656</v>
          </cell>
          <cell r="W115">
            <v>33110.161189873506</v>
          </cell>
          <cell r="X115">
            <v>35867.708858680693</v>
          </cell>
          <cell r="Y115">
            <v>38744.515419080555</v>
          </cell>
          <cell r="Z115">
            <v>41740.440233952904</v>
          </cell>
          <cell r="AA115">
            <v>44850.162385226577</v>
          </cell>
        </row>
        <row r="117">
          <cell r="A117" t="str">
            <v>Net book value (at start)</v>
          </cell>
          <cell r="C117">
            <v>7597</v>
          </cell>
          <cell r="D117">
            <v>8497</v>
          </cell>
          <cell r="E117">
            <v>8679</v>
          </cell>
          <cell r="F117">
            <v>10945</v>
          </cell>
          <cell r="G117">
            <v>12633</v>
          </cell>
          <cell r="H117">
            <v>13100.053281555272</v>
          </cell>
          <cell r="I117">
            <v>14075.095818885562</v>
          </cell>
          <cell r="J117">
            <v>15840.128471382402</v>
          </cell>
          <cell r="M117">
            <v>15627.128471382402</v>
          </cell>
          <cell r="P117">
            <v>16939</v>
          </cell>
          <cell r="Q117">
            <v>18197</v>
          </cell>
          <cell r="R117">
            <v>19262.28769160049</v>
          </cell>
          <cell r="S117">
            <v>20256.509210233307</v>
          </cell>
          <cell r="T117">
            <v>20916.566708729351</v>
          </cell>
          <cell r="U117">
            <v>21550.446184556233</v>
          </cell>
          <cell r="V117">
            <v>22164.231561581855</v>
          </cell>
          <cell r="W117">
            <v>22666.164437814736</v>
          </cell>
          <cell r="X117">
            <v>23084.022144230134</v>
          </cell>
          <cell r="Y117">
            <v>23386.55828132086</v>
          </cell>
          <cell r="Z117">
            <v>23573.707774803319</v>
          </cell>
          <cell r="AA117">
            <v>23681.170125646095</v>
          </cell>
        </row>
        <row r="118">
          <cell r="A118" t="str">
            <v>Net book value (at end)</v>
          </cell>
          <cell r="C118">
            <v>8497</v>
          </cell>
          <cell r="D118">
            <v>8679</v>
          </cell>
          <cell r="E118">
            <v>10945</v>
          </cell>
          <cell r="F118">
            <v>12633</v>
          </cell>
          <cell r="G118">
            <v>13100.053281555272</v>
          </cell>
          <cell r="H118">
            <v>14075.095818885562</v>
          </cell>
          <cell r="I118">
            <v>15840.128471382402</v>
          </cell>
          <cell r="J118">
            <v>15627.128471382402</v>
          </cell>
          <cell r="M118">
            <v>16939</v>
          </cell>
          <cell r="P118">
            <v>18197</v>
          </cell>
          <cell r="Q118">
            <v>19262.28769160049</v>
          </cell>
          <cell r="R118">
            <v>20256.509210233307</v>
          </cell>
          <cell r="S118">
            <v>20916.566708729351</v>
          </cell>
          <cell r="T118">
            <v>21550.446184556233</v>
          </cell>
          <cell r="U118">
            <v>22164.231561581855</v>
          </cell>
          <cell r="V118">
            <v>22666.164437814736</v>
          </cell>
          <cell r="W118">
            <v>23084.022144230134</v>
          </cell>
          <cell r="X118">
            <v>23386.55828132086</v>
          </cell>
          <cell r="Y118">
            <v>23573.707774803319</v>
          </cell>
          <cell r="Z118">
            <v>23681.170125646095</v>
          </cell>
          <cell r="AA118">
            <v>23623.211923521871</v>
          </cell>
        </row>
        <row r="120">
          <cell r="A120" t="str">
            <v>CAPEX / Depreciation (Tangible Fixed)</v>
          </cell>
          <cell r="C120">
            <v>1.6269230769230769</v>
          </cell>
          <cell r="D120">
            <v>1.4543239951278928</v>
          </cell>
          <cell r="E120">
            <v>1.811023622047244</v>
          </cell>
          <cell r="F120">
            <v>2.3513274336283185</v>
          </cell>
          <cell r="G120">
            <v>1.8331950207468879</v>
          </cell>
          <cell r="H120">
            <v>1.5173247381144239</v>
          </cell>
          <cell r="I120">
            <v>1.2127659574468086</v>
          </cell>
          <cell r="J120">
            <v>1.2650462962962963</v>
          </cell>
          <cell r="M120">
            <v>1.6161971830985915</v>
          </cell>
          <cell r="P120">
            <v>1.802849002849003</v>
          </cell>
          <cell r="Q120">
            <v>1.5642381107913716</v>
          </cell>
          <cell r="R120">
            <v>1.491716655264165</v>
          </cell>
          <cell r="S120">
            <v>1.308302275751597</v>
          </cell>
          <cell r="T120">
            <v>1.2801027839425803</v>
          </cell>
          <cell r="U120">
            <v>1.2569566052860308</v>
          </cell>
          <cell r="V120">
            <v>1.1997750677030541</v>
          </cell>
          <cell r="W120">
            <v>1.1585148142783679</v>
          </cell>
          <cell r="X120">
            <v>1.1097120243878114</v>
          </cell>
          <cell r="Y120">
            <v>1.0650545977121402</v>
          </cell>
          <cell r="Z120">
            <v>1.0358695085768872</v>
          </cell>
          <cell r="AA120">
            <v>0.98136225704264823</v>
          </cell>
        </row>
        <row r="121">
          <cell r="A121" t="str">
            <v>Average Useful Life</v>
          </cell>
          <cell r="C121">
            <v>19.093589743589742</v>
          </cell>
          <cell r="D121">
            <v>20.518879415347136</v>
          </cell>
          <cell r="E121">
            <v>16.253937007874015</v>
          </cell>
          <cell r="F121">
            <v>17.436283185840708</v>
          </cell>
          <cell r="G121">
            <v>18.921161825726141</v>
          </cell>
          <cell r="H121">
            <v>19.317528832840672</v>
          </cell>
          <cell r="I121">
            <v>19.002271327135407</v>
          </cell>
          <cell r="J121">
            <v>16.757597495012963</v>
          </cell>
          <cell r="M121">
            <v>17.567563656914555</v>
          </cell>
          <cell r="P121">
            <v>17.567563656914555</v>
          </cell>
          <cell r="Q121">
            <v>17.567563656914555</v>
          </cell>
          <cell r="R121">
            <v>17.567563656914555</v>
          </cell>
          <cell r="S121">
            <v>17.567563656914555</v>
          </cell>
          <cell r="T121">
            <v>17.567563656914555</v>
          </cell>
          <cell r="U121">
            <v>17.567563656914555</v>
          </cell>
          <cell r="V121">
            <v>17.567563656914555</v>
          </cell>
          <cell r="W121">
            <v>17.567563656914555</v>
          </cell>
          <cell r="X121">
            <v>17.567563656914555</v>
          </cell>
          <cell r="Y121">
            <v>17.567563656914555</v>
          </cell>
          <cell r="Z121">
            <v>17.567563656914555</v>
          </cell>
          <cell r="AA121">
            <v>17.567563656914555</v>
          </cell>
          <cell r="AB121" t="str">
            <v>Drives Depn Charge</v>
          </cell>
        </row>
        <row r="123">
          <cell r="A123" t="str">
            <v>3) GOODWILL</v>
          </cell>
        </row>
        <row r="124">
          <cell r="A124" t="str">
            <v>Cost</v>
          </cell>
        </row>
        <row r="125">
          <cell r="A125" t="str">
            <v>Cost at start of year</v>
          </cell>
          <cell r="C125">
            <v>2097</v>
          </cell>
          <cell r="D125">
            <v>2739</v>
          </cell>
          <cell r="E125">
            <v>8080</v>
          </cell>
          <cell r="F125">
            <v>11404</v>
          </cell>
          <cell r="G125">
            <v>11854</v>
          </cell>
          <cell r="H125">
            <v>11976</v>
          </cell>
          <cell r="I125">
            <v>12624</v>
          </cell>
          <cell r="J125">
            <v>30261</v>
          </cell>
          <cell r="M125">
            <v>30451</v>
          </cell>
          <cell r="P125">
            <v>31605</v>
          </cell>
          <cell r="Q125">
            <v>31554</v>
          </cell>
          <cell r="R125">
            <v>31554</v>
          </cell>
          <cell r="S125">
            <v>31554</v>
          </cell>
          <cell r="T125">
            <v>31554</v>
          </cell>
          <cell r="U125">
            <v>31554</v>
          </cell>
          <cell r="V125">
            <v>31554</v>
          </cell>
          <cell r="W125">
            <v>31554</v>
          </cell>
          <cell r="X125">
            <v>31554</v>
          </cell>
          <cell r="Y125">
            <v>31554</v>
          </cell>
          <cell r="Z125">
            <v>31554</v>
          </cell>
          <cell r="AA125">
            <v>31554</v>
          </cell>
        </row>
        <row r="126">
          <cell r="A126" t="str">
            <v>Consolidation Changes/reclassifications</v>
          </cell>
          <cell r="C126">
            <v>6</v>
          </cell>
          <cell r="D126">
            <v>5542</v>
          </cell>
          <cell r="E126">
            <v>-255</v>
          </cell>
          <cell r="F126">
            <v>-157</v>
          </cell>
          <cell r="G126">
            <v>523</v>
          </cell>
          <cell r="H126">
            <v>0</v>
          </cell>
          <cell r="I126">
            <v>0</v>
          </cell>
          <cell r="J126">
            <v>0</v>
          </cell>
          <cell r="M126">
            <v>0</v>
          </cell>
          <cell r="P126">
            <v>0</v>
          </cell>
          <cell r="Q126">
            <v>0</v>
          </cell>
          <cell r="R126">
            <v>0</v>
          </cell>
          <cell r="S126">
            <v>0</v>
          </cell>
          <cell r="T126">
            <v>0</v>
          </cell>
          <cell r="U126">
            <v>0</v>
          </cell>
          <cell r="V126">
            <v>0</v>
          </cell>
          <cell r="W126">
            <v>0</v>
          </cell>
          <cell r="AB126" t="str">
            <v>Hard Coded as 0</v>
          </cell>
        </row>
        <row r="127">
          <cell r="A127" t="str">
            <v>Additions</v>
          </cell>
          <cell r="C127">
            <v>535</v>
          </cell>
          <cell r="D127">
            <v>24</v>
          </cell>
          <cell r="E127">
            <v>1</v>
          </cell>
          <cell r="F127">
            <v>9</v>
          </cell>
          <cell r="G127">
            <v>0</v>
          </cell>
          <cell r="H127">
            <v>57</v>
          </cell>
          <cell r="I127">
            <v>0</v>
          </cell>
          <cell r="J127">
            <v>69</v>
          </cell>
          <cell r="M127">
            <v>0</v>
          </cell>
          <cell r="P127">
            <v>0</v>
          </cell>
          <cell r="Q127">
            <v>0</v>
          </cell>
          <cell r="R127">
            <v>0</v>
          </cell>
          <cell r="S127">
            <v>0</v>
          </cell>
          <cell r="T127">
            <v>0</v>
          </cell>
          <cell r="U127">
            <v>0</v>
          </cell>
          <cell r="V127">
            <v>0</v>
          </cell>
          <cell r="W127">
            <v>0</v>
          </cell>
          <cell r="AB127" t="str">
            <v>Hard Coded as 0</v>
          </cell>
        </row>
        <row r="128">
          <cell r="A128" t="str">
            <v>Disposals</v>
          </cell>
          <cell r="C128">
            <v>-20</v>
          </cell>
          <cell r="D128">
            <v>-3</v>
          </cell>
          <cell r="E128">
            <v>-59</v>
          </cell>
          <cell r="F128">
            <v>0</v>
          </cell>
          <cell r="G128">
            <v>-5</v>
          </cell>
          <cell r="H128">
            <v>-128</v>
          </cell>
          <cell r="I128">
            <v>0</v>
          </cell>
          <cell r="J128">
            <v>-48</v>
          </cell>
          <cell r="M128">
            <v>0</v>
          </cell>
          <cell r="P128">
            <v>-267</v>
          </cell>
          <cell r="Q128">
            <v>0</v>
          </cell>
          <cell r="R128">
            <v>0</v>
          </cell>
          <cell r="S128">
            <v>0</v>
          </cell>
          <cell r="T128">
            <v>0</v>
          </cell>
          <cell r="U128">
            <v>0</v>
          </cell>
          <cell r="V128">
            <v>0</v>
          </cell>
          <cell r="W128">
            <v>0</v>
          </cell>
          <cell r="AB128" t="str">
            <v>Hard Coded as 0</v>
          </cell>
        </row>
        <row r="129">
          <cell r="A129" t="str">
            <v>Translation Effects</v>
          </cell>
          <cell r="C129">
            <v>121</v>
          </cell>
          <cell r="D129">
            <v>-222</v>
          </cell>
          <cell r="E129">
            <v>499</v>
          </cell>
          <cell r="F129">
            <v>598</v>
          </cell>
          <cell r="G129">
            <v>-396</v>
          </cell>
          <cell r="H129">
            <v>171</v>
          </cell>
          <cell r="I129">
            <v>-349</v>
          </cell>
          <cell r="J129">
            <v>-134</v>
          </cell>
          <cell r="M129">
            <v>128</v>
          </cell>
          <cell r="P129">
            <v>216</v>
          </cell>
        </row>
        <row r="130">
          <cell r="A130" t="str">
            <v>Acquisition</v>
          </cell>
          <cell r="E130">
            <v>3138</v>
          </cell>
          <cell r="H130">
            <v>548</v>
          </cell>
          <cell r="I130">
            <v>17986</v>
          </cell>
          <cell r="J130">
            <v>303</v>
          </cell>
          <cell r="M130">
            <v>1026</v>
          </cell>
          <cell r="P130">
            <v>0</v>
          </cell>
        </row>
        <row r="131">
          <cell r="A131" t="str">
            <v>Cost at end of year</v>
          </cell>
          <cell r="C131">
            <v>2739</v>
          </cell>
          <cell r="D131">
            <v>8080</v>
          </cell>
          <cell r="E131">
            <v>11404</v>
          </cell>
          <cell r="F131">
            <v>11854</v>
          </cell>
          <cell r="G131">
            <v>11976</v>
          </cell>
          <cell r="H131">
            <v>12624</v>
          </cell>
          <cell r="I131">
            <v>30261</v>
          </cell>
          <cell r="J131">
            <v>30451</v>
          </cell>
          <cell r="M131">
            <v>31605</v>
          </cell>
          <cell r="P131">
            <v>31554</v>
          </cell>
          <cell r="Q131">
            <v>31554</v>
          </cell>
          <cell r="R131">
            <v>31554</v>
          </cell>
          <cell r="S131">
            <v>31554</v>
          </cell>
          <cell r="T131">
            <v>31554</v>
          </cell>
          <cell r="U131">
            <v>31554</v>
          </cell>
          <cell r="V131">
            <v>31554</v>
          </cell>
          <cell r="W131">
            <v>31554</v>
          </cell>
          <cell r="X131">
            <v>31554</v>
          </cell>
          <cell r="Y131">
            <v>31554</v>
          </cell>
          <cell r="Z131">
            <v>31554</v>
          </cell>
          <cell r="AA131">
            <v>31554</v>
          </cell>
        </row>
        <row r="132">
          <cell r="A132" t="str">
            <v>Amortization</v>
          </cell>
        </row>
        <row r="133">
          <cell r="A133" t="str">
            <v>At start of year</v>
          </cell>
          <cell r="C133">
            <v>620</v>
          </cell>
          <cell r="D133">
            <v>840</v>
          </cell>
          <cell r="E133">
            <v>801</v>
          </cell>
          <cell r="F133">
            <v>745</v>
          </cell>
          <cell r="G133">
            <v>744</v>
          </cell>
          <cell r="H133">
            <v>691</v>
          </cell>
          <cell r="I133">
            <v>585</v>
          </cell>
          <cell r="J133">
            <v>569</v>
          </cell>
          <cell r="M133">
            <v>508</v>
          </cell>
          <cell r="P133">
            <v>515</v>
          </cell>
          <cell r="Q133">
            <v>528</v>
          </cell>
          <cell r="R133">
            <v>528</v>
          </cell>
          <cell r="S133">
            <v>528</v>
          </cell>
          <cell r="T133">
            <v>528</v>
          </cell>
          <cell r="U133">
            <v>528</v>
          </cell>
          <cell r="V133">
            <v>528</v>
          </cell>
          <cell r="W133">
            <v>528</v>
          </cell>
          <cell r="X133">
            <v>528</v>
          </cell>
          <cell r="Y133">
            <v>528</v>
          </cell>
          <cell r="Z133">
            <v>528</v>
          </cell>
          <cell r="AA133">
            <v>528</v>
          </cell>
        </row>
        <row r="134">
          <cell r="A134" t="str">
            <v>Consolidation Changes/reclassifications</v>
          </cell>
          <cell r="C134">
            <v>0</v>
          </cell>
          <cell r="D134">
            <v>13</v>
          </cell>
          <cell r="E134">
            <v>-48</v>
          </cell>
          <cell r="F134">
            <v>-50</v>
          </cell>
          <cell r="G134">
            <v>0</v>
          </cell>
          <cell r="H134">
            <v>0</v>
          </cell>
          <cell r="I134">
            <v>0</v>
          </cell>
          <cell r="J134">
            <v>0</v>
          </cell>
          <cell r="M134">
            <v>0</v>
          </cell>
          <cell r="P134">
            <v>0</v>
          </cell>
          <cell r="Q134">
            <v>0</v>
          </cell>
          <cell r="R134">
            <v>0</v>
          </cell>
          <cell r="S134">
            <v>0</v>
          </cell>
          <cell r="T134">
            <v>0</v>
          </cell>
          <cell r="U134">
            <v>0</v>
          </cell>
          <cell r="V134">
            <v>0</v>
          </cell>
          <cell r="W134">
            <v>0</v>
          </cell>
          <cell r="X134">
            <v>0</v>
          </cell>
          <cell r="Y134">
            <v>0</v>
          </cell>
          <cell r="Z134">
            <v>0</v>
          </cell>
          <cell r="AA134">
            <v>0</v>
          </cell>
          <cell r="AB134" t="str">
            <v>Hard Coded as 0</v>
          </cell>
        </row>
        <row r="135">
          <cell r="A135" t="str">
            <v>Amortization charge</v>
          </cell>
          <cell r="C135">
            <v>108</v>
          </cell>
        </row>
        <row r="136">
          <cell r="A136" t="str">
            <v>Disposals</v>
          </cell>
          <cell r="C136">
            <v>-7</v>
          </cell>
          <cell r="D136">
            <v>-2</v>
          </cell>
          <cell r="E136">
            <v>-60</v>
          </cell>
          <cell r="F136">
            <v>0</v>
          </cell>
          <cell r="G136">
            <v>-5</v>
          </cell>
          <cell r="H136">
            <v>-122</v>
          </cell>
          <cell r="I136">
            <v>0</v>
          </cell>
          <cell r="J136">
            <v>-48</v>
          </cell>
          <cell r="M136">
            <v>0</v>
          </cell>
          <cell r="P136">
            <v>0</v>
          </cell>
          <cell r="Q136">
            <v>0</v>
          </cell>
          <cell r="R136">
            <v>0</v>
          </cell>
          <cell r="S136">
            <v>0</v>
          </cell>
          <cell r="T136">
            <v>0</v>
          </cell>
          <cell r="U136">
            <v>0</v>
          </cell>
          <cell r="V136">
            <v>0</v>
          </cell>
          <cell r="W136">
            <v>0</v>
          </cell>
          <cell r="X136">
            <v>0</v>
          </cell>
          <cell r="Y136">
            <v>0</v>
          </cell>
          <cell r="Z136">
            <v>0</v>
          </cell>
          <cell r="AA136">
            <v>0</v>
          </cell>
          <cell r="AB136" t="str">
            <v>Same every year</v>
          </cell>
        </row>
        <row r="137">
          <cell r="A137" t="str">
            <v>Impairment</v>
          </cell>
          <cell r="C137">
            <v>75</v>
          </cell>
          <cell r="D137">
            <v>5</v>
          </cell>
          <cell r="E137">
            <v>2</v>
          </cell>
          <cell r="F137">
            <v>3</v>
          </cell>
        </row>
        <row r="138">
          <cell r="A138" t="str">
            <v>Translation Effects</v>
          </cell>
          <cell r="C138">
            <v>44</v>
          </cell>
          <cell r="D138">
            <v>-55</v>
          </cell>
          <cell r="E138">
            <v>50</v>
          </cell>
          <cell r="F138">
            <v>46</v>
          </cell>
          <cell r="G138">
            <v>-48</v>
          </cell>
          <cell r="H138">
            <v>16</v>
          </cell>
          <cell r="I138">
            <v>-16</v>
          </cell>
          <cell r="J138">
            <v>-13</v>
          </cell>
          <cell r="M138">
            <v>7</v>
          </cell>
          <cell r="P138">
            <v>13</v>
          </cell>
        </row>
        <row r="139">
          <cell r="A139" t="str">
            <v>At end of Year</v>
          </cell>
          <cell r="C139">
            <v>840</v>
          </cell>
          <cell r="D139">
            <v>801</v>
          </cell>
          <cell r="E139">
            <v>745</v>
          </cell>
          <cell r="F139">
            <v>744</v>
          </cell>
          <cell r="G139">
            <v>691</v>
          </cell>
          <cell r="H139">
            <v>585</v>
          </cell>
          <cell r="I139">
            <v>569</v>
          </cell>
          <cell r="J139">
            <v>508</v>
          </cell>
          <cell r="M139">
            <v>515</v>
          </cell>
          <cell r="P139">
            <v>528</v>
          </cell>
          <cell r="Q139">
            <v>528</v>
          </cell>
          <cell r="R139">
            <v>528</v>
          </cell>
          <cell r="S139">
            <v>528</v>
          </cell>
          <cell r="T139">
            <v>528</v>
          </cell>
          <cell r="U139">
            <v>528</v>
          </cell>
          <cell r="V139">
            <v>528</v>
          </cell>
          <cell r="W139">
            <v>528</v>
          </cell>
          <cell r="X139">
            <v>528</v>
          </cell>
          <cell r="Y139">
            <v>528</v>
          </cell>
          <cell r="Z139">
            <v>528</v>
          </cell>
          <cell r="AA139">
            <v>528</v>
          </cell>
        </row>
        <row r="141">
          <cell r="A141" t="str">
            <v>Net book value (at start)</v>
          </cell>
          <cell r="C141">
            <v>1476.9464311155434</v>
          </cell>
          <cell r="D141">
            <v>1899</v>
          </cell>
          <cell r="E141">
            <v>7279</v>
          </cell>
          <cell r="F141">
            <v>10659</v>
          </cell>
          <cell r="G141">
            <v>11110</v>
          </cell>
          <cell r="H141">
            <v>11285</v>
          </cell>
          <cell r="I141">
            <v>12039</v>
          </cell>
          <cell r="J141">
            <v>29692</v>
          </cell>
          <cell r="M141">
            <v>29943</v>
          </cell>
          <cell r="P141">
            <v>31090</v>
          </cell>
          <cell r="Q141">
            <v>31026</v>
          </cell>
          <cell r="R141">
            <v>31026</v>
          </cell>
          <cell r="S141">
            <v>31026</v>
          </cell>
          <cell r="T141">
            <v>31026</v>
          </cell>
          <cell r="U141">
            <v>31026</v>
          </cell>
          <cell r="V141">
            <v>31026</v>
          </cell>
          <cell r="W141">
            <v>31026</v>
          </cell>
          <cell r="X141">
            <v>31026</v>
          </cell>
          <cell r="Y141">
            <v>31026</v>
          </cell>
          <cell r="Z141">
            <v>31026</v>
          </cell>
          <cell r="AA141">
            <v>31026</v>
          </cell>
        </row>
        <row r="142">
          <cell r="A142" t="str">
            <v>Net book value of Goodwill (at end)</v>
          </cell>
          <cell r="C142">
            <v>1899</v>
          </cell>
          <cell r="D142">
            <v>7279</v>
          </cell>
          <cell r="E142">
            <v>10659</v>
          </cell>
          <cell r="F142">
            <v>11110</v>
          </cell>
          <cell r="G142">
            <v>11285</v>
          </cell>
          <cell r="H142">
            <v>12039</v>
          </cell>
          <cell r="I142">
            <v>29692</v>
          </cell>
          <cell r="J142">
            <v>29943</v>
          </cell>
          <cell r="M142">
            <v>31090</v>
          </cell>
          <cell r="P142">
            <v>31026</v>
          </cell>
          <cell r="Q142">
            <v>31026</v>
          </cell>
          <cell r="R142">
            <v>31026</v>
          </cell>
          <cell r="S142">
            <v>31026</v>
          </cell>
          <cell r="T142">
            <v>31026</v>
          </cell>
          <cell r="U142">
            <v>31026</v>
          </cell>
          <cell r="V142">
            <v>31026</v>
          </cell>
          <cell r="W142">
            <v>31026</v>
          </cell>
          <cell r="X142">
            <v>31026</v>
          </cell>
          <cell r="Y142">
            <v>31026</v>
          </cell>
          <cell r="Z142">
            <v>31026</v>
          </cell>
          <cell r="AA142">
            <v>31026</v>
          </cell>
        </row>
        <row r="144">
          <cell r="A144" t="str">
            <v>CAPEX/ Goodwill Charge</v>
          </cell>
          <cell r="C144">
            <v>4.9537037037037033</v>
          </cell>
        </row>
        <row r="145">
          <cell r="A145" t="str">
            <v>Average Useful Life</v>
          </cell>
          <cell r="C145">
            <v>25.36346846918153</v>
          </cell>
          <cell r="D145">
            <v>20</v>
          </cell>
          <cell r="E145">
            <v>20</v>
          </cell>
          <cell r="F145">
            <v>20</v>
          </cell>
          <cell r="G145">
            <v>20</v>
          </cell>
          <cell r="H145">
            <v>20</v>
          </cell>
          <cell r="I145">
            <v>20</v>
          </cell>
          <cell r="J145">
            <v>20</v>
          </cell>
          <cell r="M145">
            <v>20</v>
          </cell>
          <cell r="P145">
            <v>20</v>
          </cell>
          <cell r="Q145">
            <v>20</v>
          </cell>
          <cell r="R145">
            <v>20</v>
          </cell>
          <cell r="S145">
            <v>20</v>
          </cell>
          <cell r="T145">
            <v>20</v>
          </cell>
          <cell r="U145">
            <v>20</v>
          </cell>
          <cell r="V145">
            <v>20</v>
          </cell>
          <cell r="W145">
            <v>20</v>
          </cell>
          <cell r="X145">
            <v>20</v>
          </cell>
          <cell r="Y145">
            <v>20</v>
          </cell>
          <cell r="Z145">
            <v>20</v>
          </cell>
          <cell r="AA145">
            <v>20</v>
          </cell>
          <cell r="AB145" t="str">
            <v>Drives Amortisation</v>
          </cell>
        </row>
        <row r="147">
          <cell r="A147" t="str">
            <v>4) OTHER INTANGIBLE ASSETS</v>
          </cell>
        </row>
        <row r="148">
          <cell r="A148" t="str">
            <v>Cost</v>
          </cell>
        </row>
        <row r="149">
          <cell r="A149" t="str">
            <v>Cost at start of year</v>
          </cell>
          <cell r="C149">
            <v>4756</v>
          </cell>
          <cell r="D149">
            <v>5617</v>
          </cell>
          <cell r="E149">
            <v>8565</v>
          </cell>
          <cell r="F149">
            <v>14176</v>
          </cell>
          <cell r="G149">
            <v>14553</v>
          </cell>
          <cell r="H149">
            <v>15323</v>
          </cell>
          <cell r="I149">
            <v>17178</v>
          </cell>
          <cell r="J149">
            <v>44141</v>
          </cell>
          <cell r="M149">
            <v>42974</v>
          </cell>
          <cell r="P149">
            <v>44591</v>
          </cell>
          <cell r="Q149">
            <v>45307</v>
          </cell>
          <cell r="R149">
            <v>45888.4</v>
          </cell>
          <cell r="S149">
            <v>46481.428</v>
          </cell>
          <cell r="T149">
            <v>47086.316559999999</v>
          </cell>
          <cell r="U149">
            <v>47703.302891200001</v>
          </cell>
          <cell r="V149">
            <v>48332.628949024001</v>
          </cell>
          <cell r="W149">
            <v>48974.541528004484</v>
          </cell>
          <cell r="X149">
            <v>49629.292358564577</v>
          </cell>
          <cell r="Y149">
            <v>50297.138205735871</v>
          </cell>
          <cell r="Z149">
            <v>50978.340969850586</v>
          </cell>
          <cell r="AA149">
            <v>51673.1677892476</v>
          </cell>
        </row>
        <row r="150">
          <cell r="A150" t="str">
            <v>Consolidation changes</v>
          </cell>
          <cell r="C150">
            <v>485</v>
          </cell>
          <cell r="D150">
            <v>3105</v>
          </cell>
          <cell r="E150">
            <v>-245</v>
          </cell>
          <cell r="F150">
            <v>-275</v>
          </cell>
          <cell r="G150">
            <v>0</v>
          </cell>
          <cell r="H150">
            <v>0</v>
          </cell>
          <cell r="I150">
            <v>0</v>
          </cell>
          <cell r="J150">
            <v>0</v>
          </cell>
          <cell r="M150">
            <v>0</v>
          </cell>
          <cell r="P150">
            <v>0</v>
          </cell>
          <cell r="Q150">
            <v>0</v>
          </cell>
          <cell r="R150">
            <v>0</v>
          </cell>
          <cell r="S150">
            <v>0</v>
          </cell>
          <cell r="T150">
            <v>0</v>
          </cell>
          <cell r="U150">
            <v>0</v>
          </cell>
          <cell r="V150">
            <v>0</v>
          </cell>
          <cell r="W150">
            <v>0</v>
          </cell>
          <cell r="X150">
            <v>0</v>
          </cell>
          <cell r="Y150">
            <v>0</v>
          </cell>
          <cell r="Z150">
            <v>0</v>
          </cell>
          <cell r="AA150">
            <v>0</v>
          </cell>
          <cell r="AB150" t="str">
            <v>Hard Coded as 0</v>
          </cell>
        </row>
        <row r="151">
          <cell r="A151" t="str">
            <v>Additions</v>
          </cell>
          <cell r="C151">
            <v>183</v>
          </cell>
          <cell r="D151">
            <v>373</v>
          </cell>
          <cell r="E151">
            <v>578</v>
          </cell>
          <cell r="F151">
            <v>612</v>
          </cell>
          <cell r="G151">
            <v>188</v>
          </cell>
          <cell r="H151">
            <v>910</v>
          </cell>
          <cell r="I151">
            <v>495</v>
          </cell>
          <cell r="J151">
            <v>267</v>
          </cell>
          <cell r="M151">
            <v>380</v>
          </cell>
          <cell r="P151">
            <v>570</v>
          </cell>
          <cell r="Q151">
            <v>581.4</v>
          </cell>
          <cell r="R151">
            <v>593.02800000000002</v>
          </cell>
          <cell r="S151">
            <v>604.88855999999998</v>
          </cell>
          <cell r="T151">
            <v>616.9863312</v>
          </cell>
          <cell r="U151">
            <v>629.32605782400003</v>
          </cell>
          <cell r="V151">
            <v>641.91257898048002</v>
          </cell>
          <cell r="W151">
            <v>654.75083056008964</v>
          </cell>
          <cell r="X151">
            <v>667.84584717129144</v>
          </cell>
          <cell r="Y151">
            <v>681.2027641147173</v>
          </cell>
          <cell r="Z151">
            <v>694.8268193970116</v>
          </cell>
          <cell r="AA151">
            <v>708.72335578495188</v>
          </cell>
          <cell r="AB151" t="str">
            <v>Grows at 2% per year</v>
          </cell>
        </row>
        <row r="152">
          <cell r="A152" t="str">
            <v>Disposals</v>
          </cell>
          <cell r="C152">
            <v>-93</v>
          </cell>
          <cell r="D152">
            <v>-77</v>
          </cell>
          <cell r="E152">
            <v>-25</v>
          </cell>
          <cell r="F152">
            <v>-745</v>
          </cell>
          <cell r="G152">
            <v>-23</v>
          </cell>
          <cell r="H152">
            <v>-133</v>
          </cell>
          <cell r="I152">
            <v>-221</v>
          </cell>
          <cell r="J152">
            <v>-1443</v>
          </cell>
          <cell r="M152">
            <v>-63</v>
          </cell>
          <cell r="P152">
            <v>-162</v>
          </cell>
          <cell r="Q152">
            <v>0</v>
          </cell>
          <cell r="R152">
            <v>0</v>
          </cell>
          <cell r="S152">
            <v>0</v>
          </cell>
          <cell r="T152">
            <v>0</v>
          </cell>
          <cell r="U152">
            <v>0</v>
          </cell>
          <cell r="V152">
            <v>0</v>
          </cell>
          <cell r="W152">
            <v>0</v>
          </cell>
          <cell r="X152">
            <v>0</v>
          </cell>
          <cell r="Y152">
            <v>0</v>
          </cell>
          <cell r="Z152">
            <v>0</v>
          </cell>
          <cell r="AA152">
            <v>0</v>
          </cell>
          <cell r="AB152" t="str">
            <v>Hard Coded as 0</v>
          </cell>
        </row>
        <row r="153">
          <cell r="A153" t="str">
            <v>Translation effect</v>
          </cell>
          <cell r="C153">
            <v>286</v>
          </cell>
          <cell r="D153">
            <v>-453</v>
          </cell>
          <cell r="E153">
            <v>526</v>
          </cell>
          <cell r="G153">
            <v>-178</v>
          </cell>
          <cell r="H153">
            <v>249</v>
          </cell>
          <cell r="I153">
            <v>266</v>
          </cell>
          <cell r="J153">
            <v>-103</v>
          </cell>
          <cell r="M153">
            <v>235</v>
          </cell>
          <cell r="P153">
            <v>308</v>
          </cell>
          <cell r="Q153">
            <v>0</v>
          </cell>
          <cell r="R153">
            <v>0</v>
          </cell>
          <cell r="S153">
            <v>0</v>
          </cell>
          <cell r="T153">
            <v>0</v>
          </cell>
          <cell r="U153">
            <v>0</v>
          </cell>
          <cell r="V153">
            <v>0</v>
          </cell>
          <cell r="W153">
            <v>0</v>
          </cell>
          <cell r="X153">
            <v>0</v>
          </cell>
          <cell r="Y153">
            <v>0</v>
          </cell>
          <cell r="Z153">
            <v>0</v>
          </cell>
          <cell r="AA153">
            <v>0</v>
          </cell>
        </row>
        <row r="154">
          <cell r="A154" t="str">
            <v>Acquisition</v>
          </cell>
          <cell r="E154">
            <v>4777</v>
          </cell>
          <cell r="F154">
            <v>785</v>
          </cell>
          <cell r="G154">
            <v>783</v>
          </cell>
          <cell r="H154">
            <v>829</v>
          </cell>
          <cell r="I154">
            <v>26423</v>
          </cell>
          <cell r="J154">
            <v>112</v>
          </cell>
          <cell r="M154">
            <v>1065</v>
          </cell>
          <cell r="P154">
            <v>0</v>
          </cell>
          <cell r="Q154">
            <v>0</v>
          </cell>
          <cell r="R154">
            <v>0</v>
          </cell>
          <cell r="S154">
            <v>0</v>
          </cell>
          <cell r="T154">
            <v>0</v>
          </cell>
          <cell r="U154">
            <v>0</v>
          </cell>
          <cell r="V154">
            <v>0</v>
          </cell>
          <cell r="W154">
            <v>0</v>
          </cell>
          <cell r="X154">
            <v>0</v>
          </cell>
          <cell r="Y154">
            <v>0</v>
          </cell>
          <cell r="Z154">
            <v>0</v>
          </cell>
          <cell r="AA154">
            <v>0</v>
          </cell>
        </row>
        <row r="155">
          <cell r="A155" t="str">
            <v>Cost at end of year</v>
          </cell>
          <cell r="C155">
            <v>5617</v>
          </cell>
          <cell r="D155">
            <v>8565</v>
          </cell>
          <cell r="E155">
            <v>14176</v>
          </cell>
          <cell r="F155">
            <v>14553</v>
          </cell>
          <cell r="G155">
            <v>15323</v>
          </cell>
          <cell r="H155">
            <v>17178</v>
          </cell>
          <cell r="I155">
            <v>44141</v>
          </cell>
          <cell r="J155">
            <v>42974</v>
          </cell>
          <cell r="M155">
            <v>44591</v>
          </cell>
          <cell r="P155">
            <v>45307</v>
          </cell>
          <cell r="Q155">
            <v>45888.4</v>
          </cell>
          <cell r="R155">
            <v>46481.428</v>
          </cell>
          <cell r="S155">
            <v>47086.316559999999</v>
          </cell>
          <cell r="T155">
            <v>47703.302891200001</v>
          </cell>
          <cell r="U155">
            <v>48332.628949024001</v>
          </cell>
          <cell r="V155">
            <v>48974.541528004484</v>
          </cell>
          <cell r="W155">
            <v>49629.292358564577</v>
          </cell>
          <cell r="X155">
            <v>50297.138205735871</v>
          </cell>
          <cell r="Y155">
            <v>50978.340969850586</v>
          </cell>
          <cell r="Z155">
            <v>51673.1677892476</v>
          </cell>
          <cell r="AA155">
            <v>52381.891145032554</v>
          </cell>
        </row>
        <row r="156">
          <cell r="A156" t="str">
            <v>Amortization</v>
          </cell>
        </row>
        <row r="157">
          <cell r="A157" t="str">
            <v>At start of year</v>
          </cell>
          <cell r="C157">
            <v>1525</v>
          </cell>
          <cell r="D157">
            <v>1887</v>
          </cell>
          <cell r="E157">
            <v>2550</v>
          </cell>
          <cell r="F157">
            <v>3605</v>
          </cell>
          <cell r="G157">
            <v>4414</v>
          </cell>
          <cell r="H157">
            <v>5789</v>
          </cell>
          <cell r="I157">
            <v>6847</v>
          </cell>
          <cell r="J157">
            <v>8910</v>
          </cell>
          <cell r="M157">
            <v>11005</v>
          </cell>
          <cell r="P157">
            <v>14260</v>
          </cell>
          <cell r="Q157">
            <v>17466</v>
          </cell>
          <cell r="R157">
            <v>20309.2</v>
          </cell>
          <cell r="S157">
            <v>23152.61</v>
          </cell>
          <cell r="T157">
            <v>25996.2405</v>
          </cell>
          <cell r="U157">
            <v>28840.102524999998</v>
          </cell>
          <cell r="V157">
            <v>31684.207651249999</v>
          </cell>
          <cell r="W157">
            <v>34528.568033812502</v>
          </cell>
          <cell r="X157">
            <v>37373.196435503123</v>
          </cell>
          <cell r="Y157">
            <v>40218.106257278283</v>
          </cell>
          <cell r="Z157">
            <v>43063.311570142199</v>
          </cell>
          <cell r="AA157">
            <v>45269.82714864931</v>
          </cell>
        </row>
        <row r="158">
          <cell r="A158" t="str">
            <v>Consolidation changes</v>
          </cell>
          <cell r="D158">
            <v>-14</v>
          </cell>
          <cell r="E158">
            <v>-63</v>
          </cell>
          <cell r="F158">
            <v>-268</v>
          </cell>
          <cell r="G158">
            <v>0</v>
          </cell>
          <cell r="H158">
            <v>0</v>
          </cell>
          <cell r="I158">
            <v>0</v>
          </cell>
          <cell r="J158">
            <v>0</v>
          </cell>
          <cell r="M158">
            <v>0</v>
          </cell>
          <cell r="P158">
            <v>0</v>
          </cell>
          <cell r="Q158">
            <v>0</v>
          </cell>
          <cell r="R158">
            <v>0</v>
          </cell>
          <cell r="S158">
            <v>0</v>
          </cell>
          <cell r="T158">
            <v>0</v>
          </cell>
          <cell r="U158">
            <v>0</v>
          </cell>
          <cell r="V158">
            <v>0</v>
          </cell>
          <cell r="W158">
            <v>0</v>
          </cell>
          <cell r="X158">
            <v>0</v>
          </cell>
          <cell r="Y158">
            <v>0</v>
          </cell>
          <cell r="Z158">
            <v>0</v>
          </cell>
          <cell r="AA158">
            <v>0</v>
          </cell>
          <cell r="AB158" t="str">
            <v>Hard Coded as 0</v>
          </cell>
        </row>
        <row r="159">
          <cell r="A159" t="str">
            <v>Amortization charge</v>
          </cell>
          <cell r="C159">
            <v>348</v>
          </cell>
          <cell r="D159">
            <v>481</v>
          </cell>
          <cell r="E159">
            <v>834</v>
          </cell>
          <cell r="F159">
            <v>1091</v>
          </cell>
          <cell r="G159">
            <v>1095</v>
          </cell>
          <cell r="H159">
            <v>1025</v>
          </cell>
          <cell r="I159">
            <v>1135</v>
          </cell>
          <cell r="J159">
            <v>3028</v>
          </cell>
          <cell r="M159">
            <v>2894</v>
          </cell>
          <cell r="P159">
            <v>2976</v>
          </cell>
          <cell r="Q159">
            <v>2843.2</v>
          </cell>
          <cell r="R159">
            <v>2843.41</v>
          </cell>
          <cell r="S159">
            <v>2843.6305000000002</v>
          </cell>
          <cell r="T159">
            <v>2843.8620249999999</v>
          </cell>
          <cell r="U159">
            <v>2844.10512625</v>
          </cell>
          <cell r="V159">
            <v>2844.3603825625</v>
          </cell>
          <cell r="W159">
            <v>2844.6284016906247</v>
          </cell>
          <cell r="X159">
            <v>2844.9098217751562</v>
          </cell>
          <cell r="Y159">
            <v>2845.2053128639141</v>
          </cell>
          <cell r="Z159">
            <v>2206.5155785071097</v>
          </cell>
          <cell r="AA159">
            <v>6.8413574324652568</v>
          </cell>
        </row>
        <row r="160">
          <cell r="A160" t="str">
            <v>Disposals</v>
          </cell>
          <cell r="C160">
            <v>-88</v>
          </cell>
          <cell r="D160">
            <v>-64</v>
          </cell>
          <cell r="E160">
            <v>-20</v>
          </cell>
          <cell r="F160">
            <v>-738</v>
          </cell>
          <cell r="G160">
            <v>-20</v>
          </cell>
          <cell r="H160">
            <v>-114</v>
          </cell>
          <cell r="I160">
            <v>-129</v>
          </cell>
          <cell r="J160">
            <v>-1443</v>
          </cell>
          <cell r="M160">
            <v>-61</v>
          </cell>
          <cell r="P160">
            <v>-68</v>
          </cell>
          <cell r="Q160">
            <v>0</v>
          </cell>
          <cell r="R160">
            <v>0</v>
          </cell>
          <cell r="S160">
            <v>0</v>
          </cell>
          <cell r="T160">
            <v>0</v>
          </cell>
          <cell r="U160">
            <v>0</v>
          </cell>
          <cell r="V160">
            <v>0</v>
          </cell>
          <cell r="W160">
            <v>0</v>
          </cell>
          <cell r="X160">
            <v>0</v>
          </cell>
          <cell r="Y160">
            <v>0</v>
          </cell>
          <cell r="Z160">
            <v>0</v>
          </cell>
          <cell r="AA160">
            <v>0</v>
          </cell>
          <cell r="AB160" t="str">
            <v>Same each year</v>
          </cell>
        </row>
        <row r="161">
          <cell r="A161" t="str">
            <v>Impairment</v>
          </cell>
          <cell r="C161">
            <v>12</v>
          </cell>
          <cell r="D161">
            <v>397</v>
          </cell>
          <cell r="E161">
            <v>124</v>
          </cell>
          <cell r="F161">
            <v>479</v>
          </cell>
          <cell r="G161">
            <v>344</v>
          </cell>
          <cell r="H161">
            <v>26</v>
          </cell>
          <cell r="I161">
            <v>911</v>
          </cell>
          <cell r="J161">
            <v>619</v>
          </cell>
          <cell r="M161">
            <v>283</v>
          </cell>
          <cell r="P161">
            <v>114</v>
          </cell>
          <cell r="Q161">
            <v>0</v>
          </cell>
          <cell r="R161">
            <v>0</v>
          </cell>
          <cell r="S161">
            <v>0</v>
          </cell>
          <cell r="T161">
            <v>0</v>
          </cell>
          <cell r="U161">
            <v>0</v>
          </cell>
          <cell r="V161">
            <v>0</v>
          </cell>
          <cell r="W161">
            <v>0</v>
          </cell>
          <cell r="X161">
            <v>0</v>
          </cell>
          <cell r="Y161">
            <v>0</v>
          </cell>
          <cell r="Z161">
            <v>0</v>
          </cell>
          <cell r="AA161">
            <v>0</v>
          </cell>
        </row>
        <row r="162">
          <cell r="A162" t="str">
            <v>Translation effect</v>
          </cell>
          <cell r="C162">
            <v>90</v>
          </cell>
          <cell r="D162">
            <v>-137</v>
          </cell>
          <cell r="E162">
            <v>180</v>
          </cell>
          <cell r="F162">
            <v>245</v>
          </cell>
          <cell r="G162">
            <v>-44</v>
          </cell>
          <cell r="H162">
            <v>121</v>
          </cell>
          <cell r="I162">
            <v>146</v>
          </cell>
          <cell r="J162">
            <v>-109</v>
          </cell>
          <cell r="M162">
            <v>139</v>
          </cell>
          <cell r="P162">
            <v>184</v>
          </cell>
          <cell r="Q162">
            <v>0</v>
          </cell>
          <cell r="R162">
            <v>0</v>
          </cell>
          <cell r="S162">
            <v>0</v>
          </cell>
          <cell r="T162">
            <v>0</v>
          </cell>
          <cell r="U162">
            <v>0</v>
          </cell>
          <cell r="V162">
            <v>0</v>
          </cell>
          <cell r="W162">
            <v>0</v>
          </cell>
          <cell r="X162">
            <v>0</v>
          </cell>
          <cell r="Y162">
            <v>0</v>
          </cell>
          <cell r="Z162">
            <v>0</v>
          </cell>
          <cell r="AA162">
            <v>0</v>
          </cell>
        </row>
        <row r="163">
          <cell r="A163" t="str">
            <v>At end of Year</v>
          </cell>
          <cell r="C163">
            <v>1887</v>
          </cell>
          <cell r="D163">
            <v>2550</v>
          </cell>
          <cell r="E163">
            <v>3605</v>
          </cell>
          <cell r="F163">
            <v>4414</v>
          </cell>
          <cell r="G163">
            <v>5789</v>
          </cell>
          <cell r="H163">
            <v>6847</v>
          </cell>
          <cell r="I163">
            <v>8910</v>
          </cell>
          <cell r="J163">
            <v>11005</v>
          </cell>
          <cell r="M163">
            <v>14260</v>
          </cell>
          <cell r="P163">
            <v>17466</v>
          </cell>
          <cell r="Q163">
            <v>20309.2</v>
          </cell>
          <cell r="R163">
            <v>23152.61</v>
          </cell>
          <cell r="S163">
            <v>25996.2405</v>
          </cell>
          <cell r="T163">
            <v>28840.102524999998</v>
          </cell>
          <cell r="U163">
            <v>31684.207651249999</v>
          </cell>
          <cell r="V163">
            <v>34528.568033812502</v>
          </cell>
          <cell r="W163">
            <v>37373.196435503123</v>
          </cell>
          <cell r="X163">
            <v>40218.106257278283</v>
          </cell>
          <cell r="Y163">
            <v>43063.311570142199</v>
          </cell>
          <cell r="Z163">
            <v>45269.82714864931</v>
          </cell>
          <cell r="AA163">
            <v>45276.668506081776</v>
          </cell>
        </row>
        <row r="165">
          <cell r="A165" t="str">
            <v>Net book value (at start)</v>
          </cell>
          <cell r="C165">
            <v>3231</v>
          </cell>
          <cell r="D165">
            <v>3730</v>
          </cell>
          <cell r="E165">
            <v>6015</v>
          </cell>
          <cell r="F165">
            <v>10571</v>
          </cell>
          <cell r="G165">
            <v>10139</v>
          </cell>
          <cell r="H165">
            <v>9534</v>
          </cell>
          <cell r="I165">
            <v>10331</v>
          </cell>
          <cell r="J165">
            <v>35231</v>
          </cell>
          <cell r="M165">
            <v>31969</v>
          </cell>
          <cell r="P165">
            <v>30331</v>
          </cell>
          <cell r="Q165">
            <v>27841</v>
          </cell>
          <cell r="R165">
            <v>25579.200000000001</v>
          </cell>
          <cell r="S165">
            <v>23328.817999999999</v>
          </cell>
          <cell r="T165">
            <v>21090.076059999999</v>
          </cell>
          <cell r="U165">
            <v>18863.200366200002</v>
          </cell>
          <cell r="V165">
            <v>16648.421297774003</v>
          </cell>
          <cell r="W165">
            <v>14445.973494191981</v>
          </cell>
          <cell r="X165">
            <v>12256.095923061454</v>
          </cell>
          <cell r="Y165">
            <v>10079.031948457588</v>
          </cell>
          <cell r="Z165">
            <v>7915.0293997083863</v>
          </cell>
          <cell r="AA165">
            <v>6403.3406405982896</v>
          </cell>
        </row>
        <row r="166">
          <cell r="A166" t="str">
            <v>Net book value of Intangibles (at end)</v>
          </cell>
          <cell r="C166">
            <v>3730</v>
          </cell>
          <cell r="D166">
            <v>6015</v>
          </cell>
          <cell r="E166">
            <v>10571</v>
          </cell>
          <cell r="F166">
            <v>10139</v>
          </cell>
          <cell r="G166">
            <v>9534</v>
          </cell>
          <cell r="H166">
            <v>10331</v>
          </cell>
          <cell r="I166">
            <v>35231</v>
          </cell>
          <cell r="J166">
            <v>31969</v>
          </cell>
          <cell r="M166">
            <v>30331</v>
          </cell>
          <cell r="P166">
            <v>27841</v>
          </cell>
          <cell r="Q166">
            <v>25579.200000000001</v>
          </cell>
          <cell r="R166">
            <v>23328.817999999999</v>
          </cell>
          <cell r="S166">
            <v>21090.076059999999</v>
          </cell>
          <cell r="T166">
            <v>18863.200366200002</v>
          </cell>
          <cell r="U166">
            <v>16648.421297774003</v>
          </cell>
          <cell r="V166">
            <v>14445.973494191981</v>
          </cell>
          <cell r="W166">
            <v>12256.095923061454</v>
          </cell>
          <cell r="X166">
            <v>10079.031948457588</v>
          </cell>
          <cell r="Y166">
            <v>7915.0293997083863</v>
          </cell>
          <cell r="Z166">
            <v>6403.3406405982896</v>
          </cell>
          <cell r="AA166">
            <v>7105.2226389507778</v>
          </cell>
        </row>
        <row r="168">
          <cell r="A168" t="str">
            <v>CAPEX/ Amortization Charge</v>
          </cell>
          <cell r="C168">
            <v>0.52586206896551724</v>
          </cell>
          <cell r="D168">
            <v>0.77546777546777546</v>
          </cell>
          <cell r="E168">
            <v>0.69304556354916069</v>
          </cell>
          <cell r="F168">
            <v>0.56095325389550865</v>
          </cell>
          <cell r="G168">
            <v>0.17168949771689498</v>
          </cell>
          <cell r="H168">
            <v>0.8878048780487805</v>
          </cell>
          <cell r="I168">
            <v>0.43612334801762115</v>
          </cell>
          <cell r="J168">
            <v>8.8177014531043596E-2</v>
          </cell>
          <cell r="K168" t="e">
            <v>#DIV/0!</v>
          </cell>
          <cell r="L168" t="e">
            <v>#DIV/0!</v>
          </cell>
          <cell r="M168">
            <v>0.13130615065653076</v>
          </cell>
          <cell r="P168">
            <v>0.19153225806451613</v>
          </cell>
          <cell r="Q168">
            <v>0.20448790095666855</v>
          </cell>
          <cell r="R168">
            <v>0.20856225447613957</v>
          </cell>
          <cell r="S168">
            <v>0.21271700384420547</v>
          </cell>
          <cell r="T168">
            <v>0.21695367981152322</v>
          </cell>
          <cell r="U168">
            <v>0.22127383830350073</v>
          </cell>
          <cell r="V168">
            <v>0.22567906054231335</v>
          </cell>
          <cell r="W168">
            <v>0.23017095314486663</v>
          </cell>
          <cell r="X168">
            <v>0.23475114819441675</v>
          </cell>
          <cell r="Y168">
            <v>0.23942130328339478</v>
          </cell>
          <cell r="Z168">
            <v>0.31489776286425286</v>
          </cell>
          <cell r="AA168">
            <v>103.59396695482495</v>
          </cell>
        </row>
        <row r="169">
          <cell r="A169" t="str">
            <v>Average Useful Life</v>
          </cell>
          <cell r="C169">
            <v>16.138134095795813</v>
          </cell>
          <cell r="D169">
            <v>11.677754677754677</v>
          </cell>
          <cell r="E169">
            <v>10.26978417266187</v>
          </cell>
          <cell r="F169">
            <v>12.993583868010999</v>
          </cell>
          <cell r="G169">
            <v>13.29041095890411</v>
          </cell>
          <cell r="H169">
            <v>14.949268292682927</v>
          </cell>
          <cell r="I169">
            <v>15.134801762114538</v>
          </cell>
          <cell r="J169">
            <v>14.577608982826948</v>
          </cell>
          <cell r="K169" t="e">
            <v>#DIV/0!</v>
          </cell>
          <cell r="L169" t="e">
            <v>#DIV/0!</v>
          </cell>
          <cell r="M169">
            <v>14.849343469246717</v>
          </cell>
          <cell r="N169" t="e">
            <v>#DIV/0!</v>
          </cell>
          <cell r="O169" t="e">
            <v>#DIV/0!</v>
          </cell>
          <cell r="P169">
            <v>14.98353494623656</v>
          </cell>
          <cell r="Q169">
            <v>15.935213843556557</v>
          </cell>
          <cell r="R169">
            <v>16.138509747099434</v>
          </cell>
          <cell r="S169">
            <v>16.345804421495689</v>
          </cell>
          <cell r="T169">
            <v>16.557173360054275</v>
          </cell>
          <cell r="U169">
            <v>16.772693263310419</v>
          </cell>
          <cell r="V169">
            <v>16.992442042622205</v>
          </cell>
          <cell r="W169">
            <v>17.216498822446489</v>
          </cell>
          <cell r="X169">
            <v>17.444943941174586</v>
          </cell>
          <cell r="Y169">
            <v>17.677858950399614</v>
          </cell>
          <cell r="Z169">
            <v>23.103549082731448</v>
          </cell>
          <cell r="AA169">
            <v>7553.0577519653689</v>
          </cell>
        </row>
        <row r="171">
          <cell r="A171" t="str">
            <v>5) CASH AND DEBT</v>
          </cell>
        </row>
        <row r="172">
          <cell r="A172" t="str">
            <v>Short Term Debt</v>
          </cell>
        </row>
        <row r="173">
          <cell r="A173" t="str">
            <v>Beginning</v>
          </cell>
          <cell r="C173">
            <v>2779</v>
          </cell>
          <cell r="D173">
            <v>4119</v>
          </cell>
          <cell r="E173">
            <v>7135</v>
          </cell>
          <cell r="F173">
            <v>6643</v>
          </cell>
          <cell r="G173">
            <v>5117</v>
          </cell>
          <cell r="H173">
            <v>5186</v>
          </cell>
          <cell r="I173">
            <v>5313</v>
          </cell>
          <cell r="J173">
            <v>8627</v>
          </cell>
          <cell r="M173">
            <v>6374</v>
          </cell>
          <cell r="P173">
            <v>5945</v>
          </cell>
          <cell r="Q173">
            <v>6776</v>
          </cell>
          <cell r="R173">
            <v>6776</v>
          </cell>
          <cell r="S173">
            <v>6776</v>
          </cell>
          <cell r="T173">
            <v>6776</v>
          </cell>
          <cell r="U173">
            <v>6776</v>
          </cell>
          <cell r="V173">
            <v>6776</v>
          </cell>
          <cell r="W173">
            <v>6776</v>
          </cell>
          <cell r="X173">
            <v>6776</v>
          </cell>
          <cell r="Y173">
            <v>6776</v>
          </cell>
          <cell r="Z173">
            <v>6776</v>
          </cell>
          <cell r="AA173">
            <v>6776</v>
          </cell>
        </row>
        <row r="174">
          <cell r="A174" t="str">
            <v>New Debt</v>
          </cell>
          <cell r="C174">
            <v>1340</v>
          </cell>
          <cell r="D174">
            <v>3016</v>
          </cell>
          <cell r="E174">
            <v>0</v>
          </cell>
          <cell r="F174">
            <v>0</v>
          </cell>
          <cell r="G174">
            <v>69</v>
          </cell>
          <cell r="H174">
            <v>127</v>
          </cell>
          <cell r="I174">
            <v>3314</v>
          </cell>
          <cell r="J174">
            <v>0</v>
          </cell>
          <cell r="M174">
            <v>0</v>
          </cell>
          <cell r="P174">
            <v>0</v>
          </cell>
          <cell r="Q174">
            <v>0</v>
          </cell>
          <cell r="R174">
            <v>0</v>
          </cell>
          <cell r="S174">
            <v>0</v>
          </cell>
          <cell r="T174">
            <v>0</v>
          </cell>
          <cell r="U174">
            <v>0</v>
          </cell>
          <cell r="V174">
            <v>0</v>
          </cell>
          <cell r="W174">
            <v>0</v>
          </cell>
          <cell r="X174">
            <v>0</v>
          </cell>
          <cell r="Y174">
            <v>0</v>
          </cell>
          <cell r="Z174">
            <v>0</v>
          </cell>
          <cell r="AA174">
            <v>0</v>
          </cell>
          <cell r="AB174" t="str">
            <v>Discretionary</v>
          </cell>
        </row>
        <row r="175">
          <cell r="A175" t="str">
            <v>Repayments</v>
          </cell>
          <cell r="C175">
            <v>0</v>
          </cell>
          <cell r="D175">
            <v>0</v>
          </cell>
          <cell r="E175">
            <v>-492</v>
          </cell>
          <cell r="F175">
            <v>-1526</v>
          </cell>
          <cell r="H175">
            <v>0</v>
          </cell>
          <cell r="I175">
            <v>0</v>
          </cell>
          <cell r="J175">
            <v>-2253</v>
          </cell>
          <cell r="M175">
            <v>-429</v>
          </cell>
          <cell r="P175">
            <v>831</v>
          </cell>
          <cell r="Q175">
            <v>0</v>
          </cell>
          <cell r="R175">
            <v>0</v>
          </cell>
          <cell r="S175">
            <v>0</v>
          </cell>
          <cell r="T175">
            <v>0</v>
          </cell>
          <cell r="U175">
            <v>0</v>
          </cell>
          <cell r="V175">
            <v>0</v>
          </cell>
          <cell r="W175">
            <v>0</v>
          </cell>
          <cell r="X175">
            <v>0</v>
          </cell>
          <cell r="Y175">
            <v>0</v>
          </cell>
          <cell r="Z175">
            <v>0</v>
          </cell>
          <cell r="AA175">
            <v>0</v>
          </cell>
          <cell r="AB175" t="str">
            <v>Discretionary</v>
          </cell>
        </row>
        <row r="176">
          <cell r="A176" t="str">
            <v>Acquired</v>
          </cell>
          <cell r="J176">
            <v>0</v>
          </cell>
        </row>
        <row r="177">
          <cell r="A177" t="str">
            <v xml:space="preserve">End </v>
          </cell>
          <cell r="C177">
            <v>4119</v>
          </cell>
          <cell r="D177">
            <v>7135</v>
          </cell>
          <cell r="E177">
            <v>6643</v>
          </cell>
          <cell r="F177">
            <v>5117</v>
          </cell>
          <cell r="G177">
            <v>5186</v>
          </cell>
          <cell r="H177">
            <v>5313</v>
          </cell>
          <cell r="I177">
            <v>8627</v>
          </cell>
          <cell r="J177">
            <v>6374</v>
          </cell>
          <cell r="M177">
            <v>5945</v>
          </cell>
          <cell r="P177">
            <v>6776</v>
          </cell>
          <cell r="Q177">
            <v>6776</v>
          </cell>
          <cell r="R177">
            <v>6776</v>
          </cell>
          <cell r="S177">
            <v>6776</v>
          </cell>
          <cell r="T177">
            <v>6776</v>
          </cell>
          <cell r="U177">
            <v>6776</v>
          </cell>
          <cell r="V177">
            <v>6776</v>
          </cell>
          <cell r="W177">
            <v>6776</v>
          </cell>
          <cell r="X177">
            <v>6776</v>
          </cell>
          <cell r="Y177">
            <v>6776</v>
          </cell>
          <cell r="Z177">
            <v>6776</v>
          </cell>
          <cell r="AA177">
            <v>6776</v>
          </cell>
        </row>
        <row r="178">
          <cell r="A178" t="str">
            <v>Long Term Debt</v>
          </cell>
        </row>
        <row r="179">
          <cell r="A179" t="str">
            <v>Beginning</v>
          </cell>
          <cell r="C179">
            <v>3191</v>
          </cell>
          <cell r="D179">
            <v>2736</v>
          </cell>
          <cell r="E179">
            <v>1319</v>
          </cell>
          <cell r="F179">
            <v>656</v>
          </cell>
          <cell r="G179">
            <v>677</v>
          </cell>
          <cell r="H179">
            <v>2178</v>
          </cell>
          <cell r="I179">
            <v>8675</v>
          </cell>
          <cell r="J179">
            <v>14360</v>
          </cell>
          <cell r="M179">
            <v>13781</v>
          </cell>
          <cell r="P179">
            <v>13781</v>
          </cell>
          <cell r="Q179">
            <v>11242</v>
          </cell>
          <cell r="R179">
            <v>11242</v>
          </cell>
          <cell r="S179">
            <v>11242</v>
          </cell>
          <cell r="T179">
            <v>11242</v>
          </cell>
          <cell r="U179">
            <v>11242</v>
          </cell>
          <cell r="V179">
            <v>11242</v>
          </cell>
          <cell r="W179">
            <v>11242</v>
          </cell>
          <cell r="X179">
            <v>11242</v>
          </cell>
          <cell r="Y179">
            <v>11242</v>
          </cell>
          <cell r="Z179">
            <v>11242</v>
          </cell>
          <cell r="AA179">
            <v>11242</v>
          </cell>
        </row>
        <row r="180">
          <cell r="A180" t="str">
            <v>New Debt</v>
          </cell>
          <cell r="C180">
            <v>0</v>
          </cell>
          <cell r="D180">
            <v>0</v>
          </cell>
          <cell r="E180">
            <v>0</v>
          </cell>
          <cell r="F180">
            <v>21</v>
          </cell>
          <cell r="G180">
            <v>1501</v>
          </cell>
          <cell r="H180">
            <v>6497</v>
          </cell>
          <cell r="I180">
            <v>5685</v>
          </cell>
          <cell r="J180">
            <v>0</v>
          </cell>
          <cell r="M180">
            <v>0</v>
          </cell>
          <cell r="P180">
            <v>0</v>
          </cell>
          <cell r="Q180">
            <v>0</v>
          </cell>
          <cell r="R180">
            <v>0</v>
          </cell>
          <cell r="S180">
            <v>0</v>
          </cell>
          <cell r="T180">
            <v>0</v>
          </cell>
          <cell r="U180">
            <v>0</v>
          </cell>
          <cell r="V180">
            <v>0</v>
          </cell>
          <cell r="W180">
            <v>0</v>
          </cell>
          <cell r="X180">
            <v>0</v>
          </cell>
          <cell r="Y180">
            <v>0</v>
          </cell>
          <cell r="Z180">
            <v>0</v>
          </cell>
          <cell r="AA180">
            <v>0</v>
          </cell>
          <cell r="AB180" t="str">
            <v>Discretionary</v>
          </cell>
        </row>
        <row r="181">
          <cell r="A181" t="str">
            <v>Repayments</v>
          </cell>
          <cell r="C181">
            <v>-455</v>
          </cell>
          <cell r="D181">
            <v>-1417</v>
          </cell>
          <cell r="E181">
            <v>-663</v>
          </cell>
          <cell r="F181">
            <v>0</v>
          </cell>
          <cell r="G181">
            <v>0</v>
          </cell>
          <cell r="H181">
            <v>0</v>
          </cell>
          <cell r="I181">
            <v>0</v>
          </cell>
          <cell r="J181">
            <v>-579</v>
          </cell>
          <cell r="P181">
            <v>-2539</v>
          </cell>
          <cell r="Q181">
            <v>0</v>
          </cell>
          <cell r="R181">
            <v>0</v>
          </cell>
          <cell r="S181">
            <v>0</v>
          </cell>
          <cell r="T181">
            <v>0</v>
          </cell>
          <cell r="U181">
            <v>0</v>
          </cell>
          <cell r="V181">
            <v>0</v>
          </cell>
          <cell r="W181">
            <v>0</v>
          </cell>
          <cell r="X181">
            <v>0</v>
          </cell>
          <cell r="Y181">
            <v>0</v>
          </cell>
          <cell r="Z181">
            <v>0</v>
          </cell>
          <cell r="AA181">
            <v>0</v>
          </cell>
          <cell r="AB181" t="str">
            <v>Discretionary</v>
          </cell>
        </row>
        <row r="182">
          <cell r="A182" t="str">
            <v>Acquired</v>
          </cell>
        </row>
        <row r="183">
          <cell r="A183" t="str">
            <v xml:space="preserve">End </v>
          </cell>
          <cell r="C183">
            <v>2736</v>
          </cell>
          <cell r="D183">
            <v>1319</v>
          </cell>
          <cell r="E183">
            <v>656</v>
          </cell>
          <cell r="F183">
            <v>677</v>
          </cell>
          <cell r="G183">
            <v>2178</v>
          </cell>
          <cell r="H183">
            <v>8675</v>
          </cell>
          <cell r="I183">
            <v>14360</v>
          </cell>
          <cell r="J183">
            <v>13781</v>
          </cell>
          <cell r="M183">
            <v>13781</v>
          </cell>
          <cell r="P183">
            <v>11242</v>
          </cell>
          <cell r="Q183">
            <v>11242</v>
          </cell>
          <cell r="R183">
            <v>11242</v>
          </cell>
          <cell r="S183">
            <v>11242</v>
          </cell>
          <cell r="T183">
            <v>11242</v>
          </cell>
          <cell r="U183">
            <v>11242</v>
          </cell>
          <cell r="V183">
            <v>11242</v>
          </cell>
          <cell r="W183">
            <v>11242</v>
          </cell>
          <cell r="X183">
            <v>11242</v>
          </cell>
          <cell r="Y183">
            <v>11242</v>
          </cell>
          <cell r="Z183">
            <v>11242</v>
          </cell>
          <cell r="AA183">
            <v>11242</v>
          </cell>
        </row>
        <row r="185">
          <cell r="A185" t="str">
            <v>Cash and Equivalents</v>
          </cell>
        </row>
        <row r="186">
          <cell r="A186" t="str">
            <v>Beginning</v>
          </cell>
          <cell r="C186">
            <v>5646</v>
          </cell>
          <cell r="D186">
            <v>6083</v>
          </cell>
          <cell r="E186">
            <v>6321</v>
          </cell>
          <cell r="F186">
            <v>3815</v>
          </cell>
          <cell r="G186">
            <v>5360</v>
          </cell>
          <cell r="H186">
            <v>2038</v>
          </cell>
          <cell r="I186">
            <v>2894</v>
          </cell>
          <cell r="J186">
            <v>5319</v>
          </cell>
          <cell r="M186">
            <v>3709</v>
          </cell>
          <cell r="P186">
            <v>5552</v>
          </cell>
          <cell r="Q186">
            <v>6687</v>
          </cell>
          <cell r="R186">
            <v>7732.9149646160513</v>
          </cell>
          <cell r="S186">
            <v>8815.8510681852531</v>
          </cell>
          <cell r="T186">
            <v>10762.815150404433</v>
          </cell>
          <cell r="U186">
            <v>13741.538687866214</v>
          </cell>
          <cell r="V186">
            <v>18622.106521279507</v>
          </cell>
          <cell r="W186">
            <v>22608.442866788522</v>
          </cell>
          <cell r="X186">
            <v>26305.730246124338</v>
          </cell>
          <cell r="Y186">
            <v>29531.531897604371</v>
          </cell>
          <cell r="Z186">
            <v>32336.693282791053</v>
          </cell>
          <cell r="AA186">
            <v>34438.55461659198</v>
          </cell>
        </row>
        <row r="187">
          <cell r="A187" t="str">
            <v>End</v>
          </cell>
          <cell r="C187">
            <v>6083</v>
          </cell>
          <cell r="D187">
            <v>6321</v>
          </cell>
          <cell r="E187">
            <v>3815</v>
          </cell>
          <cell r="F187">
            <v>5360</v>
          </cell>
          <cell r="G187">
            <v>2038</v>
          </cell>
          <cell r="H187">
            <v>2894</v>
          </cell>
          <cell r="I187">
            <v>5319</v>
          </cell>
          <cell r="J187">
            <v>3709</v>
          </cell>
          <cell r="M187">
            <v>5552</v>
          </cell>
          <cell r="P187">
            <v>6687</v>
          </cell>
          <cell r="Q187">
            <v>7732.9149646160513</v>
          </cell>
          <cell r="R187">
            <v>8815.8510681852531</v>
          </cell>
          <cell r="S187">
            <v>10762.815150404433</v>
          </cell>
          <cell r="T187">
            <v>13741.538687866214</v>
          </cell>
          <cell r="U187">
            <v>18622.106521279507</v>
          </cell>
          <cell r="V187">
            <v>22608.442866788522</v>
          </cell>
          <cell r="W187">
            <v>26305.730246124338</v>
          </cell>
          <cell r="X187">
            <v>29531.531897604371</v>
          </cell>
          <cell r="Y187">
            <v>32336.693282791053</v>
          </cell>
          <cell r="Z187">
            <v>34438.55461659198</v>
          </cell>
          <cell r="AA187">
            <v>37067.360458081152</v>
          </cell>
        </row>
        <row r="188">
          <cell r="A188" t="str">
            <v>Marketable Securities/Financial Derivatives</v>
          </cell>
        </row>
        <row r="189">
          <cell r="A189" t="str">
            <v>Equity Securities</v>
          </cell>
          <cell r="C189">
            <v>448</v>
          </cell>
          <cell r="D189">
            <v>521</v>
          </cell>
          <cell r="E189">
            <v>616</v>
          </cell>
          <cell r="F189">
            <v>1390</v>
          </cell>
          <cell r="G189">
            <v>652</v>
          </cell>
          <cell r="H189">
            <v>276</v>
          </cell>
          <cell r="I189">
            <v>161</v>
          </cell>
          <cell r="J189">
            <v>105</v>
          </cell>
          <cell r="M189">
            <v>68</v>
          </cell>
          <cell r="P189">
            <v>47</v>
          </cell>
          <cell r="Q189">
            <v>47</v>
          </cell>
          <cell r="R189">
            <v>47</v>
          </cell>
          <cell r="S189">
            <v>47</v>
          </cell>
          <cell r="T189">
            <v>47</v>
          </cell>
          <cell r="U189">
            <v>47</v>
          </cell>
          <cell r="V189">
            <v>47</v>
          </cell>
          <cell r="W189">
            <v>47</v>
          </cell>
          <cell r="X189">
            <v>47</v>
          </cell>
          <cell r="Y189">
            <v>47</v>
          </cell>
          <cell r="Z189">
            <v>47</v>
          </cell>
          <cell r="AA189">
            <v>47</v>
          </cell>
        </row>
        <row r="190">
          <cell r="A190" t="str">
            <v>Debt Securities</v>
          </cell>
          <cell r="C190">
            <v>6188</v>
          </cell>
          <cell r="D190">
            <v>3102</v>
          </cell>
          <cell r="E190">
            <v>3390</v>
          </cell>
          <cell r="F190">
            <v>2208</v>
          </cell>
          <cell r="G190">
            <v>1048</v>
          </cell>
          <cell r="H190">
            <v>7240</v>
          </cell>
          <cell r="I190">
            <v>2596</v>
          </cell>
          <cell r="J190">
            <v>1131</v>
          </cell>
          <cell r="M190">
            <v>1107</v>
          </cell>
          <cell r="P190">
            <v>334</v>
          </cell>
          <cell r="Q190">
            <v>334</v>
          </cell>
          <cell r="R190">
            <v>334</v>
          </cell>
          <cell r="S190">
            <v>334</v>
          </cell>
          <cell r="T190">
            <v>334</v>
          </cell>
          <cell r="U190">
            <v>334</v>
          </cell>
          <cell r="V190">
            <v>334</v>
          </cell>
          <cell r="W190">
            <v>334</v>
          </cell>
          <cell r="X190">
            <v>334</v>
          </cell>
          <cell r="Y190">
            <v>334</v>
          </cell>
          <cell r="Z190">
            <v>334</v>
          </cell>
          <cell r="AA190">
            <v>334</v>
          </cell>
        </row>
        <row r="191">
          <cell r="A191" t="str">
            <v>Deposits&gt;90 days</v>
          </cell>
          <cell r="C191">
            <v>639</v>
          </cell>
          <cell r="D191">
            <v>505</v>
          </cell>
          <cell r="E191">
            <v>27</v>
          </cell>
          <cell r="F191">
            <v>4089</v>
          </cell>
          <cell r="G191">
            <v>2074</v>
          </cell>
          <cell r="H191">
            <v>6870</v>
          </cell>
          <cell r="I191">
            <v>0</v>
          </cell>
          <cell r="J191">
            <v>0</v>
          </cell>
          <cell r="M191">
            <v>1240</v>
          </cell>
          <cell r="P191">
            <v>1931</v>
          </cell>
          <cell r="Q191">
            <v>1931</v>
          </cell>
          <cell r="R191">
            <v>1931</v>
          </cell>
          <cell r="S191">
            <v>1931</v>
          </cell>
          <cell r="T191">
            <v>1931</v>
          </cell>
          <cell r="U191">
            <v>1931</v>
          </cell>
          <cell r="V191">
            <v>1931</v>
          </cell>
          <cell r="W191">
            <v>1931</v>
          </cell>
          <cell r="X191">
            <v>1931</v>
          </cell>
          <cell r="Y191">
            <v>1931</v>
          </cell>
          <cell r="Z191">
            <v>1931</v>
          </cell>
          <cell r="AA191">
            <v>1931</v>
          </cell>
        </row>
        <row r="192">
          <cell r="A192" t="str">
            <v>Derivative financial instruments</v>
          </cell>
          <cell r="C192">
            <v>399</v>
          </cell>
          <cell r="D192">
            <v>384</v>
          </cell>
          <cell r="E192">
            <v>37</v>
          </cell>
          <cell r="F192">
            <v>31</v>
          </cell>
          <cell r="G192">
            <v>272</v>
          </cell>
          <cell r="H192">
            <v>88</v>
          </cell>
          <cell r="I192">
            <v>42</v>
          </cell>
          <cell r="J192">
            <v>118</v>
          </cell>
          <cell r="M192">
            <v>140</v>
          </cell>
          <cell r="P192">
            <v>218</v>
          </cell>
          <cell r="Q192">
            <v>218</v>
          </cell>
          <cell r="R192">
            <v>218</v>
          </cell>
          <cell r="S192">
            <v>218</v>
          </cell>
          <cell r="T192">
            <v>218</v>
          </cell>
          <cell r="U192">
            <v>218</v>
          </cell>
          <cell r="V192">
            <v>218</v>
          </cell>
          <cell r="W192">
            <v>218</v>
          </cell>
          <cell r="X192">
            <v>218</v>
          </cell>
          <cell r="Y192">
            <v>218</v>
          </cell>
          <cell r="Z192">
            <v>218</v>
          </cell>
          <cell r="AA192">
            <v>218</v>
          </cell>
        </row>
        <row r="193">
          <cell r="A193" t="str">
            <v>Accrued Interest</v>
          </cell>
          <cell r="C193">
            <v>26</v>
          </cell>
          <cell r="D193">
            <v>19</v>
          </cell>
          <cell r="E193">
            <v>0</v>
          </cell>
          <cell r="F193">
            <v>0</v>
          </cell>
          <cell r="G193">
            <v>0</v>
          </cell>
          <cell r="H193">
            <v>0</v>
          </cell>
          <cell r="I193">
            <v>0</v>
          </cell>
          <cell r="J193">
            <v>0</v>
          </cell>
          <cell r="M193">
            <v>0</v>
          </cell>
          <cell r="P193">
            <v>5</v>
          </cell>
          <cell r="Q193">
            <v>5</v>
          </cell>
          <cell r="R193">
            <v>5</v>
          </cell>
          <cell r="S193">
            <v>5</v>
          </cell>
          <cell r="T193">
            <v>5</v>
          </cell>
          <cell r="U193">
            <v>5</v>
          </cell>
          <cell r="V193">
            <v>5</v>
          </cell>
          <cell r="W193">
            <v>5</v>
          </cell>
          <cell r="X193">
            <v>5</v>
          </cell>
          <cell r="Y193">
            <v>5</v>
          </cell>
          <cell r="Z193">
            <v>5</v>
          </cell>
          <cell r="AA193">
            <v>5</v>
          </cell>
        </row>
        <row r="194">
          <cell r="A194" t="str">
            <v>Accrued interest on debt securities</v>
          </cell>
          <cell r="C194">
            <v>109</v>
          </cell>
          <cell r="D194">
            <v>81</v>
          </cell>
          <cell r="E194">
            <v>70</v>
          </cell>
          <cell r="F194">
            <v>123</v>
          </cell>
          <cell r="G194">
            <v>33</v>
          </cell>
          <cell r="H194">
            <v>81</v>
          </cell>
          <cell r="I194">
            <v>16</v>
          </cell>
          <cell r="J194">
            <v>12</v>
          </cell>
          <cell r="M194">
            <v>12</v>
          </cell>
          <cell r="P194">
            <v>0</v>
          </cell>
          <cell r="Q194">
            <v>0</v>
          </cell>
          <cell r="R194">
            <v>0</v>
          </cell>
          <cell r="S194">
            <v>0</v>
          </cell>
          <cell r="T194">
            <v>0</v>
          </cell>
          <cell r="U194">
            <v>0</v>
          </cell>
          <cell r="V194">
            <v>0</v>
          </cell>
          <cell r="W194">
            <v>0</v>
          </cell>
          <cell r="X194">
            <v>0</v>
          </cell>
          <cell r="Y194">
            <v>0</v>
          </cell>
          <cell r="Z194">
            <v>0</v>
          </cell>
          <cell r="AA194">
            <v>0</v>
          </cell>
        </row>
        <row r="195">
          <cell r="A195" t="str">
            <v>Total</v>
          </cell>
          <cell r="C195">
            <v>7809</v>
          </cell>
          <cell r="D195">
            <v>4612</v>
          </cell>
          <cell r="E195">
            <v>4140</v>
          </cell>
          <cell r="F195">
            <v>7841</v>
          </cell>
          <cell r="G195">
            <v>4079</v>
          </cell>
          <cell r="H195">
            <v>14555</v>
          </cell>
          <cell r="I195">
            <v>2815</v>
          </cell>
          <cell r="J195">
            <v>1366</v>
          </cell>
          <cell r="M195">
            <v>2567</v>
          </cell>
          <cell r="P195">
            <v>2535</v>
          </cell>
          <cell r="Q195">
            <v>2535</v>
          </cell>
          <cell r="R195">
            <v>2535</v>
          </cell>
          <cell r="S195">
            <v>2535</v>
          </cell>
          <cell r="T195">
            <v>2535</v>
          </cell>
          <cell r="U195">
            <v>2535</v>
          </cell>
          <cell r="V195">
            <v>2535</v>
          </cell>
          <cell r="W195">
            <v>2535</v>
          </cell>
          <cell r="X195">
            <v>2535</v>
          </cell>
          <cell r="Y195">
            <v>2535</v>
          </cell>
          <cell r="Z195">
            <v>2535</v>
          </cell>
          <cell r="AA195">
            <v>2535</v>
          </cell>
        </row>
        <row r="198">
          <cell r="A198" t="str">
            <v>Short Term Debt Interest Rate</v>
          </cell>
          <cell r="C198">
            <v>2.5000000000000001E-2</v>
          </cell>
          <cell r="D198">
            <v>0.03</v>
          </cell>
          <cell r="E198">
            <v>0.03</v>
          </cell>
          <cell r="F198">
            <v>0.02</v>
          </cell>
          <cell r="G198">
            <v>2.5000000000000001E-2</v>
          </cell>
          <cell r="H198">
            <v>2.3E-2</v>
          </cell>
          <cell r="I198">
            <v>0.02</v>
          </cell>
          <cell r="J198">
            <v>0.02</v>
          </cell>
          <cell r="M198">
            <v>0.03</v>
          </cell>
          <cell r="P198">
            <v>0.03</v>
          </cell>
          <cell r="Q198">
            <v>0.03</v>
          </cell>
          <cell r="R198">
            <v>0.03</v>
          </cell>
          <cell r="S198">
            <v>0.03</v>
          </cell>
          <cell r="T198">
            <v>0.03</v>
          </cell>
          <cell r="U198">
            <v>0.03</v>
          </cell>
          <cell r="V198">
            <v>0.03</v>
          </cell>
          <cell r="W198">
            <v>0.03</v>
          </cell>
          <cell r="X198">
            <v>0.03</v>
          </cell>
          <cell r="Y198">
            <v>0.03</v>
          </cell>
          <cell r="Z198">
            <v>0.03</v>
          </cell>
          <cell r="AA198">
            <v>0.03</v>
          </cell>
        </row>
        <row r="199">
          <cell r="A199" t="str">
            <v>Long Term Debt Interest Rate</v>
          </cell>
          <cell r="C199">
            <v>0.05</v>
          </cell>
          <cell r="D199">
            <v>0.05</v>
          </cell>
          <cell r="E199">
            <v>0.05</v>
          </cell>
          <cell r="F199">
            <v>0.05</v>
          </cell>
          <cell r="G199">
            <v>0.05</v>
          </cell>
          <cell r="H199">
            <v>4.2500000000000003E-2</v>
          </cell>
          <cell r="I199">
            <v>3.1E-2</v>
          </cell>
          <cell r="J199">
            <v>0.03</v>
          </cell>
          <cell r="M199">
            <v>3.6999999999999998E-2</v>
          </cell>
          <cell r="P199">
            <v>3.6999999999999998E-2</v>
          </cell>
          <cell r="Q199">
            <v>3.6999999999999998E-2</v>
          </cell>
          <cell r="R199">
            <v>3.6999999999999998E-2</v>
          </cell>
          <cell r="S199">
            <v>3.6999999999999998E-2</v>
          </cell>
          <cell r="T199">
            <v>3.6999999999999998E-2</v>
          </cell>
          <cell r="U199">
            <v>3.6999999999999998E-2</v>
          </cell>
          <cell r="V199">
            <v>3.6999999999999998E-2</v>
          </cell>
          <cell r="W199">
            <v>3.6999999999999998E-2</v>
          </cell>
          <cell r="X199">
            <v>3.6999999999999998E-2</v>
          </cell>
          <cell r="Y199">
            <v>3.6999999999999998E-2</v>
          </cell>
          <cell r="Z199">
            <v>3.6999999999999998E-2</v>
          </cell>
          <cell r="AA199">
            <v>3.6999999999999998E-2</v>
          </cell>
        </row>
        <row r="200">
          <cell r="A200" t="str">
            <v>Cash Interest Received</v>
          </cell>
          <cell r="C200">
            <v>3.2500000000000001E-2</v>
          </cell>
          <cell r="D200">
            <v>3.3000000000000002E-2</v>
          </cell>
          <cell r="E200">
            <v>0.03</v>
          </cell>
          <cell r="F200">
            <v>0.04</v>
          </cell>
          <cell r="G200">
            <v>0.05</v>
          </cell>
          <cell r="H200">
            <v>0.02</v>
          </cell>
          <cell r="I200">
            <v>3.0000000000000001E-3</v>
          </cell>
          <cell r="J200">
            <v>3.0000000000000001E-3</v>
          </cell>
          <cell r="M200">
            <v>5.0000000000000001E-3</v>
          </cell>
          <cell r="P200">
            <v>5.0000000000000001E-3</v>
          </cell>
          <cell r="Q200">
            <v>5.0000000000000001E-3</v>
          </cell>
          <cell r="R200">
            <v>5.0000000000000001E-3</v>
          </cell>
          <cell r="S200">
            <v>5.0000000000000001E-3</v>
          </cell>
          <cell r="T200">
            <v>5.0000000000000001E-3</v>
          </cell>
          <cell r="U200">
            <v>5.0000000000000001E-3</v>
          </cell>
          <cell r="V200">
            <v>5.0000000000000001E-3</v>
          </cell>
          <cell r="W200">
            <v>5.0000000000000001E-3</v>
          </cell>
          <cell r="X200">
            <v>5.0000000000000001E-3</v>
          </cell>
          <cell r="Y200">
            <v>5.0000000000000001E-3</v>
          </cell>
          <cell r="Z200">
            <v>5.0000000000000001E-3</v>
          </cell>
          <cell r="AA200">
            <v>5.0000000000000001E-3</v>
          </cell>
        </row>
        <row r="201">
          <cell r="A201" t="str">
            <v>Interest yield on Debt Securities</v>
          </cell>
          <cell r="C201">
            <v>3.5000000000000003E-2</v>
          </cell>
          <cell r="D201">
            <v>3.7499999999999999E-2</v>
          </cell>
          <cell r="E201">
            <v>3.7499999999999999E-2</v>
          </cell>
          <cell r="F201">
            <v>3.7499999999999999E-2</v>
          </cell>
          <cell r="G201">
            <v>0.05</v>
          </cell>
          <cell r="H201">
            <v>0.03</v>
          </cell>
          <cell r="I201">
            <v>0.04</v>
          </cell>
          <cell r="J201">
            <v>0.02</v>
          </cell>
          <cell r="M201">
            <v>2.4E-2</v>
          </cell>
          <cell r="P201">
            <v>2.4E-2</v>
          </cell>
          <cell r="Q201">
            <v>2.4E-2</v>
          </cell>
          <cell r="R201">
            <v>2.4E-2</v>
          </cell>
          <cell r="S201">
            <v>2.4E-2</v>
          </cell>
          <cell r="T201">
            <v>2.4E-2</v>
          </cell>
          <cell r="U201">
            <v>2.4E-2</v>
          </cell>
          <cell r="V201">
            <v>2.4E-2</v>
          </cell>
          <cell r="W201">
            <v>2.4E-2</v>
          </cell>
          <cell r="X201">
            <v>2.4E-2</v>
          </cell>
          <cell r="Y201">
            <v>2.4E-2</v>
          </cell>
          <cell r="Z201">
            <v>2.4E-2</v>
          </cell>
          <cell r="AA201">
            <v>2.4E-2</v>
          </cell>
        </row>
        <row r="202">
          <cell r="A202" t="str">
            <v>Div Yield on Equity Securities</v>
          </cell>
          <cell r="C202">
            <v>0.02</v>
          </cell>
          <cell r="D202">
            <v>0.03</v>
          </cell>
          <cell r="E202">
            <v>0.03</v>
          </cell>
          <cell r="F202">
            <v>0.03</v>
          </cell>
          <cell r="G202">
            <v>0.03</v>
          </cell>
          <cell r="H202">
            <v>0.02</v>
          </cell>
          <cell r="I202">
            <v>0.03</v>
          </cell>
          <cell r="J202">
            <v>0.03</v>
          </cell>
          <cell r="M202">
            <v>0.03</v>
          </cell>
          <cell r="P202">
            <v>0.02</v>
          </cell>
          <cell r="Q202">
            <v>0.02</v>
          </cell>
          <cell r="R202">
            <v>0.02</v>
          </cell>
          <cell r="S202">
            <v>0.02</v>
          </cell>
          <cell r="T202">
            <v>0.02</v>
          </cell>
          <cell r="U202">
            <v>0.02</v>
          </cell>
          <cell r="V202">
            <v>0.02</v>
          </cell>
          <cell r="W202">
            <v>0.02</v>
          </cell>
          <cell r="X202">
            <v>0.02</v>
          </cell>
          <cell r="Y202">
            <v>0.02</v>
          </cell>
          <cell r="Z202">
            <v>0.02</v>
          </cell>
          <cell r="AA202">
            <v>0.02</v>
          </cell>
        </row>
        <row r="204">
          <cell r="A204" t="str">
            <v>Interest income</v>
          </cell>
          <cell r="C204">
            <v>388</v>
          </cell>
          <cell r="D204">
            <v>405</v>
          </cell>
          <cell r="E204">
            <v>367</v>
          </cell>
          <cell r="F204">
            <v>423</v>
          </cell>
          <cell r="G204">
            <v>306</v>
          </cell>
          <cell r="H204">
            <v>156</v>
          </cell>
          <cell r="I204">
            <v>103</v>
          </cell>
          <cell r="J204">
            <v>62</v>
          </cell>
          <cell r="M204">
            <v>50</v>
          </cell>
          <cell r="P204">
            <v>34</v>
          </cell>
          <cell r="Q204">
            <v>44.065787411540128</v>
          </cell>
          <cell r="R204">
            <v>49.387915082003261</v>
          </cell>
          <cell r="S204">
            <v>56.962665546474213</v>
          </cell>
          <cell r="T204">
            <v>69.27688459567662</v>
          </cell>
          <cell r="U204">
            <v>88.925113022864309</v>
          </cell>
          <cell r="V204">
            <v>111.09237347017009</v>
          </cell>
          <cell r="W204">
            <v>130.30143278228215</v>
          </cell>
          <cell r="X204">
            <v>147.60915535932176</v>
          </cell>
          <cell r="Y204">
            <v>162.68656295098856</v>
          </cell>
          <cell r="Z204">
            <v>174.95411974845757</v>
          </cell>
          <cell r="AA204">
            <v>186.78078768668283</v>
          </cell>
        </row>
        <row r="205">
          <cell r="A205" t="str">
            <v>Dividend income</v>
          </cell>
          <cell r="C205">
            <v>12</v>
          </cell>
          <cell r="D205">
            <v>3</v>
          </cell>
          <cell r="E205">
            <v>8</v>
          </cell>
          <cell r="F205">
            <v>10</v>
          </cell>
          <cell r="G205">
            <v>9</v>
          </cell>
          <cell r="H205">
            <v>3</v>
          </cell>
          <cell r="I205">
            <v>3</v>
          </cell>
          <cell r="J205">
            <v>1</v>
          </cell>
          <cell r="M205">
            <v>1</v>
          </cell>
          <cell r="P205">
            <v>1</v>
          </cell>
          <cell r="Q205">
            <v>0.94000000000000006</v>
          </cell>
          <cell r="R205">
            <v>0.94000000000000006</v>
          </cell>
          <cell r="S205">
            <v>0.94000000000000006</v>
          </cell>
          <cell r="T205">
            <v>0.94000000000000006</v>
          </cell>
          <cell r="U205">
            <v>0.94000000000000006</v>
          </cell>
          <cell r="V205">
            <v>0.94000000000000006</v>
          </cell>
          <cell r="W205">
            <v>0.94000000000000006</v>
          </cell>
          <cell r="X205">
            <v>0.94000000000000006</v>
          </cell>
          <cell r="Y205">
            <v>0.94000000000000006</v>
          </cell>
          <cell r="Z205">
            <v>0.94000000000000006</v>
          </cell>
          <cell r="AA205">
            <v>0.94000000000000006</v>
          </cell>
        </row>
        <row r="206">
          <cell r="A206" t="str">
            <v>Captial gains</v>
          </cell>
          <cell r="C206">
            <v>123</v>
          </cell>
          <cell r="D206">
            <v>94</v>
          </cell>
          <cell r="E206">
            <v>282</v>
          </cell>
          <cell r="F206">
            <v>374</v>
          </cell>
          <cell r="G206">
            <v>102</v>
          </cell>
          <cell r="H206">
            <v>110</v>
          </cell>
          <cell r="I206">
            <v>0</v>
          </cell>
          <cell r="J206">
            <v>-122</v>
          </cell>
          <cell r="M206">
            <v>41</v>
          </cell>
          <cell r="P206">
            <v>27</v>
          </cell>
          <cell r="Q206">
            <v>0</v>
          </cell>
          <cell r="R206">
            <v>0</v>
          </cell>
          <cell r="S206">
            <v>0</v>
          </cell>
          <cell r="T206">
            <v>0</v>
          </cell>
          <cell r="U206">
            <v>0</v>
          </cell>
          <cell r="V206">
            <v>0</v>
          </cell>
          <cell r="W206">
            <v>0</v>
          </cell>
          <cell r="X206">
            <v>0</v>
          </cell>
          <cell r="Y206">
            <v>0</v>
          </cell>
          <cell r="Z206">
            <v>0</v>
          </cell>
          <cell r="AA206">
            <v>0</v>
          </cell>
        </row>
        <row r="207">
          <cell r="A207" t="str">
            <v>Income on options &amp; forward contracts</v>
          </cell>
          <cell r="C207">
            <v>306</v>
          </cell>
          <cell r="D207">
            <v>83</v>
          </cell>
          <cell r="E207">
            <v>48</v>
          </cell>
          <cell r="F207">
            <v>0</v>
          </cell>
          <cell r="G207">
            <v>28</v>
          </cell>
          <cell r="H207">
            <v>97</v>
          </cell>
          <cell r="I207">
            <v>66</v>
          </cell>
          <cell r="J207">
            <v>125</v>
          </cell>
          <cell r="M207">
            <v>-43</v>
          </cell>
          <cell r="P207">
            <v>0</v>
          </cell>
          <cell r="Q207">
            <v>0</v>
          </cell>
          <cell r="R207">
            <v>0</v>
          </cell>
          <cell r="S207">
            <v>0</v>
          </cell>
          <cell r="T207">
            <v>0</v>
          </cell>
          <cell r="U207">
            <v>0</v>
          </cell>
          <cell r="V207">
            <v>0</v>
          </cell>
          <cell r="W207">
            <v>0</v>
          </cell>
          <cell r="X207">
            <v>0</v>
          </cell>
          <cell r="Y207">
            <v>0</v>
          </cell>
          <cell r="Z207">
            <v>0</v>
          </cell>
          <cell r="AA207">
            <v>0</v>
          </cell>
        </row>
        <row r="208">
          <cell r="A208" t="str">
            <v>Other</v>
          </cell>
          <cell r="C208">
            <v>7</v>
          </cell>
          <cell r="D208">
            <v>0</v>
          </cell>
          <cell r="E208">
            <v>0</v>
          </cell>
          <cell r="F208">
            <v>0</v>
          </cell>
          <cell r="G208">
            <v>0</v>
          </cell>
          <cell r="H208">
            <v>0</v>
          </cell>
          <cell r="I208">
            <v>0</v>
          </cell>
          <cell r="J208">
            <v>0</v>
          </cell>
          <cell r="M208">
            <v>0</v>
          </cell>
          <cell r="P208">
            <v>0</v>
          </cell>
          <cell r="Q208">
            <v>0</v>
          </cell>
          <cell r="R208">
            <v>0</v>
          </cell>
          <cell r="S208">
            <v>0</v>
          </cell>
          <cell r="T208">
            <v>0</v>
          </cell>
          <cell r="U208">
            <v>0</v>
          </cell>
          <cell r="V208">
            <v>0</v>
          </cell>
          <cell r="W208">
            <v>0</v>
          </cell>
          <cell r="X208">
            <v>0</v>
          </cell>
          <cell r="Y208">
            <v>0</v>
          </cell>
          <cell r="Z208">
            <v>0</v>
          </cell>
          <cell r="AA208">
            <v>0</v>
          </cell>
        </row>
        <row r="209">
          <cell r="A209" t="str">
            <v>Interest expense</v>
          </cell>
          <cell r="C209">
            <v>-261</v>
          </cell>
          <cell r="D209">
            <v>-294</v>
          </cell>
          <cell r="E209">
            <v>-266</v>
          </cell>
          <cell r="F209">
            <v>-237</v>
          </cell>
          <cell r="G209">
            <v>-234</v>
          </cell>
          <cell r="H209">
            <v>-442</v>
          </cell>
          <cell r="I209">
            <v>-615</v>
          </cell>
          <cell r="J209">
            <v>-699</v>
          </cell>
          <cell r="M209">
            <v>-655</v>
          </cell>
          <cell r="P209">
            <v>-664</v>
          </cell>
          <cell r="Q209">
            <v>-619.23400000000004</v>
          </cell>
          <cell r="R209">
            <v>-619.23400000000004</v>
          </cell>
          <cell r="S209">
            <v>-619.23400000000004</v>
          </cell>
          <cell r="T209">
            <v>-619.23400000000004</v>
          </cell>
          <cell r="U209">
            <v>-619.23400000000004</v>
          </cell>
          <cell r="V209">
            <v>-619.23400000000004</v>
          </cell>
          <cell r="W209">
            <v>-619.23400000000004</v>
          </cell>
          <cell r="X209">
            <v>-619.23400000000004</v>
          </cell>
          <cell r="Y209">
            <v>-619.23400000000004</v>
          </cell>
          <cell r="Z209">
            <v>-619.23400000000004</v>
          </cell>
          <cell r="AA209">
            <v>-619.23400000000004</v>
          </cell>
        </row>
        <row r="210">
          <cell r="A210" t="str">
            <v>Capital losses</v>
          </cell>
          <cell r="C210">
            <v>0</v>
          </cell>
          <cell r="D210">
            <v>0</v>
          </cell>
          <cell r="E210">
            <v>0</v>
          </cell>
          <cell r="F210">
            <v>0</v>
          </cell>
          <cell r="G210">
            <v>0</v>
          </cell>
          <cell r="H210">
            <v>0</v>
          </cell>
          <cell r="I210">
            <v>0</v>
          </cell>
          <cell r="J210">
            <v>-52</v>
          </cell>
          <cell r="M210">
            <v>-69</v>
          </cell>
          <cell r="P210">
            <v>-19</v>
          </cell>
          <cell r="Q210">
            <v>-50</v>
          </cell>
          <cell r="R210">
            <v>-50</v>
          </cell>
          <cell r="S210">
            <v>-50</v>
          </cell>
          <cell r="T210">
            <v>-50</v>
          </cell>
          <cell r="U210">
            <v>-50</v>
          </cell>
          <cell r="V210">
            <v>-50</v>
          </cell>
          <cell r="W210">
            <v>-50</v>
          </cell>
          <cell r="X210">
            <v>-50</v>
          </cell>
          <cell r="Y210">
            <v>-50</v>
          </cell>
          <cell r="Z210">
            <v>-50</v>
          </cell>
          <cell r="AA210">
            <v>-50</v>
          </cell>
        </row>
        <row r="211">
          <cell r="A211" t="str">
            <v>Impairment of marketable securities</v>
          </cell>
          <cell r="C211">
            <v>-66</v>
          </cell>
          <cell r="D211">
            <v>-49</v>
          </cell>
          <cell r="E211">
            <v>-25</v>
          </cell>
          <cell r="F211">
            <v>-86</v>
          </cell>
          <cell r="G211">
            <v>-169</v>
          </cell>
          <cell r="H211">
            <v>-20</v>
          </cell>
          <cell r="I211">
            <v>-4</v>
          </cell>
          <cell r="J211">
            <v>-3</v>
          </cell>
          <cell r="P211">
            <v>0</v>
          </cell>
        </row>
        <row r="212">
          <cell r="A212" t="str">
            <v>Expenses on options &amp; forward contracts</v>
          </cell>
          <cell r="C212">
            <v>-332</v>
          </cell>
          <cell r="D212">
            <v>-144</v>
          </cell>
          <cell r="E212">
            <v>-316</v>
          </cell>
          <cell r="F212">
            <v>-292</v>
          </cell>
          <cell r="G212">
            <v>0</v>
          </cell>
          <cell r="H212">
            <v>-85</v>
          </cell>
          <cell r="I212">
            <v>-38</v>
          </cell>
          <cell r="P212">
            <v>0</v>
          </cell>
          <cell r="Q212">
            <v>0</v>
          </cell>
          <cell r="R212">
            <v>0</v>
          </cell>
          <cell r="S212">
            <v>0</v>
          </cell>
          <cell r="T212">
            <v>0</v>
          </cell>
          <cell r="U212">
            <v>0</v>
          </cell>
          <cell r="V212">
            <v>0</v>
          </cell>
          <cell r="W212">
            <v>0</v>
          </cell>
          <cell r="X212">
            <v>0</v>
          </cell>
          <cell r="Y212">
            <v>0</v>
          </cell>
          <cell r="Z212">
            <v>0</v>
          </cell>
          <cell r="AA212">
            <v>0</v>
          </cell>
        </row>
        <row r="213">
          <cell r="A213" t="str">
            <v>Other financial expense</v>
          </cell>
          <cell r="C213">
            <v>-46</v>
          </cell>
          <cell r="D213">
            <v>-46</v>
          </cell>
          <cell r="E213">
            <v>-48</v>
          </cell>
          <cell r="F213">
            <v>-56</v>
          </cell>
          <cell r="G213">
            <v>-48</v>
          </cell>
          <cell r="H213">
            <v>-23</v>
          </cell>
          <cell r="I213">
            <v>-116</v>
          </cell>
          <cell r="J213">
            <v>-38</v>
          </cell>
          <cell r="M213">
            <v>-39</v>
          </cell>
          <cell r="P213">
            <v>-52</v>
          </cell>
          <cell r="Q213">
            <v>-52</v>
          </cell>
          <cell r="R213">
            <v>-52</v>
          </cell>
          <cell r="S213">
            <v>-52</v>
          </cell>
          <cell r="T213">
            <v>-52</v>
          </cell>
          <cell r="U213">
            <v>-52</v>
          </cell>
          <cell r="V213">
            <v>-52</v>
          </cell>
          <cell r="W213">
            <v>-52</v>
          </cell>
          <cell r="X213">
            <v>-52</v>
          </cell>
          <cell r="Y213">
            <v>-52</v>
          </cell>
          <cell r="Z213">
            <v>-52</v>
          </cell>
          <cell r="AA213">
            <v>-52</v>
          </cell>
        </row>
        <row r="214">
          <cell r="A214" t="str">
            <v>Currency Gains/(Losses)/Adjustments</v>
          </cell>
          <cell r="C214">
            <v>96</v>
          </cell>
          <cell r="D214">
            <v>115</v>
          </cell>
          <cell r="E214">
            <v>38</v>
          </cell>
          <cell r="F214">
            <v>158</v>
          </cell>
          <cell r="G214">
            <v>156</v>
          </cell>
          <cell r="H214">
            <v>-40</v>
          </cell>
          <cell r="I214">
            <v>-27</v>
          </cell>
          <cell r="J214">
            <v>-27</v>
          </cell>
          <cell r="M214">
            <v>-106</v>
          </cell>
          <cell r="P214">
            <v>-90</v>
          </cell>
          <cell r="Q214">
            <v>0</v>
          </cell>
          <cell r="R214">
            <v>0</v>
          </cell>
          <cell r="S214">
            <v>0</v>
          </cell>
          <cell r="T214">
            <v>0</v>
          </cell>
          <cell r="U214">
            <v>0</v>
          </cell>
          <cell r="V214">
            <v>0</v>
          </cell>
          <cell r="W214">
            <v>0</v>
          </cell>
          <cell r="X214">
            <v>0</v>
          </cell>
          <cell r="Y214">
            <v>0</v>
          </cell>
          <cell r="Z214">
            <v>0</v>
          </cell>
          <cell r="AA214">
            <v>0</v>
          </cell>
        </row>
        <row r="215">
          <cell r="A215" t="str">
            <v>Interest Income</v>
          </cell>
          <cell r="C215">
            <v>388</v>
          </cell>
          <cell r="D215">
            <v>405</v>
          </cell>
          <cell r="E215">
            <v>367</v>
          </cell>
          <cell r="F215">
            <v>423</v>
          </cell>
          <cell r="G215">
            <v>306</v>
          </cell>
          <cell r="H215">
            <v>156</v>
          </cell>
          <cell r="I215">
            <v>103</v>
          </cell>
          <cell r="J215">
            <v>62</v>
          </cell>
          <cell r="K215">
            <v>0</v>
          </cell>
          <cell r="L215">
            <v>0</v>
          </cell>
          <cell r="M215">
            <v>50</v>
          </cell>
          <cell r="P215">
            <v>34</v>
          </cell>
          <cell r="Q215">
            <v>44.065787411540128</v>
          </cell>
          <cell r="R215">
            <v>49.387915082003261</v>
          </cell>
          <cell r="S215">
            <v>56.962665546474213</v>
          </cell>
          <cell r="T215">
            <v>69.27688459567662</v>
          </cell>
          <cell r="U215">
            <v>88.925113022864309</v>
          </cell>
          <cell r="V215">
            <v>111.09237347017009</v>
          </cell>
          <cell r="W215">
            <v>130.30143278228215</v>
          </cell>
          <cell r="X215">
            <v>147.60915535932176</v>
          </cell>
          <cell r="Y215">
            <v>162.68656295098856</v>
          </cell>
          <cell r="Z215">
            <v>174.95411974845757</v>
          </cell>
          <cell r="AA215">
            <v>186.78078768668283</v>
          </cell>
        </row>
        <row r="216">
          <cell r="A216" t="str">
            <v>Financial Income</v>
          </cell>
          <cell r="C216">
            <v>836</v>
          </cell>
          <cell r="D216">
            <v>585</v>
          </cell>
          <cell r="E216">
            <v>705</v>
          </cell>
          <cell r="F216">
            <v>807</v>
          </cell>
          <cell r="G216">
            <v>445</v>
          </cell>
          <cell r="H216">
            <v>366</v>
          </cell>
          <cell r="I216">
            <v>172</v>
          </cell>
          <cell r="J216">
            <v>66</v>
          </cell>
          <cell r="K216">
            <v>0</v>
          </cell>
          <cell r="L216">
            <v>0</v>
          </cell>
          <cell r="M216">
            <v>49</v>
          </cell>
          <cell r="P216">
            <v>62</v>
          </cell>
          <cell r="Q216">
            <v>45.005787411540126</v>
          </cell>
          <cell r="R216">
            <v>50.327915082003258</v>
          </cell>
          <cell r="S216">
            <v>57.902665546474211</v>
          </cell>
          <cell r="T216">
            <v>70.216884595676618</v>
          </cell>
          <cell r="U216">
            <v>89.865113022864307</v>
          </cell>
          <cell r="V216">
            <v>112.03237347017009</v>
          </cell>
          <cell r="W216">
            <v>131.24143278228215</v>
          </cell>
          <cell r="X216">
            <v>148.54915535932176</v>
          </cell>
          <cell r="Y216">
            <v>163.62656295098856</v>
          </cell>
          <cell r="Z216">
            <v>175.89411974845757</v>
          </cell>
          <cell r="AA216">
            <v>187.72078768668283</v>
          </cell>
        </row>
        <row r="217">
          <cell r="A217" t="str">
            <v>Financial Expense</v>
          </cell>
          <cell r="C217">
            <v>-705</v>
          </cell>
          <cell r="D217">
            <v>-533</v>
          </cell>
          <cell r="E217">
            <v>-655</v>
          </cell>
          <cell r="F217">
            <v>-671</v>
          </cell>
          <cell r="G217">
            <v>-451</v>
          </cell>
          <cell r="H217">
            <v>-570</v>
          </cell>
          <cell r="I217">
            <v>-773</v>
          </cell>
          <cell r="J217">
            <v>-792</v>
          </cell>
          <cell r="K217">
            <v>0</v>
          </cell>
          <cell r="L217">
            <v>0</v>
          </cell>
          <cell r="M217">
            <v>-763</v>
          </cell>
          <cell r="P217">
            <v>-735</v>
          </cell>
          <cell r="Q217">
            <v>-721.23400000000004</v>
          </cell>
          <cell r="R217">
            <v>-721.23400000000004</v>
          </cell>
          <cell r="S217">
            <v>-721.23400000000004</v>
          </cell>
          <cell r="T217">
            <v>-721.23400000000004</v>
          </cell>
          <cell r="U217">
            <v>-721.23400000000004</v>
          </cell>
          <cell r="V217">
            <v>-721.23400000000004</v>
          </cell>
          <cell r="W217">
            <v>-721.23400000000004</v>
          </cell>
          <cell r="X217">
            <v>-721.23400000000004</v>
          </cell>
          <cell r="Y217">
            <v>-721.23400000000004</v>
          </cell>
          <cell r="Z217">
            <v>-721.23400000000004</v>
          </cell>
          <cell r="AA217">
            <v>-721.23400000000004</v>
          </cell>
        </row>
        <row r="218">
          <cell r="A218" t="str">
            <v>Net Financial Income (Expense)</v>
          </cell>
          <cell r="C218">
            <v>615</v>
          </cell>
          <cell r="D218">
            <v>572</v>
          </cell>
          <cell r="E218">
            <v>455</v>
          </cell>
          <cell r="F218">
            <v>717</v>
          </cell>
          <cell r="G218">
            <v>456</v>
          </cell>
          <cell r="H218">
            <v>-88</v>
          </cell>
          <cell r="I218">
            <v>-525</v>
          </cell>
          <cell r="J218">
            <v>-664</v>
          </cell>
          <cell r="K218">
            <v>0</v>
          </cell>
          <cell r="L218">
            <v>0</v>
          </cell>
          <cell r="M218">
            <v>-664</v>
          </cell>
          <cell r="P218">
            <v>-639</v>
          </cell>
          <cell r="Q218">
            <v>-632.16242517691978</v>
          </cell>
          <cell r="R218">
            <v>-621.51816983599349</v>
          </cell>
          <cell r="S218">
            <v>-606.36866890705164</v>
          </cell>
          <cell r="T218">
            <v>-581.74023080864686</v>
          </cell>
          <cell r="U218">
            <v>-542.44377395427136</v>
          </cell>
          <cell r="V218">
            <v>-498.10925305965986</v>
          </cell>
          <cell r="W218">
            <v>-459.69113443543574</v>
          </cell>
          <cell r="X218">
            <v>-425.07568928135652</v>
          </cell>
          <cell r="Y218">
            <v>-394.92087409802292</v>
          </cell>
          <cell r="Z218">
            <v>-370.3857605030849</v>
          </cell>
          <cell r="AA218">
            <v>-346.73242462663438</v>
          </cell>
        </row>
        <row r="219">
          <cell r="A219" t="str">
            <v>Interest Income</v>
          </cell>
          <cell r="C219">
            <v>388</v>
          </cell>
          <cell r="D219">
            <v>405</v>
          </cell>
          <cell r="E219">
            <v>367</v>
          </cell>
          <cell r="F219">
            <v>423</v>
          </cell>
          <cell r="G219">
            <v>306</v>
          </cell>
          <cell r="H219">
            <v>156</v>
          </cell>
          <cell r="I219">
            <v>103</v>
          </cell>
          <cell r="J219">
            <v>62</v>
          </cell>
          <cell r="M219">
            <v>50</v>
          </cell>
          <cell r="P219">
            <v>47.889499999999998</v>
          </cell>
          <cell r="Q219">
            <v>44.031606118883822</v>
          </cell>
          <cell r="R219">
            <v>49.00658512517677</v>
          </cell>
          <cell r="S219">
            <v>55.941297645978246</v>
          </cell>
          <cell r="T219">
            <v>67.582654397755263</v>
          </cell>
          <cell r="U219">
            <v>86.501258031894977</v>
          </cell>
          <cell r="V219">
            <v>107.84474193346153</v>
          </cell>
          <cell r="W219">
            <v>126.11980408286807</v>
          </cell>
          <cell r="X219">
            <v>142.3824760103314</v>
          </cell>
          <cell r="Y219">
            <v>156.29602471324765</v>
          </cell>
          <cell r="Z219">
            <v>167.28561611713673</v>
          </cell>
          <cell r="AA219">
            <v>177.71939070799485</v>
          </cell>
          <cell r="AB219" t="str">
            <v>Paste this line separately-links to cash flow</v>
          </cell>
        </row>
        <row r="220">
          <cell r="A220" t="str">
            <v>Financial Income</v>
          </cell>
          <cell r="C220">
            <v>836</v>
          </cell>
          <cell r="D220">
            <v>585</v>
          </cell>
          <cell r="E220">
            <v>705</v>
          </cell>
          <cell r="F220">
            <v>807</v>
          </cell>
          <cell r="G220">
            <v>445</v>
          </cell>
          <cell r="H220">
            <v>366</v>
          </cell>
          <cell r="I220">
            <v>69</v>
          </cell>
          <cell r="J220">
            <v>-64</v>
          </cell>
          <cell r="M220">
            <v>49</v>
          </cell>
          <cell r="P220">
            <v>49.039499999999997</v>
          </cell>
          <cell r="Q220">
            <v>44.97160611888382</v>
          </cell>
          <cell r="R220">
            <v>49.946585125176767</v>
          </cell>
          <cell r="S220">
            <v>56.881297645978243</v>
          </cell>
          <cell r="T220">
            <v>68.522654397755261</v>
          </cell>
          <cell r="U220">
            <v>87.441258031894975</v>
          </cell>
          <cell r="V220">
            <v>108.78474193346153</v>
          </cell>
          <cell r="W220">
            <v>127.05980408286807</v>
          </cell>
          <cell r="X220">
            <v>143.3224760103314</v>
          </cell>
          <cell r="Y220">
            <v>157.23602471324764</v>
          </cell>
          <cell r="Z220">
            <v>168.22561611713672</v>
          </cell>
          <cell r="AA220">
            <v>178.65939070799485</v>
          </cell>
          <cell r="AB220" t="str">
            <v>Feeds P&amp;L</v>
          </cell>
        </row>
        <row r="221">
          <cell r="A221" t="str">
            <v>Financial Expense</v>
          </cell>
          <cell r="C221">
            <v>-705</v>
          </cell>
          <cell r="D221">
            <v>-533</v>
          </cell>
          <cell r="E221">
            <v>-655</v>
          </cell>
          <cell r="F221">
            <v>-671</v>
          </cell>
          <cell r="G221">
            <v>-451</v>
          </cell>
          <cell r="H221">
            <v>-570</v>
          </cell>
          <cell r="I221">
            <v>-773</v>
          </cell>
          <cell r="J221">
            <v>-751</v>
          </cell>
          <cell r="M221">
            <v>-763</v>
          </cell>
          <cell r="P221">
            <v>-742.7405</v>
          </cell>
          <cell r="Q221">
            <v>-721.23400000000004</v>
          </cell>
          <cell r="R221">
            <v>-721.23400000000004</v>
          </cell>
          <cell r="S221">
            <v>-721.23400000000004</v>
          </cell>
          <cell r="T221">
            <v>-721.23400000000004</v>
          </cell>
          <cell r="U221">
            <v>-721.23400000000004</v>
          </cell>
          <cell r="V221">
            <v>-721.23400000000004</v>
          </cell>
          <cell r="W221">
            <v>-721.23400000000004</v>
          </cell>
          <cell r="X221">
            <v>-721.23400000000004</v>
          </cell>
          <cell r="Y221">
            <v>-721.23400000000004</v>
          </cell>
          <cell r="Z221">
            <v>-721.23400000000004</v>
          </cell>
          <cell r="AA221">
            <v>-721.23400000000004</v>
          </cell>
          <cell r="AB221" t="str">
            <v>Feeds P&amp;L</v>
          </cell>
        </row>
        <row r="222">
          <cell r="A222" t="str">
            <v>Net Interest Income (Expense)</v>
          </cell>
          <cell r="C222">
            <v>615</v>
          </cell>
          <cell r="D222">
            <v>572</v>
          </cell>
          <cell r="E222">
            <v>455</v>
          </cell>
          <cell r="F222">
            <v>717</v>
          </cell>
          <cell r="G222">
            <v>456</v>
          </cell>
          <cell r="H222">
            <v>-88</v>
          </cell>
          <cell r="I222">
            <v>-628</v>
          </cell>
          <cell r="J222">
            <v>-753</v>
          </cell>
          <cell r="M222">
            <v>-664</v>
          </cell>
          <cell r="P222">
            <v>-645.81150000000002</v>
          </cell>
          <cell r="Q222">
            <v>-632.23078776223235</v>
          </cell>
          <cell r="R222">
            <v>-622.2808297496465</v>
          </cell>
          <cell r="S222">
            <v>-608.41140470804351</v>
          </cell>
          <cell r="T222">
            <v>-585.12869120448954</v>
          </cell>
          <cell r="U222">
            <v>-547.29148393621006</v>
          </cell>
          <cell r="V222">
            <v>-504.60451613307697</v>
          </cell>
          <cell r="W222">
            <v>-468.05439183426392</v>
          </cell>
          <cell r="X222">
            <v>-435.52904797933724</v>
          </cell>
          <cell r="Y222">
            <v>-407.70195057350475</v>
          </cell>
          <cell r="Z222">
            <v>-385.72276776572659</v>
          </cell>
          <cell r="AA222">
            <v>-364.85521858401034</v>
          </cell>
          <cell r="AB222" t="str">
            <v>Feeds P&amp;L</v>
          </cell>
        </row>
        <row r="224">
          <cell r="A224" t="str">
            <v>6) PENSIONS</v>
          </cell>
        </row>
        <row r="226">
          <cell r="A226" t="str">
            <v>7) SHARE REPURCHASE</v>
          </cell>
        </row>
        <row r="227">
          <cell r="A227" t="str">
            <v>Operating Cash Flow</v>
          </cell>
          <cell r="C227">
            <v>6509</v>
          </cell>
          <cell r="D227">
            <v>7975</v>
          </cell>
          <cell r="E227">
            <v>8304</v>
          </cell>
          <cell r="F227">
            <v>9210</v>
          </cell>
          <cell r="G227">
            <v>9769</v>
          </cell>
          <cell r="H227">
            <v>12191</v>
          </cell>
          <cell r="I227">
            <v>14067</v>
          </cell>
          <cell r="J227">
            <v>14309</v>
          </cell>
          <cell r="M227">
            <v>14194</v>
          </cell>
          <cell r="P227">
            <v>13174</v>
          </cell>
          <cell r="Q227">
            <v>13805.031515358269</v>
          </cell>
          <cell r="R227">
            <v>14050.284786807901</v>
          </cell>
          <cell r="S227">
            <v>13957.864148563051</v>
          </cell>
          <cell r="T227">
            <v>15377.752004193866</v>
          </cell>
          <cell r="U227">
            <v>16212.772342473578</v>
          </cell>
          <cell r="V227">
            <v>15700.930900091238</v>
          </cell>
          <cell r="W227">
            <v>15867.147725535564</v>
          </cell>
          <cell r="X227">
            <v>15837.961871209016</v>
          </cell>
          <cell r="Y227">
            <v>15878.762298176489</v>
          </cell>
          <cell r="Z227">
            <v>15694.939518655479</v>
          </cell>
          <cell r="AA227">
            <v>16673.900556153098</v>
          </cell>
          <cell r="AB227" t="str">
            <v>From CF</v>
          </cell>
        </row>
        <row r="228">
          <cell r="A228" t="str">
            <v>FCF</v>
          </cell>
          <cell r="C228">
            <v>5958</v>
          </cell>
          <cell r="D228">
            <v>8266</v>
          </cell>
          <cell r="E228">
            <v>3288</v>
          </cell>
          <cell r="F228">
            <v>4052</v>
          </cell>
          <cell r="G228">
            <v>-1641</v>
          </cell>
          <cell r="H228">
            <v>16045</v>
          </cell>
          <cell r="I228">
            <v>20150</v>
          </cell>
          <cell r="J228">
            <v>9170</v>
          </cell>
          <cell r="M228">
            <v>10607</v>
          </cell>
          <cell r="P228">
            <v>9975</v>
          </cell>
          <cell r="Q228">
            <v>10270.332944616051</v>
          </cell>
          <cell r="R228">
            <v>10441.095380662644</v>
          </cell>
          <cell r="S228">
            <v>10551.975416559595</v>
          </cell>
          <cell r="T228">
            <v>11863.861649874994</v>
          </cell>
          <cell r="U228">
            <v>12580.98762817125</v>
          </cell>
          <cell r="V228">
            <v>12044.5953628875</v>
          </cell>
          <cell r="W228">
            <v>12158.459347583226</v>
          </cell>
          <cell r="X228">
            <v>12111.032218139811</v>
          </cell>
          <cell r="Y228">
            <v>12134.603480179452</v>
          </cell>
          <cell r="Z228">
            <v>11897.725533543342</v>
          </cell>
          <cell r="AA228">
            <v>12914.413251218699</v>
          </cell>
        </row>
        <row r="229">
          <cell r="A229" t="str">
            <v>Cash used in Share repurchase</v>
          </cell>
          <cell r="C229">
            <v>1820</v>
          </cell>
          <cell r="D229">
            <v>231</v>
          </cell>
          <cell r="E229">
            <v>0</v>
          </cell>
          <cell r="F229">
            <v>1215.5999999999999</v>
          </cell>
          <cell r="G229">
            <v>0</v>
          </cell>
          <cell r="H229">
            <v>0</v>
          </cell>
          <cell r="I229">
            <v>311</v>
          </cell>
          <cell r="J229">
            <v>3628</v>
          </cell>
          <cell r="K229">
            <v>0</v>
          </cell>
          <cell r="L229">
            <v>0</v>
          </cell>
          <cell r="M229">
            <v>505</v>
          </cell>
          <cell r="N229">
            <v>748</v>
          </cell>
          <cell r="O229">
            <v>997</v>
          </cell>
          <cell r="P229">
            <v>2930</v>
          </cell>
          <cell r="Q229">
            <v>2500</v>
          </cell>
          <cell r="R229">
            <v>2500</v>
          </cell>
          <cell r="S229">
            <v>1500</v>
          </cell>
          <cell r="T229">
            <v>1500</v>
          </cell>
          <cell r="U229">
            <v>0</v>
          </cell>
          <cell r="V229">
            <v>0</v>
          </cell>
          <cell r="W229">
            <v>0</v>
          </cell>
          <cell r="X229">
            <v>0</v>
          </cell>
          <cell r="Y229">
            <v>0</v>
          </cell>
          <cell r="Z229">
            <v>0</v>
          </cell>
          <cell r="AA229">
            <v>0</v>
          </cell>
          <cell r="AB229" t="str">
            <v>Feed to Cash Flow</v>
          </cell>
        </row>
        <row r="230">
          <cell r="A230" t="str">
            <v>% of FCF used for repurchase</v>
          </cell>
          <cell r="C230">
            <v>0.30547163477677075</v>
          </cell>
          <cell r="D230">
            <v>2.794580208081297E-2</v>
          </cell>
          <cell r="E230">
            <v>0</v>
          </cell>
          <cell r="F230">
            <v>0.3</v>
          </cell>
          <cell r="G230">
            <v>0</v>
          </cell>
          <cell r="H230">
            <v>0</v>
          </cell>
          <cell r="I230">
            <v>0</v>
          </cell>
          <cell r="J230">
            <v>0.3</v>
          </cell>
          <cell r="M230">
            <v>4.7610068822475725E-2</v>
          </cell>
          <cell r="P230">
            <v>0.29373433583959901</v>
          </cell>
          <cell r="Q230">
            <v>0.24341956716316177</v>
          </cell>
          <cell r="R230">
            <v>0.23943847928351533</v>
          </cell>
          <cell r="S230">
            <v>0.14215347750393695</v>
          </cell>
          <cell r="T230">
            <v>0.12643438066523685</v>
          </cell>
          <cell r="U230">
            <v>0</v>
          </cell>
          <cell r="V230">
            <v>0</v>
          </cell>
          <cell r="W230">
            <v>0</v>
          </cell>
          <cell r="X230">
            <v>0</v>
          </cell>
          <cell r="Y230">
            <v>0</v>
          </cell>
          <cell r="Z230">
            <v>0</v>
          </cell>
          <cell r="AA230">
            <v>0</v>
          </cell>
        </row>
        <row r="231">
          <cell r="A231" t="str">
            <v>Average Stock Repurchase Price ($)</v>
          </cell>
          <cell r="C231">
            <v>42.401000000000003</v>
          </cell>
          <cell r="D231">
            <v>48</v>
          </cell>
          <cell r="E231">
            <v>54</v>
          </cell>
          <cell r="F231">
            <v>50</v>
          </cell>
          <cell r="G231">
            <v>55</v>
          </cell>
          <cell r="H231">
            <v>55</v>
          </cell>
          <cell r="I231">
            <v>37.023809523809526</v>
          </cell>
          <cell r="J231">
            <v>66.325411334552101</v>
          </cell>
          <cell r="M231">
            <v>57</v>
          </cell>
          <cell r="P231">
            <v>70</v>
          </cell>
          <cell r="Q231">
            <v>75.95</v>
          </cell>
          <cell r="R231">
            <v>82.405749999999998</v>
          </cell>
          <cell r="S231">
            <v>89.410238749999991</v>
          </cell>
          <cell r="T231">
            <v>97.010109043749992</v>
          </cell>
          <cell r="U231">
            <v>105.25596831246874</v>
          </cell>
          <cell r="V231">
            <v>114.20272561902858</v>
          </cell>
          <cell r="W231">
            <v>123.90995729664601</v>
          </cell>
          <cell r="X231">
            <v>258.35226096350692</v>
          </cell>
          <cell r="Y231">
            <v>538.66446410891194</v>
          </cell>
          <cell r="Z231">
            <v>1123.1154076670814</v>
          </cell>
          <cell r="AA231">
            <v>2341.6956249858645</v>
          </cell>
        </row>
        <row r="232">
          <cell r="A232" t="str">
            <v>Theoretical Cost of equity (%)</v>
          </cell>
          <cell r="C232">
            <v>8.5000000000000006E-2</v>
          </cell>
          <cell r="D232">
            <v>8.5000000000000006E-2</v>
          </cell>
          <cell r="E232">
            <v>8.5000000000000006E-2</v>
          </cell>
          <cell r="F232">
            <v>8.5000000000000006E-2</v>
          </cell>
          <cell r="G232">
            <v>8.5000000000000006E-2</v>
          </cell>
          <cell r="H232">
            <v>8.5000000000000006E-2</v>
          </cell>
          <cell r="I232">
            <v>8.5000000000000006E-2</v>
          </cell>
          <cell r="J232">
            <v>8.5000000000000006E-2</v>
          </cell>
          <cell r="M232">
            <v>8.5000000000000006E-2</v>
          </cell>
          <cell r="P232">
            <v>8.5000000000000006E-2</v>
          </cell>
          <cell r="Q232">
            <v>8.5000000000000006E-2</v>
          </cell>
          <cell r="R232">
            <v>8.5000000000000006E-2</v>
          </cell>
          <cell r="S232">
            <v>8.5000000000000006E-2</v>
          </cell>
          <cell r="T232">
            <v>8.5000000000000006E-2</v>
          </cell>
          <cell r="U232">
            <v>8.5000000000000006E-2</v>
          </cell>
          <cell r="V232">
            <v>8.5000000000000006E-2</v>
          </cell>
          <cell r="W232">
            <v>8.5000000000000006E-2</v>
          </cell>
          <cell r="X232">
            <v>1.085</v>
          </cell>
          <cell r="Y232">
            <v>1.085</v>
          </cell>
          <cell r="Z232">
            <v>1.085</v>
          </cell>
          <cell r="AA232">
            <v>1.085</v>
          </cell>
        </row>
        <row r="233">
          <cell r="A233" t="str">
            <v>No. Shares Repurchase</v>
          </cell>
          <cell r="C233">
            <v>42.92351595481238</v>
          </cell>
          <cell r="D233">
            <v>4.8125</v>
          </cell>
          <cell r="E233">
            <v>0</v>
          </cell>
          <cell r="F233">
            <v>24.311999999999998</v>
          </cell>
          <cell r="G233">
            <v>0</v>
          </cell>
          <cell r="H233">
            <v>0</v>
          </cell>
          <cell r="I233">
            <v>8.4</v>
          </cell>
          <cell r="J233">
            <v>54.7</v>
          </cell>
          <cell r="M233">
            <v>8.8596491228070171</v>
          </cell>
          <cell r="P233">
            <v>41.857142857142854</v>
          </cell>
          <cell r="Q233">
            <v>32.916392363396973</v>
          </cell>
          <cell r="R233">
            <v>30.337688814190759</v>
          </cell>
          <cell r="S233">
            <v>16.776602109229913</v>
          </cell>
          <cell r="T233">
            <v>15.462306091456142</v>
          </cell>
          <cell r="U233">
            <v>0</v>
          </cell>
          <cell r="V233">
            <v>0</v>
          </cell>
          <cell r="W233">
            <v>0</v>
          </cell>
          <cell r="X233">
            <v>0</v>
          </cell>
          <cell r="Y233">
            <v>0</v>
          </cell>
          <cell r="Z233">
            <v>0</v>
          </cell>
          <cell r="AA233">
            <v>0</v>
          </cell>
        </row>
        <row r="235">
          <cell r="A235" t="str">
            <v>Opening Share Count</v>
          </cell>
          <cell r="C235">
            <v>2467.7689999999998</v>
          </cell>
          <cell r="D235">
            <v>2337.5</v>
          </cell>
          <cell r="E235">
            <v>2335.9164999999998</v>
          </cell>
          <cell r="F235">
            <v>2348.2314590000001</v>
          </cell>
          <cell r="G235">
            <v>2264.453332</v>
          </cell>
          <cell r="H235">
            <v>2264.8528419999998</v>
          </cell>
          <cell r="I235">
            <v>2274.3533510000002</v>
          </cell>
          <cell r="J235">
            <v>2289.4451779999999</v>
          </cell>
          <cell r="M235">
            <v>2406.6938570000002</v>
          </cell>
          <cell r="P235">
            <v>2429.314207877193</v>
          </cell>
          <cell r="Q235">
            <v>2387.4570650200503</v>
          </cell>
          <cell r="R235">
            <v>2354.5406726566534</v>
          </cell>
          <cell r="S235">
            <v>2324.2029838424628</v>
          </cell>
          <cell r="T235">
            <v>2307.426381733233</v>
          </cell>
          <cell r="U235">
            <v>2291.9640756417771</v>
          </cell>
          <cell r="V235">
            <v>2291.9640756417771</v>
          </cell>
          <cell r="W235">
            <v>2291.9640756417771</v>
          </cell>
          <cell r="X235">
            <v>2291.9640756417771</v>
          </cell>
          <cell r="Y235">
            <v>2291.9640756417771</v>
          </cell>
          <cell r="Z235">
            <v>2291.9640756417771</v>
          </cell>
          <cell r="AA235">
            <v>2291.9640756417771</v>
          </cell>
        </row>
        <row r="236">
          <cell r="A236" t="str">
            <v>Issued shares (mn)</v>
          </cell>
          <cell r="C236">
            <v>0</v>
          </cell>
          <cell r="D236">
            <v>0</v>
          </cell>
          <cell r="E236">
            <v>0</v>
          </cell>
          <cell r="F236">
            <v>0</v>
          </cell>
          <cell r="G236">
            <v>0</v>
          </cell>
          <cell r="H236">
            <v>0</v>
          </cell>
          <cell r="I236">
            <v>0</v>
          </cell>
          <cell r="J236">
            <v>108</v>
          </cell>
          <cell r="M236">
            <v>31.48</v>
          </cell>
          <cell r="Q236">
            <v>0</v>
          </cell>
          <cell r="R236">
            <v>0</v>
          </cell>
          <cell r="S236">
            <v>0</v>
          </cell>
          <cell r="T236">
            <v>0</v>
          </cell>
          <cell r="U236">
            <v>0</v>
          </cell>
          <cell r="V236">
            <v>0</v>
          </cell>
          <cell r="W236">
            <v>0</v>
          </cell>
          <cell r="X236">
            <v>0</v>
          </cell>
          <cell r="Y236">
            <v>0</v>
          </cell>
          <cell r="Z236">
            <v>0</v>
          </cell>
          <cell r="AA236">
            <v>0</v>
          </cell>
          <cell r="AB236" t="str">
            <v>Stays Constant</v>
          </cell>
        </row>
        <row r="237">
          <cell r="A237" t="str">
            <v>Repurchased shares (mn)</v>
          </cell>
          <cell r="C237">
            <v>-43.961227329544108</v>
          </cell>
          <cell r="D237">
            <v>-4.8125</v>
          </cell>
          <cell r="E237">
            <v>0</v>
          </cell>
          <cell r="F237">
            <v>-24.311999999999998</v>
          </cell>
          <cell r="G237">
            <v>0</v>
          </cell>
          <cell r="H237">
            <v>0</v>
          </cell>
          <cell r="I237">
            <v>15.091827</v>
          </cell>
          <cell r="J237">
            <v>9.2486789999999992</v>
          </cell>
          <cell r="M237">
            <v>-8.8596491228070171</v>
          </cell>
          <cell r="P237">
            <v>-41.857142857142854</v>
          </cell>
          <cell r="Q237">
            <v>-32.916392363396973</v>
          </cell>
          <cell r="R237">
            <v>-30.337688814190759</v>
          </cell>
          <cell r="S237">
            <v>-16.776602109229913</v>
          </cell>
          <cell r="T237">
            <v>-15.462306091456142</v>
          </cell>
          <cell r="U237">
            <v>0</v>
          </cell>
          <cell r="V237">
            <v>0</v>
          </cell>
          <cell r="W237">
            <v>0</v>
          </cell>
          <cell r="X237">
            <v>0</v>
          </cell>
          <cell r="Y237">
            <v>0</v>
          </cell>
          <cell r="Z237">
            <v>0</v>
          </cell>
          <cell r="AA237">
            <v>0</v>
          </cell>
        </row>
        <row r="238">
          <cell r="A238" t="str">
            <v>Closing Share Count</v>
          </cell>
          <cell r="C238">
            <v>2337.5</v>
          </cell>
          <cell r="D238">
            <v>2335.9164999999998</v>
          </cell>
          <cell r="E238">
            <v>2348.2314590000001</v>
          </cell>
          <cell r="F238">
            <v>2264.453332</v>
          </cell>
          <cell r="G238">
            <v>2264.8528419999998</v>
          </cell>
          <cell r="H238">
            <v>2274.3533510000002</v>
          </cell>
          <cell r="I238">
            <v>2289.4451779999999</v>
          </cell>
          <cell r="J238">
            <v>2406.6938570000002</v>
          </cell>
          <cell r="M238">
            <v>2429.314207877193</v>
          </cell>
          <cell r="P238">
            <v>2387.4570650200503</v>
          </cell>
          <cell r="Q238">
            <v>2354.5406726566534</v>
          </cell>
          <cell r="R238">
            <v>2324.2029838424628</v>
          </cell>
          <cell r="S238">
            <v>2307.426381733233</v>
          </cell>
          <cell r="T238">
            <v>2291.9640756417771</v>
          </cell>
          <cell r="U238">
            <v>2291.9640756417771</v>
          </cell>
          <cell r="V238">
            <v>2291.9640756417771</v>
          </cell>
          <cell r="W238">
            <v>2291.9640756417771</v>
          </cell>
          <cell r="X238">
            <v>2291.9640756417771</v>
          </cell>
          <cell r="Y238">
            <v>2291.9640756417771</v>
          </cell>
          <cell r="Z238">
            <v>2291.9640756417771</v>
          </cell>
          <cell r="AA238">
            <v>2291.9640756417771</v>
          </cell>
          <cell r="AD238" t="str">
            <v>mstag:periodEndBasicSharesOutstanding~NOVN.VX</v>
          </cell>
          <cell r="AE238">
            <v>6</v>
          </cell>
          <cell r="AF238" t="str">
            <v>ms_eqr_gcim_Decimal:ms_eqr_gcim_decimal</v>
          </cell>
          <cell r="AG238" t="b">
            <v>0</v>
          </cell>
        </row>
        <row r="239">
          <cell r="A239" t="str">
            <v>Average share count</v>
          </cell>
          <cell r="C239">
            <v>2355.4899999999998</v>
          </cell>
          <cell r="D239">
            <v>2332.848144</v>
          </cell>
          <cell r="E239">
            <v>2345.1999999999998</v>
          </cell>
          <cell r="F239">
            <v>2317.5</v>
          </cell>
          <cell r="G239">
            <v>2265.5</v>
          </cell>
          <cell r="H239">
            <v>2267.9</v>
          </cell>
          <cell r="I239">
            <v>2285.6999999999998</v>
          </cell>
          <cell r="J239">
            <v>2382.5</v>
          </cell>
          <cell r="M239">
            <v>2418</v>
          </cell>
          <cell r="P239">
            <v>2408.3856364486219</v>
          </cell>
          <cell r="Q239">
            <v>2370.9988688383519</v>
          </cell>
          <cell r="R239">
            <v>2339.3718282495583</v>
          </cell>
          <cell r="S239">
            <v>2315.8146827878481</v>
          </cell>
          <cell r="T239">
            <v>2299.6952286875048</v>
          </cell>
          <cell r="U239">
            <v>2291.9640756417771</v>
          </cell>
          <cell r="V239">
            <v>2291.9640756417771</v>
          </cell>
          <cell r="W239">
            <v>2291.9640756417771</v>
          </cell>
          <cell r="X239">
            <v>2291.9640756417771</v>
          </cell>
          <cell r="Y239">
            <v>2291.9640756417771</v>
          </cell>
          <cell r="Z239">
            <v>2291.9640756417771</v>
          </cell>
          <cell r="AA239">
            <v>2291.9640756417771</v>
          </cell>
          <cell r="AB239" t="str">
            <v>Feed to Profit and Loss</v>
          </cell>
        </row>
        <row r="241">
          <cell r="A241" t="str">
            <v>Diluted Average Share Count</v>
          </cell>
          <cell r="C241">
            <v>2370</v>
          </cell>
          <cell r="D241">
            <v>2342.453614</v>
          </cell>
          <cell r="E241">
            <v>2360.5</v>
          </cell>
          <cell r="F241">
            <v>2328.9</v>
          </cell>
          <cell r="G241">
            <v>2284.1999999999998</v>
          </cell>
          <cell r="H241">
            <v>2276.6</v>
          </cell>
          <cell r="I241">
            <v>2300.8000000000002</v>
          </cell>
          <cell r="J241">
            <v>2413.4</v>
          </cell>
          <cell r="M241">
            <v>2445</v>
          </cell>
          <cell r="P241">
            <v>2479</v>
          </cell>
          <cell r="Q241">
            <v>2441.61323238973</v>
          </cell>
          <cell r="R241">
            <v>2409.9861918009365</v>
          </cell>
          <cell r="S241">
            <v>2386.4290463392263</v>
          </cell>
          <cell r="T241">
            <v>2370.3095922388829</v>
          </cell>
          <cell r="U241">
            <v>2362.5784391931552</v>
          </cell>
          <cell r="V241">
            <v>2362.5784391931552</v>
          </cell>
          <cell r="W241">
            <v>2362.5784391931552</v>
          </cell>
          <cell r="X241">
            <v>2362.5784391931552</v>
          </cell>
          <cell r="Y241">
            <v>2362.5784391931552</v>
          </cell>
          <cell r="Z241">
            <v>2362.5784391931552</v>
          </cell>
          <cell r="AA241">
            <v>2362.5784391931552</v>
          </cell>
          <cell r="AD241" t="str">
            <v>mstag:averageDilutedSharesOutstanding~NOVN.VX</v>
          </cell>
          <cell r="AE241">
            <v>6</v>
          </cell>
          <cell r="AF241" t="str">
            <v>ms_eqr_gcim_Decimal:ms_eqr_gcim_decimal</v>
          </cell>
          <cell r="AG241" t="b">
            <v>0</v>
          </cell>
        </row>
        <row r="242">
          <cell r="A242" t="str">
            <v>Period End Share Count</v>
          </cell>
          <cell r="C242">
            <v>2352.0100000000002</v>
          </cell>
          <cell r="D242">
            <v>2345.5219699999998</v>
          </cell>
          <cell r="E242">
            <v>2363.5314590000003</v>
          </cell>
          <cell r="F242">
            <v>2275.8533320000001</v>
          </cell>
          <cell r="G242">
            <v>2283.5528419999996</v>
          </cell>
          <cell r="H242">
            <v>2283.053351</v>
          </cell>
          <cell r="I242">
            <v>2304.5451780000003</v>
          </cell>
          <cell r="J242">
            <v>2437.5938570000003</v>
          </cell>
          <cell r="M242">
            <v>2420.6201740000001</v>
          </cell>
          <cell r="P242">
            <v>2426.084308</v>
          </cell>
          <cell r="Q242">
            <v>2425.1550362080316</v>
          </cell>
          <cell r="R242">
            <v>2394.8173473938409</v>
          </cell>
          <cell r="S242">
            <v>2378.0407452846111</v>
          </cell>
          <cell r="T242">
            <v>2362.5784391931552</v>
          </cell>
          <cell r="U242">
            <v>2362.5784391931552</v>
          </cell>
          <cell r="V242">
            <v>2362.5784391931552</v>
          </cell>
          <cell r="W242">
            <v>2362.5784391931552</v>
          </cell>
          <cell r="X242">
            <v>2362.5784391931552</v>
          </cell>
          <cell r="Y242">
            <v>2362.5784391931552</v>
          </cell>
          <cell r="Z242">
            <v>2362.5784391931552</v>
          </cell>
          <cell r="AA242">
            <v>2362.5784391931552</v>
          </cell>
          <cell r="AD242" t="str">
            <v>mstag:periodEndDilutedSharesOutstanding~NOVN.VX</v>
          </cell>
          <cell r="AE242">
            <v>6</v>
          </cell>
          <cell r="AF242" t="str">
            <v>ms_eqr_gcim_Decimal:ms_eqr_gcim_decimal</v>
          </cell>
          <cell r="AG242" t="b">
            <v>0</v>
          </cell>
        </row>
        <row r="244">
          <cell r="L244" t="str">
            <v xml:space="preserve">CASH </v>
          </cell>
          <cell r="M244">
            <v>5552</v>
          </cell>
          <cell r="P244">
            <v>6687</v>
          </cell>
          <cell r="Q244">
            <v>7732.9149646160513</v>
          </cell>
          <cell r="R244">
            <v>8815.8510681852531</v>
          </cell>
          <cell r="S244">
            <v>10762.815150404433</v>
          </cell>
          <cell r="T244">
            <v>13741.538687866214</v>
          </cell>
          <cell r="U244">
            <v>18622.106521279507</v>
          </cell>
          <cell r="V244">
            <v>22608.442866788522</v>
          </cell>
          <cell r="W244">
            <v>26305.730246124338</v>
          </cell>
          <cell r="X244">
            <v>29531.531897604371</v>
          </cell>
          <cell r="Y244">
            <v>32336.693282791053</v>
          </cell>
          <cell r="Z244">
            <v>34438.55461659198</v>
          </cell>
          <cell r="AA244">
            <v>37067.360458081152</v>
          </cell>
        </row>
        <row r="245">
          <cell r="L245" t="str">
            <v>7% sales</v>
          </cell>
          <cell r="M245">
            <v>3967.1100000000006</v>
          </cell>
          <cell r="P245">
            <v>4054.4000000000005</v>
          </cell>
          <cell r="Q245">
            <v>4134.6179990391038</v>
          </cell>
          <cell r="R245">
            <v>4222.62596860336</v>
          </cell>
          <cell r="S245">
            <v>4357.1113786720416</v>
          </cell>
          <cell r="T245">
            <v>4506.2951470737989</v>
          </cell>
          <cell r="U245">
            <v>4670.4912434107337</v>
          </cell>
          <cell r="V245">
            <v>4689.1023794584034</v>
          </cell>
          <cell r="W245">
            <v>4750.5695181657202</v>
          </cell>
          <cell r="X245">
            <v>4760.1303647300865</v>
          </cell>
          <cell r="Y245">
            <v>4766.1538615947193</v>
          </cell>
          <cell r="Z245">
            <v>4827.4911466679741</v>
          </cell>
          <cell r="AA245">
            <v>4747.1883653435852</v>
          </cell>
        </row>
        <row r="250">
          <cell r="C250" t="str">
            <v>2004-FY</v>
          </cell>
          <cell r="D250" t="str">
            <v>2005-FY</v>
          </cell>
          <cell r="E250" t="str">
            <v>2006-FY</v>
          </cell>
          <cell r="F250" t="str">
            <v>2007-FY</v>
          </cell>
          <cell r="G250" t="str">
            <v>2008-FY</v>
          </cell>
          <cell r="H250" t="str">
            <v>2009-FY</v>
          </cell>
          <cell r="I250" t="str">
            <v>2010-FY</v>
          </cell>
          <cell r="J250" t="str">
            <v>2011-FY</v>
          </cell>
          <cell r="M250" t="str">
            <v>2012-FY</v>
          </cell>
          <cell r="P250" t="str">
            <v>2013-FY</v>
          </cell>
          <cell r="Q250" t="str">
            <v>2014-FY</v>
          </cell>
          <cell r="R250" t="str">
            <v>2015-FY</v>
          </cell>
          <cell r="S250" t="str">
            <v>2016-FY</v>
          </cell>
          <cell r="T250" t="str">
            <v>2017-FY</v>
          </cell>
          <cell r="U250" t="str">
            <v>2018-FY</v>
          </cell>
          <cell r="V250" t="str">
            <v>2019-FY</v>
          </cell>
          <cell r="W250" t="str">
            <v>2020-FY</v>
          </cell>
          <cell r="X250" t="str">
            <v>2021-FY</v>
          </cell>
          <cell r="Y250" t="str">
            <v>2022-FY</v>
          </cell>
          <cell r="Z250" t="str">
            <v>2023-FY</v>
          </cell>
          <cell r="AA250" t="str">
            <v>2024-FY</v>
          </cell>
        </row>
      </sheetData>
      <sheetData sheetId="21" refreshError="1">
        <row r="1">
          <cell r="AB1" t="str">
            <v>ElementName</v>
          </cell>
          <cell r="AC1" t="str">
            <v>ScaleOverride</v>
          </cell>
          <cell r="AD1" t="str">
            <v>UnitOverride</v>
          </cell>
          <cell r="AE1" t="str">
            <v>ReverseSign</v>
          </cell>
          <cell r="AF1" t="str">
            <v>IsDrivingAssumption</v>
          </cell>
          <cell r="AG1" t="str">
            <v>SegmentID</v>
          </cell>
        </row>
        <row r="2">
          <cell r="A2" t="str">
            <v>Novartis</v>
          </cell>
        </row>
        <row r="3">
          <cell r="Q3" t="str">
            <v>Morgan Stanley Equity Research: Pharmaceuticals</v>
          </cell>
        </row>
        <row r="4">
          <cell r="A4" t="str">
            <v>in USD mlns</v>
          </cell>
          <cell r="B4">
            <v>2004</v>
          </cell>
          <cell r="C4">
            <v>2005</v>
          </cell>
          <cell r="D4">
            <v>2006</v>
          </cell>
          <cell r="E4">
            <v>2007</v>
          </cell>
          <cell r="F4">
            <v>2008</v>
          </cell>
          <cell r="G4">
            <v>2009</v>
          </cell>
          <cell r="H4">
            <v>2010</v>
          </cell>
          <cell r="I4">
            <v>2011</v>
          </cell>
          <cell r="J4" t="str">
            <v>1H12</v>
          </cell>
          <cell r="K4" t="str">
            <v>9M</v>
          </cell>
          <cell r="L4">
            <v>2012</v>
          </cell>
          <cell r="M4" t="str">
            <v>2Q13</v>
          </cell>
          <cell r="N4" t="str">
            <v>3Q13</v>
          </cell>
          <cell r="O4">
            <v>2013</v>
          </cell>
          <cell r="P4" t="str">
            <v>2014E</v>
          </cell>
          <cell r="Q4" t="str">
            <v>2015E</v>
          </cell>
          <cell r="R4" t="str">
            <v>2016E</v>
          </cell>
          <cell r="S4" t="str">
            <v>2017E</v>
          </cell>
          <cell r="T4" t="str">
            <v>2018E</v>
          </cell>
          <cell r="U4" t="str">
            <v>2019E</v>
          </cell>
          <cell r="V4" t="str">
            <v>2020E</v>
          </cell>
          <cell r="W4" t="str">
            <v>2021E</v>
          </cell>
          <cell r="X4" t="str">
            <v>2022E</v>
          </cell>
          <cell r="Y4" t="str">
            <v>2023E</v>
          </cell>
          <cell r="Z4" t="str">
            <v>2024E</v>
          </cell>
        </row>
        <row r="5">
          <cell r="A5" t="str">
            <v>Currency conversion (1 SFr = US$)</v>
          </cell>
        </row>
        <row r="7">
          <cell r="A7" t="str">
            <v>Net Income</v>
          </cell>
          <cell r="B7">
            <v>5365</v>
          </cell>
          <cell r="C7">
            <v>6061</v>
          </cell>
          <cell r="D7">
            <v>6798</v>
          </cell>
          <cell r="E7">
            <v>6518</v>
          </cell>
          <cell r="F7">
            <v>8025</v>
          </cell>
          <cell r="G7">
            <v>8400</v>
          </cell>
          <cell r="H7">
            <v>9794</v>
          </cell>
          <cell r="I7">
            <v>9113</v>
          </cell>
          <cell r="J7">
            <v>5060</v>
          </cell>
          <cell r="K7">
            <v>7536</v>
          </cell>
          <cell r="L7">
            <v>9270</v>
          </cell>
          <cell r="M7">
            <v>2548</v>
          </cell>
          <cell r="N7">
            <v>2264</v>
          </cell>
          <cell r="O7">
            <v>9175</v>
          </cell>
          <cell r="P7">
            <v>10904.742402143072</v>
          </cell>
          <cell r="Q7">
            <v>10499.940834185407</v>
          </cell>
          <cell r="R7">
            <v>11091.752671830094</v>
          </cell>
          <cell r="S7">
            <v>11805.73875401773</v>
          </cell>
          <cell r="T7">
            <v>12591.817090063427</v>
          </cell>
          <cell r="U7">
            <v>12375.682252900211</v>
          </cell>
          <cell r="V7">
            <v>12399.95029785684</v>
          </cell>
          <cell r="W7">
            <v>12433.160569494705</v>
          </cell>
          <cell r="X7">
            <v>12473.140217606993</v>
          </cell>
          <cell r="Y7">
            <v>12814.264557139337</v>
          </cell>
          <cell r="Z7">
            <v>15179.018024676519</v>
          </cell>
          <cell r="AA7" t="str">
            <v>Fed from Yrly P&amp;L</v>
          </cell>
          <cell r="AB7" t="str">
            <v>mstag:netIncomeReported</v>
          </cell>
          <cell r="AC7">
            <v>6</v>
          </cell>
          <cell r="AD7" t="str">
            <v>ISO4217:USD</v>
          </cell>
          <cell r="AE7" t="b">
            <v>0</v>
          </cell>
          <cell r="AF7" t="b">
            <v>0</v>
          </cell>
        </row>
        <row r="8">
          <cell r="A8" t="str">
            <v>Minority Interests</v>
          </cell>
          <cell r="B8">
            <v>15</v>
          </cell>
          <cell r="C8">
            <v>11</v>
          </cell>
          <cell r="D8">
            <v>27</v>
          </cell>
          <cell r="E8">
            <v>22</v>
          </cell>
          <cell r="F8">
            <v>38</v>
          </cell>
          <cell r="G8">
            <v>54</v>
          </cell>
          <cell r="H8">
            <v>175</v>
          </cell>
          <cell r="I8">
            <v>132</v>
          </cell>
          <cell r="L8">
            <v>113</v>
          </cell>
          <cell r="O8">
            <v>117</v>
          </cell>
          <cell r="P8">
            <v>120.51</v>
          </cell>
          <cell r="Q8">
            <v>124.12530000000001</v>
          </cell>
          <cell r="R8">
            <v>127.84905900000001</v>
          </cell>
          <cell r="S8">
            <v>131.68453077000001</v>
          </cell>
          <cell r="T8">
            <v>135.63506669310001</v>
          </cell>
          <cell r="U8">
            <v>139.70411869389301</v>
          </cell>
          <cell r="V8">
            <v>143.89524225470981</v>
          </cell>
          <cell r="W8">
            <v>148.21209952235111</v>
          </cell>
          <cell r="X8">
            <v>152.65846250802164</v>
          </cell>
          <cell r="Y8">
            <v>157.23821638326228</v>
          </cell>
          <cell r="Z8">
            <v>161.95536287476017</v>
          </cell>
          <cell r="AA8" t="str">
            <v>Fed from Yrly P&amp;L</v>
          </cell>
          <cell r="AB8" t="str">
            <v>mstag:otherCashFlow</v>
          </cell>
          <cell r="AC8">
            <v>6</v>
          </cell>
          <cell r="AD8" t="str">
            <v>ISO4217:USD</v>
          </cell>
          <cell r="AE8" t="b">
            <v>0</v>
          </cell>
          <cell r="AF8" t="b">
            <v>0</v>
          </cell>
        </row>
        <row r="9">
          <cell r="A9" t="str">
            <v>Taxes</v>
          </cell>
          <cell r="B9">
            <v>1065</v>
          </cell>
          <cell r="C9">
            <v>1090</v>
          </cell>
          <cell r="D9">
            <v>1169</v>
          </cell>
          <cell r="E9">
            <v>947</v>
          </cell>
          <cell r="F9">
            <v>1336</v>
          </cell>
          <cell r="G9">
            <v>1468</v>
          </cell>
          <cell r="H9">
            <v>1733</v>
          </cell>
          <cell r="I9">
            <v>1528</v>
          </cell>
          <cell r="L9">
            <v>1542</v>
          </cell>
          <cell r="M9">
            <v>426</v>
          </cell>
          <cell r="N9">
            <v>336</v>
          </cell>
          <cell r="O9">
            <v>1443</v>
          </cell>
          <cell r="P9">
            <v>1869.7796471470706</v>
          </cell>
          <cell r="Q9">
            <v>1801.7422098910922</v>
          </cell>
          <cell r="R9">
            <v>1902.7394748191386</v>
          </cell>
          <cell r="S9">
            <v>2024.4752939113694</v>
          </cell>
          <cell r="T9">
            <v>2158.4567985142644</v>
          </cell>
          <cell r="U9">
            <v>2122.4924255919823</v>
          </cell>
          <cell r="V9">
            <v>2127.3188342879234</v>
          </cell>
          <cell r="W9">
            <v>2133.6830842192667</v>
          </cell>
          <cell r="X9">
            <v>2141.2173200195052</v>
          </cell>
          <cell r="Y9">
            <v>2199.8454996032474</v>
          </cell>
          <cell r="Z9">
            <v>2601.6855452572345</v>
          </cell>
          <cell r="AA9" t="str">
            <v>Fed from Yrly P&amp;L</v>
          </cell>
          <cell r="AB9" t="str">
            <v>mstag:otherCashFlow</v>
          </cell>
          <cell r="AC9">
            <v>6</v>
          </cell>
          <cell r="AD9" t="str">
            <v>ISO4217:USD</v>
          </cell>
          <cell r="AE9" t="b">
            <v>0</v>
          </cell>
          <cell r="AF9" t="b">
            <v>0</v>
          </cell>
        </row>
        <row r="10">
          <cell r="A10" t="str">
            <v>Depreciation</v>
          </cell>
          <cell r="B10">
            <v>796</v>
          </cell>
          <cell r="C10">
            <v>818</v>
          </cell>
          <cell r="D10">
            <v>987</v>
          </cell>
          <cell r="E10">
            <v>1285</v>
          </cell>
          <cell r="F10">
            <v>1231</v>
          </cell>
          <cell r="G10">
            <v>1250</v>
          </cell>
          <cell r="H10">
            <v>1373</v>
          </cell>
          <cell r="I10">
            <v>2141</v>
          </cell>
          <cell r="L10">
            <v>1743</v>
          </cell>
          <cell r="M10">
            <v>1253</v>
          </cell>
          <cell r="N10">
            <v>1219</v>
          </cell>
          <cell r="O10">
            <v>1835</v>
          </cell>
          <cell r="P10">
            <v>1888.0108791417301</v>
          </cell>
          <cell r="Q10">
            <v>2021.9398875124386</v>
          </cell>
          <cell r="R10">
            <v>2140.9426735074117</v>
          </cell>
          <cell r="S10">
            <v>2263.0245472919873</v>
          </cell>
          <cell r="T10">
            <v>2388.6732794527093</v>
          </cell>
          <cell r="U10">
            <v>2512.4900819903792</v>
          </cell>
          <cell r="V10">
            <v>2636.0798409768527</v>
          </cell>
          <cell r="W10">
            <v>2757.5476688071858</v>
          </cell>
          <cell r="X10">
            <v>2876.8065603998607</v>
          </cell>
          <cell r="Y10">
            <v>2995.9248148723527</v>
          </cell>
          <cell r="Z10">
            <v>3109.7221512736687</v>
          </cell>
          <cell r="AA10" t="str">
            <v>Linked to BS</v>
          </cell>
          <cell r="AB10" t="str">
            <v>mstag:depreciation</v>
          </cell>
          <cell r="AC10">
            <v>6</v>
          </cell>
          <cell r="AD10" t="str">
            <v>ISO4217:USD</v>
          </cell>
          <cell r="AE10" t="b">
            <v>0</v>
          </cell>
          <cell r="AF10" t="b">
            <v>0</v>
          </cell>
        </row>
        <row r="11">
          <cell r="A11" t="str">
            <v>Amortisation of Goodwill</v>
          </cell>
          <cell r="B11">
            <v>108</v>
          </cell>
          <cell r="C11">
            <v>0</v>
          </cell>
          <cell r="D11">
            <v>2</v>
          </cell>
          <cell r="E11">
            <v>3</v>
          </cell>
          <cell r="F11">
            <v>0</v>
          </cell>
          <cell r="G11">
            <v>0</v>
          </cell>
          <cell r="H11">
            <v>0</v>
          </cell>
          <cell r="I11">
            <v>0</v>
          </cell>
          <cell r="L11">
            <v>0</v>
          </cell>
          <cell r="M11">
            <v>0</v>
          </cell>
          <cell r="O11">
            <v>0</v>
          </cell>
          <cell r="P11">
            <v>0</v>
          </cell>
          <cell r="Q11">
            <v>0</v>
          </cell>
          <cell r="R11">
            <v>0</v>
          </cell>
          <cell r="S11">
            <v>0</v>
          </cell>
          <cell r="T11">
            <v>0</v>
          </cell>
          <cell r="U11">
            <v>0</v>
          </cell>
          <cell r="V11">
            <v>0</v>
          </cell>
          <cell r="W11">
            <v>0</v>
          </cell>
          <cell r="X11">
            <v>0</v>
          </cell>
          <cell r="Y11">
            <v>0</v>
          </cell>
          <cell r="Z11">
            <v>0</v>
          </cell>
          <cell r="AA11" t="str">
            <v>Linked to BS</v>
          </cell>
          <cell r="AB11" t="str">
            <v>mstag:amortizationOfGoodwillCashFlowStatement</v>
          </cell>
          <cell r="AC11">
            <v>6</v>
          </cell>
          <cell r="AD11" t="str">
            <v>ISO4217:USD</v>
          </cell>
          <cell r="AE11" t="b">
            <v>0</v>
          </cell>
          <cell r="AF11" t="b">
            <v>0</v>
          </cell>
        </row>
        <row r="12">
          <cell r="A12" t="str">
            <v>Amortisation of Other Intangibles</v>
          </cell>
          <cell r="B12">
            <v>435</v>
          </cell>
          <cell r="C12">
            <v>861</v>
          </cell>
          <cell r="D12">
            <v>934</v>
          </cell>
          <cell r="E12">
            <v>1570</v>
          </cell>
          <cell r="F12">
            <v>1439</v>
          </cell>
          <cell r="G12">
            <v>1051</v>
          </cell>
          <cell r="H12">
            <v>2046</v>
          </cell>
          <cell r="I12">
            <v>3647</v>
          </cell>
          <cell r="L12">
            <v>3177</v>
          </cell>
          <cell r="O12">
            <v>3090</v>
          </cell>
          <cell r="P12">
            <v>2843.2</v>
          </cell>
          <cell r="Q12">
            <v>2843.41</v>
          </cell>
          <cell r="R12">
            <v>2843.6305000000002</v>
          </cell>
          <cell r="S12">
            <v>2843.8620249999999</v>
          </cell>
          <cell r="T12">
            <v>2844.10512625</v>
          </cell>
          <cell r="U12">
            <v>2844.3603825625</v>
          </cell>
          <cell r="V12">
            <v>2844.6284016906247</v>
          </cell>
          <cell r="W12">
            <v>2844.9098217751562</v>
          </cell>
          <cell r="X12">
            <v>2845.2053128639141</v>
          </cell>
          <cell r="Y12">
            <v>2206.5155785071097</v>
          </cell>
          <cell r="Z12">
            <v>6.8413574324652568</v>
          </cell>
          <cell r="AA12" t="str">
            <v>Linked to BS</v>
          </cell>
          <cell r="AB12" t="str">
            <v>mstag:amortizationOfOtherIntangibles</v>
          </cell>
          <cell r="AC12">
            <v>6</v>
          </cell>
          <cell r="AD12" t="str">
            <v>ISO4217:USD</v>
          </cell>
          <cell r="AE12" t="b">
            <v>0</v>
          </cell>
          <cell r="AF12" t="b">
            <v>0</v>
          </cell>
        </row>
        <row r="13">
          <cell r="A13" t="str">
            <v>Impairment of financial assets</v>
          </cell>
          <cell r="B13">
            <v>49</v>
          </cell>
          <cell r="C13">
            <v>48</v>
          </cell>
          <cell r="D13">
            <v>39</v>
          </cell>
          <cell r="E13">
            <v>78</v>
          </cell>
          <cell r="F13">
            <v>90</v>
          </cell>
          <cell r="G13">
            <v>40</v>
          </cell>
          <cell r="H13">
            <v>158</v>
          </cell>
          <cell r="I13">
            <v>192</v>
          </cell>
          <cell r="L13">
            <v>34</v>
          </cell>
          <cell r="O13">
            <v>65</v>
          </cell>
          <cell r="P13">
            <v>0</v>
          </cell>
          <cell r="Q13">
            <v>0</v>
          </cell>
          <cell r="R13">
            <v>0</v>
          </cell>
          <cell r="S13">
            <v>0</v>
          </cell>
          <cell r="T13">
            <v>0</v>
          </cell>
          <cell r="U13">
            <v>0</v>
          </cell>
          <cell r="V13">
            <v>0</v>
          </cell>
          <cell r="W13">
            <v>0</v>
          </cell>
          <cell r="X13">
            <v>0</v>
          </cell>
          <cell r="Y13">
            <v>0</v>
          </cell>
          <cell r="Z13">
            <v>0</v>
          </cell>
          <cell r="AB13" t="str">
            <v>mstag:assetImpairmentNonGoodwillOneTime</v>
          </cell>
          <cell r="AC13">
            <v>6</v>
          </cell>
          <cell r="AD13" t="str">
            <v>ISO4217:USD</v>
          </cell>
          <cell r="AE13" t="b">
            <v>0</v>
          </cell>
          <cell r="AF13" t="b">
            <v>0</v>
          </cell>
        </row>
        <row r="14">
          <cell r="A14" t="str">
            <v>Income from associated companies</v>
          </cell>
          <cell r="B14">
            <v>-68</v>
          </cell>
          <cell r="C14">
            <v>-193</v>
          </cell>
          <cell r="D14">
            <v>-264</v>
          </cell>
          <cell r="E14">
            <v>-412</v>
          </cell>
          <cell r="F14">
            <v>-441</v>
          </cell>
          <cell r="G14">
            <v>-293</v>
          </cell>
          <cell r="H14">
            <v>-804</v>
          </cell>
          <cell r="I14">
            <v>-528</v>
          </cell>
          <cell r="L14">
            <v>-552</v>
          </cell>
          <cell r="O14">
            <v>-600</v>
          </cell>
          <cell r="P14">
            <v>-769.36081014805859</v>
          </cell>
          <cell r="Q14">
            <v>-852.45406146044593</v>
          </cell>
          <cell r="R14">
            <v>-939.60902391843433</v>
          </cell>
          <cell r="S14">
            <v>-1029.182060233838</v>
          </cell>
          <cell r="T14">
            <v>-1096.0254951129539</v>
          </cell>
          <cell r="U14">
            <v>-1113.2630050614146</v>
          </cell>
          <cell r="V14">
            <v>-1132.631860244451</v>
          </cell>
          <cell r="W14">
            <v>-1132.631860244451</v>
          </cell>
          <cell r="X14">
            <v>-1132.631860244451</v>
          </cell>
          <cell r="Y14">
            <v>-1132.631860244451</v>
          </cell>
          <cell r="Z14">
            <v>-1132.631860244451</v>
          </cell>
          <cell r="AA14" t="str">
            <v>Fed from Yrly P&amp;L</v>
          </cell>
          <cell r="AB14" t="str">
            <v>mstag:incomeLossFromInvestmentsAccountedForUnderTheEquityMethodNonOperating</v>
          </cell>
          <cell r="AC14">
            <v>6</v>
          </cell>
          <cell r="AD14" t="str">
            <v>ISO4217:USD</v>
          </cell>
          <cell r="AE14" t="b">
            <v>1</v>
          </cell>
          <cell r="AF14" t="b">
            <v>0</v>
          </cell>
        </row>
        <row r="15">
          <cell r="A15" t="str">
            <v>Divestment gains</v>
          </cell>
          <cell r="B15">
            <v>1</v>
          </cell>
          <cell r="C15">
            <v>-8</v>
          </cell>
          <cell r="D15">
            <v>7</v>
          </cell>
          <cell r="E15">
            <v>0</v>
          </cell>
          <cell r="F15">
            <v>0</v>
          </cell>
          <cell r="G15">
            <v>0</v>
          </cell>
          <cell r="H15">
            <v>0</v>
          </cell>
          <cell r="I15">
            <v>0</v>
          </cell>
          <cell r="L15">
            <v>0</v>
          </cell>
          <cell r="O15">
            <v>0</v>
          </cell>
          <cell r="P15">
            <v>0</v>
          </cell>
          <cell r="Q15">
            <v>0</v>
          </cell>
          <cell r="R15">
            <v>0</v>
          </cell>
          <cell r="S15">
            <v>0</v>
          </cell>
          <cell r="T15">
            <v>0</v>
          </cell>
          <cell r="U15">
            <v>0</v>
          </cell>
          <cell r="V15">
            <v>0</v>
          </cell>
          <cell r="W15">
            <v>0</v>
          </cell>
          <cell r="X15">
            <v>0</v>
          </cell>
          <cell r="Y15">
            <v>0</v>
          </cell>
          <cell r="Z15">
            <v>0</v>
          </cell>
          <cell r="AB15" t="str">
            <v>mstag:otherCashFlow</v>
          </cell>
          <cell r="AC15">
            <v>6</v>
          </cell>
          <cell r="AD15" t="str">
            <v>ISO4217:USD</v>
          </cell>
          <cell r="AE15" t="b">
            <v>0</v>
          </cell>
          <cell r="AF15" t="b">
            <v>0</v>
          </cell>
        </row>
        <row r="16">
          <cell r="A16" t="str">
            <v>Gains on disposal of tangible/intangible assets</v>
          </cell>
          <cell r="B16">
            <v>-224</v>
          </cell>
          <cell r="C16">
            <v>-393</v>
          </cell>
          <cell r="D16">
            <v>-124</v>
          </cell>
          <cell r="E16">
            <v>-255</v>
          </cell>
          <cell r="F16">
            <v>-176</v>
          </cell>
          <cell r="G16">
            <v>-94</v>
          </cell>
          <cell r="H16">
            <v>-429</v>
          </cell>
          <cell r="I16">
            <v>-518</v>
          </cell>
          <cell r="L16">
            <v>-294</v>
          </cell>
          <cell r="O16">
            <v>-395</v>
          </cell>
          <cell r="P16">
            <v>0</v>
          </cell>
          <cell r="Q16">
            <v>0</v>
          </cell>
          <cell r="R16">
            <v>0</v>
          </cell>
          <cell r="S16">
            <v>0</v>
          </cell>
          <cell r="T16">
            <v>0</v>
          </cell>
          <cell r="U16">
            <v>0</v>
          </cell>
          <cell r="V16">
            <v>0</v>
          </cell>
          <cell r="W16">
            <v>0</v>
          </cell>
          <cell r="X16">
            <v>0</v>
          </cell>
          <cell r="Y16">
            <v>0</v>
          </cell>
          <cell r="Z16">
            <v>0</v>
          </cell>
          <cell r="AB16" t="str">
            <v>mstag:netDisposalsAcquisitions</v>
          </cell>
          <cell r="AC16">
            <v>6</v>
          </cell>
          <cell r="AD16" t="str">
            <v>ISO4217:USD</v>
          </cell>
          <cell r="AE16" t="b">
            <v>0</v>
          </cell>
          <cell r="AF16" t="b">
            <v>0</v>
          </cell>
        </row>
        <row r="17">
          <cell r="A17" t="str">
            <v>Option expense</v>
          </cell>
          <cell r="B17">
            <v>332</v>
          </cell>
          <cell r="C17">
            <v>415</v>
          </cell>
          <cell r="D17">
            <v>522</v>
          </cell>
          <cell r="E17">
            <v>570</v>
          </cell>
          <cell r="F17">
            <v>567</v>
          </cell>
          <cell r="G17">
            <v>642</v>
          </cell>
          <cell r="H17">
            <v>655</v>
          </cell>
          <cell r="I17">
            <v>790</v>
          </cell>
          <cell r="L17">
            <v>746</v>
          </cell>
          <cell r="O17">
            <v>730</v>
          </cell>
          <cell r="P17">
            <v>0</v>
          </cell>
          <cell r="Q17">
            <v>0</v>
          </cell>
          <cell r="R17">
            <v>0</v>
          </cell>
          <cell r="S17">
            <v>0</v>
          </cell>
          <cell r="T17">
            <v>0</v>
          </cell>
          <cell r="U17">
            <v>0</v>
          </cell>
          <cell r="V17">
            <v>0</v>
          </cell>
          <cell r="W17">
            <v>0</v>
          </cell>
          <cell r="X17">
            <v>0</v>
          </cell>
          <cell r="Y17">
            <v>0</v>
          </cell>
          <cell r="Z17">
            <v>0</v>
          </cell>
          <cell r="AB17" t="str">
            <v>mstag:stockBasedCompensationChargePreTax</v>
          </cell>
          <cell r="AC17">
            <v>6</v>
          </cell>
          <cell r="AD17" t="str">
            <v>ISO4217:USD</v>
          </cell>
          <cell r="AE17" t="b">
            <v>0</v>
          </cell>
          <cell r="AF17" t="b">
            <v>0</v>
          </cell>
        </row>
        <row r="18">
          <cell r="A18" t="str">
            <v>Change in Provisions</v>
          </cell>
          <cell r="D18">
            <v>346</v>
          </cell>
          <cell r="E18">
            <v>1365</v>
          </cell>
          <cell r="F18">
            <v>562</v>
          </cell>
          <cell r="G18">
            <v>1031</v>
          </cell>
          <cell r="H18">
            <v>802</v>
          </cell>
          <cell r="I18">
            <v>1295</v>
          </cell>
          <cell r="L18">
            <v>857</v>
          </cell>
          <cell r="M18">
            <v>277</v>
          </cell>
          <cell r="N18">
            <v>238</v>
          </cell>
          <cell r="O18">
            <v>807</v>
          </cell>
          <cell r="P18">
            <v>0</v>
          </cell>
          <cell r="Q18">
            <v>0</v>
          </cell>
          <cell r="R18">
            <v>0</v>
          </cell>
          <cell r="S18">
            <v>0</v>
          </cell>
          <cell r="T18">
            <v>0</v>
          </cell>
          <cell r="U18">
            <v>0</v>
          </cell>
          <cell r="V18">
            <v>0</v>
          </cell>
          <cell r="W18">
            <v>0</v>
          </cell>
          <cell r="X18">
            <v>0</v>
          </cell>
          <cell r="Y18">
            <v>0</v>
          </cell>
          <cell r="Z18">
            <v>0</v>
          </cell>
          <cell r="AB18" t="str">
            <v>mstag:otherProvisionsRecurringCashFlowStatement</v>
          </cell>
          <cell r="AC18">
            <v>6</v>
          </cell>
          <cell r="AD18" t="str">
            <v>ISO4217:USD</v>
          </cell>
          <cell r="AE18" t="b">
            <v>0</v>
          </cell>
        </row>
        <row r="19">
          <cell r="A19" t="str">
            <v>Net Financial Income</v>
          </cell>
          <cell r="B19">
            <v>-225</v>
          </cell>
          <cell r="C19">
            <v>-167</v>
          </cell>
          <cell r="D19">
            <v>-88</v>
          </cell>
          <cell r="E19">
            <v>-294</v>
          </cell>
          <cell r="F19">
            <v>6</v>
          </cell>
          <cell r="G19">
            <v>353</v>
          </cell>
          <cell r="H19">
            <v>628</v>
          </cell>
          <cell r="I19">
            <v>753</v>
          </cell>
          <cell r="L19">
            <v>820</v>
          </cell>
          <cell r="M19">
            <v>170</v>
          </cell>
          <cell r="N19">
            <v>232</v>
          </cell>
          <cell r="O19">
            <v>775</v>
          </cell>
          <cell r="P19">
            <v>676.26239388111617</v>
          </cell>
          <cell r="Q19">
            <v>671.2874148748233</v>
          </cell>
          <cell r="R19">
            <v>664.35270235402174</v>
          </cell>
          <cell r="S19">
            <v>652.71134560224482</v>
          </cell>
          <cell r="T19">
            <v>633.79274196810502</v>
          </cell>
          <cell r="U19">
            <v>612.4492580665385</v>
          </cell>
          <cell r="V19">
            <v>594.17419591713201</v>
          </cell>
          <cell r="W19">
            <v>577.91152398966869</v>
          </cell>
          <cell r="X19">
            <v>563.99797528675242</v>
          </cell>
          <cell r="Y19">
            <v>553.00838388286331</v>
          </cell>
          <cell r="Z19">
            <v>542.57460929200522</v>
          </cell>
          <cell r="AA19" t="str">
            <v>Fed from Yrly P&amp;L</v>
          </cell>
          <cell r="AB19" t="str">
            <v>mstag:otherCashFlow</v>
          </cell>
          <cell r="AC19">
            <v>6</v>
          </cell>
          <cell r="AD19" t="str">
            <v>ISO4217:USD</v>
          </cell>
          <cell r="AE19" t="b">
            <v>0</v>
          </cell>
          <cell r="AF19" t="b">
            <v>0</v>
          </cell>
        </row>
        <row r="20">
          <cell r="A20" t="str">
            <v>Dividends received</v>
          </cell>
          <cell r="B20">
            <v>12</v>
          </cell>
          <cell r="C20">
            <v>4</v>
          </cell>
          <cell r="D20">
            <v>8</v>
          </cell>
          <cell r="E20">
            <v>10</v>
          </cell>
          <cell r="F20">
            <v>9</v>
          </cell>
          <cell r="G20">
            <v>3</v>
          </cell>
          <cell r="H20">
            <v>3</v>
          </cell>
          <cell r="I20">
            <v>1</v>
          </cell>
          <cell r="O20">
            <v>446</v>
          </cell>
          <cell r="P20">
            <v>0.94000000000000006</v>
          </cell>
          <cell r="Q20">
            <v>0.94000000000000006</v>
          </cell>
          <cell r="R20">
            <v>0.94000000000000006</v>
          </cell>
          <cell r="S20">
            <v>0.94000000000000006</v>
          </cell>
          <cell r="T20">
            <v>0.94000000000000006</v>
          </cell>
          <cell r="U20">
            <v>0.94000000000000006</v>
          </cell>
          <cell r="V20">
            <v>0.94000000000000006</v>
          </cell>
          <cell r="W20">
            <v>0.94000000000000006</v>
          </cell>
          <cell r="X20">
            <v>0.94000000000000006</v>
          </cell>
          <cell r="Y20">
            <v>0.94000000000000006</v>
          </cell>
          <cell r="Z20">
            <v>0.94000000000000006</v>
          </cell>
          <cell r="AA20" t="str">
            <v>Linked to BS</v>
          </cell>
          <cell r="AB20" t="str">
            <v>mstag:otherCashFlow</v>
          </cell>
          <cell r="AC20">
            <v>6</v>
          </cell>
          <cell r="AD20" t="str">
            <v>ISO4217:USD</v>
          </cell>
          <cell r="AE20" t="b">
            <v>0</v>
          </cell>
          <cell r="AF20" t="b">
            <v>0</v>
          </cell>
        </row>
        <row r="21">
          <cell r="A21" t="str">
            <v>Interest and other financial receipts</v>
          </cell>
          <cell r="B21">
            <v>382</v>
          </cell>
          <cell r="C21">
            <v>437</v>
          </cell>
          <cell r="D21">
            <v>397</v>
          </cell>
          <cell r="E21">
            <v>374</v>
          </cell>
          <cell r="F21">
            <v>402</v>
          </cell>
          <cell r="G21">
            <v>106</v>
          </cell>
          <cell r="H21">
            <v>170</v>
          </cell>
          <cell r="I21">
            <v>66</v>
          </cell>
          <cell r="L21">
            <v>263</v>
          </cell>
          <cell r="M21">
            <v>63</v>
          </cell>
          <cell r="N21">
            <v>85</v>
          </cell>
          <cell r="O21">
            <v>40</v>
          </cell>
          <cell r="P21">
            <v>44.031606118883822</v>
          </cell>
          <cell r="Q21">
            <v>49.00658512517677</v>
          </cell>
          <cell r="R21">
            <v>55.941297645978246</v>
          </cell>
          <cell r="S21">
            <v>67.582654397755263</v>
          </cell>
          <cell r="T21">
            <v>86.501258031894977</v>
          </cell>
          <cell r="U21">
            <v>107.84474193346153</v>
          </cell>
          <cell r="V21">
            <v>126.11980408286807</v>
          </cell>
          <cell r="W21">
            <v>142.3824760103314</v>
          </cell>
          <cell r="X21">
            <v>156.29602471324765</v>
          </cell>
          <cell r="Y21">
            <v>167.28561611713673</v>
          </cell>
          <cell r="Z21">
            <v>177.71939070799485</v>
          </cell>
          <cell r="AA21" t="str">
            <v>Linked to BS</v>
          </cell>
          <cell r="AB21" t="str">
            <v>mstag:otherCashFlow</v>
          </cell>
          <cell r="AC21">
            <v>6</v>
          </cell>
          <cell r="AD21" t="str">
            <v>ISO4217:USD</v>
          </cell>
          <cell r="AE21" t="b">
            <v>0</v>
          </cell>
          <cell r="AF21" t="b">
            <v>0</v>
          </cell>
        </row>
        <row r="22">
          <cell r="A22" t="str">
            <v>Interest and other financial payments</v>
          </cell>
          <cell r="B22">
            <v>-274</v>
          </cell>
          <cell r="C22">
            <v>-313</v>
          </cell>
          <cell r="D22">
            <v>-277</v>
          </cell>
          <cell r="E22">
            <v>-255</v>
          </cell>
          <cell r="F22">
            <v>-268</v>
          </cell>
          <cell r="G22">
            <v>-654</v>
          </cell>
          <cell r="H22">
            <v>-670</v>
          </cell>
          <cell r="I22">
            <v>-687</v>
          </cell>
          <cell r="L22">
            <v>-616</v>
          </cell>
          <cell r="M22">
            <v>-214</v>
          </cell>
          <cell r="N22">
            <v>-160</v>
          </cell>
          <cell r="O22">
            <v>-609</v>
          </cell>
          <cell r="P22">
            <v>-721.23400000000004</v>
          </cell>
          <cell r="Q22">
            <v>-721.23400000000004</v>
          </cell>
          <cell r="R22">
            <v>-721.23400000000004</v>
          </cell>
          <cell r="S22">
            <v>-721.23400000000004</v>
          </cell>
          <cell r="T22">
            <v>-721.23400000000004</v>
          </cell>
          <cell r="U22">
            <v>-721.23400000000004</v>
          </cell>
          <cell r="V22">
            <v>-721.23400000000004</v>
          </cell>
          <cell r="W22">
            <v>-721.23400000000004</v>
          </cell>
          <cell r="X22">
            <v>-721.23400000000004</v>
          </cell>
          <cell r="Y22">
            <v>-721.23400000000004</v>
          </cell>
          <cell r="Z22">
            <v>-721.23400000000004</v>
          </cell>
          <cell r="AA22" t="str">
            <v>Linked to BS</v>
          </cell>
          <cell r="AB22" t="str">
            <v>mstag:otherCashFlow</v>
          </cell>
          <cell r="AC22">
            <v>6</v>
          </cell>
          <cell r="AD22" t="str">
            <v>ISO4217:USD</v>
          </cell>
          <cell r="AE22" t="b">
            <v>0</v>
          </cell>
          <cell r="AF22" t="b">
            <v>0</v>
          </cell>
        </row>
        <row r="23">
          <cell r="A23" t="str">
            <v>Receipts from associated companies</v>
          </cell>
          <cell r="B23">
            <v>73</v>
          </cell>
          <cell r="C23">
            <v>96</v>
          </cell>
          <cell r="D23">
            <v>114</v>
          </cell>
          <cell r="E23">
            <v>155</v>
          </cell>
          <cell r="F23">
            <v>248</v>
          </cell>
          <cell r="G23">
            <v>504</v>
          </cell>
          <cell r="H23">
            <v>568</v>
          </cell>
          <cell r="I23">
            <v>403</v>
          </cell>
          <cell r="L23">
            <v>426</v>
          </cell>
          <cell r="O23">
            <v>33</v>
          </cell>
          <cell r="P23">
            <v>42.314844558143221</v>
          </cell>
          <cell r="Q23">
            <v>46.884973380324524</v>
          </cell>
          <cell r="R23">
            <v>51.67849631551389</v>
          </cell>
          <cell r="S23">
            <v>56.60501331286109</v>
          </cell>
          <cell r="T23">
            <v>60.281402231212461</v>
          </cell>
          <cell r="U23">
            <v>61.229465278377802</v>
          </cell>
          <cell r="V23">
            <v>62.294752313444803</v>
          </cell>
          <cell r="W23">
            <v>62.294752313444803</v>
          </cell>
          <cell r="X23">
            <v>62.294752313444803</v>
          </cell>
          <cell r="Y23">
            <v>62.294752313444803</v>
          </cell>
          <cell r="Z23">
            <v>62.294752313444803</v>
          </cell>
          <cell r="AA23" t="str">
            <v>Linked to BS / Assume 2002 payout</v>
          </cell>
          <cell r="AB23" t="str">
            <v>mstag:dividendsFromInvestmentsAccountedForUnderTheEquityMethodNonOperating</v>
          </cell>
          <cell r="AC23">
            <v>6</v>
          </cell>
          <cell r="AD23" t="str">
            <v>ISO4217:USD</v>
          </cell>
          <cell r="AE23" t="b">
            <v>0</v>
          </cell>
          <cell r="AF23" t="b">
            <v>0</v>
          </cell>
        </row>
        <row r="24">
          <cell r="A24" t="str">
            <v>Taxes paid</v>
          </cell>
          <cell r="B24">
            <v>-1083</v>
          </cell>
          <cell r="C24">
            <v>-1345</v>
          </cell>
          <cell r="D24">
            <v>-1715</v>
          </cell>
          <cell r="E24">
            <v>-1581</v>
          </cell>
          <cell r="F24">
            <v>-1939</v>
          </cell>
          <cell r="G24">
            <v>-1623</v>
          </cell>
          <cell r="H24">
            <v>-2616</v>
          </cell>
          <cell r="I24">
            <v>-2435</v>
          </cell>
          <cell r="L24">
            <v>-2022</v>
          </cell>
          <cell r="M24">
            <v>-819</v>
          </cell>
          <cell r="N24">
            <v>-435</v>
          </cell>
          <cell r="O24">
            <v>-2024</v>
          </cell>
          <cell r="P24">
            <v>-1869.7796471470706</v>
          </cell>
          <cell r="Q24">
            <v>-1801.7422098910922</v>
          </cell>
          <cell r="R24">
            <v>-1902.7394748191386</v>
          </cell>
          <cell r="S24">
            <v>-2024.4752939113694</v>
          </cell>
          <cell r="T24">
            <v>-2158.4567985142644</v>
          </cell>
          <cell r="U24">
            <v>-2122.4924255919823</v>
          </cell>
          <cell r="V24">
            <v>-2127.3188342879234</v>
          </cell>
          <cell r="W24">
            <v>-2133.6830842192667</v>
          </cell>
          <cell r="X24">
            <v>-2141.2173200195052</v>
          </cell>
          <cell r="Y24">
            <v>-2199.8454996032474</v>
          </cell>
          <cell r="Z24">
            <v>-2601.6855452572345</v>
          </cell>
          <cell r="AA24" t="str">
            <v>Fed from Yrly P&amp;L</v>
          </cell>
          <cell r="AB24" t="str">
            <v>mstag:otherCashFlow</v>
          </cell>
          <cell r="AC24">
            <v>6</v>
          </cell>
          <cell r="AD24" t="str">
            <v>ISO4217:USD</v>
          </cell>
          <cell r="AE24" t="b">
            <v>0</v>
          </cell>
          <cell r="AF24" t="b">
            <v>0</v>
          </cell>
        </row>
        <row r="25">
          <cell r="A25" t="str">
            <v>Cash flow before working capital changes</v>
          </cell>
          <cell r="B25">
            <v>6759</v>
          </cell>
          <cell r="C25">
            <v>7422</v>
          </cell>
          <cell r="D25">
            <v>8882</v>
          </cell>
          <cell r="E25">
            <v>10100</v>
          </cell>
          <cell r="F25">
            <v>11129</v>
          </cell>
          <cell r="G25">
            <v>12238</v>
          </cell>
          <cell r="H25">
            <v>13586</v>
          </cell>
          <cell r="I25">
            <v>15893</v>
          </cell>
          <cell r="J25">
            <v>7860</v>
          </cell>
          <cell r="K25">
            <v>11725</v>
          </cell>
          <cell r="L25">
            <v>15507</v>
          </cell>
          <cell r="M25">
            <v>3704</v>
          </cell>
          <cell r="N25">
            <v>3779</v>
          </cell>
          <cell r="O25">
            <v>14928</v>
          </cell>
          <cell r="P25">
            <v>15029.417315694884</v>
          </cell>
          <cell r="Q25">
            <v>14683.846933617728</v>
          </cell>
          <cell r="R25">
            <v>15316.244376734589</v>
          </cell>
          <cell r="S25">
            <v>16071.732810158743</v>
          </cell>
          <cell r="T25">
            <v>16924.486469577492</v>
          </cell>
          <cell r="U25">
            <v>16820.203296363947</v>
          </cell>
          <cell r="V25">
            <v>16954.216674848019</v>
          </cell>
          <cell r="W25">
            <v>17113.493051668389</v>
          </cell>
          <cell r="X25">
            <v>17277.473445447777</v>
          </cell>
          <cell r="Y25">
            <v>17103.606058971054</v>
          </cell>
          <cell r="Z25">
            <v>17387.199788326408</v>
          </cell>
        </row>
        <row r="26">
          <cell r="A26" t="str">
            <v>Restructuring payments and charges:</v>
          </cell>
          <cell r="B26">
            <v>-219</v>
          </cell>
          <cell r="C26">
            <v>-285</v>
          </cell>
          <cell r="D26">
            <v>-303</v>
          </cell>
          <cell r="E26">
            <v>-355</v>
          </cell>
          <cell r="F26">
            <v>-730</v>
          </cell>
          <cell r="G26">
            <v>-735</v>
          </cell>
          <cell r="H26">
            <v>-1281</v>
          </cell>
          <cell r="I26">
            <v>-1471</v>
          </cell>
          <cell r="L26">
            <v>-1173</v>
          </cell>
          <cell r="O26">
            <v>-1015</v>
          </cell>
          <cell r="P26">
            <v>0</v>
          </cell>
          <cell r="Q26">
            <v>0</v>
          </cell>
          <cell r="R26">
            <v>0</v>
          </cell>
          <cell r="S26">
            <v>0</v>
          </cell>
          <cell r="T26">
            <v>0</v>
          </cell>
          <cell r="U26">
            <v>0</v>
          </cell>
          <cell r="V26">
            <v>0</v>
          </cell>
          <cell r="W26">
            <v>0</v>
          </cell>
          <cell r="X26">
            <v>0</v>
          </cell>
          <cell r="Y26">
            <v>0</v>
          </cell>
          <cell r="Z26">
            <v>0</v>
          </cell>
          <cell r="AB26" t="str">
            <v>mstag:restructuringCostsRecurringCashFlowStatement</v>
          </cell>
          <cell r="AC26">
            <v>6</v>
          </cell>
          <cell r="AD26" t="str">
            <v>ISO4217:USD</v>
          </cell>
          <cell r="AE26" t="b">
            <v>0</v>
          </cell>
          <cell r="AF26" t="b">
            <v>0</v>
          </cell>
        </row>
        <row r="27">
          <cell r="A27" t="str">
            <v xml:space="preserve"> - Change in inventories</v>
          </cell>
          <cell r="B27">
            <v>23</v>
          </cell>
          <cell r="C27">
            <v>185</v>
          </cell>
          <cell r="D27">
            <v>-87</v>
          </cell>
          <cell r="E27">
            <v>-747</v>
          </cell>
          <cell r="F27">
            <v>-571</v>
          </cell>
          <cell r="G27">
            <v>237</v>
          </cell>
          <cell r="H27">
            <v>965</v>
          </cell>
          <cell r="I27">
            <v>45</v>
          </cell>
          <cell r="L27">
            <v>-701</v>
          </cell>
          <cell r="O27">
            <v>-653</v>
          </cell>
          <cell r="P27">
            <v>-46.508722579178539</v>
          </cell>
          <cell r="Q27">
            <v>-151.56541862250742</v>
          </cell>
          <cell r="R27">
            <v>-206.49101684438665</v>
          </cell>
          <cell r="S27">
            <v>-214.82934795244091</v>
          </cell>
          <cell r="T27">
            <v>-226.72516460323823</v>
          </cell>
          <cell r="U27">
            <v>-178.18389185258729</v>
          </cell>
          <cell r="V27">
            <v>-221.72749916179964</v>
          </cell>
          <cell r="W27">
            <v>-180.8452371895437</v>
          </cell>
          <cell r="X27">
            <v>-179.60430989797533</v>
          </cell>
          <cell r="Y27">
            <v>-202.64342065966412</v>
          </cell>
          <cell r="Z27">
            <v>0</v>
          </cell>
          <cell r="AA27" t="str">
            <v>Linked to BS</v>
          </cell>
          <cell r="AB27" t="str">
            <v>mstag:netDecreaseInInventories</v>
          </cell>
          <cell r="AC27">
            <v>6</v>
          </cell>
          <cell r="AD27" t="str">
            <v>ISO4217:USD</v>
          </cell>
          <cell r="AE27" t="b">
            <v>0</v>
          </cell>
          <cell r="AF27" t="b">
            <v>0</v>
          </cell>
        </row>
        <row r="28">
          <cell r="A28" t="str">
            <v xml:space="preserve"> - Change in trade accounts receivable and other net current assets</v>
          </cell>
          <cell r="B28">
            <v>-327</v>
          </cell>
          <cell r="C28">
            <v>-505</v>
          </cell>
          <cell r="D28">
            <v>-543</v>
          </cell>
          <cell r="E28">
            <v>-204</v>
          </cell>
          <cell r="F28">
            <v>-431</v>
          </cell>
          <cell r="G28">
            <v>-934</v>
          </cell>
          <cell r="H28">
            <v>26</v>
          </cell>
          <cell r="I28">
            <v>-732</v>
          </cell>
          <cell r="L28">
            <v>369</v>
          </cell>
          <cell r="M28">
            <v>-932</v>
          </cell>
          <cell r="N28">
            <v>-214</v>
          </cell>
          <cell r="O28">
            <v>-411</v>
          </cell>
          <cell r="P28">
            <v>-535.1152097684494</v>
          </cell>
          <cell r="Q28">
            <v>-588.06053734837724</v>
          </cell>
          <cell r="R28">
            <v>-738.8836896458397</v>
          </cell>
          <cell r="S28">
            <v>-815.82446862524921</v>
          </cell>
          <cell r="T28">
            <v>-897.63637083078083</v>
          </cell>
          <cell r="U28">
            <v>-591.73868900671732</v>
          </cell>
          <cell r="V28">
            <v>-751.03375744897676</v>
          </cell>
          <cell r="W28">
            <v>-684.35515175457749</v>
          </cell>
          <cell r="X28">
            <v>-741.81641994040092</v>
          </cell>
          <cell r="Y28">
            <v>-949.61898346324779</v>
          </cell>
          <cell r="Z28">
            <v>0</v>
          </cell>
          <cell r="AA28" t="str">
            <v>Linked to BS</v>
          </cell>
          <cell r="AB28" t="str">
            <v>mstag:netDecreaseInTradeReceivables</v>
          </cell>
          <cell r="AC28">
            <v>6</v>
          </cell>
          <cell r="AD28" t="str">
            <v>ISO4217:USD</v>
          </cell>
          <cell r="AE28" t="b">
            <v>0</v>
          </cell>
          <cell r="AF28" t="b">
            <v>0</v>
          </cell>
        </row>
        <row r="29">
          <cell r="A29" t="str">
            <v xml:space="preserve"> - Change in trade accounts payable</v>
          </cell>
          <cell r="B29">
            <v>239</v>
          </cell>
          <cell r="C29">
            <v>-28</v>
          </cell>
          <cell r="D29">
            <v>245</v>
          </cell>
          <cell r="E29">
            <v>323</v>
          </cell>
          <cell r="F29">
            <v>246</v>
          </cell>
          <cell r="G29">
            <v>512</v>
          </cell>
          <cell r="H29">
            <v>490</v>
          </cell>
          <cell r="I29">
            <v>195</v>
          </cell>
          <cell r="L29">
            <v>515</v>
          </cell>
          <cell r="O29">
            <v>502</v>
          </cell>
          <cell r="P29">
            <v>39.347134500728316</v>
          </cell>
          <cell r="Q29">
            <v>128.22680524166481</v>
          </cell>
          <cell r="R29">
            <v>174.69475320755464</v>
          </cell>
          <cell r="S29">
            <v>181.7491167210128</v>
          </cell>
          <cell r="T29">
            <v>191.81317076932828</v>
          </cell>
          <cell r="U29">
            <v>150.74646581941579</v>
          </cell>
          <cell r="V29">
            <v>187.58506465484606</v>
          </cell>
          <cell r="W29">
            <v>152.99800718884035</v>
          </cell>
          <cell r="X29">
            <v>151.94816255026308</v>
          </cell>
          <cell r="Y29">
            <v>171.43962435882895</v>
          </cell>
          <cell r="Z29">
            <v>0</v>
          </cell>
          <cell r="AA29" t="str">
            <v>Linked to BS</v>
          </cell>
          <cell r="AB29" t="str">
            <v>mstag:netIncreaseInTradeAndOtherPayables</v>
          </cell>
          <cell r="AC29">
            <v>6</v>
          </cell>
          <cell r="AD29" t="str">
            <v>ISO4217:USD</v>
          </cell>
          <cell r="AE29" t="b">
            <v>0</v>
          </cell>
          <cell r="AF29" t="b">
            <v>0</v>
          </cell>
        </row>
        <row r="30">
          <cell r="A30" t="str">
            <v>Other</v>
          </cell>
          <cell r="B30">
            <v>120</v>
          </cell>
          <cell r="C30">
            <v>1186</v>
          </cell>
          <cell r="D30">
            <v>110</v>
          </cell>
          <cell r="E30">
            <v>93</v>
          </cell>
          <cell r="F30">
            <v>126</v>
          </cell>
          <cell r="G30">
            <v>873</v>
          </cell>
          <cell r="H30">
            <v>281</v>
          </cell>
          <cell r="I30">
            <v>379</v>
          </cell>
          <cell r="L30">
            <v>-323</v>
          </cell>
          <cell r="M30">
            <v>-255</v>
          </cell>
          <cell r="N30">
            <v>814</v>
          </cell>
          <cell r="O30">
            <v>-177</v>
          </cell>
          <cell r="P30">
            <v>-682.10900248971484</v>
          </cell>
          <cell r="Q30">
            <v>-22.162996080606717</v>
          </cell>
          <cell r="R30">
            <v>-587.70027488886535</v>
          </cell>
          <cell r="S30">
            <v>154.92389389180244</v>
          </cell>
          <cell r="T30">
            <v>220.83423756077627</v>
          </cell>
          <cell r="U30">
            <v>-500.09628123281982</v>
          </cell>
          <cell r="V30">
            <v>-301.89275735652518</v>
          </cell>
          <cell r="W30">
            <v>-563.32879870408942</v>
          </cell>
          <cell r="X30">
            <v>-629.23857998317362</v>
          </cell>
          <cell r="Y30">
            <v>-427.84376055149096</v>
          </cell>
          <cell r="Z30">
            <v>-713.29923217331088</v>
          </cell>
          <cell r="AA30" t="str">
            <v>Linked to BS</v>
          </cell>
          <cell r="AB30" t="str">
            <v>mstag:otherCashFlow</v>
          </cell>
          <cell r="AC30">
            <v>6</v>
          </cell>
          <cell r="AD30" t="str">
            <v>ISO4217:USD</v>
          </cell>
          <cell r="AE30" t="b">
            <v>0</v>
          </cell>
          <cell r="AF30" t="b">
            <v>0</v>
          </cell>
        </row>
        <row r="31">
          <cell r="A31" t="str">
            <v>Cash flow from operating activities</v>
          </cell>
          <cell r="B31">
            <v>6595</v>
          </cell>
          <cell r="C31">
            <v>7975</v>
          </cell>
          <cell r="D31">
            <v>8304</v>
          </cell>
          <cell r="E31">
            <v>9210</v>
          </cell>
          <cell r="F31">
            <v>9769</v>
          </cell>
          <cell r="G31">
            <v>12191</v>
          </cell>
          <cell r="H31">
            <v>14067</v>
          </cell>
          <cell r="I31">
            <v>14309</v>
          </cell>
          <cell r="J31">
            <v>5501</v>
          </cell>
          <cell r="K31">
            <v>9567</v>
          </cell>
          <cell r="L31">
            <v>14194</v>
          </cell>
          <cell r="M31">
            <v>2517</v>
          </cell>
          <cell r="N31">
            <v>4379</v>
          </cell>
          <cell r="O31">
            <v>13174</v>
          </cell>
          <cell r="P31">
            <v>13805.031515358269</v>
          </cell>
          <cell r="Q31">
            <v>14050.284786807901</v>
          </cell>
          <cell r="R31">
            <v>13957.864148563051</v>
          </cell>
          <cell r="S31">
            <v>15377.752004193866</v>
          </cell>
          <cell r="T31">
            <v>16212.772342473578</v>
          </cell>
          <cell r="U31">
            <v>15700.930900091238</v>
          </cell>
          <cell r="V31">
            <v>15867.147725535564</v>
          </cell>
          <cell r="W31">
            <v>15837.961871209016</v>
          </cell>
          <cell r="X31">
            <v>15878.762298176489</v>
          </cell>
          <cell r="Y31">
            <v>15694.939518655479</v>
          </cell>
          <cell r="Z31">
            <v>16673.900556153098</v>
          </cell>
        </row>
        <row r="33">
          <cell r="A33" t="str">
            <v>Investing Activities</v>
          </cell>
        </row>
        <row r="34">
          <cell r="A34" t="str">
            <v>Investment in tangible fixed assets (CAPEX)</v>
          </cell>
          <cell r="B34">
            <v>-1269</v>
          </cell>
          <cell r="C34">
            <v>-1157</v>
          </cell>
          <cell r="D34">
            <v>-1779</v>
          </cell>
          <cell r="E34">
            <v>-2549</v>
          </cell>
          <cell r="F34">
            <v>-2106</v>
          </cell>
          <cell r="G34">
            <v>-1887</v>
          </cell>
          <cell r="H34">
            <v>-1678</v>
          </cell>
          <cell r="I34">
            <v>-2167</v>
          </cell>
          <cell r="J34">
            <v>-1016</v>
          </cell>
          <cell r="K34">
            <v>-1678</v>
          </cell>
          <cell r="L34">
            <v>-2698</v>
          </cell>
          <cell r="M34">
            <v>-674</v>
          </cell>
          <cell r="N34">
            <v>-798</v>
          </cell>
          <cell r="O34">
            <v>-3064</v>
          </cell>
          <cell r="P34">
            <v>-2953.2985707422167</v>
          </cell>
          <cell r="Q34">
            <v>-3016.1614061452569</v>
          </cell>
          <cell r="R34">
            <v>-2801.0001720034547</v>
          </cell>
          <cell r="S34">
            <v>-2896.9040231188706</v>
          </cell>
          <cell r="T34">
            <v>-3002.4586564783281</v>
          </cell>
          <cell r="U34">
            <v>-3014.4229582232592</v>
          </cell>
          <cell r="V34">
            <v>-3053.9375473922482</v>
          </cell>
          <cell r="W34">
            <v>-3060.083805897912</v>
          </cell>
          <cell r="X34">
            <v>-3063.9560538823193</v>
          </cell>
          <cell r="Y34">
            <v>-3103.3871657151258</v>
          </cell>
          <cell r="Z34">
            <v>-3051.7639491494469</v>
          </cell>
          <cell r="AA34" t="str">
            <v>Linked to BS</v>
          </cell>
          <cell r="AB34" t="str">
            <v>mstag:capitalExpenditures</v>
          </cell>
          <cell r="AC34">
            <v>6</v>
          </cell>
          <cell r="AD34" t="str">
            <v>ISO4217:USD</v>
          </cell>
          <cell r="AE34" t="b">
            <v>1</v>
          </cell>
          <cell r="AF34" t="b">
            <v>0</v>
          </cell>
        </row>
        <row r="35">
          <cell r="A35" t="str">
            <v>Proceeds from disposal of tangible fixed assets</v>
          </cell>
          <cell r="B35">
            <v>129</v>
          </cell>
          <cell r="C35">
            <v>73</v>
          </cell>
          <cell r="D35">
            <v>83</v>
          </cell>
          <cell r="E35">
            <v>134</v>
          </cell>
          <cell r="F35">
            <v>58</v>
          </cell>
          <cell r="G35">
            <v>48</v>
          </cell>
          <cell r="H35">
            <v>36</v>
          </cell>
          <cell r="I35">
            <v>61</v>
          </cell>
          <cell r="L35">
            <v>92</v>
          </cell>
          <cell r="M35">
            <v>135</v>
          </cell>
          <cell r="N35">
            <v>93</v>
          </cell>
          <cell r="O35">
            <v>60</v>
          </cell>
          <cell r="P35">
            <v>0</v>
          </cell>
          <cell r="Q35">
            <v>0</v>
          </cell>
          <cell r="R35">
            <v>0</v>
          </cell>
          <cell r="S35">
            <v>0</v>
          </cell>
          <cell r="T35">
            <v>0</v>
          </cell>
          <cell r="U35">
            <v>0</v>
          </cell>
          <cell r="V35">
            <v>0</v>
          </cell>
          <cell r="W35">
            <v>0</v>
          </cell>
          <cell r="X35">
            <v>0</v>
          </cell>
          <cell r="Y35">
            <v>0</v>
          </cell>
          <cell r="Z35">
            <v>0</v>
          </cell>
          <cell r="AB35" t="str">
            <v>mstag:proceedsFromSaleOfPpeAndIntangibleAssets</v>
          </cell>
          <cell r="AC35">
            <v>6</v>
          </cell>
          <cell r="AD35" t="str">
            <v>ISO4217:USD</v>
          </cell>
          <cell r="AE35" t="b">
            <v>0</v>
          </cell>
          <cell r="AF35" t="b">
            <v>0</v>
          </cell>
        </row>
        <row r="36">
          <cell r="A36" t="str">
            <v>Purchase of intangible assets</v>
          </cell>
          <cell r="B36">
            <v>-181</v>
          </cell>
          <cell r="C36">
            <v>-358</v>
          </cell>
          <cell r="D36">
            <v>-451</v>
          </cell>
          <cell r="E36">
            <v>-584</v>
          </cell>
          <cell r="F36">
            <v>-210</v>
          </cell>
          <cell r="G36">
            <v>-846</v>
          </cell>
          <cell r="H36">
            <v>-554</v>
          </cell>
          <cell r="I36">
            <v>-220</v>
          </cell>
          <cell r="J36">
            <v>-322</v>
          </cell>
          <cell r="K36">
            <v>-415</v>
          </cell>
          <cell r="L36">
            <v>-370</v>
          </cell>
          <cell r="M36">
            <v>-193</v>
          </cell>
          <cell r="N36">
            <v>-131</v>
          </cell>
          <cell r="O36">
            <v>-507</v>
          </cell>
          <cell r="P36">
            <v>-581.4</v>
          </cell>
          <cell r="Q36">
            <v>-593.02800000000002</v>
          </cell>
          <cell r="R36">
            <v>-604.88855999999998</v>
          </cell>
          <cell r="S36">
            <v>-616.9863312</v>
          </cell>
          <cell r="T36">
            <v>-629.32605782400003</v>
          </cell>
          <cell r="U36">
            <v>-641.91257898048002</v>
          </cell>
          <cell r="V36">
            <v>-654.75083056008964</v>
          </cell>
          <cell r="W36">
            <v>-667.84584717129144</v>
          </cell>
          <cell r="X36">
            <v>-681.2027641147173</v>
          </cell>
          <cell r="Y36">
            <v>-694.8268193970116</v>
          </cell>
          <cell r="Z36">
            <v>-708.72335578495188</v>
          </cell>
          <cell r="AA36" t="str">
            <v>Linked to BS</v>
          </cell>
          <cell r="AB36" t="str">
            <v>mstag:investmentInIntangibleAssets</v>
          </cell>
          <cell r="AC36">
            <v>6</v>
          </cell>
          <cell r="AD36" t="str">
            <v>ISO4217:USD</v>
          </cell>
          <cell r="AE36" t="b">
            <v>1</v>
          </cell>
          <cell r="AF36" t="b">
            <v>0</v>
          </cell>
        </row>
        <row r="37">
          <cell r="A37" t="str">
            <v>Purchase of goodwill</v>
          </cell>
          <cell r="O37">
            <v>0</v>
          </cell>
          <cell r="P37">
            <v>0</v>
          </cell>
          <cell r="Q37">
            <v>0</v>
          </cell>
          <cell r="R37">
            <v>0</v>
          </cell>
          <cell r="S37">
            <v>0</v>
          </cell>
          <cell r="T37">
            <v>0</v>
          </cell>
          <cell r="U37">
            <v>0</v>
          </cell>
          <cell r="V37">
            <v>0</v>
          </cell>
          <cell r="W37">
            <v>0</v>
          </cell>
          <cell r="X37">
            <v>0</v>
          </cell>
          <cell r="Y37">
            <v>0</v>
          </cell>
          <cell r="Z37">
            <v>0</v>
          </cell>
          <cell r="AB37" t="str">
            <v>mstag:premiumGoodwillOnAcquisions</v>
          </cell>
          <cell r="AC37">
            <v>6</v>
          </cell>
          <cell r="AD37" t="str">
            <v>ISO4217:USD</v>
          </cell>
          <cell r="AE37" t="b">
            <v>1</v>
          </cell>
          <cell r="AF37" t="b">
            <v>0</v>
          </cell>
        </row>
        <row r="38">
          <cell r="A38" t="str">
            <v>Purchase of financial assets</v>
          </cell>
          <cell r="B38">
            <v>-747</v>
          </cell>
          <cell r="C38">
            <v>-782</v>
          </cell>
          <cell r="D38">
            <v>-258</v>
          </cell>
          <cell r="E38">
            <v>-311</v>
          </cell>
          <cell r="F38">
            <v>-136</v>
          </cell>
          <cell r="G38">
            <v>-215</v>
          </cell>
          <cell r="H38">
            <v>-124</v>
          </cell>
          <cell r="I38">
            <v>-139</v>
          </cell>
          <cell r="L38">
            <v>-180</v>
          </cell>
          <cell r="O38">
            <v>-165</v>
          </cell>
          <cell r="P38">
            <v>0</v>
          </cell>
          <cell r="Q38">
            <v>0</v>
          </cell>
          <cell r="R38">
            <v>0</v>
          </cell>
          <cell r="S38">
            <v>0</v>
          </cell>
          <cell r="T38">
            <v>0</v>
          </cell>
          <cell r="U38">
            <v>0</v>
          </cell>
          <cell r="V38">
            <v>0</v>
          </cell>
          <cell r="W38">
            <v>0</v>
          </cell>
          <cell r="X38">
            <v>0</v>
          </cell>
          <cell r="Y38">
            <v>0</v>
          </cell>
          <cell r="Z38">
            <v>0</v>
          </cell>
          <cell r="AA38" t="str">
            <v>Linked to BS</v>
          </cell>
          <cell r="AB38" t="str">
            <v>mstag:netDecreaseInInvestmentsNonOperating</v>
          </cell>
          <cell r="AC38">
            <v>6</v>
          </cell>
          <cell r="AD38" t="str">
            <v>ISO4217:USD</v>
          </cell>
          <cell r="AE38" t="b">
            <v>0</v>
          </cell>
          <cell r="AF38" t="b">
            <v>0</v>
          </cell>
        </row>
        <row r="39">
          <cell r="A39" t="str">
            <v xml:space="preserve"> Purchase of non-current non-financial assets</v>
          </cell>
          <cell r="G39">
            <v>-23</v>
          </cell>
          <cell r="H39">
            <v>-15</v>
          </cell>
          <cell r="I39">
            <v>-48</v>
          </cell>
          <cell r="L39">
            <v>-57</v>
          </cell>
          <cell r="O39">
            <v>-39</v>
          </cell>
          <cell r="AB39" t="str">
            <v>mstag:netDecreaseInInvestmentsNonOperating</v>
          </cell>
          <cell r="AC39">
            <v>6</v>
          </cell>
          <cell r="AD39" t="str">
            <v>ISO4217:USD</v>
          </cell>
          <cell r="AE39" t="b">
            <v>0</v>
          </cell>
          <cell r="AF39" t="b">
            <v>0</v>
          </cell>
        </row>
        <row r="40">
          <cell r="A40" t="str">
            <v>Proceeds from disposal of intangible and financial assets</v>
          </cell>
          <cell r="B40">
            <v>670</v>
          </cell>
          <cell r="C40">
            <v>957</v>
          </cell>
          <cell r="D40">
            <v>195</v>
          </cell>
          <cell r="E40">
            <v>459</v>
          </cell>
          <cell r="F40">
            <v>271</v>
          </cell>
          <cell r="G40">
            <v>178</v>
          </cell>
          <cell r="H40">
            <v>614</v>
          </cell>
          <cell r="I40">
            <v>707</v>
          </cell>
          <cell r="J40">
            <v>204</v>
          </cell>
          <cell r="L40">
            <v>402</v>
          </cell>
          <cell r="O40">
            <v>486</v>
          </cell>
          <cell r="P40">
            <v>0</v>
          </cell>
          <cell r="Q40">
            <v>0</v>
          </cell>
          <cell r="R40">
            <v>0</v>
          </cell>
          <cell r="S40">
            <v>0</v>
          </cell>
          <cell r="T40">
            <v>0</v>
          </cell>
          <cell r="U40">
            <v>0</v>
          </cell>
          <cell r="V40">
            <v>0</v>
          </cell>
          <cell r="W40">
            <v>0</v>
          </cell>
          <cell r="X40">
            <v>0</v>
          </cell>
          <cell r="Y40">
            <v>0</v>
          </cell>
          <cell r="Z40">
            <v>0</v>
          </cell>
          <cell r="AA40" t="str">
            <v>Zero</v>
          </cell>
          <cell r="AB40" t="str">
            <v>mstag:otherAssetsLiabilitiesIncludedInEndingBalanceSheetTotals</v>
          </cell>
          <cell r="AC40">
            <v>6</v>
          </cell>
          <cell r="AD40" t="str">
            <v>ISO4217:USD</v>
          </cell>
          <cell r="AE40" t="b">
            <v>0</v>
          </cell>
          <cell r="AF40" t="b">
            <v>0</v>
          </cell>
        </row>
        <row r="41">
          <cell r="A41" t="str">
            <v>Acquisition of additional interests in associated companies</v>
          </cell>
          <cell r="C41">
            <v>-300</v>
          </cell>
          <cell r="F41">
            <v>-10447</v>
          </cell>
          <cell r="I41">
            <v>-12</v>
          </cell>
          <cell r="N41">
            <v>-10</v>
          </cell>
          <cell r="O41">
            <v>-52</v>
          </cell>
        </row>
        <row r="42">
          <cell r="A42" t="str">
            <v>Proceeds from divestment of equity investment</v>
          </cell>
          <cell r="O42">
            <v>0</v>
          </cell>
          <cell r="AB42" t="str">
            <v>mstag:proceedsFromDivestituresOfFundsUsedTopurchaseInterestInEquityMethodInvestmentsNonoperating</v>
          </cell>
          <cell r="AC42">
            <v>6</v>
          </cell>
          <cell r="AD42" t="str">
            <v>ISO4217:USD</v>
          </cell>
          <cell r="AE42" t="b">
            <v>0</v>
          </cell>
          <cell r="AF42" t="b">
            <v>0</v>
          </cell>
        </row>
        <row r="43">
          <cell r="A43" t="str">
            <v>Acquisition/divestment of subsidiaries</v>
          </cell>
          <cell r="B43">
            <v>-1031</v>
          </cell>
          <cell r="C43">
            <v>-8536</v>
          </cell>
          <cell r="D43">
            <v>-4522</v>
          </cell>
          <cell r="E43">
            <v>-52</v>
          </cell>
          <cell r="F43">
            <v>-1079</v>
          </cell>
          <cell r="G43">
            <v>-925</v>
          </cell>
          <cell r="H43">
            <v>-26666</v>
          </cell>
          <cell r="I43">
            <v>-569</v>
          </cell>
          <cell r="L43">
            <v>-1741</v>
          </cell>
          <cell r="M43">
            <v>-32</v>
          </cell>
          <cell r="O43">
            <v>-42</v>
          </cell>
          <cell r="P43">
            <v>0</v>
          </cell>
          <cell r="Q43">
            <v>0</v>
          </cell>
          <cell r="R43">
            <v>0</v>
          </cell>
          <cell r="S43">
            <v>0</v>
          </cell>
          <cell r="T43">
            <v>0</v>
          </cell>
          <cell r="U43">
            <v>0</v>
          </cell>
          <cell r="V43">
            <v>0</v>
          </cell>
          <cell r="W43">
            <v>0</v>
          </cell>
          <cell r="X43">
            <v>0</v>
          </cell>
          <cell r="Y43">
            <v>0</v>
          </cell>
          <cell r="Z43">
            <v>0</v>
          </cell>
          <cell r="AB43" t="str">
            <v>mstag:otherAssetsLiabilitiesIncludedInEndingBalanceSheetTotals</v>
          </cell>
          <cell r="AC43">
            <v>6</v>
          </cell>
          <cell r="AD43" t="str">
            <v>ISO4217:USD</v>
          </cell>
          <cell r="AE43" t="b">
            <v>0</v>
          </cell>
          <cell r="AF43" t="b">
            <v>0</v>
          </cell>
        </row>
        <row r="44">
          <cell r="A44" t="str">
            <v>Acquisition of minorities</v>
          </cell>
          <cell r="B44">
            <v>0</v>
          </cell>
          <cell r="C44">
            <v>-30</v>
          </cell>
          <cell r="D44">
            <v>-1</v>
          </cell>
          <cell r="E44">
            <v>-10</v>
          </cell>
          <cell r="F44">
            <v>0</v>
          </cell>
          <cell r="G44">
            <v>-81</v>
          </cell>
          <cell r="H44">
            <v>0</v>
          </cell>
          <cell r="I44">
            <v>0</v>
          </cell>
          <cell r="L44">
            <v>0</v>
          </cell>
          <cell r="O44">
            <v>0</v>
          </cell>
          <cell r="P44">
            <v>0</v>
          </cell>
          <cell r="Q44">
            <v>0</v>
          </cell>
          <cell r="R44">
            <v>0</v>
          </cell>
          <cell r="S44">
            <v>0</v>
          </cell>
          <cell r="T44">
            <v>0</v>
          </cell>
          <cell r="U44">
            <v>0</v>
          </cell>
          <cell r="V44">
            <v>0</v>
          </cell>
          <cell r="W44">
            <v>0</v>
          </cell>
          <cell r="X44">
            <v>0</v>
          </cell>
          <cell r="Y44">
            <v>0</v>
          </cell>
          <cell r="Z44">
            <v>0</v>
          </cell>
          <cell r="AB44" t="str">
            <v>mstag:otherAssetsLiabilitiesIncludedInEndingBalanceSheetTotals</v>
          </cell>
          <cell r="AC44">
            <v>6</v>
          </cell>
          <cell r="AD44" t="str">
            <v>ISO4217:USD</v>
          </cell>
          <cell r="AE44" t="b">
            <v>0</v>
          </cell>
          <cell r="AF44" t="b">
            <v>0</v>
          </cell>
        </row>
        <row r="45">
          <cell r="A45" t="str">
            <v>Proceeds from disposal of marketable securities</v>
          </cell>
          <cell r="B45">
            <v>6527</v>
          </cell>
          <cell r="C45">
            <v>6724</v>
          </cell>
          <cell r="D45">
            <v>5112</v>
          </cell>
          <cell r="E45">
            <v>3901</v>
          </cell>
          <cell r="F45">
            <v>7302</v>
          </cell>
          <cell r="G45">
            <v>3635</v>
          </cell>
          <cell r="H45">
            <v>53200</v>
          </cell>
          <cell r="I45">
            <v>3345</v>
          </cell>
          <cell r="L45">
            <v>516</v>
          </cell>
          <cell r="M45">
            <v>124</v>
          </cell>
          <cell r="N45">
            <v>93</v>
          </cell>
          <cell r="O45">
            <v>249</v>
          </cell>
          <cell r="P45">
            <v>0</v>
          </cell>
          <cell r="Q45">
            <v>0</v>
          </cell>
          <cell r="R45">
            <v>0</v>
          </cell>
          <cell r="S45">
            <v>0</v>
          </cell>
          <cell r="T45">
            <v>0</v>
          </cell>
          <cell r="U45">
            <v>0</v>
          </cell>
          <cell r="V45">
            <v>0</v>
          </cell>
          <cell r="W45">
            <v>0</v>
          </cell>
          <cell r="X45">
            <v>0</v>
          </cell>
          <cell r="Y45">
            <v>0</v>
          </cell>
          <cell r="Z45">
            <v>0</v>
          </cell>
          <cell r="AB45" t="str">
            <v>mstag:otherAssetsLiabilitiesIncludedInEndingBalanceSheetTotals</v>
          </cell>
          <cell r="AC45">
            <v>6</v>
          </cell>
          <cell r="AD45" t="str">
            <v>ISO4217:USD</v>
          </cell>
          <cell r="AE45" t="b">
            <v>0</v>
          </cell>
          <cell r="AF45" t="b">
            <v>0</v>
          </cell>
        </row>
        <row r="46">
          <cell r="A46" t="str">
            <v>Payments for acquiring marketable securities</v>
          </cell>
          <cell r="B46">
            <v>-7315</v>
          </cell>
          <cell r="C46">
            <v>-4040</v>
          </cell>
          <cell r="D46">
            <v>-4736</v>
          </cell>
          <cell r="E46">
            <v>-7232</v>
          </cell>
          <cell r="F46">
            <v>-4020</v>
          </cell>
          <cell r="G46">
            <v>-14103</v>
          </cell>
          <cell r="H46">
            <v>-40569</v>
          </cell>
          <cell r="I46">
            <v>-1750</v>
          </cell>
          <cell r="L46">
            <v>-1639</v>
          </cell>
          <cell r="N46">
            <v>0</v>
          </cell>
          <cell r="O46">
            <v>-278</v>
          </cell>
          <cell r="P46">
            <v>0</v>
          </cell>
          <cell r="Q46">
            <v>0</v>
          </cell>
          <cell r="R46">
            <v>0</v>
          </cell>
          <cell r="S46">
            <v>0</v>
          </cell>
          <cell r="T46">
            <v>0</v>
          </cell>
          <cell r="U46">
            <v>0</v>
          </cell>
          <cell r="V46">
            <v>0</v>
          </cell>
          <cell r="W46">
            <v>0</v>
          </cell>
          <cell r="X46">
            <v>0</v>
          </cell>
          <cell r="Y46">
            <v>0</v>
          </cell>
          <cell r="Z46">
            <v>0</v>
          </cell>
          <cell r="AB46" t="str">
            <v>mstag:otherAssetsLiabilitiesIncludedInEndingBalanceSheetTotals</v>
          </cell>
          <cell r="AC46">
            <v>6</v>
          </cell>
          <cell r="AD46" t="str">
            <v>ISO4217:USD</v>
          </cell>
          <cell r="AE46" t="b">
            <v>0</v>
          </cell>
          <cell r="AF46" t="b">
            <v>0</v>
          </cell>
        </row>
        <row r="47">
          <cell r="A47" t="str">
            <v>Total acquisition cost, net of cash acquired</v>
          </cell>
          <cell r="L47">
            <v>0</v>
          </cell>
          <cell r="O47">
            <v>0</v>
          </cell>
          <cell r="P47">
            <v>0</v>
          </cell>
          <cell r="Q47">
            <v>0</v>
          </cell>
          <cell r="R47">
            <v>0</v>
          </cell>
          <cell r="S47">
            <v>0</v>
          </cell>
          <cell r="T47">
            <v>0</v>
          </cell>
          <cell r="U47">
            <v>0</v>
          </cell>
          <cell r="V47">
            <v>0</v>
          </cell>
          <cell r="W47">
            <v>0</v>
          </cell>
          <cell r="X47">
            <v>0</v>
          </cell>
          <cell r="Y47">
            <v>0</v>
          </cell>
          <cell r="Z47">
            <v>0</v>
          </cell>
        </row>
        <row r="48">
          <cell r="A48" t="str">
            <v>Cash flow from investing activities</v>
          </cell>
          <cell r="B48">
            <v>-3217</v>
          </cell>
          <cell r="C48">
            <v>-7449</v>
          </cell>
          <cell r="D48">
            <v>-6357</v>
          </cell>
          <cell r="E48">
            <v>-6244</v>
          </cell>
          <cell r="F48">
            <v>-10367</v>
          </cell>
          <cell r="G48">
            <v>-14219</v>
          </cell>
          <cell r="H48">
            <v>-15756</v>
          </cell>
          <cell r="I48">
            <v>-792</v>
          </cell>
          <cell r="J48">
            <v>-1168</v>
          </cell>
          <cell r="K48">
            <v>-3139</v>
          </cell>
          <cell r="L48">
            <v>-5675</v>
          </cell>
          <cell r="M48">
            <v>-640</v>
          </cell>
          <cell r="N48">
            <v>-753</v>
          </cell>
          <cell r="O48">
            <v>-3352</v>
          </cell>
          <cell r="P48">
            <v>-3534.6985707422168</v>
          </cell>
          <cell r="Q48">
            <v>-3609.1894061452567</v>
          </cell>
          <cell r="R48">
            <v>-3405.8887320034546</v>
          </cell>
          <cell r="S48">
            <v>-3513.8903543188708</v>
          </cell>
          <cell r="T48">
            <v>-3631.7847143023282</v>
          </cell>
          <cell r="U48">
            <v>-3656.3355372037395</v>
          </cell>
          <cell r="V48">
            <v>-3708.6883779523378</v>
          </cell>
          <cell r="W48">
            <v>-3727.9296530692036</v>
          </cell>
          <cell r="X48">
            <v>-3745.1588179970367</v>
          </cell>
          <cell r="Y48">
            <v>-3798.2139851121374</v>
          </cell>
          <cell r="Z48">
            <v>-3760.4873049343987</v>
          </cell>
        </row>
        <row r="50">
          <cell r="A50" t="str">
            <v>Financing Activities</v>
          </cell>
        </row>
        <row r="51">
          <cell r="A51" t="str">
            <v>Acquisition of Treasury Shares</v>
          </cell>
          <cell r="B51">
            <v>-1820</v>
          </cell>
          <cell r="C51">
            <v>-231</v>
          </cell>
          <cell r="D51">
            <v>-399</v>
          </cell>
          <cell r="E51">
            <v>-6448</v>
          </cell>
          <cell r="F51">
            <v>-3348</v>
          </cell>
          <cell r="G51">
            <v>-461</v>
          </cell>
          <cell r="H51">
            <v>-311</v>
          </cell>
          <cell r="I51">
            <v>-3628</v>
          </cell>
          <cell r="L51">
            <v>-505</v>
          </cell>
          <cell r="M51">
            <v>-748</v>
          </cell>
          <cell r="N51">
            <v>-997</v>
          </cell>
          <cell r="O51">
            <v>-2930</v>
          </cell>
          <cell r="P51">
            <v>-2500</v>
          </cell>
          <cell r="Q51">
            <v>-2500</v>
          </cell>
          <cell r="R51">
            <v>-1500</v>
          </cell>
          <cell r="S51">
            <v>-1500</v>
          </cell>
          <cell r="T51">
            <v>0</v>
          </cell>
          <cell r="U51">
            <v>0</v>
          </cell>
          <cell r="V51">
            <v>0</v>
          </cell>
          <cell r="W51">
            <v>0</v>
          </cell>
          <cell r="X51">
            <v>0</v>
          </cell>
          <cell r="Y51">
            <v>0</v>
          </cell>
          <cell r="Z51">
            <v>0</v>
          </cell>
          <cell r="AA51" t="str">
            <v>Linked to BS</v>
          </cell>
          <cell r="AB51" t="str">
            <v>mstag:fundsUsedToRepurchaseCommonStock</v>
          </cell>
          <cell r="AC51">
            <v>6</v>
          </cell>
          <cell r="AD51" t="str">
            <v>ISO4217:USD</v>
          </cell>
          <cell r="AE51" t="b">
            <v>1</v>
          </cell>
          <cell r="AF51" t="b">
            <v>0</v>
          </cell>
        </row>
        <row r="52">
          <cell r="A52" t="str">
            <v xml:space="preserve">Proceeds from Share Issuance </v>
          </cell>
          <cell r="D52">
            <v>652</v>
          </cell>
          <cell r="E52">
            <v>1849</v>
          </cell>
          <cell r="F52">
            <v>2875</v>
          </cell>
          <cell r="G52">
            <v>685</v>
          </cell>
          <cell r="H52">
            <v>711</v>
          </cell>
          <cell r="I52">
            <v>159</v>
          </cell>
          <cell r="L52">
            <v>414</v>
          </cell>
          <cell r="AB52" t="str">
            <v>mstag:proceedsFromIssuanceOfCommonStock</v>
          </cell>
          <cell r="AC52">
            <v>6</v>
          </cell>
          <cell r="AD52" t="str">
            <v>ISO4217:USD</v>
          </cell>
          <cell r="AE52" t="b">
            <v>0</v>
          </cell>
          <cell r="AF52" t="b">
            <v>0</v>
          </cell>
        </row>
        <row r="53">
          <cell r="A53" t="str">
            <v>Proceeds from issue of options on NOVZ shares</v>
          </cell>
          <cell r="B53">
            <v>0</v>
          </cell>
          <cell r="C53">
            <v>0</v>
          </cell>
          <cell r="E53">
            <v>0</v>
          </cell>
          <cell r="F53">
            <v>0</v>
          </cell>
          <cell r="G53">
            <v>0</v>
          </cell>
          <cell r="H53">
            <v>0</v>
          </cell>
          <cell r="I53">
            <v>0</v>
          </cell>
          <cell r="L53">
            <v>0</v>
          </cell>
          <cell r="O53">
            <v>0</v>
          </cell>
          <cell r="P53">
            <v>0</v>
          </cell>
          <cell r="Q53">
            <v>0</v>
          </cell>
          <cell r="R53">
            <v>0</v>
          </cell>
          <cell r="S53">
            <v>0</v>
          </cell>
          <cell r="T53">
            <v>0</v>
          </cell>
          <cell r="U53">
            <v>0</v>
          </cell>
          <cell r="V53">
            <v>0</v>
          </cell>
          <cell r="W53">
            <v>0</v>
          </cell>
          <cell r="X53">
            <v>0</v>
          </cell>
          <cell r="Y53">
            <v>0</v>
          </cell>
          <cell r="Z53">
            <v>0</v>
          </cell>
          <cell r="AB53" t="str">
            <v>mstag:proceedsFromIssuanceOfCommonStock</v>
          </cell>
          <cell r="AC53">
            <v>6</v>
          </cell>
          <cell r="AD53" t="str">
            <v>ISO4217:USD</v>
          </cell>
          <cell r="AE53" t="b">
            <v>0</v>
          </cell>
          <cell r="AF53" t="b">
            <v>0</v>
          </cell>
        </row>
        <row r="54">
          <cell r="A54" t="str">
            <v>Proceeds from issuance of share capital to third parties by subsidiaries</v>
          </cell>
          <cell r="B54">
            <v>60</v>
          </cell>
          <cell r="C54">
            <v>67</v>
          </cell>
          <cell r="D54">
            <v>1</v>
          </cell>
          <cell r="E54">
            <v>0</v>
          </cell>
          <cell r="G54">
            <v>39</v>
          </cell>
          <cell r="H54">
            <v>19</v>
          </cell>
          <cell r="I54">
            <v>4</v>
          </cell>
          <cell r="AB54" t="str">
            <v>mstag:proceedsFromIssuanceOfCommonStock</v>
          </cell>
          <cell r="AC54">
            <v>6</v>
          </cell>
          <cell r="AD54" t="str">
            <v>ISO4217:USD</v>
          </cell>
          <cell r="AE54" t="b">
            <v>0</v>
          </cell>
          <cell r="AF54" t="b">
            <v>0</v>
          </cell>
        </row>
        <row r="55">
          <cell r="A55" t="str">
            <v>Increase in long-term financial debts</v>
          </cell>
          <cell r="B55">
            <v>14</v>
          </cell>
          <cell r="C55">
            <v>15</v>
          </cell>
          <cell r="D55">
            <v>540</v>
          </cell>
          <cell r="E55">
            <v>11</v>
          </cell>
          <cell r="F55">
            <v>1481</v>
          </cell>
          <cell r="G55">
            <v>7052</v>
          </cell>
          <cell r="H55">
            <v>5674</v>
          </cell>
          <cell r="I55">
            <v>281</v>
          </cell>
          <cell r="L55">
            <v>1979</v>
          </cell>
          <cell r="M55">
            <v>131</v>
          </cell>
          <cell r="O55">
            <v>1786</v>
          </cell>
          <cell r="P55">
            <v>0</v>
          </cell>
          <cell r="Q55">
            <v>0</v>
          </cell>
          <cell r="R55">
            <v>0</v>
          </cell>
          <cell r="S55">
            <v>0</v>
          </cell>
          <cell r="T55">
            <v>0</v>
          </cell>
          <cell r="U55">
            <v>0</v>
          </cell>
          <cell r="V55">
            <v>0</v>
          </cell>
          <cell r="W55">
            <v>0</v>
          </cell>
          <cell r="X55">
            <v>0</v>
          </cell>
          <cell r="Y55">
            <v>0</v>
          </cell>
          <cell r="Z55">
            <v>0</v>
          </cell>
          <cell r="AA55" t="str">
            <v>Linked to BS</v>
          </cell>
          <cell r="AB55" t="str">
            <v>mstag:proceedsFromIssuanceAndCashUsedToRepayLongTermDebt</v>
          </cell>
          <cell r="AC55">
            <v>6</v>
          </cell>
          <cell r="AD55" t="str">
            <v>ISO4217:USD</v>
          </cell>
          <cell r="AE55" t="b">
            <v>0</v>
          </cell>
          <cell r="AF55" t="b">
            <v>0</v>
          </cell>
        </row>
        <row r="56">
          <cell r="A56" t="str">
            <v>Repayment of long-term financial debts</v>
          </cell>
          <cell r="B56">
            <v>-15</v>
          </cell>
          <cell r="C56">
            <v>-886</v>
          </cell>
          <cell r="D56">
            <v>-182</v>
          </cell>
          <cell r="E56">
            <v>-59</v>
          </cell>
          <cell r="F56">
            <v>-68</v>
          </cell>
          <cell r="G56">
            <v>-22</v>
          </cell>
          <cell r="H56">
            <v>-5</v>
          </cell>
          <cell r="I56">
            <v>-28</v>
          </cell>
          <cell r="L56">
            <v>-704</v>
          </cell>
          <cell r="N56">
            <v>-374</v>
          </cell>
          <cell r="O56">
            <v>-2022</v>
          </cell>
          <cell r="P56">
            <v>0</v>
          </cell>
          <cell r="Q56">
            <v>0</v>
          </cell>
          <cell r="R56">
            <v>0</v>
          </cell>
          <cell r="S56">
            <v>0</v>
          </cell>
          <cell r="T56">
            <v>0</v>
          </cell>
          <cell r="U56">
            <v>0</v>
          </cell>
          <cell r="V56">
            <v>0</v>
          </cell>
          <cell r="W56">
            <v>0</v>
          </cell>
          <cell r="X56">
            <v>0</v>
          </cell>
          <cell r="Y56">
            <v>0</v>
          </cell>
          <cell r="Z56">
            <v>0</v>
          </cell>
          <cell r="AA56" t="str">
            <v>Linked to BS</v>
          </cell>
          <cell r="AB56" t="str">
            <v>mstag:proceedsFromIssuanceAndCashUsedToRepayLongTermDebt</v>
          </cell>
          <cell r="AC56">
            <v>6</v>
          </cell>
          <cell r="AD56" t="str">
            <v>ISO4217:USD</v>
          </cell>
          <cell r="AE56" t="b">
            <v>0</v>
          </cell>
          <cell r="AF56" t="b">
            <v>0</v>
          </cell>
        </row>
        <row r="57">
          <cell r="A57" t="str">
            <v>Witholding Tax Recoverable</v>
          </cell>
          <cell r="D57">
            <v>-232</v>
          </cell>
          <cell r="E57">
            <v>78</v>
          </cell>
          <cell r="AB57" t="str">
            <v>mstag:otherCashFlowsFromUsedInNonoperatingActivities</v>
          </cell>
          <cell r="AC57">
            <v>6</v>
          </cell>
          <cell r="AD57" t="str">
            <v>ISO4217:USD</v>
          </cell>
          <cell r="AE57" t="b">
            <v>0</v>
          </cell>
          <cell r="AF57" t="b">
            <v>0</v>
          </cell>
        </row>
        <row r="58">
          <cell r="A58" t="str">
            <v>Change in short-term financial debts</v>
          </cell>
          <cell r="B58">
            <v>685</v>
          </cell>
          <cell r="C58">
            <v>2904</v>
          </cell>
          <cell r="D58">
            <v>-3227</v>
          </cell>
          <cell r="E58">
            <v>-2111</v>
          </cell>
          <cell r="F58">
            <v>-118</v>
          </cell>
          <cell r="G58">
            <v>-491</v>
          </cell>
          <cell r="H58">
            <v>2610</v>
          </cell>
          <cell r="I58">
            <v>-3054</v>
          </cell>
          <cell r="L58">
            <v>-1829</v>
          </cell>
          <cell r="M58">
            <v>-1912</v>
          </cell>
          <cell r="N58">
            <v>-21</v>
          </cell>
          <cell r="O58">
            <v>600</v>
          </cell>
          <cell r="P58">
            <v>0</v>
          </cell>
          <cell r="Q58">
            <v>0</v>
          </cell>
          <cell r="R58">
            <v>0</v>
          </cell>
          <cell r="S58">
            <v>0</v>
          </cell>
          <cell r="T58">
            <v>0</v>
          </cell>
          <cell r="U58">
            <v>0</v>
          </cell>
          <cell r="V58">
            <v>0</v>
          </cell>
          <cell r="W58">
            <v>0</v>
          </cell>
          <cell r="X58">
            <v>0</v>
          </cell>
          <cell r="Y58">
            <v>0</v>
          </cell>
          <cell r="Z58">
            <v>0</v>
          </cell>
          <cell r="AA58" t="str">
            <v>Linked to BS</v>
          </cell>
          <cell r="AB58" t="str">
            <v>mstag:proceedsFromIssuanceAndCashUsedToRepayShortTermBorrowings</v>
          </cell>
          <cell r="AC58">
            <v>6</v>
          </cell>
          <cell r="AD58" t="str">
            <v>ISO4217:USD</v>
          </cell>
          <cell r="AE58" t="b">
            <v>0</v>
          </cell>
          <cell r="AF58" t="b">
            <v>0</v>
          </cell>
        </row>
        <row r="59">
          <cell r="A59" t="str">
            <v>Dividends paid</v>
          </cell>
          <cell r="B59">
            <v>-1896</v>
          </cell>
          <cell r="C59">
            <v>-2107</v>
          </cell>
          <cell r="D59">
            <v>-2049</v>
          </cell>
          <cell r="E59">
            <v>-2598</v>
          </cell>
          <cell r="F59">
            <v>-3345</v>
          </cell>
          <cell r="G59">
            <v>-3941</v>
          </cell>
          <cell r="H59">
            <v>-4486</v>
          </cell>
          <cell r="I59">
            <v>-5368</v>
          </cell>
          <cell r="L59">
            <v>-6030</v>
          </cell>
          <cell r="M59">
            <v>6</v>
          </cell>
          <cell r="O59">
            <v>-6100</v>
          </cell>
          <cell r="P59">
            <v>-6724.4179800000002</v>
          </cell>
          <cell r="Q59">
            <v>-6858.1592770934421</v>
          </cell>
          <cell r="R59">
            <v>-7105.0113343404146</v>
          </cell>
          <cell r="S59">
            <v>-7385.1381124132149</v>
          </cell>
          <cell r="T59">
            <v>-7700.419794757956</v>
          </cell>
          <cell r="U59">
            <v>-8058.2590173784865</v>
          </cell>
          <cell r="V59">
            <v>-8461.1719682474104</v>
          </cell>
          <cell r="W59">
            <v>-8884.2305666597804</v>
          </cell>
          <cell r="X59">
            <v>-9328.4420949927699</v>
          </cell>
          <cell r="Y59">
            <v>-9794.8641997424111</v>
          </cell>
          <cell r="Z59">
            <v>-10284.607409729531</v>
          </cell>
          <cell r="AA59" t="str">
            <v>Linked to P&amp;L</v>
          </cell>
          <cell r="AB59" t="str">
            <v>mstag:cashDividendsPaid</v>
          </cell>
          <cell r="AC59">
            <v>6</v>
          </cell>
          <cell r="AD59" t="str">
            <v>ISO4217:USD</v>
          </cell>
          <cell r="AE59" t="b">
            <v>1</v>
          </cell>
          <cell r="AF59" t="b">
            <v>0</v>
          </cell>
        </row>
        <row r="60">
          <cell r="A60" t="str">
            <v>Dividends Paid to Minority Interests</v>
          </cell>
          <cell r="B60">
            <v>-25</v>
          </cell>
          <cell r="C60">
            <v>-32</v>
          </cell>
          <cell r="D60">
            <v>-35</v>
          </cell>
          <cell r="E60">
            <v>-40</v>
          </cell>
          <cell r="F60">
            <v>-50</v>
          </cell>
          <cell r="G60">
            <v>-52</v>
          </cell>
          <cell r="H60">
            <v>-96</v>
          </cell>
          <cell r="I60">
            <v>-3390</v>
          </cell>
          <cell r="M60">
            <v>4</v>
          </cell>
          <cell r="O60">
            <v>-103</v>
          </cell>
          <cell r="AB60" t="str">
            <v>mstag:otherCashFlowsFromUsedInNonoperatingActivities</v>
          </cell>
          <cell r="AC60">
            <v>6</v>
          </cell>
          <cell r="AD60" t="str">
            <v>ISO4217:USD</v>
          </cell>
          <cell r="AE60" t="b">
            <v>0</v>
          </cell>
          <cell r="AF60" t="b">
            <v>0</v>
          </cell>
        </row>
        <row r="61">
          <cell r="A61" t="str">
            <v>Cash Flow from Financing Activities</v>
          </cell>
          <cell r="B61">
            <v>-2997</v>
          </cell>
          <cell r="C61">
            <v>-270</v>
          </cell>
          <cell r="D61">
            <v>-4931</v>
          </cell>
          <cell r="E61">
            <v>-9318</v>
          </cell>
          <cell r="F61">
            <v>-2573</v>
          </cell>
          <cell r="G61">
            <v>2809</v>
          </cell>
          <cell r="H61">
            <v>4116</v>
          </cell>
          <cell r="I61">
            <v>-15024</v>
          </cell>
          <cell r="J61">
            <v>-3414</v>
          </cell>
          <cell r="K61">
            <v>-5531</v>
          </cell>
          <cell r="L61">
            <v>-6675</v>
          </cell>
          <cell r="M61">
            <v>-2519</v>
          </cell>
          <cell r="N61">
            <v>-1392</v>
          </cell>
          <cell r="O61">
            <v>-8769</v>
          </cell>
          <cell r="P61">
            <v>-9224.4179800000002</v>
          </cell>
          <cell r="Q61">
            <v>-9358.1592770934421</v>
          </cell>
          <cell r="R61">
            <v>-8605.0113343404155</v>
          </cell>
          <cell r="S61">
            <v>-8885.1381124132149</v>
          </cell>
          <cell r="T61">
            <v>-7700.419794757956</v>
          </cell>
          <cell r="U61">
            <v>-8058.2590173784865</v>
          </cell>
          <cell r="V61">
            <v>-8461.1719682474104</v>
          </cell>
          <cell r="W61">
            <v>-8884.2305666597804</v>
          </cell>
          <cell r="X61">
            <v>-9328.4420949927699</v>
          </cell>
          <cell r="Y61">
            <v>-9794.8641997424111</v>
          </cell>
          <cell r="Z61">
            <v>-10284.607409729531</v>
          </cell>
        </row>
        <row r="62">
          <cell r="A62" t="str">
            <v>Cash Flow from Discontinued Operations</v>
          </cell>
          <cell r="C62">
            <v>76</v>
          </cell>
          <cell r="D62">
            <v>453</v>
          </cell>
          <cell r="E62">
            <v>7599</v>
          </cell>
          <cell r="F62">
            <v>-105</v>
          </cell>
          <cell r="AB62" t="str">
            <v>mstag:otherCashFlowsFromUsedInNonoperatingActivities</v>
          </cell>
          <cell r="AC62">
            <v>6</v>
          </cell>
          <cell r="AD62" t="str">
            <v>ISO4217:USD</v>
          </cell>
          <cell r="AE62" t="b">
            <v>0</v>
          </cell>
          <cell r="AF62" t="b">
            <v>0</v>
          </cell>
        </row>
        <row r="63">
          <cell r="A63" t="str">
            <v>Net effect of Currency on Liquidity</v>
          </cell>
          <cell r="B63">
            <v>56</v>
          </cell>
          <cell r="C63">
            <v>-94</v>
          </cell>
          <cell r="D63">
            <v>25</v>
          </cell>
          <cell r="E63">
            <v>298</v>
          </cell>
          <cell r="F63">
            <v>-46</v>
          </cell>
          <cell r="G63">
            <v>75</v>
          </cell>
          <cell r="H63">
            <v>-2</v>
          </cell>
          <cell r="I63">
            <v>-103</v>
          </cell>
          <cell r="L63">
            <v>-1</v>
          </cell>
          <cell r="M63">
            <v>13</v>
          </cell>
          <cell r="N63">
            <v>52</v>
          </cell>
          <cell r="O63">
            <v>82</v>
          </cell>
          <cell r="P63">
            <v>0</v>
          </cell>
          <cell r="Q63">
            <v>0</v>
          </cell>
          <cell r="R63">
            <v>0</v>
          </cell>
          <cell r="S63">
            <v>0</v>
          </cell>
          <cell r="T63">
            <v>0</v>
          </cell>
          <cell r="U63">
            <v>0</v>
          </cell>
          <cell r="V63">
            <v>0</v>
          </cell>
          <cell r="W63">
            <v>0</v>
          </cell>
          <cell r="X63">
            <v>0</v>
          </cell>
          <cell r="Y63">
            <v>0</v>
          </cell>
          <cell r="Z63">
            <v>0</v>
          </cell>
          <cell r="AB63" t="str">
            <v>mstag:effectOfForeignExchangeRatesOnCash</v>
          </cell>
          <cell r="AC63">
            <v>6</v>
          </cell>
          <cell r="AD63" t="str">
            <v>ISO4217:USD</v>
          </cell>
          <cell r="AE63" t="b">
            <v>0</v>
          </cell>
          <cell r="AF63" t="b">
            <v>0</v>
          </cell>
        </row>
        <row r="65">
          <cell r="A65" t="str">
            <v>Net Change in cash and cash equivalents</v>
          </cell>
          <cell r="B65">
            <v>437</v>
          </cell>
          <cell r="C65">
            <v>238</v>
          </cell>
          <cell r="D65">
            <v>-2506</v>
          </cell>
          <cell r="E65">
            <v>1545</v>
          </cell>
          <cell r="F65">
            <v>-3322</v>
          </cell>
          <cell r="G65">
            <v>856</v>
          </cell>
          <cell r="H65">
            <v>2425</v>
          </cell>
          <cell r="I65">
            <v>-1610</v>
          </cell>
          <cell r="J65">
            <v>889</v>
          </cell>
          <cell r="K65">
            <v>882</v>
          </cell>
          <cell r="L65">
            <v>1843</v>
          </cell>
          <cell r="M65">
            <v>-629</v>
          </cell>
          <cell r="N65">
            <v>2286</v>
          </cell>
          <cell r="O65">
            <v>1135</v>
          </cell>
          <cell r="P65">
            <v>1045.9149646160513</v>
          </cell>
          <cell r="Q65">
            <v>1082.9361035692018</v>
          </cell>
          <cell r="R65">
            <v>1946.9640822191795</v>
          </cell>
          <cell r="S65">
            <v>2978.7235374617812</v>
          </cell>
          <cell r="T65">
            <v>4880.5678334132936</v>
          </cell>
          <cell r="U65">
            <v>3986.336345509013</v>
          </cell>
          <cell r="V65">
            <v>3697.2873793358158</v>
          </cell>
          <cell r="W65">
            <v>3225.8016514800329</v>
          </cell>
          <cell r="X65">
            <v>2805.1613851866823</v>
          </cell>
          <cell r="Y65">
            <v>2101.8613338009309</v>
          </cell>
          <cell r="Z65">
            <v>2628.8058414891675</v>
          </cell>
        </row>
        <row r="67">
          <cell r="A67" t="str">
            <v>Cash and cash equivalents at the beginning of the year</v>
          </cell>
          <cell r="B67">
            <v>5646</v>
          </cell>
          <cell r="C67">
            <v>6083</v>
          </cell>
          <cell r="D67">
            <v>6321</v>
          </cell>
          <cell r="E67">
            <v>3815</v>
          </cell>
          <cell r="F67">
            <v>5360</v>
          </cell>
          <cell r="G67">
            <v>2038</v>
          </cell>
          <cell r="H67">
            <v>2894</v>
          </cell>
          <cell r="I67">
            <v>5319</v>
          </cell>
          <cell r="L67">
            <v>3709</v>
          </cell>
          <cell r="M67">
            <v>4706</v>
          </cell>
          <cell r="N67">
            <v>4077</v>
          </cell>
          <cell r="O67">
            <v>5552</v>
          </cell>
          <cell r="P67">
            <v>6687</v>
          </cell>
          <cell r="Q67">
            <v>7732.9149646160513</v>
          </cell>
          <cell r="R67">
            <v>8815.8510681852531</v>
          </cell>
          <cell r="S67">
            <v>10762.815150404433</v>
          </cell>
          <cell r="T67">
            <v>13741.538687866214</v>
          </cell>
          <cell r="U67">
            <v>18622.106521279507</v>
          </cell>
          <cell r="V67">
            <v>22608.442866788522</v>
          </cell>
          <cell r="W67">
            <v>26305.730246124338</v>
          </cell>
          <cell r="X67">
            <v>29531.531897604371</v>
          </cell>
          <cell r="Y67">
            <v>32336.693282791053</v>
          </cell>
          <cell r="Z67">
            <v>34438.55461659198</v>
          </cell>
        </row>
        <row r="68">
          <cell r="A68" t="str">
            <v>Cash and cash equivalents at the end of the year</v>
          </cell>
          <cell r="B68">
            <v>6083</v>
          </cell>
          <cell r="C68">
            <v>6321</v>
          </cell>
          <cell r="D68">
            <v>3815</v>
          </cell>
          <cell r="E68">
            <v>5360</v>
          </cell>
          <cell r="F68">
            <v>2038</v>
          </cell>
          <cell r="G68">
            <v>2894</v>
          </cell>
          <cell r="H68">
            <v>5319</v>
          </cell>
          <cell r="I68">
            <v>3709</v>
          </cell>
          <cell r="K68">
            <v>4591</v>
          </cell>
          <cell r="L68">
            <v>5552</v>
          </cell>
          <cell r="M68">
            <v>4077</v>
          </cell>
          <cell r="N68">
            <v>6363</v>
          </cell>
          <cell r="O68">
            <v>6687</v>
          </cell>
          <cell r="P68">
            <v>7732.9149646160513</v>
          </cell>
          <cell r="Q68">
            <v>8815.8510681852531</v>
          </cell>
          <cell r="R68">
            <v>10762.815150404433</v>
          </cell>
          <cell r="S68">
            <v>13741.538687866214</v>
          </cell>
          <cell r="T68">
            <v>18622.106521279507</v>
          </cell>
          <cell r="U68">
            <v>22608.442866788522</v>
          </cell>
          <cell r="V68">
            <v>26305.730246124338</v>
          </cell>
          <cell r="W68">
            <v>29531.531897604371</v>
          </cell>
          <cell r="X68">
            <v>32336.693282791053</v>
          </cell>
          <cell r="Y68">
            <v>34438.55461659198</v>
          </cell>
          <cell r="Z68">
            <v>37067.360458081152</v>
          </cell>
        </row>
        <row r="69">
          <cell r="O69">
            <v>0.11545234806629834</v>
          </cell>
          <cell r="P69">
            <v>0.13091996591920321</v>
          </cell>
          <cell r="Q69">
            <v>0.1461435560149974</v>
          </cell>
          <cell r="R69">
            <v>0.17291204999169207</v>
          </cell>
          <cell r="S69">
            <v>0.21345865655853855</v>
          </cell>
          <cell r="T69">
            <v>0.27910285846882787</v>
          </cell>
          <cell r="U69">
            <v>0.3375040407750679</v>
          </cell>
          <cell r="V69">
            <v>0.38761691838996637</v>
          </cell>
          <cell r="W69">
            <v>0.43427534005143209</v>
          </cell>
        </row>
        <row r="71">
          <cell r="A71" t="str">
            <v>Notes:</v>
          </cell>
        </row>
        <row r="72">
          <cell r="A72" t="str">
            <v>E= Morgan Stanley Research Estimates</v>
          </cell>
        </row>
        <row r="73">
          <cell r="A73" t="str">
            <v>Source: Morgan Stanley Research</v>
          </cell>
        </row>
        <row r="75">
          <cell r="A75" t="str">
            <v>Capital expenditures reflected in cost of acquisitions</v>
          </cell>
          <cell r="AB75" t="str">
            <v>mstag:capitalExpendituresReflectedInCostOfAcquisitions</v>
          </cell>
          <cell r="AC75">
            <v>6</v>
          </cell>
          <cell r="AD75" t="str">
            <v>ISO4217:USD</v>
          </cell>
          <cell r="AE75" t="b">
            <v>1</v>
          </cell>
          <cell r="AF75" t="b">
            <v>0</v>
          </cell>
        </row>
        <row r="76">
          <cell r="A76" t="str">
            <v>Investment in intangible assets</v>
          </cell>
          <cell r="AB76" t="str">
            <v>mstag:investmentInIntangibleAssetsReflectedInCostOfAcquisitions</v>
          </cell>
          <cell r="AC76">
            <v>6</v>
          </cell>
          <cell r="AD76" t="str">
            <v>ISO4217:USD</v>
          </cell>
          <cell r="AE76" t="b">
            <v>1</v>
          </cell>
          <cell r="AF76" t="b">
            <v>0</v>
          </cell>
        </row>
        <row r="77">
          <cell r="A77" t="str">
            <v>Premium (goodwill) on acquisitions</v>
          </cell>
          <cell r="AB77" t="str">
            <v>mstag:premiumGoodwillOnAcquisions</v>
          </cell>
          <cell r="AC77">
            <v>6</v>
          </cell>
          <cell r="AD77" t="str">
            <v>ISO4217:USD</v>
          </cell>
          <cell r="AE77" t="b">
            <v>1</v>
          </cell>
          <cell r="AF77" t="b">
            <v>0</v>
          </cell>
        </row>
        <row r="78">
          <cell r="A78" t="str">
            <v>Principal debt acquired</v>
          </cell>
          <cell r="AB78" t="str">
            <v>mstag:principalDebtAcquired</v>
          </cell>
          <cell r="AC78">
            <v>6</v>
          </cell>
          <cell r="AD78" t="str">
            <v>ISO4217:USD</v>
          </cell>
          <cell r="AE78" t="b">
            <v>1</v>
          </cell>
          <cell r="AF78" t="b">
            <v>0</v>
          </cell>
        </row>
        <row r="79">
          <cell r="A79" t="str">
            <v>Other assets acquired</v>
          </cell>
          <cell r="AB79" t="str">
            <v>mstag:otherAssetsLiabilitiesIncludedInEndingBalanceSheetTotals</v>
          </cell>
          <cell r="AC79">
            <v>6</v>
          </cell>
          <cell r="AD79" t="str">
            <v>ISO4217:USD</v>
          </cell>
          <cell r="AE79" t="b">
            <v>1</v>
          </cell>
          <cell r="AF79" t="b">
            <v>0</v>
          </cell>
        </row>
        <row r="82">
          <cell r="A82" t="str">
            <v>Free cash flow to equity</v>
          </cell>
        </row>
        <row r="83">
          <cell r="A83" t="str">
            <v>Cash flow from operations</v>
          </cell>
          <cell r="D83">
            <v>8304</v>
          </cell>
          <cell r="E83">
            <v>9210</v>
          </cell>
          <cell r="F83">
            <v>9769</v>
          </cell>
          <cell r="G83">
            <v>12191</v>
          </cell>
          <cell r="H83">
            <v>14067</v>
          </cell>
          <cell r="I83">
            <v>14309</v>
          </cell>
          <cell r="L83">
            <v>14194</v>
          </cell>
          <cell r="O83">
            <v>13174</v>
          </cell>
          <cell r="P83">
            <v>13805.031515358269</v>
          </cell>
          <cell r="Q83">
            <v>14050.284786807901</v>
          </cell>
          <cell r="R83">
            <v>13957.864148563051</v>
          </cell>
          <cell r="S83">
            <v>15377.752004193866</v>
          </cell>
          <cell r="T83">
            <v>16212.772342473578</v>
          </cell>
          <cell r="U83">
            <v>15700.930900091238</v>
          </cell>
          <cell r="V83">
            <v>15867.147725535564</v>
          </cell>
          <cell r="W83">
            <v>15837.961871209016</v>
          </cell>
          <cell r="X83">
            <v>15878.762298176489</v>
          </cell>
          <cell r="Y83">
            <v>15694.939518655479</v>
          </cell>
          <cell r="Z83">
            <v>16673.900556153098</v>
          </cell>
        </row>
        <row r="84">
          <cell r="A84" t="str">
            <v>Cash flow from investing</v>
          </cell>
          <cell r="D84">
            <v>-6357</v>
          </cell>
          <cell r="E84">
            <v>-6244</v>
          </cell>
          <cell r="F84">
            <v>-10367</v>
          </cell>
          <cell r="G84">
            <v>-14219</v>
          </cell>
          <cell r="H84">
            <v>-15756</v>
          </cell>
          <cell r="I84">
            <v>-792</v>
          </cell>
          <cell r="L84">
            <v>-5675</v>
          </cell>
          <cell r="O84">
            <v>-3352</v>
          </cell>
          <cell r="P84">
            <v>-3534.6985707422168</v>
          </cell>
          <cell r="Q84">
            <v>-3609.1894061452567</v>
          </cell>
          <cell r="R84">
            <v>-3405.8887320034546</v>
          </cell>
          <cell r="S84">
            <v>-3513.8903543188708</v>
          </cell>
          <cell r="T84">
            <v>-3631.7847143023282</v>
          </cell>
          <cell r="U84">
            <v>-3656.3355372037395</v>
          </cell>
          <cell r="V84">
            <v>-3708.6883779523378</v>
          </cell>
          <cell r="W84">
            <v>-3727.9296530692036</v>
          </cell>
          <cell r="X84">
            <v>-3745.1588179970367</v>
          </cell>
          <cell r="Y84">
            <v>-3798.2139851121374</v>
          </cell>
          <cell r="Z84">
            <v>-3760.4873049343987</v>
          </cell>
        </row>
        <row r="85">
          <cell r="A85" t="str">
            <v>Dividends to minority interests</v>
          </cell>
        </row>
        <row r="86">
          <cell r="A86" t="str">
            <v>FCF to equity</v>
          </cell>
          <cell r="D86">
            <v>1947</v>
          </cell>
          <cell r="E86">
            <v>2966</v>
          </cell>
          <cell r="F86">
            <v>-598</v>
          </cell>
          <cell r="G86">
            <v>-2028</v>
          </cell>
          <cell r="H86">
            <v>-1689</v>
          </cell>
          <cell r="I86">
            <v>13517</v>
          </cell>
          <cell r="L86">
            <v>8519</v>
          </cell>
          <cell r="O86">
            <v>9822</v>
          </cell>
          <cell r="P86">
            <v>10270.332944616051</v>
          </cell>
          <cell r="Q86">
            <v>10441.095380662644</v>
          </cell>
          <cell r="R86">
            <v>10551.975416559595</v>
          </cell>
          <cell r="S86">
            <v>11863.861649874994</v>
          </cell>
          <cell r="T86">
            <v>12580.98762817125</v>
          </cell>
          <cell r="U86">
            <v>12044.5953628875</v>
          </cell>
          <cell r="V86">
            <v>12158.459347583226</v>
          </cell>
          <cell r="W86">
            <v>12110.032218139811</v>
          </cell>
          <cell r="X86">
            <v>12133.603480179452</v>
          </cell>
          <cell r="Y86">
            <v>11896.725533543342</v>
          </cell>
          <cell r="Z86">
            <v>12913.413251218699</v>
          </cell>
        </row>
        <row r="87">
          <cell r="A87" t="str">
            <v>Stock option charge</v>
          </cell>
          <cell r="D87">
            <v>-522</v>
          </cell>
          <cell r="E87">
            <v>-570</v>
          </cell>
          <cell r="F87">
            <v>-567</v>
          </cell>
          <cell r="G87">
            <v>-642</v>
          </cell>
          <cell r="H87">
            <v>-655</v>
          </cell>
          <cell r="I87">
            <v>-790</v>
          </cell>
          <cell r="L87">
            <v>-746</v>
          </cell>
          <cell r="O87">
            <v>-730</v>
          </cell>
          <cell r="P87">
            <v>0</v>
          </cell>
          <cell r="Q87">
            <v>0</v>
          </cell>
          <cell r="R87">
            <v>0</v>
          </cell>
          <cell r="S87">
            <v>0</v>
          </cell>
          <cell r="T87">
            <v>0</v>
          </cell>
          <cell r="U87">
            <v>0</v>
          </cell>
          <cell r="V87">
            <v>0</v>
          </cell>
          <cell r="W87">
            <v>0</v>
          </cell>
          <cell r="X87">
            <v>0</v>
          </cell>
          <cell r="Y87">
            <v>0</v>
          </cell>
          <cell r="Z87">
            <v>0</v>
          </cell>
        </row>
        <row r="88">
          <cell r="A88" t="str">
            <v>Pension charge</v>
          </cell>
        </row>
        <row r="89">
          <cell r="A89" t="str">
            <v>FCF to equity for DCF</v>
          </cell>
          <cell r="D89">
            <v>1425</v>
          </cell>
          <cell r="E89">
            <v>2396</v>
          </cell>
          <cell r="F89">
            <v>-1165</v>
          </cell>
          <cell r="G89">
            <v>-2670</v>
          </cell>
          <cell r="H89">
            <v>-2344</v>
          </cell>
          <cell r="I89">
            <v>12727</v>
          </cell>
          <cell r="L89">
            <v>7773</v>
          </cell>
          <cell r="O89">
            <v>9092</v>
          </cell>
          <cell r="P89">
            <v>10270.332944616051</v>
          </cell>
          <cell r="Q89">
            <v>10441.095380662644</v>
          </cell>
          <cell r="R89">
            <v>10551.975416559595</v>
          </cell>
          <cell r="S89">
            <v>11863.861649874994</v>
          </cell>
          <cell r="T89">
            <v>12580.98762817125</v>
          </cell>
          <cell r="U89">
            <v>12044.5953628875</v>
          </cell>
          <cell r="V89">
            <v>12158.459347583226</v>
          </cell>
          <cell r="W89">
            <v>12110.032218139811</v>
          </cell>
          <cell r="X89">
            <v>12133.603480179452</v>
          </cell>
          <cell r="Y89">
            <v>11896.725533543342</v>
          </cell>
          <cell r="Z89">
            <v>12913.413251218699</v>
          </cell>
        </row>
        <row r="90">
          <cell r="A90" t="str">
            <v>Divs + Rep</v>
          </cell>
          <cell r="D90">
            <v>2448</v>
          </cell>
          <cell r="E90">
            <v>9046</v>
          </cell>
          <cell r="F90">
            <v>6693</v>
          </cell>
          <cell r="G90">
            <v>4402</v>
          </cell>
          <cell r="H90">
            <v>4797</v>
          </cell>
          <cell r="I90">
            <v>8996</v>
          </cell>
          <cell r="L90">
            <v>6535</v>
          </cell>
          <cell r="O90">
            <v>9030</v>
          </cell>
          <cell r="P90">
            <v>9224.4179800000002</v>
          </cell>
          <cell r="Q90">
            <v>9358.1592770934421</v>
          </cell>
          <cell r="R90">
            <v>8605.0113343404155</v>
          </cell>
          <cell r="S90">
            <v>8885.1381124132149</v>
          </cell>
          <cell r="T90">
            <v>7700.419794757956</v>
          </cell>
          <cell r="U90">
            <v>8058.2590173784865</v>
          </cell>
          <cell r="V90">
            <v>8461.1719682474104</v>
          </cell>
          <cell r="W90">
            <v>8884.2305666597804</v>
          </cell>
          <cell r="X90">
            <v>9328.4420949927699</v>
          </cell>
          <cell r="Y90">
            <v>9794.8641997424111</v>
          </cell>
          <cell r="Z90">
            <v>10284.607409729531</v>
          </cell>
        </row>
        <row r="92">
          <cell r="A92" t="str">
            <v>Free Cash Flow to Equity Calculation</v>
          </cell>
        </row>
        <row r="93">
          <cell r="A93" t="str">
            <v>Operating Cashflow</v>
          </cell>
          <cell r="B93">
            <v>6595</v>
          </cell>
          <cell r="C93">
            <v>7975</v>
          </cell>
          <cell r="D93">
            <v>8304</v>
          </cell>
          <cell r="E93">
            <v>9210</v>
          </cell>
          <cell r="F93">
            <v>9769</v>
          </cell>
          <cell r="G93">
            <v>12191</v>
          </cell>
          <cell r="H93">
            <v>14067</v>
          </cell>
          <cell r="I93">
            <v>14309</v>
          </cell>
          <cell r="L93">
            <v>14194</v>
          </cell>
          <cell r="O93">
            <v>13174</v>
          </cell>
          <cell r="P93">
            <v>13805.031515358269</v>
          </cell>
          <cell r="Q93">
            <v>14050.284786807901</v>
          </cell>
          <cell r="R93">
            <v>13957.864148563051</v>
          </cell>
          <cell r="S93">
            <v>15377.752004193866</v>
          </cell>
          <cell r="T93">
            <v>16212.772342473578</v>
          </cell>
          <cell r="U93">
            <v>15700.930900091238</v>
          </cell>
          <cell r="V93">
            <v>15867.147725535564</v>
          </cell>
          <cell r="W93">
            <v>15837.961871209016</v>
          </cell>
          <cell r="X93">
            <v>15878.762298176489</v>
          </cell>
          <cell r="Y93">
            <v>15694.939518655479</v>
          </cell>
          <cell r="Z93">
            <v>16673.900556153098</v>
          </cell>
        </row>
        <row r="94">
          <cell r="A94" t="str">
            <v>Capital expenditure/ acquisitions</v>
          </cell>
          <cell r="B94">
            <v>-1321</v>
          </cell>
          <cell r="C94">
            <v>-1742</v>
          </cell>
          <cell r="D94">
            <v>-2147</v>
          </cell>
          <cell r="E94">
            <v>-2999</v>
          </cell>
          <cell r="F94">
            <v>-12705</v>
          </cell>
          <cell r="G94">
            <v>-2685</v>
          </cell>
          <cell r="H94">
            <v>-2196</v>
          </cell>
          <cell r="I94">
            <v>-2338</v>
          </cell>
          <cell r="L94">
            <v>-3033</v>
          </cell>
          <cell r="O94">
            <v>-3563</v>
          </cell>
          <cell r="P94">
            <v>-3534.6985707422168</v>
          </cell>
          <cell r="Q94">
            <v>-3609.1894061452567</v>
          </cell>
          <cell r="R94">
            <v>-3405.8887320034546</v>
          </cell>
          <cell r="S94">
            <v>-3513.8903543188708</v>
          </cell>
          <cell r="T94">
            <v>-3631.7847143023282</v>
          </cell>
          <cell r="U94">
            <v>-3656.3355372037395</v>
          </cell>
          <cell r="V94">
            <v>-3708.6883779523378</v>
          </cell>
          <cell r="W94">
            <v>-3727.9296530692036</v>
          </cell>
          <cell r="X94">
            <v>-3745.1588179970367</v>
          </cell>
          <cell r="Y94">
            <v>-3798.2139851121374</v>
          </cell>
          <cell r="Z94">
            <v>-3760.4873049343987</v>
          </cell>
        </row>
        <row r="95">
          <cell r="A95" t="str">
            <v>Change in Debt</v>
          </cell>
          <cell r="B95">
            <v>684</v>
          </cell>
          <cell r="C95">
            <v>2033</v>
          </cell>
          <cell r="D95">
            <v>-2869</v>
          </cell>
          <cell r="E95">
            <v>-2159</v>
          </cell>
          <cell r="F95">
            <v>1295</v>
          </cell>
          <cell r="G95">
            <v>6539</v>
          </cell>
          <cell r="H95">
            <v>8279</v>
          </cell>
          <cell r="I95">
            <v>-2801</v>
          </cell>
          <cell r="L95">
            <v>-554</v>
          </cell>
          <cell r="O95">
            <v>364</v>
          </cell>
          <cell r="P95">
            <v>0</v>
          </cell>
          <cell r="Q95">
            <v>0</v>
          </cell>
          <cell r="R95">
            <v>0</v>
          </cell>
          <cell r="S95">
            <v>0</v>
          </cell>
          <cell r="T95">
            <v>0</v>
          </cell>
          <cell r="U95">
            <v>0</v>
          </cell>
          <cell r="V95">
            <v>0</v>
          </cell>
          <cell r="W95">
            <v>0</v>
          </cell>
          <cell r="X95">
            <v>0</v>
          </cell>
          <cell r="Y95">
            <v>0</v>
          </cell>
          <cell r="Z95">
            <v>0</v>
          </cell>
        </row>
        <row r="96">
          <cell r="A96" t="str">
            <v>Preferred Dividends Paid</v>
          </cell>
          <cell r="B96">
            <v>0</v>
          </cell>
          <cell r="C96">
            <v>0</v>
          </cell>
          <cell r="D96">
            <v>0</v>
          </cell>
          <cell r="E96">
            <v>0</v>
          </cell>
          <cell r="F96">
            <v>0</v>
          </cell>
          <cell r="G96">
            <v>0</v>
          </cell>
          <cell r="H96">
            <v>0</v>
          </cell>
          <cell r="I96">
            <v>0</v>
          </cell>
          <cell r="L96">
            <v>0</v>
          </cell>
          <cell r="O96">
            <v>0</v>
          </cell>
          <cell r="P96">
            <v>0</v>
          </cell>
          <cell r="Q96">
            <v>0</v>
          </cell>
          <cell r="R96">
            <v>0</v>
          </cell>
          <cell r="S96">
            <v>0</v>
          </cell>
          <cell r="T96">
            <v>0</v>
          </cell>
          <cell r="U96">
            <v>0</v>
          </cell>
          <cell r="V96">
            <v>0</v>
          </cell>
          <cell r="W96">
            <v>1</v>
          </cell>
          <cell r="X96">
            <v>1</v>
          </cell>
          <cell r="Y96">
            <v>1</v>
          </cell>
          <cell r="Z96">
            <v>1</v>
          </cell>
        </row>
        <row r="97">
          <cell r="A97" t="str">
            <v>Free Cash Flow</v>
          </cell>
          <cell r="B97">
            <v>5958</v>
          </cell>
          <cell r="C97">
            <v>8266</v>
          </cell>
          <cell r="D97">
            <v>3288</v>
          </cell>
          <cell r="E97">
            <v>4052</v>
          </cell>
          <cell r="F97">
            <v>-1641</v>
          </cell>
          <cell r="G97">
            <v>16045</v>
          </cell>
          <cell r="H97">
            <v>20150</v>
          </cell>
          <cell r="I97">
            <v>9170</v>
          </cell>
          <cell r="L97">
            <v>10607</v>
          </cell>
          <cell r="M97">
            <v>1785</v>
          </cell>
          <cell r="O97">
            <v>9975</v>
          </cell>
          <cell r="P97">
            <v>10270.332944616051</v>
          </cell>
          <cell r="Q97">
            <v>10441.095380662644</v>
          </cell>
          <cell r="R97">
            <v>10551.975416559595</v>
          </cell>
          <cell r="S97">
            <v>11863.861649874994</v>
          </cell>
          <cell r="T97">
            <v>12580.98762817125</v>
          </cell>
          <cell r="U97">
            <v>12044.5953628875</v>
          </cell>
          <cell r="V97">
            <v>12158.459347583226</v>
          </cell>
          <cell r="W97">
            <v>12111.032218139811</v>
          </cell>
          <cell r="X97">
            <v>12134.603480179452</v>
          </cell>
          <cell r="Y97">
            <v>11897.725533543342</v>
          </cell>
          <cell r="Z97">
            <v>12914.413251218699</v>
          </cell>
        </row>
        <row r="98">
          <cell r="A98" t="str">
            <v>Free Cash Flow Per Share</v>
          </cell>
        </row>
        <row r="100">
          <cell r="A100" t="str">
            <v>Cash flow ratios</v>
          </cell>
        </row>
        <row r="101">
          <cell r="A101" t="str">
            <v>Cashflow as % sales</v>
          </cell>
        </row>
        <row r="103">
          <cell r="A103" t="str">
            <v>Free cashflow to Firm calculation</v>
          </cell>
          <cell r="B103">
            <v>0</v>
          </cell>
        </row>
        <row r="104">
          <cell r="A104" t="str">
            <v>EBIT</v>
          </cell>
        </row>
        <row r="105">
          <cell r="A105" t="str">
            <v>Depreciation and amortization</v>
          </cell>
        </row>
        <row r="106">
          <cell r="A106" t="str">
            <v>EBITDA</v>
          </cell>
          <cell r="D106">
            <v>9565</v>
          </cell>
          <cell r="E106">
            <v>9639</v>
          </cell>
          <cell r="F106">
            <v>11634</v>
          </cell>
          <cell r="G106">
            <v>12283</v>
          </cell>
          <cell r="H106">
            <v>14945</v>
          </cell>
          <cell r="I106">
            <v>16786</v>
          </cell>
          <cell r="L106">
            <v>16113</v>
          </cell>
          <cell r="O106">
            <v>15835</v>
          </cell>
          <cell r="P106">
            <v>17533.14451216493</v>
          </cell>
          <cell r="Q106">
            <v>17109.991585003314</v>
          </cell>
          <cell r="R106">
            <v>17831.658057592231</v>
          </cell>
          <cell r="S106">
            <v>18692.314436359495</v>
          </cell>
          <cell r="T106">
            <v>19656.454607828651</v>
          </cell>
          <cell r="U106">
            <v>19617.773292858685</v>
          </cell>
          <cell r="V106">
            <v>19613.414952739629</v>
          </cell>
          <cell r="W106">
            <v>19762.792907563882</v>
          </cell>
          <cell r="X106">
            <v>19920.393988440595</v>
          </cell>
          <cell r="Y106">
            <v>19794.165190143722</v>
          </cell>
          <cell r="Z106">
            <v>20469.165190562202</v>
          </cell>
        </row>
        <row r="108">
          <cell r="A108" t="str">
            <v>Tax rate</v>
          </cell>
          <cell r="C108">
            <v>0.15219212510471936</v>
          </cell>
          <cell r="D108">
            <v>0.14623467600700527</v>
          </cell>
          <cell r="E108">
            <v>0.1264859089087752</v>
          </cell>
          <cell r="F108">
            <v>0.14214278114693052</v>
          </cell>
          <cell r="G108">
            <v>0.1479540415238863</v>
          </cell>
          <cell r="H108">
            <v>0.14809434284737652</v>
          </cell>
          <cell r="I108">
            <v>0.14183607166063306</v>
          </cell>
          <cell r="L108">
            <v>0.14114416475972541</v>
          </cell>
          <cell r="O108">
            <v>0.1344201210992082</v>
          </cell>
          <cell r="P108">
            <v>0.14499999999999999</v>
          </cell>
          <cell r="Q108">
            <v>0.14499999999999999</v>
          </cell>
          <cell r="R108">
            <v>0.14499999999999999</v>
          </cell>
          <cell r="S108">
            <v>0.14499999999999999</v>
          </cell>
          <cell r="T108">
            <v>0.14499999999999999</v>
          </cell>
          <cell r="U108">
            <v>0.14499999999999999</v>
          </cell>
          <cell r="V108">
            <v>0.14499999999999999</v>
          </cell>
          <cell r="W108">
            <v>0.14499999999999999</v>
          </cell>
          <cell r="X108">
            <v>0.14499999999999999</v>
          </cell>
          <cell r="Y108">
            <v>0.14499999999999999</v>
          </cell>
          <cell r="Z108">
            <v>0.14499999999999999</v>
          </cell>
        </row>
        <row r="109">
          <cell r="A109" t="str">
            <v>NOPAT</v>
          </cell>
          <cell r="C109">
            <v>0</v>
          </cell>
          <cell r="D109">
            <v>8166.265323992995</v>
          </cell>
          <cell r="E109">
            <v>8419.8023240283164</v>
          </cell>
          <cell r="F109">
            <v>9980.3108841366102</v>
          </cell>
          <cell r="G109">
            <v>10465.680507962104</v>
          </cell>
          <cell r="H109">
            <v>12731.730046145958</v>
          </cell>
          <cell r="I109">
            <v>14405.139701104614</v>
          </cell>
          <cell r="L109">
            <v>13838.744073226546</v>
          </cell>
          <cell r="O109">
            <v>13706.457382394037</v>
          </cell>
          <cell r="P109">
            <v>14990.838557901016</v>
          </cell>
          <cell r="Q109">
            <v>14629.042805177833</v>
          </cell>
          <cell r="R109">
            <v>15246.067639241357</v>
          </cell>
          <cell r="S109">
            <v>15981.928843087368</v>
          </cell>
          <cell r="T109">
            <v>16806.268689693497</v>
          </cell>
          <cell r="U109">
            <v>16773.196165394176</v>
          </cell>
          <cell r="V109">
            <v>16769.469784592384</v>
          </cell>
          <cell r="W109">
            <v>16897.187935967118</v>
          </cell>
          <cell r="X109">
            <v>17031.936860116708</v>
          </cell>
          <cell r="Y109">
            <v>16924.011237572882</v>
          </cell>
          <cell r="Z109">
            <v>17501.136237930681</v>
          </cell>
        </row>
        <row r="111">
          <cell r="A111" t="str">
            <v>Increase in working capital</v>
          </cell>
          <cell r="C111">
            <v>-348</v>
          </cell>
          <cell r="D111">
            <v>-385</v>
          </cell>
          <cell r="E111">
            <v>-628</v>
          </cell>
          <cell r="F111">
            <v>-756</v>
          </cell>
          <cell r="G111">
            <v>-185</v>
          </cell>
          <cell r="H111">
            <v>1481</v>
          </cell>
          <cell r="I111">
            <v>-492</v>
          </cell>
          <cell r="L111">
            <v>183</v>
          </cell>
          <cell r="O111">
            <v>-562</v>
          </cell>
          <cell r="P111">
            <v>-542.27679784689963</v>
          </cell>
          <cell r="Q111">
            <v>-611.39915072921985</v>
          </cell>
          <cell r="R111">
            <v>-770.6799532826717</v>
          </cell>
          <cell r="S111">
            <v>-848.90469985667733</v>
          </cell>
          <cell r="T111">
            <v>-932.54836466469078</v>
          </cell>
          <cell r="U111">
            <v>-619.17611503988883</v>
          </cell>
          <cell r="V111">
            <v>-785.17619195593034</v>
          </cell>
          <cell r="W111">
            <v>-712.20238175528084</v>
          </cell>
          <cell r="X111">
            <v>-769.47256728811317</v>
          </cell>
          <cell r="Y111">
            <v>-980.82277976408295</v>
          </cell>
          <cell r="Z111">
            <v>0</v>
          </cell>
        </row>
        <row r="112">
          <cell r="A112" t="str">
            <v>CAPEX</v>
          </cell>
          <cell r="C112">
            <v>-1515</v>
          </cell>
          <cell r="D112">
            <v>-2230</v>
          </cell>
          <cell r="E112">
            <v>-3133</v>
          </cell>
          <cell r="F112">
            <v>-2316</v>
          </cell>
          <cell r="G112">
            <v>-2733</v>
          </cell>
          <cell r="H112">
            <v>-2232</v>
          </cell>
          <cell r="I112">
            <v>-2387</v>
          </cell>
          <cell r="L112">
            <v>-3068</v>
          </cell>
          <cell r="O112">
            <v>-3571</v>
          </cell>
          <cell r="P112">
            <v>-3534.6985707422168</v>
          </cell>
          <cell r="Q112">
            <v>-3609.1894061452567</v>
          </cell>
          <cell r="R112">
            <v>-3405.8887320034546</v>
          </cell>
          <cell r="S112">
            <v>-3513.8903543188708</v>
          </cell>
          <cell r="T112">
            <v>-3631.7847143023282</v>
          </cell>
          <cell r="U112">
            <v>-3656.3355372037395</v>
          </cell>
          <cell r="V112">
            <v>-3708.6883779523378</v>
          </cell>
          <cell r="W112">
            <v>-3727.9296530692036</v>
          </cell>
          <cell r="X112">
            <v>-3745.1588179970367</v>
          </cell>
          <cell r="Y112">
            <v>-3798.2139851121374</v>
          </cell>
          <cell r="Z112">
            <v>-3760.4873049343987</v>
          </cell>
        </row>
        <row r="114">
          <cell r="A114" t="str">
            <v>Free Cash flow to Firm</v>
          </cell>
          <cell r="C114">
            <v>-1863</v>
          </cell>
          <cell r="D114">
            <v>5551.265323992995</v>
          </cell>
          <cell r="E114">
            <v>4658.8023240283164</v>
          </cell>
          <cell r="F114">
            <v>6908.3108841366102</v>
          </cell>
          <cell r="G114">
            <v>7547.6805079621045</v>
          </cell>
          <cell r="H114">
            <v>11980.730046145958</v>
          </cell>
          <cell r="I114">
            <v>11526.139701104614</v>
          </cell>
          <cell r="L114">
            <v>10953.744073226546</v>
          </cell>
          <cell r="O114">
            <v>9573.4573823940373</v>
          </cell>
          <cell r="P114">
            <v>10913.863189311898</v>
          </cell>
          <cell r="Q114">
            <v>10408.454248303357</v>
          </cell>
          <cell r="R114">
            <v>11069.49895395523</v>
          </cell>
          <cell r="S114">
            <v>11619.133788911819</v>
          </cell>
          <cell r="T114">
            <v>12241.935610726479</v>
          </cell>
          <cell r="U114">
            <v>12497.684513150547</v>
          </cell>
          <cell r="V114">
            <v>12275.605214684116</v>
          </cell>
          <cell r="W114">
            <v>12457.055901142634</v>
          </cell>
          <cell r="X114">
            <v>12517.305474831559</v>
          </cell>
          <cell r="Y114">
            <v>12144.974472696662</v>
          </cell>
          <cell r="Z114">
            <v>13740.648932996282</v>
          </cell>
        </row>
        <row r="117">
          <cell r="B117">
            <v>-1149</v>
          </cell>
          <cell r="C117">
            <v>-5225</v>
          </cell>
          <cell r="D117">
            <v>-3952</v>
          </cell>
          <cell r="E117">
            <v>-2934</v>
          </cell>
          <cell r="F117">
            <v>-7973</v>
          </cell>
          <cell r="G117">
            <v>-11296</v>
          </cell>
          <cell r="H117">
            <v>-13421</v>
          </cell>
          <cell r="I117">
            <v>1721</v>
          </cell>
          <cell r="L117">
            <v>-2462</v>
          </cell>
          <cell r="O117">
            <v>363</v>
          </cell>
          <cell r="P117">
            <v>0</v>
          </cell>
          <cell r="Q117">
            <v>0</v>
          </cell>
          <cell r="R117">
            <v>0</v>
          </cell>
          <cell r="S117">
            <v>0</v>
          </cell>
          <cell r="T117">
            <v>0</v>
          </cell>
          <cell r="U117">
            <v>0</v>
          </cell>
          <cell r="V117">
            <v>0</v>
          </cell>
          <cell r="W117">
            <v>0</v>
          </cell>
          <cell r="X117">
            <v>0</v>
          </cell>
          <cell r="Y117">
            <v>0</v>
          </cell>
          <cell r="Z117">
            <v>0</v>
          </cell>
          <cell r="AB117" t="str">
            <v>mstag:netDisposalsAcquisitions</v>
          </cell>
          <cell r="AC117">
            <v>6</v>
          </cell>
          <cell r="AD117" t="str">
            <v>ISO4217:USD</v>
          </cell>
          <cell r="AE117" t="b">
            <v>0</v>
          </cell>
          <cell r="AF117" t="b">
            <v>0</v>
          </cell>
        </row>
        <row r="118">
          <cell r="A118" t="str">
            <v>Investment in associates</v>
          </cell>
          <cell r="AB118" t="str">
            <v>mstag:proceedsFromDivestituresOfFundsUsedTopurchaseInterestInEquityMethodInvestmentsNonoperating</v>
          </cell>
          <cell r="AC118">
            <v>6</v>
          </cell>
          <cell r="AD118" t="str">
            <v>ISO4217:USD</v>
          </cell>
          <cell r="AE118" t="b">
            <v>0</v>
          </cell>
          <cell r="AF118" t="b">
            <v>0</v>
          </cell>
        </row>
        <row r="119">
          <cell r="A119" t="str">
            <v>To make CF ModelWare</v>
          </cell>
          <cell r="B119">
            <v>0</v>
          </cell>
          <cell r="AB119" t="str">
            <v>mstag:otherCashFlow</v>
          </cell>
          <cell r="AC119">
            <v>6</v>
          </cell>
          <cell r="AD119" t="str">
            <v>ISO4217:USD</v>
          </cell>
          <cell r="AE119" t="b">
            <v>0</v>
          </cell>
          <cell r="AF119" t="b">
            <v>0</v>
          </cell>
        </row>
        <row r="120">
          <cell r="A120" t="str">
            <v>Accrual Issuances/Repurchases of Common Stock</v>
          </cell>
          <cell r="B120">
            <v>-1488</v>
          </cell>
          <cell r="C120">
            <v>184</v>
          </cell>
          <cell r="D120">
            <v>775</v>
          </cell>
          <cell r="E120">
            <v>-4029</v>
          </cell>
          <cell r="F120">
            <v>94</v>
          </cell>
          <cell r="G120">
            <v>866</v>
          </cell>
          <cell r="H120">
            <v>1055</v>
          </cell>
          <cell r="I120">
            <v>-2679</v>
          </cell>
          <cell r="L120">
            <v>655</v>
          </cell>
          <cell r="O120">
            <v>-2200</v>
          </cell>
          <cell r="P120">
            <v>-2500</v>
          </cell>
          <cell r="Q120">
            <v>-2500</v>
          </cell>
          <cell r="R120">
            <v>-1500</v>
          </cell>
          <cell r="S120">
            <v>-1500</v>
          </cell>
          <cell r="T120">
            <v>0</v>
          </cell>
          <cell r="U120">
            <v>0</v>
          </cell>
          <cell r="V120">
            <v>0</v>
          </cell>
          <cell r="W120">
            <v>0</v>
          </cell>
          <cell r="X120">
            <v>0</v>
          </cell>
          <cell r="Y120">
            <v>0</v>
          </cell>
          <cell r="Z120">
            <v>0</v>
          </cell>
          <cell r="AB120" t="str">
            <v>mstag:netIssuanceRepurchaseOfCommonStock</v>
          </cell>
          <cell r="AC120">
            <v>6</v>
          </cell>
          <cell r="AD120" t="str">
            <v>ISO4217:USD</v>
          </cell>
          <cell r="AE120" t="b">
            <v>0</v>
          </cell>
          <cell r="AF120" t="b">
            <v>0</v>
          </cell>
        </row>
        <row r="122">
          <cell r="B122" t="str">
            <v>2004-FY</v>
          </cell>
          <cell r="C122" t="str">
            <v>2005-FY</v>
          </cell>
          <cell r="D122" t="str">
            <v>2006-FY</v>
          </cell>
          <cell r="E122" t="str">
            <v>2007-FY</v>
          </cell>
          <cell r="F122" t="str">
            <v>2008-FY</v>
          </cell>
          <cell r="G122" t="str">
            <v>2009-FY</v>
          </cell>
          <cell r="H122" t="str">
            <v>2010-FY</v>
          </cell>
          <cell r="I122" t="str">
            <v>2011-FY</v>
          </cell>
          <cell r="L122" t="str">
            <v>2012-FY</v>
          </cell>
          <cell r="O122" t="str">
            <v>2013-FY</v>
          </cell>
          <cell r="P122" t="str">
            <v>2014-FY</v>
          </cell>
          <cell r="Q122" t="str">
            <v>2015-FY</v>
          </cell>
          <cell r="R122" t="str">
            <v>2016-FY</v>
          </cell>
          <cell r="S122" t="str">
            <v>2017-FY</v>
          </cell>
          <cell r="T122" t="str">
            <v>2018-FY</v>
          </cell>
          <cell r="U122" t="str">
            <v>2019-FY</v>
          </cell>
          <cell r="V122" t="str">
            <v>2020-FY</v>
          </cell>
          <cell r="W122" t="str">
            <v>2021-FY</v>
          </cell>
          <cell r="X122" t="str">
            <v>2022-FY</v>
          </cell>
          <cell r="Y122" t="str">
            <v>2023-FY</v>
          </cell>
          <cell r="Z122" t="str">
            <v>2024-FY</v>
          </cell>
        </row>
        <row r="126">
          <cell r="A126" t="str">
            <v>Credit analysis</v>
          </cell>
        </row>
        <row r="127">
          <cell r="A127" t="str">
            <v>FFO</v>
          </cell>
          <cell r="E127">
            <v>9210</v>
          </cell>
          <cell r="F127">
            <v>9769</v>
          </cell>
          <cell r="G127">
            <v>12191</v>
          </cell>
          <cell r="H127">
            <v>14067</v>
          </cell>
          <cell r="I127">
            <v>14309</v>
          </cell>
          <cell r="L127">
            <v>14194</v>
          </cell>
          <cell r="O127">
            <v>13174</v>
          </cell>
          <cell r="P127">
            <v>13805.031515358269</v>
          </cell>
        </row>
        <row r="128">
          <cell r="A128" t="str">
            <v>FFC</v>
          </cell>
          <cell r="E128">
            <v>2966</v>
          </cell>
          <cell r="F128">
            <v>-598</v>
          </cell>
          <cell r="G128">
            <v>-2028</v>
          </cell>
          <cell r="H128">
            <v>-1689</v>
          </cell>
          <cell r="I128">
            <v>13517</v>
          </cell>
          <cell r="L128">
            <v>8519</v>
          </cell>
          <cell r="O128">
            <v>9822</v>
          </cell>
          <cell r="P128">
            <v>10270.332944616051</v>
          </cell>
        </row>
        <row r="129">
          <cell r="A129" t="str">
            <v>EBIT</v>
          </cell>
          <cell r="E129">
            <v>6781</v>
          </cell>
          <cell r="F129">
            <v>8964</v>
          </cell>
          <cell r="G129">
            <v>9982</v>
          </cell>
          <cell r="H129">
            <v>11526</v>
          </cell>
          <cell r="I129">
            <v>10998</v>
          </cell>
          <cell r="L129">
            <v>11193</v>
          </cell>
          <cell r="O129">
            <v>10910</v>
          </cell>
          <cell r="P129">
            <v>12801.9336330232</v>
          </cell>
        </row>
        <row r="130">
          <cell r="A130" t="str">
            <v>EBITDA</v>
          </cell>
          <cell r="E130">
            <v>9639</v>
          </cell>
          <cell r="F130">
            <v>11634</v>
          </cell>
          <cell r="G130">
            <v>12283</v>
          </cell>
          <cell r="H130">
            <v>14945</v>
          </cell>
          <cell r="I130">
            <v>16786</v>
          </cell>
          <cell r="L130">
            <v>16113</v>
          </cell>
          <cell r="O130">
            <v>15835</v>
          </cell>
          <cell r="P130">
            <v>17533.14451216493</v>
          </cell>
        </row>
        <row r="132">
          <cell r="A132" t="str">
            <v>Net debt</v>
          </cell>
          <cell r="E132">
            <v>-7407</v>
          </cell>
          <cell r="F132">
            <v>1247</v>
          </cell>
          <cell r="G132">
            <v>-3461</v>
          </cell>
          <cell r="H132">
            <v>14853</v>
          </cell>
          <cell r="I132">
            <v>15080</v>
          </cell>
          <cell r="L132">
            <v>11607</v>
          </cell>
          <cell r="O132">
            <v>8796</v>
          </cell>
          <cell r="P132">
            <v>7750.0850353839487</v>
          </cell>
        </row>
        <row r="133">
          <cell r="A133" t="str">
            <v>Total debt</v>
          </cell>
          <cell r="E133">
            <v>5794</v>
          </cell>
          <cell r="F133">
            <v>7364</v>
          </cell>
          <cell r="G133">
            <v>13988</v>
          </cell>
          <cell r="H133">
            <v>22987</v>
          </cell>
          <cell r="I133">
            <v>20155</v>
          </cell>
          <cell r="L133">
            <v>19726</v>
          </cell>
          <cell r="O133">
            <v>18018</v>
          </cell>
          <cell r="P133">
            <v>18018</v>
          </cell>
        </row>
        <row r="134">
          <cell r="A134" t="str">
            <v>Interest payments</v>
          </cell>
          <cell r="E134">
            <v>-294</v>
          </cell>
          <cell r="F134">
            <v>6</v>
          </cell>
          <cell r="G134">
            <v>353</v>
          </cell>
          <cell r="H134">
            <v>628</v>
          </cell>
          <cell r="I134">
            <v>753</v>
          </cell>
          <cell r="L134">
            <v>820</v>
          </cell>
          <cell r="O134">
            <v>775</v>
          </cell>
          <cell r="P134">
            <v>676.26239388111617</v>
          </cell>
        </row>
        <row r="136">
          <cell r="A136" t="str">
            <v>Interest cover</v>
          </cell>
          <cell r="E136">
            <v>-23.064625850340136</v>
          </cell>
          <cell r="F136">
            <v>1494</v>
          </cell>
          <cell r="G136">
            <v>28.277620396600568</v>
          </cell>
          <cell r="H136">
            <v>18.353503184713375</v>
          </cell>
          <cell r="I136">
            <v>14.605577689243027</v>
          </cell>
          <cell r="L136">
            <v>13.65</v>
          </cell>
          <cell r="O136">
            <v>14.07741935483871</v>
          </cell>
          <cell r="P136">
            <v>18.930423677046459</v>
          </cell>
        </row>
        <row r="137">
          <cell r="A137" t="str">
            <v>FFO/ Total debt</v>
          </cell>
          <cell r="E137">
            <v>1.5895754228512253</v>
          </cell>
          <cell r="F137">
            <v>1.3265888104291146</v>
          </cell>
          <cell r="G137">
            <v>0.8715327423505862</v>
          </cell>
          <cell r="H137">
            <v>0.61195458302518813</v>
          </cell>
          <cell r="I137">
            <v>0.70994790374596872</v>
          </cell>
          <cell r="L137">
            <v>0.71955794383047755</v>
          </cell>
          <cell r="O137">
            <v>0.73115773115773119</v>
          </cell>
          <cell r="P137">
            <v>0.76618001528239921</v>
          </cell>
        </row>
        <row r="138">
          <cell r="A138" t="str">
            <v>FFC/ Total Debt</v>
          </cell>
          <cell r="E138">
            <v>0.51190887124611673</v>
          </cell>
          <cell r="F138">
            <v>-8.1205866376969041E-2</v>
          </cell>
          <cell r="G138">
            <v>-0.1449814126394052</v>
          </cell>
          <cell r="H138">
            <v>-7.3476312698481747E-2</v>
          </cell>
          <cell r="I138">
            <v>0.67065244356239151</v>
          </cell>
          <cell r="L138">
            <v>0.43186657203690559</v>
          </cell>
          <cell r="O138">
            <v>0.54512154512154509</v>
          </cell>
          <cell r="P138">
            <v>0.57000404843023933</v>
          </cell>
        </row>
        <row r="139">
          <cell r="A139" t="str">
            <v>Net Debt/EBITDA</v>
          </cell>
          <cell r="E139">
            <v>-0.76844070961718025</v>
          </cell>
          <cell r="F139">
            <v>0.10718583462265772</v>
          </cell>
          <cell r="G139">
            <v>-0.28177155418057476</v>
          </cell>
          <cell r="H139">
            <v>0.99384409501505522</v>
          </cell>
          <cell r="I139">
            <v>0.89836768735851302</v>
          </cell>
          <cell r="L139">
            <v>0.72035002792776015</v>
          </cell>
          <cell r="O139">
            <v>0.55547837069782124</v>
          </cell>
          <cell r="P139">
            <v>0.44202481933612919</v>
          </cell>
        </row>
      </sheetData>
      <sheetData sheetId="22" refreshError="1">
        <row r="1">
          <cell r="A1" t="str">
            <v>Novartis: Pension Fund Statement 2005-2024e</v>
          </cell>
        </row>
        <row r="2">
          <cell r="A2" t="str">
            <v>$m</v>
          </cell>
          <cell r="B2">
            <v>2005</v>
          </cell>
          <cell r="C2">
            <v>2006</v>
          </cell>
          <cell r="D2">
            <v>2007</v>
          </cell>
          <cell r="E2">
            <v>2008</v>
          </cell>
          <cell r="F2">
            <v>2009</v>
          </cell>
          <cell r="G2">
            <v>2010</v>
          </cell>
          <cell r="H2">
            <v>2011</v>
          </cell>
          <cell r="I2">
            <v>2012</v>
          </cell>
          <cell r="J2">
            <v>2013</v>
          </cell>
          <cell r="K2" t="str">
            <v>2014e</v>
          </cell>
          <cell r="L2" t="str">
            <v>2015e</v>
          </cell>
          <cell r="M2" t="str">
            <v>2016e</v>
          </cell>
          <cell r="N2" t="str">
            <v>2017e</v>
          </cell>
          <cell r="O2" t="str">
            <v>2018e</v>
          </cell>
          <cell r="P2" t="str">
            <v>2019e</v>
          </cell>
          <cell r="Q2" t="str">
            <v>2020e</v>
          </cell>
          <cell r="R2" t="str">
            <v>2021e</v>
          </cell>
          <cell r="S2" t="str">
            <v>2022e</v>
          </cell>
          <cell r="T2" t="str">
            <v>2023e</v>
          </cell>
          <cell r="U2" t="str">
            <v>2024e</v>
          </cell>
        </row>
        <row r="3">
          <cell r="A3" t="str">
            <v>Income Statement Items</v>
          </cell>
        </row>
        <row r="4">
          <cell r="A4" t="str">
            <v>Current Service Cost</v>
          </cell>
          <cell r="B4">
            <v>363</v>
          </cell>
          <cell r="C4">
            <v>417</v>
          </cell>
          <cell r="D4">
            <v>424</v>
          </cell>
          <cell r="E4">
            <v>415</v>
          </cell>
          <cell r="F4">
            <v>411</v>
          </cell>
          <cell r="G4">
            <v>350</v>
          </cell>
          <cell r="H4">
            <v>423</v>
          </cell>
          <cell r="I4">
            <v>395</v>
          </cell>
          <cell r="J4">
            <v>408.82499999999999</v>
          </cell>
          <cell r="K4">
            <v>423.13387499999993</v>
          </cell>
          <cell r="L4">
            <v>437.94356062499992</v>
          </cell>
          <cell r="M4">
            <v>453.27158524687491</v>
          </cell>
          <cell r="N4">
            <v>469.13609073051549</v>
          </cell>
          <cell r="O4">
            <v>485.55585390608348</v>
          </cell>
          <cell r="P4">
            <v>502.55030879279639</v>
          </cell>
          <cell r="Q4">
            <v>520.13956960054418</v>
          </cell>
          <cell r="R4">
            <v>538.34445453656315</v>
          </cell>
          <cell r="S4">
            <v>557.18651044534283</v>
          </cell>
          <cell r="T4">
            <v>576.68803831092976</v>
          </cell>
          <cell r="U4">
            <v>596.87211965181223</v>
          </cell>
        </row>
        <row r="5">
          <cell r="A5" t="str">
            <v>Net interest expense</v>
          </cell>
          <cell r="B5">
            <v>567</v>
          </cell>
          <cell r="C5">
            <v>559</v>
          </cell>
          <cell r="D5">
            <v>615</v>
          </cell>
          <cell r="E5">
            <v>694</v>
          </cell>
          <cell r="F5">
            <v>705</v>
          </cell>
          <cell r="G5">
            <v>667</v>
          </cell>
          <cell r="H5">
            <v>732</v>
          </cell>
          <cell r="I5">
            <v>665</v>
          </cell>
          <cell r="J5">
            <v>739.58699999999999</v>
          </cell>
          <cell r="K5">
            <v>744.03</v>
          </cell>
          <cell r="L5">
            <v>745.14491624999994</v>
          </cell>
          <cell r="M5">
            <v>746.61757055624992</v>
          </cell>
          <cell r="N5">
            <v>747.93424523034366</v>
          </cell>
          <cell r="O5">
            <v>749.4063553091695</v>
          </cell>
          <cell r="P5">
            <v>751.02522158562704</v>
          </cell>
          <cell r="Q5">
            <v>752.83595154926741</v>
          </cell>
          <cell r="R5">
            <v>754.85895107528495</v>
          </cell>
          <cell r="S5">
            <v>757.11583492506793</v>
          </cell>
          <cell r="T5">
            <v>759.62948462931968</v>
          </cell>
          <cell r="U5">
            <v>762.42410887062852</v>
          </cell>
        </row>
        <row r="6">
          <cell r="A6" t="str">
            <v>Expected return on plan assets</v>
          </cell>
          <cell r="B6">
            <v>-716</v>
          </cell>
          <cell r="C6">
            <v>-758</v>
          </cell>
          <cell r="D6">
            <v>-804</v>
          </cell>
          <cell r="E6">
            <v>-843</v>
          </cell>
          <cell r="F6">
            <v>-698</v>
          </cell>
          <cell r="G6">
            <v>-778</v>
          </cell>
          <cell r="H6">
            <v>-909</v>
          </cell>
          <cell r="I6">
            <v>-829</v>
          </cell>
          <cell r="J6">
            <v>-588.178</v>
          </cell>
          <cell r="K6">
            <v>-644.42999999999995</v>
          </cell>
          <cell r="L6">
            <v>-643.99289999999996</v>
          </cell>
          <cell r="M6">
            <v>-643.917237</v>
          </cell>
          <cell r="N6">
            <v>-643.69116336000013</v>
          </cell>
          <cell r="O6">
            <v>-643.62808183455013</v>
          </cell>
          <cell r="P6">
            <v>-643.72142428841789</v>
          </cell>
          <cell r="Q6">
            <v>-644.01853856814841</v>
          </cell>
          <cell r="R6">
            <v>-644.54220637796402</v>
          </cell>
          <cell r="S6">
            <v>-645.316560233622</v>
          </cell>
          <cell r="T6">
            <v>-646.3671480760629</v>
          </cell>
          <cell r="U6">
            <v>-647.72100067296924</v>
          </cell>
        </row>
        <row r="7">
          <cell r="A7" t="str">
            <v>Recognized past service cost</v>
          </cell>
          <cell r="B7">
            <v>4</v>
          </cell>
          <cell r="C7">
            <v>-11</v>
          </cell>
          <cell r="D7">
            <v>-20</v>
          </cell>
          <cell r="E7">
            <v>-2</v>
          </cell>
          <cell r="F7">
            <v>0</v>
          </cell>
          <cell r="G7">
            <v>2</v>
          </cell>
          <cell r="H7">
            <v>3</v>
          </cell>
          <cell r="I7">
            <v>1</v>
          </cell>
          <cell r="J7">
            <v>0</v>
          </cell>
          <cell r="K7">
            <v>0</v>
          </cell>
          <cell r="L7">
            <v>0</v>
          </cell>
          <cell r="M7">
            <v>0</v>
          </cell>
          <cell r="N7">
            <v>0</v>
          </cell>
          <cell r="O7">
            <v>0</v>
          </cell>
          <cell r="P7">
            <v>0</v>
          </cell>
          <cell r="Q7">
            <v>0</v>
          </cell>
          <cell r="R7">
            <v>0</v>
          </cell>
          <cell r="S7">
            <v>0</v>
          </cell>
          <cell r="T7">
            <v>0</v>
          </cell>
          <cell r="U7">
            <v>0</v>
          </cell>
        </row>
        <row r="8">
          <cell r="A8" t="str">
            <v>Curtailment and settlement (gains)/losses</v>
          </cell>
          <cell r="B8">
            <v>0</v>
          </cell>
          <cell r="C8">
            <v>-8</v>
          </cell>
          <cell r="D8">
            <v>-29</v>
          </cell>
          <cell r="E8">
            <v>6</v>
          </cell>
          <cell r="F8">
            <v>-1</v>
          </cell>
          <cell r="G8">
            <v>-270</v>
          </cell>
          <cell r="H8">
            <v>18</v>
          </cell>
          <cell r="I8">
            <v>-4</v>
          </cell>
          <cell r="J8">
            <v>0</v>
          </cell>
          <cell r="K8">
            <v>0</v>
          </cell>
          <cell r="L8">
            <v>0</v>
          </cell>
          <cell r="M8">
            <v>0</v>
          </cell>
          <cell r="N8">
            <v>0</v>
          </cell>
          <cell r="O8">
            <v>0</v>
          </cell>
          <cell r="P8">
            <v>0</v>
          </cell>
          <cell r="Q8">
            <v>0</v>
          </cell>
          <cell r="R8">
            <v>0</v>
          </cell>
          <cell r="S8">
            <v>0</v>
          </cell>
          <cell r="T8">
            <v>0</v>
          </cell>
          <cell r="U8">
            <v>0</v>
          </cell>
        </row>
        <row r="9">
          <cell r="A9" t="str">
            <v>Net P&amp;L Expense</v>
          </cell>
          <cell r="B9">
            <v>218</v>
          </cell>
          <cell r="C9">
            <v>199</v>
          </cell>
          <cell r="D9">
            <v>186</v>
          </cell>
          <cell r="E9">
            <v>270</v>
          </cell>
          <cell r="F9">
            <v>417</v>
          </cell>
          <cell r="G9">
            <v>-29</v>
          </cell>
          <cell r="H9">
            <v>267</v>
          </cell>
          <cell r="I9">
            <v>228</v>
          </cell>
          <cell r="J9">
            <v>560.23400000000004</v>
          </cell>
          <cell r="K9">
            <v>522.73387500000001</v>
          </cell>
          <cell r="L9">
            <v>539.09557687499978</v>
          </cell>
          <cell r="M9">
            <v>555.97191880312482</v>
          </cell>
          <cell r="N9">
            <v>573.37917260085908</v>
          </cell>
          <cell r="O9">
            <v>591.33412738070297</v>
          </cell>
          <cell r="P9">
            <v>609.85410609000564</v>
          </cell>
          <cell r="Q9">
            <v>628.95698258166317</v>
          </cell>
          <cell r="R9">
            <v>648.66119923388419</v>
          </cell>
          <cell r="S9">
            <v>668.98578513678888</v>
          </cell>
          <cell r="T9">
            <v>689.95037486418664</v>
          </cell>
          <cell r="U9">
            <v>711.5752278494715</v>
          </cell>
        </row>
        <row r="12">
          <cell r="A12" t="str">
            <v>Balance Sheet Items</v>
          </cell>
        </row>
        <row r="13">
          <cell r="A13" t="str">
            <v>Defined Benefit Obligation - Opening</v>
          </cell>
          <cell r="B13">
            <v>16488</v>
          </cell>
          <cell r="C13">
            <v>15632</v>
          </cell>
          <cell r="D13">
            <v>16767</v>
          </cell>
          <cell r="E13">
            <v>17105</v>
          </cell>
          <cell r="F13">
            <v>17643</v>
          </cell>
          <cell r="G13">
            <v>18009</v>
          </cell>
          <cell r="H13">
            <v>20568</v>
          </cell>
          <cell r="I13">
            <v>21730</v>
          </cell>
          <cell r="J13">
            <v>25503</v>
          </cell>
          <cell r="K13">
            <v>24801</v>
          </cell>
          <cell r="L13">
            <v>24838.163874999998</v>
          </cell>
          <cell r="M13">
            <v>24887.252351874999</v>
          </cell>
          <cell r="N13">
            <v>24931.141507678123</v>
          </cell>
          <cell r="O13">
            <v>24980.211843638983</v>
          </cell>
          <cell r="P13">
            <v>25034.174052854236</v>
          </cell>
          <cell r="Q13">
            <v>25094.531718308914</v>
          </cell>
          <cell r="R13">
            <v>25161.965035842833</v>
          </cell>
          <cell r="S13">
            <v>25237.194497502267</v>
          </cell>
          <cell r="T13">
            <v>25320.982820977322</v>
          </cell>
          <cell r="U13">
            <v>25414.136962354285</v>
          </cell>
        </row>
        <row r="14">
          <cell r="A14" t="str">
            <v>Current Service Cost</v>
          </cell>
          <cell r="B14">
            <v>363</v>
          </cell>
          <cell r="C14">
            <v>417</v>
          </cell>
          <cell r="D14">
            <v>424</v>
          </cell>
          <cell r="E14">
            <v>415</v>
          </cell>
          <cell r="F14">
            <v>411</v>
          </cell>
          <cell r="G14">
            <v>350</v>
          </cell>
          <cell r="H14">
            <v>423</v>
          </cell>
          <cell r="I14">
            <v>395</v>
          </cell>
          <cell r="J14">
            <v>478</v>
          </cell>
          <cell r="K14">
            <v>423.13387499999993</v>
          </cell>
          <cell r="L14">
            <v>437.94356062499992</v>
          </cell>
          <cell r="M14">
            <v>453.27158524687491</v>
          </cell>
          <cell r="N14">
            <v>469.13609073051549</v>
          </cell>
          <cell r="O14">
            <v>485.55585390608348</v>
          </cell>
          <cell r="P14">
            <v>502.55030879279639</v>
          </cell>
          <cell r="Q14">
            <v>520.13956960054418</v>
          </cell>
          <cell r="R14">
            <v>538.34445453656315</v>
          </cell>
          <cell r="S14">
            <v>557.18651044534283</v>
          </cell>
          <cell r="T14">
            <v>576.68803831092976</v>
          </cell>
          <cell r="U14">
            <v>596.87211965181223</v>
          </cell>
        </row>
        <row r="15">
          <cell r="A15" t="str">
            <v>Interest cost</v>
          </cell>
          <cell r="B15">
            <v>567</v>
          </cell>
          <cell r="C15">
            <v>559</v>
          </cell>
          <cell r="D15">
            <v>615</v>
          </cell>
          <cell r="E15">
            <v>694</v>
          </cell>
          <cell r="F15">
            <v>705</v>
          </cell>
          <cell r="G15">
            <v>667</v>
          </cell>
          <cell r="H15">
            <v>732</v>
          </cell>
          <cell r="I15">
            <v>665</v>
          </cell>
          <cell r="J15">
            <v>580</v>
          </cell>
          <cell r="K15">
            <v>744.03</v>
          </cell>
          <cell r="L15">
            <v>745.14491624999994</v>
          </cell>
          <cell r="M15">
            <v>746.61757055624992</v>
          </cell>
          <cell r="N15">
            <v>747.93424523034366</v>
          </cell>
          <cell r="O15">
            <v>749.4063553091695</v>
          </cell>
          <cell r="P15">
            <v>751.02522158562704</v>
          </cell>
          <cell r="Q15">
            <v>752.83595154926741</v>
          </cell>
          <cell r="R15">
            <v>754.85895107528495</v>
          </cell>
          <cell r="S15">
            <v>757.11583492506793</v>
          </cell>
          <cell r="T15">
            <v>759.62948462931968</v>
          </cell>
          <cell r="U15">
            <v>762.42410887062852</v>
          </cell>
        </row>
        <row r="16">
          <cell r="A16" t="str">
            <v>Past service costs and settlements</v>
          </cell>
          <cell r="B16">
            <v>0</v>
          </cell>
          <cell r="C16">
            <v>0</v>
          </cell>
          <cell r="D16">
            <v>0</v>
          </cell>
          <cell r="E16">
            <v>0</v>
          </cell>
          <cell r="F16">
            <v>0</v>
          </cell>
          <cell r="G16">
            <v>0</v>
          </cell>
          <cell r="H16">
            <v>0</v>
          </cell>
          <cell r="I16">
            <v>-6</v>
          </cell>
          <cell r="J16">
            <v>-66</v>
          </cell>
          <cell r="K16">
            <v>0</v>
          </cell>
          <cell r="L16">
            <v>0</v>
          </cell>
          <cell r="M16">
            <v>0</v>
          </cell>
          <cell r="N16">
            <v>0</v>
          </cell>
          <cell r="O16">
            <v>0</v>
          </cell>
          <cell r="P16">
            <v>0</v>
          </cell>
          <cell r="Q16">
            <v>0</v>
          </cell>
          <cell r="R16">
            <v>0</v>
          </cell>
          <cell r="S16">
            <v>0</v>
          </cell>
          <cell r="T16">
            <v>0</v>
          </cell>
          <cell r="U16">
            <v>0</v>
          </cell>
        </row>
        <row r="17">
          <cell r="A17" t="str">
            <v>Administrative expenses</v>
          </cell>
          <cell r="B17">
            <v>0</v>
          </cell>
          <cell r="C17">
            <v>0</v>
          </cell>
          <cell r="D17">
            <v>0</v>
          </cell>
          <cell r="E17">
            <v>0</v>
          </cell>
          <cell r="F17">
            <v>0</v>
          </cell>
          <cell r="G17">
            <v>0</v>
          </cell>
          <cell r="H17">
            <v>0</v>
          </cell>
          <cell r="I17">
            <v>15</v>
          </cell>
          <cell r="J17">
            <v>18</v>
          </cell>
          <cell r="K17">
            <v>0</v>
          </cell>
          <cell r="L17">
            <v>0</v>
          </cell>
          <cell r="M17">
            <v>0</v>
          </cell>
          <cell r="N17">
            <v>0</v>
          </cell>
          <cell r="O17">
            <v>0</v>
          </cell>
          <cell r="P17">
            <v>0</v>
          </cell>
          <cell r="Q17">
            <v>0</v>
          </cell>
          <cell r="R17">
            <v>0</v>
          </cell>
          <cell r="S17">
            <v>0</v>
          </cell>
          <cell r="T17">
            <v>0</v>
          </cell>
          <cell r="U17">
            <v>0</v>
          </cell>
        </row>
        <row r="18">
          <cell r="A18" t="str">
            <v>Remeasurement (gains)/losses arising from changes in financial assumptions</v>
          </cell>
          <cell r="B18">
            <v>0</v>
          </cell>
          <cell r="C18">
            <v>0</v>
          </cell>
          <cell r="D18">
            <v>0</v>
          </cell>
          <cell r="E18">
            <v>0</v>
          </cell>
          <cell r="F18">
            <v>0</v>
          </cell>
          <cell r="G18">
            <v>0</v>
          </cell>
          <cell r="H18">
            <v>0</v>
          </cell>
          <cell r="I18">
            <v>2175</v>
          </cell>
          <cell r="J18">
            <v>-1248</v>
          </cell>
          <cell r="K18">
            <v>0</v>
          </cell>
          <cell r="L18">
            <v>0</v>
          </cell>
          <cell r="M18">
            <v>0</v>
          </cell>
          <cell r="N18">
            <v>0</v>
          </cell>
          <cell r="O18">
            <v>0</v>
          </cell>
          <cell r="P18">
            <v>0</v>
          </cell>
          <cell r="Q18">
            <v>0</v>
          </cell>
          <cell r="R18">
            <v>0</v>
          </cell>
          <cell r="S18">
            <v>0</v>
          </cell>
          <cell r="T18">
            <v>0</v>
          </cell>
          <cell r="U18">
            <v>0</v>
          </cell>
        </row>
        <row r="19">
          <cell r="A19" t="str">
            <v>Remeasurement (gains)/losses arising from changes in demographic assumptions</v>
          </cell>
          <cell r="B19">
            <v>0</v>
          </cell>
          <cell r="C19">
            <v>0</v>
          </cell>
          <cell r="D19">
            <v>0</v>
          </cell>
          <cell r="E19">
            <v>0</v>
          </cell>
          <cell r="F19">
            <v>0</v>
          </cell>
          <cell r="G19">
            <v>0</v>
          </cell>
          <cell r="H19">
            <v>0</v>
          </cell>
          <cell r="I19">
            <v>889</v>
          </cell>
          <cell r="J19">
            <v>-60</v>
          </cell>
          <cell r="K19">
            <v>0</v>
          </cell>
          <cell r="L19">
            <v>0</v>
          </cell>
          <cell r="M19">
            <v>0</v>
          </cell>
          <cell r="N19">
            <v>0</v>
          </cell>
          <cell r="O19">
            <v>0</v>
          </cell>
          <cell r="P19">
            <v>0</v>
          </cell>
          <cell r="Q19">
            <v>0</v>
          </cell>
          <cell r="R19">
            <v>0</v>
          </cell>
          <cell r="S19">
            <v>0</v>
          </cell>
          <cell r="T19">
            <v>0</v>
          </cell>
          <cell r="U19">
            <v>0</v>
          </cell>
        </row>
        <row r="20">
          <cell r="A20" t="str">
            <v>Experience related remeasurement losses/(gains)</v>
          </cell>
          <cell r="B20">
            <v>0</v>
          </cell>
          <cell r="C20">
            <v>0</v>
          </cell>
          <cell r="D20">
            <v>0</v>
          </cell>
          <cell r="E20">
            <v>0</v>
          </cell>
          <cell r="F20">
            <v>0</v>
          </cell>
          <cell r="G20">
            <v>0</v>
          </cell>
          <cell r="H20">
            <v>0</v>
          </cell>
          <cell r="I20">
            <v>16</v>
          </cell>
          <cell r="J20">
            <v>160</v>
          </cell>
          <cell r="K20">
            <v>0</v>
          </cell>
          <cell r="L20">
            <v>0</v>
          </cell>
          <cell r="M20">
            <v>0</v>
          </cell>
          <cell r="N20">
            <v>0</v>
          </cell>
          <cell r="O20">
            <v>0</v>
          </cell>
          <cell r="P20">
            <v>0</v>
          </cell>
          <cell r="Q20">
            <v>0</v>
          </cell>
          <cell r="R20">
            <v>0</v>
          </cell>
          <cell r="S20">
            <v>0</v>
          </cell>
          <cell r="T20">
            <v>0</v>
          </cell>
          <cell r="U20">
            <v>0</v>
          </cell>
        </row>
        <row r="21">
          <cell r="A21" t="str">
            <v>Currency translation effects</v>
          </cell>
          <cell r="B21">
            <v>-1921</v>
          </cell>
          <cell r="C21">
            <v>1076</v>
          </cell>
          <cell r="D21">
            <v>1056</v>
          </cell>
          <cell r="E21">
            <v>564</v>
          </cell>
          <cell r="F21">
            <v>329</v>
          </cell>
          <cell r="G21">
            <v>1193</v>
          </cell>
          <cell r="H21">
            <v>-92</v>
          </cell>
          <cell r="I21">
            <v>488</v>
          </cell>
          <cell r="J21">
            <v>442</v>
          </cell>
          <cell r="K21">
            <v>0</v>
          </cell>
          <cell r="L21">
            <v>0</v>
          </cell>
          <cell r="M21">
            <v>0</v>
          </cell>
          <cell r="N21">
            <v>0</v>
          </cell>
          <cell r="O21">
            <v>0</v>
          </cell>
          <cell r="P21">
            <v>0</v>
          </cell>
          <cell r="Q21">
            <v>0</v>
          </cell>
          <cell r="R21">
            <v>0</v>
          </cell>
          <cell r="S21">
            <v>0</v>
          </cell>
          <cell r="T21">
            <v>0</v>
          </cell>
          <cell r="U21">
            <v>0</v>
          </cell>
        </row>
        <row r="22">
          <cell r="A22" t="str">
            <v>Benefit payments</v>
          </cell>
          <cell r="B22">
            <v>-855</v>
          </cell>
          <cell r="C22">
            <v>-865</v>
          </cell>
          <cell r="D22">
            <v>-996</v>
          </cell>
          <cell r="E22">
            <v>-1131</v>
          </cell>
          <cell r="F22">
            <v>-1013</v>
          </cell>
          <cell r="G22">
            <v>-1078</v>
          </cell>
          <cell r="H22">
            <v>-1231</v>
          </cell>
          <cell r="I22">
            <v>-1238</v>
          </cell>
          <cell r="J22">
            <v>-1240</v>
          </cell>
          <cell r="K22">
            <v>-1351</v>
          </cell>
          <cell r="L22">
            <v>-1355</v>
          </cell>
          <cell r="M22">
            <v>-1377</v>
          </cell>
          <cell r="N22">
            <v>-1389</v>
          </cell>
          <cell r="O22">
            <v>-1402</v>
          </cell>
          <cell r="P22">
            <v>-1414.2178649237471</v>
          </cell>
          <cell r="Q22">
            <v>-1426.542203615893</v>
          </cell>
          <cell r="R22">
            <v>-1438.9739439524149</v>
          </cell>
          <cell r="S22">
            <v>-1451.5140218953552</v>
          </cell>
          <cell r="T22">
            <v>-1464.1633815632883</v>
          </cell>
          <cell r="U22">
            <v>-1476.9229753024017</v>
          </cell>
        </row>
        <row r="23">
          <cell r="A23" t="str">
            <v>Contributions of associates</v>
          </cell>
          <cell r="B23">
            <v>63</v>
          </cell>
          <cell r="C23">
            <v>63</v>
          </cell>
          <cell r="D23">
            <v>116</v>
          </cell>
          <cell r="E23">
            <v>112</v>
          </cell>
          <cell r="F23">
            <v>124</v>
          </cell>
          <cell r="G23">
            <v>133</v>
          </cell>
          <cell r="H23">
            <v>187</v>
          </cell>
          <cell r="I23">
            <v>189</v>
          </cell>
          <cell r="J23">
            <v>221</v>
          </cell>
          <cell r="K23">
            <v>221</v>
          </cell>
          <cell r="L23">
            <v>221</v>
          </cell>
          <cell r="M23">
            <v>221</v>
          </cell>
          <cell r="N23">
            <v>221</v>
          </cell>
          <cell r="O23">
            <v>221</v>
          </cell>
          <cell r="P23">
            <v>221</v>
          </cell>
          <cell r="Q23">
            <v>221</v>
          </cell>
          <cell r="R23">
            <v>221</v>
          </cell>
          <cell r="S23">
            <v>221</v>
          </cell>
          <cell r="T23">
            <v>221</v>
          </cell>
          <cell r="U23">
            <v>221</v>
          </cell>
        </row>
        <row r="24">
          <cell r="A24" t="str">
            <v>Plan amendments</v>
          </cell>
          <cell r="B24">
            <v>55</v>
          </cell>
          <cell r="C24">
            <v>-7</v>
          </cell>
          <cell r="D24">
            <v>-94</v>
          </cell>
          <cell r="E24">
            <v>6</v>
          </cell>
          <cell r="F24">
            <v>-4</v>
          </cell>
          <cell r="G24">
            <v>-290</v>
          </cell>
          <cell r="H24">
            <v>18</v>
          </cell>
          <cell r="I24">
            <v>0</v>
          </cell>
          <cell r="J24">
            <v>0</v>
          </cell>
          <cell r="K24">
            <v>0</v>
          </cell>
          <cell r="L24">
            <v>0</v>
          </cell>
          <cell r="M24">
            <v>0</v>
          </cell>
          <cell r="N24">
            <v>0</v>
          </cell>
          <cell r="O24">
            <v>0</v>
          </cell>
          <cell r="P24">
            <v>0</v>
          </cell>
          <cell r="Q24">
            <v>0</v>
          </cell>
          <cell r="R24">
            <v>0</v>
          </cell>
          <cell r="S24">
            <v>0</v>
          </cell>
          <cell r="T24">
            <v>0</v>
          </cell>
          <cell r="U24">
            <v>0</v>
          </cell>
        </row>
        <row r="25">
          <cell r="A25" t="str">
            <v>Actuarial losses/(gains)</v>
          </cell>
          <cell r="B25">
            <v>869</v>
          </cell>
          <cell r="C25">
            <v>-144</v>
          </cell>
          <cell r="D25">
            <v>-586</v>
          </cell>
          <cell r="E25">
            <v>-127</v>
          </cell>
          <cell r="F25">
            <v>-310</v>
          </cell>
          <cell r="G25">
            <v>668</v>
          </cell>
          <cell r="H25">
            <v>822</v>
          </cell>
          <cell r="I25">
            <v>0</v>
          </cell>
          <cell r="J25">
            <v>0</v>
          </cell>
          <cell r="K25">
            <v>0</v>
          </cell>
          <cell r="L25">
            <v>0</v>
          </cell>
          <cell r="M25">
            <v>0</v>
          </cell>
          <cell r="N25">
            <v>0</v>
          </cell>
          <cell r="O25">
            <v>0</v>
          </cell>
          <cell r="P25">
            <v>0</v>
          </cell>
          <cell r="Q25">
            <v>0</v>
          </cell>
          <cell r="R25">
            <v>0</v>
          </cell>
          <cell r="S25">
            <v>0</v>
          </cell>
          <cell r="T25">
            <v>0</v>
          </cell>
          <cell r="U25">
            <v>0</v>
          </cell>
        </row>
        <row r="26">
          <cell r="A26" t="str">
            <v>Transfer of benefit obligations related to discontinued operations</v>
          </cell>
          <cell r="B26">
            <v>0</v>
          </cell>
          <cell r="C26">
            <v>-49</v>
          </cell>
          <cell r="D26">
            <v>-197</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row>
        <row r="27">
          <cell r="A27" t="str">
            <v>Effect of acquisitions, divestments or transfers</v>
          </cell>
          <cell r="B27">
            <v>3</v>
          </cell>
          <cell r="C27">
            <v>85</v>
          </cell>
          <cell r="D27">
            <v>0</v>
          </cell>
          <cell r="E27">
            <v>5</v>
          </cell>
          <cell r="F27">
            <v>124</v>
          </cell>
          <cell r="G27">
            <v>916</v>
          </cell>
          <cell r="H27">
            <v>303</v>
          </cell>
          <cell r="I27">
            <v>185</v>
          </cell>
          <cell r="J27">
            <v>13</v>
          </cell>
          <cell r="K27">
            <v>0</v>
          </cell>
          <cell r="L27">
            <v>0</v>
          </cell>
          <cell r="M27">
            <v>0</v>
          </cell>
          <cell r="N27">
            <v>0</v>
          </cell>
          <cell r="O27">
            <v>0</v>
          </cell>
          <cell r="P27">
            <v>0</v>
          </cell>
          <cell r="Q27">
            <v>0</v>
          </cell>
          <cell r="R27">
            <v>0</v>
          </cell>
          <cell r="S27">
            <v>0</v>
          </cell>
          <cell r="T27">
            <v>0</v>
          </cell>
          <cell r="U27">
            <v>0</v>
          </cell>
        </row>
        <row r="28">
          <cell r="A28" t="str">
            <v>Defined Benefit Obligation - Closing</v>
          </cell>
          <cell r="B28">
            <v>15632</v>
          </cell>
          <cell r="C28">
            <v>16767</v>
          </cell>
          <cell r="D28">
            <v>17105</v>
          </cell>
          <cell r="E28">
            <v>17643</v>
          </cell>
          <cell r="F28">
            <v>18009</v>
          </cell>
          <cell r="G28">
            <v>20568</v>
          </cell>
          <cell r="H28">
            <v>21730</v>
          </cell>
          <cell r="I28">
            <v>25503</v>
          </cell>
          <cell r="J28">
            <v>24801</v>
          </cell>
          <cell r="K28">
            <v>24838.163874999998</v>
          </cell>
          <cell r="L28">
            <v>24887.252351874999</v>
          </cell>
          <cell r="M28">
            <v>24931.141507678123</v>
          </cell>
          <cell r="N28">
            <v>24980.211843638983</v>
          </cell>
          <cell r="O28">
            <v>25034.174052854236</v>
          </cell>
          <cell r="P28">
            <v>25094.531718308914</v>
          </cell>
          <cell r="Q28">
            <v>25161.965035842833</v>
          </cell>
          <cell r="R28">
            <v>25237.194497502267</v>
          </cell>
          <cell r="S28">
            <v>25320.982820977322</v>
          </cell>
          <cell r="T28">
            <v>25414.136962354285</v>
          </cell>
          <cell r="U28">
            <v>25517.510215574326</v>
          </cell>
        </row>
        <row r="29">
          <cell r="A29" t="str">
            <v xml:space="preserve">     Funded Plans</v>
          </cell>
          <cell r="B29">
            <v>14549</v>
          </cell>
          <cell r="C29">
            <v>15996</v>
          </cell>
          <cell r="D29">
            <v>16778</v>
          </cell>
          <cell r="E29">
            <v>17397</v>
          </cell>
          <cell r="F29">
            <v>17730</v>
          </cell>
          <cell r="G29">
            <v>19661</v>
          </cell>
          <cell r="H29">
            <v>20860</v>
          </cell>
          <cell r="I29">
            <v>24221</v>
          </cell>
          <cell r="J29">
            <v>23594</v>
          </cell>
          <cell r="K29">
            <v>23629.355206110638</v>
          </cell>
          <cell r="L29">
            <v>23676.054674817093</v>
          </cell>
          <cell r="M29">
            <v>23717.807859850716</v>
          </cell>
          <cell r="N29">
            <v>23764.490070514017</v>
          </cell>
          <cell r="O29">
            <v>23815.826079716255</v>
          </cell>
          <cell r="P29">
            <v>23873.246294979253</v>
          </cell>
          <cell r="Q29">
            <v>23937.397808784961</v>
          </cell>
          <cell r="R29">
            <v>24008.966048710474</v>
          </cell>
          <cell r="S29">
            <v>24088.676612964759</v>
          </cell>
          <cell r="T29">
            <v>24177.297185185558</v>
          </cell>
          <cell r="U29">
            <v>24275.63953172294</v>
          </cell>
        </row>
        <row r="30">
          <cell r="A30" t="str">
            <v xml:space="preserve">     Unfunded Plans</v>
          </cell>
          <cell r="B30">
            <v>1083</v>
          </cell>
          <cell r="C30">
            <v>771</v>
          </cell>
          <cell r="D30">
            <v>327</v>
          </cell>
          <cell r="E30">
            <v>246</v>
          </cell>
          <cell r="F30">
            <v>279</v>
          </cell>
          <cell r="G30">
            <v>907</v>
          </cell>
          <cell r="H30">
            <v>870</v>
          </cell>
          <cell r="I30">
            <v>1282</v>
          </cell>
          <cell r="J30">
            <v>1207</v>
          </cell>
          <cell r="K30">
            <v>1208.8086688893593</v>
          </cell>
          <cell r="L30">
            <v>1211.197677057906</v>
          </cell>
          <cell r="M30">
            <v>1213.3336478274061</v>
          </cell>
          <cell r="N30">
            <v>1215.721773124965</v>
          </cell>
          <cell r="O30">
            <v>1218.3479731379809</v>
          </cell>
          <cell r="P30">
            <v>1221.2854233296587</v>
          </cell>
          <cell r="Q30">
            <v>1224.567227057873</v>
          </cell>
          <cell r="R30">
            <v>1228.2284487917925</v>
          </cell>
          <cell r="S30">
            <v>1232.3062080125655</v>
          </cell>
          <cell r="T30">
            <v>1236.8397771687285</v>
          </cell>
          <cell r="U30">
            <v>1241.870683851386</v>
          </cell>
        </row>
        <row r="32">
          <cell r="A32" t="str">
            <v>Plan Assets - Opening</v>
          </cell>
          <cell r="B32">
            <v>17663</v>
          </cell>
          <cell r="C32">
            <v>16059</v>
          </cell>
          <cell r="D32">
            <v>17515</v>
          </cell>
          <cell r="E32">
            <v>18355</v>
          </cell>
          <cell r="F32">
            <v>16065</v>
          </cell>
          <cell r="G32">
            <v>17611</v>
          </cell>
          <cell r="H32">
            <v>19265</v>
          </cell>
          <cell r="I32">
            <v>18826</v>
          </cell>
          <cell r="J32">
            <v>20282</v>
          </cell>
          <cell r="K32">
            <v>21481</v>
          </cell>
          <cell r="L32">
            <v>21466.43</v>
          </cell>
          <cell r="M32">
            <v>21463.907900000002</v>
          </cell>
          <cell r="N32">
            <v>21456.372112000005</v>
          </cell>
          <cell r="O32">
            <v>21454.269394485003</v>
          </cell>
          <cell r="P32">
            <v>21457.380809613929</v>
          </cell>
          <cell r="Q32">
            <v>21467.28461893828</v>
          </cell>
          <cell r="R32">
            <v>21484.740212598801</v>
          </cell>
          <cell r="S32">
            <v>21510.552007787403</v>
          </cell>
          <cell r="T32">
            <v>21545.57160253543</v>
          </cell>
          <cell r="U32">
            <v>21590.700022432309</v>
          </cell>
        </row>
        <row r="33">
          <cell r="A33" t="str">
            <v>Interest income</v>
          </cell>
          <cell r="B33">
            <v>0</v>
          </cell>
          <cell r="C33">
            <v>0</v>
          </cell>
          <cell r="D33">
            <v>0</v>
          </cell>
          <cell r="E33">
            <v>0</v>
          </cell>
          <cell r="F33">
            <v>0</v>
          </cell>
          <cell r="G33">
            <v>0</v>
          </cell>
          <cell r="H33">
            <v>0</v>
          </cell>
          <cell r="I33">
            <v>539</v>
          </cell>
          <cell r="J33">
            <v>438</v>
          </cell>
          <cell r="K33">
            <v>0</v>
          </cell>
          <cell r="L33">
            <v>0</v>
          </cell>
          <cell r="M33">
            <v>0</v>
          </cell>
          <cell r="N33">
            <v>0</v>
          </cell>
          <cell r="O33">
            <v>0</v>
          </cell>
          <cell r="P33">
            <v>0</v>
          </cell>
          <cell r="Q33">
            <v>0</v>
          </cell>
          <cell r="R33">
            <v>0</v>
          </cell>
          <cell r="S33">
            <v>0</v>
          </cell>
          <cell r="T33">
            <v>0</v>
          </cell>
          <cell r="U33">
            <v>0</v>
          </cell>
        </row>
        <row r="34">
          <cell r="A34" t="str">
            <v>Return on plan assets excluding interest income</v>
          </cell>
          <cell r="B34">
            <v>716</v>
          </cell>
          <cell r="C34">
            <v>758</v>
          </cell>
          <cell r="D34">
            <v>804</v>
          </cell>
          <cell r="E34">
            <v>843</v>
          </cell>
          <cell r="F34">
            <v>698</v>
          </cell>
          <cell r="G34">
            <v>778</v>
          </cell>
          <cell r="H34">
            <v>909</v>
          </cell>
          <cell r="I34">
            <v>984</v>
          </cell>
          <cell r="J34">
            <v>850</v>
          </cell>
          <cell r="K34">
            <v>644.42999999999995</v>
          </cell>
          <cell r="L34">
            <v>643.99289999999996</v>
          </cell>
          <cell r="M34">
            <v>643.917237</v>
          </cell>
          <cell r="N34">
            <v>643.69116336000013</v>
          </cell>
          <cell r="O34">
            <v>643.62808183455013</v>
          </cell>
          <cell r="P34">
            <v>643.72142428841789</v>
          </cell>
          <cell r="Q34">
            <v>644.01853856814841</v>
          </cell>
          <cell r="R34">
            <v>644.54220637796402</v>
          </cell>
          <cell r="S34">
            <v>645.316560233622</v>
          </cell>
          <cell r="T34">
            <v>646.3671480760629</v>
          </cell>
          <cell r="U34">
            <v>647.72100067296924</v>
          </cell>
        </row>
        <row r="35">
          <cell r="A35" t="str">
            <v>Currency translation effects</v>
          </cell>
          <cell r="B35">
            <v>-2119</v>
          </cell>
          <cell r="C35">
            <v>1094</v>
          </cell>
          <cell r="D35">
            <v>1088</v>
          </cell>
          <cell r="E35">
            <v>698</v>
          </cell>
          <cell r="F35">
            <v>373</v>
          </cell>
          <cell r="G35">
            <v>1340</v>
          </cell>
          <cell r="H35">
            <v>-2</v>
          </cell>
          <cell r="I35">
            <v>408</v>
          </cell>
          <cell r="J35">
            <v>383</v>
          </cell>
          <cell r="K35">
            <v>0</v>
          </cell>
          <cell r="L35">
            <v>0</v>
          </cell>
          <cell r="M35">
            <v>0</v>
          </cell>
          <cell r="N35">
            <v>0</v>
          </cell>
          <cell r="O35">
            <v>0</v>
          </cell>
          <cell r="P35">
            <v>0</v>
          </cell>
          <cell r="Q35">
            <v>0</v>
          </cell>
          <cell r="R35">
            <v>0</v>
          </cell>
          <cell r="S35">
            <v>0</v>
          </cell>
          <cell r="T35">
            <v>0</v>
          </cell>
          <cell r="U35">
            <v>0</v>
          </cell>
        </row>
        <row r="36">
          <cell r="A36" t="str">
            <v>Novartis Group contributions</v>
          </cell>
          <cell r="B36">
            <v>224</v>
          </cell>
          <cell r="C36">
            <v>388</v>
          </cell>
          <cell r="D36">
            <v>59</v>
          </cell>
          <cell r="E36">
            <v>200</v>
          </cell>
          <cell r="F36">
            <v>268</v>
          </cell>
          <cell r="G36">
            <v>381</v>
          </cell>
          <cell r="H36">
            <v>367</v>
          </cell>
          <cell r="I36">
            <v>497</v>
          </cell>
          <cell r="J36">
            <v>560</v>
          </cell>
          <cell r="K36">
            <v>471</v>
          </cell>
          <cell r="L36">
            <v>487.48499999999996</v>
          </cell>
          <cell r="M36">
            <v>504.54697499999992</v>
          </cell>
          <cell r="N36">
            <v>522.20611912499987</v>
          </cell>
          <cell r="O36">
            <v>540.4833332943748</v>
          </cell>
          <cell r="P36">
            <v>559.40024995967792</v>
          </cell>
          <cell r="Q36">
            <v>578.97925870826657</v>
          </cell>
          <cell r="R36">
            <v>599.2435327630559</v>
          </cell>
          <cell r="S36">
            <v>620.21705640976279</v>
          </cell>
          <cell r="T36">
            <v>641.92465338410443</v>
          </cell>
          <cell r="U36">
            <v>664.39201625254805</v>
          </cell>
        </row>
        <row r="37">
          <cell r="A37" t="str">
            <v>Contributions of associates</v>
          </cell>
          <cell r="B37">
            <v>63</v>
          </cell>
          <cell r="C37">
            <v>63</v>
          </cell>
          <cell r="D37">
            <v>116</v>
          </cell>
          <cell r="E37">
            <v>112</v>
          </cell>
          <cell r="F37">
            <v>124</v>
          </cell>
          <cell r="G37">
            <v>133</v>
          </cell>
          <cell r="H37">
            <v>187</v>
          </cell>
          <cell r="I37">
            <v>189</v>
          </cell>
          <cell r="J37">
            <v>221</v>
          </cell>
          <cell r="K37">
            <v>221</v>
          </cell>
          <cell r="L37">
            <v>221</v>
          </cell>
          <cell r="M37">
            <v>221</v>
          </cell>
          <cell r="N37">
            <v>221</v>
          </cell>
          <cell r="O37">
            <v>221</v>
          </cell>
          <cell r="P37">
            <v>221</v>
          </cell>
          <cell r="Q37">
            <v>221</v>
          </cell>
          <cell r="R37">
            <v>221</v>
          </cell>
          <cell r="S37">
            <v>221</v>
          </cell>
          <cell r="T37">
            <v>221</v>
          </cell>
          <cell r="U37">
            <v>221</v>
          </cell>
        </row>
        <row r="38">
          <cell r="A38" t="str">
            <v>Settlements</v>
          </cell>
          <cell r="B38">
            <v>0</v>
          </cell>
          <cell r="C38">
            <v>0</v>
          </cell>
          <cell r="D38">
            <v>0</v>
          </cell>
          <cell r="E38">
            <v>0</v>
          </cell>
          <cell r="F38">
            <v>0</v>
          </cell>
          <cell r="G38">
            <v>0</v>
          </cell>
          <cell r="H38">
            <v>0</v>
          </cell>
          <cell r="I38">
            <v>-2</v>
          </cell>
          <cell r="J38">
            <v>-14</v>
          </cell>
          <cell r="K38">
            <v>0</v>
          </cell>
          <cell r="L38">
            <v>0</v>
          </cell>
          <cell r="M38">
            <v>0</v>
          </cell>
          <cell r="N38">
            <v>0</v>
          </cell>
          <cell r="O38">
            <v>0</v>
          </cell>
          <cell r="P38">
            <v>0</v>
          </cell>
          <cell r="Q38">
            <v>0</v>
          </cell>
          <cell r="R38">
            <v>0</v>
          </cell>
          <cell r="S38">
            <v>0</v>
          </cell>
          <cell r="T38">
            <v>0</v>
          </cell>
          <cell r="U38">
            <v>0</v>
          </cell>
        </row>
        <row r="39">
          <cell r="A39" t="str">
            <v>Benefit payments</v>
          </cell>
          <cell r="B39">
            <v>-855</v>
          </cell>
          <cell r="C39">
            <v>-865</v>
          </cell>
          <cell r="D39">
            <v>-996</v>
          </cell>
          <cell r="E39">
            <v>-1131</v>
          </cell>
          <cell r="F39">
            <v>-1013</v>
          </cell>
          <cell r="G39">
            <v>-1078</v>
          </cell>
          <cell r="H39">
            <v>-1231</v>
          </cell>
          <cell r="I39">
            <v>-1238</v>
          </cell>
          <cell r="J39">
            <v>-1240</v>
          </cell>
          <cell r="K39">
            <v>-1351</v>
          </cell>
          <cell r="L39">
            <v>-1355</v>
          </cell>
          <cell r="M39">
            <v>-1377</v>
          </cell>
          <cell r="N39">
            <v>-1389</v>
          </cell>
          <cell r="O39">
            <v>-1402</v>
          </cell>
          <cell r="P39">
            <v>-1414.2178649237471</v>
          </cell>
          <cell r="Q39">
            <v>-1426.542203615893</v>
          </cell>
          <cell r="R39">
            <v>-1438.9739439524149</v>
          </cell>
          <cell r="S39">
            <v>-1451.5140218953552</v>
          </cell>
          <cell r="T39">
            <v>-1464.1633815632883</v>
          </cell>
          <cell r="U39">
            <v>-1476.9229753024017</v>
          </cell>
        </row>
        <row r="40">
          <cell r="A40" t="str">
            <v>Effect of acquisitions, divestments or transfers</v>
          </cell>
          <cell r="B40">
            <v>0</v>
          </cell>
          <cell r="C40">
            <v>26</v>
          </cell>
          <cell r="D40">
            <v>0</v>
          </cell>
          <cell r="E40">
            <v>3</v>
          </cell>
          <cell r="F40">
            <v>117</v>
          </cell>
          <cell r="G40">
            <v>285</v>
          </cell>
          <cell r="H40">
            <v>371</v>
          </cell>
          <cell r="I40">
            <v>79</v>
          </cell>
          <cell r="J40">
            <v>1</v>
          </cell>
          <cell r="K40">
            <v>0</v>
          </cell>
          <cell r="L40">
            <v>0</v>
          </cell>
          <cell r="M40">
            <v>0</v>
          </cell>
          <cell r="N40">
            <v>0</v>
          </cell>
          <cell r="O40">
            <v>0</v>
          </cell>
          <cell r="P40">
            <v>0</v>
          </cell>
          <cell r="Q40">
            <v>0</v>
          </cell>
          <cell r="R40">
            <v>0</v>
          </cell>
          <cell r="S40">
            <v>0</v>
          </cell>
          <cell r="T40">
            <v>0</v>
          </cell>
          <cell r="U40">
            <v>0</v>
          </cell>
        </row>
        <row r="41">
          <cell r="A41" t="str">
            <v>Actuarial gains/(losses)</v>
          </cell>
          <cell r="B41">
            <v>367</v>
          </cell>
          <cell r="C41">
            <v>13</v>
          </cell>
          <cell r="D41">
            <v>4</v>
          </cell>
          <cell r="E41">
            <v>-3006</v>
          </cell>
          <cell r="F41">
            <v>981</v>
          </cell>
          <cell r="G41">
            <v>-164</v>
          </cell>
          <cell r="H41">
            <v>-1038</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Transfer of plan assets related to discontinued operations</v>
          </cell>
          <cell r="B42">
            <v>0</v>
          </cell>
          <cell r="C42">
            <v>-21</v>
          </cell>
          <cell r="D42">
            <v>-199</v>
          </cell>
          <cell r="E42">
            <v>-9</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Plan amendments</v>
          </cell>
          <cell r="B43">
            <v>0</v>
          </cell>
          <cell r="C43">
            <v>0</v>
          </cell>
          <cell r="D43">
            <v>-36</v>
          </cell>
          <cell r="E43">
            <v>0</v>
          </cell>
          <cell r="F43">
            <v>-2</v>
          </cell>
          <cell r="G43">
            <v>-21</v>
          </cell>
          <cell r="H43">
            <v>-2</v>
          </cell>
          <cell r="I43">
            <v>0</v>
          </cell>
          <cell r="J43">
            <v>0</v>
          </cell>
          <cell r="K43">
            <v>0</v>
          </cell>
          <cell r="L43">
            <v>0</v>
          </cell>
          <cell r="M43">
            <v>0</v>
          </cell>
          <cell r="N43">
            <v>0</v>
          </cell>
          <cell r="O43">
            <v>0</v>
          </cell>
          <cell r="P43">
            <v>0</v>
          </cell>
          <cell r="Q43">
            <v>0</v>
          </cell>
          <cell r="R43">
            <v>0</v>
          </cell>
          <cell r="S43">
            <v>0</v>
          </cell>
          <cell r="T43">
            <v>0</v>
          </cell>
          <cell r="U43">
            <v>0</v>
          </cell>
        </row>
        <row r="44">
          <cell r="A44" t="str">
            <v>Plan Assets - Closing</v>
          </cell>
          <cell r="B44">
            <v>16059</v>
          </cell>
          <cell r="C44">
            <v>17515</v>
          </cell>
          <cell r="D44">
            <v>18355</v>
          </cell>
          <cell r="E44">
            <v>16065</v>
          </cell>
          <cell r="F44">
            <v>17611</v>
          </cell>
          <cell r="G44">
            <v>19265</v>
          </cell>
          <cell r="H44">
            <v>18826</v>
          </cell>
          <cell r="I44">
            <v>20282</v>
          </cell>
          <cell r="J44">
            <v>21481</v>
          </cell>
          <cell r="K44">
            <v>21466.43</v>
          </cell>
          <cell r="L44">
            <v>21463.907900000002</v>
          </cell>
          <cell r="M44">
            <v>21456.372112000005</v>
          </cell>
          <cell r="N44">
            <v>21454.269394485003</v>
          </cell>
          <cell r="O44">
            <v>21457.380809613929</v>
          </cell>
          <cell r="P44">
            <v>21467.28461893828</v>
          </cell>
          <cell r="Q44">
            <v>21484.740212598801</v>
          </cell>
          <cell r="R44">
            <v>21510.552007787403</v>
          </cell>
          <cell r="S44">
            <v>21545.57160253543</v>
          </cell>
          <cell r="T44">
            <v>21590.700022432309</v>
          </cell>
          <cell r="U44">
            <v>21646.890064055424</v>
          </cell>
        </row>
        <row r="45">
          <cell r="A45" t="str">
            <v>Actual return on plan assets</v>
          </cell>
          <cell r="B45">
            <v>716</v>
          </cell>
          <cell r="C45">
            <v>758</v>
          </cell>
          <cell r="D45">
            <v>804</v>
          </cell>
          <cell r="E45">
            <v>843</v>
          </cell>
          <cell r="F45">
            <v>698</v>
          </cell>
          <cell r="G45">
            <v>778</v>
          </cell>
          <cell r="H45">
            <v>909</v>
          </cell>
          <cell r="I45">
            <v>984</v>
          </cell>
          <cell r="J45">
            <v>850</v>
          </cell>
          <cell r="K45">
            <v>644.42999999999995</v>
          </cell>
          <cell r="L45">
            <v>643.99289999999996</v>
          </cell>
          <cell r="M45">
            <v>643.917237</v>
          </cell>
          <cell r="N45">
            <v>643.69116336000013</v>
          </cell>
          <cell r="O45">
            <v>643.62808183455013</v>
          </cell>
          <cell r="P45">
            <v>643.72142428841789</v>
          </cell>
          <cell r="Q45">
            <v>644.01853856814841</v>
          </cell>
          <cell r="R45">
            <v>644.54220637796402</v>
          </cell>
          <cell r="S45">
            <v>645.316560233622</v>
          </cell>
          <cell r="T45">
            <v>646.3671480760629</v>
          </cell>
          <cell r="U45">
            <v>647.72100067296924</v>
          </cell>
        </row>
        <row r="47">
          <cell r="A47" t="str">
            <v>Summary</v>
          </cell>
        </row>
        <row r="48">
          <cell r="A48" t="str">
            <v>Benefit obligation - funded plans</v>
          </cell>
          <cell r="B48">
            <v>14549</v>
          </cell>
          <cell r="C48">
            <v>15996</v>
          </cell>
          <cell r="D48">
            <v>16778</v>
          </cell>
          <cell r="E48">
            <v>17397</v>
          </cell>
          <cell r="F48">
            <v>17730</v>
          </cell>
          <cell r="G48">
            <v>19661</v>
          </cell>
          <cell r="H48">
            <v>20860</v>
          </cell>
          <cell r="I48">
            <v>24221</v>
          </cell>
          <cell r="J48">
            <v>23594</v>
          </cell>
          <cell r="K48">
            <v>23629.355206110638</v>
          </cell>
          <cell r="L48">
            <v>23676.054674817093</v>
          </cell>
          <cell r="M48">
            <v>23717.807859850716</v>
          </cell>
          <cell r="N48">
            <v>23764.490070514017</v>
          </cell>
          <cell r="O48">
            <v>23815.826079716255</v>
          </cell>
          <cell r="P48">
            <v>23873.246294979253</v>
          </cell>
          <cell r="Q48">
            <v>23937.397808784961</v>
          </cell>
          <cell r="R48">
            <v>24008.966048710474</v>
          </cell>
          <cell r="S48">
            <v>24088.676612964759</v>
          </cell>
          <cell r="T48">
            <v>24177.297185185558</v>
          </cell>
          <cell r="U48">
            <v>24275.63953172294</v>
          </cell>
        </row>
        <row r="49">
          <cell r="A49" t="str">
            <v>Plan assets at period end</v>
          </cell>
          <cell r="B49">
            <v>-16059</v>
          </cell>
          <cell r="C49">
            <v>-17515</v>
          </cell>
          <cell r="D49">
            <v>-18355</v>
          </cell>
          <cell r="E49">
            <v>-16065</v>
          </cell>
          <cell r="F49">
            <v>-17611</v>
          </cell>
          <cell r="G49">
            <v>-19265</v>
          </cell>
          <cell r="H49">
            <v>-18826</v>
          </cell>
          <cell r="I49">
            <v>-20282</v>
          </cell>
          <cell r="J49">
            <v>-21481</v>
          </cell>
          <cell r="K49">
            <v>-21466.43</v>
          </cell>
          <cell r="L49">
            <v>-21463.907900000002</v>
          </cell>
          <cell r="M49">
            <v>-21456.372112000005</v>
          </cell>
          <cell r="N49">
            <v>-21454.269394485003</v>
          </cell>
          <cell r="O49">
            <v>-21457.380809613929</v>
          </cell>
          <cell r="P49">
            <v>-21467.28461893828</v>
          </cell>
          <cell r="Q49">
            <v>-21484.740212598801</v>
          </cell>
          <cell r="R49">
            <v>-21510.552007787403</v>
          </cell>
          <cell r="S49">
            <v>-21545.57160253543</v>
          </cell>
          <cell r="T49">
            <v>-21590.700022432309</v>
          </cell>
          <cell r="U49">
            <v>-21646.890064055424</v>
          </cell>
        </row>
        <row r="50">
          <cell r="A50" t="str">
            <v>Deficit for funded plans</v>
          </cell>
          <cell r="B50">
            <v>-1510</v>
          </cell>
          <cell r="C50">
            <v>-1519</v>
          </cell>
          <cell r="D50">
            <v>-1577</v>
          </cell>
          <cell r="E50">
            <v>1332</v>
          </cell>
          <cell r="F50">
            <v>119</v>
          </cell>
          <cell r="G50">
            <v>396</v>
          </cell>
          <cell r="H50">
            <v>2034</v>
          </cell>
          <cell r="I50">
            <v>3939</v>
          </cell>
          <cell r="J50">
            <v>2113</v>
          </cell>
          <cell r="K50">
            <v>2162.9252061106381</v>
          </cell>
          <cell r="L50">
            <v>2212.1467748170908</v>
          </cell>
          <cell r="M50">
            <v>2261.4357478507118</v>
          </cell>
          <cell r="N50">
            <v>2310.2206760290137</v>
          </cell>
          <cell r="O50">
            <v>2358.4452701023256</v>
          </cell>
          <cell r="P50">
            <v>2405.9616760409735</v>
          </cell>
          <cell r="Q50">
            <v>2452.6575961861599</v>
          </cell>
          <cell r="R50">
            <v>2498.4140409230713</v>
          </cell>
          <cell r="S50">
            <v>2543.1050104293281</v>
          </cell>
          <cell r="T50">
            <v>2586.597162753249</v>
          </cell>
          <cell r="U50">
            <v>2628.749467667516</v>
          </cell>
        </row>
        <row r="51">
          <cell r="A51" t="str">
            <v>Benefit obligation - unfunded plans</v>
          </cell>
          <cell r="B51">
            <v>1083</v>
          </cell>
          <cell r="C51">
            <v>771</v>
          </cell>
          <cell r="D51">
            <v>327</v>
          </cell>
          <cell r="E51">
            <v>246</v>
          </cell>
          <cell r="F51">
            <v>279</v>
          </cell>
          <cell r="G51">
            <v>907</v>
          </cell>
          <cell r="H51">
            <v>870</v>
          </cell>
          <cell r="I51">
            <v>1282</v>
          </cell>
          <cell r="J51">
            <v>1207</v>
          </cell>
          <cell r="K51">
            <v>1208.8086688893593</v>
          </cell>
          <cell r="L51">
            <v>1211.197677057906</v>
          </cell>
          <cell r="M51">
            <v>1213.3336478274061</v>
          </cell>
          <cell r="N51">
            <v>1215.721773124965</v>
          </cell>
          <cell r="O51">
            <v>1218.3479731379809</v>
          </cell>
          <cell r="P51">
            <v>1221.2854233296587</v>
          </cell>
          <cell r="Q51">
            <v>1224.567227057873</v>
          </cell>
          <cell r="R51">
            <v>1228.2284487917925</v>
          </cell>
          <cell r="S51">
            <v>1232.3062080125655</v>
          </cell>
          <cell r="T51">
            <v>1236.8397771687285</v>
          </cell>
          <cell r="U51">
            <v>1241.870683851386</v>
          </cell>
        </row>
        <row r="52">
          <cell r="A52" t="str">
            <v>Funded status</v>
          </cell>
          <cell r="B52">
            <v>-427</v>
          </cell>
          <cell r="C52">
            <v>-748</v>
          </cell>
          <cell r="D52">
            <v>-1250</v>
          </cell>
          <cell r="E52">
            <v>1578</v>
          </cell>
          <cell r="F52">
            <v>398</v>
          </cell>
          <cell r="G52">
            <v>1303</v>
          </cell>
          <cell r="H52">
            <v>2904</v>
          </cell>
          <cell r="I52">
            <v>5221</v>
          </cell>
          <cell r="J52">
            <v>3320</v>
          </cell>
          <cell r="K52">
            <v>3371.7338749999972</v>
          </cell>
          <cell r="L52">
            <v>3423.3444518749966</v>
          </cell>
          <cell r="M52">
            <v>3474.7693956781177</v>
          </cell>
          <cell r="N52">
            <v>3525.9424491539785</v>
          </cell>
          <cell r="O52">
            <v>3576.7932432403068</v>
          </cell>
          <cell r="P52">
            <v>3627.247099370632</v>
          </cell>
          <cell r="Q52">
            <v>3677.2248232440329</v>
          </cell>
          <cell r="R52">
            <v>3726.6424897148636</v>
          </cell>
          <cell r="S52">
            <v>3775.4112184418937</v>
          </cell>
          <cell r="T52">
            <v>3823.4369399219777</v>
          </cell>
          <cell r="U52">
            <v>3870.6201515189023</v>
          </cell>
        </row>
        <row r="53">
          <cell r="A53" t="str">
            <v>Limitation on recognition of fund surplus at January 1</v>
          </cell>
          <cell r="I53">
            <v>-51</v>
          </cell>
          <cell r="J53">
            <v>-21</v>
          </cell>
          <cell r="K53">
            <v>-45</v>
          </cell>
          <cell r="L53">
            <v>-69</v>
          </cell>
          <cell r="M53">
            <v>-93</v>
          </cell>
          <cell r="N53">
            <v>-117</v>
          </cell>
          <cell r="O53">
            <v>-141</v>
          </cell>
          <cell r="P53">
            <v>-165</v>
          </cell>
          <cell r="Q53">
            <v>-189</v>
          </cell>
          <cell r="R53">
            <v>-213</v>
          </cell>
          <cell r="S53">
            <v>-237</v>
          </cell>
          <cell r="T53">
            <v>-261</v>
          </cell>
          <cell r="U53">
            <v>-285</v>
          </cell>
        </row>
        <row r="54">
          <cell r="A54" t="str">
            <v>Unrecognized past service cost</v>
          </cell>
          <cell r="B54">
            <v>-12</v>
          </cell>
          <cell r="C54">
            <v>-11</v>
          </cell>
          <cell r="D54">
            <v>-3</v>
          </cell>
          <cell r="E54">
            <v>-6</v>
          </cell>
          <cell r="F54">
            <v>-5</v>
          </cell>
          <cell r="G54">
            <v>-3</v>
          </cell>
          <cell r="H54">
            <v>-2</v>
          </cell>
          <cell r="I54">
            <v>30</v>
          </cell>
          <cell r="J54">
            <v>-21</v>
          </cell>
          <cell r="K54">
            <v>-21</v>
          </cell>
          <cell r="L54">
            <v>-21</v>
          </cell>
          <cell r="M54">
            <v>-21</v>
          </cell>
          <cell r="N54">
            <v>-21</v>
          </cell>
          <cell r="O54">
            <v>-21</v>
          </cell>
          <cell r="P54">
            <v>-21</v>
          </cell>
          <cell r="Q54">
            <v>-21</v>
          </cell>
          <cell r="R54">
            <v>-21</v>
          </cell>
          <cell r="S54">
            <v>-21</v>
          </cell>
          <cell r="T54">
            <v>-21</v>
          </cell>
          <cell r="U54">
            <v>-21</v>
          </cell>
        </row>
        <row r="55">
          <cell r="A55" t="str">
            <v>amounts not recognised as assets (ceiling)</v>
          </cell>
          <cell r="D55">
            <v>52</v>
          </cell>
          <cell r="F55">
            <v>35</v>
          </cell>
          <cell r="G55">
            <v>35</v>
          </cell>
          <cell r="H55">
            <v>51</v>
          </cell>
          <cell r="I55">
            <v>0</v>
          </cell>
          <cell r="J55">
            <v>-3</v>
          </cell>
          <cell r="K55">
            <v>-3</v>
          </cell>
          <cell r="L55">
            <v>-3</v>
          </cell>
          <cell r="M55">
            <v>-3</v>
          </cell>
          <cell r="N55">
            <v>-3</v>
          </cell>
          <cell r="O55">
            <v>-3</v>
          </cell>
          <cell r="P55">
            <v>-3</v>
          </cell>
          <cell r="Q55">
            <v>-3</v>
          </cell>
          <cell r="R55">
            <v>-3</v>
          </cell>
          <cell r="S55">
            <v>-3</v>
          </cell>
          <cell r="T55">
            <v>-3</v>
          </cell>
          <cell r="U55">
            <v>-3</v>
          </cell>
        </row>
        <row r="56">
          <cell r="A56" t="str">
            <v>Limitation on recognition of fund surplus at December 31</v>
          </cell>
          <cell r="I56">
            <v>-21</v>
          </cell>
          <cell r="J56">
            <v>-45</v>
          </cell>
          <cell r="K56">
            <v>-69</v>
          </cell>
          <cell r="L56">
            <v>-93</v>
          </cell>
          <cell r="M56">
            <v>-117</v>
          </cell>
          <cell r="N56">
            <v>-141</v>
          </cell>
          <cell r="O56">
            <v>-165</v>
          </cell>
          <cell r="P56">
            <v>-189</v>
          </cell>
          <cell r="Q56">
            <v>-213</v>
          </cell>
          <cell r="R56">
            <v>-237</v>
          </cell>
          <cell r="S56">
            <v>-261</v>
          </cell>
          <cell r="T56">
            <v>-285</v>
          </cell>
          <cell r="U56">
            <v>-309</v>
          </cell>
        </row>
        <row r="57">
          <cell r="A57" t="str">
            <v>Net liability/(asset) in the balance sheet</v>
          </cell>
          <cell r="B57">
            <v>-439</v>
          </cell>
          <cell r="C57">
            <v>-759</v>
          </cell>
          <cell r="D57">
            <v>-1201</v>
          </cell>
          <cell r="E57">
            <v>1572</v>
          </cell>
          <cell r="F57">
            <v>428</v>
          </cell>
          <cell r="G57">
            <v>1335</v>
          </cell>
          <cell r="H57">
            <v>2953</v>
          </cell>
          <cell r="I57">
            <v>5242</v>
          </cell>
          <cell r="J57">
            <v>3365</v>
          </cell>
          <cell r="K57">
            <v>3440.7338749999972</v>
          </cell>
          <cell r="L57">
            <v>3516.3444518749966</v>
          </cell>
          <cell r="M57">
            <v>3591.7693956781177</v>
          </cell>
          <cell r="N57">
            <v>3666.9424491539785</v>
          </cell>
          <cell r="O57">
            <v>3741.7932432403068</v>
          </cell>
          <cell r="P57">
            <v>3816.247099370632</v>
          </cell>
          <cell r="Q57">
            <v>3890.2248232440329</v>
          </cell>
          <cell r="R57">
            <v>3963.6424897148636</v>
          </cell>
          <cell r="S57">
            <v>4036.4112184418937</v>
          </cell>
          <cell r="T57">
            <v>4108.4369399219777</v>
          </cell>
          <cell r="U57">
            <v>4179.6201515189023</v>
          </cell>
        </row>
        <row r="58">
          <cell r="A58" t="str">
            <v>Prepaid benefit cost</v>
          </cell>
          <cell r="B58">
            <v>1919</v>
          </cell>
          <cell r="C58">
            <v>2102</v>
          </cell>
          <cell r="D58">
            <v>2309</v>
          </cell>
          <cell r="E58">
            <v>182</v>
          </cell>
          <cell r="F58">
            <v>1585</v>
          </cell>
          <cell r="G58">
            <v>982</v>
          </cell>
          <cell r="H58">
            <v>38</v>
          </cell>
          <cell r="I58">
            <v>55</v>
          </cell>
          <cell r="J58">
            <v>42</v>
          </cell>
          <cell r="K58">
            <v>42</v>
          </cell>
          <cell r="L58">
            <v>42</v>
          </cell>
          <cell r="M58">
            <v>42</v>
          </cell>
          <cell r="N58">
            <v>42</v>
          </cell>
          <cell r="O58">
            <v>42</v>
          </cell>
          <cell r="P58">
            <v>42</v>
          </cell>
          <cell r="Q58">
            <v>42</v>
          </cell>
          <cell r="R58">
            <v>42</v>
          </cell>
          <cell r="S58">
            <v>42</v>
          </cell>
          <cell r="T58">
            <v>42</v>
          </cell>
          <cell r="U58">
            <v>42</v>
          </cell>
        </row>
        <row r="59">
          <cell r="A59" t="str">
            <v>Gross liability</v>
          </cell>
          <cell r="B59">
            <v>1480</v>
          </cell>
          <cell r="C59">
            <v>1343</v>
          </cell>
          <cell r="D59">
            <v>1108</v>
          </cell>
          <cell r="E59">
            <v>1754</v>
          </cell>
          <cell r="F59">
            <v>2013</v>
          </cell>
          <cell r="G59">
            <v>2317</v>
          </cell>
          <cell r="H59">
            <v>2991</v>
          </cell>
          <cell r="I59">
            <v>5297</v>
          </cell>
          <cell r="J59">
            <v>3407</v>
          </cell>
          <cell r="K59">
            <v>3482.7338749999972</v>
          </cell>
          <cell r="L59">
            <v>3558.3444518749966</v>
          </cell>
          <cell r="M59">
            <v>3633.7693956781177</v>
          </cell>
          <cell r="N59">
            <v>3708.9424491539785</v>
          </cell>
          <cell r="O59">
            <v>3783.7932432403068</v>
          </cell>
          <cell r="P59">
            <v>3858.247099370632</v>
          </cell>
          <cell r="Q59">
            <v>3932.2248232440329</v>
          </cell>
          <cell r="R59">
            <v>4005.6424897148636</v>
          </cell>
          <cell r="S59">
            <v>4078.4112184418937</v>
          </cell>
          <cell r="T59">
            <v>4150.4369399219777</v>
          </cell>
          <cell r="U59">
            <v>4221.6201515189023</v>
          </cell>
        </row>
        <row r="62">
          <cell r="A62" t="str">
            <v>Asset Split</v>
          </cell>
        </row>
        <row r="64">
          <cell r="A64" t="str">
            <v>Equity securities</v>
          </cell>
          <cell r="B64">
            <v>0.22</v>
          </cell>
          <cell r="C64">
            <v>0.3</v>
          </cell>
          <cell r="D64">
            <v>0.42</v>
          </cell>
          <cell r="E64">
            <v>0.27</v>
          </cell>
          <cell r="F64">
            <v>0.28999999999999998</v>
          </cell>
          <cell r="G64">
            <v>0.31</v>
          </cell>
          <cell r="H64">
            <v>0.25</v>
          </cell>
          <cell r="I64">
            <v>0.28999999999999998</v>
          </cell>
          <cell r="J64">
            <v>0.39</v>
          </cell>
          <cell r="K64">
            <v>0.39</v>
          </cell>
          <cell r="L64">
            <v>0.39</v>
          </cell>
          <cell r="M64">
            <v>0.39</v>
          </cell>
          <cell r="N64">
            <v>0.39</v>
          </cell>
          <cell r="O64">
            <v>0.39</v>
          </cell>
          <cell r="P64">
            <v>0.39</v>
          </cell>
          <cell r="Q64">
            <v>0.39</v>
          </cell>
          <cell r="R64">
            <v>0.39</v>
          </cell>
          <cell r="S64">
            <v>0.39</v>
          </cell>
          <cell r="T64">
            <v>0.39</v>
          </cell>
          <cell r="U64">
            <v>0.39</v>
          </cell>
        </row>
        <row r="65">
          <cell r="A65" t="str">
            <v>Debt securities</v>
          </cell>
          <cell r="B65">
            <v>0.61</v>
          </cell>
          <cell r="C65">
            <v>0.54</v>
          </cell>
          <cell r="D65">
            <v>0.39</v>
          </cell>
          <cell r="E65">
            <v>0.47</v>
          </cell>
          <cell r="F65">
            <v>0.49</v>
          </cell>
          <cell r="G65">
            <v>0.43</v>
          </cell>
          <cell r="H65">
            <v>0.49</v>
          </cell>
          <cell r="I65">
            <v>0.43</v>
          </cell>
          <cell r="J65">
            <v>0.32</v>
          </cell>
          <cell r="K65">
            <v>0.32</v>
          </cell>
          <cell r="L65">
            <v>0.32</v>
          </cell>
          <cell r="M65">
            <v>0.32</v>
          </cell>
          <cell r="N65">
            <v>0.32</v>
          </cell>
          <cell r="O65">
            <v>0.32</v>
          </cell>
          <cell r="P65">
            <v>0.32</v>
          </cell>
          <cell r="Q65">
            <v>0.32</v>
          </cell>
          <cell r="R65">
            <v>0.32</v>
          </cell>
          <cell r="S65">
            <v>0.32</v>
          </cell>
          <cell r="T65">
            <v>0.32</v>
          </cell>
          <cell r="U65">
            <v>0.32</v>
          </cell>
        </row>
        <row r="66">
          <cell r="A66" t="str">
            <v>Real estate</v>
          </cell>
          <cell r="B66">
            <v>0.08</v>
          </cell>
          <cell r="C66">
            <v>0.08</v>
          </cell>
          <cell r="D66">
            <v>0.09</v>
          </cell>
          <cell r="E66">
            <v>0.12</v>
          </cell>
          <cell r="F66">
            <v>0.12</v>
          </cell>
          <cell r="G66">
            <v>0.12</v>
          </cell>
          <cell r="H66">
            <v>0.13</v>
          </cell>
          <cell r="I66">
            <v>0.13</v>
          </cell>
          <cell r="J66">
            <v>0.13</v>
          </cell>
          <cell r="K66">
            <v>0.13</v>
          </cell>
          <cell r="L66">
            <v>0.13</v>
          </cell>
          <cell r="M66">
            <v>0.13</v>
          </cell>
          <cell r="N66">
            <v>0.13</v>
          </cell>
          <cell r="O66">
            <v>0.13</v>
          </cell>
          <cell r="P66">
            <v>0.13</v>
          </cell>
          <cell r="Q66">
            <v>0.13</v>
          </cell>
          <cell r="R66">
            <v>0.13</v>
          </cell>
          <cell r="S66">
            <v>0.13</v>
          </cell>
          <cell r="T66">
            <v>0.13</v>
          </cell>
          <cell r="U66">
            <v>0.13</v>
          </cell>
        </row>
        <row r="67">
          <cell r="A67" t="str">
            <v>Alternative investments</v>
          </cell>
          <cell r="B67">
            <v>0</v>
          </cell>
          <cell r="C67">
            <v>0</v>
          </cell>
          <cell r="D67">
            <v>0</v>
          </cell>
          <cell r="E67">
            <v>0</v>
          </cell>
          <cell r="F67">
            <v>0</v>
          </cell>
          <cell r="G67">
            <v>0</v>
          </cell>
          <cell r="H67">
            <v>0.09</v>
          </cell>
          <cell r="I67">
            <v>0.09</v>
          </cell>
          <cell r="J67">
            <v>0.1</v>
          </cell>
          <cell r="K67">
            <v>0.1</v>
          </cell>
          <cell r="L67">
            <v>0.1</v>
          </cell>
          <cell r="M67">
            <v>0.1</v>
          </cell>
          <cell r="N67">
            <v>0.1</v>
          </cell>
          <cell r="O67">
            <v>0.1</v>
          </cell>
          <cell r="P67">
            <v>0.1</v>
          </cell>
          <cell r="Q67">
            <v>0.1</v>
          </cell>
          <cell r="R67">
            <v>0.1</v>
          </cell>
          <cell r="S67">
            <v>0.1</v>
          </cell>
          <cell r="T67">
            <v>0.1</v>
          </cell>
          <cell r="U67">
            <v>0.1</v>
          </cell>
        </row>
        <row r="68">
          <cell r="A68" t="str">
            <v>Cash and other investments</v>
          </cell>
          <cell r="B68">
            <v>0.09</v>
          </cell>
          <cell r="C68">
            <v>0.08</v>
          </cell>
          <cell r="D68">
            <v>0.1</v>
          </cell>
          <cell r="E68">
            <v>0.14000000000000001</v>
          </cell>
          <cell r="F68">
            <v>0.1</v>
          </cell>
          <cell r="G68">
            <v>0.14000000000000001</v>
          </cell>
          <cell r="H68">
            <v>0.04</v>
          </cell>
          <cell r="I68">
            <v>0.06</v>
          </cell>
          <cell r="J68">
            <v>0.06</v>
          </cell>
          <cell r="K68">
            <v>0.06</v>
          </cell>
          <cell r="L68">
            <v>0.06</v>
          </cell>
          <cell r="M68">
            <v>0.06</v>
          </cell>
          <cell r="N68">
            <v>0.06</v>
          </cell>
          <cell r="O68">
            <v>0.06</v>
          </cell>
          <cell r="P68">
            <v>0.06</v>
          </cell>
          <cell r="Q68">
            <v>0.06</v>
          </cell>
          <cell r="R68">
            <v>0.06</v>
          </cell>
          <cell r="S68">
            <v>0.06</v>
          </cell>
          <cell r="T68">
            <v>0.06</v>
          </cell>
          <cell r="U68">
            <v>0.06</v>
          </cell>
        </row>
        <row r="69">
          <cell r="A69" t="str">
            <v>Total</v>
          </cell>
          <cell r="B69">
            <v>0.99999999999999989</v>
          </cell>
          <cell r="C69">
            <v>1</v>
          </cell>
          <cell r="D69">
            <v>1</v>
          </cell>
          <cell r="E69">
            <v>1</v>
          </cell>
          <cell r="F69">
            <v>1</v>
          </cell>
          <cell r="G69">
            <v>1</v>
          </cell>
          <cell r="H69">
            <v>1</v>
          </cell>
          <cell r="I69">
            <v>1</v>
          </cell>
          <cell r="J69">
            <v>1</v>
          </cell>
          <cell r="K69">
            <v>1</v>
          </cell>
          <cell r="L69">
            <v>1</v>
          </cell>
          <cell r="M69">
            <v>1</v>
          </cell>
          <cell r="N69">
            <v>1</v>
          </cell>
          <cell r="O69">
            <v>1</v>
          </cell>
          <cell r="P69">
            <v>1</v>
          </cell>
          <cell r="Q69">
            <v>1</v>
          </cell>
          <cell r="R69">
            <v>1</v>
          </cell>
          <cell r="S69">
            <v>1</v>
          </cell>
          <cell r="T69">
            <v>1</v>
          </cell>
          <cell r="U69">
            <v>1</v>
          </cell>
        </row>
        <row r="71">
          <cell r="A71" t="str">
            <v>Equity securities</v>
          </cell>
          <cell r="B71">
            <v>3532.98</v>
          </cell>
          <cell r="C71">
            <v>5254.5</v>
          </cell>
          <cell r="D71">
            <v>7709.0999999999995</v>
          </cell>
          <cell r="E71">
            <v>4337.55</v>
          </cell>
          <cell r="F71">
            <v>5107.1899999999996</v>
          </cell>
          <cell r="G71">
            <v>5972.15</v>
          </cell>
          <cell r="H71">
            <v>4706.5</v>
          </cell>
          <cell r="I71">
            <v>5881.78</v>
          </cell>
          <cell r="J71">
            <v>8377.59</v>
          </cell>
          <cell r="K71">
            <v>8371.9076999999997</v>
          </cell>
          <cell r="L71">
            <v>8370.924081000001</v>
          </cell>
          <cell r="M71">
            <v>8367.9851236800023</v>
          </cell>
          <cell r="N71">
            <v>8367.1650638491519</v>
          </cell>
          <cell r="O71">
            <v>8368.3785157494331</v>
          </cell>
          <cell r="P71">
            <v>8372.2410013859298</v>
          </cell>
          <cell r="Q71">
            <v>8379.0486829135334</v>
          </cell>
          <cell r="R71">
            <v>8389.1152830370866</v>
          </cell>
          <cell r="S71">
            <v>8402.772924988818</v>
          </cell>
          <cell r="T71">
            <v>8420.3730087486001</v>
          </cell>
          <cell r="U71">
            <v>8442.2871249816162</v>
          </cell>
        </row>
        <row r="72">
          <cell r="A72" t="str">
            <v>Debt securities</v>
          </cell>
          <cell r="B72">
            <v>9795.99</v>
          </cell>
          <cell r="C72">
            <v>9458.1</v>
          </cell>
          <cell r="D72">
            <v>7158.45</v>
          </cell>
          <cell r="E72">
            <v>7550.5499999999993</v>
          </cell>
          <cell r="F72">
            <v>8629.39</v>
          </cell>
          <cell r="G72">
            <v>8283.9500000000007</v>
          </cell>
          <cell r="H72">
            <v>9224.74</v>
          </cell>
          <cell r="I72">
            <v>8721.26</v>
          </cell>
          <cell r="J72">
            <v>6873.92</v>
          </cell>
          <cell r="K72">
            <v>6869.2575999999999</v>
          </cell>
          <cell r="L72">
            <v>6868.4505280000012</v>
          </cell>
          <cell r="M72">
            <v>6866.0390758400017</v>
          </cell>
          <cell r="N72">
            <v>6865.3662062352014</v>
          </cell>
          <cell r="O72">
            <v>6866.3618590764572</v>
          </cell>
          <cell r="P72">
            <v>6869.5310780602495</v>
          </cell>
          <cell r="Q72">
            <v>6875.1168680316168</v>
          </cell>
          <cell r="R72">
            <v>6883.3766424919686</v>
          </cell>
          <cell r="S72">
            <v>6894.5829128113382</v>
          </cell>
          <cell r="T72">
            <v>6909.0240071783392</v>
          </cell>
          <cell r="U72">
            <v>6927.0048204977356</v>
          </cell>
        </row>
        <row r="73">
          <cell r="A73" t="str">
            <v>Real estate</v>
          </cell>
          <cell r="B73">
            <v>1284.72</v>
          </cell>
          <cell r="C73">
            <v>1401.2</v>
          </cell>
          <cell r="D73">
            <v>1651.95</v>
          </cell>
          <cell r="E73">
            <v>1927.8</v>
          </cell>
          <cell r="F73">
            <v>2113.3199999999997</v>
          </cell>
          <cell r="G73">
            <v>2311.7999999999997</v>
          </cell>
          <cell r="H73">
            <v>2447.38</v>
          </cell>
          <cell r="I73">
            <v>2636.6600000000003</v>
          </cell>
          <cell r="J73">
            <v>2792.53</v>
          </cell>
          <cell r="K73">
            <v>2790.6359000000002</v>
          </cell>
          <cell r="L73">
            <v>2790.3080270000005</v>
          </cell>
          <cell r="M73">
            <v>2789.3283745600006</v>
          </cell>
          <cell r="N73">
            <v>2789.0550212830503</v>
          </cell>
          <cell r="O73">
            <v>2789.4595052498107</v>
          </cell>
          <cell r="P73">
            <v>2790.7470004619763</v>
          </cell>
          <cell r="Q73">
            <v>2793.0162276378442</v>
          </cell>
          <cell r="R73">
            <v>2796.3717610123626</v>
          </cell>
          <cell r="S73">
            <v>2800.924308329606</v>
          </cell>
          <cell r="T73">
            <v>2806.7910029162003</v>
          </cell>
          <cell r="U73">
            <v>2814.0957083272051</v>
          </cell>
        </row>
        <row r="74">
          <cell r="A74" t="str">
            <v>Cash and other investments</v>
          </cell>
          <cell r="B74">
            <v>1445.31</v>
          </cell>
          <cell r="C74">
            <v>1401.2</v>
          </cell>
          <cell r="D74">
            <v>1835.5</v>
          </cell>
          <cell r="E74">
            <v>2249.1000000000004</v>
          </cell>
          <cell r="F74">
            <v>1761.1000000000001</v>
          </cell>
          <cell r="G74">
            <v>2697.1000000000004</v>
          </cell>
          <cell r="H74">
            <v>753.04</v>
          </cell>
          <cell r="I74">
            <v>1216.9199999999998</v>
          </cell>
          <cell r="J74">
            <v>1288.8599999999999</v>
          </cell>
          <cell r="K74">
            <v>1287.9857999999999</v>
          </cell>
          <cell r="L74">
            <v>1287.834474</v>
          </cell>
          <cell r="M74">
            <v>1287.3823267200003</v>
          </cell>
          <cell r="N74">
            <v>1287.2561636691003</v>
          </cell>
          <cell r="O74">
            <v>1287.4428485768358</v>
          </cell>
          <cell r="P74">
            <v>1288.0370771362968</v>
          </cell>
          <cell r="Q74">
            <v>1289.084412755928</v>
          </cell>
          <cell r="R74">
            <v>1290.633120467244</v>
          </cell>
          <cell r="S74">
            <v>1292.7342961521258</v>
          </cell>
          <cell r="T74">
            <v>1295.4420013459385</v>
          </cell>
          <cell r="U74">
            <v>1298.8134038433254</v>
          </cell>
        </row>
        <row r="75">
          <cell r="A75" t="str">
            <v>Total</v>
          </cell>
          <cell r="B75">
            <v>16059</v>
          </cell>
          <cell r="C75">
            <v>17515</v>
          </cell>
          <cell r="D75">
            <v>18355</v>
          </cell>
          <cell r="E75">
            <v>16065</v>
          </cell>
          <cell r="F75">
            <v>17611</v>
          </cell>
          <cell r="G75">
            <v>19265</v>
          </cell>
          <cell r="H75">
            <v>18826</v>
          </cell>
          <cell r="I75">
            <v>20282</v>
          </cell>
          <cell r="J75">
            <v>21481</v>
          </cell>
          <cell r="K75">
            <v>21466.43</v>
          </cell>
          <cell r="L75">
            <v>21463.907900000002</v>
          </cell>
          <cell r="M75">
            <v>21456.372112000005</v>
          </cell>
          <cell r="N75">
            <v>21454.269394485003</v>
          </cell>
          <cell r="O75">
            <v>21457.380809613929</v>
          </cell>
          <cell r="P75">
            <v>21467.28461893828</v>
          </cell>
          <cell r="Q75">
            <v>21484.740212598801</v>
          </cell>
          <cell r="R75">
            <v>21510.552007787403</v>
          </cell>
          <cell r="S75">
            <v>21545.57160253543</v>
          </cell>
          <cell r="T75">
            <v>21590.700022432309</v>
          </cell>
          <cell r="U75">
            <v>21646.890064055424</v>
          </cell>
        </row>
        <row r="78">
          <cell r="A78" t="str">
            <v>Total Plan Assets</v>
          </cell>
          <cell r="B78">
            <v>16059</v>
          </cell>
          <cell r="C78">
            <v>17515</v>
          </cell>
          <cell r="D78">
            <v>18355</v>
          </cell>
          <cell r="E78">
            <v>16065</v>
          </cell>
          <cell r="F78">
            <v>17611</v>
          </cell>
          <cell r="G78">
            <v>19265</v>
          </cell>
          <cell r="H78">
            <v>18826</v>
          </cell>
          <cell r="I78">
            <v>20282</v>
          </cell>
          <cell r="J78">
            <v>21481</v>
          </cell>
          <cell r="K78">
            <v>21466.43</v>
          </cell>
          <cell r="L78">
            <v>21463.907900000002</v>
          </cell>
          <cell r="M78">
            <v>21456.372112000005</v>
          </cell>
          <cell r="N78">
            <v>21454.269394485003</v>
          </cell>
          <cell r="O78">
            <v>21457.380809613929</v>
          </cell>
          <cell r="P78">
            <v>21467.28461893828</v>
          </cell>
          <cell r="Q78">
            <v>21484.740212598801</v>
          </cell>
          <cell r="R78">
            <v>21510.552007787403</v>
          </cell>
          <cell r="S78">
            <v>21545.57160253543</v>
          </cell>
          <cell r="T78">
            <v>21590.700022432309</v>
          </cell>
          <cell r="U78">
            <v>21646.890064055424</v>
          </cell>
        </row>
        <row r="79">
          <cell r="A79" t="str">
            <v>Check</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1">
          <cell r="A81" t="str">
            <v>ERPA %</v>
          </cell>
          <cell r="B81">
            <v>4.4999999999999998E-2</v>
          </cell>
          <cell r="C81">
            <v>4.4999999999999998E-2</v>
          </cell>
          <cell r="D81">
            <v>4.5999999999999999E-2</v>
          </cell>
          <cell r="E81">
            <v>4.7E-2</v>
          </cell>
          <cell r="F81">
            <v>4.5999999999999999E-2</v>
          </cell>
          <cell r="G81">
            <v>4.5999999999999999E-2</v>
          </cell>
        </row>
        <row r="83">
          <cell r="A83" t="str">
            <v>Pension Assumptions</v>
          </cell>
        </row>
        <row r="84">
          <cell r="A84" t="str">
            <v>Discount Rates (Total)</v>
          </cell>
          <cell r="B84">
            <v>3.6000000000000004E-2</v>
          </cell>
          <cell r="C84">
            <v>3.5000000000000003E-2</v>
          </cell>
          <cell r="D84">
            <v>3.85E-2</v>
          </cell>
          <cell r="E84">
            <v>4.0999999999999995E-2</v>
          </cell>
          <cell r="F84">
            <v>3.9999999999999994E-2</v>
          </cell>
          <cell r="G84">
            <v>3.5000000000000003E-2</v>
          </cell>
          <cell r="H84">
            <v>3.2000000000000001E-2</v>
          </cell>
          <cell r="I84">
            <v>2.4E-2</v>
          </cell>
          <cell r="J84">
            <v>2.9000000000000001E-2</v>
          </cell>
          <cell r="K84">
            <v>0.03</v>
          </cell>
          <cell r="L84">
            <v>0.03</v>
          </cell>
          <cell r="M84">
            <v>0.03</v>
          </cell>
          <cell r="N84">
            <v>0.03</v>
          </cell>
          <cell r="O84">
            <v>0.03</v>
          </cell>
          <cell r="P84">
            <v>0.03</v>
          </cell>
          <cell r="Q84">
            <v>0.03</v>
          </cell>
          <cell r="R84">
            <v>0.03</v>
          </cell>
          <cell r="S84">
            <v>0.03</v>
          </cell>
          <cell r="T84">
            <v>0.03</v>
          </cell>
          <cell r="U84">
            <v>0.03</v>
          </cell>
        </row>
        <row r="85">
          <cell r="A85" t="str">
            <v>Projected future salary increases</v>
          </cell>
          <cell r="B85">
            <v>2.75E-2</v>
          </cell>
          <cell r="C85">
            <v>3.2000000000000001E-2</v>
          </cell>
          <cell r="D85">
            <v>3.7000000000000005E-2</v>
          </cell>
          <cell r="E85">
            <v>3.7000000000000005E-2</v>
          </cell>
          <cell r="F85">
            <v>3.6500000000000005E-2</v>
          </cell>
          <cell r="G85">
            <v>3.5000000000000003E-2</v>
          </cell>
          <cell r="H85">
            <v>3.3000000000000002E-2</v>
          </cell>
          <cell r="I85">
            <v>3.3000000000000002E-2</v>
          </cell>
          <cell r="J85">
            <v>3.5000000000000003E-2</v>
          </cell>
          <cell r="K85">
            <v>3.5000000000000003E-2</v>
          </cell>
          <cell r="L85">
            <v>3.5000000000000003E-2</v>
          </cell>
          <cell r="M85">
            <v>3.5000000000000003E-2</v>
          </cell>
          <cell r="N85">
            <v>3.5000000000000003E-2</v>
          </cell>
          <cell r="O85">
            <v>3.5000000000000003E-2</v>
          </cell>
          <cell r="P85">
            <v>3.5000000000000003E-2</v>
          </cell>
          <cell r="Q85">
            <v>3.5000000000000003E-2</v>
          </cell>
          <cell r="R85">
            <v>3.5000000000000003E-2</v>
          </cell>
          <cell r="S85">
            <v>3.5000000000000003E-2</v>
          </cell>
          <cell r="T85">
            <v>3.5000000000000003E-2</v>
          </cell>
          <cell r="U85">
            <v>3.5000000000000003E-2</v>
          </cell>
        </row>
        <row r="86">
          <cell r="A86" t="str">
            <v>Expected rate of pension increase</v>
          </cell>
          <cell r="H86">
            <v>8.9999999999999993E-3</v>
          </cell>
          <cell r="I86">
            <v>8.9999999999999993E-3</v>
          </cell>
          <cell r="J86">
            <v>1.0999999999999999E-2</v>
          </cell>
          <cell r="K86">
            <v>8.951612903225814E-2</v>
          </cell>
          <cell r="L86">
            <v>2.9607698001481442E-3</v>
          </cell>
          <cell r="M86">
            <v>1.6236162361623618E-2</v>
          </cell>
          <cell r="N86">
            <v>8.7145969498909626E-3</v>
          </cell>
          <cell r="O86">
            <v>8.7145969498909626E-3</v>
          </cell>
          <cell r="P86">
            <v>8.7145969498909626E-3</v>
          </cell>
          <cell r="Q86">
            <v>8.7145969498909626E-3</v>
          </cell>
          <cell r="R86">
            <v>8.7145969498909626E-3</v>
          </cell>
          <cell r="S86">
            <v>8.7145969498909626E-3</v>
          </cell>
          <cell r="T86">
            <v>8.7145969498909626E-3</v>
          </cell>
          <cell r="U86">
            <v>8.7145969498909626E-3</v>
          </cell>
        </row>
      </sheetData>
      <sheetData sheetId="23"/>
      <sheetData sheetId="24"/>
      <sheetData sheetId="25"/>
      <sheetData sheetId="26"/>
      <sheetData sheetId="27"/>
      <sheetData sheetId="28"/>
      <sheetData sheetId="29"/>
      <sheetData sheetId="30" refreshError="1"/>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mwareTaxoPres"/>
      <sheetName val="Summary"/>
      <sheetName val="__FDSCACHE__"/>
      <sheetName val="MW Valuation"/>
      <sheetName val="Page 3"/>
      <sheetName val="Tables"/>
      <sheetName val="Scenarios"/>
      <sheetName val="MWA RR_GSK.L"/>
      <sheetName val="DCF 2020"/>
      <sheetName val="Changes"/>
      <sheetName val="Pipeline"/>
      <sheetName val="Primary Care"/>
      <sheetName val="Gross Margin"/>
      <sheetName val="IFRS Qtrly Sales"/>
      <sheetName val="Yrly Sales"/>
      <sheetName val="Qrtly Margins"/>
      <sheetName val=" Qrtly P&amp;L"/>
      <sheetName val="mwareValPrintout"/>
      <sheetName val="Yrly P&amp;L"/>
      <sheetName val="Balance Sheet"/>
      <sheetName val="Cash flow"/>
      <sheetName val="QPreview"/>
      <sheetName val="MW-Cache"/>
      <sheetName val="Pipeline Value"/>
      <sheetName val="Drivers"/>
      <sheetName val="Chart Data"/>
      <sheetName val="mwareDates"/>
      <sheetName val="mwareSettings"/>
      <sheetName val="GE3"/>
    </sheetNames>
    <sheetDataSet>
      <sheetData sheetId="0" refreshError="1"/>
      <sheetData sheetId="1" refreshError="1"/>
      <sheetData sheetId="2" refreshError="1"/>
      <sheetData sheetId="3" refreshError="1"/>
      <sheetData sheetId="4" refreshError="1">
        <row r="1">
          <cell r="B1" t="str">
            <v>IV-5.17</v>
          </cell>
          <cell r="M1" t="str">
            <v>Unit Conversion</v>
          </cell>
        </row>
        <row r="5">
          <cell r="B5" t="str">
            <v>INTRINSIC VALUE</v>
          </cell>
          <cell r="J5" t="str">
            <v>English</v>
          </cell>
          <cell r="M5" t="str">
            <v>Select Language</v>
          </cell>
        </row>
        <row r="6">
          <cell r="B6" t="str">
            <v>GSK.N</v>
          </cell>
          <cell r="M6" t="str">
            <v>Company name / Ticker</v>
          </cell>
          <cell r="BJ6" t="str">
            <v>English</v>
          </cell>
        </row>
        <row r="7">
          <cell r="BJ7" t="str">
            <v>日本語</v>
          </cell>
        </row>
        <row r="8">
          <cell r="D8" t="str">
            <v>Decimals</v>
          </cell>
          <cell r="F8" t="b">
            <v>1</v>
          </cell>
          <cell r="Z8" t="str">
            <v>Target Horizon &amp; Decimals</v>
          </cell>
          <cell r="AB8" t="str">
            <v>Scale Selection</v>
          </cell>
        </row>
        <row r="9">
          <cell r="Z9">
            <v>0</v>
          </cell>
          <cell r="AB9" t="str">
            <v>Millions</v>
          </cell>
          <cell r="AQ9">
            <v>1</v>
          </cell>
          <cell r="AR9" t="str">
            <v>Operating revenue</v>
          </cell>
          <cell r="BB9" t="str">
            <v>2</v>
          </cell>
        </row>
        <row r="10">
          <cell r="B10" t="str">
            <v>Intrinsic Value Model</v>
          </cell>
          <cell r="Z10">
            <v>1</v>
          </cell>
          <cell r="AB10" t="str">
            <v>Millions</v>
          </cell>
          <cell r="AC10">
            <v>1</v>
          </cell>
          <cell r="AQ10">
            <v>2</v>
          </cell>
          <cell r="AR10" t="str">
            <v>Operating revenue growth</v>
          </cell>
        </row>
        <row r="11">
          <cell r="B11" t="str">
            <v>Inputs:</v>
          </cell>
          <cell r="E11" t="str">
            <v>Outputs:</v>
          </cell>
          <cell r="Z11">
            <v>2</v>
          </cell>
          <cell r="AB11" t="str">
            <v>Billions</v>
          </cell>
          <cell r="AC11">
            <v>1E-3</v>
          </cell>
          <cell r="AQ11">
            <v>3</v>
          </cell>
          <cell r="AR11" t="str">
            <v>Operating asset turnover</v>
          </cell>
        </row>
        <row r="12">
          <cell r="B12" t="str">
            <v>Cost of equity</v>
          </cell>
          <cell r="C12">
            <v>8.5000000000000006E-2</v>
          </cell>
          <cell r="E12" t="str">
            <v>Price</v>
          </cell>
          <cell r="I12">
            <v>13.02</v>
          </cell>
          <cell r="R12" t="str">
            <v>IV per share schedule</v>
          </cell>
          <cell r="Z12">
            <v>3</v>
          </cell>
          <cell r="AA12" t="str">
            <v>KANJI</v>
          </cell>
          <cell r="AQ12">
            <v>4</v>
          </cell>
          <cell r="AR12" t="str">
            <v>NOPAT</v>
          </cell>
        </row>
        <row r="13">
          <cell r="B13" t="str">
            <v>Long-term ROE on new investments</v>
          </cell>
          <cell r="C13">
            <v>8.5000000000000006E-2</v>
          </cell>
          <cell r="E13" t="str">
            <v>IV Per Share (12 Month), Ex. Div</v>
          </cell>
          <cell r="H13">
            <v>41116</v>
          </cell>
          <cell r="I13">
            <v>17.42269893038851</v>
          </cell>
          <cell r="Q13" t="str">
            <v>1)</v>
          </cell>
          <cell r="R13" t="str">
            <v>IV per share beginning of F2011e</v>
          </cell>
          <cell r="W13">
            <v>16.248277124692976</v>
          </cell>
          <cell r="Z13">
            <v>4</v>
          </cell>
          <cell r="AA13" t="str">
            <v>IV per share beginning of F2011e</v>
          </cell>
          <cell r="AD13" t="str">
            <v>1株当たりIV　F2011e期首</v>
          </cell>
          <cell r="AQ13">
            <v>5</v>
          </cell>
          <cell r="AR13" t="str">
            <v>NOPAT margin</v>
          </cell>
        </row>
        <row r="14">
          <cell r="B14" t="str">
            <v>Years to reach steady-state growth</v>
          </cell>
          <cell r="C14">
            <v>15</v>
          </cell>
          <cell r="E14" t="str">
            <v>Expected share price return</v>
          </cell>
          <cell r="I14">
            <v>0.33814891938467823</v>
          </cell>
          <cell r="Q14" t="str">
            <v>2)</v>
          </cell>
          <cell r="R14" t="str">
            <v>Add: Cost of equity from beginning of F2011e to Jul-12</v>
          </cell>
          <cell r="W14">
            <v>0.13788162802134574</v>
          </cell>
          <cell r="X14">
            <v>1.5833333333333333</v>
          </cell>
          <cell r="Z14">
            <v>5</v>
          </cell>
          <cell r="AA14" t="str">
            <v>Add: Cost of equity from beginning of F2011e to Jul-12</v>
          </cell>
          <cell r="AD14" t="str">
            <v>追加: F2011e 期首 から Jul-12 の株主資本コスト</v>
          </cell>
          <cell r="AQ14">
            <v>6</v>
          </cell>
          <cell r="AR14" t="str">
            <v>Net operating assets</v>
          </cell>
        </row>
        <row r="15">
          <cell r="B15" t="str">
            <v>Steady-state revenue growth rate (%)</v>
          </cell>
          <cell r="C15">
            <v>0.02</v>
          </cell>
          <cell r="E15" t="str">
            <v>Expected dividend yield</v>
          </cell>
          <cell r="H15">
            <v>0.65017945818378486</v>
          </cell>
          <cell r="I15">
            <v>5.19235842063887E-2</v>
          </cell>
          <cell r="Q15" t="str">
            <v>3)</v>
          </cell>
          <cell r="R15" t="str">
            <v>Less: DPS paid out from beginning of F2011e to Jul-12</v>
          </cell>
          <cell r="W15">
            <v>1.0659170967991232</v>
          </cell>
          <cell r="Z15">
            <v>6</v>
          </cell>
          <cell r="AA15" t="str">
            <v>Less: DPS paid out from beginning of F2011e to Jul-12</v>
          </cell>
          <cell r="AD15" t="str">
            <v>控除: F2011e 期首 から Jul-12 のDPS支出</v>
          </cell>
          <cell r="AQ15">
            <v>7</v>
          </cell>
          <cell r="AR15" t="str">
            <v>RNOA</v>
          </cell>
        </row>
        <row r="16">
          <cell r="B16" t="str">
            <v>Shares Outstanding</v>
          </cell>
          <cell r="C16">
            <v>5134.093340768376</v>
          </cell>
          <cell r="E16" t="str">
            <v>Expected total return</v>
          </cell>
          <cell r="I16">
            <v>0.39007250359106693</v>
          </cell>
          <cell r="Q16" t="str">
            <v>4)</v>
          </cell>
          <cell r="R16" t="str">
            <v>IV per share Jul-12</v>
          </cell>
          <cell r="W16">
            <v>17.42269893038851</v>
          </cell>
          <cell r="Z16">
            <v>7</v>
          </cell>
          <cell r="AA16" t="str">
            <v>IV per share Jul-12</v>
          </cell>
          <cell r="AD16" t="str">
            <v>1株当たりIV Jul-12</v>
          </cell>
          <cell r="AQ16">
            <v>8</v>
          </cell>
          <cell r="AR16" t="str">
            <v>FCFO</v>
          </cell>
        </row>
        <row r="17">
          <cell r="B17" t="str">
            <v>Steady-state borrowing cost (net of tax)</v>
          </cell>
          <cell r="C17">
            <v>0.03</v>
          </cell>
          <cell r="Z17">
            <v>8</v>
          </cell>
          <cell r="AQ17">
            <v>14</v>
          </cell>
          <cell r="AR17" t="str">
            <v>Net financial expense (income)</v>
          </cell>
        </row>
        <row r="18">
          <cell r="B18" t="str">
            <v>Steady-state leverage (Net debt/Equity)</v>
          </cell>
          <cell r="C18">
            <v>0.1</v>
          </cell>
          <cell r="E18" t="str">
            <v>WACC</v>
          </cell>
          <cell r="I18">
            <v>8.0861237725903673E-2</v>
          </cell>
          <cell r="R18" t="str">
            <v>DPS of current fiscal year</v>
          </cell>
          <cell r="W18">
            <v>0.67604506636718087</v>
          </cell>
          <cell r="Z18">
            <v>9</v>
          </cell>
          <cell r="AQ18">
            <v>15</v>
          </cell>
          <cell r="AR18" t="str">
            <v>Other nonoperating expense (income)</v>
          </cell>
        </row>
        <row r="19">
          <cell r="B19" t="str">
            <v>Price target horizon (months)</v>
          </cell>
          <cell r="C19">
            <v>12</v>
          </cell>
          <cell r="E19" t="str">
            <v>Long-term RNOA on new investments</v>
          </cell>
          <cell r="I19">
            <v>0.08</v>
          </cell>
          <cell r="Z19">
            <v>10</v>
          </cell>
          <cell r="AQ19">
            <v>16</v>
          </cell>
          <cell r="AR19" t="str">
            <v>Net debt (cash)</v>
          </cell>
        </row>
        <row r="20">
          <cell r="B20" t="str">
            <v>Conv. factor - Model to traded Ccy</v>
          </cell>
          <cell r="C20">
            <v>1</v>
          </cell>
          <cell r="E20" t="str">
            <v>Explicit forecast period (years)</v>
          </cell>
          <cell r="I20">
            <v>10</v>
          </cell>
          <cell r="R20" t="str">
            <v>GSK.N</v>
          </cell>
          <cell r="W20">
            <v>5.5696004347420329E-2</v>
          </cell>
          <cell r="X20">
            <v>2012</v>
          </cell>
          <cell r="Y20">
            <v>0.39435962204752217</v>
          </cell>
          <cell r="Z20">
            <v>11</v>
          </cell>
          <cell r="AQ20">
            <v>17</v>
          </cell>
          <cell r="AR20" t="str">
            <v>Other nonoperating liabilities (assets) (ONOLA)</v>
          </cell>
        </row>
        <row r="21">
          <cell r="B21" t="str">
            <v>Decimals</v>
          </cell>
          <cell r="C21">
            <v>2</v>
          </cell>
          <cell r="E21" t="str">
            <v>Fiscal Year Ending</v>
          </cell>
          <cell r="I21">
            <v>12</v>
          </cell>
          <cell r="R21" t="str">
            <v>GlaxoSmithKline</v>
          </cell>
          <cell r="W21">
            <v>0.67155747475160099</v>
          </cell>
          <cell r="Y21">
            <v>0.67155747475160099</v>
          </cell>
          <cell r="Z21">
            <v>12</v>
          </cell>
          <cell r="AQ21">
            <v>18</v>
          </cell>
          <cell r="AR21" t="str">
            <v>Leverage EOP (net debt/equity)</v>
          </cell>
        </row>
        <row r="22">
          <cell r="R22" t="str">
            <v>IV per share (Current)</v>
          </cell>
          <cell r="U22">
            <v>40750</v>
          </cell>
          <cell r="V22">
            <v>16.645839481351221</v>
          </cell>
          <cell r="W22">
            <v>5.8517053980892679E-2</v>
          </cell>
          <cell r="X22">
            <v>2013</v>
          </cell>
          <cell r="Y22">
            <v>1.0659170967991232</v>
          </cell>
          <cell r="Z22">
            <v>13</v>
          </cell>
          <cell r="AQ22">
            <v>24</v>
          </cell>
          <cell r="AR22" t="str">
            <v>Dividends and net rep</v>
          </cell>
        </row>
        <row r="23">
          <cell r="L23" t="str">
            <v xml:space="preserve"> </v>
          </cell>
          <cell r="R23" t="str">
            <v>Conv. factor - Millions</v>
          </cell>
          <cell r="V23">
            <v>1</v>
          </cell>
          <cell r="W23">
            <v>0.65424680400168223</v>
          </cell>
          <cell r="Z23">
            <v>14</v>
          </cell>
        </row>
        <row r="24">
          <cell r="B24" t="str">
            <v>Value Breakdown</v>
          </cell>
          <cell r="W24">
            <v>5.6337088863931739E-2</v>
          </cell>
          <cell r="X24">
            <v>2011</v>
          </cell>
          <cell r="Z24">
            <v>15</v>
          </cell>
        </row>
        <row r="25">
          <cell r="B25" t="str">
            <v>Residual Income (operating):</v>
          </cell>
          <cell r="R25" t="str">
            <v>F2020e</v>
          </cell>
          <cell r="S25" t="str">
            <v>Operating revenue</v>
          </cell>
          <cell r="U25">
            <v>37687.052714815189</v>
          </cell>
          <cell r="W25">
            <v>6.2107251237069068E-2</v>
          </cell>
          <cell r="X25">
            <v>2014</v>
          </cell>
          <cell r="Z25">
            <v>16</v>
          </cell>
          <cell r="AB25" t="str">
            <v>Shares Outstanding</v>
          </cell>
          <cell r="AD25">
            <v>5134.093340768376</v>
          </cell>
        </row>
        <row r="26">
          <cell r="B26" t="str">
            <v>Beginning NOA</v>
          </cell>
          <cell r="C26">
            <v>37498.1</v>
          </cell>
          <cell r="E26" t="str">
            <v>DCF (operating):</v>
          </cell>
          <cell r="R26" t="str">
            <v>F2020e</v>
          </cell>
          <cell r="S26" t="str">
            <v>Operating revenue growth</v>
          </cell>
          <cell r="U26">
            <v>3.2612997470578442E-2</v>
          </cell>
          <cell r="W26">
            <v>2012</v>
          </cell>
          <cell r="X26" t="str">
            <v>RNOA</v>
          </cell>
          <cell r="Z26">
            <v>17</v>
          </cell>
          <cell r="AB26" t="str">
            <v>Beginning NOA</v>
          </cell>
          <cell r="AD26">
            <v>37498.1</v>
          </cell>
        </row>
        <row r="27">
          <cell r="B27" t="str">
            <v>Sum of PVRI</v>
          </cell>
          <cell r="C27">
            <v>58121.071384845309</v>
          </cell>
          <cell r="E27" t="str">
            <v>Sum of PVFCFO</v>
          </cell>
          <cell r="I27">
            <v>95619.171384845351</v>
          </cell>
          <cell r="R27" t="str">
            <v>F2020e</v>
          </cell>
          <cell r="S27" t="str">
            <v>NOPAT</v>
          </cell>
          <cell r="U27">
            <v>8387.0614539920571</v>
          </cell>
          <cell r="W27">
            <v>95619.171384845351</v>
          </cell>
          <cell r="X27" t="str">
            <v>COE</v>
          </cell>
          <cell r="Z27">
            <v>18</v>
          </cell>
          <cell r="AB27" t="str">
            <v>Beginning NNOAL</v>
          </cell>
          <cell r="AD27">
            <v>-12199</v>
          </cell>
        </row>
        <row r="28">
          <cell r="B28" t="str">
            <v>Beginning NNOAL</v>
          </cell>
          <cell r="C28">
            <v>-12199</v>
          </cell>
          <cell r="E28" t="str">
            <v>Beginning NNOAL</v>
          </cell>
          <cell r="I28">
            <v>-12199</v>
          </cell>
          <cell r="R28" t="str">
            <v>F2025e</v>
          </cell>
          <cell r="S28" t="str">
            <v>NOPAT</v>
          </cell>
          <cell r="U28">
            <v>9281.7840233694369</v>
          </cell>
          <cell r="X28" t="str">
            <v>WACC</v>
          </cell>
          <cell r="AB28" t="str">
            <v>Beginning Equity</v>
          </cell>
          <cell r="AD28">
            <v>25315.1</v>
          </cell>
        </row>
        <row r="29">
          <cell r="B29" t="str">
            <v>ROI equity value</v>
          </cell>
          <cell r="C29">
            <v>83420.171384845307</v>
          </cell>
          <cell r="E29" t="str">
            <v>DCF Equity Value</v>
          </cell>
          <cell r="I29">
            <v>83420.171384845351</v>
          </cell>
          <cell r="R29" t="str">
            <v>F2020e</v>
          </cell>
          <cell r="S29" t="str">
            <v>NOPAT margin</v>
          </cell>
          <cell r="U29">
            <v>0.22254490202400498</v>
          </cell>
          <cell r="W29">
            <v>83420.171384845351</v>
          </cell>
        </row>
        <row r="30">
          <cell r="R30" t="str">
            <v>F2019e</v>
          </cell>
          <cell r="S30" t="str">
            <v>Net operating assets</v>
          </cell>
          <cell r="U30">
            <v>37515.438754675793</v>
          </cell>
        </row>
        <row r="31">
          <cell r="B31" t="str">
            <v>Residual Income (equity):</v>
          </cell>
          <cell r="E31" t="str">
            <v xml:space="preserve">DDM (Equity): </v>
          </cell>
          <cell r="R31" t="str">
            <v>F2024e</v>
          </cell>
          <cell r="S31" t="str">
            <v>Net operating assets</v>
          </cell>
          <cell r="U31">
            <v>43410.24656788374</v>
          </cell>
        </row>
        <row r="32">
          <cell r="B32" t="str">
            <v>Beginning equity</v>
          </cell>
          <cell r="C32">
            <v>25315.1</v>
          </cell>
          <cell r="E32" t="str">
            <v>Sum of div &amp; net rep</v>
          </cell>
          <cell r="I32">
            <v>83420.171384845438</v>
          </cell>
          <cell r="R32" t="str">
            <v>F2020e</v>
          </cell>
          <cell r="S32" t="str">
            <v>RNOA</v>
          </cell>
          <cell r="U32">
            <v>0.22356293121979609</v>
          </cell>
          <cell r="W32">
            <v>83420.171384845438</v>
          </cell>
        </row>
        <row r="33">
          <cell r="B33" t="str">
            <v>Sum of PVRI</v>
          </cell>
          <cell r="C33">
            <v>58105.071384845469</v>
          </cell>
          <cell r="E33" t="str">
            <v>DDM equity value</v>
          </cell>
          <cell r="I33">
            <v>83420.171384845438</v>
          </cell>
          <cell r="U33">
            <v>-12199</v>
          </cell>
          <cell r="W33">
            <v>83420.171384845438</v>
          </cell>
          <cell r="AB33" t="str">
            <v>FSTicker</v>
          </cell>
          <cell r="AD33" t="str">
            <v>GLX</v>
          </cell>
        </row>
        <row r="34">
          <cell r="B34" t="str">
            <v>RI equity value</v>
          </cell>
          <cell r="C34">
            <v>83420.171384845467</v>
          </cell>
        </row>
        <row r="37">
          <cell r="B37" t="str">
            <v>Option: Sum-Of-The-parts (SOTP) Valuation</v>
          </cell>
        </row>
        <row r="38">
          <cell r="B38" t="str">
            <v>GSK.N</v>
          </cell>
          <cell r="C38" t="str">
            <v>2011-FY</v>
          </cell>
          <cell r="D38" t="str">
            <v>2012-FY</v>
          </cell>
          <cell r="E38" t="str">
            <v>2013-FY</v>
          </cell>
          <cell r="F38" t="str">
            <v>2014-FY</v>
          </cell>
          <cell r="G38" t="str">
            <v>2015-FY</v>
          </cell>
          <cell r="H38" t="str">
            <v>2016-FY</v>
          </cell>
          <cell r="I38" t="str">
            <v>2017-FY</v>
          </cell>
          <cell r="J38" t="str">
            <v>2018-FY</v>
          </cell>
          <cell r="K38" t="str">
            <v>2019-FY</v>
          </cell>
          <cell r="L38" t="str">
            <v>2020-FY</v>
          </cell>
          <cell r="M38" t="str">
            <v>2021-FY</v>
          </cell>
          <cell r="N38" t="str">
            <v>2022-FY</v>
          </cell>
          <cell r="O38" t="str">
            <v>2023-FY</v>
          </cell>
          <cell r="P38" t="str">
            <v>2024-FY</v>
          </cell>
          <cell r="Q38" t="str">
            <v>2025-FY</v>
          </cell>
          <cell r="R38" t="str">
            <v>2026-FY</v>
          </cell>
          <cell r="S38" t="str">
            <v>2027-FY</v>
          </cell>
          <cell r="T38" t="str">
            <v>2028-FY</v>
          </cell>
          <cell r="U38" t="str">
            <v>2029-FY</v>
          </cell>
          <cell r="V38" t="str">
            <v>2030-FY</v>
          </cell>
          <cell r="W38" t="str">
            <v>2031-FY</v>
          </cell>
          <cell r="X38" t="str">
            <v>2032-FY</v>
          </cell>
          <cell r="Y38" t="str">
            <v>2033-FY</v>
          </cell>
          <cell r="Z38" t="str">
            <v>2034-FY</v>
          </cell>
          <cell r="AA38" t="str">
            <v>2035-FY</v>
          </cell>
          <cell r="AB38" t="str">
            <v>2036-FY</v>
          </cell>
          <cell r="AC38" t="str">
            <v>2037-FY</v>
          </cell>
          <cell r="AD38" t="str">
            <v>2038-FY</v>
          </cell>
          <cell r="AE38" t="str">
            <v>2039-FY</v>
          </cell>
          <cell r="AF38" t="str">
            <v>2040-FY</v>
          </cell>
          <cell r="AG38" t="str">
            <v>2041-FY</v>
          </cell>
          <cell r="AH38" t="str">
            <v>2042-FY</v>
          </cell>
          <cell r="AI38" t="str">
            <v>2043-FY</v>
          </cell>
          <cell r="AJ38" t="str">
            <v>2044-FY</v>
          </cell>
          <cell r="AK38" t="str">
            <v>2045-FY</v>
          </cell>
          <cell r="AL38" t="str">
            <v>2046-FY</v>
          </cell>
          <cell r="AM38" t="str">
            <v>2047-FY</v>
          </cell>
          <cell r="AN38" t="str">
            <v>2048-FY</v>
          </cell>
          <cell r="AO38" t="str">
            <v>2049-FY</v>
          </cell>
          <cell r="AP38" t="str">
            <v>2050-FY</v>
          </cell>
          <cell r="AQ38" t="str">
            <v>2051-FY</v>
          </cell>
          <cell r="AR38" t="str">
            <v>2052-FY</v>
          </cell>
          <cell r="AS38" t="str">
            <v>2053-FY</v>
          </cell>
          <cell r="AT38" t="str">
            <v>2054-FY</v>
          </cell>
          <cell r="AU38" t="str">
            <v>2055-FY</v>
          </cell>
          <cell r="AV38" t="str">
            <v>2056-FY</v>
          </cell>
          <cell r="AW38" t="str">
            <v>2057-FY</v>
          </cell>
          <cell r="AX38" t="str">
            <v>2058-FY</v>
          </cell>
          <cell r="AY38" t="str">
            <v>2059-FY</v>
          </cell>
          <cell r="AZ38" t="str">
            <v>2060-FY</v>
          </cell>
          <cell r="BA38" t="str">
            <v>2061-FY</v>
          </cell>
          <cell r="BB38" t="str">
            <v>2062-FY</v>
          </cell>
          <cell r="BC38" t="str">
            <v>2063-FY</v>
          </cell>
          <cell r="BD38" t="str">
            <v>2064-FY</v>
          </cell>
          <cell r="BE38" t="str">
            <v>2065-FY</v>
          </cell>
          <cell r="BF38" t="str">
            <v>2066-FY</v>
          </cell>
          <cell r="BG38" t="str">
            <v>2067-FY</v>
          </cell>
          <cell r="BH38" t="str">
            <v>2068-FY</v>
          </cell>
          <cell r="BI38" t="str">
            <v>2069-FY</v>
          </cell>
          <cell r="BJ38" t="str">
            <v>2070-FY</v>
          </cell>
          <cell r="BK38" t="str">
            <v>2071-FY</v>
          </cell>
          <cell r="BL38" t="str">
            <v>2072-FY</v>
          </cell>
          <cell r="BM38" t="str">
            <v>2073-FY</v>
          </cell>
          <cell r="BN38" t="str">
            <v>2074-FY</v>
          </cell>
          <cell r="BO38" t="str">
            <v>2075-FY</v>
          </cell>
          <cell r="BP38" t="str">
            <v>2076-FY</v>
          </cell>
          <cell r="BQ38" t="str">
            <v>2077-FY</v>
          </cell>
          <cell r="BR38" t="str">
            <v>2078-FY</v>
          </cell>
          <cell r="BS38" t="str">
            <v>2079-FY</v>
          </cell>
          <cell r="BT38" t="str">
            <v>2080-FY</v>
          </cell>
          <cell r="BU38" t="str">
            <v>2081-FY</v>
          </cell>
          <cell r="BV38" t="str">
            <v>2082-FY</v>
          </cell>
          <cell r="BW38" t="str">
            <v>2083-FY</v>
          </cell>
          <cell r="BX38" t="str">
            <v>2084-FY</v>
          </cell>
          <cell r="BY38" t="str">
            <v>2085-FY</v>
          </cell>
          <cell r="BZ38" t="str">
            <v>2086-FY</v>
          </cell>
          <cell r="CA38" t="str">
            <v>2087-FY</v>
          </cell>
          <cell r="CB38" t="str">
            <v>2088-FY</v>
          </cell>
          <cell r="CC38" t="str">
            <v>2089-FY</v>
          </cell>
          <cell r="CD38" t="str">
            <v>2090-FY</v>
          </cell>
          <cell r="CE38" t="str">
            <v>2091-FY</v>
          </cell>
          <cell r="CF38" t="str">
            <v>2092-FY</v>
          </cell>
          <cell r="CG38" t="str">
            <v>2093-FY</v>
          </cell>
          <cell r="CH38" t="str">
            <v>2094-FY</v>
          </cell>
          <cell r="CI38" t="str">
            <v>2095-FY</v>
          </cell>
          <cell r="CJ38" t="str">
            <v>2096-FY</v>
          </cell>
          <cell r="CK38" t="str">
            <v>2097-FY</v>
          </cell>
          <cell r="CL38" t="str">
            <v>2098-FY</v>
          </cell>
          <cell r="CM38" t="str">
            <v>2099-FY</v>
          </cell>
          <cell r="CN38" t="str">
            <v>2100-FY</v>
          </cell>
          <cell r="CO38" t="str">
            <v>2101-FY</v>
          </cell>
          <cell r="CP38" t="str">
            <v>2102-FY</v>
          </cell>
          <cell r="CQ38" t="str">
            <v>2103-FY</v>
          </cell>
          <cell r="CR38" t="str">
            <v>2104-FY</v>
          </cell>
          <cell r="CS38" t="str">
            <v>2105-FY</v>
          </cell>
          <cell r="CT38" t="str">
            <v>2106-FY</v>
          </cell>
          <cell r="CU38" t="str">
            <v>2107-FY</v>
          </cell>
          <cell r="CV38" t="str">
            <v>2108-FY</v>
          </cell>
          <cell r="CW38" t="str">
            <v>2109-FY</v>
          </cell>
          <cell r="CX38" t="str">
            <v>2110-FY</v>
          </cell>
          <cell r="CY38" t="str">
            <v>2111-FY</v>
          </cell>
          <cell r="CZ38" t="str">
            <v>2112-FY</v>
          </cell>
          <cell r="DA38" t="str">
            <v>2113-FY</v>
          </cell>
          <cell r="DB38" t="str">
            <v>2114-FY</v>
          </cell>
          <cell r="DC38" t="str">
            <v>2115-FY</v>
          </cell>
          <cell r="DD38" t="str">
            <v>2116-FY</v>
          </cell>
          <cell r="DE38" t="str">
            <v>2117-FY</v>
          </cell>
          <cell r="DF38" t="str">
            <v>2118-FY</v>
          </cell>
          <cell r="DG38" t="str">
            <v>2119-FY</v>
          </cell>
          <cell r="DH38" t="str">
            <v>2120-FY</v>
          </cell>
          <cell r="DI38" t="str">
            <v>2121-FY</v>
          </cell>
          <cell r="DJ38" t="str">
            <v>2122-FY</v>
          </cell>
          <cell r="DK38" t="str">
            <v>2123-FY</v>
          </cell>
          <cell r="DL38" t="str">
            <v>2124-FY</v>
          </cell>
          <cell r="DM38" t="str">
            <v>2125-FY</v>
          </cell>
          <cell r="DN38" t="str">
            <v>2126-FY</v>
          </cell>
          <cell r="DO38" t="str">
            <v>2127-FY</v>
          </cell>
          <cell r="DP38" t="str">
            <v>2128-FY</v>
          </cell>
          <cell r="DQ38" t="str">
            <v>2129-FY</v>
          </cell>
          <cell r="DR38" t="str">
            <v>2130-FY</v>
          </cell>
          <cell r="DS38" t="str">
            <v>2131-FY</v>
          </cell>
          <cell r="DT38" t="str">
            <v>2132-FY</v>
          </cell>
          <cell r="DU38" t="str">
            <v>2133-FY</v>
          </cell>
          <cell r="DV38" t="str">
            <v>2134-FY</v>
          </cell>
          <cell r="DW38" t="str">
            <v>2135-FY</v>
          </cell>
          <cell r="DX38" t="str">
            <v>2136-FY</v>
          </cell>
          <cell r="DY38" t="str">
            <v>2137-FY</v>
          </cell>
          <cell r="DZ38" t="str">
            <v>2138-FY</v>
          </cell>
          <cell r="EA38" t="str">
            <v>2139-FY</v>
          </cell>
          <cell r="EB38" t="str">
            <v>2140-FY</v>
          </cell>
          <cell r="EC38" t="str">
            <v>2141-FY</v>
          </cell>
          <cell r="ED38" t="str">
            <v>2142-FY</v>
          </cell>
          <cell r="EE38" t="str">
            <v>2143-FY</v>
          </cell>
          <cell r="EF38" t="str">
            <v>2144-FY</v>
          </cell>
          <cell r="EG38" t="str">
            <v>2145-FY</v>
          </cell>
          <cell r="EH38" t="str">
            <v>2146-FY</v>
          </cell>
          <cell r="EI38" t="str">
            <v>2147-FY</v>
          </cell>
          <cell r="EJ38" t="str">
            <v>2148-FY</v>
          </cell>
          <cell r="EK38" t="str">
            <v>2149-FY</v>
          </cell>
          <cell r="EL38" t="str">
            <v>2150-FY</v>
          </cell>
          <cell r="EM38" t="str">
            <v>2151-FY</v>
          </cell>
          <cell r="EN38" t="str">
            <v>2152-FY</v>
          </cell>
          <cell r="EO38" t="str">
            <v>2153-FY</v>
          </cell>
          <cell r="EP38" t="str">
            <v>2154-FY</v>
          </cell>
          <cell r="EQ38" t="str">
            <v>2155-FY</v>
          </cell>
          <cell r="ER38" t="str">
            <v>2156-FY</v>
          </cell>
          <cell r="ES38" t="str">
            <v>2157-FY</v>
          </cell>
          <cell r="ET38" t="str">
            <v>2158-FY</v>
          </cell>
          <cell r="EU38" t="str">
            <v>2159-FY</v>
          </cell>
          <cell r="EV38" t="str">
            <v>2160-FY</v>
          </cell>
          <cell r="EW38" t="str">
            <v>2161-FY</v>
          </cell>
          <cell r="EX38" t="str">
            <v>2162-FY</v>
          </cell>
          <cell r="EY38" t="str">
            <v>2163-FY</v>
          </cell>
          <cell r="EZ38" t="str">
            <v>2164-FY</v>
          </cell>
          <cell r="FA38" t="str">
            <v>2165-FY</v>
          </cell>
          <cell r="FB38" t="str">
            <v>2166-FY</v>
          </cell>
          <cell r="FC38" t="str">
            <v>2167-FY</v>
          </cell>
          <cell r="FD38" t="str">
            <v>2168-FY</v>
          </cell>
          <cell r="FE38" t="str">
            <v>2169-FY</v>
          </cell>
          <cell r="FF38" t="str">
            <v>2170-FY</v>
          </cell>
          <cell r="FG38" t="str">
            <v>2171-FY</v>
          </cell>
          <cell r="FH38" t="str">
            <v>2172-FY</v>
          </cell>
          <cell r="FI38" t="str">
            <v>2173-FY</v>
          </cell>
          <cell r="FJ38" t="str">
            <v>2174-FY</v>
          </cell>
          <cell r="FK38" t="str">
            <v>2175-FY</v>
          </cell>
          <cell r="FL38" t="str">
            <v>2176-FY</v>
          </cell>
          <cell r="FM38" t="str">
            <v>2177-FY</v>
          </cell>
          <cell r="FN38" t="str">
            <v>2178-FY</v>
          </cell>
          <cell r="FO38" t="str">
            <v>2179-FY</v>
          </cell>
          <cell r="FP38" t="str">
            <v>2180-FY</v>
          </cell>
          <cell r="FQ38" t="str">
            <v>2181-FY</v>
          </cell>
          <cell r="FR38" t="str">
            <v>2182-FY</v>
          </cell>
          <cell r="FS38" t="str">
            <v>2183-FY</v>
          </cell>
          <cell r="FT38" t="str">
            <v>2184-FY</v>
          </cell>
          <cell r="FU38" t="str">
            <v>2185-FY</v>
          </cell>
          <cell r="FV38" t="str">
            <v>2186-FY</v>
          </cell>
          <cell r="FW38" t="str">
            <v>2187-FY</v>
          </cell>
          <cell r="FX38" t="str">
            <v>2188-FY</v>
          </cell>
          <cell r="FY38" t="str">
            <v>2189-FY</v>
          </cell>
          <cell r="FZ38" t="str">
            <v>2190-FY</v>
          </cell>
          <cell r="GA38" t="str">
            <v>2191-FY</v>
          </cell>
          <cell r="GB38" t="str">
            <v>2192-FY</v>
          </cell>
          <cell r="GC38" t="str">
            <v>2193-FY</v>
          </cell>
          <cell r="GD38" t="str">
            <v>2194-FY</v>
          </cell>
          <cell r="GE38" t="str">
            <v>2195-FY</v>
          </cell>
          <cell r="GF38" t="str">
            <v>2196-FY</v>
          </cell>
          <cell r="GG38" t="str">
            <v>2197-FY</v>
          </cell>
          <cell r="GH38" t="str">
            <v>2198-FY</v>
          </cell>
          <cell r="GI38" t="str">
            <v>2199-FY</v>
          </cell>
          <cell r="GJ38" t="str">
            <v>2200-FY</v>
          </cell>
          <cell r="GK38" t="str">
            <v>2201-FY</v>
          </cell>
          <cell r="GL38" t="str">
            <v>2202-FY</v>
          </cell>
          <cell r="GM38" t="str">
            <v>2203-FY</v>
          </cell>
          <cell r="GN38" t="str">
            <v>2204-FY</v>
          </cell>
          <cell r="GO38" t="str">
            <v>2205-FY</v>
          </cell>
          <cell r="GP38" t="str">
            <v>2206-FY</v>
          </cell>
          <cell r="GQ38" t="str">
            <v>2207-FY</v>
          </cell>
          <cell r="GR38" t="str">
            <v>2208-FY</v>
          </cell>
          <cell r="GS38" t="str">
            <v>2209-FY</v>
          </cell>
          <cell r="GT38" t="str">
            <v>2210-FY</v>
          </cell>
          <cell r="GU38" t="str">
            <v>2211-FY</v>
          </cell>
          <cell r="GV38" t="str">
            <v>2212-FY</v>
          </cell>
          <cell r="GW38" t="str">
            <v>2213-FY</v>
          </cell>
          <cell r="GX38" t="str">
            <v>2214-FY</v>
          </cell>
          <cell r="GY38" t="str">
            <v>2215-FY</v>
          </cell>
          <cell r="GZ38" t="str">
            <v>2216-FY</v>
          </cell>
          <cell r="HA38" t="str">
            <v>2217-FY</v>
          </cell>
          <cell r="HB38" t="str">
            <v>2218-FY</v>
          </cell>
          <cell r="HC38" t="str">
            <v>2219-FY</v>
          </cell>
          <cell r="HD38" t="str">
            <v>2220-FY</v>
          </cell>
          <cell r="HE38" t="str">
            <v>2221-FY</v>
          </cell>
          <cell r="HF38" t="str">
            <v>2222-FY</v>
          </cell>
          <cell r="HG38" t="str">
            <v>2223-FY</v>
          </cell>
          <cell r="HH38" t="str">
            <v>2224-FY</v>
          </cell>
          <cell r="HI38" t="str">
            <v>2225-FY</v>
          </cell>
          <cell r="HJ38" t="str">
            <v>2226-FY</v>
          </cell>
          <cell r="HK38" t="str">
            <v>2227-FY</v>
          </cell>
          <cell r="HL38" t="str">
            <v>2228-FY</v>
          </cell>
          <cell r="HM38" t="str">
            <v>2229-FY</v>
          </cell>
          <cell r="HN38" t="str">
            <v>2230-FY</v>
          </cell>
          <cell r="HO38" t="str">
            <v>2231-FY</v>
          </cell>
          <cell r="HP38" t="str">
            <v>2232-FY</v>
          </cell>
          <cell r="HQ38" t="str">
            <v>2233-FY</v>
          </cell>
          <cell r="HR38" t="str">
            <v>2234-FY</v>
          </cell>
          <cell r="HS38" t="str">
            <v>2235-FY</v>
          </cell>
          <cell r="HT38" t="str">
            <v>2236-FY</v>
          </cell>
          <cell r="HU38" t="str">
            <v>2237-FY</v>
          </cell>
          <cell r="HV38" t="str">
            <v>2238-FY</v>
          </cell>
          <cell r="HW38" t="str">
            <v>2239-FY</v>
          </cell>
          <cell r="HX38" t="str">
            <v>2240-FY</v>
          </cell>
          <cell r="HY38" t="str">
            <v>2241-FY</v>
          </cell>
          <cell r="HZ38" t="str">
            <v>2242-FY</v>
          </cell>
          <cell r="IA38" t="str">
            <v>2243-FY</v>
          </cell>
          <cell r="IB38" t="str">
            <v>2244-FY</v>
          </cell>
          <cell r="IC38" t="str">
            <v>2245-FY</v>
          </cell>
          <cell r="ID38" t="str">
            <v>2246-FY</v>
          </cell>
          <cell r="IE38" t="str">
            <v>2247-FY</v>
          </cell>
          <cell r="IF38" t="str">
            <v>2248-FY</v>
          </cell>
          <cell r="IG38" t="str">
            <v>2249-FY</v>
          </cell>
          <cell r="IH38" t="str">
            <v>2250-FY</v>
          </cell>
          <cell r="II38" t="str">
            <v>2251-FY</v>
          </cell>
          <cell r="IJ38" t="str">
            <v>2252-FY</v>
          </cell>
          <cell r="IK38" t="str">
            <v>2253-FY</v>
          </cell>
          <cell r="IL38" t="str">
            <v>2254-FY</v>
          </cell>
          <cell r="IM38" t="str">
            <v>2255-FY</v>
          </cell>
          <cell r="IN38" t="str">
            <v>2256-FY</v>
          </cell>
          <cell r="IO38" t="str">
            <v>2257-FY</v>
          </cell>
          <cell r="IP38" t="str">
            <v>2258-FY</v>
          </cell>
          <cell r="IQ38" t="str">
            <v>2259-FY</v>
          </cell>
          <cell r="IR38" t="str">
            <v>2260-FY</v>
          </cell>
        </row>
        <row r="39">
          <cell r="C39">
            <v>2011</v>
          </cell>
          <cell r="D39">
            <v>2012</v>
          </cell>
          <cell r="E39">
            <v>2013</v>
          </cell>
          <cell r="F39">
            <v>2014</v>
          </cell>
          <cell r="G39">
            <v>2015</v>
          </cell>
          <cell r="H39">
            <v>2016</v>
          </cell>
          <cell r="I39">
            <v>2017</v>
          </cell>
          <cell r="J39">
            <v>2018</v>
          </cell>
          <cell r="K39">
            <v>2019</v>
          </cell>
          <cell r="L39">
            <v>2020</v>
          </cell>
          <cell r="M39">
            <v>2021</v>
          </cell>
          <cell r="N39">
            <v>2022</v>
          </cell>
          <cell r="O39">
            <v>2023</v>
          </cell>
          <cell r="P39">
            <v>2024</v>
          </cell>
          <cell r="Q39">
            <v>2025</v>
          </cell>
          <cell r="R39">
            <v>2026</v>
          </cell>
          <cell r="S39">
            <v>2027</v>
          </cell>
          <cell r="T39">
            <v>2028</v>
          </cell>
          <cell r="U39">
            <v>2029</v>
          </cell>
          <cell r="V39">
            <v>2030</v>
          </cell>
          <cell r="W39">
            <v>2031</v>
          </cell>
          <cell r="X39">
            <v>2032</v>
          </cell>
          <cell r="Y39">
            <v>2033</v>
          </cell>
          <cell r="Z39">
            <v>2034</v>
          </cell>
          <cell r="AA39">
            <v>2035</v>
          </cell>
          <cell r="AB39">
            <v>2036</v>
          </cell>
          <cell r="AC39">
            <v>2037</v>
          </cell>
          <cell r="AD39">
            <v>2038</v>
          </cell>
          <cell r="AE39">
            <v>2039</v>
          </cell>
          <cell r="AF39">
            <v>2040</v>
          </cell>
          <cell r="AG39">
            <v>2041</v>
          </cell>
          <cell r="AH39">
            <v>2042</v>
          </cell>
          <cell r="AI39">
            <v>2043</v>
          </cell>
          <cell r="AJ39">
            <v>2044</v>
          </cell>
          <cell r="AK39">
            <v>2045</v>
          </cell>
          <cell r="AL39">
            <v>2046</v>
          </cell>
          <cell r="AM39">
            <v>2047</v>
          </cell>
          <cell r="AN39">
            <v>2048</v>
          </cell>
          <cell r="AO39">
            <v>2049</v>
          </cell>
          <cell r="AP39">
            <v>2050</v>
          </cell>
          <cell r="AQ39">
            <v>2051</v>
          </cell>
          <cell r="AR39">
            <v>2052</v>
          </cell>
          <cell r="AS39">
            <v>2053</v>
          </cell>
          <cell r="AT39">
            <v>2054</v>
          </cell>
          <cell r="AU39">
            <v>2055</v>
          </cell>
          <cell r="AV39">
            <v>2056</v>
          </cell>
          <cell r="AW39">
            <v>2057</v>
          </cell>
          <cell r="AX39">
            <v>2058</v>
          </cell>
          <cell r="AY39">
            <v>2059</v>
          </cell>
          <cell r="AZ39">
            <v>2060</v>
          </cell>
          <cell r="BA39">
            <v>2061</v>
          </cell>
          <cell r="BB39">
            <v>2062</v>
          </cell>
          <cell r="BC39">
            <v>2063</v>
          </cell>
          <cell r="BD39">
            <v>2064</v>
          </cell>
          <cell r="BE39">
            <v>2065</v>
          </cell>
          <cell r="BF39">
            <v>2066</v>
          </cell>
          <cell r="BG39">
            <v>2067</v>
          </cell>
          <cell r="BH39">
            <v>2068</v>
          </cell>
          <cell r="BI39">
            <v>2069</v>
          </cell>
          <cell r="BJ39">
            <v>2070</v>
          </cell>
          <cell r="BK39">
            <v>2071</v>
          </cell>
          <cell r="BL39">
            <v>2072</v>
          </cell>
          <cell r="BM39">
            <v>2073</v>
          </cell>
          <cell r="BN39">
            <v>2074</v>
          </cell>
          <cell r="BO39">
            <v>2075</v>
          </cell>
          <cell r="BP39">
            <v>2076</v>
          </cell>
          <cell r="BQ39">
            <v>2077</v>
          </cell>
          <cell r="BR39">
            <v>2078</v>
          </cell>
          <cell r="BS39">
            <v>2079</v>
          </cell>
          <cell r="BT39">
            <v>2080</v>
          </cell>
          <cell r="BU39">
            <v>2081</v>
          </cell>
          <cell r="BV39">
            <v>2082</v>
          </cell>
          <cell r="BW39">
            <v>2083</v>
          </cell>
          <cell r="BX39">
            <v>2084</v>
          </cell>
          <cell r="BY39">
            <v>2085</v>
          </cell>
          <cell r="BZ39">
            <v>2086</v>
          </cell>
          <cell r="CA39">
            <v>2087</v>
          </cell>
          <cell r="CB39">
            <v>2088</v>
          </cell>
          <cell r="CC39">
            <v>2089</v>
          </cell>
          <cell r="CD39">
            <v>2090</v>
          </cell>
          <cell r="CE39">
            <v>2091</v>
          </cell>
          <cell r="CF39">
            <v>2092</v>
          </cell>
          <cell r="CG39">
            <v>2093</v>
          </cell>
          <cell r="CH39">
            <v>2094</v>
          </cell>
          <cell r="CI39">
            <v>2095</v>
          </cell>
          <cell r="CJ39">
            <v>2096</v>
          </cell>
          <cell r="CK39">
            <v>2097</v>
          </cell>
          <cell r="CL39">
            <v>2098</v>
          </cell>
          <cell r="CM39">
            <v>2099</v>
          </cell>
          <cell r="CN39">
            <v>2100</v>
          </cell>
          <cell r="CO39">
            <v>2101</v>
          </cell>
          <cell r="CP39">
            <v>2102</v>
          </cell>
          <cell r="CQ39">
            <v>2103</v>
          </cell>
          <cell r="CR39">
            <v>2104</v>
          </cell>
          <cell r="CS39">
            <v>2105</v>
          </cell>
          <cell r="CT39">
            <v>2106</v>
          </cell>
          <cell r="CU39">
            <v>2107</v>
          </cell>
          <cell r="CV39">
            <v>2108</v>
          </cell>
          <cell r="CW39">
            <v>2109</v>
          </cell>
          <cell r="CX39">
            <v>2110</v>
          </cell>
          <cell r="CY39">
            <v>2111</v>
          </cell>
          <cell r="CZ39">
            <v>2112</v>
          </cell>
          <cell r="DA39">
            <v>2113</v>
          </cell>
          <cell r="DB39">
            <v>2114</v>
          </cell>
          <cell r="DC39">
            <v>2115</v>
          </cell>
          <cell r="DD39">
            <v>2116</v>
          </cell>
          <cell r="DE39">
            <v>2117</v>
          </cell>
          <cell r="DF39">
            <v>2118</v>
          </cell>
          <cell r="DG39">
            <v>2119</v>
          </cell>
          <cell r="DH39">
            <v>2120</v>
          </cell>
          <cell r="DI39">
            <v>2121</v>
          </cell>
          <cell r="DJ39">
            <v>2122</v>
          </cell>
          <cell r="DK39">
            <v>2123</v>
          </cell>
          <cell r="DL39">
            <v>2124</v>
          </cell>
          <cell r="DM39">
            <v>2125</v>
          </cell>
          <cell r="DN39">
            <v>2126</v>
          </cell>
          <cell r="DO39">
            <v>2127</v>
          </cell>
          <cell r="DP39">
            <v>2128</v>
          </cell>
          <cell r="DQ39">
            <v>2129</v>
          </cell>
          <cell r="DR39">
            <v>2130</v>
          </cell>
          <cell r="DS39">
            <v>2131</v>
          </cell>
          <cell r="DT39">
            <v>2132</v>
          </cell>
          <cell r="DU39">
            <v>2133</v>
          </cell>
          <cell r="DV39">
            <v>2134</v>
          </cell>
          <cell r="DW39">
            <v>2135</v>
          </cell>
          <cell r="DX39">
            <v>2136</v>
          </cell>
          <cell r="DY39">
            <v>2137</v>
          </cell>
          <cell r="DZ39">
            <v>2138</v>
          </cell>
          <cell r="EA39">
            <v>2139</v>
          </cell>
          <cell r="EB39">
            <v>2140</v>
          </cell>
          <cell r="EC39">
            <v>2141</v>
          </cell>
          <cell r="ED39">
            <v>2142</v>
          </cell>
          <cell r="EE39">
            <v>2143</v>
          </cell>
          <cell r="EF39">
            <v>2144</v>
          </cell>
          <cell r="EG39">
            <v>2145</v>
          </cell>
          <cell r="EH39">
            <v>2146</v>
          </cell>
          <cell r="EI39">
            <v>2147</v>
          </cell>
          <cell r="EJ39">
            <v>2148</v>
          </cell>
          <cell r="EK39">
            <v>2149</v>
          </cell>
          <cell r="EL39">
            <v>2150</v>
          </cell>
          <cell r="EM39">
            <v>2151</v>
          </cell>
          <cell r="EN39">
            <v>2152</v>
          </cell>
          <cell r="EO39">
            <v>2153</v>
          </cell>
          <cell r="EP39">
            <v>2154</v>
          </cell>
          <cell r="EQ39">
            <v>2155</v>
          </cell>
          <cell r="ER39">
            <v>2156</v>
          </cell>
          <cell r="ES39">
            <v>2157</v>
          </cell>
          <cell r="ET39">
            <v>2158</v>
          </cell>
          <cell r="EU39">
            <v>2159</v>
          </cell>
          <cell r="EV39">
            <v>2160</v>
          </cell>
          <cell r="EW39">
            <v>2161</v>
          </cell>
          <cell r="EX39">
            <v>2162</v>
          </cell>
          <cell r="EY39">
            <v>2163</v>
          </cell>
          <cell r="EZ39">
            <v>2164</v>
          </cell>
          <cell r="FA39">
            <v>2165</v>
          </cell>
          <cell r="FB39">
            <v>2166</v>
          </cell>
          <cell r="FC39">
            <v>2167</v>
          </cell>
          <cell r="FD39">
            <v>2168</v>
          </cell>
          <cell r="FE39">
            <v>2169</v>
          </cell>
          <cell r="FF39">
            <v>2170</v>
          </cell>
          <cell r="FG39">
            <v>2171</v>
          </cell>
          <cell r="FH39">
            <v>2172</v>
          </cell>
          <cell r="FI39">
            <v>2173</v>
          </cell>
          <cell r="FJ39">
            <v>2174</v>
          </cell>
          <cell r="FK39">
            <v>2175</v>
          </cell>
          <cell r="FL39">
            <v>2176</v>
          </cell>
          <cell r="FM39">
            <v>2177</v>
          </cell>
          <cell r="FN39">
            <v>2178</v>
          </cell>
          <cell r="FO39">
            <v>2179</v>
          </cell>
          <cell r="FP39">
            <v>2180</v>
          </cell>
          <cell r="FQ39">
            <v>2181</v>
          </cell>
          <cell r="FR39">
            <v>2182</v>
          </cell>
          <cell r="FS39">
            <v>2183</v>
          </cell>
          <cell r="FT39">
            <v>2184</v>
          </cell>
          <cell r="FU39">
            <v>2185</v>
          </cell>
          <cell r="FV39">
            <v>2186</v>
          </cell>
          <cell r="FW39">
            <v>2187</v>
          </cell>
          <cell r="FX39">
            <v>2188</v>
          </cell>
          <cell r="FY39">
            <v>2189</v>
          </cell>
          <cell r="FZ39">
            <v>2190</v>
          </cell>
          <cell r="GA39">
            <v>2191</v>
          </cell>
          <cell r="GB39">
            <v>2192</v>
          </cell>
          <cell r="GC39">
            <v>2193</v>
          </cell>
          <cell r="GD39">
            <v>2194</v>
          </cell>
          <cell r="GE39">
            <v>2195</v>
          </cell>
          <cell r="GF39">
            <v>2196</v>
          </cell>
          <cell r="GG39">
            <v>2197</v>
          </cell>
          <cell r="GH39">
            <v>2198</v>
          </cell>
          <cell r="GI39">
            <v>2199</v>
          </cell>
          <cell r="GJ39">
            <v>2200</v>
          </cell>
          <cell r="GK39">
            <v>2201</v>
          </cell>
          <cell r="GL39">
            <v>2202</v>
          </cell>
          <cell r="GM39">
            <v>2203</v>
          </cell>
          <cell r="GN39">
            <v>2204</v>
          </cell>
          <cell r="GO39">
            <v>2205</v>
          </cell>
          <cell r="GP39">
            <v>2206</v>
          </cell>
          <cell r="GQ39">
            <v>2207</v>
          </cell>
          <cell r="GR39">
            <v>2208</v>
          </cell>
          <cell r="GS39">
            <v>2209</v>
          </cell>
          <cell r="GT39">
            <v>2210</v>
          </cell>
          <cell r="GU39">
            <v>2211</v>
          </cell>
          <cell r="GV39">
            <v>2212</v>
          </cell>
          <cell r="GW39">
            <v>2213</v>
          </cell>
          <cell r="GX39">
            <v>2214</v>
          </cell>
          <cell r="GY39">
            <v>2215</v>
          </cell>
          <cell r="GZ39">
            <v>2216</v>
          </cell>
          <cell r="HA39">
            <v>2217</v>
          </cell>
          <cell r="HB39">
            <v>2218</v>
          </cell>
          <cell r="HC39">
            <v>2219</v>
          </cell>
          <cell r="HD39">
            <v>2220</v>
          </cell>
          <cell r="HE39">
            <v>2221</v>
          </cell>
          <cell r="HF39">
            <v>2222</v>
          </cell>
          <cell r="HG39">
            <v>2223</v>
          </cell>
          <cell r="HH39">
            <v>2224</v>
          </cell>
          <cell r="HI39">
            <v>2225</v>
          </cell>
          <cell r="HJ39">
            <v>2226</v>
          </cell>
          <cell r="HK39">
            <v>2227</v>
          </cell>
          <cell r="HL39">
            <v>2228</v>
          </cell>
          <cell r="HM39">
            <v>2229</v>
          </cell>
          <cell r="HN39">
            <v>2230</v>
          </cell>
          <cell r="HO39">
            <v>2231</v>
          </cell>
          <cell r="HP39">
            <v>2232</v>
          </cell>
          <cell r="HQ39">
            <v>2233</v>
          </cell>
          <cell r="HR39">
            <v>2234</v>
          </cell>
          <cell r="HS39">
            <v>2235</v>
          </cell>
          <cell r="HT39">
            <v>2236</v>
          </cell>
          <cell r="HU39">
            <v>2237</v>
          </cell>
          <cell r="HV39">
            <v>2238</v>
          </cell>
          <cell r="HW39">
            <v>2239</v>
          </cell>
          <cell r="HX39">
            <v>2240</v>
          </cell>
          <cell r="HY39">
            <v>2241</v>
          </cell>
          <cell r="HZ39">
            <v>2242</v>
          </cell>
          <cell r="IA39">
            <v>2243</v>
          </cell>
          <cell r="IB39">
            <v>2244</v>
          </cell>
          <cell r="IC39">
            <v>2245</v>
          </cell>
          <cell r="ID39">
            <v>2246</v>
          </cell>
          <cell r="IE39">
            <v>2247</v>
          </cell>
          <cell r="IF39">
            <v>2248</v>
          </cell>
          <cell r="IG39">
            <v>2249</v>
          </cell>
          <cell r="IH39">
            <v>2250</v>
          </cell>
          <cell r="II39">
            <v>2251</v>
          </cell>
          <cell r="IJ39">
            <v>2252</v>
          </cell>
          <cell r="IK39">
            <v>2253</v>
          </cell>
          <cell r="IL39">
            <v>2254</v>
          </cell>
          <cell r="IM39">
            <v>2255</v>
          </cell>
          <cell r="IN39">
            <v>2256</v>
          </cell>
          <cell r="IO39">
            <v>2257</v>
          </cell>
          <cell r="IP39">
            <v>2258</v>
          </cell>
          <cell r="IQ39">
            <v>2259</v>
          </cell>
          <cell r="IR39">
            <v>2260</v>
          </cell>
        </row>
        <row r="40">
          <cell r="C40" t="str">
            <v>F2011e</v>
          </cell>
          <cell r="D40" t="str">
            <v>F2012e</v>
          </cell>
          <cell r="E40" t="str">
            <v>F2013e</v>
          </cell>
          <cell r="F40" t="str">
            <v>F2014e</v>
          </cell>
          <cell r="G40" t="str">
            <v>F2015e</v>
          </cell>
          <cell r="H40" t="str">
            <v>F2016e</v>
          </cell>
          <cell r="I40" t="str">
            <v>F2017e</v>
          </cell>
          <cell r="J40" t="str">
            <v>F2018e</v>
          </cell>
          <cell r="K40" t="str">
            <v>F2019e</v>
          </cell>
          <cell r="L40" t="str">
            <v>F2020e</v>
          </cell>
          <cell r="M40" t="str">
            <v>F2021e</v>
          </cell>
          <cell r="N40" t="str">
            <v>F2022e</v>
          </cell>
          <cell r="O40" t="str">
            <v>F2023e</v>
          </cell>
          <cell r="P40" t="str">
            <v>F2024e</v>
          </cell>
          <cell r="Q40" t="str">
            <v>F2025e</v>
          </cell>
          <cell r="R40" t="str">
            <v>F2026e</v>
          </cell>
          <cell r="S40" t="str">
            <v>F2027e</v>
          </cell>
          <cell r="T40" t="str">
            <v>F2028e</v>
          </cell>
          <cell r="U40" t="str">
            <v>F2029e</v>
          </cell>
          <cell r="V40" t="str">
            <v>F2030e</v>
          </cell>
          <cell r="W40" t="str">
            <v>F2031e</v>
          </cell>
          <cell r="X40" t="str">
            <v>F2032e</v>
          </cell>
          <cell r="Y40" t="str">
            <v>F2033e</v>
          </cell>
          <cell r="Z40" t="str">
            <v>F2034e</v>
          </cell>
          <cell r="AA40" t="str">
            <v>F2035e</v>
          </cell>
          <cell r="AB40" t="str">
            <v>F2036e</v>
          </cell>
          <cell r="AC40" t="str">
            <v>F2037e</v>
          </cell>
          <cell r="AD40" t="str">
            <v>F2038e</v>
          </cell>
          <cell r="AE40" t="str">
            <v>F2039e</v>
          </cell>
          <cell r="AF40" t="str">
            <v>F2040e</v>
          </cell>
          <cell r="AG40" t="str">
            <v>F2041e</v>
          </cell>
          <cell r="AH40" t="str">
            <v>F2042e</v>
          </cell>
          <cell r="AI40" t="str">
            <v>F2043e</v>
          </cell>
          <cell r="AJ40" t="str">
            <v>F2044e</v>
          </cell>
          <cell r="AK40" t="str">
            <v>F2045e</v>
          </cell>
          <cell r="AL40" t="str">
            <v>F2046e</v>
          </cell>
          <cell r="AM40" t="str">
            <v>F2047e</v>
          </cell>
          <cell r="AN40" t="str">
            <v>F2048e</v>
          </cell>
          <cell r="AO40" t="str">
            <v>F2049e</v>
          </cell>
          <cell r="AP40" t="str">
            <v>F2050e</v>
          </cell>
          <cell r="AQ40" t="str">
            <v>F2051e</v>
          </cell>
          <cell r="AR40" t="str">
            <v>F2052e</v>
          </cell>
          <cell r="AS40" t="str">
            <v>F2053e</v>
          </cell>
          <cell r="AT40" t="str">
            <v>F2054e</v>
          </cell>
          <cell r="AU40" t="str">
            <v>F2055e</v>
          </cell>
          <cell r="AV40" t="str">
            <v>F2056e</v>
          </cell>
          <cell r="AW40" t="str">
            <v>F2057e</v>
          </cell>
          <cell r="AX40" t="str">
            <v>F2058e</v>
          </cell>
          <cell r="AY40" t="str">
            <v>F2059e</v>
          </cell>
          <cell r="AZ40" t="str">
            <v>F2060e</v>
          </cell>
          <cell r="BA40" t="str">
            <v>F2061e</v>
          </cell>
          <cell r="BB40" t="str">
            <v>F2062e</v>
          </cell>
          <cell r="BC40" t="str">
            <v>F2063e</v>
          </cell>
          <cell r="BD40" t="str">
            <v>F2064e</v>
          </cell>
          <cell r="BE40" t="str">
            <v>F2065e</v>
          </cell>
          <cell r="BF40" t="str">
            <v>F2066e</v>
          </cell>
          <cell r="BG40" t="str">
            <v>F2067e</v>
          </cell>
          <cell r="BH40" t="str">
            <v>F2068e</v>
          </cell>
          <cell r="BI40" t="str">
            <v>F2069e</v>
          </cell>
          <cell r="BJ40" t="str">
            <v>F2070e</v>
          </cell>
          <cell r="BK40" t="str">
            <v>F2071e</v>
          </cell>
          <cell r="BL40" t="str">
            <v>F2072e</v>
          </cell>
          <cell r="BM40" t="str">
            <v>F2073e</v>
          </cell>
          <cell r="BN40" t="str">
            <v>F2074e</v>
          </cell>
          <cell r="BO40" t="str">
            <v>F2075e</v>
          </cell>
          <cell r="BP40" t="str">
            <v>F2076e</v>
          </cell>
          <cell r="BQ40" t="str">
            <v>F2077e</v>
          </cell>
          <cell r="BR40" t="str">
            <v>F2078e</v>
          </cell>
          <cell r="BS40" t="str">
            <v>F2079e</v>
          </cell>
          <cell r="BT40" t="str">
            <v>F2080e</v>
          </cell>
          <cell r="BU40" t="str">
            <v>F2081e</v>
          </cell>
          <cell r="BV40" t="str">
            <v>F2082e</v>
          </cell>
          <cell r="BW40" t="str">
            <v>F2083e</v>
          </cell>
          <cell r="BX40" t="str">
            <v>F2084e</v>
          </cell>
          <cell r="BY40" t="str">
            <v>F2085e</v>
          </cell>
          <cell r="BZ40" t="str">
            <v>F2086e</v>
          </cell>
          <cell r="CA40" t="str">
            <v>F2087e</v>
          </cell>
          <cell r="CB40" t="str">
            <v>F2088e</v>
          </cell>
          <cell r="CC40" t="str">
            <v>F2089e</v>
          </cell>
          <cell r="CD40" t="str">
            <v>F2090e</v>
          </cell>
          <cell r="CE40" t="str">
            <v>F2091e</v>
          </cell>
          <cell r="CF40" t="str">
            <v>F2092e</v>
          </cell>
          <cell r="CG40" t="str">
            <v>F2093e</v>
          </cell>
          <cell r="CH40" t="str">
            <v>F2094e</v>
          </cell>
          <cell r="CI40" t="str">
            <v>F2095e</v>
          </cell>
          <cell r="CJ40" t="str">
            <v>F2096e</v>
          </cell>
          <cell r="CK40" t="str">
            <v>F2097e</v>
          </cell>
          <cell r="CL40" t="str">
            <v>F2098e</v>
          </cell>
          <cell r="CM40" t="str">
            <v>F2099e</v>
          </cell>
          <cell r="CN40" t="str">
            <v>F2100e</v>
          </cell>
          <cell r="CO40" t="str">
            <v>F2101e</v>
          </cell>
          <cell r="CP40" t="str">
            <v>F2102e</v>
          </cell>
          <cell r="CQ40" t="str">
            <v>F2103e</v>
          </cell>
          <cell r="CR40" t="str">
            <v>F2104e</v>
          </cell>
          <cell r="CS40" t="str">
            <v>F2105e</v>
          </cell>
          <cell r="CT40" t="str">
            <v>F2106e</v>
          </cell>
          <cell r="CU40" t="str">
            <v>F2107e</v>
          </cell>
          <cell r="CV40" t="str">
            <v>F2108e</v>
          </cell>
          <cell r="CW40" t="str">
            <v>F2109e</v>
          </cell>
          <cell r="CX40" t="str">
            <v>F2110e</v>
          </cell>
          <cell r="CY40" t="str">
            <v>F2111e</v>
          </cell>
          <cell r="CZ40" t="str">
            <v>F2112e</v>
          </cell>
          <cell r="DA40" t="str">
            <v>F2113e</v>
          </cell>
          <cell r="DB40" t="str">
            <v>F2114e</v>
          </cell>
          <cell r="DC40" t="str">
            <v>F2115e</v>
          </cell>
          <cell r="DD40" t="str">
            <v>F2116e</v>
          </cell>
          <cell r="DE40" t="str">
            <v>F2117e</v>
          </cell>
          <cell r="DF40" t="str">
            <v>F2118e</v>
          </cell>
          <cell r="DG40" t="str">
            <v>F2119e</v>
          </cell>
          <cell r="DH40" t="str">
            <v>F2120e</v>
          </cell>
          <cell r="DI40" t="str">
            <v>F2121e</v>
          </cell>
          <cell r="DJ40" t="str">
            <v>F2122e</v>
          </cell>
          <cell r="DK40" t="str">
            <v>F2123e</v>
          </cell>
          <cell r="DL40" t="str">
            <v>F2124e</v>
          </cell>
          <cell r="DM40" t="str">
            <v>F2125e</v>
          </cell>
          <cell r="DN40" t="str">
            <v>F2126e</v>
          </cell>
          <cell r="DO40" t="str">
            <v>F2127e</v>
          </cell>
          <cell r="DP40" t="str">
            <v>F2128e</v>
          </cell>
          <cell r="DQ40" t="str">
            <v>F2129e</v>
          </cell>
          <cell r="DR40" t="str">
            <v>F2130e</v>
          </cell>
          <cell r="DS40" t="str">
            <v>F2131e</v>
          </cell>
          <cell r="DT40" t="str">
            <v>F2132e</v>
          </cell>
          <cell r="DU40" t="str">
            <v>F2133e</v>
          </cell>
          <cell r="DV40" t="str">
            <v>F2134e</v>
          </cell>
          <cell r="DW40" t="str">
            <v>F2135e</v>
          </cell>
          <cell r="DX40" t="str">
            <v>F2136e</v>
          </cell>
          <cell r="DY40" t="str">
            <v>F2137e</v>
          </cell>
          <cell r="DZ40" t="str">
            <v>F2138e</v>
          </cell>
          <cell r="EA40" t="str">
            <v>F2139e</v>
          </cell>
          <cell r="EB40" t="str">
            <v>F2140e</v>
          </cell>
          <cell r="EC40" t="str">
            <v>F2141e</v>
          </cell>
          <cell r="ED40" t="str">
            <v>F2142e</v>
          </cell>
          <cell r="EE40" t="str">
            <v>F2143e</v>
          </cell>
          <cell r="EF40" t="str">
            <v>F2144e</v>
          </cell>
          <cell r="EG40" t="str">
            <v>F2145e</v>
          </cell>
          <cell r="EH40" t="str">
            <v>F2146e</v>
          </cell>
          <cell r="EI40" t="str">
            <v>F2147e</v>
          </cell>
          <cell r="EJ40" t="str">
            <v>F2148e</v>
          </cell>
          <cell r="EK40" t="str">
            <v>F2149e</v>
          </cell>
          <cell r="EL40" t="str">
            <v>F2150e</v>
          </cell>
          <cell r="EM40" t="str">
            <v>F2151e</v>
          </cell>
          <cell r="EN40" t="str">
            <v>F2152e</v>
          </cell>
          <cell r="EO40" t="str">
            <v>F2153e</v>
          </cell>
          <cell r="EP40" t="str">
            <v>F2154e</v>
          </cell>
          <cell r="EQ40" t="str">
            <v>F2155e</v>
          </cell>
          <cell r="ER40" t="str">
            <v>F2156e</v>
          </cell>
          <cell r="ES40" t="str">
            <v>F2157e</v>
          </cell>
          <cell r="ET40" t="str">
            <v>F2158e</v>
          </cell>
          <cell r="EU40" t="str">
            <v>F2159e</v>
          </cell>
          <cell r="EV40" t="str">
            <v>F2160e</v>
          </cell>
          <cell r="EW40" t="str">
            <v>F2161e</v>
          </cell>
          <cell r="EX40" t="str">
            <v>F2162e</v>
          </cell>
          <cell r="EY40" t="str">
            <v>F2163e</v>
          </cell>
          <cell r="EZ40" t="str">
            <v>F2164e</v>
          </cell>
          <cell r="FA40" t="str">
            <v>F2165e</v>
          </cell>
          <cell r="FB40" t="str">
            <v>F2166e</v>
          </cell>
          <cell r="FC40" t="str">
            <v>F2167e</v>
          </cell>
          <cell r="FD40" t="str">
            <v>F2168e</v>
          </cell>
          <cell r="FE40" t="str">
            <v>F2169e</v>
          </cell>
          <cell r="FF40" t="str">
            <v>F2170e</v>
          </cell>
          <cell r="FG40" t="str">
            <v>F2171e</v>
          </cell>
          <cell r="FH40" t="str">
            <v>F2172e</v>
          </cell>
          <cell r="FI40" t="str">
            <v>F2173e</v>
          </cell>
          <cell r="FJ40" t="str">
            <v>F2174e</v>
          </cell>
          <cell r="FK40" t="str">
            <v>F2175e</v>
          </cell>
          <cell r="FL40" t="str">
            <v>F2176e</v>
          </cell>
          <cell r="FM40" t="str">
            <v>F2177e</v>
          </cell>
          <cell r="FN40" t="str">
            <v>F2178e</v>
          </cell>
          <cell r="FO40" t="str">
            <v>F2179e</v>
          </cell>
          <cell r="FP40" t="str">
            <v>F2180e</v>
          </cell>
          <cell r="FQ40" t="str">
            <v>F2181e</v>
          </cell>
          <cell r="FR40" t="str">
            <v>F2182e</v>
          </cell>
          <cell r="FS40" t="str">
            <v>F2183e</v>
          </cell>
          <cell r="FT40" t="str">
            <v>F2184e</v>
          </cell>
          <cell r="FU40" t="str">
            <v>F2185e</v>
          </cell>
          <cell r="FV40" t="str">
            <v>F2186e</v>
          </cell>
          <cell r="FW40" t="str">
            <v>F2187e</v>
          </cell>
          <cell r="FX40" t="str">
            <v>F2188e</v>
          </cell>
          <cell r="FY40" t="str">
            <v>F2189e</v>
          </cell>
          <cell r="FZ40" t="str">
            <v>F2190e</v>
          </cell>
          <cell r="GA40" t="str">
            <v>F2191e</v>
          </cell>
          <cell r="GB40" t="str">
            <v>F2192e</v>
          </cell>
          <cell r="GC40" t="str">
            <v>F2193e</v>
          </cell>
          <cell r="GD40" t="str">
            <v>F2194e</v>
          </cell>
          <cell r="GE40" t="str">
            <v>F2195e</v>
          </cell>
          <cell r="GF40" t="str">
            <v>F2196e</v>
          </cell>
          <cell r="GG40" t="str">
            <v>F2197e</v>
          </cell>
          <cell r="GH40" t="str">
            <v>F2198e</v>
          </cell>
          <cell r="GI40" t="str">
            <v>F2199e</v>
          </cell>
          <cell r="GJ40" t="str">
            <v>F2200e</v>
          </cell>
          <cell r="GK40" t="str">
            <v>F2201e</v>
          </cell>
          <cell r="GL40" t="str">
            <v>F2202e</v>
          </cell>
          <cell r="GM40" t="str">
            <v>F2203e</v>
          </cell>
          <cell r="GN40" t="str">
            <v>F2204e</v>
          </cell>
          <cell r="GO40" t="str">
            <v>F2205e</v>
          </cell>
          <cell r="GP40" t="str">
            <v>F2206e</v>
          </cell>
          <cell r="GQ40" t="str">
            <v>F2207e</v>
          </cell>
          <cell r="GR40" t="str">
            <v>F2208e</v>
          </cell>
          <cell r="GS40" t="str">
            <v>F2209e</v>
          </cell>
          <cell r="GT40" t="str">
            <v>F2210e</v>
          </cell>
          <cell r="GU40" t="str">
            <v>F2211e</v>
          </cell>
          <cell r="GV40" t="str">
            <v>F2212e</v>
          </cell>
          <cell r="GW40" t="str">
            <v>F2213e</v>
          </cell>
          <cell r="GX40" t="str">
            <v>F2214e</v>
          </cell>
          <cell r="GY40" t="str">
            <v>F2215e</v>
          </cell>
          <cell r="GZ40" t="str">
            <v>F2216e</v>
          </cell>
          <cell r="HA40" t="str">
            <v>F2217e</v>
          </cell>
          <cell r="HB40" t="str">
            <v>F2218e</v>
          </cell>
          <cell r="HC40" t="str">
            <v>F2219e</v>
          </cell>
          <cell r="HD40" t="str">
            <v>F2220e</v>
          </cell>
          <cell r="HE40" t="str">
            <v>F2221e</v>
          </cell>
          <cell r="HF40" t="str">
            <v>F2222e</v>
          </cell>
          <cell r="HG40" t="str">
            <v>F2223e</v>
          </cell>
          <cell r="HH40" t="str">
            <v>F2224e</v>
          </cell>
          <cell r="HI40" t="str">
            <v>F2225e</v>
          </cell>
          <cell r="HJ40" t="str">
            <v>F2226e</v>
          </cell>
          <cell r="HK40" t="str">
            <v>F2227e</v>
          </cell>
          <cell r="HL40" t="str">
            <v>F2228e</v>
          </cell>
          <cell r="HM40" t="str">
            <v>F2229e</v>
          </cell>
          <cell r="HN40" t="str">
            <v>F2230e</v>
          </cell>
          <cell r="HO40" t="str">
            <v>F2231e</v>
          </cell>
          <cell r="HP40" t="str">
            <v>F2232e</v>
          </cell>
          <cell r="HQ40" t="str">
            <v>F2233e</v>
          </cell>
          <cell r="HR40" t="str">
            <v>F2234e</v>
          </cell>
          <cell r="HS40" t="str">
            <v>F2235e</v>
          </cell>
          <cell r="HT40" t="str">
            <v>F2236e</v>
          </cell>
          <cell r="HU40" t="str">
            <v>F2237e</v>
          </cell>
          <cell r="HV40" t="str">
            <v>F2238e</v>
          </cell>
          <cell r="HW40" t="str">
            <v>F2239e</v>
          </cell>
          <cell r="HX40" t="str">
            <v>F2240e</v>
          </cell>
          <cell r="HY40" t="str">
            <v>F2241e</v>
          </cell>
          <cell r="HZ40" t="str">
            <v>F2242e</v>
          </cell>
          <cell r="IA40" t="str">
            <v>F2243e</v>
          </cell>
          <cell r="IB40" t="str">
            <v>F2244e</v>
          </cell>
          <cell r="IC40" t="str">
            <v>F2245e</v>
          </cell>
          <cell r="ID40" t="str">
            <v>F2246e</v>
          </cell>
          <cell r="IE40" t="str">
            <v>F2247e</v>
          </cell>
          <cell r="IF40" t="str">
            <v>F2248e</v>
          </cell>
          <cell r="IG40" t="str">
            <v>F2249e</v>
          </cell>
          <cell r="IH40" t="str">
            <v>F2250e</v>
          </cell>
          <cell r="II40" t="str">
            <v>F2251e</v>
          </cell>
          <cell r="IJ40" t="str">
            <v>F2252e</v>
          </cell>
          <cell r="IK40" t="str">
            <v>F2253e</v>
          </cell>
          <cell r="IL40" t="str">
            <v>F2254e</v>
          </cell>
          <cell r="IM40" t="str">
            <v>F2255e</v>
          </cell>
          <cell r="IN40" t="str">
            <v>F2256e</v>
          </cell>
          <cell r="IO40" t="str">
            <v>F2257e</v>
          </cell>
          <cell r="IP40" t="str">
            <v>F2258e</v>
          </cell>
          <cell r="IQ40" t="str">
            <v>F2259e</v>
          </cell>
          <cell r="IR40" t="str">
            <v>F2260e</v>
          </cell>
        </row>
        <row r="41">
          <cell r="B41" t="str">
            <v>Income Statement</v>
          </cell>
        </row>
        <row r="42">
          <cell r="B42" t="str">
            <v>Operating revenue</v>
          </cell>
          <cell r="C42">
            <v>27505.09188628069</v>
          </cell>
          <cell r="D42">
            <v>28080.762580190938</v>
          </cell>
          <cell r="E42">
            <v>29070.960422685701</v>
          </cell>
          <cell r="F42">
            <v>30364.704342479254</v>
          </cell>
          <cell r="G42">
            <v>31955.00844997169</v>
          </cell>
          <cell r="H42">
            <v>32978.468728226682</v>
          </cell>
          <cell r="I42">
            <v>33942.997185762615</v>
          </cell>
          <cell r="J42">
            <v>35282.304877439426</v>
          </cell>
          <cell r="K42">
            <v>36496.783216104137</v>
          </cell>
          <cell r="L42">
            <v>37687.052714815189</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0</v>
          </cell>
          <cell r="GK42">
            <v>0</v>
          </cell>
          <cell r="GL42">
            <v>0</v>
          </cell>
          <cell r="GM42">
            <v>0</v>
          </cell>
          <cell r="GN42">
            <v>0</v>
          </cell>
          <cell r="GO42">
            <v>0</v>
          </cell>
          <cell r="GP42">
            <v>0</v>
          </cell>
          <cell r="GQ42">
            <v>0</v>
          </cell>
          <cell r="GR42">
            <v>0</v>
          </cell>
          <cell r="GS42">
            <v>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row>
        <row r="43">
          <cell r="B43" t="str">
            <v>Operating expenses</v>
          </cell>
          <cell r="C43">
            <v>19663.039765711961</v>
          </cell>
          <cell r="D43">
            <v>19258.695331294039</v>
          </cell>
          <cell r="E43">
            <v>19895.027097993418</v>
          </cell>
          <cell r="F43">
            <v>20594.563631050522</v>
          </cell>
          <cell r="G43">
            <v>22024.145982579961</v>
          </cell>
          <cell r="H43">
            <v>22814.712797040946</v>
          </cell>
          <cell r="I43">
            <v>23329.813015962645</v>
          </cell>
          <cell r="J43">
            <v>24097.613414207597</v>
          </cell>
          <cell r="K43">
            <v>24874.754684840686</v>
          </cell>
          <cell r="L43">
            <v>25705.562794941001</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row>
        <row r="44">
          <cell r="B44" t="str">
            <v>Other operating income (expense)</v>
          </cell>
          <cell r="C44">
            <v>27</v>
          </cell>
          <cell r="D44">
            <v>3</v>
          </cell>
          <cell r="E44">
            <v>4</v>
          </cell>
          <cell r="F44">
            <v>5</v>
          </cell>
          <cell r="G44">
            <v>6</v>
          </cell>
          <cell r="H44">
            <v>12</v>
          </cell>
          <cell r="I44">
            <v>12</v>
          </cell>
          <cell r="J44">
            <v>12</v>
          </cell>
          <cell r="K44">
            <v>12</v>
          </cell>
          <cell r="L44">
            <v>12</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row>
        <row r="45">
          <cell r="B45" t="str">
            <v>Tax expense from operations</v>
          </cell>
          <cell r="C45">
            <v>2360.4576882911874</v>
          </cell>
          <cell r="D45">
            <v>2655.4422419179668</v>
          </cell>
          <cell r="E45">
            <v>2761.9559307323771</v>
          </cell>
          <cell r="F45">
            <v>2940.8123541400482</v>
          </cell>
          <cell r="G45">
            <v>2989.1896026849104</v>
          </cell>
          <cell r="H45">
            <v>3059.2905352869066</v>
          </cell>
          <cell r="I45">
            <v>3194.5684351097907</v>
          </cell>
          <cell r="J45">
            <v>3366.5921304327803</v>
          </cell>
          <cell r="K45">
            <v>3498.2305879102987</v>
          </cell>
          <cell r="L45">
            <v>3606.4284658821302</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row>
        <row r="46">
          <cell r="B46" t="str">
            <v>NOPAT</v>
          </cell>
          <cell r="C46">
            <v>5508.5944322775413</v>
          </cell>
          <cell r="D46">
            <v>6169.625006978933</v>
          </cell>
          <cell r="E46">
            <v>6417.9773939599063</v>
          </cell>
          <cell r="F46">
            <v>6834.3283572886839</v>
          </cell>
          <cell r="G46">
            <v>6947.6728647068194</v>
          </cell>
          <cell r="H46">
            <v>7116.4653958988301</v>
          </cell>
          <cell r="I46">
            <v>7430.6157346901791</v>
          </cell>
          <cell r="J46">
            <v>7830.0993327990491</v>
          </cell>
          <cell r="K46">
            <v>8135.7979433531527</v>
          </cell>
          <cell r="L46">
            <v>8387.0614539920571</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row>
        <row r="47">
          <cell r="B47" t="str">
            <v>Net financial income (expense)</v>
          </cell>
          <cell r="C47">
            <v>-456.46517399999993</v>
          </cell>
          <cell r="D47">
            <v>-454.70768556267086</v>
          </cell>
          <cell r="E47">
            <v>-454.61152912801708</v>
          </cell>
          <cell r="F47">
            <v>-453.65125296202223</v>
          </cell>
          <cell r="G47">
            <v>-451.6253835447684</v>
          </cell>
          <cell r="H47">
            <v>-449.47174076622809</v>
          </cell>
          <cell r="I47">
            <v>-447.34541630809906</v>
          </cell>
          <cell r="J47">
            <v>-445.31902902470199</v>
          </cell>
          <cell r="K47">
            <v>-442.87280528915676</v>
          </cell>
          <cell r="L47">
            <v>-440.38404035144265</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row>
        <row r="48">
          <cell r="B48" t="str">
            <v>Other nonoperating income (expense)</v>
          </cell>
          <cell r="C48">
            <v>-126.30096972124602</v>
          </cell>
          <cell r="D48">
            <v>-59.911778306288852</v>
          </cell>
          <cell r="E48">
            <v>44.212334491829097</v>
          </cell>
          <cell r="F48">
            <v>62.405350835659192</v>
          </cell>
          <cell r="G48">
            <v>67.207570695311006</v>
          </cell>
          <cell r="H48">
            <v>72.902780127482856</v>
          </cell>
          <cell r="I48">
            <v>86.929356036972422</v>
          </cell>
          <cell r="J48">
            <v>104.73595052504197</v>
          </cell>
          <cell r="K48">
            <v>118.40188738195138</v>
          </cell>
          <cell r="L48">
            <v>129.65556483956925</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row>
        <row r="49">
          <cell r="B49" t="str">
            <v>Net Income</v>
          </cell>
          <cell r="C49">
            <v>4925.8282885562949</v>
          </cell>
          <cell r="D49">
            <v>5655.0055431099736</v>
          </cell>
          <cell r="E49">
            <v>6007.5781993237179</v>
          </cell>
          <cell r="F49">
            <v>6443.0824551623209</v>
          </cell>
          <cell r="G49">
            <v>6563.2550518573617</v>
          </cell>
          <cell r="H49">
            <v>6739.8964352600851</v>
          </cell>
          <cell r="I49">
            <v>7070.1996744190528</v>
          </cell>
          <cell r="J49">
            <v>7489.5162542993894</v>
          </cell>
          <cell r="K49">
            <v>7811.3270254459476</v>
          </cell>
          <cell r="L49">
            <v>8076.3329784801845</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row>
        <row r="50">
          <cell r="B50" t="str">
            <v>Dividends and net share repurchases</v>
          </cell>
          <cell r="C50">
            <v>4917.6526402043555</v>
          </cell>
          <cell r="D50">
            <v>4758.3054663511011</v>
          </cell>
          <cell r="E50">
            <v>5050.9922529641672</v>
          </cell>
          <cell r="F50">
            <v>5407.995410322781</v>
          </cell>
          <cell r="G50">
            <v>5445.5588694560374</v>
          </cell>
          <cell r="H50">
            <v>5492.9138616270593</v>
          </cell>
          <cell r="I50">
            <v>5712.0951693574043</v>
          </cell>
          <cell r="J50">
            <v>6082.7305657356637</v>
          </cell>
          <cell r="K50">
            <v>6322.2155603898063</v>
          </cell>
          <cell r="L50">
            <v>6522.5138791790723</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row>
        <row r="52">
          <cell r="B52" t="str">
            <v>Balance Sheet</v>
          </cell>
        </row>
        <row r="53">
          <cell r="B53" t="str">
            <v>Net operating assets</v>
          </cell>
          <cell r="C53">
            <v>36516.49101442613</v>
          </cell>
          <cell r="D53">
            <v>37616.404760159348</v>
          </cell>
          <cell r="E53">
            <v>38103.179093634237</v>
          </cell>
          <cell r="F53">
            <v>37901.314857517107</v>
          </cell>
          <cell r="G53">
            <v>37694.096912334942</v>
          </cell>
          <cell r="H53">
            <v>37629.412250723813</v>
          </cell>
          <cell r="I53">
            <v>37742.193212473743</v>
          </cell>
          <cell r="J53">
            <v>37604.065518521857</v>
          </cell>
          <cell r="K53">
            <v>37515.438754675793</v>
          </cell>
          <cell r="L53">
            <v>37466.733683656072</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row>
        <row r="54">
          <cell r="B54" t="str">
            <v>Net debt (cash)</v>
          </cell>
          <cell r="C54">
            <v>10111.003804622011</v>
          </cell>
          <cell r="D54">
            <v>10088.71793789894</v>
          </cell>
          <cell r="E54">
            <v>9399.5689962091783</v>
          </cell>
          <cell r="F54">
            <v>7946.6144324102752</v>
          </cell>
          <cell r="G54">
            <v>6406.7704744384428</v>
          </cell>
          <cell r="H54">
            <v>4881.9098338633958</v>
          </cell>
          <cell r="I54">
            <v>3425.980302216718</v>
          </cell>
          <cell r="J54">
            <v>1673.7000765227785</v>
          </cell>
          <cell r="K54">
            <v>-108.85874848145977</v>
          </cell>
          <cell r="L54">
            <v>-1914.0746125757687</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row>
        <row r="55">
          <cell r="B55" t="str">
            <v>Other nonoperating liabilities (assets) (ONOLA)</v>
          </cell>
          <cell r="C55">
            <v>721.27923007977802</v>
          </cell>
          <cell r="D55">
            <v>531.90061680745441</v>
          </cell>
          <cell r="E55">
            <v>317.06082028346503</v>
          </cell>
          <cell r="F55">
            <v>70.770900020824911</v>
          </cell>
          <cell r="G55">
            <v>-184.19733505822597</v>
          </cell>
          <cell r="H55">
            <v>-451.92180223123091</v>
          </cell>
          <cell r="I55">
            <v>-743.49925729943686</v>
          </cell>
          <cell r="J55">
            <v>-1065.3578362512899</v>
          </cell>
          <cell r="K55">
            <v>-1410.456115934657</v>
          </cell>
          <cell r="L55">
            <v>-1774.69191242221</v>
          </cell>
          <cell r="M55">
            <v>0</v>
          </cell>
          <cell r="N55">
            <v>0</v>
          </cell>
          <cell r="O55">
            <v>0</v>
          </cell>
          <cell r="P55">
            <v>0</v>
          </cell>
          <cell r="Q55">
            <v>0</v>
          </cell>
          <cell r="R55">
            <v>0</v>
          </cell>
          <cell r="S55">
            <v>0</v>
          </cell>
          <cell r="T55">
            <v>0</v>
          </cell>
          <cell r="U55">
            <v>0</v>
          </cell>
          <cell r="V55">
            <v>0</v>
          </cell>
          <cell r="W55" t="e">
            <v>#VALUE!</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row>
        <row r="56">
          <cell r="B56" t="str">
            <v>Shareholders' equity</v>
          </cell>
          <cell r="C56">
            <v>25684.207979724342</v>
          </cell>
          <cell r="D56">
            <v>26995.786205452958</v>
          </cell>
          <cell r="E56">
            <v>28386.549277141592</v>
          </cell>
          <cell r="F56">
            <v>29883.929525086009</v>
          </cell>
          <cell r="G56">
            <v>31471.523772954723</v>
          </cell>
          <cell r="H56">
            <v>33199.424219091641</v>
          </cell>
          <cell r="I56">
            <v>35059.71216755647</v>
          </cell>
          <cell r="J56">
            <v>36995.723278250378</v>
          </cell>
          <cell r="K56">
            <v>39034.753619091913</v>
          </cell>
          <cell r="L56">
            <v>41155.500208654055</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row>
        <row r="57">
          <cell r="B57" t="str">
            <v>NOA = Invested Capital</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t="e">
            <v>#VALUE!</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row>
        <row r="58">
          <cell r="B58" t="str">
            <v>Dividends per share</v>
          </cell>
          <cell r="C58">
            <v>0.67604506636718087</v>
          </cell>
          <cell r="D58">
            <v>0.66835205216904392</v>
          </cell>
          <cell r="E58">
            <v>0.70220464777071212</v>
          </cell>
          <cell r="F58">
            <v>0.74528701484482884</v>
          </cell>
          <cell r="G58">
            <v>0.76513360777086892</v>
          </cell>
          <cell r="H58">
            <v>0.79077045633612142</v>
          </cell>
          <cell r="I58">
            <v>0.85006167843706248</v>
          </cell>
          <cell r="J58">
            <v>0.9225529760162553</v>
          </cell>
          <cell r="K58">
            <v>0.98566912986634037</v>
          </cell>
          <cell r="L58">
            <v>1.0432814265021164</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row>
        <row r="59">
          <cell r="B59" t="str">
            <v>Beginning dividend per share</v>
          </cell>
          <cell r="C59">
            <v>0.65017945818378486</v>
          </cell>
        </row>
        <row r="60">
          <cell r="B60" t="str">
            <v>Operating Level</v>
          </cell>
        </row>
        <row r="61">
          <cell r="B61" t="str">
            <v>Operating revenue</v>
          </cell>
          <cell r="C61">
            <v>27505.09188628069</v>
          </cell>
          <cell r="D61">
            <v>28080.762580190938</v>
          </cell>
          <cell r="E61">
            <v>29070.960422685701</v>
          </cell>
          <cell r="F61">
            <v>30364.704342479254</v>
          </cell>
          <cell r="G61">
            <v>31955.00844997169</v>
          </cell>
          <cell r="H61">
            <v>32978.468728226682</v>
          </cell>
          <cell r="I61">
            <v>33942.997185762615</v>
          </cell>
          <cell r="J61">
            <v>35282.304877439426</v>
          </cell>
          <cell r="K61">
            <v>36496.783216104137</v>
          </cell>
          <cell r="L61">
            <v>37687.052714815189</v>
          </cell>
          <cell r="M61">
            <v>38821.071129563912</v>
          </cell>
          <cell r="N61">
            <v>39891.282595332588</v>
          </cell>
          <cell r="O61">
            <v>40890.367705828467</v>
          </cell>
          <cell r="P61">
            <v>41811.325080833958</v>
          </cell>
          <cell r="Q61">
            <v>42647.551582450636</v>
          </cell>
          <cell r="R61">
            <v>43500.502614099649</v>
          </cell>
          <cell r="S61">
            <v>44370.512666381641</v>
          </cell>
          <cell r="T61">
            <v>45257.922919709272</v>
          </cell>
          <cell r="U61">
            <v>46163.081378103459</v>
          </cell>
          <cell r="V61">
            <v>47086.343005665527</v>
          </cell>
          <cell r="W61">
            <v>48028.069865778838</v>
          </cell>
          <cell r="X61">
            <v>48988.631263094416</v>
          </cell>
          <cell r="Y61">
            <v>49968.403888356304</v>
          </cell>
          <cell r="Z61">
            <v>50967.77196612343</v>
          </cell>
          <cell r="AA61">
            <v>51987.127405445899</v>
          </cell>
          <cell r="AB61">
            <v>53026.869953554815</v>
          </cell>
          <cell r="AC61">
            <v>54087.407352625909</v>
          </cell>
          <cell r="AD61">
            <v>55169.155499678425</v>
          </cell>
          <cell r="AE61">
            <v>56272.538609671996</v>
          </cell>
          <cell r="AF61">
            <v>57397.989381865438</v>
          </cell>
          <cell r="AG61">
            <v>58545.949169502746</v>
          </cell>
          <cell r="AH61">
            <v>59716.868152892799</v>
          </cell>
          <cell r="AI61">
            <v>60911.205515950656</v>
          </cell>
          <cell r="AJ61">
            <v>62129.429626269673</v>
          </cell>
          <cell r="AK61">
            <v>63372.01821879507</v>
          </cell>
          <cell r="AL61">
            <v>64639.45858317097</v>
          </cell>
          <cell r="AM61">
            <v>65932.247754834389</v>
          </cell>
          <cell r="AN61">
            <v>67250.892709931082</v>
          </cell>
          <cell r="AO61">
            <v>68595.910564129706</v>
          </cell>
          <cell r="AP61">
            <v>69967.828775412301</v>
          </cell>
          <cell r="AQ61">
            <v>71367.185350920554</v>
          </cell>
          <cell r="AR61">
            <v>72794.529057938969</v>
          </cell>
          <cell r="AS61">
            <v>74250.419639097745</v>
          </cell>
          <cell r="AT61">
            <v>75735.428031879695</v>
          </cell>
          <cell r="AU61">
            <v>77250.136592517287</v>
          </cell>
          <cell r="AV61">
            <v>78795.139324367628</v>
          </cell>
          <cell r="AW61">
            <v>80371.042110854978</v>
          </cell>
          <cell r="AX61">
            <v>81978.462953072085</v>
          </cell>
          <cell r="AY61">
            <v>83618.032212133534</v>
          </cell>
          <cell r="AZ61">
            <v>85290.392856376202</v>
          </cell>
          <cell r="BA61">
            <v>86996.200713503727</v>
          </cell>
          <cell r="BB61">
            <v>88736.1247277738</v>
          </cell>
          <cell r="BC61">
            <v>90510.847222329277</v>
          </cell>
          <cell r="BD61">
            <v>92321.064166775861</v>
          </cell>
          <cell r="BE61">
            <v>94167.485450111373</v>
          </cell>
          <cell r="BF61">
            <v>96050.835159113602</v>
          </cell>
          <cell r="BG61">
            <v>97971.85186229588</v>
          </cell>
          <cell r="BH61">
            <v>99931.288899541803</v>
          </cell>
          <cell r="BI61">
            <v>101929.91467753264</v>
          </cell>
          <cell r="BJ61">
            <v>103968.5129710833</v>
          </cell>
          <cell r="BK61">
            <v>106047.88323050497</v>
          </cell>
          <cell r="BL61">
            <v>108168.84089511508</v>
          </cell>
          <cell r="BM61">
            <v>110332.21771301738</v>
          </cell>
          <cell r="BN61">
            <v>112538.86206727773</v>
          </cell>
          <cell r="BO61">
            <v>114789.63930862329</v>
          </cell>
          <cell r="BP61">
            <v>117085.43209479576</v>
          </cell>
          <cell r="BQ61">
            <v>119427.14073669168</v>
          </cell>
          <cell r="BR61">
            <v>121815.68355142552</v>
          </cell>
          <cell r="BS61">
            <v>124251.99722245404</v>
          </cell>
          <cell r="BT61">
            <v>126737.03716690312</v>
          </cell>
          <cell r="BU61">
            <v>129271.77791024117</v>
          </cell>
          <cell r="BV61">
            <v>131857.21346844599</v>
          </cell>
          <cell r="BW61">
            <v>134494.35773781492</v>
          </cell>
          <cell r="BX61">
            <v>137184.24489257121</v>
          </cell>
          <cell r="BY61">
            <v>139927.92979042264</v>
          </cell>
          <cell r="BZ61">
            <v>142726.4883862311</v>
          </cell>
          <cell r="CA61">
            <v>145581.01815395572</v>
          </cell>
          <cell r="CB61">
            <v>148492.63851703485</v>
          </cell>
          <cell r="CC61">
            <v>151462.49128737554</v>
          </cell>
          <cell r="CD61">
            <v>154491.74111312305</v>
          </cell>
          <cell r="CE61">
            <v>157581.57593538551</v>
          </cell>
          <cell r="CF61">
            <v>160733.20745409324</v>
          </cell>
          <cell r="CG61">
            <v>163947.8716031751</v>
          </cell>
          <cell r="CH61">
            <v>167226.8290352386</v>
          </cell>
          <cell r="CI61">
            <v>170571.36561594336</v>
          </cell>
          <cell r="CJ61">
            <v>173982.79292826224</v>
          </cell>
          <cell r="CK61">
            <v>177462.44878682747</v>
          </cell>
          <cell r="CL61">
            <v>181011.69776256403</v>
          </cell>
          <cell r="CM61">
            <v>184631.93171781531</v>
          </cell>
          <cell r="CN61">
            <v>188324.57035217164</v>
          </cell>
          <cell r="CO61">
            <v>192091.06175921508</v>
          </cell>
          <cell r="CP61">
            <v>195932.88299439938</v>
          </cell>
          <cell r="CQ61">
            <v>199851.54065428735</v>
          </cell>
          <cell r="CR61">
            <v>203848.57146737311</v>
          </cell>
          <cell r="CS61">
            <v>207925.54289672058</v>
          </cell>
          <cell r="CT61">
            <v>212084.053754655</v>
          </cell>
          <cell r="CU61">
            <v>216325.73482974811</v>
          </cell>
          <cell r="CV61">
            <v>220652.24952634308</v>
          </cell>
          <cell r="CW61">
            <v>225065.29451686994</v>
          </cell>
          <cell r="CX61">
            <v>229566.60040720733</v>
          </cell>
          <cell r="CY61">
            <v>234157.93241535148</v>
          </cell>
          <cell r="CZ61">
            <v>238841.0910636585</v>
          </cell>
          <cell r="DA61">
            <v>243617.91288493169</v>
          </cell>
          <cell r="DB61">
            <v>248490.27114263034</v>
          </cell>
          <cell r="DC61">
            <v>253460.07656548294</v>
          </cell>
          <cell r="DD61">
            <v>258529.27809679261</v>
          </cell>
          <cell r="DE61">
            <v>263699.86365872849</v>
          </cell>
          <cell r="DF61">
            <v>268973.86093190307</v>
          </cell>
          <cell r="DG61">
            <v>274353.33815054112</v>
          </cell>
          <cell r="DH61">
            <v>279840.40491355193</v>
          </cell>
          <cell r="DI61">
            <v>285437.21301182295</v>
          </cell>
          <cell r="DJ61">
            <v>291145.9572720594</v>
          </cell>
          <cell r="DK61">
            <v>296968.87641750061</v>
          </cell>
          <cell r="DL61">
            <v>302908.25394585065</v>
          </cell>
          <cell r="DM61">
            <v>308966.41902476765</v>
          </cell>
          <cell r="DN61">
            <v>315145.74740526301</v>
          </cell>
          <cell r="DO61">
            <v>321448.6623533683</v>
          </cell>
          <cell r="DP61">
            <v>327877.63560043566</v>
          </cell>
          <cell r="DQ61">
            <v>334435.18831244437</v>
          </cell>
          <cell r="DR61">
            <v>341123.89207869326</v>
          </cell>
          <cell r="DS61">
            <v>347946.36992026714</v>
          </cell>
          <cell r="DT61">
            <v>354905.29731867247</v>
          </cell>
          <cell r="DU61">
            <v>362003.4032650459</v>
          </cell>
          <cell r="DV61">
            <v>369243.47133034683</v>
          </cell>
          <cell r="DW61">
            <v>376628.34075695375</v>
          </cell>
          <cell r="DX61">
            <v>384160.90757209284</v>
          </cell>
          <cell r="DY61">
            <v>391844.12572353473</v>
          </cell>
          <cell r="DZ61">
            <v>399681.00823800545</v>
          </cell>
          <cell r="EA61">
            <v>407674.62840276555</v>
          </cell>
          <cell r="EB61">
            <v>415828.12097082089</v>
          </cell>
          <cell r="EC61">
            <v>424144.68339023733</v>
          </cell>
          <cell r="ED61">
            <v>432627.57705804211</v>
          </cell>
          <cell r="EE61">
            <v>441280.12859920296</v>
          </cell>
          <cell r="EF61">
            <v>450105.73117118701</v>
          </cell>
          <cell r="EG61">
            <v>459107.84579461074</v>
          </cell>
          <cell r="EH61">
            <v>468290.00271050294</v>
          </cell>
          <cell r="EI61">
            <v>477655.80276471301</v>
          </cell>
          <cell r="EJ61">
            <v>487208.9188200073</v>
          </cell>
          <cell r="EK61">
            <v>496953.09719640744</v>
          </cell>
          <cell r="EL61">
            <v>506892.15914033557</v>
          </cell>
          <cell r="EM61">
            <v>517030.00232314231</v>
          </cell>
          <cell r="EN61">
            <v>527370.60236960521</v>
          </cell>
          <cell r="EO61">
            <v>537918.01441699732</v>
          </cell>
          <cell r="EP61">
            <v>548676.37470533722</v>
          </cell>
          <cell r="EQ61">
            <v>559649.90219944401</v>
          </cell>
          <cell r="ER61">
            <v>570842.90024343296</v>
          </cell>
          <cell r="ES61">
            <v>582259.75824830157</v>
          </cell>
          <cell r="ET61">
            <v>593904.95341326762</v>
          </cell>
          <cell r="EU61">
            <v>605783.05248153303</v>
          </cell>
          <cell r="EV61">
            <v>617898.71353116375</v>
          </cell>
          <cell r="EW61">
            <v>630256.68780178705</v>
          </cell>
          <cell r="EX61">
            <v>642861.82155782275</v>
          </cell>
          <cell r="EY61">
            <v>655719.05798897927</v>
          </cell>
          <cell r="EZ61">
            <v>668833.43914875889</v>
          </cell>
          <cell r="FA61">
            <v>682210.10793173406</v>
          </cell>
          <cell r="FB61">
            <v>695854.31009036873</v>
          </cell>
          <cell r="FC61">
            <v>709771.3962921761</v>
          </cell>
          <cell r="FD61">
            <v>723966.82421801961</v>
          </cell>
          <cell r="FE61">
            <v>738446.16070238</v>
          </cell>
          <cell r="FF61">
            <v>753215.08391642757</v>
          </cell>
          <cell r="FG61">
            <v>768279.38559475611</v>
          </cell>
          <cell r="FH61">
            <v>783644.97330665123</v>
          </cell>
          <cell r="FI61">
            <v>799317.87277278432</v>
          </cell>
          <cell r="FJ61">
            <v>815304.23022824002</v>
          </cell>
          <cell r="FK61">
            <v>831610.31483280484</v>
          </cell>
          <cell r="FL61">
            <v>848242.52112946101</v>
          </cell>
          <cell r="FM61">
            <v>865207.37155205023</v>
          </cell>
          <cell r="FN61">
            <v>882511.51898309123</v>
          </cell>
          <cell r="FO61">
            <v>900161.74936275312</v>
          </cell>
          <cell r="FP61">
            <v>918164.98435000819</v>
          </cell>
          <cell r="FQ61">
            <v>936528.28403700842</v>
          </cell>
          <cell r="FR61">
            <v>955258.84971774858</v>
          </cell>
          <cell r="FS61">
            <v>974364.02671210363</v>
          </cell>
          <cell r="FT61">
            <v>993851.30724634568</v>
          </cell>
          <cell r="FU61">
            <v>1013728.3333912726</v>
          </cell>
          <cell r="FV61">
            <v>1034002.900059098</v>
          </cell>
          <cell r="FW61">
            <v>1054682.95806028</v>
          </cell>
          <cell r="FX61">
            <v>1075776.6172214856</v>
          </cell>
          <cell r="FY61">
            <v>1097292.1495659153</v>
          </cell>
          <cell r="FZ61">
            <v>1119237.9925572337</v>
          </cell>
          <cell r="GA61">
            <v>1141622.7524083783</v>
          </cell>
          <cell r="GB61">
            <v>1164455.2074565459</v>
          </cell>
          <cell r="GC61">
            <v>1187744.3116056768</v>
          </cell>
          <cell r="GD61">
            <v>1211499.1978377902</v>
          </cell>
          <cell r="GE61">
            <v>1235729.1817945461</v>
          </cell>
          <cell r="GF61">
            <v>1260443.7654304369</v>
          </cell>
          <cell r="GG61">
            <v>1285652.6407390458</v>
          </cell>
          <cell r="GH61">
            <v>1311365.6935538268</v>
          </cell>
          <cell r="GI61">
            <v>1337593.0074249033</v>
          </cell>
          <cell r="GJ61">
            <v>1364344.8675734014</v>
          </cell>
          <cell r="GK61">
            <v>1391631.7649248694</v>
          </cell>
          <cell r="GL61">
            <v>1419464.4002233669</v>
          </cell>
          <cell r="GM61">
            <v>1447853.6882278342</v>
          </cell>
          <cell r="GN61">
            <v>1476810.761992391</v>
          </cell>
          <cell r="GO61">
            <v>1506346.9772322387</v>
          </cell>
          <cell r="GP61">
            <v>1536473.9167768836</v>
          </cell>
          <cell r="GQ61">
            <v>1567203.3951124214</v>
          </cell>
          <cell r="GR61">
            <v>1598547.4630146697</v>
          </cell>
          <cell r="GS61">
            <v>1630518.4122749632</v>
          </cell>
          <cell r="GT61">
            <v>1663128.7805204624</v>
          </cell>
          <cell r="GU61">
            <v>1696391.3561308717</v>
          </cell>
          <cell r="GV61">
            <v>1730319.1832534892</v>
          </cell>
          <cell r="GW61">
            <v>1764925.5669185589</v>
          </cell>
          <cell r="GX61">
            <v>1800224.0782569302</v>
          </cell>
          <cell r="GY61">
            <v>1836228.5598220688</v>
          </cell>
          <cell r="GZ61">
            <v>1872953.1310185101</v>
          </cell>
          <cell r="HA61">
            <v>1910412.1936388803</v>
          </cell>
          <cell r="HB61">
            <v>1948620.4375116578</v>
          </cell>
          <cell r="HC61">
            <v>1987592.8462618911</v>
          </cell>
          <cell r="HD61">
            <v>2027344.703187129</v>
          </cell>
          <cell r="HE61">
            <v>2067891.5972508716</v>
          </cell>
          <cell r="HF61">
            <v>2109249.4291958893</v>
          </cell>
          <cell r="HG61">
            <v>2151434.417779807</v>
          </cell>
          <cell r="HH61">
            <v>2194463.1061354033</v>
          </cell>
          <cell r="HI61">
            <v>2238352.3682581112</v>
          </cell>
          <cell r="HJ61">
            <v>2283119.4156232732</v>
          </cell>
          <cell r="HK61">
            <v>2328781.8039357387</v>
          </cell>
          <cell r="HL61">
            <v>2375357.4400144536</v>
          </cell>
          <cell r="HM61">
            <v>2422864.5888147429</v>
          </cell>
          <cell r="HN61">
            <v>2471321.8805910377</v>
          </cell>
          <cell r="HO61">
            <v>2520748.3182028583</v>
          </cell>
          <cell r="HP61">
            <v>2571163.2845669156</v>
          </cell>
          <cell r="HQ61">
            <v>2622586.5502582542</v>
          </cell>
          <cell r="HR61">
            <v>2675038.2812634194</v>
          </cell>
          <cell r="HS61">
            <v>2728539.0468886876</v>
          </cell>
          <cell r="HT61">
            <v>2783109.8278264613</v>
          </cell>
          <cell r="HU61">
            <v>2838772.0243829908</v>
          </cell>
          <cell r="HV61">
            <v>2895547.4648706508</v>
          </cell>
          <cell r="HW61">
            <v>2953458.414168064</v>
          </cell>
          <cell r="HX61">
            <v>3012527.5824514255</v>
          </cell>
          <cell r="HY61">
            <v>3072778.1341004539</v>
          </cell>
          <cell r="HZ61">
            <v>3134233.6967824632</v>
          </cell>
          <cell r="IA61">
            <v>3196918.3707181127</v>
          </cell>
          <cell r="IB61">
            <v>3260856.7381324749</v>
          </cell>
          <cell r="IC61">
            <v>3326073.8728951244</v>
          </cell>
          <cell r="ID61">
            <v>3392595.3503530268</v>
          </cell>
          <cell r="IE61">
            <v>3460447.2573600872</v>
          </cell>
          <cell r="IF61">
            <v>3529656.2025072891</v>
          </cell>
          <cell r="IG61">
            <v>3600249.3265574351</v>
          </cell>
          <cell r="IH61">
            <v>3672254.3130885838</v>
          </cell>
          <cell r="II61">
            <v>3745699.3993503554</v>
          </cell>
          <cell r="IJ61">
            <v>3820613.3873373624</v>
          </cell>
          <cell r="IK61">
            <v>3897025.6550841099</v>
          </cell>
          <cell r="IL61">
            <v>3974966.1681857919</v>
          </cell>
          <cell r="IM61">
            <v>4054465.4915495077</v>
          </cell>
          <cell r="IN61">
            <v>4135554.8013804979</v>
          </cell>
          <cell r="IO61">
            <v>4218265.8974081082</v>
          </cell>
          <cell r="IP61">
            <v>4302631.2153562708</v>
          </cell>
          <cell r="IQ61">
            <v>4388683.8396633966</v>
          </cell>
          <cell r="IR61">
            <v>4476457.5164566645</v>
          </cell>
        </row>
        <row r="62">
          <cell r="B62" t="str">
            <v>Operating revenue growth</v>
          </cell>
          <cell r="D62">
            <v>2.0929604463433504E-2</v>
          </cell>
          <cell r="E62">
            <v>3.5262498291028566E-2</v>
          </cell>
          <cell r="F62">
            <v>4.4502964504192111E-2</v>
          </cell>
          <cell r="G62">
            <v>5.2373442848500096E-2</v>
          </cell>
          <cell r="H62">
            <v>3.2028164844872586E-2</v>
          </cell>
          <cell r="I62">
            <v>2.9247217797907732E-2</v>
          </cell>
          <cell r="J62">
            <v>3.9457555393445976E-2</v>
          </cell>
          <cell r="K62">
            <v>3.4421740384690258E-2</v>
          </cell>
          <cell r="L62">
            <v>3.2612997470578442E-2</v>
          </cell>
          <cell r="M62">
            <v>3.0090397976462752E-2</v>
          </cell>
          <cell r="N62">
            <v>2.7567798482347063E-2</v>
          </cell>
          <cell r="O62">
            <v>2.5045198988231373E-2</v>
          </cell>
          <cell r="P62">
            <v>2.2522599494115683E-2</v>
          </cell>
          <cell r="Q62">
            <v>1.9999999999999993E-2</v>
          </cell>
          <cell r="R62">
            <v>0.02</v>
          </cell>
          <cell r="S62">
            <v>0.02</v>
          </cell>
          <cell r="T62">
            <v>0.02</v>
          </cell>
          <cell r="U62">
            <v>0.02</v>
          </cell>
          <cell r="V62">
            <v>0.02</v>
          </cell>
          <cell r="W62">
            <v>0.02</v>
          </cell>
          <cell r="X62">
            <v>0.02</v>
          </cell>
          <cell r="Y62">
            <v>0.02</v>
          </cell>
          <cell r="Z62">
            <v>0.02</v>
          </cell>
          <cell r="AA62">
            <v>0.02</v>
          </cell>
          <cell r="AB62">
            <v>0.02</v>
          </cell>
          <cell r="AC62">
            <v>0.02</v>
          </cell>
          <cell r="AD62">
            <v>0.02</v>
          </cell>
          <cell r="AE62">
            <v>0.02</v>
          </cell>
          <cell r="AF62">
            <v>0.02</v>
          </cell>
          <cell r="AG62">
            <v>0.02</v>
          </cell>
          <cell r="AH62">
            <v>0.02</v>
          </cell>
          <cell r="AI62">
            <v>0.02</v>
          </cell>
          <cell r="AJ62">
            <v>0.02</v>
          </cell>
          <cell r="AK62">
            <v>0.02</v>
          </cell>
          <cell r="AL62">
            <v>0.02</v>
          </cell>
          <cell r="AM62">
            <v>0.02</v>
          </cell>
          <cell r="AN62">
            <v>0.02</v>
          </cell>
          <cell r="AO62">
            <v>0.02</v>
          </cell>
          <cell r="AP62">
            <v>0.02</v>
          </cell>
          <cell r="AQ62">
            <v>0.02</v>
          </cell>
          <cell r="AR62">
            <v>0.02</v>
          </cell>
          <cell r="AS62">
            <v>0.02</v>
          </cell>
          <cell r="AT62">
            <v>0.02</v>
          </cell>
          <cell r="AU62">
            <v>0.02</v>
          </cell>
          <cell r="AV62">
            <v>0.02</v>
          </cell>
          <cell r="AW62">
            <v>0.02</v>
          </cell>
          <cell r="AX62">
            <v>0.02</v>
          </cell>
          <cell r="AY62">
            <v>0.02</v>
          </cell>
          <cell r="AZ62">
            <v>0.02</v>
          </cell>
          <cell r="BA62">
            <v>0.02</v>
          </cell>
          <cell r="BB62">
            <v>0.02</v>
          </cell>
          <cell r="BC62">
            <v>0.02</v>
          </cell>
          <cell r="BD62">
            <v>0.02</v>
          </cell>
          <cell r="BE62">
            <v>0.02</v>
          </cell>
          <cell r="BF62">
            <v>0.02</v>
          </cell>
          <cell r="BG62">
            <v>0.02</v>
          </cell>
          <cell r="BH62">
            <v>0.02</v>
          </cell>
          <cell r="BI62">
            <v>0.02</v>
          </cell>
          <cell r="BJ62">
            <v>0.02</v>
          </cell>
          <cell r="BK62">
            <v>0.02</v>
          </cell>
          <cell r="BL62">
            <v>0.02</v>
          </cell>
          <cell r="BM62">
            <v>0.02</v>
          </cell>
          <cell r="BN62">
            <v>0.02</v>
          </cell>
          <cell r="BO62">
            <v>0.02</v>
          </cell>
          <cell r="BP62">
            <v>0.02</v>
          </cell>
          <cell r="BQ62">
            <v>0.02</v>
          </cell>
          <cell r="BR62">
            <v>0.02</v>
          </cell>
          <cell r="BS62">
            <v>0.02</v>
          </cell>
          <cell r="BT62">
            <v>0.02</v>
          </cell>
          <cell r="BU62">
            <v>0.02</v>
          </cell>
          <cell r="BV62">
            <v>0.02</v>
          </cell>
          <cell r="BW62">
            <v>0.02</v>
          </cell>
          <cell r="BX62">
            <v>0.02</v>
          </cell>
          <cell r="BY62">
            <v>0.02</v>
          </cell>
          <cell r="BZ62">
            <v>0.02</v>
          </cell>
          <cell r="CA62">
            <v>0.02</v>
          </cell>
          <cell r="CB62">
            <v>0.02</v>
          </cell>
          <cell r="CC62">
            <v>0.02</v>
          </cell>
          <cell r="CD62">
            <v>0.02</v>
          </cell>
          <cell r="CE62">
            <v>0.02</v>
          </cell>
          <cell r="CF62">
            <v>0.02</v>
          </cell>
          <cell r="CG62">
            <v>0.02</v>
          </cell>
          <cell r="CH62">
            <v>0.02</v>
          </cell>
          <cell r="CI62">
            <v>0.02</v>
          </cell>
          <cell r="CJ62">
            <v>0.02</v>
          </cell>
          <cell r="CK62">
            <v>0.02</v>
          </cell>
          <cell r="CL62">
            <v>0.02</v>
          </cell>
          <cell r="CM62">
            <v>0.02</v>
          </cell>
          <cell r="CN62">
            <v>0.02</v>
          </cell>
          <cell r="CO62">
            <v>0.02</v>
          </cell>
          <cell r="CP62">
            <v>0.02</v>
          </cell>
          <cell r="CQ62">
            <v>0.02</v>
          </cell>
          <cell r="CR62">
            <v>0.02</v>
          </cell>
          <cell r="CS62">
            <v>0.02</v>
          </cell>
          <cell r="CT62">
            <v>0.02</v>
          </cell>
          <cell r="CU62">
            <v>0.02</v>
          </cell>
          <cell r="CV62">
            <v>0.02</v>
          </cell>
          <cell r="CW62">
            <v>0.02</v>
          </cell>
          <cell r="CX62">
            <v>0.02</v>
          </cell>
          <cell r="CY62">
            <v>0.02</v>
          </cell>
          <cell r="CZ62">
            <v>0.02</v>
          </cell>
          <cell r="DA62">
            <v>0.02</v>
          </cell>
          <cell r="DB62">
            <v>0.02</v>
          </cell>
          <cell r="DC62">
            <v>0.02</v>
          </cell>
          <cell r="DD62">
            <v>0.02</v>
          </cell>
          <cell r="DE62">
            <v>0.02</v>
          </cell>
          <cell r="DF62">
            <v>0.02</v>
          </cell>
          <cell r="DG62">
            <v>0.02</v>
          </cell>
          <cell r="DH62">
            <v>0.02</v>
          </cell>
          <cell r="DI62">
            <v>0.02</v>
          </cell>
          <cell r="DJ62">
            <v>0.02</v>
          </cell>
          <cell r="DK62">
            <v>0.02</v>
          </cell>
          <cell r="DL62">
            <v>0.02</v>
          </cell>
          <cell r="DM62">
            <v>0.02</v>
          </cell>
          <cell r="DN62">
            <v>0.02</v>
          </cell>
          <cell r="DO62">
            <v>0.02</v>
          </cell>
          <cell r="DP62">
            <v>0.02</v>
          </cell>
          <cell r="DQ62">
            <v>0.02</v>
          </cell>
          <cell r="DR62">
            <v>0.02</v>
          </cell>
          <cell r="DS62">
            <v>0.02</v>
          </cell>
          <cell r="DT62">
            <v>0.02</v>
          </cell>
          <cell r="DU62">
            <v>0.02</v>
          </cell>
          <cell r="DV62">
            <v>0.02</v>
          </cell>
          <cell r="DW62">
            <v>0.02</v>
          </cell>
          <cell r="DX62">
            <v>0.02</v>
          </cell>
          <cell r="DY62">
            <v>0.02</v>
          </cell>
          <cell r="DZ62">
            <v>0.02</v>
          </cell>
          <cell r="EA62">
            <v>0.02</v>
          </cell>
          <cell r="EB62">
            <v>0.02</v>
          </cell>
          <cell r="EC62">
            <v>0.02</v>
          </cell>
          <cell r="ED62">
            <v>0.02</v>
          </cell>
          <cell r="EE62">
            <v>0.02</v>
          </cell>
          <cell r="EF62">
            <v>0.02</v>
          </cell>
          <cell r="EG62">
            <v>0.02</v>
          </cell>
          <cell r="EH62">
            <v>0.02</v>
          </cell>
          <cell r="EI62">
            <v>0.02</v>
          </cell>
          <cell r="EJ62">
            <v>0.02</v>
          </cell>
          <cell r="EK62">
            <v>0.02</v>
          </cell>
          <cell r="EL62">
            <v>0.02</v>
          </cell>
          <cell r="EM62">
            <v>0.02</v>
          </cell>
          <cell r="EN62">
            <v>0.02</v>
          </cell>
          <cell r="EO62">
            <v>0.02</v>
          </cell>
          <cell r="EP62">
            <v>0.02</v>
          </cell>
          <cell r="EQ62">
            <v>0.02</v>
          </cell>
          <cell r="ER62">
            <v>0.02</v>
          </cell>
          <cell r="ES62">
            <v>0.02</v>
          </cell>
          <cell r="ET62">
            <v>0.02</v>
          </cell>
          <cell r="EU62">
            <v>0.02</v>
          </cell>
          <cell r="EV62">
            <v>0.02</v>
          </cell>
          <cell r="EW62">
            <v>0.02</v>
          </cell>
          <cell r="EX62">
            <v>0.02</v>
          </cell>
          <cell r="EY62">
            <v>0.02</v>
          </cell>
          <cell r="EZ62">
            <v>0.02</v>
          </cell>
          <cell r="FA62">
            <v>0.02</v>
          </cell>
          <cell r="FB62">
            <v>0.02</v>
          </cell>
          <cell r="FC62">
            <v>0.02</v>
          </cell>
          <cell r="FD62">
            <v>0.02</v>
          </cell>
          <cell r="FE62">
            <v>0.02</v>
          </cell>
          <cell r="FF62">
            <v>0.02</v>
          </cell>
          <cell r="FG62">
            <v>0.02</v>
          </cell>
          <cell r="FH62">
            <v>0.02</v>
          </cell>
          <cell r="FI62">
            <v>0.02</v>
          </cell>
          <cell r="FJ62">
            <v>0.02</v>
          </cell>
          <cell r="FK62">
            <v>0.02</v>
          </cell>
          <cell r="FL62">
            <v>0.02</v>
          </cell>
          <cell r="FM62">
            <v>0.02</v>
          </cell>
          <cell r="FN62">
            <v>0.02</v>
          </cell>
          <cell r="FO62">
            <v>0.02</v>
          </cell>
          <cell r="FP62">
            <v>0.02</v>
          </cell>
          <cell r="FQ62">
            <v>0.02</v>
          </cell>
          <cell r="FR62">
            <v>0.02</v>
          </cell>
          <cell r="FS62">
            <v>0.02</v>
          </cell>
          <cell r="FT62">
            <v>0.02</v>
          </cell>
          <cell r="FU62">
            <v>0.02</v>
          </cell>
          <cell r="FV62">
            <v>0.02</v>
          </cell>
          <cell r="FW62">
            <v>0.02</v>
          </cell>
          <cell r="FX62">
            <v>0.02</v>
          </cell>
          <cell r="FY62">
            <v>0.02</v>
          </cell>
          <cell r="FZ62">
            <v>0.02</v>
          </cell>
          <cell r="GA62">
            <v>0.02</v>
          </cell>
          <cell r="GB62">
            <v>0.02</v>
          </cell>
          <cell r="GC62">
            <v>0.02</v>
          </cell>
          <cell r="GD62">
            <v>0.02</v>
          </cell>
          <cell r="GE62">
            <v>0.02</v>
          </cell>
          <cell r="GF62">
            <v>0.02</v>
          </cell>
          <cell r="GG62">
            <v>0.02</v>
          </cell>
          <cell r="GH62">
            <v>0.02</v>
          </cell>
          <cell r="GI62">
            <v>0.02</v>
          </cell>
          <cell r="GJ62">
            <v>0.02</v>
          </cell>
          <cell r="GK62">
            <v>0.02</v>
          </cell>
          <cell r="GL62">
            <v>0.02</v>
          </cell>
          <cell r="GM62">
            <v>0.02</v>
          </cell>
          <cell r="GN62">
            <v>0.02</v>
          </cell>
          <cell r="GO62">
            <v>0.02</v>
          </cell>
          <cell r="GP62">
            <v>0.02</v>
          </cell>
          <cell r="GQ62">
            <v>0.02</v>
          </cell>
          <cell r="GR62">
            <v>0.02</v>
          </cell>
          <cell r="GS62">
            <v>0.02</v>
          </cell>
          <cell r="GT62">
            <v>0.02</v>
          </cell>
          <cell r="GU62">
            <v>0.02</v>
          </cell>
          <cell r="GV62">
            <v>0.02</v>
          </cell>
          <cell r="GW62">
            <v>0.02</v>
          </cell>
          <cell r="GX62">
            <v>0.02</v>
          </cell>
          <cell r="GY62">
            <v>0.02</v>
          </cell>
          <cell r="GZ62">
            <v>0.02</v>
          </cell>
          <cell r="HA62">
            <v>0.02</v>
          </cell>
          <cell r="HB62">
            <v>0.02</v>
          </cell>
          <cell r="HC62">
            <v>0.02</v>
          </cell>
          <cell r="HD62">
            <v>0.02</v>
          </cell>
          <cell r="HE62">
            <v>0.02</v>
          </cell>
          <cell r="HF62">
            <v>0.02</v>
          </cell>
          <cell r="HG62">
            <v>0.02</v>
          </cell>
          <cell r="HH62">
            <v>0.02</v>
          </cell>
          <cell r="HI62">
            <v>0.02</v>
          </cell>
          <cell r="HJ62">
            <v>0.02</v>
          </cell>
          <cell r="HK62">
            <v>0.02</v>
          </cell>
          <cell r="HL62">
            <v>0.02</v>
          </cell>
          <cell r="HM62">
            <v>0.02</v>
          </cell>
          <cell r="HN62">
            <v>0.02</v>
          </cell>
          <cell r="HO62">
            <v>0.02</v>
          </cell>
          <cell r="HP62">
            <v>0.02</v>
          </cell>
          <cell r="HQ62">
            <v>0.02</v>
          </cell>
          <cell r="HR62">
            <v>0.02</v>
          </cell>
          <cell r="HS62">
            <v>0.02</v>
          </cell>
          <cell r="HT62">
            <v>0.02</v>
          </cell>
          <cell r="HU62">
            <v>0.02</v>
          </cell>
          <cell r="HV62">
            <v>0.02</v>
          </cell>
          <cell r="HW62">
            <v>0.02</v>
          </cell>
          <cell r="HX62">
            <v>0.02</v>
          </cell>
          <cell r="HY62">
            <v>0.02</v>
          </cell>
          <cell r="HZ62">
            <v>0.02</v>
          </cell>
          <cell r="IA62">
            <v>0.02</v>
          </cell>
          <cell r="IB62">
            <v>0.02</v>
          </cell>
          <cell r="IC62">
            <v>0.02</v>
          </cell>
          <cell r="ID62">
            <v>0.02</v>
          </cell>
          <cell r="IE62">
            <v>0.02</v>
          </cell>
          <cell r="IF62">
            <v>0.02</v>
          </cell>
          <cell r="IG62">
            <v>0.02</v>
          </cell>
          <cell r="IH62">
            <v>0.02</v>
          </cell>
          <cell r="II62">
            <v>0.02</v>
          </cell>
          <cell r="IJ62">
            <v>0.02</v>
          </cell>
          <cell r="IK62">
            <v>0.02</v>
          </cell>
          <cell r="IL62">
            <v>0.02</v>
          </cell>
          <cell r="IM62">
            <v>0.02</v>
          </cell>
          <cell r="IN62">
            <v>0.02</v>
          </cell>
          <cell r="IO62">
            <v>0.02</v>
          </cell>
          <cell r="IP62">
            <v>0.02</v>
          </cell>
          <cell r="IQ62">
            <v>0.02</v>
          </cell>
          <cell r="IR62">
            <v>0.02</v>
          </cell>
        </row>
        <row r="63">
          <cell r="B63" t="str">
            <v>Operating asset turnover</v>
          </cell>
          <cell r="C63">
            <v>0.73350628128573692</v>
          </cell>
          <cell r="D63">
            <v>0.76898852546093244</v>
          </cell>
          <cell r="E63">
            <v>0.77282665922064986</v>
          </cell>
          <cell r="F63">
            <v>0.7969073726856607</v>
          </cell>
          <cell r="G63">
            <v>0.84311081475934424</v>
          </cell>
          <cell r="H63">
            <v>0.87489743566279399</v>
          </cell>
          <cell r="I63">
            <v>0.90203367938891243</v>
          </cell>
          <cell r="J63">
            <v>0.93482391653325203</v>
          </cell>
          <cell r="K63">
            <v>0.97055418643836988</v>
          </cell>
          <cell r="L63">
            <v>1.0045744889527117</v>
          </cell>
          <cell r="M63">
            <v>1.0361477319411656</v>
          </cell>
          <cell r="N63">
            <v>0.99400436936547298</v>
          </cell>
          <cell r="O63">
            <v>0.9896156937967151</v>
          </cell>
          <cell r="P63">
            <v>0.98576917738072978</v>
          </cell>
          <cell r="Q63">
            <v>0.98243053090609789</v>
          </cell>
          <cell r="R63">
            <v>0.97916646773570803</v>
          </cell>
          <cell r="S63">
            <v>0.93440129671970562</v>
          </cell>
          <cell r="T63">
            <v>0.92681926966852612</v>
          </cell>
          <cell r="U63">
            <v>0.91942137986173678</v>
          </cell>
          <cell r="V63">
            <v>0.91220297282201046</v>
          </cell>
          <cell r="W63">
            <v>0.90515950543827728</v>
          </cell>
          <cell r="X63">
            <v>0.8982865441004767</v>
          </cell>
          <cell r="Y63">
            <v>0.89157976281407936</v>
          </cell>
          <cell r="Z63">
            <v>0.8850349412973697</v>
          </cell>
          <cell r="AA63">
            <v>0.8786479630644658</v>
          </cell>
          <cell r="AB63">
            <v>0.87241481349703887</v>
          </cell>
          <cell r="AC63">
            <v>0.86633157790764215</v>
          </cell>
          <cell r="AD63">
            <v>0.86039443959751238</v>
          </cell>
          <cell r="AE63">
            <v>0.85459967791163027</v>
          </cell>
          <cell r="AF63">
            <v>0.84894366629374529</v>
          </cell>
          <cell r="AG63">
            <v>0.8434228703439749</v>
          </cell>
          <cell r="AH63">
            <v>0.83803384588148799</v>
          </cell>
          <cell r="AI63">
            <v>0.83277323701467276</v>
          </cell>
          <cell r="AJ63">
            <v>0.8276377742210691</v>
          </cell>
          <cell r="AK63">
            <v>0.82262427243923653</v>
          </cell>
          <cell r="AL63">
            <v>0.81772962917458747</v>
          </cell>
          <cell r="AM63">
            <v>0.81295082262110974</v>
          </cell>
          <cell r="AN63">
            <v>0.80828490980076362</v>
          </cell>
          <cell r="AO63">
            <v>0.80372902472221164</v>
          </cell>
          <cell r="AP63">
            <v>0.79928037656042106</v>
          </cell>
          <cell r="AQ63">
            <v>0.79493624785854844</v>
          </cell>
          <cell r="AR63">
            <v>0.79069399275339214</v>
          </cell>
          <cell r="AS63">
            <v>0.78655103522558534</v>
          </cell>
          <cell r="AT63">
            <v>0.78250486737557678</v>
          </cell>
          <cell r="AU63">
            <v>0.77855304772634326</v>
          </cell>
          <cell r="AV63">
            <v>0.77469319955365878</v>
          </cell>
          <cell r="AW63">
            <v>0.77092300924464707</v>
          </cell>
          <cell r="AX63">
            <v>0.767240224685241</v>
          </cell>
          <cell r="AY63">
            <v>0.76364265367708217</v>
          </cell>
          <cell r="AZ63">
            <v>0.76012816238428682</v>
          </cell>
          <cell r="BA63">
            <v>0.75669467381044242</v>
          </cell>
          <cell r="BB63">
            <v>0.75334016630609346</v>
          </cell>
          <cell r="BC63">
            <v>0.75006267210691668</v>
          </cell>
          <cell r="BD63">
            <v>0.74686027590270043</v>
          </cell>
          <cell r="BE63">
            <v>0.74373111343718834</v>
          </cell>
          <cell r="BF63">
            <v>0.74067337013876944</v>
          </cell>
          <cell r="BG63">
            <v>0.73768527978195708</v>
          </cell>
          <cell r="BH63">
            <v>0.73476512317952636</v>
          </cell>
          <cell r="BI63">
            <v>0.73191122690514765</v>
          </cell>
          <cell r="BJ63">
            <v>0.7291219620462932</v>
          </cell>
          <cell r="BK63">
            <v>0.7263957429871637</v>
          </cell>
          <cell r="BL63">
            <v>0.72373102622133711</v>
          </cell>
          <cell r="BM63">
            <v>0.72112630919381282</v>
          </cell>
          <cell r="BN63">
            <v>0.71858012917208591</v>
          </cell>
          <cell r="BO63">
            <v>0.71609106214586971</v>
          </cell>
          <cell r="BP63">
            <v>0.71365772175504771</v>
          </cell>
          <cell r="BQ63">
            <v>0.71127875824542985</v>
          </cell>
          <cell r="BR63">
            <v>0.70895285745184755</v>
          </cell>
          <cell r="BS63">
            <v>0.70667873980813356</v>
          </cell>
          <cell r="BT63">
            <v>0.70445515938348979</v>
          </cell>
          <cell r="BU63">
            <v>0.70228090294475864</v>
          </cell>
          <cell r="BV63">
            <v>0.7001547890440879</v>
          </cell>
          <cell r="BW63">
            <v>0.69807566713147751</v>
          </cell>
          <cell r="BX63">
            <v>0.69604241669169653</v>
          </cell>
          <cell r="BY63">
            <v>0.69405394640503848</v>
          </cell>
          <cell r="BZ63">
            <v>0.69210919333139931</v>
          </cell>
          <cell r="CA63">
            <v>0.6902071221171473</v>
          </cell>
          <cell r="CB63">
            <v>0.68834672422425913</v>
          </cell>
          <cell r="CC63">
            <v>0.68652701718120102</v>
          </cell>
          <cell r="CD63">
            <v>0.6847470438550266</v>
          </cell>
          <cell r="CE63">
            <v>0.68300587174417837</v>
          </cell>
          <cell r="CF63">
            <v>0.68130259229147261</v>
          </cell>
          <cell r="CG63">
            <v>0.67963632021676024</v>
          </cell>
          <cell r="CH63">
            <v>0.6780061928687583</v>
          </cell>
          <cell r="CI63">
            <v>0.67641136959555148</v>
          </cell>
          <cell r="CJ63">
            <v>0.67485103113327627</v>
          </cell>
          <cell r="CK63">
            <v>0.67332437901249853</v>
          </cell>
          <cell r="CL63">
            <v>0.67183063498180906</v>
          </cell>
          <cell r="CM63">
            <v>0.67036904044817114</v>
          </cell>
          <cell r="CN63">
            <v>0.66893885593355407</v>
          </cell>
          <cell r="CO63">
            <v>0.66753936054740581</v>
          </cell>
          <cell r="CP63">
            <v>0.66616985147451813</v>
          </cell>
          <cell r="CQ63">
            <v>0.66482964347785312</v>
          </cell>
          <cell r="CR63">
            <v>0.66351806841590255</v>
          </cell>
          <cell r="CS63">
            <v>0.66223447477416753</v>
          </cell>
          <cell r="CT63">
            <v>0.66097822721035016</v>
          </cell>
          <cell r="CU63">
            <v>0.65974870611286163</v>
          </cell>
          <cell r="CV63">
            <v>0.65854530717225601</v>
          </cell>
          <cell r="CW63">
            <v>0.65736744096521649</v>
          </cell>
          <cell r="CX63">
            <v>0.65621453255071949</v>
          </cell>
          <cell r="CY63">
            <v>0.65508602107801939</v>
          </cell>
          <cell r="CZ63">
            <v>0.65398135940610591</v>
          </cell>
          <cell r="DA63">
            <v>0.65290001373428708</v>
          </cell>
          <cell r="DB63">
            <v>0.65184146324356973</v>
          </cell>
          <cell r="DC63">
            <v>0.65080519974851325</v>
          </cell>
          <cell r="DD63">
            <v>0.64979072735923982</v>
          </cell>
          <cell r="DE63">
            <v>0.64879756215329742</v>
          </cell>
          <cell r="DF63">
            <v>0.64782523185707719</v>
          </cell>
          <cell r="DG63">
            <v>0.64687327553649521</v>
          </cell>
          <cell r="DH63">
            <v>0.6459412432966587</v>
          </cell>
          <cell r="DI63">
            <v>0.64502869599024348</v>
          </cell>
          <cell r="DJ63">
            <v>0.64413520493431708</v>
          </cell>
          <cell r="DK63">
            <v>0.64326035163535211</v>
          </cell>
          <cell r="DL63">
            <v>0.64240372752217501</v>
          </cell>
          <cell r="DM63">
            <v>0.6415649336866166</v>
          </cell>
          <cell r="DN63">
            <v>0.64074358063161907</v>
          </cell>
          <cell r="DO63">
            <v>0.63993928802658018</v>
          </cell>
          <cell r="DP63">
            <v>0.63915168446970716</v>
          </cell>
          <cell r="DQ63">
            <v>0.63838040725716905</v>
          </cell>
          <cell r="DR63">
            <v>0.63762510215883961</v>
          </cell>
          <cell r="DS63">
            <v>0.63688542320042596</v>
          </cell>
          <cell r="DT63">
            <v>0.63616103245179167</v>
          </cell>
          <cell r="DU63">
            <v>0.63545159982128219</v>
          </cell>
          <cell r="DV63">
            <v>0.63475680285587055</v>
          </cell>
          <cell r="DW63">
            <v>0.63407632654694268</v>
          </cell>
          <cell r="DX63">
            <v>0.63340986314155545</v>
          </cell>
          <cell r="DY63">
            <v>0.63275711195899387</v>
          </cell>
          <cell r="DZ63">
            <v>0.63211777921247114</v>
          </cell>
          <cell r="EA63">
            <v>0.63149157783581278</v>
          </cell>
          <cell r="EB63">
            <v>0.63087822731497156</v>
          </cell>
          <cell r="EC63">
            <v>0.63027745352423048</v>
          </cell>
          <cell r="ED63">
            <v>0.62968898856694633</v>
          </cell>
          <cell r="EE63">
            <v>0.62911257062070136</v>
          </cell>
          <cell r="EF63">
            <v>0.62854794378672585</v>
          </cell>
          <cell r="EG63">
            <v>0.6279948579434631</v>
          </cell>
          <cell r="EH63">
            <v>0.62745306860415317</v>
          </cell>
          <cell r="EI63">
            <v>0.62692233677831377</v>
          </cell>
          <cell r="EJ63">
            <v>0.6264024288369997</v>
          </cell>
          <cell r="EK63">
            <v>0.62589311638172884</v>
          </cell>
          <cell r="EL63">
            <v>0.62539417611696468</v>
          </cell>
          <cell r="EM63">
            <v>0.62490538972604803</v>
          </cell>
          <cell r="EN63">
            <v>0.62442654375047513</v>
          </cell>
          <cell r="EO63">
            <v>0.62395742947242416</v>
          </cell>
          <cell r="EP63">
            <v>0.62349784280043163</v>
          </cell>
          <cell r="EQ63">
            <v>0.62304758415812433</v>
          </cell>
          <cell r="ER63">
            <v>0.62260645837591988</v>
          </cell>
          <cell r="ES63">
            <v>0.6221742745856047</v>
          </cell>
          <cell r="ET63">
            <v>0.62175084611770737</v>
          </cell>
          <cell r="EU63">
            <v>0.62133599040158149</v>
          </cell>
          <cell r="EV63">
            <v>0.62092952886812358</v>
          </cell>
          <cell r="EW63">
            <v>0.620531286855044</v>
          </cell>
          <cell r="EX63">
            <v>0.62014109351462132</v>
          </cell>
          <cell r="EY63">
            <v>0.61975878172386134</v>
          </cell>
          <cell r="EZ63">
            <v>0.61938418799699868</v>
          </cell>
          <cell r="FA63">
            <v>0.61901715240026611</v>
          </cell>
          <cell r="FB63">
            <v>0.61865751846887151</v>
          </cell>
          <cell r="FC63">
            <v>0.61830513312611468</v>
          </cell>
          <cell r="FD63">
            <v>0.61795984660458581</v>
          </cell>
          <cell r="FE63">
            <v>0.61762151236938423</v>
          </cell>
          <cell r="FF63">
            <v>0.61728998704329874</v>
          </cell>
          <cell r="FG63">
            <v>0.61696513033389755</v>
          </cell>
          <cell r="FH63">
            <v>0.61664680496246826</v>
          </cell>
          <cell r="FI63">
            <v>0.61633487659476105</v>
          </cell>
          <cell r="FJ63">
            <v>0.61602921377347841</v>
          </cell>
          <cell r="FK63">
            <v>0.61572968785246751</v>
          </cell>
          <cell r="FL63">
            <v>0.61543617293256414</v>
          </cell>
          <cell r="FM63">
            <v>0.61514854579904232</v>
          </cell>
          <cell r="FN63">
            <v>0.61486668586062687</v>
          </cell>
          <cell r="FO63">
            <v>0.61459047509002274</v>
          </cell>
          <cell r="FP63">
            <v>0.61431979796592073</v>
          </cell>
          <cell r="FQ63">
            <v>0.61405454141643767</v>
          </cell>
          <cell r="FR63">
            <v>0.6137945947639537</v>
          </cell>
          <cell r="FS63">
            <v>0.61353984967130459</v>
          </cell>
          <cell r="FT63">
            <v>0.61329020008929525</v>
          </cell>
          <cell r="FU63">
            <v>0.61304554220549734</v>
          </cell>
          <cell r="FV63">
            <v>0.61280577439429529</v>
          </cell>
          <cell r="FW63">
            <v>0.61257079716814677</v>
          </cell>
          <cell r="FX63">
            <v>0.61234051313002757</v>
          </cell>
          <cell r="FY63">
            <v>0.61211482692702313</v>
          </cell>
          <cell r="FZ63">
            <v>0.6118936452050433</v>
          </cell>
          <cell r="GA63">
            <v>0.61167687656462377</v>
          </cell>
          <cell r="GB63">
            <v>0.6114644315177884</v>
          </cell>
          <cell r="GC63">
            <v>0.61125622244594369</v>
          </cell>
          <cell r="GD63">
            <v>0.61105216355877789</v>
          </cell>
          <cell r="GE63">
            <v>0.61085217085413746</v>
          </cell>
          <cell r="GF63">
            <v>0.61065616207885698</v>
          </cell>
          <cell r="GG63">
            <v>0.61046405669051407</v>
          </cell>
          <cell r="GH63">
            <v>0.61027577582008929</v>
          </cell>
          <cell r="GI63">
            <v>0.61009124223550371</v>
          </cell>
          <cell r="GJ63">
            <v>0.6099103803060133</v>
          </cell>
          <cell r="GK63">
            <v>0.60973311596743729</v>
          </cell>
          <cell r="GL63">
            <v>0.60955937668819915</v>
          </cell>
          <cell r="GM63">
            <v>0.6093890914361586</v>
          </cell>
          <cell r="GN63">
            <v>0.60922219064621486</v>
          </cell>
          <cell r="GO63">
            <v>0.60905860618866137</v>
          </cell>
          <cell r="GP63">
            <v>0.60889827133827246</v>
          </cell>
          <cell r="GQ63">
            <v>0.60874112074410358</v>
          </cell>
          <cell r="GR63">
            <v>0.60858709039998571</v>
          </cell>
          <cell r="GS63">
            <v>0.60843611761569982</v>
          </cell>
          <cell r="GT63">
            <v>0.60828814098880901</v>
          </cell>
          <cell r="GU63">
            <v>0.60814310037713692</v>
          </cell>
          <cell r="GV63">
            <v>0.60800093687187196</v>
          </cell>
          <cell r="GW63">
            <v>0.60786159277128515</v>
          </cell>
          <cell r="GX63">
            <v>0.60772501155504399</v>
          </cell>
          <cell r="GY63">
            <v>0.60759113785910723</v>
          </cell>
          <cell r="GZ63">
            <v>0.60745991745118955</v>
          </cell>
          <cell r="HA63">
            <v>0.60733129720677637</v>
          </cell>
          <cell r="HB63">
            <v>0.60720522508568242</v>
          </cell>
          <cell r="HC63">
            <v>0.60708165010913195</v>
          </cell>
          <cell r="HD63">
            <v>0.60696052233735731</v>
          </cell>
          <cell r="HE63">
            <v>0.60684179284769546</v>
          </cell>
          <cell r="HF63">
            <v>0.60672541371317401</v>
          </cell>
          <cell r="HG63">
            <v>0.60661133798157441</v>
          </cell>
          <cell r="HH63">
            <v>0.60649951965496074</v>
          </cell>
          <cell r="HI63">
            <v>0.606389913669662</v>
          </cell>
          <cell r="HJ63">
            <v>0.60628247587669803</v>
          </cell>
          <cell r="HK63">
            <v>0.6061771630226378</v>
          </cell>
          <cell r="HL63">
            <v>0.60607393273087928</v>
          </cell>
          <cell r="HM63">
            <v>0.60597274348334251</v>
          </cell>
          <cell r="HN63">
            <v>0.60587355460256365</v>
          </cell>
          <cell r="HO63">
            <v>0.6057763262341832</v>
          </cell>
          <cell r="HP63">
            <v>0.60568101932981555</v>
          </cell>
          <cell r="HQ63">
            <v>0.60558759563029463</v>
          </cell>
          <cell r="HR63">
            <v>0.60549601764928429</v>
          </cell>
          <cell r="HS63">
            <v>0.60540624865724568</v>
          </cell>
          <cell r="HT63">
            <v>0.60531825266575146</v>
          </cell>
          <cell r="HU63">
            <v>0.60523199441214492</v>
          </cell>
          <cell r="HV63">
            <v>0.60514743934452508</v>
          </cell>
          <cell r="HW63">
            <v>0.60506455360706257</v>
          </cell>
          <cell r="HX63">
            <v>0.60498330402562783</v>
          </cell>
          <cell r="HY63">
            <v>0.60490365809373248</v>
          </cell>
          <cell r="HZ63">
            <v>0.60482558395877062</v>
          </cell>
          <cell r="IA63">
            <v>0.6047490504085582</v>
          </cell>
          <cell r="IB63">
            <v>0.60467402685815941</v>
          </cell>
          <cell r="IC63">
            <v>0.60460048333699534</v>
          </cell>
          <cell r="ID63">
            <v>0.60452839047623042</v>
          </cell>
          <cell r="IE63">
            <v>0.60445771949642502</v>
          </cell>
          <cell r="IF63">
            <v>0.6043884421954544</v>
          </cell>
          <cell r="IG63">
            <v>0.60432053093668292</v>
          </cell>
          <cell r="IH63">
            <v>0.60425395863739073</v>
          </cell>
          <cell r="II63">
            <v>0.60418869875744607</v>
          </cell>
          <cell r="IJ63">
            <v>0.60412472528821803</v>
          </cell>
          <cell r="IK63">
            <v>0.60406201274172222</v>
          </cell>
          <cell r="IL63">
            <v>0.60400053614000004</v>
          </cell>
          <cell r="IM63">
            <v>0.60394027100471737</v>
          </cell>
          <cell r="IN63">
            <v>0.6038811933469872</v>
          </cell>
          <cell r="IO63">
            <v>0.60382327965740301</v>
          </cell>
          <cell r="IP63">
            <v>0.60376650689628475</v>
          </cell>
          <cell r="IQ63">
            <v>0.60371085248412704</v>
          </cell>
          <cell r="IR63">
            <v>0</v>
          </cell>
        </row>
        <row r="64">
          <cell r="B64" t="str">
            <v>NOPAT</v>
          </cell>
          <cell r="C64">
            <v>5508.5944322775413</v>
          </cell>
          <cell r="D64">
            <v>6169.625006978933</v>
          </cell>
          <cell r="E64">
            <v>6417.9773939599063</v>
          </cell>
          <cell r="F64">
            <v>6834.3283572886839</v>
          </cell>
          <cell r="G64">
            <v>6947.6728647068194</v>
          </cell>
          <cell r="H64">
            <v>7116.4653958988301</v>
          </cell>
          <cell r="I64">
            <v>7430.6157346901791</v>
          </cell>
          <cell r="J64">
            <v>7830.0993327990491</v>
          </cell>
          <cell r="K64">
            <v>8135.7979433531527</v>
          </cell>
          <cell r="L64">
            <v>8387.0614539920571</v>
          </cell>
          <cell r="M64">
            <v>8379.6689269300496</v>
          </cell>
          <cell r="N64">
            <v>8784.1915695219777</v>
          </cell>
          <cell r="O64">
            <v>8964.4385564309523</v>
          </cell>
          <cell r="P64">
            <v>9130.7125577180286</v>
          </cell>
          <cell r="Q64">
            <v>9281.7840233694369</v>
          </cell>
          <cell r="R64">
            <v>9363.0486378318892</v>
          </cell>
          <cell r="S64">
            <v>9607.8042886063922</v>
          </cell>
          <cell r="T64">
            <v>9715.4797881395934</v>
          </cell>
          <cell r="U64">
            <v>9825.6715348355337</v>
          </cell>
          <cell r="V64">
            <v>9938.4262188968096</v>
          </cell>
          <cell r="W64">
            <v>10053.79138772541</v>
          </cell>
          <cell r="X64">
            <v>10171.815469189487</v>
          </cell>
          <cell r="Y64">
            <v>10292.547795226006</v>
          </cell>
          <cell r="Z64">
            <v>10416.038625775778</v>
          </cell>
          <cell r="AA64">
            <v>10542.339173048455</v>
          </cell>
          <cell r="AB64">
            <v>10671.501626116262</v>
          </cell>
          <cell r="AC64">
            <v>10803.579175836407</v>
          </cell>
          <cell r="AD64">
            <v>10938.626040103063</v>
          </cell>
          <cell r="AE64">
            <v>11076.697489431081</v>
          </cell>
          <cell r="AF64">
            <v>11217.849872874402</v>
          </cell>
          <cell r="AG64">
            <v>11362.140644283325</v>
          </cell>
          <cell r="AH64">
            <v>11509.628388905561</v>
          </cell>
          <cell r="AI64">
            <v>11660.372850337015</v>
          </cell>
          <cell r="AJ64">
            <v>11814.434957829075</v>
          </cell>
          <cell r="AK64">
            <v>11971.876853959975</v>
          </cell>
          <cell r="AL64">
            <v>12132.761922678616</v>
          </cell>
          <cell r="AM64">
            <v>12297.15481772995</v>
          </cell>
          <cell r="AN64">
            <v>12465.121491471691</v>
          </cell>
          <cell r="AO64">
            <v>12636.729224092862</v>
          </cell>
          <cell r="AP64">
            <v>12812.046653245194</v>
          </cell>
          <cell r="AQ64">
            <v>12991.143804099054</v>
          </cell>
          <cell r="AR64">
            <v>13174.092119836097</v>
          </cell>
          <cell r="AS64">
            <v>13360.964492591331</v>
          </cell>
          <cell r="AT64">
            <v>13551.835294857832</v>
          </cell>
          <cell r="AU64">
            <v>13746.780411367683</v>
          </cell>
          <cell r="AV64">
            <v>13945.877271463291</v>
          </cell>
          <cell r="AW64">
            <v>14149.204881973483</v>
          </cell>
          <cell r="AX64">
            <v>14356.843860609333</v>
          </cell>
          <cell r="AY64">
            <v>14568.876469894776</v>
          </cell>
          <cell r="AZ64">
            <v>14785.38665164779</v>
          </cell>
          <cell r="BA64">
            <v>15006.460062027798</v>
          </cell>
          <cell r="BB64">
            <v>15232.184107165689</v>
          </cell>
          <cell r="BC64">
            <v>15462.647979392765</v>
          </cell>
          <cell r="BD64">
            <v>15697.94269408557</v>
          </cell>
          <cell r="BE64">
            <v>15938.161127143518</v>
          </cell>
          <cell r="BF64">
            <v>16183.398053116725</v>
          </cell>
          <cell r="BG64">
            <v>16433.750184001598</v>
          </cell>
          <cell r="BH64">
            <v>16689.316208722117</v>
          </cell>
          <cell r="BI64">
            <v>16950.196833314756</v>
          </cell>
          <cell r="BJ64">
            <v>17216.494821835608</v>
          </cell>
          <cell r="BK64">
            <v>17488.31503800815</v>
          </cell>
          <cell r="BL64">
            <v>17765.764487630651</v>
          </cell>
          <cell r="BM64">
            <v>18048.952361762276</v>
          </cell>
          <cell r="BN64">
            <v>18337.990080707288</v>
          </cell>
          <cell r="BO64">
            <v>18632.991338816995</v>
          </cell>
          <cell r="BP64">
            <v>18934.072150129381</v>
          </cell>
          <cell r="BQ64">
            <v>19241.350894866504</v>
          </cell>
          <cell r="BR64">
            <v>19554.948366810266</v>
          </cell>
          <cell r="BS64">
            <v>19874.987821577106</v>
          </cell>
          <cell r="BT64">
            <v>20201.595025812821</v>
          </cell>
          <cell r="BU64">
            <v>20534.898307328673</v>
          </cell>
          <cell r="BV64">
            <v>20875.028606200503</v>
          </cell>
          <cell r="BW64">
            <v>21222.119526852784</v>
          </cell>
          <cell r="BX64">
            <v>21576.307391149712</v>
          </cell>
          <cell r="BY64">
            <v>21937.73129251619</v>
          </cell>
          <cell r="BZ64">
            <v>22306.533151111311</v>
          </cell>
          <cell r="CA64">
            <v>22682.857770077855</v>
          </cell>
          <cell r="CB64">
            <v>23066.852892891286</v>
          </cell>
          <cell r="CC64">
            <v>23458.669261832241</v>
          </cell>
          <cell r="CD64">
            <v>23858.460677606992</v>
          </cell>
          <cell r="CE64">
            <v>24266.384060140503</v>
          </cell>
          <cell r="CF64">
            <v>24682.599510567303</v>
          </cell>
          <cell r="CG64">
            <v>25107.270374445805</v>
          </cell>
          <cell r="CH64">
            <v>25540.563306221979</v>
          </cell>
          <cell r="CI64">
            <v>25982.648334968879</v>
          </cell>
          <cell r="CJ64">
            <v>26433.698931428826</v>
          </cell>
          <cell r="CK64">
            <v>26893.892076385731</v>
          </cell>
          <cell r="CL64">
            <v>27363.40833039525</v>
          </cell>
          <cell r="CM64">
            <v>27842.43190490111</v>
          </cell>
          <cell r="CN64">
            <v>28331.150734766437</v>
          </cell>
          <cell r="CO64">
            <v>28829.756552249393</v>
          </cell>
          <cell r="CP64">
            <v>29338.444962452908</v>
          </cell>
          <cell r="CQ64">
            <v>29857.415520278955</v>
          </cell>
          <cell r="CR64">
            <v>30386.871808918277</v>
          </cell>
          <cell r="CS64">
            <v>30927.021519907012</v>
          </cell>
          <cell r="CT64">
            <v>31478.076534782354</v>
          </cell>
          <cell r="CU64">
            <v>32040.253008369862</v>
          </cell>
          <cell r="CV64">
            <v>32613.771453735772</v>
          </cell>
          <cell r="CW64">
            <v>33198.856828838077</v>
          </cell>
          <cell r="CX64">
            <v>33795.738624911013</v>
          </cell>
          <cell r="CY64">
            <v>34404.650956618178</v>
          </cell>
          <cell r="CZ64">
            <v>35025.83265400993</v>
          </cell>
          <cell r="DA64">
            <v>35659.527356321851</v>
          </cell>
          <cell r="DB64">
            <v>36305.983607651287</v>
          </cell>
          <cell r="DC64">
            <v>36965.454954550085</v>
          </cell>
          <cell r="DD64">
            <v>37638.200045572114</v>
          </cell>
          <cell r="DE64">
            <v>38324.482732814926</v>
          </cell>
          <cell r="DF64">
            <v>39024.572175495923</v>
          </cell>
          <cell r="DG64">
            <v>39738.742945603735</v>
          </cell>
          <cell r="DH64">
            <v>40467.275135666845</v>
          </cell>
          <cell r="DI64">
            <v>41210.454468681826</v>
          </cell>
          <cell r="DJ64">
            <v>41968.572410244626</v>
          </cell>
          <cell r="DK64">
            <v>42741.926282929191</v>
          </cell>
          <cell r="DL64">
            <v>43530.819382958565</v>
          </cell>
          <cell r="DM64">
            <v>44335.561099214363</v>
          </cell>
          <cell r="DN64">
            <v>45156.467034631642</v>
          </cell>
          <cell r="DO64">
            <v>45993.859130026845</v>
          </cell>
          <cell r="DP64">
            <v>46848.065790407774</v>
          </cell>
          <cell r="DQ64">
            <v>47719.42201381515</v>
          </cell>
          <cell r="DR64">
            <v>48608.269522746588</v>
          </cell>
          <cell r="DS64">
            <v>49514.956898214594</v>
          </cell>
          <cell r="DT64">
            <v>50439.839716491471</v>
          </cell>
          <cell r="DU64">
            <v>51383.280688594794</v>
          </cell>
          <cell r="DV64">
            <v>52345.64980256823</v>
          </cell>
          <cell r="DW64">
            <v>53327.324468613966</v>
          </cell>
          <cell r="DX64">
            <v>54328.689667133374</v>
          </cell>
          <cell r="DY64">
            <v>55350.13809973438</v>
          </cell>
          <cell r="DZ64">
            <v>56392.070343264793</v>
          </cell>
          <cell r="EA64">
            <v>57454.895006932049</v>
          </cell>
          <cell r="EB64">
            <v>58539.028892571187</v>
          </cell>
          <cell r="EC64">
            <v>59644.897158123968</v>
          </cell>
          <cell r="ED64">
            <v>60772.933484393296</v>
          </cell>
          <cell r="EE64">
            <v>61923.580245138481</v>
          </cell>
          <cell r="EF64">
            <v>63097.28868057816</v>
          </cell>
          <cell r="EG64">
            <v>64294.519074368851</v>
          </cell>
          <cell r="EH64">
            <v>65515.740934128837</v>
          </cell>
          <cell r="EI64">
            <v>66761.433175577986</v>
          </cell>
          <cell r="EJ64">
            <v>68032.084310366045</v>
          </cell>
          <cell r="EK64">
            <v>69328.192637662913</v>
          </cell>
          <cell r="EL64">
            <v>70650.266439586281</v>
          </cell>
          <cell r="EM64">
            <v>71998.824180543103</v>
          </cell>
          <cell r="EN64">
            <v>73374.394710563356</v>
          </cell>
          <cell r="EO64">
            <v>74777.517472705687</v>
          </cell>
          <cell r="EP64">
            <v>76208.742714616499</v>
          </cell>
          <cell r="EQ64">
            <v>77668.631704325409</v>
          </cell>
          <cell r="ER64">
            <v>79157.756950361509</v>
          </cell>
          <cell r="ES64">
            <v>80676.702426277392</v>
          </cell>
          <cell r="ET64">
            <v>82226.063799668336</v>
          </cell>
          <cell r="EU64">
            <v>83806.448665776988</v>
          </cell>
          <cell r="EV64">
            <v>85418.476785774896</v>
          </cell>
          <cell r="EW64">
            <v>87062.780329814646</v>
          </cell>
          <cell r="EX64">
            <v>88740.004124947503</v>
          </cell>
          <cell r="EY64">
            <v>90450.805908004404</v>
          </cell>
          <cell r="EZ64">
            <v>92195.856583539018</v>
          </cell>
          <cell r="FA64">
            <v>93975.840486934059</v>
          </cell>
          <cell r="FB64">
            <v>95791.45565277469</v>
          </cell>
          <cell r="FC64">
            <v>97643.414088593185</v>
          </cell>
          <cell r="FD64">
            <v>99532.442054093262</v>
          </cell>
          <cell r="FE64">
            <v>101459.28034596311</v>
          </cell>
          <cell r="FF64">
            <v>103424.68458838883</v>
          </cell>
          <cell r="FG64">
            <v>105429.42552938219</v>
          </cell>
          <cell r="FH64">
            <v>107474.28934303936</v>
          </cell>
          <cell r="FI64">
            <v>109560.0779378484</v>
          </cell>
          <cell r="FJ64">
            <v>111687.60927116722</v>
          </cell>
          <cell r="FK64">
            <v>113857.71766999489</v>
          </cell>
          <cell r="FL64">
            <v>116071.25415816202</v>
          </cell>
          <cell r="FM64">
            <v>118329.08679006898</v>
          </cell>
          <cell r="FN64">
            <v>120632.10099110243</v>
          </cell>
          <cell r="FO64">
            <v>122981.19990486396</v>
          </cell>
          <cell r="FP64">
            <v>125377.30474734658</v>
          </cell>
          <cell r="FQ64">
            <v>127821.35516819876</v>
          </cell>
          <cell r="FR64">
            <v>130314.30961921663</v>
          </cell>
          <cell r="FS64">
            <v>132857.14573020992</v>
          </cell>
          <cell r="FT64">
            <v>135450.86069238829</v>
          </cell>
          <cell r="FU64">
            <v>138096.47164941879</v>
          </cell>
          <cell r="FV64">
            <v>140795.01609630755</v>
          </cell>
          <cell r="FW64">
            <v>143547.55228626248</v>
          </cell>
          <cell r="FX64">
            <v>146355.15964569611</v>
          </cell>
          <cell r="FY64">
            <v>149218.93919753196</v>
          </cell>
          <cell r="FZ64">
            <v>152140.01399297925</v>
          </cell>
          <cell r="GA64">
            <v>155119.52955194708</v>
          </cell>
          <cell r="GB64">
            <v>158158.65431226889</v>
          </cell>
          <cell r="GC64">
            <v>161258.58008791486</v>
          </cell>
          <cell r="GD64">
            <v>164420.52253637117</v>
          </cell>
          <cell r="GE64">
            <v>167645.72163536923</v>
          </cell>
          <cell r="GF64">
            <v>170935.44216915293</v>
          </cell>
          <cell r="GG64">
            <v>174290.97422447315</v>
          </cell>
          <cell r="GH64">
            <v>177713.63369650525</v>
          </cell>
          <cell r="GI64">
            <v>181204.76280488714</v>
          </cell>
          <cell r="GJ64">
            <v>184765.73062008098</v>
          </cell>
          <cell r="GK64">
            <v>188397.93360026405</v>
          </cell>
          <cell r="GL64">
            <v>192102.7961389604</v>
          </cell>
          <cell r="GM64">
            <v>195881.77112362717</v>
          </cell>
          <cell r="GN64">
            <v>199736.34050541493</v>
          </cell>
          <cell r="GO64">
            <v>203668.01588032578</v>
          </cell>
          <cell r="GP64">
            <v>207678.33908199664</v>
          </cell>
          <cell r="GQ64">
            <v>211768.8827863402</v>
          </cell>
          <cell r="GR64">
            <v>215941.25112828158</v>
          </cell>
          <cell r="GS64">
            <v>220197.08033083088</v>
          </cell>
          <cell r="GT64">
            <v>224538.03934673997</v>
          </cell>
          <cell r="GU64">
            <v>228965.83051299414</v>
          </cell>
          <cell r="GV64">
            <v>233482.19021839561</v>
          </cell>
          <cell r="GW64">
            <v>238088.88958450075</v>
          </cell>
          <cell r="GX64">
            <v>242787.73516017795</v>
          </cell>
          <cell r="GY64">
            <v>247580.56963005825</v>
          </cell>
          <cell r="GZ64">
            <v>252469.27253715758</v>
          </cell>
          <cell r="HA64">
            <v>257455.76101995222</v>
          </cell>
          <cell r="HB64">
            <v>262541.99056419847</v>
          </cell>
          <cell r="HC64">
            <v>267729.95576978999</v>
          </cell>
          <cell r="HD64">
            <v>273021.6911329538</v>
          </cell>
          <cell r="HE64">
            <v>278419.2718440927</v>
          </cell>
          <cell r="HF64">
            <v>283924.81460158533</v>
          </cell>
          <cell r="HG64">
            <v>289540.47844186414</v>
          </cell>
          <cell r="HH64">
            <v>295268.46558609669</v>
          </cell>
          <cell r="HI64">
            <v>301111.0223038019</v>
          </cell>
          <cell r="HJ64">
            <v>307070.43979374046</v>
          </cell>
          <cell r="HK64">
            <v>313149.05508242379</v>
          </cell>
          <cell r="HL64">
            <v>319349.25194059586</v>
          </cell>
          <cell r="HM64">
            <v>325673.46181804477</v>
          </cell>
          <cell r="HN64">
            <v>332124.1647971131</v>
          </cell>
          <cell r="HO64">
            <v>338703.890565279</v>
          </cell>
          <cell r="HP64">
            <v>345415.21940719103</v>
          </cell>
          <cell r="HQ64">
            <v>352260.7832165439</v>
          </cell>
          <cell r="HR64">
            <v>359243.26652819465</v>
          </cell>
          <cell r="HS64">
            <v>366365.40757092077</v>
          </cell>
          <cell r="HT64">
            <v>373629.99934123608</v>
          </cell>
          <cell r="HU64">
            <v>381039.89069868316</v>
          </cell>
          <cell r="HV64">
            <v>388597.98748303344</v>
          </cell>
          <cell r="HW64">
            <v>396307.25365383201</v>
          </cell>
          <cell r="HX64">
            <v>404170.71245273558</v>
          </cell>
          <cell r="HY64">
            <v>412191.44758909632</v>
          </cell>
          <cell r="HZ64">
            <v>420372.60444926086</v>
          </cell>
          <cell r="IA64">
            <v>428717.39133005444</v>
          </cell>
          <cell r="IB64">
            <v>437229.08069693681</v>
          </cell>
          <cell r="IC64">
            <v>445911.01046732231</v>
          </cell>
          <cell r="ID64">
            <v>454766.58531956672</v>
          </cell>
          <cell r="IE64">
            <v>463799.27802813554</v>
          </cell>
          <cell r="IF64">
            <v>473012.6308254766</v>
          </cell>
          <cell r="IG64">
            <v>482410.25679113035</v>
          </cell>
          <cell r="IH64">
            <v>491995.84126862412</v>
          </cell>
          <cell r="II64">
            <v>501773.14331070514</v>
          </cell>
          <cell r="IJ64">
            <v>511745.99715347838</v>
          </cell>
          <cell r="IK64">
            <v>521918.3137200292</v>
          </cell>
          <cell r="IL64">
            <v>532294.08215411799</v>
          </cell>
          <cell r="IM64">
            <v>542877.37138455117</v>
          </cell>
          <cell r="IN64">
            <v>553672.33172083879</v>
          </cell>
          <cell r="IO64">
            <v>564683.19648076757</v>
          </cell>
          <cell r="IP64">
            <v>575914.28365052468</v>
          </cell>
          <cell r="IQ64">
            <v>587369.99757802673</v>
          </cell>
          <cell r="IR64">
            <v>599054.83070011425</v>
          </cell>
        </row>
        <row r="65">
          <cell r="B65" t="str">
            <v>NOPAT margin</v>
          </cell>
          <cell r="C65">
            <v>0.20027544190918273</v>
          </cell>
          <cell r="D65">
            <v>0.21971002352091329</v>
          </cell>
          <cell r="E65">
            <v>0.22076936229982957</v>
          </cell>
          <cell r="F65">
            <v>0.22507475390523321</v>
          </cell>
          <cell r="G65">
            <v>0.21742046714160623</v>
          </cell>
          <cell r="H65">
            <v>0.21579126230951284</v>
          </cell>
          <cell r="I65">
            <v>0.21891454352201253</v>
          </cell>
          <cell r="J65">
            <v>0.22192709234837579</v>
          </cell>
          <cell r="K65">
            <v>0.22291821981075985</v>
          </cell>
          <cell r="L65">
            <v>0.22254490202400498</v>
          </cell>
          <cell r="M65">
            <v>0.2158536249286685</v>
          </cell>
          <cell r="N65">
            <v>0.22020328748591697</v>
          </cell>
          <cell r="O65">
            <v>0.21923105756647845</v>
          </cell>
          <cell r="P65">
            <v>0.21837893298204722</v>
          </cell>
          <cell r="Q65">
            <v>0.21763931759188887</v>
          </cell>
          <cell r="R65">
            <v>0.21524001046362809</v>
          </cell>
          <cell r="S65">
            <v>0.21653579621328042</v>
          </cell>
          <cell r="T65">
            <v>0.21466914876706861</v>
          </cell>
          <cell r="U65">
            <v>0.21284695998426453</v>
          </cell>
          <cell r="V65">
            <v>0.21106812686007484</v>
          </cell>
          <cell r="W65">
            <v>0.2093315724704769</v>
          </cell>
          <cell r="X65">
            <v>0.20763624553136728</v>
          </cell>
          <cell r="Y65">
            <v>0.20598111995377119</v>
          </cell>
          <cell r="Z65">
            <v>0.20436519439576387</v>
          </cell>
          <cell r="AA65">
            <v>0.20278749181175365</v>
          </cell>
          <cell r="AB65">
            <v>0.20124705899977161</v>
          </cell>
          <cell r="AC65">
            <v>0.199742966147404</v>
          </cell>
          <cell r="AD65">
            <v>0.19827430637699037</v>
          </cell>
          <cell r="AE65">
            <v>0.19684019529069624</v>
          </cell>
          <cell r="AF65">
            <v>0.19543977051604905</v>
          </cell>
          <cell r="AG65">
            <v>0.1940721912525076</v>
          </cell>
          <cell r="AH65">
            <v>0.19273663781961098</v>
          </cell>
          <cell r="AI65">
            <v>0.19143231120723006</v>
          </cell>
          <cell r="AJ65">
            <v>0.19015843262841858</v>
          </cell>
          <cell r="AK65">
            <v>0.18891424307533444</v>
          </cell>
          <cell r="AL65">
            <v>0.18769900287867522</v>
          </cell>
          <cell r="AM65">
            <v>0.18651199127104351</v>
          </cell>
          <cell r="AN65">
            <v>0.1853525059546301</v>
          </cell>
          <cell r="AO65">
            <v>0.18421986267357579</v>
          </cell>
          <cell r="AP65">
            <v>0.18311339479134345</v>
          </cell>
          <cell r="AQ65">
            <v>0.18203245287340569</v>
          </cell>
          <cell r="AR65">
            <v>0.18097640427552614</v>
          </cell>
          <cell r="AS65">
            <v>0.17994463273788558</v>
          </cell>
          <cell r="AT65">
            <v>0.17893653798527936</v>
          </cell>
          <cell r="AU65">
            <v>0.17795153533358599</v>
          </cell>
          <cell r="AV65">
            <v>0.17698905530268524</v>
          </cell>
          <cell r="AW65">
            <v>0.17604854323597827</v>
          </cell>
          <cell r="AX65">
            <v>0.17512945892664264</v>
          </cell>
          <cell r="AY65">
            <v>0.17423127625073118</v>
          </cell>
          <cell r="AZ65">
            <v>0.17335348280720755</v>
          </cell>
          <cell r="BA65">
            <v>0.17249557956498743</v>
          </cell>
          <cell r="BB65">
            <v>0.17165708051704132</v>
          </cell>
          <cell r="BC65">
            <v>0.17083751234159353</v>
          </cell>
          <cell r="BD65">
            <v>0.1700364140704401</v>
          </cell>
          <cell r="BE65">
            <v>0.16925333676439022</v>
          </cell>
          <cell r="BF65">
            <v>0.16848784319582455</v>
          </cell>
          <cell r="BG65">
            <v>0.16773950753834907</v>
          </cell>
          <cell r="BH65">
            <v>0.16700791506351359</v>
          </cell>
          <cell r="BI65">
            <v>0.16629266184454988</v>
          </cell>
          <cell r="BJ65">
            <v>0.16559335446707812</v>
          </cell>
          <cell r="BK65">
            <v>0.16490960974671851</v>
          </cell>
          <cell r="BL65">
            <v>0.1642410544535377</v>
          </cell>
          <cell r="BM65">
            <v>0.16358732504325252</v>
          </cell>
          <cell r="BN65">
            <v>0.16294806739510581</v>
          </cell>
          <cell r="BO65">
            <v>0.16232293655632418</v>
          </cell>
          <cell r="BP65">
            <v>0.16171159649306163</v>
          </cell>
          <cell r="BQ65">
            <v>0.16111371984772779</v>
          </cell>
          <cell r="BR65">
            <v>0.16052898770259724</v>
          </cell>
          <cell r="BS65">
            <v>0.15995708934959013</v>
          </cell>
          <cell r="BT65">
            <v>0.1593977220661143</v>
          </cell>
          <cell r="BU65">
            <v>0.15885059089685388</v>
          </cell>
          <cell r="BV65">
            <v>0.15831540844138944</v>
          </cell>
          <cell r="BW65">
            <v>0.1577918946475321</v>
          </cell>
          <cell r="BX65">
            <v>0.15727977661025205</v>
          </cell>
          <cell r="BY65">
            <v>0.15677878837608383</v>
          </cell>
          <cell r="BZ65">
            <v>0.15628867075288622</v>
          </cell>
          <cell r="CA65">
            <v>0.15580917112483814</v>
          </cell>
          <cell r="CB65">
            <v>0.15534004327254977</v>
          </cell>
          <cell r="CC65">
            <v>0.15488104719816881</v>
          </cell>
          <cell r="CD65">
            <v>0.15443194895536311</v>
          </cell>
          <cell r="CE65">
            <v>0.15399252048406123</v>
          </cell>
          <cell r="CF65">
            <v>0.1535625394498325</v>
          </cell>
          <cell r="CG65">
            <v>0.15314178908779177</v>
          </cell>
          <cell r="CH65">
            <v>0.1527300580509123</v>
          </cell>
          <cell r="CI65">
            <v>0.15232714026263428</v>
          </cell>
          <cell r="CJ65">
            <v>0.15193283477365574</v>
          </cell>
          <cell r="CK65">
            <v>0.15154694562279694</v>
          </cell>
          <cell r="CL65">
            <v>0.15116928170182833</v>
          </cell>
          <cell r="CM65">
            <v>0.1507996566241557</v>
          </cell>
          <cell r="CN65">
            <v>0.15043788859725782</v>
          </cell>
          <cell r="CO65">
            <v>0.15008380029877344</v>
          </cell>
          <cell r="CP65">
            <v>0.14973721875613666</v>
          </cell>
          <cell r="CQ65">
            <v>0.14939797522966172</v>
          </cell>
          <cell r="CR65">
            <v>0.14906590509898096</v>
          </cell>
          <cell r="CS65">
            <v>0.14874084775274041</v>
          </cell>
          <cell r="CT65">
            <v>0.14842264648146111</v>
          </cell>
          <cell r="CU65">
            <v>0.14811114837347514</v>
          </cell>
          <cell r="CV65">
            <v>0.14780620421384874</v>
          </cell>
          <cell r="CW65">
            <v>0.1475076683862053</v>
          </cell>
          <cell r="CX65">
            <v>0.14721539877736492</v>
          </cell>
          <cell r="CY65">
            <v>0.14692925668471865</v>
          </cell>
          <cell r="CZ65">
            <v>0.1466491067262562</v>
          </cell>
          <cell r="DA65">
            <v>0.14637481675317099</v>
          </cell>
          <cell r="DB65">
            <v>0.14610625776496539</v>
          </cell>
          <cell r="DC65">
            <v>0.14584330382698293</v>
          </cell>
          <cell r="DD65">
            <v>0.14558583199029582</v>
          </cell>
          <cell r="DE65">
            <v>0.14533372221387716</v>
          </cell>
          <cell r="DF65">
            <v>0.14508685728899096</v>
          </cell>
          <cell r="DG65">
            <v>0.1448451227657328</v>
          </cell>
          <cell r="DH65">
            <v>0.14460840688165799</v>
          </cell>
          <cell r="DI65">
            <v>0.14437660049243428</v>
          </cell>
          <cell r="DJ65">
            <v>0.1441495970044584</v>
          </cell>
          <cell r="DK65">
            <v>0.14392729230937809</v>
          </cell>
          <cell r="DL65">
            <v>0.14370958472046241</v>
          </cell>
          <cell r="DM65">
            <v>0.14349637491076431</v>
          </cell>
          <cell r="DN65">
            <v>0.14328756585302257</v>
          </cell>
          <cell r="DO65">
            <v>0.14308306276124996</v>
          </cell>
          <cell r="DP65">
            <v>0.1428827730339578</v>
          </cell>
          <cell r="DQ65">
            <v>0.14268660619896709</v>
          </cell>
          <cell r="DR65">
            <v>0.14249447385975894</v>
          </cell>
          <cell r="DS65">
            <v>0.14230628964331796</v>
          </cell>
          <cell r="DT65">
            <v>0.14212196914942385</v>
          </cell>
          <cell r="DU65">
            <v>0.14194142990134764</v>
          </cell>
          <cell r="DV65">
            <v>0.14176459129791016</v>
          </cell>
          <cell r="DW65">
            <v>0.14159137456686305</v>
          </cell>
          <cell r="DX65">
            <v>0.14142170271955087</v>
          </cell>
          <cell r="DY65">
            <v>0.1412555005068179</v>
          </cell>
          <cell r="DZ65">
            <v>0.14109269437612099</v>
          </cell>
          <cell r="EA65">
            <v>0.14093321242981305</v>
          </cell>
          <cell r="EB65">
            <v>0.14077698438456243</v>
          </cell>
          <cell r="EC65">
            <v>0.14062394153187405</v>
          </cell>
          <cell r="ED65">
            <v>0.14047401669967952</v>
          </cell>
          <cell r="EE65">
            <v>0.14032714421496462</v>
          </cell>
          <cell r="EF65">
            <v>0.14018325986740349</v>
          </cell>
          <cell r="EG65">
            <v>0.14004230087396946</v>
          </cell>
          <cell r="EH65">
            <v>0.13990420584449395</v>
          </cell>
          <cell r="EI65">
            <v>0.1397689147481451</v>
          </cell>
          <cell r="EJ65">
            <v>0.13963636888079953</v>
          </cell>
          <cell r="EK65">
            <v>0.1395065108332805</v>
          </cell>
          <cell r="EL65">
            <v>0.13937928446043768</v>
          </cell>
          <cell r="EM65">
            <v>0.139254634851043</v>
          </cell>
          <cell r="EN65">
            <v>0.13913250829847973</v>
          </cell>
          <cell r="EO65">
            <v>0.13901285227220092</v>
          </cell>
          <cell r="EP65">
            <v>0.13889561538993522</v>
          </cell>
          <cell r="EQ65">
            <v>0.13878074739061855</v>
          </cell>
          <cell r="ER65">
            <v>0.13866819910802972</v>
          </cell>
          <cell r="ES65">
            <v>0.13855792244511125</v>
          </cell>
          <cell r="ET65">
            <v>0.13844987034895379</v>
          </cell>
          <cell r="EU65">
            <v>0.13834399678642675</v>
          </cell>
          <cell r="EV65">
            <v>0.13824025672043547</v>
          </cell>
          <cell r="EW65">
            <v>0.13813860608678777</v>
          </cell>
          <cell r="EX65">
            <v>0.13803900177165165</v>
          </cell>
          <cell r="EY65">
            <v>0.13794140158958842</v>
          </cell>
          <cell r="EZ65">
            <v>0.13784576426214426</v>
          </cell>
          <cell r="FA65">
            <v>0.13775204939698407</v>
          </cell>
          <cell r="FB65">
            <v>0.13766021746755366</v>
          </cell>
          <cell r="FC65">
            <v>0.13757022979325367</v>
          </cell>
          <cell r="FD65">
            <v>0.13748204852011214</v>
          </cell>
          <cell r="FE65">
            <v>0.13739563660194151</v>
          </cell>
          <cell r="FF65">
            <v>0.13731095778196636</v>
          </cell>
          <cell r="FG65">
            <v>0.13722797657490837</v>
          </cell>
          <cell r="FH65">
            <v>0.13714665824951724</v>
          </cell>
          <cell r="FI65">
            <v>0.13706696881153332</v>
          </cell>
          <cell r="FJ65">
            <v>0.13698887498707185</v>
          </cell>
          <cell r="FK65">
            <v>0.13691234420641593</v>
          </cell>
          <cell r="FL65">
            <v>0.13683734458820759</v>
          </cell>
          <cell r="FM65">
            <v>0.13676384492402627</v>
          </cell>
          <cell r="FN65">
            <v>0.13669181466334346</v>
          </cell>
          <cell r="FO65">
            <v>0.13662122389884418</v>
          </cell>
          <cell r="FP65">
            <v>0.13655204335210441</v>
          </cell>
          <cell r="FQ65">
            <v>0.13648424435961584</v>
          </cell>
          <cell r="FR65">
            <v>0.1364177988591477</v>
          </cell>
          <cell r="FS65">
            <v>0.13635267937643736</v>
          </cell>
          <cell r="FT65">
            <v>0.13628885901220042</v>
          </cell>
          <cell r="FU65">
            <v>0.13622631142945194</v>
          </cell>
          <cell r="FV65">
            <v>0.13616501084113058</v>
          </cell>
          <cell r="FW65">
            <v>0.13610493199801763</v>
          </cell>
          <cell r="FX65">
            <v>0.13604605017694288</v>
          </cell>
          <cell r="FY65">
            <v>0.13598834116927055</v>
          </cell>
          <cell r="FZ65">
            <v>0.13593178126965644</v>
          </cell>
          <cell r="GA65">
            <v>0.13587634726507108</v>
          </cell>
          <cell r="GB65">
            <v>0.13582201642408037</v>
          </cell>
          <cell r="GC65">
            <v>0.13576876648637795</v>
          </cell>
          <cell r="GD65">
            <v>0.13571657565256243</v>
          </cell>
          <cell r="GE65">
            <v>0.13566542257415284</v>
          </cell>
          <cell r="GF65">
            <v>0.13561528634383707</v>
          </cell>
          <cell r="GG65">
            <v>0.13556614648594628</v>
          </cell>
          <cell r="GH65">
            <v>0.13551798294715017</v>
          </cell>
          <cell r="GI65">
            <v>0.13547077608736718</v>
          </cell>
          <cell r="GJ65">
            <v>0.1354245066708844</v>
          </cell>
          <cell r="GK65">
            <v>0.13537915585768134</v>
          </cell>
          <cell r="GL65">
            <v>0.13533470519495319</v>
          </cell>
          <cell r="GM65">
            <v>0.13529113660882786</v>
          </cell>
          <cell r="GN65">
            <v>0.13524843239627207</v>
          </cell>
          <cell r="GO65">
            <v>0.13520657521718224</v>
          </cell>
          <cell r="GP65">
            <v>0.13516554808665476</v>
          </cell>
          <cell r="GQ65">
            <v>0.13512533436743177</v>
          </cell>
          <cell r="GR65">
            <v>0.13508591776251808</v>
          </cell>
          <cell r="GS65">
            <v>0.13504728230796442</v>
          </cell>
          <cell r="GT65">
            <v>0.13500941236581371</v>
          </cell>
          <cell r="GU65">
            <v>0.13497229261720553</v>
          </cell>
          <cell r="GV65">
            <v>0.13493590805563577</v>
          </cell>
          <cell r="GW65">
            <v>0.13490024398036679</v>
          </cell>
          <cell r="GX65">
            <v>0.13486528598998496</v>
          </cell>
          <cell r="GY65">
            <v>0.13483101997610195</v>
          </cell>
          <cell r="GZ65">
            <v>0.13479743211719614</v>
          </cell>
          <cell r="HA65">
            <v>0.13476450887259064</v>
          </cell>
          <cell r="HB65">
            <v>0.134732236976565</v>
          </cell>
          <cell r="HC65">
            <v>0.13470060343259713</v>
          </cell>
          <cell r="HD65">
            <v>0.13466959550773208</v>
          </cell>
          <cell r="HE65">
            <v>0.13463920072707541</v>
          </cell>
          <cell r="HF65">
            <v>0.13460940686840731</v>
          </cell>
          <cell r="HG65">
            <v>0.13458020195691495</v>
          </cell>
          <cell r="HH65">
            <v>0.13455157426004041</v>
          </cell>
          <cell r="HI65">
            <v>0.13452351228244144</v>
          </cell>
          <cell r="HJ65">
            <v>0.13449600476106183</v>
          </cell>
          <cell r="HK65">
            <v>0.13446904066030951</v>
          </cell>
          <cell r="HL65">
            <v>0.13444260916733974</v>
          </cell>
          <cell r="HM65">
            <v>0.13441669968744027</v>
          </cell>
          <cell r="HN65">
            <v>0.13439130183951706</v>
          </cell>
          <cell r="HO65">
            <v>0.13436640545167733</v>
          </cell>
          <cell r="HP65">
            <v>0.1343420005569084</v>
          </cell>
          <cell r="HQ65">
            <v>0.13431807738884946</v>
          </cell>
          <cell r="HR65">
            <v>0.13429462637765477</v>
          </cell>
          <cell r="HS65">
            <v>0.13427163814594545</v>
          </cell>
          <cell r="HT65">
            <v>0.13424910350484864</v>
          </cell>
          <cell r="HU65">
            <v>0.13422701345012109</v>
          </cell>
          <cell r="HV65">
            <v>0.13420535915835619</v>
          </cell>
          <cell r="HW65">
            <v>0.13418413198327175</v>
          </cell>
          <cell r="HX65">
            <v>0.13416332345207746</v>
          </cell>
          <cell r="HY65">
            <v>0.13414292526191907</v>
          </cell>
          <cell r="HZ65">
            <v>0.13412292927639899</v>
          </cell>
          <cell r="IA65">
            <v>0.13410332752217041</v>
          </cell>
          <cell r="IB65">
            <v>0.13408411218560379</v>
          </cell>
          <cell r="IC65">
            <v>0.13406527560952416</v>
          </cell>
          <cell r="ID65">
            <v>0.13404681029001722</v>
          </cell>
          <cell r="IE65">
            <v>0.13402870887330318</v>
          </cell>
          <cell r="IF65">
            <v>0.13401096415267649</v>
          </cell>
          <cell r="IG65">
            <v>0.13399356906551022</v>
          </cell>
          <cell r="IH65">
            <v>0.13397651669032323</v>
          </cell>
          <cell r="II65">
            <v>0.13395980024390944</v>
          </cell>
          <cell r="IJ65">
            <v>0.13394341307852695</v>
          </cell>
          <cell r="IK65">
            <v>0.13392734867914657</v>
          </cell>
          <cell r="IL65">
            <v>0.13391160066075769</v>
          </cell>
          <cell r="IM65">
            <v>0.13389616276573069</v>
          </cell>
          <cell r="IN65">
            <v>0.13388102886123437</v>
          </cell>
          <cell r="IO65">
            <v>0.13386619293670754</v>
          </cell>
          <cell r="IP65">
            <v>0.133851649101383</v>
          </cell>
          <cell r="IQ65">
            <v>0.13383739158186361</v>
          </cell>
          <cell r="IR65">
            <v>0.13382341471974821</v>
          </cell>
        </row>
        <row r="66">
          <cell r="B66" t="str">
            <v>Net operating assets</v>
          </cell>
          <cell r="C66">
            <v>36516.49101442613</v>
          </cell>
          <cell r="D66">
            <v>37616.404760159348</v>
          </cell>
          <cell r="E66">
            <v>38103.179093634237</v>
          </cell>
          <cell r="F66">
            <v>37901.314857517107</v>
          </cell>
          <cell r="G66">
            <v>37694.096912334942</v>
          </cell>
          <cell r="H66">
            <v>37629.412250723813</v>
          </cell>
          <cell r="I66">
            <v>37742.193212473743</v>
          </cell>
          <cell r="J66">
            <v>37604.065518521857</v>
          </cell>
          <cell r="K66">
            <v>37515.438754675793</v>
          </cell>
          <cell r="L66">
            <v>37466.733683656072</v>
          </cell>
          <cell r="M66">
            <v>40131.898636217629</v>
          </cell>
          <cell r="N66">
            <v>41319.441437867987</v>
          </cell>
          <cell r="O66">
            <v>42414.924345606043</v>
          </cell>
          <cell r="P66">
            <v>43410.24656788374</v>
          </cell>
          <cell r="Q66">
            <v>44426.054248664383</v>
          </cell>
          <cell r="R66">
            <v>47485.499883345685</v>
          </cell>
          <cell r="S66">
            <v>48831.4436275107</v>
          </cell>
          <cell r="T66">
            <v>50208.840461209955</v>
          </cell>
          <cell r="U66">
            <v>51618.274011975889</v>
          </cell>
          <cell r="V66">
            <v>53060.338622333416</v>
          </cell>
          <cell r="W66">
            <v>54535.63964063437</v>
          </cell>
          <cell r="X66">
            <v>56044.793716090862</v>
          </cell>
          <cell r="Y66">
            <v>57588.42909796301</v>
          </cell>
          <cell r="Z66">
            <v>59167.185938871451</v>
          </cell>
          <cell r="AA66">
            <v>60781.716602219058</v>
          </cell>
          <cell r="AB66">
            <v>62432.685973720858</v>
          </cell>
          <cell r="AC66">
            <v>64120.771777054069</v>
          </cell>
          <cell r="AD66">
            <v>65846.664893654277</v>
          </cell>
          <cell r="AE66">
            <v>67611.069686695802</v>
          </cell>
          <cell r="AF66">
            <v>69414.704329307351</v>
          </cell>
          <cell r="AG66">
            <v>71258.301137085291</v>
          </cell>
          <cell r="AH66">
            <v>73142.606904978456</v>
          </cell>
          <cell r="AI66">
            <v>75068.383248629209</v>
          </cell>
          <cell r="AJ66">
            <v>77036.40695026546</v>
          </cell>
          <cell r="AK66">
            <v>79047.470309248485</v>
          </cell>
          <cell r="AL66">
            <v>81102.381497390146</v>
          </cell>
          <cell r="AM66">
            <v>83201.96491916191</v>
          </cell>
          <cell r="AN66">
            <v>85347.061576926542</v>
          </cell>
          <cell r="AO66">
            <v>87538.529441330698</v>
          </cell>
          <cell r="AP66">
            <v>89777.243827003957</v>
          </cell>
          <cell r="AQ66">
            <v>92064.097773716989</v>
          </cell>
          <cell r="AR66">
            <v>94400.002433157424</v>
          </cell>
          <cell r="AS66">
            <v>96785.887461488674</v>
          </cell>
          <cell r="AT66">
            <v>99222.701417861826</v>
          </cell>
          <cell r="AU66">
            <v>101711.4121690569</v>
          </cell>
          <cell r="AV66">
            <v>104253.00730043431</v>
          </cell>
          <cell r="AW66">
            <v>106848.49453338243</v>
          </cell>
          <cell r="AX66">
            <v>109498.90214945049</v>
          </cell>
          <cell r="AY66">
            <v>112205.27942136314</v>
          </cell>
          <cell r="AZ66">
            <v>114968.69705111325</v>
          </cell>
          <cell r="BA66">
            <v>117790.24761533688</v>
          </cell>
          <cell r="BB66">
            <v>120671.04601817532</v>
          </cell>
          <cell r="BC66">
            <v>123612.22995183543</v>
          </cell>
          <cell r="BD66">
            <v>126614.96036505977</v>
          </cell>
          <cell r="BE66">
            <v>129680.42193972482</v>
          </cell>
          <cell r="BF66">
            <v>132809.82357578576</v>
          </cell>
          <cell r="BG66">
            <v>136004.39888479223</v>
          </cell>
          <cell r="BH66">
            <v>139265.40669220022</v>
          </cell>
          <cell r="BI66">
            <v>142594.13154871087</v>
          </cell>
          <cell r="BJ66">
            <v>145991.88425086762</v>
          </cell>
          <cell r="BK66">
            <v>149460.0023711489</v>
          </cell>
          <cell r="BL66">
            <v>152999.85079779421</v>
          </cell>
          <cell r="BM66">
            <v>156612.82228460687</v>
          </cell>
          <cell r="BN66">
            <v>160300.33801097819</v>
          </cell>
          <cell r="BO66">
            <v>164063.84815238303</v>
          </cell>
          <cell r="BP66">
            <v>167904.83246159705</v>
          </cell>
          <cell r="BQ66">
            <v>171824.80086089409</v>
          </cell>
          <cell r="BR66">
            <v>175825.29404547959</v>
          </cell>
          <cell r="BS66">
            <v>179907.88409842603</v>
          </cell>
          <cell r="BT66">
            <v>184074.17511737416</v>
          </cell>
          <cell r="BU66">
            <v>188325.80385327208</v>
          </cell>
          <cell r="BV66">
            <v>192664.44036142557</v>
          </cell>
          <cell r="BW66">
            <v>197091.7886651372</v>
          </cell>
          <cell r="BX66">
            <v>201609.58743221813</v>
          </cell>
          <cell r="BY66">
            <v>206219.61066465714</v>
          </cell>
          <cell r="BZ66">
            <v>210923.66840173895</v>
          </cell>
          <cell r="CA66">
            <v>215723.60743690684</v>
          </cell>
          <cell r="CB66">
            <v>220621.31204866877</v>
          </cell>
          <cell r="CC66">
            <v>225618.7047458532</v>
          </cell>
          <cell r="CD66">
            <v>230717.74702752204</v>
          </cell>
          <cell r="CE66">
            <v>235920.44015785705</v>
          </cell>
          <cell r="CF66">
            <v>241228.82595633832</v>
          </cell>
          <cell r="CG66">
            <v>246644.98760354053</v>
          </cell>
          <cell r="CH66">
            <v>252171.05046287674</v>
          </cell>
          <cell r="CI66">
            <v>257809.18291862609</v>
          </cell>
          <cell r="CJ66">
            <v>263561.59723058739</v>
          </cell>
          <cell r="CK66">
            <v>269430.5504057064</v>
          </cell>
          <cell r="CL66">
            <v>275418.34508702962</v>
          </cell>
          <cell r="CM66">
            <v>281527.33046034625</v>
          </cell>
          <cell r="CN66">
            <v>287759.90317888319</v>
          </cell>
          <cell r="CO66">
            <v>294118.5083064271</v>
          </cell>
          <cell r="CP66">
            <v>300605.64027925272</v>
          </cell>
          <cell r="CQ66">
            <v>307223.84388724423</v>
          </cell>
          <cell r="CR66">
            <v>313975.71527460346</v>
          </cell>
          <cell r="CS66">
            <v>320863.90296054521</v>
          </cell>
          <cell r="CT66">
            <v>327891.10888038907</v>
          </cell>
          <cell r="CU66">
            <v>335060.08944746293</v>
          </cell>
          <cell r="CV66">
            <v>342373.65663624171</v>
          </cell>
          <cell r="CW66">
            <v>349834.6790871534</v>
          </cell>
          <cell r="CX66">
            <v>357446.08323349297</v>
          </cell>
          <cell r="CY66">
            <v>365210.85445088992</v>
          </cell>
          <cell r="CZ66">
            <v>373132.03822978894</v>
          </cell>
          <cell r="DA66">
            <v>381212.74137140682</v>
          </cell>
          <cell r="DB66">
            <v>389456.13320764183</v>
          </cell>
          <cell r="DC66">
            <v>397865.4468454172</v>
          </cell>
          <cell r="DD66">
            <v>406443.98043595243</v>
          </cell>
          <cell r="DE66">
            <v>415195.09846946487</v>
          </cell>
          <cell r="DF66">
            <v>424122.23309581249</v>
          </cell>
          <cell r="DG66">
            <v>433228.88547160139</v>
          </cell>
          <cell r="DH66">
            <v>442518.6271342886</v>
          </cell>
          <cell r="DI66">
            <v>451995.10140382365</v>
          </cell>
          <cell r="DJ66">
            <v>461662.02481238067</v>
          </cell>
          <cell r="DK66">
            <v>471523.18856274785</v>
          </cell>
          <cell r="DL66">
            <v>481582.46001594531</v>
          </cell>
          <cell r="DM66">
            <v>491843.78420866129</v>
          </cell>
          <cell r="DN66">
            <v>502311.18540110136</v>
          </cell>
          <cell r="DO66">
            <v>512988.76865586295</v>
          </cell>
          <cell r="DP66">
            <v>523880.72144845518</v>
          </cell>
          <cell r="DQ66">
            <v>534991.31531009811</v>
          </cell>
          <cell r="DR66">
            <v>546324.90750344819</v>
          </cell>
          <cell r="DS66">
            <v>557885.94273190922</v>
          </cell>
          <cell r="DT66">
            <v>569678.9548832007</v>
          </cell>
          <cell r="DU66">
            <v>581708.56880786864</v>
          </cell>
          <cell r="DV66">
            <v>593979.50213344034</v>
          </cell>
          <cell r="DW66">
            <v>606496.56711493293</v>
          </cell>
          <cell r="DX66">
            <v>619264.67252244556</v>
          </cell>
          <cell r="DY66">
            <v>632288.82556657575</v>
          </cell>
          <cell r="DZ66">
            <v>645574.13386241638</v>
          </cell>
          <cell r="EA66">
            <v>659125.80743290565</v>
          </cell>
          <cell r="EB66">
            <v>672949.16075231542</v>
          </cell>
          <cell r="EC66">
            <v>687049.61483068194</v>
          </cell>
          <cell r="ED66">
            <v>701432.69933999679</v>
          </cell>
          <cell r="EE66">
            <v>716104.05478299281</v>
          </cell>
          <cell r="EF66">
            <v>731069.43470537639</v>
          </cell>
          <cell r="EG66">
            <v>746334.70795237622</v>
          </cell>
          <cell r="EH66">
            <v>761905.86097049061</v>
          </cell>
          <cell r="EI66">
            <v>777789.00015534123</v>
          </cell>
          <cell r="EJ66">
            <v>793990.35424655222</v>
          </cell>
          <cell r="EK66">
            <v>810516.2767705943</v>
          </cell>
          <cell r="EL66">
            <v>827373.24853255448</v>
          </cell>
          <cell r="EM66">
            <v>844567.88015780761</v>
          </cell>
          <cell r="EN66">
            <v>862106.91468458681</v>
          </cell>
          <cell r="EO66">
            <v>879997.23020847212</v>
          </cell>
          <cell r="EP66">
            <v>898245.84257983335</v>
          </cell>
          <cell r="EQ66">
            <v>916859.90815528459</v>
          </cell>
          <cell r="ER66">
            <v>935846.72660423315</v>
          </cell>
          <cell r="ES66">
            <v>955213.74377161986</v>
          </cell>
          <cell r="ET66">
            <v>974968.55459797801</v>
          </cell>
          <cell r="EU66">
            <v>995118.90609795204</v>
          </cell>
          <cell r="EV66">
            <v>1015672.700398449</v>
          </cell>
          <cell r="EW66">
            <v>1036637.9978376095</v>
          </cell>
          <cell r="EX66">
            <v>1058023.020125821</v>
          </cell>
          <cell r="EY66">
            <v>1079836.1535700033</v>
          </cell>
          <cell r="EZ66">
            <v>1102085.9523624417</v>
          </cell>
          <cell r="FA66">
            <v>1124781.1419354496</v>
          </cell>
          <cell r="FB66">
            <v>1147930.6223831805</v>
          </cell>
          <cell r="FC66">
            <v>1171543.4719519315</v>
          </cell>
          <cell r="FD66">
            <v>1195628.9506003046</v>
          </cell>
          <cell r="FE66">
            <v>1220196.503630626</v>
          </cell>
          <cell r="FF66">
            <v>1245255.7653930432</v>
          </cell>
          <cell r="FG66">
            <v>1270816.5630637577</v>
          </cell>
          <cell r="FH66">
            <v>1296888.9204988708</v>
          </cell>
          <cell r="FI66">
            <v>1323483.0621653562</v>
          </cell>
          <cell r="FJ66">
            <v>1350609.4171507019</v>
          </cell>
          <cell r="FK66">
            <v>1378278.6232527909</v>
          </cell>
          <cell r="FL66">
            <v>1406501.5311516279</v>
          </cell>
          <cell r="FM66">
            <v>1435289.2086645463</v>
          </cell>
          <cell r="FN66">
            <v>1464652.9450865653</v>
          </cell>
          <cell r="FO66">
            <v>1494604.2556175981</v>
          </cell>
          <cell r="FP66">
            <v>1525154.8858782502</v>
          </cell>
          <cell r="FQ66">
            <v>1556316.8165159735</v>
          </cell>
          <cell r="FR66">
            <v>1588102.2679033896</v>
          </cell>
          <cell r="FS66">
            <v>1620523.7049306193</v>
          </cell>
          <cell r="FT66">
            <v>1653593.8418935006</v>
          </cell>
          <cell r="FU66">
            <v>1687325.6474796101</v>
          </cell>
          <cell r="FV66">
            <v>1721732.3498540467</v>
          </cell>
          <cell r="FW66">
            <v>1756827.4418469674</v>
          </cell>
          <cell r="FX66">
            <v>1792624.6862449152</v>
          </cell>
          <cell r="FY66">
            <v>1829138.1211880066</v>
          </cell>
          <cell r="FZ66">
            <v>1866382.0656751043</v>
          </cell>
          <cell r="GA66">
            <v>1904371.1251791269</v>
          </cell>
          <cell r="GB66">
            <v>1943120.1973747017</v>
          </cell>
          <cell r="GC66">
            <v>1982644.4779804053</v>
          </cell>
          <cell r="GD66">
            <v>2022959.4667178814</v>
          </cell>
          <cell r="GE66">
            <v>2064080.9733901774</v>
          </cell>
          <cell r="GF66">
            <v>2106025.1240816801</v>
          </cell>
          <cell r="GG66">
            <v>2148808.3674820811</v>
          </cell>
          <cell r="GH66">
            <v>2192447.4813368549</v>
          </cell>
          <cell r="GI66">
            <v>2236959.5790267778</v>
          </cell>
          <cell r="GJ66">
            <v>2282362.1162790661</v>
          </cell>
          <cell r="GK66">
            <v>2328672.8980127708</v>
          </cell>
          <cell r="GL66">
            <v>2375910.0853211051</v>
          </cell>
          <cell r="GM66">
            <v>2424092.2025934523</v>
          </cell>
          <cell r="GN66">
            <v>2473238.1447798377</v>
          </cell>
          <cell r="GO66">
            <v>2523367.1848007236</v>
          </cell>
          <cell r="GP66">
            <v>2574498.9811050179</v>
          </cell>
          <cell r="GQ66">
            <v>2626653.5853792853</v>
          </cell>
          <cell r="GR66">
            <v>2679851.4504111516</v>
          </cell>
          <cell r="GS66">
            <v>2734113.4381100154</v>
          </cell>
          <cell r="GT66">
            <v>2789460.8276881925</v>
          </cell>
          <cell r="GU66">
            <v>2845915.3240057109</v>
          </cell>
          <cell r="GV66">
            <v>2903499.0660820249</v>
          </cell>
          <cell r="GW66">
            <v>2962234.6357779899</v>
          </cell>
          <cell r="GX66">
            <v>3022145.0666514938</v>
          </cell>
          <cell r="GY66">
            <v>3083253.8529902352</v>
          </cell>
          <cell r="GZ66">
            <v>3145584.9590251683</v>
          </cell>
          <cell r="HA66">
            <v>3209162.8283282463</v>
          </cell>
          <cell r="HB66">
            <v>3274012.3933981401</v>
          </cell>
          <cell r="HC66">
            <v>3340159.085437688</v>
          </cell>
          <cell r="HD66">
            <v>3407628.8443269245</v>
          </cell>
          <cell r="HE66">
            <v>3476448.1287955823</v>
          </cell>
          <cell r="HF66">
            <v>3546643.9267990673</v>
          </cell>
          <cell r="HG66">
            <v>3618243.7661019741</v>
          </cell>
          <cell r="HH66">
            <v>3691275.7250732896</v>
          </cell>
          <cell r="HI66">
            <v>3765768.4436975215</v>
          </cell>
          <cell r="HJ66">
            <v>3841751.134806063</v>
          </cell>
          <cell r="HK66">
            <v>3919253.595533214</v>
          </cell>
          <cell r="HL66">
            <v>3998306.2190013253</v>
          </cell>
          <cell r="HM66">
            <v>4078940.0062396796</v>
          </cell>
          <cell r="HN66">
            <v>4161186.5783417532</v>
          </cell>
          <cell r="HO66">
            <v>4245078.1888656532</v>
          </cell>
          <cell r="HP66">
            <v>4330647.7364825644</v>
          </cell>
          <cell r="HQ66">
            <v>4417928.7778781988</v>
          </cell>
          <cell r="HR66">
            <v>4506955.5409122752</v>
          </cell>
          <cell r="HS66">
            <v>4597762.9380412167</v>
          </cell>
          <cell r="HT66">
            <v>4690386.5800093049</v>
          </cell>
          <cell r="HU66">
            <v>4784862.7898136834</v>
          </cell>
          <cell r="HV66">
            <v>4881228.6169486661</v>
          </cell>
          <cell r="HW66">
            <v>4979521.8519349601</v>
          </cell>
          <cell r="HX66">
            <v>5079781.0411394695</v>
          </cell>
          <cell r="HY66">
            <v>5182045.5018915264</v>
          </cell>
          <cell r="HZ66">
            <v>5286355.337901446</v>
          </cell>
          <cell r="IA66">
            <v>5392751.4549874756</v>
          </cell>
          <cell r="IB66">
            <v>5501275.5771172941</v>
          </cell>
          <cell r="IC66">
            <v>5611970.2627703492</v>
          </cell>
          <cell r="ID66">
            <v>5724878.92162746</v>
          </cell>
          <cell r="IE66">
            <v>5840045.8315942232</v>
          </cell>
          <cell r="IF66">
            <v>5957516.1561648948</v>
          </cell>
          <cell r="IG66">
            <v>6077335.9621335668</v>
          </cell>
          <cell r="IH66">
            <v>6199552.2376595801</v>
          </cell>
          <cell r="II66">
            <v>6324212.9106942452</v>
          </cell>
          <cell r="IJ66">
            <v>6451366.8677761303</v>
          </cell>
          <cell r="IK66">
            <v>6581063.9732022407</v>
          </cell>
          <cell r="IL66">
            <v>6713355.0885826554</v>
          </cell>
          <cell r="IM66">
            <v>6848292.0927862506</v>
          </cell>
          <cell r="IN66">
            <v>6985927.9022853598</v>
          </cell>
          <cell r="IO66">
            <v>7126316.4919073237</v>
          </cell>
          <cell r="IP66">
            <v>7269512.9160011001</v>
          </cell>
          <cell r="IQ66">
            <v>7415573.3300271938</v>
          </cell>
        </row>
        <row r="67">
          <cell r="B67" t="str">
            <v>RNOA</v>
          </cell>
          <cell r="C67">
            <v>0.14690329462766225</v>
          </cell>
          <cell r="D67">
            <v>0.16895448701633389</v>
          </cell>
          <cell r="E67">
            <v>0.17061644872445059</v>
          </cell>
          <cell r="F67">
            <v>0.17936373079249104</v>
          </cell>
          <cell r="G67">
            <v>0.18330954719711687</v>
          </cell>
          <cell r="H67">
            <v>0.18879522203303012</v>
          </cell>
          <cell r="I67">
            <v>0.19746829116490516</v>
          </cell>
          <cell r="J67">
            <v>0.20746275365394537</v>
          </cell>
          <cell r="K67">
            <v>0.21635421147072173</v>
          </cell>
          <cell r="L67">
            <v>0.22356293121979609</v>
          </cell>
          <cell r="M67">
            <v>0.22365624390111891</v>
          </cell>
          <cell r="N67">
            <v>0.21888302990964284</v>
          </cell>
          <cell r="O67">
            <v>0.21695449513543816</v>
          </cell>
          <cell r="P67">
            <v>0.21527122112299421</v>
          </cell>
          <cell r="Q67">
            <v>0.21381551032784024</v>
          </cell>
          <cell r="R67">
            <v>0.21075580076106756</v>
          </cell>
          <cell r="S67">
            <v>0.20233132876792315</v>
          </cell>
          <cell r="T67">
            <v>0.19895950368065871</v>
          </cell>
          <cell r="U67">
            <v>0.19569604564810836</v>
          </cell>
          <cell r="V67">
            <v>0.1925369727897335</v>
          </cell>
          <cell r="W67">
            <v>0.18947846260999376</v>
          </cell>
          <cell r="X67">
            <v>0.18651684542836997</v>
          </cell>
          <cell r="Y67">
            <v>0.18364859807256176</v>
          </cell>
          <cell r="Z67">
            <v>0.18087033782528042</v>
          </cell>
          <cell r="AA67">
            <v>0.17817881661534937</v>
          </cell>
          <cell r="AB67">
            <v>0.17557091544411332</v>
          </cell>
          <cell r="AC67">
            <v>0.17304363903843326</v>
          </cell>
          <cell r="AD67">
            <v>0.1705941107218161</v>
          </cell>
          <cell r="AE67">
            <v>0.16821956749549141</v>
          </cell>
          <cell r="AF67">
            <v>0.1659173553215029</v>
          </cell>
          <cell r="AG67">
            <v>0.16368492460013481</v>
          </cell>
          <cell r="AH67">
            <v>0.16151982583423605</v>
          </cell>
          <cell r="AI67">
            <v>0.15941970547324519</v>
          </cell>
          <cell r="AJ67">
            <v>0.15738230192995148</v>
          </cell>
          <cell r="AK67">
            <v>0.15540544176325607</v>
          </cell>
          <cell r="AL67">
            <v>0.15348703602041891</v>
          </cell>
          <cell r="AM67">
            <v>0.15162507673249606</v>
          </cell>
          <cell r="AN67">
            <v>0.14981763355688368</v>
          </cell>
          <cell r="AO67">
            <v>0.14806285056109283</v>
          </cell>
          <cell r="AP67">
            <v>0.14635894314208203</v>
          </cell>
          <cell r="AQ67">
            <v>0.14470419507567317</v>
          </cell>
          <cell r="AR67">
            <v>0.14309695569076783</v>
          </cell>
          <cell r="AS67">
            <v>0.14153563716327167</v>
          </cell>
          <cell r="AT67">
            <v>0.14001871192481588</v>
          </cell>
          <cell r="AU67">
            <v>0.13854471018154543</v>
          </cell>
          <cell r="AV67">
            <v>0.13711221753841668</v>
          </cell>
          <cell r="AW67">
            <v>0.13571987272461672</v>
          </cell>
          <cell r="AX67">
            <v>0.13436636541588198</v>
          </cell>
          <cell r="AY67">
            <v>0.13305043414965315</v>
          </cell>
          <cell r="AZ67">
            <v>0.13177086432915874</v>
          </cell>
          <cell r="BA67">
            <v>0.13052648631267139</v>
          </cell>
          <cell r="BB67">
            <v>0.12931617358432637</v>
          </cell>
          <cell r="BC67">
            <v>0.12813884100303399</v>
          </cell>
          <cell r="BD67">
            <v>0.12699344312615471</v>
          </cell>
          <cell r="BE67">
            <v>0.12587897260473935</v>
          </cell>
          <cell r="BF67">
            <v>0.12479445864726391</v>
          </cell>
          <cell r="BG67">
            <v>0.12373896554891473</v>
          </cell>
          <cell r="BH67">
            <v>0.12271159128359845</v>
          </cell>
          <cell r="BI67">
            <v>0.12171146615596734</v>
          </cell>
          <cell r="BJ67">
            <v>0.12073775151086331</v>
          </cell>
          <cell r="BK67">
            <v>0.1197896384976908</v>
          </cell>
          <cell r="BL67">
            <v>0.11886634688733336</v>
          </cell>
          <cell r="BM67">
            <v>0.11796712393932927</v>
          </cell>
          <cell r="BN67">
            <v>0.11709124331711689</v>
          </cell>
          <cell r="BO67">
            <v>0.1162380040492548</v>
          </cell>
          <cell r="BP67">
            <v>0.11540672953460993</v>
          </cell>
          <cell r="BQ67">
            <v>0.11459676658959389</v>
          </cell>
          <cell r="BR67">
            <v>0.11380748453560881</v>
          </cell>
          <cell r="BS67">
            <v>0.11303827432494537</v>
          </cell>
          <cell r="BT67">
            <v>0.11228854770344976</v>
          </cell>
          <cell r="BU67">
            <v>0.11155773640835101</v>
          </cell>
          <cell r="BV67">
            <v>0.11084529139970964</v>
          </cell>
          <cell r="BW67">
            <v>0.11015068212401578</v>
          </cell>
          <cell r="BX67">
            <v>0.10947339580853001</v>
          </cell>
          <cell r="BY67">
            <v>0.10881293678502137</v>
          </cell>
          <cell r="BZ67">
            <v>0.10816882584161674</v>
          </cell>
          <cell r="CA67">
            <v>0.10754059960153266</v>
          </cell>
          <cell r="CB67">
            <v>0.1069278099275143</v>
          </cell>
          <cell r="CC67">
            <v>0.10633002335085964</v>
          </cell>
          <cell r="CD67">
            <v>0.10574682052395526</v>
          </cell>
          <cell r="CE67">
            <v>0.10517779569529949</v>
          </cell>
          <cell r="CF67">
            <v>0.1046225562060324</v>
          </cell>
          <cell r="CG67">
            <v>0.10408072200703801</v>
          </cell>
          <cell r="CH67">
            <v>0.1035519251957235</v>
          </cell>
          <cell r="CI67">
            <v>0.10303580957162212</v>
          </cell>
          <cell r="CJ67">
            <v>0.10253203021000326</v>
          </cell>
          <cell r="CK67">
            <v>0.10204025305271062</v>
          </cell>
          <cell r="CL67">
            <v>0.10156015451548329</v>
          </cell>
          <cell r="CM67">
            <v>0.10109142111104895</v>
          </cell>
          <cell r="CN67">
            <v>0.1006337490873091</v>
          </cell>
          <cell r="CO67">
            <v>0.10018684407996778</v>
          </cell>
          <cell r="CP67">
            <v>9.9750420778982996E-2</v>
          </cell>
          <cell r="CQ67">
            <v>9.9324202608249132E-2</v>
          </cell>
          <cell r="CR67">
            <v>9.8907921417944092E-2</v>
          </cell>
          <cell r="CS67">
            <v>9.8501317189000459E-2</v>
          </cell>
          <cell r="CT67">
            <v>9.8104137749184681E-2</v>
          </cell>
          <cell r="CU67">
            <v>9.7716138500290289E-2</v>
          </cell>
          <cell r="CV67">
            <v>9.7337082155974225E-2</v>
          </cell>
          <cell r="CW67">
            <v>9.6966738489785542E-2</v>
          </cell>
          <cell r="CX67">
            <v>9.6604884092956284E-2</v>
          </cell>
          <cell r="CY67">
            <v>9.625130214154333E-2</v>
          </cell>
          <cell r="CZ67">
            <v>9.590578217252814E-2</v>
          </cell>
          <cell r="DA67">
            <v>9.5568119868499085E-2</v>
          </cell>
          <cell r="DB67">
            <v>9.5238116850557206E-2</v>
          </cell>
          <cell r="DC67">
            <v>9.4915580479102743E-2</v>
          </cell>
          <cell r="DD67">
            <v>9.4600323662174399E-2</v>
          </cell>
          <cell r="DE67">
            <v>9.4292164671028036E-2</v>
          </cell>
          <cell r="DF67">
            <v>9.3990926962655236E-2</v>
          </cell>
          <cell r="DG67">
            <v>9.3696439008955343E-2</v>
          </cell>
          <cell r="DH67">
            <v>9.3408534132287252E-2</v>
          </cell>
          <cell r="DI67">
            <v>9.3127050347139223E-2</v>
          </cell>
          <cell r="DJ67">
            <v>9.2851830207666033E-2</v>
          </cell>
          <cell r="DK67">
            <v>9.2582720660854656E-2</v>
          </cell>
          <cell r="DL67">
            <v>9.2319572905088867E-2</v>
          </cell>
          <cell r="DM67">
            <v>9.206224225389438E-2</v>
          </cell>
          <cell r="DN67">
            <v>9.1810588004654595E-2</v>
          </cell>
          <cell r="DO67">
            <v>9.1564473312096786E-2</v>
          </cell>
          <cell r="DP67">
            <v>9.1323765066356977E-2</v>
          </cell>
          <cell r="DQ67">
            <v>9.1088333775439914E-2</v>
          </cell>
          <cell r="DR67">
            <v>9.0858053451898887E-2</v>
          </cell>
          <cell r="DS67">
            <v>9.0632801503566951E-2</v>
          </cell>
          <cell r="DT67">
            <v>9.0412458628179163E-2</v>
          </cell>
          <cell r="DU67">
            <v>9.0196908711731735E-2</v>
          </cell>
          <cell r="DV67">
            <v>8.9986038730430623E-2</v>
          </cell>
          <cell r="DW67">
            <v>8.9779738656088723E-2</v>
          </cell>
          <cell r="DX67">
            <v>8.9577901364836454E-2</v>
          </cell>
          <cell r="DY67">
            <v>8.9380422549016292E-2</v>
          </cell>
          <cell r="DZ67">
            <v>8.9187200632137517E-2</v>
          </cell>
          <cell r="EA67">
            <v>8.8998136686772422E-2</v>
          </cell>
          <cell r="EB67">
            <v>8.8813134355280182E-2</v>
          </cell>
          <cell r="EC67">
            <v>8.8632099773249845E-2</v>
          </cell>
          <cell r="ED67">
            <v>8.8454941495557521E-2</v>
          </cell>
          <cell r="EE67">
            <v>8.8281570424938269E-2</v>
          </cell>
          <cell r="EF67">
            <v>8.8111899742976701E-2</v>
          </cell>
          <cell r="EG67">
            <v>8.7945844843424173E-2</v>
          </cell>
          <cell r="EH67">
            <v>8.7783323267754829E-2</v>
          </cell>
          <cell r="EI67">
            <v>8.7624254642876043E-2</v>
          </cell>
          <cell r="EJ67">
            <v>8.7468560620912059E-2</v>
          </cell>
          <cell r="EK67">
            <v>8.7316164820983352E-2</v>
          </cell>
          <cell r="EL67">
            <v>8.7166992772907487E-2</v>
          </cell>
          <cell r="EM67">
            <v>8.7020971862749541E-2</v>
          </cell>
          <cell r="EN67">
            <v>8.6878031280153992E-2</v>
          </cell>
          <cell r="EO67">
            <v>8.6738101967392331E-2</v>
          </cell>
          <cell r="EP67">
            <v>8.6601116570063044E-2</v>
          </cell>
          <cell r="EQ67">
            <v>8.64670093893838E-2</v>
          </cell>
          <cell r="ER67">
            <v>8.6335716336017276E-2</v>
          </cell>
          <cell r="ES67">
            <v>8.6207174885375576E-2</v>
          </cell>
          <cell r="ET67">
            <v>8.6081324034348899E-2</v>
          </cell>
          <cell r="EU67">
            <v>8.5958104259407669E-2</v>
          </cell>
          <cell r="EV67">
            <v>8.5837457476028445E-2</v>
          </cell>
          <cell r="EW67">
            <v>8.5719326999396425E-2</v>
          </cell>
          <cell r="EX67">
            <v>8.5603657506338804E-2</v>
          </cell>
          <cell r="EY67">
            <v>8.5490394998445227E-2</v>
          </cell>
          <cell r="EZ67">
            <v>8.5379486766333917E-2</v>
          </cell>
          <cell r="FA67">
            <v>8.527088135502188E-2</v>
          </cell>
          <cell r="FB67">
            <v>8.5164528530361952E-2</v>
          </cell>
          <cell r="FC67">
            <v>8.5060379246507903E-2</v>
          </cell>
          <cell r="FD67">
            <v>8.4958385614372731E-2</v>
          </cell>
          <cell r="FE67">
            <v>8.4858500871045447E-2</v>
          </cell>
          <cell r="FF67">
            <v>8.4760679350132956E-2</v>
          </cell>
          <cell r="FG67">
            <v>8.4664876452995377E-2</v>
          </cell>
          <cell r="FH67">
            <v>8.4571048620844344E-2</v>
          </cell>
          <cell r="FI67">
            <v>8.4479153307674359E-2</v>
          </cell>
          <cell r="FJ67">
            <v>8.4389148953999196E-2</v>
          </cell>
          <cell r="FK67">
            <v>8.4300994961366074E-2</v>
          </cell>
          <cell r="FL67">
            <v>8.4214651667621002E-2</v>
          </cell>
          <cell r="FM67">
            <v>8.4130080322900494E-2</v>
          </cell>
          <cell r="FN67">
            <v>8.4047243066325036E-2</v>
          </cell>
          <cell r="FO67">
            <v>8.3966102903371018E-2</v>
          </cell>
          <cell r="FP67">
            <v>8.3886623683898431E-2</v>
          </cell>
          <cell r="FQ67">
            <v>8.380877008081293E-2</v>
          </cell>
          <cell r="FR67">
            <v>8.3732507569341114E-2</v>
          </cell>
          <cell r="FS67">
            <v>8.3657802406898976E-2</v>
          </cell>
          <cell r="FT67">
            <v>8.3584621613534152E-2</v>
          </cell>
          <cell r="FU67">
            <v>8.3512932952923308E-2</v>
          </cell>
          <cell r="FV67">
            <v>8.3442704913906637E-2</v>
          </cell>
          <cell r="FW67">
            <v>8.3373906692542063E-2</v>
          </cell>
          <cell r="FX67">
            <v>8.3306508174662675E-2</v>
          </cell>
          <cell r="FY67">
            <v>8.3240479918921015E-2</v>
          </cell>
          <cell r="FZ67">
            <v>8.317579314030471E-2</v>
          </cell>
          <cell r="GA67">
            <v>8.3112419694108847E-2</v>
          </cell>
          <cell r="GB67">
            <v>8.3050332060350021E-2</v>
          </cell>
          <cell r="GC67">
            <v>8.2989503328608827E-2</v>
          </cell>
          <cell r="GD67">
            <v>8.2929907183286827E-2</v>
          </cell>
          <cell r="GE67">
            <v>8.2871517889265167E-2</v>
          </cell>
          <cell r="GF67">
            <v>8.2814310277952774E-2</v>
          </cell>
          <cell r="GG67">
            <v>8.2758259733711245E-2</v>
          </cell>
          <cell r="GH67">
            <v>8.2703342180645706E-2</v>
          </cell>
          <cell r="GI67">
            <v>8.2649534069749619E-2</v>
          </cell>
          <cell r="GJ67">
            <v>8.2596812366393338E-2</v>
          </cell>
          <cell r="GK67">
            <v>8.2545154538145385E-2</v>
          </cell>
          <cell r="GL67">
            <v>8.2494538542916857E-2</v>
          </cell>
          <cell r="GM67">
            <v>8.244494281741882E-2</v>
          </cell>
          <cell r="GN67">
            <v>8.2396346265923362E-2</v>
          </cell>
          <cell r="GO67">
            <v>8.2348728249319422E-2</v>
          </cell>
          <cell r="GP67">
            <v>8.2302068574454226E-2</v>
          </cell>
          <cell r="GQ67">
            <v>8.2256347483752143E-2</v>
          </cell>
          <cell r="GR67">
            <v>8.2211545645102621E-2</v>
          </cell>
          <cell r="GS67">
            <v>8.2167644142009263E-2</v>
          </cell>
          <cell r="GT67">
            <v>8.2124624463992338E-2</v>
          </cell>
          <cell r="GU67">
            <v>8.2082468497237521E-2</v>
          </cell>
          <cell r="GV67">
            <v>8.2041158515483326E-2</v>
          </cell>
          <cell r="GW67">
            <v>8.2000677171140735E-2</v>
          </cell>
          <cell r="GX67">
            <v>8.1961007486637913E-2</v>
          </cell>
          <cell r="GY67">
            <v>8.1922132845983806E-2</v>
          </cell>
          <cell r="GZ67">
            <v>8.1884036986544284E-2</v>
          </cell>
          <cell r="HA67">
            <v>8.1846703991024602E-2</v>
          </cell>
          <cell r="HB67">
            <v>8.1810118279652649E-2</v>
          </cell>
          <cell r="HC67">
            <v>8.1774264602556865E-2</v>
          </cell>
          <cell r="HD67">
            <v>8.1739128032333699E-2</v>
          </cell>
          <cell r="HE67">
            <v>8.170469395679919E-2</v>
          </cell>
          <cell r="HF67">
            <v>8.1670948071919394E-2</v>
          </cell>
          <cell r="HG67">
            <v>8.1637876374914667E-2</v>
          </cell>
          <cell r="HH67">
            <v>8.1605465157533294E-2</v>
          </cell>
          <cell r="HI67">
            <v>8.1573700999489379E-2</v>
          </cell>
          <cell r="HJ67">
            <v>8.1542570762060729E-2</v>
          </cell>
          <cell r="HK67">
            <v>8.1512061581842155E-2</v>
          </cell>
          <cell r="HL67">
            <v>8.1482160864650155E-2</v>
          </cell>
          <cell r="HM67">
            <v>8.1452856279574729E-2</v>
          </cell>
          <cell r="HN67">
            <v>8.1424135753174254E-2</v>
          </cell>
          <cell r="HO67">
            <v>8.1395987463809813E-2</v>
          </cell>
          <cell r="HP67">
            <v>8.1368399836114921E-2</v>
          </cell>
          <cell r="HQ67">
            <v>8.1341361535597193E-2</v>
          </cell>
          <cell r="HR67">
            <v>8.1314861463368499E-2</v>
          </cell>
          <cell r="HS67">
            <v>8.128888875099996E-2</v>
          </cell>
          <cell r="HT67">
            <v>8.1263432755498591E-2</v>
          </cell>
          <cell r="HU67">
            <v>8.123848305440258E-2</v>
          </cell>
          <cell r="HV67">
            <v>8.1214029440991556E-2</v>
          </cell>
          <cell r="HW67">
            <v>8.1190061919609494E-2</v>
          </cell>
          <cell r="HX67">
            <v>8.1166570701096827E-2</v>
          </cell>
          <cell r="HY67">
            <v>8.1143546198329003E-2</v>
          </cell>
          <cell r="HZ67">
            <v>8.1120979021858913E-2</v>
          </cell>
          <cell r="IA67">
            <v>8.1098859975660423E-2</v>
          </cell>
          <cell r="IB67">
            <v>8.1077180052970238E-2</v>
          </cell>
          <cell r="IC67">
            <v>8.1055930432225809E-2</v>
          </cell>
          <cell r="ID67">
            <v>8.1035102473096712E-2</v>
          </cell>
          <cell r="IE67">
            <v>8.10146877126071E-2</v>
          </cell>
          <cell r="IF67">
            <v>8.0994677861347023E-2</v>
          </cell>
          <cell r="IG67">
            <v>8.0975064799770222E-2</v>
          </cell>
          <cell r="IH67">
            <v>8.0955840574576263E-2</v>
          </cell>
          <cell r="II67">
            <v>8.0936997395175056E-2</v>
          </cell>
          <cell r="IJ67">
            <v>8.0918527630231399E-2</v>
          </cell>
          <cell r="IK67">
            <v>8.0900423804287719E-2</v>
          </cell>
          <cell r="IL67">
            <v>8.0882678594463228E-2</v>
          </cell>
          <cell r="IM67">
            <v>8.0865284827227144E-2</v>
          </cell>
          <cell r="IN67">
            <v>8.0848235475244654E-2</v>
          </cell>
          <cell r="IO67">
            <v>8.0831523654293427E-2</v>
          </cell>
          <cell r="IP67">
            <v>8.0815142620249247E-2</v>
          </cell>
          <cell r="IQ67">
            <v>8.0799085766138812E-2</v>
          </cell>
        </row>
        <row r="68">
          <cell r="B68" t="str">
            <v>FCFO</v>
          </cell>
          <cell r="C68">
            <v>6490.2034178514095</v>
          </cell>
          <cell r="D68">
            <v>5069.7112612457149</v>
          </cell>
          <cell r="E68">
            <v>5931.2030604850179</v>
          </cell>
          <cell r="F68">
            <v>7036.1925934058136</v>
          </cell>
          <cell r="G68">
            <v>7154.8908098889842</v>
          </cell>
          <cell r="H68">
            <v>7181.150057509959</v>
          </cell>
          <cell r="I68">
            <v>7317.8347729402494</v>
          </cell>
          <cell r="J68">
            <v>7968.2270267509357</v>
          </cell>
          <cell r="K68">
            <v>8224.4247071992158</v>
          </cell>
          <cell r="L68">
            <v>8435.7665250117789</v>
          </cell>
          <cell r="M68">
            <v>5714.503974368492</v>
          </cell>
          <cell r="N68">
            <v>7596.6487678716203</v>
          </cell>
          <cell r="O68">
            <v>7868.9556486928959</v>
          </cell>
          <cell r="P68">
            <v>8135.3903354403319</v>
          </cell>
          <cell r="Q68">
            <v>8265.9763425887941</v>
          </cell>
          <cell r="R68">
            <v>6303.603003150587</v>
          </cell>
          <cell r="S68">
            <v>8261.860544441377</v>
          </cell>
          <cell r="T68">
            <v>8338.0829544403387</v>
          </cell>
          <cell r="U68">
            <v>8416.2379840695994</v>
          </cell>
          <cell r="V68">
            <v>8496.3616085392823</v>
          </cell>
          <cell r="W68">
            <v>8578.4903694244567</v>
          </cell>
          <cell r="X68">
            <v>8662.6613937329948</v>
          </cell>
          <cell r="Y68">
            <v>8748.9124133538589</v>
          </cell>
          <cell r="Z68">
            <v>8837.2817848673367</v>
          </cell>
          <cell r="AA68">
            <v>8927.8085097008479</v>
          </cell>
          <cell r="AB68">
            <v>9020.5322546144616</v>
          </cell>
          <cell r="AC68">
            <v>9115.4933725031951</v>
          </cell>
          <cell r="AD68">
            <v>9212.7329235028556</v>
          </cell>
          <cell r="AE68">
            <v>9312.2926963895552</v>
          </cell>
          <cell r="AF68">
            <v>9414.2152302628529</v>
          </cell>
          <cell r="AG68">
            <v>9518.5438365053851</v>
          </cell>
          <cell r="AH68">
            <v>9625.3226210123958</v>
          </cell>
          <cell r="AI68">
            <v>9734.5965066862627</v>
          </cell>
          <cell r="AJ68">
            <v>9846.4112561928232</v>
          </cell>
          <cell r="AK68">
            <v>9960.8134949769501</v>
          </cell>
          <cell r="AL68">
            <v>10077.850734536954</v>
          </cell>
          <cell r="AM68">
            <v>10197.571395958186</v>
          </cell>
          <cell r="AN68">
            <v>10320.024833707059</v>
          </cell>
          <cell r="AO68">
            <v>10445.261359688706</v>
          </cell>
          <cell r="AP68">
            <v>10573.332267571936</v>
          </cell>
          <cell r="AQ68">
            <v>10704.289857386022</v>
          </cell>
          <cell r="AR68">
            <v>10838.187460395662</v>
          </cell>
          <cell r="AS68">
            <v>10975.079464260081</v>
          </cell>
          <cell r="AT68">
            <v>11115.021338484679</v>
          </cell>
          <cell r="AU68">
            <v>11258.069660172609</v>
          </cell>
          <cell r="AV68">
            <v>11404.282140085877</v>
          </cell>
          <cell r="AW68">
            <v>11553.717649025368</v>
          </cell>
          <cell r="AX68">
            <v>11706.436244541277</v>
          </cell>
          <cell r="AY68">
            <v>11862.499197982119</v>
          </cell>
          <cell r="AZ68">
            <v>12021.969021897679</v>
          </cell>
          <cell r="BA68">
            <v>12184.909497804174</v>
          </cell>
          <cell r="BB68">
            <v>12351.385704327251</v>
          </cell>
          <cell r="BC68">
            <v>12521.464045732653</v>
          </cell>
          <cell r="BD68">
            <v>12695.212280861226</v>
          </cell>
          <cell r="BE68">
            <v>12872.699552478465</v>
          </cell>
          <cell r="BF68">
            <v>13053.996417055787</v>
          </cell>
          <cell r="BG68">
            <v>13239.174874995129</v>
          </cell>
          <cell r="BH68">
            <v>13428.308401314123</v>
          </cell>
          <cell r="BI68">
            <v>13621.471976804114</v>
          </cell>
          <cell r="BJ68">
            <v>13818.742119678856</v>
          </cell>
          <cell r="BK68">
            <v>14020.196917726862</v>
          </cell>
          <cell r="BL68">
            <v>14225.91606098535</v>
          </cell>
          <cell r="BM68">
            <v>14435.980874949615</v>
          </cell>
          <cell r="BN68">
            <v>14650.474354335969</v>
          </cell>
          <cell r="BO68">
            <v>14869.481197412155</v>
          </cell>
          <cell r="BP68">
            <v>15093.087840915359</v>
          </cell>
          <cell r="BQ68">
            <v>15321.382495569465</v>
          </cell>
          <cell r="BR68">
            <v>15554.455182224763</v>
          </cell>
          <cell r="BS68">
            <v>15792.397768630664</v>
          </cell>
          <cell r="BT68">
            <v>16035.304006864688</v>
          </cell>
          <cell r="BU68">
            <v>16283.269571430756</v>
          </cell>
          <cell r="BV68">
            <v>16536.392098047014</v>
          </cell>
          <cell r="BW68">
            <v>16794.771223141161</v>
          </cell>
          <cell r="BX68">
            <v>17058.508624068774</v>
          </cell>
          <cell r="BY68">
            <v>17327.708060077181</v>
          </cell>
          <cell r="BZ68">
            <v>17602.475414029504</v>
          </cell>
          <cell r="CA68">
            <v>17882.918734909967</v>
          </cell>
          <cell r="CB68">
            <v>18169.148281129354</v>
          </cell>
          <cell r="CC68">
            <v>18461.276564647807</v>
          </cell>
          <cell r="CD68">
            <v>18759.418395938155</v>
          </cell>
          <cell r="CE68">
            <v>19063.690929805489</v>
          </cell>
          <cell r="CF68">
            <v>19374.213712086039</v>
          </cell>
          <cell r="CG68">
            <v>19691.108727243591</v>
          </cell>
          <cell r="CH68">
            <v>20014.500446885773</v>
          </cell>
          <cell r="CI68">
            <v>20344.515879219529</v>
          </cell>
          <cell r="CJ68">
            <v>20681.284619467526</v>
          </cell>
          <cell r="CK68">
            <v>21024.938901266723</v>
          </cell>
          <cell r="CL68">
            <v>21375.613649072024</v>
          </cell>
          <cell r="CM68">
            <v>21733.446531584486</v>
          </cell>
          <cell r="CN68">
            <v>22098.57801622949</v>
          </cell>
          <cell r="CO68">
            <v>22471.151424705484</v>
          </cell>
          <cell r="CP68">
            <v>22851.312989627288</v>
          </cell>
          <cell r="CQ68">
            <v>23239.211912287443</v>
          </cell>
          <cell r="CR68">
            <v>23635.000421559056</v>
          </cell>
          <cell r="CS68">
            <v>24038.833833965258</v>
          </cell>
          <cell r="CT68">
            <v>24450.870614938489</v>
          </cell>
          <cell r="CU68">
            <v>24871.272441296005</v>
          </cell>
          <cell r="CV68">
            <v>25300.204264956996</v>
          </cell>
          <cell r="CW68">
            <v>25737.834377926381</v>
          </cell>
          <cell r="CX68">
            <v>26184.334478571443</v>
          </cell>
          <cell r="CY68">
            <v>26639.879739221229</v>
          </cell>
          <cell r="CZ68">
            <v>27104.648875110906</v>
          </cell>
          <cell r="DA68">
            <v>27578.824214703971</v>
          </cell>
          <cell r="DB68">
            <v>28062.591771416279</v>
          </cell>
          <cell r="DC68">
            <v>28556.141316774716</v>
          </cell>
          <cell r="DD68">
            <v>29059.666455036888</v>
          </cell>
          <cell r="DE68">
            <v>29573.364699302489</v>
          </cell>
          <cell r="DF68">
            <v>30097.437549148293</v>
          </cell>
          <cell r="DG68">
            <v>30632.090569814842</v>
          </cell>
          <cell r="DH68">
            <v>31177.53347297963</v>
          </cell>
          <cell r="DI68">
            <v>31733.980199146783</v>
          </cell>
          <cell r="DJ68">
            <v>32301.649001687605</v>
          </cell>
          <cell r="DK68">
            <v>32880.76253256201</v>
          </cell>
          <cell r="DL68">
            <v>33471.547929761102</v>
          </cell>
          <cell r="DM68">
            <v>34074.23690649838</v>
          </cell>
          <cell r="DN68">
            <v>34689.065842191572</v>
          </cell>
          <cell r="DO68">
            <v>35316.275875265259</v>
          </cell>
          <cell r="DP68">
            <v>35956.112997815544</v>
          </cell>
          <cell r="DQ68">
            <v>36608.828152172217</v>
          </cell>
          <cell r="DR68">
            <v>37274.677329396509</v>
          </cell>
          <cell r="DS68">
            <v>37953.921669753567</v>
          </cell>
          <cell r="DT68">
            <v>38646.827565199994</v>
          </cell>
          <cell r="DU68">
            <v>39353.666763926856</v>
          </cell>
          <cell r="DV68">
            <v>40074.716476996524</v>
          </cell>
          <cell r="DW68">
            <v>40810.259487121381</v>
          </cell>
          <cell r="DX68">
            <v>41560.584259620744</v>
          </cell>
          <cell r="DY68">
            <v>42325.985055604193</v>
          </cell>
          <cell r="DZ68">
            <v>43106.762047424163</v>
          </cell>
          <cell r="EA68">
            <v>43903.221436442771</v>
          </cell>
          <cell r="EB68">
            <v>44715.675573161418</v>
          </cell>
          <cell r="EC68">
            <v>45544.443079757453</v>
          </cell>
          <cell r="ED68">
            <v>46389.848975078443</v>
          </cell>
          <cell r="EE68">
            <v>47252.22480214246</v>
          </cell>
          <cell r="EF68">
            <v>48131.908758194579</v>
          </cell>
          <cell r="EG68">
            <v>49029.245827369021</v>
          </cell>
          <cell r="EH68">
            <v>49944.587916014447</v>
          </cell>
          <cell r="EI68">
            <v>50878.293990727369</v>
          </cell>
          <cell r="EJ68">
            <v>51830.730219155055</v>
          </cell>
          <cell r="EK68">
            <v>52802.270113620834</v>
          </cell>
          <cell r="EL68">
            <v>53793.294677626094</v>
          </cell>
          <cell r="EM68">
            <v>54804.192555289977</v>
          </cell>
          <cell r="EN68">
            <v>55835.360183784156</v>
          </cell>
          <cell r="EO68">
            <v>56887.20194882038</v>
          </cell>
          <cell r="EP68">
            <v>57960.130343255267</v>
          </cell>
          <cell r="EQ68">
            <v>59054.566128874168</v>
          </cell>
          <cell r="ER68">
            <v>60170.938501412951</v>
          </cell>
          <cell r="ES68">
            <v>61309.685258890677</v>
          </cell>
          <cell r="ET68">
            <v>62471.252973310184</v>
          </cell>
          <cell r="EU68">
            <v>63656.097165802959</v>
          </cell>
          <cell r="EV68">
            <v>64864.682485277968</v>
          </cell>
          <cell r="EW68">
            <v>66097.482890654122</v>
          </cell>
          <cell r="EX68">
            <v>67354.981836735999</v>
          </cell>
          <cell r="EY68">
            <v>68637.672463822062</v>
          </cell>
          <cell r="EZ68">
            <v>69946.057791100669</v>
          </cell>
          <cell r="FA68">
            <v>71280.650913926191</v>
          </cell>
          <cell r="FB68">
            <v>72641.975205043709</v>
          </cell>
          <cell r="FC68">
            <v>74030.564519842243</v>
          </cell>
          <cell r="FD68">
            <v>75446.963405720104</v>
          </cell>
          <cell r="FE68">
            <v>76891.727315641736</v>
          </cell>
          <cell r="FF68">
            <v>78365.422825971677</v>
          </cell>
          <cell r="FG68">
            <v>79868.627858667634</v>
          </cell>
          <cell r="FH68">
            <v>81401.931907926308</v>
          </cell>
          <cell r="FI68">
            <v>82965.936271362938</v>
          </cell>
          <cell r="FJ68">
            <v>84561.254285821604</v>
          </cell>
          <cell r="FK68">
            <v>86188.511567905865</v>
          </cell>
          <cell r="FL68">
            <v>87848.346259325015</v>
          </cell>
          <cell r="FM68">
            <v>89541.409277150611</v>
          </cell>
          <cell r="FN68">
            <v>91268.364569083351</v>
          </cell>
          <cell r="FO68">
            <v>93029.889373831218</v>
          </cell>
          <cell r="FP68">
            <v>94826.674486694421</v>
          </cell>
          <cell r="FQ68">
            <v>96659.424530475459</v>
          </cell>
          <cell r="FR68">
            <v>98528.858231800521</v>
          </cell>
          <cell r="FS68">
            <v>100435.70870298022</v>
          </cell>
          <cell r="FT68">
            <v>102380.72372950698</v>
          </cell>
          <cell r="FU68">
            <v>104364.66606330939</v>
          </cell>
          <cell r="FV68">
            <v>106388.31372187089</v>
          </cell>
          <cell r="FW68">
            <v>108452.46029334175</v>
          </cell>
          <cell r="FX68">
            <v>110557.91524774831</v>
          </cell>
          <cell r="FY68">
            <v>112705.5042544406</v>
          </cell>
          <cell r="FZ68">
            <v>114896.06950588158</v>
          </cell>
          <cell r="GA68">
            <v>117130.47004792449</v>
          </cell>
          <cell r="GB68">
            <v>119409.58211669401</v>
          </cell>
          <cell r="GC68">
            <v>121734.29948221127</v>
          </cell>
          <cell r="GD68">
            <v>124105.53379889511</v>
          </cell>
          <cell r="GE68">
            <v>126524.21496307326</v>
          </cell>
          <cell r="GF68">
            <v>128991.2914776502</v>
          </cell>
          <cell r="GG68">
            <v>131507.73082407218</v>
          </cell>
          <cell r="GH68">
            <v>134074.51984173144</v>
          </cell>
          <cell r="GI68">
            <v>136692.66511496424</v>
          </cell>
          <cell r="GJ68">
            <v>139363.19336779267</v>
          </cell>
          <cell r="GK68">
            <v>142087.15186655932</v>
          </cell>
          <cell r="GL68">
            <v>144865.60883062612</v>
          </cell>
          <cell r="GM68">
            <v>147699.65385127996</v>
          </cell>
          <cell r="GN68">
            <v>150590.39831902954</v>
          </cell>
          <cell r="GO68">
            <v>153538.9758594399</v>
          </cell>
          <cell r="GP68">
            <v>156546.54277770227</v>
          </cell>
          <cell r="GQ68">
            <v>159614.27851207287</v>
          </cell>
          <cell r="GR68">
            <v>162743.38609641523</v>
          </cell>
          <cell r="GS68">
            <v>165935.09263196716</v>
          </cell>
          <cell r="GT68">
            <v>169190.64976856284</v>
          </cell>
          <cell r="GU68">
            <v>172511.33419547573</v>
          </cell>
          <cell r="GV68">
            <v>175898.44814208156</v>
          </cell>
          <cell r="GW68">
            <v>179353.31988853583</v>
          </cell>
          <cell r="GX68">
            <v>182877.30428667404</v>
          </cell>
          <cell r="GY68">
            <v>186471.78329131682</v>
          </cell>
          <cell r="GZ68">
            <v>190138.16650222446</v>
          </cell>
          <cell r="HA68">
            <v>193877.89171687429</v>
          </cell>
          <cell r="HB68">
            <v>197692.42549430463</v>
          </cell>
          <cell r="HC68">
            <v>201583.26373024203</v>
          </cell>
          <cell r="HD68">
            <v>205551.93224371731</v>
          </cell>
          <cell r="HE68">
            <v>209599.9873754349</v>
          </cell>
          <cell r="HF68">
            <v>213729.01659810037</v>
          </cell>
          <cell r="HG68">
            <v>217940.63913895737</v>
          </cell>
          <cell r="HH68">
            <v>222236.50661478116</v>
          </cell>
          <cell r="HI68">
            <v>226618.30367957003</v>
          </cell>
          <cell r="HJ68">
            <v>231087.74868519889</v>
          </cell>
          <cell r="HK68">
            <v>235646.59435527277</v>
          </cell>
          <cell r="HL68">
            <v>240296.62847248459</v>
          </cell>
          <cell r="HM68">
            <v>245039.67457969044</v>
          </cell>
          <cell r="HN68">
            <v>249877.59269503952</v>
          </cell>
          <cell r="HO68">
            <v>254812.28004137898</v>
          </cell>
          <cell r="HP68">
            <v>259845.67179027991</v>
          </cell>
          <cell r="HQ68">
            <v>264979.74182090949</v>
          </cell>
          <cell r="HR68">
            <v>270216.50349411822</v>
          </cell>
          <cell r="HS68">
            <v>275558.01044197928</v>
          </cell>
          <cell r="HT68">
            <v>281006.35737314785</v>
          </cell>
          <cell r="HU68">
            <v>286563.68089430471</v>
          </cell>
          <cell r="HV68">
            <v>292232.16034805076</v>
          </cell>
          <cell r="HW68">
            <v>298014.01866753795</v>
          </cell>
          <cell r="HX68">
            <v>303911.52324822621</v>
          </cell>
          <cell r="HY68">
            <v>309926.98683703941</v>
          </cell>
          <cell r="HZ68">
            <v>316062.76843934122</v>
          </cell>
          <cell r="IA68">
            <v>322321.27424402483</v>
          </cell>
          <cell r="IB68">
            <v>328704.95856711839</v>
          </cell>
          <cell r="IC68">
            <v>335216.32481426722</v>
          </cell>
          <cell r="ID68">
            <v>341857.92646245583</v>
          </cell>
          <cell r="IE68">
            <v>348632.36806137243</v>
          </cell>
          <cell r="IF68">
            <v>355542.30625480495</v>
          </cell>
          <cell r="IG68">
            <v>362590.45082245831</v>
          </cell>
          <cell r="IH68">
            <v>369779.5657426109</v>
          </cell>
          <cell r="II68">
            <v>377112.47027603997</v>
          </cell>
          <cell r="IJ68">
            <v>384592.04007159331</v>
          </cell>
          <cell r="IK68">
            <v>392221.20829391887</v>
          </cell>
          <cell r="IL68">
            <v>400002.96677370323</v>
          </cell>
          <cell r="IM68">
            <v>407940.36718095595</v>
          </cell>
          <cell r="IN68">
            <v>416036.52222172963</v>
          </cell>
          <cell r="IO68">
            <v>424294.60685880366</v>
          </cell>
          <cell r="IP68">
            <v>432717.8595567483</v>
          </cell>
          <cell r="IQ68">
            <v>441309.58355193306</v>
          </cell>
          <cell r="IR68">
            <v>8014628.1607273081</v>
          </cell>
        </row>
        <row r="69">
          <cell r="B69" t="str">
            <v>PVFCFO</v>
          </cell>
          <cell r="C69">
            <v>6004.6592396139422</v>
          </cell>
          <cell r="D69">
            <v>4339.5364522183245</v>
          </cell>
          <cell r="E69">
            <v>4697.1341731623224</v>
          </cell>
          <cell r="F69">
            <v>5155.3475559151293</v>
          </cell>
          <cell r="G69">
            <v>4850.1291030756784</v>
          </cell>
          <cell r="H69">
            <v>4503.7507574120973</v>
          </cell>
          <cell r="I69">
            <v>4246.1272336462343</v>
          </cell>
          <cell r="J69">
            <v>4277.6196001936332</v>
          </cell>
          <cell r="K69">
            <v>4084.8493900491058</v>
          </cell>
          <cell r="L69">
            <v>3876.369149631259</v>
          </cell>
          <cell r="M69">
            <v>2429.4567611785869</v>
          </cell>
          <cell r="N69">
            <v>2988.0147695337209</v>
          </cell>
          <cell r="O69">
            <v>2863.5702899130761</v>
          </cell>
          <cell r="P69">
            <v>2739.0452263436241</v>
          </cell>
          <cell r="Q69">
            <v>2574.8090313171101</v>
          </cell>
          <cell r="R69">
            <v>1816.6437844215754</v>
          </cell>
          <cell r="S69">
            <v>2202.869862026726</v>
          </cell>
          <cell r="T69">
            <v>2056.8719255791129</v>
          </cell>
          <cell r="U69">
            <v>1920.8307699215329</v>
          </cell>
          <cell r="V69">
            <v>1794.0483461405802</v>
          </cell>
          <cell r="W69">
            <v>1675.8767664385966</v>
          </cell>
          <cell r="X69">
            <v>1565.7146271672191</v>
          </cell>
          <cell r="Y69">
            <v>1463.0036051216241</v>
          </cell>
          <cell r="Z69">
            <v>1367.2253066475605</v>
          </cell>
          <cell r="AA69">
            <v>1277.8983506439261</v>
          </cell>
          <cell r="AB69">
            <v>1194.5756679599763</v>
          </cell>
          <cell r="AC69">
            <v>1116.8420009973752</v>
          </cell>
          <cell r="AD69">
            <v>1044.3115885401357</v>
          </cell>
          <cell r="AE69">
            <v>976.62602195838031</v>
          </cell>
          <cell r="AF69">
            <v>913.45225997041894</v>
          </cell>
          <cell r="AG69">
            <v>854.48079010901142</v>
          </cell>
          <cell r="AH69">
            <v>799.42392592694807</v>
          </cell>
          <cell r="AI69">
            <v>748.01422979995311</v>
          </cell>
          <cell r="AJ69">
            <v>700.00305194623115</v>
          </cell>
          <cell r="AK69">
            <v>655.15917698619569</v>
          </cell>
          <cell r="AL69">
            <v>613.26757001749695</v>
          </cell>
          <cell r="AM69">
            <v>574.1282147831007</v>
          </cell>
          <cell r="AN69">
            <v>537.55503706761544</v>
          </cell>
          <cell r="AO69">
            <v>503.37490697273699</v>
          </cell>
          <cell r="AP69">
            <v>471.42671419953632</v>
          </cell>
          <cell r="AQ69">
            <v>441.56051090636618</v>
          </cell>
          <cell r="AR69">
            <v>413.63671711910217</v>
          </cell>
          <cell r="AS69">
            <v>387.52538404758485</v>
          </cell>
          <cell r="AT69">
            <v>363.10551101101493</v>
          </cell>
          <cell r="AU69">
            <v>340.26441199753924</v>
          </cell>
          <cell r="AV69">
            <v>318.89712818157943</v>
          </cell>
          <cell r="AW69">
            <v>298.90588299820331</v>
          </cell>
          <cell r="AX69">
            <v>280.1995766288739</v>
          </cell>
          <cell r="AY69">
            <v>262.69331698857115</v>
          </cell>
          <cell r="AZ69">
            <v>246.30798452244323</v>
          </cell>
          <cell r="BA69">
            <v>230.96982832148868</v>
          </cell>
          <cell r="BB69">
            <v>216.61009125327669</v>
          </cell>
          <cell r="BC69">
            <v>203.16466197585135</v>
          </cell>
          <cell r="BD69">
            <v>190.57375186237846</v>
          </cell>
          <cell r="BE69">
            <v>178.78159501122653</v>
          </cell>
          <cell r="BF69">
            <v>167.73616965244864</v>
          </cell>
          <cell r="BG69">
            <v>157.38893938741853</v>
          </cell>
          <cell r="BH69">
            <v>147.69461281485076</v>
          </cell>
          <cell r="BI69">
            <v>138.61092020397999</v>
          </cell>
          <cell r="BJ69">
            <v>130.09840597525402</v>
          </cell>
          <cell r="BK69">
            <v>122.12023584084758</v>
          </cell>
          <cell r="BL69">
            <v>114.64201754244384</v>
          </cell>
          <cell r="BM69">
            <v>107.63163420236899</v>
          </cell>
          <cell r="BN69">
            <v>101.05908937697282</v>
          </cell>
          <cell r="BO69">
            <v>94.896362968405768</v>
          </cell>
          <cell r="BP69">
            <v>89.117277213234686</v>
          </cell>
          <cell r="BQ69">
            <v>83.697372023849809</v>
          </cell>
          <cell r="BR69">
            <v>78.613789011948313</v>
          </cell>
          <cell r="BS69">
            <v>73.84516357256318</v>
          </cell>
          <cell r="BT69">
            <v>69.37152445276223</v>
          </cell>
          <cell r="BU69">
            <v>65.174200271251678</v>
          </cell>
          <cell r="BV69">
            <v>61.235732494180013</v>
          </cell>
          <cell r="BW69">
            <v>57.539794408531165</v>
          </cell>
          <cell r="BX69">
            <v>54.071115667908138</v>
          </cell>
          <cell r="BY69">
            <v>50.81541201646332</v>
          </cell>
          <cell r="BZ69">
            <v>47.759319825334458</v>
          </cell>
          <cell r="CA69">
            <v>44.890335102473387</v>
          </cell>
          <cell r="CB69">
            <v>42.196756661286109</v>
          </cell>
          <cell r="CC69">
            <v>39.667633156221967</v>
          </cell>
          <cell r="CD69">
            <v>37.292713714508238</v>
          </cell>
          <cell r="CE69">
            <v>35.062401912696195</v>
          </cell>
          <cell r="CF69">
            <v>32.967712864755597</v>
          </cell>
          <cell r="CG69">
            <v>31.000233205166715</v>
          </cell>
          <cell r="CH69">
            <v>29.152083765962342</v>
          </cell>
          <cell r="CI69">
            <v>27.415884761023982</v>
          </cell>
          <cell r="CJ69">
            <v>25.78472330424756</v>
          </cell>
          <cell r="CK69">
            <v>24.252123100525722</v>
          </cell>
          <cell r="CL69">
            <v>22.81201615992893</v>
          </cell>
          <cell r="CM69">
            <v>21.458716396062904</v>
          </cell>
          <cell r="CN69">
            <v>20.186894979416145</v>
          </cell>
          <cell r="CO69">
            <v>18.991557325620125</v>
          </cell>
          <cell r="CP69">
            <v>17.868021607003275</v>
          </cell>
          <cell r="CQ69">
            <v>16.811898683661699</v>
          </cell>
          <cell r="CR69">
            <v>15.819073357546312</v>
          </cell>
          <cell r="CS69">
            <v>14.885686859818923</v>
          </cell>
          <cell r="CT69">
            <v>14.008120487995416</v>
          </cell>
          <cell r="CU69">
            <v>13.182980315212355</v>
          </cell>
          <cell r="CV69">
            <v>12.407082899352465</v>
          </cell>
          <cell r="CW69">
            <v>11.677441924778083</v>
          </cell>
          <cell r="CX69">
            <v>10.991255714077992</v>
          </cell>
          <cell r="CY69">
            <v>10.345895551559078</v>
          </cell>
          <cell r="CZ69">
            <v>9.7388947642275312</v>
          </cell>
          <cell r="DA69">
            <v>9.1679385097410719</v>
          </cell>
          <cell r="DB69">
            <v>8.6308542242776856</v>
          </cell>
          <cell r="DC69">
            <v>8.1256026864926483</v>
          </cell>
          <cell r="DD69">
            <v>7.6502696567287494</v>
          </cell>
          <cell r="DE69">
            <v>7.2030580534313478</v>
          </cell>
          <cell r="DF69">
            <v>6.782280631309292</v>
          </cell>
          <cell r="DG69">
            <v>6.3863531281899499</v>
          </cell>
          <cell r="DH69">
            <v>6.0137878497579953</v>
          </cell>
          <cell r="DI69">
            <v>5.6631876634497678</v>
          </cell>
          <cell r="DJ69">
            <v>5.3332403747146664</v>
          </cell>
          <cell r="DK69">
            <v>5.02271346065789</v>
          </cell>
          <cell r="DL69">
            <v>4.7304491377595639</v>
          </cell>
          <cell r="DM69">
            <v>4.4553597419256956</v>
          </cell>
          <cell r="DN69">
            <v>4.1964234005837122</v>
          </cell>
          <cell r="DO69">
            <v>3.9526799778880854</v>
          </cell>
          <cell r="DP69">
            <v>3.723227275364815</v>
          </cell>
          <cell r="DQ69">
            <v>3.507217471497651</v>
          </cell>
          <cell r="DR69">
            <v>3.3038537848540432</v>
          </cell>
          <cell r="DS69">
            <v>3.112387346368787</v>
          </cell>
          <cell r="DT69">
            <v>2.9321142673538678</v>
          </cell>
          <cell r="DU69">
            <v>2.7623728906887659</v>
          </cell>
          <cell r="DV69">
            <v>2.6025412134710981</v>
          </cell>
          <cell r="DW69">
            <v>2.4520344701779742</v>
          </cell>
          <cell r="DX69">
            <v>2.3103028661053666</v>
          </cell>
          <cell r="DY69">
            <v>2.1768294515230444</v>
          </cell>
          <cell r="DZ69">
            <v>2.05112812760663</v>
          </cell>
          <cell r="EA69">
            <v>1.9327417757909011</v>
          </cell>
          <cell r="EB69">
            <v>1.8212405027320884</v>
          </cell>
          <cell r="EC69">
            <v>1.7162199935738105</v>
          </cell>
          <cell r="ED69">
            <v>1.6172999666848458</v>
          </cell>
          <cell r="EE69">
            <v>1.524122723478591</v>
          </cell>
          <cell r="EF69">
            <v>1.4363517873365459</v>
          </cell>
          <cell r="EG69">
            <v>1.353670626043205</v>
          </cell>
          <cell r="EH69">
            <v>1.2757814524995752</v>
          </cell>
          <cell r="EI69">
            <v>1.2024040988179765</v>
          </cell>
          <cell r="EJ69">
            <v>1.1332749592150144</v>
          </cell>
          <cell r="EK69">
            <v>1.0681459974123786</v>
          </cell>
          <cell r="EL69">
            <v>1.0067838145290491</v>
          </cell>
          <cell r="EM69">
            <v>0.9489687737045247</v>
          </cell>
          <cell r="EN69">
            <v>0.89449417793176089</v>
          </cell>
          <cell r="EO69">
            <v>0.84316549780208605</v>
          </cell>
          <cell r="EP69">
            <v>0.7947996460734893</v>
          </cell>
          <cell r="EQ69">
            <v>0.74922429616901665</v>
          </cell>
          <cell r="ER69">
            <v>0.70627724189473118</v>
          </cell>
          <cell r="ES69">
            <v>0.66580579583778388</v>
          </cell>
          <cell r="ET69">
            <v>0.62766622406478612</v>
          </cell>
          <cell r="EU69">
            <v>0.59172321489046564</v>
          </cell>
          <cell r="EV69">
            <v>0.55784937962630599</v>
          </cell>
          <cell r="EW69">
            <v>0.52592478335001058</v>
          </cell>
          <cell r="EX69">
            <v>0.49583650385896066</v>
          </cell>
          <cell r="EY69">
            <v>0.46747821708577691</v>
          </cell>
          <cell r="EZ69">
            <v>0.44074980736116104</v>
          </cell>
          <cell r="FA69">
            <v>0.41555700100999016</v>
          </cell>
          <cell r="FB69">
            <v>0.39181102186054273</v>
          </cell>
          <cell r="FC69">
            <v>0.36942826733494455</v>
          </cell>
          <cell r="FD69">
            <v>0.34833000387146135</v>
          </cell>
          <cell r="FE69">
            <v>0.3284420805065279</v>
          </cell>
          <cell r="FF69">
            <v>0.30969465951685049</v>
          </cell>
          <cell r="FG69">
            <v>0.29202196308972905</v>
          </cell>
          <cell r="FH69">
            <v>0.27536203505335444</v>
          </cell>
          <cell r="FI69">
            <v>0.25965651675834001</v>
          </cell>
          <cell r="FJ69">
            <v>0.24485043625762415</v>
          </cell>
          <cell r="FK69">
            <v>0.23089200998416412</v>
          </cell>
          <cell r="FL69">
            <v>0.21773245617489809</v>
          </cell>
          <cell r="FM69">
            <v>0.20532581933542216</v>
          </cell>
          <cell r="FN69">
            <v>0.19362880508294367</v>
          </cell>
          <cell r="FO69">
            <v>0.18260062474548702</v>
          </cell>
          <cell r="FP69">
            <v>0.17220284913321676</v>
          </cell>
          <cell r="FQ69">
            <v>0.16239927093333395</v>
          </cell>
          <cell r="FR69">
            <v>0.1531557752132747</v>
          </cell>
          <cell r="FS69">
            <v>0.14444021754829497</v>
          </cell>
          <cell r="FT69">
            <v>0.13622230931880483</v>
          </cell>
          <cell r="FU69">
            <v>0.12847350975038016</v>
          </cell>
          <cell r="FV69">
            <v>0.12116692429519151</v>
          </cell>
          <cell r="FW69">
            <v>0.11427720897785119</v>
          </cell>
          <cell r="FX69">
            <v>0.1077804803513972</v>
          </cell>
          <cell r="FY69">
            <v>0.1016542307305246</v>
          </cell>
          <cell r="FZ69">
            <v>9.5877248389171929E-2</v>
          </cell>
          <cell r="GA69">
            <v>9.0429542428428239E-2</v>
          </cell>
          <cell r="GB69">
            <v>8.5292272038355002E-2</v>
          </cell>
          <cell r="GC69">
            <v>8.0447679893923457E-2</v>
          </cell>
          <cell r="GD69">
            <v>7.5879029440829734E-2</v>
          </cell>
          <cell r="GE69">
            <v>7.1570545841574226E-2</v>
          </cell>
          <cell r="GF69">
            <v>6.7507360365932051E-2</v>
          </cell>
          <cell r="GG69">
            <v>6.367545802283324E-2</v>
          </cell>
          <cell r="GH69">
            <v>6.0061628242787983E-2</v>
          </cell>
          <cell r="GI69">
            <v>5.6653418431378194E-2</v>
          </cell>
          <cell r="GJ69">
            <v>5.3439090225024452E-2</v>
          </cell>
          <cell r="GK69">
            <v>5.040757829028155E-2</v>
          </cell>
          <cell r="GL69">
            <v>4.7548451517362485E-2</v>
          </cell>
          <cell r="GM69">
            <v>4.4851876467446393E-2</v>
          </cell>
          <cell r="GN69">
            <v>4.2308582941675631E-2</v>
          </cell>
          <cell r="GO69">
            <v>3.9909831547564674E-2</v>
          </cell>
          <cell r="GP69">
            <v>3.7647383145920858E-2</v>
          </cell>
          <cell r="GQ69">
            <v>3.5513470068276501E-2</v>
          </cell>
          <cell r="GR69">
            <v>3.3500769001362743E-2</v>
          </cell>
          <cell r="GS69">
            <v>3.160237544123902E-2</v>
          </cell>
          <cell r="GT69">
            <v>2.9811779625467362E-2</v>
          </cell>
          <cell r="GU69">
            <v>2.8122843857107661E-2</v>
          </cell>
          <cell r="GV69">
            <v>2.6529781139399182E-2</v>
          </cell>
          <cell r="GW69">
            <v>2.5027135044769177E-2</v>
          </cell>
          <cell r="GX69">
            <v>2.3609760746304522E-2</v>
          </cell>
          <cell r="GY69">
            <v>2.2272807144043012E-2</v>
          </cell>
          <cell r="GZ69">
            <v>2.1011700022423543E-2</v>
          </cell>
          <cell r="HA69">
            <v>1.9822126178961133E-2</v>
          </cell>
          <cell r="HB69">
            <v>1.8700018467737858E-2</v>
          </cell>
          <cell r="HC69">
            <v>1.7641541704602717E-2</v>
          </cell>
          <cell r="HD69">
            <v>1.6643079384083697E-2</v>
          </cell>
          <cell r="HE69">
            <v>1.5701221160946698E-2</v>
          </cell>
          <cell r="HF69">
            <v>1.4812751052083302E-2</v>
          </cell>
          <cell r="HG69">
            <v>1.3974636317003818E-2</v>
          </cell>
          <cell r="HH69">
            <v>1.3184016977648455E-2</v>
          </cell>
          <cell r="HI69">
            <v>1.2438195940522197E-2</v>
          </cell>
          <cell r="HJ69">
            <v>1.1734629686318379E-2</v>
          </cell>
          <cell r="HK69">
            <v>1.1070919494225161E-2</v>
          </cell>
          <cell r="HL69">
            <v>1.0444803170023739E-2</v>
          </cell>
          <cell r="HM69">
            <v>9.8541472488810154E-3</v>
          </cell>
          <cell r="HN69">
            <v>9.2969396454384966E-3</v>
          </cell>
          <cell r="HO69">
            <v>8.7712827253869936E-3</v>
          </cell>
          <cell r="HP69">
            <v>8.2753867742220849E-3</v>
          </cell>
          <cell r="HQ69">
            <v>7.8075638402821364E-3</v>
          </cell>
          <cell r="HR69">
            <v>7.3662219305052866E-3</v>
          </cell>
          <cell r="HS69">
            <v>6.9498595385881403E-3</v>
          </cell>
          <cell r="HT69">
            <v>6.5570604864112376E-3</v>
          </cell>
          <cell r="HU69">
            <v>6.1864890607022877E-3</v>
          </cell>
          <cell r="HV69">
            <v>5.8368854279550794E-3</v>
          </cell>
          <cell r="HW69">
            <v>5.5070613116032013E-3</v>
          </cell>
          <cell r="HX69">
            <v>5.1958959163758076E-3</v>
          </cell>
          <cell r="HY69">
            <v>4.9023320856319422E-3</v>
          </cell>
          <cell r="HZ69">
            <v>4.6253726782938898E-3</v>
          </cell>
          <cell r="IA69">
            <v>4.3640771527706382E-3</v>
          </cell>
          <cell r="IB69">
            <v>4.1175583459925804E-3</v>
          </cell>
          <cell r="IC69">
            <v>3.8849794363635236E-3</v>
          </cell>
          <cell r="ID69">
            <v>3.6655510800819545E-3</v>
          </cell>
          <cell r="IE69">
            <v>3.4585287108923617E-3</v>
          </cell>
          <cell r="IF69">
            <v>3.2632099939000833E-3</v>
          </cell>
          <cell r="IG69">
            <v>3.0789324246228568E-3</v>
          </cell>
          <cell r="IH69">
            <v>2.9050710649609632E-3</v>
          </cell>
          <cell r="II69">
            <v>2.7410364082466779E-3</v>
          </cell>
          <cell r="IJ69">
            <v>2.5862723659845258E-3</v>
          </cell>
          <cell r="IK69">
            <v>2.4402543693198327E-3</v>
          </cell>
          <cell r="IL69">
            <v>2.3024875786721989E-3</v>
          </cell>
          <cell r="IM69">
            <v>2.1725051953490641E-3</v>
          </cell>
          <cell r="IN69">
            <v>2.0498668693088797E-3</v>
          </cell>
          <cell r="IO69">
            <v>1.9341571975791038E-3</v>
          </cell>
          <cell r="IP69">
            <v>1.8249843081490627E-3</v>
          </cell>
          <cell r="IQ69">
            <v>1.7219785244557292E-3</v>
          </cell>
          <cell r="IR69">
            <v>2.8933289190681569E-2</v>
          </cell>
        </row>
        <row r="70">
          <cell r="B70" t="str">
            <v>Residual income (operating)</v>
          </cell>
          <cell r="C70">
            <v>2476.4516539078327</v>
          </cell>
          <cell r="D70">
            <v>3216.8563461455965</v>
          </cell>
          <cell r="E70">
            <v>3376.2683462548466</v>
          </cell>
          <cell r="F70">
            <v>3753.258134485643</v>
          </cell>
          <cell r="G70">
            <v>3882.9256338888035</v>
          </cell>
          <cell r="H70">
            <v>4068.4740646072628</v>
          </cell>
          <cell r="I70">
            <v>4387.8548851983687</v>
          </cell>
          <cell r="J70">
            <v>4778.2188751482217</v>
          </cell>
          <cell r="K70">
            <v>5095.0866619994995</v>
          </cell>
          <cell r="L70">
            <v>5353.5166424586387</v>
          </cell>
          <cell r="M70">
            <v>5350.0624677228134</v>
          </cell>
          <cell r="N70">
            <v>5539.0765735069144</v>
          </cell>
          <cell r="O70">
            <v>5623.297379621954</v>
          </cell>
          <cell r="P70">
            <v>5700.9892770817587</v>
          </cell>
          <cell r="Q70">
            <v>5771.577755903696</v>
          </cell>
          <cell r="R70">
            <v>5770.7029040067455</v>
          </cell>
          <cell r="S70">
            <v>5768.0679940058053</v>
          </cell>
          <cell r="T70">
            <v>5766.9088164763871</v>
          </cell>
          <cell r="U70">
            <v>5765.7225503596646</v>
          </cell>
          <cell r="V70">
            <v>5764.5086930135913</v>
          </cell>
          <cell r="W70">
            <v>5763.2667325679595</v>
          </cell>
          <cell r="X70">
            <v>5761.9961476739354</v>
          </cell>
          <cell r="Y70">
            <v>5760.6964072499504</v>
          </cell>
          <cell r="Z70">
            <v>5759.3669702240431</v>
          </cell>
          <cell r="AA70">
            <v>5758.0072852726253</v>
          </cell>
          <cell r="AB70">
            <v>5756.6167905557204</v>
          </cell>
          <cell r="AC70">
            <v>5755.1949134486722</v>
          </cell>
          <cell r="AD70">
            <v>5753.7410702702791</v>
          </cell>
          <cell r="AE70">
            <v>5752.2546660073867</v>
          </cell>
          <cell r="AF70">
            <v>5750.7350940358529</v>
          </cell>
          <cell r="AG70">
            <v>5749.1817358378885</v>
          </cell>
          <cell r="AH70">
            <v>5747.5939607156752</v>
          </cell>
          <cell r="AI70">
            <v>5745.971125501228</v>
          </cell>
          <cell r="AJ70">
            <v>5744.3125742624234</v>
          </cell>
          <cell r="AK70">
            <v>5742.617638005102</v>
          </cell>
          <cell r="AL70">
            <v>5740.8856343711614</v>
          </cell>
          <cell r="AM70">
            <v>5739.1158673325535</v>
          </cell>
          <cell r="AN70">
            <v>5737.3076268810419</v>
          </cell>
          <cell r="AO70">
            <v>5735.460188713665</v>
          </cell>
          <cell r="AP70">
            <v>5733.5728139137345</v>
          </cell>
          <cell r="AQ70">
            <v>5731.6447486272691</v>
          </cell>
          <cell r="AR70">
            <v>5729.6752237347291</v>
          </cell>
          <cell r="AS70">
            <v>5727.6634545179031</v>
          </cell>
          <cell r="AT70">
            <v>5725.6086403218369</v>
          </cell>
          <cell r="AU70">
            <v>5723.5099642115983</v>
          </cell>
          <cell r="AV70">
            <v>5721.3665926238082</v>
          </cell>
          <cell r="AW70">
            <v>5719.1776750126919</v>
          </cell>
          <cell r="AX70">
            <v>5716.9423434905784</v>
          </cell>
          <cell r="AY70">
            <v>5714.6597124625951</v>
          </cell>
          <cell r="AZ70">
            <v>5712.3288782554973</v>
          </cell>
          <cell r="BA70">
            <v>5709.9489187403287</v>
          </cell>
          <cell r="BB70">
            <v>5707.5188929488759</v>
          </cell>
          <cell r="BC70">
            <v>5705.037840683628</v>
          </cell>
          <cell r="BD70">
            <v>5702.5047821211356</v>
          </cell>
          <cell r="BE70">
            <v>5699.9187174085473</v>
          </cell>
          <cell r="BF70">
            <v>5697.2786262531426</v>
          </cell>
          <cell r="BG70">
            <v>5694.583467504659</v>
          </cell>
          <cell r="BH70">
            <v>5691.8321787303048</v>
          </cell>
          <cell r="BI70">
            <v>5689.0236757820967</v>
          </cell>
          <cell r="BJ70">
            <v>5686.1568523565165</v>
          </cell>
          <cell r="BK70">
            <v>5683.2305795461307</v>
          </cell>
          <cell r="BL70">
            <v>5680.2437053830527</v>
          </cell>
          <cell r="BM70">
            <v>5677.1950543740459</v>
          </cell>
          <cell r="BN70">
            <v>5674.0834270269879</v>
          </cell>
          <cell r="BO70">
            <v>5670.9075993685747</v>
          </cell>
          <cell r="BP70">
            <v>5667.6663224529748</v>
          </cell>
          <cell r="BQ70">
            <v>5664.3583218612766</v>
          </cell>
          <cell r="BR70">
            <v>5660.9822971914509</v>
          </cell>
          <cell r="BS70">
            <v>5657.5369215386654</v>
          </cell>
          <cell r="BT70">
            <v>5654.0208409656698</v>
          </cell>
          <cell r="BU70">
            <v>5650.4326739630578</v>
          </cell>
          <cell r="BV70">
            <v>5646.7710108991632</v>
          </cell>
          <cell r="BW70">
            <v>5643.0344134593615</v>
          </cell>
          <cell r="BX70">
            <v>5639.2214140744873</v>
          </cell>
          <cell r="BY70">
            <v>5635.3305153382371</v>
          </cell>
          <cell r="BZ70">
            <v>5631.360189413168</v>
          </cell>
          <cell r="CA70">
            <v>5627.3088774251664</v>
          </cell>
          <cell r="CB70">
            <v>5623.1749888460399</v>
          </cell>
          <cell r="CC70">
            <v>5618.956900864061</v>
          </cell>
          <cell r="CD70">
            <v>5614.6529577420843</v>
          </cell>
          <cell r="CE70">
            <v>5610.2614701631392</v>
          </cell>
          <cell r="CF70">
            <v>5605.7807145629922</v>
          </cell>
          <cell r="CG70">
            <v>5601.2089324496883</v>
          </cell>
          <cell r="CH70">
            <v>5596.5443297095226</v>
          </cell>
          <cell r="CI70">
            <v>5591.7850758993518</v>
          </cell>
          <cell r="CJ70">
            <v>5586.9293035248156</v>
          </cell>
          <cell r="CK70">
            <v>5581.9751073043299</v>
          </cell>
          <cell r="CL70">
            <v>5576.9205434183532</v>
          </cell>
          <cell r="CM70">
            <v>5571.7636287438327</v>
          </cell>
          <cell r="CN70">
            <v>5566.5023400733371</v>
          </cell>
          <cell r="CO70">
            <v>5561.1346133186962</v>
          </cell>
          <cell r="CP70">
            <v>5555.6583426987308</v>
          </cell>
          <cell r="CQ70">
            <v>5550.0713799108162</v>
          </cell>
          <cell r="CR70">
            <v>5544.3715332859028</v>
          </cell>
          <cell r="CS70">
            <v>5538.556566926658</v>
          </cell>
          <cell r="CT70">
            <v>5532.6241998284204</v>
          </cell>
          <cell r="CU70">
            <v>5526.5721049825552</v>
          </cell>
          <cell r="CV70">
            <v>5520.3979084619241</v>
          </cell>
          <cell r="CW70">
            <v>5514.0991884880204</v>
          </cell>
          <cell r="CX70">
            <v>5507.6734744794812</v>
          </cell>
          <cell r="CY70">
            <v>5501.1182460815508</v>
          </cell>
          <cell r="CZ70">
            <v>5494.4309321761139</v>
          </cell>
          <cell r="DA70">
            <v>5487.6089098719094</v>
          </cell>
          <cell r="DB70">
            <v>5480.6495034745276</v>
          </cell>
          <cell r="DC70">
            <v>5473.5499834357506</v>
          </cell>
          <cell r="DD70">
            <v>5466.3075652819425</v>
          </cell>
          <cell r="DE70">
            <v>5458.9194085208364</v>
          </cell>
          <cell r="DF70">
            <v>5451.3826155265415</v>
          </cell>
          <cell r="DG70">
            <v>5443.694230402114</v>
          </cell>
          <cell r="DH70">
            <v>5435.8512378193918</v>
          </cell>
          <cell r="DI70">
            <v>5427.8505618355848</v>
          </cell>
          <cell r="DJ70">
            <v>5419.6890646861066</v>
          </cell>
          <cell r="DK70">
            <v>5411.3635455532349</v>
          </cell>
          <cell r="DL70">
            <v>5402.8707393101067</v>
          </cell>
          <cell r="DM70">
            <v>5394.2073152395096</v>
          </cell>
          <cell r="DN70">
            <v>5385.3698757270104</v>
          </cell>
          <cell r="DO70">
            <v>5376.3549549279123</v>
          </cell>
          <cell r="DP70">
            <v>5367.1590174074372</v>
          </cell>
          <cell r="DQ70">
            <v>5357.7784567536946</v>
          </cell>
          <cell r="DR70">
            <v>5348.2095941628577</v>
          </cell>
          <cell r="DS70">
            <v>5338.4486769959331</v>
          </cell>
          <cell r="DT70">
            <v>5328.4918773066747</v>
          </cell>
          <cell r="DU70">
            <v>5318.33529033995</v>
          </cell>
          <cell r="DV70">
            <v>5307.9749329999686</v>
          </cell>
          <cell r="DW70">
            <v>5297.406742287938</v>
          </cell>
          <cell r="DX70">
            <v>5286.626573708294</v>
          </cell>
          <cell r="DY70">
            <v>5275.6301996430193</v>
          </cell>
          <cell r="DZ70">
            <v>5264.4133076934741</v>
          </cell>
          <cell r="EA70">
            <v>5252.971498988838</v>
          </cell>
          <cell r="EB70">
            <v>5241.3002864607988</v>
          </cell>
          <cell r="EC70">
            <v>5229.3950930836218</v>
          </cell>
          <cell r="ED70">
            <v>5217.2512500789671</v>
          </cell>
          <cell r="EE70">
            <v>5204.8639950846846</v>
          </cell>
          <cell r="EF70">
            <v>5192.2284702870311</v>
          </cell>
          <cell r="EG70">
            <v>5179.339720515396</v>
          </cell>
          <cell r="EH70">
            <v>5166.1926912988492</v>
          </cell>
          <cell r="EI70">
            <v>5152.7822268838281</v>
          </cell>
          <cell r="EJ70">
            <v>5139.103068212069</v>
          </cell>
          <cell r="EK70">
            <v>5125.1498508579825</v>
          </cell>
          <cell r="EL70">
            <v>5110.9171029249119</v>
          </cell>
          <cell r="EM70">
            <v>5096.3992428990314</v>
          </cell>
          <cell r="EN70">
            <v>5081.5905774603452</v>
          </cell>
          <cell r="EO70">
            <v>5066.4852992499509</v>
          </cell>
          <cell r="EP70">
            <v>5051.0774845924607</v>
          </cell>
          <cell r="EQ70">
            <v>5035.3610911728611</v>
          </cell>
          <cell r="ER70">
            <v>5019.3299556668353</v>
          </cell>
          <cell r="ES70">
            <v>5002.9777913237194</v>
          </cell>
          <cell r="ET70">
            <v>4986.2981855009421</v>
          </cell>
          <cell r="EU70">
            <v>4969.2845971491915</v>
          </cell>
          <cell r="EV70">
            <v>4951.9303542471753</v>
          </cell>
          <cell r="EW70">
            <v>4934.2286511851271</v>
          </cell>
          <cell r="EX70">
            <v>4916.1725460957387</v>
          </cell>
          <cell r="EY70">
            <v>4897.7549581318308</v>
          </cell>
          <cell r="EZ70">
            <v>4878.968664689557</v>
          </cell>
          <cell r="FA70">
            <v>4859.8062985757133</v>
          </cell>
          <cell r="FB70">
            <v>4840.2603451189061</v>
          </cell>
          <cell r="FC70">
            <v>4820.323139222266</v>
          </cell>
          <cell r="FD70">
            <v>4799.9868623575749</v>
          </cell>
          <cell r="FE70">
            <v>4779.2435394991335</v>
          </cell>
          <cell r="FF70">
            <v>4758.0850359962933</v>
          </cell>
          <cell r="FG70">
            <v>4736.5030543831963</v>
          </cell>
          <cell r="FH70">
            <v>4714.4891311249958</v>
          </cell>
          <cell r="FI70">
            <v>4692.0346332986228</v>
          </cell>
          <cell r="FJ70">
            <v>4669.1307552073995</v>
          </cell>
          <cell r="FK70">
            <v>4645.7685149277822</v>
          </cell>
          <cell r="FL70">
            <v>4621.9387507868669</v>
          </cell>
          <cell r="FM70">
            <v>4597.6321177696809</v>
          </cell>
          <cell r="FN70">
            <v>4572.8390838544001</v>
          </cell>
          <cell r="FO70">
            <v>4547.5499262742524</v>
          </cell>
          <cell r="FP70">
            <v>4521.7547277046833</v>
          </cell>
          <cell r="FQ70">
            <v>4495.4433723740804</v>
          </cell>
          <cell r="FR70">
            <v>4468.6055420968769</v>
          </cell>
          <cell r="FS70">
            <v>4441.2307122271595</v>
          </cell>
          <cell r="FT70">
            <v>4413.3081475313084</v>
          </cell>
          <cell r="FU70">
            <v>4384.8268979780551</v>
          </cell>
          <cell r="FV70">
            <v>4355.7757944444602</v>
          </cell>
          <cell r="FW70">
            <v>4326.1434443356411</v>
          </cell>
          <cell r="FX70">
            <v>4295.9182271172758</v>
          </cell>
          <cell r="FY70">
            <v>4265.0882897583942</v>
          </cell>
          <cell r="FZ70">
            <v>4233.6415420830599</v>
          </cell>
          <cell r="GA70">
            <v>4201.5656520293269</v>
          </cell>
          <cell r="GB70">
            <v>4168.8480408128526</v>
          </cell>
          <cell r="GC70">
            <v>4135.4758779942349</v>
          </cell>
          <cell r="GD70">
            <v>4101.4360764474259</v>
          </cell>
          <cell r="GE70">
            <v>4066.7152872273</v>
          </cell>
          <cell r="GF70">
            <v>4031.2998943351558</v>
          </cell>
          <cell r="GG70">
            <v>3995.1760093786288</v>
          </cell>
          <cell r="GH70">
            <v>3958.3294661257241</v>
          </cell>
          <cell r="GI70">
            <v>3920.7458149489539</v>
          </cell>
          <cell r="GJ70">
            <v>3882.410317159316</v>
          </cell>
          <cell r="GK70">
            <v>3843.3079392258951</v>
          </cell>
          <cell r="GL70">
            <v>3803.423346880707</v>
          </cell>
          <cell r="GM70">
            <v>3762.7408991052071</v>
          </cell>
          <cell r="GN70">
            <v>3721.244641996338</v>
          </cell>
          <cell r="GO70">
            <v>3678.9183025103703</v>
          </cell>
          <cell r="GP70">
            <v>3635.7452820810431</v>
          </cell>
          <cell r="GQ70">
            <v>3591.7086501105514</v>
          </cell>
          <cell r="GR70">
            <v>3546.7911373299721</v>
          </cell>
          <cell r="GS70">
            <v>3500.9751290269778</v>
          </cell>
          <cell r="GT70">
            <v>3454.2426581381878</v>
          </cell>
          <cell r="GU70">
            <v>3406.5753982031893</v>
          </cell>
          <cell r="GV70">
            <v>3357.9546561776369</v>
          </cell>
          <cell r="GW70">
            <v>3308.3613651028427</v>
          </cell>
          <cell r="GX70">
            <v>3257.7760766282445</v>
          </cell>
          <cell r="GY70">
            <v>3206.1789533848059</v>
          </cell>
          <cell r="GZ70">
            <v>3153.5497612057079</v>
          </cell>
          <cell r="HA70">
            <v>3099.8678611911309</v>
          </cell>
          <cell r="HB70">
            <v>3045.1122016147419</v>
          </cell>
          <cell r="HC70">
            <v>2989.2613096681307</v>
          </cell>
          <cell r="HD70">
            <v>2932.2932830399368</v>
          </cell>
          <cell r="HE70">
            <v>2874.1857813268434</v>
          </cell>
          <cell r="HF70">
            <v>2814.9160172727425</v>
          </cell>
          <cell r="HG70">
            <v>2754.4607478322578</v>
          </cell>
          <cell r="HH70">
            <v>2692.7962650559493</v>
          </cell>
          <cell r="HI70">
            <v>2629.8983867932111</v>
          </cell>
          <cell r="HJ70">
            <v>2565.742447208846</v>
          </cell>
          <cell r="HK70">
            <v>2500.3032871105243</v>
          </cell>
          <cell r="HL70">
            <v>2433.5552440819447</v>
          </cell>
          <cell r="HM70">
            <v>2365.472142419545</v>
          </cell>
          <cell r="HN70">
            <v>2296.0272828673478</v>
          </cell>
          <cell r="HO70">
            <v>2225.1934321467998</v>
          </cell>
          <cell r="HP70">
            <v>2152.9428122768295</v>
          </cell>
          <cell r="HQ70">
            <v>2079.2470896806335</v>
          </cell>
          <cell r="HR70">
            <v>2004.0773640745319</v>
          </cell>
          <cell r="HS70">
            <v>1927.4041571345297</v>
          </cell>
          <cell r="HT70">
            <v>1849.1974009359255</v>
          </cell>
          <cell r="HU70">
            <v>1769.4264261624194</v>
          </cell>
          <cell r="HV70">
            <v>1688.0599500785465</v>
          </cell>
          <cell r="HW70">
            <v>1605.0660642619478</v>
          </cell>
          <cell r="HX70">
            <v>1520.4122220906429</v>
          </cell>
          <cell r="HY70">
            <v>1434.0652259791968</v>
          </cell>
          <cell r="HZ70">
            <v>1345.9912143603433</v>
          </cell>
          <cell r="IA70">
            <v>1256.1556484057801</v>
          </cell>
          <cell r="IB70">
            <v>1164.5232984815957</v>
          </cell>
          <cell r="IC70">
            <v>1071.0582303328556</v>
          </cell>
          <cell r="ID70">
            <v>975.72379099141108</v>
          </cell>
          <cell r="IE70">
            <v>878.48259440244874</v>
          </cell>
          <cell r="IF70">
            <v>779.29650676331948</v>
          </cell>
          <cell r="IG70">
            <v>678.12663156894268</v>
          </cell>
          <cell r="IH70">
            <v>574.93329435825581</v>
          </cell>
          <cell r="II70">
            <v>469.67602715577232</v>
          </cell>
          <cell r="IJ70">
            <v>362.3135526017868</v>
          </cell>
          <cell r="IK70">
            <v>252.80376776494086</v>
          </cell>
          <cell r="IL70">
            <v>141.10372763150372</v>
          </cell>
          <cell r="IM70">
            <v>27.16962826391682</v>
          </cell>
          <cell r="IN70">
            <v>-89.043210376636125</v>
          </cell>
          <cell r="IO70">
            <v>-207.58036195242312</v>
          </cell>
          <cell r="IP70">
            <v>-328.48831162136048</v>
          </cell>
          <cell r="IQ70">
            <v>-451.81447426544037</v>
          </cell>
          <cell r="IR70">
            <v>-577.60721308575012</v>
          </cell>
        </row>
        <row r="71">
          <cell r="B71" t="str">
            <v>PVRI (operating)</v>
          </cell>
          <cell r="C71">
            <v>2291.1837037640512</v>
          </cell>
          <cell r="D71">
            <v>2753.5424911395321</v>
          </cell>
          <cell r="E71">
            <v>2673.7889877037942</v>
          </cell>
          <cell r="F71">
            <v>2749.974491669398</v>
          </cell>
          <cell r="G71">
            <v>2632.1422817485136</v>
          </cell>
          <cell r="H71">
            <v>2551.5959147551935</v>
          </cell>
          <cell r="I71">
            <v>2546.0249791677816</v>
          </cell>
          <cell r="J71">
            <v>2565.1129976254488</v>
          </cell>
          <cell r="K71">
            <v>2530.5917902437254</v>
          </cell>
          <cell r="L71">
            <v>2460.0262102245902</v>
          </cell>
          <cell r="M71">
            <v>2274.5185747068031</v>
          </cell>
          <cell r="N71">
            <v>2178.7031514758319</v>
          </cell>
          <cell r="O71">
            <v>2046.358885032766</v>
          </cell>
          <cell r="P71">
            <v>1919.4244923690924</v>
          </cell>
          <cell r="Q71">
            <v>1797.8167266561036</v>
          </cell>
          <cell r="R71">
            <v>1663.0665917678753</v>
          </cell>
          <cell r="S71">
            <v>1537.9469403735229</v>
          </cell>
          <cell r="T71">
            <v>1422.604321256855</v>
          </cell>
          <cell r="U71">
            <v>1315.9059079037697</v>
          </cell>
          <cell r="V71">
            <v>1217.204229704628</v>
          </cell>
          <cell r="W71">
            <v>1125.9002924715217</v>
          </cell>
          <cell r="X71">
            <v>1041.4399501544592</v>
          </cell>
          <cell r="Y71">
            <v>963.31054805783083</v>
          </cell>
          <cell r="Z71">
            <v>891.03781724423163</v>
          </cell>
          <cell r="AA71">
            <v>824.18300133233402</v>
          </cell>
          <cell r="AB71">
            <v>762.34019830148327</v>
          </cell>
          <cell r="AC71">
            <v>705.13390121645637</v>
          </cell>
          <cell r="AD71">
            <v>652.21672298929025</v>
          </cell>
          <cell r="AE71">
            <v>603.26729140852592</v>
          </cell>
          <cell r="AF71">
            <v>557.98830169634653</v>
          </cell>
          <cell r="AG71">
            <v>516.10471480715944</v>
          </cell>
          <cell r="AH71">
            <v>477.36209056295121</v>
          </cell>
          <cell r="AI71">
            <v>441.52504553654779</v>
          </cell>
          <cell r="AJ71">
            <v>408.37582634869216</v>
          </cell>
          <cell r="AK71">
            <v>377.71298974316755</v>
          </cell>
          <cell r="AL71">
            <v>349.35018145026373</v>
          </cell>
          <cell r="AM71">
            <v>323.11500644663067</v>
          </cell>
          <cell r="AN71">
            <v>298.84798377258397</v>
          </cell>
          <cell r="AO71">
            <v>276.4015795795865</v>
          </cell>
          <cell r="AP71">
            <v>255.63931255400243</v>
          </cell>
          <cell r="AQ71">
            <v>236.43492630119073</v>
          </cell>
          <cell r="AR71">
            <v>218.67162367920241</v>
          </cell>
          <cell r="AS71">
            <v>202.24135844623783</v>
          </cell>
          <cell r="AT71">
            <v>187.04417993286327</v>
          </cell>
          <cell r="AU71">
            <v>172.98762677088081</v>
          </cell>
          <cell r="AV71">
            <v>159.98616600764157</v>
          </cell>
          <cell r="AW71">
            <v>147.96067420926519</v>
          </cell>
          <cell r="AX71">
            <v>136.83795741036926</v>
          </cell>
          <cell r="AY71">
            <v>126.55030700302319</v>
          </cell>
          <cell r="AZ71">
            <v>117.03508887518041</v>
          </cell>
          <cell r="BA71">
            <v>108.23436331009167</v>
          </cell>
          <cell r="BB71">
            <v>100.09453334441029</v>
          </cell>
          <cell r="BC71">
            <v>92.566019454964731</v>
          </cell>
          <cell r="BD71">
            <v>85.602958603560779</v>
          </cell>
          <cell r="BE71">
            <v>79.162925816631997</v>
          </cell>
          <cell r="BF71">
            <v>73.206676612984907</v>
          </cell>
          <cell r="BG71">
            <v>67.697908719104831</v>
          </cell>
          <cell r="BH71">
            <v>62.603041628267384</v>
          </cell>
          <cell r="BI71">
            <v>57.891012667736526</v>
          </cell>
          <cell r="BJ71">
            <v>53.533088338292437</v>
          </cell>
          <cell r="BK71">
            <v>49.502689782806335</v>
          </cell>
          <cell r="BL71">
            <v>45.775231326141785</v>
          </cell>
          <cell r="BM71">
            <v>42.32797110781835</v>
          </cell>
          <cell r="BN71">
            <v>39.139872902109225</v>
          </cell>
          <cell r="BO71">
            <v>36.191478288000312</v>
          </cell>
          <cell r="BP71">
            <v>33.46478839412385</v>
          </cell>
          <cell r="BQ71">
            <v>30.943154501776039</v>
          </cell>
          <cell r="BR71">
            <v>28.611176842783518</v>
          </cell>
          <cell r="BS71">
            <v>26.454610978625542</v>
          </cell>
          <cell r="BT71">
            <v>24.460281193145139</v>
          </cell>
          <cell r="BU71">
            <v>22.616000373672776</v>
          </cell>
          <cell r="BV71">
            <v>20.910495894696975</v>
          </cell>
          <cell r="BW71">
            <v>19.333341054585009</v>
          </cell>
          <cell r="BX71">
            <v>17.87489164950442</v>
          </cell>
          <cell r="BY71">
            <v>16.526227299825916</v>
          </cell>
          <cell r="BZ71">
            <v>15.27909717308745</v>
          </cell>
          <cell r="CA71">
            <v>14.125869774244705</v>
          </cell>
          <cell r="CB71">
            <v>13.05948649858329</v>
          </cell>
          <cell r="CC71">
            <v>12.073418665474048</v>
          </cell>
          <cell r="CD71">
            <v>11.161627772251686</v>
          </cell>
          <cell r="CE71">
            <v>10.31852872701713</v>
          </cell>
          <cell r="CF71">
            <v>9.5389558372223906</v>
          </cell>
          <cell r="CG71">
            <v>8.8181313476049041</v>
          </cell>
          <cell r="CH71">
            <v>8.1516363364942048</v>
          </cell>
          <cell r="CI71">
            <v>7.5353837938143906</v>
          </cell>
          <cell r="CJ71">
            <v>6.9655937173349969</v>
          </cell>
          <cell r="CK71">
            <v>6.4387700759624442</v>
          </cell>
          <cell r="CL71">
            <v>5.9516795001869864</v>
          </cell>
          <cell r="CM71">
            <v>5.5013315702760481</v>
          </cell>
          <cell r="CN71">
            <v>5.0849605824957766</v>
          </cell>
          <cell r="CO71">
            <v>4.7000086826087752</v>
          </cell>
          <cell r="CP71">
            <v>4.344110264190471</v>
          </cell>
          <cell r="CQ71">
            <v>4.0150775369803346</v>
          </cell>
          <cell r="CR71">
            <v>3.7108871775833774</v>
          </cell>
          <cell r="CS71">
            <v>3.4296679814049216</v>
          </cell>
          <cell r="CT71">
            <v>3.1696894407778418</v>
          </cell>
          <cell r="CU71">
            <v>2.9293511798622829</v>
          </cell>
          <cell r="CV71">
            <v>2.7071731820982383</v>
          </cell>
          <cell r="CW71">
            <v>2.5017867508020917</v>
          </cell>
          <cell r="CX71">
            <v>2.3119261479488671</v>
          </cell>
          <cell r="CY71">
            <v>2.1364208602992503</v>
          </cell>
          <cell r="CZ71">
            <v>1.9741884458394705</v>
          </cell>
          <cell r="DA71">
            <v>1.8242279170259008</v>
          </cell>
          <cell r="DB71">
            <v>1.6856136205861656</v>
          </cell>
          <cell r="DC71">
            <v>1.5574895766442673</v>
          </cell>
          <cell r="DD71">
            <v>1.4390642427272198</v>
          </cell>
          <cell r="DE71">
            <v>1.329605670791532</v>
          </cell>
          <cell r="DF71">
            <v>1.2284370277956809</v>
          </cell>
          <cell r="DG71">
            <v>1.1349324525534092</v>
          </cell>
          <cell r="DH71">
            <v>1.0485132236461692</v>
          </cell>
          <cell r="DI71">
            <v>0.96864421506327902</v>
          </cell>
          <cell r="DJ71">
            <v>0.89483061798713093</v>
          </cell>
          <cell r="DK71">
            <v>0.82661490875849952</v>
          </cell>
          <cell r="DL71">
            <v>0.76357404455355538</v>
          </cell>
          <cell r="DM71">
            <v>0.70531686968859997</v>
          </cell>
          <cell r="DN71">
            <v>0.65148171674926991</v>
          </cell>
          <cell r="DO71">
            <v>0.60173418792570643</v>
          </cell>
          <cell r="DP71">
            <v>0.55576510303117677</v>
          </cell>
          <cell r="DQ71">
            <v>0.51328860169552593</v>
          </cell>
          <cell r="DR71">
            <v>0.47404038816273081</v>
          </cell>
          <cell r="DS71">
            <v>0.43777610798945449</v>
          </cell>
          <cell r="DT71">
            <v>0.4042698467441268</v>
          </cell>
          <cell r="DU71">
            <v>0.3733127415485209</v>
          </cell>
          <cell r="DV71">
            <v>0.34471169699063187</v>
          </cell>
          <cell r="DW71">
            <v>0.31828819757302318</v>
          </cell>
          <cell r="DX71">
            <v>0.29387720944851131</v>
          </cell>
          <cell r="DY71">
            <v>0.27132616473876392</v>
          </cell>
          <cell r="DZ71">
            <v>0.25049402223431377</v>
          </cell>
          <cell r="EA71">
            <v>0.23125039873969871</v>
          </cell>
          <cell r="EB71">
            <v>0.21347476575782889</v>
          </cell>
          <cell r="EC71">
            <v>0.19705570660574834</v>
          </cell>
          <cell r="ED71">
            <v>0.18189022942222061</v>
          </cell>
          <cell r="EE71">
            <v>0.16788313186820458</v>
          </cell>
          <cell r="EF71">
            <v>0.15494641363639575</v>
          </cell>
          <cell r="EG71">
            <v>0.14299873317746975</v>
          </cell>
          <cell r="EH71">
            <v>0.13196490532029378</v>
          </cell>
          <cell r="EI71">
            <v>0.12177543671277016</v>
          </cell>
          <cell r="EJ71">
            <v>0.11236609624067016</v>
          </cell>
          <cell r="EK71">
            <v>0.10367751779521367</v>
          </cell>
          <cell r="EL71">
            <v>9.5654832957548355E-2</v>
          </cell>
          <cell r="EM71">
            <v>8.8247331350851832E-2</v>
          </cell>
          <cell r="EN71">
            <v>8.1408146579687965E-2</v>
          </cell>
          <cell r="EO71">
            <v>7.5093965832461168E-2</v>
          </cell>
          <cell r="EP71">
            <v>6.9264761367311703E-2</v>
          </cell>
          <cell r="EQ71">
            <v>6.3883542235462373E-2</v>
          </cell>
          <cell r="ER71">
            <v>5.8916124719655662E-2</v>
          </cell>
          <cell r="ES71">
            <v>5.4330920079678741E-2</v>
          </cell>
          <cell r="ET71">
            <v>5.0098738302745381E-2</v>
          </cell>
          <cell r="EU71">
            <v>4.6192606654346421E-2</v>
          </cell>
          <cell r="EV71">
            <v>4.2587601915671701E-2</v>
          </cell>
          <cell r="EW71">
            <v>3.9260695277412425E-2</v>
          </cell>
          <cell r="EX71">
            <v>3.6190608937170229E-2</v>
          </cell>
          <cell r="EY71">
            <v>3.3357683519313751E-2</v>
          </cell>
          <cell r="EZ71">
            <v>3.074375550235316E-2</v>
          </cell>
          <cell r="FA71">
            <v>2.8332043900163469E-2</v>
          </cell>
          <cell r="FB71">
            <v>2.6107045500057185E-2</v>
          </cell>
          <cell r="FC71">
            <v>2.4054438013101039E-2</v>
          </cell>
          <cell r="FD71">
            <v>2.2160990540557854E-2</v>
          </cell>
          <cell r="FE71">
            <v>2.0414480805156263E-2</v>
          </cell>
          <cell r="FF71">
            <v>1.880361863736071E-2</v>
          </cell>
          <cell r="FG71">
            <v>1.7317975245162209E-2</v>
          </cell>
          <cell r="FH71">
            <v>1.5947917831383697E-2</v>
          </cell>
          <cell r="FI71">
            <v>1.4684549155293965E-2</v>
          </cell>
          <cell r="FJ71">
            <v>1.3519651665669638E-2</v>
          </cell>
          <cell r="FK71">
            <v>1.2445635860502001E-2</v>
          </cell>
          <cell r="FL71">
            <v>1.1455492554499193E-2</v>
          </cell>
          <cell r="FM71">
            <v>1.0542748759537417E-2</v>
          </cell>
          <cell r="FN71">
            <v>9.7014269054103985E-3</v>
          </cell>
          <cell r="FO71">
            <v>8.9260071487578772E-3</v>
          </cell>
          <cell r="FP71">
            <v>8.2113925370397405E-3</v>
          </cell>
          <cell r="FQ71">
            <v>7.5528768119808255E-3</v>
          </cell>
          <cell r="FR71">
            <v>6.9461146531513617E-3</v>
          </cell>
          <cell r="FS71">
            <v>6.3870941773642807E-3</v>
          </cell>
          <cell r="FT71">
            <v>5.8721115234599882E-3</v>
          </cell>
          <cell r="FU71">
            <v>5.3977473648924891E-3</v>
          </cell>
          <cell r="FV71">
            <v>4.9608452044087757E-3</v>
          </cell>
          <cell r="FW71">
            <v>4.5584913160965574E-3</v>
          </cell>
          <cell r="FX71">
            <v>4.1879962102347327E-3</v>
          </cell>
          <cell r="FY71">
            <v>3.8468775057725357E-3</v>
          </cell>
          <cell r="FZ71">
            <v>3.5328441039511427E-3</v>
          </cell>
          <cell r="GA71">
            <v>3.2437815646138546E-3</v>
          </cell>
          <cell r="GB71">
            <v>2.9777385941782194E-3</v>
          </cell>
          <cell r="GC71">
            <v>2.7329145611137916E-3</v>
          </cell>
          <cell r="GD71">
            <v>2.5076479611194106E-3</v>
          </cell>
          <cell r="GE71">
            <v>2.3004057600679736E-3</v>
          </cell>
          <cell r="GF71">
            <v>2.1097735482180219E-3</v>
          </cell>
          <cell r="GG71">
            <v>1.9344464442120307E-3</v>
          </cell>
          <cell r="GH71">
            <v>1.7732206920268053E-3</v>
          </cell>
          <cell r="GI71">
            <v>1.6249858983330432E-3</v>
          </cell>
          <cell r="GJ71">
            <v>1.4887178616932448E-3</v>
          </cell>
          <cell r="GK71">
            <v>1.3634719486961958E-3</v>
          </cell>
          <cell r="GL71">
            <v>1.2483769755222186E-3</v>
          </cell>
          <cell r="GM71">
            <v>1.1426295565703007E-3</v>
          </cell>
          <cell r="GN71">
            <v>1.0454888846805907E-3</v>
          </cell>
          <cell r="GO71">
            <v>9.5627191016862793E-4</v>
          </cell>
          <cell r="GP71">
            <v>8.7434888836762691E-4</v>
          </cell>
          <cell r="GQ71">
            <v>7.991392676691074E-4</v>
          </cell>
          <cell r="GR71">
            <v>7.3010789217190376E-4</v>
          </cell>
          <cell r="GS71">
            <v>6.6676149501022604E-4</v>
          </cell>
          <cell r="GT71">
            <v>6.0864546024362121E-4</v>
          </cell>
          <cell r="GU71">
            <v>5.5534083286711466E-4</v>
          </cell>
          <cell r="GV71">
            <v>5.0646155804888221E-4</v>
          </cell>
          <cell r="GW71">
            <v>4.6165193213475723E-4</v>
          </cell>
          <cell r="GX71">
            <v>4.205842492825512E-4</v>
          </cell>
          <cell r="GY71">
            <v>3.8295662881320625E-4</v>
          </cell>
          <cell r="GZ71">
            <v>3.4849100949684676E-4</v>
          </cell>
          <cell r="HA71">
            <v>3.1693129803767609E-4</v>
          </cell>
          <cell r="HB71">
            <v>2.8804165998848579E-4</v>
          </cell>
          <cell r="HC71">
            <v>2.6160494221899133E-4</v>
          </cell>
          <cell r="HD71">
            <v>2.3742121688832103E-4</v>
          </cell>
          <cell r="HE71">
            <v>2.1530643763555005E-4</v>
          </cell>
          <cell r="HF71">
            <v>1.9509119940784662E-4</v>
          </cell>
          <cell r="HG71">
            <v>1.766195939981417E-4</v>
          </cell>
          <cell r="HH71">
            <v>1.5974815396726868E-4</v>
          </cell>
          <cell r="HI71">
            <v>1.4434487818269797E-4</v>
          </cell>
          <cell r="HJ71">
            <v>1.3028833272108684E-4</v>
          </cell>
          <cell r="HK71">
            <v>1.1746682135797978E-4</v>
          </cell>
          <cell r="HL71">
            <v>1.0577762030783343E-4</v>
          </cell>
          <cell r="HM71">
            <v>9.5126272284317716E-5</v>
          </cell>
          <cell r="HN71">
            <v>8.5425935326459665E-5</v>
          </cell>
          <cell r="HO71">
            <v>7.659678218359148E-5</v>
          </cell>
          <cell r="HP71">
            <v>6.8565446372921419E-5</v>
          </cell>
          <cell r="HQ71">
            <v>6.1264511320168296E-5</v>
          </cell>
          <cell r="HR71">
            <v>5.4632039267714E-5</v>
          </cell>
          <cell r="HS71">
            <v>4.8611136887984962E-5</v>
          </cell>
          <cell r="HT71">
            <v>4.3149554773773859E-5</v>
          </cell>
          <cell r="HU71">
            <v>3.8199318193462347E-5</v>
          </cell>
          <cell r="HV71">
            <v>3.3716386698825461E-5</v>
          </cell>
          <cell r="HW71">
            <v>2.9660340357763932E-5</v>
          </cell>
          <cell r="HX71">
            <v>2.599409055482317E-5</v>
          </cell>
          <cell r="HY71">
            <v>2.2683613459912652E-5</v>
          </cell>
          <cell r="HZ71">
            <v>1.96977044112704E-5</v>
          </cell>
          <cell r="IA71">
            <v>1.7007751593154655E-5</v>
          </cell>
          <cell r="IB71">
            <v>1.4587527513025368E-5</v>
          </cell>
          <cell r="IC71">
            <v>1.2412996897739247E-5</v>
          </cell>
          <cell r="ID71">
            <v>1.0462139734305731E-5</v>
          </cell>
          <cell r="IE71">
            <v>8.7147882787097696E-6</v>
          </cell>
          <cell r="IF71">
            <v>7.152476946749064E-6</v>
          </cell>
          <cell r="IG71">
            <v>5.7583040844068845E-6</v>
          </cell>
          <cell r="IH71">
            <v>4.5168046924621829E-6</v>
          </cell>
          <cell r="II71">
            <v>3.4138332513169689E-6</v>
          </cell>
          <cell r="IJ71">
            <v>2.4364558578519933E-6</v>
          </cell>
          <cell r="IK71">
            <v>1.5728509469243761E-6</v>
          </cell>
          <cell r="IL71">
            <v>8.1221792627274381E-7</v>
          </cell>
          <cell r="IM71">
            <v>1.4469310543341987E-7</v>
          </cell>
          <cell r="IN71">
            <v>-4.3872765283497905E-7</v>
          </cell>
          <cell r="IO71">
            <v>-9.4626008593119636E-7</v>
          </cell>
          <cell r="IP71">
            <v>-1.3853969760652863E-6</v>
          </cell>
          <cell r="IQ71">
            <v>-1.7629683349756388E-6</v>
          </cell>
          <cell r="IR71">
            <v>-2.0851967427166401E-6</v>
          </cell>
        </row>
        <row r="73">
          <cell r="B73" t="str">
            <v>Financing and Other</v>
          </cell>
        </row>
        <row r="74">
          <cell r="B74" t="str">
            <v>Net financial expense (income)</v>
          </cell>
          <cell r="C74">
            <v>456.46517399999993</v>
          </cell>
          <cell r="D74">
            <v>454.70768556267086</v>
          </cell>
          <cell r="E74">
            <v>454.61152912801708</v>
          </cell>
          <cell r="F74">
            <v>453.65125296202223</v>
          </cell>
          <cell r="G74">
            <v>451.6253835447684</v>
          </cell>
          <cell r="H74">
            <v>449.47174076622809</v>
          </cell>
          <cell r="I74">
            <v>447.34541630809906</v>
          </cell>
          <cell r="J74">
            <v>445.31902902470199</v>
          </cell>
          <cell r="K74">
            <v>442.87280528915676</v>
          </cell>
          <cell r="L74">
            <v>440.38404035144265</v>
          </cell>
          <cell r="M74">
            <v>-57.422238377273061</v>
          </cell>
          <cell r="N74">
            <v>-22.010939072708901</v>
          </cell>
          <cell r="O74">
            <v>15.449824082791778</v>
          </cell>
          <cell r="P74">
            <v>52.697569688197504</v>
          </cell>
          <cell r="Q74">
            <v>89.506994461696479</v>
          </cell>
          <cell r="R74">
            <v>126.00203498478115</v>
          </cell>
          <cell r="S74">
            <v>134.34597762482105</v>
          </cell>
          <cell r="T74">
            <v>138.01673329072577</v>
          </cell>
          <cell r="U74">
            <v>141.7732701099055</v>
          </cell>
          <cell r="V74">
            <v>145.61717979381262</v>
          </cell>
          <cell r="W74">
            <v>149.55008327660596</v>
          </cell>
          <cell r="X74">
            <v>153.57363150833584</v>
          </cell>
          <cell r="Y74">
            <v>157.68950625958075</v>
          </cell>
          <cell r="Z74">
            <v>161.89942093741391</v>
          </cell>
          <cell r="AA74">
            <v>166.20512141261861</v>
          </cell>
          <cell r="AB74">
            <v>170.60838685811228</v>
          </cell>
          <cell r="AC74">
            <v>175.1110305985716</v>
          </cell>
          <cell r="AD74">
            <v>179.71490097129856</v>
          </cell>
          <cell r="AE74">
            <v>184.42188219839025</v>
          </cell>
          <cell r="AF74">
            <v>189.23389527032168</v>
          </cell>
          <cell r="AG74">
            <v>194.15289884108054</v>
          </cell>
          <cell r="AH74">
            <v>199.18089013502032</v>
          </cell>
          <cell r="AI74">
            <v>204.31990586563799</v>
          </cell>
          <cell r="AJ74">
            <v>209.57202316650364</v>
          </cell>
          <cell r="AK74">
            <v>214.93936053460277</v>
          </cell>
          <cell r="AL74">
            <v>220.42407878637459</v>
          </cell>
          <cell r="AM74">
            <v>226.02838202676068</v>
          </cell>
          <cell r="AN74">
            <v>231.75451863159296</v>
          </cell>
          <cell r="AO74">
            <v>237.60478224367836</v>
          </cell>
          <cell r="AP74">
            <v>243.58151278296253</v>
          </cell>
          <cell r="AQ74">
            <v>249.68709747116213</v>
          </cell>
          <cell r="AR74">
            <v>255.92397187128881</v>
          </cell>
          <cell r="AS74">
            <v>262.29462094248998</v>
          </cell>
          <cell r="AT74">
            <v>268.80158011066584</v>
          </cell>
          <cell r="AU74">
            <v>275.44743635531995</v>
          </cell>
          <cell r="AV74">
            <v>282.23482931312537</v>
          </cell>
          <cell r="AW74">
            <v>289.16645239870007</v>
          </cell>
          <cell r="AX74">
            <v>296.24505394310387</v>
          </cell>
          <cell r="AY74">
            <v>303.47343835056205</v>
          </cell>
          <cell r="AZ74">
            <v>310.85446727396061</v>
          </cell>
          <cell r="BA74">
            <v>318.39106080964268</v>
          </cell>
          <cell r="BB74">
            <v>326.08619871207077</v>
          </cell>
          <cell r="BC74">
            <v>333.94292162890258</v>
          </cell>
          <cell r="BD74">
            <v>341.96433235706689</v>
          </cell>
          <cell r="BE74">
            <v>350.15359712040561</v>
          </cell>
          <cell r="BF74">
            <v>358.51394686949192</v>
          </cell>
          <cell r="BG74">
            <v>367.04867860420347</v>
          </cell>
          <cell r="BH74">
            <v>375.76115671967563</v>
          </cell>
          <cell r="BI74">
            <v>384.654814376243</v>
          </cell>
          <cell r="BJ74">
            <v>393.73315489399977</v>
          </cell>
          <cell r="BK74">
            <v>402.99975317260891</v>
          </cell>
          <cell r="BL74">
            <v>412.45825713701225</v>
          </cell>
          <cell r="BM74">
            <v>422.11238920968145</v>
          </cell>
          <cell r="BN74">
            <v>431.96594781007968</v>
          </cell>
          <cell r="BO74">
            <v>442.02280888200096</v>
          </cell>
          <cell r="BP74">
            <v>452.28692744946864</v>
          </cell>
          <cell r="BQ74">
            <v>462.7623392018711</v>
          </cell>
          <cell r="BR74">
            <v>473.45316210904451</v>
          </cell>
          <cell r="BS74">
            <v>484.36359806700466</v>
          </cell>
          <cell r="BT74">
            <v>495.49793457504074</v>
          </cell>
          <cell r="BU74">
            <v>506.860546444899</v>
          </cell>
          <cell r="BV74">
            <v>518.4558975428032</v>
          </cell>
          <cell r="BW74">
            <v>530.28854256503962</v>
          </cell>
          <cell r="BX74">
            <v>542.36312884788993</v>
          </cell>
          <cell r="BY74">
            <v>554.68439821265611</v>
          </cell>
          <cell r="BZ74">
            <v>567.25718884658011</v>
          </cell>
          <cell r="CA74">
            <v>580.08643722044019</v>
          </cell>
          <cell r="CB74">
            <v>593.17718004362519</v>
          </cell>
          <cell r="CC74">
            <v>606.53455625752076</v>
          </cell>
          <cell r="CD74">
            <v>620.16380906802408</v>
          </cell>
          <cell r="CE74">
            <v>634.07028801802983</v>
          </cell>
          <cell r="CF74">
            <v>648.25945110076225</v>
          </cell>
          <cell r="CG74">
            <v>662.73686691480168</v>
          </cell>
          <cell r="CH74">
            <v>677.50821686171696</v>
          </cell>
          <cell r="CI74">
            <v>692.57929738717939</v>
          </cell>
          <cell r="CJ74">
            <v>707.95602226649567</v>
          </cell>
          <cell r="CK74">
            <v>723.64442493548188</v>
          </cell>
          <cell r="CL74">
            <v>739.65066086762442</v>
          </cell>
          <cell r="CM74">
            <v>755.98100999850578</v>
          </cell>
          <cell r="CN74">
            <v>772.64187919846074</v>
          </cell>
          <cell r="CO74">
            <v>789.63980479447002</v>
          </cell>
          <cell r="CP74">
            <v>806.98145514231703</v>
          </cell>
          <cell r="CQ74">
            <v>824.67363325002373</v>
          </cell>
          <cell r="CR74">
            <v>842.72327945363713</v>
          </cell>
          <cell r="CS74">
            <v>861.13747414643535</v>
          </cell>
          <cell r="CT74">
            <v>879.92344056263983</v>
          </cell>
          <cell r="CU74">
            <v>899.08854761675877</v>
          </cell>
          <cell r="CV74">
            <v>918.64031279968856</v>
          </cell>
          <cell r="CW74">
            <v>938.58640513272144</v>
          </cell>
          <cell r="CX74">
            <v>958.93464818066161</v>
          </cell>
          <cell r="CY74">
            <v>979.69302312522495</v>
          </cell>
          <cell r="CZ74">
            <v>1000.8696718999436</v>
          </cell>
          <cell r="DA74">
            <v>1022.4729003878502</v>
          </cell>
          <cell r="DB74">
            <v>1044.511181683172</v>
          </cell>
          <cell r="DC74">
            <v>1066.9931594183581</v>
          </cell>
          <cell r="DD74">
            <v>1089.9276511577448</v>
          </cell>
          <cell r="DE74">
            <v>1113.3236518592043</v>
          </cell>
          <cell r="DF74">
            <v>1137.1903374051478</v>
          </cell>
          <cell r="DG74">
            <v>1161.5370682042774</v>
          </cell>
          <cell r="DH74">
            <v>1186.3733928655211</v>
          </cell>
          <cell r="DI74">
            <v>1211.7090519455758</v>
          </cell>
          <cell r="DJ74">
            <v>1237.5539817715803</v>
          </cell>
          <cell r="DK74">
            <v>1263.9183183403727</v>
          </cell>
          <cell r="DL74">
            <v>1290.8124012959202</v>
          </cell>
          <cell r="DM74">
            <v>1318.246777986458</v>
          </cell>
          <cell r="DN74">
            <v>1346.2322076029564</v>
          </cell>
          <cell r="DO74">
            <v>1374.7796654005203</v>
          </cell>
          <cell r="DP74">
            <v>1403.9003470044152</v>
          </cell>
          <cell r="DQ74">
            <v>1433.6056728023932</v>
          </cell>
          <cell r="DR74">
            <v>1463.9072924250574</v>
          </cell>
          <cell r="DS74">
            <v>1494.817089316012</v>
          </cell>
          <cell r="DT74">
            <v>1526.347185393633</v>
          </cell>
          <cell r="DU74">
            <v>1558.5099458062464</v>
          </cell>
          <cell r="DV74">
            <v>1591.3179837826144</v>
          </cell>
          <cell r="DW74">
            <v>1624.784165579626</v>
          </cell>
          <cell r="DX74">
            <v>1658.9216155291506</v>
          </cell>
          <cell r="DY74">
            <v>1693.7437211860035</v>
          </cell>
          <cell r="DZ74">
            <v>1729.2641385790876</v>
          </cell>
          <cell r="EA74">
            <v>1765.4967975677428</v>
          </cell>
          <cell r="EB74">
            <v>1802.4559073054425</v>
          </cell>
          <cell r="EC74">
            <v>1840.1559618129227</v>
          </cell>
          <cell r="ED74">
            <v>1878.6117456630134</v>
          </cell>
          <cell r="EE74">
            <v>1917.8383397793264</v>
          </cell>
          <cell r="EF74">
            <v>1957.8511273511331</v>
          </cell>
          <cell r="EG74">
            <v>1998.6657998667254</v>
          </cell>
          <cell r="EH74">
            <v>2040.298363267633</v>
          </cell>
          <cell r="EI74">
            <v>2082.7651442261267</v>
          </cell>
          <cell r="EJ74">
            <v>2126.0827965484468</v>
          </cell>
          <cell r="EK74">
            <v>2170.2683077062961</v>
          </cell>
          <cell r="EL74">
            <v>2215.3390054991391</v>
          </cell>
          <cell r="EM74">
            <v>2261.3125648499376</v>
          </cell>
          <cell r="EN74">
            <v>2308.2070147369909</v>
          </cell>
          <cell r="EO74">
            <v>2356.0407452645736</v>
          </cell>
          <cell r="EP74">
            <v>2404.8325148751696</v>
          </cell>
          <cell r="EQ74">
            <v>2454.6014577061546</v>
          </cell>
          <cell r="ER74">
            <v>2505.3670910937471</v>
          </cell>
          <cell r="ES74">
            <v>2557.1493232272442</v>
          </cell>
          <cell r="ET74">
            <v>2609.9684609564792</v>
          </cell>
          <cell r="EU74">
            <v>2663.8452177556396</v>
          </cell>
          <cell r="EV74">
            <v>2718.8007218464795</v>
          </cell>
          <cell r="EW74">
            <v>2774.8565244841961</v>
          </cell>
          <cell r="EX74">
            <v>2832.0346084091793</v>
          </cell>
          <cell r="EY74">
            <v>2890.3573964679372</v>
          </cell>
          <cell r="EZ74">
            <v>2949.8477604066175</v>
          </cell>
          <cell r="FA74">
            <v>3010.5290298405398</v>
          </cell>
          <cell r="FB74">
            <v>3072.4250014032905</v>
          </cell>
          <cell r="FC74">
            <v>3135.5599480789183</v>
          </cell>
          <cell r="FD74">
            <v>3199.9586287209672</v>
          </cell>
          <cell r="FE74">
            <v>3265.6462977619844</v>
          </cell>
          <cell r="FF74">
            <v>3332.6487151174065</v>
          </cell>
          <cell r="FG74">
            <v>3400.992156287637</v>
          </cell>
          <cell r="FH74">
            <v>3470.7034226623109</v>
          </cell>
          <cell r="FI74">
            <v>3541.8098520308035</v>
          </cell>
          <cell r="FJ74">
            <v>3614.3393293030331</v>
          </cell>
          <cell r="FK74">
            <v>3688.3202974448891</v>
          </cell>
          <cell r="FL74">
            <v>3763.7817686324033</v>
          </cell>
          <cell r="FM74">
            <v>3840.7533356292315</v>
          </cell>
          <cell r="FN74">
            <v>3919.2651833917344</v>
          </cell>
          <cell r="FO74">
            <v>3999.3481009063344</v>
          </cell>
          <cell r="FP74">
            <v>4081.0334932636943</v>
          </cell>
          <cell r="FQ74">
            <v>4164.3533939745657</v>
          </cell>
          <cell r="FR74">
            <v>4249.340477531995</v>
          </cell>
          <cell r="FS74">
            <v>4336.0280722249445</v>
          </cell>
          <cell r="FT74">
            <v>4424.4501732083017</v>
          </cell>
          <cell r="FU74">
            <v>4514.6414558343367</v>
          </cell>
          <cell r="FV74">
            <v>4606.6372892509989</v>
          </cell>
          <cell r="FW74">
            <v>4700.4737502721937</v>
          </cell>
          <cell r="FX74">
            <v>4796.1876375256115</v>
          </cell>
          <cell r="FY74">
            <v>4893.8164858836499</v>
          </cell>
          <cell r="FZ74">
            <v>4993.3985811829943</v>
          </cell>
          <cell r="GA74">
            <v>5094.9729752387138</v>
          </cell>
          <cell r="GB74">
            <v>5198.5795011587725</v>
          </cell>
          <cell r="GC74">
            <v>5304.2587889648912</v>
          </cell>
          <cell r="GD74">
            <v>5412.0522815258973</v>
          </cell>
          <cell r="GE74">
            <v>5522.0022508099237</v>
          </cell>
          <cell r="GF74">
            <v>5634.1518144616421</v>
          </cell>
          <cell r="GG74">
            <v>5748.5449527111841</v>
          </cell>
          <cell r="GH74">
            <v>5865.2265256213705</v>
          </cell>
          <cell r="GI74">
            <v>5984.2422906798438</v>
          </cell>
          <cell r="GJ74">
            <v>6105.6389207432749</v>
          </cell>
          <cell r="GK74">
            <v>6229.4640223404213</v>
          </cell>
          <cell r="GL74">
            <v>6355.7661543414397</v>
          </cell>
          <cell r="GM74">
            <v>6484.5948470005287</v>
          </cell>
          <cell r="GN74">
            <v>6616.0006213796632</v>
          </cell>
          <cell r="GO74">
            <v>6750.0350091607106</v>
          </cell>
          <cell r="GP74">
            <v>6886.7505728540318</v>
          </cell>
          <cell r="GQ74">
            <v>7026.2009264112057</v>
          </cell>
          <cell r="GR74">
            <v>7168.440756250111</v>
          </cell>
          <cell r="GS74">
            <v>7313.5258427006502</v>
          </cell>
          <cell r="GT74">
            <v>7461.5130818793723</v>
          </cell>
          <cell r="GU74">
            <v>7612.4605080016736</v>
          </cell>
          <cell r="GV74">
            <v>7766.427316140358</v>
          </cell>
          <cell r="GW74">
            <v>7923.4738854394036</v>
          </cell>
          <cell r="GX74">
            <v>8083.6618027920385</v>
          </cell>
          <cell r="GY74">
            <v>8247.0538869925003</v>
          </cell>
          <cell r="GZ74">
            <v>8413.7142133708785</v>
          </cell>
          <cell r="HA74">
            <v>8583.7081389206942</v>
          </cell>
          <cell r="HB74">
            <v>8757.1023279290985</v>
          </cell>
          <cell r="HC74">
            <v>8933.9647781197182</v>
          </cell>
          <cell r="HD74">
            <v>9114.3648473184803</v>
          </cell>
          <cell r="HE74">
            <v>9298.3732806527642</v>
          </cell>
          <cell r="HF74">
            <v>9486.0622382945585</v>
          </cell>
          <cell r="HG74">
            <v>9677.5053237586017</v>
          </cell>
          <cell r="HH74">
            <v>9872.7776127665329</v>
          </cell>
          <cell r="HI74">
            <v>10071.955682688311</v>
          </cell>
          <cell r="HJ74">
            <v>10275.11764257257</v>
          </cell>
          <cell r="HK74">
            <v>10482.343163777694</v>
          </cell>
          <cell r="HL74">
            <v>10693.713511215372</v>
          </cell>
          <cell r="HM74">
            <v>10909.311575219308</v>
          </cell>
          <cell r="HN74">
            <v>11129.221904051194</v>
          </cell>
          <cell r="HO74">
            <v>11353.53073705685</v>
          </cell>
          <cell r="HP74">
            <v>11582.326038485679</v>
          </cell>
          <cell r="HQ74">
            <v>11815.697531986345</v>
          </cell>
          <cell r="HR74">
            <v>12053.736735792614</v>
          </cell>
          <cell r="HS74">
            <v>12296.536998612823</v>
          </cell>
          <cell r="HT74">
            <v>12544.193536237219</v>
          </cell>
          <cell r="HU74">
            <v>12796.803468877457</v>
          </cell>
          <cell r="HV74">
            <v>13054.46585925303</v>
          </cell>
          <cell r="HW74">
            <v>13317.281751439345</v>
          </cell>
          <cell r="HX74">
            <v>13585.354210492882</v>
          </cell>
          <cell r="HY74">
            <v>13858.788362868816</v>
          </cell>
          <cell r="HZ74">
            <v>14137.691437647154</v>
          </cell>
          <cell r="IA74">
            <v>14422.172808583282</v>
          </cell>
          <cell r="IB74">
            <v>14712.344036999742</v>
          </cell>
          <cell r="IC74">
            <v>15008.318915535618</v>
          </cell>
          <cell r="ID74">
            <v>15310.21351277121</v>
          </cell>
          <cell r="IE74">
            <v>15618.146218745147</v>
          </cell>
          <cell r="IF74">
            <v>15932.237791381773</v>
          </cell>
          <cell r="IG74">
            <v>16252.611403847259</v>
          </cell>
          <cell r="IH74">
            <v>16579.392692852714</v>
          </cell>
          <cell r="II74">
            <v>16912.709807923668</v>
          </cell>
          <cell r="IJ74">
            <v>17252.693461654555</v>
          </cell>
          <cell r="IK74">
            <v>17599.476980968815</v>
          </cell>
          <cell r="IL74">
            <v>17953.196359403653</v>
          </cell>
          <cell r="IM74">
            <v>18313.990310441131</v>
          </cell>
          <cell r="IN74">
            <v>18682.000321905478</v>
          </cell>
          <cell r="IO74">
            <v>19057.370711448526</v>
          </cell>
          <cell r="IP74">
            <v>19440.248683144782</v>
          </cell>
          <cell r="IQ74">
            <v>19830.784385218711</v>
          </cell>
          <cell r="IR74">
            <v>20229.130968926238</v>
          </cell>
        </row>
        <row r="75">
          <cell r="B75" t="str">
            <v>Other nonoperating expense (income)</v>
          </cell>
          <cell r="C75">
            <v>126.30096972124602</v>
          </cell>
          <cell r="D75">
            <v>59.911778306288852</v>
          </cell>
          <cell r="E75">
            <v>-44.212334491829097</v>
          </cell>
          <cell r="F75">
            <v>-62.405350835659192</v>
          </cell>
          <cell r="G75">
            <v>-67.207570695311006</v>
          </cell>
          <cell r="H75">
            <v>-72.902780127482856</v>
          </cell>
          <cell r="I75">
            <v>-86.929356036972422</v>
          </cell>
          <cell r="J75">
            <v>-104.73595052504197</v>
          </cell>
          <cell r="K75">
            <v>-118.40188738195138</v>
          </cell>
          <cell r="L75">
            <v>-129.65556483956925</v>
          </cell>
          <cell r="M75">
            <v>-129.65556483956925</v>
          </cell>
          <cell r="N75">
            <v>-129.65556483956925</v>
          </cell>
          <cell r="O75">
            <v>-129.65556483956925</v>
          </cell>
          <cell r="P75">
            <v>-129.65556483956925</v>
          </cell>
          <cell r="Q75">
            <v>-129.65556483956925</v>
          </cell>
          <cell r="R75">
            <v>-129.65556483956925</v>
          </cell>
          <cell r="S75">
            <v>-129.65556483956925</v>
          </cell>
          <cell r="T75">
            <v>-129.65556483956925</v>
          </cell>
          <cell r="U75">
            <v>-129.65556483956925</v>
          </cell>
          <cell r="V75">
            <v>-129.65556483956925</v>
          </cell>
          <cell r="W75">
            <v>-129.65556483956925</v>
          </cell>
          <cell r="X75">
            <v>-129.65556483956925</v>
          </cell>
          <cell r="Y75">
            <v>-129.65556483956925</v>
          </cell>
          <cell r="Z75">
            <v>-129.65556483956925</v>
          </cell>
          <cell r="AA75">
            <v>-129.65556483956925</v>
          </cell>
          <cell r="AB75">
            <v>-129.65556483956925</v>
          </cell>
          <cell r="AC75">
            <v>-129.65556483956925</v>
          </cell>
          <cell r="AD75">
            <v>-129.65556483956925</v>
          </cell>
          <cell r="AE75">
            <v>-129.65556483956925</v>
          </cell>
          <cell r="AF75">
            <v>-129.65556483956925</v>
          </cell>
          <cell r="AG75">
            <v>-129.65556483956925</v>
          </cell>
          <cell r="AH75">
            <v>-129.65556483956925</v>
          </cell>
          <cell r="AI75">
            <v>-129.65556483956925</v>
          </cell>
          <cell r="AJ75">
            <v>-129.65556483956925</v>
          </cell>
          <cell r="AK75">
            <v>-129.65556483956925</v>
          </cell>
          <cell r="AL75">
            <v>-129.65556483956925</v>
          </cell>
          <cell r="AM75">
            <v>-129.65556483956925</v>
          </cell>
          <cell r="AN75">
            <v>-129.65556483956925</v>
          </cell>
          <cell r="AO75">
            <v>-129.65556483956925</v>
          </cell>
          <cell r="AP75">
            <v>-129.65556483956925</v>
          </cell>
          <cell r="AQ75">
            <v>-129.65556483956925</v>
          </cell>
          <cell r="AR75">
            <v>-129.65556483956925</v>
          </cell>
          <cell r="AS75">
            <v>-129.65556483956925</v>
          </cell>
          <cell r="AT75">
            <v>-129.65556483956925</v>
          </cell>
          <cell r="AU75">
            <v>-129.65556483956925</v>
          </cell>
          <cell r="AV75">
            <v>-129.65556483956925</v>
          </cell>
          <cell r="AW75">
            <v>-129.65556483956925</v>
          </cell>
          <cell r="AX75">
            <v>-129.65556483956925</v>
          </cell>
          <cell r="AY75">
            <v>-129.65556483956925</v>
          </cell>
          <cell r="AZ75">
            <v>-129.65556483956925</v>
          </cell>
          <cell r="BA75">
            <v>-129.65556483956925</v>
          </cell>
          <cell r="BB75">
            <v>-129.65556483956925</v>
          </cell>
          <cell r="BC75">
            <v>-129.65556483956925</v>
          </cell>
          <cell r="BD75">
            <v>-129.65556483956925</v>
          </cell>
          <cell r="BE75">
            <v>-129.65556483956925</v>
          </cell>
          <cell r="BF75">
            <v>-129.65556483956925</v>
          </cell>
          <cell r="BG75">
            <v>-129.65556483956925</v>
          </cell>
          <cell r="BH75">
            <v>-129.65556483956925</v>
          </cell>
          <cell r="BI75">
            <v>-129.65556483956925</v>
          </cell>
          <cell r="BJ75">
            <v>-129.65556483956925</v>
          </cell>
          <cell r="BK75">
            <v>-129.65556483956925</v>
          </cell>
          <cell r="BL75">
            <v>-129.65556483956925</v>
          </cell>
          <cell r="BM75">
            <v>-129.65556483956925</v>
          </cell>
          <cell r="BN75">
            <v>-129.65556483956925</v>
          </cell>
          <cell r="BO75">
            <v>-129.65556483956925</v>
          </cell>
          <cell r="BP75">
            <v>-129.65556483956925</v>
          </cell>
          <cell r="BQ75">
            <v>-129.65556483956925</v>
          </cell>
          <cell r="BR75">
            <v>-129.65556483956925</v>
          </cell>
          <cell r="BS75">
            <v>-129.65556483956925</v>
          </cell>
          <cell r="BT75">
            <v>-129.65556483956925</v>
          </cell>
          <cell r="BU75">
            <v>-129.65556483956925</v>
          </cell>
          <cell r="BV75">
            <v>-129.65556483956925</v>
          </cell>
          <cell r="BW75">
            <v>-129.65556483956925</v>
          </cell>
          <cell r="BX75">
            <v>-129.65556483956925</v>
          </cell>
          <cell r="BY75">
            <v>-129.65556483956925</v>
          </cell>
          <cell r="BZ75">
            <v>-129.65556483956925</v>
          </cell>
          <cell r="CA75">
            <v>-129.65556483956925</v>
          </cell>
          <cell r="CB75">
            <v>-129.65556483956925</v>
          </cell>
          <cell r="CC75">
            <v>-129.65556483956925</v>
          </cell>
          <cell r="CD75">
            <v>-129.65556483956925</v>
          </cell>
          <cell r="CE75">
            <v>-129.65556483956925</v>
          </cell>
          <cell r="CF75">
            <v>-129.65556483956925</v>
          </cell>
          <cell r="CG75">
            <v>-129.65556483956925</v>
          </cell>
          <cell r="CH75">
            <v>-129.65556483956925</v>
          </cell>
          <cell r="CI75">
            <v>-129.65556483956925</v>
          </cell>
          <cell r="CJ75">
            <v>-129.65556483956925</v>
          </cell>
          <cell r="CK75">
            <v>-129.65556483956925</v>
          </cell>
          <cell r="CL75">
            <v>-129.65556483956925</v>
          </cell>
          <cell r="CM75">
            <v>-129.65556483956925</v>
          </cell>
          <cell r="CN75">
            <v>-129.65556483956925</v>
          </cell>
          <cell r="CO75">
            <v>-129.65556483956925</v>
          </cell>
          <cell r="CP75">
            <v>-129.65556483956925</v>
          </cell>
          <cell r="CQ75">
            <v>-129.65556483956925</v>
          </cell>
          <cell r="CR75">
            <v>-129.65556483956925</v>
          </cell>
          <cell r="CS75">
            <v>-129.65556483956925</v>
          </cell>
          <cell r="CT75">
            <v>-129.65556483956925</v>
          </cell>
          <cell r="CU75">
            <v>-129.65556483956925</v>
          </cell>
          <cell r="CV75">
            <v>-129.65556483956925</v>
          </cell>
          <cell r="CW75">
            <v>-129.65556483956925</v>
          </cell>
          <cell r="CX75">
            <v>-129.65556483956925</v>
          </cell>
          <cell r="CY75">
            <v>-129.65556483956925</v>
          </cell>
          <cell r="CZ75">
            <v>-129.65556483956925</v>
          </cell>
          <cell r="DA75">
            <v>-129.65556483956925</v>
          </cell>
          <cell r="DB75">
            <v>-129.65556483956925</v>
          </cell>
          <cell r="DC75">
            <v>-129.65556483956925</v>
          </cell>
          <cell r="DD75">
            <v>-129.65556483956925</v>
          </cell>
          <cell r="DE75">
            <v>-129.65556483956925</v>
          </cell>
          <cell r="DF75">
            <v>-129.65556483956925</v>
          </cell>
          <cell r="DG75">
            <v>-129.65556483956925</v>
          </cell>
          <cell r="DH75">
            <v>-129.65556483956925</v>
          </cell>
          <cell r="DI75">
            <v>-129.65556483956925</v>
          </cell>
          <cell r="DJ75">
            <v>-129.65556483956925</v>
          </cell>
          <cell r="DK75">
            <v>-129.65556483956925</v>
          </cell>
          <cell r="DL75">
            <v>-129.65556483956925</v>
          </cell>
          <cell r="DM75">
            <v>-129.65556483956925</v>
          </cell>
          <cell r="DN75">
            <v>-129.65556483956925</v>
          </cell>
          <cell r="DO75">
            <v>-129.65556483956925</v>
          </cell>
          <cell r="DP75">
            <v>-129.65556483956925</v>
          </cell>
          <cell r="DQ75">
            <v>-129.65556483956925</v>
          </cell>
          <cell r="DR75">
            <v>-129.65556483956925</v>
          </cell>
          <cell r="DS75">
            <v>-129.65556483956925</v>
          </cell>
          <cell r="DT75">
            <v>-129.65556483956925</v>
          </cell>
          <cell r="DU75">
            <v>-129.65556483956925</v>
          </cell>
          <cell r="DV75">
            <v>-129.65556483956925</v>
          </cell>
          <cell r="DW75">
            <v>-129.65556483956925</v>
          </cell>
          <cell r="DX75">
            <v>-129.65556483956925</v>
          </cell>
          <cell r="DY75">
            <v>-129.65556483956925</v>
          </cell>
          <cell r="DZ75">
            <v>-129.65556483956925</v>
          </cell>
          <cell r="EA75">
            <v>-129.65556483956925</v>
          </cell>
          <cell r="EB75">
            <v>-129.65556483956925</v>
          </cell>
          <cell r="EC75">
            <v>-129.65556483956925</v>
          </cell>
          <cell r="ED75">
            <v>-129.65556483956925</v>
          </cell>
          <cell r="EE75">
            <v>-129.65556483956925</v>
          </cell>
          <cell r="EF75">
            <v>-129.65556483956925</v>
          </cell>
          <cell r="EG75">
            <v>-129.65556483956925</v>
          </cell>
          <cell r="EH75">
            <v>-129.65556483956925</v>
          </cell>
          <cell r="EI75">
            <v>-129.65556483956925</v>
          </cell>
          <cell r="EJ75">
            <v>-129.65556483956925</v>
          </cell>
          <cell r="EK75">
            <v>-129.65556483956925</v>
          </cell>
          <cell r="EL75">
            <v>-129.65556483956925</v>
          </cell>
          <cell r="EM75">
            <v>-129.65556483956925</v>
          </cell>
          <cell r="EN75">
            <v>-129.65556483956925</v>
          </cell>
          <cell r="EO75">
            <v>-129.65556483956925</v>
          </cell>
          <cell r="EP75">
            <v>-129.65556483956925</v>
          </cell>
          <cell r="EQ75">
            <v>-129.65556483956925</v>
          </cell>
          <cell r="ER75">
            <v>-129.65556483956925</v>
          </cell>
          <cell r="ES75">
            <v>-129.65556483956925</v>
          </cell>
          <cell r="ET75">
            <v>-129.65556483956925</v>
          </cell>
          <cell r="EU75">
            <v>-129.65556483956925</v>
          </cell>
          <cell r="EV75">
            <v>-129.65556483956925</v>
          </cell>
          <cell r="EW75">
            <v>-129.65556483956925</v>
          </cell>
          <cell r="EX75">
            <v>-129.65556483956925</v>
          </cell>
          <cell r="EY75">
            <v>-129.65556483956925</v>
          </cell>
          <cell r="EZ75">
            <v>-129.65556483956925</v>
          </cell>
          <cell r="FA75">
            <v>-129.65556483956925</v>
          </cell>
          <cell r="FB75">
            <v>-129.65556483956925</v>
          </cell>
          <cell r="FC75">
            <v>-129.65556483956925</v>
          </cell>
          <cell r="FD75">
            <v>-129.65556483956925</v>
          </cell>
          <cell r="FE75">
            <v>-129.65556483956925</v>
          </cell>
          <cell r="FF75">
            <v>-129.65556483956925</v>
          </cell>
          <cell r="FG75">
            <v>-129.65556483956925</v>
          </cell>
          <cell r="FH75">
            <v>-129.65556483956925</v>
          </cell>
          <cell r="FI75">
            <v>-129.65556483956925</v>
          </cell>
          <cell r="FJ75">
            <v>-129.65556483956925</v>
          </cell>
          <cell r="FK75">
            <v>-129.65556483956925</v>
          </cell>
          <cell r="FL75">
            <v>-129.65556483956925</v>
          </cell>
          <cell r="FM75">
            <v>-129.65556483956925</v>
          </cell>
          <cell r="FN75">
            <v>-129.65556483956925</v>
          </cell>
          <cell r="FO75">
            <v>-129.65556483956925</v>
          </cell>
          <cell r="FP75">
            <v>-129.65556483956925</v>
          </cell>
          <cell r="FQ75">
            <v>-129.65556483956925</v>
          </cell>
          <cell r="FR75">
            <v>-129.65556483956925</v>
          </cell>
          <cell r="FS75">
            <v>-129.65556483956925</v>
          </cell>
          <cell r="FT75">
            <v>-129.65556483956925</v>
          </cell>
          <cell r="FU75">
            <v>-129.65556483956925</v>
          </cell>
          <cell r="FV75">
            <v>-129.65556483956925</v>
          </cell>
          <cell r="FW75">
            <v>-129.65556483956925</v>
          </cell>
          <cell r="FX75">
            <v>-129.65556483956925</v>
          </cell>
          <cell r="FY75">
            <v>-129.65556483956925</v>
          </cell>
          <cell r="FZ75">
            <v>-129.65556483956925</v>
          </cell>
          <cell r="GA75">
            <v>-129.65556483956925</v>
          </cell>
          <cell r="GB75">
            <v>-129.65556483956925</v>
          </cell>
          <cell r="GC75">
            <v>-129.65556483956925</v>
          </cell>
          <cell r="GD75">
            <v>-129.65556483956925</v>
          </cell>
          <cell r="GE75">
            <v>-129.65556483956925</v>
          </cell>
          <cell r="GF75">
            <v>-129.65556483956925</v>
          </cell>
          <cell r="GG75">
            <v>-129.65556483956925</v>
          </cell>
          <cell r="GH75">
            <v>-129.65556483956925</v>
          </cell>
          <cell r="GI75">
            <v>-129.65556483956925</v>
          </cell>
          <cell r="GJ75">
            <v>-129.65556483956925</v>
          </cell>
          <cell r="GK75">
            <v>-129.65556483956925</v>
          </cell>
          <cell r="GL75">
            <v>-129.65556483956925</v>
          </cell>
          <cell r="GM75">
            <v>-129.65556483956925</v>
          </cell>
          <cell r="GN75">
            <v>-129.65556483956925</v>
          </cell>
          <cell r="GO75">
            <v>-129.65556483956925</v>
          </cell>
          <cell r="GP75">
            <v>-129.65556483956925</v>
          </cell>
          <cell r="GQ75">
            <v>-129.65556483956925</v>
          </cell>
          <cell r="GR75">
            <v>-129.65556483956925</v>
          </cell>
          <cell r="GS75">
            <v>-129.65556483956925</v>
          </cell>
          <cell r="GT75">
            <v>-129.65556483956925</v>
          </cell>
          <cell r="GU75">
            <v>-129.65556483956925</v>
          </cell>
          <cell r="GV75">
            <v>-129.65556483956925</v>
          </cell>
          <cell r="GW75">
            <v>-129.65556483956925</v>
          </cell>
          <cell r="GX75">
            <v>-129.65556483956925</v>
          </cell>
          <cell r="GY75">
            <v>-129.65556483956925</v>
          </cell>
          <cell r="GZ75">
            <v>-129.65556483956925</v>
          </cell>
          <cell r="HA75">
            <v>-129.65556483956925</v>
          </cell>
          <cell r="HB75">
            <v>-129.65556483956925</v>
          </cell>
          <cell r="HC75">
            <v>-129.65556483956925</v>
          </cell>
          <cell r="HD75">
            <v>-129.65556483956925</v>
          </cell>
          <cell r="HE75">
            <v>-129.65556483956925</v>
          </cell>
          <cell r="HF75">
            <v>-129.65556483956925</v>
          </cell>
          <cell r="HG75">
            <v>-129.65556483956925</v>
          </cell>
          <cell r="HH75">
            <v>-129.65556483956925</v>
          </cell>
          <cell r="HI75">
            <v>-129.65556483956925</v>
          </cell>
          <cell r="HJ75">
            <v>-129.65556483956925</v>
          </cell>
          <cell r="HK75">
            <v>-129.65556483956925</v>
          </cell>
          <cell r="HL75">
            <v>-129.65556483956925</v>
          </cell>
          <cell r="HM75">
            <v>-129.65556483956925</v>
          </cell>
          <cell r="HN75">
            <v>-129.65556483956925</v>
          </cell>
          <cell r="HO75">
            <v>-129.65556483956925</v>
          </cell>
          <cell r="HP75">
            <v>-129.65556483956925</v>
          </cell>
          <cell r="HQ75">
            <v>-129.65556483956925</v>
          </cell>
          <cell r="HR75">
            <v>-129.65556483956925</v>
          </cell>
          <cell r="HS75">
            <v>-129.65556483956925</v>
          </cell>
          <cell r="HT75">
            <v>-129.65556483956925</v>
          </cell>
          <cell r="HU75">
            <v>-129.65556483956925</v>
          </cell>
          <cell r="HV75">
            <v>-129.65556483956925</v>
          </cell>
          <cell r="HW75">
            <v>-129.65556483956925</v>
          </cell>
          <cell r="HX75">
            <v>-129.65556483956925</v>
          </cell>
          <cell r="HY75">
            <v>-129.65556483956925</v>
          </cell>
          <cell r="HZ75">
            <v>-129.65556483956925</v>
          </cell>
          <cell r="IA75">
            <v>-129.65556483956925</v>
          </cell>
          <cell r="IB75">
            <v>-129.65556483956925</v>
          </cell>
          <cell r="IC75">
            <v>-129.65556483956925</v>
          </cell>
          <cell r="ID75">
            <v>-129.65556483956925</v>
          </cell>
          <cell r="IE75">
            <v>-129.65556483956925</v>
          </cell>
          <cell r="IF75">
            <v>-129.65556483956925</v>
          </cell>
          <cell r="IG75">
            <v>-129.65556483956925</v>
          </cell>
          <cell r="IH75">
            <v>-129.65556483956925</v>
          </cell>
          <cell r="II75">
            <v>-129.65556483956925</v>
          </cell>
          <cell r="IJ75">
            <v>-129.65556483956925</v>
          </cell>
          <cell r="IK75">
            <v>-129.65556483956925</v>
          </cell>
          <cell r="IL75">
            <v>-129.65556483956925</v>
          </cell>
          <cell r="IM75">
            <v>-129.65556483956925</v>
          </cell>
          <cell r="IN75">
            <v>-129.65556483956925</v>
          </cell>
          <cell r="IO75">
            <v>-129.65556483956925</v>
          </cell>
          <cell r="IP75">
            <v>-129.65556483956925</v>
          </cell>
          <cell r="IQ75">
            <v>-129.65556483956925</v>
          </cell>
          <cell r="IR75">
            <v>-129.65556483956925</v>
          </cell>
        </row>
        <row r="76">
          <cell r="B76" t="str">
            <v>Net debt (cash)</v>
          </cell>
          <cell r="C76">
            <v>10111.003804622011</v>
          </cell>
          <cell r="D76">
            <v>10088.71793789894</v>
          </cell>
          <cell r="E76">
            <v>9399.5689962091783</v>
          </cell>
          <cell r="F76">
            <v>7946.6144324102752</v>
          </cell>
          <cell r="G76">
            <v>6406.7704744384428</v>
          </cell>
          <cell r="H76">
            <v>4881.9098338633958</v>
          </cell>
          <cell r="I76">
            <v>3425.980302216718</v>
          </cell>
          <cell r="J76">
            <v>1673.7000765227785</v>
          </cell>
          <cell r="K76">
            <v>-108.85874848145977</v>
          </cell>
          <cell r="L76">
            <v>-1914.0746125757687</v>
          </cell>
          <cell r="M76">
            <v>-733.69796909029674</v>
          </cell>
          <cell r="N76">
            <v>514.9941360930593</v>
          </cell>
          <cell r="O76">
            <v>1756.5856562732502</v>
          </cell>
          <cell r="P76">
            <v>2983.5664820565494</v>
          </cell>
          <cell r="Q76">
            <v>4200.0678328260383</v>
          </cell>
          <cell r="R76">
            <v>4478.1992541607015</v>
          </cell>
          <cell r="S76">
            <v>4600.5577763575257</v>
          </cell>
          <cell r="T76">
            <v>4725.7756703301839</v>
          </cell>
          <cell r="U76">
            <v>4853.9059931270876</v>
          </cell>
          <cell r="V76">
            <v>4985.0027758868655</v>
          </cell>
          <cell r="W76">
            <v>5119.1210502778613</v>
          </cell>
          <cell r="X76">
            <v>5256.3168753193586</v>
          </cell>
          <cell r="Y76">
            <v>5396.6473645804635</v>
          </cell>
          <cell r="Z76">
            <v>5540.1707137539543</v>
          </cell>
          <cell r="AA76">
            <v>5686.9462286037433</v>
          </cell>
          <cell r="AB76">
            <v>5837.0343532857205</v>
          </cell>
          <cell r="AC76">
            <v>5990.4966990432858</v>
          </cell>
          <cell r="AD76">
            <v>6147.396073279675</v>
          </cell>
          <cell r="AE76">
            <v>6307.7965090107227</v>
          </cell>
          <cell r="AF76">
            <v>6471.763294702685</v>
          </cell>
          <cell r="AG76">
            <v>6639.3630045006776</v>
          </cell>
          <cell r="AH76">
            <v>6810.6635288546004</v>
          </cell>
          <cell r="AI76">
            <v>6985.734105550122</v>
          </cell>
          <cell r="AJ76">
            <v>7164.6453511534255</v>
          </cell>
          <cell r="AK76">
            <v>7347.4692928791537</v>
          </cell>
          <cell r="AL76">
            <v>7534.2794008920227</v>
          </cell>
          <cell r="AM76">
            <v>7725.1506210530988</v>
          </cell>
          <cell r="AN76">
            <v>7920.1594081226121</v>
          </cell>
          <cell r="AO76">
            <v>8119.3837594320848</v>
          </cell>
          <cell r="AP76">
            <v>8322.9032490387381</v>
          </cell>
          <cell r="AQ76">
            <v>8530.7990623762944</v>
          </cell>
          <cell r="AR76">
            <v>8743.154031416334</v>
          </cell>
          <cell r="AS76">
            <v>8960.0526703555279</v>
          </cell>
          <cell r="AT76">
            <v>9181.581211843999</v>
          </cell>
          <cell r="AU76">
            <v>9407.8276437708464</v>
          </cell>
          <cell r="AV76">
            <v>9638.8817466233359</v>
          </cell>
          <cell r="AW76">
            <v>9874.8351314367956</v>
          </cell>
          <cell r="AX76">
            <v>10115.781278352069</v>
          </cell>
          <cell r="AY76">
            <v>10361.815575798688</v>
          </cell>
          <cell r="AZ76">
            <v>10613.035360321423</v>
          </cell>
          <cell r="BA76">
            <v>10869.539957069026</v>
          </cell>
          <cell r="BB76">
            <v>11131.430720963419</v>
          </cell>
          <cell r="BC76">
            <v>11398.811078568897</v>
          </cell>
          <cell r="BD76">
            <v>11671.786570680188</v>
          </cell>
          <cell r="BE76">
            <v>11950.464895649731</v>
          </cell>
          <cell r="BF76">
            <v>12234.955953473449</v>
          </cell>
          <cell r="BG76">
            <v>12525.371890655855</v>
          </cell>
          <cell r="BH76">
            <v>12821.827145874768</v>
          </cell>
          <cell r="BI76">
            <v>13124.438496466659</v>
          </cell>
          <cell r="BJ76">
            <v>13433.325105753631</v>
          </cell>
          <cell r="BK76">
            <v>13748.608571233743</v>
          </cell>
          <cell r="BL76">
            <v>14070.412973656048</v>
          </cell>
          <cell r="BM76">
            <v>14398.864927002656</v>
          </cell>
          <cell r="BN76">
            <v>14734.093629400033</v>
          </cell>
          <cell r="BO76">
            <v>15076.230914982289</v>
          </cell>
          <cell r="BP76">
            <v>15425.411306729036</v>
          </cell>
          <cell r="BQ76">
            <v>15781.772070301484</v>
          </cell>
          <cell r="BR76">
            <v>16145.453268900155</v>
          </cell>
          <cell r="BS76">
            <v>16516.597819168026</v>
          </cell>
          <cell r="BT76">
            <v>16895.3515481633</v>
          </cell>
          <cell r="BU76">
            <v>17281.863251426774</v>
          </cell>
          <cell r="BV76">
            <v>17676.284752167987</v>
          </cell>
          <cell r="BW76">
            <v>18078.770961596332</v>
          </cell>
          <cell r="BX76">
            <v>18489.479940421872</v>
          </cell>
          <cell r="BY76">
            <v>18908.572961552672</v>
          </cell>
          <cell r="BZ76">
            <v>19336.214574014673</v>
          </cell>
          <cell r="CA76">
            <v>19772.57266812084</v>
          </cell>
          <cell r="CB76">
            <v>20217.818541917361</v>
          </cell>
          <cell r="CC76">
            <v>20672.126968934135</v>
          </cell>
          <cell r="CD76">
            <v>21135.676267267663</v>
          </cell>
          <cell r="CE76">
            <v>21608.64837002541</v>
          </cell>
          <cell r="CF76">
            <v>22091.228897160057</v>
          </cell>
          <cell r="CG76">
            <v>22583.6072287239</v>
          </cell>
          <cell r="CH76">
            <v>23085.976579572649</v>
          </cell>
          <cell r="CI76">
            <v>23598.534075549855</v>
          </cell>
          <cell r="CJ76">
            <v>24121.480831182729</v>
          </cell>
          <cell r="CK76">
            <v>24655.022028920816</v>
          </cell>
          <cell r="CL76">
            <v>25199.366999950194</v>
          </cell>
          <cell r="CM76">
            <v>25754.729306615358</v>
          </cell>
          <cell r="CN76">
            <v>26321.326826482335</v>
          </cell>
          <cell r="CO76">
            <v>26899.381838077235</v>
          </cell>
          <cell r="CP76">
            <v>27489.121108334126</v>
          </cell>
          <cell r="CQ76">
            <v>28090.775981787905</v>
          </cell>
          <cell r="CR76">
            <v>28704.582471547845</v>
          </cell>
          <cell r="CS76">
            <v>29330.781352087994</v>
          </cell>
          <cell r="CT76">
            <v>29969.61825389196</v>
          </cell>
          <cell r="CU76">
            <v>30621.343759989621</v>
          </cell>
          <cell r="CV76">
            <v>31286.213504424049</v>
          </cell>
          <cell r="CW76">
            <v>31964.488272688723</v>
          </cell>
          <cell r="CX76">
            <v>32656.434104174165</v>
          </cell>
          <cell r="CY76">
            <v>33362.322396664786</v>
          </cell>
          <cell r="CZ76">
            <v>34082.430012928344</v>
          </cell>
          <cell r="DA76">
            <v>34817.039389439065</v>
          </cell>
          <cell r="DB76">
            <v>35566.438647278606</v>
          </cell>
          <cell r="DC76">
            <v>36330.921705258159</v>
          </cell>
          <cell r="DD76">
            <v>37110.788395306816</v>
          </cell>
          <cell r="DE76">
            <v>37906.344580171593</v>
          </cell>
          <cell r="DF76">
            <v>38717.902273475913</v>
          </cell>
          <cell r="DG76">
            <v>39545.779762184036</v>
          </cell>
          <cell r="DH76">
            <v>40390.30173151919</v>
          </cell>
          <cell r="DI76">
            <v>41251.799392386012</v>
          </cell>
          <cell r="DJ76">
            <v>42130.610611345757</v>
          </cell>
          <cell r="DK76">
            <v>43027.08004319734</v>
          </cell>
          <cell r="DL76">
            <v>43941.55926621527</v>
          </cell>
          <cell r="DM76">
            <v>44874.406920098547</v>
          </cell>
          <cell r="DN76">
            <v>45825.988846684013</v>
          </cell>
          <cell r="DO76">
            <v>46796.67823348051</v>
          </cell>
          <cell r="DP76">
            <v>47786.855760079772</v>
          </cell>
          <cell r="DQ76">
            <v>48796.909747501915</v>
          </cell>
          <cell r="DR76">
            <v>49827.236310533735</v>
          </cell>
          <cell r="DS76">
            <v>50878.239513121101</v>
          </cell>
          <cell r="DT76">
            <v>51950.331526874877</v>
          </cell>
          <cell r="DU76">
            <v>53043.932792753818</v>
          </cell>
          <cell r="DV76">
            <v>54159.472185987535</v>
          </cell>
          <cell r="DW76">
            <v>55297.387184305022</v>
          </cell>
          <cell r="DX76">
            <v>56458.124039533453</v>
          </cell>
          <cell r="DY76">
            <v>57642.137952636251</v>
          </cell>
          <cell r="DZ76">
            <v>58849.893252258094</v>
          </cell>
          <cell r="EA76">
            <v>60081.863576848082</v>
          </cell>
          <cell r="EB76">
            <v>61338.532060430756</v>
          </cell>
          <cell r="EC76">
            <v>62620.39152210045</v>
          </cell>
          <cell r="ED76">
            <v>63927.944659310881</v>
          </cell>
          <cell r="EE76">
            <v>65261.70424503777</v>
          </cell>
          <cell r="EF76">
            <v>66622.193328890848</v>
          </cell>
          <cell r="EG76">
            <v>68009.945442254437</v>
          </cell>
          <cell r="EH76">
            <v>69425.504807537553</v>
          </cell>
          <cell r="EI76">
            <v>70869.426551614903</v>
          </cell>
          <cell r="EJ76">
            <v>72342.276923543206</v>
          </cell>
          <cell r="EK76">
            <v>73844.633516637972</v>
          </cell>
          <cell r="EL76">
            <v>75377.085494997926</v>
          </cell>
          <cell r="EM76">
            <v>76940.23382456637</v>
          </cell>
          <cell r="EN76">
            <v>78534.691508819131</v>
          </cell>
          <cell r="EO76">
            <v>80161.083829172319</v>
          </cell>
          <cell r="EP76">
            <v>81820.048590205159</v>
          </cell>
          <cell r="EQ76">
            <v>83512.236369791572</v>
          </cell>
          <cell r="ER76">
            <v>85238.310774241472</v>
          </cell>
          <cell r="ES76">
            <v>86998.948698549313</v>
          </cell>
          <cell r="ET76">
            <v>88794.840591854663</v>
          </cell>
          <cell r="EU76">
            <v>90626.690728215981</v>
          </cell>
          <cell r="EV76">
            <v>92495.217482806547</v>
          </cell>
          <cell r="EW76">
            <v>94401.153613639312</v>
          </cell>
          <cell r="EX76">
            <v>96345.246548931245</v>
          </cell>
          <cell r="EY76">
            <v>98328.258680220591</v>
          </cell>
          <cell r="EZ76">
            <v>100350.96766135133</v>
          </cell>
          <cell r="FA76">
            <v>102414.16671344302</v>
          </cell>
          <cell r="FB76">
            <v>104518.66493596394</v>
          </cell>
          <cell r="FC76">
            <v>106665.28762403225</v>
          </cell>
          <cell r="FD76">
            <v>108854.87659206615</v>
          </cell>
          <cell r="FE76">
            <v>111088.29050391355</v>
          </cell>
          <cell r="FF76">
            <v>113366.4052095879</v>
          </cell>
          <cell r="FG76">
            <v>115690.11408874371</v>
          </cell>
          <cell r="FH76">
            <v>118060.3284010268</v>
          </cell>
          <cell r="FI76">
            <v>120477.97764343444</v>
          </cell>
          <cell r="FJ76">
            <v>122944.00991482964</v>
          </cell>
          <cell r="FK76">
            <v>125459.39228774678</v>
          </cell>
          <cell r="FL76">
            <v>128025.11118764106</v>
          </cell>
          <cell r="FM76">
            <v>130642.17277972448</v>
          </cell>
          <cell r="FN76">
            <v>133311.60336354448</v>
          </cell>
          <cell r="FO76">
            <v>136034.44977545648</v>
          </cell>
          <cell r="FP76">
            <v>138811.77979915219</v>
          </cell>
          <cell r="FQ76">
            <v>141644.68258439985</v>
          </cell>
          <cell r="FR76">
            <v>144534.26907416483</v>
          </cell>
          <cell r="FS76">
            <v>147481.67244027674</v>
          </cell>
          <cell r="FT76">
            <v>150488.04852781122</v>
          </cell>
          <cell r="FU76">
            <v>153554.57630836664</v>
          </cell>
          <cell r="FV76">
            <v>156682.45834240646</v>
          </cell>
          <cell r="FW76">
            <v>159872.92125085372</v>
          </cell>
          <cell r="FX76">
            <v>163127.21619612168</v>
          </cell>
          <cell r="FY76">
            <v>166446.61937276649</v>
          </cell>
          <cell r="FZ76">
            <v>169832.43250795713</v>
          </cell>
          <cell r="GA76">
            <v>173285.9833719591</v>
          </cell>
          <cell r="GB76">
            <v>176808.62629882971</v>
          </cell>
          <cell r="GC76">
            <v>180401.74271752991</v>
          </cell>
          <cell r="GD76">
            <v>184066.74169366414</v>
          </cell>
          <cell r="GE76">
            <v>187805.06048205475</v>
          </cell>
          <cell r="GF76">
            <v>191618.16509037282</v>
          </cell>
          <cell r="GG76">
            <v>195507.55085404569</v>
          </cell>
          <cell r="GH76">
            <v>199474.74302266145</v>
          </cell>
          <cell r="GI76">
            <v>203521.29735810918</v>
          </cell>
          <cell r="GJ76">
            <v>207648.80074468072</v>
          </cell>
          <cell r="GK76">
            <v>211858.87181138134</v>
          </cell>
          <cell r="GL76">
            <v>216153.16156668428</v>
          </cell>
          <cell r="GM76">
            <v>220533.35404598879</v>
          </cell>
          <cell r="GN76">
            <v>225001.1669720237</v>
          </cell>
          <cell r="GO76">
            <v>229558.35242846774</v>
          </cell>
          <cell r="GP76">
            <v>234206.69754704021</v>
          </cell>
          <cell r="GQ76">
            <v>238948.02520833703</v>
          </cell>
          <cell r="GR76">
            <v>243784.19475668835</v>
          </cell>
          <cell r="GS76">
            <v>248717.10272931241</v>
          </cell>
          <cell r="GT76">
            <v>253748.68360005578</v>
          </cell>
          <cell r="GU76">
            <v>258880.91053801196</v>
          </cell>
          <cell r="GV76">
            <v>264115.79618131346</v>
          </cell>
          <cell r="GW76">
            <v>269455.39342640131</v>
          </cell>
          <cell r="GX76">
            <v>274901.79623308335</v>
          </cell>
          <cell r="GY76">
            <v>280457.14044569596</v>
          </cell>
          <cell r="GZ76">
            <v>286123.60463068984</v>
          </cell>
          <cell r="HA76">
            <v>291903.41093096999</v>
          </cell>
          <cell r="HB76">
            <v>297798.82593732397</v>
          </cell>
          <cell r="HC76">
            <v>303812.16157728271</v>
          </cell>
          <cell r="HD76">
            <v>309945.77602175879</v>
          </cell>
          <cell r="HE76">
            <v>316202.07460981864</v>
          </cell>
          <cell r="HF76">
            <v>322583.51079195342</v>
          </cell>
          <cell r="HG76">
            <v>329092.58709221776</v>
          </cell>
          <cell r="HH76">
            <v>335731.85608961037</v>
          </cell>
          <cell r="HI76">
            <v>342503.9214190857</v>
          </cell>
          <cell r="HJ76">
            <v>349411.43879258982</v>
          </cell>
          <cell r="HK76">
            <v>356457.11704051238</v>
          </cell>
          <cell r="HL76">
            <v>363643.71917397692</v>
          </cell>
          <cell r="HM76">
            <v>370974.06346837315</v>
          </cell>
          <cell r="HN76">
            <v>378451.0245685617</v>
          </cell>
          <cell r="HO76">
            <v>386077.53461618931</v>
          </cell>
          <cell r="HP76">
            <v>393856.58439954487</v>
          </cell>
          <cell r="HQ76">
            <v>401791.22452642047</v>
          </cell>
          <cell r="HR76">
            <v>409884.56662042742</v>
          </cell>
          <cell r="HS76">
            <v>418139.78454124066</v>
          </cell>
          <cell r="HT76">
            <v>426560.11562924855</v>
          </cell>
          <cell r="HU76">
            <v>435148.86197510106</v>
          </cell>
          <cell r="HV76">
            <v>443909.39171464485</v>
          </cell>
          <cell r="HW76">
            <v>452845.14034976275</v>
          </cell>
          <cell r="HX76">
            <v>461959.61209562724</v>
          </cell>
          <cell r="HY76">
            <v>471256.38125490514</v>
          </cell>
          <cell r="HZ76">
            <v>480739.09361944278</v>
          </cell>
          <cell r="IA76">
            <v>490411.46789999143</v>
          </cell>
          <cell r="IB76">
            <v>500277.29718452063</v>
          </cell>
          <cell r="IC76">
            <v>510340.45042570704</v>
          </cell>
          <cell r="ID76">
            <v>520604.87395817158</v>
          </cell>
          <cell r="IE76">
            <v>531074.59304605913</v>
          </cell>
          <cell r="IF76">
            <v>541753.71346157533</v>
          </cell>
          <cell r="IG76">
            <v>552646.42309509055</v>
          </cell>
          <cell r="IH76">
            <v>563756.99359745556</v>
          </cell>
          <cell r="II76">
            <v>575089.78205515188</v>
          </cell>
          <cell r="IJ76">
            <v>586649.23269896046</v>
          </cell>
          <cell r="IK76">
            <v>598439.87864678842</v>
          </cell>
          <cell r="IL76">
            <v>610466.34368137107</v>
          </cell>
          <cell r="IM76">
            <v>622733.34406351601</v>
          </cell>
          <cell r="IN76">
            <v>635245.69038161752</v>
          </cell>
          <cell r="IO76">
            <v>648008.28943815944</v>
          </cell>
          <cell r="IP76">
            <v>661026.14617395704</v>
          </cell>
          <cell r="IQ76">
            <v>674304.36563087464</v>
          </cell>
          <cell r="IR76">
            <v>1774.69191242221</v>
          </cell>
        </row>
        <row r="77">
          <cell r="B77" t="str">
            <v>Other nonoperating liabilities (assets) (ONOLA)</v>
          </cell>
          <cell r="C77">
            <v>721.27923007977802</v>
          </cell>
          <cell r="D77">
            <v>531.90061680745441</v>
          </cell>
          <cell r="E77">
            <v>317.06082028346503</v>
          </cell>
          <cell r="F77">
            <v>70.770900020824911</v>
          </cell>
          <cell r="G77">
            <v>-184.19733505822597</v>
          </cell>
          <cell r="H77">
            <v>-451.92180223123091</v>
          </cell>
          <cell r="I77">
            <v>-743.49925729943686</v>
          </cell>
          <cell r="J77">
            <v>-1065.3578362512899</v>
          </cell>
          <cell r="K77">
            <v>-1410.456115934657</v>
          </cell>
          <cell r="L77">
            <v>-1774.69191242221</v>
          </cell>
          <cell r="M77">
            <v>-1774.69191242221</v>
          </cell>
          <cell r="N77">
            <v>-1774.69191242221</v>
          </cell>
          <cell r="O77">
            <v>-1774.69191242221</v>
          </cell>
          <cell r="P77">
            <v>-1774.69191242221</v>
          </cell>
          <cell r="Q77">
            <v>-1774.69191242221</v>
          </cell>
          <cell r="R77">
            <v>-1774.69191242221</v>
          </cell>
          <cell r="S77">
            <v>-1774.69191242221</v>
          </cell>
          <cell r="T77">
            <v>-1774.69191242221</v>
          </cell>
          <cell r="U77">
            <v>-1774.69191242221</v>
          </cell>
          <cell r="V77">
            <v>-1774.69191242221</v>
          </cell>
          <cell r="W77">
            <v>-1774.69191242221</v>
          </cell>
          <cell r="X77">
            <v>-1774.69191242221</v>
          </cell>
          <cell r="Y77">
            <v>-1774.69191242221</v>
          </cell>
          <cell r="Z77">
            <v>-1774.69191242221</v>
          </cell>
          <cell r="AA77">
            <v>-1774.69191242221</v>
          </cell>
          <cell r="AB77">
            <v>-1774.69191242221</v>
          </cell>
          <cell r="AC77">
            <v>-1774.69191242221</v>
          </cell>
          <cell r="AD77">
            <v>-1774.69191242221</v>
          </cell>
          <cell r="AE77">
            <v>-1774.69191242221</v>
          </cell>
          <cell r="AF77">
            <v>-1774.69191242221</v>
          </cell>
          <cell r="AG77">
            <v>-1774.69191242221</v>
          </cell>
          <cell r="AH77">
            <v>-1774.69191242221</v>
          </cell>
          <cell r="AI77">
            <v>-1774.69191242221</v>
          </cell>
          <cell r="AJ77">
            <v>-1774.69191242221</v>
          </cell>
          <cell r="AK77">
            <v>-1774.69191242221</v>
          </cell>
          <cell r="AL77">
            <v>-1774.69191242221</v>
          </cell>
          <cell r="AM77">
            <v>-1774.69191242221</v>
          </cell>
          <cell r="AN77">
            <v>-1774.69191242221</v>
          </cell>
          <cell r="AO77">
            <v>-1774.69191242221</v>
          </cell>
          <cell r="AP77">
            <v>-1774.69191242221</v>
          </cell>
          <cell r="AQ77">
            <v>-1774.69191242221</v>
          </cell>
          <cell r="AR77">
            <v>-1774.69191242221</v>
          </cell>
          <cell r="AS77">
            <v>-1774.69191242221</v>
          </cell>
          <cell r="AT77">
            <v>-1774.69191242221</v>
          </cell>
          <cell r="AU77">
            <v>-1774.69191242221</v>
          </cell>
          <cell r="AV77">
            <v>-1774.69191242221</v>
          </cell>
          <cell r="AW77">
            <v>-1774.69191242221</v>
          </cell>
          <cell r="AX77">
            <v>-1774.69191242221</v>
          </cell>
          <cell r="AY77">
            <v>-1774.69191242221</v>
          </cell>
          <cell r="AZ77">
            <v>-1774.69191242221</v>
          </cell>
          <cell r="BA77">
            <v>-1774.69191242221</v>
          </cell>
          <cell r="BB77">
            <v>-1774.69191242221</v>
          </cell>
          <cell r="BC77">
            <v>-1774.69191242221</v>
          </cell>
          <cell r="BD77">
            <v>-1774.69191242221</v>
          </cell>
          <cell r="BE77">
            <v>-1774.69191242221</v>
          </cell>
          <cell r="BF77">
            <v>-1774.69191242221</v>
          </cell>
          <cell r="BG77">
            <v>-1774.69191242221</v>
          </cell>
          <cell r="BH77">
            <v>-1774.69191242221</v>
          </cell>
          <cell r="BI77">
            <v>-1774.69191242221</v>
          </cell>
          <cell r="BJ77">
            <v>-1774.69191242221</v>
          </cell>
          <cell r="BK77">
            <v>-1774.69191242221</v>
          </cell>
          <cell r="BL77">
            <v>-1774.69191242221</v>
          </cell>
          <cell r="BM77">
            <v>-1774.69191242221</v>
          </cell>
          <cell r="BN77">
            <v>-1774.69191242221</v>
          </cell>
          <cell r="BO77">
            <v>-1774.69191242221</v>
          </cell>
          <cell r="BP77">
            <v>-1774.69191242221</v>
          </cell>
          <cell r="BQ77">
            <v>-1774.69191242221</v>
          </cell>
          <cell r="BR77">
            <v>-1774.69191242221</v>
          </cell>
          <cell r="BS77">
            <v>-1774.69191242221</v>
          </cell>
          <cell r="BT77">
            <v>-1774.69191242221</v>
          </cell>
          <cell r="BU77">
            <v>-1774.69191242221</v>
          </cell>
          <cell r="BV77">
            <v>-1774.69191242221</v>
          </cell>
          <cell r="BW77">
            <v>-1774.69191242221</v>
          </cell>
          <cell r="BX77">
            <v>-1774.69191242221</v>
          </cell>
          <cell r="BY77">
            <v>-1774.69191242221</v>
          </cell>
          <cell r="BZ77">
            <v>-1774.69191242221</v>
          </cell>
          <cell r="CA77">
            <v>-1774.69191242221</v>
          </cell>
          <cell r="CB77">
            <v>-1774.69191242221</v>
          </cell>
          <cell r="CC77">
            <v>-1774.69191242221</v>
          </cell>
          <cell r="CD77">
            <v>-1774.69191242221</v>
          </cell>
          <cell r="CE77">
            <v>-1774.69191242221</v>
          </cell>
          <cell r="CF77">
            <v>-1774.69191242221</v>
          </cell>
          <cell r="CG77">
            <v>-1774.69191242221</v>
          </cell>
          <cell r="CH77">
            <v>-1774.69191242221</v>
          </cell>
          <cell r="CI77">
            <v>-1774.69191242221</v>
          </cell>
          <cell r="CJ77">
            <v>-1774.69191242221</v>
          </cell>
          <cell r="CK77">
            <v>-1774.69191242221</v>
          </cell>
          <cell r="CL77">
            <v>-1774.69191242221</v>
          </cell>
          <cell r="CM77">
            <v>-1774.69191242221</v>
          </cell>
          <cell r="CN77">
            <v>-1774.69191242221</v>
          </cell>
          <cell r="CO77">
            <v>-1774.69191242221</v>
          </cell>
          <cell r="CP77">
            <v>-1774.69191242221</v>
          </cell>
          <cell r="CQ77">
            <v>-1774.69191242221</v>
          </cell>
          <cell r="CR77">
            <v>-1774.69191242221</v>
          </cell>
          <cell r="CS77">
            <v>-1774.69191242221</v>
          </cell>
          <cell r="CT77">
            <v>-1774.69191242221</v>
          </cell>
          <cell r="CU77">
            <v>-1774.69191242221</v>
          </cell>
          <cell r="CV77">
            <v>-1774.69191242221</v>
          </cell>
          <cell r="CW77">
            <v>-1774.69191242221</v>
          </cell>
          <cell r="CX77">
            <v>-1774.69191242221</v>
          </cell>
          <cell r="CY77">
            <v>-1774.69191242221</v>
          </cell>
          <cell r="CZ77">
            <v>-1774.69191242221</v>
          </cell>
          <cell r="DA77">
            <v>-1774.69191242221</v>
          </cell>
          <cell r="DB77">
            <v>-1774.69191242221</v>
          </cell>
          <cell r="DC77">
            <v>-1774.69191242221</v>
          </cell>
          <cell r="DD77">
            <v>-1774.69191242221</v>
          </cell>
          <cell r="DE77">
            <v>-1774.69191242221</v>
          </cell>
          <cell r="DF77">
            <v>-1774.69191242221</v>
          </cell>
          <cell r="DG77">
            <v>-1774.69191242221</v>
          </cell>
          <cell r="DH77">
            <v>-1774.69191242221</v>
          </cell>
          <cell r="DI77">
            <v>-1774.69191242221</v>
          </cell>
          <cell r="DJ77">
            <v>-1774.69191242221</v>
          </cell>
          <cell r="DK77">
            <v>-1774.69191242221</v>
          </cell>
          <cell r="DL77">
            <v>-1774.69191242221</v>
          </cell>
          <cell r="DM77">
            <v>-1774.69191242221</v>
          </cell>
          <cell r="DN77">
            <v>-1774.69191242221</v>
          </cell>
          <cell r="DO77">
            <v>-1774.69191242221</v>
          </cell>
          <cell r="DP77">
            <v>-1774.69191242221</v>
          </cell>
          <cell r="DQ77">
            <v>-1774.69191242221</v>
          </cell>
          <cell r="DR77">
            <v>-1774.69191242221</v>
          </cell>
          <cell r="DS77">
            <v>-1774.69191242221</v>
          </cell>
          <cell r="DT77">
            <v>-1774.69191242221</v>
          </cell>
          <cell r="DU77">
            <v>-1774.69191242221</v>
          </cell>
          <cell r="DV77">
            <v>-1774.69191242221</v>
          </cell>
          <cell r="DW77">
            <v>-1774.69191242221</v>
          </cell>
          <cell r="DX77">
            <v>-1774.69191242221</v>
          </cell>
          <cell r="DY77">
            <v>-1774.69191242221</v>
          </cell>
          <cell r="DZ77">
            <v>-1774.69191242221</v>
          </cell>
          <cell r="EA77">
            <v>-1774.69191242221</v>
          </cell>
          <cell r="EB77">
            <v>-1774.69191242221</v>
          </cell>
          <cell r="EC77">
            <v>-1774.69191242221</v>
          </cell>
          <cell r="ED77">
            <v>-1774.69191242221</v>
          </cell>
          <cell r="EE77">
            <v>-1774.69191242221</v>
          </cell>
          <cell r="EF77">
            <v>-1774.69191242221</v>
          </cell>
          <cell r="EG77">
            <v>-1774.69191242221</v>
          </cell>
          <cell r="EH77">
            <v>-1774.69191242221</v>
          </cell>
          <cell r="EI77">
            <v>-1774.69191242221</v>
          </cell>
          <cell r="EJ77">
            <v>-1774.69191242221</v>
          </cell>
          <cell r="EK77">
            <v>-1774.69191242221</v>
          </cell>
          <cell r="EL77">
            <v>-1774.69191242221</v>
          </cell>
          <cell r="EM77">
            <v>-1774.69191242221</v>
          </cell>
          <cell r="EN77">
            <v>-1774.69191242221</v>
          </cell>
          <cell r="EO77">
            <v>-1774.69191242221</v>
          </cell>
          <cell r="EP77">
            <v>-1774.69191242221</v>
          </cell>
          <cell r="EQ77">
            <v>-1774.69191242221</v>
          </cell>
          <cell r="ER77">
            <v>-1774.69191242221</v>
          </cell>
          <cell r="ES77">
            <v>-1774.69191242221</v>
          </cell>
          <cell r="ET77">
            <v>-1774.69191242221</v>
          </cell>
          <cell r="EU77">
            <v>-1774.69191242221</v>
          </cell>
          <cell r="EV77">
            <v>-1774.69191242221</v>
          </cell>
          <cell r="EW77">
            <v>-1774.69191242221</v>
          </cell>
          <cell r="EX77">
            <v>-1774.69191242221</v>
          </cell>
          <cell r="EY77">
            <v>-1774.69191242221</v>
          </cell>
          <cell r="EZ77">
            <v>-1774.69191242221</v>
          </cell>
          <cell r="FA77">
            <v>-1774.69191242221</v>
          </cell>
          <cell r="FB77">
            <v>-1774.69191242221</v>
          </cell>
          <cell r="FC77">
            <v>-1774.69191242221</v>
          </cell>
          <cell r="FD77">
            <v>-1774.69191242221</v>
          </cell>
          <cell r="FE77">
            <v>-1774.69191242221</v>
          </cell>
          <cell r="FF77">
            <v>-1774.69191242221</v>
          </cell>
          <cell r="FG77">
            <v>-1774.69191242221</v>
          </cell>
          <cell r="FH77">
            <v>-1774.69191242221</v>
          </cell>
          <cell r="FI77">
            <v>-1774.69191242221</v>
          </cell>
          <cell r="FJ77">
            <v>-1774.69191242221</v>
          </cell>
          <cell r="FK77">
            <v>-1774.69191242221</v>
          </cell>
          <cell r="FL77">
            <v>-1774.69191242221</v>
          </cell>
          <cell r="FM77">
            <v>-1774.69191242221</v>
          </cell>
          <cell r="FN77">
            <v>-1774.69191242221</v>
          </cell>
          <cell r="FO77">
            <v>-1774.69191242221</v>
          </cell>
          <cell r="FP77">
            <v>-1774.69191242221</v>
          </cell>
          <cell r="FQ77">
            <v>-1774.69191242221</v>
          </cell>
          <cell r="FR77">
            <v>-1774.69191242221</v>
          </cell>
          <cell r="FS77">
            <v>-1774.69191242221</v>
          </cell>
          <cell r="FT77">
            <v>-1774.69191242221</v>
          </cell>
          <cell r="FU77">
            <v>-1774.69191242221</v>
          </cell>
          <cell r="FV77">
            <v>-1774.69191242221</v>
          </cell>
          <cell r="FW77">
            <v>-1774.69191242221</v>
          </cell>
          <cell r="FX77">
            <v>-1774.69191242221</v>
          </cell>
          <cell r="FY77">
            <v>-1774.69191242221</v>
          </cell>
          <cell r="FZ77">
            <v>-1774.69191242221</v>
          </cell>
          <cell r="GA77">
            <v>-1774.69191242221</v>
          </cell>
          <cell r="GB77">
            <v>-1774.69191242221</v>
          </cell>
          <cell r="GC77">
            <v>-1774.69191242221</v>
          </cell>
          <cell r="GD77">
            <v>-1774.69191242221</v>
          </cell>
          <cell r="GE77">
            <v>-1774.69191242221</v>
          </cell>
          <cell r="GF77">
            <v>-1774.69191242221</v>
          </cell>
          <cell r="GG77">
            <v>-1774.69191242221</v>
          </cell>
          <cell r="GH77">
            <v>-1774.69191242221</v>
          </cell>
          <cell r="GI77">
            <v>-1774.69191242221</v>
          </cell>
          <cell r="GJ77">
            <v>-1774.69191242221</v>
          </cell>
          <cell r="GK77">
            <v>-1774.69191242221</v>
          </cell>
          <cell r="GL77">
            <v>-1774.69191242221</v>
          </cell>
          <cell r="GM77">
            <v>-1774.69191242221</v>
          </cell>
          <cell r="GN77">
            <v>-1774.69191242221</v>
          </cell>
          <cell r="GO77">
            <v>-1774.69191242221</v>
          </cell>
          <cell r="GP77">
            <v>-1774.69191242221</v>
          </cell>
          <cell r="GQ77">
            <v>-1774.69191242221</v>
          </cell>
          <cell r="GR77">
            <v>-1774.69191242221</v>
          </cell>
          <cell r="GS77">
            <v>-1774.69191242221</v>
          </cell>
          <cell r="GT77">
            <v>-1774.69191242221</v>
          </cell>
          <cell r="GU77">
            <v>-1774.69191242221</v>
          </cell>
          <cell r="GV77">
            <v>-1774.69191242221</v>
          </cell>
          <cell r="GW77">
            <v>-1774.69191242221</v>
          </cell>
          <cell r="GX77">
            <v>-1774.69191242221</v>
          </cell>
          <cell r="GY77">
            <v>-1774.69191242221</v>
          </cell>
          <cell r="GZ77">
            <v>-1774.69191242221</v>
          </cell>
          <cell r="HA77">
            <v>-1774.69191242221</v>
          </cell>
          <cell r="HB77">
            <v>-1774.69191242221</v>
          </cell>
          <cell r="HC77">
            <v>-1774.69191242221</v>
          </cell>
          <cell r="HD77">
            <v>-1774.69191242221</v>
          </cell>
          <cell r="HE77">
            <v>-1774.69191242221</v>
          </cell>
          <cell r="HF77">
            <v>-1774.69191242221</v>
          </cell>
          <cell r="HG77">
            <v>-1774.69191242221</v>
          </cell>
          <cell r="HH77">
            <v>-1774.69191242221</v>
          </cell>
          <cell r="HI77">
            <v>-1774.69191242221</v>
          </cell>
          <cell r="HJ77">
            <v>-1774.69191242221</v>
          </cell>
          <cell r="HK77">
            <v>-1774.69191242221</v>
          </cell>
          <cell r="HL77">
            <v>-1774.69191242221</v>
          </cell>
          <cell r="HM77">
            <v>-1774.69191242221</v>
          </cell>
          <cell r="HN77">
            <v>-1774.69191242221</v>
          </cell>
          <cell r="HO77">
            <v>-1774.69191242221</v>
          </cell>
          <cell r="HP77">
            <v>-1774.69191242221</v>
          </cell>
          <cell r="HQ77">
            <v>-1774.69191242221</v>
          </cell>
          <cell r="HR77">
            <v>-1774.69191242221</v>
          </cell>
          <cell r="HS77">
            <v>-1774.69191242221</v>
          </cell>
          <cell r="HT77">
            <v>-1774.69191242221</v>
          </cell>
          <cell r="HU77">
            <v>-1774.69191242221</v>
          </cell>
          <cell r="HV77">
            <v>-1774.69191242221</v>
          </cell>
          <cell r="HW77">
            <v>-1774.69191242221</v>
          </cell>
          <cell r="HX77">
            <v>-1774.69191242221</v>
          </cell>
          <cell r="HY77">
            <v>-1774.69191242221</v>
          </cell>
          <cell r="HZ77">
            <v>-1774.69191242221</v>
          </cell>
          <cell r="IA77">
            <v>-1774.69191242221</v>
          </cell>
          <cell r="IB77">
            <v>-1774.69191242221</v>
          </cell>
          <cell r="IC77">
            <v>-1774.69191242221</v>
          </cell>
          <cell r="ID77">
            <v>-1774.69191242221</v>
          </cell>
          <cell r="IE77">
            <v>-1774.69191242221</v>
          </cell>
          <cell r="IF77">
            <v>-1774.69191242221</v>
          </cell>
          <cell r="IG77">
            <v>-1774.69191242221</v>
          </cell>
          <cell r="IH77">
            <v>-1774.69191242221</v>
          </cell>
          <cell r="II77">
            <v>-1774.69191242221</v>
          </cell>
          <cell r="IJ77">
            <v>-1774.69191242221</v>
          </cell>
          <cell r="IK77">
            <v>-1774.69191242221</v>
          </cell>
          <cell r="IL77">
            <v>-1774.69191242221</v>
          </cell>
          <cell r="IM77">
            <v>-1774.69191242221</v>
          </cell>
          <cell r="IN77">
            <v>-1774.69191242221</v>
          </cell>
          <cell r="IO77">
            <v>-1774.69191242221</v>
          </cell>
          <cell r="IP77">
            <v>-1774.69191242221</v>
          </cell>
          <cell r="IQ77">
            <v>-1774.69191242221</v>
          </cell>
          <cell r="IR77">
            <v>-1774.69191242221</v>
          </cell>
        </row>
        <row r="78">
          <cell r="B78" t="str">
            <v>Leverage EOP (net debt/equity)</v>
          </cell>
          <cell r="C78">
            <v>0.39366617076936344</v>
          </cell>
          <cell r="D78">
            <v>0.37371454422990985</v>
          </cell>
          <cell r="E78">
            <v>0.33112756694869661</v>
          </cell>
          <cell r="F78">
            <v>0.26591598088663354</v>
          </cell>
          <cell r="G78">
            <v>0.20357357084642169</v>
          </cell>
          <cell r="H78">
            <v>0.14704802714789275</v>
          </cell>
          <cell r="I78">
            <v>9.7718437785323548E-2</v>
          </cell>
          <cell r="J78">
            <v>4.5240366404911983E-2</v>
          </cell>
          <cell r="K78">
            <v>-2.78876484129304E-3</v>
          </cell>
          <cell r="L78">
            <v>-4.6508354967661959E-2</v>
          </cell>
          <cell r="M78">
            <v>-1.7206683974129569E-2</v>
          </cell>
          <cell r="N78">
            <v>1.2094987019402821E-2</v>
          </cell>
          <cell r="O78">
            <v>4.1396658012935211E-2</v>
          </cell>
          <cell r="P78">
            <v>7.0698329006467608E-2</v>
          </cell>
          <cell r="Q78">
            <v>0.1</v>
          </cell>
          <cell r="R78">
            <v>0.1</v>
          </cell>
          <cell r="S78">
            <v>0.1</v>
          </cell>
          <cell r="T78">
            <v>0.1</v>
          </cell>
          <cell r="U78">
            <v>0.1</v>
          </cell>
          <cell r="V78">
            <v>0.1</v>
          </cell>
          <cell r="W78">
            <v>0.1</v>
          </cell>
          <cell r="X78">
            <v>0.1</v>
          </cell>
          <cell r="Y78">
            <v>0.1</v>
          </cell>
          <cell r="Z78">
            <v>0.1</v>
          </cell>
          <cell r="AA78">
            <v>0.1</v>
          </cell>
          <cell r="AB78">
            <v>0.1</v>
          </cell>
          <cell r="AC78">
            <v>0.1</v>
          </cell>
          <cell r="AD78">
            <v>0.1</v>
          </cell>
          <cell r="AE78">
            <v>0.1</v>
          </cell>
          <cell r="AF78">
            <v>0.1</v>
          </cell>
          <cell r="AG78">
            <v>0.1</v>
          </cell>
          <cell r="AH78">
            <v>0.1</v>
          </cell>
          <cell r="AI78">
            <v>0.1</v>
          </cell>
          <cell r="AJ78">
            <v>0.1</v>
          </cell>
          <cell r="AK78">
            <v>0.1</v>
          </cell>
          <cell r="AL78">
            <v>0.1</v>
          </cell>
          <cell r="AM78">
            <v>0.1</v>
          </cell>
          <cell r="AN78">
            <v>0.1</v>
          </cell>
          <cell r="AO78">
            <v>0.1</v>
          </cell>
          <cell r="AP78">
            <v>0.1</v>
          </cell>
          <cell r="AQ78">
            <v>0.1</v>
          </cell>
          <cell r="AR78">
            <v>0.1</v>
          </cell>
          <cell r="AS78">
            <v>0.1</v>
          </cell>
          <cell r="AT78">
            <v>0.1</v>
          </cell>
          <cell r="AU78">
            <v>0.1</v>
          </cell>
          <cell r="AV78">
            <v>0.1</v>
          </cell>
          <cell r="AW78">
            <v>0.1</v>
          </cell>
          <cell r="AX78">
            <v>0.1</v>
          </cell>
          <cell r="AY78">
            <v>0.1</v>
          </cell>
          <cell r="AZ78">
            <v>0.1</v>
          </cell>
          <cell r="BA78">
            <v>0.1</v>
          </cell>
          <cell r="BB78">
            <v>0.1</v>
          </cell>
          <cell r="BC78">
            <v>0.1</v>
          </cell>
          <cell r="BD78">
            <v>0.1</v>
          </cell>
          <cell r="BE78">
            <v>0.1</v>
          </cell>
          <cell r="BF78">
            <v>0.1</v>
          </cell>
          <cell r="BG78">
            <v>0.1</v>
          </cell>
          <cell r="BH78">
            <v>0.1</v>
          </cell>
          <cell r="BI78">
            <v>0.1</v>
          </cell>
          <cell r="BJ78">
            <v>0.1</v>
          </cell>
          <cell r="BK78">
            <v>0.1</v>
          </cell>
          <cell r="BL78">
            <v>0.1</v>
          </cell>
          <cell r="BM78">
            <v>0.1</v>
          </cell>
          <cell r="BN78">
            <v>0.1</v>
          </cell>
          <cell r="BO78">
            <v>0.1</v>
          </cell>
          <cell r="BP78">
            <v>0.1</v>
          </cell>
          <cell r="BQ78">
            <v>0.1</v>
          </cell>
          <cell r="BR78">
            <v>0.1</v>
          </cell>
          <cell r="BS78">
            <v>0.1</v>
          </cell>
          <cell r="BT78">
            <v>0.1</v>
          </cell>
          <cell r="BU78">
            <v>0.1</v>
          </cell>
          <cell r="BV78">
            <v>0.1</v>
          </cell>
          <cell r="BW78">
            <v>0.1</v>
          </cell>
          <cell r="BX78">
            <v>0.1</v>
          </cell>
          <cell r="BY78">
            <v>0.1</v>
          </cell>
          <cell r="BZ78">
            <v>0.1</v>
          </cell>
          <cell r="CA78">
            <v>0.1</v>
          </cell>
          <cell r="CB78">
            <v>0.1</v>
          </cell>
          <cell r="CC78">
            <v>0.1</v>
          </cell>
          <cell r="CD78">
            <v>0.1</v>
          </cell>
          <cell r="CE78">
            <v>0.1</v>
          </cell>
          <cell r="CF78">
            <v>0.1</v>
          </cell>
          <cell r="CG78">
            <v>0.1</v>
          </cell>
          <cell r="CH78">
            <v>0.1</v>
          </cell>
          <cell r="CI78">
            <v>0.1</v>
          </cell>
          <cell r="CJ78">
            <v>0.1</v>
          </cell>
          <cell r="CK78">
            <v>0.1</v>
          </cell>
          <cell r="CL78">
            <v>0.1</v>
          </cell>
          <cell r="CM78">
            <v>0.1</v>
          </cell>
          <cell r="CN78">
            <v>0.1</v>
          </cell>
          <cell r="CO78">
            <v>0.1</v>
          </cell>
          <cell r="CP78">
            <v>0.1</v>
          </cell>
          <cell r="CQ78">
            <v>0.1</v>
          </cell>
          <cell r="CR78">
            <v>0.1</v>
          </cell>
          <cell r="CS78">
            <v>0.1</v>
          </cell>
          <cell r="CT78">
            <v>0.1</v>
          </cell>
          <cell r="CU78">
            <v>0.1</v>
          </cell>
          <cell r="CV78">
            <v>0.1</v>
          </cell>
          <cell r="CW78">
            <v>0.1</v>
          </cell>
          <cell r="CX78">
            <v>0.1</v>
          </cell>
          <cell r="CY78">
            <v>0.1</v>
          </cell>
          <cell r="CZ78">
            <v>0.1</v>
          </cell>
          <cell r="DA78">
            <v>0.1</v>
          </cell>
          <cell r="DB78">
            <v>0.1</v>
          </cell>
          <cell r="DC78">
            <v>0.1</v>
          </cell>
          <cell r="DD78">
            <v>0.1</v>
          </cell>
          <cell r="DE78">
            <v>0.1</v>
          </cell>
          <cell r="DF78">
            <v>0.1</v>
          </cell>
          <cell r="DG78">
            <v>0.1</v>
          </cell>
          <cell r="DH78">
            <v>0.1</v>
          </cell>
          <cell r="DI78">
            <v>0.1</v>
          </cell>
          <cell r="DJ78">
            <v>0.1</v>
          </cell>
          <cell r="DK78">
            <v>0.1</v>
          </cell>
          <cell r="DL78">
            <v>0.1</v>
          </cell>
          <cell r="DM78">
            <v>0.1</v>
          </cell>
          <cell r="DN78">
            <v>0.1</v>
          </cell>
          <cell r="DO78">
            <v>0.1</v>
          </cell>
          <cell r="DP78">
            <v>0.1</v>
          </cell>
          <cell r="DQ78">
            <v>0.1</v>
          </cell>
          <cell r="DR78">
            <v>0.1</v>
          </cell>
          <cell r="DS78">
            <v>0.1</v>
          </cell>
          <cell r="DT78">
            <v>0.1</v>
          </cell>
          <cell r="DU78">
            <v>0.1</v>
          </cell>
          <cell r="DV78">
            <v>0.1</v>
          </cell>
          <cell r="DW78">
            <v>0.1</v>
          </cell>
          <cell r="DX78">
            <v>0.1</v>
          </cell>
          <cell r="DY78">
            <v>0.1</v>
          </cell>
          <cell r="DZ78">
            <v>0.1</v>
          </cell>
          <cell r="EA78">
            <v>0.1</v>
          </cell>
          <cell r="EB78">
            <v>0.1</v>
          </cell>
          <cell r="EC78">
            <v>0.1</v>
          </cell>
          <cell r="ED78">
            <v>0.1</v>
          </cell>
          <cell r="EE78">
            <v>0.1</v>
          </cell>
          <cell r="EF78">
            <v>0.1</v>
          </cell>
          <cell r="EG78">
            <v>0.1</v>
          </cell>
          <cell r="EH78">
            <v>0.1</v>
          </cell>
          <cell r="EI78">
            <v>0.1</v>
          </cell>
          <cell r="EJ78">
            <v>0.1</v>
          </cell>
          <cell r="EK78">
            <v>0.1</v>
          </cell>
          <cell r="EL78">
            <v>0.1</v>
          </cell>
          <cell r="EM78">
            <v>0.1</v>
          </cell>
          <cell r="EN78">
            <v>0.1</v>
          </cell>
          <cell r="EO78">
            <v>0.1</v>
          </cell>
          <cell r="EP78">
            <v>0.1</v>
          </cell>
          <cell r="EQ78">
            <v>0.1</v>
          </cell>
          <cell r="ER78">
            <v>0.1</v>
          </cell>
          <cell r="ES78">
            <v>0.1</v>
          </cell>
          <cell r="ET78">
            <v>0.1</v>
          </cell>
          <cell r="EU78">
            <v>0.1</v>
          </cell>
          <cell r="EV78">
            <v>0.1</v>
          </cell>
          <cell r="EW78">
            <v>0.1</v>
          </cell>
          <cell r="EX78">
            <v>0.1</v>
          </cell>
          <cell r="EY78">
            <v>0.1</v>
          </cell>
          <cell r="EZ78">
            <v>0.1</v>
          </cell>
          <cell r="FA78">
            <v>0.1</v>
          </cell>
          <cell r="FB78">
            <v>0.1</v>
          </cell>
          <cell r="FC78">
            <v>0.1</v>
          </cell>
          <cell r="FD78">
            <v>0.1</v>
          </cell>
          <cell r="FE78">
            <v>0.1</v>
          </cell>
          <cell r="FF78">
            <v>0.1</v>
          </cell>
          <cell r="FG78">
            <v>0.1</v>
          </cell>
          <cell r="FH78">
            <v>0.1</v>
          </cell>
          <cell r="FI78">
            <v>0.1</v>
          </cell>
          <cell r="FJ78">
            <v>0.1</v>
          </cell>
          <cell r="FK78">
            <v>0.1</v>
          </cell>
          <cell r="FL78">
            <v>0.1</v>
          </cell>
          <cell r="FM78">
            <v>0.1</v>
          </cell>
          <cell r="FN78">
            <v>0.1</v>
          </cell>
          <cell r="FO78">
            <v>0.1</v>
          </cell>
          <cell r="FP78">
            <v>0.1</v>
          </cell>
          <cell r="FQ78">
            <v>0.1</v>
          </cell>
          <cell r="FR78">
            <v>0.1</v>
          </cell>
          <cell r="FS78">
            <v>0.1</v>
          </cell>
          <cell r="FT78">
            <v>0.1</v>
          </cell>
          <cell r="FU78">
            <v>0.1</v>
          </cell>
          <cell r="FV78">
            <v>0.1</v>
          </cell>
          <cell r="FW78">
            <v>0.1</v>
          </cell>
          <cell r="FX78">
            <v>0.1</v>
          </cell>
          <cell r="FY78">
            <v>0.1</v>
          </cell>
          <cell r="FZ78">
            <v>0.1</v>
          </cell>
          <cell r="GA78">
            <v>0.1</v>
          </cell>
          <cell r="GB78">
            <v>0.1</v>
          </cell>
          <cell r="GC78">
            <v>0.1</v>
          </cell>
          <cell r="GD78">
            <v>0.1</v>
          </cell>
          <cell r="GE78">
            <v>0.1</v>
          </cell>
          <cell r="GF78">
            <v>0.1</v>
          </cell>
          <cell r="GG78">
            <v>0.1</v>
          </cell>
          <cell r="GH78">
            <v>0.1</v>
          </cell>
          <cell r="GI78">
            <v>0.1</v>
          </cell>
          <cell r="GJ78">
            <v>0.1</v>
          </cell>
          <cell r="GK78">
            <v>0.1</v>
          </cell>
          <cell r="GL78">
            <v>0.1</v>
          </cell>
          <cell r="GM78">
            <v>0.1</v>
          </cell>
          <cell r="GN78">
            <v>0.1</v>
          </cell>
          <cell r="GO78">
            <v>0.1</v>
          </cell>
          <cell r="GP78">
            <v>0.1</v>
          </cell>
          <cell r="GQ78">
            <v>0.1</v>
          </cell>
          <cell r="GR78">
            <v>0.1</v>
          </cell>
          <cell r="GS78">
            <v>0.1</v>
          </cell>
          <cell r="GT78">
            <v>0.1</v>
          </cell>
          <cell r="GU78">
            <v>0.1</v>
          </cell>
          <cell r="GV78">
            <v>0.1</v>
          </cell>
          <cell r="GW78">
            <v>0.1</v>
          </cell>
          <cell r="GX78">
            <v>0.1</v>
          </cell>
          <cell r="GY78">
            <v>0.1</v>
          </cell>
          <cell r="GZ78">
            <v>0.1</v>
          </cell>
          <cell r="HA78">
            <v>0.1</v>
          </cell>
          <cell r="HB78">
            <v>0.1</v>
          </cell>
          <cell r="HC78">
            <v>0.1</v>
          </cell>
          <cell r="HD78">
            <v>0.1</v>
          </cell>
          <cell r="HE78">
            <v>0.1</v>
          </cell>
          <cell r="HF78">
            <v>0.1</v>
          </cell>
          <cell r="HG78">
            <v>0.1</v>
          </cell>
          <cell r="HH78">
            <v>0.1</v>
          </cell>
          <cell r="HI78">
            <v>0.1</v>
          </cell>
          <cell r="HJ78">
            <v>0.1</v>
          </cell>
          <cell r="HK78">
            <v>0.1</v>
          </cell>
          <cell r="HL78">
            <v>0.1</v>
          </cell>
          <cell r="HM78">
            <v>0.1</v>
          </cell>
          <cell r="HN78">
            <v>0.1</v>
          </cell>
          <cell r="HO78">
            <v>0.1</v>
          </cell>
          <cell r="HP78">
            <v>0.1</v>
          </cell>
          <cell r="HQ78">
            <v>0.1</v>
          </cell>
          <cell r="HR78">
            <v>0.1</v>
          </cell>
          <cell r="HS78">
            <v>0.1</v>
          </cell>
          <cell r="HT78">
            <v>0.1</v>
          </cell>
          <cell r="HU78">
            <v>0.1</v>
          </cell>
          <cell r="HV78">
            <v>0.1</v>
          </cell>
          <cell r="HW78">
            <v>0.1</v>
          </cell>
          <cell r="HX78">
            <v>0.1</v>
          </cell>
          <cell r="HY78">
            <v>0.1</v>
          </cell>
          <cell r="HZ78">
            <v>0.1</v>
          </cell>
          <cell r="IA78">
            <v>0.1</v>
          </cell>
          <cell r="IB78">
            <v>0.1</v>
          </cell>
          <cell r="IC78">
            <v>0.1</v>
          </cell>
          <cell r="ID78">
            <v>0.1</v>
          </cell>
          <cell r="IE78">
            <v>0.1</v>
          </cell>
          <cell r="IF78">
            <v>0.1</v>
          </cell>
          <cell r="IG78">
            <v>0.1</v>
          </cell>
          <cell r="IH78">
            <v>0.1</v>
          </cell>
          <cell r="II78">
            <v>0.1</v>
          </cell>
          <cell r="IJ78">
            <v>0.1</v>
          </cell>
          <cell r="IK78">
            <v>0.1</v>
          </cell>
          <cell r="IL78">
            <v>0.1</v>
          </cell>
          <cell r="IM78">
            <v>0.1</v>
          </cell>
          <cell r="IN78">
            <v>0.1</v>
          </cell>
          <cell r="IO78">
            <v>0.1</v>
          </cell>
          <cell r="IP78">
            <v>0.1</v>
          </cell>
          <cell r="IQ78">
            <v>0.1</v>
          </cell>
        </row>
        <row r="80">
          <cell r="B80" t="str">
            <v>Equity Level</v>
          </cell>
        </row>
        <row r="81">
          <cell r="B81" t="str">
            <v>Net income</v>
          </cell>
          <cell r="C81">
            <v>4925.8282885562949</v>
          </cell>
          <cell r="D81">
            <v>5655.0055431099736</v>
          </cell>
          <cell r="E81">
            <v>6007.5781993237179</v>
          </cell>
          <cell r="F81">
            <v>6443.0824551623209</v>
          </cell>
          <cell r="G81">
            <v>6563.2550518573617</v>
          </cell>
          <cell r="H81">
            <v>6739.8964352600851</v>
          </cell>
          <cell r="I81">
            <v>7070.1996744190528</v>
          </cell>
          <cell r="J81">
            <v>7489.5162542993894</v>
          </cell>
          <cell r="K81">
            <v>7811.3270254459476</v>
          </cell>
          <cell r="L81">
            <v>8076.3329784801845</v>
          </cell>
          <cell r="M81">
            <v>8566.7467301468932</v>
          </cell>
          <cell r="N81">
            <v>8935.8580734342559</v>
          </cell>
          <cell r="O81">
            <v>9078.6442971877295</v>
          </cell>
          <cell r="P81">
            <v>9207.6705528694001</v>
          </cell>
          <cell r="Q81">
            <v>9321.9325937473095</v>
          </cell>
          <cell r="R81">
            <v>9366.7021676866771</v>
          </cell>
          <cell r="S81">
            <v>9603.11387582114</v>
          </cell>
          <cell r="T81">
            <v>9707.1186196884373</v>
          </cell>
          <cell r="U81">
            <v>9813.5538295651986</v>
          </cell>
          <cell r="V81">
            <v>9922.4646039425661</v>
          </cell>
          <cell r="W81">
            <v>10033.896869288374</v>
          </cell>
          <cell r="X81">
            <v>10147.897402520721</v>
          </cell>
          <cell r="Y81">
            <v>10264.513853805995</v>
          </cell>
          <cell r="Z81">
            <v>10383.794769677934</v>
          </cell>
          <cell r="AA81">
            <v>10505.789616475406</v>
          </cell>
          <cell r="AB81">
            <v>10630.54880409772</v>
          </cell>
          <cell r="AC81">
            <v>10758.123710077405</v>
          </cell>
          <cell r="AD81">
            <v>10888.566703971333</v>
          </cell>
          <cell r="AE81">
            <v>11021.93117207226</v>
          </cell>
          <cell r="AF81">
            <v>11158.27154244365</v>
          </cell>
          <cell r="AG81">
            <v>11297.643310281814</v>
          </cell>
          <cell r="AH81">
            <v>11440.103063610111</v>
          </cell>
          <cell r="AI81">
            <v>11585.708509310947</v>
          </cell>
          <cell r="AJ81">
            <v>11734.518499502141</v>
          </cell>
          <cell r="AK81">
            <v>11886.593058264942</v>
          </cell>
          <cell r="AL81">
            <v>12041.993408731811</v>
          </cell>
          <cell r="AM81">
            <v>12200.782000542758</v>
          </cell>
          <cell r="AN81">
            <v>12363.022537679668</v>
          </cell>
          <cell r="AO81">
            <v>12528.780006688754</v>
          </cell>
          <cell r="AP81">
            <v>12698.120705301801</v>
          </cell>
          <cell r="AQ81">
            <v>12871.112271467462</v>
          </cell>
          <cell r="AR81">
            <v>13047.823712804378</v>
          </cell>
          <cell r="AS81">
            <v>13228.325436488411</v>
          </cell>
          <cell r="AT81">
            <v>13412.689279586735</v>
          </cell>
          <cell r="AU81">
            <v>13600.988539851933</v>
          </cell>
          <cell r="AV81">
            <v>13793.298006989735</v>
          </cell>
          <cell r="AW81">
            <v>13989.693994414352</v>
          </cell>
          <cell r="AX81">
            <v>14190.254371505798</v>
          </cell>
          <cell r="AY81">
            <v>14395.058596383784</v>
          </cell>
          <cell r="AZ81">
            <v>14604.187749213399</v>
          </cell>
          <cell r="BA81">
            <v>14817.724566057725</v>
          </cell>
          <cell r="BB81">
            <v>15035.753473293187</v>
          </cell>
          <cell r="BC81">
            <v>15258.360622603432</v>
          </cell>
          <cell r="BD81">
            <v>15485.633926568073</v>
          </cell>
          <cell r="BE81">
            <v>15717.663094862683</v>
          </cell>
          <cell r="BF81">
            <v>15954.539671086803</v>
          </cell>
          <cell r="BG81">
            <v>16196.357070236963</v>
          </cell>
          <cell r="BH81">
            <v>16443.21061684201</v>
          </cell>
          <cell r="BI81">
            <v>16695.197583778081</v>
          </cell>
          <cell r="BJ81">
            <v>16952.417231781179</v>
          </cell>
          <cell r="BK81">
            <v>17214.970849675112</v>
          </cell>
          <cell r="BL81">
            <v>17482.961795333209</v>
          </cell>
          <cell r="BM81">
            <v>17756.495537392166</v>
          </cell>
          <cell r="BN81">
            <v>18035.679697736778</v>
          </cell>
          <cell r="BO81">
            <v>18320.624094774565</v>
          </cell>
          <cell r="BP81">
            <v>18611.440787519481</v>
          </cell>
          <cell r="BQ81">
            <v>18908.244120504201</v>
          </cell>
          <cell r="BR81">
            <v>19211.150769540793</v>
          </cell>
          <cell r="BS81">
            <v>19520.279788349671</v>
          </cell>
          <cell r="BT81">
            <v>19835.752656077351</v>
          </cell>
          <cell r="BU81">
            <v>20157.693325723343</v>
          </cell>
          <cell r="BV81">
            <v>20486.228273497269</v>
          </cell>
          <cell r="BW81">
            <v>20821.486549127316</v>
          </cell>
          <cell r="BX81">
            <v>21163.599827141392</v>
          </cell>
          <cell r="BY81">
            <v>21512.702459143104</v>
          </cell>
          <cell r="BZ81">
            <v>21868.931527104301</v>
          </cell>
          <cell r="CA81">
            <v>22232.426897696983</v>
          </cell>
          <cell r="CB81">
            <v>22603.33127768723</v>
          </cell>
          <cell r="CC81">
            <v>22981.790270414291</v>
          </cell>
          <cell r="CD81">
            <v>23367.952433378538</v>
          </cell>
          <cell r="CE81">
            <v>23761.969336962044</v>
          </cell>
          <cell r="CF81">
            <v>24163.99562430611</v>
          </cell>
          <cell r="CG81">
            <v>24574.189072370573</v>
          </cell>
          <cell r="CH81">
            <v>24992.710654199833</v>
          </cell>
          <cell r="CI81">
            <v>25419.724602421269</v>
          </cell>
          <cell r="CJ81">
            <v>25855.3984740019</v>
          </cell>
          <cell r="CK81">
            <v>26299.903216289818</v>
          </cell>
          <cell r="CL81">
            <v>26753.413234367195</v>
          </cell>
          <cell r="CM81">
            <v>27216.106459742176</v>
          </cell>
          <cell r="CN81">
            <v>27688.164420407546</v>
          </cell>
          <cell r="CO81">
            <v>28169.772312294492</v>
          </cell>
          <cell r="CP81">
            <v>28661.119072150159</v>
          </cell>
          <cell r="CQ81">
            <v>29162.397451868503</v>
          </cell>
          <cell r="CR81">
            <v>29673.804094304211</v>
          </cell>
          <cell r="CS81">
            <v>30195.539610600146</v>
          </cell>
          <cell r="CT81">
            <v>30727.808659059283</v>
          </cell>
          <cell r="CU81">
            <v>31270.820025592671</v>
          </cell>
          <cell r="CV81">
            <v>31824.786705775652</v>
          </cell>
          <cell r="CW81">
            <v>32389.925988544925</v>
          </cell>
          <cell r="CX81">
            <v>32966.459541569915</v>
          </cell>
          <cell r="CY81">
            <v>33554.613498332517</v>
          </cell>
          <cell r="CZ81">
            <v>34154.618546949554</v>
          </cell>
          <cell r="DA81">
            <v>34766.710020773564</v>
          </cell>
          <cell r="DB81">
            <v>35391.127990807683</v>
          </cell>
          <cell r="DC81">
            <v>36028.117359971293</v>
          </cell>
          <cell r="DD81">
            <v>36677.927959253931</v>
          </cell>
          <cell r="DE81">
            <v>37340.81464579529</v>
          </cell>
          <cell r="DF81">
            <v>38017.037402930342</v>
          </cell>
          <cell r="DG81">
            <v>38706.861442239024</v>
          </cell>
          <cell r="DH81">
            <v>39410.557307640891</v>
          </cell>
          <cell r="DI81">
            <v>40128.400981575818</v>
          </cell>
          <cell r="DJ81">
            <v>40860.673993312608</v>
          </cell>
          <cell r="DK81">
            <v>41607.663529428384</v>
          </cell>
          <cell r="DL81">
            <v>42369.662546502208</v>
          </cell>
          <cell r="DM81">
            <v>43146.969886067469</v>
          </cell>
          <cell r="DN81">
            <v>43939.890391868248</v>
          </cell>
          <cell r="DO81">
            <v>44748.73502946589</v>
          </cell>
          <cell r="DP81">
            <v>45573.821008242929</v>
          </cell>
          <cell r="DQ81">
            <v>46415.471905852326</v>
          </cell>
          <cell r="DR81">
            <v>47274.017795161097</v>
          </cell>
          <cell r="DS81">
            <v>48149.795373738147</v>
          </cell>
          <cell r="DT81">
            <v>49043.148095937402</v>
          </cell>
          <cell r="DU81">
            <v>49954.426307628113</v>
          </cell>
          <cell r="DV81">
            <v>50883.987383625179</v>
          </cell>
          <cell r="DW81">
            <v>51832.195867873903</v>
          </cell>
          <cell r="DX81">
            <v>52799.42361644379</v>
          </cell>
          <cell r="DY81">
            <v>53786.049943387945</v>
          </cell>
          <cell r="DZ81">
            <v>54792.461769525275</v>
          </cell>
          <cell r="EA81">
            <v>55819.053774203872</v>
          </cell>
          <cell r="EB81">
            <v>56866.228550105312</v>
          </cell>
          <cell r="EC81">
            <v>57934.396761150609</v>
          </cell>
          <cell r="ED81">
            <v>59023.977303569845</v>
          </cell>
          <cell r="EE81">
            <v>60135.397470198717</v>
          </cell>
          <cell r="EF81">
            <v>61269.093118066594</v>
          </cell>
          <cell r="EG81">
            <v>62425.508839341688</v>
          </cell>
          <cell r="EH81">
            <v>63605.098135700769</v>
          </cell>
          <cell r="EI81">
            <v>64808.323596191425</v>
          </cell>
          <cell r="EJ81">
            <v>66035.657078657168</v>
          </cell>
          <cell r="EK81">
            <v>67287.579894796188</v>
          </cell>
          <cell r="EL81">
            <v>68564.582998926722</v>
          </cell>
          <cell r="EM81">
            <v>69867.167180532735</v>
          </cell>
          <cell r="EN81">
            <v>71195.843260665933</v>
          </cell>
          <cell r="EO81">
            <v>72551.132292280687</v>
          </cell>
          <cell r="EP81">
            <v>73933.565764580897</v>
          </cell>
          <cell r="EQ81">
            <v>75343.685811458825</v>
          </cell>
          <cell r="ER81">
            <v>76782.045424107331</v>
          </cell>
          <cell r="ES81">
            <v>78249.208667889718</v>
          </cell>
          <cell r="ET81">
            <v>79745.750903551438</v>
          </cell>
          <cell r="EU81">
            <v>81272.259012860915</v>
          </cell>
          <cell r="EV81">
            <v>82829.331628767992</v>
          </cell>
          <cell r="EW81">
            <v>84417.579370170017</v>
          </cell>
          <cell r="EX81">
            <v>86037.625081377904</v>
          </cell>
          <cell r="EY81">
            <v>87690.104076376039</v>
          </cell>
          <cell r="EZ81">
            <v>89375.664387971978</v>
          </cell>
          <cell r="FA81">
            <v>91094.967021933087</v>
          </cell>
          <cell r="FB81">
            <v>92848.686216210976</v>
          </cell>
          <cell r="FC81">
            <v>94637.509705353834</v>
          </cell>
          <cell r="FD81">
            <v>96462.138990211868</v>
          </cell>
          <cell r="FE81">
            <v>98323.289613040703</v>
          </cell>
          <cell r="FF81">
            <v>100221.691438111</v>
          </cell>
          <cell r="FG81">
            <v>102158.08893793412</v>
          </cell>
          <cell r="FH81">
            <v>104133.24148521663</v>
          </cell>
          <cell r="FI81">
            <v>106147.92365065718</v>
          </cell>
          <cell r="FJ81">
            <v>108202.92550670376</v>
          </cell>
          <cell r="FK81">
            <v>110299.05293738957</v>
          </cell>
          <cell r="FL81">
            <v>112437.12795436919</v>
          </cell>
          <cell r="FM81">
            <v>114617.98901927932</v>
          </cell>
          <cell r="FN81">
            <v>116842.49137255027</v>
          </cell>
          <cell r="FO81">
            <v>119111.50736879719</v>
          </cell>
          <cell r="FP81">
            <v>121425.92681892247</v>
          </cell>
          <cell r="FQ81">
            <v>123786.65733906376</v>
          </cell>
          <cell r="FR81">
            <v>126194.62470652421</v>
          </cell>
          <cell r="FS81">
            <v>128650.77322282454</v>
          </cell>
          <cell r="FT81">
            <v>131156.06608401955</v>
          </cell>
          <cell r="FU81">
            <v>133711.48575842404</v>
          </cell>
          <cell r="FV81">
            <v>136318.03437189612</v>
          </cell>
          <cell r="FW81">
            <v>138976.73410082987</v>
          </cell>
          <cell r="FX81">
            <v>141688.62757301008</v>
          </cell>
          <cell r="FY81">
            <v>144454.77827648789</v>
          </cell>
          <cell r="FZ81">
            <v>147276.27097663583</v>
          </cell>
          <cell r="GA81">
            <v>150154.21214154793</v>
          </cell>
          <cell r="GB81">
            <v>153089.7303759497</v>
          </cell>
          <cell r="GC81">
            <v>156083.97686378955</v>
          </cell>
          <cell r="GD81">
            <v>159138.12581968485</v>
          </cell>
          <cell r="GE81">
            <v>162253.37494939889</v>
          </cell>
          <cell r="GF81">
            <v>165430.94591953084</v>
          </cell>
          <cell r="GG81">
            <v>168672.08483660154</v>
          </cell>
          <cell r="GH81">
            <v>171978.06273572345</v>
          </cell>
          <cell r="GI81">
            <v>175350.17607904688</v>
          </cell>
          <cell r="GJ81">
            <v>178789.74726417728</v>
          </cell>
          <cell r="GK81">
            <v>182298.12514276319</v>
          </cell>
          <cell r="GL81">
            <v>185876.68554945855</v>
          </cell>
          <cell r="GM81">
            <v>189526.83184146622</v>
          </cell>
          <cell r="GN81">
            <v>193249.99544887483</v>
          </cell>
          <cell r="GO81">
            <v>197047.63643600463</v>
          </cell>
          <cell r="GP81">
            <v>200921.24407398218</v>
          </cell>
          <cell r="GQ81">
            <v>204872.33742476857</v>
          </cell>
          <cell r="GR81">
            <v>208902.46593687104</v>
          </cell>
          <cell r="GS81">
            <v>213013.21005296981</v>
          </cell>
          <cell r="GT81">
            <v>217206.18182970016</v>
          </cell>
          <cell r="GU81">
            <v>221483.02556983204</v>
          </cell>
          <cell r="GV81">
            <v>225845.41846709483</v>
          </cell>
          <cell r="GW81">
            <v>230295.07126390093</v>
          </cell>
          <cell r="GX81">
            <v>234833.72892222548</v>
          </cell>
          <cell r="GY81">
            <v>239463.17130790532</v>
          </cell>
          <cell r="GZ81">
            <v>244185.21388862628</v>
          </cell>
          <cell r="HA81">
            <v>249001.7084458711</v>
          </cell>
          <cell r="HB81">
            <v>253914.54380110893</v>
          </cell>
          <cell r="HC81">
            <v>258925.64655650983</v>
          </cell>
          <cell r="HD81">
            <v>264036.98185047484</v>
          </cell>
          <cell r="HE81">
            <v>269250.5541282795</v>
          </cell>
          <cell r="HF81">
            <v>274568.4079281303</v>
          </cell>
          <cell r="HG81">
            <v>279992.6286829451</v>
          </cell>
          <cell r="HH81">
            <v>285525.34353816969</v>
          </cell>
          <cell r="HI81">
            <v>291168.72218595311</v>
          </cell>
          <cell r="HJ81">
            <v>296924.97771600744</v>
          </cell>
          <cell r="HK81">
            <v>302796.36748348566</v>
          </cell>
          <cell r="HL81">
            <v>308785.19399422006</v>
          </cell>
          <cell r="HM81">
            <v>314893.80580766499</v>
          </cell>
          <cell r="HN81">
            <v>321124.59845790145</v>
          </cell>
          <cell r="HO81">
            <v>327480.01539306168</v>
          </cell>
          <cell r="HP81">
            <v>333962.54893354489</v>
          </cell>
          <cell r="HQ81">
            <v>340574.74124939711</v>
          </cell>
          <cell r="HR81">
            <v>347319.1853572416</v>
          </cell>
          <cell r="HS81">
            <v>354198.52613714751</v>
          </cell>
          <cell r="HT81">
            <v>361215.46136983839</v>
          </cell>
          <cell r="HU81">
            <v>368372.74279464525</v>
          </cell>
          <cell r="HV81">
            <v>375673.17718861997</v>
          </cell>
          <cell r="HW81">
            <v>383119.62746723223</v>
          </cell>
          <cell r="HX81">
            <v>390715.01380708226</v>
          </cell>
          <cell r="HY81">
            <v>398462.31479106704</v>
          </cell>
          <cell r="HZ81">
            <v>406364.56857645325</v>
          </cell>
          <cell r="IA81">
            <v>414424.87408631068</v>
          </cell>
          <cell r="IB81">
            <v>422646.39222477662</v>
          </cell>
          <cell r="IC81">
            <v>431032.34711662622</v>
          </cell>
          <cell r="ID81">
            <v>439586.02737163502</v>
          </cell>
          <cell r="IE81">
            <v>448310.78737422993</v>
          </cell>
          <cell r="IF81">
            <v>457210.04859893437</v>
          </cell>
          <cell r="IG81">
            <v>466287.3009521226</v>
          </cell>
          <cell r="IH81">
            <v>475546.10414061096</v>
          </cell>
          <cell r="II81">
            <v>484990.08906762104</v>
          </cell>
          <cell r="IJ81">
            <v>494622.95925666339</v>
          </cell>
          <cell r="IK81">
            <v>504448.4923038999</v>
          </cell>
          <cell r="IL81">
            <v>514470.54135955387</v>
          </cell>
          <cell r="IM81">
            <v>524693.03663894965</v>
          </cell>
          <cell r="IN81">
            <v>535119.98696377291</v>
          </cell>
          <cell r="IO81">
            <v>545755.48133415869</v>
          </cell>
          <cell r="IP81">
            <v>556603.69053221948</v>
          </cell>
          <cell r="IQ81">
            <v>567668.86875764758</v>
          </cell>
          <cell r="IR81">
            <v>578955.35529602761</v>
          </cell>
        </row>
        <row r="82">
          <cell r="B82" t="str">
            <v>Equity</v>
          </cell>
          <cell r="C82">
            <v>25684.207979724342</v>
          </cell>
          <cell r="D82">
            <v>26995.786205452958</v>
          </cell>
          <cell r="E82">
            <v>28386.549277141592</v>
          </cell>
          <cell r="F82">
            <v>29883.929525086009</v>
          </cell>
          <cell r="G82">
            <v>31471.523772954723</v>
          </cell>
          <cell r="H82">
            <v>33199.424219091641</v>
          </cell>
          <cell r="I82">
            <v>35059.71216755647</v>
          </cell>
          <cell r="J82">
            <v>36995.723278250378</v>
          </cell>
          <cell r="K82">
            <v>39034.753619091913</v>
          </cell>
          <cell r="L82">
            <v>41155.500208654055</v>
          </cell>
          <cell r="M82">
            <v>42640.288517730136</v>
          </cell>
          <cell r="N82">
            <v>42579.139214197137</v>
          </cell>
          <cell r="O82">
            <v>42433.030601755003</v>
          </cell>
          <cell r="P82">
            <v>42201.3719982494</v>
          </cell>
          <cell r="Q82">
            <v>42000.678328260554</v>
          </cell>
          <cell r="R82">
            <v>44781.992541607193</v>
          </cell>
          <cell r="S82">
            <v>46005.577763575384</v>
          </cell>
          <cell r="T82">
            <v>47257.75670330198</v>
          </cell>
          <cell r="U82">
            <v>48539.059931271011</v>
          </cell>
          <cell r="V82">
            <v>49850.02775886876</v>
          </cell>
          <cell r="W82">
            <v>51191.210502778718</v>
          </cell>
          <cell r="X82">
            <v>52563.168753193713</v>
          </cell>
          <cell r="Y82">
            <v>53966.473645804756</v>
          </cell>
          <cell r="Z82">
            <v>55401.707137539706</v>
          </cell>
          <cell r="AA82">
            <v>56869.462286037524</v>
          </cell>
          <cell r="AB82">
            <v>58370.343532857347</v>
          </cell>
          <cell r="AC82">
            <v>59904.966990432993</v>
          </cell>
          <cell r="AD82">
            <v>61473.960732796811</v>
          </cell>
          <cell r="AE82">
            <v>63077.965090107289</v>
          </cell>
          <cell r="AF82">
            <v>64717.632947026876</v>
          </cell>
          <cell r="AG82">
            <v>66393.630045006823</v>
          </cell>
          <cell r="AH82">
            <v>68106.635288546066</v>
          </cell>
          <cell r="AI82">
            <v>69857.341055501296</v>
          </cell>
          <cell r="AJ82">
            <v>71646.453511534244</v>
          </cell>
          <cell r="AK82">
            <v>73474.692928791541</v>
          </cell>
          <cell r="AL82">
            <v>75342.794008920333</v>
          </cell>
          <cell r="AM82">
            <v>77251.506210531021</v>
          </cell>
          <cell r="AN82">
            <v>79201.59408122614</v>
          </cell>
          <cell r="AO82">
            <v>81193.837594320823</v>
          </cell>
          <cell r="AP82">
            <v>83229.032490387428</v>
          </cell>
          <cell r="AQ82">
            <v>85307.990623762904</v>
          </cell>
          <cell r="AR82">
            <v>87431.5403141633</v>
          </cell>
          <cell r="AS82">
            <v>89600.526703555355</v>
          </cell>
          <cell r="AT82">
            <v>91815.812118440037</v>
          </cell>
          <cell r="AU82">
            <v>94078.276437708264</v>
          </cell>
          <cell r="AV82">
            <v>96388.817466233188</v>
          </cell>
          <cell r="AW82">
            <v>98748.351314367843</v>
          </cell>
          <cell r="AX82">
            <v>101157.81278352063</v>
          </cell>
          <cell r="AY82">
            <v>103618.15575798666</v>
          </cell>
          <cell r="AZ82">
            <v>106130.35360321404</v>
          </cell>
          <cell r="BA82">
            <v>108695.39957069006</v>
          </cell>
          <cell r="BB82">
            <v>111314.30720963411</v>
          </cell>
          <cell r="BC82">
            <v>113988.11078568874</v>
          </cell>
          <cell r="BD82">
            <v>116717.86570680179</v>
          </cell>
          <cell r="BE82">
            <v>119504.6489564973</v>
          </cell>
          <cell r="BF82">
            <v>122349.55953473452</v>
          </cell>
          <cell r="BG82">
            <v>125253.71890655858</v>
          </cell>
          <cell r="BH82">
            <v>128218.27145874767</v>
          </cell>
          <cell r="BI82">
            <v>131244.38496466642</v>
          </cell>
          <cell r="BJ82">
            <v>134333.2510575362</v>
          </cell>
          <cell r="BK82">
            <v>137486.08571233737</v>
          </cell>
          <cell r="BL82">
            <v>140704.12973656037</v>
          </cell>
          <cell r="BM82">
            <v>143988.64927002642</v>
          </cell>
          <cell r="BN82">
            <v>147340.93629400036</v>
          </cell>
          <cell r="BO82">
            <v>150762.30914982295</v>
          </cell>
          <cell r="BP82">
            <v>154254.11306729022</v>
          </cell>
          <cell r="BQ82">
            <v>157817.72070301481</v>
          </cell>
          <cell r="BR82">
            <v>161454.53268900164</v>
          </cell>
          <cell r="BS82">
            <v>165165.97819168022</v>
          </cell>
          <cell r="BT82">
            <v>168953.51548163308</v>
          </cell>
          <cell r="BU82">
            <v>172818.63251426752</v>
          </cell>
          <cell r="BV82">
            <v>176762.8475216798</v>
          </cell>
          <cell r="BW82">
            <v>180787.70961596307</v>
          </cell>
          <cell r="BX82">
            <v>184894.79940421847</v>
          </cell>
          <cell r="BY82">
            <v>189085.72961552668</v>
          </cell>
          <cell r="BZ82">
            <v>193362.14574014649</v>
          </cell>
          <cell r="CA82">
            <v>197725.72668120821</v>
          </cell>
          <cell r="CB82">
            <v>202178.18541917362</v>
          </cell>
          <cell r="CC82">
            <v>206721.26968934128</v>
          </cell>
          <cell r="CD82">
            <v>211356.76267267659</v>
          </cell>
          <cell r="CE82">
            <v>216086.48370025386</v>
          </cell>
          <cell r="CF82">
            <v>220912.28897160047</v>
          </cell>
          <cell r="CG82">
            <v>225836.07228723884</v>
          </cell>
          <cell r="CH82">
            <v>230859.7657957263</v>
          </cell>
          <cell r="CI82">
            <v>235985.34075549844</v>
          </cell>
          <cell r="CJ82">
            <v>241214.80831182687</v>
          </cell>
          <cell r="CK82">
            <v>246550.22028920779</v>
          </cell>
          <cell r="CL82">
            <v>251993.66999950164</v>
          </cell>
          <cell r="CM82">
            <v>257547.2930661531</v>
          </cell>
          <cell r="CN82">
            <v>263213.26826482307</v>
          </cell>
          <cell r="CO82">
            <v>268993.81838077208</v>
          </cell>
          <cell r="CP82">
            <v>274891.21108334081</v>
          </cell>
          <cell r="CQ82">
            <v>280907.75981787854</v>
          </cell>
          <cell r="CR82">
            <v>287045.82471547782</v>
          </cell>
          <cell r="CS82">
            <v>293307.81352087943</v>
          </cell>
          <cell r="CT82">
            <v>299696.18253891933</v>
          </cell>
          <cell r="CU82">
            <v>306213.43759989552</v>
          </cell>
          <cell r="CV82">
            <v>312862.13504423987</v>
          </cell>
          <cell r="CW82">
            <v>319644.88272688689</v>
          </cell>
          <cell r="CX82">
            <v>326564.34104174102</v>
          </cell>
          <cell r="CY82">
            <v>333623.22396664735</v>
          </cell>
          <cell r="CZ82">
            <v>340824.30012928281</v>
          </cell>
          <cell r="DA82">
            <v>348170.39389438997</v>
          </cell>
          <cell r="DB82">
            <v>355664.38647278544</v>
          </cell>
          <cell r="DC82">
            <v>363309.21705258125</v>
          </cell>
          <cell r="DD82">
            <v>371107.88395306782</v>
          </cell>
          <cell r="DE82">
            <v>379063.44580171548</v>
          </cell>
          <cell r="DF82">
            <v>387179.02273475879</v>
          </cell>
          <cell r="DG82">
            <v>395457.79762183956</v>
          </cell>
          <cell r="DH82">
            <v>403903.01731519162</v>
          </cell>
          <cell r="DI82">
            <v>412517.99392385985</v>
          </cell>
          <cell r="DJ82">
            <v>421306.10611345712</v>
          </cell>
          <cell r="DK82">
            <v>430270.80043197272</v>
          </cell>
          <cell r="DL82">
            <v>439415.59266215225</v>
          </cell>
          <cell r="DM82">
            <v>448744.06920098496</v>
          </cell>
          <cell r="DN82">
            <v>458259.88846683956</v>
          </cell>
          <cell r="DO82">
            <v>467966.78233480465</v>
          </cell>
          <cell r="DP82">
            <v>477868.55760079762</v>
          </cell>
          <cell r="DQ82">
            <v>487969.09747501841</v>
          </cell>
          <cell r="DR82">
            <v>498272.36310533667</v>
          </cell>
          <cell r="DS82">
            <v>508782.39513121033</v>
          </cell>
          <cell r="DT82">
            <v>519503.31526874803</v>
          </cell>
          <cell r="DU82">
            <v>530439.32792753703</v>
          </cell>
          <cell r="DV82">
            <v>541594.72185987502</v>
          </cell>
          <cell r="DW82">
            <v>552973.87184305012</v>
          </cell>
          <cell r="DX82">
            <v>564581.24039533432</v>
          </cell>
          <cell r="DY82">
            <v>576421.37952636171</v>
          </cell>
          <cell r="DZ82">
            <v>588498.93252258049</v>
          </cell>
          <cell r="EA82">
            <v>600818.63576847978</v>
          </cell>
          <cell r="EB82">
            <v>613385.32060430688</v>
          </cell>
          <cell r="EC82">
            <v>626203.9152210037</v>
          </cell>
          <cell r="ED82">
            <v>639279.44659310812</v>
          </cell>
          <cell r="EE82">
            <v>652617.04245037725</v>
          </cell>
          <cell r="EF82">
            <v>666221.93328890775</v>
          </cell>
          <cell r="EG82">
            <v>680099.45442254399</v>
          </cell>
          <cell r="EH82">
            <v>694255.04807537526</v>
          </cell>
          <cell r="EI82">
            <v>708694.26551614853</v>
          </cell>
          <cell r="EJ82">
            <v>723422.76923543122</v>
          </cell>
          <cell r="EK82">
            <v>738446.33516637853</v>
          </cell>
          <cell r="EL82">
            <v>753770.85494997876</v>
          </cell>
          <cell r="EM82">
            <v>769402.33824566344</v>
          </cell>
          <cell r="EN82">
            <v>785346.91508818988</v>
          </cell>
          <cell r="EO82">
            <v>801610.838291722</v>
          </cell>
          <cell r="EP82">
            <v>818200.48590205039</v>
          </cell>
          <cell r="EQ82">
            <v>835122.36369791522</v>
          </cell>
          <cell r="ER82">
            <v>852383.10774241388</v>
          </cell>
          <cell r="ES82">
            <v>869989.48698549275</v>
          </cell>
          <cell r="ET82">
            <v>887948.40591854556</v>
          </cell>
          <cell r="EU82">
            <v>906266.90728215827</v>
          </cell>
          <cell r="EV82">
            <v>924952.17482806463</v>
          </cell>
          <cell r="EW82">
            <v>944011.53613639239</v>
          </cell>
          <cell r="EX82">
            <v>963452.46548931196</v>
          </cell>
          <cell r="EY82">
            <v>983282.58680220495</v>
          </cell>
          <cell r="EZ82">
            <v>1003509.6766135126</v>
          </cell>
          <cell r="FA82">
            <v>1024141.6671344287</v>
          </cell>
          <cell r="FB82">
            <v>1045186.6493596388</v>
          </cell>
          <cell r="FC82">
            <v>1066652.8762403214</v>
          </cell>
          <cell r="FD82">
            <v>1088548.7659206607</v>
          </cell>
          <cell r="FE82">
            <v>1110882.9050391347</v>
          </cell>
          <cell r="FF82">
            <v>1133664.0520958775</v>
          </cell>
          <cell r="FG82">
            <v>1156901.1408874362</v>
          </cell>
          <cell r="FH82">
            <v>1180603.2840102662</v>
          </cell>
          <cell r="FI82">
            <v>1204779.776434344</v>
          </cell>
          <cell r="FJ82">
            <v>1229440.0991482944</v>
          </cell>
          <cell r="FK82">
            <v>1254593.9228774663</v>
          </cell>
          <cell r="FL82">
            <v>1280251.111876409</v>
          </cell>
          <cell r="FM82">
            <v>1306421.727797244</v>
          </cell>
          <cell r="FN82">
            <v>1333116.0336354431</v>
          </cell>
          <cell r="FO82">
            <v>1360344.4977545638</v>
          </cell>
          <cell r="FP82">
            <v>1388117.7979915203</v>
          </cell>
          <cell r="FQ82">
            <v>1416446.8258439959</v>
          </cell>
          <cell r="FR82">
            <v>1445342.690741647</v>
          </cell>
          <cell r="FS82">
            <v>1474816.7244027648</v>
          </cell>
          <cell r="FT82">
            <v>1504880.4852781116</v>
          </cell>
          <cell r="FU82">
            <v>1535545.7630836656</v>
          </cell>
          <cell r="FV82">
            <v>1566824.5834240625</v>
          </cell>
          <cell r="FW82">
            <v>1598729.2125085359</v>
          </cell>
          <cell r="FX82">
            <v>1631272.1619612158</v>
          </cell>
          <cell r="FY82">
            <v>1664466.1937276623</v>
          </cell>
          <cell r="FZ82">
            <v>1698324.3250795694</v>
          </cell>
          <cell r="GA82">
            <v>1732859.83371959</v>
          </cell>
          <cell r="GB82">
            <v>1768086.2629882942</v>
          </cell>
          <cell r="GC82">
            <v>1804017.4271752976</v>
          </cell>
          <cell r="GD82">
            <v>1840667.4169366395</v>
          </cell>
          <cell r="GE82">
            <v>1878050.6048205448</v>
          </cell>
          <cell r="GF82">
            <v>1916181.6509037295</v>
          </cell>
          <cell r="GG82">
            <v>1955075.5085404576</v>
          </cell>
          <cell r="GH82">
            <v>1994747.4302266156</v>
          </cell>
          <cell r="GI82">
            <v>2035212.9735810908</v>
          </cell>
          <cell r="GJ82">
            <v>2076488.0074468076</v>
          </cell>
          <cell r="GK82">
            <v>2118588.7181138117</v>
          </cell>
          <cell r="GL82">
            <v>2161531.615666843</v>
          </cell>
          <cell r="GM82">
            <v>2205333.5404598857</v>
          </cell>
          <cell r="GN82">
            <v>2250011.6697202362</v>
          </cell>
          <cell r="GO82">
            <v>2295583.524284678</v>
          </cell>
          <cell r="GP82">
            <v>2342066.9754703999</v>
          </cell>
          <cell r="GQ82">
            <v>2389480.2520833705</v>
          </cell>
          <cell r="GR82">
            <v>2437841.9475668855</v>
          </cell>
          <cell r="GS82">
            <v>2487171.0272931252</v>
          </cell>
          <cell r="GT82">
            <v>2537486.8360005589</v>
          </cell>
          <cell r="GU82">
            <v>2588809.1053801212</v>
          </cell>
          <cell r="GV82">
            <v>2641157.9618131337</v>
          </cell>
          <cell r="GW82">
            <v>2694553.9342640107</v>
          </cell>
          <cell r="GX82">
            <v>2749017.9623308326</v>
          </cell>
          <cell r="GY82">
            <v>2804571.4044569614</v>
          </cell>
          <cell r="GZ82">
            <v>2861236.0463069007</v>
          </cell>
          <cell r="HA82">
            <v>2919034.1093096985</v>
          </cell>
          <cell r="HB82">
            <v>2977988.2593732383</v>
          </cell>
          <cell r="HC82">
            <v>3038121.6157728275</v>
          </cell>
          <cell r="HD82">
            <v>3099457.7602175879</v>
          </cell>
          <cell r="HE82">
            <v>3162020.7460981859</v>
          </cell>
          <cell r="HF82">
            <v>3225835.1079195361</v>
          </cell>
          <cell r="HG82">
            <v>3290925.8709221785</v>
          </cell>
          <cell r="HH82">
            <v>3357318.5608961014</v>
          </cell>
          <cell r="HI82">
            <v>3425039.214190858</v>
          </cell>
          <cell r="HJ82">
            <v>3494114.3879258954</v>
          </cell>
          <cell r="HK82">
            <v>3564571.1704051238</v>
          </cell>
          <cell r="HL82">
            <v>3636437.1917397706</v>
          </cell>
          <cell r="HM82">
            <v>3709740.6346837287</v>
          </cell>
          <cell r="HN82">
            <v>3784510.2456856137</v>
          </cell>
          <cell r="HO82">
            <v>3860775.3461618861</v>
          </cell>
          <cell r="HP82">
            <v>3938565.8439954417</v>
          </cell>
          <cell r="HQ82">
            <v>4017912.2452642005</v>
          </cell>
          <cell r="HR82">
            <v>4098845.66620427</v>
          </cell>
          <cell r="HS82">
            <v>4181397.8454123982</v>
          </cell>
          <cell r="HT82">
            <v>4265601.1562924786</v>
          </cell>
          <cell r="HU82">
            <v>4351488.6197510045</v>
          </cell>
          <cell r="HV82">
            <v>4439093.9171464434</v>
          </cell>
          <cell r="HW82">
            <v>4528451.4034976196</v>
          </cell>
          <cell r="HX82">
            <v>4619596.1209562644</v>
          </cell>
          <cell r="HY82">
            <v>4712563.8125490434</v>
          </cell>
          <cell r="HZ82">
            <v>4807390.9361944254</v>
          </cell>
          <cell r="IA82">
            <v>4904114.6789999064</v>
          </cell>
          <cell r="IB82">
            <v>5002772.9718451956</v>
          </cell>
          <cell r="IC82">
            <v>5103404.5042570643</v>
          </cell>
          <cell r="ID82">
            <v>5206048.7395817107</v>
          </cell>
          <cell r="IE82">
            <v>5310745.9304605862</v>
          </cell>
          <cell r="IF82">
            <v>5417537.1346157417</v>
          </cell>
          <cell r="IG82">
            <v>5526464.2309508985</v>
          </cell>
          <cell r="IH82">
            <v>5637569.9359745467</v>
          </cell>
          <cell r="II82">
            <v>5750897.8205515156</v>
          </cell>
          <cell r="IJ82">
            <v>5866492.3269895921</v>
          </cell>
          <cell r="IK82">
            <v>5984398.7864678744</v>
          </cell>
          <cell r="IL82">
            <v>6104663.4368137065</v>
          </cell>
          <cell r="IM82">
            <v>6227333.4406351568</v>
          </cell>
          <cell r="IN82">
            <v>6352456.9038161645</v>
          </cell>
          <cell r="IO82">
            <v>6480082.8943815865</v>
          </cell>
          <cell r="IP82">
            <v>6610261.4617395652</v>
          </cell>
          <cell r="IQ82">
            <v>6743043.6563087413</v>
          </cell>
        </row>
        <row r="83">
          <cell r="B83" t="str">
            <v>ROE</v>
          </cell>
          <cell r="C83">
            <v>0.19458063719109525</v>
          </cell>
          <cell r="D83">
            <v>0.22017441797598566</v>
          </cell>
          <cell r="E83">
            <v>0.22253762693194798</v>
          </cell>
          <cell r="F83">
            <v>0.22697660051095553</v>
          </cell>
          <cell r="G83">
            <v>0.21962490061247969</v>
          </cell>
          <cell r="H83">
            <v>0.21415856708698874</v>
          </cell>
          <cell r="I83">
            <v>0.21296151486727496</v>
          </cell>
          <cell r="J83">
            <v>0.21362172679871663</v>
          </cell>
          <cell r="K83">
            <v>0.21114135184480073</v>
          </cell>
          <cell r="L83">
            <v>0.20690108761260495</v>
          </cell>
          <cell r="M83">
            <v>0.20815557305133917</v>
          </cell>
          <cell r="N83">
            <v>0.20956373383164756</v>
          </cell>
          <cell r="O83">
            <v>0.21321812663983217</v>
          </cell>
          <cell r="P83">
            <v>0.21699299866855554</v>
          </cell>
          <cell r="Q83">
            <v>0.22089169504095749</v>
          </cell>
          <cell r="R83">
            <v>0.22301311646636438</v>
          </cell>
          <cell r="S83">
            <v>0.21444141564042365</v>
          </cell>
          <cell r="T83">
            <v>0.21099873301393435</v>
          </cell>
          <cell r="U83">
            <v>0.2076601708197357</v>
          </cell>
          <cell r="V83">
            <v>0.20442226565558339</v>
          </cell>
          <cell r="W83">
            <v>0.20128167065068994</v>
          </cell>
          <cell r="X83">
            <v>0.1982351521453059</v>
          </cell>
          <cell r="Y83">
            <v>0.19527958639636481</v>
          </cell>
          <cell r="Z83">
            <v>0.19241195631623689</v>
          </cell>
          <cell r="AA83">
            <v>0.18962934825083713</v>
          </cell>
          <cell r="AB83">
            <v>0.18692894880259331</v>
          </cell>
          <cell r="AC83">
            <v>0.18430804170308732</v>
          </cell>
          <cell r="AD83">
            <v>0.18176400473954474</v>
          </cell>
          <cell r="AE83">
            <v>0.17929430673875513</v>
          </cell>
          <cell r="AF83">
            <v>0.17689650461145959</v>
          </cell>
          <cell r="AG83">
            <v>0.17456824045974054</v>
          </cell>
          <cell r="AH83">
            <v>0.17230723874948711</v>
          </cell>
          <cell r="AI83">
            <v>0.17011130354958809</v>
          </cell>
          <cell r="AJ83">
            <v>0.16797831583912029</v>
          </cell>
          <cell r="AK83">
            <v>0.16590623088344963</v>
          </cell>
          <cell r="AL83">
            <v>0.1638930756798451</v>
          </cell>
          <cell r="AM83">
            <v>0.16193694647291984</v>
          </cell>
          <cell r="AN83">
            <v>0.16003600633995568</v>
          </cell>
          <cell r="AO83">
            <v>0.15818848284593506</v>
          </cell>
          <cell r="AP83">
            <v>0.15639266576790037</v>
          </cell>
          <cell r="AQ83">
            <v>0.15464690488807517</v>
          </cell>
          <cell r="AR83">
            <v>0.1529496078550214</v>
          </cell>
          <cell r="AS83">
            <v>0.15129923811196444</v>
          </cell>
          <cell r="AT83">
            <v>0.14969431289129373</v>
          </cell>
          <cell r="AU83">
            <v>0.1481334012741401</v>
          </cell>
          <cell r="AV83">
            <v>0.1466151223138388</v>
          </cell>
          <cell r="AW83">
            <v>0.14513814322201021</v>
          </cell>
          <cell r="AX83">
            <v>0.14370117761592566</v>
          </cell>
          <cell r="AY83">
            <v>0.14230298382577178</v>
          </cell>
          <cell r="AZ83">
            <v>0.14094236326038587</v>
          </cell>
          <cell r="BA83">
            <v>0.13961815883000117</v>
          </cell>
          <cell r="BB83">
            <v>0.1383292534245176</v>
          </cell>
          <cell r="BC83">
            <v>0.13707456844579671</v>
          </cell>
          <cell r="BD83">
            <v>0.13585306239247102</v>
          </cell>
          <cell r="BE83">
            <v>0.13466372949575559</v>
          </cell>
          <cell r="BF83">
            <v>0.1335055984047504</v>
          </cell>
          <cell r="BG83">
            <v>0.13237773091973321</v>
          </cell>
          <cell r="BH83">
            <v>0.13127922077195112</v>
          </cell>
          <cell r="BI83">
            <v>0.13020919244843754</v>
          </cell>
          <cell r="BJ83">
            <v>0.12916680006039957</v>
          </cell>
          <cell r="BK83">
            <v>0.12815122625374248</v>
          </cell>
          <cell r="BL83">
            <v>0.12716168116032392</v>
          </cell>
          <cell r="BM83">
            <v>0.12619740138855598</v>
          </cell>
          <cell r="BN83">
            <v>0.12525764905200204</v>
          </cell>
          <cell r="BO83">
            <v>0.12434171083464582</v>
          </cell>
          <cell r="BP83">
            <v>0.12344889709154032</v>
          </cell>
          <cell r="BQ83">
            <v>0.1225785409835773</v>
          </cell>
          <cell r="BR83">
            <v>0.12172999764514911</v>
          </cell>
          <cell r="BS83">
            <v>0.1209026433835103</v>
          </cell>
          <cell r="BT83">
            <v>0.12009587490867731</v>
          </cell>
          <cell r="BU83">
            <v>0.11930910859274002</v>
          </cell>
          <cell r="BV83">
            <v>0.11854177975749212</v>
          </cell>
          <cell r="BW83">
            <v>0.11779334198932036</v>
          </cell>
          <cell r="BX83">
            <v>0.11706326648032661</v>
          </cell>
          <cell r="BY83">
            <v>0.11635104139468987</v>
          </cell>
          <cell r="BZ83">
            <v>0.11565617125930663</v>
          </cell>
          <cell r="CA83">
            <v>0.11497817637778217</v>
          </cell>
          <cell r="CB83">
            <v>0.11431659226687492</v>
          </cell>
          <cell r="CC83">
            <v>0.11367096911452845</v>
          </cell>
          <cell r="CD83">
            <v>0.11304087125865504</v>
          </cell>
          <cell r="CE83">
            <v>0.11242587668586533</v>
          </cell>
          <cell r="CF83">
            <v>0.1118255765493662</v>
          </cell>
          <cell r="CG83">
            <v>0.11123957470527918</v>
          </cell>
          <cell r="CH83">
            <v>0.110667487266657</v>
          </cell>
          <cell r="CI83">
            <v>0.11010894217450445</v>
          </cell>
          <cell r="CJ83">
            <v>0.10956357878513465</v>
          </cell>
          <cell r="CK83">
            <v>0.10903104747321735</v>
          </cell>
          <cell r="CL83">
            <v>0.10851100924990036</v>
          </cell>
          <cell r="CM83">
            <v>0.10800313539540894</v>
          </cell>
          <cell r="CN83">
            <v>0.10750710710555059</v>
          </cell>
          <cell r="CO83">
            <v>0.10702261515157524</v>
          </cell>
          <cell r="CP83">
            <v>0.10654935955286206</v>
          </cell>
          <cell r="CQ83">
            <v>0.10608704926192465</v>
          </cell>
          <cell r="CR83">
            <v>0.10563540186124686</v>
          </cell>
          <cell r="CS83">
            <v>0.10519414327148013</v>
          </cell>
          <cell r="CT83">
            <v>0.10476300747055241</v>
          </cell>
          <cell r="CU83">
            <v>0.1043417362232559</v>
          </cell>
          <cell r="CV83">
            <v>0.10393007882089923</v>
          </cell>
          <cell r="CW83">
            <v>0.10352779183062491</v>
          </cell>
          <cell r="CX83">
            <v>0.10313463885401018</v>
          </cell>
          <cell r="CY83">
            <v>0.10275039029458398</v>
          </cell>
          <cell r="CZ83">
            <v>0.10237482313390757</v>
          </cell>
          <cell r="DA83">
            <v>0.10200772071588123</v>
          </cell>
          <cell r="DB83">
            <v>0.10164887253895236</v>
          </cell>
          <cell r="DC83">
            <v>0.1012980740559136</v>
          </cell>
          <cell r="DD83">
            <v>0.10095512648099314</v>
          </cell>
          <cell r="DE83">
            <v>0.10061983660394991</v>
          </cell>
          <cell r="DF83">
            <v>0.10029201661089922</v>
          </cell>
          <cell r="DG83">
            <v>9.9971483911605361E-2</v>
          </cell>
          <cell r="DH83">
            <v>9.9658060972988141E-2</v>
          </cell>
          <cell r="DI83">
            <v>9.9351575158600589E-2</v>
          </cell>
          <cell r="DJ83">
            <v>9.9051858573845464E-2</v>
          </cell>
          <cell r="DK83">
            <v>9.8758747916707149E-2</v>
          </cell>
          <cell r="DL83">
            <v>9.8472084333784571E-2</v>
          </cell>
          <cell r="DM83">
            <v>9.8191713281420387E-2</v>
          </cell>
          <cell r="DN83">
            <v>9.7917484391728649E-2</v>
          </cell>
          <cell r="DO83">
            <v>9.7649251343332397E-2</v>
          </cell>
          <cell r="DP83">
            <v>9.7386871736629702E-2</v>
          </cell>
          <cell r="DQ83">
            <v>9.7130206973414096E-2</v>
          </cell>
          <cell r="DR83">
            <v>9.687912214068288E-2</v>
          </cell>
          <cell r="DS83">
            <v>9.6633485898472551E-2</v>
          </cell>
          <cell r="DT83">
            <v>9.6393170371568429E-2</v>
          </cell>
          <cell r="DU83">
            <v>9.6158051044940546E-2</v>
          </cell>
          <cell r="DV83">
            <v>9.5928006662764659E-2</v>
          </cell>
          <cell r="DW83">
            <v>9.5702919130892627E-2</v>
          </cell>
          <cell r="DX83">
            <v>9.5482673422641898E-2</v>
          </cell>
          <cell r="DY83">
            <v>9.5267157487779031E-2</v>
          </cell>
          <cell r="DZ83">
            <v>9.5056262164577521E-2</v>
          </cell>
          <cell r="EA83">
            <v>9.4849881094834637E-2</v>
          </cell>
          <cell r="EB83">
            <v>9.4647910641736846E-2</v>
          </cell>
          <cell r="EC83">
            <v>9.4450249810467707E-2</v>
          </cell>
          <cell r="ED83">
            <v>9.4256800171456517E-2</v>
          </cell>
          <cell r="EE83">
            <v>9.4067465786169729E-2</v>
          </cell>
          <cell r="EF83">
            <v>9.3882153135351629E-2</v>
          </cell>
          <cell r="EG83">
            <v>9.3700771049623807E-2</v>
          </cell>
          <cell r="EH83">
            <v>9.3523230642357041E-2</v>
          </cell>
          <cell r="EI83">
            <v>9.3349445244732571E-2</v>
          </cell>
          <cell r="EJ83">
            <v>9.3179330342912814E-2</v>
          </cell>
          <cell r="EK83">
            <v>9.3012803517244655E-2</v>
          </cell>
          <cell r="EL83">
            <v>9.284978438342241E-2</v>
          </cell>
          <cell r="EM83">
            <v>9.2690194535538534E-2</v>
          </cell>
          <cell r="EN83">
            <v>9.2533957490955429E-2</v>
          </cell>
          <cell r="EO83">
            <v>9.2380998636931833E-2</v>
          </cell>
          <cell r="EP83">
            <v>9.2231245178941823E-2</v>
          </cell>
          <cell r="EQ83">
            <v>9.2084626090626009E-2</v>
          </cell>
          <cell r="ER83">
            <v>9.194107206531632E-2</v>
          </cell>
          <cell r="ES83">
            <v>9.1800515469079733E-2</v>
          </cell>
          <cell r="ET83">
            <v>9.1662890295226312E-2</v>
          </cell>
          <cell r="EU83">
            <v>9.152813212023074E-2</v>
          </cell>
          <cell r="EV83">
            <v>9.1396178061017741E-2</v>
          </cell>
          <cell r="EW83">
            <v>9.1266966733563312E-2</v>
          </cell>
          <cell r="EX83">
            <v>9.1140438212766753E-2</v>
          </cell>
          <cell r="EY83">
            <v>9.1016533993548462E-2</v>
          </cell>
          <cell r="EZ83">
            <v>9.0895196953132459E-2</v>
          </cell>
          <cell r="FA83">
            <v>9.0776371314471152E-2</v>
          </cell>
          <cell r="FB83">
            <v>9.0660002610775198E-2</v>
          </cell>
          <cell r="FC83">
            <v>9.0546037651108538E-2</v>
          </cell>
          <cell r="FD83">
            <v>9.043442448701422E-2</v>
          </cell>
          <cell r="FE83">
            <v>9.0325112380134784E-2</v>
          </cell>
          <cell r="FF83">
            <v>9.0218051770794283E-2</v>
          </cell>
          <cell r="FG83">
            <v>9.0113194247509132E-2</v>
          </cell>
          <cell r="FH83">
            <v>9.0010492517396998E-2</v>
          </cell>
          <cell r="FI83">
            <v>8.990990037745325E-2</v>
          </cell>
          <cell r="FJ83">
            <v>8.9811372686666613E-2</v>
          </cell>
          <cell r="FK83">
            <v>8.9714865338945932E-2</v>
          </cell>
          <cell r="FL83">
            <v>8.9620335236830814E-2</v>
          </cell>
          <cell r="FM83">
            <v>8.9527740265961317E-2</v>
          </cell>
          <cell r="FN83">
            <v>8.9437039270280849E-2</v>
          </cell>
          <cell r="FO83">
            <v>8.9348192027948928E-2</v>
          </cell>
          <cell r="FP83">
            <v>8.9261159227940201E-2</v>
          </cell>
          <cell r="FQ83">
            <v>8.917590244730797E-2</v>
          </cell>
          <cell r="FR83">
            <v>8.9092384129090485E-2</v>
          </cell>
          <cell r="FS83">
            <v>8.9010567560839235E-2</v>
          </cell>
          <cell r="FT83">
            <v>8.8930416853749694E-2</v>
          </cell>
          <cell r="FU83">
            <v>8.8851896922374732E-2</v>
          </cell>
          <cell r="FV83">
            <v>8.8774973464902665E-2</v>
          </cell>
          <cell r="FW83">
            <v>8.8699612943981807E-2</v>
          </cell>
          <cell r="FX83">
            <v>8.8625782568074254E-2</v>
          </cell>
          <cell r="FY83">
            <v>8.8553450273322551E-2</v>
          </cell>
          <cell r="FZ83">
            <v>8.8482584705912609E-2</v>
          </cell>
          <cell r="GA83">
            <v>8.8413155204918215E-2</v>
          </cell>
          <cell r="GB83">
            <v>8.8345131785611319E-2</v>
          </cell>
          <cell r="GC83">
            <v>8.8278485123224393E-2</v>
          </cell>
          <cell r="GD83">
            <v>8.8213186537150504E-2</v>
          </cell>
          <cell r="GE83">
            <v>8.8149207975567745E-2</v>
          </cell>
          <cell r="GF83">
            <v>8.8086522000475287E-2</v>
          </cell>
          <cell r="GG83">
            <v>8.8025101773128167E-2</v>
          </cell>
          <cell r="GH83">
            <v>8.7964921039858951E-2</v>
          </cell>
          <cell r="GI83">
            <v>8.7905954118274524E-2</v>
          </cell>
          <cell r="GJ83">
            <v>8.7848175883816715E-2</v>
          </cell>
          <cell r="GK83">
            <v>8.7791561756675851E-2</v>
          </cell>
          <cell r="GL83">
            <v>8.7736087689046754E-2</v>
          </cell>
          <cell r="GM83">
            <v>8.7681730152716866E-2</v>
          </cell>
          <cell r="GN83">
            <v>8.7628466126976765E-2</v>
          </cell>
          <cell r="GO83">
            <v>8.7576273086843723E-2</v>
          </cell>
          <cell r="GP83">
            <v>8.752512899158868E-2</v>
          </cell>
          <cell r="GQ83">
            <v>8.7475012273558209E-2</v>
          </cell>
          <cell r="GR83">
            <v>8.7425901827282521E-2</v>
          </cell>
          <cell r="GS83">
            <v>8.7377776998861609E-2</v>
          </cell>
          <cell r="GT83">
            <v>8.7330617575620925E-2</v>
          </cell>
          <cell r="GU83">
            <v>8.728440377602939E-2</v>
          </cell>
          <cell r="GV83">
            <v>8.7239116239871767E-2</v>
          </cell>
          <cell r="GW83">
            <v>8.7194736018668575E-2</v>
          </cell>
          <cell r="GX83">
            <v>8.7151244566335939E-2</v>
          </cell>
          <cell r="GY83">
            <v>8.7108623730079118E-2</v>
          </cell>
          <cell r="GZ83">
            <v>8.7066855741512822E-2</v>
          </cell>
          <cell r="HA83">
            <v>8.7025923208001829E-2</v>
          </cell>
          <cell r="HB83">
            <v>8.6985809104216105E-2</v>
          </cell>
          <cell r="HC83">
            <v>8.6946496763894085E-2</v>
          </cell>
          <cell r="HD83">
            <v>8.6907969871808433E-2</v>
          </cell>
          <cell r="HE83">
            <v>8.6870212455928936E-2</v>
          </cell>
          <cell r="HF83">
            <v>8.6833208879776427E-2</v>
          </cell>
          <cell r="HG83">
            <v>8.6796943834963405E-2</v>
          </cell>
          <cell r="HH83">
            <v>8.6761402333915286E-2</v>
          </cell>
          <cell r="HI83">
            <v>8.672656970276818E-2</v>
          </cell>
          <cell r="HJ83">
            <v>8.6692431574437886E-2</v>
          </cell>
          <cell r="HK83">
            <v>8.6658973881855492E-2</v>
          </cell>
          <cell r="HL83">
            <v>8.662618285136546E-2</v>
          </cell>
          <cell r="HM83">
            <v>8.6594044996281427E-2</v>
          </cell>
          <cell r="HN83">
            <v>8.6562547110595703E-2</v>
          </cell>
          <cell r="HO83">
            <v>8.653167626283817E-2</v>
          </cell>
          <cell r="HP83">
            <v>8.650141979008108E-2</v>
          </cell>
          <cell r="HQ83">
            <v>8.6471765292085154E-2</v>
          </cell>
          <cell r="HR83">
            <v>8.6442700625584068E-2</v>
          </cell>
          <cell r="HS83">
            <v>8.6414213898702977E-2</v>
          </cell>
          <cell r="HT83">
            <v>8.6386293465508024E-2</v>
          </cell>
          <cell r="HU83">
            <v>8.635892792068324E-2</v>
          </cell>
          <cell r="HV83">
            <v>8.633210609433152E-2</v>
          </cell>
          <cell r="HW83">
            <v>8.6305817046896535E-2</v>
          </cell>
          <cell r="HX83">
            <v>8.6280050064202404E-2</v>
          </cell>
          <cell r="HY83">
            <v>8.6254794652607991E-2</v>
          </cell>
          <cell r="HZ83">
            <v>8.6230040534273245E-2</v>
          </cell>
          <cell r="IA83">
            <v>8.6205777642534148E-2</v>
          </cell>
          <cell r="IB83">
            <v>8.6181996117384169E-2</v>
          </cell>
          <cell r="IC83">
            <v>8.615868630105887E-2</v>
          </cell>
          <cell r="ID83">
            <v>8.6135838733721617E-2</v>
          </cell>
          <cell r="IE83">
            <v>8.6113444149247487E-2</v>
          </cell>
          <cell r="IF83">
            <v>8.6091493471102995E-2</v>
          </cell>
          <cell r="IG83">
            <v>8.6069977808319292E-2</v>
          </cell>
          <cell r="IH83">
            <v>8.6048888451556518E-2</v>
          </cell>
          <cell r="II83">
            <v>8.6028216869256893E-2</v>
          </cell>
          <cell r="IJ83">
            <v>8.6007954703884601E-2</v>
          </cell>
          <cell r="IK83">
            <v>8.5988093768249951E-2</v>
          </cell>
          <cell r="IL83">
            <v>8.5968626041916213E-2</v>
          </cell>
          <cell r="IM83">
            <v>8.5949543667686631E-2</v>
          </cell>
          <cell r="IN83">
            <v>8.5930838948169982E-2</v>
          </cell>
          <cell r="IO83">
            <v>8.5912504342422605E-2</v>
          </cell>
          <cell r="IP83">
            <v>8.5894532462665013E-2</v>
          </cell>
          <cell r="IQ83">
            <v>8.5876916071071577E-2</v>
          </cell>
        </row>
        <row r="84">
          <cell r="B84" t="str">
            <v>Dividends and net rep</v>
          </cell>
          <cell r="C84">
            <v>4917.6526402043555</v>
          </cell>
          <cell r="D84">
            <v>4758.3054663511011</v>
          </cell>
          <cell r="E84">
            <v>5050.9922529641672</v>
          </cell>
          <cell r="F84">
            <v>5407.995410322781</v>
          </cell>
          <cell r="G84">
            <v>5445.5588694560374</v>
          </cell>
          <cell r="H84">
            <v>5492.9138616270593</v>
          </cell>
          <cell r="I84">
            <v>5712.0951693574043</v>
          </cell>
          <cell r="J84">
            <v>6082.7305657356637</v>
          </cell>
          <cell r="K84">
            <v>6322.2155603898063</v>
          </cell>
          <cell r="L84">
            <v>6522.5138791790723</v>
          </cell>
          <cell r="M84">
            <v>7081.9584210708126</v>
          </cell>
          <cell r="N84">
            <v>8997.0073769672526</v>
          </cell>
          <cell r="O84">
            <v>9224.7529096298676</v>
          </cell>
          <cell r="P84">
            <v>9439.3291563750026</v>
          </cell>
          <cell r="Q84">
            <v>9522.6262637361579</v>
          </cell>
          <cell r="R84">
            <v>6585.3879543400399</v>
          </cell>
          <cell r="S84">
            <v>8379.5286538529472</v>
          </cell>
          <cell r="T84">
            <v>8454.9396799618407</v>
          </cell>
          <cell r="U84">
            <v>8532.2506015961699</v>
          </cell>
          <cell r="V84">
            <v>8611.4967763448149</v>
          </cell>
          <cell r="W84">
            <v>8692.7141253784139</v>
          </cell>
          <cell r="X84">
            <v>8775.939152105726</v>
          </cell>
          <cell r="Y84">
            <v>8861.2089611949486</v>
          </cell>
          <cell r="Z84">
            <v>8948.5612779429794</v>
          </cell>
          <cell r="AA84">
            <v>9038.0344679775881</v>
          </cell>
          <cell r="AB84">
            <v>9129.6675572778986</v>
          </cell>
          <cell r="AC84">
            <v>9223.5002525017626</v>
          </cell>
          <cell r="AD84">
            <v>9319.5729616075114</v>
          </cell>
          <cell r="AE84">
            <v>9417.926814761784</v>
          </cell>
          <cell r="AF84">
            <v>9518.60368552406</v>
          </cell>
          <cell r="AG84">
            <v>9621.6462123018719</v>
          </cell>
          <cell r="AH84">
            <v>9727.0978200708632</v>
          </cell>
          <cell r="AI84">
            <v>9835.0027423557185</v>
          </cell>
          <cell r="AJ84">
            <v>9945.4060434691928</v>
          </cell>
          <cell r="AK84">
            <v>10058.353641007649</v>
          </cell>
          <cell r="AL84">
            <v>10173.892328603019</v>
          </cell>
          <cell r="AM84">
            <v>10292.069798932076</v>
          </cell>
          <cell r="AN84">
            <v>10412.934666984554</v>
          </cell>
          <cell r="AO84">
            <v>10536.536493594074</v>
          </cell>
          <cell r="AP84">
            <v>10662.925809235196</v>
          </cell>
          <cell r="AQ84">
            <v>10792.154138091981</v>
          </cell>
          <cell r="AR84">
            <v>10924.274022403988</v>
          </cell>
          <cell r="AS84">
            <v>11059.33904709635</v>
          </cell>
          <cell r="AT84">
            <v>11197.40386470205</v>
          </cell>
          <cell r="AU84">
            <v>11338.524220583698</v>
          </cell>
          <cell r="AV84">
            <v>11482.756978464808</v>
          </cell>
          <cell r="AW84">
            <v>11630.160146279697</v>
          </cell>
          <cell r="AX84">
            <v>11780.792902353016</v>
          </cell>
          <cell r="AY84">
            <v>11934.715621917741</v>
          </cell>
          <cell r="AZ84">
            <v>12091.989903986017</v>
          </cell>
          <cell r="BA84">
            <v>12252.678598581697</v>
          </cell>
          <cell r="BB84">
            <v>12416.845834349137</v>
          </cell>
          <cell r="BC84">
            <v>12584.557046548798</v>
          </cell>
          <cell r="BD84">
            <v>12755.879005455019</v>
          </cell>
          <cell r="BE84">
            <v>12930.879845167176</v>
          </cell>
          <cell r="BF84">
            <v>13109.629092849587</v>
          </cell>
          <cell r="BG84">
            <v>13292.1976984129</v>
          </cell>
          <cell r="BH84">
            <v>13478.658064652918</v>
          </cell>
          <cell r="BI84">
            <v>13669.084077859326</v>
          </cell>
          <cell r="BJ84">
            <v>13863.551138911396</v>
          </cell>
          <cell r="BK84">
            <v>14062.136194873921</v>
          </cell>
          <cell r="BL84">
            <v>14264.917771110224</v>
          </cell>
          <cell r="BM84">
            <v>14471.976003926102</v>
          </cell>
          <cell r="BN84">
            <v>14683.392673762835</v>
          </cell>
          <cell r="BO84">
            <v>14899.251238951983</v>
          </cell>
          <cell r="BP84">
            <v>15119.6368700522</v>
          </cell>
          <cell r="BQ84">
            <v>15344.636484779621</v>
          </cell>
          <cell r="BR84">
            <v>15574.338783553976</v>
          </cell>
          <cell r="BS84">
            <v>15808.834285671095</v>
          </cell>
          <cell r="BT84">
            <v>16048.215366124496</v>
          </cell>
          <cell r="BU84">
            <v>16292.576293088903</v>
          </cell>
          <cell r="BV84">
            <v>16542.013266084978</v>
          </cell>
          <cell r="BW84">
            <v>16796.624454844045</v>
          </cell>
          <cell r="BX84">
            <v>17056.510038885986</v>
          </cell>
          <cell r="BY84">
            <v>17321.772247834888</v>
          </cell>
          <cell r="BZ84">
            <v>17592.515402484481</v>
          </cell>
          <cell r="CA84">
            <v>17868.845956635254</v>
          </cell>
          <cell r="CB84">
            <v>18150.872539721808</v>
          </cell>
          <cell r="CC84">
            <v>18438.706000246631</v>
          </cell>
          <cell r="CD84">
            <v>18732.459450043214</v>
          </cell>
          <cell r="CE84">
            <v>19032.24830938477</v>
          </cell>
          <cell r="CF84">
            <v>19338.1903529595</v>
          </cell>
          <cell r="CG84">
            <v>19650.405756732216</v>
          </cell>
          <cell r="CH84">
            <v>19969.017145712365</v>
          </cell>
          <cell r="CI84">
            <v>20294.149642649136</v>
          </cell>
          <cell r="CJ84">
            <v>20625.930917673482</v>
          </cell>
          <cell r="CK84">
            <v>20964.491238908871</v>
          </cell>
          <cell r="CL84">
            <v>21309.963524073333</v>
          </cell>
          <cell r="CM84">
            <v>21662.48339309069</v>
          </cell>
          <cell r="CN84">
            <v>22022.189221737557</v>
          </cell>
          <cell r="CO84">
            <v>22389.222196345509</v>
          </cell>
          <cell r="CP84">
            <v>22763.726369581418</v>
          </cell>
          <cell r="CQ84">
            <v>23145.84871733078</v>
          </cell>
          <cell r="CR84">
            <v>23535.739196704933</v>
          </cell>
          <cell r="CS84">
            <v>23933.550805198553</v>
          </cell>
          <cell r="CT84">
            <v>24339.439641019388</v>
          </cell>
          <cell r="CU84">
            <v>24753.564964616497</v>
          </cell>
          <cell r="CV84">
            <v>25176.089261431305</v>
          </cell>
          <cell r="CW84">
            <v>25607.17830589792</v>
          </cell>
          <cell r="CX84">
            <v>26047.001226715802</v>
          </cell>
          <cell r="CY84">
            <v>26495.730573426175</v>
          </cell>
          <cell r="CZ84">
            <v>26953.54238431406</v>
          </cell>
          <cell r="DA84">
            <v>27420.61625566642</v>
          </cell>
          <cell r="DB84">
            <v>27897.13541241223</v>
          </cell>
          <cell r="DC84">
            <v>28383.286780175462</v>
          </cell>
          <cell r="DD84">
            <v>28879.261058767384</v>
          </cell>
          <cell r="DE84">
            <v>29385.252797147608</v>
          </cell>
          <cell r="DF84">
            <v>29901.46046988701</v>
          </cell>
          <cell r="DG84">
            <v>30428.086555158254</v>
          </cell>
          <cell r="DH84">
            <v>30965.337614288845</v>
          </cell>
          <cell r="DI84">
            <v>31513.424372907612</v>
          </cell>
          <cell r="DJ84">
            <v>32072.561803715304</v>
          </cell>
          <cell r="DK84">
            <v>32642.969210912765</v>
          </cell>
          <cell r="DL84">
            <v>33224.87031632266</v>
          </cell>
          <cell r="DM84">
            <v>33818.493347234733</v>
          </cell>
          <cell r="DN84">
            <v>34424.071126013645</v>
          </cell>
          <cell r="DO84">
            <v>35041.841161500779</v>
          </cell>
          <cell r="DP84">
            <v>35672.045742249931</v>
          </cell>
          <cell r="DQ84">
            <v>36314.932031631528</v>
          </cell>
          <cell r="DR84">
            <v>36970.752164842794</v>
          </cell>
          <cell r="DS84">
            <v>37639.7633478645</v>
          </cell>
          <cell r="DT84">
            <v>38322.227958399744</v>
          </cell>
          <cell r="DU84">
            <v>39018.413648839109</v>
          </cell>
          <cell r="DV84">
            <v>39728.593451287248</v>
          </cell>
          <cell r="DW84">
            <v>40453.045884698746</v>
          </cell>
          <cell r="DX84">
            <v>41192.055064159562</v>
          </cell>
          <cell r="DY84">
            <v>41945.910812360584</v>
          </cell>
          <cell r="DZ84">
            <v>42714.908773306524</v>
          </cell>
          <cell r="EA84">
            <v>43499.350528304582</v>
          </cell>
          <cell r="EB84">
            <v>44299.543714278261</v>
          </cell>
          <cell r="EC84">
            <v>45115.802144453744</v>
          </cell>
          <cell r="ED84">
            <v>45948.445931465365</v>
          </cell>
          <cell r="EE84">
            <v>46797.801612929557</v>
          </cell>
          <cell r="EF84">
            <v>47664.202279536054</v>
          </cell>
          <cell r="EG84">
            <v>48547.987705705455</v>
          </cell>
          <cell r="EH84">
            <v>49449.504482869525</v>
          </cell>
          <cell r="EI84">
            <v>50369.106155418209</v>
          </cell>
          <cell r="EJ84">
            <v>51307.153359374497</v>
          </cell>
          <cell r="EK84">
            <v>52264.013963848935</v>
          </cell>
          <cell r="EL84">
            <v>53240.063215326518</v>
          </cell>
          <cell r="EM84">
            <v>54235.683884848026</v>
          </cell>
          <cell r="EN84">
            <v>55251.26641813945</v>
          </cell>
          <cell r="EO84">
            <v>56287.209088748554</v>
          </cell>
          <cell r="EP84">
            <v>57343.91815425246</v>
          </cell>
          <cell r="EQ84">
            <v>58421.808015594026</v>
          </cell>
          <cell r="ER84">
            <v>59521.301379608689</v>
          </cell>
          <cell r="ES84">
            <v>60642.829424810829</v>
          </cell>
          <cell r="ET84">
            <v>61786.831970498664</v>
          </cell>
          <cell r="EU84">
            <v>62953.757649248233</v>
          </cell>
          <cell r="EV84">
            <v>64144.064082861645</v>
          </cell>
          <cell r="EW84">
            <v>65358.218061842257</v>
          </cell>
          <cell r="EX84">
            <v>66596.695728458348</v>
          </cell>
          <cell r="EY84">
            <v>67859.982763483073</v>
          </cell>
          <cell r="EZ84">
            <v>69148.574576664367</v>
          </cell>
          <cell r="FA84">
            <v>70462.976501016994</v>
          </cell>
          <cell r="FB84">
            <v>71803.703991001006</v>
          </cell>
          <cell r="FC84">
            <v>73171.282824671129</v>
          </cell>
          <cell r="FD84">
            <v>74566.24930987251</v>
          </cell>
          <cell r="FE84">
            <v>75989.150494566653</v>
          </cell>
          <cell r="FF84">
            <v>77440.544381368207</v>
          </cell>
          <cell r="FG84">
            <v>78921.000146375271</v>
          </cell>
          <cell r="FH84">
            <v>80431.098362386692</v>
          </cell>
          <cell r="FI84">
            <v>81971.43122657924</v>
          </cell>
          <cell r="FJ84">
            <v>83542.602792753372</v>
          </cell>
          <cell r="FK84">
            <v>85145.229208217701</v>
          </cell>
          <cell r="FL84">
            <v>86779.938955426449</v>
          </cell>
          <cell r="FM84">
            <v>88447.373098444426</v>
          </cell>
          <cell r="FN84">
            <v>90148.185534351273</v>
          </cell>
          <cell r="FO84">
            <v>91883.04324967647</v>
          </cell>
          <cell r="FP84">
            <v>93652.626581965946</v>
          </cell>
          <cell r="FQ84">
            <v>95457.629486588063</v>
          </cell>
          <cell r="FR84">
            <v>97298.759808873059</v>
          </cell>
          <cell r="FS84">
            <v>99176.739561706781</v>
          </cell>
          <cell r="FT84">
            <v>101092.30520867277</v>
          </cell>
          <cell r="FU84">
            <v>103046.20795287006</v>
          </cell>
          <cell r="FV84">
            <v>105039.21403149934</v>
          </cell>
          <cell r="FW84">
            <v>107072.10501635633</v>
          </cell>
          <cell r="FX84">
            <v>109145.67812033021</v>
          </cell>
          <cell r="FY84">
            <v>111260.74651004141</v>
          </cell>
          <cell r="FZ84">
            <v>113418.13962472882</v>
          </cell>
          <cell r="GA84">
            <v>115618.70350152743</v>
          </cell>
          <cell r="GB84">
            <v>117863.3011072455</v>
          </cell>
          <cell r="GC84">
            <v>120152.81267678621</v>
          </cell>
          <cell r="GD84">
            <v>122488.13605834311</v>
          </cell>
          <cell r="GE84">
            <v>124870.18706549355</v>
          </cell>
          <cell r="GF84">
            <v>127299.89983634627</v>
          </cell>
          <cell r="GG84">
            <v>129778.22719987342</v>
          </cell>
          <cell r="GH84">
            <v>132306.14104956528</v>
          </cell>
          <cell r="GI84">
            <v>134884.63272457174</v>
          </cell>
          <cell r="GJ84">
            <v>137514.71339846053</v>
          </cell>
          <cell r="GK84">
            <v>140197.41447575903</v>
          </cell>
          <cell r="GL84">
            <v>142933.78799642716</v>
          </cell>
          <cell r="GM84">
            <v>145724.90704842331</v>
          </cell>
          <cell r="GN84">
            <v>148571.86618852429</v>
          </cell>
          <cell r="GO84">
            <v>151475.78187156282</v>
          </cell>
          <cell r="GP84">
            <v>154437.79288826045</v>
          </cell>
          <cell r="GQ84">
            <v>157459.06081179809</v>
          </cell>
          <cell r="GR84">
            <v>160540.77045335621</v>
          </cell>
          <cell r="GS84">
            <v>163684.1303267302</v>
          </cell>
          <cell r="GT84">
            <v>166890.37312226649</v>
          </cell>
          <cell r="GU84">
            <v>170160.75619026972</v>
          </cell>
          <cell r="GV84">
            <v>173496.56203408213</v>
          </cell>
          <cell r="GW84">
            <v>176899.09881302388</v>
          </cell>
          <cell r="GX84">
            <v>180369.70085540367</v>
          </cell>
          <cell r="GY84">
            <v>183909.72918177629</v>
          </cell>
          <cell r="GZ84">
            <v>187520.57203868683</v>
          </cell>
          <cell r="HA84">
            <v>191203.64544307347</v>
          </cell>
          <cell r="HB84">
            <v>194960.39373756899</v>
          </cell>
          <cell r="HC84">
            <v>198792.29015692044</v>
          </cell>
          <cell r="HD84">
            <v>202700.83740571467</v>
          </cell>
          <cell r="HE84">
            <v>206687.56824768148</v>
          </cell>
          <cell r="HF84">
            <v>210754.04610677995</v>
          </cell>
          <cell r="HG84">
            <v>214901.86568030249</v>
          </cell>
          <cell r="HH84">
            <v>219132.65356424684</v>
          </cell>
          <cell r="HI84">
            <v>223448.06889119651</v>
          </cell>
          <cell r="HJ84">
            <v>227849.80398096982</v>
          </cell>
          <cell r="HK84">
            <v>232339.58500425704</v>
          </cell>
          <cell r="HL84">
            <v>236919.17265957315</v>
          </cell>
          <cell r="HM84">
            <v>241590.36286370689</v>
          </cell>
          <cell r="HN84">
            <v>246354.98745601624</v>
          </cell>
          <cell r="HO84">
            <v>251214.91491678916</v>
          </cell>
          <cell r="HP84">
            <v>256172.05109998956</v>
          </cell>
          <cell r="HQ84">
            <v>261228.33998063859</v>
          </cell>
          <cell r="HR84">
            <v>266385.76441717241</v>
          </cell>
          <cell r="HS84">
            <v>271646.34692901885</v>
          </cell>
          <cell r="HT84">
            <v>277012.15048975777</v>
          </cell>
          <cell r="HU84">
            <v>282485.27933611907</v>
          </cell>
          <cell r="HV84">
            <v>288067.87979318108</v>
          </cell>
          <cell r="HW84">
            <v>293762.14111605566</v>
          </cell>
          <cell r="HX84">
            <v>299570.29634843767</v>
          </cell>
          <cell r="HY84">
            <v>305494.62319828756</v>
          </cell>
          <cell r="HZ84">
            <v>311537.44493107125</v>
          </cell>
          <cell r="IA84">
            <v>317701.13128083013</v>
          </cell>
          <cell r="IB84">
            <v>323988.09937948734</v>
          </cell>
          <cell r="IC84">
            <v>330400.81470475718</v>
          </cell>
          <cell r="ID84">
            <v>336941.79204698838</v>
          </cell>
          <cell r="IE84">
            <v>343613.59649535455</v>
          </cell>
          <cell r="IF84">
            <v>350418.84444377851</v>
          </cell>
          <cell r="IG84">
            <v>357360.20461696573</v>
          </cell>
          <cell r="IH84">
            <v>364440.39911696315</v>
          </cell>
          <cell r="II84">
            <v>371662.20449065231</v>
          </cell>
          <cell r="IJ84">
            <v>379028.45281858649</v>
          </cell>
          <cell r="IK84">
            <v>386542.03282561712</v>
          </cell>
          <cell r="IL84">
            <v>394205.89101372194</v>
          </cell>
          <cell r="IM84">
            <v>402023.03281749971</v>
          </cell>
          <cell r="IN84">
            <v>409996.52378276549</v>
          </cell>
          <cell r="IO84">
            <v>418129.49076873623</v>
          </cell>
          <cell r="IP84">
            <v>426425.12317424081</v>
          </cell>
          <cell r="IQ84">
            <v>434886.6741884714</v>
          </cell>
          <cell r="IR84">
            <v>7320224.3196923472</v>
          </cell>
        </row>
        <row r="85">
          <cell r="B85" t="str">
            <v>PV div and net rep</v>
          </cell>
          <cell r="C85">
            <v>4532.3987467321249</v>
          </cell>
          <cell r="D85">
            <v>4041.9677345886312</v>
          </cell>
          <cell r="E85">
            <v>3954.4627399565206</v>
          </cell>
          <cell r="F85">
            <v>3902.2704175280369</v>
          </cell>
          <cell r="G85">
            <v>3621.5440033794889</v>
          </cell>
          <cell r="H85">
            <v>3366.8545845093886</v>
          </cell>
          <cell r="I85">
            <v>3226.9130792916617</v>
          </cell>
          <cell r="J85">
            <v>3167.0919642717417</v>
          </cell>
          <cell r="K85">
            <v>3033.9027503914995</v>
          </cell>
          <cell r="L85">
            <v>2884.8127581366257</v>
          </cell>
          <cell r="M85">
            <v>2886.8635203109125</v>
          </cell>
          <cell r="N85">
            <v>3380.1908231748143</v>
          </cell>
          <cell r="O85">
            <v>3194.2444270387523</v>
          </cell>
          <cell r="P85">
            <v>3012.4843259376898</v>
          </cell>
          <cell r="Q85">
            <v>2800.9842517967722</v>
          </cell>
          <cell r="R85">
            <v>1785.2767700101776</v>
          </cell>
          <cell r="S85">
            <v>2093.6980147020504</v>
          </cell>
          <cell r="T85">
            <v>1947.0415802387938</v>
          </cell>
          <cell r="U85">
            <v>1810.9171312321237</v>
          </cell>
          <cell r="V85">
            <v>1684.5498977137759</v>
          </cell>
          <cell r="W85">
            <v>1567.2233568695335</v>
          </cell>
          <cell r="X85">
            <v>1458.2747744505391</v>
          </cell>
          <cell r="Y85">
            <v>1357.0910919970722</v>
          </cell>
          <cell r="Z85">
            <v>1263.1051328461049</v>
          </cell>
          <cell r="AA85">
            <v>1175.7921020113617</v>
          </cell>
          <cell r="AB85">
            <v>1094.6663569763039</v>
          </cell>
          <cell r="AC85">
            <v>1019.2784282398619</v>
          </cell>
          <cell r="AD85">
            <v>949.2122701128468</v>
          </cell>
          <cell r="AE85">
            <v>884.08272379199593</v>
          </cell>
          <cell r="AF85">
            <v>823.53317614729417</v>
          </cell>
          <cell r="AG85">
            <v>767.23339895708773</v>
          </cell>
          <cell r="AH85">
            <v>714.87755452229612</v>
          </cell>
          <cell r="AI85">
            <v>666.18235469418835</v>
          </cell>
          <cell r="AJ85">
            <v>620.88536136679841</v>
          </cell>
          <cell r="AK85">
            <v>578.74341742193872</v>
          </cell>
          <cell r="AL85">
            <v>539.53119797815464</v>
          </cell>
          <cell r="AM85">
            <v>503.03987259055771</v>
          </cell>
          <cell r="AN85">
            <v>469.07586978158349</v>
          </cell>
          <cell r="AO85">
            <v>437.45973595834306</v>
          </cell>
          <cell r="AP85">
            <v>408.02508139461611</v>
          </cell>
          <cell r="AQ85">
            <v>380.61760652914649</v>
          </cell>
          <cell r="AR85">
            <v>355.09420236033958</v>
          </cell>
          <cell r="AS85">
            <v>331.32211920436725</v>
          </cell>
          <cell r="AT85">
            <v>309.17819853232118</v>
          </cell>
          <cell r="AU85">
            <v>288.54816301533657</v>
          </cell>
          <cell r="AV85">
            <v>269.32596028748975</v>
          </cell>
          <cell r="AW85">
            <v>251.41315628707252</v>
          </cell>
          <cell r="AX85">
            <v>234.71837436014101</v>
          </cell>
          <cell r="AY85">
            <v>219.15677660799233</v>
          </cell>
          <cell r="AZ85">
            <v>204.64958423473132</v>
          </cell>
          <cell r="BA85">
            <v>191.12363390376544</v>
          </cell>
          <cell r="BB85">
            <v>178.51096734510719</v>
          </cell>
          <cell r="BC85">
            <v>166.74845166989346</v>
          </cell>
          <cell r="BD85">
            <v>155.77742804634983</v>
          </cell>
          <cell r="BE85">
            <v>145.54338657356175</v>
          </cell>
          <cell r="BF85">
            <v>135.99566535736489</v>
          </cell>
          <cell r="BG85">
            <v>127.08717194733435</v>
          </cell>
          <cell r="BH85">
            <v>118.7741254364574</v>
          </cell>
          <cell r="BI85">
            <v>111.01581765641384</v>
          </cell>
          <cell r="BJ85">
            <v>103.77439202252057</v>
          </cell>
          <cell r="BK85">
            <v>97.014638693951582</v>
          </cell>
          <cell r="BL85">
            <v>90.703804817736014</v>
          </cell>
          <cell r="BM85">
            <v>84.811418719822598</v>
          </cell>
          <cell r="BN85">
            <v>79.309126993928189</v>
          </cell>
          <cell r="BO85">
            <v>74.170543519423163</v>
          </cell>
          <cell r="BP85">
            <v>69.371109513836615</v>
          </cell>
          <cell r="BQ85">
            <v>64.887963794005088</v>
          </cell>
          <cell r="BR85">
            <v>60.699822483101343</v>
          </cell>
          <cell r="BS85">
            <v>56.786867458963492</v>
          </cell>
          <cell r="BT85">
            <v>53.130642892915233</v>
          </cell>
          <cell r="BU85">
            <v>49.713959277766172</v>
          </cell>
          <cell r="BV85">
            <v>46.520804389410628</v>
          </cell>
          <cell r="BW85">
            <v>43.536260668596668</v>
          </cell>
          <cell r="BX85">
            <v>40.746428548320885</v>
          </cell>
          <cell r="BY85">
            <v>38.138355288228453</v>
          </cell>
          <cell r="BZ85">
            <v>35.699968910484451</v>
          </cell>
          <cell r="CA85">
            <v>33.42001686217948</v>
          </cell>
          <cell r="CB85">
            <v>31.288009057538371</v>
          </cell>
          <cell r="CC85">
            <v>29.294164979244869</v>
          </cell>
          <cell r="CD85">
            <v>27.429364542257577</v>
          </cell>
          <cell r="CE85">
            <v>25.685102445684524</v>
          </cell>
          <cell r="CF85">
            <v>24.053445758800017</v>
          </cell>
          <cell r="CG85">
            <v>22.526994506224742</v>
          </cell>
          <cell r="CH85">
            <v>21.098845034785715</v>
          </cell>
          <cell r="CI85">
            <v>19.762555960736485</v>
          </cell>
          <cell r="CJ85">
            <v>18.512116510951138</v>
          </cell>
          <cell r="CK85">
            <v>17.341917085508026</v>
          </cell>
          <cell r="CL85">
            <v>16.246721881834134</v>
          </cell>
          <cell r="CM85">
            <v>15.221643432366461</v>
          </cell>
          <cell r="CN85">
            <v>14.262118918593918</v>
          </cell>
          <cell r="CO85">
            <v>13.36388813441387</v>
          </cell>
          <cell r="CP85">
            <v>12.522972981060329</v>
          </cell>
          <cell r="CQ85">
            <v>11.735658384480233</v>
          </cell>
          <cell r="CR85">
            <v>10.998474534004536</v>
          </cell>
          <cell r="CS85">
            <v>10.308180348539905</v>
          </cell>
          <cell r="CT85">
            <v>9.6617480833288916</v>
          </cell>
          <cell r="CU85">
            <v>9.0563489966444752</v>
          </cell>
          <cell r="CV85">
            <v>8.4893400016292127</v>
          </cell>
          <cell r="CW85">
            <v>7.9582512339013167</v>
          </cell>
          <cell r="CX85">
            <v>7.4607744705586612</v>
          </cell>
          <cell r="CY85">
            <v>6.9947523408534149</v>
          </cell>
          <cell r="CZ85">
            <v>6.5581682731030293</v>
          </cell>
          <cell r="DA85">
            <v>6.149137126385491</v>
          </cell>
          <cell r="DB85">
            <v>5.7658964592517643</v>
          </cell>
          <cell r="DC85">
            <v>5.4067983911053146</v>
          </cell>
          <cell r="DD85">
            <v>5.0703020150626834</v>
          </cell>
          <cell r="DE85">
            <v>4.7549663240434885</v>
          </cell>
          <cell r="DF85">
            <v>4.4594436145580874</v>
          </cell>
          <cell r="DG85">
            <v>4.1824733351809087</v>
          </cell>
          <cell r="DH85">
            <v>3.9228763490368062</v>
          </cell>
          <cell r="DI85">
            <v>3.6795495817948218</v>
          </cell>
          <cell r="DJ85">
            <v>3.4514610286747303</v>
          </cell>
          <cell r="DK85">
            <v>3.2376450958374225</v>
          </cell>
          <cell r="DL85">
            <v>3.0371982532611534</v>
          </cell>
          <cell r="DM85">
            <v>2.849274977811</v>
          </cell>
          <cell r="DN85">
            <v>2.6730839667004176</v>
          </cell>
          <cell r="DO85">
            <v>2.5078846029265311</v>
          </cell>
          <cell r="DP85">
            <v>2.3529836555460752</v>
          </cell>
          <cell r="DQ85">
            <v>2.2077321988510095</v>
          </cell>
          <cell r="DR85">
            <v>2.0715227356106789</v>
          </cell>
          <cell r="DS85">
            <v>1.9437865105762004</v>
          </cell>
          <cell r="DT85">
            <v>1.8239910013980427</v>
          </cell>
          <cell r="DU85">
            <v>1.7116375749960318</v>
          </cell>
          <cell r="DV85">
            <v>1.60625929824544</v>
          </cell>
          <cell r="DW85">
            <v>1.5074188926101071</v>
          </cell>
          <cell r="DX85">
            <v>1.4147068230655313</v>
          </cell>
          <cell r="DY85">
            <v>1.3277395123177529</v>
          </cell>
          <cell r="DZ85">
            <v>1.2461576719395555</v>
          </cell>
          <cell r="EA85">
            <v>1.1696247426182302</v>
          </cell>
          <cell r="EB85">
            <v>1.0978254362417845</v>
          </cell>
          <cell r="EC85">
            <v>1.0304643730459158</v>
          </cell>
          <cell r="ED85">
            <v>0.96726480750488497</v>
          </cell>
          <cell r="EE85">
            <v>0.90796743707826311</v>
          </cell>
          <cell r="EF85">
            <v>0.85232928832448862</v>
          </cell>
          <cell r="EG85">
            <v>0.80012267526349401</v>
          </cell>
          <cell r="EH85">
            <v>0.7511342252164076</v>
          </cell>
          <cell r="EI85">
            <v>0.70516396767183742</v>
          </cell>
          <cell r="EJ85">
            <v>0.6620244820281056</v>
          </cell>
          <cell r="EK85">
            <v>0.62154010033953344</v>
          </cell>
          <cell r="EL85">
            <v>0.58354616145467642</v>
          </cell>
          <cell r="EM85">
            <v>0.54788831317646758</v>
          </cell>
          <cell r="EN85">
            <v>0.51442185929947604</v>
          </cell>
          <cell r="EO85">
            <v>0.48301114858953564</v>
          </cell>
          <cell r="EP85">
            <v>0.45352900296667786</v>
          </cell>
          <cell r="EQ85">
            <v>0.42585618233454714</v>
          </cell>
          <cell r="ER85">
            <v>0.39988088366944746</v>
          </cell>
          <cell r="ES85">
            <v>0.37549827214059533</v>
          </cell>
          <cell r="ET85">
            <v>0.352610042180725</v>
          </cell>
          <cell r="EU85">
            <v>0.33112400656394186</v>
          </cell>
          <cell r="EV85">
            <v>0.31095371167603719</v>
          </cell>
          <cell r="EW85">
            <v>0.29201807728222845</v>
          </cell>
          <cell r="EX85">
            <v>0.27424105920888348</v>
          </cell>
          <cell r="EY85">
            <v>0.25755133346005288</v>
          </cell>
          <cell r="EZ85">
            <v>0.24188200038663615</v>
          </cell>
          <cell r="FA85">
            <v>0.22717030761682264</v>
          </cell>
          <cell r="FB85">
            <v>0.21335739054091421</v>
          </cell>
          <cell r="FC85">
            <v>0.20038802922265195</v>
          </cell>
          <cell r="FD85">
            <v>0.18821042068280777</v>
          </cell>
          <cell r="FE85">
            <v>0.17677596556959466</v>
          </cell>
          <cell r="FF85">
            <v>0.16603906829463716</v>
          </cell>
          <cell r="FG85">
            <v>0.15595694977318514</v>
          </cell>
          <cell r="FH85">
            <v>0.14648947196324028</v>
          </cell>
          <cell r="FI85">
            <v>0.13759897345048172</v>
          </cell>
          <cell r="FJ85">
            <v>0.12925011537475695</v>
          </cell>
          <cell r="FK85">
            <v>0.12140973703941475</v>
          </cell>
          <cell r="FL85">
            <v>0.11404672058742144</v>
          </cell>
          <cell r="FM85">
            <v>0.10713186416791314</v>
          </cell>
          <cell r="FN85">
            <v>0.10063776305406691</v>
          </cell>
          <cell r="FO85">
            <v>9.453869820786788E-2</v>
          </cell>
          <cell r="FP85">
            <v>8.881053181982014E-2</v>
          </cell>
          <cell r="FQ85">
            <v>8.3430609381984863E-2</v>
          </cell>
          <cell r="FR85">
            <v>7.8377667881064539E-2</v>
          </cell>
          <cell r="FS85">
            <v>7.363174972477711E-2</v>
          </cell>
          <cell r="FT85">
            <v>6.9174122039511718E-2</v>
          </cell>
          <cell r="FU85">
            <v>6.4987201000443764E-2</v>
          </cell>
          <cell r="FV85">
            <v>6.1054480876917831E-2</v>
          </cell>
          <cell r="FW85">
            <v>5.7360467496186264E-2</v>
          </cell>
          <cell r="FX85">
            <v>5.3890615847500892E-2</v>
          </cell>
          <cell r="FY85">
            <v>5.0631271566287717E-2</v>
          </cell>
          <cell r="FZ85">
            <v>4.7569616054685453E-2</v>
          </cell>
          <cell r="GA85">
            <v>4.4693615010238781E-2</v>
          </cell>
          <cell r="GB85">
            <v>4.1991970149017302E-2</v>
          </cell>
          <cell r="GC85">
            <v>3.9454073923007871E-2</v>
          </cell>
          <cell r="GD85">
            <v>3.7069967044309086E-2</v>
          </cell>
          <cell r="GE85">
            <v>3.48302986405278E-2</v>
          </cell>
          <cell r="GF85">
            <v>3.2726288876898615E-2</v>
          </cell>
          <cell r="GG85">
            <v>3.074969389103482E-2</v>
          </cell>
          <cell r="GH85">
            <v>2.8892772895954578E-2</v>
          </cell>
          <cell r="GI85">
            <v>2.7148257316140404E-2</v>
          </cell>
          <cell r="GJ85">
            <v>2.5509321829907068E-2</v>
          </cell>
          <cell r="GK85">
            <v>2.3969557199343794E-2</v>
          </cell>
          <cell r="GL85">
            <v>2.2522944776564174E-2</v>
          </cell>
          <cell r="GM85">
            <v>2.1163832581996039E-2</v>
          </cell>
          <cell r="GN85">
            <v>1.9886912856994187E-2</v>
          </cell>
          <cell r="GO85">
            <v>1.8687200999193038E-2</v>
          </cell>
          <cell r="GP85">
            <v>1.7560015794762449E-2</v>
          </cell>
          <cell r="GQ85">
            <v>1.6500960867105157E-2</v>
          </cell>
          <cell r="GR85">
            <v>1.5505907266583668E-2</v>
          </cell>
          <cell r="GS85">
            <v>1.4570977130568492E-2</v>
          </cell>
          <cell r="GT85">
            <v>1.3692528347536634E-2</v>
          </cell>
          <cell r="GU85">
            <v>1.2867140163078992E-2</v>
          </cell>
          <cell r="GV85">
            <v>1.2091599669560648E-2</v>
          </cell>
          <cell r="GW85">
            <v>1.1362889124810935E-2</v>
          </cell>
          <cell r="GX85">
            <v>1.067817404862711E-2</v>
          </cell>
          <cell r="GY85">
            <v>1.0034792049063887E-2</v>
          </cell>
          <cell r="GZ85">
            <v>9.4302423334752267E-3</v>
          </cell>
          <cell r="HA85">
            <v>8.8621758620720213E-3</v>
          </cell>
          <cell r="HB85">
            <v>8.3283861043895527E-3</v>
          </cell>
          <cell r="HC85">
            <v>7.8268003615174792E-3</v>
          </cell>
          <cell r="HD85">
            <v>7.355471619250621E-3</v>
          </cell>
          <cell r="HE85">
            <v>6.9125708994842924E-3</v>
          </cell>
          <cell r="HF85">
            <v>6.4963800792011374E-3</v>
          </cell>
          <cell r="HG85">
            <v>6.1052851482975108E-3</v>
          </cell>
          <cell r="HH85">
            <v>5.7377698792786059E-3</v>
          </cell>
          <cell r="HI85">
            <v>5.3924098835204859E-3</v>
          </cell>
          <cell r="HJ85">
            <v>5.0678670303629762E-3</v>
          </cell>
          <cell r="HK85">
            <v>4.7628842067638432E-3</v>
          </cell>
          <cell r="HL85">
            <v>4.4762803966232429E-3</v>
          </cell>
          <cell r="HM85">
            <v>4.2069460601741665E-3</v>
          </cell>
          <cell r="HN85">
            <v>3.9538387950482853E-3</v>
          </cell>
          <cell r="HO85">
            <v>3.7159792617583141E-3</v>
          </cell>
          <cell r="HP85">
            <v>3.4924473574040166E-3</v>
          </cell>
          <cell r="HQ85">
            <v>3.2823786224056156E-3</v>
          </cell>
          <cell r="HR85">
            <v>3.0849608660056698E-3</v>
          </cell>
          <cell r="HS85">
            <v>2.8994309971568173E-3</v>
          </cell>
          <cell r="HT85">
            <v>2.7250720482378346E-3</v>
          </cell>
          <cell r="HU85">
            <v>2.5612103798112961E-3</v>
          </cell>
          <cell r="HV85">
            <v>2.4072130553619174E-3</v>
          </cell>
          <cell r="HW85">
            <v>2.2624853756333819E-3</v>
          </cell>
          <cell r="HX85">
            <v>2.1264685628198895E-3</v>
          </cell>
          <cell r="HY85">
            <v>1.9986375854658179E-3</v>
          </cell>
          <cell r="HZ85">
            <v>1.8784991154893152E-3</v>
          </cell>
          <cell r="IA85">
            <v>1.765589609270947E-3</v>
          </cell>
          <cell r="IB85">
            <v>1.6594735052434858E-3</v>
          </cell>
          <cell r="IC85">
            <v>1.559741530882086E-3</v>
          </cell>
          <cell r="ID85">
            <v>1.4660091124288237E-3</v>
          </cell>
          <cell r="IE85">
            <v>1.3779148810941729E-3</v>
          </cell>
          <cell r="IF85">
            <v>1.295119269860742E-3</v>
          </cell>
          <cell r="IG85">
            <v>1.2173031953739376E-3</v>
          </cell>
          <cell r="IH85">
            <v>1.1441668197416856E-3</v>
          </cell>
          <cell r="II85">
            <v>1.0754283873817797E-3</v>
          </cell>
          <cell r="IJ85">
            <v>1.0108231323525084E-3</v>
          </cell>
          <cell r="IK85">
            <v>9.5010225188110601E-4</v>
          </cell>
          <cell r="IL85">
            <v>8.9303194206614479E-4</v>
          </cell>
          <cell r="IM85">
            <v>8.3939249197573674E-4</v>
          </cell>
          <cell r="IN85">
            <v>7.8897743259386303E-4</v>
          </cell>
          <cell r="IO85">
            <v>7.4159273728365677E-4</v>
          </cell>
          <cell r="IP85">
            <v>6.9705607063947066E-4</v>
          </cell>
          <cell r="IQ85">
            <v>6.5519608279039404E-4</v>
          </cell>
          <cell r="IR85">
            <v>1.0164589484912494E-2</v>
          </cell>
        </row>
        <row r="86">
          <cell r="B86" t="str">
            <v>Residual income</v>
          </cell>
          <cell r="C86">
            <v>3134.9771199286993</v>
          </cell>
          <cell r="D86">
            <v>3886.7260138031475</v>
          </cell>
          <cell r="E86">
            <v>4147.1134971892998</v>
          </cell>
          <cell r="F86">
            <v>4492.5189697101623</v>
          </cell>
          <cell r="G86">
            <v>4493.0191076924402</v>
          </cell>
          <cell r="H86">
            <v>4545.7347870628264</v>
          </cell>
          <cell r="I86">
            <v>4750.4320591994438</v>
          </cell>
          <cell r="J86">
            <v>5038.6661421872705</v>
          </cell>
          <cell r="K86">
            <v>5216.6094225800589</v>
          </cell>
          <cell r="L86">
            <v>5325.3064111184021</v>
          </cell>
          <cell r="M86">
            <v>5068.5292124112984</v>
          </cell>
          <cell r="N86">
            <v>5311.4335494271927</v>
          </cell>
          <cell r="O86">
            <v>5459.4174639809762</v>
          </cell>
          <cell r="P86">
            <v>5600.8629517202244</v>
          </cell>
          <cell r="Q86">
            <v>5734.8159738961122</v>
          </cell>
          <cell r="R86">
            <v>5796.6445097845317</v>
          </cell>
          <cell r="S86">
            <v>5796.6445097845262</v>
          </cell>
          <cell r="T86">
            <v>5796.6445097845299</v>
          </cell>
          <cell r="U86">
            <v>5796.6445097845317</v>
          </cell>
          <cell r="V86">
            <v>5796.6445097845281</v>
          </cell>
          <cell r="W86">
            <v>5796.6445097845271</v>
          </cell>
          <cell r="X86">
            <v>5796.644509784529</v>
          </cell>
          <cell r="Y86">
            <v>5796.6445097845253</v>
          </cell>
          <cell r="Z86">
            <v>5796.6445097845253</v>
          </cell>
          <cell r="AA86">
            <v>5796.6445097845299</v>
          </cell>
          <cell r="AB86">
            <v>5796.6445097845317</v>
          </cell>
          <cell r="AC86">
            <v>5796.6445097845335</v>
          </cell>
          <cell r="AD86">
            <v>5796.6445097845253</v>
          </cell>
          <cell r="AE86">
            <v>5796.6445097845326</v>
          </cell>
          <cell r="AF86">
            <v>5796.6445097845262</v>
          </cell>
          <cell r="AG86">
            <v>5796.6445097845344</v>
          </cell>
          <cell r="AH86">
            <v>5796.6445097845253</v>
          </cell>
          <cell r="AI86">
            <v>5796.6445097845326</v>
          </cell>
          <cell r="AJ86">
            <v>5796.6445097845299</v>
          </cell>
          <cell r="AK86">
            <v>5796.6445097845344</v>
          </cell>
          <cell r="AL86">
            <v>5796.644509784529</v>
          </cell>
          <cell r="AM86">
            <v>5796.6445097845353</v>
          </cell>
          <cell r="AN86">
            <v>5796.6445097845362</v>
          </cell>
          <cell r="AO86">
            <v>5796.6445097845353</v>
          </cell>
          <cell r="AP86">
            <v>5796.6445097845299</v>
          </cell>
          <cell r="AQ86">
            <v>5796.6445097845244</v>
          </cell>
          <cell r="AR86">
            <v>5796.6445097845362</v>
          </cell>
          <cell r="AS86">
            <v>5796.6445097845244</v>
          </cell>
          <cell r="AT86">
            <v>5796.6445097845262</v>
          </cell>
          <cell r="AU86">
            <v>5796.6445097845217</v>
          </cell>
          <cell r="AV86">
            <v>5796.6445097845281</v>
          </cell>
          <cell r="AW86">
            <v>5796.6445097845317</v>
          </cell>
          <cell r="AX86">
            <v>5796.6445097845317</v>
          </cell>
          <cell r="AY86">
            <v>5796.6445097845262</v>
          </cell>
          <cell r="AZ86">
            <v>5796.6445097845262</v>
          </cell>
          <cell r="BA86">
            <v>5796.6445097845226</v>
          </cell>
          <cell r="BB86">
            <v>5796.6445097845262</v>
          </cell>
          <cell r="BC86">
            <v>5796.6445097845317</v>
          </cell>
          <cell r="BD86">
            <v>5796.6445097845299</v>
          </cell>
          <cell r="BE86">
            <v>5796.6445097845317</v>
          </cell>
          <cell r="BF86">
            <v>5796.6445097845371</v>
          </cell>
          <cell r="BG86">
            <v>5796.6445097845262</v>
          </cell>
          <cell r="BH86">
            <v>5796.644509784519</v>
          </cell>
          <cell r="BI86">
            <v>5796.6445097845244</v>
          </cell>
          <cell r="BJ86">
            <v>5796.6445097845299</v>
          </cell>
          <cell r="BK86">
            <v>5796.644509784519</v>
          </cell>
          <cell r="BL86">
            <v>5796.6445097845426</v>
          </cell>
          <cell r="BM86">
            <v>5796.6445097845226</v>
          </cell>
          <cell r="BN86">
            <v>5796.6445097845317</v>
          </cell>
          <cell r="BO86">
            <v>5796.6445097845371</v>
          </cell>
          <cell r="BP86">
            <v>5796.6445097845226</v>
          </cell>
          <cell r="BQ86">
            <v>5796.6445097845426</v>
          </cell>
          <cell r="BR86">
            <v>5796.6445097845481</v>
          </cell>
          <cell r="BS86">
            <v>5796.6445097845262</v>
          </cell>
          <cell r="BT86">
            <v>5796.6445097845353</v>
          </cell>
          <cell r="BU86">
            <v>5796.6445097845335</v>
          </cell>
          <cell r="BV86">
            <v>5796.6445097845135</v>
          </cell>
          <cell r="BW86">
            <v>5796.644509784539</v>
          </cell>
          <cell r="BX86">
            <v>5796.6445097845226</v>
          </cell>
          <cell r="BY86">
            <v>5796.6445097845244</v>
          </cell>
          <cell r="BZ86">
            <v>5796.6445097845171</v>
          </cell>
          <cell r="CA86">
            <v>5796.6445097845244</v>
          </cell>
          <cell r="CB86">
            <v>5796.6445097845208</v>
          </cell>
          <cell r="CC86">
            <v>5796.6445097845317</v>
          </cell>
          <cell r="CD86">
            <v>5796.6445097845135</v>
          </cell>
          <cell r="CE86">
            <v>5796.6445097845244</v>
          </cell>
          <cell r="CF86">
            <v>5796.644509784539</v>
          </cell>
          <cell r="CG86">
            <v>5796.6445097845462</v>
          </cell>
          <cell r="CH86">
            <v>5796.6445097845171</v>
          </cell>
          <cell r="CI86">
            <v>5796.6445097845426</v>
          </cell>
          <cell r="CJ86">
            <v>5796.644509784539</v>
          </cell>
          <cell r="CK86">
            <v>5796.6445097845062</v>
          </cell>
          <cell r="CL86">
            <v>5796.6445097845171</v>
          </cell>
          <cell r="CM86">
            <v>5796.6445097845099</v>
          </cell>
          <cell r="CN86">
            <v>5796.6445097845135</v>
          </cell>
          <cell r="CO86">
            <v>5796.6445097845535</v>
          </cell>
          <cell r="CP86">
            <v>5796.6445097845208</v>
          </cell>
          <cell r="CQ86">
            <v>5796.6445097845426</v>
          </cell>
          <cell r="CR86">
            <v>5796.6445097845353</v>
          </cell>
          <cell r="CS86">
            <v>5796.644509784539</v>
          </cell>
          <cell r="CT86">
            <v>5796.6445097845353</v>
          </cell>
          <cell r="CU86">
            <v>5796.6445097845499</v>
          </cell>
          <cell r="CV86">
            <v>5796.6445097845317</v>
          </cell>
          <cell r="CW86">
            <v>5796.6445097845535</v>
          </cell>
          <cell r="CX86">
            <v>5796.6445097845426</v>
          </cell>
          <cell r="CY86">
            <v>5796.6445097845135</v>
          </cell>
          <cell r="CZ86">
            <v>5796.644509784499</v>
          </cell>
          <cell r="DA86">
            <v>5796.644509784539</v>
          </cell>
          <cell r="DB86">
            <v>5796.6445097845462</v>
          </cell>
          <cell r="DC86">
            <v>5796.6445097845135</v>
          </cell>
          <cell r="DD86">
            <v>5796.6445097845462</v>
          </cell>
          <cell r="DE86">
            <v>5796.644509784499</v>
          </cell>
          <cell r="DF86">
            <v>5796.6445097845026</v>
          </cell>
          <cell r="DG86">
            <v>5796.6445097845208</v>
          </cell>
          <cell r="DH86">
            <v>5796.6445097845426</v>
          </cell>
          <cell r="DI86">
            <v>5796.6445097845426</v>
          </cell>
          <cell r="DJ86">
            <v>5796.6445097844917</v>
          </cell>
          <cell r="DK86">
            <v>5796.6445097845062</v>
          </cell>
          <cell r="DL86">
            <v>5796.6445097845062</v>
          </cell>
          <cell r="DM86">
            <v>5796.644509784499</v>
          </cell>
          <cell r="DN86">
            <v>5796.6445097845208</v>
          </cell>
          <cell r="DO86">
            <v>5796.644509784499</v>
          </cell>
          <cell r="DP86">
            <v>5796.644509784499</v>
          </cell>
          <cell r="DQ86">
            <v>5796.6445097845208</v>
          </cell>
          <cell r="DR86">
            <v>5796.6445097844844</v>
          </cell>
          <cell r="DS86">
            <v>5796.6445097845426</v>
          </cell>
          <cell r="DT86">
            <v>5796.6445097845644</v>
          </cell>
          <cell r="DU86">
            <v>5796.6445097845208</v>
          </cell>
          <cell r="DV86">
            <v>5796.6445097845863</v>
          </cell>
          <cell r="DW86">
            <v>5796.6445097844626</v>
          </cell>
          <cell r="DX86">
            <v>5796.644509784499</v>
          </cell>
          <cell r="DY86">
            <v>5796.6445097845572</v>
          </cell>
          <cell r="DZ86">
            <v>5796.6445097845644</v>
          </cell>
          <cell r="EA86">
            <v>5796.6445097845281</v>
          </cell>
          <cell r="EB86">
            <v>5796.6445097845717</v>
          </cell>
          <cell r="EC86">
            <v>5796.6445097844771</v>
          </cell>
          <cell r="ED86">
            <v>5796.6445097844698</v>
          </cell>
          <cell r="EE86">
            <v>5796.6445097844917</v>
          </cell>
          <cell r="EF86">
            <v>5796.6445097844771</v>
          </cell>
          <cell r="EG86">
            <v>5796.6445097845353</v>
          </cell>
          <cell r="EH86">
            <v>5796.6445097845572</v>
          </cell>
          <cell r="EI86">
            <v>5796.6445097845717</v>
          </cell>
          <cell r="EJ86">
            <v>5796.6445097845499</v>
          </cell>
          <cell r="EK86">
            <v>5796.6445097845863</v>
          </cell>
          <cell r="EL86">
            <v>5796.6445097845717</v>
          </cell>
          <cell r="EM86">
            <v>5796.6445097845062</v>
          </cell>
          <cell r="EN86">
            <v>5796.6445097844917</v>
          </cell>
          <cell r="EO86">
            <v>5796.6445097845281</v>
          </cell>
          <cell r="EP86">
            <v>5796.6445097844844</v>
          </cell>
          <cell r="EQ86">
            <v>5796.6445097845717</v>
          </cell>
          <cell r="ER86">
            <v>5796.6445097845426</v>
          </cell>
          <cell r="ES86">
            <v>5796.6445097845135</v>
          </cell>
          <cell r="ET86">
            <v>5796.6445097845717</v>
          </cell>
          <cell r="EU86">
            <v>5796.6445097845717</v>
          </cell>
          <cell r="EV86">
            <v>5796.6445097845426</v>
          </cell>
          <cell r="EW86">
            <v>5796.6445097845135</v>
          </cell>
          <cell r="EX86">
            <v>5796.6445097845572</v>
          </cell>
          <cell r="EY86">
            <v>5796.6445097845426</v>
          </cell>
          <cell r="EZ86">
            <v>5796.6445097845572</v>
          </cell>
          <cell r="FA86">
            <v>5796.6445097846008</v>
          </cell>
          <cell r="FB86">
            <v>5796.6445097846154</v>
          </cell>
          <cell r="FC86">
            <v>5796.6445097844553</v>
          </cell>
          <cell r="FD86">
            <v>5796.6445097844407</v>
          </cell>
          <cell r="FE86">
            <v>5796.6445097844698</v>
          </cell>
          <cell r="FF86">
            <v>5796.6445097845572</v>
          </cell>
          <cell r="FG86">
            <v>5796.6445097844262</v>
          </cell>
          <cell r="FH86">
            <v>5796.6445097845717</v>
          </cell>
          <cell r="FI86">
            <v>5796.6445097844262</v>
          </cell>
          <cell r="FJ86">
            <v>5796.6445097845426</v>
          </cell>
          <cell r="FK86">
            <v>5796.6445097845572</v>
          </cell>
          <cell r="FL86">
            <v>5796.6445097845281</v>
          </cell>
          <cell r="FM86">
            <v>5796.6445097845863</v>
          </cell>
          <cell r="FN86">
            <v>5796.6445097846299</v>
          </cell>
          <cell r="FO86">
            <v>5796.6445097845281</v>
          </cell>
          <cell r="FP86">
            <v>5796.6445097844698</v>
          </cell>
          <cell r="FQ86">
            <v>5796.6445097844698</v>
          </cell>
          <cell r="FR86">
            <v>5796.6445097845281</v>
          </cell>
          <cell r="FS86">
            <v>5796.6445097845572</v>
          </cell>
          <cell r="FT86">
            <v>5796.6445097845863</v>
          </cell>
          <cell r="FU86">
            <v>5796.6445097845426</v>
          </cell>
          <cell r="FV86">
            <v>5796.6445097845863</v>
          </cell>
          <cell r="FW86">
            <v>5796.644509784499</v>
          </cell>
          <cell r="FX86">
            <v>5796.6445097844698</v>
          </cell>
          <cell r="FY86">
            <v>5796.6445097845863</v>
          </cell>
          <cell r="FZ86">
            <v>5796.6445097845572</v>
          </cell>
          <cell r="GA86">
            <v>5796.6445097846445</v>
          </cell>
          <cell r="GB86">
            <v>5796.6445097845863</v>
          </cell>
          <cell r="GC86">
            <v>5796.6445097845863</v>
          </cell>
          <cell r="GD86">
            <v>5796.6445097846154</v>
          </cell>
          <cell r="GE86">
            <v>5796.6445097845572</v>
          </cell>
          <cell r="GF86">
            <v>5796.6445097846154</v>
          </cell>
          <cell r="GG86">
            <v>5796.644509784499</v>
          </cell>
          <cell r="GH86">
            <v>5796.6445097844116</v>
          </cell>
          <cell r="GI86">
            <v>5796.6445097845863</v>
          </cell>
          <cell r="GJ86">
            <v>5796.6445097845863</v>
          </cell>
          <cell r="GK86">
            <v>5796.6445097844698</v>
          </cell>
          <cell r="GL86">
            <v>5796.6445097844698</v>
          </cell>
          <cell r="GM86">
            <v>5796.6445097843534</v>
          </cell>
          <cell r="GN86">
            <v>5796.6445097844698</v>
          </cell>
          <cell r="GO86">
            <v>5796.6445097845572</v>
          </cell>
          <cell r="GP86">
            <v>5796.6445097847027</v>
          </cell>
          <cell r="GQ86">
            <v>5796.6445097845863</v>
          </cell>
          <cell r="GR86">
            <v>5796.6445097847318</v>
          </cell>
          <cell r="GS86">
            <v>5796.6445097845863</v>
          </cell>
          <cell r="GT86">
            <v>5796.6445097845863</v>
          </cell>
          <cell r="GU86">
            <v>5796.6445097844407</v>
          </cell>
          <cell r="GV86">
            <v>5796.6445097843534</v>
          </cell>
          <cell r="GW86">
            <v>5796.6445097845863</v>
          </cell>
          <cell r="GX86">
            <v>5796.6445097846154</v>
          </cell>
          <cell r="GY86">
            <v>5796.6445097843243</v>
          </cell>
          <cell r="GZ86">
            <v>5796.6445097843534</v>
          </cell>
          <cell r="HA86">
            <v>5796.6445097846736</v>
          </cell>
          <cell r="HB86">
            <v>5796.6445097844407</v>
          </cell>
          <cell r="HC86">
            <v>5796.6445097843825</v>
          </cell>
          <cell r="HD86">
            <v>5796.6445097847027</v>
          </cell>
          <cell r="HE86">
            <v>5796.6445097844698</v>
          </cell>
          <cell r="HF86">
            <v>5796.6445097842952</v>
          </cell>
          <cell r="HG86">
            <v>5796.6445097843534</v>
          </cell>
          <cell r="HH86">
            <v>5796.6445097845281</v>
          </cell>
          <cell r="HI86">
            <v>5796.6445097844116</v>
          </cell>
          <cell r="HJ86">
            <v>5796.6445097842952</v>
          </cell>
          <cell r="HK86">
            <v>5796.6445097843534</v>
          </cell>
          <cell r="HL86">
            <v>5796.6445097843534</v>
          </cell>
          <cell r="HM86">
            <v>5796.6445097844698</v>
          </cell>
          <cell r="HN86">
            <v>5796.6445097842952</v>
          </cell>
          <cell r="HO86">
            <v>5796.6445097843534</v>
          </cell>
          <cell r="HP86">
            <v>5796.6445097847609</v>
          </cell>
          <cell r="HQ86">
            <v>5796.6445097848191</v>
          </cell>
          <cell r="HR86">
            <v>5796.6445097848191</v>
          </cell>
          <cell r="HS86">
            <v>5796.6445097841206</v>
          </cell>
          <cell r="HT86">
            <v>5796.644509784237</v>
          </cell>
          <cell r="HU86">
            <v>5796.6445097842952</v>
          </cell>
          <cell r="HV86">
            <v>5796.6445097845863</v>
          </cell>
          <cell r="HW86">
            <v>5796.6445097841206</v>
          </cell>
          <cell r="HX86">
            <v>5796.6445097848773</v>
          </cell>
          <cell r="HY86">
            <v>5796.6445097840624</v>
          </cell>
          <cell r="HZ86">
            <v>5796.6445097845281</v>
          </cell>
          <cell r="IA86">
            <v>5796.6445097848773</v>
          </cell>
          <cell r="IB86">
            <v>5796.6445097844698</v>
          </cell>
          <cell r="IC86">
            <v>5796.644509784237</v>
          </cell>
          <cell r="ID86">
            <v>5796.644509784237</v>
          </cell>
          <cell r="IE86">
            <v>5796.6445097846445</v>
          </cell>
          <cell r="IF86">
            <v>5796.6445097841206</v>
          </cell>
          <cell r="IG86">
            <v>5796.6445097844698</v>
          </cell>
          <cell r="IH86">
            <v>5796.6445097849355</v>
          </cell>
          <cell r="II86">
            <v>5796.6445097846445</v>
          </cell>
          <cell r="IJ86">
            <v>5796.6445097841206</v>
          </cell>
          <cell r="IK86">
            <v>5796.6445097841206</v>
          </cell>
          <cell r="IL86">
            <v>5796.6445097847027</v>
          </cell>
          <cell r="IM86">
            <v>5796.6445097848773</v>
          </cell>
          <cell r="IN86">
            <v>5796.6445097847609</v>
          </cell>
          <cell r="IO86">
            <v>5796.6445097841788</v>
          </cell>
          <cell r="IP86">
            <v>5796.6445097847609</v>
          </cell>
          <cell r="IQ86">
            <v>5796.6445097844116</v>
          </cell>
          <cell r="IR86">
            <v>4021.9525973628042</v>
          </cell>
        </row>
        <row r="87">
          <cell r="B87" t="str">
            <v>PVRI</v>
          </cell>
          <cell r="C87">
            <v>2889.3798340356675</v>
          </cell>
          <cell r="D87">
            <v>3301.5999607578397</v>
          </cell>
          <cell r="E87">
            <v>3246.8087420608858</v>
          </cell>
          <cell r="F87">
            <v>3241.6861601288133</v>
          </cell>
          <cell r="G87">
            <v>2988.0617943183511</v>
          </cell>
          <cell r="H87">
            <v>2786.2858208471584</v>
          </cell>
          <cell r="I87">
            <v>2683.6442477973637</v>
          </cell>
          <cell r="J87">
            <v>2623.479517482031</v>
          </cell>
          <cell r="K87">
            <v>2503.3448359530521</v>
          </cell>
          <cell r="L87">
            <v>2355.3053562401419</v>
          </cell>
          <cell r="M87">
            <v>2066.1166325695476</v>
          </cell>
          <cell r="N87">
            <v>1995.5145293799369</v>
          </cell>
          <cell r="O87">
            <v>1890.4261154783578</v>
          </cell>
          <cell r="P87">
            <v>1787.469382015051</v>
          </cell>
          <cell r="Q87">
            <v>1686.8381457966918</v>
          </cell>
          <cell r="R87">
            <v>1571.4510457208823</v>
          </cell>
          <cell r="S87">
            <v>1448.3419776229318</v>
          </cell>
          <cell r="T87">
            <v>1334.8773987308134</v>
          </cell>
          <cell r="U87">
            <v>1230.301749982317</v>
          </cell>
          <cell r="V87">
            <v>1133.9186635781718</v>
          </cell>
          <cell r="W87">
            <v>1045.0863258784991</v>
          </cell>
          <cell r="X87">
            <v>963.21320357465402</v>
          </cell>
          <cell r="Y87">
            <v>887.75410467709969</v>
          </cell>
          <cell r="Z87">
            <v>818.20654808949303</v>
          </cell>
          <cell r="AA87">
            <v>754.10741759400344</v>
          </cell>
          <cell r="AB87">
            <v>695.02987796682362</v>
          </cell>
          <cell r="AC87">
            <v>640.58053268831679</v>
          </cell>
          <cell r="AD87">
            <v>590.39680432102864</v>
          </cell>
          <cell r="AE87">
            <v>544.14452011154776</v>
          </cell>
          <cell r="AF87">
            <v>501.51568673875323</v>
          </cell>
          <cell r="AG87">
            <v>462.22643939055661</v>
          </cell>
          <cell r="AH87">
            <v>426.01515151203307</v>
          </cell>
          <cell r="AI87">
            <v>392.64069263781903</v>
          </cell>
          <cell r="AJ87">
            <v>361.88082270766711</v>
          </cell>
          <cell r="AK87">
            <v>333.53071217296537</v>
          </cell>
          <cell r="AL87">
            <v>307.40157803959914</v>
          </cell>
          <cell r="AM87">
            <v>283.31942676460784</v>
          </cell>
          <cell r="AN87">
            <v>261.12389563558327</v>
          </cell>
          <cell r="AO87">
            <v>240.66718491758823</v>
          </cell>
          <cell r="AP87">
            <v>221.81307365676318</v>
          </cell>
          <cell r="AQ87">
            <v>204.43601258687832</v>
          </cell>
          <cell r="AR87">
            <v>188.42028809850575</v>
          </cell>
          <cell r="AS87">
            <v>173.65925170369155</v>
          </cell>
          <cell r="AT87">
            <v>160.05460986515362</v>
          </cell>
          <cell r="AU87">
            <v>147.51576946097094</v>
          </cell>
          <cell r="AV87">
            <v>135.95923452624066</v>
          </cell>
          <cell r="AW87">
            <v>125.30805025459975</v>
          </cell>
          <cell r="AX87">
            <v>115.49129055723481</v>
          </cell>
          <cell r="AY87">
            <v>106.44358576703659</v>
          </cell>
          <cell r="AZ87">
            <v>98.10468734289087</v>
          </cell>
          <cell r="BA87">
            <v>90.419066675475392</v>
          </cell>
          <cell r="BB87">
            <v>83.335545323018863</v>
          </cell>
          <cell r="BC87">
            <v>76.806954214764005</v>
          </cell>
          <cell r="BD87">
            <v>70.789819552777871</v>
          </cell>
          <cell r="BE87">
            <v>65.244073320532593</v>
          </cell>
          <cell r="BF87">
            <v>60.132786470537035</v>
          </cell>
          <cell r="BG87">
            <v>55.421923014319738</v>
          </cell>
          <cell r="BH87">
            <v>51.080113377253149</v>
          </cell>
          <cell r="BI87">
            <v>47.078445508989127</v>
          </cell>
          <cell r="BJ87">
            <v>43.390272358515368</v>
          </cell>
          <cell r="BK87">
            <v>39.991034431811322</v>
          </cell>
          <cell r="BL87">
            <v>36.858096250517498</v>
          </cell>
          <cell r="BM87">
            <v>33.970595622596655</v>
          </cell>
          <cell r="BN87">
            <v>31.309304721287294</v>
          </cell>
          <cell r="BO87">
            <v>28.856502047269423</v>
          </cell>
          <cell r="BP87">
            <v>26.595854421446404</v>
          </cell>
          <cell r="BQ87">
            <v>24.512308222531331</v>
          </cell>
          <cell r="BR87">
            <v>22.591989145190194</v>
          </cell>
          <cell r="BS87">
            <v>20.822109811235123</v>
          </cell>
          <cell r="BT87">
            <v>19.190884618649918</v>
          </cell>
          <cell r="BU87">
            <v>17.687451261428485</v>
          </cell>
          <cell r="BV87">
            <v>16.301798397629884</v>
          </cell>
          <cell r="BW87">
            <v>15.024698983990746</v>
          </cell>
          <cell r="BX87">
            <v>13.847648833171155</v>
          </cell>
          <cell r="BY87">
            <v>12.762809984489547</v>
          </cell>
          <cell r="BZ87">
            <v>11.762958511050261</v>
          </cell>
          <cell r="CA87">
            <v>10.841436415714538</v>
          </cell>
          <cell r="CB87">
            <v>9.992107295589431</v>
          </cell>
          <cell r="CC87">
            <v>9.2093154798059444</v>
          </cell>
          <cell r="CD87">
            <v>8.4878483684847161</v>
          </cell>
          <cell r="CE87">
            <v>7.822901722105744</v>
          </cell>
          <cell r="CF87">
            <v>7.2100476701435605</v>
          </cell>
          <cell r="CG87">
            <v>6.6452052259387733</v>
          </cell>
          <cell r="CH87">
            <v>6.1246131114642779</v>
          </cell>
          <cell r="CI87">
            <v>5.6448047110270085</v>
          </cell>
          <cell r="CJ87">
            <v>5.2025849871216643</v>
          </cell>
          <cell r="CK87">
            <v>4.7950092047204</v>
          </cell>
          <cell r="CL87">
            <v>4.4193633223229591</v>
          </cell>
          <cell r="CM87">
            <v>4.0731459191916617</v>
          </cell>
          <cell r="CN87">
            <v>3.7540515384254971</v>
          </cell>
          <cell r="CO87">
            <v>3.4599553349543992</v>
          </cell>
          <cell r="CP87">
            <v>3.1888989262252347</v>
          </cell>
          <cell r="CQ87">
            <v>2.9390773513596749</v>
          </cell>
          <cell r="CR87">
            <v>2.7088270519443975</v>
          </cell>
          <cell r="CS87">
            <v>2.4966147944188006</v>
          </cell>
          <cell r="CT87">
            <v>2.3010274602938243</v>
          </cell>
          <cell r="CU87">
            <v>2.1207626362155119</v>
          </cell>
          <cell r="CV87">
            <v>1.9546199412124472</v>
          </cell>
          <cell r="CW87">
            <v>1.8014930333755341</v>
          </cell>
          <cell r="CX87">
            <v>1.6603622427424249</v>
          </cell>
          <cell r="CY87">
            <v>1.5302877813294162</v>
          </cell>
          <cell r="CZ87">
            <v>1.4104034850962324</v>
          </cell>
          <cell r="DA87">
            <v>1.2999110461716517</v>
          </cell>
          <cell r="DB87">
            <v>1.1980746969323997</v>
          </cell>
          <cell r="DC87">
            <v>1.1042163105367677</v>
          </cell>
          <cell r="DD87">
            <v>1.0177108852873493</v>
          </cell>
          <cell r="DE87">
            <v>0.93798238275330947</v>
          </cell>
          <cell r="DF87">
            <v>0.86449989193853494</v>
          </cell>
          <cell r="DG87">
            <v>0.79677409395256915</v>
          </cell>
          <cell r="DH87">
            <v>0.73435400364292369</v>
          </cell>
          <cell r="DI87">
            <v>0.67682396649117382</v>
          </cell>
          <cell r="DJ87">
            <v>0.62380089077527012</v>
          </cell>
          <cell r="DK87">
            <v>0.57493169656707066</v>
          </cell>
          <cell r="DL87">
            <v>0.52989096457794527</v>
          </cell>
          <cell r="DM87">
            <v>0.48837876919626227</v>
          </cell>
          <cell r="DN87">
            <v>0.45011868128687943</v>
          </cell>
          <cell r="DO87">
            <v>0.41485592745334354</v>
          </cell>
          <cell r="DP87">
            <v>0.38235569350538579</v>
          </cell>
          <cell r="DQ87">
            <v>0.35240156083445823</v>
          </cell>
          <cell r="DR87">
            <v>0.32479406528521299</v>
          </cell>
          <cell r="DS87">
            <v>0.29934936892646663</v>
          </cell>
          <cell r="DT87">
            <v>0.27589803587692874</v>
          </cell>
          <cell r="DU87">
            <v>0.25428390403403378</v>
          </cell>
          <cell r="DV87">
            <v>0.23436304519266057</v>
          </cell>
          <cell r="DW87">
            <v>0.21600280662917562</v>
          </cell>
          <cell r="DX87">
            <v>0.19908092776882674</v>
          </cell>
          <cell r="DY87">
            <v>0.18348472605422003</v>
          </cell>
          <cell r="DZ87">
            <v>0.1691103465937514</v>
          </cell>
          <cell r="EA87">
            <v>0.1558620705933183</v>
          </cell>
          <cell r="EB87">
            <v>0.14365167796619308</v>
          </cell>
          <cell r="EC87">
            <v>0.13239785987667346</v>
          </cell>
          <cell r="ED87">
            <v>0.12202567730568969</v>
          </cell>
          <cell r="EE87">
            <v>0.11246606203289417</v>
          </cell>
          <cell r="EF87">
            <v>0.10365535671234459</v>
          </cell>
          <cell r="EG87">
            <v>9.5534890979120393E-2</v>
          </cell>
          <cell r="EH87">
            <v>8.8050590764166603E-2</v>
          </cell>
          <cell r="EI87">
            <v>8.1152618215821953E-2</v>
          </cell>
          <cell r="EJ87">
            <v>7.4795039830250362E-2</v>
          </cell>
          <cell r="EK87">
            <v>6.8935520580876347E-2</v>
          </cell>
          <cell r="EL87">
            <v>6.3535042010024134E-2</v>
          </cell>
          <cell r="EM87">
            <v>5.8557642405551537E-2</v>
          </cell>
          <cell r="EN87">
            <v>5.3970177332305427E-2</v>
          </cell>
          <cell r="EO87">
            <v>4.974209892378411E-2</v>
          </cell>
          <cell r="EP87">
            <v>4.5845252464316817E-2</v>
          </cell>
          <cell r="EQ87">
            <v>4.2253688907205079E-2</v>
          </cell>
          <cell r="ER87">
            <v>3.8943492080373142E-2</v>
          </cell>
          <cell r="ES87">
            <v>3.5892619428915161E-2</v>
          </cell>
          <cell r="ET87">
            <v>3.3080755234023526E-2</v>
          </cell>
          <cell r="EU87">
            <v>3.0489175330897261E-2</v>
          </cell>
          <cell r="EV87">
            <v>2.8100622424789966E-2</v>
          </cell>
          <cell r="EW87">
            <v>2.5899191174921492E-2</v>
          </cell>
          <cell r="EX87">
            <v>2.3870222281033818E-2</v>
          </cell>
          <cell r="EY87">
            <v>2.2000204867312217E-2</v>
          </cell>
          <cell r="EZ87">
            <v>2.0276686513651866E-2</v>
          </cell>
          <cell r="FA87">
            <v>1.8688190335163148E-2</v>
          </cell>
          <cell r="FB87">
            <v>1.72241385577541E-2</v>
          </cell>
          <cell r="FC87">
            <v>1.5874782080878915E-2</v>
          </cell>
          <cell r="FD87">
            <v>1.4631135558413713E-2</v>
          </cell>
          <cell r="FE87">
            <v>1.3484917565358327E-2</v>
          </cell>
          <cell r="FF87">
            <v>1.2428495451943347E-2</v>
          </cell>
          <cell r="FG87">
            <v>1.1454834517919878E-2</v>
          </cell>
          <cell r="FH87">
            <v>1.0557451168590012E-2</v>
          </cell>
          <cell r="FI87">
            <v>9.7303697406357116E-3</v>
          </cell>
          <cell r="FJ87">
            <v>8.9680827102635099E-3</v>
          </cell>
          <cell r="FK87">
            <v>8.2655140186760675E-3</v>
          </cell>
          <cell r="FL87">
            <v>7.6179852706691484E-3</v>
          </cell>
          <cell r="FM87">
            <v>7.0211845812619585E-3</v>
          </cell>
          <cell r="FN87">
            <v>6.4711378629142965E-3</v>
          </cell>
          <cell r="FO87">
            <v>5.9641823621328881E-3</v>
          </cell>
          <cell r="FP87">
            <v>5.4969422692468465E-3</v>
          </cell>
          <cell r="FQ87">
            <v>5.0663062389371847E-3</v>
          </cell>
          <cell r="FR87">
            <v>4.6694066718315557E-3</v>
          </cell>
          <cell r="FS87">
            <v>4.3036006191996103E-3</v>
          </cell>
          <cell r="FT87">
            <v>3.9664521835941317E-3</v>
          </cell>
          <cell r="FU87">
            <v>3.6557162982434111E-3</v>
          </cell>
          <cell r="FV87">
            <v>3.3693237771828936E-3</v>
          </cell>
          <cell r="FW87">
            <v>3.1053675365740486E-3</v>
          </cell>
          <cell r="FX87">
            <v>2.8620898954599384E-3</v>
          </cell>
          <cell r="FY87">
            <v>2.6378708713917015E-3</v>
          </cell>
          <cell r="FZ87">
            <v>2.4312173929877316E-3</v>
          </cell>
          <cell r="GA87">
            <v>2.2407533575924126E-3</v>
          </cell>
          <cell r="GB87">
            <v>2.0652104678270879E-3</v>
          </cell>
          <cell r="GC87">
            <v>1.903419786015749E-3</v>
          </cell>
          <cell r="GD87">
            <v>1.754303950244939E-3</v>
          </cell>
          <cell r="GE87">
            <v>1.616870000225734E-3</v>
          </cell>
          <cell r="GF87">
            <v>1.4902027651850231E-3</v>
          </cell>
          <cell r="GG87">
            <v>1.3734587697557543E-3</v>
          </cell>
          <cell r="GH87">
            <v>1.2658606172863906E-3</v>
          </cell>
          <cell r="GI87">
            <v>1.1666918131672153E-3</v>
          </cell>
          <cell r="GJ87">
            <v>1.0752919937025028E-3</v>
          </cell>
          <cell r="GK87">
            <v>9.9105252875804719E-4</v>
          </cell>
          <cell r="GL87">
            <v>9.1341246890142588E-4</v>
          </cell>
          <cell r="GM87">
            <v>8.4185481004738025E-4</v>
          </cell>
          <cell r="GN87">
            <v>7.7590305073492829E-4</v>
          </cell>
          <cell r="GO87">
            <v>7.1511801911054371E-4</v>
          </cell>
          <cell r="GP87">
            <v>6.5909494848899713E-4</v>
          </cell>
          <cell r="GQ87">
            <v>6.0746078201749654E-4</v>
          </cell>
          <cell r="GR87">
            <v>5.5987168849540271E-4</v>
          </cell>
          <cell r="GS87">
            <v>5.1601077280680977E-4</v>
          </cell>
          <cell r="GT87">
            <v>4.75585965720562E-4</v>
          </cell>
          <cell r="GU87">
            <v>4.3832807900511537E-4</v>
          </cell>
          <cell r="GV87">
            <v>4.0398901290793432E-4</v>
          </cell>
          <cell r="GW87">
            <v>3.723401040626272E-4</v>
          </cell>
          <cell r="GX87">
            <v>3.431706028226997E-4</v>
          </cell>
          <cell r="GY87">
            <v>3.1628626988265657E-4</v>
          </cell>
          <cell r="GZ87">
            <v>2.9150808284115961E-4</v>
          </cell>
          <cell r="HA87">
            <v>2.6867104409324951E-4</v>
          </cell>
          <cell r="HB87">
            <v>2.4762308211358409E-4</v>
          </cell>
          <cell r="HC87">
            <v>2.2822403881436095E-4</v>
          </cell>
          <cell r="HD87">
            <v>2.1034473623444567E-4</v>
          </cell>
          <cell r="HE87">
            <v>1.9386611634510342E-4</v>
          </cell>
          <cell r="HF87">
            <v>1.7867844824432961E-4</v>
          </cell>
          <cell r="HG87">
            <v>1.6468059746021328E-4</v>
          </cell>
          <cell r="HH87">
            <v>1.51779352497897E-4</v>
          </cell>
          <cell r="HI87">
            <v>1.3988880414552435E-4</v>
          </cell>
          <cell r="HJ87">
            <v>1.2892977340601066E-4</v>
          </cell>
          <cell r="HK87">
            <v>1.1882928424517232E-4</v>
          </cell>
          <cell r="HL87">
            <v>1.0952007764532011E-4</v>
          </cell>
          <cell r="HM87">
            <v>1.0094016372840766E-4</v>
          </cell>
          <cell r="HN87">
            <v>9.3032408966271533E-5</v>
          </cell>
          <cell r="HO87">
            <v>8.5744155729283389E-5</v>
          </cell>
          <cell r="HP87">
            <v>7.9026871639898089E-5</v>
          </cell>
          <cell r="HQ87">
            <v>7.2835826396220162E-5</v>
          </cell>
          <cell r="HR87">
            <v>6.7129793913566968E-5</v>
          </cell>
          <cell r="HS87">
            <v>6.1870777800515105E-5</v>
          </cell>
          <cell r="HT87">
            <v>5.7023758341489721E-5</v>
          </cell>
          <cell r="HU87">
            <v>5.2556459300912709E-5</v>
          </cell>
          <cell r="HV87">
            <v>4.8439132996235357E-5</v>
          </cell>
          <cell r="HW87">
            <v>4.4644362208508258E-5</v>
          </cell>
          <cell r="HX87">
            <v>4.114687761153372E-5</v>
          </cell>
          <cell r="HY87">
            <v>3.7923389503712381E-5</v>
          </cell>
          <cell r="HZ87">
            <v>3.4952432722318366E-5</v>
          </cell>
          <cell r="IA87">
            <v>3.2214223707207822E-5</v>
          </cell>
          <cell r="IB87">
            <v>2.969052876240143E-5</v>
          </cell>
          <cell r="IC87">
            <v>2.7364542638156896E-5</v>
          </cell>
          <cell r="ID87">
            <v>2.5220776625029405E-5</v>
          </cell>
          <cell r="IE87">
            <v>2.3244955414775275E-5</v>
          </cell>
          <cell r="IF87">
            <v>2.1423922041265602E-5</v>
          </cell>
          <cell r="IG87">
            <v>1.9745550268448749E-5</v>
          </cell>
          <cell r="IH87">
            <v>1.819866384188971E-5</v>
          </cell>
          <cell r="II87">
            <v>1.6772962066256956E-5</v>
          </cell>
          <cell r="IJ87">
            <v>1.5458951213138655E-5</v>
          </cell>
          <cell r="IK87">
            <v>1.4247881302431939E-5</v>
          </cell>
          <cell r="IL87">
            <v>1.3131687836344123E-5</v>
          </cell>
          <cell r="IM87">
            <v>1.210293809801338E-5</v>
          </cell>
          <cell r="IN87">
            <v>1.1154781657154966E-5</v>
          </cell>
          <cell r="IO87">
            <v>1.0280904753137183E-5</v>
          </cell>
          <cell r="IP87">
            <v>9.4754882517402924E-6</v>
          </cell>
          <cell r="IQ87">
            <v>8.7331688956126471E-6</v>
          </cell>
          <cell r="IR87">
            <v>5.5847328298388282E-6</v>
          </cell>
        </row>
        <row r="89">
          <cell r="B89" t="str">
            <v>WACC Calculation</v>
          </cell>
        </row>
        <row r="90">
          <cell r="B90">
            <v>-95619.171384845438</v>
          </cell>
          <cell r="C90">
            <v>6490.2034178514095</v>
          </cell>
          <cell r="D90">
            <v>5069.7112612457149</v>
          </cell>
          <cell r="E90">
            <v>5931.2030604850179</v>
          </cell>
          <cell r="F90">
            <v>7036.1925934058136</v>
          </cell>
          <cell r="G90">
            <v>7154.8908098889842</v>
          </cell>
          <cell r="H90">
            <v>7181.150057509959</v>
          </cell>
          <cell r="I90">
            <v>7317.8347729402494</v>
          </cell>
          <cell r="J90">
            <v>7968.2270267509357</v>
          </cell>
          <cell r="K90">
            <v>8224.4247071992158</v>
          </cell>
          <cell r="L90">
            <v>8435.7665250117789</v>
          </cell>
          <cell r="M90">
            <v>5714.503974368492</v>
          </cell>
          <cell r="N90">
            <v>7596.6487678716203</v>
          </cell>
          <cell r="O90">
            <v>7868.9556486928959</v>
          </cell>
          <cell r="P90">
            <v>8135.3903354403319</v>
          </cell>
          <cell r="Q90">
            <v>8265.9763425887941</v>
          </cell>
          <cell r="R90">
            <v>6303.603003150587</v>
          </cell>
          <cell r="S90">
            <v>8261.860544441377</v>
          </cell>
          <cell r="T90">
            <v>8338.0829544403387</v>
          </cell>
          <cell r="U90">
            <v>8416.2379840695994</v>
          </cell>
          <cell r="V90">
            <v>8496.3616085392823</v>
          </cell>
          <cell r="W90">
            <v>8578.4903694244567</v>
          </cell>
          <cell r="X90">
            <v>8662.6613937329948</v>
          </cell>
          <cell r="Y90">
            <v>8748.9124133538589</v>
          </cell>
          <cell r="Z90">
            <v>8837.2817848673367</v>
          </cell>
          <cell r="AA90">
            <v>8927.8085097008479</v>
          </cell>
          <cell r="AB90">
            <v>9020.5322546144616</v>
          </cell>
          <cell r="AC90">
            <v>9115.4933725031951</v>
          </cell>
          <cell r="AD90">
            <v>9212.7329235028556</v>
          </cell>
          <cell r="AE90">
            <v>9312.2926963895552</v>
          </cell>
          <cell r="AF90">
            <v>9414.2152302628529</v>
          </cell>
          <cell r="AG90">
            <v>9518.5438365053851</v>
          </cell>
          <cell r="AH90">
            <v>9625.3226210123958</v>
          </cell>
          <cell r="AI90">
            <v>9734.5965066862627</v>
          </cell>
          <cell r="AJ90">
            <v>9846.4112561928232</v>
          </cell>
          <cell r="AK90">
            <v>9960.8134949769501</v>
          </cell>
          <cell r="AL90">
            <v>10077.850734536954</v>
          </cell>
          <cell r="AM90">
            <v>10197.571395958186</v>
          </cell>
          <cell r="AN90">
            <v>10320.024833707059</v>
          </cell>
          <cell r="AO90">
            <v>10445.261359688706</v>
          </cell>
          <cell r="AP90">
            <v>10573.332267571936</v>
          </cell>
          <cell r="AQ90">
            <v>10704.289857386022</v>
          </cell>
          <cell r="AR90">
            <v>10838.187460395662</v>
          </cell>
          <cell r="AS90">
            <v>10975.079464260081</v>
          </cell>
          <cell r="AT90">
            <v>11115.021338484679</v>
          </cell>
          <cell r="AU90">
            <v>11258.069660172609</v>
          </cell>
          <cell r="AV90">
            <v>11404.282140085877</v>
          </cell>
          <cell r="AW90">
            <v>11553.717649025368</v>
          </cell>
          <cell r="AX90">
            <v>11706.436244541277</v>
          </cell>
          <cell r="AY90">
            <v>11862.499197982119</v>
          </cell>
          <cell r="AZ90">
            <v>12021.969021897679</v>
          </cell>
          <cell r="BA90">
            <v>12184.909497804174</v>
          </cell>
          <cell r="BB90">
            <v>12351.385704327251</v>
          </cell>
          <cell r="BC90">
            <v>12521.464045732653</v>
          </cell>
          <cell r="BD90">
            <v>12695.212280861226</v>
          </cell>
          <cell r="BE90">
            <v>12872.699552478465</v>
          </cell>
          <cell r="BF90">
            <v>13053.996417055787</v>
          </cell>
          <cell r="BG90">
            <v>13239.174874995129</v>
          </cell>
          <cell r="BH90">
            <v>13428.308401314123</v>
          </cell>
          <cell r="BI90">
            <v>13621.471976804114</v>
          </cell>
          <cell r="BJ90">
            <v>13818.742119678856</v>
          </cell>
          <cell r="BK90">
            <v>14020.196917726862</v>
          </cell>
          <cell r="BL90">
            <v>14225.91606098535</v>
          </cell>
          <cell r="BM90">
            <v>14435.980874949615</v>
          </cell>
          <cell r="BN90">
            <v>14650.474354335969</v>
          </cell>
          <cell r="BO90">
            <v>14869.481197412155</v>
          </cell>
          <cell r="BP90">
            <v>15093.087840915359</v>
          </cell>
          <cell r="BQ90">
            <v>15321.382495569465</v>
          </cell>
          <cell r="BR90">
            <v>15554.455182224763</v>
          </cell>
          <cell r="BS90">
            <v>15792.397768630664</v>
          </cell>
          <cell r="BT90">
            <v>16035.304006864688</v>
          </cell>
          <cell r="BU90">
            <v>16283.269571430756</v>
          </cell>
          <cell r="BV90">
            <v>16536.392098047014</v>
          </cell>
          <cell r="BW90">
            <v>16794.771223141161</v>
          </cell>
          <cell r="BX90">
            <v>17058.508624068774</v>
          </cell>
          <cell r="BY90">
            <v>17327.708060077181</v>
          </cell>
          <cell r="BZ90">
            <v>17602.475414029504</v>
          </cell>
          <cell r="CA90">
            <v>17882.918734909967</v>
          </cell>
          <cell r="CB90">
            <v>18169.148281129354</v>
          </cell>
          <cell r="CC90">
            <v>18461.276564647807</v>
          </cell>
          <cell r="CD90">
            <v>18759.418395938155</v>
          </cell>
          <cell r="CE90">
            <v>19063.690929805489</v>
          </cell>
          <cell r="CF90">
            <v>19374.213712086039</v>
          </cell>
          <cell r="CG90">
            <v>19691.108727243591</v>
          </cell>
          <cell r="CH90">
            <v>20014.500446885773</v>
          </cell>
          <cell r="CI90">
            <v>20344.515879219529</v>
          </cell>
          <cell r="CJ90">
            <v>20681.284619467526</v>
          </cell>
          <cell r="CK90">
            <v>21024.938901266723</v>
          </cell>
          <cell r="CL90">
            <v>21375.613649072024</v>
          </cell>
          <cell r="CM90">
            <v>21733.446531584486</v>
          </cell>
          <cell r="CN90">
            <v>22098.57801622949</v>
          </cell>
          <cell r="CO90">
            <v>22471.151424705484</v>
          </cell>
          <cell r="CP90">
            <v>22851.312989627288</v>
          </cell>
          <cell r="CQ90">
            <v>23239.211912287443</v>
          </cell>
          <cell r="CR90">
            <v>23635.000421559056</v>
          </cell>
          <cell r="CS90">
            <v>24038.833833965258</v>
          </cell>
          <cell r="CT90">
            <v>24450.870614938489</v>
          </cell>
          <cell r="CU90">
            <v>24871.272441296005</v>
          </cell>
          <cell r="CV90">
            <v>25300.204264956996</v>
          </cell>
          <cell r="CW90">
            <v>25737.834377926381</v>
          </cell>
          <cell r="CX90">
            <v>26184.334478571443</v>
          </cell>
          <cell r="CY90">
            <v>26639.879739221229</v>
          </cell>
          <cell r="CZ90">
            <v>27104.648875110906</v>
          </cell>
          <cell r="DA90">
            <v>27578.824214703971</v>
          </cell>
          <cell r="DB90">
            <v>28062.591771416279</v>
          </cell>
          <cell r="DC90">
            <v>28556.141316774716</v>
          </cell>
          <cell r="DD90">
            <v>29059.666455036888</v>
          </cell>
          <cell r="DE90">
            <v>29573.364699302489</v>
          </cell>
          <cell r="DF90">
            <v>30097.437549148293</v>
          </cell>
          <cell r="DG90">
            <v>30632.090569814842</v>
          </cell>
          <cell r="DH90">
            <v>31177.53347297963</v>
          </cell>
          <cell r="DI90">
            <v>31733.980199146783</v>
          </cell>
          <cell r="DJ90">
            <v>32301.649001687605</v>
          </cell>
          <cell r="DK90">
            <v>32880.76253256201</v>
          </cell>
          <cell r="DL90">
            <v>33471.547929761102</v>
          </cell>
          <cell r="DM90">
            <v>34074.23690649838</v>
          </cell>
          <cell r="DN90">
            <v>34689.065842191572</v>
          </cell>
          <cell r="DO90">
            <v>35316.275875265259</v>
          </cell>
          <cell r="DP90">
            <v>35956.112997815544</v>
          </cell>
          <cell r="DQ90">
            <v>36608.828152172217</v>
          </cell>
          <cell r="DR90">
            <v>37274.677329396509</v>
          </cell>
          <cell r="DS90">
            <v>37953.921669753567</v>
          </cell>
          <cell r="DT90">
            <v>38646.827565199994</v>
          </cell>
          <cell r="DU90">
            <v>39353.666763926856</v>
          </cell>
          <cell r="DV90">
            <v>40074.716476996524</v>
          </cell>
          <cell r="DW90">
            <v>40810.259487121381</v>
          </cell>
          <cell r="DX90">
            <v>41560.584259620744</v>
          </cell>
          <cell r="DY90">
            <v>42325.985055604193</v>
          </cell>
          <cell r="DZ90">
            <v>43106.762047424163</v>
          </cell>
          <cell r="EA90">
            <v>43903.221436442771</v>
          </cell>
          <cell r="EB90">
            <v>44715.675573161418</v>
          </cell>
          <cell r="EC90">
            <v>45544.443079757453</v>
          </cell>
          <cell r="ED90">
            <v>46389.848975078443</v>
          </cell>
          <cell r="EE90">
            <v>47252.22480214246</v>
          </cell>
          <cell r="EF90">
            <v>48131.908758194579</v>
          </cell>
          <cell r="EG90">
            <v>49029.245827369021</v>
          </cell>
          <cell r="EH90">
            <v>49944.587916014447</v>
          </cell>
          <cell r="EI90">
            <v>50878.293990727369</v>
          </cell>
          <cell r="EJ90">
            <v>51830.730219155055</v>
          </cell>
          <cell r="EK90">
            <v>52802.270113620834</v>
          </cell>
          <cell r="EL90">
            <v>53793.294677626094</v>
          </cell>
          <cell r="EM90">
            <v>54804.192555289977</v>
          </cell>
          <cell r="EN90">
            <v>55835.360183784156</v>
          </cell>
          <cell r="EO90">
            <v>56887.20194882038</v>
          </cell>
          <cell r="EP90">
            <v>57960.130343255267</v>
          </cell>
          <cell r="EQ90">
            <v>59054.566128874168</v>
          </cell>
          <cell r="ER90">
            <v>60170.938501412951</v>
          </cell>
          <cell r="ES90">
            <v>61309.685258890677</v>
          </cell>
          <cell r="ET90">
            <v>62471.252973310184</v>
          </cell>
          <cell r="EU90">
            <v>63656.097165802959</v>
          </cell>
          <cell r="EV90">
            <v>64864.682485277968</v>
          </cell>
          <cell r="EW90">
            <v>66097.482890654122</v>
          </cell>
          <cell r="EX90">
            <v>67354.981836735999</v>
          </cell>
          <cell r="EY90">
            <v>68637.672463822062</v>
          </cell>
          <cell r="EZ90">
            <v>69946.057791100669</v>
          </cell>
          <cell r="FA90">
            <v>71280.650913926191</v>
          </cell>
          <cell r="FB90">
            <v>72641.975205043709</v>
          </cell>
          <cell r="FC90">
            <v>74030.564519842243</v>
          </cell>
          <cell r="FD90">
            <v>75446.963405720104</v>
          </cell>
          <cell r="FE90">
            <v>76891.727315641736</v>
          </cell>
          <cell r="FF90">
            <v>78365.422825971677</v>
          </cell>
          <cell r="FG90">
            <v>79868.627858667634</v>
          </cell>
          <cell r="FH90">
            <v>81401.931907926308</v>
          </cell>
          <cell r="FI90">
            <v>82965.936271362938</v>
          </cell>
          <cell r="FJ90">
            <v>84561.254285821604</v>
          </cell>
          <cell r="FK90">
            <v>86188.511567905865</v>
          </cell>
          <cell r="FL90">
            <v>87848.346259325015</v>
          </cell>
          <cell r="FM90">
            <v>89541.409277150611</v>
          </cell>
          <cell r="FN90">
            <v>91268.364569083351</v>
          </cell>
          <cell r="FO90">
            <v>93029.889373831218</v>
          </cell>
          <cell r="FP90">
            <v>94826.674486694421</v>
          </cell>
          <cell r="FQ90">
            <v>96659.424530475459</v>
          </cell>
          <cell r="FR90">
            <v>98528.858231800521</v>
          </cell>
          <cell r="FS90">
            <v>100435.70870298022</v>
          </cell>
          <cell r="FT90">
            <v>102380.72372950698</v>
          </cell>
          <cell r="FU90">
            <v>104364.66606330939</v>
          </cell>
          <cell r="FV90">
            <v>106388.31372187089</v>
          </cell>
          <cell r="FW90">
            <v>108452.46029334175</v>
          </cell>
          <cell r="FX90">
            <v>110557.91524774831</v>
          </cell>
          <cell r="FY90">
            <v>112705.5042544406</v>
          </cell>
          <cell r="FZ90">
            <v>114896.06950588158</v>
          </cell>
          <cell r="GA90">
            <v>117130.47004792449</v>
          </cell>
          <cell r="GB90">
            <v>119409.58211669401</v>
          </cell>
          <cell r="GC90">
            <v>121734.29948221127</v>
          </cell>
          <cell r="GD90">
            <v>124105.53379889511</v>
          </cell>
          <cell r="GE90">
            <v>126524.21496307326</v>
          </cell>
          <cell r="GF90">
            <v>128991.2914776502</v>
          </cell>
          <cell r="GG90">
            <v>131507.73082407218</v>
          </cell>
          <cell r="GH90">
            <v>134074.51984173144</v>
          </cell>
          <cell r="GI90">
            <v>136692.66511496424</v>
          </cell>
          <cell r="GJ90">
            <v>139363.19336779267</v>
          </cell>
          <cell r="GK90">
            <v>142087.15186655932</v>
          </cell>
          <cell r="GL90">
            <v>144865.60883062612</v>
          </cell>
          <cell r="GM90">
            <v>147699.65385127996</v>
          </cell>
          <cell r="GN90">
            <v>150590.39831902954</v>
          </cell>
          <cell r="GO90">
            <v>153538.9758594399</v>
          </cell>
          <cell r="GP90">
            <v>156546.54277770227</v>
          </cell>
          <cell r="GQ90">
            <v>159614.27851207287</v>
          </cell>
          <cell r="GR90">
            <v>162743.38609641523</v>
          </cell>
          <cell r="GS90">
            <v>165935.09263196716</v>
          </cell>
          <cell r="GT90">
            <v>169190.64976856284</v>
          </cell>
          <cell r="GU90">
            <v>172511.33419547573</v>
          </cell>
          <cell r="GV90">
            <v>175898.44814208156</v>
          </cell>
          <cell r="GW90">
            <v>179353.31988853583</v>
          </cell>
          <cell r="GX90">
            <v>182877.30428667404</v>
          </cell>
          <cell r="GY90">
            <v>186471.78329131682</v>
          </cell>
          <cell r="GZ90">
            <v>190138.16650222446</v>
          </cell>
          <cell r="HA90">
            <v>193877.89171687429</v>
          </cell>
          <cell r="HB90">
            <v>197692.42549430463</v>
          </cell>
          <cell r="HC90">
            <v>201583.26373024203</v>
          </cell>
          <cell r="HD90">
            <v>205551.93224371731</v>
          </cell>
          <cell r="HE90">
            <v>209599.9873754349</v>
          </cell>
          <cell r="HF90">
            <v>213729.01659810037</v>
          </cell>
          <cell r="HG90">
            <v>217940.63913895737</v>
          </cell>
          <cell r="HH90">
            <v>222236.50661478116</v>
          </cell>
          <cell r="HI90">
            <v>226618.30367957003</v>
          </cell>
          <cell r="HJ90">
            <v>231087.74868519889</v>
          </cell>
          <cell r="HK90">
            <v>235646.59435527277</v>
          </cell>
          <cell r="HL90">
            <v>240296.62847248459</v>
          </cell>
          <cell r="HM90">
            <v>245039.67457969044</v>
          </cell>
          <cell r="HN90">
            <v>249877.59269503952</v>
          </cell>
          <cell r="HO90">
            <v>254812.28004137898</v>
          </cell>
          <cell r="HP90">
            <v>259845.67179027991</v>
          </cell>
          <cell r="HQ90">
            <v>264979.74182090949</v>
          </cell>
          <cell r="HR90">
            <v>270216.50349411822</v>
          </cell>
          <cell r="HS90">
            <v>275558.01044197928</v>
          </cell>
          <cell r="HT90">
            <v>281006.35737314785</v>
          </cell>
          <cell r="HU90">
            <v>286563.68089430471</v>
          </cell>
          <cell r="HV90">
            <v>292232.16034805076</v>
          </cell>
          <cell r="HW90">
            <v>298014.01866753795</v>
          </cell>
          <cell r="HX90">
            <v>303911.52324822621</v>
          </cell>
          <cell r="HY90">
            <v>309926.98683703941</v>
          </cell>
          <cell r="HZ90">
            <v>316062.76843934122</v>
          </cell>
          <cell r="IA90">
            <v>322321.27424402483</v>
          </cell>
          <cell r="IB90">
            <v>328704.95856711839</v>
          </cell>
          <cell r="IC90">
            <v>335216.32481426722</v>
          </cell>
          <cell r="ID90">
            <v>341857.92646245583</v>
          </cell>
          <cell r="IE90">
            <v>348632.36806137243</v>
          </cell>
          <cell r="IF90">
            <v>355542.30625480495</v>
          </cell>
          <cell r="IG90">
            <v>362590.45082245831</v>
          </cell>
          <cell r="IH90">
            <v>369779.5657426109</v>
          </cell>
          <cell r="II90">
            <v>377112.47027603997</v>
          </cell>
          <cell r="IJ90">
            <v>384592.04007159331</v>
          </cell>
          <cell r="IK90">
            <v>392221.20829391887</v>
          </cell>
          <cell r="IL90">
            <v>400002.96677370323</v>
          </cell>
          <cell r="IM90">
            <v>407940.36718095595</v>
          </cell>
          <cell r="IN90">
            <v>416036.52222172963</v>
          </cell>
          <cell r="IO90">
            <v>424294.60685880366</v>
          </cell>
          <cell r="IP90">
            <v>432717.8595567483</v>
          </cell>
          <cell r="IQ90">
            <v>441309.58355193306</v>
          </cell>
          <cell r="IR90">
            <v>8014628.1607273081</v>
          </cell>
        </row>
        <row r="92">
          <cell r="B92" t="str">
            <v>Pls check. If Common Dividends or Net Share Repurchases tags are missing, pls tag &amp; re-run IV</v>
          </cell>
          <cell r="C92" t="str">
            <v>Check</v>
          </cell>
        </row>
        <row r="95">
          <cell r="B95" t="str">
            <v>Source: Morgan Stanley Research, ModelWare</v>
          </cell>
        </row>
        <row r="97">
          <cell r="C97">
            <v>1</v>
          </cell>
          <cell r="D97">
            <v>2</v>
          </cell>
          <cell r="E97">
            <v>3</v>
          </cell>
          <cell r="F97">
            <v>4</v>
          </cell>
          <cell r="G97">
            <v>5</v>
          </cell>
          <cell r="H97">
            <v>6</v>
          </cell>
          <cell r="I97">
            <v>7</v>
          </cell>
          <cell r="J97">
            <v>8</v>
          </cell>
          <cell r="K97">
            <v>9</v>
          </cell>
          <cell r="L97">
            <v>10</v>
          </cell>
          <cell r="M97">
            <v>11</v>
          </cell>
          <cell r="N97">
            <v>12</v>
          </cell>
          <cell r="O97">
            <v>13</v>
          </cell>
          <cell r="P97">
            <v>14</v>
          </cell>
          <cell r="Q97">
            <v>15</v>
          </cell>
          <cell r="R97">
            <v>16</v>
          </cell>
          <cell r="S97">
            <v>17</v>
          </cell>
          <cell r="T97">
            <v>18</v>
          </cell>
          <cell r="U97">
            <v>19</v>
          </cell>
          <cell r="V97">
            <v>20</v>
          </cell>
          <cell r="W97">
            <v>21</v>
          </cell>
          <cell r="X97">
            <v>22</v>
          </cell>
          <cell r="Y97">
            <v>23</v>
          </cell>
          <cell r="Z97">
            <v>24</v>
          </cell>
          <cell r="AA97">
            <v>25</v>
          </cell>
          <cell r="AB97">
            <v>26</v>
          </cell>
          <cell r="AC97">
            <v>27</v>
          </cell>
          <cell r="AD97">
            <v>28</v>
          </cell>
          <cell r="AE97">
            <v>29</v>
          </cell>
          <cell r="AF97">
            <v>30</v>
          </cell>
          <cell r="AG97">
            <v>31</v>
          </cell>
          <cell r="AH97">
            <v>32</v>
          </cell>
          <cell r="AI97">
            <v>33</v>
          </cell>
          <cell r="AJ97">
            <v>34</v>
          </cell>
          <cell r="AK97">
            <v>35</v>
          </cell>
          <cell r="AL97">
            <v>36</v>
          </cell>
          <cell r="AM97">
            <v>37</v>
          </cell>
          <cell r="AN97">
            <v>38</v>
          </cell>
          <cell r="AO97">
            <v>39</v>
          </cell>
          <cell r="AP97">
            <v>40</v>
          </cell>
          <cell r="AQ97">
            <v>41</v>
          </cell>
          <cell r="AR97">
            <v>42</v>
          </cell>
          <cell r="AS97">
            <v>43</v>
          </cell>
          <cell r="AT97">
            <v>44</v>
          </cell>
          <cell r="AU97">
            <v>45</v>
          </cell>
          <cell r="AV97">
            <v>46</v>
          </cell>
          <cell r="AW97">
            <v>47</v>
          </cell>
          <cell r="AX97">
            <v>48</v>
          </cell>
          <cell r="AY97">
            <v>49</v>
          </cell>
          <cell r="AZ97">
            <v>50</v>
          </cell>
          <cell r="BA97">
            <v>51</v>
          </cell>
          <cell r="BB97">
            <v>52</v>
          </cell>
          <cell r="BC97">
            <v>53</v>
          </cell>
          <cell r="BD97">
            <v>54</v>
          </cell>
          <cell r="BE97">
            <v>55</v>
          </cell>
          <cell r="BF97">
            <v>56</v>
          </cell>
          <cell r="BG97">
            <v>57</v>
          </cell>
          <cell r="BH97">
            <v>58</v>
          </cell>
          <cell r="BI97">
            <v>59</v>
          </cell>
          <cell r="BJ97">
            <v>60</v>
          </cell>
          <cell r="BK97">
            <v>61</v>
          </cell>
          <cell r="BL97">
            <v>62</v>
          </cell>
          <cell r="BM97">
            <v>63</v>
          </cell>
          <cell r="BN97">
            <v>64</v>
          </cell>
          <cell r="BO97">
            <v>65</v>
          </cell>
          <cell r="BP97">
            <v>66</v>
          </cell>
          <cell r="BQ97">
            <v>67</v>
          </cell>
          <cell r="BR97">
            <v>68</v>
          </cell>
          <cell r="BS97">
            <v>69</v>
          </cell>
          <cell r="BT97">
            <v>70</v>
          </cell>
          <cell r="BU97">
            <v>71</v>
          </cell>
          <cell r="BV97">
            <v>72</v>
          </cell>
          <cell r="BW97">
            <v>73</v>
          </cell>
          <cell r="BX97">
            <v>74</v>
          </cell>
          <cell r="BY97">
            <v>75</v>
          </cell>
          <cell r="BZ97">
            <v>76</v>
          </cell>
          <cell r="CA97">
            <v>77</v>
          </cell>
          <cell r="CB97">
            <v>78</v>
          </cell>
          <cell r="CC97">
            <v>79</v>
          </cell>
          <cell r="CD97">
            <v>80</v>
          </cell>
          <cell r="CE97">
            <v>81</v>
          </cell>
          <cell r="CF97">
            <v>82</v>
          </cell>
          <cell r="CG97">
            <v>83</v>
          </cell>
          <cell r="CH97">
            <v>84</v>
          </cell>
          <cell r="CI97">
            <v>85</v>
          </cell>
          <cell r="CJ97">
            <v>86</v>
          </cell>
          <cell r="CK97">
            <v>87</v>
          </cell>
          <cell r="CL97">
            <v>88</v>
          </cell>
          <cell r="CM97">
            <v>89</v>
          </cell>
          <cell r="CN97">
            <v>90</v>
          </cell>
          <cell r="CO97">
            <v>91</v>
          </cell>
          <cell r="CP97">
            <v>92</v>
          </cell>
          <cell r="CQ97">
            <v>93</v>
          </cell>
          <cell r="CR97">
            <v>94</v>
          </cell>
          <cell r="CS97">
            <v>95</v>
          </cell>
          <cell r="CT97">
            <v>96</v>
          </cell>
          <cell r="CU97">
            <v>97</v>
          </cell>
          <cell r="CV97">
            <v>98</v>
          </cell>
          <cell r="CW97">
            <v>99</v>
          </cell>
          <cell r="CX97">
            <v>100</v>
          </cell>
          <cell r="CY97">
            <v>101</v>
          </cell>
          <cell r="CZ97">
            <v>102</v>
          </cell>
          <cell r="DA97">
            <v>103</v>
          </cell>
          <cell r="DB97">
            <v>104</v>
          </cell>
          <cell r="DC97">
            <v>105</v>
          </cell>
          <cell r="DD97">
            <v>106</v>
          </cell>
          <cell r="DE97">
            <v>107</v>
          </cell>
          <cell r="DF97">
            <v>108</v>
          </cell>
          <cell r="DG97">
            <v>109</v>
          </cell>
          <cell r="DH97">
            <v>110</v>
          </cell>
          <cell r="DI97">
            <v>111</v>
          </cell>
          <cell r="DJ97">
            <v>112</v>
          </cell>
          <cell r="DK97">
            <v>113</v>
          </cell>
          <cell r="DL97">
            <v>114</v>
          </cell>
          <cell r="DM97">
            <v>115</v>
          </cell>
          <cell r="DN97">
            <v>116</v>
          </cell>
          <cell r="DO97">
            <v>117</v>
          </cell>
          <cell r="DP97">
            <v>118</v>
          </cell>
          <cell r="DQ97">
            <v>119</v>
          </cell>
          <cell r="DR97">
            <v>120</v>
          </cell>
          <cell r="DS97">
            <v>121</v>
          </cell>
          <cell r="DT97">
            <v>122</v>
          </cell>
          <cell r="DU97">
            <v>123</v>
          </cell>
          <cell r="DV97">
            <v>124</v>
          </cell>
          <cell r="DW97">
            <v>125</v>
          </cell>
          <cell r="DX97">
            <v>126</v>
          </cell>
          <cell r="DY97">
            <v>127</v>
          </cell>
          <cell r="DZ97">
            <v>128</v>
          </cell>
          <cell r="EA97">
            <v>129</v>
          </cell>
          <cell r="EB97">
            <v>130</v>
          </cell>
          <cell r="EC97">
            <v>131</v>
          </cell>
          <cell r="ED97">
            <v>132</v>
          </cell>
          <cell r="EE97">
            <v>133</v>
          </cell>
          <cell r="EF97">
            <v>134</v>
          </cell>
          <cell r="EG97">
            <v>135</v>
          </cell>
          <cell r="EH97">
            <v>136</v>
          </cell>
          <cell r="EI97">
            <v>137</v>
          </cell>
          <cell r="EJ97">
            <v>138</v>
          </cell>
          <cell r="EK97">
            <v>139</v>
          </cell>
          <cell r="EL97">
            <v>140</v>
          </cell>
          <cell r="EM97">
            <v>141</v>
          </cell>
          <cell r="EN97">
            <v>142</v>
          </cell>
          <cell r="EO97">
            <v>143</v>
          </cell>
          <cell r="EP97">
            <v>144</v>
          </cell>
          <cell r="EQ97">
            <v>145</v>
          </cell>
          <cell r="ER97">
            <v>146</v>
          </cell>
          <cell r="ES97">
            <v>147</v>
          </cell>
          <cell r="ET97">
            <v>148</v>
          </cell>
          <cell r="EU97">
            <v>149</v>
          </cell>
          <cell r="EV97">
            <v>150</v>
          </cell>
          <cell r="EW97">
            <v>151</v>
          </cell>
          <cell r="EX97">
            <v>152</v>
          </cell>
          <cell r="EY97">
            <v>153</v>
          </cell>
          <cell r="EZ97">
            <v>154</v>
          </cell>
          <cell r="FA97">
            <v>155</v>
          </cell>
          <cell r="FB97">
            <v>156</v>
          </cell>
          <cell r="FC97">
            <v>157</v>
          </cell>
          <cell r="FD97">
            <v>158</v>
          </cell>
          <cell r="FE97">
            <v>159</v>
          </cell>
          <cell r="FF97">
            <v>160</v>
          </cell>
          <cell r="FG97">
            <v>161</v>
          </cell>
          <cell r="FH97">
            <v>162</v>
          </cell>
          <cell r="FI97">
            <v>163</v>
          </cell>
          <cell r="FJ97">
            <v>164</v>
          </cell>
          <cell r="FK97">
            <v>165</v>
          </cell>
          <cell r="FL97">
            <v>166</v>
          </cell>
          <cell r="FM97">
            <v>167</v>
          </cell>
          <cell r="FN97">
            <v>168</v>
          </cell>
          <cell r="FO97">
            <v>169</v>
          </cell>
          <cell r="FP97">
            <v>170</v>
          </cell>
          <cell r="FQ97">
            <v>171</v>
          </cell>
          <cell r="FR97">
            <v>172</v>
          </cell>
          <cell r="FS97">
            <v>173</v>
          </cell>
          <cell r="FT97">
            <v>174</v>
          </cell>
          <cell r="FU97">
            <v>175</v>
          </cell>
          <cell r="FV97">
            <v>176</v>
          </cell>
          <cell r="FW97">
            <v>177</v>
          </cell>
          <cell r="FX97">
            <v>178</v>
          </cell>
          <cell r="FY97">
            <v>179</v>
          </cell>
          <cell r="FZ97">
            <v>180</v>
          </cell>
          <cell r="GA97">
            <v>181</v>
          </cell>
          <cell r="GB97">
            <v>182</v>
          </cell>
          <cell r="GC97">
            <v>183</v>
          </cell>
          <cell r="GD97">
            <v>184</v>
          </cell>
          <cell r="GE97">
            <v>185</v>
          </cell>
          <cell r="GF97">
            <v>186</v>
          </cell>
          <cell r="GG97">
            <v>187</v>
          </cell>
          <cell r="GH97">
            <v>188</v>
          </cell>
          <cell r="GI97">
            <v>189</v>
          </cell>
          <cell r="GJ97">
            <v>190</v>
          </cell>
          <cell r="GK97">
            <v>191</v>
          </cell>
          <cell r="GL97">
            <v>192</v>
          </cell>
          <cell r="GM97">
            <v>193</v>
          </cell>
          <cell r="GN97">
            <v>194</v>
          </cell>
          <cell r="GO97">
            <v>195</v>
          </cell>
          <cell r="GP97">
            <v>196</v>
          </cell>
          <cell r="GQ97">
            <v>197</v>
          </cell>
          <cell r="GR97">
            <v>198</v>
          </cell>
          <cell r="GS97">
            <v>199</v>
          </cell>
          <cell r="GT97">
            <v>200</v>
          </cell>
          <cell r="GU97">
            <v>201</v>
          </cell>
          <cell r="GV97">
            <v>202</v>
          </cell>
          <cell r="GW97">
            <v>203</v>
          </cell>
          <cell r="GX97">
            <v>204</v>
          </cell>
          <cell r="GY97">
            <v>205</v>
          </cell>
          <cell r="GZ97">
            <v>206</v>
          </cell>
          <cell r="HA97">
            <v>207</v>
          </cell>
          <cell r="HB97">
            <v>208</v>
          </cell>
          <cell r="HC97">
            <v>209</v>
          </cell>
          <cell r="HD97">
            <v>210</v>
          </cell>
          <cell r="HE97">
            <v>211</v>
          </cell>
          <cell r="HF97">
            <v>212</v>
          </cell>
          <cell r="HG97">
            <v>213</v>
          </cell>
          <cell r="HH97">
            <v>214</v>
          </cell>
          <cell r="HI97">
            <v>215</v>
          </cell>
          <cell r="HJ97">
            <v>216</v>
          </cell>
          <cell r="HK97">
            <v>217</v>
          </cell>
          <cell r="HL97">
            <v>218</v>
          </cell>
          <cell r="HM97">
            <v>219</v>
          </cell>
          <cell r="HN97">
            <v>220</v>
          </cell>
          <cell r="HO97">
            <v>221</v>
          </cell>
          <cell r="HP97">
            <v>222</v>
          </cell>
          <cell r="HQ97">
            <v>223</v>
          </cell>
          <cell r="HR97">
            <v>224</v>
          </cell>
          <cell r="HS97">
            <v>225</v>
          </cell>
          <cell r="HT97">
            <v>226</v>
          </cell>
          <cell r="HU97">
            <v>227</v>
          </cell>
          <cell r="HV97">
            <v>228</v>
          </cell>
          <cell r="HW97">
            <v>229</v>
          </cell>
          <cell r="HX97">
            <v>230</v>
          </cell>
          <cell r="HY97">
            <v>231</v>
          </cell>
          <cell r="HZ97">
            <v>232</v>
          </cell>
          <cell r="IA97">
            <v>233</v>
          </cell>
          <cell r="IB97">
            <v>234</v>
          </cell>
          <cell r="IC97">
            <v>235</v>
          </cell>
          <cell r="ID97">
            <v>236</v>
          </cell>
          <cell r="IE97">
            <v>237</v>
          </cell>
          <cell r="IF97">
            <v>238</v>
          </cell>
          <cell r="IG97">
            <v>239</v>
          </cell>
          <cell r="IH97">
            <v>240</v>
          </cell>
          <cell r="II97">
            <v>241</v>
          </cell>
          <cell r="IJ97">
            <v>242</v>
          </cell>
          <cell r="IK97">
            <v>243</v>
          </cell>
          <cell r="IL97">
            <v>244</v>
          </cell>
          <cell r="IM97">
            <v>245</v>
          </cell>
          <cell r="IN97">
            <v>246</v>
          </cell>
          <cell r="IO97">
            <v>247</v>
          </cell>
          <cell r="IP97">
            <v>248</v>
          </cell>
          <cell r="IQ97">
            <v>249</v>
          </cell>
          <cell r="IR97">
            <v>250</v>
          </cell>
        </row>
        <row r="98">
          <cell r="C98" t="str">
            <v>E</v>
          </cell>
          <cell r="D98" t="str">
            <v>E</v>
          </cell>
          <cell r="E98" t="str">
            <v>E</v>
          </cell>
          <cell r="F98" t="str">
            <v>E</v>
          </cell>
          <cell r="G98" t="str">
            <v>E</v>
          </cell>
          <cell r="H98" t="str">
            <v>E</v>
          </cell>
          <cell r="I98" t="str">
            <v>E</v>
          </cell>
          <cell r="J98" t="str">
            <v>E</v>
          </cell>
          <cell r="K98" t="str">
            <v>E</v>
          </cell>
          <cell r="L98" t="str">
            <v>E</v>
          </cell>
          <cell r="M98" t="str">
            <v>T</v>
          </cell>
          <cell r="N98" t="str">
            <v>T</v>
          </cell>
          <cell r="O98" t="str">
            <v>T</v>
          </cell>
          <cell r="P98" t="str">
            <v>T</v>
          </cell>
          <cell r="Q98" t="str">
            <v>T</v>
          </cell>
          <cell r="R98" t="str">
            <v>S</v>
          </cell>
          <cell r="S98" t="str">
            <v>S</v>
          </cell>
          <cell r="T98" t="str">
            <v>S</v>
          </cell>
          <cell r="U98" t="str">
            <v>S</v>
          </cell>
          <cell r="V98" t="str">
            <v>S</v>
          </cell>
          <cell r="W98" t="str">
            <v>S</v>
          </cell>
          <cell r="X98" t="str">
            <v>S</v>
          </cell>
          <cell r="Y98" t="str">
            <v>S</v>
          </cell>
          <cell r="Z98" t="str">
            <v>S</v>
          </cell>
          <cell r="AA98" t="str">
            <v>S</v>
          </cell>
          <cell r="AB98" t="str">
            <v>S</v>
          </cell>
          <cell r="AC98" t="str">
            <v>S</v>
          </cell>
          <cell r="AD98" t="str">
            <v>S</v>
          </cell>
          <cell r="AE98" t="str">
            <v>S</v>
          </cell>
          <cell r="AF98" t="str">
            <v>S</v>
          </cell>
          <cell r="AG98" t="str">
            <v>S</v>
          </cell>
          <cell r="AH98" t="str">
            <v>S</v>
          </cell>
          <cell r="AI98" t="str">
            <v>S</v>
          </cell>
          <cell r="AJ98" t="str">
            <v>S</v>
          </cell>
          <cell r="AK98" t="str">
            <v>S</v>
          </cell>
          <cell r="AL98" t="str">
            <v>S</v>
          </cell>
          <cell r="AM98" t="str">
            <v>S</v>
          </cell>
          <cell r="AN98" t="str">
            <v>S</v>
          </cell>
          <cell r="AO98" t="str">
            <v>S</v>
          </cell>
          <cell r="AP98" t="str">
            <v>S</v>
          </cell>
          <cell r="AQ98" t="str">
            <v>S</v>
          </cell>
          <cell r="AR98" t="str">
            <v>S</v>
          </cell>
          <cell r="AS98" t="str">
            <v>S</v>
          </cell>
          <cell r="AT98" t="str">
            <v>S</v>
          </cell>
          <cell r="AU98" t="str">
            <v>S</v>
          </cell>
          <cell r="AV98" t="str">
            <v>S</v>
          </cell>
          <cell r="AW98" t="str">
            <v>S</v>
          </cell>
          <cell r="AX98" t="str">
            <v>S</v>
          </cell>
          <cell r="AY98" t="str">
            <v>S</v>
          </cell>
          <cell r="AZ98" t="str">
            <v>S</v>
          </cell>
          <cell r="BA98" t="str">
            <v>S</v>
          </cell>
          <cell r="BB98" t="str">
            <v>S</v>
          </cell>
          <cell r="BC98" t="str">
            <v>S</v>
          </cell>
          <cell r="BD98" t="str">
            <v>S</v>
          </cell>
          <cell r="BE98" t="str">
            <v>S</v>
          </cell>
          <cell r="BF98" t="str">
            <v>S</v>
          </cell>
          <cell r="BG98" t="str">
            <v>S</v>
          </cell>
          <cell r="BH98" t="str">
            <v>S</v>
          </cell>
          <cell r="BI98" t="str">
            <v>S</v>
          </cell>
          <cell r="BJ98" t="str">
            <v>S</v>
          </cell>
          <cell r="BK98" t="str">
            <v>S</v>
          </cell>
          <cell r="BL98" t="str">
            <v>S</v>
          </cell>
          <cell r="BM98" t="str">
            <v>S</v>
          </cell>
          <cell r="BN98" t="str">
            <v>S</v>
          </cell>
          <cell r="BO98" t="str">
            <v>S</v>
          </cell>
          <cell r="BP98" t="str">
            <v>S</v>
          </cell>
          <cell r="BQ98" t="str">
            <v>S</v>
          </cell>
          <cell r="BR98" t="str">
            <v>S</v>
          </cell>
          <cell r="BS98" t="str">
            <v>S</v>
          </cell>
          <cell r="BT98" t="str">
            <v>S</v>
          </cell>
          <cell r="BU98" t="str">
            <v>S</v>
          </cell>
          <cell r="BV98" t="str">
            <v>S</v>
          </cell>
          <cell r="BW98" t="str">
            <v>S</v>
          </cell>
          <cell r="BX98" t="str">
            <v>S</v>
          </cell>
          <cell r="BY98" t="str">
            <v>S</v>
          </cell>
          <cell r="BZ98" t="str">
            <v>S</v>
          </cell>
          <cell r="CA98" t="str">
            <v>S</v>
          </cell>
          <cell r="CB98" t="str">
            <v>S</v>
          </cell>
          <cell r="CC98" t="str">
            <v>S</v>
          </cell>
          <cell r="CD98" t="str">
            <v>S</v>
          </cell>
          <cell r="CE98" t="str">
            <v>S</v>
          </cell>
          <cell r="CF98" t="str">
            <v>S</v>
          </cell>
          <cell r="CG98" t="str">
            <v>S</v>
          </cell>
          <cell r="CH98" t="str">
            <v>S</v>
          </cell>
          <cell r="CI98" t="str">
            <v>S</v>
          </cell>
          <cell r="CJ98" t="str">
            <v>S</v>
          </cell>
          <cell r="CK98" t="str">
            <v>S</v>
          </cell>
          <cell r="CL98" t="str">
            <v>S</v>
          </cell>
          <cell r="CM98" t="str">
            <v>S</v>
          </cell>
          <cell r="CN98" t="str">
            <v>S</v>
          </cell>
          <cell r="CO98" t="str">
            <v>S</v>
          </cell>
          <cell r="CP98" t="str">
            <v>S</v>
          </cell>
          <cell r="CQ98" t="str">
            <v>S</v>
          </cell>
          <cell r="CR98" t="str">
            <v>S</v>
          </cell>
          <cell r="CS98" t="str">
            <v>S</v>
          </cell>
          <cell r="CT98" t="str">
            <v>S</v>
          </cell>
          <cell r="CU98" t="str">
            <v>S</v>
          </cell>
          <cell r="CV98" t="str">
            <v>S</v>
          </cell>
          <cell r="CW98" t="str">
            <v>S</v>
          </cell>
          <cell r="CX98" t="str">
            <v>S</v>
          </cell>
          <cell r="CY98" t="str">
            <v>S</v>
          </cell>
          <cell r="CZ98" t="str">
            <v>S</v>
          </cell>
          <cell r="DA98" t="str">
            <v>S</v>
          </cell>
          <cell r="DB98" t="str">
            <v>S</v>
          </cell>
          <cell r="DC98" t="str">
            <v>S</v>
          </cell>
          <cell r="DD98" t="str">
            <v>S</v>
          </cell>
          <cell r="DE98" t="str">
            <v>S</v>
          </cell>
          <cell r="DF98" t="str">
            <v>S</v>
          </cell>
          <cell r="DG98" t="str">
            <v>S</v>
          </cell>
          <cell r="DH98" t="str">
            <v>S</v>
          </cell>
          <cell r="DI98" t="str">
            <v>S</v>
          </cell>
          <cell r="DJ98" t="str">
            <v>S</v>
          </cell>
          <cell r="DK98" t="str">
            <v>S</v>
          </cell>
          <cell r="DL98" t="str">
            <v>S</v>
          </cell>
          <cell r="DM98" t="str">
            <v>S</v>
          </cell>
          <cell r="DN98" t="str">
            <v>S</v>
          </cell>
          <cell r="DO98" t="str">
            <v>S</v>
          </cell>
          <cell r="DP98" t="str">
            <v>S</v>
          </cell>
          <cell r="DQ98" t="str">
            <v>S</v>
          </cell>
          <cell r="DR98" t="str">
            <v>S</v>
          </cell>
          <cell r="DS98" t="str">
            <v>S</v>
          </cell>
          <cell r="DT98" t="str">
            <v>S</v>
          </cell>
          <cell r="DU98" t="str">
            <v>S</v>
          </cell>
          <cell r="DV98" t="str">
            <v>S</v>
          </cell>
          <cell r="DW98" t="str">
            <v>S</v>
          </cell>
          <cell r="DX98" t="str">
            <v>S</v>
          </cell>
          <cell r="DY98" t="str">
            <v>S</v>
          </cell>
          <cell r="DZ98" t="str">
            <v>S</v>
          </cell>
          <cell r="EA98" t="str">
            <v>S</v>
          </cell>
          <cell r="EB98" t="str">
            <v>S</v>
          </cell>
          <cell r="EC98" t="str">
            <v>S</v>
          </cell>
          <cell r="ED98" t="str">
            <v>S</v>
          </cell>
          <cell r="EE98" t="str">
            <v>S</v>
          </cell>
          <cell r="EF98" t="str">
            <v>S</v>
          </cell>
          <cell r="EG98" t="str">
            <v>S</v>
          </cell>
          <cell r="EH98" t="str">
            <v>S</v>
          </cell>
          <cell r="EI98" t="str">
            <v>S</v>
          </cell>
          <cell r="EJ98" t="str">
            <v>S</v>
          </cell>
          <cell r="EK98" t="str">
            <v>S</v>
          </cell>
          <cell r="EL98" t="str">
            <v>S</v>
          </cell>
          <cell r="EM98" t="str">
            <v>S</v>
          </cell>
          <cell r="EN98" t="str">
            <v>S</v>
          </cell>
          <cell r="EO98" t="str">
            <v>S</v>
          </cell>
          <cell r="EP98" t="str">
            <v>S</v>
          </cell>
          <cell r="EQ98" t="str">
            <v>S</v>
          </cell>
          <cell r="ER98" t="str">
            <v>S</v>
          </cell>
          <cell r="ES98" t="str">
            <v>S</v>
          </cell>
          <cell r="ET98" t="str">
            <v>S</v>
          </cell>
          <cell r="EU98" t="str">
            <v>S</v>
          </cell>
          <cell r="EV98" t="str">
            <v>S</v>
          </cell>
          <cell r="EW98" t="str">
            <v>S</v>
          </cell>
          <cell r="EX98" t="str">
            <v>S</v>
          </cell>
          <cell r="EY98" t="str">
            <v>S</v>
          </cell>
          <cell r="EZ98" t="str">
            <v>S</v>
          </cell>
          <cell r="FA98" t="str">
            <v>S</v>
          </cell>
          <cell r="FB98" t="str">
            <v>S</v>
          </cell>
          <cell r="FC98" t="str">
            <v>S</v>
          </cell>
          <cell r="FD98" t="str">
            <v>S</v>
          </cell>
          <cell r="FE98" t="str">
            <v>S</v>
          </cell>
          <cell r="FF98" t="str">
            <v>S</v>
          </cell>
          <cell r="FG98" t="str">
            <v>S</v>
          </cell>
          <cell r="FH98" t="str">
            <v>S</v>
          </cell>
          <cell r="FI98" t="str">
            <v>S</v>
          </cell>
          <cell r="FJ98" t="str">
            <v>S</v>
          </cell>
          <cell r="FK98" t="str">
            <v>S</v>
          </cell>
          <cell r="FL98" t="str">
            <v>S</v>
          </cell>
          <cell r="FM98" t="str">
            <v>S</v>
          </cell>
          <cell r="FN98" t="str">
            <v>S</v>
          </cell>
          <cell r="FO98" t="str">
            <v>S</v>
          </cell>
          <cell r="FP98" t="str">
            <v>S</v>
          </cell>
          <cell r="FQ98" t="str">
            <v>S</v>
          </cell>
          <cell r="FR98" t="str">
            <v>S</v>
          </cell>
          <cell r="FS98" t="str">
            <v>S</v>
          </cell>
          <cell r="FT98" t="str">
            <v>S</v>
          </cell>
          <cell r="FU98" t="str">
            <v>S</v>
          </cell>
          <cell r="FV98" t="str">
            <v>S</v>
          </cell>
          <cell r="FW98" t="str">
            <v>S</v>
          </cell>
          <cell r="FX98" t="str">
            <v>S</v>
          </cell>
          <cell r="FY98" t="str">
            <v>S</v>
          </cell>
          <cell r="FZ98" t="str">
            <v>S</v>
          </cell>
          <cell r="GA98" t="str">
            <v>S</v>
          </cell>
          <cell r="GB98" t="str">
            <v>S</v>
          </cell>
          <cell r="GC98" t="str">
            <v>S</v>
          </cell>
          <cell r="GD98" t="str">
            <v>S</v>
          </cell>
          <cell r="GE98" t="str">
            <v>S</v>
          </cell>
          <cell r="GF98" t="str">
            <v>S</v>
          </cell>
          <cell r="GG98" t="str">
            <v>S</v>
          </cell>
          <cell r="GH98" t="str">
            <v>S</v>
          </cell>
          <cell r="GI98" t="str">
            <v>S</v>
          </cell>
          <cell r="GJ98" t="str">
            <v>S</v>
          </cell>
          <cell r="GK98" t="str">
            <v>S</v>
          </cell>
          <cell r="GL98" t="str">
            <v>S</v>
          </cell>
          <cell r="GM98" t="str">
            <v>S</v>
          </cell>
          <cell r="GN98" t="str">
            <v>S</v>
          </cell>
          <cell r="GO98" t="str">
            <v>S</v>
          </cell>
          <cell r="GP98" t="str">
            <v>S</v>
          </cell>
          <cell r="GQ98" t="str">
            <v>S</v>
          </cell>
          <cell r="GR98" t="str">
            <v>S</v>
          </cell>
          <cell r="GS98" t="str">
            <v>S</v>
          </cell>
          <cell r="GT98" t="str">
            <v>S</v>
          </cell>
          <cell r="GU98" t="str">
            <v>S</v>
          </cell>
          <cell r="GV98" t="str">
            <v>S</v>
          </cell>
          <cell r="GW98" t="str">
            <v>S</v>
          </cell>
          <cell r="GX98" t="str">
            <v>S</v>
          </cell>
          <cell r="GY98" t="str">
            <v>S</v>
          </cell>
          <cell r="GZ98" t="str">
            <v>S</v>
          </cell>
          <cell r="HA98" t="str">
            <v>S</v>
          </cell>
          <cell r="HB98" t="str">
            <v>S</v>
          </cell>
          <cell r="HC98" t="str">
            <v>S</v>
          </cell>
          <cell r="HD98" t="str">
            <v>S</v>
          </cell>
          <cell r="HE98" t="str">
            <v>S</v>
          </cell>
          <cell r="HF98" t="str">
            <v>S</v>
          </cell>
          <cell r="HG98" t="str">
            <v>S</v>
          </cell>
          <cell r="HH98" t="str">
            <v>S</v>
          </cell>
          <cell r="HI98" t="str">
            <v>S</v>
          </cell>
          <cell r="HJ98" t="str">
            <v>S</v>
          </cell>
          <cell r="HK98" t="str">
            <v>S</v>
          </cell>
          <cell r="HL98" t="str">
            <v>S</v>
          </cell>
          <cell r="HM98" t="str">
            <v>S</v>
          </cell>
          <cell r="HN98" t="str">
            <v>S</v>
          </cell>
          <cell r="HO98" t="str">
            <v>S</v>
          </cell>
          <cell r="HP98" t="str">
            <v>S</v>
          </cell>
          <cell r="HQ98" t="str">
            <v>S</v>
          </cell>
          <cell r="HR98" t="str">
            <v>S</v>
          </cell>
          <cell r="HS98" t="str">
            <v>S</v>
          </cell>
          <cell r="HT98" t="str">
            <v>S</v>
          </cell>
          <cell r="HU98" t="str">
            <v>S</v>
          </cell>
          <cell r="HV98" t="str">
            <v>S</v>
          </cell>
          <cell r="HW98" t="str">
            <v>S</v>
          </cell>
          <cell r="HX98" t="str">
            <v>S</v>
          </cell>
          <cell r="HY98" t="str">
            <v>S</v>
          </cell>
          <cell r="HZ98" t="str">
            <v>S</v>
          </cell>
          <cell r="IA98" t="str">
            <v>S</v>
          </cell>
          <cell r="IB98" t="str">
            <v>S</v>
          </cell>
          <cell r="IC98" t="str">
            <v>S</v>
          </cell>
          <cell r="ID98" t="str">
            <v>S</v>
          </cell>
          <cell r="IE98" t="str">
            <v>S</v>
          </cell>
          <cell r="IF98" t="str">
            <v>S</v>
          </cell>
          <cell r="IG98" t="str">
            <v>S</v>
          </cell>
          <cell r="IH98" t="str">
            <v>S</v>
          </cell>
          <cell r="II98" t="str">
            <v>S</v>
          </cell>
          <cell r="IJ98" t="str">
            <v>S</v>
          </cell>
          <cell r="IK98" t="str">
            <v>S</v>
          </cell>
          <cell r="IL98" t="str">
            <v>S</v>
          </cell>
          <cell r="IM98" t="str">
            <v>S</v>
          </cell>
          <cell r="IN98" t="str">
            <v>S</v>
          </cell>
          <cell r="IO98" t="str">
            <v>S</v>
          </cell>
          <cell r="IP98" t="str">
            <v>S</v>
          </cell>
          <cell r="IQ98" t="str">
            <v>S</v>
          </cell>
          <cell r="IR98" t="str">
            <v>S</v>
          </cell>
        </row>
        <row r="99">
          <cell r="B99" t="str">
            <v>DIAGNOSTIC SUMMARY</v>
          </cell>
        </row>
        <row r="100">
          <cell r="B100" t="str">
            <v>&lt;&lt;&lt; Balance Sheet in Balance &gt;&gt;&gt;</v>
          </cell>
          <cell r="C100">
            <v>0</v>
          </cell>
          <cell r="D100">
            <v>-3.637978807091713E-12</v>
          </cell>
          <cell r="E100">
            <v>0</v>
          </cell>
          <cell r="F100">
            <v>0</v>
          </cell>
          <cell r="G100">
            <v>3.637978807091713E-12</v>
          </cell>
          <cell r="H100">
            <v>7.2759576141834259E-12</v>
          </cell>
          <cell r="I100">
            <v>-7.2759576141834259E-12</v>
          </cell>
          <cell r="J100">
            <v>-7.2759576141834259E-12</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row>
        <row r="102">
          <cell r="B102">
            <v>7</v>
          </cell>
        </row>
        <row r="104">
          <cell r="B104" t="str">
            <v>PRICE IMPLIED CALCULATION</v>
          </cell>
        </row>
        <row r="105">
          <cell r="B105" t="str">
            <v>Price implied Cost of Equity</v>
          </cell>
          <cell r="C105">
            <v>0.10166905386423197</v>
          </cell>
        </row>
        <row r="106">
          <cell r="B106">
            <v>-63739.315769734923</v>
          </cell>
          <cell r="C106">
            <v>4556.7203088319511</v>
          </cell>
          <cell r="D106">
            <v>4343.4273173813581</v>
          </cell>
          <cell r="E106">
            <v>4616.8151276350836</v>
          </cell>
          <cell r="F106">
            <v>4945.7022072179043</v>
          </cell>
          <cell r="G106">
            <v>4975.6608039886478</v>
          </cell>
          <cell r="H106">
            <v>5011.9959891231665</v>
          </cell>
          <cell r="I106">
            <v>5209.9117259542236</v>
          </cell>
          <cell r="J106">
            <v>5553.5051436054819</v>
          </cell>
          <cell r="K106">
            <v>5772.2966846044128</v>
          </cell>
          <cell r="L106">
            <v>5955.5863889180418</v>
          </cell>
          <cell r="M106">
            <v>7081.9584210708126</v>
          </cell>
          <cell r="N106">
            <v>8997.0073769672545</v>
          </cell>
          <cell r="O106">
            <v>9224.752909629864</v>
          </cell>
          <cell r="P106">
            <v>9439.3291563750026</v>
          </cell>
          <cell r="Q106">
            <v>9522.626263736156</v>
          </cell>
          <cell r="R106">
            <v>6585.387954340038</v>
          </cell>
          <cell r="S106">
            <v>8379.528653852949</v>
          </cell>
          <cell r="T106">
            <v>8454.9396799618407</v>
          </cell>
          <cell r="U106">
            <v>8532.2506015961681</v>
          </cell>
          <cell r="V106">
            <v>8611.4967763448167</v>
          </cell>
          <cell r="W106">
            <v>8692.7141253784157</v>
          </cell>
          <cell r="X106">
            <v>8775.939152105726</v>
          </cell>
          <cell r="Y106">
            <v>8861.2089611949523</v>
          </cell>
          <cell r="Z106">
            <v>8948.561277942983</v>
          </cell>
          <cell r="AA106">
            <v>9038.0344679775881</v>
          </cell>
          <cell r="AB106">
            <v>9129.6675572778968</v>
          </cell>
          <cell r="AC106">
            <v>9223.500252501759</v>
          </cell>
          <cell r="AD106">
            <v>9319.572961607515</v>
          </cell>
          <cell r="AE106">
            <v>9417.9268147617822</v>
          </cell>
          <cell r="AF106">
            <v>9518.6036855240636</v>
          </cell>
          <cell r="AG106">
            <v>9621.6462123018664</v>
          </cell>
          <cell r="AH106">
            <v>9727.0978200708687</v>
          </cell>
          <cell r="AI106">
            <v>9835.0027423557167</v>
          </cell>
          <cell r="AJ106">
            <v>9945.4060434691928</v>
          </cell>
          <cell r="AK106">
            <v>10058.353641007645</v>
          </cell>
          <cell r="AL106">
            <v>10173.892328603019</v>
          </cell>
          <cell r="AM106">
            <v>10292.069798932071</v>
          </cell>
          <cell r="AN106">
            <v>10412.934666984549</v>
          </cell>
          <cell r="AO106">
            <v>10536.536493594071</v>
          </cell>
          <cell r="AP106">
            <v>10662.925809235196</v>
          </cell>
          <cell r="AQ106">
            <v>10792.154138091986</v>
          </cell>
          <cell r="AR106">
            <v>10924.274022403983</v>
          </cell>
          <cell r="AS106">
            <v>11059.339047096355</v>
          </cell>
          <cell r="AT106">
            <v>11197.403864702053</v>
          </cell>
          <cell r="AU106">
            <v>11338.524220583706</v>
          </cell>
          <cell r="AV106">
            <v>11482.756978464811</v>
          </cell>
          <cell r="AW106">
            <v>11630.160146279697</v>
          </cell>
          <cell r="AX106">
            <v>11780.792902353016</v>
          </cell>
          <cell r="AY106">
            <v>11934.715621917745</v>
          </cell>
          <cell r="AZ106">
            <v>12091.989903986023</v>
          </cell>
          <cell r="BA106">
            <v>12252.678598581704</v>
          </cell>
          <cell r="BB106">
            <v>12416.845834349142</v>
          </cell>
          <cell r="BC106">
            <v>12584.557046548798</v>
          </cell>
          <cell r="BD106">
            <v>12755.879005455019</v>
          </cell>
          <cell r="BE106">
            <v>12930.879845167174</v>
          </cell>
          <cell r="BF106">
            <v>13109.629092849582</v>
          </cell>
          <cell r="BG106">
            <v>13292.197698412901</v>
          </cell>
          <cell r="BH106">
            <v>13478.658064652929</v>
          </cell>
          <cell r="BI106">
            <v>13669.08407785933</v>
          </cell>
          <cell r="BJ106">
            <v>13863.5511389114</v>
          </cell>
          <cell r="BK106">
            <v>14062.136194873936</v>
          </cell>
          <cell r="BL106">
            <v>14264.917771110213</v>
          </cell>
          <cell r="BM106">
            <v>14471.976003926113</v>
          </cell>
          <cell r="BN106">
            <v>14683.392673762835</v>
          </cell>
          <cell r="BO106">
            <v>14899.25123895198</v>
          </cell>
          <cell r="BP106">
            <v>15119.636870052207</v>
          </cell>
          <cell r="BQ106">
            <v>15344.63648477961</v>
          </cell>
          <cell r="BR106">
            <v>15574.338783553962</v>
          </cell>
          <cell r="BS106">
            <v>15808.834285671099</v>
          </cell>
          <cell r="BT106">
            <v>16048.215366124492</v>
          </cell>
          <cell r="BU106">
            <v>16292.5762930889</v>
          </cell>
          <cell r="BV106">
            <v>16542.013266084992</v>
          </cell>
          <cell r="BW106">
            <v>16796.624454844037</v>
          </cell>
          <cell r="BX106">
            <v>17056.510038885994</v>
          </cell>
          <cell r="BY106">
            <v>17321.772247834895</v>
          </cell>
          <cell r="BZ106">
            <v>17592.515402484496</v>
          </cell>
          <cell r="CA106">
            <v>17868.845956635261</v>
          </cell>
          <cell r="CB106">
            <v>18150.872539721819</v>
          </cell>
          <cell r="CC106">
            <v>18438.706000246631</v>
          </cell>
          <cell r="CD106">
            <v>18732.459450043229</v>
          </cell>
          <cell r="CE106">
            <v>19032.248309384777</v>
          </cell>
          <cell r="CF106">
            <v>19338.190352959493</v>
          </cell>
          <cell r="CG106">
            <v>19650.405756732202</v>
          </cell>
          <cell r="CH106">
            <v>19969.017145712376</v>
          </cell>
          <cell r="CI106">
            <v>20294.149642649125</v>
          </cell>
          <cell r="CJ106">
            <v>20625.930917673475</v>
          </cell>
          <cell r="CK106">
            <v>20964.491238908897</v>
          </cell>
          <cell r="CL106">
            <v>21309.963524073348</v>
          </cell>
          <cell r="CM106">
            <v>21662.483393090715</v>
          </cell>
          <cell r="CN106">
            <v>22022.189221737575</v>
          </cell>
          <cell r="CO106">
            <v>22389.222196345483</v>
          </cell>
          <cell r="CP106">
            <v>22763.726369581429</v>
          </cell>
          <cell r="CQ106">
            <v>23145.848717330769</v>
          </cell>
          <cell r="CR106">
            <v>23535.73919670493</v>
          </cell>
          <cell r="CS106">
            <v>23933.550805198542</v>
          </cell>
          <cell r="CT106">
            <v>24339.439641019384</v>
          </cell>
          <cell r="CU106">
            <v>24753.564964616475</v>
          </cell>
          <cell r="CV106">
            <v>25176.089261431305</v>
          </cell>
          <cell r="CW106">
            <v>25607.178305897902</v>
          </cell>
          <cell r="CX106">
            <v>26047.001226715787</v>
          </cell>
          <cell r="CY106">
            <v>26495.73057342619</v>
          </cell>
          <cell r="CZ106">
            <v>26953.542384314089</v>
          </cell>
          <cell r="DA106">
            <v>27420.616255666406</v>
          </cell>
          <cell r="DB106">
            <v>27897.135412412215</v>
          </cell>
          <cell r="DC106">
            <v>28383.286780175476</v>
          </cell>
          <cell r="DD106">
            <v>28879.261058767363</v>
          </cell>
          <cell r="DE106">
            <v>29385.25279714763</v>
          </cell>
          <cell r="DF106">
            <v>29901.460469887032</v>
          </cell>
          <cell r="DG106">
            <v>30428.086555158254</v>
          </cell>
          <cell r="DH106">
            <v>30965.33761428883</v>
          </cell>
          <cell r="DI106">
            <v>31513.424372907597</v>
          </cell>
          <cell r="DJ106">
            <v>32072.561803715333</v>
          </cell>
          <cell r="DK106">
            <v>32642.969210912786</v>
          </cell>
          <cell r="DL106">
            <v>33224.870316322675</v>
          </cell>
          <cell r="DM106">
            <v>33818.493347234762</v>
          </cell>
          <cell r="DN106">
            <v>34424.071126013645</v>
          </cell>
          <cell r="DO106">
            <v>35041.841161500801</v>
          </cell>
          <cell r="DP106">
            <v>35672.04574224996</v>
          </cell>
          <cell r="DQ106">
            <v>36314.932031631535</v>
          </cell>
          <cell r="DR106">
            <v>36970.752164842837</v>
          </cell>
          <cell r="DS106">
            <v>37639.763347864486</v>
          </cell>
          <cell r="DT106">
            <v>38322.227958399701</v>
          </cell>
          <cell r="DU106">
            <v>39018.413648839116</v>
          </cell>
          <cell r="DV106">
            <v>39728.59345128719</v>
          </cell>
          <cell r="DW106">
            <v>40453.045884698804</v>
          </cell>
          <cell r="DX106">
            <v>41192.055064159591</v>
          </cell>
          <cell r="DY106">
            <v>41945.910812360555</v>
          </cell>
          <cell r="DZ106">
            <v>42714.908773306488</v>
          </cell>
          <cell r="EA106">
            <v>43499.350528304582</v>
          </cell>
          <cell r="EB106">
            <v>44299.543714278218</v>
          </cell>
          <cell r="EC106">
            <v>45115.802144453788</v>
          </cell>
          <cell r="ED106">
            <v>45948.445931465423</v>
          </cell>
          <cell r="EE106">
            <v>46797.801612929587</v>
          </cell>
          <cell r="EF106">
            <v>47664.202279536097</v>
          </cell>
          <cell r="EG106">
            <v>48547.987705705447</v>
          </cell>
          <cell r="EH106">
            <v>49449.504482869495</v>
          </cell>
          <cell r="EI106">
            <v>50369.106155418158</v>
          </cell>
          <cell r="EJ106">
            <v>51307.153359374483</v>
          </cell>
          <cell r="EK106">
            <v>52264.013963848876</v>
          </cell>
          <cell r="EL106">
            <v>53240.063215326489</v>
          </cell>
          <cell r="EM106">
            <v>54235.683884848055</v>
          </cell>
          <cell r="EN106">
            <v>55251.266418139494</v>
          </cell>
          <cell r="EO106">
            <v>56287.209088748568</v>
          </cell>
          <cell r="EP106">
            <v>57343.918154252504</v>
          </cell>
          <cell r="EQ106">
            <v>58421.808015593997</v>
          </cell>
          <cell r="ER106">
            <v>59521.301379608674</v>
          </cell>
          <cell r="ES106">
            <v>60642.829424810843</v>
          </cell>
          <cell r="ET106">
            <v>61786.831970498635</v>
          </cell>
          <cell r="EU106">
            <v>62953.757649248204</v>
          </cell>
          <cell r="EV106">
            <v>64144.064082861631</v>
          </cell>
          <cell r="EW106">
            <v>65358.218061842257</v>
          </cell>
          <cell r="EX106">
            <v>66596.695728458333</v>
          </cell>
          <cell r="EY106">
            <v>67859.982763483044</v>
          </cell>
          <cell r="EZ106">
            <v>69148.574576664367</v>
          </cell>
          <cell r="FA106">
            <v>70462.976501016907</v>
          </cell>
          <cell r="FB106">
            <v>71803.703991000919</v>
          </cell>
          <cell r="FC106">
            <v>73171.282824671202</v>
          </cell>
          <cell r="FD106">
            <v>74566.249309872612</v>
          </cell>
          <cell r="FE106">
            <v>75989.150494566726</v>
          </cell>
          <cell r="FF106">
            <v>77440.544381368192</v>
          </cell>
          <cell r="FG106">
            <v>78921.000146375372</v>
          </cell>
          <cell r="FH106">
            <v>80431.098362386663</v>
          </cell>
          <cell r="FI106">
            <v>81971.431226579356</v>
          </cell>
          <cell r="FJ106">
            <v>83542.602792753343</v>
          </cell>
          <cell r="FK106">
            <v>85145.229208217686</v>
          </cell>
          <cell r="FL106">
            <v>86779.938955426464</v>
          </cell>
          <cell r="FM106">
            <v>88447.373098444383</v>
          </cell>
          <cell r="FN106">
            <v>90148.185534351171</v>
          </cell>
          <cell r="FO106">
            <v>91883.043249676455</v>
          </cell>
          <cell r="FP106">
            <v>93652.626581966018</v>
          </cell>
          <cell r="FQ106">
            <v>95457.629486588121</v>
          </cell>
          <cell r="FR106">
            <v>97298.759808873074</v>
          </cell>
          <cell r="FS106">
            <v>99176.739561706767</v>
          </cell>
          <cell r="FT106">
            <v>101092.30520867271</v>
          </cell>
          <cell r="FU106">
            <v>103046.20795287006</v>
          </cell>
          <cell r="FV106">
            <v>105039.21403149929</v>
          </cell>
          <cell r="FW106">
            <v>107072.10501635639</v>
          </cell>
          <cell r="FX106">
            <v>109145.67812033024</v>
          </cell>
          <cell r="FY106">
            <v>111260.74651004135</v>
          </cell>
          <cell r="FZ106">
            <v>113418.13962472879</v>
          </cell>
          <cell r="GA106">
            <v>115618.70350152731</v>
          </cell>
          <cell r="GB106">
            <v>117863.30110724544</v>
          </cell>
          <cell r="GC106">
            <v>120152.81267678615</v>
          </cell>
          <cell r="GD106">
            <v>122488.13605834302</v>
          </cell>
          <cell r="GE106">
            <v>124870.18706549352</v>
          </cell>
          <cell r="GF106">
            <v>127299.89983634619</v>
          </cell>
          <cell r="GG106">
            <v>129778.22719987345</v>
          </cell>
          <cell r="GH106">
            <v>132306.1410495654</v>
          </cell>
          <cell r="GI106">
            <v>134884.63272457171</v>
          </cell>
          <cell r="GJ106">
            <v>137514.7133984605</v>
          </cell>
          <cell r="GK106">
            <v>140197.41447575908</v>
          </cell>
          <cell r="GL106">
            <v>142933.78799642721</v>
          </cell>
          <cell r="GM106">
            <v>145724.90704842351</v>
          </cell>
          <cell r="GN106">
            <v>148571.86618852435</v>
          </cell>
          <cell r="GO106">
            <v>151475.78187156279</v>
          </cell>
          <cell r="GP106">
            <v>154437.79288826027</v>
          </cell>
          <cell r="GQ106">
            <v>157459.06081179806</v>
          </cell>
          <cell r="GR106">
            <v>160540.770453356</v>
          </cell>
          <cell r="GS106">
            <v>163684.13032673014</v>
          </cell>
          <cell r="GT106">
            <v>166890.37312226641</v>
          </cell>
          <cell r="GU106">
            <v>170160.75619026981</v>
          </cell>
          <cell r="GV106">
            <v>173496.56203408231</v>
          </cell>
          <cell r="GW106">
            <v>176899.09881302385</v>
          </cell>
          <cell r="GX106">
            <v>180369.70085540361</v>
          </cell>
          <cell r="GY106">
            <v>183909.72918177649</v>
          </cell>
          <cell r="GZ106">
            <v>187520.57203868704</v>
          </cell>
          <cell r="HA106">
            <v>191203.64544307333</v>
          </cell>
          <cell r="HB106">
            <v>194960.39373756907</v>
          </cell>
          <cell r="HC106">
            <v>198792.29015692062</v>
          </cell>
          <cell r="HD106">
            <v>202700.83740571444</v>
          </cell>
          <cell r="HE106">
            <v>206687.56824768154</v>
          </cell>
          <cell r="HF106">
            <v>210754.04610678012</v>
          </cell>
          <cell r="HG106">
            <v>214901.86568030267</v>
          </cell>
          <cell r="HH106">
            <v>219132.65356424678</v>
          </cell>
          <cell r="HI106">
            <v>223448.06889119657</v>
          </cell>
          <cell r="HJ106">
            <v>227849.80398097</v>
          </cell>
          <cell r="HK106">
            <v>232339.58500425721</v>
          </cell>
          <cell r="HL106">
            <v>236919.17265957332</v>
          </cell>
          <cell r="HM106">
            <v>241590.36286370689</v>
          </cell>
          <cell r="HN106">
            <v>246354.98745601642</v>
          </cell>
          <cell r="HO106">
            <v>251214.91491678928</v>
          </cell>
          <cell r="HP106">
            <v>256172.05109998933</v>
          </cell>
          <cell r="HQ106">
            <v>261228.33998063829</v>
          </cell>
          <cell r="HR106">
            <v>266385.76441717212</v>
          </cell>
          <cell r="HS106">
            <v>271646.34692901926</v>
          </cell>
          <cell r="HT106">
            <v>277012.15048975806</v>
          </cell>
          <cell r="HU106">
            <v>282485.2793361193</v>
          </cell>
          <cell r="HV106">
            <v>288067.87979318108</v>
          </cell>
          <cell r="HW106">
            <v>293762.14111605607</v>
          </cell>
          <cell r="HX106">
            <v>299570.29634843738</v>
          </cell>
          <cell r="HY106">
            <v>305494.62319828803</v>
          </cell>
          <cell r="HZ106">
            <v>311537.44493107125</v>
          </cell>
          <cell r="IA106">
            <v>317701.13128082972</v>
          </cell>
          <cell r="IB106">
            <v>323988.09937948739</v>
          </cell>
          <cell r="IC106">
            <v>330400.81470475753</v>
          </cell>
          <cell r="ID106">
            <v>336941.79204698867</v>
          </cell>
          <cell r="IE106">
            <v>343613.59649535437</v>
          </cell>
          <cell r="IF106">
            <v>350418.84444377891</v>
          </cell>
          <cell r="IG106">
            <v>357360.20461696578</v>
          </cell>
          <cell r="IH106">
            <v>364440.39911696274</v>
          </cell>
          <cell r="II106">
            <v>371662.20449065219</v>
          </cell>
          <cell r="IJ106">
            <v>379028.4528185869</v>
          </cell>
          <cell r="IK106">
            <v>386542.03282561753</v>
          </cell>
          <cell r="IL106">
            <v>394205.89101372176</v>
          </cell>
          <cell r="IM106">
            <v>402023.03281749936</v>
          </cell>
          <cell r="IN106">
            <v>409996.52378276526</v>
          </cell>
          <cell r="IO106">
            <v>418129.49076873669</v>
          </cell>
          <cell r="IP106">
            <v>426425.1231742407</v>
          </cell>
          <cell r="IQ106">
            <v>434886.67418847152</v>
          </cell>
          <cell r="IR106">
            <v>7321999.0116047692</v>
          </cell>
        </row>
        <row r="108">
          <cell r="B108" t="str">
            <v>Price implied WACC</v>
          </cell>
          <cell r="C108">
            <v>9.8268992674723318E-2</v>
          </cell>
        </row>
        <row r="109">
          <cell r="B109">
            <v>-75938.315769734923</v>
          </cell>
          <cell r="C109">
            <v>6490.2034178514095</v>
          </cell>
          <cell r="D109">
            <v>5069.7112612457149</v>
          </cell>
          <cell r="E109">
            <v>5931.2030604850179</v>
          </cell>
          <cell r="F109">
            <v>7036.1925934058136</v>
          </cell>
          <cell r="G109">
            <v>7154.8908098889842</v>
          </cell>
          <cell r="H109">
            <v>7181.150057509959</v>
          </cell>
          <cell r="I109">
            <v>7317.8347729402494</v>
          </cell>
          <cell r="J109">
            <v>7968.2270267509357</v>
          </cell>
          <cell r="K109">
            <v>8224.4247071992158</v>
          </cell>
          <cell r="L109">
            <v>8435.7665250117789</v>
          </cell>
          <cell r="M109">
            <v>5714.503974368492</v>
          </cell>
          <cell r="N109">
            <v>7596.6487678716203</v>
          </cell>
          <cell r="O109">
            <v>7868.9556486928959</v>
          </cell>
          <cell r="P109">
            <v>8135.3903354403319</v>
          </cell>
          <cell r="Q109">
            <v>8265.9763425887941</v>
          </cell>
          <cell r="R109">
            <v>6303.603003150587</v>
          </cell>
          <cell r="S109">
            <v>8261.860544441377</v>
          </cell>
          <cell r="T109">
            <v>8338.0829544403387</v>
          </cell>
          <cell r="U109">
            <v>8416.2379840695994</v>
          </cell>
          <cell r="V109">
            <v>8496.3616085392823</v>
          </cell>
          <cell r="W109">
            <v>8578.4903694244567</v>
          </cell>
          <cell r="X109">
            <v>8662.6613937329948</v>
          </cell>
          <cell r="Y109">
            <v>8748.9124133538589</v>
          </cell>
          <cell r="Z109">
            <v>8837.2817848673367</v>
          </cell>
          <cell r="AA109">
            <v>8927.8085097008479</v>
          </cell>
          <cell r="AB109">
            <v>9020.5322546144616</v>
          </cell>
          <cell r="AC109">
            <v>9115.4933725031951</v>
          </cell>
          <cell r="AD109">
            <v>9212.7329235028556</v>
          </cell>
          <cell r="AE109">
            <v>9312.2926963895552</v>
          </cell>
          <cell r="AF109">
            <v>9414.2152302628529</v>
          </cell>
          <cell r="AG109">
            <v>9518.5438365053851</v>
          </cell>
          <cell r="AH109">
            <v>9625.3226210123958</v>
          </cell>
          <cell r="AI109">
            <v>9734.5965066862627</v>
          </cell>
          <cell r="AJ109">
            <v>9846.4112561928232</v>
          </cell>
          <cell r="AK109">
            <v>9960.8134949769501</v>
          </cell>
          <cell r="AL109">
            <v>10077.850734536954</v>
          </cell>
          <cell r="AM109">
            <v>10197.571395958186</v>
          </cell>
          <cell r="AN109">
            <v>10320.024833707059</v>
          </cell>
          <cell r="AO109">
            <v>10445.261359688706</v>
          </cell>
          <cell r="AP109">
            <v>10573.332267571936</v>
          </cell>
          <cell r="AQ109">
            <v>10704.289857386022</v>
          </cell>
          <cell r="AR109">
            <v>10838.187460395662</v>
          </cell>
          <cell r="AS109">
            <v>10975.079464260081</v>
          </cell>
          <cell r="AT109">
            <v>11115.021338484679</v>
          </cell>
          <cell r="AU109">
            <v>11258.069660172609</v>
          </cell>
          <cell r="AV109">
            <v>11404.282140085877</v>
          </cell>
          <cell r="AW109">
            <v>11553.717649025368</v>
          </cell>
          <cell r="AX109">
            <v>11706.436244541277</v>
          </cell>
          <cell r="AY109">
            <v>11862.499197982119</v>
          </cell>
          <cell r="AZ109">
            <v>12021.969021897679</v>
          </cell>
          <cell r="BA109">
            <v>12184.909497804174</v>
          </cell>
          <cell r="BB109">
            <v>12351.385704327251</v>
          </cell>
          <cell r="BC109">
            <v>12521.464045732653</v>
          </cell>
          <cell r="BD109">
            <v>12695.212280861226</v>
          </cell>
          <cell r="BE109">
            <v>12872.699552478465</v>
          </cell>
          <cell r="BF109">
            <v>13053.996417055787</v>
          </cell>
          <cell r="BG109">
            <v>13239.174874995129</v>
          </cell>
          <cell r="BH109">
            <v>13428.308401314123</v>
          </cell>
          <cell r="BI109">
            <v>13621.471976804114</v>
          </cell>
          <cell r="BJ109">
            <v>13818.742119678856</v>
          </cell>
          <cell r="BK109">
            <v>14020.196917726862</v>
          </cell>
          <cell r="BL109">
            <v>14225.91606098535</v>
          </cell>
          <cell r="BM109">
            <v>14435.980874949615</v>
          </cell>
          <cell r="BN109">
            <v>14650.474354335969</v>
          </cell>
          <cell r="BO109">
            <v>14869.481197412155</v>
          </cell>
          <cell r="BP109">
            <v>15093.087840915359</v>
          </cell>
          <cell r="BQ109">
            <v>15321.382495569465</v>
          </cell>
          <cell r="BR109">
            <v>15554.455182224763</v>
          </cell>
          <cell r="BS109">
            <v>15792.397768630664</v>
          </cell>
          <cell r="BT109">
            <v>16035.304006864688</v>
          </cell>
          <cell r="BU109">
            <v>16283.269571430756</v>
          </cell>
          <cell r="BV109">
            <v>16536.392098047014</v>
          </cell>
          <cell r="BW109">
            <v>16794.771223141161</v>
          </cell>
          <cell r="BX109">
            <v>17058.508624068774</v>
          </cell>
          <cell r="BY109">
            <v>17327.708060077181</v>
          </cell>
          <cell r="BZ109">
            <v>17602.475414029504</v>
          </cell>
          <cell r="CA109">
            <v>17882.918734909967</v>
          </cell>
          <cell r="CB109">
            <v>18169.148281129354</v>
          </cell>
          <cell r="CC109">
            <v>18461.276564647807</v>
          </cell>
          <cell r="CD109">
            <v>18759.418395938155</v>
          </cell>
          <cell r="CE109">
            <v>19063.690929805489</v>
          </cell>
          <cell r="CF109">
            <v>19374.213712086039</v>
          </cell>
          <cell r="CG109">
            <v>19691.108727243591</v>
          </cell>
          <cell r="CH109">
            <v>20014.500446885773</v>
          </cell>
          <cell r="CI109">
            <v>20344.515879219529</v>
          </cell>
          <cell r="CJ109">
            <v>20681.284619467526</v>
          </cell>
          <cell r="CK109">
            <v>21024.938901266723</v>
          </cell>
          <cell r="CL109">
            <v>21375.613649072024</v>
          </cell>
          <cell r="CM109">
            <v>21733.446531584486</v>
          </cell>
          <cell r="CN109">
            <v>22098.57801622949</v>
          </cell>
          <cell r="CO109">
            <v>22471.151424705484</v>
          </cell>
          <cell r="CP109">
            <v>22851.312989627288</v>
          </cell>
          <cell r="CQ109">
            <v>23239.211912287443</v>
          </cell>
          <cell r="CR109">
            <v>23635.000421559056</v>
          </cell>
          <cell r="CS109">
            <v>24038.833833965258</v>
          </cell>
          <cell r="CT109">
            <v>24450.870614938489</v>
          </cell>
          <cell r="CU109">
            <v>24871.272441296005</v>
          </cell>
          <cell r="CV109">
            <v>25300.204264956996</v>
          </cell>
          <cell r="CW109">
            <v>25737.834377926381</v>
          </cell>
          <cell r="CX109">
            <v>26184.334478571443</v>
          </cell>
          <cell r="CY109">
            <v>26639.879739221229</v>
          </cell>
          <cell r="CZ109">
            <v>27104.648875110906</v>
          </cell>
          <cell r="DA109">
            <v>27578.824214703971</v>
          </cell>
          <cell r="DB109">
            <v>28062.591771416279</v>
          </cell>
          <cell r="DC109">
            <v>28556.141316774716</v>
          </cell>
          <cell r="DD109">
            <v>29059.666455036888</v>
          </cell>
          <cell r="DE109">
            <v>29573.364699302489</v>
          </cell>
          <cell r="DF109">
            <v>30097.437549148293</v>
          </cell>
          <cell r="DG109">
            <v>30632.090569814842</v>
          </cell>
          <cell r="DH109">
            <v>31177.53347297963</v>
          </cell>
          <cell r="DI109">
            <v>31733.980199146783</v>
          </cell>
          <cell r="DJ109">
            <v>32301.649001687605</v>
          </cell>
          <cell r="DK109">
            <v>32880.76253256201</v>
          </cell>
          <cell r="DL109">
            <v>33471.547929761102</v>
          </cell>
          <cell r="DM109">
            <v>34074.23690649838</v>
          </cell>
          <cell r="DN109">
            <v>34689.065842191572</v>
          </cell>
          <cell r="DO109">
            <v>35316.275875265259</v>
          </cell>
          <cell r="DP109">
            <v>35956.112997815544</v>
          </cell>
          <cell r="DQ109">
            <v>36608.828152172217</v>
          </cell>
          <cell r="DR109">
            <v>37274.677329396509</v>
          </cell>
          <cell r="DS109">
            <v>37953.921669753567</v>
          </cell>
          <cell r="DT109">
            <v>38646.827565199994</v>
          </cell>
          <cell r="DU109">
            <v>39353.666763926856</v>
          </cell>
          <cell r="DV109">
            <v>40074.716476996524</v>
          </cell>
          <cell r="DW109">
            <v>40810.259487121381</v>
          </cell>
          <cell r="DX109">
            <v>41560.584259620744</v>
          </cell>
          <cell r="DY109">
            <v>42325.985055604193</v>
          </cell>
          <cell r="DZ109">
            <v>43106.762047424163</v>
          </cell>
          <cell r="EA109">
            <v>43903.221436442771</v>
          </cell>
          <cell r="EB109">
            <v>44715.675573161418</v>
          </cell>
          <cell r="EC109">
            <v>45544.443079757453</v>
          </cell>
          <cell r="ED109">
            <v>46389.848975078443</v>
          </cell>
          <cell r="EE109">
            <v>47252.22480214246</v>
          </cell>
          <cell r="EF109">
            <v>48131.908758194579</v>
          </cell>
          <cell r="EG109">
            <v>49029.245827369021</v>
          </cell>
          <cell r="EH109">
            <v>49944.587916014447</v>
          </cell>
          <cell r="EI109">
            <v>50878.293990727369</v>
          </cell>
          <cell r="EJ109">
            <v>51830.730219155055</v>
          </cell>
          <cell r="EK109">
            <v>52802.270113620834</v>
          </cell>
          <cell r="EL109">
            <v>53793.294677626094</v>
          </cell>
          <cell r="EM109">
            <v>54804.192555289977</v>
          </cell>
          <cell r="EN109">
            <v>55835.360183784156</v>
          </cell>
          <cell r="EO109">
            <v>56887.20194882038</v>
          </cell>
          <cell r="EP109">
            <v>57960.130343255267</v>
          </cell>
          <cell r="EQ109">
            <v>59054.566128874168</v>
          </cell>
          <cell r="ER109">
            <v>60170.938501412951</v>
          </cell>
          <cell r="ES109">
            <v>61309.685258890677</v>
          </cell>
          <cell r="ET109">
            <v>62471.252973310184</v>
          </cell>
          <cell r="EU109">
            <v>63656.097165802959</v>
          </cell>
          <cell r="EV109">
            <v>64864.682485277968</v>
          </cell>
          <cell r="EW109">
            <v>66097.482890654122</v>
          </cell>
          <cell r="EX109">
            <v>67354.981836735999</v>
          </cell>
          <cell r="EY109">
            <v>68637.672463822062</v>
          </cell>
          <cell r="EZ109">
            <v>69946.057791100669</v>
          </cell>
          <cell r="FA109">
            <v>71280.650913926191</v>
          </cell>
          <cell r="FB109">
            <v>72641.975205043709</v>
          </cell>
          <cell r="FC109">
            <v>74030.564519842243</v>
          </cell>
          <cell r="FD109">
            <v>75446.963405720104</v>
          </cell>
          <cell r="FE109">
            <v>76891.727315641736</v>
          </cell>
          <cell r="FF109">
            <v>78365.422825971677</v>
          </cell>
          <cell r="FG109">
            <v>79868.627858667634</v>
          </cell>
          <cell r="FH109">
            <v>81401.931907926308</v>
          </cell>
          <cell r="FI109">
            <v>82965.936271362938</v>
          </cell>
          <cell r="FJ109">
            <v>84561.254285821604</v>
          </cell>
          <cell r="FK109">
            <v>86188.511567905865</v>
          </cell>
          <cell r="FL109">
            <v>87848.346259325015</v>
          </cell>
          <cell r="FM109">
            <v>89541.409277150611</v>
          </cell>
          <cell r="FN109">
            <v>91268.364569083351</v>
          </cell>
          <cell r="FO109">
            <v>93029.889373831218</v>
          </cell>
          <cell r="FP109">
            <v>94826.674486694421</v>
          </cell>
          <cell r="FQ109">
            <v>96659.424530475459</v>
          </cell>
          <cell r="FR109">
            <v>98528.858231800521</v>
          </cell>
          <cell r="FS109">
            <v>100435.70870298022</v>
          </cell>
          <cell r="FT109">
            <v>102380.72372950698</v>
          </cell>
          <cell r="FU109">
            <v>104364.66606330939</v>
          </cell>
          <cell r="FV109">
            <v>106388.31372187089</v>
          </cell>
          <cell r="FW109">
            <v>108452.46029334175</v>
          </cell>
          <cell r="FX109">
            <v>110557.91524774831</v>
          </cell>
          <cell r="FY109">
            <v>112705.5042544406</v>
          </cell>
          <cell r="FZ109">
            <v>114896.06950588158</v>
          </cell>
          <cell r="GA109">
            <v>117130.47004792449</v>
          </cell>
          <cell r="GB109">
            <v>119409.58211669401</v>
          </cell>
          <cell r="GC109">
            <v>121734.29948221127</v>
          </cell>
          <cell r="GD109">
            <v>124105.53379889511</v>
          </cell>
          <cell r="GE109">
            <v>126524.21496307326</v>
          </cell>
          <cell r="GF109">
            <v>128991.2914776502</v>
          </cell>
          <cell r="GG109">
            <v>131507.73082407218</v>
          </cell>
          <cell r="GH109">
            <v>134074.51984173144</v>
          </cell>
          <cell r="GI109">
            <v>136692.66511496424</v>
          </cell>
          <cell r="GJ109">
            <v>139363.19336779267</v>
          </cell>
          <cell r="GK109">
            <v>142087.15186655932</v>
          </cell>
          <cell r="GL109">
            <v>144865.60883062612</v>
          </cell>
          <cell r="GM109">
            <v>147699.65385127996</v>
          </cell>
          <cell r="GN109">
            <v>150590.39831902954</v>
          </cell>
          <cell r="GO109">
            <v>153538.9758594399</v>
          </cell>
          <cell r="GP109">
            <v>156546.54277770227</v>
          </cell>
          <cell r="GQ109">
            <v>159614.27851207287</v>
          </cell>
          <cell r="GR109">
            <v>162743.38609641523</v>
          </cell>
          <cell r="GS109">
            <v>165935.09263196716</v>
          </cell>
          <cell r="GT109">
            <v>169190.64976856284</v>
          </cell>
          <cell r="GU109">
            <v>172511.33419547573</v>
          </cell>
          <cell r="GV109">
            <v>175898.44814208156</v>
          </cell>
          <cell r="GW109">
            <v>179353.31988853583</v>
          </cell>
          <cell r="GX109">
            <v>182877.30428667404</v>
          </cell>
          <cell r="GY109">
            <v>186471.78329131682</v>
          </cell>
          <cell r="GZ109">
            <v>190138.16650222446</v>
          </cell>
          <cell r="HA109">
            <v>193877.89171687429</v>
          </cell>
          <cell r="HB109">
            <v>197692.42549430463</v>
          </cell>
          <cell r="HC109">
            <v>201583.26373024203</v>
          </cell>
          <cell r="HD109">
            <v>205551.93224371731</v>
          </cell>
          <cell r="HE109">
            <v>209599.9873754349</v>
          </cell>
          <cell r="HF109">
            <v>213729.01659810037</v>
          </cell>
          <cell r="HG109">
            <v>217940.63913895737</v>
          </cell>
          <cell r="HH109">
            <v>222236.50661478116</v>
          </cell>
          <cell r="HI109">
            <v>226618.30367957003</v>
          </cell>
          <cell r="HJ109">
            <v>231087.74868519889</v>
          </cell>
          <cell r="HK109">
            <v>235646.59435527277</v>
          </cell>
          <cell r="HL109">
            <v>240296.62847248459</v>
          </cell>
          <cell r="HM109">
            <v>245039.67457969044</v>
          </cell>
          <cell r="HN109">
            <v>249877.59269503952</v>
          </cell>
          <cell r="HO109">
            <v>254812.28004137898</v>
          </cell>
          <cell r="HP109">
            <v>259845.67179027991</v>
          </cell>
          <cell r="HQ109">
            <v>264979.74182090949</v>
          </cell>
          <cell r="HR109">
            <v>270216.50349411822</v>
          </cell>
          <cell r="HS109">
            <v>275558.01044197928</v>
          </cell>
          <cell r="HT109">
            <v>281006.35737314785</v>
          </cell>
          <cell r="HU109">
            <v>286563.68089430471</v>
          </cell>
          <cell r="HV109">
            <v>292232.16034805076</v>
          </cell>
          <cell r="HW109">
            <v>298014.01866753795</v>
          </cell>
          <cell r="HX109">
            <v>303911.52324822621</v>
          </cell>
          <cell r="HY109">
            <v>309926.98683703941</v>
          </cell>
          <cell r="HZ109">
            <v>316062.76843934122</v>
          </cell>
          <cell r="IA109">
            <v>322321.27424402483</v>
          </cell>
          <cell r="IB109">
            <v>328704.95856711839</v>
          </cell>
          <cell r="IC109">
            <v>335216.32481426722</v>
          </cell>
          <cell r="ID109">
            <v>341857.92646245583</v>
          </cell>
          <cell r="IE109">
            <v>348632.36806137243</v>
          </cell>
          <cell r="IF109">
            <v>355542.30625480495</v>
          </cell>
          <cell r="IG109">
            <v>362590.45082245831</v>
          </cell>
          <cell r="IH109">
            <v>369779.5657426109</v>
          </cell>
          <cell r="II109">
            <v>377112.47027603997</v>
          </cell>
          <cell r="IJ109">
            <v>384592.04007159331</v>
          </cell>
          <cell r="IK109">
            <v>392221.20829391887</v>
          </cell>
          <cell r="IL109">
            <v>400002.96677370323</v>
          </cell>
          <cell r="IM109">
            <v>407940.36718095595</v>
          </cell>
          <cell r="IN109">
            <v>416036.52222172963</v>
          </cell>
          <cell r="IO109">
            <v>424294.60685880366</v>
          </cell>
          <cell r="IP109">
            <v>432717.8595567483</v>
          </cell>
          <cell r="IQ109">
            <v>441309.58355193306</v>
          </cell>
          <cell r="IR109">
            <v>8014628.1607273081</v>
          </cell>
        </row>
        <row r="112">
          <cell r="B112" t="str">
            <v>Cost of Equity</v>
          </cell>
          <cell r="C112">
            <v>8.5000000000000006E-2</v>
          </cell>
        </row>
        <row r="113">
          <cell r="B113" t="str">
            <v>Price-Implied Cost of Equity</v>
          </cell>
          <cell r="C113">
            <v>0.10166905386423197</v>
          </cell>
        </row>
        <row r="114">
          <cell r="B114" t="str">
            <v>WACC</v>
          </cell>
          <cell r="C114">
            <v>8.0861237725903673E-2</v>
          </cell>
        </row>
        <row r="115">
          <cell r="B115" t="str">
            <v>Price-Implied WACC</v>
          </cell>
          <cell r="C115">
            <v>9.8268992674723318E-2</v>
          </cell>
        </row>
        <row r="127">
          <cell r="B127" t="str">
            <v>WACC</v>
          </cell>
          <cell r="C127">
            <v>8.5000000000000006E-2</v>
          </cell>
          <cell r="D127">
            <v>8.5000000000000006E-2</v>
          </cell>
          <cell r="E127">
            <v>8.5000000000000006E-2</v>
          </cell>
          <cell r="F127">
            <v>8.5000000000000006E-2</v>
          </cell>
          <cell r="G127">
            <v>8.5000000000000006E-2</v>
          </cell>
          <cell r="H127">
            <v>8.5000000000000006E-2</v>
          </cell>
          <cell r="I127">
            <v>8.5000000000000006E-2</v>
          </cell>
          <cell r="J127">
            <v>8.5000000000000006E-2</v>
          </cell>
          <cell r="K127">
            <v>8.5000000000000006E-2</v>
          </cell>
          <cell r="L127">
            <v>8.5000000000000006E-2</v>
          </cell>
          <cell r="M127">
            <v>8.5000000000000006E-2</v>
          </cell>
          <cell r="N127">
            <v>8.5000000000000006E-2</v>
          </cell>
          <cell r="O127">
            <v>8.5000000000000006E-2</v>
          </cell>
          <cell r="P127">
            <v>8.5000000000000006E-2</v>
          </cell>
          <cell r="Q127">
            <v>8.5000000000000006E-2</v>
          </cell>
          <cell r="R127">
            <v>8.5000000000000006E-2</v>
          </cell>
          <cell r="S127">
            <v>8.5000000000000006E-2</v>
          </cell>
          <cell r="T127">
            <v>8.5000000000000006E-2</v>
          </cell>
          <cell r="U127">
            <v>8.5000000000000006E-2</v>
          </cell>
          <cell r="V127">
            <v>8.5000000000000006E-2</v>
          </cell>
          <cell r="W127">
            <v>8.5000000000000006E-2</v>
          </cell>
          <cell r="X127">
            <v>8.5000000000000006E-2</v>
          </cell>
          <cell r="Y127">
            <v>8.5000000000000006E-2</v>
          </cell>
          <cell r="Z127">
            <v>8.5000000000000006E-2</v>
          </cell>
          <cell r="AA127">
            <v>8.5000000000000006E-2</v>
          </cell>
          <cell r="AB127">
            <v>8.5000000000000006E-2</v>
          </cell>
          <cell r="AC127">
            <v>8.5000000000000006E-2</v>
          </cell>
          <cell r="AD127">
            <v>8.5000000000000006E-2</v>
          </cell>
          <cell r="AE127">
            <v>8.5000000000000006E-2</v>
          </cell>
          <cell r="AF127">
            <v>8.5000000000000006E-2</v>
          </cell>
          <cell r="AG127">
            <v>8.5000000000000006E-2</v>
          </cell>
          <cell r="AH127">
            <v>8.5000000000000006E-2</v>
          </cell>
          <cell r="AI127">
            <v>8.5000000000000006E-2</v>
          </cell>
          <cell r="AJ127">
            <v>8.5000000000000006E-2</v>
          </cell>
          <cell r="AK127">
            <v>8.5000000000000006E-2</v>
          </cell>
          <cell r="AL127">
            <v>8.5000000000000006E-2</v>
          </cell>
          <cell r="AM127">
            <v>8.5000000000000006E-2</v>
          </cell>
          <cell r="AN127">
            <v>8.5000000000000006E-2</v>
          </cell>
          <cell r="AO127">
            <v>8.5000000000000006E-2</v>
          </cell>
          <cell r="AP127">
            <v>8.5000000000000006E-2</v>
          </cell>
          <cell r="AQ127">
            <v>8.5000000000000006E-2</v>
          </cell>
          <cell r="AR127">
            <v>8.5000000000000006E-2</v>
          </cell>
          <cell r="AS127">
            <v>8.5000000000000006E-2</v>
          </cell>
          <cell r="AT127">
            <v>8.5000000000000006E-2</v>
          </cell>
          <cell r="AU127">
            <v>8.5000000000000006E-2</v>
          </cell>
          <cell r="AV127">
            <v>8.5000000000000006E-2</v>
          </cell>
          <cell r="AW127">
            <v>8.5000000000000006E-2</v>
          </cell>
          <cell r="AX127">
            <v>8.5000000000000006E-2</v>
          </cell>
          <cell r="AY127">
            <v>8.5000000000000006E-2</v>
          </cell>
          <cell r="AZ127">
            <v>8.5000000000000006E-2</v>
          </cell>
          <cell r="BA127">
            <v>8.5000000000000006E-2</v>
          </cell>
          <cell r="BB127">
            <v>8.5000000000000006E-2</v>
          </cell>
          <cell r="BC127">
            <v>8.5000000000000006E-2</v>
          </cell>
          <cell r="BD127">
            <v>8.5000000000000006E-2</v>
          </cell>
          <cell r="BE127">
            <v>8.5000000000000006E-2</v>
          </cell>
          <cell r="BF127">
            <v>8.5000000000000006E-2</v>
          </cell>
          <cell r="BG127">
            <v>8.5000000000000006E-2</v>
          </cell>
          <cell r="BH127">
            <v>8.5000000000000006E-2</v>
          </cell>
          <cell r="BI127">
            <v>8.5000000000000006E-2</v>
          </cell>
          <cell r="BJ127">
            <v>8.5000000000000006E-2</v>
          </cell>
          <cell r="BK127">
            <v>8.5000000000000006E-2</v>
          </cell>
          <cell r="BL127">
            <v>8.5000000000000006E-2</v>
          </cell>
          <cell r="BM127">
            <v>8.5000000000000006E-2</v>
          </cell>
          <cell r="BN127">
            <v>8.5000000000000006E-2</v>
          </cell>
          <cell r="BO127">
            <v>8.5000000000000006E-2</v>
          </cell>
          <cell r="BP127">
            <v>8.5000000000000006E-2</v>
          </cell>
          <cell r="BQ127">
            <v>8.5000000000000006E-2</v>
          </cell>
          <cell r="BR127">
            <v>8.5000000000000006E-2</v>
          </cell>
          <cell r="BS127">
            <v>8.5000000000000006E-2</v>
          </cell>
          <cell r="BT127">
            <v>8.5000000000000006E-2</v>
          </cell>
          <cell r="BU127">
            <v>8.5000000000000006E-2</v>
          </cell>
          <cell r="BV127">
            <v>8.5000000000000006E-2</v>
          </cell>
          <cell r="BW127">
            <v>8.5000000000000006E-2</v>
          </cell>
          <cell r="BX127">
            <v>8.5000000000000006E-2</v>
          </cell>
          <cell r="BY127">
            <v>8.5000000000000006E-2</v>
          </cell>
          <cell r="BZ127">
            <v>8.5000000000000006E-2</v>
          </cell>
          <cell r="CA127">
            <v>8.5000000000000006E-2</v>
          </cell>
          <cell r="CB127">
            <v>8.5000000000000006E-2</v>
          </cell>
          <cell r="CC127">
            <v>8.5000000000000006E-2</v>
          </cell>
          <cell r="CD127">
            <v>8.5000000000000006E-2</v>
          </cell>
          <cell r="CE127">
            <v>8.5000000000000006E-2</v>
          </cell>
          <cell r="CF127">
            <v>8.5000000000000006E-2</v>
          </cell>
          <cell r="CG127">
            <v>8.5000000000000006E-2</v>
          </cell>
          <cell r="CH127">
            <v>8.5000000000000006E-2</v>
          </cell>
          <cell r="CI127">
            <v>8.5000000000000006E-2</v>
          </cell>
          <cell r="CJ127">
            <v>8.5000000000000006E-2</v>
          </cell>
          <cell r="CK127">
            <v>8.5000000000000006E-2</v>
          </cell>
          <cell r="CL127">
            <v>8.5000000000000006E-2</v>
          </cell>
          <cell r="CM127">
            <v>8.5000000000000006E-2</v>
          </cell>
          <cell r="CN127">
            <v>8.5000000000000006E-2</v>
          </cell>
          <cell r="CO127">
            <v>8.5000000000000006E-2</v>
          </cell>
          <cell r="CP127">
            <v>8.5000000000000006E-2</v>
          </cell>
          <cell r="CQ127">
            <v>8.5000000000000006E-2</v>
          </cell>
          <cell r="CR127">
            <v>8.5000000000000006E-2</v>
          </cell>
          <cell r="CS127">
            <v>8.5000000000000006E-2</v>
          </cell>
          <cell r="CT127">
            <v>8.5000000000000006E-2</v>
          </cell>
          <cell r="CU127">
            <v>8.5000000000000006E-2</v>
          </cell>
          <cell r="CV127">
            <v>8.5000000000000006E-2</v>
          </cell>
          <cell r="CW127">
            <v>8.5000000000000006E-2</v>
          </cell>
          <cell r="CX127">
            <v>8.5000000000000006E-2</v>
          </cell>
          <cell r="CY127">
            <v>8.5000000000000006E-2</v>
          </cell>
          <cell r="CZ127">
            <v>8.5000000000000006E-2</v>
          </cell>
          <cell r="DA127">
            <v>8.5000000000000006E-2</v>
          </cell>
          <cell r="DB127">
            <v>8.5000000000000006E-2</v>
          </cell>
          <cell r="DC127">
            <v>8.5000000000000006E-2</v>
          </cell>
          <cell r="DD127">
            <v>8.5000000000000006E-2</v>
          </cell>
          <cell r="DE127">
            <v>8.5000000000000006E-2</v>
          </cell>
          <cell r="DF127">
            <v>8.5000000000000006E-2</v>
          </cell>
          <cell r="DG127">
            <v>8.5000000000000006E-2</v>
          </cell>
          <cell r="DH127">
            <v>8.5000000000000006E-2</v>
          </cell>
          <cell r="DI127">
            <v>8.5000000000000006E-2</v>
          </cell>
          <cell r="DJ127">
            <v>8.5000000000000006E-2</v>
          </cell>
          <cell r="DK127">
            <v>8.5000000000000006E-2</v>
          </cell>
          <cell r="DL127">
            <v>8.5000000000000006E-2</v>
          </cell>
          <cell r="DM127">
            <v>8.5000000000000006E-2</v>
          </cell>
          <cell r="DN127">
            <v>8.5000000000000006E-2</v>
          </cell>
          <cell r="DO127">
            <v>8.5000000000000006E-2</v>
          </cell>
          <cell r="DP127">
            <v>8.5000000000000006E-2</v>
          </cell>
          <cell r="DQ127">
            <v>8.5000000000000006E-2</v>
          </cell>
          <cell r="DR127">
            <v>8.5000000000000006E-2</v>
          </cell>
          <cell r="DS127">
            <v>8.5000000000000006E-2</v>
          </cell>
          <cell r="DT127">
            <v>8.5000000000000006E-2</v>
          </cell>
          <cell r="DU127">
            <v>8.5000000000000006E-2</v>
          </cell>
          <cell r="DV127">
            <v>8.5000000000000006E-2</v>
          </cell>
          <cell r="DW127">
            <v>8.5000000000000006E-2</v>
          </cell>
          <cell r="DX127">
            <v>8.5000000000000006E-2</v>
          </cell>
          <cell r="DY127">
            <v>8.5000000000000006E-2</v>
          </cell>
          <cell r="DZ127">
            <v>8.5000000000000006E-2</v>
          </cell>
          <cell r="EA127">
            <v>8.5000000000000006E-2</v>
          </cell>
          <cell r="EB127">
            <v>8.5000000000000006E-2</v>
          </cell>
          <cell r="EC127">
            <v>8.5000000000000006E-2</v>
          </cell>
          <cell r="ED127">
            <v>8.5000000000000006E-2</v>
          </cell>
          <cell r="EE127">
            <v>8.5000000000000006E-2</v>
          </cell>
          <cell r="EF127">
            <v>8.5000000000000006E-2</v>
          </cell>
          <cell r="EG127">
            <v>8.5000000000000006E-2</v>
          </cell>
          <cell r="EH127">
            <v>8.5000000000000006E-2</v>
          </cell>
          <cell r="EI127">
            <v>8.5000000000000006E-2</v>
          </cell>
          <cell r="EJ127">
            <v>8.5000000000000006E-2</v>
          </cell>
          <cell r="EK127">
            <v>8.5000000000000006E-2</v>
          </cell>
          <cell r="EL127">
            <v>8.5000000000000006E-2</v>
          </cell>
          <cell r="EM127">
            <v>8.5000000000000006E-2</v>
          </cell>
          <cell r="EN127">
            <v>8.5000000000000006E-2</v>
          </cell>
          <cell r="EO127">
            <v>8.5000000000000006E-2</v>
          </cell>
          <cell r="EP127">
            <v>8.5000000000000006E-2</v>
          </cell>
          <cell r="EQ127">
            <v>8.5000000000000006E-2</v>
          </cell>
          <cell r="ER127">
            <v>8.5000000000000006E-2</v>
          </cell>
          <cell r="ES127">
            <v>8.5000000000000006E-2</v>
          </cell>
          <cell r="ET127">
            <v>8.5000000000000006E-2</v>
          </cell>
          <cell r="EU127">
            <v>8.5000000000000006E-2</v>
          </cell>
          <cell r="EV127">
            <v>8.5000000000000006E-2</v>
          </cell>
          <cell r="EW127">
            <v>8.5000000000000006E-2</v>
          </cell>
          <cell r="EX127">
            <v>8.5000000000000006E-2</v>
          </cell>
          <cell r="EY127">
            <v>8.5000000000000006E-2</v>
          </cell>
          <cell r="EZ127">
            <v>8.5000000000000006E-2</v>
          </cell>
          <cell r="FA127">
            <v>8.5000000000000006E-2</v>
          </cell>
          <cell r="FB127">
            <v>8.5000000000000006E-2</v>
          </cell>
          <cell r="FC127">
            <v>8.5000000000000006E-2</v>
          </cell>
          <cell r="FD127">
            <v>8.5000000000000006E-2</v>
          </cell>
          <cell r="FE127">
            <v>8.5000000000000006E-2</v>
          </cell>
          <cell r="FF127">
            <v>8.5000000000000006E-2</v>
          </cell>
          <cell r="FG127">
            <v>8.5000000000000006E-2</v>
          </cell>
          <cell r="FH127">
            <v>8.5000000000000006E-2</v>
          </cell>
          <cell r="FI127">
            <v>8.5000000000000006E-2</v>
          </cell>
          <cell r="FJ127">
            <v>8.5000000000000006E-2</v>
          </cell>
          <cell r="FK127">
            <v>8.5000000000000006E-2</v>
          </cell>
          <cell r="FL127">
            <v>8.5000000000000006E-2</v>
          </cell>
          <cell r="FM127">
            <v>8.5000000000000006E-2</v>
          </cell>
          <cell r="FN127">
            <v>8.5000000000000006E-2</v>
          </cell>
          <cell r="FO127">
            <v>8.5000000000000006E-2</v>
          </cell>
          <cell r="FP127">
            <v>8.5000000000000006E-2</v>
          </cell>
          <cell r="FQ127">
            <v>8.5000000000000006E-2</v>
          </cell>
          <cell r="FR127">
            <v>8.5000000000000006E-2</v>
          </cell>
          <cell r="FS127">
            <v>8.5000000000000006E-2</v>
          </cell>
          <cell r="FT127">
            <v>8.5000000000000006E-2</v>
          </cell>
          <cell r="FU127">
            <v>8.5000000000000006E-2</v>
          </cell>
          <cell r="FV127">
            <v>8.5000000000000006E-2</v>
          </cell>
          <cell r="FW127">
            <v>8.5000000000000006E-2</v>
          </cell>
          <cell r="FX127">
            <v>8.5000000000000006E-2</v>
          </cell>
          <cell r="FY127">
            <v>8.5000000000000006E-2</v>
          </cell>
          <cell r="FZ127">
            <v>8.5000000000000006E-2</v>
          </cell>
          <cell r="GA127">
            <v>8.5000000000000006E-2</v>
          </cell>
          <cell r="GB127">
            <v>8.5000000000000006E-2</v>
          </cell>
          <cell r="GC127">
            <v>8.5000000000000006E-2</v>
          </cell>
          <cell r="GD127">
            <v>8.5000000000000006E-2</v>
          </cell>
          <cell r="GE127">
            <v>8.5000000000000006E-2</v>
          </cell>
          <cell r="GF127">
            <v>8.5000000000000006E-2</v>
          </cell>
          <cell r="GG127">
            <v>8.5000000000000006E-2</v>
          </cell>
          <cell r="GH127">
            <v>8.5000000000000006E-2</v>
          </cell>
          <cell r="GI127">
            <v>8.5000000000000006E-2</v>
          </cell>
          <cell r="GJ127">
            <v>8.5000000000000006E-2</v>
          </cell>
          <cell r="GK127">
            <v>8.5000000000000006E-2</v>
          </cell>
          <cell r="GL127">
            <v>8.5000000000000006E-2</v>
          </cell>
          <cell r="GM127">
            <v>8.5000000000000006E-2</v>
          </cell>
          <cell r="GN127">
            <v>8.5000000000000006E-2</v>
          </cell>
          <cell r="GO127">
            <v>8.5000000000000006E-2</v>
          </cell>
          <cell r="GP127">
            <v>8.5000000000000006E-2</v>
          </cell>
          <cell r="GQ127">
            <v>8.5000000000000006E-2</v>
          </cell>
          <cell r="GR127">
            <v>8.5000000000000006E-2</v>
          </cell>
          <cell r="GS127">
            <v>8.5000000000000006E-2</v>
          </cell>
          <cell r="GT127">
            <v>8.5000000000000006E-2</v>
          </cell>
          <cell r="GU127">
            <v>8.5000000000000006E-2</v>
          </cell>
          <cell r="GV127">
            <v>8.5000000000000006E-2</v>
          </cell>
          <cell r="GW127">
            <v>8.5000000000000006E-2</v>
          </cell>
          <cell r="GX127">
            <v>8.5000000000000006E-2</v>
          </cell>
          <cell r="GY127">
            <v>8.5000000000000006E-2</v>
          </cell>
          <cell r="GZ127">
            <v>8.5000000000000006E-2</v>
          </cell>
          <cell r="HA127">
            <v>8.5000000000000006E-2</v>
          </cell>
          <cell r="HB127">
            <v>8.5000000000000006E-2</v>
          </cell>
          <cell r="HC127">
            <v>8.5000000000000006E-2</v>
          </cell>
          <cell r="HD127">
            <v>8.5000000000000006E-2</v>
          </cell>
          <cell r="HE127">
            <v>8.5000000000000006E-2</v>
          </cell>
          <cell r="HF127">
            <v>8.5000000000000006E-2</v>
          </cell>
          <cell r="HG127">
            <v>8.5000000000000006E-2</v>
          </cell>
          <cell r="HH127">
            <v>8.5000000000000006E-2</v>
          </cell>
          <cell r="HI127">
            <v>8.5000000000000006E-2</v>
          </cell>
          <cell r="HJ127">
            <v>8.5000000000000006E-2</v>
          </cell>
          <cell r="HK127">
            <v>8.5000000000000006E-2</v>
          </cell>
          <cell r="HL127">
            <v>8.5000000000000006E-2</v>
          </cell>
          <cell r="HM127">
            <v>8.5000000000000006E-2</v>
          </cell>
          <cell r="HN127">
            <v>8.5000000000000006E-2</v>
          </cell>
          <cell r="HO127">
            <v>8.5000000000000006E-2</v>
          </cell>
          <cell r="HP127">
            <v>8.5000000000000006E-2</v>
          </cell>
          <cell r="HQ127">
            <v>8.5000000000000006E-2</v>
          </cell>
          <cell r="HR127">
            <v>8.5000000000000006E-2</v>
          </cell>
          <cell r="HS127">
            <v>8.5000000000000006E-2</v>
          </cell>
          <cell r="HT127">
            <v>8.5000000000000006E-2</v>
          </cell>
          <cell r="HU127">
            <v>8.5000000000000006E-2</v>
          </cell>
          <cell r="HV127">
            <v>8.5000000000000006E-2</v>
          </cell>
          <cell r="HW127">
            <v>8.5000000000000006E-2</v>
          </cell>
          <cell r="HX127">
            <v>8.5000000000000006E-2</v>
          </cell>
          <cell r="HY127">
            <v>8.5000000000000006E-2</v>
          </cell>
          <cell r="HZ127">
            <v>8.5000000000000006E-2</v>
          </cell>
          <cell r="IA127">
            <v>8.5000000000000006E-2</v>
          </cell>
          <cell r="IB127">
            <v>8.5000000000000006E-2</v>
          </cell>
          <cell r="IC127">
            <v>8.5000000000000006E-2</v>
          </cell>
          <cell r="ID127">
            <v>8.5000000000000006E-2</v>
          </cell>
          <cell r="IE127">
            <v>8.5000000000000006E-2</v>
          </cell>
          <cell r="IF127">
            <v>8.5000000000000006E-2</v>
          </cell>
          <cell r="IG127">
            <v>8.5000000000000006E-2</v>
          </cell>
          <cell r="IH127">
            <v>8.5000000000000006E-2</v>
          </cell>
          <cell r="II127">
            <v>8.5000000000000006E-2</v>
          </cell>
          <cell r="IJ127">
            <v>8.5000000000000006E-2</v>
          </cell>
          <cell r="IK127">
            <v>8.5000000000000006E-2</v>
          </cell>
          <cell r="IL127">
            <v>8.5000000000000006E-2</v>
          </cell>
          <cell r="IM127">
            <v>8.5000000000000006E-2</v>
          </cell>
          <cell r="IN127">
            <v>8.5000000000000006E-2</v>
          </cell>
          <cell r="IO127">
            <v>8.5000000000000006E-2</v>
          </cell>
          <cell r="IP127">
            <v>8.5000000000000006E-2</v>
          </cell>
          <cell r="IQ127">
            <v>8.5000000000000006E-2</v>
          </cell>
          <cell r="IR127">
            <v>8.5000000000000006E-2</v>
          </cell>
        </row>
        <row r="128">
          <cell r="B128" t="str">
            <v>COE</v>
          </cell>
          <cell r="C128">
            <v>8.5000000000000006E-2</v>
          </cell>
          <cell r="D128">
            <v>8.5000000000000006E-2</v>
          </cell>
          <cell r="E128">
            <v>8.5000000000000006E-2</v>
          </cell>
          <cell r="F128">
            <v>8.5000000000000006E-2</v>
          </cell>
          <cell r="G128">
            <v>8.5000000000000006E-2</v>
          </cell>
          <cell r="H128">
            <v>8.5000000000000006E-2</v>
          </cell>
          <cell r="I128">
            <v>8.5000000000000006E-2</v>
          </cell>
          <cell r="J128">
            <v>8.5000000000000006E-2</v>
          </cell>
          <cell r="K128">
            <v>8.5000000000000006E-2</v>
          </cell>
          <cell r="L128">
            <v>8.5000000000000006E-2</v>
          </cell>
          <cell r="M128">
            <v>8.5000000000000006E-2</v>
          </cell>
          <cell r="N128">
            <v>8.5000000000000006E-2</v>
          </cell>
          <cell r="O128">
            <v>8.5000000000000006E-2</v>
          </cell>
          <cell r="P128">
            <v>8.5000000000000006E-2</v>
          </cell>
          <cell r="Q128">
            <v>8.5000000000000006E-2</v>
          </cell>
          <cell r="R128">
            <v>8.5000000000000006E-2</v>
          </cell>
          <cell r="S128">
            <v>8.5000000000000006E-2</v>
          </cell>
          <cell r="T128">
            <v>8.5000000000000006E-2</v>
          </cell>
          <cell r="U128">
            <v>8.5000000000000006E-2</v>
          </cell>
          <cell r="V128">
            <v>8.5000000000000006E-2</v>
          </cell>
          <cell r="W128">
            <v>8.5000000000000006E-2</v>
          </cell>
          <cell r="X128">
            <v>8.5000000000000006E-2</v>
          </cell>
          <cell r="Y128">
            <v>8.5000000000000006E-2</v>
          </cell>
          <cell r="Z128">
            <v>8.5000000000000006E-2</v>
          </cell>
          <cell r="AA128">
            <v>8.5000000000000006E-2</v>
          </cell>
          <cell r="AB128">
            <v>8.5000000000000006E-2</v>
          </cell>
          <cell r="AC128">
            <v>8.5000000000000006E-2</v>
          </cell>
          <cell r="AD128">
            <v>8.5000000000000006E-2</v>
          </cell>
          <cell r="AE128">
            <v>8.5000000000000006E-2</v>
          </cell>
          <cell r="AF128">
            <v>8.5000000000000006E-2</v>
          </cell>
          <cell r="AG128">
            <v>8.5000000000000006E-2</v>
          </cell>
          <cell r="AH128">
            <v>8.5000000000000006E-2</v>
          </cell>
          <cell r="AI128">
            <v>8.5000000000000006E-2</v>
          </cell>
          <cell r="AJ128">
            <v>8.5000000000000006E-2</v>
          </cell>
          <cell r="AK128">
            <v>8.5000000000000006E-2</v>
          </cell>
          <cell r="AL128">
            <v>8.5000000000000006E-2</v>
          </cell>
          <cell r="AM128">
            <v>8.5000000000000006E-2</v>
          </cell>
          <cell r="AN128">
            <v>8.5000000000000006E-2</v>
          </cell>
          <cell r="AO128">
            <v>8.5000000000000006E-2</v>
          </cell>
          <cell r="AP128">
            <v>8.5000000000000006E-2</v>
          </cell>
          <cell r="AQ128">
            <v>8.5000000000000006E-2</v>
          </cell>
          <cell r="AR128">
            <v>8.5000000000000006E-2</v>
          </cell>
          <cell r="AS128">
            <v>8.5000000000000006E-2</v>
          </cell>
          <cell r="AT128">
            <v>8.5000000000000006E-2</v>
          </cell>
          <cell r="AU128">
            <v>8.5000000000000006E-2</v>
          </cell>
          <cell r="AV128">
            <v>8.5000000000000006E-2</v>
          </cell>
          <cell r="AW128">
            <v>8.5000000000000006E-2</v>
          </cell>
          <cell r="AX128">
            <v>8.5000000000000006E-2</v>
          </cell>
          <cell r="AY128">
            <v>8.5000000000000006E-2</v>
          </cell>
          <cell r="AZ128">
            <v>8.5000000000000006E-2</v>
          </cell>
          <cell r="BA128">
            <v>8.5000000000000006E-2</v>
          </cell>
          <cell r="BB128">
            <v>8.5000000000000006E-2</v>
          </cell>
          <cell r="BC128">
            <v>8.5000000000000006E-2</v>
          </cell>
          <cell r="BD128">
            <v>8.5000000000000006E-2</v>
          </cell>
          <cell r="BE128">
            <v>8.5000000000000006E-2</v>
          </cell>
          <cell r="BF128">
            <v>8.5000000000000006E-2</v>
          </cell>
          <cell r="BG128">
            <v>8.5000000000000006E-2</v>
          </cell>
          <cell r="BH128">
            <v>8.5000000000000006E-2</v>
          </cell>
          <cell r="BI128">
            <v>8.5000000000000006E-2</v>
          </cell>
          <cell r="BJ128">
            <v>8.5000000000000006E-2</v>
          </cell>
          <cell r="BK128">
            <v>8.5000000000000006E-2</v>
          </cell>
          <cell r="BL128">
            <v>8.5000000000000006E-2</v>
          </cell>
          <cell r="BM128">
            <v>8.5000000000000006E-2</v>
          </cell>
          <cell r="BN128">
            <v>8.5000000000000006E-2</v>
          </cell>
          <cell r="BO128">
            <v>8.5000000000000006E-2</v>
          </cell>
          <cell r="BP128">
            <v>8.5000000000000006E-2</v>
          </cell>
          <cell r="BQ128">
            <v>8.5000000000000006E-2</v>
          </cell>
          <cell r="BR128">
            <v>8.5000000000000006E-2</v>
          </cell>
          <cell r="BS128">
            <v>8.5000000000000006E-2</v>
          </cell>
          <cell r="BT128">
            <v>8.5000000000000006E-2</v>
          </cell>
          <cell r="BU128">
            <v>8.5000000000000006E-2</v>
          </cell>
          <cell r="BV128">
            <v>8.5000000000000006E-2</v>
          </cell>
          <cell r="BW128">
            <v>8.5000000000000006E-2</v>
          </cell>
          <cell r="BX128">
            <v>8.5000000000000006E-2</v>
          </cell>
          <cell r="BY128">
            <v>8.5000000000000006E-2</v>
          </cell>
          <cell r="BZ128">
            <v>8.5000000000000006E-2</v>
          </cell>
          <cell r="CA128">
            <v>8.5000000000000006E-2</v>
          </cell>
          <cell r="CB128">
            <v>8.5000000000000006E-2</v>
          </cell>
          <cell r="CC128">
            <v>8.5000000000000006E-2</v>
          </cell>
          <cell r="CD128">
            <v>8.5000000000000006E-2</v>
          </cell>
          <cell r="CE128">
            <v>8.5000000000000006E-2</v>
          </cell>
          <cell r="CF128">
            <v>8.5000000000000006E-2</v>
          </cell>
          <cell r="CG128">
            <v>8.5000000000000006E-2</v>
          </cell>
          <cell r="CH128">
            <v>8.5000000000000006E-2</v>
          </cell>
          <cell r="CI128">
            <v>8.5000000000000006E-2</v>
          </cell>
          <cell r="CJ128">
            <v>8.5000000000000006E-2</v>
          </cell>
          <cell r="CK128">
            <v>8.5000000000000006E-2</v>
          </cell>
          <cell r="CL128">
            <v>8.5000000000000006E-2</v>
          </cell>
          <cell r="CM128">
            <v>8.5000000000000006E-2</v>
          </cell>
          <cell r="CN128">
            <v>8.5000000000000006E-2</v>
          </cell>
          <cell r="CO128">
            <v>8.5000000000000006E-2</v>
          </cell>
          <cell r="CP128">
            <v>8.5000000000000006E-2</v>
          </cell>
          <cell r="CQ128">
            <v>8.5000000000000006E-2</v>
          </cell>
          <cell r="CR128">
            <v>8.5000000000000006E-2</v>
          </cell>
          <cell r="CS128">
            <v>8.5000000000000006E-2</v>
          </cell>
          <cell r="CT128">
            <v>8.5000000000000006E-2</v>
          </cell>
          <cell r="CU128">
            <v>8.5000000000000006E-2</v>
          </cell>
          <cell r="CV128">
            <v>8.5000000000000006E-2</v>
          </cell>
          <cell r="CW128">
            <v>8.5000000000000006E-2</v>
          </cell>
          <cell r="CX128">
            <v>8.5000000000000006E-2</v>
          </cell>
          <cell r="CY128">
            <v>8.5000000000000006E-2</v>
          </cell>
          <cell r="CZ128">
            <v>8.5000000000000006E-2</v>
          </cell>
          <cell r="DA128">
            <v>8.5000000000000006E-2</v>
          </cell>
          <cell r="DB128">
            <v>8.5000000000000006E-2</v>
          </cell>
          <cell r="DC128">
            <v>8.5000000000000006E-2</v>
          </cell>
          <cell r="DD128">
            <v>8.5000000000000006E-2</v>
          </cell>
          <cell r="DE128">
            <v>8.5000000000000006E-2</v>
          </cell>
          <cell r="DF128">
            <v>8.5000000000000006E-2</v>
          </cell>
          <cell r="DG128">
            <v>8.5000000000000006E-2</v>
          </cell>
          <cell r="DH128">
            <v>8.5000000000000006E-2</v>
          </cell>
          <cell r="DI128">
            <v>8.5000000000000006E-2</v>
          </cell>
          <cell r="DJ128">
            <v>8.5000000000000006E-2</v>
          </cell>
          <cell r="DK128">
            <v>8.5000000000000006E-2</v>
          </cell>
          <cell r="DL128">
            <v>8.5000000000000006E-2</v>
          </cell>
          <cell r="DM128">
            <v>8.5000000000000006E-2</v>
          </cell>
          <cell r="DN128">
            <v>8.5000000000000006E-2</v>
          </cell>
          <cell r="DO128">
            <v>8.5000000000000006E-2</v>
          </cell>
          <cell r="DP128">
            <v>8.5000000000000006E-2</v>
          </cell>
          <cell r="DQ128">
            <v>8.5000000000000006E-2</v>
          </cell>
          <cell r="DR128">
            <v>8.5000000000000006E-2</v>
          </cell>
          <cell r="DS128">
            <v>8.5000000000000006E-2</v>
          </cell>
          <cell r="DT128">
            <v>8.5000000000000006E-2</v>
          </cell>
          <cell r="DU128">
            <v>8.5000000000000006E-2</v>
          </cell>
          <cell r="DV128">
            <v>8.5000000000000006E-2</v>
          </cell>
          <cell r="DW128">
            <v>8.5000000000000006E-2</v>
          </cell>
          <cell r="DX128">
            <v>8.5000000000000006E-2</v>
          </cell>
          <cell r="DY128">
            <v>8.5000000000000006E-2</v>
          </cell>
          <cell r="DZ128">
            <v>8.5000000000000006E-2</v>
          </cell>
          <cell r="EA128">
            <v>8.5000000000000006E-2</v>
          </cell>
          <cell r="EB128">
            <v>8.5000000000000006E-2</v>
          </cell>
          <cell r="EC128">
            <v>8.5000000000000006E-2</v>
          </cell>
          <cell r="ED128">
            <v>8.5000000000000006E-2</v>
          </cell>
          <cell r="EE128">
            <v>8.5000000000000006E-2</v>
          </cell>
          <cell r="EF128">
            <v>8.5000000000000006E-2</v>
          </cell>
          <cell r="EG128">
            <v>8.5000000000000006E-2</v>
          </cell>
          <cell r="EH128">
            <v>8.5000000000000006E-2</v>
          </cell>
          <cell r="EI128">
            <v>8.5000000000000006E-2</v>
          </cell>
          <cell r="EJ128">
            <v>8.5000000000000006E-2</v>
          </cell>
          <cell r="EK128">
            <v>8.5000000000000006E-2</v>
          </cell>
          <cell r="EL128">
            <v>8.5000000000000006E-2</v>
          </cell>
          <cell r="EM128">
            <v>8.5000000000000006E-2</v>
          </cell>
          <cell r="EN128">
            <v>8.5000000000000006E-2</v>
          </cell>
          <cell r="EO128">
            <v>8.5000000000000006E-2</v>
          </cell>
          <cell r="EP128">
            <v>8.5000000000000006E-2</v>
          </cell>
          <cell r="EQ128">
            <v>8.5000000000000006E-2</v>
          </cell>
          <cell r="ER128">
            <v>8.5000000000000006E-2</v>
          </cell>
          <cell r="ES128">
            <v>8.5000000000000006E-2</v>
          </cell>
          <cell r="ET128">
            <v>8.5000000000000006E-2</v>
          </cell>
          <cell r="EU128">
            <v>8.5000000000000006E-2</v>
          </cell>
          <cell r="EV128">
            <v>8.5000000000000006E-2</v>
          </cell>
          <cell r="EW128">
            <v>8.5000000000000006E-2</v>
          </cell>
          <cell r="EX128">
            <v>8.5000000000000006E-2</v>
          </cell>
          <cell r="EY128">
            <v>8.5000000000000006E-2</v>
          </cell>
          <cell r="EZ128">
            <v>8.5000000000000006E-2</v>
          </cell>
          <cell r="FA128">
            <v>8.5000000000000006E-2</v>
          </cell>
          <cell r="FB128">
            <v>8.5000000000000006E-2</v>
          </cell>
          <cell r="FC128">
            <v>8.5000000000000006E-2</v>
          </cell>
          <cell r="FD128">
            <v>8.5000000000000006E-2</v>
          </cell>
          <cell r="FE128">
            <v>8.5000000000000006E-2</v>
          </cell>
          <cell r="FF128">
            <v>8.5000000000000006E-2</v>
          </cell>
          <cell r="FG128">
            <v>8.5000000000000006E-2</v>
          </cell>
          <cell r="FH128">
            <v>8.5000000000000006E-2</v>
          </cell>
          <cell r="FI128">
            <v>8.5000000000000006E-2</v>
          </cell>
          <cell r="FJ128">
            <v>8.5000000000000006E-2</v>
          </cell>
          <cell r="FK128">
            <v>8.5000000000000006E-2</v>
          </cell>
          <cell r="FL128">
            <v>8.5000000000000006E-2</v>
          </cell>
          <cell r="FM128">
            <v>8.5000000000000006E-2</v>
          </cell>
          <cell r="FN128">
            <v>8.5000000000000006E-2</v>
          </cell>
          <cell r="FO128">
            <v>8.5000000000000006E-2</v>
          </cell>
          <cell r="FP128">
            <v>8.5000000000000006E-2</v>
          </cell>
          <cell r="FQ128">
            <v>8.5000000000000006E-2</v>
          </cell>
          <cell r="FR128">
            <v>8.5000000000000006E-2</v>
          </cell>
          <cell r="FS128">
            <v>8.5000000000000006E-2</v>
          </cell>
          <cell r="FT128">
            <v>8.5000000000000006E-2</v>
          </cell>
          <cell r="FU128">
            <v>8.5000000000000006E-2</v>
          </cell>
          <cell r="FV128">
            <v>8.5000000000000006E-2</v>
          </cell>
          <cell r="FW128">
            <v>8.5000000000000006E-2</v>
          </cell>
          <cell r="FX128">
            <v>8.5000000000000006E-2</v>
          </cell>
          <cell r="FY128">
            <v>8.5000000000000006E-2</v>
          </cell>
          <cell r="FZ128">
            <v>8.5000000000000006E-2</v>
          </cell>
          <cell r="GA128">
            <v>8.5000000000000006E-2</v>
          </cell>
          <cell r="GB128">
            <v>8.5000000000000006E-2</v>
          </cell>
          <cell r="GC128">
            <v>8.5000000000000006E-2</v>
          </cell>
          <cell r="GD128">
            <v>8.5000000000000006E-2</v>
          </cell>
          <cell r="GE128">
            <v>8.5000000000000006E-2</v>
          </cell>
          <cell r="GF128">
            <v>8.5000000000000006E-2</v>
          </cell>
          <cell r="GG128">
            <v>8.5000000000000006E-2</v>
          </cell>
          <cell r="GH128">
            <v>8.5000000000000006E-2</v>
          </cell>
          <cell r="GI128">
            <v>8.5000000000000006E-2</v>
          </cell>
          <cell r="GJ128">
            <v>8.5000000000000006E-2</v>
          </cell>
          <cell r="GK128">
            <v>8.5000000000000006E-2</v>
          </cell>
          <cell r="GL128">
            <v>8.5000000000000006E-2</v>
          </cell>
          <cell r="GM128">
            <v>8.5000000000000006E-2</v>
          </cell>
          <cell r="GN128">
            <v>8.5000000000000006E-2</v>
          </cell>
          <cell r="GO128">
            <v>8.5000000000000006E-2</v>
          </cell>
          <cell r="GP128">
            <v>8.5000000000000006E-2</v>
          </cell>
          <cell r="GQ128">
            <v>8.5000000000000006E-2</v>
          </cell>
          <cell r="GR128">
            <v>8.5000000000000006E-2</v>
          </cell>
          <cell r="GS128">
            <v>8.5000000000000006E-2</v>
          </cell>
          <cell r="GT128">
            <v>8.5000000000000006E-2</v>
          </cell>
          <cell r="GU128">
            <v>8.5000000000000006E-2</v>
          </cell>
          <cell r="GV128">
            <v>8.5000000000000006E-2</v>
          </cell>
          <cell r="GW128">
            <v>8.5000000000000006E-2</v>
          </cell>
          <cell r="GX128">
            <v>8.5000000000000006E-2</v>
          </cell>
          <cell r="GY128">
            <v>8.5000000000000006E-2</v>
          </cell>
          <cell r="GZ128">
            <v>8.5000000000000006E-2</v>
          </cell>
          <cell r="HA128">
            <v>8.5000000000000006E-2</v>
          </cell>
          <cell r="HB128">
            <v>8.5000000000000006E-2</v>
          </cell>
          <cell r="HC128">
            <v>8.5000000000000006E-2</v>
          </cell>
          <cell r="HD128">
            <v>8.5000000000000006E-2</v>
          </cell>
          <cell r="HE128">
            <v>8.5000000000000006E-2</v>
          </cell>
          <cell r="HF128">
            <v>8.5000000000000006E-2</v>
          </cell>
          <cell r="HG128">
            <v>8.5000000000000006E-2</v>
          </cell>
          <cell r="HH128">
            <v>8.5000000000000006E-2</v>
          </cell>
          <cell r="HI128">
            <v>8.5000000000000006E-2</v>
          </cell>
          <cell r="HJ128">
            <v>8.5000000000000006E-2</v>
          </cell>
          <cell r="HK128">
            <v>8.5000000000000006E-2</v>
          </cell>
          <cell r="HL128">
            <v>8.5000000000000006E-2</v>
          </cell>
          <cell r="HM128">
            <v>8.5000000000000006E-2</v>
          </cell>
          <cell r="HN128">
            <v>8.5000000000000006E-2</v>
          </cell>
          <cell r="HO128">
            <v>8.5000000000000006E-2</v>
          </cell>
          <cell r="HP128">
            <v>8.5000000000000006E-2</v>
          </cell>
          <cell r="HQ128">
            <v>8.5000000000000006E-2</v>
          </cell>
          <cell r="HR128">
            <v>8.5000000000000006E-2</v>
          </cell>
          <cell r="HS128">
            <v>8.5000000000000006E-2</v>
          </cell>
          <cell r="HT128">
            <v>8.5000000000000006E-2</v>
          </cell>
          <cell r="HU128">
            <v>8.5000000000000006E-2</v>
          </cell>
          <cell r="HV128">
            <v>8.5000000000000006E-2</v>
          </cell>
          <cell r="HW128">
            <v>8.5000000000000006E-2</v>
          </cell>
          <cell r="HX128">
            <v>8.5000000000000006E-2</v>
          </cell>
          <cell r="HY128">
            <v>8.5000000000000006E-2</v>
          </cell>
          <cell r="HZ128">
            <v>8.5000000000000006E-2</v>
          </cell>
          <cell r="IA128">
            <v>8.5000000000000006E-2</v>
          </cell>
          <cell r="IB128">
            <v>8.5000000000000006E-2</v>
          </cell>
          <cell r="IC128">
            <v>8.5000000000000006E-2</v>
          </cell>
          <cell r="ID128">
            <v>8.5000000000000006E-2</v>
          </cell>
          <cell r="IE128">
            <v>8.5000000000000006E-2</v>
          </cell>
          <cell r="IF128">
            <v>8.5000000000000006E-2</v>
          </cell>
          <cell r="IG128">
            <v>8.5000000000000006E-2</v>
          </cell>
          <cell r="IH128">
            <v>8.5000000000000006E-2</v>
          </cell>
          <cell r="II128">
            <v>8.5000000000000006E-2</v>
          </cell>
          <cell r="IJ128">
            <v>8.5000000000000006E-2</v>
          </cell>
          <cell r="IK128">
            <v>8.5000000000000006E-2</v>
          </cell>
          <cell r="IL128">
            <v>8.5000000000000006E-2</v>
          </cell>
          <cell r="IM128">
            <v>8.5000000000000006E-2</v>
          </cell>
          <cell r="IN128">
            <v>8.5000000000000006E-2</v>
          </cell>
          <cell r="IO128">
            <v>8.5000000000000006E-2</v>
          </cell>
          <cell r="IP128">
            <v>8.5000000000000006E-2</v>
          </cell>
          <cell r="IQ128">
            <v>8.5000000000000006E-2</v>
          </cell>
          <cell r="IR128">
            <v>8.5000000000000006E-2</v>
          </cell>
        </row>
        <row r="129">
          <cell r="B129" t="str">
            <v>PV of Growth in Each Year</v>
          </cell>
          <cell r="D129">
            <v>8151.2485104304487</v>
          </cell>
          <cell r="E129">
            <v>2602.2061691555523</v>
          </cell>
          <cell r="F129">
            <v>3181.4204903397172</v>
          </cell>
          <cell r="G129">
            <v>4.2457259599695103</v>
          </cell>
          <cell r="H129">
            <v>412.45083883312884</v>
          </cell>
          <cell r="I129">
            <v>1476.0963295644881</v>
          </cell>
          <cell r="J129">
            <v>1915.6591608310514</v>
          </cell>
          <cell r="K129">
            <v>1089.9956414944759</v>
          </cell>
          <cell r="L129">
            <v>613.66441844119811</v>
          </cell>
          <cell r="M129">
            <v>-1336.1036459080317</v>
          </cell>
          <cell r="N129">
            <v>1164.9015506786302</v>
          </cell>
          <cell r="O129">
            <v>654.09183428331175</v>
          </cell>
          <cell r="P129">
            <v>576.21369421143913</v>
          </cell>
          <cell r="Q129">
            <v>502.94124911011511</v>
          </cell>
          <cell r="R129">
            <v>213.95575071135644</v>
          </cell>
          <cell r="S129">
            <v>-1.7404305068921118E-11</v>
          </cell>
          <cell r="T129">
            <v>1.0693889443269506E-11</v>
          </cell>
          <cell r="U129">
            <v>4.9280596512762699E-12</v>
          </cell>
          <cell r="V129">
            <v>-9.0839809240115571E-12</v>
          </cell>
          <cell r="W129">
            <v>-2.0930831622146449E-12</v>
          </cell>
          <cell r="X129">
            <v>3.858217810533908E-12</v>
          </cell>
          <cell r="Y129">
            <v>-7.1119222313989092E-12</v>
          </cell>
          <cell r="Z129">
            <v>0</v>
          </cell>
          <cell r="AA129">
            <v>7.5515749234416833E-12</v>
          </cell>
          <cell r="AB129">
            <v>2.7839907551858741E-12</v>
          </cell>
          <cell r="AC129">
            <v>2.5658900969455061E-12</v>
          </cell>
          <cell r="AD129">
            <v>-1.0641940494244033E-11</v>
          </cell>
          <cell r="AE129">
            <v>8.7184356327652106E-12</v>
          </cell>
          <cell r="AF129">
            <v>-7.0309964780364603E-12</v>
          </cell>
          <cell r="AG129">
            <v>8.331661395961573E-12</v>
          </cell>
          <cell r="AH129">
            <v>-8.5321673281736546E-12</v>
          </cell>
          <cell r="AI129">
            <v>6.2909989516487777E-12</v>
          </cell>
          <cell r="AJ129">
            <v>-2.1743083934269968E-12</v>
          </cell>
          <cell r="AK129">
            <v>3.3399514491966159E-12</v>
          </cell>
          <cell r="AL129">
            <v>-3.6939555198487913E-12</v>
          </cell>
          <cell r="AM129">
            <v>3.9719951826331097E-12</v>
          </cell>
          <cell r="AN129">
            <v>5.2297500758829624E-13</v>
          </cell>
          <cell r="AO129">
            <v>-4.820046152887523E-13</v>
          </cell>
          <cell r="AP129">
            <v>-2.6654633103525468E-12</v>
          </cell>
          <cell r="AQ129">
            <v>-2.4566482123064953E-12</v>
          </cell>
          <cell r="AR129">
            <v>4.9057491182771801E-12</v>
          </cell>
          <cell r="AS129">
            <v>-4.521427758780811E-12</v>
          </cell>
          <cell r="AT129">
            <v>6.4110992680337616E-13</v>
          </cell>
          <cell r="AU129">
            <v>-1.4772118129110055E-12</v>
          </cell>
          <cell r="AV129">
            <v>1.9060797585948453E-12</v>
          </cell>
          <cell r="AW129">
            <v>1.0038603073573908E-12</v>
          </cell>
          <cell r="AX129">
            <v>0</v>
          </cell>
          <cell r="AY129">
            <v>-1.2791016679361092E-12</v>
          </cell>
          <cell r="AZ129">
            <v>0</v>
          </cell>
          <cell r="BA129">
            <v>-7.2435978278641673E-13</v>
          </cell>
          <cell r="BB129">
            <v>6.6761270302895553E-13</v>
          </cell>
          <cell r="BC129">
            <v>9.2296687054694332E-13</v>
          </cell>
          <cell r="BD129">
            <v>-2.8355357006050484E-13</v>
          </cell>
          <cell r="BE129">
            <v>2.613396959082994E-13</v>
          </cell>
          <cell r="BF129">
            <v>7.2259823753446821E-13</v>
          </cell>
          <cell r="BG129">
            <v>-1.3319783180358866E-12</v>
          </cell>
          <cell r="BH129">
            <v>-8.1841985747212692E-13</v>
          </cell>
          <cell r="BI129">
            <v>5.6572801207750702E-13</v>
          </cell>
          <cell r="BJ129">
            <v>5.2140830606221852E-13</v>
          </cell>
          <cell r="BK129">
            <v>-9.6112130149717711E-13</v>
          </cell>
          <cell r="BL129">
            <v>1.9192898493799234E-12</v>
          </cell>
          <cell r="BM129">
            <v>-1.496787546485584E-12</v>
          </cell>
          <cell r="BN129">
            <v>6.2705804209701883E-13</v>
          </cell>
          <cell r="BO129">
            <v>3.4676020761125464E-13</v>
          </cell>
          <cell r="BP129">
            <v>-8.5225243038096378E-13</v>
          </cell>
          <cell r="BQ129">
            <v>1.0800434025565211E-12</v>
          </cell>
          <cell r="BR129">
            <v>2.7148137475237225E-13</v>
          </cell>
          <cell r="BS129">
            <v>-1.0008529944787918E-12</v>
          </cell>
          <cell r="BT129">
            <v>3.8435214841735479E-13</v>
          </cell>
          <cell r="BU129">
            <v>-7.0848322288913334E-14</v>
          </cell>
          <cell r="BV129">
            <v>-7.1827792182308448E-13</v>
          </cell>
          <cell r="BW129">
            <v>8.4255474700655069E-13</v>
          </cell>
          <cell r="BX129">
            <v>-4.9920952752198531E-13</v>
          </cell>
          <cell r="BY129">
            <v>5.1122327447207915E-14</v>
          </cell>
          <cell r="BZ129">
            <v>-1.8846940994362365E-13</v>
          </cell>
          <cell r="CA129">
            <v>1.7370452529366239E-13</v>
          </cell>
          <cell r="CB129">
            <v>-8.0048168338093249E-14</v>
          </cell>
          <cell r="CC129">
            <v>2.2133134102698597E-13</v>
          </cell>
          <cell r="CD129">
            <v>-3.3998669896618429E-13</v>
          </cell>
          <cell r="CE129">
            <v>1.8801107776931851E-13</v>
          </cell>
          <cell r="CF129">
            <v>2.3104279910208115E-13</v>
          </cell>
          <cell r="CG129">
            <v>1.0647133599174246E-13</v>
          </cell>
          <cell r="CH129">
            <v>-3.9252105434743762E-13</v>
          </cell>
          <cell r="CI129">
            <v>3.1654923737696588E-13</v>
          </cell>
          <cell r="CJ129">
            <v>-4.1678635599337179E-14</v>
          </cell>
          <cell r="CK129">
            <v>-3.4572140128482456E-13</v>
          </cell>
          <cell r="CL129">
            <v>1.0621241206907051E-13</v>
          </cell>
          <cell r="CM129">
            <v>-6.5261082684528748E-14</v>
          </cell>
          <cell r="CN129">
            <v>3.0074231651856567E-14</v>
          </cell>
          <cell r="CO129">
            <v>3.0490004439670248E-13</v>
          </cell>
          <cell r="CP129">
            <v>-2.2992043565733744E-13</v>
          </cell>
          <cell r="CQ129">
            <v>1.4127215708592162E-13</v>
          </cell>
          <cell r="CR129">
            <v>-4.3401584358194053E-14</v>
          </cell>
          <cell r="CS129">
            <v>2.0000730118983434E-14</v>
          </cell>
          <cell r="CT129">
            <v>-1.8433852644224363E-14</v>
          </cell>
          <cell r="CU129">
            <v>6.7958903757509172E-14</v>
          </cell>
          <cell r="CV129">
            <v>-7.8293667923397677E-14</v>
          </cell>
          <cell r="CW129">
            <v>8.6592075122651802E-14</v>
          </cell>
          <cell r="CX129">
            <v>-3.9904182084171336E-14</v>
          </cell>
          <cell r="CY129">
            <v>-9.8074794676918829E-14</v>
          </cell>
          <cell r="CZ129">
            <v>-4.5195757915630789E-14</v>
          </cell>
          <cell r="DA129">
            <v>1.1455146015482458E-13</v>
          </cell>
          <cell r="DB129">
            <v>1.9195887751122675E-14</v>
          </cell>
          <cell r="DC129">
            <v>-7.9614280995439684E-14</v>
          </cell>
          <cell r="DD129">
            <v>7.3377217507317699E-14</v>
          </cell>
          <cell r="DE129">
            <v>-9.7686003849987709E-14</v>
          </cell>
          <cell r="DF129">
            <v>6.9256294824521589E-15</v>
          </cell>
          <cell r="DG129">
            <v>3.1915343237106733E-14</v>
          </cell>
          <cell r="DH129">
            <v>3.5298075469611129E-14</v>
          </cell>
          <cell r="DI129">
            <v>0</v>
          </cell>
          <cell r="DJ129">
            <v>-6.9962985916676338E-14</v>
          </cell>
          <cell r="DK129">
            <v>1.8423432762785082E-14</v>
          </cell>
          <cell r="DL129">
            <v>0</v>
          </cell>
          <cell r="DM129">
            <v>-7.8249411806515663E-15</v>
          </cell>
          <cell r="DN129">
            <v>2.1635782066317695E-14</v>
          </cell>
          <cell r="DO129">
            <v>-1.9940812964348107E-14</v>
          </cell>
          <cell r="DP129">
            <v>0</v>
          </cell>
          <cell r="DQ129">
            <v>1.6938828995602464E-14</v>
          </cell>
          <cell r="DR129">
            <v>-2.6019706598467683E-14</v>
          </cell>
          <cell r="DS129">
            <v>3.8370074246588292E-14</v>
          </cell>
          <cell r="DT129">
            <v>1.3261546398590425E-14</v>
          </cell>
          <cell r="DU129">
            <v>-2.4445246817678199E-14</v>
          </cell>
          <cell r="DV129">
            <v>3.3795272098172627E-14</v>
          </cell>
          <cell r="DW129">
            <v>-5.8834575081304123E-14</v>
          </cell>
          <cell r="DX129">
            <v>1.5948651418081898E-14</v>
          </cell>
          <cell r="DY129">
            <v>2.3518748634959483E-14</v>
          </cell>
          <cell r="DZ129">
            <v>2.7095332528755166E-15</v>
          </cell>
          <cell r="EA129">
            <v>-1.2486328354265054E-14</v>
          </cell>
          <cell r="EB129">
            <v>1.3809764078449828E-14</v>
          </cell>
          <cell r="EC129">
            <v>-2.7577101846366791E-14</v>
          </cell>
          <cell r="ED129">
            <v>-1.9551295176438701E-15</v>
          </cell>
          <cell r="EE129">
            <v>5.4058880672180744E-15</v>
          </cell>
          <cell r="EF129">
            <v>-3.3215902102722426E-15</v>
          </cell>
          <cell r="EG129">
            <v>1.2245493862754811E-14</v>
          </cell>
          <cell r="EH129">
            <v>4.2323135470350723E-15</v>
          </cell>
          <cell r="EI129">
            <v>2.6004998752903678E-15</v>
          </cell>
          <cell r="EJ129">
            <v>-3.5951611179129506E-15</v>
          </cell>
          <cell r="EK129">
            <v>5.5225209184530724E-15</v>
          </cell>
          <cell r="EL129">
            <v>-2.0359524123329301E-15</v>
          </cell>
          <cell r="EM129">
            <v>-8.4440422631319713E-15</v>
          </cell>
          <cell r="EN129">
            <v>-1.7294505403240083E-15</v>
          </cell>
          <cell r="EO129">
            <v>3.9849090790875763E-15</v>
          </cell>
          <cell r="EP129">
            <v>-4.4072727141982403E-15</v>
          </cell>
          <cell r="EQ129">
            <v>8.1240050031303998E-15</v>
          </cell>
          <cell r="ER129">
            <v>-2.4958540716222429E-15</v>
          </cell>
          <cell r="ES129">
            <v>-2.3003263332923894E-15</v>
          </cell>
          <cell r="ET129">
            <v>4.240232872428368E-15</v>
          </cell>
          <cell r="EU129">
            <v>0</v>
          </cell>
          <cell r="EV129">
            <v>-1.8009441153680767E-15</v>
          </cell>
          <cell r="EW129">
            <v>-1.6598563275281816E-15</v>
          </cell>
          <cell r="EX129">
            <v>2.29473225003896E-15</v>
          </cell>
          <cell r="EY129">
            <v>-7.0498686637141646E-16</v>
          </cell>
          <cell r="EZ129">
            <v>6.4975748052665112E-16</v>
          </cell>
          <cell r="FA129">
            <v>1.7965644622856714E-15</v>
          </cell>
          <cell r="FB129">
            <v>5.519399269694842E-16</v>
          </cell>
          <cell r="FC129">
            <v>-5.5957043287228829E-15</v>
          </cell>
          <cell r="FD129">
            <v>-4.6884828895876684E-16</v>
          </cell>
          <cell r="FE129">
            <v>8.6423647734334915E-16</v>
          </cell>
          <cell r="FF129">
            <v>2.389593946571472E-15</v>
          </cell>
          <cell r="FG129">
            <v>-3.3035861012508837E-15</v>
          </cell>
          <cell r="FH129">
            <v>3.3830886853567676E-15</v>
          </cell>
          <cell r="FI129">
            <v>-3.1180540878864214E-15</v>
          </cell>
          <cell r="FJ129">
            <v>2.2990260555844581E-15</v>
          </cell>
          <cell r="FK129">
            <v>2.6486475294751829E-16</v>
          </cell>
          <cell r="FL129">
            <v>-4.8822995935026414E-16</v>
          </cell>
          <cell r="FM129">
            <v>8.9996305871016428E-16</v>
          </cell>
          <cell r="FN129">
            <v>6.2209428021439922E-16</v>
          </cell>
          <cell r="FO129">
            <v>-1.3378371617513962E-15</v>
          </cell>
          <cell r="FP129">
            <v>-7.0458836695267753E-16</v>
          </cell>
          <cell r="FQ129">
            <v>0</v>
          </cell>
          <cell r="FR129">
            <v>5.9851631332385693E-16</v>
          </cell>
          <cell r="FS129">
            <v>2.7581396927366689E-16</v>
          </cell>
          <cell r="FT129">
            <v>2.5420642329370214E-16</v>
          </cell>
          <cell r="FU129">
            <v>-3.5143745155811355E-16</v>
          </cell>
          <cell r="FV129">
            <v>3.2390548530701707E-16</v>
          </cell>
          <cell r="FW129">
            <v>-5.970608024092482E-16</v>
          </cell>
          <cell r="FX129">
            <v>-1.834288179444695E-16</v>
          </cell>
          <cell r="FY129">
            <v>6.7623527352799816E-16</v>
          </cell>
          <cell r="FZ129">
            <v>-1.5581457915391663E-16</v>
          </cell>
          <cell r="GA129">
            <v>4.3082372116290319E-16</v>
          </cell>
          <cell r="GB129">
            <v>-2.6471503604479455E-16</v>
          </cell>
          <cell r="GC129">
            <v>0</v>
          </cell>
          <cell r="GD129">
            <v>1.1243179343149973E-16</v>
          </cell>
          <cell r="GE129">
            <v>-2.0724754549585209E-16</v>
          </cell>
          <cell r="GF129">
            <v>1.9101156266898809E-16</v>
          </cell>
          <cell r="GG129">
            <v>-3.5209504639444807E-16</v>
          </cell>
          <cell r="GH129">
            <v>-2.4338367262289038E-16</v>
          </cell>
          <cell r="GI129">
            <v>4.4863349792237863E-16</v>
          </cell>
          <cell r="GJ129">
            <v>0</v>
          </cell>
          <cell r="GK129">
            <v>-2.5406273109636572E-16</v>
          </cell>
          <cell r="GL129">
            <v>0</v>
          </cell>
          <cell r="GM129">
            <v>-2.1581493010797911E-16</v>
          </cell>
          <cell r="GN129">
            <v>1.9890776968477337E-16</v>
          </cell>
          <cell r="GO129">
            <v>1.3749385001251615E-16</v>
          </cell>
          <cell r="GP129">
            <v>2.1120407067974832E-16</v>
          </cell>
          <cell r="GQ129">
            <v>-1.557265037270034E-16</v>
          </cell>
          <cell r="GR129">
            <v>1.7940841443203154E-16</v>
          </cell>
          <cell r="GS129">
            <v>-1.6535337735671116E-16</v>
          </cell>
          <cell r="GT129">
            <v>0</v>
          </cell>
          <cell r="GU129">
            <v>-1.4046030058545405E-16</v>
          </cell>
          <cell r="GV129">
            <v>-7.7673898941264911E-17</v>
          </cell>
          <cell r="GW129">
            <v>1.909035918679322E-16</v>
          </cell>
          <cell r="GX129">
            <v>2.1993501367273294E-17</v>
          </cell>
          <cell r="GY129">
            <v>-2.0270508172602122E-16</v>
          </cell>
          <cell r="GZ129">
            <v>1.868249601161485E-17</v>
          </cell>
          <cell r="HA129">
            <v>1.8940779366614138E-16</v>
          </cell>
          <cell r="HB129">
            <v>-1.2695956006109183E-16</v>
          </cell>
          <cell r="HC129">
            <v>-2.9253354852786137E-17</v>
          </cell>
          <cell r="HD129">
            <v>1.482888955671187E-16</v>
          </cell>
          <cell r="HE129">
            <v>-9.9397667745031376E-17</v>
          </cell>
          <cell r="HF129">
            <v>-6.8708065261542422E-17</v>
          </cell>
          <cell r="HG129">
            <v>2.110846859033562E-17</v>
          </cell>
          <cell r="HH129">
            <v>5.8364429282033967E-17</v>
          </cell>
          <cell r="HI129">
            <v>-3.5861400480512421E-17</v>
          </cell>
          <cell r="HJ129">
            <v>-3.3051982009688869E-17</v>
          </cell>
          <cell r="HK129">
            <v>1.5231328115063996E-17</v>
          </cell>
          <cell r="HL129">
            <v>0</v>
          </cell>
          <cell r="HM129">
            <v>2.5876664384572187E-17</v>
          </cell>
          <cell r="HN129">
            <v>-3.5774190393417768E-17</v>
          </cell>
          <cell r="HO129">
            <v>1.0990534683077657E-17</v>
          </cell>
          <cell r="HP129">
            <v>7.0906675374694555E-17</v>
          </cell>
          <cell r="HQ129">
            <v>9.3359677912698578E-18</v>
          </cell>
          <cell r="HR129">
            <v>0</v>
          </cell>
          <cell r="HS129">
            <v>-9.5165846371966521E-17</v>
          </cell>
          <cell r="HT129">
            <v>1.4618409580947239E-17</v>
          </cell>
          <cell r="HU129">
            <v>6.7365942769342121E-18</v>
          </cell>
          <cell r="HV129">
            <v>3.1044213257761347E-17</v>
          </cell>
          <cell r="HW129">
            <v>-4.5779484988403833E-17</v>
          </cell>
          <cell r="HX129">
            <v>6.8563744798300669E-17</v>
          </cell>
          <cell r="HY129">
            <v>-6.8053344712953515E-17</v>
          </cell>
          <cell r="HZ129">
            <v>3.5841129539409355E-17</v>
          </cell>
          <cell r="IA129">
            <v>2.4774974335997251E-17</v>
          </cell>
          <cell r="IB129">
            <v>-2.6639757350534688E-17</v>
          </cell>
          <cell r="IC129">
            <v>-1.4030155286654211E-17</v>
          </cell>
          <cell r="ID129">
            <v>0</v>
          </cell>
          <cell r="IE129">
            <v>2.0856481769963152E-17</v>
          </cell>
          <cell r="IF129">
            <v>-2.4714724941365157E-17</v>
          </cell>
          <cell r="IG129">
            <v>1.518569888870363E-17</v>
          </cell>
          <cell r="IH129">
            <v>1.8661381122830881E-17</v>
          </cell>
          <cell r="II129">
            <v>-1.0749643503934841E-17</v>
          </cell>
          <cell r="IJ129">
            <v>-1.7833509960444898E-17</v>
          </cell>
          <cell r="IK129">
            <v>0</v>
          </cell>
          <cell r="IL129">
            <v>1.6831965908947735E-17</v>
          </cell>
          <cell r="IM129">
            <v>4.6539997904924619E-18</v>
          </cell>
          <cell r="IN129">
            <v>-2.8596004857096541E-18</v>
          </cell>
          <cell r="IO129">
            <v>-1.3177882422625134E-17</v>
          </cell>
          <cell r="IP129">
            <v>1.214551375357155E-17</v>
          </cell>
          <cell r="IQ129">
            <v>-6.716413135615604E-18</v>
          </cell>
          <cell r="IR129">
            <v>-3.1455691473382563E-5</v>
          </cell>
        </row>
        <row r="130">
          <cell r="B130" t="str">
            <v>Round(ROE - COE)</v>
          </cell>
          <cell r="C130">
            <v>0.11</v>
          </cell>
          <cell r="D130">
            <v>0.14000000000000001</v>
          </cell>
          <cell r="E130">
            <v>0.14000000000000001</v>
          </cell>
          <cell r="F130">
            <v>0.14000000000000001</v>
          </cell>
          <cell r="G130">
            <v>0.13</v>
          </cell>
          <cell r="H130">
            <v>0.13</v>
          </cell>
          <cell r="I130">
            <v>0.13</v>
          </cell>
          <cell r="J130">
            <v>0.13</v>
          </cell>
          <cell r="K130">
            <v>0.13</v>
          </cell>
          <cell r="L130">
            <v>0.12</v>
          </cell>
          <cell r="M130">
            <v>0.12</v>
          </cell>
          <cell r="N130">
            <v>0.12</v>
          </cell>
          <cell r="O130">
            <v>0.13</v>
          </cell>
          <cell r="P130">
            <v>0.13</v>
          </cell>
          <cell r="Q130">
            <v>0.14000000000000001</v>
          </cell>
          <cell r="R130">
            <v>0.14000000000000001</v>
          </cell>
          <cell r="S130">
            <v>0.13</v>
          </cell>
          <cell r="T130">
            <v>0.13</v>
          </cell>
          <cell r="U130">
            <v>0.12</v>
          </cell>
          <cell r="V130">
            <v>0.12</v>
          </cell>
          <cell r="W130">
            <v>0.12</v>
          </cell>
          <cell r="X130">
            <v>0.11</v>
          </cell>
          <cell r="Y130">
            <v>0.11</v>
          </cell>
          <cell r="Z130">
            <v>0.11</v>
          </cell>
          <cell r="AA130">
            <v>0.1</v>
          </cell>
          <cell r="AB130">
            <v>0.1</v>
          </cell>
          <cell r="AC130">
            <v>0.1</v>
          </cell>
          <cell r="AD130">
            <v>0.1</v>
          </cell>
          <cell r="AE130">
            <v>0.09</v>
          </cell>
          <cell r="AF130">
            <v>0.09</v>
          </cell>
          <cell r="AG130">
            <v>0.09</v>
          </cell>
          <cell r="AH130">
            <v>0.09</v>
          </cell>
          <cell r="AI130">
            <v>0.09</v>
          </cell>
          <cell r="AJ130">
            <v>0.08</v>
          </cell>
          <cell r="AK130">
            <v>0.08</v>
          </cell>
          <cell r="AL130">
            <v>0.08</v>
          </cell>
          <cell r="AM130">
            <v>0.08</v>
          </cell>
          <cell r="AN130">
            <v>0.08</v>
          </cell>
          <cell r="AO130">
            <v>7.0000000000000007E-2</v>
          </cell>
          <cell r="AP130">
            <v>7.0000000000000007E-2</v>
          </cell>
          <cell r="AQ130">
            <v>7.0000000000000007E-2</v>
          </cell>
          <cell r="AR130">
            <v>7.0000000000000007E-2</v>
          </cell>
          <cell r="AS130">
            <v>7.0000000000000007E-2</v>
          </cell>
          <cell r="AT130">
            <v>0.06</v>
          </cell>
          <cell r="AU130">
            <v>0.06</v>
          </cell>
          <cell r="AV130">
            <v>0.06</v>
          </cell>
          <cell r="AW130">
            <v>0.06</v>
          </cell>
          <cell r="AX130">
            <v>0.06</v>
          </cell>
          <cell r="AY130">
            <v>0.06</v>
          </cell>
          <cell r="AZ130">
            <v>0.06</v>
          </cell>
          <cell r="BA130">
            <v>0.05</v>
          </cell>
          <cell r="BB130">
            <v>0.05</v>
          </cell>
          <cell r="BC130">
            <v>0.05</v>
          </cell>
          <cell r="BD130">
            <v>0.05</v>
          </cell>
          <cell r="BE130">
            <v>0.05</v>
          </cell>
          <cell r="BF130">
            <v>0.05</v>
          </cell>
          <cell r="BG130">
            <v>0.05</v>
          </cell>
          <cell r="BH130">
            <v>0.05</v>
          </cell>
          <cell r="BI130">
            <v>0.05</v>
          </cell>
          <cell r="BJ130">
            <v>0.04</v>
          </cell>
          <cell r="BK130">
            <v>0.04</v>
          </cell>
          <cell r="BL130">
            <v>0.04</v>
          </cell>
          <cell r="BM130">
            <v>0.04</v>
          </cell>
          <cell r="BN130">
            <v>0.04</v>
          </cell>
          <cell r="BO130">
            <v>0.04</v>
          </cell>
          <cell r="BP130">
            <v>0.04</v>
          </cell>
          <cell r="BQ130">
            <v>0.04</v>
          </cell>
          <cell r="BR130">
            <v>0.04</v>
          </cell>
          <cell r="BS130">
            <v>0.04</v>
          </cell>
          <cell r="BT130">
            <v>0.04</v>
          </cell>
          <cell r="BU130">
            <v>0.03</v>
          </cell>
          <cell r="BV130">
            <v>0.03</v>
          </cell>
          <cell r="BW130">
            <v>0.03</v>
          </cell>
          <cell r="BX130">
            <v>0.03</v>
          </cell>
          <cell r="BY130">
            <v>0.03</v>
          </cell>
          <cell r="BZ130">
            <v>0.03</v>
          </cell>
          <cell r="CA130">
            <v>0.03</v>
          </cell>
          <cell r="CB130">
            <v>0.03</v>
          </cell>
          <cell r="CC130">
            <v>0.03</v>
          </cell>
          <cell r="CD130">
            <v>0.03</v>
          </cell>
          <cell r="CE130">
            <v>0.03</v>
          </cell>
          <cell r="CF130">
            <v>0.03</v>
          </cell>
          <cell r="CG130">
            <v>0.03</v>
          </cell>
          <cell r="CH130">
            <v>0.03</v>
          </cell>
          <cell r="CI130">
            <v>0.03</v>
          </cell>
          <cell r="CJ130">
            <v>0.02</v>
          </cell>
          <cell r="CK130">
            <v>0.02</v>
          </cell>
          <cell r="CL130">
            <v>0.02</v>
          </cell>
          <cell r="CM130">
            <v>0.02</v>
          </cell>
          <cell r="CN130">
            <v>0.02</v>
          </cell>
          <cell r="CO130">
            <v>0.02</v>
          </cell>
          <cell r="CP130">
            <v>0.02</v>
          </cell>
          <cell r="CQ130">
            <v>0.02</v>
          </cell>
          <cell r="CR130">
            <v>0.02</v>
          </cell>
          <cell r="CS130">
            <v>0.02</v>
          </cell>
          <cell r="CT130">
            <v>0.02</v>
          </cell>
          <cell r="CU130">
            <v>0.02</v>
          </cell>
          <cell r="CV130">
            <v>0.02</v>
          </cell>
          <cell r="CW130">
            <v>0.02</v>
          </cell>
          <cell r="CX130">
            <v>0.02</v>
          </cell>
          <cell r="CY130">
            <v>0.02</v>
          </cell>
          <cell r="CZ130">
            <v>0.02</v>
          </cell>
          <cell r="DA130">
            <v>0.02</v>
          </cell>
          <cell r="DB130">
            <v>0.02</v>
          </cell>
          <cell r="DC130">
            <v>0.02</v>
          </cell>
          <cell r="DD130">
            <v>0.02</v>
          </cell>
          <cell r="DE130">
            <v>0.02</v>
          </cell>
          <cell r="DF130">
            <v>0.02</v>
          </cell>
          <cell r="DG130">
            <v>0.01</v>
          </cell>
          <cell r="DH130">
            <v>0.01</v>
          </cell>
          <cell r="DI130">
            <v>0.01</v>
          </cell>
          <cell r="DJ130">
            <v>0.01</v>
          </cell>
          <cell r="DK130">
            <v>0.01</v>
          </cell>
          <cell r="DL130">
            <v>0.01</v>
          </cell>
          <cell r="DM130">
            <v>0.01</v>
          </cell>
          <cell r="DN130">
            <v>0.01</v>
          </cell>
          <cell r="DO130">
            <v>0.01</v>
          </cell>
          <cell r="DP130">
            <v>0.01</v>
          </cell>
          <cell r="DQ130">
            <v>0.01</v>
          </cell>
          <cell r="DR130">
            <v>0.01</v>
          </cell>
          <cell r="DS130">
            <v>0.01</v>
          </cell>
          <cell r="DT130">
            <v>0.01</v>
          </cell>
          <cell r="DU130">
            <v>0.01</v>
          </cell>
          <cell r="DV130">
            <v>0.01</v>
          </cell>
          <cell r="DW130">
            <v>0.01</v>
          </cell>
          <cell r="DX130">
            <v>0.01</v>
          </cell>
          <cell r="DY130">
            <v>0.01</v>
          </cell>
          <cell r="DZ130">
            <v>0.01</v>
          </cell>
          <cell r="EA130">
            <v>0.01</v>
          </cell>
          <cell r="EB130">
            <v>0.01</v>
          </cell>
          <cell r="EC130">
            <v>0.01</v>
          </cell>
          <cell r="ED130">
            <v>0.01</v>
          </cell>
          <cell r="EE130">
            <v>0.01</v>
          </cell>
          <cell r="EF130">
            <v>0.01</v>
          </cell>
          <cell r="EG130">
            <v>0.01</v>
          </cell>
          <cell r="EH130">
            <v>0.01</v>
          </cell>
          <cell r="EI130">
            <v>0.01</v>
          </cell>
          <cell r="EJ130">
            <v>0.01</v>
          </cell>
          <cell r="EK130">
            <v>0.01</v>
          </cell>
          <cell r="EL130">
            <v>0.01</v>
          </cell>
          <cell r="EM130">
            <v>0.01</v>
          </cell>
          <cell r="EN130">
            <v>0.01</v>
          </cell>
          <cell r="EO130">
            <v>0.01</v>
          </cell>
          <cell r="EP130">
            <v>0.01</v>
          </cell>
          <cell r="EQ130">
            <v>0.01</v>
          </cell>
          <cell r="ER130">
            <v>0.01</v>
          </cell>
          <cell r="ES130">
            <v>0.01</v>
          </cell>
          <cell r="ET130">
            <v>0.01</v>
          </cell>
          <cell r="EU130">
            <v>0.01</v>
          </cell>
          <cell r="EV130">
            <v>0.01</v>
          </cell>
          <cell r="EW130">
            <v>0.01</v>
          </cell>
          <cell r="EX130">
            <v>0.01</v>
          </cell>
          <cell r="EY130">
            <v>0.01</v>
          </cell>
          <cell r="EZ130">
            <v>0.01</v>
          </cell>
          <cell r="FA130">
            <v>0.01</v>
          </cell>
          <cell r="FB130">
            <v>0.01</v>
          </cell>
          <cell r="FC130">
            <v>0.01</v>
          </cell>
          <cell r="FD130">
            <v>0.01</v>
          </cell>
          <cell r="FE130">
            <v>0.01</v>
          </cell>
          <cell r="FF130">
            <v>0.01</v>
          </cell>
          <cell r="FG130">
            <v>0.01</v>
          </cell>
          <cell r="FH130">
            <v>0.01</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-0.09</v>
          </cell>
        </row>
        <row r="131">
          <cell r="B131" t="str">
            <v>Total Data Points to Plot in ROE, COE Chart</v>
          </cell>
          <cell r="C131">
            <v>0</v>
          </cell>
        </row>
        <row r="132">
          <cell r="B132" t="str">
            <v>X-Axis Labels</v>
          </cell>
          <cell r="C132" t="str">
            <v>Invisible</v>
          </cell>
          <cell r="D132" t="str">
            <v>Input
Bases</v>
          </cell>
          <cell r="E132" t="str">
            <v>Input
Increments</v>
          </cell>
          <cell r="F132" t="str">
            <v>Value
Gap +Ve</v>
          </cell>
          <cell r="G132" t="str">
            <v>+ Data</v>
          </cell>
          <cell r="H132" t="str">
            <v>- Data</v>
          </cell>
          <cell r="I132" t="str">
            <v>Increment
Labels</v>
          </cell>
          <cell r="J132" t="str">
            <v>Value
Gap -ve</v>
          </cell>
          <cell r="K132" t="str">
            <v>Input
Increments +Ve</v>
          </cell>
          <cell r="L132" t="str">
            <v>Input
Increments -Ve</v>
          </cell>
          <cell r="M132" t="str">
            <v>IV per share (Current)</v>
          </cell>
          <cell r="N132" t="str">
            <v>Expected share price return</v>
          </cell>
          <cell r="O132" t="str">
            <v>IV (12 Months) / IV Current</v>
          </cell>
        </row>
        <row r="133">
          <cell r="B133" t="str">
            <v>Value of
current 
earnings</v>
          </cell>
          <cell r="D133">
            <v>11.814254232916179</v>
          </cell>
          <cell r="M133">
            <v>11.287469314526669</v>
          </cell>
          <cell r="N133">
            <v>11.814254232916179</v>
          </cell>
          <cell r="O133">
            <v>1.0466698870854561</v>
          </cell>
        </row>
        <row r="134">
          <cell r="B134" t="str">
            <v>Value of 
growth in
explicit period</v>
          </cell>
          <cell r="C134">
            <v>11.814254232916179</v>
          </cell>
          <cell r="E134">
            <v>4.0376479573788728</v>
          </cell>
          <cell r="G134">
            <v>4.0376479573788728</v>
          </cell>
          <cell r="H134">
            <v>0</v>
          </cell>
          <cell r="I134">
            <v>4.0376479573788728</v>
          </cell>
          <cell r="K134" t="str">
            <v/>
          </cell>
          <cell r="L134" t="str">
            <v/>
          </cell>
          <cell r="M134">
            <v>3.8576135677525389</v>
          </cell>
          <cell r="N134">
            <v>4.0376479573788728</v>
          </cell>
        </row>
        <row r="135">
          <cell r="B135" t="str">
            <v>Value of
growth in
terminal period</v>
          </cell>
          <cell r="C135">
            <v>15.851902190295052</v>
          </cell>
          <cell r="E135">
            <v>1.5707967400934564</v>
          </cell>
          <cell r="G135">
            <v>1.5707967400934564</v>
          </cell>
          <cell r="H135">
            <v>0</v>
          </cell>
          <cell r="I135">
            <v>1.5707967400934564</v>
          </cell>
          <cell r="K135" t="str">
            <v/>
          </cell>
          <cell r="L135" t="str">
            <v/>
          </cell>
          <cell r="M135">
            <v>1.5007565990720124</v>
          </cell>
          <cell r="N135">
            <v>1.5707967400934564</v>
          </cell>
        </row>
        <row r="136">
          <cell r="B136" t="str">
            <v>Estimated
intrinsic value</v>
          </cell>
          <cell r="D136">
            <v>17.422698930388506</v>
          </cell>
          <cell r="K136">
            <v>17.422698930388506</v>
          </cell>
          <cell r="L136" t="str">
            <v/>
          </cell>
        </row>
        <row r="137">
          <cell r="B137" t="str">
            <v>VALUE GAP</v>
          </cell>
          <cell r="C137">
            <v>13.02</v>
          </cell>
          <cell r="F137">
            <v>4.4026989303885067</v>
          </cell>
          <cell r="J137">
            <v>0</v>
          </cell>
        </row>
        <row r="138">
          <cell r="B138" t="str">
            <v>Current
price</v>
          </cell>
          <cell r="D138">
            <v>13.02</v>
          </cell>
          <cell r="K138">
            <v>13.02</v>
          </cell>
          <cell r="L138" t="str">
            <v/>
          </cell>
        </row>
        <row r="139">
          <cell r="B139" t="str">
            <v>Maximum</v>
          </cell>
          <cell r="C139">
            <v>0.22697660051095553</v>
          </cell>
          <cell r="D139">
            <v>0.25</v>
          </cell>
          <cell r="E139">
            <v>0.30000000000000004</v>
          </cell>
        </row>
        <row r="140">
          <cell r="C140" t="str">
            <v>X Values</v>
          </cell>
          <cell r="D140" t="str">
            <v>Y Value</v>
          </cell>
        </row>
        <row r="142">
          <cell r="B142" t="str">
            <v>Explicit</v>
          </cell>
          <cell r="C142">
            <v>10</v>
          </cell>
          <cell r="D142">
            <v>0.30000000000000004</v>
          </cell>
        </row>
        <row r="143">
          <cell r="C143">
            <v>10</v>
          </cell>
          <cell r="D143">
            <v>0</v>
          </cell>
        </row>
        <row r="144">
          <cell r="B144" t="str">
            <v>Transition</v>
          </cell>
          <cell r="C144">
            <v>15</v>
          </cell>
          <cell r="D144">
            <v>0.30000000000000004</v>
          </cell>
        </row>
        <row r="145">
          <cell r="C145">
            <v>15</v>
          </cell>
          <cell r="D145">
            <v>0</v>
          </cell>
          <cell r="F145">
            <v>11.814254232916179</v>
          </cell>
        </row>
        <row r="148">
          <cell r="B148" t="str">
            <v>Option: Sum-Of-The-parts (SOTP) Valuation</v>
          </cell>
        </row>
        <row r="150">
          <cell r="B150" t="str">
            <v>Net debt/equity ratio for financing investments</v>
          </cell>
          <cell r="C150">
            <v>0.1</v>
          </cell>
        </row>
        <row r="151">
          <cell r="B151" t="str">
            <v>Borrowing Cost</v>
          </cell>
          <cell r="C151">
            <v>0.03</v>
          </cell>
        </row>
        <row r="153">
          <cell r="A153" t="str">
            <v>A.</v>
          </cell>
          <cell r="B153" t="str">
            <v>Investments under the equity method , operating ("Operating EMI")</v>
          </cell>
        </row>
        <row r="155">
          <cell r="B155" t="str">
            <v>1.Fair Value of Operating EMI ( Market value, etc.)</v>
          </cell>
          <cell r="E155">
            <v>0</v>
          </cell>
          <cell r="W155" t="str">
            <v>currentMarketValueOfInvestmentsUnderTheEquityMethodOperating</v>
          </cell>
        </row>
        <row r="157">
          <cell r="B157" t="str">
            <v>2.Book Value of Operating EMI (exclude from BS)</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row>
        <row r="158">
          <cell r="C158">
            <v>648</v>
          </cell>
          <cell r="D158">
            <v>651</v>
          </cell>
          <cell r="E158">
            <v>655</v>
          </cell>
          <cell r="F158">
            <v>660</v>
          </cell>
          <cell r="G158">
            <v>666</v>
          </cell>
          <cell r="H158">
            <v>678</v>
          </cell>
          <cell r="I158">
            <v>690</v>
          </cell>
          <cell r="J158">
            <v>0</v>
          </cell>
          <cell r="K158">
            <v>0</v>
          </cell>
          <cell r="L158">
            <v>0</v>
          </cell>
          <cell r="M158">
            <v>0</v>
          </cell>
          <cell r="N158">
            <v>0</v>
          </cell>
          <cell r="O158">
            <v>0</v>
          </cell>
          <cell r="P158">
            <v>0</v>
          </cell>
          <cell r="Q158">
            <v>0</v>
          </cell>
          <cell r="R158">
            <v>0</v>
          </cell>
          <cell r="S158">
            <v>0</v>
          </cell>
          <cell r="T158">
            <v>0</v>
          </cell>
          <cell r="U158">
            <v>0</v>
          </cell>
          <cell r="V158">
            <v>0</v>
          </cell>
          <cell r="W158" t="str">
            <v>investmentsUnderTheEquityMethodOperating</v>
          </cell>
        </row>
        <row r="159">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row>
        <row r="160">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t="str">
            <v>investmentsInSubsidiaries</v>
          </cell>
        </row>
        <row r="161">
          <cell r="C161">
            <v>0</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t="str">
            <v>investmentsInAssociates</v>
          </cell>
        </row>
        <row r="162">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t="str">
            <v>investmentsInJointVentures</v>
          </cell>
        </row>
        <row r="164">
          <cell r="B164" t="str">
            <v>3.Income from Operating EMI (exclude from IS)</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row>
        <row r="165">
          <cell r="C165">
            <v>27</v>
          </cell>
          <cell r="D165">
            <v>3</v>
          </cell>
          <cell r="E165">
            <v>4</v>
          </cell>
          <cell r="F165">
            <v>5</v>
          </cell>
          <cell r="G165">
            <v>6</v>
          </cell>
          <cell r="H165">
            <v>12</v>
          </cell>
          <cell r="I165">
            <v>12</v>
          </cell>
          <cell r="J165">
            <v>0</v>
          </cell>
          <cell r="K165">
            <v>0</v>
          </cell>
          <cell r="L165">
            <v>0</v>
          </cell>
          <cell r="M165">
            <v>0</v>
          </cell>
          <cell r="N165">
            <v>0</v>
          </cell>
          <cell r="O165">
            <v>0</v>
          </cell>
          <cell r="P165">
            <v>0</v>
          </cell>
          <cell r="Q165">
            <v>0</v>
          </cell>
          <cell r="R165">
            <v>0</v>
          </cell>
          <cell r="S165">
            <v>0</v>
          </cell>
          <cell r="T165">
            <v>0</v>
          </cell>
          <cell r="U165">
            <v>0</v>
          </cell>
          <cell r="V165">
            <v>0</v>
          </cell>
          <cell r="W165" t="str">
            <v>incomeLossFromInvestmentsAccountedForUnderTheEquityMethodOperatingIncomeStatement</v>
          </cell>
        </row>
        <row r="166">
          <cell r="C166">
            <v>18.873000000000001</v>
          </cell>
          <cell r="D166">
            <v>2.0970000000000004</v>
          </cell>
          <cell r="E166">
            <v>2.7960000000000003</v>
          </cell>
          <cell r="F166">
            <v>3.4950000000000001</v>
          </cell>
          <cell r="G166">
            <v>4.1940000000000008</v>
          </cell>
          <cell r="H166">
            <v>8.3880000000000017</v>
          </cell>
          <cell r="I166">
            <v>8.3880000000000017</v>
          </cell>
          <cell r="J166">
            <v>0</v>
          </cell>
          <cell r="K166">
            <v>0</v>
          </cell>
          <cell r="L166">
            <v>0</v>
          </cell>
          <cell r="M166">
            <v>0</v>
          </cell>
          <cell r="N166">
            <v>0</v>
          </cell>
          <cell r="O166">
            <v>0</v>
          </cell>
          <cell r="P166">
            <v>0</v>
          </cell>
          <cell r="Q166">
            <v>0</v>
          </cell>
          <cell r="R166">
            <v>0</v>
          </cell>
          <cell r="S166">
            <v>0</v>
          </cell>
          <cell r="T166">
            <v>0</v>
          </cell>
          <cell r="U166">
            <v>0</v>
          </cell>
          <cell r="V166">
            <v>0</v>
          </cell>
        </row>
        <row r="167">
          <cell r="C167">
            <v>27</v>
          </cell>
          <cell r="D167">
            <v>3</v>
          </cell>
          <cell r="E167">
            <v>4</v>
          </cell>
          <cell r="F167">
            <v>5</v>
          </cell>
          <cell r="G167">
            <v>6</v>
          </cell>
          <cell r="H167">
            <v>12</v>
          </cell>
          <cell r="I167">
            <v>12</v>
          </cell>
          <cell r="J167">
            <v>0</v>
          </cell>
          <cell r="K167">
            <v>0</v>
          </cell>
          <cell r="L167">
            <v>0</v>
          </cell>
          <cell r="M167">
            <v>0</v>
          </cell>
          <cell r="N167">
            <v>0</v>
          </cell>
          <cell r="O167">
            <v>0</v>
          </cell>
          <cell r="P167">
            <v>0</v>
          </cell>
          <cell r="Q167">
            <v>0</v>
          </cell>
          <cell r="R167">
            <v>0</v>
          </cell>
          <cell r="S167">
            <v>0</v>
          </cell>
          <cell r="T167">
            <v>0</v>
          </cell>
          <cell r="U167">
            <v>0</v>
          </cell>
          <cell r="V167">
            <v>0</v>
          </cell>
          <cell r="W167" t="str">
            <v>incomeLossFromInvestmentsUnderTheEquityMethodOperatingPreTax</v>
          </cell>
        </row>
        <row r="168">
          <cell r="C168">
            <v>0.30099999999999999</v>
          </cell>
          <cell r="D168">
            <v>0.30099999999999999</v>
          </cell>
          <cell r="E168">
            <v>0.30099999999999999</v>
          </cell>
          <cell r="F168">
            <v>0.30099999999999999</v>
          </cell>
          <cell r="G168">
            <v>0.30099999999999999</v>
          </cell>
          <cell r="H168">
            <v>0.30099999999999999</v>
          </cell>
          <cell r="I168">
            <v>0.30099999999999999</v>
          </cell>
          <cell r="J168">
            <v>0</v>
          </cell>
          <cell r="K168">
            <v>0</v>
          </cell>
          <cell r="L168">
            <v>0</v>
          </cell>
          <cell r="M168">
            <v>0</v>
          </cell>
          <cell r="N168">
            <v>0</v>
          </cell>
          <cell r="O168">
            <v>0</v>
          </cell>
          <cell r="P168">
            <v>0</v>
          </cell>
          <cell r="Q168">
            <v>0</v>
          </cell>
          <cell r="R168">
            <v>0</v>
          </cell>
          <cell r="S168">
            <v>0</v>
          </cell>
          <cell r="T168">
            <v>0</v>
          </cell>
          <cell r="U168">
            <v>0</v>
          </cell>
          <cell r="V168">
            <v>0</v>
          </cell>
          <cell r="W168" t="str">
            <v>statutoryTaxRate</v>
          </cell>
        </row>
        <row r="170">
          <cell r="B170" t="str">
            <v>4.Financing of Operating EMI (exclude from BS)</v>
          </cell>
        </row>
        <row r="171">
          <cell r="B171" t="str">
            <v xml:space="preserve">  Debt used to finance Operating EMI</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row>
        <row r="172">
          <cell r="B172" t="str">
            <v xml:space="preserve">  Equity used to finance Operating EMI</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row>
        <row r="174">
          <cell r="B174" t="str">
            <v>5.Cost of financing (exclude from IS)</v>
          </cell>
        </row>
        <row r="175">
          <cell r="B175" t="str">
            <v xml:space="preserve">   Borrowing cost on debt used to finance Operating EMI</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row>
        <row r="177">
          <cell r="B177" t="str">
            <v>6.Exclusions from Beginning BS</v>
          </cell>
        </row>
        <row r="178">
          <cell r="B178" t="str">
            <v xml:space="preserve">    Operating EMI</v>
          </cell>
          <cell r="C178">
            <v>0</v>
          </cell>
        </row>
        <row r="179">
          <cell r="C179">
            <v>1081</v>
          </cell>
        </row>
        <row r="180">
          <cell r="C180">
            <v>0</v>
          </cell>
        </row>
        <row r="181">
          <cell r="C181">
            <v>0</v>
          </cell>
        </row>
        <row r="182">
          <cell r="C182">
            <v>0</v>
          </cell>
        </row>
        <row r="183">
          <cell r="C183">
            <v>0</v>
          </cell>
        </row>
        <row r="184">
          <cell r="B184" t="str">
            <v xml:space="preserve">   Debt used to finance Operating EMI</v>
          </cell>
          <cell r="C184">
            <v>0</v>
          </cell>
        </row>
        <row r="185">
          <cell r="B185" t="str">
            <v xml:space="preserve">    Equity used to finance Operating EMI</v>
          </cell>
          <cell r="C185">
            <v>0</v>
          </cell>
        </row>
        <row r="188">
          <cell r="A188" t="str">
            <v>B.</v>
          </cell>
          <cell r="B188" t="str">
            <v>Investments under the equity method , nonoperating ("Non-op. EMI")</v>
          </cell>
        </row>
        <row r="190">
          <cell r="B190" t="str">
            <v>1.Fair Value of Non-op. EMI ( Market value, etc.)</v>
          </cell>
          <cell r="E190">
            <v>0</v>
          </cell>
          <cell r="W190" t="str">
            <v>currentShareOfMarketValueOfAssociatesAccountedForUnderTheEquityMethodNonOperating</v>
          </cell>
        </row>
        <row r="192">
          <cell r="B192" t="str">
            <v>2.Book Value of Non-op. EMI (exclude from BS)</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t="str">
            <v>investmentsUnderTheEquityMethodNonOperating</v>
          </cell>
        </row>
        <row r="194">
          <cell r="B194" t="str">
            <v>3.Income from Non-op. EMI (exclude from IS)</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row>
        <row r="195">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t="str">
            <v>incomeLossFromInvestmentsAccountedForUnderTheEquityMethodNonOperatingIncomeStatement</v>
          </cell>
        </row>
        <row r="196">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row>
        <row r="197">
          <cell r="C197">
            <v>0</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t="str">
            <v>incomeLossFromInvestmentsUnderTheEquityMethodNonOperatingPreTax</v>
          </cell>
        </row>
        <row r="198">
          <cell r="C198">
            <v>0.30099999999999999</v>
          </cell>
          <cell r="D198">
            <v>0.30099999999999999</v>
          </cell>
          <cell r="E198">
            <v>0.30099999999999999</v>
          </cell>
          <cell r="F198">
            <v>0.30099999999999999</v>
          </cell>
          <cell r="G198">
            <v>0.30099999999999999</v>
          </cell>
          <cell r="H198">
            <v>0.30099999999999999</v>
          </cell>
          <cell r="I198">
            <v>0.30099999999999999</v>
          </cell>
          <cell r="J198">
            <v>0</v>
          </cell>
          <cell r="K198">
            <v>0</v>
          </cell>
          <cell r="L198">
            <v>0</v>
          </cell>
          <cell r="M198">
            <v>0</v>
          </cell>
          <cell r="N198">
            <v>0</v>
          </cell>
          <cell r="O198">
            <v>0</v>
          </cell>
          <cell r="P198">
            <v>0</v>
          </cell>
          <cell r="Q198">
            <v>0</v>
          </cell>
          <cell r="R198">
            <v>0</v>
          </cell>
          <cell r="S198">
            <v>0</v>
          </cell>
          <cell r="T198">
            <v>0</v>
          </cell>
          <cell r="U198">
            <v>0</v>
          </cell>
          <cell r="V198">
            <v>0</v>
          </cell>
          <cell r="W198" t="str">
            <v>statutoryTaxRate</v>
          </cell>
        </row>
        <row r="200">
          <cell r="B200" t="str">
            <v>4.Financing of Non-op. EMI (exclude from BS)</v>
          </cell>
        </row>
        <row r="201">
          <cell r="B201" t="str">
            <v xml:space="preserve">  Debt used to finance Non-op. EMI</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row>
        <row r="202">
          <cell r="B202" t="str">
            <v xml:space="preserve">  Equity used to finance Non-op. EMI</v>
          </cell>
          <cell r="C202">
            <v>0</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row>
        <row r="204">
          <cell r="B204" t="str">
            <v>5.Cost of financing (exclude from IS)</v>
          </cell>
        </row>
        <row r="205">
          <cell r="B205" t="str">
            <v xml:space="preserve">   Borrowing cost on debt used to finance Nonoperating EMI</v>
          </cell>
          <cell r="C205">
            <v>0</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7">
          <cell r="B207" t="str">
            <v>6.Exclusions from Beginning BS</v>
          </cell>
        </row>
        <row r="208">
          <cell r="B208" t="str">
            <v xml:space="preserve">   Non -op. EMI</v>
          </cell>
          <cell r="C208">
            <v>0</v>
          </cell>
        </row>
        <row r="209">
          <cell r="B209" t="str">
            <v xml:space="preserve">  Debt used to finance Non-op. EMI</v>
          </cell>
          <cell r="C209">
            <v>0</v>
          </cell>
        </row>
        <row r="210">
          <cell r="B210" t="str">
            <v xml:space="preserve">   Equity used to finance Non-op. EMI</v>
          </cell>
          <cell r="C210">
            <v>0</v>
          </cell>
        </row>
        <row r="213">
          <cell r="A213" t="str">
            <v>C.</v>
          </cell>
          <cell r="B213" t="str">
            <v>Investments , nonoperating ("Non-Op. Inv.")</v>
          </cell>
        </row>
        <row r="215">
          <cell r="B215" t="str">
            <v>1.Fair Value of Non-Op Inv. ( Market value, etc.)</v>
          </cell>
          <cell r="E215">
            <v>0</v>
          </cell>
          <cell r="W215" t="str">
            <v>currentMarketValueOfInvestmentsNonOperating</v>
          </cell>
        </row>
        <row r="217">
          <cell r="B217" t="str">
            <v>2.Book Value of Non-Op Inv. (exclude from BS)</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row>
        <row r="218">
          <cell r="C218">
            <v>374</v>
          </cell>
          <cell r="D218">
            <v>374</v>
          </cell>
          <cell r="E218">
            <v>374</v>
          </cell>
          <cell r="F218">
            <v>374</v>
          </cell>
          <cell r="G218">
            <v>374</v>
          </cell>
          <cell r="H218">
            <v>374</v>
          </cell>
          <cell r="I218">
            <v>374</v>
          </cell>
          <cell r="J218">
            <v>0</v>
          </cell>
          <cell r="K218">
            <v>0</v>
          </cell>
          <cell r="L218">
            <v>0</v>
          </cell>
          <cell r="M218">
            <v>0</v>
          </cell>
          <cell r="N218">
            <v>0</v>
          </cell>
          <cell r="O218">
            <v>0</v>
          </cell>
          <cell r="P218">
            <v>0</v>
          </cell>
          <cell r="Q218">
            <v>0</v>
          </cell>
          <cell r="R218">
            <v>0</v>
          </cell>
          <cell r="S218">
            <v>0</v>
          </cell>
          <cell r="T218">
            <v>0</v>
          </cell>
          <cell r="U218">
            <v>0</v>
          </cell>
          <cell r="V218">
            <v>0</v>
          </cell>
          <cell r="W218" t="str">
            <v>investmentsNonOperating</v>
          </cell>
        </row>
        <row r="219">
          <cell r="C219">
            <v>374</v>
          </cell>
          <cell r="D219">
            <v>374</v>
          </cell>
          <cell r="E219">
            <v>374</v>
          </cell>
          <cell r="F219">
            <v>374</v>
          </cell>
          <cell r="G219">
            <v>374</v>
          </cell>
          <cell r="H219">
            <v>374</v>
          </cell>
          <cell r="I219">
            <v>374</v>
          </cell>
          <cell r="J219">
            <v>0</v>
          </cell>
          <cell r="K219">
            <v>0</v>
          </cell>
          <cell r="L219">
            <v>0</v>
          </cell>
          <cell r="M219">
            <v>0</v>
          </cell>
          <cell r="N219">
            <v>0</v>
          </cell>
          <cell r="O219">
            <v>0</v>
          </cell>
          <cell r="P219">
            <v>0</v>
          </cell>
          <cell r="Q219">
            <v>0</v>
          </cell>
          <cell r="R219">
            <v>0</v>
          </cell>
          <cell r="S219">
            <v>0</v>
          </cell>
          <cell r="T219">
            <v>0</v>
          </cell>
          <cell r="U219">
            <v>0</v>
          </cell>
          <cell r="V219">
            <v>0</v>
          </cell>
        </row>
        <row r="220">
          <cell r="C220">
            <v>277</v>
          </cell>
          <cell r="D220">
            <v>277</v>
          </cell>
          <cell r="E220">
            <v>277</v>
          </cell>
          <cell r="F220">
            <v>277</v>
          </cell>
          <cell r="G220">
            <v>277</v>
          </cell>
          <cell r="H220">
            <v>277</v>
          </cell>
          <cell r="I220">
            <v>277</v>
          </cell>
          <cell r="J220">
            <v>0</v>
          </cell>
          <cell r="K220">
            <v>0</v>
          </cell>
          <cell r="L220">
            <v>0</v>
          </cell>
          <cell r="M220">
            <v>0</v>
          </cell>
          <cell r="N220">
            <v>0</v>
          </cell>
          <cell r="O220">
            <v>0</v>
          </cell>
          <cell r="P220">
            <v>0</v>
          </cell>
          <cell r="Q220">
            <v>0</v>
          </cell>
          <cell r="R220">
            <v>0</v>
          </cell>
          <cell r="S220">
            <v>0</v>
          </cell>
          <cell r="T220">
            <v>0</v>
          </cell>
          <cell r="U220">
            <v>0</v>
          </cell>
          <cell r="V220">
            <v>0</v>
          </cell>
          <cell r="W220" t="str">
            <v>shortTermInvestmentsCalc</v>
          </cell>
        </row>
        <row r="221">
          <cell r="C221">
            <v>97</v>
          </cell>
          <cell r="D221">
            <v>97</v>
          </cell>
          <cell r="E221">
            <v>97</v>
          </cell>
          <cell r="F221">
            <v>97</v>
          </cell>
          <cell r="G221">
            <v>97</v>
          </cell>
          <cell r="H221">
            <v>97</v>
          </cell>
          <cell r="I221">
            <v>97</v>
          </cell>
          <cell r="J221">
            <v>0</v>
          </cell>
          <cell r="K221">
            <v>0</v>
          </cell>
          <cell r="L221">
            <v>0</v>
          </cell>
          <cell r="M221">
            <v>0</v>
          </cell>
          <cell r="N221">
            <v>0</v>
          </cell>
          <cell r="O221">
            <v>0</v>
          </cell>
          <cell r="P221">
            <v>0</v>
          </cell>
          <cell r="Q221">
            <v>0</v>
          </cell>
          <cell r="R221">
            <v>0</v>
          </cell>
          <cell r="S221">
            <v>0</v>
          </cell>
          <cell r="T221">
            <v>0</v>
          </cell>
          <cell r="U221">
            <v>0</v>
          </cell>
          <cell r="V221">
            <v>0</v>
          </cell>
          <cell r="W221" t="str">
            <v>longTermInvestmentsNonOperating</v>
          </cell>
        </row>
        <row r="223">
          <cell r="B223" t="str">
            <v>3.Income from Non-Op Inv. (exclude from IS)</v>
          </cell>
          <cell r="C223">
            <v>0</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row>
        <row r="224">
          <cell r="C224">
            <v>0</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t="str">
            <v>incomeLossesFromInvestmentsNonOperating</v>
          </cell>
        </row>
        <row r="225">
          <cell r="C225">
            <v>0.30099999999999999</v>
          </cell>
          <cell r="D225">
            <v>0.30099999999999999</v>
          </cell>
          <cell r="E225">
            <v>0.30099999999999999</v>
          </cell>
          <cell r="F225">
            <v>0.30099999999999999</v>
          </cell>
          <cell r="G225">
            <v>0.30099999999999999</v>
          </cell>
          <cell r="H225">
            <v>0.30099999999999999</v>
          </cell>
          <cell r="I225">
            <v>0.30099999999999999</v>
          </cell>
          <cell r="J225">
            <v>0</v>
          </cell>
          <cell r="K225">
            <v>0</v>
          </cell>
          <cell r="L225">
            <v>0</v>
          </cell>
          <cell r="M225">
            <v>0</v>
          </cell>
          <cell r="N225">
            <v>0</v>
          </cell>
          <cell r="O225">
            <v>0</v>
          </cell>
          <cell r="P225">
            <v>0</v>
          </cell>
          <cell r="Q225">
            <v>0</v>
          </cell>
          <cell r="R225">
            <v>0</v>
          </cell>
          <cell r="S225">
            <v>0</v>
          </cell>
          <cell r="T225">
            <v>0</v>
          </cell>
          <cell r="U225">
            <v>0</v>
          </cell>
          <cell r="V225">
            <v>0</v>
          </cell>
          <cell r="W225" t="str">
            <v>statutoryTaxRate</v>
          </cell>
        </row>
        <row r="227">
          <cell r="B227" t="str">
            <v>4.Financing of Non-Op Inv. (exclude from BS)</v>
          </cell>
        </row>
        <row r="228">
          <cell r="B228" t="str">
            <v xml:space="preserve">  Debt used to finance Non-Op Inv.</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row>
        <row r="229">
          <cell r="B229" t="str">
            <v xml:space="preserve">  Equity used to finance Non-Op Inv.</v>
          </cell>
          <cell r="C229">
            <v>0</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row>
        <row r="231">
          <cell r="B231" t="str">
            <v>5.Cost of financing (exclude from IS)</v>
          </cell>
        </row>
        <row r="232">
          <cell r="B232" t="str">
            <v xml:space="preserve">   Borrowing cost on debt used to finance Non - Op Inv.</v>
          </cell>
          <cell r="C232">
            <v>0</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row>
        <row r="234">
          <cell r="B234" t="str">
            <v>6.Exclusions from Beginning BS</v>
          </cell>
        </row>
        <row r="235">
          <cell r="B235" t="str">
            <v xml:space="preserve">   Non-Op Inv.</v>
          </cell>
          <cell r="C235">
            <v>0</v>
          </cell>
        </row>
        <row r="236">
          <cell r="C236">
            <v>374</v>
          </cell>
        </row>
        <row r="237">
          <cell r="C237">
            <v>374</v>
          </cell>
        </row>
        <row r="238">
          <cell r="C238">
            <v>277</v>
          </cell>
        </row>
        <row r="239">
          <cell r="C239">
            <v>97</v>
          </cell>
        </row>
        <row r="240">
          <cell r="B240" t="str">
            <v xml:space="preserve">  Debt used to finance Non-Op Inv.</v>
          </cell>
          <cell r="C240">
            <v>0</v>
          </cell>
        </row>
        <row r="241">
          <cell r="B241" t="str">
            <v xml:space="preserve">   Equity used to finance Non-Op. Inv.</v>
          </cell>
          <cell r="C241">
            <v>0</v>
          </cell>
        </row>
        <row r="243">
          <cell r="B243" t="str">
            <v xml:space="preserve"> Total market value of investments</v>
          </cell>
          <cell r="C243">
            <v>0</v>
          </cell>
        </row>
        <row r="244">
          <cell r="B244" t="str">
            <v>Total debt used to finance investments at beginning BS</v>
          </cell>
          <cell r="C244">
            <v>0</v>
          </cell>
        </row>
        <row r="245">
          <cell r="B245" t="str">
            <v>Total equity used to finance investments at beginning BS</v>
          </cell>
          <cell r="C245">
            <v>0</v>
          </cell>
        </row>
        <row r="247">
          <cell r="A247" t="str">
            <v>D.</v>
          </cell>
          <cell r="B247" t="str">
            <v>Separate extra cash</v>
          </cell>
        </row>
        <row r="249">
          <cell r="B249" t="str">
            <v>Cash to be removed</v>
          </cell>
        </row>
        <row r="250">
          <cell r="B250" t="str">
            <v>Interest rate applied</v>
          </cell>
        </row>
        <row r="251">
          <cell r="B251" t="str">
            <v>Interest income to be removed</v>
          </cell>
          <cell r="C251">
            <v>0</v>
          </cell>
        </row>
        <row r="252">
          <cell r="B252" t="str">
            <v>Cash to be added back</v>
          </cell>
          <cell r="C252">
            <v>0</v>
          </cell>
        </row>
        <row r="272">
          <cell r="B272" t="str">
            <v>3 Stage presentation</v>
          </cell>
          <cell r="C272" t="str">
            <v>Explicit
 Period</v>
          </cell>
          <cell r="D272" t="str">
            <v/>
          </cell>
          <cell r="E272" t="str">
            <v/>
          </cell>
          <cell r="F272" t="str">
            <v/>
          </cell>
          <cell r="G272" t="str">
            <v/>
          </cell>
          <cell r="H272" t="str">
            <v/>
          </cell>
          <cell r="I272" t="str">
            <v/>
          </cell>
          <cell r="J272" t="str">
            <v/>
          </cell>
          <cell r="K272" t="str">
            <v/>
          </cell>
          <cell r="L272" t="str">
            <v/>
          </cell>
          <cell r="M272" t="str">
            <v>Transition
 Period</v>
          </cell>
          <cell r="N272" t="str">
            <v>Steady 
State</v>
          </cell>
          <cell r="O272" t="str">
            <v/>
          </cell>
          <cell r="P272" t="str">
            <v/>
          </cell>
          <cell r="Q272" t="str">
            <v/>
          </cell>
          <cell r="R272" t="str">
            <v/>
          </cell>
          <cell r="S272" t="str">
            <v/>
          </cell>
          <cell r="T272" t="str">
            <v/>
          </cell>
          <cell r="U272" t="str">
            <v/>
          </cell>
          <cell r="V272" t="str">
            <v/>
          </cell>
        </row>
        <row r="273">
          <cell r="C273" t="str">
            <v>E</v>
          </cell>
          <cell r="D273" t="str">
            <v>E</v>
          </cell>
          <cell r="E273" t="str">
            <v>E</v>
          </cell>
          <cell r="F273" t="str">
            <v>E</v>
          </cell>
          <cell r="G273" t="str">
            <v>E</v>
          </cell>
          <cell r="H273" t="str">
            <v>E</v>
          </cell>
          <cell r="I273" t="str">
            <v>E</v>
          </cell>
          <cell r="J273" t="str">
            <v>E</v>
          </cell>
          <cell r="K273" t="str">
            <v>E</v>
          </cell>
          <cell r="L273" t="str">
            <v>E</v>
          </cell>
          <cell r="M273" t="str">
            <v>T</v>
          </cell>
          <cell r="N273" t="str">
            <v>S</v>
          </cell>
          <cell r="O273" t="str">
            <v/>
          </cell>
          <cell r="P273" t="str">
            <v/>
          </cell>
          <cell r="Q273" t="str">
            <v/>
          </cell>
          <cell r="R273" t="str">
            <v/>
          </cell>
          <cell r="S273" t="str">
            <v/>
          </cell>
          <cell r="T273" t="str">
            <v/>
          </cell>
          <cell r="U273" t="str">
            <v/>
          </cell>
          <cell r="V273" t="str">
            <v/>
          </cell>
        </row>
        <row r="274">
          <cell r="C274" t="str">
            <v>F2011e</v>
          </cell>
          <cell r="D274" t="str">
            <v>F2012e</v>
          </cell>
          <cell r="E274" t="str">
            <v>F2013e</v>
          </cell>
          <cell r="F274" t="str">
            <v>F2014e</v>
          </cell>
          <cell r="G274" t="str">
            <v>F2015e</v>
          </cell>
          <cell r="H274" t="str">
            <v>F2016e</v>
          </cell>
          <cell r="I274" t="str">
            <v>F2017e</v>
          </cell>
          <cell r="J274" t="str">
            <v>F2018e</v>
          </cell>
          <cell r="K274" t="str">
            <v>F2019e</v>
          </cell>
          <cell r="L274" t="str">
            <v>F2020e</v>
          </cell>
          <cell r="M274" t="str">
            <v>F2021e to 
F2025e</v>
          </cell>
          <cell r="N274" t="str">
            <v>F2026e
 and onwards</v>
          </cell>
          <cell r="O274" t="str">
            <v/>
          </cell>
          <cell r="P274" t="str">
            <v/>
          </cell>
          <cell r="Q274" t="str">
            <v/>
          </cell>
          <cell r="R274" t="str">
            <v/>
          </cell>
          <cell r="S274" t="str">
            <v/>
          </cell>
          <cell r="T274" t="str">
            <v/>
          </cell>
          <cell r="U274" t="str">
            <v/>
          </cell>
          <cell r="V274" t="str">
            <v/>
          </cell>
        </row>
        <row r="275">
          <cell r="B275" t="str">
            <v>Operating Level</v>
          </cell>
        </row>
        <row r="276">
          <cell r="B276" t="str">
            <v>Operating revenue</v>
          </cell>
          <cell r="C276">
            <v>27505.09188628069</v>
          </cell>
          <cell r="D276">
            <v>28080.762580190938</v>
          </cell>
          <cell r="E276">
            <v>29070.960422685701</v>
          </cell>
          <cell r="F276">
            <v>30364.704342479254</v>
          </cell>
          <cell r="G276">
            <v>31955.00844997169</v>
          </cell>
          <cell r="H276">
            <v>32978.468728226682</v>
          </cell>
          <cell r="I276">
            <v>33942.997185762615</v>
          </cell>
          <cell r="J276">
            <v>35282.304877439426</v>
          </cell>
          <cell r="K276">
            <v>36496.783216104137</v>
          </cell>
          <cell r="L276">
            <v>37687.052714815189</v>
          </cell>
          <cell r="M276" t="str">
            <v/>
          </cell>
          <cell r="N276" t="str">
            <v/>
          </cell>
          <cell r="O276" t="str">
            <v/>
          </cell>
          <cell r="P276" t="str">
            <v/>
          </cell>
          <cell r="Q276" t="str">
            <v/>
          </cell>
          <cell r="R276" t="str">
            <v/>
          </cell>
          <cell r="S276" t="str">
            <v/>
          </cell>
          <cell r="T276" t="str">
            <v/>
          </cell>
          <cell r="U276" t="str">
            <v/>
          </cell>
          <cell r="V276" t="str">
            <v/>
          </cell>
        </row>
        <row r="277">
          <cell r="B277" t="str">
            <v>Operating revenue growth</v>
          </cell>
          <cell r="C277">
            <v>0</v>
          </cell>
          <cell r="D277">
            <v>2.0929604463433504E-2</v>
          </cell>
          <cell r="E277">
            <v>3.5262498291028566E-2</v>
          </cell>
          <cell r="F277">
            <v>4.4502964504192111E-2</v>
          </cell>
          <cell r="G277">
            <v>5.2373442848500096E-2</v>
          </cell>
          <cell r="H277">
            <v>3.2028164844872586E-2</v>
          </cell>
          <cell r="I277">
            <v>2.9247217797907732E-2</v>
          </cell>
          <cell r="J277">
            <v>3.9457555393445976E-2</v>
          </cell>
          <cell r="K277">
            <v>3.4421740384690258E-2</v>
          </cell>
          <cell r="L277">
            <v>3.2612997470578442E-2</v>
          </cell>
          <cell r="M277">
            <v>2.5045198988231376E-2</v>
          </cell>
          <cell r="N277">
            <v>1.9999999999999948E-2</v>
          </cell>
          <cell r="O277" t="str">
            <v/>
          </cell>
          <cell r="P277" t="str">
            <v/>
          </cell>
          <cell r="Q277" t="str">
            <v/>
          </cell>
          <cell r="R277" t="str">
            <v/>
          </cell>
          <cell r="S277" t="str">
            <v/>
          </cell>
          <cell r="T277" t="str">
            <v/>
          </cell>
          <cell r="U277" t="str">
            <v/>
          </cell>
          <cell r="V277" t="str">
            <v/>
          </cell>
        </row>
        <row r="278">
          <cell r="B278" t="str">
            <v>Operating asset turnover</v>
          </cell>
          <cell r="C278">
            <v>0.73350628128573692</v>
          </cell>
          <cell r="D278">
            <v>0.76898852546093244</v>
          </cell>
          <cell r="E278">
            <v>0.77282665922064986</v>
          </cell>
          <cell r="F278">
            <v>0.7969073726856607</v>
          </cell>
          <cell r="G278">
            <v>0.84311081475934424</v>
          </cell>
          <cell r="H278">
            <v>0.87489743566279399</v>
          </cell>
          <cell r="I278">
            <v>0.90203367938891243</v>
          </cell>
          <cell r="J278">
            <v>0.93482391653325203</v>
          </cell>
          <cell r="K278">
            <v>0.97055418643836988</v>
          </cell>
          <cell r="L278">
            <v>1.0045744889527117</v>
          </cell>
          <cell r="M278">
            <v>0.99759350067803632</v>
          </cell>
          <cell r="N278">
            <v>0.66552670176643902</v>
          </cell>
          <cell r="O278" t="str">
            <v/>
          </cell>
          <cell r="P278" t="str">
            <v/>
          </cell>
          <cell r="Q278" t="str">
            <v/>
          </cell>
          <cell r="R278" t="str">
            <v/>
          </cell>
          <cell r="S278" t="str">
            <v/>
          </cell>
          <cell r="T278" t="str">
            <v/>
          </cell>
          <cell r="U278" t="str">
            <v/>
          </cell>
          <cell r="V278" t="str">
            <v/>
          </cell>
        </row>
        <row r="279">
          <cell r="B279" t="str">
            <v>NOPAT</v>
          </cell>
          <cell r="C279">
            <v>5508.5944322775413</v>
          </cell>
          <cell r="D279">
            <v>6169.625006978933</v>
          </cell>
          <cell r="E279">
            <v>6417.9773939599063</v>
          </cell>
          <cell r="F279">
            <v>6834.3283572886839</v>
          </cell>
          <cell r="G279">
            <v>6947.6728647068194</v>
          </cell>
          <cell r="H279">
            <v>7116.4653958988301</v>
          </cell>
          <cell r="I279">
            <v>7430.6157346901791</v>
          </cell>
          <cell r="J279">
            <v>7830.0993327990491</v>
          </cell>
          <cell r="K279">
            <v>8135.7979433531527</v>
          </cell>
          <cell r="L279">
            <v>8387.0614539920571</v>
          </cell>
          <cell r="M279" t="str">
            <v/>
          </cell>
          <cell r="N279" t="str">
            <v/>
          </cell>
          <cell r="O279" t="str">
            <v/>
          </cell>
          <cell r="P279" t="str">
            <v/>
          </cell>
          <cell r="Q279" t="str">
            <v/>
          </cell>
          <cell r="R279" t="str">
            <v/>
          </cell>
          <cell r="S279" t="str">
            <v/>
          </cell>
          <cell r="T279" t="str">
            <v/>
          </cell>
          <cell r="U279" t="str">
            <v/>
          </cell>
          <cell r="V279" t="str">
            <v/>
          </cell>
        </row>
        <row r="280">
          <cell r="B280" t="str">
            <v>NOPAT margin</v>
          </cell>
          <cell r="C280">
            <v>0.20027544190918273</v>
          </cell>
          <cell r="D280">
            <v>0.21971002352091329</v>
          </cell>
          <cell r="E280">
            <v>0.22076936229982957</v>
          </cell>
          <cell r="F280">
            <v>0.22507475390523321</v>
          </cell>
          <cell r="G280">
            <v>0.21742046714160623</v>
          </cell>
          <cell r="H280">
            <v>0.21579126230951284</v>
          </cell>
          <cell r="I280">
            <v>0.21891454352201253</v>
          </cell>
          <cell r="J280">
            <v>0.22192709234837579</v>
          </cell>
          <cell r="K280">
            <v>0.22291821981075985</v>
          </cell>
          <cell r="L280">
            <v>0.22254490202400498</v>
          </cell>
          <cell r="M280">
            <v>0.21826124411099998</v>
          </cell>
          <cell r="N280">
            <v>0.15004656509724815</v>
          </cell>
          <cell r="O280" t="str">
            <v/>
          </cell>
          <cell r="P280" t="str">
            <v/>
          </cell>
          <cell r="Q280" t="str">
            <v/>
          </cell>
          <cell r="R280" t="str">
            <v/>
          </cell>
          <cell r="S280" t="str">
            <v/>
          </cell>
          <cell r="T280" t="str">
            <v/>
          </cell>
          <cell r="U280" t="str">
            <v/>
          </cell>
          <cell r="V280" t="str">
            <v/>
          </cell>
        </row>
        <row r="281">
          <cell r="B281" t="str">
            <v>Net operating assets</v>
          </cell>
          <cell r="C281">
            <v>36516.49101442613</v>
          </cell>
          <cell r="D281">
            <v>37616.404760159348</v>
          </cell>
          <cell r="E281">
            <v>38103.179093634237</v>
          </cell>
          <cell r="F281">
            <v>37901.314857517107</v>
          </cell>
          <cell r="G281">
            <v>37694.096912334942</v>
          </cell>
          <cell r="H281">
            <v>37629.412250723813</v>
          </cell>
          <cell r="I281">
            <v>37742.193212473743</v>
          </cell>
          <cell r="J281">
            <v>37604.065518521857</v>
          </cell>
          <cell r="K281">
            <v>37515.438754675793</v>
          </cell>
          <cell r="L281">
            <v>37466.733683656072</v>
          </cell>
          <cell r="M281" t="str">
            <v/>
          </cell>
          <cell r="N281" t="str">
            <v/>
          </cell>
          <cell r="O281" t="str">
            <v/>
          </cell>
          <cell r="P281" t="str">
            <v/>
          </cell>
          <cell r="Q281" t="str">
            <v/>
          </cell>
          <cell r="R281" t="str">
            <v/>
          </cell>
          <cell r="S281" t="str">
            <v/>
          </cell>
          <cell r="T281" t="str">
            <v/>
          </cell>
          <cell r="U281" t="str">
            <v/>
          </cell>
          <cell r="V281" t="str">
            <v/>
          </cell>
        </row>
        <row r="282">
          <cell r="B282" t="str">
            <v>RNOA</v>
          </cell>
          <cell r="C282">
            <v>0.14690329462766225</v>
          </cell>
          <cell r="D282">
            <v>0.16895448701633389</v>
          </cell>
          <cell r="E282">
            <v>0.17061644872445059</v>
          </cell>
          <cell r="F282">
            <v>0.17936373079249104</v>
          </cell>
          <cell r="G282">
            <v>0.18330954719711687</v>
          </cell>
          <cell r="H282">
            <v>0.18879522203303012</v>
          </cell>
          <cell r="I282">
            <v>0.19746829116490516</v>
          </cell>
          <cell r="J282">
            <v>0.20746275365394537</v>
          </cell>
          <cell r="K282">
            <v>0.21635421147072173</v>
          </cell>
          <cell r="L282">
            <v>0.22356293121979609</v>
          </cell>
          <cell r="M282">
            <v>0.21771610007940687</v>
          </cell>
          <cell r="N282">
            <v>0.10207047831214046</v>
          </cell>
          <cell r="O282" t="str">
            <v/>
          </cell>
          <cell r="P282" t="str">
            <v/>
          </cell>
          <cell r="Q282" t="str">
            <v/>
          </cell>
          <cell r="R282" t="str">
            <v/>
          </cell>
          <cell r="S282" t="str">
            <v/>
          </cell>
          <cell r="T282" t="str">
            <v/>
          </cell>
          <cell r="U282" t="str">
            <v/>
          </cell>
          <cell r="V282" t="str">
            <v/>
          </cell>
        </row>
        <row r="283">
          <cell r="B283" t="str">
            <v>FCFO</v>
          </cell>
          <cell r="C283">
            <v>6490.2034178514095</v>
          </cell>
          <cell r="D283">
            <v>5069.7112612457149</v>
          </cell>
          <cell r="E283">
            <v>5931.2030604850179</v>
          </cell>
          <cell r="F283">
            <v>7036.1925934058136</v>
          </cell>
          <cell r="G283">
            <v>7154.8908098889842</v>
          </cell>
          <cell r="H283">
            <v>7181.150057509959</v>
          </cell>
          <cell r="I283">
            <v>7317.8347729402494</v>
          </cell>
          <cell r="J283">
            <v>7968.2270267509357</v>
          </cell>
          <cell r="K283">
            <v>8224.4247071992158</v>
          </cell>
          <cell r="L283">
            <v>8435.7665250117789</v>
          </cell>
          <cell r="M283" t="str">
            <v/>
          </cell>
          <cell r="N283" t="str">
            <v/>
          </cell>
          <cell r="O283" t="str">
            <v/>
          </cell>
          <cell r="P283" t="str">
            <v/>
          </cell>
          <cell r="Q283" t="str">
            <v/>
          </cell>
          <cell r="R283" t="str">
            <v/>
          </cell>
          <cell r="S283" t="str">
            <v/>
          </cell>
          <cell r="T283" t="str">
            <v/>
          </cell>
          <cell r="U283" t="str">
            <v/>
          </cell>
          <cell r="V283" t="str">
            <v/>
          </cell>
        </row>
        <row r="284">
          <cell r="B284" t="str">
            <v>PVFCFO</v>
          </cell>
          <cell r="C284">
            <v>6004.6592396139422</v>
          </cell>
          <cell r="D284">
            <v>4339.5364522183245</v>
          </cell>
          <cell r="E284">
            <v>4697.1341731623224</v>
          </cell>
          <cell r="F284">
            <v>5155.3475559151293</v>
          </cell>
          <cell r="G284">
            <v>4850.1291030756784</v>
          </cell>
          <cell r="H284">
            <v>4503.7507574120973</v>
          </cell>
          <cell r="I284">
            <v>4246.1272336462343</v>
          </cell>
          <cell r="J284">
            <v>4277.6196001936332</v>
          </cell>
          <cell r="K284">
            <v>4084.8493900491058</v>
          </cell>
          <cell r="L284">
            <v>3876.369149631259</v>
          </cell>
          <cell r="M284">
            <v>13594.896078286118</v>
          </cell>
          <cell r="N284">
            <v>35988.75265164148</v>
          </cell>
          <cell r="O284" t="str">
            <v/>
          </cell>
          <cell r="P284" t="str">
            <v/>
          </cell>
          <cell r="Q284" t="str">
            <v/>
          </cell>
          <cell r="R284" t="str">
            <v/>
          </cell>
          <cell r="S284" t="str">
            <v/>
          </cell>
          <cell r="T284" t="str">
            <v/>
          </cell>
          <cell r="U284" t="str">
            <v/>
          </cell>
          <cell r="V284" t="str">
            <v/>
          </cell>
        </row>
        <row r="285">
          <cell r="B285" t="str">
            <v>Residual income (operating)</v>
          </cell>
          <cell r="C285">
            <v>2476.4516539078327</v>
          </cell>
          <cell r="D285">
            <v>3216.8563461455965</v>
          </cell>
          <cell r="E285">
            <v>3376.2683462548466</v>
          </cell>
          <cell r="F285">
            <v>3753.258134485643</v>
          </cell>
          <cell r="G285">
            <v>3882.9256338888035</v>
          </cell>
          <cell r="H285">
            <v>4068.4740646072628</v>
          </cell>
          <cell r="I285">
            <v>4387.8548851983687</v>
          </cell>
          <cell r="J285">
            <v>4778.2188751482217</v>
          </cell>
          <cell r="K285">
            <v>5095.0866619994995</v>
          </cell>
          <cell r="L285">
            <v>5353.5166424586387</v>
          </cell>
          <cell r="M285" t="str">
            <v/>
          </cell>
          <cell r="N285" t="str">
            <v/>
          </cell>
          <cell r="O285" t="str">
            <v/>
          </cell>
          <cell r="P285" t="str">
            <v/>
          </cell>
          <cell r="Q285" t="str">
            <v/>
          </cell>
          <cell r="R285" t="str">
            <v/>
          </cell>
          <cell r="S285" t="str">
            <v/>
          </cell>
          <cell r="T285" t="str">
            <v/>
          </cell>
          <cell r="U285" t="str">
            <v/>
          </cell>
          <cell r="V285" t="str">
            <v/>
          </cell>
        </row>
        <row r="286">
          <cell r="B286" t="str">
            <v>PVRI (operating)</v>
          </cell>
          <cell r="C286">
            <v>2291.1837037640512</v>
          </cell>
          <cell r="D286">
            <v>2753.5424911395321</v>
          </cell>
          <cell r="E286">
            <v>2673.7889877037942</v>
          </cell>
          <cell r="F286">
            <v>2749.974491669398</v>
          </cell>
          <cell r="G286">
            <v>2632.1422817485136</v>
          </cell>
          <cell r="H286">
            <v>2551.5959147551935</v>
          </cell>
          <cell r="I286">
            <v>2546.0249791677816</v>
          </cell>
          <cell r="J286">
            <v>2565.1129976254488</v>
          </cell>
          <cell r="K286">
            <v>2530.5917902437254</v>
          </cell>
          <cell r="L286">
            <v>2460.0262102245902</v>
          </cell>
          <cell r="M286">
            <v>10216.821830240597</v>
          </cell>
          <cell r="N286">
            <v>22150.265706562714</v>
          </cell>
          <cell r="O286" t="str">
            <v/>
          </cell>
          <cell r="P286" t="str">
            <v/>
          </cell>
          <cell r="Q286" t="str">
            <v/>
          </cell>
          <cell r="R286" t="str">
            <v/>
          </cell>
          <cell r="S286" t="str">
            <v/>
          </cell>
          <cell r="T286" t="str">
            <v/>
          </cell>
          <cell r="U286" t="str">
            <v/>
          </cell>
          <cell r="V286" t="str">
            <v/>
          </cell>
        </row>
        <row r="288">
          <cell r="B288" t="str">
            <v>Financing and Other</v>
          </cell>
        </row>
        <row r="289">
          <cell r="B289" t="str">
            <v>Net financial expense (income)</v>
          </cell>
          <cell r="C289">
            <v>456.46517399999993</v>
          </cell>
          <cell r="D289">
            <v>454.70768556267086</v>
          </cell>
          <cell r="E289">
            <v>454.61152912801708</v>
          </cell>
          <cell r="F289">
            <v>453.65125296202223</v>
          </cell>
          <cell r="G289">
            <v>451.6253835447684</v>
          </cell>
          <cell r="H289">
            <v>449.47174076622809</v>
          </cell>
          <cell r="I289">
            <v>447.34541630809906</v>
          </cell>
          <cell r="J289">
            <v>445.31902902470199</v>
          </cell>
          <cell r="K289">
            <v>442.87280528915676</v>
          </cell>
          <cell r="L289">
            <v>440.38404035144265</v>
          </cell>
          <cell r="M289" t="str">
            <v/>
          </cell>
          <cell r="N289" t="str">
            <v/>
          </cell>
          <cell r="O289" t="str">
            <v/>
          </cell>
          <cell r="P289" t="str">
            <v/>
          </cell>
          <cell r="Q289" t="str">
            <v/>
          </cell>
          <cell r="R289" t="str">
            <v/>
          </cell>
          <cell r="S289" t="str">
            <v/>
          </cell>
          <cell r="T289" t="str">
            <v/>
          </cell>
          <cell r="U289" t="str">
            <v/>
          </cell>
          <cell r="V289" t="str">
            <v/>
          </cell>
        </row>
        <row r="290">
          <cell r="B290" t="str">
            <v>Other nonoperating expense (income)</v>
          </cell>
          <cell r="C290">
            <v>126.30096972124602</v>
          </cell>
          <cell r="D290">
            <v>59.911778306288852</v>
          </cell>
          <cell r="E290">
            <v>-44.212334491829097</v>
          </cell>
          <cell r="F290">
            <v>-62.405350835659192</v>
          </cell>
          <cell r="G290">
            <v>-67.207570695311006</v>
          </cell>
          <cell r="H290">
            <v>-72.902780127482856</v>
          </cell>
          <cell r="I290">
            <v>-86.929356036972422</v>
          </cell>
          <cell r="J290">
            <v>-104.73595052504197</v>
          </cell>
          <cell r="K290">
            <v>-118.40188738195138</v>
          </cell>
          <cell r="L290">
            <v>-129.65556483956925</v>
          </cell>
          <cell r="M290" t="str">
            <v/>
          </cell>
          <cell r="N290" t="str">
            <v/>
          </cell>
          <cell r="O290" t="str">
            <v/>
          </cell>
          <cell r="P290" t="str">
            <v/>
          </cell>
          <cell r="Q290" t="str">
            <v/>
          </cell>
          <cell r="R290" t="str">
            <v/>
          </cell>
          <cell r="S290" t="str">
            <v/>
          </cell>
          <cell r="T290" t="str">
            <v/>
          </cell>
          <cell r="U290" t="str">
            <v/>
          </cell>
          <cell r="V290" t="str">
            <v/>
          </cell>
        </row>
        <row r="291">
          <cell r="B291" t="str">
            <v>Net debt (cash)</v>
          </cell>
          <cell r="C291">
            <v>10111.003804622011</v>
          </cell>
          <cell r="D291">
            <v>10088.71793789894</v>
          </cell>
          <cell r="E291">
            <v>9399.5689962091783</v>
          </cell>
          <cell r="F291">
            <v>7946.6144324102752</v>
          </cell>
          <cell r="G291">
            <v>6406.7704744384428</v>
          </cell>
          <cell r="H291">
            <v>4881.9098338633958</v>
          </cell>
          <cell r="I291">
            <v>3425.980302216718</v>
          </cell>
          <cell r="J291">
            <v>1673.7000765227785</v>
          </cell>
          <cell r="K291">
            <v>-108.85874848145977</v>
          </cell>
          <cell r="L291">
            <v>-1914.0746125757687</v>
          </cell>
          <cell r="M291" t="str">
            <v/>
          </cell>
          <cell r="N291" t="str">
            <v/>
          </cell>
          <cell r="O291" t="str">
            <v/>
          </cell>
          <cell r="P291" t="str">
            <v/>
          </cell>
          <cell r="Q291" t="str">
            <v/>
          </cell>
          <cell r="R291" t="str">
            <v/>
          </cell>
          <cell r="S291" t="str">
            <v/>
          </cell>
          <cell r="T291" t="str">
            <v/>
          </cell>
          <cell r="U291" t="str">
            <v/>
          </cell>
          <cell r="V291" t="str">
            <v/>
          </cell>
        </row>
        <row r="292">
          <cell r="B292" t="str">
            <v>Other nonoperating liabilities (assets) (ONOLA)</v>
          </cell>
          <cell r="C292">
            <v>721.27923007977802</v>
          </cell>
          <cell r="D292">
            <v>531.90061680745441</v>
          </cell>
          <cell r="E292">
            <v>317.06082028346503</v>
          </cell>
          <cell r="F292">
            <v>70.770900020824911</v>
          </cell>
          <cell r="G292">
            <v>-184.19733505822597</v>
          </cell>
          <cell r="H292">
            <v>-451.92180223123091</v>
          </cell>
          <cell r="I292">
            <v>-743.49925729943686</v>
          </cell>
          <cell r="J292">
            <v>-1065.3578362512899</v>
          </cell>
          <cell r="K292">
            <v>-1410.456115934657</v>
          </cell>
          <cell r="L292">
            <v>-1774.69191242221</v>
          </cell>
          <cell r="M292" t="str">
            <v/>
          </cell>
          <cell r="N292" t="str">
            <v/>
          </cell>
          <cell r="O292" t="str">
            <v/>
          </cell>
          <cell r="P292" t="str">
            <v/>
          </cell>
          <cell r="Q292" t="str">
            <v/>
          </cell>
          <cell r="R292" t="str">
            <v/>
          </cell>
          <cell r="S292" t="str">
            <v/>
          </cell>
          <cell r="T292" t="str">
            <v/>
          </cell>
          <cell r="U292" t="str">
            <v/>
          </cell>
          <cell r="V292" t="str">
            <v/>
          </cell>
        </row>
        <row r="293">
          <cell r="B293" t="str">
            <v>Leverage EOP (net debt/equity)</v>
          </cell>
          <cell r="C293">
            <v>0.39366617076936344</v>
          </cell>
          <cell r="D293">
            <v>0.37371454422990985</v>
          </cell>
          <cell r="E293">
            <v>0.33112756694869661</v>
          </cell>
          <cell r="F293">
            <v>0.26591598088663354</v>
          </cell>
          <cell r="G293">
            <v>0.20357357084642169</v>
          </cell>
          <cell r="H293">
            <v>0.14704802714789275</v>
          </cell>
          <cell r="I293">
            <v>9.7718437785323548E-2</v>
          </cell>
          <cell r="J293">
            <v>4.5240366404911983E-2</v>
          </cell>
          <cell r="K293">
            <v>-2.78876484129304E-3</v>
          </cell>
          <cell r="L293">
            <v>-4.6508354967661959E-2</v>
          </cell>
          <cell r="M293">
            <v>4.1396658012935218E-2</v>
          </cell>
          <cell r="N293">
            <v>0.10000000000000027</v>
          </cell>
          <cell r="O293" t="str">
            <v/>
          </cell>
          <cell r="P293" t="str">
            <v/>
          </cell>
          <cell r="Q293" t="str">
            <v/>
          </cell>
          <cell r="R293" t="str">
            <v/>
          </cell>
          <cell r="S293" t="str">
            <v/>
          </cell>
          <cell r="T293" t="str">
            <v/>
          </cell>
          <cell r="U293" t="str">
            <v/>
          </cell>
          <cell r="V293" t="str">
            <v/>
          </cell>
        </row>
        <row r="295">
          <cell r="B295" t="str">
            <v>Equity Level</v>
          </cell>
        </row>
        <row r="296">
          <cell r="B296" t="str">
            <v>Net income</v>
          </cell>
          <cell r="C296">
            <v>4925.8282885562949</v>
          </cell>
          <cell r="D296">
            <v>5655.0055431099736</v>
          </cell>
          <cell r="E296">
            <v>6007.5781993237179</v>
          </cell>
          <cell r="F296">
            <v>6443.0824551623209</v>
          </cell>
          <cell r="G296">
            <v>6563.2550518573617</v>
          </cell>
          <cell r="H296">
            <v>6739.8964352600851</v>
          </cell>
          <cell r="I296">
            <v>7070.1996744190528</v>
          </cell>
          <cell r="J296">
            <v>7489.5162542993894</v>
          </cell>
          <cell r="K296">
            <v>7811.3270254459476</v>
          </cell>
          <cell r="L296">
            <v>8076.3329784801845</v>
          </cell>
          <cell r="M296" t="str">
            <v/>
          </cell>
          <cell r="N296" t="str">
            <v/>
          </cell>
          <cell r="O296" t="str">
            <v/>
          </cell>
          <cell r="P296" t="str">
            <v/>
          </cell>
          <cell r="Q296" t="str">
            <v/>
          </cell>
          <cell r="R296" t="str">
            <v/>
          </cell>
          <cell r="S296" t="str">
            <v/>
          </cell>
          <cell r="T296" t="str">
            <v/>
          </cell>
          <cell r="U296" t="str">
            <v/>
          </cell>
          <cell r="V296" t="str">
            <v/>
          </cell>
        </row>
        <row r="297">
          <cell r="B297" t="str">
            <v>Equity</v>
          </cell>
          <cell r="C297">
            <v>25684.207979724342</v>
          </cell>
          <cell r="D297">
            <v>26995.786205452958</v>
          </cell>
          <cell r="E297">
            <v>28386.549277141592</v>
          </cell>
          <cell r="F297">
            <v>29883.929525086009</v>
          </cell>
          <cell r="G297">
            <v>31471.523772954723</v>
          </cell>
          <cell r="H297">
            <v>33199.424219091641</v>
          </cell>
          <cell r="I297">
            <v>35059.71216755647</v>
          </cell>
          <cell r="J297">
            <v>36995.723278250378</v>
          </cell>
          <cell r="K297">
            <v>39034.753619091913</v>
          </cell>
          <cell r="L297">
            <v>41155.500208654055</v>
          </cell>
          <cell r="M297" t="str">
            <v/>
          </cell>
          <cell r="N297" t="str">
            <v/>
          </cell>
          <cell r="O297" t="str">
            <v/>
          </cell>
          <cell r="P297" t="str">
            <v/>
          </cell>
          <cell r="Q297" t="str">
            <v/>
          </cell>
          <cell r="R297" t="str">
            <v/>
          </cell>
          <cell r="S297" t="str">
            <v/>
          </cell>
          <cell r="T297" t="str">
            <v/>
          </cell>
          <cell r="U297" t="str">
            <v/>
          </cell>
          <cell r="V297" t="str">
            <v/>
          </cell>
        </row>
        <row r="298">
          <cell r="B298" t="str">
            <v>ROE</v>
          </cell>
          <cell r="C298">
            <v>0.19458063719109525</v>
          </cell>
          <cell r="D298">
            <v>0.22017441797598566</v>
          </cell>
          <cell r="E298">
            <v>0.22253762693194798</v>
          </cell>
          <cell r="F298">
            <v>0.22697660051095553</v>
          </cell>
          <cell r="G298">
            <v>0.21962490061247969</v>
          </cell>
          <cell r="H298">
            <v>0.21415856708698874</v>
          </cell>
          <cell r="I298">
            <v>0.21296151486727496</v>
          </cell>
          <cell r="J298">
            <v>0.21362172679871663</v>
          </cell>
          <cell r="K298">
            <v>0.21114135184480073</v>
          </cell>
          <cell r="L298">
            <v>0.20690108761260495</v>
          </cell>
          <cell r="M298">
            <v>0.2137644254464664</v>
          </cell>
          <cell r="N298">
            <v>0.10878702269199501</v>
          </cell>
          <cell r="O298" t="str">
            <v/>
          </cell>
          <cell r="P298" t="str">
            <v/>
          </cell>
          <cell r="Q298" t="str">
            <v/>
          </cell>
          <cell r="R298" t="str">
            <v/>
          </cell>
          <cell r="S298" t="str">
            <v/>
          </cell>
          <cell r="T298" t="str">
            <v/>
          </cell>
          <cell r="U298" t="str">
            <v/>
          </cell>
          <cell r="V298" t="str">
            <v/>
          </cell>
        </row>
        <row r="299">
          <cell r="B299" t="str">
            <v>Dividends and net rep</v>
          </cell>
          <cell r="C299">
            <v>4917.6526402043555</v>
          </cell>
          <cell r="D299">
            <v>4758.3054663511011</v>
          </cell>
          <cell r="E299">
            <v>5050.9922529641672</v>
          </cell>
          <cell r="F299">
            <v>5407.995410322781</v>
          </cell>
          <cell r="G299">
            <v>5445.5588694560374</v>
          </cell>
          <cell r="H299">
            <v>5492.9138616270593</v>
          </cell>
          <cell r="I299">
            <v>5712.0951693574043</v>
          </cell>
          <cell r="J299">
            <v>6082.7305657356637</v>
          </cell>
          <cell r="K299">
            <v>6322.2155603898063</v>
          </cell>
          <cell r="L299">
            <v>6522.5138791790723</v>
          </cell>
          <cell r="M299" t="str">
            <v/>
          </cell>
          <cell r="N299" t="str">
            <v/>
          </cell>
          <cell r="O299" t="str">
            <v/>
          </cell>
          <cell r="P299" t="str">
            <v/>
          </cell>
          <cell r="Q299" t="str">
            <v/>
          </cell>
          <cell r="R299" t="str">
            <v/>
          </cell>
          <cell r="S299" t="str">
            <v/>
          </cell>
          <cell r="T299" t="str">
            <v/>
          </cell>
          <cell r="U299" t="str">
            <v/>
          </cell>
          <cell r="V299" t="str">
            <v/>
          </cell>
        </row>
        <row r="300">
          <cell r="B300" t="str">
            <v>PV div and net rep</v>
          </cell>
          <cell r="C300">
            <v>4532.3987467321249</v>
          </cell>
          <cell r="D300">
            <v>4041.9677345886312</v>
          </cell>
          <cell r="E300">
            <v>3954.4627399565206</v>
          </cell>
          <cell r="F300">
            <v>3902.2704175280369</v>
          </cell>
          <cell r="G300">
            <v>3621.5440033794889</v>
          </cell>
          <cell r="H300">
            <v>3366.8545845093886</v>
          </cell>
          <cell r="I300">
            <v>3226.9130792916617</v>
          </cell>
          <cell r="J300">
            <v>3167.0919642717417</v>
          </cell>
          <cell r="K300">
            <v>3033.9027503914995</v>
          </cell>
          <cell r="L300">
            <v>2884.8127581366257</v>
          </cell>
          <cell r="M300">
            <v>15274.76734825894</v>
          </cell>
          <cell r="N300">
            <v>32413.185257800837</v>
          </cell>
          <cell r="O300" t="str">
            <v/>
          </cell>
          <cell r="P300" t="str">
            <v/>
          </cell>
          <cell r="Q300" t="str">
            <v/>
          </cell>
          <cell r="R300" t="str">
            <v/>
          </cell>
          <cell r="S300" t="str">
            <v/>
          </cell>
          <cell r="T300" t="str">
            <v/>
          </cell>
          <cell r="U300" t="str">
            <v/>
          </cell>
          <cell r="V300" t="str">
            <v/>
          </cell>
        </row>
        <row r="301">
          <cell r="B301" t="str">
            <v>Residual income</v>
          </cell>
          <cell r="C301">
            <v>3134.9771199286993</v>
          </cell>
          <cell r="D301">
            <v>3886.7260138031475</v>
          </cell>
          <cell r="E301">
            <v>4147.1134971892998</v>
          </cell>
          <cell r="F301">
            <v>4492.5189697101623</v>
          </cell>
          <cell r="G301">
            <v>4493.0191076924402</v>
          </cell>
          <cell r="H301">
            <v>4545.7347870628264</v>
          </cell>
          <cell r="I301">
            <v>4750.4320591994438</v>
          </cell>
          <cell r="J301">
            <v>5038.6661421872705</v>
          </cell>
          <cell r="K301">
            <v>5216.6094225800589</v>
          </cell>
          <cell r="L301">
            <v>5325.3064111184021</v>
          </cell>
          <cell r="M301" t="str">
            <v/>
          </cell>
          <cell r="N301" t="str">
            <v/>
          </cell>
          <cell r="O301" t="str">
            <v/>
          </cell>
          <cell r="P301" t="str">
            <v/>
          </cell>
          <cell r="Q301" t="str">
            <v/>
          </cell>
          <cell r="R301" t="str">
            <v/>
          </cell>
          <cell r="S301" t="str">
            <v/>
          </cell>
          <cell r="T301" t="str">
            <v/>
          </cell>
          <cell r="U301" t="str">
            <v/>
          </cell>
          <cell r="V301" t="str">
            <v/>
          </cell>
        </row>
        <row r="302">
          <cell r="B302" t="str">
            <v>PVRI</v>
          </cell>
          <cell r="C302">
            <v>2889.3798340356675</v>
          </cell>
          <cell r="D302">
            <v>3301.5999607578397</v>
          </cell>
          <cell r="E302">
            <v>3246.8087420608858</v>
          </cell>
          <cell r="F302">
            <v>3241.6861601288133</v>
          </cell>
          <cell r="G302">
            <v>2988.0617943183511</v>
          </cell>
          <cell r="H302">
            <v>2786.2858208471584</v>
          </cell>
          <cell r="I302">
            <v>2683.6442477973637</v>
          </cell>
          <cell r="J302">
            <v>2623.479517482031</v>
          </cell>
          <cell r="K302">
            <v>2503.3448359530521</v>
          </cell>
          <cell r="L302">
            <v>2355.3053562401419</v>
          </cell>
          <cell r="M302">
            <v>9426.3648052395856</v>
          </cell>
          <cell r="N302">
            <v>20059.110309984608</v>
          </cell>
          <cell r="O302" t="str">
            <v/>
          </cell>
          <cell r="P302" t="str">
            <v/>
          </cell>
          <cell r="Q302" t="str">
            <v/>
          </cell>
          <cell r="R302" t="str">
            <v/>
          </cell>
          <cell r="S302" t="str">
            <v/>
          </cell>
          <cell r="T302" t="str">
            <v/>
          </cell>
          <cell r="U302" t="str">
            <v/>
          </cell>
          <cell r="V302" t="str">
            <v/>
          </cell>
        </row>
        <row r="304">
          <cell r="B304" t="str">
            <v>*Average / Sum</v>
          </cell>
        </row>
        <row r="309">
          <cell r="B309" t="str">
            <v>(Model) Net financial income (expense)</v>
          </cell>
          <cell r="C309">
            <v>-456.46517399999993</v>
          </cell>
          <cell r="D309">
            <v>-454.70768556267086</v>
          </cell>
          <cell r="E309">
            <v>-454.61152912801708</v>
          </cell>
          <cell r="F309">
            <v>-453.65125296202223</v>
          </cell>
          <cell r="G309">
            <v>-451.6253835447684</v>
          </cell>
          <cell r="H309">
            <v>-449.47174076622809</v>
          </cell>
          <cell r="I309">
            <v>-447.34541630809906</v>
          </cell>
          <cell r="J309">
            <v>-445.31902902470199</v>
          </cell>
          <cell r="K309">
            <v>-442.87280528915676</v>
          </cell>
          <cell r="L309">
            <v>-440.38404035144265</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row>
        <row r="310">
          <cell r="B310" t="str">
            <v>Other nonoperating income (expense)</v>
          </cell>
          <cell r="C310">
            <v>-126.30096972124602</v>
          </cell>
          <cell r="D310">
            <v>-59.911778306288852</v>
          </cell>
          <cell r="E310">
            <v>44.212334491829097</v>
          </cell>
          <cell r="F310">
            <v>62.405350835659192</v>
          </cell>
          <cell r="G310">
            <v>67.207570695311006</v>
          </cell>
          <cell r="H310">
            <v>72.902780127482856</v>
          </cell>
          <cell r="I310">
            <v>86.929356036972422</v>
          </cell>
          <cell r="J310">
            <v>104.73595052504197</v>
          </cell>
          <cell r="K310">
            <v>118.40188738195138</v>
          </cell>
          <cell r="L310">
            <v>129.65556483956925</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row>
        <row r="311">
          <cell r="B311" t="str">
            <v>Net operating assets</v>
          </cell>
          <cell r="C311">
            <v>36516.49101442613</v>
          </cell>
          <cell r="D311">
            <v>37616.404760159348</v>
          </cell>
          <cell r="E311">
            <v>38103.179093634237</v>
          </cell>
          <cell r="F311">
            <v>37901.314857517107</v>
          </cell>
          <cell r="G311">
            <v>37694.096912334942</v>
          </cell>
          <cell r="H311">
            <v>37629.412250723813</v>
          </cell>
          <cell r="I311">
            <v>37742.193212473743</v>
          </cell>
          <cell r="J311">
            <v>37604.065518521857</v>
          </cell>
          <cell r="K311">
            <v>37515.438754675793</v>
          </cell>
          <cell r="L311">
            <v>37466.733683656072</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row>
        <row r="312">
          <cell r="B312" t="str">
            <v>Net debt (cash)</v>
          </cell>
          <cell r="C312">
            <v>10111.003804622011</v>
          </cell>
          <cell r="D312">
            <v>10088.71793789894</v>
          </cell>
          <cell r="E312">
            <v>9399.5689962091783</v>
          </cell>
          <cell r="F312">
            <v>7946.6144324102752</v>
          </cell>
          <cell r="G312">
            <v>6406.7704744384428</v>
          </cell>
          <cell r="H312">
            <v>4881.9098338633958</v>
          </cell>
          <cell r="I312">
            <v>3425.980302216718</v>
          </cell>
          <cell r="J312">
            <v>1673.7000765227785</v>
          </cell>
          <cell r="K312">
            <v>-108.85874848145977</v>
          </cell>
          <cell r="L312">
            <v>-1914.0746125757687</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row>
        <row r="313">
          <cell r="B313" t="str">
            <v>Other nonoperating liabilities (assets) (ONOLA)</v>
          </cell>
          <cell r="C313">
            <v>721.27923007977802</v>
          </cell>
          <cell r="D313">
            <v>531.90061680745441</v>
          </cell>
          <cell r="E313">
            <v>317.06082028346503</v>
          </cell>
          <cell r="F313">
            <v>70.770900020824911</v>
          </cell>
          <cell r="G313">
            <v>-184.19733505822597</v>
          </cell>
          <cell r="H313">
            <v>-451.92180223123091</v>
          </cell>
          <cell r="I313">
            <v>-743.49925729943686</v>
          </cell>
          <cell r="J313">
            <v>-1065.3578362512899</v>
          </cell>
          <cell r="K313">
            <v>-1410.456115934657</v>
          </cell>
          <cell r="L313">
            <v>-1774.69191242221</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row>
        <row r="314">
          <cell r="B314" t="str">
            <v>Shareholders' equity</v>
          </cell>
          <cell r="C314">
            <v>25684.207979724342</v>
          </cell>
          <cell r="D314">
            <v>26995.786205452958</v>
          </cell>
          <cell r="E314">
            <v>28386.549277141592</v>
          </cell>
          <cell r="F314">
            <v>29883.929525086009</v>
          </cell>
          <cell r="G314">
            <v>31471.523772954723</v>
          </cell>
          <cell r="H314">
            <v>33199.424219091641</v>
          </cell>
          <cell r="I314">
            <v>35059.71216755647</v>
          </cell>
          <cell r="J314">
            <v>36995.723278250378</v>
          </cell>
          <cell r="K314">
            <v>39034.753619091913</v>
          </cell>
          <cell r="L314">
            <v>41155.500208654055</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row>
        <row r="333">
          <cell r="B333" t="str">
            <v>NJ</v>
          </cell>
          <cell r="C333">
            <v>2011</v>
          </cell>
          <cell r="D333">
            <v>2012</v>
          </cell>
          <cell r="E333">
            <v>2013</v>
          </cell>
          <cell r="F333">
            <v>2014</v>
          </cell>
          <cell r="G333">
            <v>2015</v>
          </cell>
          <cell r="H333">
            <v>2016</v>
          </cell>
          <cell r="I333">
            <v>2017</v>
          </cell>
          <cell r="J333">
            <v>2018</v>
          </cell>
          <cell r="K333">
            <v>2019</v>
          </cell>
          <cell r="L333">
            <v>2020</v>
          </cell>
          <cell r="M333">
            <v>2021</v>
          </cell>
          <cell r="N333">
            <v>2022</v>
          </cell>
          <cell r="O333">
            <v>2023</v>
          </cell>
          <cell r="P333">
            <v>2024</v>
          </cell>
          <cell r="Q333">
            <v>2025</v>
          </cell>
          <cell r="R333">
            <v>2026</v>
          </cell>
          <cell r="S333">
            <v>2027</v>
          </cell>
          <cell r="T333">
            <v>2028</v>
          </cell>
          <cell r="U333">
            <v>2029</v>
          </cell>
          <cell r="V333">
            <v>2030</v>
          </cell>
          <cell r="W333">
            <v>2031</v>
          </cell>
          <cell r="X333">
            <v>2032</v>
          </cell>
          <cell r="Y333">
            <v>2033</v>
          </cell>
          <cell r="Z333">
            <v>2034</v>
          </cell>
          <cell r="AA333">
            <v>2035</v>
          </cell>
          <cell r="AB333">
            <v>2036</v>
          </cell>
          <cell r="AC333">
            <v>2037</v>
          </cell>
          <cell r="AD333">
            <v>2038</v>
          </cell>
          <cell r="AE333">
            <v>2039</v>
          </cell>
          <cell r="AF333">
            <v>2040</v>
          </cell>
          <cell r="AG333">
            <v>2041</v>
          </cell>
          <cell r="AH333">
            <v>2042</v>
          </cell>
          <cell r="AI333">
            <v>2043</v>
          </cell>
          <cell r="AJ333">
            <v>2044</v>
          </cell>
          <cell r="AK333">
            <v>2045</v>
          </cell>
          <cell r="AL333">
            <v>2046</v>
          </cell>
          <cell r="AM333">
            <v>2047</v>
          </cell>
          <cell r="AN333">
            <v>2048</v>
          </cell>
          <cell r="AO333">
            <v>2049</v>
          </cell>
          <cell r="AP333">
            <v>2050</v>
          </cell>
          <cell r="AQ333">
            <v>2051</v>
          </cell>
          <cell r="AR333">
            <v>2052</v>
          </cell>
          <cell r="AS333">
            <v>2053</v>
          </cell>
          <cell r="AT333">
            <v>2054</v>
          </cell>
          <cell r="AU333">
            <v>2055</v>
          </cell>
          <cell r="AV333">
            <v>2056</v>
          </cell>
          <cell r="AW333">
            <v>2057</v>
          </cell>
          <cell r="AX333">
            <v>2058</v>
          </cell>
          <cell r="AY333">
            <v>2059</v>
          </cell>
          <cell r="AZ333">
            <v>2060</v>
          </cell>
          <cell r="BA333">
            <v>2061</v>
          </cell>
          <cell r="BB333">
            <v>2062</v>
          </cell>
          <cell r="BC333">
            <v>2063</v>
          </cell>
          <cell r="BD333">
            <v>2064</v>
          </cell>
          <cell r="BE333">
            <v>2065</v>
          </cell>
          <cell r="BF333">
            <v>2066</v>
          </cell>
          <cell r="BG333">
            <v>2067</v>
          </cell>
          <cell r="BH333">
            <v>2068</v>
          </cell>
          <cell r="BI333">
            <v>2069</v>
          </cell>
          <cell r="BJ333">
            <v>2070</v>
          </cell>
          <cell r="BK333">
            <v>2071</v>
          </cell>
          <cell r="BL333">
            <v>2072</v>
          </cell>
          <cell r="BM333">
            <v>2073</v>
          </cell>
          <cell r="BN333">
            <v>2074</v>
          </cell>
          <cell r="BO333">
            <v>2075</v>
          </cell>
          <cell r="BP333">
            <v>2076</v>
          </cell>
          <cell r="BQ333">
            <v>2077</v>
          </cell>
          <cell r="BR333">
            <v>2078</v>
          </cell>
          <cell r="BS333">
            <v>2079</v>
          </cell>
          <cell r="BT333">
            <v>2080</v>
          </cell>
          <cell r="BU333">
            <v>2081</v>
          </cell>
          <cell r="BV333">
            <v>2082</v>
          </cell>
          <cell r="BW333">
            <v>2083</v>
          </cell>
          <cell r="BX333">
            <v>2084</v>
          </cell>
          <cell r="BY333">
            <v>2085</v>
          </cell>
          <cell r="BZ333">
            <v>2086</v>
          </cell>
          <cell r="CA333">
            <v>2087</v>
          </cell>
          <cell r="CB333">
            <v>2088</v>
          </cell>
          <cell r="CC333">
            <v>2089</v>
          </cell>
          <cell r="CD333">
            <v>2090</v>
          </cell>
          <cell r="CE333">
            <v>2091</v>
          </cell>
          <cell r="CF333">
            <v>2092</v>
          </cell>
          <cell r="CG333">
            <v>2093</v>
          </cell>
          <cell r="CH333">
            <v>2094</v>
          </cell>
          <cell r="CI333">
            <v>2095</v>
          </cell>
          <cell r="CJ333">
            <v>2096</v>
          </cell>
          <cell r="CK333">
            <v>2097</v>
          </cell>
          <cell r="CL333">
            <v>2098</v>
          </cell>
          <cell r="CM333">
            <v>2099</v>
          </cell>
          <cell r="CN333">
            <v>2100</v>
          </cell>
          <cell r="CO333">
            <v>2101</v>
          </cell>
          <cell r="CP333">
            <v>2102</v>
          </cell>
          <cell r="CQ333">
            <v>2103</v>
          </cell>
          <cell r="CR333">
            <v>2104</v>
          </cell>
          <cell r="CS333">
            <v>2105</v>
          </cell>
          <cell r="CT333">
            <v>2106</v>
          </cell>
          <cell r="CU333">
            <v>2107</v>
          </cell>
          <cell r="CV333">
            <v>2108</v>
          </cell>
          <cell r="CW333">
            <v>2109</v>
          </cell>
          <cell r="CX333">
            <v>2110</v>
          </cell>
          <cell r="CY333">
            <v>2111</v>
          </cell>
          <cell r="CZ333">
            <v>2112</v>
          </cell>
          <cell r="DA333">
            <v>2113</v>
          </cell>
          <cell r="DB333">
            <v>2114</v>
          </cell>
          <cell r="DC333">
            <v>2115</v>
          </cell>
          <cell r="DD333">
            <v>2116</v>
          </cell>
          <cell r="DE333">
            <v>2117</v>
          </cell>
          <cell r="DF333">
            <v>2118</v>
          </cell>
          <cell r="DG333">
            <v>2119</v>
          </cell>
          <cell r="DH333">
            <v>2120</v>
          </cell>
          <cell r="DI333">
            <v>2121</v>
          </cell>
          <cell r="DJ333">
            <v>2122</v>
          </cell>
          <cell r="DK333">
            <v>2123</v>
          </cell>
          <cell r="DL333">
            <v>2124</v>
          </cell>
          <cell r="DM333">
            <v>2125</v>
          </cell>
          <cell r="DN333">
            <v>2126</v>
          </cell>
          <cell r="DO333">
            <v>2127</v>
          </cell>
          <cell r="DP333">
            <v>2128</v>
          </cell>
          <cell r="DQ333">
            <v>2129</v>
          </cell>
          <cell r="DR333">
            <v>2130</v>
          </cell>
          <cell r="DS333">
            <v>2131</v>
          </cell>
          <cell r="DT333">
            <v>2132</v>
          </cell>
          <cell r="DU333">
            <v>2133</v>
          </cell>
          <cell r="DV333">
            <v>2134</v>
          </cell>
          <cell r="DW333">
            <v>2135</v>
          </cell>
          <cell r="DX333">
            <v>2136</v>
          </cell>
          <cell r="DY333">
            <v>2137</v>
          </cell>
          <cell r="DZ333">
            <v>2138</v>
          </cell>
          <cell r="EA333">
            <v>2139</v>
          </cell>
          <cell r="EB333">
            <v>2140</v>
          </cell>
          <cell r="EC333">
            <v>2141</v>
          </cell>
          <cell r="ED333">
            <v>2142</v>
          </cell>
          <cell r="EE333">
            <v>2143</v>
          </cell>
          <cell r="EF333">
            <v>2144</v>
          </cell>
          <cell r="EG333">
            <v>2145</v>
          </cell>
          <cell r="EH333">
            <v>2146</v>
          </cell>
          <cell r="EI333">
            <v>2147</v>
          </cell>
          <cell r="EJ333">
            <v>2148</v>
          </cell>
          <cell r="EK333">
            <v>2149</v>
          </cell>
          <cell r="EL333">
            <v>2150</v>
          </cell>
          <cell r="EM333">
            <v>2151</v>
          </cell>
          <cell r="EN333">
            <v>2152</v>
          </cell>
          <cell r="EO333">
            <v>2153</v>
          </cell>
          <cell r="EP333">
            <v>2154</v>
          </cell>
          <cell r="EQ333">
            <v>2155</v>
          </cell>
          <cell r="ER333">
            <v>2156</v>
          </cell>
          <cell r="ES333">
            <v>2157</v>
          </cell>
          <cell r="ET333">
            <v>2158</v>
          </cell>
          <cell r="EU333">
            <v>2159</v>
          </cell>
          <cell r="EV333">
            <v>2160</v>
          </cell>
          <cell r="EW333">
            <v>2161</v>
          </cell>
          <cell r="EX333">
            <v>2162</v>
          </cell>
          <cell r="EY333">
            <v>2163</v>
          </cell>
          <cell r="EZ333">
            <v>2164</v>
          </cell>
          <cell r="FA333">
            <v>2165</v>
          </cell>
          <cell r="FB333">
            <v>2166</v>
          </cell>
          <cell r="FC333">
            <v>2167</v>
          </cell>
          <cell r="FD333">
            <v>2168</v>
          </cell>
          <cell r="FE333">
            <v>2169</v>
          </cell>
          <cell r="FF333">
            <v>2170</v>
          </cell>
          <cell r="FG333">
            <v>2171</v>
          </cell>
          <cell r="FH333">
            <v>2172</v>
          </cell>
          <cell r="FI333">
            <v>2173</v>
          </cell>
          <cell r="FJ333">
            <v>2174</v>
          </cell>
          <cell r="FK333">
            <v>2175</v>
          </cell>
          <cell r="FL333">
            <v>2176</v>
          </cell>
          <cell r="FM333">
            <v>2177</v>
          </cell>
          <cell r="FN333">
            <v>2178</v>
          </cell>
          <cell r="FO333">
            <v>2179</v>
          </cell>
          <cell r="FP333">
            <v>2180</v>
          </cell>
          <cell r="FQ333">
            <v>2181</v>
          </cell>
          <cell r="FR333">
            <v>2182</v>
          </cell>
          <cell r="FS333">
            <v>2183</v>
          </cell>
          <cell r="FT333">
            <v>2184</v>
          </cell>
          <cell r="FU333">
            <v>2185</v>
          </cell>
          <cell r="FV333">
            <v>2186</v>
          </cell>
          <cell r="FW333">
            <v>2187</v>
          </cell>
          <cell r="FX333">
            <v>2188</v>
          </cell>
          <cell r="FY333">
            <v>2189</v>
          </cell>
          <cell r="FZ333">
            <v>2190</v>
          </cell>
          <cell r="GA333">
            <v>2191</v>
          </cell>
          <cell r="GB333">
            <v>2192</v>
          </cell>
          <cell r="GC333">
            <v>2193</v>
          </cell>
          <cell r="GD333">
            <v>2194</v>
          </cell>
          <cell r="GE333">
            <v>2195</v>
          </cell>
          <cell r="GF333">
            <v>2196</v>
          </cell>
          <cell r="GG333">
            <v>2197</v>
          </cell>
          <cell r="GH333">
            <v>2198</v>
          </cell>
          <cell r="GI333">
            <v>2199</v>
          </cell>
          <cell r="GJ333">
            <v>2200</v>
          </cell>
          <cell r="GK333">
            <v>2201</v>
          </cell>
          <cell r="GL333">
            <v>2202</v>
          </cell>
          <cell r="GM333">
            <v>2203</v>
          </cell>
          <cell r="GN333">
            <v>2204</v>
          </cell>
          <cell r="GO333">
            <v>2205</v>
          </cell>
          <cell r="GP333">
            <v>2206</v>
          </cell>
          <cell r="GQ333">
            <v>2207</v>
          </cell>
          <cell r="GR333">
            <v>2208</v>
          </cell>
          <cell r="GS333">
            <v>2209</v>
          </cell>
          <cell r="GT333">
            <v>2210</v>
          </cell>
          <cell r="GU333">
            <v>2211</v>
          </cell>
          <cell r="GV333">
            <v>2212</v>
          </cell>
          <cell r="GW333">
            <v>2213</v>
          </cell>
          <cell r="GX333">
            <v>2214</v>
          </cell>
          <cell r="GY333">
            <v>2215</v>
          </cell>
          <cell r="GZ333">
            <v>2216</v>
          </cell>
          <cell r="HA333">
            <v>2217</v>
          </cell>
          <cell r="HB333">
            <v>2218</v>
          </cell>
          <cell r="HC333">
            <v>2219</v>
          </cell>
          <cell r="HD333">
            <v>2220</v>
          </cell>
          <cell r="HE333">
            <v>2221</v>
          </cell>
          <cell r="HF333">
            <v>2222</v>
          </cell>
          <cell r="HG333">
            <v>2223</v>
          </cell>
          <cell r="HH333">
            <v>2224</v>
          </cell>
          <cell r="HI333">
            <v>2225</v>
          </cell>
          <cell r="HJ333">
            <v>2226</v>
          </cell>
          <cell r="HK333">
            <v>2227</v>
          </cell>
          <cell r="HL333">
            <v>2228</v>
          </cell>
          <cell r="HM333">
            <v>2229</v>
          </cell>
          <cell r="HN333">
            <v>2230</v>
          </cell>
          <cell r="HO333">
            <v>2231</v>
          </cell>
          <cell r="HP333">
            <v>2232</v>
          </cell>
          <cell r="HQ333">
            <v>2233</v>
          </cell>
          <cell r="HR333">
            <v>2234</v>
          </cell>
          <cell r="HS333">
            <v>2235</v>
          </cell>
          <cell r="HT333">
            <v>2236</v>
          </cell>
          <cell r="HU333">
            <v>2237</v>
          </cell>
          <cell r="HV333">
            <v>2238</v>
          </cell>
          <cell r="HW333">
            <v>2239</v>
          </cell>
          <cell r="HX333">
            <v>2240</v>
          </cell>
          <cell r="HY333">
            <v>2241</v>
          </cell>
          <cell r="HZ333">
            <v>2242</v>
          </cell>
          <cell r="IA333">
            <v>2243</v>
          </cell>
          <cell r="IB333">
            <v>2244</v>
          </cell>
          <cell r="IC333">
            <v>2245</v>
          </cell>
          <cell r="ID333">
            <v>2246</v>
          </cell>
          <cell r="IE333">
            <v>2247</v>
          </cell>
          <cell r="IF333">
            <v>2248</v>
          </cell>
          <cell r="IG333">
            <v>2249</v>
          </cell>
          <cell r="IH333">
            <v>2250</v>
          </cell>
          <cell r="II333">
            <v>2251</v>
          </cell>
          <cell r="IJ333">
            <v>2252</v>
          </cell>
          <cell r="IK333">
            <v>2253</v>
          </cell>
          <cell r="IL333">
            <v>2254</v>
          </cell>
          <cell r="IM333">
            <v>2255</v>
          </cell>
          <cell r="IN333">
            <v>2256</v>
          </cell>
          <cell r="IO333">
            <v>2257</v>
          </cell>
          <cell r="IP333">
            <v>2258</v>
          </cell>
          <cell r="IQ333">
            <v>2259</v>
          </cell>
          <cell r="IR333">
            <v>2260</v>
          </cell>
        </row>
        <row r="334">
          <cell r="B334">
            <v>12</v>
          </cell>
          <cell r="C334" t="str">
            <v>F12/11</v>
          </cell>
          <cell r="D334" t="str">
            <v>F12/12</v>
          </cell>
          <cell r="E334" t="str">
            <v>F12/13</v>
          </cell>
          <cell r="F334" t="str">
            <v>F12/14</v>
          </cell>
          <cell r="G334" t="str">
            <v>F12/15</v>
          </cell>
          <cell r="H334" t="str">
            <v>F12/16</v>
          </cell>
          <cell r="I334" t="str">
            <v>F12/17</v>
          </cell>
          <cell r="J334" t="str">
            <v>F12/18</v>
          </cell>
          <cell r="K334" t="str">
            <v>F12/19</v>
          </cell>
          <cell r="L334" t="str">
            <v>F12/20</v>
          </cell>
          <cell r="M334" t="str">
            <v>F12/21</v>
          </cell>
          <cell r="N334" t="str">
            <v>F12/22</v>
          </cell>
          <cell r="O334" t="str">
            <v>F12/23</v>
          </cell>
          <cell r="P334" t="str">
            <v>F12/24</v>
          </cell>
          <cell r="Q334" t="str">
            <v>F12/25</v>
          </cell>
          <cell r="R334" t="str">
            <v>F12/26</v>
          </cell>
          <cell r="S334" t="str">
            <v>F12/27</v>
          </cell>
          <cell r="T334" t="str">
            <v>F12/28</v>
          </cell>
          <cell r="U334" t="str">
            <v>F12/29</v>
          </cell>
          <cell r="V334" t="str">
            <v>F12/30</v>
          </cell>
          <cell r="W334" t="str">
            <v>F12/31</v>
          </cell>
          <cell r="X334" t="str">
            <v>F12/32</v>
          </cell>
          <cell r="Y334" t="str">
            <v>F12/33</v>
          </cell>
          <cell r="Z334" t="str">
            <v>F12/34</v>
          </cell>
          <cell r="AA334" t="str">
            <v>F12/35</v>
          </cell>
          <cell r="AB334" t="str">
            <v>F12/36</v>
          </cell>
          <cell r="AC334" t="str">
            <v>F12/37</v>
          </cell>
          <cell r="AD334" t="str">
            <v>F12/38</v>
          </cell>
          <cell r="AE334" t="str">
            <v>F12/39</v>
          </cell>
          <cell r="AF334" t="str">
            <v>F12/40</v>
          </cell>
          <cell r="AG334" t="str">
            <v>F12/41</v>
          </cell>
          <cell r="AH334" t="str">
            <v>F12/42</v>
          </cell>
          <cell r="AI334" t="str">
            <v>F12/43</v>
          </cell>
          <cell r="AJ334" t="str">
            <v>F12/44</v>
          </cell>
          <cell r="AK334" t="str">
            <v>F12/45</v>
          </cell>
          <cell r="AL334" t="str">
            <v>F12/46</v>
          </cell>
          <cell r="AM334" t="str">
            <v>F12/47</v>
          </cell>
          <cell r="AN334" t="str">
            <v>F12/48</v>
          </cell>
          <cell r="AO334" t="str">
            <v>F12/49</v>
          </cell>
          <cell r="AP334" t="str">
            <v>F12/50</v>
          </cell>
          <cell r="AQ334" t="str">
            <v>F12/51</v>
          </cell>
          <cell r="AR334" t="str">
            <v>F12/52</v>
          </cell>
          <cell r="AS334" t="str">
            <v>F12/53</v>
          </cell>
          <cell r="AT334" t="str">
            <v>F12/54</v>
          </cell>
          <cell r="AU334" t="str">
            <v>F12/55</v>
          </cell>
          <cell r="AV334" t="str">
            <v>F12/56</v>
          </cell>
          <cell r="AW334" t="str">
            <v>F12/57</v>
          </cell>
          <cell r="AX334" t="str">
            <v>F12/58</v>
          </cell>
          <cell r="AY334" t="str">
            <v>F12/59</v>
          </cell>
          <cell r="AZ334" t="str">
            <v>F12/60</v>
          </cell>
          <cell r="BA334" t="str">
            <v>F12/61</v>
          </cell>
          <cell r="BB334" t="str">
            <v>F12/62</v>
          </cell>
          <cell r="BC334" t="str">
            <v>F12/63</v>
          </cell>
          <cell r="BD334" t="str">
            <v>F12/64</v>
          </cell>
          <cell r="BE334" t="str">
            <v>F12/65</v>
          </cell>
          <cell r="BF334" t="str">
            <v>F12/66</v>
          </cell>
          <cell r="BG334" t="str">
            <v>F12/67</v>
          </cell>
          <cell r="BH334" t="str">
            <v>F12/68</v>
          </cell>
          <cell r="BI334" t="str">
            <v>F12/69</v>
          </cell>
          <cell r="BJ334" t="str">
            <v>F12/70</v>
          </cell>
          <cell r="BK334" t="str">
            <v>F12/71</v>
          </cell>
          <cell r="BL334" t="str">
            <v>F12/72</v>
          </cell>
          <cell r="BM334" t="str">
            <v>F12/73</v>
          </cell>
          <cell r="BN334" t="str">
            <v>F12/74</v>
          </cell>
          <cell r="BO334" t="str">
            <v>F12/75</v>
          </cell>
          <cell r="BP334" t="str">
            <v>F12/76</v>
          </cell>
          <cell r="BQ334" t="str">
            <v>F12/77</v>
          </cell>
          <cell r="BR334" t="str">
            <v>F12/78</v>
          </cell>
          <cell r="BS334" t="str">
            <v>F12/79</v>
          </cell>
          <cell r="BT334" t="str">
            <v>F12/80</v>
          </cell>
          <cell r="BU334" t="str">
            <v>F12/81</v>
          </cell>
          <cell r="BV334" t="str">
            <v>F12/82</v>
          </cell>
          <cell r="BW334" t="str">
            <v>F12/83</v>
          </cell>
          <cell r="BX334" t="str">
            <v>F12/84</v>
          </cell>
          <cell r="BY334" t="str">
            <v>F12/85</v>
          </cell>
          <cell r="BZ334" t="str">
            <v>F12/86</v>
          </cell>
          <cell r="CA334" t="str">
            <v>F12/87</v>
          </cell>
          <cell r="CB334" t="str">
            <v>F12/88</v>
          </cell>
          <cell r="CC334" t="str">
            <v>F12/89</v>
          </cell>
          <cell r="CD334" t="str">
            <v>F12/90</v>
          </cell>
          <cell r="CE334" t="str">
            <v>F12/91</v>
          </cell>
          <cell r="CF334" t="str">
            <v>F12/92</v>
          </cell>
          <cell r="CG334" t="str">
            <v>F12/93</v>
          </cell>
          <cell r="CH334" t="str">
            <v>F12/94</v>
          </cell>
          <cell r="CI334" t="str">
            <v>F12/95</v>
          </cell>
          <cell r="CJ334" t="str">
            <v>F12/96</v>
          </cell>
          <cell r="CK334" t="str">
            <v>F12/97</v>
          </cell>
          <cell r="CL334" t="str">
            <v>F12/98</v>
          </cell>
          <cell r="CM334" t="str">
            <v>F12/99</v>
          </cell>
          <cell r="CN334" t="str">
            <v>F12/00</v>
          </cell>
          <cell r="CO334" t="str">
            <v>F12/01</v>
          </cell>
          <cell r="CP334" t="str">
            <v>F12/02</v>
          </cell>
          <cell r="CQ334" t="str">
            <v>F12/03</v>
          </cell>
          <cell r="CR334" t="str">
            <v>F12/04</v>
          </cell>
          <cell r="CS334" t="str">
            <v>F12/05</v>
          </cell>
          <cell r="CT334" t="str">
            <v>F12/06</v>
          </cell>
          <cell r="CU334" t="str">
            <v>F12/07</v>
          </cell>
          <cell r="CV334" t="str">
            <v>F12/08</v>
          </cell>
          <cell r="CW334" t="str">
            <v>F12/09</v>
          </cell>
          <cell r="CX334" t="str">
            <v>F12/10</v>
          </cell>
          <cell r="CY334" t="str">
            <v>F12/11</v>
          </cell>
          <cell r="CZ334" t="str">
            <v>F12/12</v>
          </cell>
          <cell r="DA334" t="str">
            <v>F12/13</v>
          </cell>
          <cell r="DB334" t="str">
            <v>F12/14</v>
          </cell>
          <cell r="DC334" t="str">
            <v>F12/15</v>
          </cell>
          <cell r="DD334" t="str">
            <v>F12/16</v>
          </cell>
          <cell r="DE334" t="str">
            <v>F12/17</v>
          </cell>
          <cell r="DF334" t="str">
            <v>F12/18</v>
          </cell>
          <cell r="DG334" t="str">
            <v>F12/19</v>
          </cell>
          <cell r="DH334" t="str">
            <v>F12/20</v>
          </cell>
          <cell r="DI334" t="str">
            <v>F12/21</v>
          </cell>
          <cell r="DJ334" t="str">
            <v>F12/22</v>
          </cell>
          <cell r="DK334" t="str">
            <v>F12/23</v>
          </cell>
          <cell r="DL334" t="str">
            <v>F12/24</v>
          </cell>
          <cell r="DM334" t="str">
            <v>F12/25</v>
          </cell>
          <cell r="DN334" t="str">
            <v>F12/26</v>
          </cell>
          <cell r="DO334" t="str">
            <v>F12/27</v>
          </cell>
          <cell r="DP334" t="str">
            <v>F12/28</v>
          </cell>
          <cell r="DQ334" t="str">
            <v>F12/29</v>
          </cell>
          <cell r="DR334" t="str">
            <v>F12/30</v>
          </cell>
          <cell r="DS334" t="str">
            <v>F12/31</v>
          </cell>
          <cell r="DT334" t="str">
            <v>F12/32</v>
          </cell>
          <cell r="DU334" t="str">
            <v>F12/33</v>
          </cell>
          <cell r="DV334" t="str">
            <v>F12/34</v>
          </cell>
          <cell r="DW334" t="str">
            <v>F12/35</v>
          </cell>
          <cell r="DX334" t="str">
            <v>F12/36</v>
          </cell>
          <cell r="DY334" t="str">
            <v>F12/37</v>
          </cell>
          <cell r="DZ334" t="str">
            <v>F12/38</v>
          </cell>
          <cell r="EA334" t="str">
            <v>F12/39</v>
          </cell>
          <cell r="EB334" t="str">
            <v>F12/40</v>
          </cell>
          <cell r="EC334" t="str">
            <v>F12/41</v>
          </cell>
          <cell r="ED334" t="str">
            <v>F12/42</v>
          </cell>
          <cell r="EE334" t="str">
            <v>F12/43</v>
          </cell>
          <cell r="EF334" t="str">
            <v>F12/44</v>
          </cell>
          <cell r="EG334" t="str">
            <v>F12/45</v>
          </cell>
          <cell r="EH334" t="str">
            <v>F12/46</v>
          </cell>
          <cell r="EI334" t="str">
            <v>F12/47</v>
          </cell>
          <cell r="EJ334" t="str">
            <v>F12/48</v>
          </cell>
          <cell r="EK334" t="str">
            <v>F12/49</v>
          </cell>
          <cell r="EL334" t="str">
            <v>F12/50</v>
          </cell>
          <cell r="EM334" t="str">
            <v>F12/51</v>
          </cell>
          <cell r="EN334" t="str">
            <v>F12/52</v>
          </cell>
          <cell r="EO334" t="str">
            <v>F12/53</v>
          </cell>
          <cell r="EP334" t="str">
            <v>F12/54</v>
          </cell>
          <cell r="EQ334" t="str">
            <v>F12/55</v>
          </cell>
          <cell r="ER334" t="str">
            <v>F12/56</v>
          </cell>
          <cell r="ES334" t="str">
            <v>F12/57</v>
          </cell>
          <cell r="ET334" t="str">
            <v>F12/58</v>
          </cell>
          <cell r="EU334" t="str">
            <v>F12/59</v>
          </cell>
          <cell r="EV334" t="str">
            <v>F12/60</v>
          </cell>
          <cell r="EW334" t="str">
            <v>F12/61</v>
          </cell>
          <cell r="EX334" t="str">
            <v>F12/62</v>
          </cell>
          <cell r="EY334" t="str">
            <v>F12/63</v>
          </cell>
          <cell r="EZ334" t="str">
            <v>F12/64</v>
          </cell>
          <cell r="FA334" t="str">
            <v>F12/65</v>
          </cell>
          <cell r="FB334" t="str">
            <v>F12/66</v>
          </cell>
          <cell r="FC334" t="str">
            <v>F12/67</v>
          </cell>
          <cell r="FD334" t="str">
            <v>F12/68</v>
          </cell>
          <cell r="FE334" t="str">
            <v>F12/69</v>
          </cell>
          <cell r="FF334" t="str">
            <v>F12/70</v>
          </cell>
          <cell r="FG334" t="str">
            <v>F12/71</v>
          </cell>
          <cell r="FH334" t="str">
            <v>F12/72</v>
          </cell>
          <cell r="FI334" t="str">
            <v>F12/73</v>
          </cell>
          <cell r="FJ334" t="str">
            <v>F12/74</v>
          </cell>
          <cell r="FK334" t="str">
            <v>F12/75</v>
          </cell>
          <cell r="FL334" t="str">
            <v>F12/76</v>
          </cell>
          <cell r="FM334" t="str">
            <v>F12/77</v>
          </cell>
          <cell r="FN334" t="str">
            <v>F12/78</v>
          </cell>
          <cell r="FO334" t="str">
            <v>F12/79</v>
          </cell>
          <cell r="FP334" t="str">
            <v>F12/80</v>
          </cell>
          <cell r="FQ334" t="str">
            <v>F12/81</v>
          </cell>
          <cell r="FR334" t="str">
            <v>F12/82</v>
          </cell>
          <cell r="FS334" t="str">
            <v>F12/83</v>
          </cell>
          <cell r="FT334" t="str">
            <v>F12/84</v>
          </cell>
          <cell r="FU334" t="str">
            <v>F12/85</v>
          </cell>
          <cell r="FV334" t="str">
            <v>F12/86</v>
          </cell>
          <cell r="FW334" t="str">
            <v>F12/87</v>
          </cell>
          <cell r="FX334" t="str">
            <v>F12/88</v>
          </cell>
          <cell r="FY334" t="str">
            <v>F12/89</v>
          </cell>
          <cell r="FZ334" t="str">
            <v>F12/90</v>
          </cell>
          <cell r="GA334" t="str">
            <v>F12/91</v>
          </cell>
          <cell r="GB334" t="str">
            <v>F12/92</v>
          </cell>
          <cell r="GC334" t="str">
            <v>F12/93</v>
          </cell>
          <cell r="GD334" t="str">
            <v>F12/94</v>
          </cell>
          <cell r="GE334" t="str">
            <v>F12/95</v>
          </cell>
          <cell r="GF334" t="str">
            <v>F12/96</v>
          </cell>
          <cell r="GG334" t="str">
            <v>F12/97</v>
          </cell>
          <cell r="GH334" t="str">
            <v>F12/98</v>
          </cell>
          <cell r="GI334" t="str">
            <v>F12/99</v>
          </cell>
          <cell r="GJ334" t="str">
            <v>F12/00</v>
          </cell>
          <cell r="GK334" t="str">
            <v>F12/01</v>
          </cell>
          <cell r="GL334" t="str">
            <v>F12/02</v>
          </cell>
          <cell r="GM334" t="str">
            <v>F12/03</v>
          </cell>
          <cell r="GN334" t="str">
            <v>F12/04</v>
          </cell>
          <cell r="GO334" t="str">
            <v>F12/05</v>
          </cell>
          <cell r="GP334" t="str">
            <v>F12/06</v>
          </cell>
          <cell r="GQ334" t="str">
            <v>F12/07</v>
          </cell>
          <cell r="GR334" t="str">
            <v>F12/08</v>
          </cell>
          <cell r="GS334" t="str">
            <v>F12/09</v>
          </cell>
          <cell r="GT334" t="str">
            <v>F12/10</v>
          </cell>
          <cell r="GU334" t="str">
            <v>F12/11</v>
          </cell>
          <cell r="GV334" t="str">
            <v>F12/12</v>
          </cell>
          <cell r="GW334" t="str">
            <v>F12/13</v>
          </cell>
          <cell r="GX334" t="str">
            <v>F12/14</v>
          </cell>
          <cell r="GY334" t="str">
            <v>F12/15</v>
          </cell>
          <cell r="GZ334" t="str">
            <v>F12/16</v>
          </cell>
          <cell r="HA334" t="str">
            <v>F12/17</v>
          </cell>
          <cell r="HB334" t="str">
            <v>F12/18</v>
          </cell>
          <cell r="HC334" t="str">
            <v>F12/19</v>
          </cell>
          <cell r="HD334" t="str">
            <v>F12/20</v>
          </cell>
          <cell r="HE334" t="str">
            <v>F12/21</v>
          </cell>
          <cell r="HF334" t="str">
            <v>F12/22</v>
          </cell>
          <cell r="HG334" t="str">
            <v>F12/23</v>
          </cell>
          <cell r="HH334" t="str">
            <v>F12/24</v>
          </cell>
          <cell r="HI334" t="str">
            <v>F12/25</v>
          </cell>
          <cell r="HJ334" t="str">
            <v>F12/26</v>
          </cell>
          <cell r="HK334" t="str">
            <v>F12/27</v>
          </cell>
          <cell r="HL334" t="str">
            <v>F12/28</v>
          </cell>
          <cell r="HM334" t="str">
            <v>F12/29</v>
          </cell>
          <cell r="HN334" t="str">
            <v>F12/30</v>
          </cell>
          <cell r="HO334" t="str">
            <v>F12/31</v>
          </cell>
          <cell r="HP334" t="str">
            <v>F12/32</v>
          </cell>
          <cell r="HQ334" t="str">
            <v>F12/33</v>
          </cell>
          <cell r="HR334" t="str">
            <v>F12/34</v>
          </cell>
          <cell r="HS334" t="str">
            <v>F12/35</v>
          </cell>
          <cell r="HT334" t="str">
            <v>F12/36</v>
          </cell>
          <cell r="HU334" t="str">
            <v>F12/37</v>
          </cell>
          <cell r="HV334" t="str">
            <v>F12/38</v>
          </cell>
          <cell r="HW334" t="str">
            <v>F12/39</v>
          </cell>
          <cell r="HX334" t="str">
            <v>F12/40</v>
          </cell>
          <cell r="HY334" t="str">
            <v>F12/41</v>
          </cell>
          <cell r="HZ334" t="str">
            <v>F12/42</v>
          </cell>
          <cell r="IA334" t="str">
            <v>F12/43</v>
          </cell>
          <cell r="IB334" t="str">
            <v>F12/44</v>
          </cell>
          <cell r="IC334" t="str">
            <v>F12/45</v>
          </cell>
          <cell r="ID334" t="str">
            <v>F12/46</v>
          </cell>
          <cell r="IE334" t="str">
            <v>F12/47</v>
          </cell>
          <cell r="IF334" t="str">
            <v>F12/48</v>
          </cell>
          <cell r="IG334" t="str">
            <v>F12/49</v>
          </cell>
          <cell r="IH334" t="str">
            <v>F12/50</v>
          </cell>
          <cell r="II334" t="str">
            <v>F12/51</v>
          </cell>
          <cell r="IJ334" t="str">
            <v>F12/52</v>
          </cell>
          <cell r="IK334" t="str">
            <v>F12/53</v>
          </cell>
          <cell r="IL334" t="str">
            <v>F12/54</v>
          </cell>
          <cell r="IM334" t="str">
            <v>F12/55</v>
          </cell>
          <cell r="IN334" t="str">
            <v>F12/56</v>
          </cell>
          <cell r="IO334" t="str">
            <v>F12/57</v>
          </cell>
          <cell r="IP334" t="str">
            <v>F12/58</v>
          </cell>
          <cell r="IQ334" t="str">
            <v>F12/59</v>
          </cell>
          <cell r="IR334" t="str">
            <v>F12/60</v>
          </cell>
        </row>
        <row r="335">
          <cell r="B335" t="str">
            <v>English</v>
          </cell>
          <cell r="C335" t="str">
            <v>F11/12</v>
          </cell>
          <cell r="D335" t="str">
            <v>F12/12</v>
          </cell>
          <cell r="E335" t="str">
            <v>F13/12</v>
          </cell>
          <cell r="F335" t="str">
            <v>F14/12</v>
          </cell>
          <cell r="G335" t="str">
            <v>F15/12</v>
          </cell>
          <cell r="H335" t="str">
            <v>F16/12</v>
          </cell>
          <cell r="I335" t="str">
            <v>F17/12</v>
          </cell>
          <cell r="J335" t="str">
            <v>F18/12</v>
          </cell>
          <cell r="K335" t="str">
            <v>F19/12</v>
          </cell>
          <cell r="L335" t="str">
            <v>F20/12</v>
          </cell>
          <cell r="M335" t="str">
            <v>F21/12</v>
          </cell>
          <cell r="N335" t="str">
            <v>F22/12</v>
          </cell>
          <cell r="O335" t="str">
            <v>F23/12</v>
          </cell>
          <cell r="P335" t="str">
            <v>F24/12</v>
          </cell>
          <cell r="Q335" t="str">
            <v>F25/12</v>
          </cell>
          <cell r="R335" t="str">
            <v>F26/12</v>
          </cell>
          <cell r="S335" t="str">
            <v>F27/12</v>
          </cell>
          <cell r="T335" t="str">
            <v>F28/12</v>
          </cell>
          <cell r="U335" t="str">
            <v>F29/12</v>
          </cell>
          <cell r="V335" t="str">
            <v>F30/12</v>
          </cell>
          <cell r="W335" t="str">
            <v>F31/12</v>
          </cell>
          <cell r="X335" t="str">
            <v>F32/12</v>
          </cell>
          <cell r="Y335" t="str">
            <v>F33/12</v>
          </cell>
          <cell r="Z335" t="str">
            <v>F34/12</v>
          </cell>
          <cell r="AA335" t="str">
            <v>F35/12</v>
          </cell>
          <cell r="AB335" t="str">
            <v>F36/12</v>
          </cell>
          <cell r="AC335" t="str">
            <v>F37/12</v>
          </cell>
          <cell r="AD335" t="str">
            <v>F38/12</v>
          </cell>
          <cell r="AE335" t="str">
            <v>F39/12</v>
          </cell>
          <cell r="AF335" t="str">
            <v>F40/12</v>
          </cell>
          <cell r="AG335" t="str">
            <v>F41/12</v>
          </cell>
          <cell r="AH335" t="str">
            <v>F42/12</v>
          </cell>
          <cell r="AI335" t="str">
            <v>F43/12</v>
          </cell>
          <cell r="AJ335" t="str">
            <v>F44/12</v>
          </cell>
          <cell r="AK335" t="str">
            <v>F45/12</v>
          </cell>
          <cell r="AL335" t="str">
            <v>F46/12</v>
          </cell>
          <cell r="AM335" t="str">
            <v>F47/12</v>
          </cell>
          <cell r="AN335" t="str">
            <v>F48/12</v>
          </cell>
          <cell r="AO335" t="str">
            <v>F49/12</v>
          </cell>
          <cell r="AP335" t="str">
            <v>F50/12</v>
          </cell>
          <cell r="AQ335" t="str">
            <v>F51/12</v>
          </cell>
          <cell r="AR335" t="str">
            <v>F52/12</v>
          </cell>
          <cell r="AS335" t="str">
            <v>F53/12</v>
          </cell>
          <cell r="AT335" t="str">
            <v>F54/12</v>
          </cell>
          <cell r="AU335" t="str">
            <v>F55/12</v>
          </cell>
          <cell r="AV335" t="str">
            <v>F56/12</v>
          </cell>
          <cell r="AW335" t="str">
            <v>F57/12</v>
          </cell>
          <cell r="AX335" t="str">
            <v>F58/12</v>
          </cell>
          <cell r="AY335" t="str">
            <v>F59/12</v>
          </cell>
          <cell r="AZ335" t="str">
            <v>F60/12</v>
          </cell>
          <cell r="BA335" t="str">
            <v>F61/12</v>
          </cell>
          <cell r="BB335" t="str">
            <v>F62/12</v>
          </cell>
          <cell r="BC335" t="str">
            <v>F63/12</v>
          </cell>
          <cell r="BD335" t="str">
            <v>F64/12</v>
          </cell>
          <cell r="BE335" t="str">
            <v>F65/12</v>
          </cell>
          <cell r="BF335" t="str">
            <v>F66/12</v>
          </cell>
          <cell r="BG335" t="str">
            <v>F67/12</v>
          </cell>
          <cell r="BH335" t="str">
            <v>F68/12</v>
          </cell>
          <cell r="BI335" t="str">
            <v>F69/12</v>
          </cell>
          <cell r="BJ335" t="str">
            <v>F70/12</v>
          </cell>
          <cell r="BK335" t="str">
            <v>F71/12</v>
          </cell>
          <cell r="BL335" t="str">
            <v>F72/12</v>
          </cell>
          <cell r="BM335" t="str">
            <v>F73/12</v>
          </cell>
          <cell r="BN335" t="str">
            <v>F74/12</v>
          </cell>
          <cell r="BO335" t="str">
            <v>F75/12</v>
          </cell>
          <cell r="BP335" t="str">
            <v>F76/12</v>
          </cell>
          <cell r="BQ335" t="str">
            <v>F77/12</v>
          </cell>
          <cell r="BR335" t="str">
            <v>F78/12</v>
          </cell>
          <cell r="BS335" t="str">
            <v>F79/12</v>
          </cell>
          <cell r="BT335" t="str">
            <v>F80/12</v>
          </cell>
          <cell r="BU335" t="str">
            <v>F81/12</v>
          </cell>
          <cell r="BV335" t="str">
            <v>F82/12</v>
          </cell>
          <cell r="BW335" t="str">
            <v>F83/12</v>
          </cell>
          <cell r="BX335" t="str">
            <v>F84/12</v>
          </cell>
          <cell r="BY335" t="str">
            <v>F85/12</v>
          </cell>
          <cell r="BZ335" t="str">
            <v>F86/12</v>
          </cell>
          <cell r="CA335" t="str">
            <v>F87/12</v>
          </cell>
          <cell r="CB335" t="str">
            <v>F88/12</v>
          </cell>
          <cell r="CC335" t="str">
            <v>F89/12</v>
          </cell>
          <cell r="CD335" t="str">
            <v>F90/12</v>
          </cell>
          <cell r="CE335" t="str">
            <v>F91/12</v>
          </cell>
          <cell r="CF335" t="str">
            <v>F92/12</v>
          </cell>
          <cell r="CG335" t="str">
            <v>F93/12</v>
          </cell>
          <cell r="CH335" t="str">
            <v>F94/12</v>
          </cell>
          <cell r="CI335" t="str">
            <v>F95/12</v>
          </cell>
          <cell r="CJ335" t="str">
            <v>F96/12</v>
          </cell>
          <cell r="CK335" t="str">
            <v>F97/12</v>
          </cell>
          <cell r="CL335" t="str">
            <v>F98/12</v>
          </cell>
          <cell r="CM335" t="str">
            <v>F99/12</v>
          </cell>
          <cell r="CN335" t="str">
            <v>F00/12</v>
          </cell>
          <cell r="CO335" t="str">
            <v>F01/12</v>
          </cell>
          <cell r="CP335" t="str">
            <v>F02/12</v>
          </cell>
          <cell r="CQ335" t="str">
            <v>F03/12</v>
          </cell>
          <cell r="CR335" t="str">
            <v>F04/12</v>
          </cell>
          <cell r="CS335" t="str">
            <v>F05/12</v>
          </cell>
          <cell r="CT335" t="str">
            <v>F06/12</v>
          </cell>
          <cell r="CU335" t="str">
            <v>F07/12</v>
          </cell>
          <cell r="CV335" t="str">
            <v>F08/12</v>
          </cell>
          <cell r="CW335" t="str">
            <v>F09/12</v>
          </cell>
          <cell r="CX335" t="str">
            <v>F10/12</v>
          </cell>
          <cell r="CY335" t="str">
            <v>F11/12</v>
          </cell>
          <cell r="CZ335" t="str">
            <v>F12/12</v>
          </cell>
          <cell r="DA335" t="str">
            <v>F13/12</v>
          </cell>
          <cell r="DB335" t="str">
            <v>F14/12</v>
          </cell>
          <cell r="DC335" t="str">
            <v>F15/12</v>
          </cell>
          <cell r="DD335" t="str">
            <v>F16/12</v>
          </cell>
          <cell r="DE335" t="str">
            <v>F17/12</v>
          </cell>
          <cell r="DF335" t="str">
            <v>F18/12</v>
          </cell>
          <cell r="DG335" t="str">
            <v>F19/12</v>
          </cell>
          <cell r="DH335" t="str">
            <v>F20/12</v>
          </cell>
          <cell r="DI335" t="str">
            <v>F21/12</v>
          </cell>
          <cell r="DJ335" t="str">
            <v>F22/12</v>
          </cell>
          <cell r="DK335" t="str">
            <v>F23/12</v>
          </cell>
          <cell r="DL335" t="str">
            <v>F24/12</v>
          </cell>
          <cell r="DM335" t="str">
            <v>F25/12</v>
          </cell>
          <cell r="DN335" t="str">
            <v>F26/12</v>
          </cell>
          <cell r="DO335" t="str">
            <v>F27/12</v>
          </cell>
          <cell r="DP335" t="str">
            <v>F28/12</v>
          </cell>
          <cell r="DQ335" t="str">
            <v>F29/12</v>
          </cell>
          <cell r="DR335" t="str">
            <v>F30/12</v>
          </cell>
          <cell r="DS335" t="str">
            <v>F31/12</v>
          </cell>
          <cell r="DT335" t="str">
            <v>F32/12</v>
          </cell>
          <cell r="DU335" t="str">
            <v>F33/12</v>
          </cell>
          <cell r="DV335" t="str">
            <v>F34/12</v>
          </cell>
          <cell r="DW335" t="str">
            <v>F35/12</v>
          </cell>
          <cell r="DX335" t="str">
            <v>F36/12</v>
          </cell>
          <cell r="DY335" t="str">
            <v>F37/12</v>
          </cell>
          <cell r="DZ335" t="str">
            <v>F38/12</v>
          </cell>
          <cell r="EA335" t="str">
            <v>F39/12</v>
          </cell>
          <cell r="EB335" t="str">
            <v>F40/12</v>
          </cell>
          <cell r="EC335" t="str">
            <v>F41/12</v>
          </cell>
          <cell r="ED335" t="str">
            <v>F42/12</v>
          </cell>
          <cell r="EE335" t="str">
            <v>F43/12</v>
          </cell>
          <cell r="EF335" t="str">
            <v>F44/12</v>
          </cell>
          <cell r="EG335" t="str">
            <v>F45/12</v>
          </cell>
          <cell r="EH335" t="str">
            <v>F46/12</v>
          </cell>
          <cell r="EI335" t="str">
            <v>F47/12</v>
          </cell>
          <cell r="EJ335" t="str">
            <v>F48/12</v>
          </cell>
          <cell r="EK335" t="str">
            <v>F49/12</v>
          </cell>
          <cell r="EL335" t="str">
            <v>F50/12</v>
          </cell>
          <cell r="EM335" t="str">
            <v>F51/12</v>
          </cell>
          <cell r="EN335" t="str">
            <v>F52/12</v>
          </cell>
          <cell r="EO335" t="str">
            <v>F53/12</v>
          </cell>
          <cell r="EP335" t="str">
            <v>F54/12</v>
          </cell>
          <cell r="EQ335" t="str">
            <v>F55/12</v>
          </cell>
          <cell r="ER335" t="str">
            <v>F56/12</v>
          </cell>
          <cell r="ES335" t="str">
            <v>F57/12</v>
          </cell>
          <cell r="ET335" t="str">
            <v>F58/12</v>
          </cell>
          <cell r="EU335" t="str">
            <v>F59/12</v>
          </cell>
          <cell r="EV335" t="str">
            <v>F60/12</v>
          </cell>
          <cell r="EW335" t="str">
            <v>F61/12</v>
          </cell>
          <cell r="EX335" t="str">
            <v>F62/12</v>
          </cell>
          <cell r="EY335" t="str">
            <v>F63/12</v>
          </cell>
          <cell r="EZ335" t="str">
            <v>F64/12</v>
          </cell>
          <cell r="FA335" t="str">
            <v>F65/12</v>
          </cell>
          <cell r="FB335" t="str">
            <v>F66/12</v>
          </cell>
          <cell r="FC335" t="str">
            <v>F67/12</v>
          </cell>
          <cell r="FD335" t="str">
            <v>F68/12</v>
          </cell>
          <cell r="FE335" t="str">
            <v>F69/12</v>
          </cell>
          <cell r="FF335" t="str">
            <v>F70/12</v>
          </cell>
          <cell r="FG335" t="str">
            <v>F71/12</v>
          </cell>
          <cell r="FH335" t="str">
            <v>F72/12</v>
          </cell>
          <cell r="FI335" t="str">
            <v>F73/12</v>
          </cell>
          <cell r="FJ335" t="str">
            <v>F74/12</v>
          </cell>
          <cell r="FK335" t="str">
            <v>F75/12</v>
          </cell>
          <cell r="FL335" t="str">
            <v>F76/12</v>
          </cell>
          <cell r="FM335" t="str">
            <v>F77/12</v>
          </cell>
          <cell r="FN335" t="str">
            <v>F78/12</v>
          </cell>
          <cell r="FO335" t="str">
            <v>F79/12</v>
          </cell>
          <cell r="FP335" t="str">
            <v>F80/12</v>
          </cell>
          <cell r="FQ335" t="str">
            <v>F81/12</v>
          </cell>
          <cell r="FR335" t="str">
            <v>F82/12</v>
          </cell>
          <cell r="FS335" t="str">
            <v>F83/12</v>
          </cell>
          <cell r="FT335" t="str">
            <v>F84/12</v>
          </cell>
          <cell r="FU335" t="str">
            <v>F85/12</v>
          </cell>
          <cell r="FV335" t="str">
            <v>F86/12</v>
          </cell>
          <cell r="FW335" t="str">
            <v>F87/12</v>
          </cell>
          <cell r="FX335" t="str">
            <v>F88/12</v>
          </cell>
          <cell r="FY335" t="str">
            <v>F89/12</v>
          </cell>
          <cell r="FZ335" t="str">
            <v>F90/12</v>
          </cell>
          <cell r="GA335" t="str">
            <v>F91/12</v>
          </cell>
          <cell r="GB335" t="str">
            <v>F92/12</v>
          </cell>
          <cell r="GC335" t="str">
            <v>F93/12</v>
          </cell>
          <cell r="GD335" t="str">
            <v>F94/12</v>
          </cell>
          <cell r="GE335" t="str">
            <v>F95/12</v>
          </cell>
          <cell r="GF335" t="str">
            <v>F96/12</v>
          </cell>
          <cell r="GG335" t="str">
            <v>F97/12</v>
          </cell>
          <cell r="GH335" t="str">
            <v>F98/12</v>
          </cell>
          <cell r="GI335" t="str">
            <v>F99/12</v>
          </cell>
          <cell r="GJ335" t="str">
            <v>F00/12</v>
          </cell>
          <cell r="GK335" t="str">
            <v>F01/12</v>
          </cell>
          <cell r="GL335" t="str">
            <v>F02/12</v>
          </cell>
          <cell r="GM335" t="str">
            <v>F03/12</v>
          </cell>
          <cell r="GN335" t="str">
            <v>F04/12</v>
          </cell>
          <cell r="GO335" t="str">
            <v>F05/12</v>
          </cell>
          <cell r="GP335" t="str">
            <v>F06/12</v>
          </cell>
          <cell r="GQ335" t="str">
            <v>F07/12</v>
          </cell>
          <cell r="GR335" t="str">
            <v>F08/12</v>
          </cell>
          <cell r="GS335" t="str">
            <v>F09/12</v>
          </cell>
          <cell r="GT335" t="str">
            <v>F10/12</v>
          </cell>
          <cell r="GU335" t="str">
            <v>F11/12</v>
          </cell>
          <cell r="GV335" t="str">
            <v>F12/12</v>
          </cell>
          <cell r="GW335" t="str">
            <v>F13/12</v>
          </cell>
          <cell r="GX335" t="str">
            <v>F14/12</v>
          </cell>
          <cell r="GY335" t="str">
            <v>F15/12</v>
          </cell>
          <cell r="GZ335" t="str">
            <v>F16/12</v>
          </cell>
          <cell r="HA335" t="str">
            <v>F17/12</v>
          </cell>
          <cell r="HB335" t="str">
            <v>F18/12</v>
          </cell>
          <cell r="HC335" t="str">
            <v>F19/12</v>
          </cell>
          <cell r="HD335" t="str">
            <v>F20/12</v>
          </cell>
          <cell r="HE335" t="str">
            <v>F21/12</v>
          </cell>
          <cell r="HF335" t="str">
            <v>F22/12</v>
          </cell>
          <cell r="HG335" t="str">
            <v>F23/12</v>
          </cell>
          <cell r="HH335" t="str">
            <v>F24/12</v>
          </cell>
          <cell r="HI335" t="str">
            <v>F25/12</v>
          </cell>
          <cell r="HJ335" t="str">
            <v>F26/12</v>
          </cell>
          <cell r="HK335" t="str">
            <v>F27/12</v>
          </cell>
          <cell r="HL335" t="str">
            <v>F28/12</v>
          </cell>
          <cell r="HM335" t="str">
            <v>F29/12</v>
          </cell>
          <cell r="HN335" t="str">
            <v>F30/12</v>
          </cell>
          <cell r="HO335" t="str">
            <v>F31/12</v>
          </cell>
          <cell r="HP335" t="str">
            <v>F32/12</v>
          </cell>
          <cell r="HQ335" t="str">
            <v>F33/12</v>
          </cell>
          <cell r="HR335" t="str">
            <v>F34/12</v>
          </cell>
          <cell r="HS335" t="str">
            <v>F35/12</v>
          </cell>
          <cell r="HT335" t="str">
            <v>F36/12</v>
          </cell>
          <cell r="HU335" t="str">
            <v>F37/12</v>
          </cell>
          <cell r="HV335" t="str">
            <v>F38/12</v>
          </cell>
          <cell r="HW335" t="str">
            <v>F39/12</v>
          </cell>
          <cell r="HX335" t="str">
            <v>F40/12</v>
          </cell>
          <cell r="HY335" t="str">
            <v>F41/12</v>
          </cell>
          <cell r="HZ335" t="str">
            <v>F42/12</v>
          </cell>
          <cell r="IA335" t="str">
            <v>F43/12</v>
          </cell>
          <cell r="IB335" t="str">
            <v>F44/12</v>
          </cell>
          <cell r="IC335" t="str">
            <v>F45/12</v>
          </cell>
          <cell r="ID335" t="str">
            <v>F46/12</v>
          </cell>
          <cell r="IE335" t="str">
            <v>F47/12</v>
          </cell>
          <cell r="IF335" t="str">
            <v>F48/12</v>
          </cell>
          <cell r="IG335" t="str">
            <v>F49/12</v>
          </cell>
          <cell r="IH335" t="str">
            <v>F50/12</v>
          </cell>
          <cell r="II335" t="str">
            <v>F51/12</v>
          </cell>
          <cell r="IJ335" t="str">
            <v>F52/12</v>
          </cell>
          <cell r="IK335" t="str">
            <v>F53/12</v>
          </cell>
          <cell r="IL335" t="str">
            <v>F54/12</v>
          </cell>
          <cell r="IM335" t="str">
            <v>F55/12</v>
          </cell>
          <cell r="IN335" t="str">
            <v>F56/12</v>
          </cell>
          <cell r="IO335" t="str">
            <v>F57/12</v>
          </cell>
          <cell r="IP335" t="str">
            <v>F58/12</v>
          </cell>
          <cell r="IQ335" t="str">
            <v>F59/12</v>
          </cell>
          <cell r="IR335" t="str">
            <v>F60/12</v>
          </cell>
        </row>
        <row r="336">
          <cell r="B336" t="str">
            <v>Source: Morgan Stanley Research, ModelWare</v>
          </cell>
        </row>
        <row r="337">
          <cell r="B337" t="str">
            <v>Select Language</v>
          </cell>
          <cell r="C337">
            <v>12</v>
          </cell>
          <cell r="D337">
            <v>12</v>
          </cell>
          <cell r="E337">
            <v>12</v>
          </cell>
          <cell r="F337">
            <v>12</v>
          </cell>
          <cell r="G337">
            <v>12</v>
          </cell>
          <cell r="H337">
            <v>12</v>
          </cell>
          <cell r="I337">
            <v>12</v>
          </cell>
          <cell r="J337">
            <v>12</v>
          </cell>
          <cell r="K337">
            <v>12</v>
          </cell>
          <cell r="L337">
            <v>12</v>
          </cell>
          <cell r="M337">
            <v>12</v>
          </cell>
          <cell r="N337">
            <v>12</v>
          </cell>
          <cell r="O337">
            <v>12</v>
          </cell>
          <cell r="P337">
            <v>12</v>
          </cell>
          <cell r="Q337">
            <v>12</v>
          </cell>
          <cell r="R337">
            <v>12</v>
          </cell>
          <cell r="S337">
            <v>12</v>
          </cell>
          <cell r="T337">
            <v>12</v>
          </cell>
          <cell r="U337">
            <v>12</v>
          </cell>
          <cell r="V337">
            <v>12</v>
          </cell>
          <cell r="W337">
            <v>12</v>
          </cell>
          <cell r="X337">
            <v>12</v>
          </cell>
          <cell r="Y337">
            <v>12</v>
          </cell>
          <cell r="Z337">
            <v>12</v>
          </cell>
          <cell r="AA337">
            <v>12</v>
          </cell>
          <cell r="AB337">
            <v>12</v>
          </cell>
          <cell r="AC337">
            <v>12</v>
          </cell>
          <cell r="AD337">
            <v>12</v>
          </cell>
          <cell r="AE337">
            <v>12</v>
          </cell>
          <cell r="AF337">
            <v>12</v>
          </cell>
          <cell r="AG337">
            <v>12</v>
          </cell>
          <cell r="AH337">
            <v>12</v>
          </cell>
          <cell r="AI337">
            <v>12</v>
          </cell>
          <cell r="AJ337">
            <v>12</v>
          </cell>
          <cell r="AK337">
            <v>12</v>
          </cell>
          <cell r="AL337">
            <v>12</v>
          </cell>
          <cell r="AM337">
            <v>12</v>
          </cell>
          <cell r="AN337">
            <v>12</v>
          </cell>
          <cell r="AO337">
            <v>12</v>
          </cell>
          <cell r="AP337">
            <v>12</v>
          </cell>
          <cell r="AQ337">
            <v>12</v>
          </cell>
          <cell r="AR337">
            <v>12</v>
          </cell>
          <cell r="AS337">
            <v>12</v>
          </cell>
          <cell r="AT337">
            <v>12</v>
          </cell>
          <cell r="AU337">
            <v>12</v>
          </cell>
          <cell r="AV337">
            <v>12</v>
          </cell>
          <cell r="AW337">
            <v>12</v>
          </cell>
          <cell r="AX337">
            <v>12</v>
          </cell>
          <cell r="AY337">
            <v>12</v>
          </cell>
          <cell r="AZ337">
            <v>12</v>
          </cell>
          <cell r="BA337">
            <v>12</v>
          </cell>
          <cell r="BB337">
            <v>12</v>
          </cell>
          <cell r="BC337">
            <v>12</v>
          </cell>
          <cell r="BD337">
            <v>12</v>
          </cell>
          <cell r="BE337">
            <v>12</v>
          </cell>
          <cell r="BF337">
            <v>12</v>
          </cell>
          <cell r="BG337">
            <v>12</v>
          </cell>
          <cell r="BH337">
            <v>12</v>
          </cell>
          <cell r="BI337">
            <v>12</v>
          </cell>
          <cell r="BJ337">
            <v>12</v>
          </cell>
          <cell r="BK337">
            <v>12</v>
          </cell>
          <cell r="BL337">
            <v>12</v>
          </cell>
          <cell r="BM337">
            <v>12</v>
          </cell>
          <cell r="BN337">
            <v>12</v>
          </cell>
          <cell r="BO337">
            <v>12</v>
          </cell>
          <cell r="BP337">
            <v>12</v>
          </cell>
          <cell r="BQ337">
            <v>12</v>
          </cell>
          <cell r="BR337">
            <v>12</v>
          </cell>
          <cell r="BS337">
            <v>12</v>
          </cell>
          <cell r="BT337">
            <v>12</v>
          </cell>
          <cell r="BU337">
            <v>12</v>
          </cell>
          <cell r="BV337">
            <v>12</v>
          </cell>
          <cell r="BW337">
            <v>12</v>
          </cell>
          <cell r="BX337">
            <v>12</v>
          </cell>
          <cell r="BY337">
            <v>12</v>
          </cell>
          <cell r="BZ337">
            <v>12</v>
          </cell>
          <cell r="CA337">
            <v>12</v>
          </cell>
          <cell r="CB337">
            <v>12</v>
          </cell>
          <cell r="CC337">
            <v>12</v>
          </cell>
          <cell r="CD337">
            <v>12</v>
          </cell>
          <cell r="CE337">
            <v>12</v>
          </cell>
          <cell r="CF337">
            <v>12</v>
          </cell>
          <cell r="CG337">
            <v>12</v>
          </cell>
          <cell r="CH337">
            <v>12</v>
          </cell>
          <cell r="CI337">
            <v>12</v>
          </cell>
          <cell r="CJ337">
            <v>12</v>
          </cell>
          <cell r="CK337">
            <v>12</v>
          </cell>
          <cell r="CL337">
            <v>12</v>
          </cell>
          <cell r="CM337">
            <v>12</v>
          </cell>
          <cell r="CN337">
            <v>12</v>
          </cell>
          <cell r="CO337">
            <v>12</v>
          </cell>
          <cell r="CP337">
            <v>12</v>
          </cell>
          <cell r="CQ337">
            <v>12</v>
          </cell>
          <cell r="CR337">
            <v>12</v>
          </cell>
          <cell r="CS337">
            <v>12</v>
          </cell>
          <cell r="CT337">
            <v>12</v>
          </cell>
          <cell r="CU337">
            <v>12</v>
          </cell>
          <cell r="CV337">
            <v>12</v>
          </cell>
          <cell r="CW337">
            <v>12</v>
          </cell>
          <cell r="CX337">
            <v>12</v>
          </cell>
          <cell r="CY337">
            <v>12</v>
          </cell>
          <cell r="CZ337">
            <v>12</v>
          </cell>
          <cell r="DA337">
            <v>12</v>
          </cell>
          <cell r="DB337">
            <v>12</v>
          </cell>
          <cell r="DC337">
            <v>12</v>
          </cell>
          <cell r="DD337">
            <v>12</v>
          </cell>
          <cell r="DE337">
            <v>12</v>
          </cell>
          <cell r="DF337">
            <v>12</v>
          </cell>
          <cell r="DG337">
            <v>12</v>
          </cell>
          <cell r="DH337">
            <v>12</v>
          </cell>
          <cell r="DI337">
            <v>12</v>
          </cell>
          <cell r="DJ337">
            <v>12</v>
          </cell>
          <cell r="DK337">
            <v>12</v>
          </cell>
          <cell r="DL337">
            <v>12</v>
          </cell>
          <cell r="DM337">
            <v>12</v>
          </cell>
          <cell r="DN337">
            <v>12</v>
          </cell>
          <cell r="DO337">
            <v>12</v>
          </cell>
          <cell r="DP337">
            <v>12</v>
          </cell>
          <cell r="DQ337">
            <v>12</v>
          </cell>
          <cell r="DR337">
            <v>12</v>
          </cell>
          <cell r="DS337">
            <v>12</v>
          </cell>
          <cell r="DT337">
            <v>12</v>
          </cell>
          <cell r="DU337">
            <v>12</v>
          </cell>
          <cell r="DV337">
            <v>12</v>
          </cell>
          <cell r="DW337">
            <v>12</v>
          </cell>
          <cell r="DX337">
            <v>12</v>
          </cell>
          <cell r="DY337">
            <v>12</v>
          </cell>
          <cell r="DZ337">
            <v>12</v>
          </cell>
          <cell r="EA337">
            <v>12</v>
          </cell>
          <cell r="EB337">
            <v>12</v>
          </cell>
          <cell r="EC337">
            <v>12</v>
          </cell>
          <cell r="ED337">
            <v>12</v>
          </cell>
          <cell r="EE337">
            <v>12</v>
          </cell>
          <cell r="EF337">
            <v>12</v>
          </cell>
          <cell r="EG337">
            <v>12</v>
          </cell>
          <cell r="EH337">
            <v>12</v>
          </cell>
          <cell r="EI337">
            <v>12</v>
          </cell>
          <cell r="EJ337">
            <v>12</v>
          </cell>
          <cell r="EK337">
            <v>12</v>
          </cell>
          <cell r="EL337">
            <v>12</v>
          </cell>
          <cell r="EM337">
            <v>12</v>
          </cell>
          <cell r="EN337">
            <v>12</v>
          </cell>
          <cell r="EO337">
            <v>12</v>
          </cell>
          <cell r="EP337">
            <v>12</v>
          </cell>
          <cell r="EQ337">
            <v>12</v>
          </cell>
          <cell r="ER337">
            <v>12</v>
          </cell>
          <cell r="ES337">
            <v>12</v>
          </cell>
          <cell r="ET337">
            <v>12</v>
          </cell>
          <cell r="EU337">
            <v>12</v>
          </cell>
          <cell r="EV337">
            <v>12</v>
          </cell>
          <cell r="EW337">
            <v>12</v>
          </cell>
          <cell r="EX337">
            <v>12</v>
          </cell>
          <cell r="EY337">
            <v>12</v>
          </cell>
          <cell r="EZ337">
            <v>12</v>
          </cell>
          <cell r="FA337">
            <v>12</v>
          </cell>
          <cell r="FB337">
            <v>12</v>
          </cell>
          <cell r="FC337">
            <v>12</v>
          </cell>
          <cell r="FD337">
            <v>12</v>
          </cell>
          <cell r="FE337">
            <v>12</v>
          </cell>
          <cell r="FF337">
            <v>12</v>
          </cell>
          <cell r="FG337">
            <v>12</v>
          </cell>
          <cell r="FH337">
            <v>12</v>
          </cell>
          <cell r="FI337">
            <v>12</v>
          </cell>
          <cell r="FJ337">
            <v>12</v>
          </cell>
          <cell r="FK337">
            <v>12</v>
          </cell>
          <cell r="FL337">
            <v>12</v>
          </cell>
          <cell r="FM337">
            <v>12</v>
          </cell>
          <cell r="FN337">
            <v>12</v>
          </cell>
          <cell r="FO337">
            <v>12</v>
          </cell>
          <cell r="FP337">
            <v>12</v>
          </cell>
          <cell r="FQ337">
            <v>12</v>
          </cell>
          <cell r="FR337">
            <v>12</v>
          </cell>
          <cell r="FS337">
            <v>12</v>
          </cell>
          <cell r="FT337">
            <v>12</v>
          </cell>
          <cell r="FU337">
            <v>12</v>
          </cell>
          <cell r="FV337">
            <v>12</v>
          </cell>
          <cell r="FW337">
            <v>12</v>
          </cell>
          <cell r="FX337">
            <v>12</v>
          </cell>
          <cell r="FY337">
            <v>12</v>
          </cell>
          <cell r="FZ337">
            <v>12</v>
          </cell>
          <cell r="GA337">
            <v>12</v>
          </cell>
          <cell r="GB337">
            <v>12</v>
          </cell>
          <cell r="GC337">
            <v>12</v>
          </cell>
          <cell r="GD337">
            <v>12</v>
          </cell>
          <cell r="GE337">
            <v>12</v>
          </cell>
          <cell r="GF337">
            <v>12</v>
          </cell>
          <cell r="GG337">
            <v>12</v>
          </cell>
          <cell r="GH337">
            <v>12</v>
          </cell>
          <cell r="GI337">
            <v>12</v>
          </cell>
          <cell r="GJ337">
            <v>12</v>
          </cell>
          <cell r="GK337">
            <v>12</v>
          </cell>
          <cell r="GL337">
            <v>12</v>
          </cell>
          <cell r="GM337">
            <v>12</v>
          </cell>
          <cell r="GN337">
            <v>12</v>
          </cell>
          <cell r="GO337">
            <v>12</v>
          </cell>
          <cell r="GP337">
            <v>12</v>
          </cell>
          <cell r="GQ337">
            <v>12</v>
          </cell>
          <cell r="GR337">
            <v>12</v>
          </cell>
          <cell r="GS337">
            <v>12</v>
          </cell>
          <cell r="GT337">
            <v>12</v>
          </cell>
          <cell r="GU337">
            <v>12</v>
          </cell>
          <cell r="GV337">
            <v>12</v>
          </cell>
          <cell r="GW337">
            <v>12</v>
          </cell>
          <cell r="GX337">
            <v>12</v>
          </cell>
          <cell r="GY337">
            <v>12</v>
          </cell>
          <cell r="GZ337">
            <v>12</v>
          </cell>
          <cell r="HA337">
            <v>12</v>
          </cell>
          <cell r="HB337">
            <v>12</v>
          </cell>
          <cell r="HC337">
            <v>12</v>
          </cell>
          <cell r="HD337">
            <v>12</v>
          </cell>
          <cell r="HE337">
            <v>12</v>
          </cell>
          <cell r="HF337">
            <v>12</v>
          </cell>
          <cell r="HG337">
            <v>12</v>
          </cell>
          <cell r="HH337">
            <v>12</v>
          </cell>
          <cell r="HI337">
            <v>12</v>
          </cell>
          <cell r="HJ337">
            <v>12</v>
          </cell>
          <cell r="HK337">
            <v>12</v>
          </cell>
          <cell r="HL337">
            <v>12</v>
          </cell>
          <cell r="HM337">
            <v>12</v>
          </cell>
          <cell r="HN337">
            <v>12</v>
          </cell>
          <cell r="HO337">
            <v>12</v>
          </cell>
          <cell r="HP337">
            <v>12</v>
          </cell>
          <cell r="HQ337">
            <v>12</v>
          </cell>
          <cell r="HR337">
            <v>12</v>
          </cell>
          <cell r="HS337">
            <v>12</v>
          </cell>
          <cell r="HT337">
            <v>12</v>
          </cell>
          <cell r="HU337">
            <v>12</v>
          </cell>
          <cell r="HV337">
            <v>12</v>
          </cell>
          <cell r="HW337">
            <v>12</v>
          </cell>
          <cell r="HX337">
            <v>12</v>
          </cell>
          <cell r="HY337">
            <v>12</v>
          </cell>
          <cell r="HZ337">
            <v>12</v>
          </cell>
          <cell r="IA337">
            <v>12</v>
          </cell>
          <cell r="IB337">
            <v>12</v>
          </cell>
          <cell r="IC337">
            <v>12</v>
          </cell>
          <cell r="ID337">
            <v>12</v>
          </cell>
          <cell r="IE337">
            <v>12</v>
          </cell>
          <cell r="IF337">
            <v>12</v>
          </cell>
          <cell r="IG337">
            <v>12</v>
          </cell>
          <cell r="IH337">
            <v>12</v>
          </cell>
          <cell r="II337">
            <v>12</v>
          </cell>
          <cell r="IJ337">
            <v>12</v>
          </cell>
          <cell r="IK337">
            <v>12</v>
          </cell>
          <cell r="IL337">
            <v>12</v>
          </cell>
          <cell r="IM337">
            <v>12</v>
          </cell>
          <cell r="IN337">
            <v>12</v>
          </cell>
          <cell r="IO337">
            <v>12</v>
          </cell>
          <cell r="IP337">
            <v>12</v>
          </cell>
          <cell r="IQ337">
            <v>12</v>
          </cell>
          <cell r="IR337">
            <v>12</v>
          </cell>
        </row>
        <row r="338">
          <cell r="B338" t="str">
            <v>English</v>
          </cell>
        </row>
        <row r="339">
          <cell r="B339" t="str">
            <v>日本語</v>
          </cell>
          <cell r="C339" t="str">
            <v>Explicit
 Period</v>
          </cell>
        </row>
        <row r="340">
          <cell r="B340" t="str">
            <v>IV Per Share (</v>
          </cell>
          <cell r="C340" t="str">
            <v>Transition
 Period</v>
          </cell>
        </row>
        <row r="341">
          <cell r="B341" t="str">
            <v>Month), Ex. Div</v>
          </cell>
          <cell r="C341" t="str">
            <v>Steady 
State</v>
          </cell>
        </row>
        <row r="344">
          <cell r="B344" t="str">
            <v>2010FY</v>
          </cell>
          <cell r="C344" t="str">
            <v>2011FY</v>
          </cell>
          <cell r="D344" t="str">
            <v>2012FY</v>
          </cell>
          <cell r="E344" t="str">
            <v>2013FY</v>
          </cell>
          <cell r="F344" t="str">
            <v>2014FY</v>
          </cell>
          <cell r="G344" t="str">
            <v>2015FY</v>
          </cell>
          <cell r="H344" t="str">
            <v>2016FY</v>
          </cell>
          <cell r="I344" t="str">
            <v>2017FY</v>
          </cell>
          <cell r="J344" t="str">
            <v>2018FY</v>
          </cell>
          <cell r="K344" t="str">
            <v>2019FY</v>
          </cell>
          <cell r="L344" t="str">
            <v>2020FY</v>
          </cell>
          <cell r="M344" t="str">
            <v>2021FY</v>
          </cell>
          <cell r="N344" t="str">
            <v>2022FY</v>
          </cell>
          <cell r="O344" t="str">
            <v>2023FY</v>
          </cell>
          <cell r="P344" t="str">
            <v>2024FY</v>
          </cell>
          <cell r="Q344" t="str">
            <v>2025FY</v>
          </cell>
          <cell r="R344" t="str">
            <v>2026FY</v>
          </cell>
          <cell r="S344" t="str">
            <v>2027FY</v>
          </cell>
          <cell r="T344" t="str">
            <v>2028FY</v>
          </cell>
          <cell r="U344" t="str">
            <v>2029FY</v>
          </cell>
          <cell r="V344" t="str">
            <v>2030FY</v>
          </cell>
          <cell r="W344" t="str">
            <v>2031FY</v>
          </cell>
          <cell r="X344" t="str">
            <v>2032FY</v>
          </cell>
          <cell r="Y344" t="str">
            <v>2033FY</v>
          </cell>
          <cell r="Z344" t="str">
            <v>2034FY</v>
          </cell>
          <cell r="AA344" t="str">
            <v>2035FY</v>
          </cell>
          <cell r="AB344" t="str">
            <v>2036FY</v>
          </cell>
          <cell r="AC344" t="str">
            <v>2037FY</v>
          </cell>
          <cell r="AD344" t="str">
            <v>2038FY</v>
          </cell>
          <cell r="AE344" t="str">
            <v>2039FY</v>
          </cell>
          <cell r="AF344" t="str">
            <v>2040FY</v>
          </cell>
          <cell r="AG344" t="str">
            <v>2041FY</v>
          </cell>
          <cell r="AH344" t="str">
            <v>2042FY</v>
          </cell>
          <cell r="AI344" t="str">
            <v>2043FY</v>
          </cell>
          <cell r="AJ344" t="str">
            <v>2044FY</v>
          </cell>
          <cell r="AK344" t="str">
            <v>2045FY</v>
          </cell>
          <cell r="AL344" t="str">
            <v>2046FY</v>
          </cell>
          <cell r="AM344" t="str">
            <v>2047FY</v>
          </cell>
          <cell r="AN344" t="str">
            <v>2048FY</v>
          </cell>
          <cell r="AO344" t="str">
            <v>2049FY</v>
          </cell>
          <cell r="AP344" t="str">
            <v>2050FY</v>
          </cell>
          <cell r="AQ344" t="str">
            <v>2051FY</v>
          </cell>
          <cell r="AR344" t="str">
            <v>2052FY</v>
          </cell>
          <cell r="AS344" t="str">
            <v>2053FY</v>
          </cell>
          <cell r="AT344" t="str">
            <v>2054FY</v>
          </cell>
          <cell r="AU344" t="str">
            <v>2055FY</v>
          </cell>
          <cell r="AV344" t="str">
            <v>2056FY</v>
          </cell>
          <cell r="AW344" t="str">
            <v>2057FY</v>
          </cell>
          <cell r="AX344" t="str">
            <v>2058FY</v>
          </cell>
          <cell r="AY344" t="str">
            <v>2059FY</v>
          </cell>
          <cell r="AZ344" t="str">
            <v>2060FY</v>
          </cell>
          <cell r="BA344" t="str">
            <v>2061FY</v>
          </cell>
          <cell r="BB344" t="str">
            <v>2062FY</v>
          </cell>
          <cell r="BC344" t="str">
            <v>2063FY</v>
          </cell>
          <cell r="BD344" t="str">
            <v>2064FY</v>
          </cell>
          <cell r="BE344" t="str">
            <v>2065FY</v>
          </cell>
          <cell r="BF344" t="str">
            <v>2066FY</v>
          </cell>
          <cell r="BG344" t="str">
            <v>2067FY</v>
          </cell>
          <cell r="BH344" t="str">
            <v>2068FY</v>
          </cell>
          <cell r="BI344" t="str">
            <v>2069FY</v>
          </cell>
          <cell r="BJ344" t="str">
            <v>2070FY</v>
          </cell>
          <cell r="BK344" t="str">
            <v>2071FY</v>
          </cell>
          <cell r="BL344" t="str">
            <v>2072FY</v>
          </cell>
          <cell r="BM344" t="str">
            <v>2073FY</v>
          </cell>
          <cell r="BN344" t="str">
            <v>2074FY</v>
          </cell>
          <cell r="BO344" t="str">
            <v>2075FY</v>
          </cell>
          <cell r="BP344" t="str">
            <v>2076FY</v>
          </cell>
          <cell r="BQ344" t="str">
            <v>2077FY</v>
          </cell>
          <cell r="BR344" t="str">
            <v>2078FY</v>
          </cell>
          <cell r="BS344" t="str">
            <v>2079FY</v>
          </cell>
          <cell r="BT344" t="str">
            <v>2080FY</v>
          </cell>
          <cell r="BU344" t="str">
            <v>2081FY</v>
          </cell>
          <cell r="BV344" t="str">
            <v>2082FY</v>
          </cell>
          <cell r="BW344" t="str">
            <v>2083FY</v>
          </cell>
          <cell r="BX344" t="str">
            <v>2084FY</v>
          </cell>
          <cell r="BY344" t="str">
            <v>2085FY</v>
          </cell>
          <cell r="BZ344" t="str">
            <v>2086FY</v>
          </cell>
          <cell r="CA344" t="str">
            <v>2087FY</v>
          </cell>
          <cell r="CB344" t="str">
            <v>2088FY</v>
          </cell>
          <cell r="CC344" t="str">
            <v>2089FY</v>
          </cell>
          <cell r="CD344" t="str">
            <v>2090FY</v>
          </cell>
          <cell r="CE344" t="str">
            <v>2091FY</v>
          </cell>
          <cell r="CF344" t="str">
            <v>2092FY</v>
          </cell>
          <cell r="CG344" t="str">
            <v>2093FY</v>
          </cell>
          <cell r="CH344" t="str">
            <v>2094FY</v>
          </cell>
          <cell r="CI344" t="str">
            <v>2095FY</v>
          </cell>
          <cell r="CJ344" t="str">
            <v>2096FY</v>
          </cell>
          <cell r="CK344" t="str">
            <v>2097FY</v>
          </cell>
          <cell r="CL344" t="str">
            <v>2098FY</v>
          </cell>
          <cell r="CM344" t="str">
            <v>2099FY</v>
          </cell>
          <cell r="CN344" t="str">
            <v>2100FY</v>
          </cell>
          <cell r="CO344" t="str">
            <v>2101FY</v>
          </cell>
          <cell r="CP344" t="str">
            <v>2102FY</v>
          </cell>
          <cell r="CQ344" t="str">
            <v>2103FY</v>
          </cell>
          <cell r="CR344" t="str">
            <v>2104FY</v>
          </cell>
          <cell r="CS344" t="str">
            <v>2105FY</v>
          </cell>
          <cell r="CT344" t="str">
            <v>2106FY</v>
          </cell>
          <cell r="CU344" t="str">
            <v>2107FY</v>
          </cell>
          <cell r="CV344" t="str">
            <v>2108FY</v>
          </cell>
          <cell r="CW344" t="str">
            <v>2109FY</v>
          </cell>
          <cell r="CX344" t="str">
            <v>2110FY</v>
          </cell>
          <cell r="CY344" t="str">
            <v>2111FY</v>
          </cell>
          <cell r="CZ344" t="str">
            <v>2112FY</v>
          </cell>
          <cell r="DA344" t="str">
            <v>2113FY</v>
          </cell>
          <cell r="DB344" t="str">
            <v>2114FY</v>
          </cell>
          <cell r="DC344" t="str">
            <v>2115FY</v>
          </cell>
          <cell r="DD344" t="str">
            <v>2116FY</v>
          </cell>
          <cell r="DE344" t="str">
            <v>2117FY</v>
          </cell>
          <cell r="DF344" t="str">
            <v>2118FY</v>
          </cell>
          <cell r="DG344" t="str">
            <v>2119FY</v>
          </cell>
          <cell r="DH344" t="str">
            <v>2120FY</v>
          </cell>
          <cell r="DI344" t="str">
            <v>2121FY</v>
          </cell>
          <cell r="DJ344" t="str">
            <v>2122FY</v>
          </cell>
          <cell r="DK344" t="str">
            <v>2123FY</v>
          </cell>
          <cell r="DL344" t="str">
            <v>2124FY</v>
          </cell>
          <cell r="DM344" t="str">
            <v>2125FY</v>
          </cell>
          <cell r="DN344" t="str">
            <v>2126FY</v>
          </cell>
          <cell r="DO344" t="str">
            <v>2127FY</v>
          </cell>
          <cell r="DP344" t="str">
            <v>2128FY</v>
          </cell>
          <cell r="DQ344" t="str">
            <v>2129FY</v>
          </cell>
          <cell r="DR344" t="str">
            <v>2130FY</v>
          </cell>
          <cell r="DS344" t="str">
            <v>2131FY</v>
          </cell>
          <cell r="DT344" t="str">
            <v>2132FY</v>
          </cell>
          <cell r="DU344" t="str">
            <v>2133FY</v>
          </cell>
          <cell r="DV344" t="str">
            <v>2134FY</v>
          </cell>
          <cell r="DW344" t="str">
            <v>2135FY</v>
          </cell>
          <cell r="DX344" t="str">
            <v>2136FY</v>
          </cell>
          <cell r="DY344" t="str">
            <v>2137FY</v>
          </cell>
          <cell r="DZ344" t="str">
            <v>2138FY</v>
          </cell>
          <cell r="EA344" t="str">
            <v>2139FY</v>
          </cell>
          <cell r="EB344" t="str">
            <v>2140FY</v>
          </cell>
          <cell r="EC344" t="str">
            <v>2141FY</v>
          </cell>
          <cell r="ED344" t="str">
            <v>2142FY</v>
          </cell>
          <cell r="EE344" t="str">
            <v>2143FY</v>
          </cell>
          <cell r="EF344" t="str">
            <v>2144FY</v>
          </cell>
          <cell r="EG344" t="str">
            <v>2145FY</v>
          </cell>
          <cell r="EH344" t="str">
            <v>2146FY</v>
          </cell>
          <cell r="EI344" t="str">
            <v>2147FY</v>
          </cell>
          <cell r="EJ344" t="str">
            <v>2148FY</v>
          </cell>
          <cell r="EK344" t="str">
            <v>2149FY</v>
          </cell>
          <cell r="EL344" t="str">
            <v>2150FY</v>
          </cell>
          <cell r="EM344" t="str">
            <v>2151FY</v>
          </cell>
          <cell r="EN344" t="str">
            <v>2152FY</v>
          </cell>
          <cell r="EO344" t="str">
            <v>2153FY</v>
          </cell>
          <cell r="EP344" t="str">
            <v>2154FY</v>
          </cell>
          <cell r="EQ344" t="str">
            <v>2155FY</v>
          </cell>
          <cell r="ER344" t="str">
            <v>2156FY</v>
          </cell>
          <cell r="ES344" t="str">
            <v>2157FY</v>
          </cell>
          <cell r="ET344" t="str">
            <v>2158FY</v>
          </cell>
          <cell r="EU344" t="str">
            <v>2159FY</v>
          </cell>
          <cell r="EV344" t="str">
            <v>2160FY</v>
          </cell>
          <cell r="EW344" t="str">
            <v>2161FY</v>
          </cell>
          <cell r="EX344" t="str">
            <v>2162FY</v>
          </cell>
          <cell r="EY344" t="str">
            <v>2163FY</v>
          </cell>
          <cell r="EZ344" t="str">
            <v>2164FY</v>
          </cell>
          <cell r="FA344" t="str">
            <v>2165FY</v>
          </cell>
          <cell r="FB344" t="str">
            <v>2166FY</v>
          </cell>
          <cell r="FC344" t="str">
            <v>2167FY</v>
          </cell>
          <cell r="FD344" t="str">
            <v>2168FY</v>
          </cell>
          <cell r="FE344" t="str">
            <v>2169FY</v>
          </cell>
          <cell r="FF344" t="str">
            <v>2170FY</v>
          </cell>
          <cell r="FG344" t="str">
            <v>2171FY</v>
          </cell>
          <cell r="FH344" t="str">
            <v>2172FY</v>
          </cell>
          <cell r="FI344" t="str">
            <v>2173FY</v>
          </cell>
          <cell r="FJ344" t="str">
            <v>2174FY</v>
          </cell>
          <cell r="FK344" t="str">
            <v>2175FY</v>
          </cell>
          <cell r="FL344" t="str">
            <v>2176FY</v>
          </cell>
          <cell r="FM344" t="str">
            <v>2177FY</v>
          </cell>
          <cell r="FN344" t="str">
            <v>2178FY</v>
          </cell>
          <cell r="FO344" t="str">
            <v>2179FY</v>
          </cell>
          <cell r="FP344" t="str">
            <v>2180FY</v>
          </cell>
          <cell r="FQ344" t="str">
            <v>2181FY</v>
          </cell>
          <cell r="FR344" t="str">
            <v>2182FY</v>
          </cell>
          <cell r="FS344" t="str">
            <v>2183FY</v>
          </cell>
          <cell r="FT344" t="str">
            <v>2184FY</v>
          </cell>
          <cell r="FU344" t="str">
            <v>2185FY</v>
          </cell>
          <cell r="FV344" t="str">
            <v>2186FY</v>
          </cell>
          <cell r="FW344" t="str">
            <v>2187FY</v>
          </cell>
          <cell r="FX344" t="str">
            <v>2188FY</v>
          </cell>
          <cell r="FY344" t="str">
            <v>2189FY</v>
          </cell>
          <cell r="FZ344" t="str">
            <v>2190FY</v>
          </cell>
          <cell r="GA344" t="str">
            <v>2191FY</v>
          </cell>
          <cell r="GB344" t="str">
            <v>2192FY</v>
          </cell>
          <cell r="GC344" t="str">
            <v>2193FY</v>
          </cell>
          <cell r="GD344" t="str">
            <v>2194FY</v>
          </cell>
          <cell r="GE344" t="str">
            <v>2195FY</v>
          </cell>
          <cell r="GF344" t="str">
            <v>2196FY</v>
          </cell>
          <cell r="GG344" t="str">
            <v>2197FY</v>
          </cell>
          <cell r="GH344" t="str">
            <v>2198FY</v>
          </cell>
          <cell r="GI344" t="str">
            <v>2199FY</v>
          </cell>
          <cell r="GJ344" t="str">
            <v>2200FY</v>
          </cell>
          <cell r="GK344" t="str">
            <v>2201FY</v>
          </cell>
          <cell r="GL344" t="str">
            <v>2202FY</v>
          </cell>
          <cell r="GM344" t="str">
            <v>2203FY</v>
          </cell>
          <cell r="GN344" t="str">
            <v>2204FY</v>
          </cell>
          <cell r="GO344" t="str">
            <v>2205FY</v>
          </cell>
          <cell r="GP344" t="str">
            <v>2206FY</v>
          </cell>
          <cell r="GQ344" t="str">
            <v>2207FY</v>
          </cell>
          <cell r="GR344" t="str">
            <v>2208FY</v>
          </cell>
          <cell r="GS344" t="str">
            <v>2209FY</v>
          </cell>
          <cell r="GT344" t="str">
            <v>2210FY</v>
          </cell>
          <cell r="GU344" t="str">
            <v>2211FY</v>
          </cell>
          <cell r="GV344" t="str">
            <v>2212FY</v>
          </cell>
          <cell r="GW344" t="str">
            <v>2213FY</v>
          </cell>
          <cell r="GX344" t="str">
            <v>2214FY</v>
          </cell>
          <cell r="GY344" t="str">
            <v>2215FY</v>
          </cell>
          <cell r="GZ344" t="str">
            <v>2216FY</v>
          </cell>
          <cell r="HA344" t="str">
            <v>2217FY</v>
          </cell>
          <cell r="HB344" t="str">
            <v>2218FY</v>
          </cell>
          <cell r="HC344" t="str">
            <v>2219FY</v>
          </cell>
          <cell r="HD344" t="str">
            <v>2220FY</v>
          </cell>
          <cell r="HE344" t="str">
            <v>2221FY</v>
          </cell>
          <cell r="HF344" t="str">
            <v>2222FY</v>
          </cell>
          <cell r="HG344" t="str">
            <v>2223FY</v>
          </cell>
          <cell r="HH344" t="str">
            <v>2224FY</v>
          </cell>
          <cell r="HI344" t="str">
            <v>2225FY</v>
          </cell>
          <cell r="HJ344" t="str">
            <v>2226FY</v>
          </cell>
          <cell r="HK344" t="str">
            <v>2227FY</v>
          </cell>
          <cell r="HL344" t="str">
            <v>2228FY</v>
          </cell>
          <cell r="HM344" t="str">
            <v>2229FY</v>
          </cell>
          <cell r="HN344" t="str">
            <v>2230FY</v>
          </cell>
          <cell r="HO344" t="str">
            <v>2231FY</v>
          </cell>
          <cell r="HP344" t="str">
            <v>2232FY</v>
          </cell>
          <cell r="HQ344" t="str">
            <v>2233FY</v>
          </cell>
          <cell r="HR344" t="str">
            <v>2234FY</v>
          </cell>
          <cell r="HS344" t="str">
            <v>2235FY</v>
          </cell>
          <cell r="HT344" t="str">
            <v>2236FY</v>
          </cell>
          <cell r="HU344" t="str">
            <v>2237FY</v>
          </cell>
          <cell r="HV344" t="str">
            <v>2238FY</v>
          </cell>
          <cell r="HW344" t="str">
            <v>2239FY</v>
          </cell>
          <cell r="HX344" t="str">
            <v>2240FY</v>
          </cell>
          <cell r="HY344" t="str">
            <v>2241FY</v>
          </cell>
          <cell r="HZ344" t="str">
            <v>2242FY</v>
          </cell>
          <cell r="IA344" t="str">
            <v>2243FY</v>
          </cell>
          <cell r="IB344" t="str">
            <v>2244FY</v>
          </cell>
          <cell r="IC344" t="str">
            <v>2245FY</v>
          </cell>
          <cell r="ID344" t="str">
            <v>2246FY</v>
          </cell>
          <cell r="IE344" t="str">
            <v>2247FY</v>
          </cell>
          <cell r="IF344" t="str">
            <v>2248FY</v>
          </cell>
          <cell r="IG344" t="str">
            <v>2249FY</v>
          </cell>
          <cell r="IH344" t="str">
            <v>2250FY</v>
          </cell>
          <cell r="II344" t="str">
            <v>2251FY</v>
          </cell>
          <cell r="IJ344" t="str">
            <v>2252FY</v>
          </cell>
          <cell r="IK344" t="str">
            <v>2253FY</v>
          </cell>
          <cell r="IL344" t="str">
            <v>2254FY</v>
          </cell>
          <cell r="IM344" t="str">
            <v>2255FY</v>
          </cell>
          <cell r="IN344" t="str">
            <v>2256FY</v>
          </cell>
          <cell r="IO344" t="str">
            <v>2257FY</v>
          </cell>
          <cell r="IP344" t="str">
            <v>2258FY</v>
          </cell>
          <cell r="IQ344" t="str">
            <v>2259FY</v>
          </cell>
          <cell r="IR344" t="str">
            <v>2260FY</v>
          </cell>
        </row>
      </sheetData>
      <sheetData sheetId="5" refreshError="1"/>
      <sheetData sheetId="6" refreshError="1"/>
      <sheetData sheetId="7" refreshError="1"/>
      <sheetData sheetId="8" refreshError="1"/>
      <sheetData sheetId="9" refreshError="1">
        <row r="1">
          <cell r="A1" t="str">
            <v>GlaxoSmithKline</v>
          </cell>
        </row>
        <row r="2">
          <cell r="A2" t="str">
            <v xml:space="preserve"> DCF Valuation</v>
          </cell>
        </row>
        <row r="5">
          <cell r="C5">
            <v>2007</v>
          </cell>
          <cell r="D5">
            <v>2008</v>
          </cell>
          <cell r="E5">
            <v>2009</v>
          </cell>
          <cell r="F5">
            <v>2010</v>
          </cell>
          <cell r="G5" t="str">
            <v>2011E</v>
          </cell>
          <cell r="H5" t="str">
            <v>2012E</v>
          </cell>
          <cell r="I5" t="str">
            <v>2013E</v>
          </cell>
          <cell r="J5" t="str">
            <v>2014E</v>
          </cell>
          <cell r="K5" t="str">
            <v>2015E</v>
          </cell>
          <cell r="L5" t="str">
            <v>2016E</v>
          </cell>
          <cell r="M5" t="str">
            <v>2017E</v>
          </cell>
          <cell r="N5" t="str">
            <v>2018E</v>
          </cell>
          <cell r="O5" t="str">
            <v>2019E</v>
          </cell>
          <cell r="P5" t="str">
            <v>2020E</v>
          </cell>
          <cell r="R5" t="str">
            <v>Terminal Value Calculation</v>
          </cell>
        </row>
        <row r="6">
          <cell r="S6" t="str">
            <v>WACC Applied</v>
          </cell>
        </row>
        <row r="7">
          <cell r="B7" t="str">
            <v>Net Cash Flow</v>
          </cell>
          <cell r="C7">
            <v>7290</v>
          </cell>
          <cell r="D7">
            <v>7422</v>
          </cell>
          <cell r="E7">
            <v>3988</v>
          </cell>
          <cell r="F7">
            <v>2522</v>
          </cell>
          <cell r="G7">
            <v>5786.7165042099405</v>
          </cell>
          <cell r="H7">
            <v>4365.7131841044275</v>
          </cell>
          <cell r="I7">
            <v>5305.9640693248457</v>
          </cell>
          <cell r="J7">
            <v>6398.6567710168101</v>
          </cell>
          <cell r="K7">
            <v>6515.5047619604829</v>
          </cell>
          <cell r="L7">
            <v>6536.856629698209</v>
          </cell>
          <cell r="M7">
            <v>6665.8412576009105</v>
          </cell>
          <cell r="N7">
            <v>7305.7853692994177</v>
          </cell>
          <cell r="O7">
            <v>7554.8555096086475</v>
          </cell>
          <cell r="P7">
            <v>7760.802253012349</v>
          </cell>
          <cell r="Q7" t="str">
            <v>Terminal Growth</v>
          </cell>
          <cell r="S7">
            <v>0.08</v>
          </cell>
          <cell r="T7">
            <v>8.5000000000000006E-2</v>
          </cell>
          <cell r="U7">
            <v>0.09</v>
          </cell>
          <cell r="V7">
            <v>9.5000000000000001E-2</v>
          </cell>
        </row>
        <row r="8">
          <cell r="D8">
            <v>1.8106995884773661E-2</v>
          </cell>
          <cell r="E8">
            <v>-0.4626785233090811</v>
          </cell>
          <cell r="F8">
            <v>-0.36760280842527582</v>
          </cell>
          <cell r="G8">
            <v>1.294495045285464</v>
          </cell>
          <cell r="H8">
            <v>-0.24556297497409929</v>
          </cell>
          <cell r="I8">
            <v>0.21537165763520014</v>
          </cell>
          <cell r="J8">
            <v>0.20593669452250993</v>
          </cell>
          <cell r="K8">
            <v>1.8261331264546717E-2</v>
          </cell>
          <cell r="L8">
            <v>3.2770857389875277E-3</v>
          </cell>
          <cell r="M8">
            <v>1.9731904064822118E-2</v>
          </cell>
          <cell r="N8">
            <v>9.6003503079043942E-2</v>
          </cell>
          <cell r="O8">
            <v>3.4092178693871787E-2</v>
          </cell>
          <cell r="P8">
            <v>2.726018295674457E-2</v>
          </cell>
          <cell r="R8">
            <v>0.02</v>
          </cell>
          <cell r="S8">
            <v>131933.63830120992</v>
          </cell>
          <cell r="T8">
            <v>121784.89689342455</v>
          </cell>
          <cell r="U8">
            <v>113085.97568675138</v>
          </cell>
          <cell r="V8">
            <v>105546.91064096795</v>
          </cell>
        </row>
        <row r="9">
          <cell r="R9">
            <v>2.5000000000000001E-2</v>
          </cell>
          <cell r="S9">
            <v>144633.13289704829</v>
          </cell>
          <cell r="T9">
            <v>132580.37182229428</v>
          </cell>
          <cell r="U9">
            <v>122381.88168211779</v>
          </cell>
          <cell r="V9">
            <v>113640.31870482366</v>
          </cell>
        </row>
        <row r="10">
          <cell r="G10">
            <v>40780.406496873977</v>
          </cell>
          <cell r="R10">
            <v>0.03</v>
          </cell>
          <cell r="S10">
            <v>159872.52641205437</v>
          </cell>
          <cell r="T10">
            <v>145338.66037459488</v>
          </cell>
          <cell r="U10">
            <v>133227.10534337867</v>
          </cell>
          <cell r="V10">
            <v>122978.86647081107</v>
          </cell>
        </row>
        <row r="11">
          <cell r="R11">
            <v>3.5000000000000003E-2</v>
          </cell>
          <cell r="S11">
            <v>178498.45181928403</v>
          </cell>
          <cell r="T11">
            <v>160648.60663735558</v>
          </cell>
          <cell r="U11">
            <v>146044.18785214148</v>
          </cell>
          <cell r="V11">
            <v>133873.83886446303</v>
          </cell>
        </row>
        <row r="12">
          <cell r="R12">
            <v>0.04</v>
          </cell>
          <cell r="S12">
            <v>201780.85857832106</v>
          </cell>
          <cell r="T12">
            <v>179360.76318072985</v>
          </cell>
          <cell r="U12">
            <v>161424.68686265688</v>
          </cell>
          <cell r="V12">
            <v>146749.71532968807</v>
          </cell>
        </row>
        <row r="14">
          <cell r="A14" t="str">
            <v>Discounted Cash Flow (DCF) Business Valuation (€ mlns):</v>
          </cell>
          <cell r="F14" t="str">
            <v xml:space="preserve">      Sensitivity Analysis</v>
          </cell>
        </row>
        <row r="15">
          <cell r="A15" t="str">
            <v>Ke (%)</v>
          </cell>
          <cell r="C15">
            <v>8.5000000000000006E-2</v>
          </cell>
        </row>
        <row r="16">
          <cell r="G16" t="str">
            <v>WACC Applied</v>
          </cell>
        </row>
        <row r="17">
          <cell r="A17" t="str">
            <v>Discounted Net Cash Flow (2008-20e)</v>
          </cell>
          <cell r="C17">
            <v>40459.034166683487</v>
          </cell>
          <cell r="E17" t="str">
            <v>Terminal Growth</v>
          </cell>
          <cell r="G17">
            <v>0.08</v>
          </cell>
          <cell r="H17">
            <v>8.5000000000000006E-2</v>
          </cell>
          <cell r="I17">
            <v>0.09</v>
          </cell>
          <cell r="J17">
            <v>9.5000000000000001E-2</v>
          </cell>
        </row>
        <row r="18">
          <cell r="A18" t="str">
            <v>Terminal Growth Rate (%)</v>
          </cell>
          <cell r="C18">
            <v>0.02</v>
          </cell>
          <cell r="F18">
            <v>0.02</v>
          </cell>
          <cell r="G18">
            <v>94067.501370961036</v>
          </cell>
          <cell r="H18">
            <v>86213.825024619553</v>
          </cell>
          <cell r="I18">
            <v>79499.43725392301</v>
          </cell>
          <cell r="J18">
            <v>73695.841434598638</v>
          </cell>
        </row>
        <row r="19">
          <cell r="A19" t="str">
            <v>Discounted Value of Terminal Value</v>
          </cell>
          <cell r="C19">
            <v>45754.790857936066</v>
          </cell>
          <cell r="F19">
            <v>2.5000000000000001E-2</v>
          </cell>
          <cell r="G19">
            <v>99110.64540281886</v>
          </cell>
          <cell r="H19">
            <v>90269.703135800984</v>
          </cell>
          <cell r="I19">
            <v>82804.454636575305</v>
          </cell>
          <cell r="J19">
            <v>76419.558598825577</v>
          </cell>
        </row>
        <row r="20">
          <cell r="A20" t="str">
            <v>Terminal Value as % of total</v>
          </cell>
          <cell r="C20">
            <v>53.071292040308094</v>
          </cell>
          <cell r="F20">
            <v>0.03</v>
          </cell>
          <cell r="G20">
            <v>105162.41824104828</v>
          </cell>
          <cell r="H20">
            <v>95063.013630833564</v>
          </cell>
          <cell r="I20">
            <v>86660.308249669673</v>
          </cell>
          <cell r="J20">
            <v>79562.309172933601</v>
          </cell>
        </row>
        <row r="21">
          <cell r="A21" t="str">
            <v>Ke / Growth Exit multiple</v>
          </cell>
          <cell r="C21">
            <v>86213.825024619553</v>
          </cell>
          <cell r="F21">
            <v>3.5000000000000003E-2</v>
          </cell>
          <cell r="G21">
            <v>112559.02948777311</v>
          </cell>
          <cell r="H21">
            <v>100814.98622487267</v>
          </cell>
          <cell r="I21">
            <v>91217.226156053919</v>
          </cell>
          <cell r="J21">
            <v>83228.851509392945</v>
          </cell>
        </row>
        <row r="22">
          <cell r="F22">
            <v>0.04</v>
          </cell>
          <cell r="G22">
            <v>121804.79354617913</v>
          </cell>
          <cell r="H22">
            <v>107845.17495092048</v>
          </cell>
          <cell r="I22">
            <v>96685.527643715031</v>
          </cell>
          <cell r="J22">
            <v>87562.037907026708</v>
          </cell>
        </row>
        <row r="23">
          <cell r="A23" t="str">
            <v>Value</v>
          </cell>
          <cell r="C23">
            <v>86213.825024619553</v>
          </cell>
        </row>
        <row r="24">
          <cell r="A24" t="str">
            <v>Shares Outstanding 2007 (million)</v>
          </cell>
          <cell r="C24">
            <v>5225</v>
          </cell>
        </row>
        <row r="25">
          <cell r="F25" t="str">
            <v>Value per Share (£)</v>
          </cell>
        </row>
        <row r="26">
          <cell r="A26" t="str">
            <v>Business Value per Share (£)</v>
          </cell>
          <cell r="C26">
            <v>16.500253593228624</v>
          </cell>
        </row>
        <row r="27">
          <cell r="G27" t="str">
            <v>WACC Applied</v>
          </cell>
        </row>
        <row r="28">
          <cell r="E28" t="str">
            <v>Terminal Growth</v>
          </cell>
          <cell r="G28">
            <v>0.08</v>
          </cell>
          <cell r="H28">
            <v>8.5000000000000006E-2</v>
          </cell>
          <cell r="I28">
            <v>0.09</v>
          </cell>
          <cell r="J28">
            <v>9.5000000000000001E-2</v>
          </cell>
        </row>
        <row r="29">
          <cell r="F29">
            <v>0.02</v>
          </cell>
          <cell r="G29">
            <v>18.003349544681537</v>
          </cell>
          <cell r="H29">
            <v>16.500253593228624</v>
          </cell>
          <cell r="I29">
            <v>15.215203302186222</v>
          </cell>
          <cell r="J29">
            <v>14.104467260210265</v>
          </cell>
        </row>
        <row r="30">
          <cell r="F30">
            <v>2.5000000000000001E-2</v>
          </cell>
          <cell r="G30">
            <v>18.968544574702175</v>
          </cell>
          <cell r="H30">
            <v>17.2764982078088</v>
          </cell>
          <cell r="I30">
            <v>15.847742514177092</v>
          </cell>
          <cell r="J30">
            <v>14.625752841880493</v>
          </cell>
        </row>
        <row r="31">
          <cell r="F31">
            <v>0.03</v>
          </cell>
          <cell r="G31">
            <v>20.126778610726944</v>
          </cell>
          <cell r="H31">
            <v>18.193878206858098</v>
          </cell>
          <cell r="I31">
            <v>16.585704928166443</v>
          </cell>
          <cell r="J31">
            <v>15.227236205346143</v>
          </cell>
        </row>
        <row r="32">
          <cell r="F32">
            <v>3.5000000000000003E-2</v>
          </cell>
          <cell r="G32">
            <v>21.542397988090546</v>
          </cell>
          <cell r="H32">
            <v>19.294734205717258</v>
          </cell>
          <cell r="I32">
            <v>17.457842326517497</v>
          </cell>
          <cell r="J32">
            <v>15.928966796056066</v>
          </cell>
        </row>
        <row r="33">
          <cell r="F33">
            <v>0.04</v>
          </cell>
          <cell r="G33">
            <v>23.31192220979505</v>
          </cell>
          <cell r="H33">
            <v>20.640224870989567</v>
          </cell>
          <cell r="I33">
            <v>18.504407204538762</v>
          </cell>
          <cell r="J33">
            <v>16.758284766895063</v>
          </cell>
        </row>
        <row r="36">
          <cell r="A36" t="str">
            <v>E = Morgan Stanley Estimates</v>
          </cell>
        </row>
        <row r="37">
          <cell r="A37" t="str">
            <v>Source: Morgan Stanley Research</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res"/>
      <sheetName val="NPV"/>
      <sheetName val="Changes"/>
      <sheetName val="ROG Snapshot"/>
      <sheetName val="Tables"/>
      <sheetName val="Guidance"/>
      <sheetName val="P&amp;L_BS_CF"/>
      <sheetName val="P&amp;L Pharma"/>
      <sheetName val="P&amp;L Diagnostics"/>
      <sheetName val="Pipeline"/>
      <sheetName val="Pipeline KPG"/>
      <sheetName val="DCF"/>
      <sheetName val="Valuation"/>
      <sheetName val="Consensus"/>
      <sheetName val="Sales"/>
      <sheetName val="BullBear"/>
      <sheetName val="R3020"/>
      <sheetName val="MWA RR_ROG.VX"/>
      <sheetName val="Pipeline_Patents Chart"/>
      <sheetName val="Links"/>
      <sheetName val="Output BullBear"/>
      <sheetName val="Biosimilars"/>
      <sheetName val="lampalizumab"/>
      <sheetName val="PD-L1"/>
      <sheetName val="GA101"/>
      <sheetName val="M&amp;A simulation ILMN"/>
      <sheetName val="ILMN"/>
      <sheetName val="Dalcetrapib"/>
      <sheetName val="Modeles Avastin"/>
      <sheetName val="mwareDates"/>
      <sheetName val="mwareSettings"/>
      <sheetName val="Model Account (S)"/>
      <sheetName val="Modeles (S)"/>
    </sheetNames>
    <sheetDataSet>
      <sheetData sheetId="0" refreshError="1"/>
      <sheetData sheetId="1" refreshError="1"/>
      <sheetData sheetId="2" refreshError="1">
        <row r="2">
          <cell r="A2" t="str">
            <v>SFr million (except per share data)</v>
          </cell>
          <cell r="D2">
            <v>2010</v>
          </cell>
          <cell r="E2">
            <v>2011</v>
          </cell>
          <cell r="F2">
            <v>2012</v>
          </cell>
          <cell r="G2">
            <v>2013</v>
          </cell>
          <cell r="H2">
            <v>2014</v>
          </cell>
          <cell r="I2">
            <v>2015</v>
          </cell>
          <cell r="J2">
            <v>2016</v>
          </cell>
          <cell r="K2">
            <v>2017</v>
          </cell>
          <cell r="L2">
            <v>2018</v>
          </cell>
          <cell r="M2">
            <v>2019</v>
          </cell>
          <cell r="N2">
            <v>2020</v>
          </cell>
          <cell r="O2" t="str">
            <v>2021e</v>
          </cell>
          <cell r="P2" t="str">
            <v>2022e</v>
          </cell>
          <cell r="Q2" t="str">
            <v>2023e</v>
          </cell>
          <cell r="R2" t="str">
            <v>CAGR (13-16e)</v>
          </cell>
          <cell r="S2" t="str">
            <v>CAGR (14-20e)</v>
          </cell>
          <cell r="T2" t="str">
            <v>CAGR (14-20e)</v>
          </cell>
        </row>
        <row r="4">
          <cell r="A4" t="str">
            <v>Pharma sales</v>
          </cell>
          <cell r="B4" t="str">
            <v>new</v>
          </cell>
          <cell r="D4">
            <v>37058.00000000203</v>
          </cell>
          <cell r="E4">
            <v>32793.9</v>
          </cell>
          <cell r="F4">
            <v>35232</v>
          </cell>
          <cell r="G4">
            <v>36304</v>
          </cell>
          <cell r="H4">
            <v>37111.241373714925</v>
          </cell>
          <cell r="I4">
            <v>39526.041344509496</v>
          </cell>
          <cell r="J4">
            <v>41977.689915652925</v>
          </cell>
          <cell r="K4">
            <v>44239.165725005594</v>
          </cell>
          <cell r="L4">
            <v>45560.614015309322</v>
          </cell>
          <cell r="M4">
            <v>46231.18895456157</v>
          </cell>
          <cell r="N4">
            <v>46584.347806765916</v>
          </cell>
          <cell r="R4">
            <v>4.9594030943752143E-2</v>
          </cell>
          <cell r="S4">
            <v>3.8617787988295404E-2</v>
          </cell>
          <cell r="T4">
            <v>3.8617787988295404E-2</v>
          </cell>
        </row>
        <row r="5">
          <cell r="B5" t="str">
            <v>old</v>
          </cell>
          <cell r="R5" t="e">
            <v>#DIV/0!</v>
          </cell>
          <cell r="S5" t="e">
            <v>#DIV/0!</v>
          </cell>
          <cell r="T5" t="e">
            <v>#DIV/0!</v>
          </cell>
        </row>
        <row r="6">
          <cell r="B6" t="str">
            <v>% +/-</v>
          </cell>
          <cell r="D6" t="e">
            <v>#DIV/0!</v>
          </cell>
          <cell r="E6" t="e">
            <v>#DIV/0!</v>
          </cell>
          <cell r="F6" t="e">
            <v>#DIV/0!</v>
          </cell>
          <cell r="G6" t="e">
            <v>#DIV/0!</v>
          </cell>
          <cell r="H6" t="e">
            <v>#DIV/0!</v>
          </cell>
          <cell r="I6" t="e">
            <v>#DIV/0!</v>
          </cell>
          <cell r="J6" t="e">
            <v>#DIV/0!</v>
          </cell>
          <cell r="K6" t="e">
            <v>#DIV/0!</v>
          </cell>
          <cell r="L6" t="e">
            <v>#DIV/0!</v>
          </cell>
          <cell r="M6" t="e">
            <v>#DIV/0!</v>
          </cell>
          <cell r="N6" t="e">
            <v>#DIV/0!</v>
          </cell>
          <cell r="O6" t="e">
            <v>#DIV/0!</v>
          </cell>
          <cell r="P6" t="e">
            <v>#DIV/0!</v>
          </cell>
          <cell r="Q6" t="e">
            <v>#DIV/0!</v>
          </cell>
        </row>
        <row r="7">
          <cell r="A7" t="str">
            <v>Consensus</v>
          </cell>
          <cell r="H7">
            <v>36584</v>
          </cell>
          <cell r="I7">
            <v>38162</v>
          </cell>
          <cell r="J7">
            <v>39626</v>
          </cell>
          <cell r="K7">
            <v>41332</v>
          </cell>
          <cell r="L7">
            <v>43092</v>
          </cell>
        </row>
        <row r="8">
          <cell r="A8" t="str">
            <v>Post- FY13 results</v>
          </cell>
          <cell r="B8" t="str">
            <v>% +/-</v>
          </cell>
          <cell r="G8" t="e">
            <v>#DIV/0!</v>
          </cell>
          <cell r="H8">
            <v>-1</v>
          </cell>
          <cell r="I8">
            <v>-1</v>
          </cell>
          <cell r="J8">
            <v>-1</v>
          </cell>
          <cell r="K8">
            <v>-1</v>
          </cell>
          <cell r="L8">
            <v>-1</v>
          </cell>
          <cell r="M8" t="e">
            <v>#DIV/0!</v>
          </cell>
          <cell r="N8" t="e">
            <v>#DIV/0!</v>
          </cell>
        </row>
        <row r="10">
          <cell r="A10" t="str">
            <v>Diagnostics</v>
          </cell>
          <cell r="B10" t="str">
            <v>new</v>
          </cell>
          <cell r="D10">
            <v>10415</v>
          </cell>
          <cell r="E10">
            <v>9737</v>
          </cell>
          <cell r="F10">
            <v>10267</v>
          </cell>
          <cell r="G10">
            <v>10476</v>
          </cell>
          <cell r="H10">
            <v>10545.001993264848</v>
          </cell>
          <cell r="I10">
            <v>11059.757602279324</v>
          </cell>
          <cell r="J10">
            <v>11602.745414817824</v>
          </cell>
          <cell r="K10">
            <v>12021.230408597066</v>
          </cell>
          <cell r="L10">
            <v>12455.790083756419</v>
          </cell>
          <cell r="M10">
            <v>12907.082687315627</v>
          </cell>
          <cell r="N10">
            <v>13375.795014033934</v>
          </cell>
          <cell r="R10">
            <v>3.4637998587660146E-2</v>
          </cell>
          <cell r="S10">
            <v>4.0428299404918544E-2</v>
          </cell>
          <cell r="T10">
            <v>4.0428299404918544E-2</v>
          </cell>
        </row>
        <row r="11">
          <cell r="B11" t="str">
            <v>old</v>
          </cell>
          <cell r="R11" t="e">
            <v>#DIV/0!</v>
          </cell>
          <cell r="S11" t="e">
            <v>#DIV/0!</v>
          </cell>
          <cell r="T11" t="e">
            <v>#DIV/0!</v>
          </cell>
        </row>
        <row r="12">
          <cell r="B12" t="str">
            <v>% +/-</v>
          </cell>
          <cell r="D12" t="e">
            <v>#DIV/0!</v>
          </cell>
          <cell r="E12" t="e">
            <v>#DIV/0!</v>
          </cell>
          <cell r="F12" t="e">
            <v>#DIV/0!</v>
          </cell>
          <cell r="G12" t="e">
            <v>#DIV/0!</v>
          </cell>
          <cell r="H12" t="e">
            <v>#DIV/0!</v>
          </cell>
          <cell r="I12" t="e">
            <v>#DIV/0!</v>
          </cell>
          <cell r="J12" t="e">
            <v>#DIV/0!</v>
          </cell>
          <cell r="K12" t="e">
            <v>#DIV/0!</v>
          </cell>
          <cell r="L12" t="e">
            <v>#DIV/0!</v>
          </cell>
          <cell r="M12" t="e">
            <v>#DIV/0!</v>
          </cell>
          <cell r="N12" t="e">
            <v>#DIV/0!</v>
          </cell>
          <cell r="O12" t="e">
            <v>#DIV/0!</v>
          </cell>
          <cell r="P12" t="e">
            <v>#DIV/0!</v>
          </cell>
          <cell r="Q12" t="e">
            <v>#DIV/0!</v>
          </cell>
        </row>
        <row r="13">
          <cell r="A13" t="str">
            <v>Consensus</v>
          </cell>
          <cell r="H13">
            <v>10673</v>
          </cell>
          <cell r="I13">
            <v>11137</v>
          </cell>
          <cell r="J13">
            <v>11627</v>
          </cell>
          <cell r="K13">
            <v>12131</v>
          </cell>
          <cell r="L13">
            <v>12637</v>
          </cell>
        </row>
        <row r="14">
          <cell r="A14" t="str">
            <v>Post- FY13 results</v>
          </cell>
          <cell r="B14" t="str">
            <v>% +/-</v>
          </cell>
          <cell r="G14" t="e">
            <v>#DIV/0!</v>
          </cell>
          <cell r="H14">
            <v>-1</v>
          </cell>
          <cell r="I14">
            <v>-1</v>
          </cell>
          <cell r="J14">
            <v>-1</v>
          </cell>
          <cell r="K14">
            <v>-1</v>
          </cell>
          <cell r="L14">
            <v>-1</v>
          </cell>
          <cell r="M14" t="e">
            <v>#DIV/0!</v>
          </cell>
          <cell r="N14" t="e">
            <v>#DIV/0!</v>
          </cell>
        </row>
        <row r="16">
          <cell r="A16" t="str">
            <v>Total Sales</v>
          </cell>
          <cell r="B16" t="str">
            <v>new</v>
          </cell>
          <cell r="D16">
            <v>47473.00000000203</v>
          </cell>
          <cell r="E16">
            <v>42530.9</v>
          </cell>
          <cell r="F16">
            <v>45499</v>
          </cell>
          <cell r="G16">
            <v>46780</v>
          </cell>
          <cell r="H16">
            <v>47656.243366979776</v>
          </cell>
          <cell r="I16">
            <v>50585.798946788818</v>
          </cell>
          <cell r="J16">
            <v>53580.435330470747</v>
          </cell>
          <cell r="K16">
            <v>56260.396133602662</v>
          </cell>
          <cell r="L16">
            <v>58016.404099065738</v>
          </cell>
          <cell r="M16">
            <v>59138.271641877196</v>
          </cell>
          <cell r="N16">
            <v>59960.142820799854</v>
          </cell>
          <cell r="R16">
            <v>4.6281806250340063E-2</v>
          </cell>
          <cell r="S16">
            <v>3.9019764635887411E-2</v>
          </cell>
          <cell r="T16">
            <v>3.9019764635887411E-2</v>
          </cell>
        </row>
        <row r="17">
          <cell r="B17" t="str">
            <v>old</v>
          </cell>
          <cell r="D17">
            <v>47473</v>
          </cell>
          <cell r="E17">
            <v>42531</v>
          </cell>
          <cell r="F17">
            <v>45499</v>
          </cell>
          <cell r="R17" t="e">
            <v>#DIV/0!</v>
          </cell>
          <cell r="S17" t="e">
            <v>#DIV/0!</v>
          </cell>
          <cell r="T17" t="e">
            <v>#DIV/0!</v>
          </cell>
        </row>
        <row r="18">
          <cell r="B18" t="str">
            <v>% +/-</v>
          </cell>
          <cell r="D18">
            <v>4.276098359819636E-14</v>
          </cell>
          <cell r="E18">
            <v>-2.351226164410543E-6</v>
          </cell>
          <cell r="F18">
            <v>0</v>
          </cell>
          <cell r="G18" t="e">
            <v>#DIV/0!</v>
          </cell>
          <cell r="H18" t="e">
            <v>#DIV/0!</v>
          </cell>
          <cell r="I18" t="e">
            <v>#DIV/0!</v>
          </cell>
          <cell r="J18" t="e">
            <v>#DIV/0!</v>
          </cell>
          <cell r="K18" t="e">
            <v>#DIV/0!</v>
          </cell>
          <cell r="L18" t="e">
            <v>#DIV/0!</v>
          </cell>
          <cell r="M18" t="e">
            <v>#DIV/0!</v>
          </cell>
          <cell r="N18" t="e">
            <v>#DIV/0!</v>
          </cell>
          <cell r="O18" t="e">
            <v>#DIV/0!</v>
          </cell>
          <cell r="P18" t="e">
            <v>#DIV/0!</v>
          </cell>
          <cell r="Q18" t="e">
            <v>#DIV/0!</v>
          </cell>
        </row>
        <row r="19">
          <cell r="G19">
            <v>0.22394185549380077</v>
          </cell>
          <cell r="H19">
            <v>0.22127220377112869</v>
          </cell>
          <cell r="I19">
            <v>0.2186336448676649</v>
          </cell>
          <cell r="J19">
            <v>0.21654817366180373</v>
          </cell>
          <cell r="K19">
            <v>0.21367127206232275</v>
          </cell>
          <cell r="L19">
            <v>0.21469427961249671</v>
          </cell>
          <cell r="M19">
            <v>0.21825261931016293</v>
          </cell>
          <cell r="N19">
            <v>0.22307810463376584</v>
          </cell>
        </row>
        <row r="20">
          <cell r="A20" t="str">
            <v>Consensus</v>
          </cell>
          <cell r="H20">
            <v>47236</v>
          </cell>
          <cell r="I20">
            <v>49299</v>
          </cell>
          <cell r="J20">
            <v>51268</v>
          </cell>
          <cell r="K20">
            <v>53509</v>
          </cell>
          <cell r="L20">
            <v>55840</v>
          </cell>
        </row>
        <row r="21">
          <cell r="A21" t="str">
            <v>Post- FY13 results</v>
          </cell>
          <cell r="B21" t="str">
            <v>% +/-</v>
          </cell>
          <cell r="G21" t="e">
            <v>#DIV/0!</v>
          </cell>
          <cell r="H21">
            <v>8.8966755648187679E-3</v>
          </cell>
          <cell r="I21">
            <v>2.6101927965857641E-2</v>
          </cell>
          <cell r="J21">
            <v>4.5104847672441828E-2</v>
          </cell>
          <cell r="K21">
            <v>5.141931513582132E-2</v>
          </cell>
          <cell r="L21">
            <v>3.8975718106478041E-2</v>
          </cell>
          <cell r="M21" t="e">
            <v>#DIV/0!</v>
          </cell>
          <cell r="N21" t="e">
            <v>#DIV/0!</v>
          </cell>
        </row>
        <row r="23">
          <cell r="A23" t="str">
            <v>Rituxan</v>
          </cell>
          <cell r="B23" t="str">
            <v>new</v>
          </cell>
          <cell r="D23">
            <v>6356</v>
          </cell>
          <cell r="E23">
            <v>6005</v>
          </cell>
          <cell r="F23">
            <v>6707</v>
          </cell>
          <cell r="G23">
            <v>6951</v>
          </cell>
          <cell r="H23">
            <v>6995.6809875068011</v>
          </cell>
          <cell r="I23">
            <v>6771.2206547143296</v>
          </cell>
          <cell r="J23">
            <v>6579.1250462866801</v>
          </cell>
          <cell r="K23">
            <v>6501.4238263131092</v>
          </cell>
          <cell r="L23">
            <v>5964.3685323978225</v>
          </cell>
          <cell r="M23">
            <v>5479.7184797625659</v>
          </cell>
          <cell r="N23">
            <v>5249.5256230297373</v>
          </cell>
          <cell r="R23">
            <v>-1.8160988134060529E-2</v>
          </cell>
          <cell r="S23">
            <v>-4.6732008885113419E-2</v>
          </cell>
          <cell r="T23">
            <v>-4.6732008885113419E-2</v>
          </cell>
        </row>
        <row r="24">
          <cell r="B24" t="str">
            <v>old</v>
          </cell>
          <cell r="D24">
            <v>6356</v>
          </cell>
          <cell r="E24">
            <v>6005</v>
          </cell>
          <cell r="F24">
            <v>6707</v>
          </cell>
          <cell r="R24" t="e">
            <v>#DIV/0!</v>
          </cell>
          <cell r="S24" t="e">
            <v>#DIV/0!</v>
          </cell>
          <cell r="T24" t="e">
            <v>#DIV/0!</v>
          </cell>
        </row>
        <row r="25">
          <cell r="B25" t="str">
            <v>% +/-</v>
          </cell>
          <cell r="D25">
            <v>0</v>
          </cell>
          <cell r="E25">
            <v>0</v>
          </cell>
          <cell r="F25">
            <v>0</v>
          </cell>
          <cell r="G25" t="e">
            <v>#DIV/0!</v>
          </cell>
          <cell r="H25" t="e">
            <v>#DIV/0!</v>
          </cell>
          <cell r="I25" t="e">
            <v>#DIV/0!</v>
          </cell>
          <cell r="J25" t="e">
            <v>#DIV/0!</v>
          </cell>
          <cell r="K25" t="e">
            <v>#DIV/0!</v>
          </cell>
          <cell r="L25" t="e">
            <v>#DIV/0!</v>
          </cell>
          <cell r="M25" t="e">
            <v>#DIV/0!</v>
          </cell>
          <cell r="N25" t="e">
            <v>#DIV/0!</v>
          </cell>
          <cell r="O25" t="e">
            <v>#DIV/0!</v>
          </cell>
          <cell r="P25" t="e">
            <v>#DIV/0!</v>
          </cell>
          <cell r="Q25" t="e">
            <v>#DIV/0!</v>
          </cell>
        </row>
        <row r="27">
          <cell r="A27" t="str">
            <v>Consensus - Rituxan</v>
          </cell>
          <cell r="H27">
            <v>7066</v>
          </cell>
          <cell r="I27">
            <v>7225</v>
          </cell>
          <cell r="J27">
            <v>7097</v>
          </cell>
          <cell r="K27">
            <v>6829</v>
          </cell>
          <cell r="L27">
            <v>6433</v>
          </cell>
        </row>
        <row r="28">
          <cell r="A28" t="str">
            <v>Post- FY13 results</v>
          </cell>
          <cell r="B28" t="str">
            <v>% +/-</v>
          </cell>
          <cell r="G28" t="e">
            <v>#DIV/0!</v>
          </cell>
          <cell r="H28">
            <v>-9.951742498329863E-3</v>
          </cell>
          <cell r="I28">
            <v>-6.2806829797324659E-2</v>
          </cell>
          <cell r="J28">
            <v>-7.2970967128831887E-2</v>
          </cell>
          <cell r="K28">
            <v>-4.7968395619694015E-2</v>
          </cell>
          <cell r="L28">
            <v>-7.2848044085524255E-2</v>
          </cell>
        </row>
        <row r="30">
          <cell r="A30" t="str">
            <v>Avastin</v>
          </cell>
          <cell r="B30" t="str">
            <v>new</v>
          </cell>
          <cell r="D30">
            <v>6461</v>
          </cell>
          <cell r="E30">
            <v>5292</v>
          </cell>
          <cell r="F30">
            <v>5764</v>
          </cell>
          <cell r="G30">
            <v>6254</v>
          </cell>
          <cell r="H30">
            <v>6529.5756439944962</v>
          </cell>
          <cell r="I30">
            <v>6819.1433151257861</v>
          </cell>
          <cell r="J30">
            <v>7063.7480894815872</v>
          </cell>
          <cell r="K30">
            <v>7275.6605321660354</v>
          </cell>
          <cell r="L30">
            <v>7307.8774371776208</v>
          </cell>
          <cell r="M30">
            <v>7346.6424366681576</v>
          </cell>
          <cell r="N30">
            <v>6611.9781930013414</v>
          </cell>
          <cell r="R30">
            <v>4.1419667794742709E-2</v>
          </cell>
          <cell r="S30">
            <v>2.0923402767278887E-3</v>
          </cell>
          <cell r="T30">
            <v>2.0923402767278887E-3</v>
          </cell>
        </row>
        <row r="31">
          <cell r="B31" t="str">
            <v>old</v>
          </cell>
          <cell r="D31">
            <v>6461</v>
          </cell>
          <cell r="E31">
            <v>5292</v>
          </cell>
          <cell r="F31">
            <v>5764</v>
          </cell>
          <cell r="R31" t="e">
            <v>#DIV/0!</v>
          </cell>
          <cell r="S31" t="e">
            <v>#DIV/0!</v>
          </cell>
          <cell r="T31" t="e">
            <v>#DIV/0!</v>
          </cell>
        </row>
        <row r="32">
          <cell r="B32" t="str">
            <v>% +/-</v>
          </cell>
          <cell r="D32">
            <v>0</v>
          </cell>
          <cell r="E32">
            <v>0</v>
          </cell>
          <cell r="F32">
            <v>0</v>
          </cell>
          <cell r="G32" t="e">
            <v>#DIV/0!</v>
          </cell>
          <cell r="H32" t="e">
            <v>#DIV/0!</v>
          </cell>
          <cell r="I32" t="e">
            <v>#DIV/0!</v>
          </cell>
          <cell r="J32" t="e">
            <v>#DIV/0!</v>
          </cell>
          <cell r="K32" t="e">
            <v>#DIV/0!</v>
          </cell>
          <cell r="L32" t="e">
            <v>#DIV/0!</v>
          </cell>
          <cell r="M32" t="e">
            <v>#DIV/0!</v>
          </cell>
          <cell r="N32" t="e">
            <v>#DIV/0!</v>
          </cell>
          <cell r="O32" t="e">
            <v>#DIV/0!</v>
          </cell>
          <cell r="P32" t="e">
            <v>#DIV/0!</v>
          </cell>
          <cell r="Q32" t="e">
            <v>#DIV/0!</v>
          </cell>
        </row>
        <row r="34">
          <cell r="A34" t="str">
            <v>Consensus - Avastin</v>
          </cell>
          <cell r="H34">
            <v>6540</v>
          </cell>
          <cell r="I34">
            <v>6904</v>
          </cell>
          <cell r="J34">
            <v>7175</v>
          </cell>
          <cell r="K34">
            <v>7361</v>
          </cell>
          <cell r="L34">
            <v>7347</v>
          </cell>
        </row>
        <row r="35">
          <cell r="A35" t="str">
            <v>Post- FY13 results</v>
          </cell>
          <cell r="B35" t="str">
            <v>% +/-</v>
          </cell>
          <cell r="G35" t="e">
            <v>#DIV/0!</v>
          </cell>
          <cell r="H35">
            <v>-1.5939382271412672E-3</v>
          </cell>
          <cell r="I35">
            <v>-1.2290945086068095E-2</v>
          </cell>
          <cell r="J35">
            <v>-1.550549275517954E-2</v>
          </cell>
          <cell r="K35">
            <v>-1.1593461191952814E-2</v>
          </cell>
          <cell r="L35">
            <v>-5.3249711205088923E-3</v>
          </cell>
        </row>
        <row r="37">
          <cell r="A37" t="str">
            <v>Herceptin</v>
          </cell>
          <cell r="B37" t="str">
            <v>new</v>
          </cell>
          <cell r="D37">
            <v>5429</v>
          </cell>
          <cell r="E37">
            <v>5253</v>
          </cell>
          <cell r="F37">
            <v>5889</v>
          </cell>
          <cell r="G37">
            <v>6079</v>
          </cell>
          <cell r="H37">
            <v>6167.6988174522176</v>
          </cell>
          <cell r="I37">
            <v>6000.7970321856774</v>
          </cell>
          <cell r="J37">
            <v>5633.4285404851071</v>
          </cell>
          <cell r="K37">
            <v>5303.9605909090715</v>
          </cell>
          <cell r="L37">
            <v>4954.7943341905202</v>
          </cell>
          <cell r="M37">
            <v>4569.0261215608707</v>
          </cell>
          <cell r="N37">
            <v>4298.5250458578357</v>
          </cell>
          <cell r="R37">
            <v>-2.505477754196328E-2</v>
          </cell>
          <cell r="S37">
            <v>-5.840086560165425E-2</v>
          </cell>
          <cell r="T37">
            <v>-5.840086560165425E-2</v>
          </cell>
        </row>
        <row r="38">
          <cell r="B38" t="str">
            <v>old</v>
          </cell>
          <cell r="D38">
            <v>5429</v>
          </cell>
          <cell r="E38">
            <v>5253</v>
          </cell>
          <cell r="F38">
            <v>5889</v>
          </cell>
          <cell r="R38" t="e">
            <v>#DIV/0!</v>
          </cell>
          <cell r="S38" t="e">
            <v>#DIV/0!</v>
          </cell>
          <cell r="T38" t="e">
            <v>#DIV/0!</v>
          </cell>
        </row>
        <row r="39">
          <cell r="B39" t="str">
            <v>% +/-</v>
          </cell>
          <cell r="D39">
            <v>0</v>
          </cell>
          <cell r="E39">
            <v>0</v>
          </cell>
          <cell r="F39">
            <v>0</v>
          </cell>
          <cell r="G39" t="e">
            <v>#DIV/0!</v>
          </cell>
          <cell r="H39" t="e">
            <v>#DIV/0!</v>
          </cell>
          <cell r="I39" t="e">
            <v>#DIV/0!</v>
          </cell>
          <cell r="J39" t="e">
            <v>#DIV/0!</v>
          </cell>
          <cell r="K39" t="e">
            <v>#DIV/0!</v>
          </cell>
          <cell r="L39" t="e">
            <v>#DIV/0!</v>
          </cell>
          <cell r="M39" t="e">
            <v>#DIV/0!</v>
          </cell>
          <cell r="N39" t="e">
            <v>#DIV/0!</v>
          </cell>
          <cell r="O39" t="e">
            <v>#DIV/0!</v>
          </cell>
          <cell r="P39" t="e">
            <v>#DIV/0!</v>
          </cell>
          <cell r="Q39" t="e">
            <v>#DIV/0!</v>
          </cell>
        </row>
        <row r="41">
          <cell r="A41" t="str">
            <v>Consensus - Herceptin</v>
          </cell>
          <cell r="H41">
            <v>6135</v>
          </cell>
          <cell r="I41">
            <v>5989</v>
          </cell>
          <cell r="J41">
            <v>5616</v>
          </cell>
          <cell r="K41">
            <v>5191</v>
          </cell>
          <cell r="L41">
            <v>4761</v>
          </cell>
        </row>
        <row r="42">
          <cell r="A42" t="str">
            <v>Post- FY13 results</v>
          </cell>
          <cell r="B42" t="str">
            <v>% +/-</v>
          </cell>
          <cell r="G42" t="e">
            <v>#DIV/0!</v>
          </cell>
          <cell r="H42">
            <v>5.3298805953085893E-3</v>
          </cell>
          <cell r="I42">
            <v>1.9697833003302634E-3</v>
          </cell>
          <cell r="J42">
            <v>3.1033725935019074E-3</v>
          </cell>
          <cell r="K42">
            <v>2.1760853575240047E-2</v>
          </cell>
          <cell r="L42">
            <v>4.0704544043377533E-2</v>
          </cell>
        </row>
        <row r="44">
          <cell r="A44" t="str">
            <v>Perjeta</v>
          </cell>
          <cell r="B44" t="str">
            <v>new</v>
          </cell>
          <cell r="F44">
            <v>56</v>
          </cell>
          <cell r="G44">
            <v>326</v>
          </cell>
          <cell r="H44">
            <v>975.79943974055072</v>
          </cell>
          <cell r="I44">
            <v>1766.5749915329914</v>
          </cell>
          <cell r="J44">
            <v>2381.2219639450113</v>
          </cell>
          <cell r="K44">
            <v>2937.6966129481061</v>
          </cell>
          <cell r="L44">
            <v>3320.3354696896567</v>
          </cell>
          <cell r="M44">
            <v>3652.3690166586234</v>
          </cell>
          <cell r="N44">
            <v>4017.6059183244861</v>
          </cell>
          <cell r="R44">
            <v>0.94026370565832318</v>
          </cell>
          <cell r="S44">
            <v>0.26600220409572617</v>
          </cell>
          <cell r="T44">
            <v>0.26600220409572617</v>
          </cell>
        </row>
        <row r="45">
          <cell r="B45" t="str">
            <v>old</v>
          </cell>
          <cell r="D45">
            <v>0</v>
          </cell>
          <cell r="E45">
            <v>0</v>
          </cell>
          <cell r="F45">
            <v>56</v>
          </cell>
          <cell r="R45" t="e">
            <v>#DIV/0!</v>
          </cell>
          <cell r="S45" t="e">
            <v>#DIV/0!</v>
          </cell>
          <cell r="T45" t="e">
            <v>#DIV/0!</v>
          </cell>
        </row>
        <row r="46">
          <cell r="B46" t="str">
            <v>% +/-</v>
          </cell>
          <cell r="F46">
            <v>0</v>
          </cell>
          <cell r="G46" t="e">
            <v>#DIV/0!</v>
          </cell>
          <cell r="H46" t="e">
            <v>#DIV/0!</v>
          </cell>
          <cell r="I46" t="e">
            <v>#DIV/0!</v>
          </cell>
          <cell r="J46" t="e">
            <v>#DIV/0!</v>
          </cell>
          <cell r="K46" t="e">
            <v>#DIV/0!</v>
          </cell>
          <cell r="L46" t="e">
            <v>#DIV/0!</v>
          </cell>
          <cell r="M46" t="e">
            <v>#DIV/0!</v>
          </cell>
          <cell r="N46" t="e">
            <v>#DIV/0!</v>
          </cell>
          <cell r="O46" t="e">
            <v>#DIV/0!</v>
          </cell>
          <cell r="P46" t="e">
            <v>#DIV/0!</v>
          </cell>
          <cell r="Q46" t="e">
            <v>#DIV/0!</v>
          </cell>
        </row>
        <row r="48">
          <cell r="A48" t="str">
            <v>Consensus - Perjeta</v>
          </cell>
          <cell r="H48">
            <v>739</v>
          </cell>
          <cell r="I48">
            <v>1219</v>
          </cell>
          <cell r="J48">
            <v>1616</v>
          </cell>
          <cell r="K48">
            <v>2172</v>
          </cell>
          <cell r="L48">
            <v>2745</v>
          </cell>
        </row>
        <row r="49">
          <cell r="A49" t="str">
            <v>Post- FY13 results</v>
          </cell>
          <cell r="B49" t="str">
            <v>% +/-</v>
          </cell>
          <cell r="G49" t="e">
            <v>#DIV/0!</v>
          </cell>
          <cell r="H49">
            <v>0.32043225945947329</v>
          </cell>
          <cell r="I49">
            <v>0.44920015712304462</v>
          </cell>
          <cell r="J49">
            <v>0.4735284430352793</v>
          </cell>
          <cell r="K49">
            <v>0.35253066894480023</v>
          </cell>
          <cell r="L49">
            <v>0.2095939780290188</v>
          </cell>
          <cell r="M49" t="e">
            <v>#DIV/0!</v>
          </cell>
          <cell r="N49" t="e">
            <v>#DIV/0!</v>
          </cell>
        </row>
        <row r="51">
          <cell r="A51" t="str">
            <v>Zelboraf</v>
          </cell>
          <cell r="B51" t="str">
            <v>new</v>
          </cell>
          <cell r="E51">
            <v>5</v>
          </cell>
          <cell r="F51">
            <v>234</v>
          </cell>
          <cell r="G51">
            <v>354</v>
          </cell>
          <cell r="H51">
            <v>483.8524698464912</v>
          </cell>
          <cell r="I51">
            <v>578.7273974780702</v>
          </cell>
          <cell r="J51">
            <v>621.37064235197363</v>
          </cell>
          <cell r="K51">
            <v>659.65937759457233</v>
          </cell>
          <cell r="L51">
            <v>692.64234647430112</v>
          </cell>
          <cell r="M51">
            <v>727.27446379801609</v>
          </cell>
          <cell r="N51">
            <v>763.63818698791704</v>
          </cell>
          <cell r="R51">
            <v>0.20628285762457121</v>
          </cell>
          <cell r="S51">
            <v>7.9019051030295051E-2</v>
          </cell>
          <cell r="T51">
            <v>7.9019051030295051E-2</v>
          </cell>
        </row>
        <row r="52">
          <cell r="B52" t="str">
            <v>old</v>
          </cell>
          <cell r="F52">
            <v>234</v>
          </cell>
          <cell r="R52" t="e">
            <v>#DIV/0!</v>
          </cell>
          <cell r="S52" t="e">
            <v>#DIV/0!</v>
          </cell>
          <cell r="T52" t="e">
            <v>#DIV/0!</v>
          </cell>
        </row>
        <row r="53">
          <cell r="B53" t="str">
            <v>% +/-</v>
          </cell>
          <cell r="F53">
            <v>0</v>
          </cell>
          <cell r="G53" t="e">
            <v>#DIV/0!</v>
          </cell>
          <cell r="H53" t="e">
            <v>#DIV/0!</v>
          </cell>
          <cell r="I53" t="e">
            <v>#DIV/0!</v>
          </cell>
          <cell r="J53" t="e">
            <v>#DIV/0!</v>
          </cell>
          <cell r="K53" t="e">
            <v>#DIV/0!</v>
          </cell>
          <cell r="L53" t="e">
            <v>#DIV/0!</v>
          </cell>
          <cell r="M53" t="e">
            <v>#DIV/0!</v>
          </cell>
          <cell r="N53" t="e">
            <v>#DIV/0!</v>
          </cell>
          <cell r="O53" t="e">
            <v>#DIV/0!</v>
          </cell>
          <cell r="P53" t="e">
            <v>#DIV/0!</v>
          </cell>
          <cell r="Q53" t="e">
            <v>#DIV/0!</v>
          </cell>
        </row>
        <row r="55">
          <cell r="A55" t="str">
            <v>Consensus - Zelboraf</v>
          </cell>
          <cell r="H55">
            <v>379</v>
          </cell>
          <cell r="I55">
            <v>379</v>
          </cell>
          <cell r="J55">
            <v>375</v>
          </cell>
          <cell r="K55">
            <v>377</v>
          </cell>
          <cell r="L55">
            <v>381</v>
          </cell>
        </row>
        <row r="56">
          <cell r="A56" t="str">
            <v>Post- FY13 results</v>
          </cell>
          <cell r="B56" t="str">
            <v>% +/-</v>
          </cell>
          <cell r="G56" t="e">
            <v>#DIV/0!</v>
          </cell>
          <cell r="H56">
            <v>0.27665559326250988</v>
          </cell>
          <cell r="I56">
            <v>0.52698521762023809</v>
          </cell>
          <cell r="J56">
            <v>0.65698837960526291</v>
          </cell>
          <cell r="K56">
            <v>0.74975962226677018</v>
          </cell>
          <cell r="L56">
            <v>0.81795891463071158</v>
          </cell>
          <cell r="M56" t="e">
            <v>#DIV/0!</v>
          </cell>
          <cell r="N56" t="e">
            <v>#DIV/0!</v>
          </cell>
        </row>
        <row r="58">
          <cell r="A58" t="str">
            <v>Kadcyla</v>
          </cell>
          <cell r="B58" t="str">
            <v>new</v>
          </cell>
          <cell r="G58">
            <v>234</v>
          </cell>
          <cell r="H58">
            <v>860.91733173716432</v>
          </cell>
          <cell r="I58">
            <v>1697.1924248470341</v>
          </cell>
          <cell r="J58">
            <v>2961.5288108539507</v>
          </cell>
          <cell r="K58">
            <v>4137.8663178371908</v>
          </cell>
          <cell r="L58">
            <v>5265.5462897545895</v>
          </cell>
          <cell r="M58">
            <v>6055.378233217778</v>
          </cell>
          <cell r="N58">
            <v>6660.9160565395559</v>
          </cell>
          <cell r="R58">
            <v>1.3304155428794169</v>
          </cell>
          <cell r="S58">
            <v>0.40635647888343418</v>
          </cell>
          <cell r="T58">
            <v>0.40635647888343418</v>
          </cell>
        </row>
        <row r="59">
          <cell r="B59" t="str">
            <v>old</v>
          </cell>
          <cell r="R59" t="e">
            <v>#DIV/0!</v>
          </cell>
          <cell r="S59" t="e">
            <v>#DIV/0!</v>
          </cell>
          <cell r="T59" t="e">
            <v>#DIV/0!</v>
          </cell>
        </row>
        <row r="60">
          <cell r="B60" t="str">
            <v>% +/-</v>
          </cell>
          <cell r="G60" t="e">
            <v>#DIV/0!</v>
          </cell>
          <cell r="H60" t="e">
            <v>#DIV/0!</v>
          </cell>
          <cell r="I60" t="e">
            <v>#DIV/0!</v>
          </cell>
          <cell r="J60" t="e">
            <v>#DIV/0!</v>
          </cell>
          <cell r="K60" t="e">
            <v>#DIV/0!</v>
          </cell>
          <cell r="L60" t="e">
            <v>#DIV/0!</v>
          </cell>
          <cell r="M60" t="e">
            <v>#DIV/0!</v>
          </cell>
          <cell r="N60" t="e">
            <v>#DIV/0!</v>
          </cell>
          <cell r="O60" t="e">
            <v>#DIV/0!</v>
          </cell>
          <cell r="P60" t="e">
            <v>#DIV/0!</v>
          </cell>
          <cell r="Q60" t="e">
            <v>#DIV/0!</v>
          </cell>
        </row>
        <row r="62">
          <cell r="A62" t="str">
            <v>Consensus - Kadcyla</v>
          </cell>
          <cell r="H62">
            <v>493</v>
          </cell>
          <cell r="I62">
            <v>1060</v>
          </cell>
          <cell r="J62">
            <v>1727</v>
          </cell>
          <cell r="K62">
            <v>2374</v>
          </cell>
          <cell r="L62">
            <v>2916</v>
          </cell>
        </row>
        <row r="63">
          <cell r="A63" t="str">
            <v>Post- FY13 results</v>
          </cell>
          <cell r="B63" t="str">
            <v>% +/-</v>
          </cell>
          <cell r="G63" t="e">
            <v>#DIV/0!</v>
          </cell>
          <cell r="H63">
            <v>0.7462826201565198</v>
          </cell>
          <cell r="I63">
            <v>0.60112492910097548</v>
          </cell>
          <cell r="J63">
            <v>0.71484007576951414</v>
          </cell>
          <cell r="K63">
            <v>0.74299339420269206</v>
          </cell>
          <cell r="L63">
            <v>0.80574289772105256</v>
          </cell>
          <cell r="M63" t="e">
            <v>#DIV/0!</v>
          </cell>
          <cell r="N63" t="e">
            <v>#DIV/0!</v>
          </cell>
        </row>
        <row r="66">
          <cell r="A66" t="str">
            <v>Actemra</v>
          </cell>
          <cell r="B66" t="str">
            <v>new</v>
          </cell>
          <cell r="D66">
            <v>397</v>
          </cell>
          <cell r="E66">
            <v>618</v>
          </cell>
          <cell r="F66">
            <v>842</v>
          </cell>
          <cell r="G66">
            <v>1037</v>
          </cell>
          <cell r="H66">
            <v>1173.9387278776296</v>
          </cell>
          <cell r="I66">
            <v>1329.8560854641564</v>
          </cell>
          <cell r="J66">
            <v>1519.0061857837795</v>
          </cell>
          <cell r="K66">
            <v>1670.9068043621578</v>
          </cell>
          <cell r="L66">
            <v>1837.9974847983735</v>
          </cell>
          <cell r="M66">
            <v>2021.797233278211</v>
          </cell>
          <cell r="N66">
            <v>2223.9769566060322</v>
          </cell>
          <cell r="R66">
            <v>0.13569120361557063</v>
          </cell>
          <cell r="S66">
            <v>0.11236540966098096</v>
          </cell>
          <cell r="T66">
            <v>0.11236540966098096</v>
          </cell>
        </row>
        <row r="67">
          <cell r="B67" t="str">
            <v>old</v>
          </cell>
          <cell r="D67">
            <v>397</v>
          </cell>
          <cell r="E67">
            <v>618</v>
          </cell>
          <cell r="F67">
            <v>842</v>
          </cell>
          <cell r="R67" t="e">
            <v>#DIV/0!</v>
          </cell>
          <cell r="S67" t="e">
            <v>#DIV/0!</v>
          </cell>
          <cell r="T67" t="e">
            <v>#DIV/0!</v>
          </cell>
        </row>
        <row r="68">
          <cell r="B68" t="str">
            <v>% +/-</v>
          </cell>
          <cell r="D68">
            <v>0</v>
          </cell>
          <cell r="E68">
            <v>0</v>
          </cell>
          <cell r="F68">
            <v>0</v>
          </cell>
          <cell r="G68" t="e">
            <v>#DIV/0!</v>
          </cell>
          <cell r="H68" t="e">
            <v>#DIV/0!</v>
          </cell>
          <cell r="I68" t="e">
            <v>#DIV/0!</v>
          </cell>
          <cell r="J68" t="e">
            <v>#DIV/0!</v>
          </cell>
          <cell r="K68" t="e">
            <v>#DIV/0!</v>
          </cell>
          <cell r="L68" t="e">
            <v>#DIV/0!</v>
          </cell>
          <cell r="M68" t="e">
            <v>#DIV/0!</v>
          </cell>
          <cell r="N68" t="e">
            <v>#DIV/0!</v>
          </cell>
          <cell r="O68" t="e">
            <v>#DIV/0!</v>
          </cell>
          <cell r="P68" t="e">
            <v>#DIV/0!</v>
          </cell>
          <cell r="Q68" t="e">
            <v>#DIV/0!</v>
          </cell>
        </row>
        <row r="70">
          <cell r="A70" t="str">
            <v>Consensus - Actemra</v>
          </cell>
          <cell r="H70">
            <v>1252</v>
          </cell>
          <cell r="I70">
            <v>1477</v>
          </cell>
          <cell r="J70">
            <v>1662</v>
          </cell>
          <cell r="K70">
            <v>1809</v>
          </cell>
          <cell r="L70">
            <v>1924</v>
          </cell>
        </row>
        <row r="71">
          <cell r="A71" t="str">
            <v>Post- FY13 results</v>
          </cell>
          <cell r="B71" t="str">
            <v>% +/-</v>
          </cell>
          <cell r="G71" t="e">
            <v>#DIV/0!</v>
          </cell>
          <cell r="H71">
            <v>-6.2349258883682368E-2</v>
          </cell>
          <cell r="I71">
            <v>-9.9623503409508207E-2</v>
          </cell>
          <cell r="J71">
            <v>-8.6037192669206064E-2</v>
          </cell>
          <cell r="K71">
            <v>-7.6336758229874069E-2</v>
          </cell>
          <cell r="L71">
            <v>-4.469985197589732E-2</v>
          </cell>
          <cell r="M71" t="e">
            <v>#DIV/0!</v>
          </cell>
          <cell r="N71" t="e">
            <v>#DIV/0!</v>
          </cell>
        </row>
        <row r="73">
          <cell r="A73" t="str">
            <v>Pegasys</v>
          </cell>
          <cell r="B73" t="str">
            <v>new</v>
          </cell>
          <cell r="D73">
            <v>1645</v>
          </cell>
          <cell r="E73">
            <v>1438</v>
          </cell>
          <cell r="F73">
            <v>1649</v>
          </cell>
          <cell r="G73">
            <v>1312</v>
          </cell>
          <cell r="H73">
            <v>1000.0776155946763</v>
          </cell>
          <cell r="I73">
            <v>859.56116690202998</v>
          </cell>
          <cell r="J73">
            <v>784.260104785267</v>
          </cell>
          <cell r="K73">
            <v>732.70007449800369</v>
          </cell>
          <cell r="L73">
            <v>684.70580772894346</v>
          </cell>
          <cell r="M73">
            <v>640.01999534186916</v>
          </cell>
          <cell r="N73">
            <v>598.40451533419866</v>
          </cell>
          <cell r="R73">
            <v>-0.15761861216778406</v>
          </cell>
          <cell r="S73">
            <v>-8.2033443520709293E-2</v>
          </cell>
          <cell r="T73">
            <v>-8.2033443520709293E-2</v>
          </cell>
        </row>
        <row r="74">
          <cell r="B74" t="str">
            <v>old</v>
          </cell>
          <cell r="D74">
            <v>1645</v>
          </cell>
          <cell r="E74">
            <v>1438</v>
          </cell>
          <cell r="F74">
            <v>1649</v>
          </cell>
          <cell r="R74" t="e">
            <v>#DIV/0!</v>
          </cell>
          <cell r="S74" t="e">
            <v>#DIV/0!</v>
          </cell>
          <cell r="T74" t="e">
            <v>#DIV/0!</v>
          </cell>
        </row>
        <row r="75">
          <cell r="B75" t="str">
            <v>% +/-</v>
          </cell>
          <cell r="D75">
            <v>0</v>
          </cell>
          <cell r="E75">
            <v>0</v>
          </cell>
          <cell r="F75">
            <v>0</v>
          </cell>
          <cell r="G75" t="e">
            <v>#DIV/0!</v>
          </cell>
          <cell r="H75" t="e">
            <v>#DIV/0!</v>
          </cell>
          <cell r="I75" t="e">
            <v>#DIV/0!</v>
          </cell>
          <cell r="J75" t="e">
            <v>#DIV/0!</v>
          </cell>
          <cell r="K75" t="e">
            <v>#DIV/0!</v>
          </cell>
          <cell r="L75" t="e">
            <v>#DIV/0!</v>
          </cell>
          <cell r="M75" t="e">
            <v>#DIV/0!</v>
          </cell>
          <cell r="N75" t="e">
            <v>#DIV/0!</v>
          </cell>
          <cell r="O75" t="e">
            <v>#DIV/0!</v>
          </cell>
          <cell r="P75" t="e">
            <v>#DIV/0!</v>
          </cell>
          <cell r="Q75" t="e">
            <v>#DIV/0!</v>
          </cell>
        </row>
        <row r="77">
          <cell r="A77" t="str">
            <v>Lucentis</v>
          </cell>
          <cell r="B77" t="str">
            <v>new</v>
          </cell>
          <cell r="D77">
            <v>1458</v>
          </cell>
          <cell r="E77">
            <v>1523</v>
          </cell>
          <cell r="F77">
            <v>1481</v>
          </cell>
          <cell r="G77">
            <v>1689</v>
          </cell>
          <cell r="H77">
            <v>1858.7275006650707</v>
          </cell>
          <cell r="I77">
            <v>1951.6638756983243</v>
          </cell>
          <cell r="J77">
            <v>2049.2470694832405</v>
          </cell>
          <cell r="K77">
            <v>2151.7094229574027</v>
          </cell>
          <cell r="L77">
            <v>2259.2948941052728</v>
          </cell>
          <cell r="M77">
            <v>2372.2596388105367</v>
          </cell>
          <cell r="N77">
            <v>2490.8726207510636</v>
          </cell>
          <cell r="R77">
            <v>6.6567201533084264E-2</v>
          </cell>
          <cell r="S77">
            <v>5.0000000000000044E-2</v>
          </cell>
          <cell r="T77">
            <v>5.0000000000000044E-2</v>
          </cell>
        </row>
        <row r="78">
          <cell r="B78" t="str">
            <v>old</v>
          </cell>
          <cell r="D78">
            <v>1458</v>
          </cell>
          <cell r="E78">
            <v>1523</v>
          </cell>
          <cell r="F78">
            <v>1481</v>
          </cell>
          <cell r="R78" t="e">
            <v>#DIV/0!</v>
          </cell>
          <cell r="S78" t="e">
            <v>#DIV/0!</v>
          </cell>
          <cell r="T78" t="e">
            <v>#DIV/0!</v>
          </cell>
        </row>
        <row r="79">
          <cell r="B79" t="str">
            <v>% +/-</v>
          </cell>
          <cell r="D79">
            <v>0</v>
          </cell>
          <cell r="E79">
            <v>0</v>
          </cell>
          <cell r="F79">
            <v>0</v>
          </cell>
          <cell r="G79" t="e">
            <v>#DIV/0!</v>
          </cell>
          <cell r="H79" t="e">
            <v>#DIV/0!</v>
          </cell>
          <cell r="I79" t="e">
            <v>#DIV/0!</v>
          </cell>
          <cell r="J79" t="e">
            <v>#DIV/0!</v>
          </cell>
          <cell r="K79" t="e">
            <v>#DIV/0!</v>
          </cell>
          <cell r="L79" t="e">
            <v>#DIV/0!</v>
          </cell>
          <cell r="M79" t="e">
            <v>#DIV/0!</v>
          </cell>
          <cell r="N79" t="e">
            <v>#DIV/0!</v>
          </cell>
          <cell r="O79" t="e">
            <v>#DIV/0!</v>
          </cell>
          <cell r="P79" t="e">
            <v>#DIV/0!</v>
          </cell>
          <cell r="Q79" t="e">
            <v>#DIV/0!</v>
          </cell>
        </row>
        <row r="81">
          <cell r="A81" t="str">
            <v>Consensus</v>
          </cell>
          <cell r="H81">
            <v>1738</v>
          </cell>
          <cell r="I81">
            <v>1773</v>
          </cell>
          <cell r="J81">
            <v>1800</v>
          </cell>
          <cell r="K81">
            <v>1814</v>
          </cell>
          <cell r="L81">
            <v>1815</v>
          </cell>
        </row>
        <row r="82">
          <cell r="A82" t="str">
            <v>Post- FY13 results</v>
          </cell>
          <cell r="B82" t="str">
            <v>% +/-</v>
          </cell>
          <cell r="G82" t="e">
            <v>#DIV/0!</v>
          </cell>
          <cell r="H82">
            <v>6.9463464134102759E-2</v>
          </cell>
          <cell r="I82">
            <v>0.10076924743278304</v>
          </cell>
          <cell r="J82">
            <v>0.13847059415735585</v>
          </cell>
          <cell r="K82">
            <v>0.18616836987728935</v>
          </cell>
          <cell r="L82">
            <v>0.24479057526461312</v>
          </cell>
          <cell r="M82" t="e">
            <v>#DIV/0!</v>
          </cell>
          <cell r="N82" t="e">
            <v>#DIV/0!</v>
          </cell>
        </row>
        <row r="84">
          <cell r="A84" t="str">
            <v>SFr million (except per share data)</v>
          </cell>
          <cell r="D84">
            <v>2010</v>
          </cell>
          <cell r="E84">
            <v>2011</v>
          </cell>
          <cell r="F84">
            <v>2012</v>
          </cell>
          <cell r="G84" t="str">
            <v>2013e</v>
          </cell>
          <cell r="H84" t="str">
            <v>2014e</v>
          </cell>
          <cell r="I84" t="str">
            <v>2015e</v>
          </cell>
          <cell r="J84" t="str">
            <v>2016e</v>
          </cell>
          <cell r="K84" t="str">
            <v>2017e</v>
          </cell>
          <cell r="L84" t="str">
            <v>2018e</v>
          </cell>
          <cell r="M84" t="str">
            <v>2019e</v>
          </cell>
          <cell r="N84" t="str">
            <v>2020e</v>
          </cell>
          <cell r="O84" t="str">
            <v>2021e</v>
          </cell>
          <cell r="P84" t="str">
            <v>2022e</v>
          </cell>
          <cell r="Q84" t="str">
            <v>2023e</v>
          </cell>
          <cell r="R84" t="str">
            <v>CAGR (13-16e)</v>
          </cell>
          <cell r="S84" t="str">
            <v>CAGR (14-20e)</v>
          </cell>
          <cell r="T84" t="str">
            <v>CAGR (14-20e)</v>
          </cell>
        </row>
        <row r="85">
          <cell r="A85" t="str">
            <v>Total Sales</v>
          </cell>
          <cell r="B85" t="str">
            <v>new</v>
          </cell>
          <cell r="D85">
            <v>47473.00000000203</v>
          </cell>
          <cell r="E85">
            <v>42530.9</v>
          </cell>
          <cell r="F85">
            <v>45499</v>
          </cell>
          <cell r="G85">
            <v>46780</v>
          </cell>
          <cell r="H85">
            <v>47656.243366979776</v>
          </cell>
          <cell r="I85">
            <v>50585.798946788818</v>
          </cell>
          <cell r="J85">
            <v>53580.435330470747</v>
          </cell>
          <cell r="K85">
            <v>56260.396133602662</v>
          </cell>
          <cell r="L85">
            <v>58016.404099065738</v>
          </cell>
          <cell r="M85">
            <v>59138.271641877196</v>
          </cell>
          <cell r="N85">
            <v>59960.142820799854</v>
          </cell>
          <cell r="R85">
            <v>4.6281806250340063E-2</v>
          </cell>
          <cell r="S85">
            <v>3.9019764635887411E-2</v>
          </cell>
          <cell r="T85">
            <v>3.9019764635887411E-2</v>
          </cell>
        </row>
        <row r="86">
          <cell r="B86" t="str">
            <v>old</v>
          </cell>
          <cell r="D86">
            <v>47473</v>
          </cell>
          <cell r="E86">
            <v>42531</v>
          </cell>
          <cell r="F86">
            <v>45499</v>
          </cell>
          <cell r="R86" t="e">
            <v>#DIV/0!</v>
          </cell>
          <cell r="S86" t="e">
            <v>#DIV/0!</v>
          </cell>
          <cell r="T86" t="e">
            <v>#DIV/0!</v>
          </cell>
        </row>
        <row r="87">
          <cell r="B87" t="str">
            <v>% +/-</v>
          </cell>
          <cell r="D87">
            <v>4.276098359819636E-14</v>
          </cell>
          <cell r="E87">
            <v>-2.351226164410543E-6</v>
          </cell>
          <cell r="F87">
            <v>0</v>
          </cell>
          <cell r="G87" t="e">
            <v>#DIV/0!</v>
          </cell>
          <cell r="H87" t="e">
            <v>#DIV/0!</v>
          </cell>
          <cell r="I87" t="e">
            <v>#DIV/0!</v>
          </cell>
          <cell r="J87" t="e">
            <v>#DIV/0!</v>
          </cell>
          <cell r="K87" t="e">
            <v>#DIV/0!</v>
          </cell>
          <cell r="L87" t="e">
            <v>#DIV/0!</v>
          </cell>
          <cell r="M87" t="e">
            <v>#DIV/0!</v>
          </cell>
          <cell r="N87" t="e">
            <v>#DIV/0!</v>
          </cell>
          <cell r="O87" t="e">
            <v>#DIV/0!</v>
          </cell>
          <cell r="P87" t="e">
            <v>#DIV/0!</v>
          </cell>
          <cell r="Q87" t="e">
            <v>#DIV/0!</v>
          </cell>
          <cell r="R87">
            <v>0</v>
          </cell>
        </row>
        <row r="89">
          <cell r="A89" t="str">
            <v>Core EBIT</v>
          </cell>
          <cell r="B89" t="str">
            <v>new</v>
          </cell>
          <cell r="D89">
            <v>16591</v>
          </cell>
          <cell r="E89">
            <v>15149.850000000002</v>
          </cell>
          <cell r="F89">
            <v>17160</v>
          </cell>
          <cell r="G89">
            <v>17904</v>
          </cell>
          <cell r="H89">
            <v>18364.492492691545</v>
          </cell>
          <cell r="I89">
            <v>19926.019109750177</v>
          </cell>
          <cell r="J89">
            <v>21744.522801526215</v>
          </cell>
          <cell r="K89">
            <v>23420.805756598846</v>
          </cell>
          <cell r="L89">
            <v>24654.762691625117</v>
          </cell>
          <cell r="M89">
            <v>25451.269412825983</v>
          </cell>
          <cell r="N89">
            <v>25954.073515008542</v>
          </cell>
          <cell r="R89">
            <v>6.6923474685955942E-2</v>
          </cell>
          <cell r="S89">
            <v>5.9345842675329497E-2</v>
          </cell>
          <cell r="T89">
            <v>5.9345842675329497E-2</v>
          </cell>
        </row>
        <row r="90">
          <cell r="B90" t="str">
            <v>old</v>
          </cell>
          <cell r="D90">
            <v>16666</v>
          </cell>
          <cell r="E90">
            <v>15148.5</v>
          </cell>
          <cell r="F90">
            <v>17160</v>
          </cell>
          <cell r="R90" t="e">
            <v>#DIV/0!</v>
          </cell>
          <cell r="S90" t="e">
            <v>#DIV/0!</v>
          </cell>
          <cell r="T90" t="e">
            <v>#DIV/0!</v>
          </cell>
        </row>
        <row r="91">
          <cell r="B91" t="str">
            <v>% +/-</v>
          </cell>
          <cell r="D91">
            <v>-4.5001800072002884E-3</v>
          </cell>
          <cell r="E91">
            <v>8.911773442929549E-5</v>
          </cell>
          <cell r="F91">
            <v>0</v>
          </cell>
          <cell r="G91" t="e">
            <v>#DIV/0!</v>
          </cell>
          <cell r="H91" t="e">
            <v>#DIV/0!</v>
          </cell>
          <cell r="I91" t="e">
            <v>#DIV/0!</v>
          </cell>
          <cell r="J91" t="e">
            <v>#DIV/0!</v>
          </cell>
          <cell r="K91" t="e">
            <v>#DIV/0!</v>
          </cell>
          <cell r="L91" t="e">
            <v>#DIV/0!</v>
          </cell>
          <cell r="M91" t="e">
            <v>#DIV/0!</v>
          </cell>
          <cell r="N91" t="e">
            <v>#DIV/0!</v>
          </cell>
          <cell r="O91" t="e">
            <v>#DIV/0!</v>
          </cell>
          <cell r="P91" t="e">
            <v>#DIV/0!</v>
          </cell>
          <cell r="Q91" t="e">
            <v>#DIV/0!</v>
          </cell>
        </row>
        <row r="93">
          <cell r="A93" t="str">
            <v>Consensus</v>
          </cell>
        </row>
        <row r="94">
          <cell r="A94">
            <v>41395</v>
          </cell>
          <cell r="B94" t="str">
            <v>% +/-</v>
          </cell>
          <cell r="G94" t="e">
            <v>#DIV/0!</v>
          </cell>
          <cell r="H94" t="e">
            <v>#DIV/0!</v>
          </cell>
          <cell r="I94" t="e">
            <v>#DIV/0!</v>
          </cell>
          <cell r="J94" t="e">
            <v>#DIV/0!</v>
          </cell>
          <cell r="K94" t="e">
            <v>#DIV/0!</v>
          </cell>
        </row>
        <row r="96">
          <cell r="A96" t="str">
            <v xml:space="preserve">Core margin </v>
          </cell>
          <cell r="B96" t="str">
            <v>new</v>
          </cell>
          <cell r="D96">
            <v>0.34948286394370043</v>
          </cell>
          <cell r="E96">
            <v>0.35620807459987919</v>
          </cell>
          <cell r="F96">
            <v>0.37715114617903689</v>
          </cell>
          <cell r="G96">
            <v>0.38272766139375802</v>
          </cell>
          <cell r="H96">
            <v>0.38535333872782762</v>
          </cell>
          <cell r="I96">
            <v>0.39390539488583248</v>
          </cell>
          <cell r="J96">
            <v>0.40582952839803238</v>
          </cell>
          <cell r="K96">
            <v>0.41629294079232931</v>
          </cell>
          <cell r="L96">
            <v>0.42496192369189156</v>
          </cell>
          <cell r="M96">
            <v>0.43036884078978294</v>
          </cell>
          <cell r="N96">
            <v>0.43285543185873154</v>
          </cell>
        </row>
        <row r="97">
          <cell r="B97" t="str">
            <v>old</v>
          </cell>
          <cell r="D97">
            <v>0.28407726497166813</v>
          </cell>
          <cell r="E97">
            <v>0.35617549552091415</v>
          </cell>
          <cell r="F97">
            <v>0.37715114617903689</v>
          </cell>
        </row>
        <row r="98">
          <cell r="B98" t="str">
            <v>% +/-</v>
          </cell>
          <cell r="D98">
            <v>0.23023876612778355</v>
          </cell>
          <cell r="E98">
            <v>9.1469175658438182E-5</v>
          </cell>
          <cell r="F98">
            <v>0</v>
          </cell>
          <cell r="G98" t="e">
            <v>#DIV/0!</v>
          </cell>
          <cell r="H98" t="e">
            <v>#DIV/0!</v>
          </cell>
          <cell r="I98" t="e">
            <v>#DIV/0!</v>
          </cell>
          <cell r="J98" t="e">
            <v>#DIV/0!</v>
          </cell>
          <cell r="K98" t="e">
            <v>#DIV/0!</v>
          </cell>
          <cell r="L98" t="e">
            <v>#DIV/0!</v>
          </cell>
          <cell r="M98" t="e">
            <v>#DIV/0!</v>
          </cell>
          <cell r="N98" t="e">
            <v>#DIV/0!</v>
          </cell>
          <cell r="O98" t="e">
            <v>#DIV/0!</v>
          </cell>
          <cell r="P98" t="e">
            <v>#DIV/0!</v>
          </cell>
          <cell r="Q98" t="e">
            <v>#DIV/0!</v>
          </cell>
        </row>
        <row r="100">
          <cell r="A100" t="str">
            <v>Core PBT</v>
          </cell>
          <cell r="B100" t="str">
            <v>new</v>
          </cell>
          <cell r="D100">
            <v>14316.00000000203</v>
          </cell>
          <cell r="E100">
            <v>13580.850000000002</v>
          </cell>
          <cell r="F100">
            <v>15194</v>
          </cell>
          <cell r="G100">
            <v>16205</v>
          </cell>
          <cell r="H100">
            <v>17233.757941679607</v>
          </cell>
          <cell r="I100">
            <v>19172.876116776726</v>
          </cell>
          <cell r="J100">
            <v>21258.936852054459</v>
          </cell>
          <cell r="K100">
            <v>23165.296069516458</v>
          </cell>
          <cell r="L100">
            <v>24666.75300454273</v>
          </cell>
          <cell r="M100">
            <v>25563.259725743595</v>
          </cell>
          <cell r="N100">
            <v>26405.489207016341</v>
          </cell>
          <cell r="R100">
            <v>9.4706009454579076E-2</v>
          </cell>
          <cell r="S100">
            <v>7.3706803159142797E-2</v>
          </cell>
          <cell r="T100">
            <v>7.3706803159142797E-2</v>
          </cell>
        </row>
        <row r="101">
          <cell r="B101" t="str">
            <v>old</v>
          </cell>
          <cell r="D101">
            <v>14391</v>
          </cell>
          <cell r="E101">
            <v>13580</v>
          </cell>
          <cell r="F101">
            <v>15194</v>
          </cell>
          <cell r="R101" t="e">
            <v>#DIV/0!</v>
          </cell>
          <cell r="S101" t="e">
            <v>#DIV/0!</v>
          </cell>
          <cell r="T101" t="e">
            <v>#DIV/0!</v>
          </cell>
        </row>
        <row r="102">
          <cell r="B102" t="str">
            <v>% +/-</v>
          </cell>
          <cell r="D102">
            <v>-5.2115905773031761E-3</v>
          </cell>
          <cell r="E102">
            <v>6.2592047128290338E-5</v>
          </cell>
          <cell r="F102">
            <v>0</v>
          </cell>
          <cell r="G102" t="e">
            <v>#DIV/0!</v>
          </cell>
          <cell r="H102" t="e">
            <v>#DIV/0!</v>
          </cell>
          <cell r="I102" t="e">
            <v>#DIV/0!</v>
          </cell>
          <cell r="J102" t="e">
            <v>#DIV/0!</v>
          </cell>
          <cell r="K102" t="e">
            <v>#DIV/0!</v>
          </cell>
          <cell r="L102" t="e">
            <v>#DIV/0!</v>
          </cell>
          <cell r="M102" t="e">
            <v>#DIV/0!</v>
          </cell>
          <cell r="N102" t="e">
            <v>#DIV/0!</v>
          </cell>
          <cell r="O102" t="e">
            <v>#DIV/0!</v>
          </cell>
          <cell r="P102" t="e">
            <v>#DIV/0!</v>
          </cell>
          <cell r="Q102" t="e">
            <v>#DIV/0!</v>
          </cell>
        </row>
        <row r="104">
          <cell r="A104" t="str">
            <v>Core tax rate</v>
          </cell>
          <cell r="B104" t="str">
            <v>new</v>
          </cell>
          <cell r="D104">
            <v>0.21898575020952468</v>
          </cell>
          <cell r="E104">
            <v>0.21316780613879099</v>
          </cell>
          <cell r="F104">
            <v>0.2256811899433987</v>
          </cell>
          <cell r="G104">
            <v>0.22702869484726937</v>
          </cell>
          <cell r="H104">
            <v>0.23321062942156015</v>
          </cell>
          <cell r="I104">
            <v>0.23238021771684972</v>
          </cell>
          <cell r="J104">
            <v>0.23165602428685539</v>
          </cell>
          <cell r="K104">
            <v>0.23110827504968531</v>
          </cell>
          <cell r="L104">
            <v>0.2307364664077976</v>
          </cell>
          <cell r="M104">
            <v>0.23053528781219954</v>
          </cell>
          <cell r="N104">
            <v>0.23035873427266032</v>
          </cell>
        </row>
        <row r="105">
          <cell r="B105" t="str">
            <v>old</v>
          </cell>
          <cell r="D105">
            <v>0.20556441609073189</v>
          </cell>
          <cell r="E105">
            <v>0.21318114874815905</v>
          </cell>
          <cell r="F105">
            <v>0.2256811899433987</v>
          </cell>
        </row>
        <row r="106">
          <cell r="B106" t="str">
            <v>% +/-</v>
          </cell>
          <cell r="D106">
            <v>6.5290162441679053E-2</v>
          </cell>
          <cell r="E106">
            <v>-6.2588129609048081E-5</v>
          </cell>
          <cell r="F106">
            <v>0</v>
          </cell>
          <cell r="G106" t="e">
            <v>#DIV/0!</v>
          </cell>
          <cell r="H106" t="e">
            <v>#DIV/0!</v>
          </cell>
          <cell r="I106" t="e">
            <v>#DIV/0!</v>
          </cell>
          <cell r="J106" t="e">
            <v>#DIV/0!</v>
          </cell>
          <cell r="K106" t="e">
            <v>#DIV/0!</v>
          </cell>
          <cell r="L106" t="e">
            <v>#DIV/0!</v>
          </cell>
          <cell r="M106" t="e">
            <v>#DIV/0!</v>
          </cell>
          <cell r="N106" t="e">
            <v>#DIV/0!</v>
          </cell>
          <cell r="O106" t="e">
            <v>#DIV/0!</v>
          </cell>
          <cell r="P106" t="e">
            <v>#DIV/0!</v>
          </cell>
          <cell r="Q106" t="e">
            <v>#DIV/0!</v>
          </cell>
        </row>
        <row r="108">
          <cell r="A108" t="str">
            <v>Core EPS</v>
          </cell>
          <cell r="B108" t="str">
            <v>new</v>
          </cell>
          <cell r="D108">
            <v>12.781796966163396</v>
          </cell>
          <cell r="E108">
            <v>12.302467685076383</v>
          </cell>
          <cell r="F108">
            <v>13.48654970760234</v>
          </cell>
          <cell r="G108">
            <v>14.271147161066049</v>
          </cell>
          <cell r="H108">
            <v>15.095237893160375</v>
          </cell>
          <cell r="I108">
            <v>16.859000369302912</v>
          </cell>
          <cell r="J108">
            <v>18.752416874237898</v>
          </cell>
          <cell r="K108">
            <v>20.482388591036759</v>
          </cell>
          <cell r="L108">
            <v>21.846891400568442</v>
          </cell>
          <cell r="M108">
            <v>22.666467250740599</v>
          </cell>
          <cell r="N108">
            <v>23.435808404129652</v>
          </cell>
          <cell r="R108">
            <v>9.5299244632177427E-2</v>
          </cell>
          <cell r="S108">
            <v>7.6068692806726901E-2</v>
          </cell>
          <cell r="T108">
            <v>7.6068692806726901E-2</v>
          </cell>
        </row>
        <row r="109">
          <cell r="B109" t="str">
            <v>old</v>
          </cell>
          <cell r="D109">
            <v>12.870478413068845</v>
          </cell>
          <cell r="E109">
            <v>12.302585193889541</v>
          </cell>
          <cell r="F109">
            <v>13.487017543859649</v>
          </cell>
          <cell r="R109" t="e">
            <v>#DIV/0!</v>
          </cell>
          <cell r="S109" t="e">
            <v>#DIV/0!</v>
          </cell>
          <cell r="T109" t="e">
            <v>#DIV/0!</v>
          </cell>
        </row>
        <row r="110">
          <cell r="B110" t="str">
            <v>% +/-</v>
          </cell>
          <cell r="D110">
            <v>-6.8902991838594458E-3</v>
          </cell>
          <cell r="E110">
            <v>-9.5515545152705157E-6</v>
          </cell>
          <cell r="F110">
            <v>-3.4687895658752895E-5</v>
          </cell>
          <cell r="G110" t="e">
            <v>#DIV/0!</v>
          </cell>
          <cell r="H110" t="e">
            <v>#DIV/0!</v>
          </cell>
          <cell r="I110" t="e">
            <v>#DIV/0!</v>
          </cell>
          <cell r="J110" t="e">
            <v>#DIV/0!</v>
          </cell>
          <cell r="K110" t="e">
            <v>#DIV/0!</v>
          </cell>
          <cell r="L110" t="e">
            <v>#DIV/0!</v>
          </cell>
          <cell r="M110" t="e">
            <v>#DIV/0!</v>
          </cell>
          <cell r="N110" t="e">
            <v>#DIV/0!</v>
          </cell>
          <cell r="O110" t="e">
            <v>#DIV/0!</v>
          </cell>
          <cell r="P110" t="e">
            <v>#DIV/0!</v>
          </cell>
          <cell r="Q110" t="e">
            <v>#DIV/0!</v>
          </cell>
        </row>
        <row r="111">
          <cell r="A111" t="str">
            <v xml:space="preserve">   growth %</v>
          </cell>
          <cell r="D111" t="e">
            <v>#DIV/0!</v>
          </cell>
          <cell r="E111">
            <v>-3.7500930609046357E-2</v>
          </cell>
          <cell r="F111">
            <v>9.6247521459643215E-2</v>
          </cell>
          <cell r="G111">
            <v>5.8176291970468474E-2</v>
          </cell>
          <cell r="H111">
            <v>5.7745233988097056E-2</v>
          </cell>
          <cell r="I111">
            <v>0.11684231070924</v>
          </cell>
          <cell r="J111">
            <v>0.11230894260982072</v>
          </cell>
          <cell r="K111">
            <v>9.2253266786933352E-2</v>
          </cell>
          <cell r="L111">
            <v>6.6618344021107001E-2</v>
          </cell>
          <cell r="M111">
            <v>3.7514529419541587E-2</v>
          </cell>
          <cell r="N111">
            <v>3.3941820085082508E-2</v>
          </cell>
          <cell r="O111">
            <v>-1</v>
          </cell>
          <cell r="P111" t="e">
            <v>#DIV/0!</v>
          </cell>
          <cell r="Q111" t="e">
            <v>#DIV/0!</v>
          </cell>
        </row>
        <row r="113">
          <cell r="A113" t="str">
            <v>DPS</v>
          </cell>
          <cell r="B113" t="str">
            <v>new</v>
          </cell>
          <cell r="D113">
            <v>6.7001166861143524</v>
          </cell>
          <cell r="E113">
            <v>6.9189189189189193</v>
          </cell>
          <cell r="F113">
            <v>7.35</v>
          </cell>
          <cell r="G113">
            <v>7.8</v>
          </cell>
          <cell r="H113">
            <v>8.58</v>
          </cell>
          <cell r="I113">
            <v>9.4379999999999988</v>
          </cell>
          <cell r="J113">
            <v>9.9099000000000004</v>
          </cell>
          <cell r="K113">
            <v>10.900889999999999</v>
          </cell>
          <cell r="L113">
            <v>11.990978999999998</v>
          </cell>
          <cell r="M113">
            <v>13.190076899999999</v>
          </cell>
          <cell r="N113">
            <v>14.509084589999999</v>
          </cell>
          <cell r="R113">
            <v>8.3074231263342124E-2</v>
          </cell>
          <cell r="S113">
            <v>9.150430800326026E-2</v>
          </cell>
          <cell r="T113">
            <v>9.150430800326026E-2</v>
          </cell>
        </row>
        <row r="114">
          <cell r="B114" t="str">
            <v>old</v>
          </cell>
          <cell r="D114">
            <v>6.6</v>
          </cell>
          <cell r="E114">
            <v>6.8</v>
          </cell>
          <cell r="F114">
            <v>7.35</v>
          </cell>
          <cell r="R114" t="e">
            <v>#DIV/0!</v>
          </cell>
          <cell r="S114" t="e">
            <v>#DIV/0!</v>
          </cell>
          <cell r="T114" t="e">
            <v>#DIV/0!</v>
          </cell>
        </row>
        <row r="115">
          <cell r="B115" t="str">
            <v>% +/-</v>
          </cell>
          <cell r="D115">
            <v>1.5169194865811026E-2</v>
          </cell>
          <cell r="E115">
            <v>1.7488076311605805E-2</v>
          </cell>
          <cell r="F115">
            <v>0</v>
          </cell>
          <cell r="G115" t="e">
            <v>#DIV/0!</v>
          </cell>
          <cell r="H115" t="e">
            <v>#DIV/0!</v>
          </cell>
          <cell r="I115" t="e">
            <v>#DIV/0!</v>
          </cell>
          <cell r="J115" t="e">
            <v>#DIV/0!</v>
          </cell>
          <cell r="K115" t="e">
            <v>#DIV/0!</v>
          </cell>
          <cell r="L115" t="e">
            <v>#DIV/0!</v>
          </cell>
          <cell r="M115" t="e">
            <v>#DIV/0!</v>
          </cell>
          <cell r="N115" t="e">
            <v>#DIV/0!</v>
          </cell>
          <cell r="O115" t="e">
            <v>#DIV/0!</v>
          </cell>
          <cell r="P115" t="e">
            <v>#DIV/0!</v>
          </cell>
          <cell r="Q115" t="e">
            <v>#DIV/0!</v>
          </cell>
        </row>
        <row r="116">
          <cell r="A116" t="str">
            <v xml:space="preserve">   growth %</v>
          </cell>
          <cell r="D116" t="e">
            <v>#DIV/0!</v>
          </cell>
          <cell r="E116">
            <v>3.2656480932343079E-2</v>
          </cell>
          <cell r="F116">
            <v>6.2304687499999956E-2</v>
          </cell>
          <cell r="G116">
            <v>6.1224489795918435E-2</v>
          </cell>
          <cell r="H116">
            <v>0.10000000000000009</v>
          </cell>
          <cell r="I116">
            <v>9.9999999999999867E-2</v>
          </cell>
          <cell r="J116">
            <v>5.0000000000000266E-2</v>
          </cell>
          <cell r="K116">
            <v>9.9999999999999867E-2</v>
          </cell>
          <cell r="L116">
            <v>9.9999999999999867E-2</v>
          </cell>
          <cell r="M116">
            <v>0.10000000000000009</v>
          </cell>
          <cell r="N116">
            <v>9.9999999999999867E-2</v>
          </cell>
        </row>
        <row r="118">
          <cell r="A118" t="str">
            <v>Consensus - core EPS</v>
          </cell>
          <cell r="H118">
            <v>14.9</v>
          </cell>
          <cell r="I118">
            <v>16.09</v>
          </cell>
          <cell r="J118">
            <v>17.29</v>
          </cell>
          <cell r="K118">
            <v>18.600000000000001</v>
          </cell>
          <cell r="L118">
            <v>19.850000000000001</v>
          </cell>
          <cell r="R118" t="e">
            <v>#DIV/0!</v>
          </cell>
          <cell r="S118">
            <v>-1</v>
          </cell>
          <cell r="T118">
            <v>-1</v>
          </cell>
        </row>
        <row r="119">
          <cell r="B119" t="str">
            <v>MS vs. consensus</v>
          </cell>
          <cell r="G119" t="e">
            <v>#DIV/0!</v>
          </cell>
          <cell r="H119">
            <v>1.3103214306065425E-2</v>
          </cell>
          <cell r="I119">
            <v>4.7793683611119464E-2</v>
          </cell>
          <cell r="J119">
            <v>8.4581658429028206E-2</v>
          </cell>
          <cell r="K119">
            <v>0.10120368769014831</v>
          </cell>
          <cell r="L119">
            <v>0.10059906300092902</v>
          </cell>
          <cell r="M119" t="e">
            <v>#DIV/0!</v>
          </cell>
          <cell r="N119" t="e">
            <v>#DIV/0!</v>
          </cell>
        </row>
        <row r="120">
          <cell r="A120" t="str">
            <v>Consensus - DPS</v>
          </cell>
          <cell r="R120" t="e">
            <v>#DIV/0!</v>
          </cell>
          <cell r="S120" t="e">
            <v>#DIV/0!</v>
          </cell>
          <cell r="T120" t="e">
            <v>#DIV/0!</v>
          </cell>
        </row>
        <row r="121">
          <cell r="B121" t="str">
            <v>MS vs. consensus</v>
          </cell>
          <cell r="G121" t="e">
            <v>#DIV/0!</v>
          </cell>
          <cell r="H121" t="e">
            <v>#DIV/0!</v>
          </cell>
          <cell r="I121" t="e">
            <v>#DIV/0!</v>
          </cell>
          <cell r="J121" t="e">
            <v>#DIV/0!</v>
          </cell>
          <cell r="K121" t="e">
            <v>#DIV/0!</v>
          </cell>
          <cell r="L121" t="e">
            <v>#DIV/0!</v>
          </cell>
          <cell r="M121" t="e">
            <v>#DIV/0!</v>
          </cell>
          <cell r="N121" t="e">
            <v>#DIV/0!</v>
          </cell>
        </row>
        <row r="129">
          <cell r="G129" t="str">
            <v xml:space="preserve">Roche- Detailed new estimates </v>
          </cell>
        </row>
        <row r="130">
          <cell r="G130" t="str">
            <v>SFrm</v>
          </cell>
          <cell r="H130" t="str">
            <v>2014e</v>
          </cell>
          <cell r="I130" t="str">
            <v>2015e</v>
          </cell>
          <cell r="J130" t="str">
            <v>2016e</v>
          </cell>
          <cell r="K130" t="str">
            <v>2017e</v>
          </cell>
          <cell r="L130" t="str">
            <v>2017e</v>
          </cell>
        </row>
        <row r="131">
          <cell r="G131" t="str">
            <v>Sales</v>
          </cell>
        </row>
        <row r="132">
          <cell r="G132" t="str">
            <v>Old</v>
          </cell>
          <cell r="H132">
            <v>0</v>
          </cell>
          <cell r="I132">
            <v>0</v>
          </cell>
          <cell r="J132">
            <v>0</v>
          </cell>
          <cell r="K132">
            <v>0</v>
          </cell>
          <cell r="L132">
            <v>0</v>
          </cell>
        </row>
        <row r="133">
          <cell r="G133" t="str">
            <v>New</v>
          </cell>
          <cell r="H133">
            <v>47656.243366979776</v>
          </cell>
          <cell r="I133">
            <v>50585.798946788818</v>
          </cell>
          <cell r="J133">
            <v>53580.435330470747</v>
          </cell>
          <cell r="K133">
            <v>56260.396133602662</v>
          </cell>
          <cell r="L133">
            <v>58016.404099065738</v>
          </cell>
        </row>
        <row r="134">
          <cell r="G134" t="str">
            <v>% Change</v>
          </cell>
          <cell r="H134" t="e">
            <v>#DIV/0!</v>
          </cell>
          <cell r="I134" t="e">
            <v>#DIV/0!</v>
          </cell>
          <cell r="J134" t="e">
            <v>#DIV/0!</v>
          </cell>
          <cell r="K134" t="e">
            <v>#DIV/0!</v>
          </cell>
          <cell r="L134" t="e">
            <v>#DIV/0!</v>
          </cell>
        </row>
        <row r="136">
          <cell r="G136" t="str">
            <v>Core EBIT</v>
          </cell>
        </row>
        <row r="137">
          <cell r="G137" t="str">
            <v>Old</v>
          </cell>
          <cell r="H137">
            <v>0</v>
          </cell>
          <cell r="I137">
            <v>0</v>
          </cell>
          <cell r="J137">
            <v>0</v>
          </cell>
          <cell r="K137">
            <v>0</v>
          </cell>
          <cell r="L137">
            <v>0</v>
          </cell>
        </row>
        <row r="138">
          <cell r="G138" t="str">
            <v>New</v>
          </cell>
          <cell r="H138">
            <v>18364.492492691545</v>
          </cell>
          <cell r="I138">
            <v>19926.019109750177</v>
          </cell>
          <cell r="J138">
            <v>21744.522801526215</v>
          </cell>
          <cell r="K138">
            <v>23420.805756598846</v>
          </cell>
          <cell r="L138">
            <v>24654.762691625117</v>
          </cell>
        </row>
        <row r="139">
          <cell r="G139" t="str">
            <v>% Change</v>
          </cell>
          <cell r="H139" t="e">
            <v>#DIV/0!</v>
          </cell>
          <cell r="I139" t="e">
            <v>#DIV/0!</v>
          </cell>
          <cell r="J139" t="e">
            <v>#DIV/0!</v>
          </cell>
          <cell r="K139" t="e">
            <v>#DIV/0!</v>
          </cell>
          <cell r="L139" t="e">
            <v>#DIV/0!</v>
          </cell>
        </row>
        <row r="141">
          <cell r="G141" t="str">
            <v>Core EPS (SFr/share)</v>
          </cell>
        </row>
        <row r="142">
          <cell r="G142" t="str">
            <v>Old</v>
          </cell>
          <cell r="H142">
            <v>0</v>
          </cell>
          <cell r="I142">
            <v>0</v>
          </cell>
          <cell r="J142">
            <v>0</v>
          </cell>
          <cell r="K142">
            <v>0</v>
          </cell>
          <cell r="L142">
            <v>0</v>
          </cell>
        </row>
        <row r="143">
          <cell r="G143" t="str">
            <v>New</v>
          </cell>
          <cell r="H143">
            <v>15.095237893160375</v>
          </cell>
          <cell r="I143">
            <v>16.859000369302912</v>
          </cell>
          <cell r="J143">
            <v>18.752416874237898</v>
          </cell>
          <cell r="K143">
            <v>20.482388591036759</v>
          </cell>
          <cell r="L143">
            <v>21.846891400568442</v>
          </cell>
        </row>
        <row r="144">
          <cell r="G144" t="str">
            <v>% Change</v>
          </cell>
          <cell r="H144" t="e">
            <v>#DIV/0!</v>
          </cell>
          <cell r="I144" t="e">
            <v>#DIV/0!</v>
          </cell>
          <cell r="J144" t="e">
            <v>#DIV/0!</v>
          </cell>
          <cell r="K144" t="e">
            <v>#DIV/0!</v>
          </cell>
          <cell r="L144" t="e">
            <v>#DIV/0!</v>
          </cell>
        </row>
        <row r="149">
          <cell r="G149" t="str">
            <v>Roche- MSe vs consensus</v>
          </cell>
        </row>
        <row r="150">
          <cell r="G150" t="str">
            <v>SFrm</v>
          </cell>
          <cell r="H150" t="str">
            <v>2014e</v>
          </cell>
          <cell r="I150" t="str">
            <v>2015e</v>
          </cell>
          <cell r="J150" t="str">
            <v>2016e</v>
          </cell>
          <cell r="K150" t="str">
            <v>2017e</v>
          </cell>
          <cell r="L150" t="str">
            <v>2018e</v>
          </cell>
        </row>
        <row r="151">
          <cell r="G151" t="str">
            <v>Sales</v>
          </cell>
        </row>
        <row r="152">
          <cell r="G152" t="str">
            <v>Consensus</v>
          </cell>
          <cell r="H152">
            <v>47236</v>
          </cell>
          <cell r="I152">
            <v>49299</v>
          </cell>
          <cell r="J152">
            <v>51268</v>
          </cell>
          <cell r="K152">
            <v>53509</v>
          </cell>
          <cell r="L152">
            <v>55840</v>
          </cell>
        </row>
        <row r="153">
          <cell r="G153" t="str">
            <v>MSe</v>
          </cell>
          <cell r="H153">
            <v>47656.243366979776</v>
          </cell>
          <cell r="I153">
            <v>50585.798946788818</v>
          </cell>
          <cell r="J153">
            <v>53580.435330470747</v>
          </cell>
          <cell r="K153">
            <v>56260.396133602662</v>
          </cell>
          <cell r="L153">
            <v>58016.404099065738</v>
          </cell>
        </row>
        <row r="154">
          <cell r="G154" t="str">
            <v>% diff</v>
          </cell>
          <cell r="H154">
            <v>8.8966755648187679E-3</v>
          </cell>
          <cell r="I154">
            <v>2.6101927965857641E-2</v>
          </cell>
          <cell r="J154">
            <v>4.5104847672441828E-2</v>
          </cell>
          <cell r="K154">
            <v>5.141931513582132E-2</v>
          </cell>
          <cell r="L154">
            <v>3.8975718106478041E-2</v>
          </cell>
        </row>
        <row r="156">
          <cell r="G156" t="str">
            <v>Core EBIT</v>
          </cell>
        </row>
        <row r="157">
          <cell r="G157" t="str">
            <v>Consensus</v>
          </cell>
          <cell r="H157">
            <v>18020</v>
          </cell>
          <cell r="I157">
            <v>19076</v>
          </cell>
          <cell r="J157">
            <v>20171</v>
          </cell>
          <cell r="K157">
            <v>21449</v>
          </cell>
          <cell r="L157">
            <v>22680</v>
          </cell>
        </row>
        <row r="158">
          <cell r="G158" t="str">
            <v>MSe</v>
          </cell>
          <cell r="H158">
            <v>18364.492492691545</v>
          </cell>
          <cell r="I158">
            <v>19926.019109750177</v>
          </cell>
          <cell r="J158">
            <v>21744.522801526215</v>
          </cell>
          <cell r="K158">
            <v>23420.805756598846</v>
          </cell>
          <cell r="L158">
            <v>24654.762691625117</v>
          </cell>
        </row>
        <row r="159">
          <cell r="G159" t="str">
            <v>% diff</v>
          </cell>
          <cell r="H159">
            <v>1.9117230449031242E-2</v>
          </cell>
          <cell r="I159">
            <v>4.4559609443812986E-2</v>
          </cell>
          <cell r="J159">
            <v>7.8009161743404665E-2</v>
          </cell>
          <cell r="K159">
            <v>9.1929962077432315E-2</v>
          </cell>
          <cell r="L159">
            <v>8.7070665415569515E-2</v>
          </cell>
        </row>
        <row r="161">
          <cell r="G161" t="str">
            <v>Core EPS (SFr/share)</v>
          </cell>
        </row>
        <row r="162">
          <cell r="G162" t="str">
            <v>Consensus</v>
          </cell>
          <cell r="H162">
            <v>14.9</v>
          </cell>
          <cell r="I162">
            <v>16.09</v>
          </cell>
          <cell r="J162">
            <v>17.29</v>
          </cell>
          <cell r="K162">
            <v>18.600000000000001</v>
          </cell>
          <cell r="L162">
            <v>19.850000000000001</v>
          </cell>
        </row>
        <row r="163">
          <cell r="G163" t="str">
            <v>MSe</v>
          </cell>
          <cell r="H163">
            <v>15.095237893160375</v>
          </cell>
          <cell r="I163">
            <v>16.859000369302912</v>
          </cell>
          <cell r="J163">
            <v>18.752416874237898</v>
          </cell>
          <cell r="K163">
            <v>20.482388591036759</v>
          </cell>
          <cell r="L163">
            <v>21.846891400568442</v>
          </cell>
        </row>
        <row r="164">
          <cell r="G164" t="str">
            <v>% diff</v>
          </cell>
          <cell r="H164">
            <v>1.3103214306065425E-2</v>
          </cell>
          <cell r="I164">
            <v>4.7793683611119464E-2</v>
          </cell>
          <cell r="J164">
            <v>8.4581658429028206E-2</v>
          </cell>
          <cell r="K164">
            <v>0.10120368769014831</v>
          </cell>
          <cell r="L164">
            <v>0.10059906300092902</v>
          </cell>
        </row>
      </sheetData>
      <sheetData sheetId="3" refreshError="1">
        <row r="4">
          <cell r="M4" t="str">
            <v>Key Drugs</v>
          </cell>
        </row>
        <row r="5">
          <cell r="M5" t="str">
            <v>Drug</v>
          </cell>
          <cell r="N5" t="str">
            <v>Indications</v>
          </cell>
          <cell r="O5" t="str">
            <v>2013 Sales</v>
          </cell>
          <cell r="P5" t="str">
            <v>2020e Sales</v>
          </cell>
          <cell r="Q5" t="str">
            <v>2014-20 CAGR</v>
          </cell>
          <cell r="R5" t="str">
            <v>contrib growth 14-20</v>
          </cell>
        </row>
        <row r="6">
          <cell r="M6" t="str">
            <v>Avastin</v>
          </cell>
          <cell r="N6" t="str">
            <v>Colorectal, lung cancers</v>
          </cell>
          <cell r="O6">
            <v>6254</v>
          </cell>
          <cell r="P6">
            <v>6611.9781930013414</v>
          </cell>
          <cell r="Q6">
            <v>2.0923402767278887E-3</v>
          </cell>
          <cell r="R6">
            <v>6.6972710006388356E-3</v>
          </cell>
        </row>
        <row r="7">
          <cell r="M7" t="str">
            <v>Mabthera</v>
          </cell>
          <cell r="N7" t="str">
            <v>Lymphoma, leukemia</v>
          </cell>
          <cell r="O7">
            <v>6951</v>
          </cell>
          <cell r="P7">
            <v>5249.5256230297373</v>
          </cell>
          <cell r="Q7">
            <v>-4.6732008885113419E-2</v>
          </cell>
          <cell r="R7">
            <v>-0.14191885840995902</v>
          </cell>
        </row>
        <row r="8">
          <cell r="M8" t="str">
            <v>Gazyva</v>
          </cell>
          <cell r="N8" t="str">
            <v>Leukamia</v>
          </cell>
          <cell r="O8">
            <v>3</v>
          </cell>
          <cell r="P8">
            <v>3126.1308750000003</v>
          </cell>
          <cell r="Q8">
            <v>0.58123417946140932</v>
          </cell>
          <cell r="R8">
            <v>0.23782142287350241</v>
          </cell>
        </row>
        <row r="9">
          <cell r="M9" t="str">
            <v>Herceptin</v>
          </cell>
          <cell r="N9" t="str">
            <v>Breast cancer</v>
          </cell>
          <cell r="O9">
            <v>6079</v>
          </cell>
          <cell r="P9">
            <v>4298.5250458578357</v>
          </cell>
          <cell r="Q9">
            <v>-5.840086560165425E-2</v>
          </cell>
          <cell r="R9">
            <v>-0.15191718516636984</v>
          </cell>
        </row>
        <row r="10">
          <cell r="M10" t="str">
            <v>Perjeta</v>
          </cell>
          <cell r="N10" t="str">
            <v>Breast cancer</v>
          </cell>
          <cell r="O10">
            <v>326</v>
          </cell>
          <cell r="P10">
            <v>4017.6059183244861</v>
          </cell>
          <cell r="Q10">
            <v>0.26600220409572617</v>
          </cell>
          <cell r="R10">
            <v>0.24722296293144072</v>
          </cell>
        </row>
        <row r="11">
          <cell r="M11" t="str">
            <v>Kadcyla</v>
          </cell>
          <cell r="N11" t="str">
            <v>Breast cancer</v>
          </cell>
          <cell r="O11">
            <v>234</v>
          </cell>
          <cell r="P11">
            <v>6660.9160565395559</v>
          </cell>
          <cell r="Q11">
            <v>0.40635647888343418</v>
          </cell>
          <cell r="R11">
            <v>0.47139516594486031</v>
          </cell>
        </row>
        <row r="12">
          <cell r="M12" t="str">
            <v>Lucentis</v>
          </cell>
          <cell r="N12" t="str">
            <v>Ophthalmology</v>
          </cell>
          <cell r="O12">
            <v>1689</v>
          </cell>
          <cell r="P12">
            <v>2490.8726207510636</v>
          </cell>
          <cell r="Q12">
            <v>5.0000000000000044E-2</v>
          </cell>
          <cell r="R12">
            <v>5.1377624017378186E-2</v>
          </cell>
        </row>
        <row r="13">
          <cell r="M13" t="str">
            <v>Actemra</v>
          </cell>
          <cell r="N13" t="str">
            <v>Rheumatoid arthritis</v>
          </cell>
          <cell r="O13">
            <v>1037</v>
          </cell>
          <cell r="P13">
            <v>2223.9769566060322</v>
          </cell>
          <cell r="Q13">
            <v>0.11236540966098096</v>
          </cell>
          <cell r="R13">
            <v>8.5341905846149438E-2</v>
          </cell>
        </row>
      </sheetData>
      <sheetData sheetId="4" refreshError="1">
        <row r="5">
          <cell r="B5" t="str">
            <v>Divisional Revenues (Sfrm)</v>
          </cell>
        </row>
        <row r="149">
          <cell r="B149" t="str">
            <v>Summary P&amp;L</v>
          </cell>
          <cell r="C149" t="str">
            <v>FY10A</v>
          </cell>
          <cell r="D149" t="str">
            <v>FY11A</v>
          </cell>
          <cell r="E149" t="str">
            <v>FY12A</v>
          </cell>
          <cell r="F149">
            <v>2013</v>
          </cell>
          <cell r="G149">
            <v>2014</v>
          </cell>
          <cell r="H149">
            <v>2015</v>
          </cell>
          <cell r="I149">
            <v>2016</v>
          </cell>
          <cell r="J149">
            <v>2017</v>
          </cell>
          <cell r="K149">
            <v>2018</v>
          </cell>
          <cell r="L149">
            <v>2019</v>
          </cell>
          <cell r="M149">
            <v>2020</v>
          </cell>
          <cell r="O149" t="str">
            <v>2014-20e CAGR</v>
          </cell>
          <cell r="P149" t="str">
            <v>2014-20e CAGR</v>
          </cell>
        </row>
        <row r="150">
          <cell r="B150" t="str">
            <v>Revenues</v>
          </cell>
          <cell r="C150">
            <v>47473.00000000203</v>
          </cell>
          <cell r="D150">
            <v>42530.9</v>
          </cell>
          <cell r="E150">
            <v>45499</v>
          </cell>
          <cell r="F150">
            <v>46780</v>
          </cell>
          <cell r="G150">
            <v>47656.243366979776</v>
          </cell>
          <cell r="H150">
            <v>50585.798946788818</v>
          </cell>
          <cell r="I150">
            <v>53580.435330470747</v>
          </cell>
          <cell r="J150">
            <v>56260.396133602662</v>
          </cell>
          <cell r="K150">
            <v>58016.404099065738</v>
          </cell>
          <cell r="L150">
            <v>59138.271641877196</v>
          </cell>
          <cell r="M150">
            <v>59960.142820799854</v>
          </cell>
          <cell r="O150">
            <v>3.9019764635887411E-2</v>
          </cell>
          <cell r="P150">
            <v>3.9019764635887411E-2</v>
          </cell>
        </row>
        <row r="151">
          <cell r="B151" t="str">
            <v>Royalties and other operating income</v>
          </cell>
          <cell r="C151">
            <v>1694</v>
          </cell>
          <cell r="D151">
            <v>1582</v>
          </cell>
          <cell r="E151">
            <v>1945</v>
          </cell>
          <cell r="F151">
            <v>1832</v>
          </cell>
          <cell r="G151">
            <v>1940.6692195961195</v>
          </cell>
          <cell r="H151">
            <v>2065.0616797932066</v>
          </cell>
          <cell r="I151">
            <v>2191.5764549729183</v>
          </cell>
          <cell r="J151">
            <v>2218.8930113434599</v>
          </cell>
          <cell r="K151">
            <v>2286.0028377117383</v>
          </cell>
          <cell r="L151">
            <v>2322.5965305734821</v>
          </cell>
          <cell r="M151">
            <v>2344.4100552017121</v>
          </cell>
          <cell r="O151">
            <v>3.2001534265083675E-2</v>
          </cell>
          <cell r="P151">
            <v>3.2001534265083675E-2</v>
          </cell>
        </row>
        <row r="153">
          <cell r="B153" t="str">
            <v>Gross Profit</v>
          </cell>
          <cell r="C153">
            <v>35874.00000000203</v>
          </cell>
          <cell r="D153">
            <v>32170.9</v>
          </cell>
          <cell r="E153">
            <v>35269</v>
          </cell>
          <cell r="F153">
            <v>36664</v>
          </cell>
          <cell r="G153">
            <v>37124.090971981597</v>
          </cell>
          <cell r="H153">
            <v>39547.956588700021</v>
          </cell>
          <cell r="I153">
            <v>42155.18172351968</v>
          </cell>
          <cell r="J153">
            <v>44522.824733541311</v>
          </cell>
          <cell r="K153">
            <v>46266.471156630665</v>
          </cell>
          <cell r="L153">
            <v>47322.510620911591</v>
          </cell>
          <cell r="M153">
            <v>47999.289408309749</v>
          </cell>
          <cell r="N153" t="str">
            <v>2013-16e CAGR</v>
          </cell>
          <cell r="O153">
            <v>4.3750019568103093E-2</v>
          </cell>
          <cell r="P153">
            <v>4.3750019568103093E-2</v>
          </cell>
        </row>
        <row r="154">
          <cell r="B154" t="str">
            <v xml:space="preserve">   Margin</v>
          </cell>
          <cell r="C154">
            <v>0.72963573128318893</v>
          </cell>
          <cell r="D154">
            <v>0.72928553779053296</v>
          </cell>
          <cell r="E154">
            <v>0.74338167102267938</v>
          </cell>
          <cell r="F154">
            <v>0.75421706574508351</v>
          </cell>
          <cell r="G154">
            <v>0.74851616836387014</v>
          </cell>
          <cell r="H154">
            <v>0.75113599508254392</v>
          </cell>
          <cell r="I154">
            <v>0.75584832560266468</v>
          </cell>
          <cell r="J154">
            <v>0.76134346679877596</v>
          </cell>
          <cell r="K154">
            <v>0.76724086992311213</v>
          </cell>
          <cell r="L154">
            <v>0.76996163620942004</v>
          </cell>
          <cell r="M154">
            <v>0.77039778302940187</v>
          </cell>
          <cell r="N154">
            <v>4.627707259520375E-2</v>
          </cell>
        </row>
        <row r="155">
          <cell r="N155">
            <v>6.155163732117086E-2</v>
          </cell>
        </row>
        <row r="156">
          <cell r="B156" t="str">
            <v>Marketing and distribution</v>
          </cell>
          <cell r="C156">
            <v>-9488</v>
          </cell>
          <cell r="D156">
            <v>-8049</v>
          </cell>
          <cell r="E156">
            <v>-8539</v>
          </cell>
          <cell r="F156">
            <v>-8373</v>
          </cell>
          <cell r="G156">
            <v>-8600.5465908917067</v>
          </cell>
          <cell r="H156">
            <v>-9117.8593103689727</v>
          </cell>
          <cell r="I156">
            <v>-9648.0583929661407</v>
          </cell>
          <cell r="J156">
            <v>-10072.707131832183</v>
          </cell>
          <cell r="K156">
            <v>-10367.015846817611</v>
          </cell>
          <cell r="L156">
            <v>-10420.134782463794</v>
          </cell>
          <cell r="M156">
            <v>-10502.181819002326</v>
          </cell>
          <cell r="O156">
            <v>3.385328805410226E-2</v>
          </cell>
          <cell r="P156">
            <v>3.385328805410226E-2</v>
          </cell>
        </row>
        <row r="157">
          <cell r="B157" t="str">
            <v>R&amp;D</v>
          </cell>
          <cell r="C157">
            <v>-10026</v>
          </cell>
          <cell r="D157">
            <v>-8326</v>
          </cell>
          <cell r="E157">
            <v>-9552</v>
          </cell>
          <cell r="F157">
            <v>-9270</v>
          </cell>
          <cell r="G157">
            <v>-8798.4108678739703</v>
          </cell>
          <cell r="H157">
            <v>-9081.5113456782383</v>
          </cell>
          <cell r="I157">
            <v>-9227.8828938118368</v>
          </cell>
          <cell r="J157">
            <v>-9394.7677410318029</v>
          </cell>
          <cell r="K157">
            <v>-9543.4557499515195</v>
          </cell>
          <cell r="L157">
            <v>-9705.8719850157195</v>
          </cell>
          <cell r="M157">
            <v>-9764.4625726378126</v>
          </cell>
          <cell r="N157">
            <v>4.7614948597108908E-2</v>
          </cell>
          <cell r="O157">
            <v>1.7514681739136506E-2</v>
          </cell>
          <cell r="P157">
            <v>1.7514681739136506E-2</v>
          </cell>
        </row>
        <row r="158">
          <cell r="B158" t="str">
            <v>General and Administration</v>
          </cell>
          <cell r="C158">
            <v>-2874</v>
          </cell>
          <cell r="D158">
            <v>-2341.5</v>
          </cell>
          <cell r="E158">
            <v>-3053</v>
          </cell>
          <cell r="F158">
            <v>-2645</v>
          </cell>
          <cell r="G158">
            <v>-2060.6410205243706</v>
          </cell>
          <cell r="H158">
            <v>-2122.5668229026319</v>
          </cell>
          <cell r="I158">
            <v>-2234.7176352154897</v>
          </cell>
          <cell r="J158">
            <v>-2334.5441040784726</v>
          </cell>
          <cell r="K158">
            <v>-2401.2368682364181</v>
          </cell>
          <cell r="L158">
            <v>-2445.2344406061043</v>
          </cell>
          <cell r="M158">
            <v>-2478.5715016610661</v>
          </cell>
          <cell r="O158">
            <v>3.1256071573959598E-2</v>
          </cell>
          <cell r="P158">
            <v>3.1256071573959598E-2</v>
          </cell>
        </row>
        <row r="159">
          <cell r="B159" t="str">
            <v>EBIT (reported)</v>
          </cell>
          <cell r="C159">
            <v>13486.00000000203</v>
          </cell>
          <cell r="D159">
            <v>13454.400000000001</v>
          </cell>
          <cell r="E159">
            <v>14125</v>
          </cell>
          <cell r="F159">
            <v>16376</v>
          </cell>
          <cell r="G159">
            <v>17664.492492691552</v>
          </cell>
          <cell r="H159">
            <v>19226.019109750181</v>
          </cell>
          <cell r="I159">
            <v>21044.522801526215</v>
          </cell>
          <cell r="J159">
            <v>22720.805756598853</v>
          </cell>
          <cell r="K159">
            <v>23954.762691625117</v>
          </cell>
          <cell r="L159">
            <v>24751.269412825972</v>
          </cell>
          <cell r="M159">
            <v>25254.073515008542</v>
          </cell>
          <cell r="O159">
            <v>6.1381986550988143E-2</v>
          </cell>
          <cell r="P159">
            <v>6.1381986550988143E-2</v>
          </cell>
        </row>
        <row r="160">
          <cell r="B160" t="str">
            <v xml:space="preserve">   Margin</v>
          </cell>
          <cell r="C160">
            <v>0.27428966583280395</v>
          </cell>
          <cell r="D160">
            <v>0.30499921791584778</v>
          </cell>
          <cell r="E160">
            <v>0.29771941657533091</v>
          </cell>
          <cell r="F160">
            <v>0.33687155434872046</v>
          </cell>
          <cell r="G160">
            <v>0.35616113123688059</v>
          </cell>
          <cell r="H160">
            <v>0.36516058580899002</v>
          </cell>
          <cell r="I160">
            <v>0.37733124783959782</v>
          </cell>
          <cell r="J160">
            <v>0.38852739301059752</v>
          </cell>
          <cell r="K160">
            <v>0.39724388972964009</v>
          </cell>
          <cell r="L160">
            <v>0.4027159093063466</v>
          </cell>
          <cell r="M160">
            <v>0.40533271405171889</v>
          </cell>
          <cell r="N160">
            <v>4.8377179109438728E-2</v>
          </cell>
        </row>
        <row r="161">
          <cell r="N161">
            <v>-1.5166068825517298E-3</v>
          </cell>
        </row>
        <row r="162">
          <cell r="B162" t="str">
            <v xml:space="preserve">  Global restructuring</v>
          </cell>
          <cell r="C162">
            <v>1515</v>
          </cell>
          <cell r="D162">
            <v>940.45</v>
          </cell>
          <cell r="E162">
            <v>1437</v>
          </cell>
          <cell r="F162">
            <v>180</v>
          </cell>
          <cell r="G162">
            <v>197</v>
          </cell>
          <cell r="H162">
            <v>197</v>
          </cell>
          <cell r="I162">
            <v>197</v>
          </cell>
          <cell r="J162">
            <v>197</v>
          </cell>
          <cell r="K162">
            <v>197</v>
          </cell>
          <cell r="L162">
            <v>197</v>
          </cell>
          <cell r="M162">
            <v>197</v>
          </cell>
          <cell r="N162">
            <v>-5.4630833859951822E-2</v>
          </cell>
        </row>
        <row r="163">
          <cell r="B163" t="str">
            <v xml:space="preserve">  Intangibles amortisation</v>
          </cell>
          <cell r="C163">
            <v>619</v>
          </cell>
          <cell r="D163">
            <v>520</v>
          </cell>
          <cell r="E163">
            <v>530</v>
          </cell>
          <cell r="F163">
            <v>503</v>
          </cell>
          <cell r="G163">
            <v>503</v>
          </cell>
          <cell r="H163">
            <v>503</v>
          </cell>
          <cell r="I163">
            <v>503</v>
          </cell>
          <cell r="J163">
            <v>503</v>
          </cell>
          <cell r="K163">
            <v>503</v>
          </cell>
          <cell r="L163">
            <v>503</v>
          </cell>
          <cell r="M163">
            <v>503</v>
          </cell>
          <cell r="N163">
            <v>8.7193348004174887E-2</v>
          </cell>
        </row>
        <row r="164">
          <cell r="B164" t="str">
            <v xml:space="preserve">  Intangibles impairment</v>
          </cell>
          <cell r="C164">
            <v>667</v>
          </cell>
          <cell r="D164">
            <v>138</v>
          </cell>
          <cell r="E164">
            <v>712</v>
          </cell>
          <cell r="F164">
            <v>650</v>
          </cell>
          <cell r="G164">
            <v>0</v>
          </cell>
          <cell r="H164">
            <v>0</v>
          </cell>
          <cell r="I164">
            <v>0</v>
          </cell>
          <cell r="J164">
            <v>0</v>
          </cell>
          <cell r="K164">
            <v>0</v>
          </cell>
          <cell r="L164">
            <v>0</v>
          </cell>
          <cell r="M164">
            <v>0</v>
          </cell>
        </row>
        <row r="165">
          <cell r="B165" t="str">
            <v xml:space="preserve">  Alliances &amp; business combinations</v>
          </cell>
          <cell r="C165">
            <v>5</v>
          </cell>
          <cell r="D165">
            <v>-42</v>
          </cell>
          <cell r="E165">
            <v>-33</v>
          </cell>
          <cell r="F165">
            <v>16</v>
          </cell>
          <cell r="G165">
            <v>0</v>
          </cell>
          <cell r="H165">
            <v>0</v>
          </cell>
          <cell r="I165">
            <v>0</v>
          </cell>
          <cell r="J165">
            <v>0</v>
          </cell>
          <cell r="K165">
            <v>0</v>
          </cell>
          <cell r="L165">
            <v>0</v>
          </cell>
          <cell r="M165">
            <v>0</v>
          </cell>
        </row>
        <row r="166">
          <cell r="B166" t="str">
            <v xml:space="preserve">  Legal &amp; environmental</v>
          </cell>
          <cell r="C166">
            <v>299</v>
          </cell>
          <cell r="D166">
            <v>139</v>
          </cell>
          <cell r="E166">
            <v>389</v>
          </cell>
          <cell r="F166">
            <v>179</v>
          </cell>
          <cell r="G166">
            <v>0</v>
          </cell>
          <cell r="H166">
            <v>0</v>
          </cell>
          <cell r="I166">
            <v>0</v>
          </cell>
          <cell r="J166">
            <v>0</v>
          </cell>
          <cell r="K166">
            <v>0</v>
          </cell>
          <cell r="L166">
            <v>0</v>
          </cell>
          <cell r="M166">
            <v>0</v>
          </cell>
        </row>
        <row r="167">
          <cell r="B167" t="str">
            <v>Core Operating Profit</v>
          </cell>
          <cell r="C167">
            <v>16591</v>
          </cell>
          <cell r="D167">
            <v>15149.850000000002</v>
          </cell>
          <cell r="E167">
            <v>17160</v>
          </cell>
          <cell r="F167">
            <v>17904</v>
          </cell>
          <cell r="G167">
            <v>18364.492492691545</v>
          </cell>
          <cell r="H167">
            <v>19926.019109750177</v>
          </cell>
          <cell r="I167">
            <v>21744.522801526215</v>
          </cell>
          <cell r="J167">
            <v>23420.805756598846</v>
          </cell>
          <cell r="K167">
            <v>24654.762691625117</v>
          </cell>
          <cell r="L167">
            <v>25451.269412825983</v>
          </cell>
          <cell r="M167">
            <v>25954.073515008542</v>
          </cell>
          <cell r="O167">
            <v>5.9345842675329497E-2</v>
          </cell>
          <cell r="P167">
            <v>5.9345842675329497E-2</v>
          </cell>
        </row>
        <row r="168">
          <cell r="B168" t="str">
            <v xml:space="preserve">      margin </v>
          </cell>
          <cell r="C168">
            <v>0.34948286394370043</v>
          </cell>
          <cell r="D168">
            <v>0.35620807459987919</v>
          </cell>
          <cell r="E168">
            <v>0.37715114617903689</v>
          </cell>
          <cell r="F168">
            <v>0.38272766139375802</v>
          </cell>
          <cell r="G168">
            <v>0.38535333872782762</v>
          </cell>
          <cell r="H168">
            <v>0.39390539488583248</v>
          </cell>
          <cell r="I168">
            <v>0.40582952839803238</v>
          </cell>
          <cell r="J168">
            <v>0.41629294079232931</v>
          </cell>
          <cell r="K168">
            <v>0.42496192369189156</v>
          </cell>
          <cell r="L168">
            <v>0.43036884078978294</v>
          </cell>
          <cell r="M168">
            <v>0.43285543185873154</v>
          </cell>
        </row>
        <row r="170">
          <cell r="B170" t="str">
            <v>Financial income/expense</v>
          </cell>
          <cell r="C170">
            <v>-2272</v>
          </cell>
          <cell r="D170">
            <v>-1581</v>
          </cell>
          <cell r="E170">
            <v>-1966</v>
          </cell>
          <cell r="F170">
            <v>-1699</v>
          </cell>
          <cell r="G170">
            <v>-1130.7345510119358</v>
          </cell>
          <cell r="H170">
            <v>-753.1429929734503</v>
          </cell>
          <cell r="I170">
            <v>-485.58594947175527</v>
          </cell>
          <cell r="J170">
            <v>-255.50968708238645</v>
          </cell>
          <cell r="K170">
            <v>11.990312917613664</v>
          </cell>
          <cell r="L170">
            <v>111.99031291761366</v>
          </cell>
          <cell r="M170">
            <v>451.41569200779725</v>
          </cell>
        </row>
        <row r="171">
          <cell r="N171">
            <v>6.691656325812656E-2</v>
          </cell>
        </row>
        <row r="172">
          <cell r="B172" t="str">
            <v>PBT - reported</v>
          </cell>
          <cell r="C172">
            <v>11211.00000000203</v>
          </cell>
          <cell r="D172">
            <v>11885.400000000001</v>
          </cell>
          <cell r="E172">
            <v>12159</v>
          </cell>
          <cell r="F172">
            <v>14677</v>
          </cell>
          <cell r="G172">
            <v>16533.757941679607</v>
          </cell>
          <cell r="H172">
            <v>18472.876116776726</v>
          </cell>
          <cell r="I172">
            <v>20558.936852054459</v>
          </cell>
          <cell r="J172">
            <v>22465.296069516458</v>
          </cell>
          <cell r="K172">
            <v>23966.75300454273</v>
          </cell>
          <cell r="L172">
            <v>24863.259725743595</v>
          </cell>
          <cell r="M172">
            <v>25705.489207016341</v>
          </cell>
          <cell r="O172">
            <v>0.10758165135444364</v>
          </cell>
          <cell r="P172">
            <v>8.5018887661129527E-2</v>
          </cell>
        </row>
        <row r="173">
          <cell r="B173" t="str">
            <v>% margin</v>
          </cell>
          <cell r="C173">
            <v>0.22801879309296005</v>
          </cell>
          <cell r="D173">
            <v>0.26943139081765199</v>
          </cell>
          <cell r="E173">
            <v>0.25628108928420873</v>
          </cell>
          <cell r="F173">
            <v>0.30192133629556489</v>
          </cell>
          <cell r="G173">
            <v>0.33336264455611903</v>
          </cell>
          <cell r="H173">
            <v>0.35085610941467232</v>
          </cell>
          <cell r="I173">
            <v>0.36862462360413334</v>
          </cell>
          <cell r="J173">
            <v>0.384158159204607</v>
          </cell>
          <cell r="K173">
            <v>0.39744272611987214</v>
          </cell>
          <cell r="L173">
            <v>0.40453804941350219</v>
          </cell>
          <cell r="M173">
            <v>0.41257802231845508</v>
          </cell>
        </row>
        <row r="174">
          <cell r="B174" t="str">
            <v>PBT - core</v>
          </cell>
          <cell r="C174">
            <v>14316.00000000203</v>
          </cell>
          <cell r="D174">
            <v>13580.850000000002</v>
          </cell>
          <cell r="E174">
            <v>15194</v>
          </cell>
          <cell r="F174">
            <v>16205</v>
          </cell>
          <cell r="G174">
            <v>17233.757941679607</v>
          </cell>
          <cell r="H174">
            <v>19172.876116776726</v>
          </cell>
          <cell r="I174">
            <v>21258.936852054459</v>
          </cell>
          <cell r="J174">
            <v>23165.296069516458</v>
          </cell>
          <cell r="K174">
            <v>24666.75300454273</v>
          </cell>
          <cell r="L174">
            <v>25563.259725743595</v>
          </cell>
          <cell r="M174">
            <v>26405.489207016341</v>
          </cell>
          <cell r="O174">
            <v>7.3706803159142797E-2</v>
          </cell>
          <cell r="P174">
            <v>7.3706803159142797E-2</v>
          </cell>
        </row>
        <row r="176">
          <cell r="B176" t="str">
            <v>Income taxes</v>
          </cell>
          <cell r="C176">
            <v>-2320</v>
          </cell>
          <cell r="D176">
            <v>-2341</v>
          </cell>
          <cell r="E176">
            <v>-2499</v>
          </cell>
          <cell r="F176">
            <v>-3304</v>
          </cell>
          <cell r="G176">
            <v>-3720.0955368779119</v>
          </cell>
          <cell r="H176">
            <v>-4156.3971262747637</v>
          </cell>
          <cell r="I176">
            <v>-4625.7607917122532</v>
          </cell>
          <cell r="J176">
            <v>-5054.6916156412035</v>
          </cell>
          <cell r="K176">
            <v>-5392.5194260221142</v>
          </cell>
          <cell r="L176">
            <v>-5594.2334382923091</v>
          </cell>
          <cell r="M176">
            <v>-5783.735071578677</v>
          </cell>
          <cell r="N176">
            <v>0.11887844504189915</v>
          </cell>
          <cell r="O176">
            <v>7.6322410682493347E-2</v>
          </cell>
          <cell r="P176">
            <v>7.6322410682493347E-2</v>
          </cell>
        </row>
        <row r="177">
          <cell r="B177" t="str">
            <v>% tax rate - reported</v>
          </cell>
          <cell r="C177">
            <v>0.20693961288016946</v>
          </cell>
          <cell r="D177">
            <v>0.19696434280714151</v>
          </cell>
          <cell r="E177">
            <v>0.20552677029360966</v>
          </cell>
          <cell r="F177">
            <v>0.22511412413981058</v>
          </cell>
          <cell r="G177">
            <v>0.22500000000000001</v>
          </cell>
          <cell r="H177">
            <v>0.22500000000000001</v>
          </cell>
          <cell r="I177">
            <v>0.22499999999999998</v>
          </cell>
          <cell r="J177">
            <v>0.22500000000000001</v>
          </cell>
          <cell r="K177">
            <v>0.22500000000000001</v>
          </cell>
          <cell r="L177">
            <v>0.22500000000000001</v>
          </cell>
          <cell r="M177">
            <v>0.22500000000000001</v>
          </cell>
        </row>
        <row r="178">
          <cell r="B178" t="str">
            <v>% tax rate - core</v>
          </cell>
          <cell r="C178">
            <v>-0.21898575020952468</v>
          </cell>
          <cell r="D178">
            <v>-0.21316780613879099</v>
          </cell>
          <cell r="E178">
            <v>-0.2256811899433987</v>
          </cell>
          <cell r="F178">
            <v>-0.22702869484726937</v>
          </cell>
          <cell r="G178">
            <v>-0.23321062942156015</v>
          </cell>
          <cell r="H178">
            <v>-0.23238021771684972</v>
          </cell>
          <cell r="I178">
            <v>-0.23165602428685539</v>
          </cell>
          <cell r="J178">
            <v>-0.23110827504968531</v>
          </cell>
          <cell r="K178">
            <v>-0.2307364664077976</v>
          </cell>
          <cell r="L178">
            <v>-0.23053528781219954</v>
          </cell>
          <cell r="M178">
            <v>-0.23035873427266032</v>
          </cell>
        </row>
        <row r="180">
          <cell r="B180" t="str">
            <v>Net Income - reported</v>
          </cell>
          <cell r="C180">
            <v>8891.00000000203</v>
          </cell>
          <cell r="D180">
            <v>9544.4000000000015</v>
          </cell>
          <cell r="E180">
            <v>9660</v>
          </cell>
          <cell r="F180">
            <v>11373</v>
          </cell>
          <cell r="G180">
            <v>12813.662404801695</v>
          </cell>
          <cell r="H180">
            <v>14316.478990501962</v>
          </cell>
          <cell r="I180">
            <v>15933.176060342206</v>
          </cell>
          <cell r="J180">
            <v>17410.604453875254</v>
          </cell>
          <cell r="K180">
            <v>18574.233578520616</v>
          </cell>
          <cell r="L180">
            <v>19269.026287451285</v>
          </cell>
          <cell r="M180">
            <v>19921.754135437663</v>
          </cell>
          <cell r="N180">
            <v>0.1186893559822737</v>
          </cell>
          <cell r="O180">
            <v>0.10758165135444364</v>
          </cell>
          <cell r="P180">
            <v>8.5018887661129527E-2</v>
          </cell>
        </row>
        <row r="181">
          <cell r="B181" t="str">
            <v>Net income - core</v>
          </cell>
          <cell r="C181">
            <v>11181.00000000203</v>
          </cell>
          <cell r="D181">
            <v>10685.850000000002</v>
          </cell>
          <cell r="E181">
            <v>11765</v>
          </cell>
          <cell r="F181">
            <v>12526</v>
          </cell>
          <cell r="G181">
            <v>13214.662404801695</v>
          </cell>
          <cell r="H181">
            <v>14717.478990501962</v>
          </cell>
          <cell r="I181">
            <v>16334.176060342206</v>
          </cell>
          <cell r="J181">
            <v>17811.604453875254</v>
          </cell>
          <cell r="K181">
            <v>18975.233578520616</v>
          </cell>
          <cell r="L181">
            <v>19670.026287451285</v>
          </cell>
          <cell r="M181">
            <v>20322.754135437663</v>
          </cell>
          <cell r="O181">
            <v>7.4371341292211124E-2</v>
          </cell>
          <cell r="P181">
            <v>7.4371341292211124E-2</v>
          </cell>
        </row>
        <row r="183">
          <cell r="B183" t="str">
            <v>Minority interests</v>
          </cell>
          <cell r="C183">
            <v>-225</v>
          </cell>
          <cell r="D183">
            <v>-201</v>
          </cell>
          <cell r="E183">
            <v>-232</v>
          </cell>
          <cell r="F183">
            <v>-208</v>
          </cell>
          <cell r="G183">
            <v>-187.47210300429185</v>
          </cell>
          <cell r="H183">
            <v>-168.16167179354935</v>
          </cell>
          <cell r="I183">
            <v>-150.8402978749005</v>
          </cell>
          <cell r="J183">
            <v>-135.30309981053307</v>
          </cell>
          <cell r="K183">
            <v>-121.36629983004897</v>
          </cell>
          <cell r="L183">
            <v>-108.86505006214693</v>
          </cell>
          <cell r="M183">
            <v>-97.651482673771284</v>
          </cell>
        </row>
        <row r="184">
          <cell r="N184">
            <v>0.11893336581886849</v>
          </cell>
        </row>
        <row r="185">
          <cell r="B185" t="str">
            <v>Net income attributable to Roche shareholders</v>
          </cell>
          <cell r="C185">
            <v>8666.00000000203</v>
          </cell>
          <cell r="D185">
            <v>9343.4000000000015</v>
          </cell>
          <cell r="E185">
            <v>9428</v>
          </cell>
          <cell r="F185">
            <v>11165</v>
          </cell>
          <cell r="G185">
            <v>12626.190301797404</v>
          </cell>
          <cell r="H185">
            <v>14148.317318708414</v>
          </cell>
          <cell r="I185">
            <v>15782.335762467306</v>
          </cell>
          <cell r="J185">
            <v>17275.301354064723</v>
          </cell>
          <cell r="K185">
            <v>18452.867278690566</v>
          </cell>
          <cell r="L185">
            <v>19160.161237389137</v>
          </cell>
          <cell r="M185">
            <v>19824.10265276389</v>
          </cell>
          <cell r="O185">
            <v>7.8086318216997519E-2</v>
          </cell>
          <cell r="P185">
            <v>7.8086318216997519E-2</v>
          </cell>
        </row>
        <row r="186">
          <cell r="B186" t="str">
            <v>% margin</v>
          </cell>
          <cell r="C186">
            <v>0.17625643215981598</v>
          </cell>
          <cell r="D186">
            <v>0.21180652371528513</v>
          </cell>
          <cell r="E186">
            <v>0.19871848916617485</v>
          </cell>
          <cell r="F186">
            <v>0.22967580021393894</v>
          </cell>
          <cell r="G186">
            <v>0.25457613474946139</v>
          </cell>
          <cell r="H186">
            <v>0.26871958312425576</v>
          </cell>
          <cell r="I186">
            <v>0.2829794955789357</v>
          </cell>
          <cell r="J186">
            <v>0.29540888076197969</v>
          </cell>
          <cell r="K186">
            <v>0.3060054849557996</v>
          </cell>
          <cell r="L186">
            <v>0.311745697825621</v>
          </cell>
          <cell r="M186">
            <v>0.31818064230743764</v>
          </cell>
        </row>
        <row r="188">
          <cell r="B188" t="str">
            <v>Basic Shares</v>
          </cell>
          <cell r="C188">
            <v>855</v>
          </cell>
          <cell r="D188">
            <v>849</v>
          </cell>
          <cell r="E188">
            <v>848</v>
          </cell>
          <cell r="F188">
            <v>848</v>
          </cell>
          <cell r="G188">
            <v>848</v>
          </cell>
          <cell r="H188">
            <v>848</v>
          </cell>
          <cell r="I188">
            <v>848</v>
          </cell>
          <cell r="J188">
            <v>848</v>
          </cell>
          <cell r="K188">
            <v>848</v>
          </cell>
          <cell r="L188">
            <v>848</v>
          </cell>
          <cell r="M188">
            <v>848</v>
          </cell>
        </row>
        <row r="189">
          <cell r="B189" t="str">
            <v>Diluted shares</v>
          </cell>
          <cell r="C189">
            <v>857</v>
          </cell>
          <cell r="D189">
            <v>851</v>
          </cell>
          <cell r="E189">
            <v>855</v>
          </cell>
          <cell r="F189">
            <v>863</v>
          </cell>
          <cell r="G189">
            <v>863</v>
          </cell>
          <cell r="H189">
            <v>863</v>
          </cell>
          <cell r="I189">
            <v>863</v>
          </cell>
          <cell r="J189">
            <v>863</v>
          </cell>
          <cell r="K189">
            <v>863</v>
          </cell>
          <cell r="L189">
            <v>863</v>
          </cell>
          <cell r="M189">
            <v>863</v>
          </cell>
          <cell r="N189">
            <v>0.12227470205046131</v>
          </cell>
        </row>
        <row r="191">
          <cell r="B191" t="str">
            <v>Basic EPS (continuing)</v>
          </cell>
          <cell r="C191">
            <v>10.135672514622257</v>
          </cell>
          <cell r="D191">
            <v>11.00518256772674</v>
          </cell>
          <cell r="E191">
            <v>11.116745283018869</v>
          </cell>
          <cell r="F191">
            <v>13.165094339622641</v>
          </cell>
          <cell r="G191">
            <v>14.889375355893165</v>
          </cell>
          <cell r="H191">
            <v>16.684336460741054</v>
          </cell>
          <cell r="I191">
            <v>18.611245002909559</v>
          </cell>
          <cell r="J191">
            <v>20.371817634510286</v>
          </cell>
          <cell r="K191">
            <v>21.760456696569065</v>
          </cell>
          <cell r="L191">
            <v>22.594529761072096</v>
          </cell>
          <cell r="M191">
            <v>23.377479543353644</v>
          </cell>
          <cell r="O191">
            <v>7.8086318216997519E-2</v>
          </cell>
          <cell r="P191">
            <v>7.8086318216997519E-2</v>
          </cell>
        </row>
        <row r="192">
          <cell r="B192" t="str">
            <v>Diluted EPS</v>
          </cell>
          <cell r="C192">
            <v>10.112018669780666</v>
          </cell>
          <cell r="D192">
            <v>10.979318448883667</v>
          </cell>
          <cell r="E192">
            <v>11.025730994152047</v>
          </cell>
          <cell r="F192">
            <v>12.936268829663963</v>
          </cell>
          <cell r="G192">
            <v>14.630579723983086</v>
          </cell>
          <cell r="H192">
            <v>16.394342200125624</v>
          </cell>
          <cell r="I192">
            <v>18.287758705060611</v>
          </cell>
          <cell r="J192">
            <v>20.017730421859468</v>
          </cell>
          <cell r="K192">
            <v>21.382233231391155</v>
          </cell>
          <cell r="L192">
            <v>22.201809081563312</v>
          </cell>
          <cell r="M192">
            <v>22.971150234952365</v>
          </cell>
          <cell r="O192">
            <v>7.8086318216997519E-2</v>
          </cell>
          <cell r="P192">
            <v>7.8086318216997519E-2</v>
          </cell>
        </row>
        <row r="194">
          <cell r="B194" t="str">
            <v>Core EPS</v>
          </cell>
          <cell r="C194">
            <v>12.781796966163396</v>
          </cell>
          <cell r="D194">
            <v>12.302467685076383</v>
          </cell>
          <cell r="E194">
            <v>13.48654970760234</v>
          </cell>
          <cell r="F194">
            <v>14.271147161066049</v>
          </cell>
          <cell r="G194">
            <v>15.095237893160375</v>
          </cell>
          <cell r="H194">
            <v>16.859000369302912</v>
          </cell>
          <cell r="I194">
            <v>18.752416874237898</v>
          </cell>
          <cell r="J194">
            <v>20.482388591036759</v>
          </cell>
          <cell r="K194">
            <v>21.846891400568442</v>
          </cell>
          <cell r="L194">
            <v>22.666467250740599</v>
          </cell>
          <cell r="M194">
            <v>23.435808404129652</v>
          </cell>
          <cell r="O194">
            <v>7.6068692806726901E-2</v>
          </cell>
          <cell r="P194">
            <v>7.6068692806726901E-2</v>
          </cell>
        </row>
        <row r="195">
          <cell r="B195" t="str">
            <v>growth  %</v>
          </cell>
          <cell r="D195">
            <v>-3.7500930609046357E-2</v>
          </cell>
          <cell r="E195">
            <v>9.6247521459643215E-2</v>
          </cell>
          <cell r="F195">
            <v>5.8176291970468474E-2</v>
          </cell>
          <cell r="G195">
            <v>5.7745233988097056E-2</v>
          </cell>
          <cell r="H195">
            <v>0.11684231070924</v>
          </cell>
          <cell r="I195">
            <v>0.11230894260982072</v>
          </cell>
          <cell r="J195">
            <v>9.2253266786933352E-2</v>
          </cell>
          <cell r="K195">
            <v>6.6618344021107001E-2</v>
          </cell>
          <cell r="L195">
            <v>3.7514529419541587E-2</v>
          </cell>
          <cell r="M195">
            <v>3.3941820085082508E-2</v>
          </cell>
          <cell r="N195">
            <v>0.12230820643864893</v>
          </cell>
        </row>
        <row r="196">
          <cell r="N196">
            <v>0.12230820643864893</v>
          </cell>
        </row>
        <row r="197">
          <cell r="B197" t="str">
            <v>DPS</v>
          </cell>
          <cell r="C197">
            <v>6.7001166861143524</v>
          </cell>
          <cell r="D197">
            <v>6.9189189189189193</v>
          </cell>
          <cell r="E197">
            <v>7.35</v>
          </cell>
          <cell r="F197">
            <v>7.8</v>
          </cell>
          <cell r="G197">
            <v>8.58</v>
          </cell>
          <cell r="H197">
            <v>9.4379999999999988</v>
          </cell>
          <cell r="I197">
            <v>9.9099000000000004</v>
          </cell>
          <cell r="J197">
            <v>10.900889999999999</v>
          </cell>
          <cell r="K197">
            <v>11.990978999999998</v>
          </cell>
          <cell r="L197">
            <v>13.190076899999999</v>
          </cell>
          <cell r="M197">
            <v>14.509084589999999</v>
          </cell>
          <cell r="O197">
            <v>9.150430800326026E-2</v>
          </cell>
          <cell r="P197">
            <v>9.150430800326026E-2</v>
          </cell>
        </row>
        <row r="198">
          <cell r="B198" t="str">
            <v>growth  %</v>
          </cell>
          <cell r="D198">
            <v>3.2656480932343079E-2</v>
          </cell>
          <cell r="E198">
            <v>6.2304687499999956E-2</v>
          </cell>
          <cell r="F198">
            <v>6.1224489795918435E-2</v>
          </cell>
          <cell r="G198">
            <v>0.10000000000000009</v>
          </cell>
          <cell r="H198">
            <v>9.9999999999999867E-2</v>
          </cell>
          <cell r="I198">
            <v>5.0000000000000266E-2</v>
          </cell>
          <cell r="J198">
            <v>9.9999999999999867E-2</v>
          </cell>
          <cell r="K198">
            <v>9.9999999999999867E-2</v>
          </cell>
          <cell r="L198">
            <v>0.10000000000000009</v>
          </cell>
          <cell r="M198">
            <v>9.9999999999999867E-2</v>
          </cell>
          <cell r="N198">
            <v>9.5289274430450321E-2</v>
          </cell>
        </row>
      </sheetData>
      <sheetData sheetId="5" refreshError="1"/>
      <sheetData sheetId="6" refreshError="1"/>
      <sheetData sheetId="7" refreshError="1"/>
      <sheetData sheetId="8" refreshError="1"/>
      <sheetData sheetId="9" refreshError="1">
        <row r="2">
          <cell r="A2" t="str">
            <v>Project</v>
          </cell>
          <cell r="B2" t="str">
            <v>Partner</v>
          </cell>
          <cell r="C2" t="str">
            <v>Indication</v>
          </cell>
          <cell r="D2" t="str">
            <v>development stage</v>
          </cell>
          <cell r="J2" t="str">
            <v>Trial</v>
          </cell>
          <cell r="K2" t="str">
            <v>Next exp.</v>
          </cell>
          <cell r="L2" t="str">
            <v>Roche exp.</v>
          </cell>
          <cell r="M2" t="str">
            <v>MS expected</v>
          </cell>
          <cell r="N2" t="str">
            <v>Peak sales</v>
          </cell>
          <cell r="O2" t="str">
            <v>Comments</v>
          </cell>
        </row>
        <row r="3">
          <cell r="D3" t="str">
            <v>PC</v>
          </cell>
          <cell r="E3" t="str">
            <v>I</v>
          </cell>
          <cell r="F3" t="str">
            <v>II</v>
          </cell>
          <cell r="G3" t="str">
            <v>III</v>
          </cell>
          <cell r="H3" t="str">
            <v>F</v>
          </cell>
          <cell r="I3" t="str">
            <v>A</v>
          </cell>
          <cell r="J3" t="str">
            <v>name</v>
          </cell>
          <cell r="K3" t="str">
            <v>data point</v>
          </cell>
          <cell r="L3" t="str">
            <v>filing year</v>
          </cell>
          <cell r="M3" t="str">
            <v>launch year</v>
          </cell>
          <cell r="N3" t="str">
            <v>SFrm</v>
          </cell>
        </row>
        <row r="4">
          <cell r="A4" t="str">
            <v>Oncology</v>
          </cell>
        </row>
        <row r="5">
          <cell r="A5" t="str">
            <v>Avastin</v>
          </cell>
          <cell r="B5" t="str">
            <v>-</v>
          </cell>
          <cell r="C5" t="str">
            <v>Ovarian cancer - front line</v>
          </cell>
          <cell r="I5" t="str">
            <v>EU appr. Q4 11</v>
          </cell>
          <cell r="J5" t="str">
            <v>GOG-0218 (n1873), ICON7 (n=1528)</v>
          </cell>
          <cell r="K5" t="str">
            <v>-</v>
          </cell>
          <cell r="L5" t="str">
            <v>2014 US</v>
          </cell>
          <cell r="M5">
            <v>2015</v>
          </cell>
          <cell r="N5">
            <v>500</v>
          </cell>
          <cell r="O5" t="str">
            <v>OS data from ICON7 @ ECC 2013</v>
          </cell>
        </row>
        <row r="6">
          <cell r="C6" t="str">
            <v>Ovarian cancer - relapsed platinum sensitive</v>
          </cell>
          <cell r="I6" t="str">
            <v>EU appr. Q4 12</v>
          </cell>
          <cell r="J6" t="str">
            <v>OCEANS (n=484)</v>
          </cell>
          <cell r="K6" t="str">
            <v>-</v>
          </cell>
          <cell r="L6" t="str">
            <v>2014 US</v>
          </cell>
          <cell r="M6">
            <v>2015</v>
          </cell>
          <cell r="N6">
            <v>250</v>
          </cell>
          <cell r="O6" t="str">
            <v>data at ASCO 2011</v>
          </cell>
        </row>
        <row r="7">
          <cell r="C7" t="str">
            <v>Ovarian cancer - relapsed resistant sensitive</v>
          </cell>
          <cell r="H7" t="str">
            <v>EU filed Q3 13</v>
          </cell>
          <cell r="J7" t="str">
            <v>AURELIA (n=361)</v>
          </cell>
          <cell r="K7" t="str">
            <v>-</v>
          </cell>
          <cell r="L7" t="str">
            <v>2014 US</v>
          </cell>
          <cell r="M7">
            <v>2015</v>
          </cell>
          <cell r="N7">
            <v>200</v>
          </cell>
          <cell r="O7" t="str">
            <v>PFS data at ASCO 2012, OS data at ECC 2013</v>
          </cell>
        </row>
        <row r="8">
          <cell r="C8" t="str">
            <v>Cervical cancer - stage IVB recurrent/persistent</v>
          </cell>
          <cell r="J8" t="str">
            <v>GOG-240 (n=452)</v>
          </cell>
          <cell r="K8" t="str">
            <v>-</v>
          </cell>
          <cell r="L8">
            <v>2014</v>
          </cell>
          <cell r="M8">
            <v>2015</v>
          </cell>
          <cell r="N8">
            <v>300</v>
          </cell>
          <cell r="O8" t="str">
            <v>data at ASCO 2013</v>
          </cell>
        </row>
        <row r="9">
          <cell r="C9" t="str">
            <v>Carcinoid - high risk</v>
          </cell>
          <cell r="G9" t="str">
            <v>RC</v>
          </cell>
          <cell r="J9" t="str">
            <v>SWOG SO518 (n=424)</v>
          </cell>
          <cell r="K9">
            <v>2015</v>
          </cell>
          <cell r="L9">
            <v>2015</v>
          </cell>
          <cell r="M9">
            <v>2016</v>
          </cell>
          <cell r="N9">
            <v>200</v>
          </cell>
        </row>
        <row r="10">
          <cell r="C10" t="str">
            <v>Glioblastoma - newly diagnosed</v>
          </cell>
          <cell r="H10" t="str">
            <v>EU filed Q1 13</v>
          </cell>
          <cell r="J10" t="str">
            <v>AVAglio (n=920)</v>
          </cell>
          <cell r="K10" t="str">
            <v>-</v>
          </cell>
          <cell r="L10" t="str">
            <v>2015 US</v>
          </cell>
          <cell r="M10" t="str">
            <v>14 EU/16 US</v>
          </cell>
          <cell r="N10">
            <v>200</v>
          </cell>
          <cell r="O10" t="str">
            <v>OS data at ASCO 2013</v>
          </cell>
        </row>
        <row r="11">
          <cell r="C11" t="str">
            <v>Breast cancer - HER2-ve metastatic</v>
          </cell>
          <cell r="G11" t="str">
            <v>FPI Q3 12</v>
          </cell>
          <cell r="J11" t="str">
            <v>MERiDiAN (n=480)</v>
          </cell>
          <cell r="K11">
            <v>2015</v>
          </cell>
          <cell r="L11">
            <v>2015</v>
          </cell>
          <cell r="M11">
            <v>2016</v>
          </cell>
          <cell r="N11">
            <v>300</v>
          </cell>
        </row>
        <row r="12">
          <cell r="C12" t="str">
            <v>Breast cancer - HER2-ve adjuvant</v>
          </cell>
          <cell r="G12" t="str">
            <v>RC Q2 11</v>
          </cell>
          <cell r="J12" t="str">
            <v>ECOG 5103 (n=4950)</v>
          </cell>
          <cell r="K12">
            <v>2014</v>
          </cell>
          <cell r="L12">
            <v>2015</v>
          </cell>
          <cell r="M12">
            <v>2016</v>
          </cell>
          <cell r="N12">
            <v>300</v>
          </cell>
          <cell r="O12" t="str">
            <v>PE: DFS; Failed in HER2+ adjuvant (BETH, data in Q4 13)</v>
          </cell>
        </row>
        <row r="13">
          <cell r="C13" t="str">
            <v>Lung cancer - adjuvant</v>
          </cell>
          <cell r="G13" t="str">
            <v>RC Q4 13</v>
          </cell>
          <cell r="J13" t="str">
            <v>ECOG 1505 (n=1500)</v>
          </cell>
          <cell r="K13">
            <v>2016</v>
          </cell>
          <cell r="L13" t="str">
            <v>2017 and &gt;</v>
          </cell>
          <cell r="M13">
            <v>2018</v>
          </cell>
          <cell r="N13">
            <v>850</v>
          </cell>
          <cell r="O13" t="str">
            <v>up to 12m of Avastin treatment; PE: OS</v>
          </cell>
        </row>
        <row r="14">
          <cell r="A14" t="str">
            <v>Gazyva (GA101)</v>
          </cell>
          <cell r="B14" t="str">
            <v>Biogen Idec</v>
          </cell>
          <cell r="C14" t="str">
            <v>chronic lymphocytic CLL - 1st line or 2nd line</v>
          </cell>
          <cell r="G14" t="str">
            <v>FPI Q4 13</v>
          </cell>
          <cell r="J14" t="str">
            <v>GREEN (n=800)</v>
          </cell>
          <cell r="K14">
            <v>2015</v>
          </cell>
          <cell r="L14" t="str">
            <v>-</v>
          </cell>
          <cell r="M14">
            <v>2017</v>
          </cell>
          <cell r="N14">
            <v>1500</v>
          </cell>
          <cell r="O14" t="str">
            <v>single arm trial; US approved in 1st line in Q4 13 (CLL11 trial)</v>
          </cell>
        </row>
        <row r="15">
          <cell r="C15" t="str">
            <v>CLL - 1st line</v>
          </cell>
          <cell r="E15" t="str">
            <v>RC</v>
          </cell>
          <cell r="J15" t="str">
            <v>GALTON (n=41)</v>
          </cell>
          <cell r="K15">
            <v>2014</v>
          </cell>
          <cell r="L15">
            <v>2014</v>
          </cell>
          <cell r="M15">
            <v>2015</v>
          </cell>
          <cell r="N15" t="str">
            <v>-</v>
          </cell>
          <cell r="O15" t="str">
            <v>data at ASH 2013</v>
          </cell>
        </row>
        <row r="16">
          <cell r="C16" t="str">
            <v>DLBCL diffuse large B-cell lymphoma</v>
          </cell>
          <cell r="G16" t="str">
            <v>FPI Q3 11</v>
          </cell>
          <cell r="J16" t="str">
            <v>GOYA (n=1400)</v>
          </cell>
          <cell r="K16">
            <v>2015</v>
          </cell>
          <cell r="L16">
            <v>2016</v>
          </cell>
          <cell r="M16">
            <v>2017</v>
          </cell>
          <cell r="N16">
            <v>500</v>
          </cell>
          <cell r="O16" t="str">
            <v>PE: PFS</v>
          </cell>
        </row>
        <row r="17">
          <cell r="C17" t="str">
            <v>NHL - Mabthera/Rituxan indolent refractory</v>
          </cell>
          <cell r="G17" t="str">
            <v>FPI Q2 10</v>
          </cell>
          <cell r="J17" t="str">
            <v>GADOLIN (n=410)</v>
          </cell>
          <cell r="K17">
            <v>2017</v>
          </cell>
          <cell r="L17" t="str">
            <v>2017 and &gt;</v>
          </cell>
          <cell r="M17">
            <v>2018</v>
          </cell>
          <cell r="N17">
            <v>2000</v>
          </cell>
          <cell r="O17" t="str">
            <v>PE: PFS</v>
          </cell>
        </row>
        <row r="18">
          <cell r="C18" t="str">
            <v>NHL - indolent front line</v>
          </cell>
          <cell r="G18" t="str">
            <v>FPI Q3 11</v>
          </cell>
          <cell r="J18" t="str">
            <v>GALLIUM (n=1400)</v>
          </cell>
          <cell r="K18">
            <v>2017</v>
          </cell>
          <cell r="L18" t="str">
            <v>2017 and &gt;</v>
          </cell>
          <cell r="M18">
            <v>2019</v>
          </cell>
          <cell r="N18">
            <v>3000</v>
          </cell>
          <cell r="O18" t="str">
            <v>PE: PFS</v>
          </cell>
        </row>
      </sheetData>
      <sheetData sheetId="10" refreshError="1"/>
      <sheetData sheetId="11" refreshError="1">
        <row r="1">
          <cell r="A1" t="str">
            <v>SFrm</v>
          </cell>
          <cell r="B1">
            <v>2013</v>
          </cell>
          <cell r="C1">
            <v>2014</v>
          </cell>
          <cell r="D1">
            <v>2015</v>
          </cell>
          <cell r="E1">
            <v>2016</v>
          </cell>
          <cell r="F1">
            <v>2017</v>
          </cell>
          <cell r="G1">
            <v>2018</v>
          </cell>
          <cell r="H1">
            <v>2019</v>
          </cell>
          <cell r="I1">
            <v>2020</v>
          </cell>
          <cell r="J1">
            <v>2021</v>
          </cell>
          <cell r="K1">
            <v>2022</v>
          </cell>
          <cell r="L1">
            <v>2023</v>
          </cell>
          <cell r="M1">
            <v>2024</v>
          </cell>
          <cell r="N1">
            <v>2025</v>
          </cell>
        </row>
        <row r="2">
          <cell r="A2" t="str">
            <v>Sales</v>
          </cell>
          <cell r="B2">
            <v>46780</v>
          </cell>
          <cell r="C2">
            <v>47656.243366979776</v>
          </cell>
          <cell r="D2">
            <v>50585.798946788818</v>
          </cell>
          <cell r="E2">
            <v>53580.435330470747</v>
          </cell>
          <cell r="F2">
            <v>56260.396133602662</v>
          </cell>
          <cell r="G2">
            <v>58016.404099065738</v>
          </cell>
          <cell r="H2">
            <v>59138.271641877196</v>
          </cell>
          <cell r="I2">
            <v>59960.142820799854</v>
          </cell>
          <cell r="J2">
            <v>61758.947105423853</v>
          </cell>
          <cell r="K2">
            <v>63611.71551858657</v>
          </cell>
          <cell r="L2">
            <v>65520.06698414417</v>
          </cell>
          <cell r="M2">
            <v>67485.6689936685</v>
          </cell>
          <cell r="N2">
            <v>69510.239063478555</v>
          </cell>
        </row>
        <row r="3">
          <cell r="A3" t="str">
            <v>growth %</v>
          </cell>
          <cell r="B3">
            <v>2.8088529418228925E-2</v>
          </cell>
          <cell r="C3">
            <v>1.8731153633599229E-2</v>
          </cell>
          <cell r="D3">
            <v>6.1472650230733006E-2</v>
          </cell>
          <cell r="E3">
            <v>5.9199151659776739E-2</v>
          </cell>
          <cell r="F3">
            <v>5.0017525736821389E-2</v>
          </cell>
          <cell r="G3">
            <v>3.1212150751534828E-2</v>
          </cell>
          <cell r="H3">
            <v>1.9337074750372718E-2</v>
          </cell>
          <cell r="I3">
            <v>1.3897450096270081E-2</v>
          </cell>
          <cell r="J3">
            <v>0.03</v>
          </cell>
          <cell r="K3">
            <v>0.03</v>
          </cell>
          <cell r="L3">
            <v>0.03</v>
          </cell>
          <cell r="M3">
            <v>0.03</v>
          </cell>
          <cell r="N3">
            <v>0.03</v>
          </cell>
        </row>
        <row r="4">
          <cell r="A4" t="str">
            <v>Adjusted EBITDA</v>
          </cell>
          <cell r="B4">
            <v>19818</v>
          </cell>
          <cell r="C4">
            <v>20284.222780311138</v>
          </cell>
          <cell r="D4">
            <v>21956.741420687671</v>
          </cell>
          <cell r="E4">
            <v>23889.586131859105</v>
          </cell>
          <cell r="F4">
            <v>25664.648456600713</v>
          </cell>
          <cell r="G4">
            <v>26971.761610109308</v>
          </cell>
          <cell r="H4">
            <v>27824.138264151119</v>
          </cell>
          <cell r="I4">
            <v>28375.13434805717</v>
          </cell>
          <cell r="J4">
            <v>29188.298312405946</v>
          </cell>
          <cell r="K4">
            <v>30195.878954090971</v>
          </cell>
          <cell r="L4">
            <v>31227.360308305801</v>
          </cell>
          <cell r="M4">
            <v>32283.459396426322</v>
          </cell>
          <cell r="N4">
            <v>33364.914750469703</v>
          </cell>
        </row>
        <row r="5">
          <cell r="A5" t="str">
            <v>% of sales</v>
          </cell>
          <cell r="B5">
            <v>0.42364258230012825</v>
          </cell>
          <cell r="C5">
            <v>0.42563620938627617</v>
          </cell>
          <cell r="D5">
            <v>0.43404951345700715</v>
          </cell>
          <cell r="E5">
            <v>0.44586397972532515</v>
          </cell>
          <cell r="F5">
            <v>0.45617610646847156</v>
          </cell>
          <cell r="G5">
            <v>0.46489888556439585</v>
          </cell>
          <cell r="H5">
            <v>0.47049292263130993</v>
          </cell>
          <cell r="I5">
            <v>0.47323326818717965</v>
          </cell>
          <cell r="J5">
            <v>0.47261651437452279</v>
          </cell>
          <cell r="K5">
            <v>0.47469053000572042</v>
          </cell>
          <cell r="L5">
            <v>0.47660757605548248</v>
          </cell>
          <cell r="M5">
            <v>0.47837503692013711</v>
          </cell>
          <cell r="N5">
            <v>0.47999999999999993</v>
          </cell>
        </row>
        <row r="6">
          <cell r="A6" t="str">
            <v>Adjusted EBITA</v>
          </cell>
          <cell r="B6">
            <v>17904</v>
          </cell>
          <cell r="C6">
            <v>18364.492492691545</v>
          </cell>
          <cell r="D6">
            <v>19926.019109750177</v>
          </cell>
          <cell r="E6">
            <v>21744.522801526215</v>
          </cell>
          <cell r="F6">
            <v>23420.805756598846</v>
          </cell>
          <cell r="G6">
            <v>24654.762691625117</v>
          </cell>
          <cell r="H6">
            <v>25451.269412825983</v>
          </cell>
          <cell r="I6">
            <v>25954.073515008542</v>
          </cell>
          <cell r="J6">
            <v>26556.347255332257</v>
          </cell>
          <cell r="K6">
            <v>27353.037672992225</v>
          </cell>
          <cell r="L6">
            <v>28173.628803181993</v>
          </cell>
          <cell r="M6">
            <v>29018.837667277454</v>
          </cell>
          <cell r="N6">
            <v>29889.402797295777</v>
          </cell>
        </row>
        <row r="7">
          <cell r="A7" t="str">
            <v>% of sales</v>
          </cell>
          <cell r="B7">
            <v>0.38272766139375802</v>
          </cell>
          <cell r="C7">
            <v>0.38535333872782762</v>
          </cell>
          <cell r="D7">
            <v>0.39390539488583248</v>
          </cell>
          <cell r="E7">
            <v>0.40582952839803238</v>
          </cell>
          <cell r="F7">
            <v>0.41629294079232931</v>
          </cell>
          <cell r="G7">
            <v>0.42496192369189156</v>
          </cell>
          <cell r="H7">
            <v>0.43036884078978294</v>
          </cell>
          <cell r="I7">
            <v>0.43285543185873154</v>
          </cell>
          <cell r="J7">
            <v>0.43</v>
          </cell>
          <cell r="K7">
            <v>0.43</v>
          </cell>
          <cell r="L7">
            <v>0.43</v>
          </cell>
          <cell r="M7">
            <v>0.43</v>
          </cell>
          <cell r="N7">
            <v>0.43</v>
          </cell>
        </row>
        <row r="8">
          <cell r="A8" t="str">
            <v>Tax</v>
          </cell>
          <cell r="B8">
            <v>-4064.7217525455108</v>
          </cell>
          <cell r="C8">
            <v>-4282.7948532281116</v>
          </cell>
          <cell r="D8">
            <v>-4630.4126589538546</v>
          </cell>
          <cell r="E8">
            <v>-5037.249702216438</v>
          </cell>
          <cell r="F8">
            <v>-5412.7420186812988</v>
          </cell>
          <cell r="G8">
            <v>-5688.7528235883801</v>
          </cell>
          <cell r="H8">
            <v>-5867.4157192716684</v>
          </cell>
          <cell r="I8">
            <v>-5978.7475241369439</v>
          </cell>
          <cell r="J8">
            <v>-6107.9598687264197</v>
          </cell>
          <cell r="K8">
            <v>-6291.1986647882122</v>
          </cell>
          <cell r="L8">
            <v>-6479.934624731859</v>
          </cell>
          <cell r="M8">
            <v>-6674.332663473815</v>
          </cell>
          <cell r="N8">
            <v>-6874.562643378029</v>
          </cell>
        </row>
        <row r="9">
          <cell r="A9" t="str">
            <v>Tax rate %</v>
          </cell>
          <cell r="B9">
            <v>0.22702869484726937</v>
          </cell>
          <cell r="C9">
            <v>0.23321062942156015</v>
          </cell>
          <cell r="D9">
            <v>0.23238021771684972</v>
          </cell>
          <cell r="E9">
            <v>0.23165602428685539</v>
          </cell>
          <cell r="F9">
            <v>0.23110827504968531</v>
          </cell>
          <cell r="G9">
            <v>0.2307364664077976</v>
          </cell>
          <cell r="H9">
            <v>0.23053528781219954</v>
          </cell>
          <cell r="I9">
            <v>0.23035873427266032</v>
          </cell>
          <cell r="J9">
            <v>0.23</v>
          </cell>
          <cell r="K9">
            <v>0.23</v>
          </cell>
          <cell r="L9">
            <v>0.23</v>
          </cell>
          <cell r="M9">
            <v>0.23</v>
          </cell>
          <cell r="N9">
            <v>0.23</v>
          </cell>
        </row>
        <row r="10">
          <cell r="A10" t="str">
            <v>NOPAT</v>
          </cell>
          <cell r="B10">
            <v>13839.278247454489</v>
          </cell>
          <cell r="C10">
            <v>14081.697639463433</v>
          </cell>
          <cell r="D10">
            <v>15295.606450796324</v>
          </cell>
          <cell r="E10">
            <v>16707.273099309776</v>
          </cell>
          <cell r="F10">
            <v>18008.063737917546</v>
          </cell>
          <cell r="G10">
            <v>18966.009868036737</v>
          </cell>
          <cell r="H10">
            <v>19583.853693554316</v>
          </cell>
          <cell r="I10">
            <v>19975.325990871599</v>
          </cell>
          <cell r="J10">
            <v>20448.387386605838</v>
          </cell>
          <cell r="K10">
            <v>21061.839008204013</v>
          </cell>
          <cell r="L10">
            <v>21693.694178450132</v>
          </cell>
          <cell r="M10">
            <v>22344.505003803639</v>
          </cell>
          <cell r="N10">
            <v>23014.84015391775</v>
          </cell>
        </row>
        <row r="12">
          <cell r="A12" t="str">
            <v>Depreciation</v>
          </cell>
          <cell r="B12">
            <v>1914</v>
          </cell>
          <cell r="C12">
            <v>1919.7302876195943</v>
          </cell>
          <cell r="D12">
            <v>2030.7223109374931</v>
          </cell>
          <cell r="E12">
            <v>2145.06333033289</v>
          </cell>
          <cell r="F12">
            <v>2243.8427000018655</v>
          </cell>
          <cell r="G12">
            <v>2316.9989184841893</v>
          </cell>
          <cell r="H12">
            <v>2372.8688513251368</v>
          </cell>
          <cell r="I12">
            <v>2421.0608330486293</v>
          </cell>
          <cell r="J12">
            <v>2631.9510570736888</v>
          </cell>
          <cell r="K12">
            <v>2842.8412810987484</v>
          </cell>
          <cell r="L12">
            <v>3053.7315051238079</v>
          </cell>
          <cell r="M12">
            <v>3264.6217291488674</v>
          </cell>
          <cell r="N12">
            <v>3475.5119531739279</v>
          </cell>
        </row>
        <row r="13">
          <cell r="A13" t="str">
            <v>% of sales</v>
          </cell>
          <cell r="B13">
            <v>4.0914920906370243E-2</v>
          </cell>
          <cell r="C13">
            <v>4.0282870658448579E-2</v>
          </cell>
          <cell r="D13">
            <v>4.014411857117467E-2</v>
          </cell>
          <cell r="E13">
            <v>4.0034451327292789E-2</v>
          </cell>
          <cell r="F13">
            <v>3.988316567614221E-2</v>
          </cell>
          <cell r="G13">
            <v>3.9936961872504277E-2</v>
          </cell>
          <cell r="H13">
            <v>4.0124081841527014E-2</v>
          </cell>
          <cell r="I13">
            <v>4.0377836328448109E-2</v>
          </cell>
          <cell r="J13">
            <v>4.2616514374522796E-2</v>
          </cell>
          <cell r="K13">
            <v>4.4690530005720479E-2</v>
          </cell>
          <cell r="L13">
            <v>4.6607576055482505E-2</v>
          </cell>
          <cell r="M13">
            <v>4.8375036920137129E-2</v>
          </cell>
          <cell r="N13">
            <v>0.05</v>
          </cell>
        </row>
        <row r="14">
          <cell r="A14" t="str">
            <v>WCR</v>
          </cell>
          <cell r="B14">
            <v>5837</v>
          </cell>
          <cell r="C14">
            <v>6492.4549063527102</v>
          </cell>
          <cell r="D14">
            <v>7834.6320877208582</v>
          </cell>
          <cell r="E14">
            <v>8392.3847145644577</v>
          </cell>
          <cell r="F14">
            <v>8891.5288463628294</v>
          </cell>
          <cell r="G14">
            <v>9218.586268369816</v>
          </cell>
          <cell r="H14">
            <v>9427.5346977628833</v>
          </cell>
          <cell r="I14">
            <v>9580.6086440586787</v>
          </cell>
          <cell r="J14">
            <v>9263.8420658135783</v>
          </cell>
          <cell r="K14">
            <v>9541.7573277879856</v>
          </cell>
          <cell r="L14">
            <v>9828.0100476216248</v>
          </cell>
          <cell r="M14">
            <v>10122.850349050275</v>
          </cell>
          <cell r="N14">
            <v>10426.535859521782</v>
          </cell>
        </row>
        <row r="15">
          <cell r="A15" t="str">
            <v>Change in WCR</v>
          </cell>
          <cell r="B15">
            <v>222</v>
          </cell>
          <cell r="C15">
            <v>-655.45490635271017</v>
          </cell>
          <cell r="D15">
            <v>-1342.177181368148</v>
          </cell>
          <cell r="E15">
            <v>-557.7526268435995</v>
          </cell>
          <cell r="F15">
            <v>-499.14413179837175</v>
          </cell>
          <cell r="G15">
            <v>-327.0574220069866</v>
          </cell>
          <cell r="H15">
            <v>-208.94842939306727</v>
          </cell>
          <cell r="I15">
            <v>-153.07394629579539</v>
          </cell>
          <cell r="J15">
            <v>316.76657824510039</v>
          </cell>
          <cell r="K15">
            <v>-277.91526197440726</v>
          </cell>
          <cell r="L15">
            <v>-286.25271983363928</v>
          </cell>
          <cell r="M15">
            <v>-294.84030142865049</v>
          </cell>
          <cell r="N15">
            <v>-303.68551047150686</v>
          </cell>
        </row>
        <row r="16">
          <cell r="A16" t="str">
            <v>% of sales</v>
          </cell>
          <cell r="B16">
            <v>0.12477554510474562</v>
          </cell>
          <cell r="C16">
            <v>0.13623513830826256</v>
          </cell>
          <cell r="D16">
            <v>0.15487809327598254</v>
          </cell>
          <cell r="E16">
            <v>0.15663151414881801</v>
          </cell>
          <cell r="F16">
            <v>0.15804241451211865</v>
          </cell>
          <cell r="G16">
            <v>0.15889620205741545</v>
          </cell>
          <cell r="H16">
            <v>0.15941512046299008</v>
          </cell>
          <cell r="I16">
            <v>0.15978295236373613</v>
          </cell>
          <cell r="J16">
            <v>0.15</v>
          </cell>
          <cell r="K16">
            <v>0.15</v>
          </cell>
          <cell r="L16">
            <v>0.15</v>
          </cell>
          <cell r="M16">
            <v>0.15</v>
          </cell>
          <cell r="N16">
            <v>0.15</v>
          </cell>
        </row>
        <row r="17">
          <cell r="A17" t="str">
            <v>Capex</v>
          </cell>
          <cell r="B17">
            <v>-2854</v>
          </cell>
          <cell r="C17">
            <v>-2859.3746020187864</v>
          </cell>
          <cell r="D17">
            <v>-3035.1479368073292</v>
          </cell>
          <cell r="E17">
            <v>-2946.9239431758911</v>
          </cell>
          <cell r="F17">
            <v>-3094.3217873481462</v>
          </cell>
          <cell r="G17">
            <v>-3190.9022254486158</v>
          </cell>
          <cell r="H17">
            <v>-3252.6049403032457</v>
          </cell>
          <cell r="I17">
            <v>-3297.8078551439921</v>
          </cell>
          <cell r="J17">
            <v>-3087.9473552711929</v>
          </cell>
          <cell r="K17">
            <v>-3180.5857759293285</v>
          </cell>
          <cell r="L17">
            <v>-3276.0033492072089</v>
          </cell>
          <cell r="M17">
            <v>-3374.2834496834253</v>
          </cell>
          <cell r="N17">
            <v>-3475.5119531739279</v>
          </cell>
        </row>
        <row r="18">
          <cell r="A18" t="str">
            <v>% of sales</v>
          </cell>
          <cell r="B18">
            <v>6.1008978195810172E-2</v>
          </cell>
          <cell r="C18">
            <v>0.06</v>
          </cell>
          <cell r="D18">
            <v>6.0000000000000005E-2</v>
          </cell>
          <cell r="E18">
            <v>5.5E-2</v>
          </cell>
          <cell r="F18">
            <v>5.4999999999999993E-2</v>
          </cell>
          <cell r="G18">
            <v>5.5000000000000007E-2</v>
          </cell>
          <cell r="H18">
            <v>5.5E-2</v>
          </cell>
          <cell r="I18">
            <v>5.5E-2</v>
          </cell>
          <cell r="J18">
            <v>0.05</v>
          </cell>
          <cell r="K18">
            <v>0.05</v>
          </cell>
          <cell r="L18">
            <v>0.05</v>
          </cell>
          <cell r="M18">
            <v>0.05</v>
          </cell>
          <cell r="N18">
            <v>0.05</v>
          </cell>
        </row>
        <row r="19">
          <cell r="A19" t="str">
            <v>Operating FCF</v>
          </cell>
          <cell r="B19">
            <v>13121.278247454489</v>
          </cell>
          <cell r="C19">
            <v>12486.59841871153</v>
          </cell>
          <cell r="D19">
            <v>12949.003643558341</v>
          </cell>
          <cell r="E19">
            <v>15347.659859623178</v>
          </cell>
          <cell r="F19">
            <v>16658.440518772892</v>
          </cell>
          <cell r="G19">
            <v>17765.049139065326</v>
          </cell>
          <cell r="H19">
            <v>18495.169175183139</v>
          </cell>
          <cell r="I19">
            <v>18945.505022480444</v>
          </cell>
          <cell r="J19">
            <v>20309.157666653435</v>
          </cell>
          <cell r="K19">
            <v>20446.179251399029</v>
          </cell>
          <cell r="L19">
            <v>21185.169614533093</v>
          </cell>
          <cell r="M19">
            <v>21940.002981840429</v>
          </cell>
          <cell r="N19">
            <v>22711.154643446243</v>
          </cell>
        </row>
        <row r="21">
          <cell r="A21" t="str">
            <v>Year</v>
          </cell>
          <cell r="C21">
            <v>0.80547945205479454</v>
          </cell>
          <cell r="D21">
            <v>1.8054794520547945</v>
          </cell>
          <cell r="E21">
            <v>2.8054794520547945</v>
          </cell>
          <cell r="F21">
            <v>3.8054794520547945</v>
          </cell>
          <cell r="G21">
            <v>4.8054794520547945</v>
          </cell>
          <cell r="H21">
            <v>5.8054794520547945</v>
          </cell>
          <cell r="I21">
            <v>6.8054794520547945</v>
          </cell>
          <cell r="J21">
            <v>7.8054794520547945</v>
          </cell>
          <cell r="K21">
            <v>8.8054794520547937</v>
          </cell>
          <cell r="L21">
            <v>9.8054794520547937</v>
          </cell>
          <cell r="M21">
            <v>10.805479452054794</v>
          </cell>
          <cell r="N21">
            <v>11.805479452054794</v>
          </cell>
        </row>
        <row r="22">
          <cell r="A22" t="str">
            <v>Discount factor</v>
          </cell>
          <cell r="C22">
            <v>0.94677559775620701</v>
          </cell>
          <cell r="D22">
            <v>0.88462224591440031</v>
          </cell>
          <cell r="E22">
            <v>0.8265490997246262</v>
          </cell>
          <cell r="F22">
            <v>0.77228830431390472</v>
          </cell>
          <cell r="G22">
            <v>0.72158958878396096</v>
          </cell>
          <cell r="H22">
            <v>0.67421911186908934</v>
          </cell>
          <cell r="I22">
            <v>0.62995838337357057</v>
          </cell>
          <cell r="J22">
            <v>0.58860325641391342</v>
          </cell>
          <cell r="K22">
            <v>0.54996298581776804</v>
          </cell>
          <cell r="L22">
            <v>0.51385934833649871</v>
          </cell>
          <cell r="M22">
            <v>0.48012582061350817</v>
          </cell>
          <cell r="N22">
            <v>0.44860681111680201</v>
          </cell>
        </row>
        <row r="23">
          <cell r="A23" t="str">
            <v>Operating FCF - Present value</v>
          </cell>
          <cell r="C23">
            <v>11822.006681817318</v>
          </cell>
          <cell r="D23">
            <v>11454.976685518332</v>
          </cell>
          <cell r="E23">
            <v>12685.59443985132</v>
          </cell>
          <cell r="F23">
            <v>12865.11878075716</v>
          </cell>
          <cell r="G23">
            <v>12819.074502985008</v>
          </cell>
          <cell r="H23">
            <v>12469.796535160533</v>
          </cell>
          <cell r="I23">
            <v>11934.879716157642</v>
          </cell>
          <cell r="J23">
            <v>11954.036337615807</v>
          </cell>
          <cell r="K23">
            <v>11244.641789664707</v>
          </cell>
          <cell r="L23">
            <v>10886.197452522169</v>
          </cell>
          <cell r="M23">
            <v>10533.961935918953</v>
          </cell>
          <cell r="N23">
            <v>10188.37866137697</v>
          </cell>
        </row>
        <row r="24">
          <cell r="N24">
            <v>145010.14260008535</v>
          </cell>
        </row>
        <row r="25">
          <cell r="A25" t="str">
            <v>Operating FCF - Sum of PV</v>
          </cell>
          <cell r="B25">
            <v>140858.66351934592</v>
          </cell>
        </row>
        <row r="26">
          <cell r="A26" t="str">
            <v>Terminal value - PV</v>
          </cell>
          <cell r="B26">
            <v>145010.14260008535</v>
          </cell>
          <cell r="J26" t="str">
            <v>WACC</v>
          </cell>
        </row>
        <row r="27">
          <cell r="A27" t="str">
            <v>Enterprise Value</v>
          </cell>
          <cell r="B27">
            <v>285868.80611943128</v>
          </cell>
          <cell r="G27">
            <v>317.21762006886593</v>
          </cell>
          <cell r="H27">
            <v>6.5000000000000002E-2</v>
          </cell>
          <cell r="I27">
            <v>6.8000000000000005E-2</v>
          </cell>
          <cell r="J27">
            <v>7.0400000000000004E-2</v>
          </cell>
          <cell r="K27">
            <v>7.4999999999999997E-2</v>
          </cell>
          <cell r="L27">
            <v>0.08</v>
          </cell>
        </row>
        <row r="28">
          <cell r="G28">
            <v>-1.4999999999999999E-2</v>
          </cell>
          <cell r="H28">
            <v>308.27653219923042</v>
          </cell>
          <cell r="I28">
            <v>294.96385348692974</v>
          </cell>
          <cell r="J28">
            <v>285.01314386183378</v>
          </cell>
          <cell r="K28">
            <v>267.4838031136793</v>
          </cell>
          <cell r="L28">
            <v>250.43655178440767</v>
          </cell>
        </row>
        <row r="29">
          <cell r="A29" t="str">
            <v>Provisions, liabilities</v>
          </cell>
          <cell r="B29">
            <v>8973</v>
          </cell>
          <cell r="G29">
            <v>-0.01</v>
          </cell>
          <cell r="H29">
            <v>319.38160852637861</v>
          </cell>
          <cell r="I29">
            <v>304.94774019311888</v>
          </cell>
          <cell r="J29">
            <v>294.20122290399541</v>
          </cell>
          <cell r="K29">
            <v>275.35704279830776</v>
          </cell>
          <cell r="L29">
            <v>257.13651788356094</v>
          </cell>
        </row>
        <row r="30">
          <cell r="A30" t="str">
            <v>Net Debt (cash)</v>
          </cell>
          <cell r="B30">
            <v>6708</v>
          </cell>
          <cell r="F30" t="str">
            <v>infinity</v>
          </cell>
          <cell r="G30">
            <v>0</v>
          </cell>
          <cell r="H30">
            <v>346.71718102397415</v>
          </cell>
          <cell r="I30">
            <v>329.32016950528634</v>
          </cell>
          <cell r="J30">
            <v>316.49275558014875</v>
          </cell>
          <cell r="K30">
            <v>294.25281804141594</v>
          </cell>
          <cell r="L30">
            <v>273.0489373690499</v>
          </cell>
        </row>
        <row r="31">
          <cell r="A31" t="str">
            <v>Minorities, revalued investments</v>
          </cell>
          <cell r="B31">
            <v>-3571</v>
          </cell>
          <cell r="F31" t="str">
            <v>rate</v>
          </cell>
          <cell r="G31">
            <v>0.01</v>
          </cell>
          <cell r="H31">
            <v>383.99296170251358</v>
          </cell>
          <cell r="I31">
            <v>362.09688478716669</v>
          </cell>
          <cell r="J31">
            <v>346.16559046694903</v>
          </cell>
          <cell r="K31">
            <v>318.96267797471131</v>
          </cell>
          <cell r="L31">
            <v>293.50776242182144</v>
          </cell>
        </row>
        <row r="32">
          <cell r="A32" t="str">
            <v>Market capitalisation</v>
          </cell>
          <cell r="B32">
            <v>273758.80611943128</v>
          </cell>
          <cell r="G32">
            <v>1.4999999999999999E-2</v>
          </cell>
          <cell r="H32">
            <v>408.22221914356413</v>
          </cell>
          <cell r="I32">
            <v>383.12345685478817</v>
          </cell>
          <cell r="J32">
            <v>365.01908844556573</v>
          </cell>
          <cell r="K32">
            <v>334.40634043302083</v>
          </cell>
          <cell r="L32">
            <v>306.09780860814243</v>
          </cell>
        </row>
        <row r="34">
          <cell r="A34" t="str">
            <v>Shares outstanding</v>
          </cell>
          <cell r="B34">
            <v>863</v>
          </cell>
        </row>
        <row r="35">
          <cell r="A35" t="str">
            <v>Equity value per share</v>
          </cell>
          <cell r="B35">
            <v>317.21762006886593</v>
          </cell>
        </row>
      </sheetData>
      <sheetData sheetId="12" refreshError="1">
        <row r="1">
          <cell r="A1" t="str">
            <v>EV/EBIT</v>
          </cell>
          <cell r="B1">
            <v>2014</v>
          </cell>
          <cell r="C1">
            <v>2015</v>
          </cell>
          <cell r="D1">
            <v>2016</v>
          </cell>
          <cell r="E1">
            <v>2017</v>
          </cell>
          <cell r="F1" t="str">
            <v>14-17 avge</v>
          </cell>
        </row>
        <row r="2">
          <cell r="A2" t="str">
            <v>Pharmaceuticals</v>
          </cell>
        </row>
        <row r="3">
          <cell r="A3" t="str">
            <v>EBIT - SFrm</v>
          </cell>
          <cell r="B3">
            <v>16541.837023035027</v>
          </cell>
          <cell r="C3">
            <v>17935.451090694482</v>
          </cell>
          <cell r="D3">
            <v>19636.598330068497</v>
          </cell>
          <cell r="E3">
            <v>21181.979070051308</v>
          </cell>
        </row>
        <row r="4">
          <cell r="A4" t="str">
            <v>multiple</v>
          </cell>
          <cell r="B4">
            <v>14.504651319116096</v>
          </cell>
          <cell r="C4">
            <v>13.257365583315757</v>
          </cell>
          <cell r="D4">
            <v>12.387948868575055</v>
          </cell>
          <cell r="E4">
            <v>11.3</v>
          </cell>
        </row>
        <row r="5">
          <cell r="A5" t="str">
            <v>value</v>
          </cell>
          <cell r="B5">
            <v>239933.57819676847</v>
          </cell>
          <cell r="C5">
            <v>237776.83201101606</v>
          </cell>
          <cell r="D5">
            <v>243257.17606563485</v>
          </cell>
          <cell r="E5">
            <v>239356.3634915798</v>
          </cell>
        </row>
        <row r="6">
          <cell r="A6" t="str">
            <v>Diagnostics</v>
          </cell>
        </row>
        <row r="7">
          <cell r="A7" t="str">
            <v>EBIT - SFrm</v>
          </cell>
          <cell r="B7">
            <v>2203.905416592354</v>
          </cell>
          <cell r="C7">
            <v>2344.6686116832179</v>
          </cell>
          <cell r="D7">
            <v>2482.987518771014</v>
          </cell>
          <cell r="E7">
            <v>2632.6494594827582</v>
          </cell>
        </row>
        <row r="8">
          <cell r="A8" t="str">
            <v>multiple</v>
          </cell>
          <cell r="B8">
            <v>14.909318945227865</v>
          </cell>
          <cell r="C8">
            <v>13.341129897645551</v>
          </cell>
          <cell r="D8">
            <v>12.393770053646511</v>
          </cell>
          <cell r="E8">
            <v>11.782653646540016</v>
          </cell>
        </row>
        <row r="9">
          <cell r="A9" t="str">
            <v>value</v>
          </cell>
          <cell r="B9">
            <v>32858.728781090693</v>
          </cell>
          <cell r="C9">
            <v>31280.528515398066</v>
          </cell>
          <cell r="D9">
            <v>30773.576353722248</v>
          </cell>
          <cell r="E9">
            <v>31019.596753836122</v>
          </cell>
        </row>
        <row r="10">
          <cell r="A10" t="str">
            <v>Corporate</v>
          </cell>
        </row>
        <row r="11">
          <cell r="A11" t="str">
            <v>EBIT - SFrm</v>
          </cell>
          <cell r="B11">
            <v>-381.24994693583824</v>
          </cell>
          <cell r="C11">
            <v>-354.10059262752173</v>
          </cell>
          <cell r="D11">
            <v>-375.06304731329521</v>
          </cell>
          <cell r="E11">
            <v>-393.82277293521867</v>
          </cell>
        </row>
        <row r="12">
          <cell r="A12" t="str">
            <v>value</v>
          </cell>
          <cell r="B12">
            <v>-5529.8975457358474</v>
          </cell>
          <cell r="C12">
            <v>-4694.4410097318196</v>
          </cell>
          <cell r="D12">
            <v>-4646.2618526090482</v>
          </cell>
          <cell r="E12">
            <v>-4450.1973341679713</v>
          </cell>
        </row>
        <row r="13">
          <cell r="A13" t="str">
            <v>Group  Entreprise value SFrm</v>
          </cell>
          <cell r="B13">
            <v>267262.4094321233</v>
          </cell>
          <cell r="C13">
            <v>264362.91951668228</v>
          </cell>
          <cell r="D13">
            <v>269384.49056674802</v>
          </cell>
          <cell r="E13">
            <v>265925.76291124796</v>
          </cell>
        </row>
        <row r="14">
          <cell r="A14" t="str">
            <v>Net debt (cash)</v>
          </cell>
          <cell r="B14">
            <v>2928.8368159502097</v>
          </cell>
          <cell r="C14">
            <v>-928.49936731376511</v>
          </cell>
          <cell r="D14">
            <v>-6649.0681879693748</v>
          </cell>
          <cell r="E14">
            <v>-13042.556022699981</v>
          </cell>
        </row>
        <row r="15">
          <cell r="A15" t="str">
            <v>Liabilities, provisions, minorities</v>
          </cell>
          <cell r="B15">
            <v>3247.7375519923517</v>
          </cell>
          <cell r="C15">
            <v>1451.7562308124543</v>
          </cell>
          <cell r="D15">
            <v>-93.989420784393587</v>
          </cell>
          <cell r="E15">
            <v>-1425.196008056264</v>
          </cell>
        </row>
        <row r="16">
          <cell r="A16" t="str">
            <v>Group market cap SFrm</v>
          </cell>
          <cell r="B16">
            <v>261085.83506418072</v>
          </cell>
          <cell r="C16">
            <v>263839.66265318356</v>
          </cell>
          <cell r="D16">
            <v>276127.54817550181</v>
          </cell>
          <cell r="E16">
            <v>280393.51494200423</v>
          </cell>
        </row>
        <row r="17">
          <cell r="A17" t="str">
            <v>SFr per share</v>
          </cell>
          <cell r="B17">
            <v>302.53283321457786</v>
          </cell>
          <cell r="C17">
            <v>305.72382694459276</v>
          </cell>
          <cell r="D17">
            <v>319.9623964953671</v>
          </cell>
          <cell r="E17">
            <v>324.90557930707325</v>
          </cell>
          <cell r="F17">
            <v>313.28115899040279</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3"/>
      <sheetName val="Contents"/>
      <sheetName val="__FDSCACHE__"/>
      <sheetName val="MWA RR_ROG.VX"/>
      <sheetName val="MW Valuation"/>
      <sheetName val="Page 3"/>
      <sheetName val="Tables"/>
      <sheetName val="Changes"/>
      <sheetName val="Summary"/>
      <sheetName val="MW-Cache"/>
      <sheetName val="Semi-annual P&amp;L"/>
      <sheetName val="Div P&amp;L IFRS"/>
      <sheetName val="Annual P&amp;L"/>
      <sheetName val="BalanceSheet"/>
      <sheetName val="Cash Flow"/>
      <sheetName val="Qtrly Sales"/>
      <sheetName val="DNA products"/>
      <sheetName val="Yrly Sales"/>
      <sheetName val="Scenarios"/>
      <sheetName val="DCF 2020"/>
      <sheetName val="Future Products"/>
      <sheetName val="Primary Care"/>
      <sheetName val="Gross Margin"/>
      <sheetName val="Avastin"/>
      <sheetName val="Avastin-Harr"/>
      <sheetName val="Herceptin"/>
      <sheetName val="Minorities"/>
      <sheetName val="Tax Rate"/>
      <sheetName val="Bonds"/>
      <sheetName val="Roche Ex-DNA"/>
      <sheetName val="Pipeline Value"/>
      <sheetName val="mwareDates"/>
      <sheetName val="mwareSettings"/>
      <sheetName val="Model_Template"/>
      <sheetName val="mwareTaxoPres"/>
    </sheetNames>
    <sheetDataSet>
      <sheetData sheetId="0"/>
      <sheetData sheetId="1"/>
      <sheetData sheetId="2"/>
      <sheetData sheetId="3" refreshError="1"/>
      <sheetData sheetId="4" refreshError="1"/>
      <sheetData sheetId="5"/>
      <sheetData sheetId="6"/>
      <sheetData sheetId="7" refreshError="1"/>
      <sheetData sheetId="8" refreshError="1">
        <row r="1">
          <cell r="A1" t="str">
            <v>Return to contents</v>
          </cell>
        </row>
        <row r="2">
          <cell r="A2" t="str">
            <v>Roche</v>
          </cell>
        </row>
        <row r="3">
          <cell r="A3" t="str">
            <v xml:space="preserve">  Valuation Summary (SFr)</v>
          </cell>
        </row>
        <row r="5">
          <cell r="A5" t="str">
            <v>Price: Roche AG Genussscheine</v>
          </cell>
          <cell r="B5">
            <v>137.9</v>
          </cell>
          <cell r="C5" t="str">
            <v>SFr</v>
          </cell>
        </row>
        <row r="6">
          <cell r="A6" t="str">
            <v>Price: (Voting Rights)</v>
          </cell>
          <cell r="B6">
            <v>156.6</v>
          </cell>
          <cell r="C6" t="str">
            <v>SFr</v>
          </cell>
        </row>
        <row r="7">
          <cell r="A7" t="str">
            <v>MS Price Target</v>
          </cell>
          <cell r="B7">
            <v>148</v>
          </cell>
          <cell r="C7" t="str">
            <v>SFr</v>
          </cell>
        </row>
        <row r="8">
          <cell r="A8" t="str">
            <v>Upside Potential (%)</v>
          </cell>
          <cell r="B8">
            <v>7.3241479332849746E-2</v>
          </cell>
        </row>
        <row r="9">
          <cell r="A9" t="str">
            <v>MS Rating</v>
          </cell>
          <cell r="B9" t="str">
            <v>Equalweight</v>
          </cell>
        </row>
        <row r="10">
          <cell r="A10" t="str">
            <v>Market Capitalisation</v>
          </cell>
          <cell r="B10">
            <v>121448.1</v>
          </cell>
          <cell r="C10" t="str">
            <v>SFr m</v>
          </cell>
        </row>
        <row r="11">
          <cell r="A11" t="str">
            <v>Enterprise Value</v>
          </cell>
          <cell r="B11">
            <v>145315.1</v>
          </cell>
          <cell r="C11" t="str">
            <v>SFr m</v>
          </cell>
        </row>
        <row r="12">
          <cell r="U12" t="str">
            <v>Growth Rates</v>
          </cell>
          <cell r="Z12" t="str">
            <v xml:space="preserve"> </v>
          </cell>
          <cell r="AA12" t="str">
            <v>Calculations used for PEG ratios</v>
          </cell>
        </row>
        <row r="13">
          <cell r="A13" t="str">
            <v>Summary Earnings Estimates (SFr millions, except per share data)</v>
          </cell>
          <cell r="B13">
            <v>2004</v>
          </cell>
          <cell r="C13">
            <v>2005</v>
          </cell>
          <cell r="D13">
            <v>2006</v>
          </cell>
          <cell r="E13">
            <v>2007</v>
          </cell>
          <cell r="F13">
            <v>2008</v>
          </cell>
          <cell r="G13">
            <v>2009</v>
          </cell>
          <cell r="H13">
            <v>2010</v>
          </cell>
          <cell r="I13" t="str">
            <v>2011e</v>
          </cell>
          <cell r="J13" t="str">
            <v>2012e</v>
          </cell>
          <cell r="K13" t="str">
            <v>2013e</v>
          </cell>
          <cell r="L13" t="str">
            <v>2014e</v>
          </cell>
          <cell r="M13" t="str">
            <v>2015e</v>
          </cell>
          <cell r="N13" t="str">
            <v>2016e</v>
          </cell>
          <cell r="O13" t="str">
            <v>2017e</v>
          </cell>
          <cell r="P13" t="str">
            <v>2018e</v>
          </cell>
          <cell r="Q13" t="str">
            <v>2019e</v>
          </cell>
          <cell r="R13" t="str">
            <v>2020e</v>
          </cell>
          <cell r="U13" t="str">
            <v>3 Year        12-15 (%)</v>
          </cell>
          <cell r="V13" t="str">
            <v>5 Year      04-09 (%)</v>
          </cell>
          <cell r="W13" t="str">
            <v>5 Year      05-10 (%)</v>
          </cell>
          <cell r="X13" t="str">
            <v>5 Year      06-11 (%)</v>
          </cell>
          <cell r="Y13" t="str">
            <v>5 Year      07-12 (%)</v>
          </cell>
          <cell r="Z13" t="str">
            <v>5 Year      12-17 (%)</v>
          </cell>
          <cell r="AA13" t="str">
            <v>01-06 (%)</v>
          </cell>
          <cell r="AB13" t="str">
            <v>04-09 (%)</v>
          </cell>
          <cell r="AC13" t="str">
            <v>05-10 (%)</v>
          </cell>
          <cell r="AD13" t="str">
            <v>06-11 (%)</v>
          </cell>
          <cell r="AE13" t="str">
            <v>07-12 (%)</v>
          </cell>
          <cell r="AF13" t="str">
            <v>08-13 (%)</v>
          </cell>
          <cell r="AG13" t="str">
            <v>09-14 (%)</v>
          </cell>
          <cell r="AH13" t="str">
            <v>10-15 (%)</v>
          </cell>
          <cell r="AI13" t="str">
            <v>11-16 (%)</v>
          </cell>
          <cell r="AJ13" t="str">
            <v>12-17 (%)</v>
          </cell>
        </row>
        <row r="14">
          <cell r="A14" t="str">
            <v>Sales</v>
          </cell>
          <cell r="B14">
            <v>26117</v>
          </cell>
          <cell r="C14">
            <v>31887</v>
          </cell>
          <cell r="D14">
            <v>38156</v>
          </cell>
          <cell r="E14">
            <v>46133</v>
          </cell>
          <cell r="F14">
            <v>45617</v>
          </cell>
          <cell r="G14">
            <v>49051</v>
          </cell>
          <cell r="H14">
            <v>47473</v>
          </cell>
          <cell r="I14">
            <v>42167.818992079563</v>
          </cell>
          <cell r="J14">
            <v>43722.97820056339</v>
          </cell>
          <cell r="K14">
            <v>46347.148621066299</v>
          </cell>
          <cell r="L14">
            <v>47361.20980565116</v>
          </cell>
          <cell r="M14">
            <v>48685.341734812326</v>
          </cell>
          <cell r="N14">
            <v>49173.125118702053</v>
          </cell>
          <cell r="O14">
            <v>49801.228078195869</v>
          </cell>
          <cell r="P14">
            <v>50877.030891468123</v>
          </cell>
          <cell r="Q14">
            <v>50269.664362067866</v>
          </cell>
          <cell r="R14">
            <v>50466.032886210371</v>
          </cell>
          <cell r="U14">
            <v>3.6484540432460077</v>
          </cell>
          <cell r="V14">
            <v>13.434435811227097</v>
          </cell>
          <cell r="W14">
            <v>8.2845766887784436</v>
          </cell>
          <cell r="X14">
            <v>2.0196101861007509</v>
          </cell>
          <cell r="Y14">
            <v>-1.0673578399465811</v>
          </cell>
          <cell r="Z14">
            <v>2.6374995451603045</v>
          </cell>
          <cell r="AB14">
            <v>13.434435811227097</v>
          </cell>
          <cell r="AC14">
            <v>8.2845766887784436</v>
          </cell>
          <cell r="AD14">
            <v>2.0196101861007509</v>
          </cell>
          <cell r="AE14">
            <v>-1.0673578399465811</v>
          </cell>
          <cell r="AF14">
            <v>0.31809119241592576</v>
          </cell>
          <cell r="AG14">
            <v>-0.69868850339576127</v>
          </cell>
          <cell r="AH14">
            <v>0.50561122800540925</v>
          </cell>
          <cell r="AI14">
            <v>3.1215267362265875</v>
          </cell>
          <cell r="AJ14">
            <v>2.6374995451603045</v>
          </cell>
        </row>
        <row r="15">
          <cell r="A15" t="str">
            <v>Sales Growth (%)</v>
          </cell>
          <cell r="C15">
            <v>0.22092889688708506</v>
          </cell>
          <cell r="D15">
            <v>0.19660049549973335</v>
          </cell>
          <cell r="E15">
            <v>0.20906279484222656</v>
          </cell>
          <cell r="F15">
            <v>-1.1185051915114985E-2</v>
          </cell>
          <cell r="G15">
            <v>7.5278953021899797E-2</v>
          </cell>
          <cell r="H15">
            <v>-3.2170597949073398E-2</v>
          </cell>
          <cell r="I15">
            <v>-0.11175154314916769</v>
          </cell>
          <cell r="J15">
            <v>3.6880238192445569E-2</v>
          </cell>
          <cell r="K15">
            <v>6.0018107834866052E-2</v>
          </cell>
          <cell r="L15">
            <v>2.1879688713448475E-2</v>
          </cell>
          <cell r="M15">
            <v>2.7958152559759419E-2</v>
          </cell>
          <cell r="N15">
            <v>1.001910157161201E-2</v>
          </cell>
          <cell r="O15">
            <v>1.2773297568084097E-2</v>
          </cell>
          <cell r="P15">
            <v>2.1601933421864006E-2</v>
          </cell>
          <cell r="Q15">
            <v>-1.1937931887100572E-2</v>
          </cell>
          <cell r="R15">
            <v>3.9063026704964088E-3</v>
          </cell>
        </row>
        <row r="16">
          <cell r="A16" t="str">
            <v>EBIT</v>
          </cell>
          <cell r="B16">
            <v>3361</v>
          </cell>
          <cell r="C16">
            <v>5565</v>
          </cell>
          <cell r="D16">
            <v>7845</v>
          </cell>
          <cell r="E16">
            <v>14468</v>
          </cell>
          <cell r="F16">
            <v>13896</v>
          </cell>
          <cell r="G16">
            <v>15012</v>
          </cell>
          <cell r="H16">
            <v>13208</v>
          </cell>
          <cell r="I16">
            <v>13585.420944501593</v>
          </cell>
          <cell r="J16">
            <v>16509.785378425477</v>
          </cell>
          <cell r="K16">
            <v>16690.176879610844</v>
          </cell>
          <cell r="L16">
            <v>16966.831112821154</v>
          </cell>
          <cell r="M16">
            <v>17361.543225930662</v>
          </cell>
          <cell r="N16">
            <v>17224.251782935422</v>
          </cell>
          <cell r="O16">
            <v>17312.715052108808</v>
          </cell>
          <cell r="P16">
            <v>17569.865374370162</v>
          </cell>
          <cell r="Q16">
            <v>17131.224961137948</v>
          </cell>
          <cell r="R16">
            <v>17002.296103597397</v>
          </cell>
          <cell r="U16">
            <v>1.6909488053931554</v>
          </cell>
          <cell r="V16">
            <v>34.894427299025125</v>
          </cell>
          <cell r="W16">
            <v>18.870579061592885</v>
          </cell>
          <cell r="X16">
            <v>11.608181079706782</v>
          </cell>
          <cell r="Y16">
            <v>2.6754430434856369</v>
          </cell>
          <cell r="Z16">
            <v>0.95428346885289006</v>
          </cell>
          <cell r="AB16">
            <v>34.894427299025125</v>
          </cell>
          <cell r="AC16">
            <v>18.870579061592885</v>
          </cell>
          <cell r="AD16">
            <v>11.608181079706782</v>
          </cell>
          <cell r="AE16">
            <v>2.6754430434856369</v>
          </cell>
          <cell r="AF16">
            <v>3.7323524019231558</v>
          </cell>
          <cell r="AG16">
            <v>2.4784236211983224</v>
          </cell>
          <cell r="AH16">
            <v>5.6209946855299009</v>
          </cell>
          <cell r="AI16">
            <v>4.8608691659859371</v>
          </cell>
          <cell r="AJ16">
            <v>0.95428346885289006</v>
          </cell>
        </row>
        <row r="17">
          <cell r="A17" t="str">
            <v>EBIT Growth (%)</v>
          </cell>
          <cell r="C17">
            <v>0.65575721511454921</v>
          </cell>
          <cell r="D17">
            <v>0.40970350404312672</v>
          </cell>
          <cell r="E17">
            <v>0.84423199490121092</v>
          </cell>
          <cell r="F17">
            <v>-3.9535526679568722E-2</v>
          </cell>
          <cell r="G17">
            <v>8.0310880829015607E-2</v>
          </cell>
          <cell r="H17">
            <v>-0.12017053024247271</v>
          </cell>
          <cell r="I17">
            <v>2.8575177506177551E-2</v>
          </cell>
          <cell r="J17">
            <v>0.21525755041896266</v>
          </cell>
          <cell r="K17">
            <v>1.0926338353319798E-2</v>
          </cell>
          <cell r="L17">
            <v>1.6575871855994295E-2</v>
          </cell>
          <cell r="M17">
            <v>2.3263749752965968E-2</v>
          </cell>
          <cell r="N17">
            <v>-7.9077902930994037E-3</v>
          </cell>
          <cell r="O17">
            <v>5.1359716687970902E-3</v>
          </cell>
          <cell r="P17">
            <v>1.4853263713251685E-2</v>
          </cell>
          <cell r="Q17">
            <v>-2.496549654114455E-2</v>
          </cell>
          <cell r="R17">
            <v>-7.5259567154728479E-3</v>
          </cell>
        </row>
        <row r="18">
          <cell r="A18" t="str">
            <v>EBITDA</v>
          </cell>
          <cell r="B18">
            <v>6213</v>
          </cell>
          <cell r="C18">
            <v>7878</v>
          </cell>
          <cell r="D18">
            <v>10283</v>
          </cell>
          <cell r="E18">
            <v>17004</v>
          </cell>
          <cell r="F18">
            <v>16541</v>
          </cell>
          <cell r="G18">
            <v>17705</v>
          </cell>
          <cell r="H18">
            <v>15760</v>
          </cell>
          <cell r="I18">
            <v>16283.5054358703</v>
          </cell>
          <cell r="J18">
            <v>19351.684132591461</v>
          </cell>
          <cell r="K18">
            <v>19673.665072574106</v>
          </cell>
          <cell r="L18">
            <v>20089.728417061699</v>
          </cell>
          <cell r="M18">
            <v>20621.712920478883</v>
          </cell>
          <cell r="N18">
            <v>20619.599881241113</v>
          </cell>
          <cell r="O18">
            <v>20594.178007771814</v>
          </cell>
          <cell r="P18">
            <v>20982.443562288612</v>
          </cell>
          <cell r="Q18">
            <v>20607.801412328128</v>
          </cell>
          <cell r="R18">
            <v>20606.08551713248</v>
          </cell>
          <cell r="U18">
            <v>2.1414432248422433</v>
          </cell>
          <cell r="V18">
            <v>23.298818633127127</v>
          </cell>
          <cell r="W18">
            <v>14.875667343948408</v>
          </cell>
          <cell r="X18">
            <v>9.6290406160802533</v>
          </cell>
          <cell r="Y18">
            <v>2.6203600498655222</v>
          </cell>
          <cell r="Z18">
            <v>1.2523563966272633</v>
          </cell>
          <cell r="AB18">
            <v>23.298818633127127</v>
          </cell>
          <cell r="AC18">
            <v>14.875667343948408</v>
          </cell>
          <cell r="AD18">
            <v>9.6290406160802533</v>
          </cell>
          <cell r="AE18">
            <v>2.6203600498655222</v>
          </cell>
          <cell r="AF18">
            <v>3.5296396515354989</v>
          </cell>
          <cell r="AG18">
            <v>2.5594367201971391</v>
          </cell>
          <cell r="AH18">
            <v>5.5245975945772852</v>
          </cell>
          <cell r="AI18">
            <v>4.8350401925687292</v>
          </cell>
          <cell r="AJ18">
            <v>1.2523563966272633</v>
          </cell>
        </row>
        <row r="19">
          <cell r="A19" t="str">
            <v>EBITDA Growth (%)</v>
          </cell>
          <cell r="C19">
            <v>0.26798647996137137</v>
          </cell>
          <cell r="D19">
            <v>0.30528052805280526</v>
          </cell>
          <cell r="E19">
            <v>0.65360303413400755</v>
          </cell>
          <cell r="F19">
            <v>-2.7228887320630446E-2</v>
          </cell>
          <cell r="G19">
            <v>7.0370594280877885E-2</v>
          </cell>
          <cell r="H19">
            <v>-0.10985597288901439</v>
          </cell>
          <cell r="I19">
            <v>3.3217349991770284E-2</v>
          </cell>
          <cell r="J19">
            <v>0.18842249347381856</v>
          </cell>
          <cell r="K19">
            <v>1.6638393732376855E-2</v>
          </cell>
          <cell r="L19">
            <v>2.1148237654386115E-2</v>
          </cell>
          <cell r="M19">
            <v>2.6480422849588292E-2</v>
          </cell>
          <cell r="N19">
            <v>-1.0246671777069949E-4</v>
          </cell>
          <cell r="O19">
            <v>-1.2328984856988523E-3</v>
          </cell>
          <cell r="P19">
            <v>1.8853170753903026E-2</v>
          </cell>
          <cell r="Q19">
            <v>-1.7855029555938984E-2</v>
          </cell>
          <cell r="R19">
            <v>-8.3264350297040934E-5</v>
          </cell>
        </row>
        <row r="20">
          <cell r="A20" t="str">
            <v>Basic EPS</v>
          </cell>
          <cell r="B20">
            <v>3.7800237812128419</v>
          </cell>
          <cell r="C20">
            <v>2.7349112426035505</v>
          </cell>
          <cell r="D20">
            <v>4.665492957746479</v>
          </cell>
          <cell r="E20">
            <v>11.363213038416763</v>
          </cell>
          <cell r="F20">
            <v>10.429069767441861</v>
          </cell>
          <cell r="G20">
            <v>9.0722610722610728</v>
          </cell>
          <cell r="H20">
            <v>9.810526315789474</v>
          </cell>
          <cell r="I20">
            <v>10.581384027423734</v>
          </cell>
          <cell r="J20">
            <v>13.380645422838903</v>
          </cell>
          <cell r="K20">
            <v>13.697431444821408</v>
          </cell>
          <cell r="L20">
            <v>14.212145590831438</v>
          </cell>
          <cell r="M20">
            <v>14.856705268523481</v>
          </cell>
          <cell r="N20">
            <v>15.077506048632133</v>
          </cell>
          <cell r="O20">
            <v>15.15878680381053</v>
          </cell>
          <cell r="P20">
            <v>15.424255479054372</v>
          </cell>
          <cell r="Q20">
            <v>15.057788296907857</v>
          </cell>
          <cell r="R20">
            <v>14.978340634798881</v>
          </cell>
          <cell r="U20">
            <v>3.549613400063456</v>
          </cell>
          <cell r="V20">
            <v>19.136325597439985</v>
          </cell>
          <cell r="W20">
            <v>29.107007243587525</v>
          </cell>
          <cell r="X20">
            <v>17.795578033913873</v>
          </cell>
          <cell r="Y20">
            <v>3.322565860666038</v>
          </cell>
          <cell r="Z20">
            <v>2.5268174359974749</v>
          </cell>
          <cell r="AB20">
            <v>19.136325597439985</v>
          </cell>
          <cell r="AC20">
            <v>29.107007243587525</v>
          </cell>
          <cell r="AD20">
            <v>17.795578033913873</v>
          </cell>
          <cell r="AE20">
            <v>3.322565860666038</v>
          </cell>
          <cell r="AF20">
            <v>5.6035973503237635</v>
          </cell>
          <cell r="AG20">
            <v>9.3928209250628178</v>
          </cell>
          <cell r="AH20">
            <v>8.6540803168766232</v>
          </cell>
          <cell r="AI20">
            <v>7.3389658997586205</v>
          </cell>
          <cell r="AJ20">
            <v>2.5268174359974749</v>
          </cell>
        </row>
        <row r="21">
          <cell r="A21" t="str">
            <v>EPS Growth (%)</v>
          </cell>
          <cell r="C21">
            <v>-0.27648305912878701</v>
          </cell>
          <cell r="D21">
            <v>0.70590287723746203</v>
          </cell>
          <cell r="E21">
            <v>1.4355867946493288</v>
          </cell>
          <cell r="F21">
            <v>-8.2207670296838509E-2</v>
          </cell>
          <cell r="G21">
            <v>-0.13009872648628362</v>
          </cell>
          <cell r="H21">
            <v>8.1376102125818139E-2</v>
          </cell>
          <cell r="I21">
            <v>7.8574552151560839E-2</v>
          </cell>
          <cell r="J21">
            <v>0.26454586547093784</v>
          </cell>
          <cell r="K21">
            <v>2.3674943320880049E-2</v>
          </cell>
          <cell r="L21">
            <v>3.757742085320892E-2</v>
          </cell>
          <cell r="M21">
            <v>4.5352735346861461E-2</v>
          </cell>
          <cell r="N21">
            <v>1.4862028701374097E-2</v>
          </cell>
          <cell r="O21">
            <v>5.3908620508078542E-3</v>
          </cell>
          <cell r="P21">
            <v>1.7512527795239485E-2</v>
          </cell>
          <cell r="Q21">
            <v>-2.3759148870696856E-2</v>
          </cell>
          <cell r="R21">
            <v>-5.276184027988351E-3</v>
          </cell>
        </row>
        <row r="22">
          <cell r="A22" t="str">
            <v>ModelWare EPS</v>
          </cell>
          <cell r="B22">
            <v>7.54</v>
          </cell>
          <cell r="C22">
            <v>6.66</v>
          </cell>
          <cell r="D22">
            <v>8.98</v>
          </cell>
          <cell r="E22">
            <v>11.26</v>
          </cell>
          <cell r="F22">
            <v>10.65</v>
          </cell>
          <cell r="G22">
            <v>11.424353899883586</v>
          </cell>
          <cell r="H22">
            <v>9.7876312718786469</v>
          </cell>
          <cell r="I22">
            <v>10.544169312204193</v>
          </cell>
          <cell r="J22">
            <v>13.349599841811431</v>
          </cell>
          <cell r="K22">
            <v>13.665650861422744</v>
          </cell>
          <cell r="L22">
            <v>14.179170775075452</v>
          </cell>
          <cell r="M22">
            <v>14.822234954675396</v>
          </cell>
          <cell r="N22">
            <v>15.042523435990297</v>
          </cell>
          <cell r="O22">
            <v>15.23150423582025</v>
          </cell>
          <cell r="P22">
            <v>15.4963569744626</v>
          </cell>
          <cell r="Q22">
            <v>15.130740064200412</v>
          </cell>
          <cell r="R22">
            <v>15.051476735414184</v>
          </cell>
          <cell r="U22">
            <v>3.549613400063456</v>
          </cell>
          <cell r="V22">
            <v>8.6655945269866521</v>
          </cell>
          <cell r="W22">
            <v>8.0042073988801032</v>
          </cell>
          <cell r="X22">
            <v>3.2635870190171223</v>
          </cell>
          <cell r="Y22">
            <v>3.4632154699173023</v>
          </cell>
          <cell r="Z22">
            <v>2.6726826658266534</v>
          </cell>
          <cell r="AB22">
            <v>8.6655945269866521</v>
          </cell>
          <cell r="AC22">
            <v>8.0042073988801032</v>
          </cell>
          <cell r="AD22">
            <v>3.2635870190171223</v>
          </cell>
          <cell r="AE22">
            <v>3.4632154699173023</v>
          </cell>
          <cell r="AF22">
            <v>5.1129301222972323</v>
          </cell>
          <cell r="AG22">
            <v>4.415227012169165</v>
          </cell>
          <cell r="AH22">
            <v>8.6543751663104693</v>
          </cell>
          <cell r="AI22">
            <v>7.3647371413295915</v>
          </cell>
          <cell r="AJ22">
            <v>2.6726826658266534</v>
          </cell>
        </row>
        <row r="23">
          <cell r="A23" t="str">
            <v>Diluted EPS</v>
          </cell>
          <cell r="B23">
            <v>3.6872093023255812</v>
          </cell>
          <cell r="C23">
            <v>2.6697674418604653</v>
          </cell>
          <cell r="D23">
            <v>4.5243619489559164</v>
          </cell>
          <cell r="E23">
            <v>11.164733178654293</v>
          </cell>
          <cell r="F23">
            <v>10.232288037166086</v>
          </cell>
          <cell r="G23">
            <v>9.0162980209545989</v>
          </cell>
          <cell r="H23">
            <v>10.110851808634772</v>
          </cell>
          <cell r="I23">
            <v>10.868905537292116</v>
          </cell>
          <cell r="J23">
            <v>13.670945549468048</v>
          </cell>
          <cell r="K23">
            <v>13.986996569079363</v>
          </cell>
          <cell r="L23">
            <v>14.500516482732062</v>
          </cell>
          <cell r="M23">
            <v>15.143580662332011</v>
          </cell>
          <cell r="N23">
            <v>15.363869143646907</v>
          </cell>
          <cell r="O23">
            <v>15.444961312386376</v>
          </cell>
          <cell r="P23">
            <v>15.709814051028722</v>
          </cell>
          <cell r="Q23">
            <v>15.344197140766539</v>
          </cell>
          <cell r="R23">
            <v>15.264933811980322</v>
          </cell>
        </row>
        <row r="24">
          <cell r="A24" t="str">
            <v>Core EPS</v>
          </cell>
          <cell r="C24">
            <v>7.8337209302325581</v>
          </cell>
          <cell r="D24">
            <v>9.8665893271461709</v>
          </cell>
          <cell r="E24">
            <v>11.854988399071926</v>
          </cell>
          <cell r="F24">
            <v>11.041811846689896</v>
          </cell>
          <cell r="G24">
            <v>12.188591385331781</v>
          </cell>
          <cell r="H24">
            <v>12.4585764294049</v>
          </cell>
          <cell r="I24">
            <v>11.482035666248743</v>
          </cell>
          <cell r="J24">
            <v>13.774193809328846</v>
          </cell>
          <cell r="K24">
            <v>14.090244828940147</v>
          </cell>
          <cell r="L24">
            <v>14.603764742592849</v>
          </cell>
          <cell r="M24">
            <v>15.246828922192801</v>
          </cell>
          <cell r="N24">
            <v>15.4671174035077</v>
          </cell>
          <cell r="O24">
            <v>15.548209572247169</v>
          </cell>
          <cell r="P24">
            <v>15.813062310889503</v>
          </cell>
          <cell r="Q24">
            <v>15.44744540062732</v>
          </cell>
          <cell r="R24">
            <v>15.368182071841103</v>
          </cell>
          <cell r="U24">
            <v>3.4437952414465345</v>
          </cell>
          <cell r="V24" t="e">
            <v>#DIV/0!</v>
          </cell>
          <cell r="W24">
            <v>9.723604217701709</v>
          </cell>
          <cell r="X24">
            <v>3.0790406362020128</v>
          </cell>
          <cell r="Y24">
            <v>3.0464444240860811</v>
          </cell>
          <cell r="Z24">
            <v>2.4525658058271116</v>
          </cell>
          <cell r="AC24">
            <v>9.723604217701709</v>
          </cell>
          <cell r="AD24">
            <v>3.0790406362020128</v>
          </cell>
          <cell r="AE24">
            <v>3.0464444240860811</v>
          </cell>
          <cell r="AF24">
            <v>4.9966975301800609</v>
          </cell>
          <cell r="AG24">
            <v>3.6817364388109564</v>
          </cell>
          <cell r="AH24">
            <v>4.1219328106345987</v>
          </cell>
          <cell r="AI24">
            <v>6.1397592224005759</v>
          </cell>
          <cell r="AJ24">
            <v>2.4525658058271116</v>
          </cell>
        </row>
        <row r="25">
          <cell r="A25" t="str">
            <v>DPS</v>
          </cell>
          <cell r="B25">
            <v>2</v>
          </cell>
          <cell r="C25">
            <v>2.5</v>
          </cell>
          <cell r="D25">
            <v>3.4</v>
          </cell>
          <cell r="E25">
            <v>4.5999999999999996</v>
          </cell>
          <cell r="F25">
            <v>5</v>
          </cell>
          <cell r="G25">
            <v>6</v>
          </cell>
          <cell r="H25">
            <v>6.6</v>
          </cell>
          <cell r="I25">
            <v>6.1069570639463464</v>
          </cell>
          <cell r="J25">
            <v>7.5934247500032637</v>
          </cell>
          <cell r="K25">
            <v>7.7676570620936332</v>
          </cell>
          <cell r="L25">
            <v>8.050749842399151</v>
          </cell>
          <cell r="M25">
            <v>8.4052576651297759</v>
          </cell>
          <cell r="N25">
            <v>8.5266980941895376</v>
          </cell>
          <cell r="O25">
            <v>8.5714025095376556</v>
          </cell>
          <cell r="P25">
            <v>8.7174102809217597</v>
          </cell>
          <cell r="Q25">
            <v>8.5158533307411783</v>
          </cell>
          <cell r="R25">
            <v>8.4721571165812417</v>
          </cell>
          <cell r="U25">
            <v>3.4437952414465345</v>
          </cell>
          <cell r="V25">
            <v>24.573093961551741</v>
          </cell>
          <cell r="W25">
            <v>21.428543377443866</v>
          </cell>
          <cell r="X25">
            <v>12.426629243907051</v>
          </cell>
          <cell r="Y25">
            <v>10.544202871893727</v>
          </cell>
          <cell r="Z25">
            <v>2.4525658058271116</v>
          </cell>
          <cell r="AB25">
            <v>24.573093961551741</v>
          </cell>
          <cell r="AC25">
            <v>21.428543377443866</v>
          </cell>
          <cell r="AD25">
            <v>12.426629243907051</v>
          </cell>
          <cell r="AE25">
            <v>10.544202871893727</v>
          </cell>
          <cell r="AF25">
            <v>9.210402526007444</v>
          </cell>
          <cell r="AG25">
            <v>6.056432994574612</v>
          </cell>
          <cell r="AH25">
            <v>4.9545858303644552</v>
          </cell>
          <cell r="AI25">
            <v>6.9033227060361524</v>
          </cell>
          <cell r="AJ25">
            <v>2.4525658058271116</v>
          </cell>
        </row>
        <row r="26">
          <cell r="A26" t="str">
            <v>Free Cash Flow per Share</v>
          </cell>
          <cell r="B26">
            <v>1.6686046511627908</v>
          </cell>
          <cell r="C26">
            <v>4.5476744186046512</v>
          </cell>
          <cell r="D26">
            <v>1.5394431554524362</v>
          </cell>
          <cell r="E26">
            <v>8.2784222737819029</v>
          </cell>
          <cell r="F26">
            <v>7.7642276422764231</v>
          </cell>
          <cell r="G26">
            <v>63.777648428405122</v>
          </cell>
          <cell r="H26">
            <v>3.3255542590431739</v>
          </cell>
          <cell r="I26">
            <v>9.3203217409619565</v>
          </cell>
          <cell r="J26">
            <v>8.8230927915133215</v>
          </cell>
          <cell r="K26">
            <v>10.722366698312385</v>
          </cell>
          <cell r="L26">
            <v>9.245942998403935</v>
          </cell>
          <cell r="M26">
            <v>9.7360454603983424</v>
          </cell>
          <cell r="N26">
            <v>14.488416427728673</v>
          </cell>
          <cell r="O26">
            <v>16.583002088985587</v>
          </cell>
          <cell r="P26" t="e">
            <v>#DIV/0!</v>
          </cell>
          <cell r="Q26" t="e">
            <v>#DIV/0!</v>
          </cell>
          <cell r="R26" t="e">
            <v>#DIV/0!</v>
          </cell>
          <cell r="U26">
            <v>3.3365398621505671</v>
          </cell>
          <cell r="V26">
            <v>107.23495468410422</v>
          </cell>
          <cell r="W26">
            <v>-6.0677047160359709</v>
          </cell>
          <cell r="X26">
            <v>43.355199521764476</v>
          </cell>
          <cell r="Y26">
            <v>1.2825563303893617</v>
          </cell>
          <cell r="Z26">
            <v>13.451034869015309</v>
          </cell>
          <cell r="AB26">
            <v>107.23495468410422</v>
          </cell>
          <cell r="AC26">
            <v>-6.0677047160359709</v>
          </cell>
          <cell r="AD26">
            <v>43.355199521764476</v>
          </cell>
          <cell r="AE26">
            <v>1.2825563303893617</v>
          </cell>
          <cell r="AF26">
            <v>6.6690627378611866</v>
          </cell>
          <cell r="AG26">
            <v>-32.039503677976619</v>
          </cell>
          <cell r="AH26">
            <v>23.966320526057139</v>
          </cell>
          <cell r="AI26">
            <v>9.2239813548776759</v>
          </cell>
          <cell r="AJ26">
            <v>13.451034869015309</v>
          </cell>
        </row>
        <row r="27">
          <cell r="O27">
            <v>5.2428753609303769E-3</v>
          </cell>
          <cell r="P27">
            <v>1.7034291788495359E-2</v>
          </cell>
          <cell r="Q27">
            <v>-2.3121195823683327E-2</v>
          </cell>
          <cell r="R27">
            <v>-5.1311609609572262E-3</v>
          </cell>
        </row>
        <row r="28">
          <cell r="A28" t="str">
            <v>Valuation Multiples</v>
          </cell>
          <cell r="B28">
            <v>2004</v>
          </cell>
          <cell r="C28">
            <v>2005</v>
          </cell>
          <cell r="D28">
            <v>2006</v>
          </cell>
          <cell r="E28">
            <v>2007</v>
          </cell>
          <cell r="F28">
            <v>2008</v>
          </cell>
          <cell r="G28">
            <v>2009</v>
          </cell>
          <cell r="H28">
            <v>2010</v>
          </cell>
          <cell r="I28" t="str">
            <v>2011e</v>
          </cell>
          <cell r="J28" t="str">
            <v>2012e</v>
          </cell>
          <cell r="K28" t="str">
            <v>2013e</v>
          </cell>
          <cell r="L28" t="str">
            <v>2014e</v>
          </cell>
          <cell r="M28" t="str">
            <v>2015e</v>
          </cell>
          <cell r="N28" t="str">
            <v>2016e</v>
          </cell>
          <cell r="O28" t="str">
            <v>2017e</v>
          </cell>
          <cell r="P28" t="str">
            <v>2018e</v>
          </cell>
          <cell r="Q28" t="str">
            <v>2019e</v>
          </cell>
          <cell r="R28" t="str">
            <v>2020e</v>
          </cell>
        </row>
        <row r="29">
          <cell r="A29" t="str">
            <v>Core P/E (x)</v>
          </cell>
          <cell r="C29">
            <v>17.60338429568057</v>
          </cell>
          <cell r="D29">
            <v>13.976460905349796</v>
          </cell>
          <cell r="E29">
            <v>11.632234073784128</v>
          </cell>
          <cell r="F29">
            <v>12.488892395077311</v>
          </cell>
          <cell r="G29">
            <v>11.31385864374403</v>
          </cell>
          <cell r="H29">
            <v>11.068680340919736</v>
          </cell>
          <cell r="I29">
            <v>12.010065462987091</v>
          </cell>
          <cell r="J29">
            <v>10.011475220176189</v>
          </cell>
          <cell r="K29">
            <v>9.7869129794512375</v>
          </cell>
          <cell r="L29">
            <v>9.4427705753027844</v>
          </cell>
          <cell r="M29">
            <v>9.0445036606449438</v>
          </cell>
          <cell r="N29">
            <v>8.9156884506951783</v>
          </cell>
          <cell r="O29">
            <v>8.8691884013542683</v>
          </cell>
          <cell r="P29">
            <v>8.7206385005538483</v>
          </cell>
          <cell r="Q29">
            <v>8.9270423959161498</v>
          </cell>
          <cell r="R29">
            <v>8.973084738023255</v>
          </cell>
          <cell r="AA29" t="str">
            <v xml:space="preserve"> </v>
          </cell>
        </row>
        <row r="30">
          <cell r="A30" t="str">
            <v>Core PEG (x)</v>
          </cell>
          <cell r="C30">
            <v>0.60478166471610428</v>
          </cell>
          <cell r="D30">
            <v>0.78538954333004496</v>
          </cell>
          <cell r="E30">
            <v>3.5009792315907147</v>
          </cell>
          <cell r="F30">
            <v>2.2287276573067354</v>
          </cell>
          <cell r="G30">
            <v>1.2045219145566075</v>
          </cell>
          <cell r="H30">
            <v>1.1784191809071149</v>
          </cell>
          <cell r="I30">
            <v>1.2786430784537468</v>
          </cell>
          <cell r="J30">
            <v>1.0658645895678283</v>
          </cell>
          <cell r="K30">
            <v>1.0419567303084494</v>
          </cell>
          <cell r="L30">
            <v>1.0053178539906671</v>
          </cell>
          <cell r="M30">
            <v>0.96291665015262229</v>
          </cell>
          <cell r="N30">
            <v>0.94920243043338459</v>
          </cell>
          <cell r="O30">
            <v>0.94425183574922167</v>
          </cell>
          <cell r="P30">
            <v>0.92843657620306708</v>
          </cell>
          <cell r="Q30">
            <v>0.95041122013687773</v>
          </cell>
          <cell r="R30">
            <v>0.95531308534589621</v>
          </cell>
        </row>
        <row r="31">
          <cell r="A31" t="str">
            <v>P/E (ModelWare) (x)</v>
          </cell>
          <cell r="B31">
            <v>18.289124668435015</v>
          </cell>
          <cell r="C31">
            <v>20.705705705705707</v>
          </cell>
          <cell r="D31">
            <v>15.356347438752785</v>
          </cell>
          <cell r="E31">
            <v>12.24689165186501</v>
          </cell>
          <cell r="F31">
            <v>12.948356807511738</v>
          </cell>
          <cell r="G31">
            <v>12.070704497468798</v>
          </cell>
          <cell r="H31">
            <v>14.089210777300906</v>
          </cell>
          <cell r="I31">
            <v>13.078318065358614</v>
          </cell>
          <cell r="J31">
            <v>10.32989764742552</v>
          </cell>
          <cell r="K31">
            <v>10.090993937894526</v>
          </cell>
          <cell r="L31">
            <v>9.7255334735374319</v>
          </cell>
          <cell r="M31">
            <v>9.3035902090124427</v>
          </cell>
          <cell r="N31">
            <v>9.167344866491252</v>
          </cell>
          <cell r="O31">
            <v>9.0536034960813438</v>
          </cell>
          <cell r="P31">
            <v>8.8988657287163626</v>
          </cell>
          <cell r="Q31">
            <v>9.1138965718057481</v>
          </cell>
          <cell r="R31">
            <v>9.1618917149530645</v>
          </cell>
        </row>
        <row r="32">
          <cell r="A32" t="str">
            <v>PEG (ModelWare) (x)</v>
          </cell>
          <cell r="B32">
            <v>2.110544707749535</v>
          </cell>
          <cell r="C32">
            <v>2.5868527230569658</v>
          </cell>
          <cell r="D32">
            <v>4.7053586588224565</v>
          </cell>
          <cell r="E32">
            <v>3.5362777044182732</v>
          </cell>
          <cell r="F32">
            <v>2.5324728673768888</v>
          </cell>
          <cell r="G32">
            <v>2.7338808319934063</v>
          </cell>
          <cell r="H32">
            <v>1.6279870593254411</v>
          </cell>
          <cell r="I32">
            <v>1.7758024236826357</v>
          </cell>
          <cell r="J32">
            <v>1.4026159317290465</v>
          </cell>
          <cell r="K32">
            <v>1.3701770673206606</v>
          </cell>
          <cell r="L32">
            <v>1.3205540519510837</v>
          </cell>
          <cell r="M32">
            <v>1.2632616793343994</v>
          </cell>
          <cell r="N32">
            <v>1.2447619908992742</v>
          </cell>
          <cell r="O32">
            <v>2.0505408829779248</v>
          </cell>
          <cell r="P32">
            <v>2.0154944930780405</v>
          </cell>
          <cell r="Q32">
            <v>2.0641965966158025</v>
          </cell>
          <cell r="R32">
            <v>2.0750669647792135</v>
          </cell>
          <cell r="U32" t="str">
            <v xml:space="preserve"> </v>
          </cell>
        </row>
        <row r="33">
          <cell r="A33" t="str">
            <v>EV/EBITDA (x)</v>
          </cell>
          <cell r="B33">
            <v>23.388878158699502</v>
          </cell>
          <cell r="C33">
            <v>18.445684183802996</v>
          </cell>
          <cell r="D33">
            <v>14.131586113002042</v>
          </cell>
          <cell r="E33">
            <v>8.5459362502940497</v>
          </cell>
          <cell r="F33">
            <v>8.7851460008463818</v>
          </cell>
          <cell r="G33">
            <v>8.2075741316012429</v>
          </cell>
          <cell r="H33">
            <v>9.2205012690355339</v>
          </cell>
          <cell r="I33">
            <v>8.9240673988962502</v>
          </cell>
          <cell r="J33">
            <v>7.509170726658625</v>
          </cell>
          <cell r="K33">
            <v>7.3862749754022801</v>
          </cell>
          <cell r="L33">
            <v>7.2333033569825442</v>
          </cell>
          <cell r="M33">
            <v>7.0467036642572687</v>
          </cell>
          <cell r="N33">
            <v>7.0474257908467894</v>
          </cell>
          <cell r="O33">
            <v>7.056125277015723</v>
          </cell>
          <cell r="P33">
            <v>6.9255565763166098</v>
          </cell>
          <cell r="Q33">
            <v>7.051460613991976</v>
          </cell>
          <cell r="R33">
            <v>7.0520477981701539</v>
          </cell>
        </row>
        <row r="34">
          <cell r="A34" t="str">
            <v>EV/EBITDA per Unit of Growth (x)</v>
          </cell>
          <cell r="B34">
            <v>1.0038654116756085</v>
          </cell>
          <cell r="C34">
            <v>1.2399903652932192</v>
          </cell>
          <cell r="D34">
            <v>1.4676006340032102</v>
          </cell>
          <cell r="E34">
            <v>3.2613595413090772</v>
          </cell>
          <cell r="F34">
            <v>2.4889639929743481</v>
          </cell>
          <cell r="G34">
            <v>3.2067892387544785</v>
          </cell>
          <cell r="H34">
            <v>1.6689905664959188</v>
          </cell>
          <cell r="I34">
            <v>1.845706973152405</v>
          </cell>
          <cell r="J34">
            <v>1.5530730723190123</v>
          </cell>
          <cell r="K34">
            <v>1.5276553412636984</v>
          </cell>
          <cell r="L34">
            <v>1.4960172136934566</v>
          </cell>
          <cell r="M34">
            <v>1.4574240096468651</v>
          </cell>
          <cell r="N34">
            <v>1.457573362405221</v>
          </cell>
          <cell r="O34">
            <v>1.4593726206993514</v>
          </cell>
          <cell r="P34">
            <v>1.4323679432822345</v>
          </cell>
          <cell r="Q34">
            <v>1.4584078587040081</v>
          </cell>
          <cell r="R34">
            <v>1.4585293021987449</v>
          </cell>
        </row>
        <row r="35">
          <cell r="A35" t="str">
            <v>EV/Sales (x)</v>
          </cell>
          <cell r="B35">
            <v>5.5640042883945329</v>
          </cell>
          <cell r="C35">
            <v>4.5571894502461818</v>
          </cell>
          <cell r="D35">
            <v>3.8084469021910055</v>
          </cell>
          <cell r="E35">
            <v>3.1499165456397806</v>
          </cell>
          <cell r="F35">
            <v>3.1855470548260518</v>
          </cell>
          <cell r="G35">
            <v>2.9625308352531041</v>
          </cell>
          <cell r="H35">
            <v>3.0610052029574706</v>
          </cell>
          <cell r="I35">
            <v>3.4461137301716915</v>
          </cell>
          <cell r="J35">
            <v>3.3235407554677407</v>
          </cell>
          <cell r="K35">
            <v>3.1353622460810788</v>
          </cell>
          <cell r="L35">
            <v>3.0682303217402387</v>
          </cell>
          <cell r="M35">
            <v>2.9847813494157487</v>
          </cell>
          <cell r="N35">
            <v>2.9551731692711187</v>
          </cell>
          <cell r="O35">
            <v>2.9179019395231003</v>
          </cell>
          <cell r="P35">
            <v>2.8562024444781184</v>
          </cell>
          <cell r="Q35">
            <v>2.8907115622130721</v>
          </cell>
          <cell r="R35">
            <v>2.8794635062290928</v>
          </cell>
        </row>
        <row r="36">
          <cell r="A36" t="str">
            <v>EV/Free Cash Flow (x)</v>
          </cell>
          <cell r="B36">
            <v>101.26487804878049</v>
          </cell>
          <cell r="C36">
            <v>37.155484530810533</v>
          </cell>
          <cell r="D36">
            <v>109.50648078372269</v>
          </cell>
          <cell r="E36">
            <v>20.36366311659193</v>
          </cell>
          <cell r="F36">
            <v>21.737486910994765</v>
          </cell>
          <cell r="G36">
            <v>2.6524614401752307</v>
          </cell>
          <cell r="H36">
            <v>50.987754385964912</v>
          </cell>
          <cell r="I36">
            <v>18.278089911002475</v>
          </cell>
          <cell r="J36">
            <v>19.106565725154439</v>
          </cell>
          <cell r="K36">
            <v>15.722182150953541</v>
          </cell>
          <cell r="L36">
            <v>18.232753797994025</v>
          </cell>
          <cell r="M36">
            <v>17.314935823367485</v>
          </cell>
          <cell r="N36">
            <v>11.635433255324612</v>
          </cell>
          <cell r="O36">
            <v>10.165771035641106</v>
          </cell>
          <cell r="P36" t="e">
            <v>#DIV/0!</v>
          </cell>
          <cell r="Q36" t="e">
            <v>#DIV/0!</v>
          </cell>
          <cell r="R36" t="e">
            <v>#DIV/0!</v>
          </cell>
        </row>
        <row r="37">
          <cell r="A37" t="str">
            <v>Dividend Yield (%)</v>
          </cell>
          <cell r="B37">
            <v>1.4503263234227701</v>
          </cell>
          <cell r="C37">
            <v>1.8129079042784626</v>
          </cell>
          <cell r="D37">
            <v>2.4655547498187094</v>
          </cell>
          <cell r="E37">
            <v>3.3357505438723707</v>
          </cell>
          <cell r="F37">
            <v>3.6258158085569252</v>
          </cell>
          <cell r="G37">
            <v>4.3509789702683097</v>
          </cell>
          <cell r="H37">
            <v>4.786076867295141</v>
          </cell>
          <cell r="I37">
            <v>4.4285402929270097</v>
          </cell>
          <cell r="J37">
            <v>5.5064718999298501</v>
          </cell>
          <cell r="K37">
            <v>5.6328187542375874</v>
          </cell>
          <cell r="L37">
            <v>5.8381072098616027</v>
          </cell>
          <cell r="M37">
            <v>6.0951832234443621</v>
          </cell>
          <cell r="N37">
            <v>6.1832473489409265</v>
          </cell>
          <cell r="O37">
            <v>6.2156653441172267</v>
          </cell>
          <cell r="P37">
            <v>6.3215448012485558</v>
          </cell>
          <cell r="Q37">
            <v>6.1753831259907024</v>
          </cell>
          <cell r="R37">
            <v>6.1436962411756646</v>
          </cell>
        </row>
        <row r="39">
          <cell r="A39" t="str">
            <v>Key Financial Ratios</v>
          </cell>
          <cell r="B39">
            <v>2004</v>
          </cell>
          <cell r="C39">
            <v>2005</v>
          </cell>
          <cell r="D39">
            <v>2006</v>
          </cell>
          <cell r="E39">
            <v>2007</v>
          </cell>
          <cell r="F39">
            <v>2008</v>
          </cell>
          <cell r="G39">
            <v>2009</v>
          </cell>
          <cell r="H39">
            <v>2010</v>
          </cell>
          <cell r="I39" t="str">
            <v>2011e</v>
          </cell>
          <cell r="J39" t="str">
            <v>2012e</v>
          </cell>
          <cell r="K39" t="str">
            <v>2013e</v>
          </cell>
          <cell r="L39" t="str">
            <v>2014e</v>
          </cell>
          <cell r="M39" t="str">
            <v>2015e</v>
          </cell>
          <cell r="N39" t="str">
            <v>2016e</v>
          </cell>
          <cell r="O39" t="str">
            <v>2017e</v>
          </cell>
          <cell r="P39" t="str">
            <v>2018e</v>
          </cell>
          <cell r="Q39" t="str">
            <v>2019e</v>
          </cell>
          <cell r="R39" t="str">
            <v>2020e</v>
          </cell>
        </row>
        <row r="40">
          <cell r="A40" t="str">
            <v>Gross Margin (%)</v>
          </cell>
          <cell r="B40">
            <v>0.70448366964046405</v>
          </cell>
          <cell r="C40">
            <v>0.70928591589048828</v>
          </cell>
          <cell r="D40">
            <v>0.72177377083551741</v>
          </cell>
          <cell r="E40">
            <v>0.70210044870266408</v>
          </cell>
          <cell r="F40">
            <v>0.70052831181357833</v>
          </cell>
          <cell r="G40">
            <v>0.70204481050335366</v>
          </cell>
          <cell r="H40">
            <v>0.71998820382111939</v>
          </cell>
          <cell r="I40">
            <v>0.70349238858995822</v>
          </cell>
          <cell r="J40">
            <v>0.7108326585137803</v>
          </cell>
          <cell r="K40">
            <v>0.7093189585880475</v>
          </cell>
          <cell r="L40">
            <v>0.70937120646843654</v>
          </cell>
          <cell r="M40">
            <v>0.7050344442931411</v>
          </cell>
          <cell r="N40">
            <v>0.70666565094405387</v>
          </cell>
          <cell r="O40">
            <v>0.70269451928785154</v>
          </cell>
          <cell r="P40">
            <v>0.6995180888899557</v>
          </cell>
          <cell r="Q40">
            <v>0.71180071710843351</v>
          </cell>
          <cell r="R40">
            <v>0.70663757977191</v>
          </cell>
        </row>
        <row r="41">
          <cell r="A41" t="str">
            <v>EBIT Margin (%)</v>
          </cell>
          <cell r="B41">
            <v>12.869012520580464</v>
          </cell>
          <cell r="C41">
            <v>17.452253269357417</v>
          </cell>
          <cell r="D41">
            <v>20.560331271621763</v>
          </cell>
          <cell r="E41">
            <v>31.361498276721651</v>
          </cell>
          <cell r="F41">
            <v>30.462327641011029</v>
          </cell>
          <cell r="G41">
            <v>30.604880634441706</v>
          </cell>
          <cell r="H41">
            <v>27.822130474164265</v>
          </cell>
          <cell r="I41">
            <v>32.217509155627326</v>
          </cell>
          <cell r="J41">
            <v>37.759974406804567</v>
          </cell>
          <cell r="K41">
            <v>36.011226960410269</v>
          </cell>
          <cell r="L41">
            <v>35.824319485176375</v>
          </cell>
          <cell r="M41">
            <v>35.660719648428255</v>
          </cell>
          <cell r="N41">
            <v>35.027775317018659</v>
          </cell>
          <cell r="O41">
            <v>34.763630778191022</v>
          </cell>
          <cell r="P41">
            <v>34.533983344764245</v>
          </cell>
          <cell r="Q41">
            <v>34.078653952710113</v>
          </cell>
          <cell r="R41">
            <v>33.690573899346866</v>
          </cell>
        </row>
        <row r="42">
          <cell r="A42" t="str">
            <v>R&amp;D as (%) Sales</v>
          </cell>
          <cell r="B42">
            <v>19.734272695945172</v>
          </cell>
          <cell r="C42">
            <v>17.787813215416943</v>
          </cell>
          <cell r="D42">
            <v>17.268581612328337</v>
          </cell>
          <cell r="E42">
            <v>18.175709362061866</v>
          </cell>
          <cell r="F42">
            <v>19.389701207883025</v>
          </cell>
          <cell r="G42">
            <v>20.130068704001957</v>
          </cell>
          <cell r="H42">
            <v>21.119373117350914</v>
          </cell>
          <cell r="I42">
            <v>19.924758973586044</v>
          </cell>
          <cell r="J42">
            <v>18.000855595112061</v>
          </cell>
          <cell r="K42">
            <v>17.535597259939152</v>
          </cell>
          <cell r="L42">
            <v>17.475751883670444</v>
          </cell>
          <cell r="M42">
            <v>17.064956571781067</v>
          </cell>
          <cell r="N42">
            <v>16.952306267030252</v>
          </cell>
          <cell r="O42">
            <v>16.842593793930568</v>
          </cell>
          <cell r="P42">
            <v>0</v>
          </cell>
          <cell r="Q42">
            <v>0</v>
          </cell>
          <cell r="R42">
            <v>0</v>
          </cell>
        </row>
        <row r="43">
          <cell r="A43" t="str">
            <v>ROCE (%)</v>
          </cell>
          <cell r="B43">
            <v>5.2068500259470687</v>
          </cell>
          <cell r="C43">
            <v>4.2409929149288983</v>
          </cell>
          <cell r="D43">
            <v>6.4401672013220574</v>
          </cell>
          <cell r="E43">
            <v>15.272801239223293</v>
          </cell>
          <cell r="F43">
            <v>13.992341955145736</v>
          </cell>
          <cell r="G43">
            <v>18.676945329549568</v>
          </cell>
          <cell r="H43">
            <v>18.218148646887624</v>
          </cell>
          <cell r="I43">
            <v>19.372168627895412</v>
          </cell>
          <cell r="J43">
            <v>24.897427393873073</v>
          </cell>
          <cell r="K43">
            <v>24.541000615435042</v>
          </cell>
          <cell r="L43">
            <v>25.507918741120108</v>
          </cell>
          <cell r="M43">
            <v>26.447183787188699</v>
          </cell>
          <cell r="N43">
            <v>24.652693047525492</v>
          </cell>
          <cell r="O43">
            <v>22.122099464056454</v>
          </cell>
          <cell r="P43">
            <v>0</v>
          </cell>
          <cell r="Q43">
            <v>0</v>
          </cell>
          <cell r="R43">
            <v>0</v>
          </cell>
        </row>
        <row r="44">
          <cell r="A44" t="str">
            <v>ROE (%)</v>
          </cell>
          <cell r="C44">
            <v>8.2265217603197041</v>
          </cell>
          <cell r="D44">
            <v>10.923630767539642</v>
          </cell>
          <cell r="E44">
            <v>22.986800428603388</v>
          </cell>
          <cell r="F44">
            <v>19.903959449545365</v>
          </cell>
          <cell r="G44">
            <v>37.824371719961164</v>
          </cell>
          <cell r="H44">
            <v>99.649539649539648</v>
          </cell>
          <cell r="I44">
            <v>77.973056063746412</v>
          </cell>
          <cell r="J44">
            <v>70.844795005633429</v>
          </cell>
          <cell r="K44">
            <v>54.517834998717639</v>
          </cell>
          <cell r="L44">
            <v>45.012510890663336</v>
          </cell>
          <cell r="M44">
            <v>38.799411218050508</v>
          </cell>
          <cell r="N44">
            <v>33.352326612893677</v>
          </cell>
          <cell r="O44">
            <v>29.045734953284413</v>
          </cell>
          <cell r="P44">
            <v>0</v>
          </cell>
          <cell r="Q44" t="e">
            <v>#DIV/0!</v>
          </cell>
          <cell r="R44" t="e">
            <v>#DIV/0!</v>
          </cell>
        </row>
        <row r="45">
          <cell r="A45" t="str">
            <v>Capex as (%) Sales</v>
          </cell>
          <cell r="B45">
            <v>8.9749971283072334</v>
          </cell>
          <cell r="C45">
            <v>10.40863047636968</v>
          </cell>
          <cell r="D45">
            <v>9.3327392808470488</v>
          </cell>
          <cell r="E45">
            <v>7.6279452886220271</v>
          </cell>
          <cell r="F45">
            <v>6.8812065677269443</v>
          </cell>
          <cell r="G45">
            <v>6.0834641495586226</v>
          </cell>
          <cell r="H45">
            <v>5.6263560339561431</v>
          </cell>
          <cell r="I45">
            <v>6.3152424376043612</v>
          </cell>
          <cell r="J45">
            <v>6.0906189596336464</v>
          </cell>
          <cell r="K45">
            <v>5.7457687888690945</v>
          </cell>
          <cell r="L45">
            <v>5.6227448811543024</v>
          </cell>
          <cell r="M45">
            <v>5.4698188512371662</v>
          </cell>
          <cell r="N45">
            <v>5.4155598074590934</v>
          </cell>
          <cell r="O45">
            <v>5.3472576937634253</v>
          </cell>
          <cell r="P45">
            <v>0</v>
          </cell>
          <cell r="Q45">
            <v>0</v>
          </cell>
          <cell r="R45">
            <v>0</v>
          </cell>
        </row>
        <row r="46">
          <cell r="A46" t="str">
            <v>FCF as (%) Market Capitalisation</v>
          </cell>
          <cell r="B46">
            <v>1.1815746808719114</v>
          </cell>
          <cell r="C46">
            <v>3.2203056284948053</v>
          </cell>
          <cell r="D46">
            <v>1.09264780593521</v>
          </cell>
          <cell r="E46">
            <v>5.8757609217435265</v>
          </cell>
          <cell r="F46">
            <v>5.5044088791837833</v>
          </cell>
          <cell r="G46">
            <v>45.109804105622068</v>
          </cell>
          <cell r="H46">
            <v>2.3466814219407302</v>
          </cell>
          <cell r="I46">
            <v>6.5461991130701502</v>
          </cell>
          <cell r="J46">
            <v>6.262350737709756</v>
          </cell>
          <cell r="K46">
            <v>7.610394970316765</v>
          </cell>
          <cell r="L46">
            <v>6.5624763702554354</v>
          </cell>
          <cell r="M46">
            <v>6.9103355152228572</v>
          </cell>
          <cell r="N46">
            <v>10.283417328638418</v>
          </cell>
          <cell r="O46">
            <v>11.77008763472263</v>
          </cell>
          <cell r="P46">
            <v>0</v>
          </cell>
          <cell r="Q46">
            <v>0</v>
          </cell>
          <cell r="R46">
            <v>0</v>
          </cell>
        </row>
        <row r="47">
          <cell r="A47" t="str">
            <v>Net Cash Inflow/(Outflow) for Year (m)</v>
          </cell>
          <cell r="B47">
            <v>-2671</v>
          </cell>
          <cell r="C47">
            <v>-1837</v>
          </cell>
          <cell r="D47">
            <v>-4903</v>
          </cell>
          <cell r="E47">
            <v>545</v>
          </cell>
          <cell r="F47">
            <v>1160</v>
          </cell>
          <cell r="G47">
            <v>-2473</v>
          </cell>
          <cell r="H47">
            <v>-879</v>
          </cell>
          <cell r="I47">
            <v>-378.10770743237981</v>
          </cell>
          <cell r="J47">
            <v>83.65671794822947</v>
          </cell>
          <cell r="K47">
            <v>562.71170224790194</v>
          </cell>
          <cell r="L47">
            <v>-558.83022312234561</v>
          </cell>
          <cell r="M47">
            <v>-55.079286144318303</v>
          </cell>
          <cell r="N47">
            <v>4132.5167141001948</v>
          </cell>
          <cell r="O47">
            <v>5852.4089507330627</v>
          </cell>
          <cell r="P47">
            <v>6068.9267849041671</v>
          </cell>
          <cell r="Q47">
            <v>6496.9733210262184</v>
          </cell>
          <cell r="R47">
            <v>6168.8636437377318</v>
          </cell>
        </row>
        <row r="48">
          <cell r="A48" t="str">
            <v>Net Debt/(Cash) on B/S (m)</v>
          </cell>
          <cell r="B48">
            <v>-4039</v>
          </cell>
          <cell r="C48">
            <v>-11215</v>
          </cell>
          <cell r="D48">
            <v>-16088</v>
          </cell>
          <cell r="E48">
            <v>-17336</v>
          </cell>
          <cell r="F48">
            <v>-16682</v>
          </cell>
          <cell r="G48">
            <v>23867</v>
          </cell>
          <cell r="H48">
            <v>19157</v>
          </cell>
          <cell r="I48">
            <v>15546.931236844142</v>
          </cell>
          <cell r="J48">
            <v>9680.9804012488494</v>
          </cell>
          <cell r="K48">
            <v>5153.358251239757</v>
          </cell>
          <cell r="L48">
            <v>-336.05530673242447</v>
          </cell>
          <cell r="M48">
            <v>-6122.0936676469319</v>
          </cell>
          <cell r="N48">
            <v>-12301.610381747127</v>
          </cell>
          <cell r="O48">
            <v>-18201.019332480188</v>
          </cell>
          <cell r="P48">
            <v>-24316.946117384356</v>
          </cell>
          <cell r="Q48">
            <v>-30860.919438410572</v>
          </cell>
          <cell r="R48">
            <v>-37073.783082148308</v>
          </cell>
        </row>
        <row r="49">
          <cell r="A49" t="str">
            <v>Price/Book Value</v>
          </cell>
          <cell r="B49">
            <v>4.3031605428196862</v>
          </cell>
          <cell r="C49">
            <v>3.6433701325973482</v>
          </cell>
          <cell r="D49">
            <v>3.0790006084575601</v>
          </cell>
          <cell r="E49">
            <v>2.6701866631488689</v>
          </cell>
          <cell r="F49">
            <v>2.730459317880348</v>
          </cell>
          <cell r="G49">
            <v>16.487659516698344</v>
          </cell>
          <cell r="H49">
            <v>12.825863343542085</v>
          </cell>
          <cell r="I49">
            <v>8.9293770423428729</v>
          </cell>
          <cell r="J49">
            <v>6.4308820314317767</v>
          </cell>
          <cell r="K49">
            <v>4.9918431066915057</v>
          </cell>
          <cell r="L49">
            <v>4.0512990215822251</v>
          </cell>
          <cell r="M49">
            <v>3.3845533635611029</v>
          </cell>
          <cell r="N49">
            <v>2.9004210669211434</v>
          </cell>
          <cell r="O49">
            <v>2.535813830866652</v>
          </cell>
          <cell r="P49" t="e">
            <v>#DIV/0!</v>
          </cell>
          <cell r="Q49" t="e">
            <v>#DIV/0!</v>
          </cell>
          <cell r="R49" t="e">
            <v>#DIV/0!</v>
          </cell>
        </row>
        <row r="52">
          <cell r="A52" t="str">
            <v>Notes:</v>
          </cell>
        </row>
        <row r="53">
          <cell r="A53" t="str">
            <v>E= Morgan Stanley Research Estimates</v>
          </cell>
        </row>
        <row r="54">
          <cell r="A54" t="str">
            <v>Source: Morgan Stanley Research</v>
          </cell>
        </row>
        <row r="55">
          <cell r="A55" t="str">
            <v xml:space="preserve">SFr per USD spot rate </v>
          </cell>
          <cell r="C55">
            <v>1.24</v>
          </cell>
          <cell r="D55">
            <v>1.2533994907692316</v>
          </cell>
          <cell r="E55">
            <v>1.2001237590038314</v>
          </cell>
          <cell r="F55">
            <v>1.0809828237144954</v>
          </cell>
          <cell r="G55">
            <v>1.0809828237144954</v>
          </cell>
          <cell r="H55">
            <v>1.0809828237144954</v>
          </cell>
          <cell r="I55">
            <v>1.0809828237144954</v>
          </cell>
          <cell r="J55">
            <v>1.0809828237144954</v>
          </cell>
          <cell r="K55">
            <v>1.0809828237144954</v>
          </cell>
          <cell r="L55">
            <v>1.0809828237144954</v>
          </cell>
          <cell r="M55">
            <v>1.0809828237144954</v>
          </cell>
          <cell r="N55">
            <v>1.0809828237144954</v>
          </cell>
          <cell r="O55">
            <v>1.0809828237144954</v>
          </cell>
        </row>
        <row r="56">
          <cell r="A56" t="str">
            <v>No of Shares Outstanding</v>
          </cell>
          <cell r="B56">
            <v>860</v>
          </cell>
          <cell r="C56">
            <v>860</v>
          </cell>
          <cell r="D56">
            <v>862</v>
          </cell>
          <cell r="E56">
            <v>862</v>
          </cell>
          <cell r="F56">
            <v>861</v>
          </cell>
          <cell r="G56">
            <v>859</v>
          </cell>
          <cell r="H56">
            <v>857</v>
          </cell>
          <cell r="I56">
            <v>853</v>
          </cell>
          <cell r="J56">
            <v>862</v>
          </cell>
          <cell r="K56">
            <v>862</v>
          </cell>
          <cell r="L56">
            <v>862</v>
          </cell>
          <cell r="M56">
            <v>862</v>
          </cell>
          <cell r="N56">
            <v>862</v>
          </cell>
          <cell r="O56">
            <v>862</v>
          </cell>
        </row>
        <row r="57">
          <cell r="A57" t="str">
            <v>Amortisation</v>
          </cell>
          <cell r="B57">
            <v>579</v>
          </cell>
          <cell r="C57">
            <v>0</v>
          </cell>
          <cell r="D57">
            <v>0</v>
          </cell>
          <cell r="E57">
            <v>0</v>
          </cell>
          <cell r="F57">
            <v>0</v>
          </cell>
          <cell r="G57">
            <v>0</v>
          </cell>
          <cell r="H57">
            <v>0</v>
          </cell>
          <cell r="I57">
            <v>0</v>
          </cell>
          <cell r="J57">
            <v>0</v>
          </cell>
          <cell r="K57">
            <v>0</v>
          </cell>
          <cell r="L57">
            <v>0</v>
          </cell>
          <cell r="M57">
            <v>0</v>
          </cell>
          <cell r="N57">
            <v>0</v>
          </cell>
          <cell r="O57">
            <v>0</v>
          </cell>
        </row>
        <row r="58">
          <cell r="A58" t="str">
            <v>Capex</v>
          </cell>
          <cell r="B58">
            <v>-2344</v>
          </cell>
          <cell r="C58">
            <v>-3319</v>
          </cell>
          <cell r="D58">
            <v>-3561</v>
          </cell>
          <cell r="E58">
            <v>-3519</v>
          </cell>
          <cell r="F58">
            <v>-3139</v>
          </cell>
          <cell r="G58">
            <v>-2984</v>
          </cell>
          <cell r="H58">
            <v>-2671</v>
          </cell>
          <cell r="I58">
            <v>-2663</v>
          </cell>
          <cell r="J58">
            <v>-2663</v>
          </cell>
          <cell r="K58">
            <v>-2663</v>
          </cell>
          <cell r="L58">
            <v>-2663</v>
          </cell>
          <cell r="M58">
            <v>-2663</v>
          </cell>
          <cell r="N58">
            <v>-2663</v>
          </cell>
          <cell r="O58">
            <v>-2663</v>
          </cell>
        </row>
        <row r="59">
          <cell r="A59" t="str">
            <v>Shareholder Equity</v>
          </cell>
          <cell r="B59">
            <v>28223</v>
          </cell>
          <cell r="C59">
            <v>33334</v>
          </cell>
          <cell r="D59">
            <v>39444</v>
          </cell>
          <cell r="E59">
            <v>45483</v>
          </cell>
          <cell r="F59">
            <v>44479</v>
          </cell>
          <cell r="G59">
            <v>7366</v>
          </cell>
          <cell r="H59">
            <v>9469</v>
          </cell>
          <cell r="I59">
            <v>13600.96000248352</v>
          </cell>
          <cell r="J59">
            <v>18885.13883576258</v>
          </cell>
          <cell r="K59">
            <v>24329.310317706157</v>
          </cell>
          <cell r="L59">
            <v>29977.569997429797</v>
          </cell>
          <cell r="M59">
            <v>35883.050717278915</v>
          </cell>
          <cell r="N59">
            <v>41872.57546329977</v>
          </cell>
          <cell r="O59">
            <v>47893.145199264611</v>
          </cell>
        </row>
        <row r="60">
          <cell r="A60" t="str">
            <v>Net Income, Pre-exceptionals</v>
          </cell>
          <cell r="B60">
            <v>2508.4</v>
          </cell>
          <cell r="C60">
            <v>2532</v>
          </cell>
          <cell r="D60">
            <v>3975</v>
          </cell>
          <cell r="E60">
            <v>9761</v>
          </cell>
          <cell r="F60">
            <v>8953</v>
          </cell>
          <cell r="G60">
            <v>9805.0227591069324</v>
          </cell>
          <cell r="H60">
            <v>8388</v>
          </cell>
          <cell r="I60">
            <v>8994.1764233101749</v>
          </cell>
          <cell r="J60">
            <v>11507.355063641457</v>
          </cell>
          <cell r="K60">
            <v>11779.791042546411</v>
          </cell>
          <cell r="L60">
            <v>12222.445208115038</v>
          </cell>
          <cell r="M60">
            <v>12776.766530930194</v>
          </cell>
          <cell r="N60">
            <v>12966.655201823634</v>
          </cell>
          <cell r="O60">
            <v>13036.556651277057</v>
          </cell>
        </row>
        <row r="61">
          <cell r="A61" t="str">
            <v xml:space="preserve">R&amp;D </v>
          </cell>
          <cell r="B61">
            <v>-5154</v>
          </cell>
          <cell r="C61">
            <v>-5672</v>
          </cell>
          <cell r="D61">
            <v>-6589</v>
          </cell>
          <cell r="E61">
            <v>-8385</v>
          </cell>
          <cell r="F61">
            <v>-8845</v>
          </cell>
          <cell r="G61">
            <v>-9874</v>
          </cell>
          <cell r="H61">
            <v>-10026</v>
          </cell>
          <cell r="I61">
            <v>-8401.836298589893</v>
          </cell>
          <cell r="J61">
            <v>-7870.5101677657412</v>
          </cell>
          <cell r="K61">
            <v>-8127.2493236556284</v>
          </cell>
          <cell r="L61">
            <v>-8276.7275147401942</v>
          </cell>
          <cell r="M61">
            <v>-8308.1324238689267</v>
          </cell>
          <cell r="N61">
            <v>-8335.9787711923545</v>
          </cell>
          <cell r="O61">
            <v>-8387.8185495994258</v>
          </cell>
        </row>
        <row r="62">
          <cell r="A62" t="str">
            <v>Free Cash Flow</v>
          </cell>
          <cell r="B62">
            <v>1435</v>
          </cell>
          <cell r="C62">
            <v>3911</v>
          </cell>
          <cell r="D62">
            <v>1327</v>
          </cell>
          <cell r="E62">
            <v>7136</v>
          </cell>
          <cell r="F62">
            <v>6685</v>
          </cell>
          <cell r="G62">
            <v>54785</v>
          </cell>
          <cell r="H62">
            <v>2850</v>
          </cell>
          <cell r="I62">
            <v>7950.234445040549</v>
          </cell>
          <cell r="J62">
            <v>7605.5059862844828</v>
          </cell>
          <cell r="K62">
            <v>9242.6800939452751</v>
          </cell>
          <cell r="L62">
            <v>7970.0028646241917</v>
          </cell>
          <cell r="M62">
            <v>8392.4711868633713</v>
          </cell>
          <cell r="N62">
            <v>12489.014960702116</v>
          </cell>
          <cell r="O62">
            <v>14294.547800705575</v>
          </cell>
        </row>
        <row r="63">
          <cell r="A63" t="str">
            <v xml:space="preserve"> </v>
          </cell>
        </row>
        <row r="64">
          <cell r="A64" t="str">
            <v xml:space="preserve"> </v>
          </cell>
        </row>
        <row r="335">
          <cell r="B335" t="str">
            <v>English</v>
          </cell>
        </row>
      </sheetData>
      <sheetData sheetId="9"/>
      <sheetData sheetId="10" refreshError="1">
        <row r="1">
          <cell r="A1" t="str">
            <v>Return to contents</v>
          </cell>
          <cell r="AP1" t="str">
            <v>ElementName</v>
          </cell>
          <cell r="AQ1" t="str">
            <v>ScaleOverride</v>
          </cell>
          <cell r="AR1" t="str">
            <v>ElementName</v>
          </cell>
          <cell r="AS1" t="str">
            <v>ScaleOverride</v>
          </cell>
          <cell r="AT1" t="str">
            <v>UnitOverride</v>
          </cell>
          <cell r="AU1" t="str">
            <v>ReverseSign</v>
          </cell>
          <cell r="AV1" t="str">
            <v>IsDrivingAssumption</v>
          </cell>
          <cell r="AW1" t="str">
            <v>SegmentID</v>
          </cell>
        </row>
        <row r="2">
          <cell r="A2" t="str">
            <v>Roche</v>
          </cell>
        </row>
        <row r="3">
          <cell r="A3" t="str">
            <v>Semi-annual P&amp;L</v>
          </cell>
          <cell r="AJ3" t="str">
            <v>Morgan Stanley Equity Research: Pharmaceuticals</v>
          </cell>
          <cell r="AL3" t="str">
            <v>Morgan Stanley Equity Research: Pharmaceuticals</v>
          </cell>
        </row>
        <row r="5">
          <cell r="B5" t="str">
            <v>FY 2002</v>
          </cell>
          <cell r="C5" t="str">
            <v>H1 2003</v>
          </cell>
          <cell r="D5" t="str">
            <v>H2 2003</v>
          </cell>
          <cell r="E5" t="str">
            <v>FY 2003</v>
          </cell>
          <cell r="F5" t="str">
            <v>H1 2004</v>
          </cell>
          <cell r="G5" t="str">
            <v>H2 2004</v>
          </cell>
          <cell r="H5" t="str">
            <v>FY 2004</v>
          </cell>
          <cell r="I5" t="str">
            <v>H1 2005</v>
          </cell>
          <cell r="J5" t="str">
            <v>H2 2005</v>
          </cell>
          <cell r="K5" t="str">
            <v>FY 2005</v>
          </cell>
          <cell r="L5" t="str">
            <v>H1 2006</v>
          </cell>
          <cell r="M5" t="str">
            <v>H2 2006</v>
          </cell>
          <cell r="N5" t="str">
            <v>FY 2006</v>
          </cell>
          <cell r="O5" t="str">
            <v>2006 PF</v>
          </cell>
          <cell r="P5" t="str">
            <v>H1 2007</v>
          </cell>
          <cell r="Q5" t="str">
            <v>H2 2007</v>
          </cell>
          <cell r="R5" t="str">
            <v>FY 2007</v>
          </cell>
          <cell r="S5" t="str">
            <v>H1 08</v>
          </cell>
          <cell r="T5" t="str">
            <v>H2 08</v>
          </cell>
          <cell r="U5" t="str">
            <v>FY 2008</v>
          </cell>
          <cell r="V5" t="str">
            <v>1H09</v>
          </cell>
          <cell r="W5" t="str">
            <v>2H09</v>
          </cell>
          <cell r="X5" t="str">
            <v>FY2009</v>
          </cell>
          <cell r="Y5" t="str">
            <v>1H10</v>
          </cell>
          <cell r="Z5" t="str">
            <v>2H10</v>
          </cell>
          <cell r="AA5" t="str">
            <v>FY2010</v>
          </cell>
          <cell r="AB5" t="str">
            <v>1H11</v>
          </cell>
          <cell r="AC5" t="str">
            <v>2H11</v>
          </cell>
          <cell r="AD5">
            <v>2011</v>
          </cell>
          <cell r="AE5" t="str">
            <v>1H12</v>
          </cell>
          <cell r="AF5" t="str">
            <v>2H12</v>
          </cell>
          <cell r="AG5">
            <v>2012</v>
          </cell>
          <cell r="AH5">
            <v>2013</v>
          </cell>
          <cell r="AI5">
            <v>2014</v>
          </cell>
          <cell r="AJ5">
            <v>2015</v>
          </cell>
          <cell r="AK5">
            <v>2016</v>
          </cell>
          <cell r="AL5">
            <v>2017</v>
          </cell>
          <cell r="AM5">
            <v>2018</v>
          </cell>
          <cell r="AN5">
            <v>2019</v>
          </cell>
          <cell r="AO5">
            <v>2020</v>
          </cell>
        </row>
        <row r="6">
          <cell r="A6" t="str">
            <v>CONTINUING BUSINESSES</v>
          </cell>
        </row>
        <row r="7">
          <cell r="A7" t="str">
            <v>Sales</v>
          </cell>
          <cell r="B7">
            <v>26066</v>
          </cell>
          <cell r="C7">
            <v>11371</v>
          </cell>
          <cell r="D7">
            <v>12857.098</v>
          </cell>
          <cell r="E7">
            <v>24228.097999999998</v>
          </cell>
          <cell r="F7">
            <v>12812</v>
          </cell>
          <cell r="G7">
            <v>13305</v>
          </cell>
          <cell r="H7">
            <v>26117</v>
          </cell>
          <cell r="I7">
            <v>14855</v>
          </cell>
          <cell r="J7">
            <v>17032</v>
          </cell>
          <cell r="K7">
            <v>31887</v>
          </cell>
          <cell r="L7">
            <v>17922</v>
          </cell>
          <cell r="M7">
            <v>20234</v>
          </cell>
          <cell r="N7">
            <v>38156</v>
          </cell>
          <cell r="O7">
            <v>38156</v>
          </cell>
          <cell r="P7">
            <v>22827</v>
          </cell>
          <cell r="Q7">
            <v>23306</v>
          </cell>
          <cell r="R7">
            <v>46133</v>
          </cell>
          <cell r="S7">
            <v>22004</v>
          </cell>
          <cell r="T7">
            <v>23613</v>
          </cell>
          <cell r="U7">
            <v>45617</v>
          </cell>
          <cell r="V7">
            <v>24006</v>
          </cell>
          <cell r="W7">
            <v>25045</v>
          </cell>
          <cell r="X7">
            <v>49051</v>
          </cell>
          <cell r="Y7">
            <v>24636</v>
          </cell>
          <cell r="Z7">
            <v>22837</v>
          </cell>
          <cell r="AA7">
            <v>47473</v>
          </cell>
          <cell r="AB7">
            <v>21671</v>
          </cell>
          <cell r="AC7">
            <v>20496.818992079563</v>
          </cell>
          <cell r="AD7">
            <v>42167.818992079563</v>
          </cell>
          <cell r="AE7">
            <v>20827.591859076732</v>
          </cell>
          <cell r="AF7">
            <v>22895.386341486665</v>
          </cell>
          <cell r="AG7">
            <v>43722.97820056339</v>
          </cell>
          <cell r="AH7">
            <v>46347.148621066299</v>
          </cell>
          <cell r="AI7">
            <v>47361.20980565116</v>
          </cell>
          <cell r="AJ7">
            <v>48685.341734812326</v>
          </cell>
          <cell r="AK7">
            <v>49173.125118702053</v>
          </cell>
          <cell r="AL7">
            <v>49801.228078195869</v>
          </cell>
          <cell r="AM7">
            <v>50877.030891468123</v>
          </cell>
          <cell r="AN7">
            <v>50269.664362067866</v>
          </cell>
          <cell r="AO7">
            <v>50466.032886210371</v>
          </cell>
          <cell r="AP7" t="str">
            <v>mstag:revenueNet</v>
          </cell>
          <cell r="AQ7">
            <v>6</v>
          </cell>
          <cell r="AR7" t="str">
            <v>ISO4217:CHF</v>
          </cell>
          <cell r="AS7" t="b">
            <v>0</v>
          </cell>
          <cell r="AT7" t="b">
            <v>0</v>
          </cell>
          <cell r="AU7" t="b">
            <v>0</v>
          </cell>
          <cell r="AV7" t="b">
            <v>0</v>
          </cell>
        </row>
        <row r="9">
          <cell r="A9" t="str">
            <v>Royalties and other operating income</v>
          </cell>
          <cell r="F9">
            <v>790</v>
          </cell>
          <cell r="G9">
            <v>780</v>
          </cell>
          <cell r="H9">
            <v>1570</v>
          </cell>
          <cell r="I9">
            <v>710</v>
          </cell>
          <cell r="J9">
            <v>737</v>
          </cell>
          <cell r="K9">
            <v>1447</v>
          </cell>
          <cell r="L9">
            <v>727</v>
          </cell>
          <cell r="M9">
            <v>739</v>
          </cell>
          <cell r="N9">
            <v>1466</v>
          </cell>
          <cell r="O9">
            <v>1391</v>
          </cell>
          <cell r="P9">
            <v>1158</v>
          </cell>
          <cell r="Q9">
            <v>1085</v>
          </cell>
          <cell r="R9">
            <v>2243</v>
          </cell>
          <cell r="S9">
            <v>1136</v>
          </cell>
          <cell r="T9">
            <v>1151</v>
          </cell>
          <cell r="U9">
            <v>2287</v>
          </cell>
          <cell r="V9">
            <v>1116</v>
          </cell>
          <cell r="W9">
            <v>984</v>
          </cell>
          <cell r="X9">
            <v>2100</v>
          </cell>
          <cell r="Y9">
            <v>878</v>
          </cell>
          <cell r="Z9">
            <v>816</v>
          </cell>
          <cell r="AA9">
            <v>1694</v>
          </cell>
          <cell r="AB9">
            <v>796</v>
          </cell>
          <cell r="AC9">
            <v>1324.0041990363106</v>
          </cell>
          <cell r="AD9">
            <v>2120.0041990363106</v>
          </cell>
          <cell r="AE9">
            <v>1111.541235156129</v>
          </cell>
          <cell r="AF9">
            <v>1129.6996254616156</v>
          </cell>
          <cell r="AG9">
            <v>2241.2408606177446</v>
          </cell>
          <cell r="AH9">
            <v>2043.6175498940804</v>
          </cell>
          <cell r="AI9">
            <v>1994.2503504262156</v>
          </cell>
          <cell r="AJ9">
            <v>2004.5382988020096</v>
          </cell>
          <cell r="AK9">
            <v>1614.4829430128395</v>
          </cell>
          <cell r="AL9">
            <v>1684.1582856985444</v>
          </cell>
          <cell r="AM9">
            <v>1757.5146490076056</v>
          </cell>
          <cell r="AN9">
            <v>835.50232376093504</v>
          </cell>
          <cell r="AO9">
            <v>866.94219409215168</v>
          </cell>
          <cell r="AP9" t="str">
            <v>mstag:royaltyLicenseeIncome</v>
          </cell>
          <cell r="AQ9">
            <v>6</v>
          </cell>
          <cell r="AR9" t="str">
            <v>ISO4217:CHF</v>
          </cell>
          <cell r="AS9" t="b">
            <v>0</v>
          </cell>
          <cell r="AT9" t="b">
            <v>0</v>
          </cell>
          <cell r="AU9" t="b">
            <v>0</v>
          </cell>
          <cell r="AV9" t="b">
            <v>0</v>
          </cell>
        </row>
        <row r="10">
          <cell r="A10" t="str">
            <v>Cost of sales</v>
          </cell>
          <cell r="B10">
            <v>-5984</v>
          </cell>
          <cell r="C10">
            <v>-2943</v>
          </cell>
          <cell r="D10">
            <v>-2532.5501479999994</v>
          </cell>
          <cell r="E10">
            <v>-5475.5501479999994</v>
          </cell>
          <cell r="F10">
            <v>-3760</v>
          </cell>
          <cell r="G10">
            <v>-3958</v>
          </cell>
          <cell r="H10">
            <v>-7718</v>
          </cell>
          <cell r="I10">
            <v>-4348</v>
          </cell>
          <cell r="J10">
            <v>-4922</v>
          </cell>
          <cell r="K10">
            <v>-9270</v>
          </cell>
          <cell r="L10">
            <v>-4934</v>
          </cell>
          <cell r="M10">
            <v>-5682</v>
          </cell>
          <cell r="N10">
            <v>-10616</v>
          </cell>
          <cell r="O10">
            <v>-13285</v>
          </cell>
          <cell r="P10">
            <v>-6820</v>
          </cell>
          <cell r="Q10">
            <v>-6923</v>
          </cell>
          <cell r="R10">
            <v>-13743</v>
          </cell>
          <cell r="S10">
            <v>-6532</v>
          </cell>
          <cell r="T10">
            <v>-7129</v>
          </cell>
          <cell r="U10">
            <v>-13661</v>
          </cell>
          <cell r="V10">
            <v>-7100</v>
          </cell>
          <cell r="W10">
            <v>-7515</v>
          </cell>
          <cell r="X10">
            <v>-14615</v>
          </cell>
          <cell r="Y10">
            <v>-6870</v>
          </cell>
          <cell r="Z10">
            <v>-6423</v>
          </cell>
          <cell r="AA10">
            <v>-13293</v>
          </cell>
          <cell r="AB10">
            <v>-6098</v>
          </cell>
          <cell r="AC10">
            <v>-6405.0792877125095</v>
          </cell>
          <cell r="AD10">
            <v>-12503.07928771251</v>
          </cell>
          <cell r="AE10">
            <v>-6032.4818495961445</v>
          </cell>
          <cell r="AF10">
            <v>-6610.7755185207106</v>
          </cell>
          <cell r="AG10">
            <v>-12643.257368116854</v>
          </cell>
          <cell r="AH10">
            <v>-13472.237427646087</v>
          </cell>
          <cell r="AI10">
            <v>-13764.531266011647</v>
          </cell>
          <cell r="AJ10">
            <v>-14360.498879587249</v>
          </cell>
          <cell r="AK10">
            <v>-14424.166647741064</v>
          </cell>
          <cell r="AL10">
            <v>-14806.178053843367</v>
          </cell>
          <cell r="AM10">
            <v>-15287.627473873104</v>
          </cell>
          <cell r="AN10">
            <v>-14487.681220347698</v>
          </cell>
          <cell r="AO10">
            <v>-14804.837546809056</v>
          </cell>
          <cell r="AP10" t="str">
            <v>mstag:costOfSalesWithDepreciation</v>
          </cell>
          <cell r="AQ10">
            <v>6</v>
          </cell>
          <cell r="AR10" t="str">
            <v>ISO4217:CHF</v>
          </cell>
          <cell r="AS10" t="b">
            <v>1</v>
          </cell>
          <cell r="AT10" t="b">
            <v>0</v>
          </cell>
          <cell r="AU10" t="b">
            <v>1</v>
          </cell>
          <cell r="AV10" t="b">
            <v>0</v>
          </cell>
        </row>
        <row r="11">
          <cell r="A11" t="str">
            <v>% of sales</v>
          </cell>
          <cell r="B11">
            <v>0.22957108877464896</v>
          </cell>
          <cell r="C11">
            <v>0.25881628704599419</v>
          </cell>
          <cell r="D11">
            <v>0.19697680985242544</v>
          </cell>
          <cell r="E11">
            <v>0.22600000000000001</v>
          </cell>
          <cell r="F11">
            <v>0.29347486731189509</v>
          </cell>
          <cell r="G11">
            <v>0.29748214956783164</v>
          </cell>
          <cell r="H11">
            <v>0.29551633035953595</v>
          </cell>
          <cell r="I11">
            <v>0.29269606193200942</v>
          </cell>
          <cell r="J11">
            <v>0.28898543917332081</v>
          </cell>
          <cell r="K11">
            <v>0.29071408410951172</v>
          </cell>
          <cell r="L11">
            <v>0.27530409552505303</v>
          </cell>
          <cell r="M11">
            <v>0.28081447069289317</v>
          </cell>
          <cell r="N11">
            <v>0.27822622916448264</v>
          </cell>
          <cell r="O11">
            <v>0.34817590942446797</v>
          </cell>
          <cell r="P11">
            <v>0.29876900162088754</v>
          </cell>
          <cell r="Q11">
            <v>0.29704797047970477</v>
          </cell>
          <cell r="R11">
            <v>0.29789955129733597</v>
          </cell>
          <cell r="S11">
            <v>0.29685511725140884</v>
          </cell>
          <cell r="T11">
            <v>0.30190996484987082</v>
          </cell>
          <cell r="U11">
            <v>0.29947168818642173</v>
          </cell>
          <cell r="V11">
            <v>0.29575939348496211</v>
          </cell>
          <cell r="W11">
            <v>0.30005989219405071</v>
          </cell>
          <cell r="X11">
            <v>0.29795518949664634</v>
          </cell>
          <cell r="Y11">
            <v>0.27886020457866539</v>
          </cell>
          <cell r="Z11">
            <v>0.28125410518019006</v>
          </cell>
          <cell r="AA11">
            <v>0.28001179617888061</v>
          </cell>
          <cell r="AB11">
            <v>0.28138987587097963</v>
          </cell>
          <cell r="AC11">
            <v>0.3124913817206259</v>
          </cell>
          <cell r="AD11">
            <v>0.29650761141004184</v>
          </cell>
          <cell r="AE11">
            <v>0.2896389506003868</v>
          </cell>
          <cell r="AF11">
            <v>0.28873832570110075</v>
          </cell>
          <cell r="AG11">
            <v>0.2891673414862197</v>
          </cell>
          <cell r="AH11">
            <v>0.29068104141195245</v>
          </cell>
          <cell r="AI11">
            <v>0.2906287935315634</v>
          </cell>
          <cell r="AJ11">
            <v>0.2949655557068589</v>
          </cell>
          <cell r="AK11">
            <v>0.29333434905594619</v>
          </cell>
          <cell r="AL11">
            <v>0.29730548071214841</v>
          </cell>
          <cell r="AM11">
            <v>0.30048191111004435</v>
          </cell>
          <cell r="AN11">
            <v>0.28819928289156654</v>
          </cell>
          <cell r="AO11">
            <v>0.29336242022809</v>
          </cell>
        </row>
        <row r="13">
          <cell r="A13" t="str">
            <v>Gross profit</v>
          </cell>
          <cell r="B13">
            <v>20082</v>
          </cell>
          <cell r="C13">
            <v>8428</v>
          </cell>
          <cell r="D13">
            <v>10324.547852</v>
          </cell>
          <cell r="E13">
            <v>18752.547852</v>
          </cell>
          <cell r="H13">
            <v>19969</v>
          </cell>
          <cell r="I13">
            <v>11217</v>
          </cell>
          <cell r="J13">
            <v>12847</v>
          </cell>
          <cell r="K13">
            <v>24064</v>
          </cell>
          <cell r="L13">
            <v>13715</v>
          </cell>
          <cell r="M13">
            <v>15291</v>
          </cell>
          <cell r="N13">
            <v>29006</v>
          </cell>
          <cell r="O13">
            <v>26262</v>
          </cell>
          <cell r="P13">
            <v>17165</v>
          </cell>
          <cell r="Q13">
            <v>17468</v>
          </cell>
          <cell r="R13">
            <v>34633</v>
          </cell>
          <cell r="S13">
            <v>16608</v>
          </cell>
          <cell r="T13">
            <v>17635</v>
          </cell>
          <cell r="U13">
            <v>34243</v>
          </cell>
          <cell r="V13">
            <v>18022</v>
          </cell>
          <cell r="W13">
            <v>18514</v>
          </cell>
          <cell r="X13">
            <v>36536</v>
          </cell>
          <cell r="Y13">
            <v>18644</v>
          </cell>
          <cell r="Z13">
            <v>17230</v>
          </cell>
          <cell r="AA13">
            <v>35874</v>
          </cell>
          <cell r="AB13">
            <v>16369</v>
          </cell>
          <cell r="AC13">
            <v>15415.743903403363</v>
          </cell>
          <cell r="AD13">
            <v>31784.743903403363</v>
          </cell>
          <cell r="AE13">
            <v>15906.651244636716</v>
          </cell>
          <cell r="AF13">
            <v>17414.310448427572</v>
          </cell>
          <cell r="AG13">
            <v>33320.961693064281</v>
          </cell>
          <cell r="AH13">
            <v>34918.528743314295</v>
          </cell>
          <cell r="AI13">
            <v>35590.928890065727</v>
          </cell>
          <cell r="AJ13">
            <v>36329.381154027084</v>
          </cell>
          <cell r="AK13">
            <v>36363.441413973829</v>
          </cell>
          <cell r="AL13">
            <v>36679.20831005105</v>
          </cell>
          <cell r="AM13">
            <v>37346.918066602622</v>
          </cell>
          <cell r="AN13">
            <v>36617.485465481106</v>
          </cell>
          <cell r="AO13">
            <v>36528.137533493471</v>
          </cell>
        </row>
        <row r="14">
          <cell r="A14" t="str">
            <v>% margin</v>
          </cell>
          <cell r="B14">
            <v>0.77042891122535107</v>
          </cell>
          <cell r="C14">
            <v>0.74118371295400576</v>
          </cell>
          <cell r="D14">
            <v>0.80302319014757451</v>
          </cell>
          <cell r="E14">
            <v>0.77400000000000002</v>
          </cell>
          <cell r="F14">
            <v>0</v>
          </cell>
          <cell r="G14">
            <v>0</v>
          </cell>
          <cell r="H14">
            <v>0.72124101563910858</v>
          </cell>
          <cell r="I14">
            <v>0.72065531641503378</v>
          </cell>
          <cell r="J14">
            <v>0.72300073161123302</v>
          </cell>
          <cell r="K14">
            <v>0.7219055618887622</v>
          </cell>
          <cell r="L14">
            <v>0.73542817309239106</v>
          </cell>
          <cell r="M14">
            <v>0.72908024603061083</v>
          </cell>
          <cell r="N14">
            <v>0.7320680430064106</v>
          </cell>
          <cell r="O14">
            <v>0.66407059953978809</v>
          </cell>
          <cell r="P14">
            <v>0.71565561809464251</v>
          </cell>
          <cell r="Q14">
            <v>0.71616579886023535</v>
          </cell>
          <cell r="R14">
            <v>0.71591284934678356</v>
          </cell>
          <cell r="S14">
            <v>0.71771823681936042</v>
          </cell>
          <cell r="T14">
            <v>0.71212243579389434</v>
          </cell>
          <cell r="U14">
            <v>0.71482548430193715</v>
          </cell>
          <cell r="V14">
            <v>0.71737918955497171</v>
          </cell>
          <cell r="W14">
            <v>0.71128356832763451</v>
          </cell>
          <cell r="X14">
            <v>0.71427733573146179</v>
          </cell>
          <cell r="Y14">
            <v>0.7307360664733088</v>
          </cell>
          <cell r="Z14">
            <v>0.72844882255950616</v>
          </cell>
          <cell r="AA14">
            <v>0.72963573128317771</v>
          </cell>
          <cell r="AB14">
            <v>0.72857969466328387</v>
          </cell>
          <cell r="AC14">
            <v>0.7064694016529921</v>
          </cell>
          <cell r="AD14">
            <v>0.71768584710614935</v>
          </cell>
          <cell r="AE14">
            <v>0.72503554157379613</v>
          </cell>
          <cell r="AF14">
            <v>0.72483863210249211</v>
          </cell>
          <cell r="AG14">
            <v>0.72493261875529924</v>
          </cell>
          <cell r="AH14">
            <v>0.72159487245872822</v>
          </cell>
          <cell r="AI14">
            <v>0.72111431597468845</v>
          </cell>
          <cell r="AJ14">
            <v>0.71669889788525298</v>
          </cell>
          <cell r="AK14">
            <v>0.71599043155933939</v>
          </cell>
          <cell r="AL14">
            <v>0.71241979327503657</v>
          </cell>
          <cell r="AM14">
            <v>0.70955144920711832</v>
          </cell>
          <cell r="AN14">
            <v>0.71651239669344324</v>
          </cell>
          <cell r="AO14">
            <v>0.71159206097738992</v>
          </cell>
        </row>
        <row r="16">
          <cell r="A16" t="str">
            <v>Marketing and distribution</v>
          </cell>
          <cell r="B16">
            <v>-7859</v>
          </cell>
          <cell r="C16">
            <v>-3719</v>
          </cell>
          <cell r="D16">
            <v>-4194</v>
          </cell>
          <cell r="E16">
            <v>-7913</v>
          </cell>
          <cell r="F16">
            <v>-4000</v>
          </cell>
          <cell r="G16">
            <v>-4338</v>
          </cell>
          <cell r="H16">
            <v>-8338</v>
          </cell>
          <cell r="I16">
            <v>-4409</v>
          </cell>
          <cell r="J16">
            <v>-5098</v>
          </cell>
          <cell r="K16">
            <v>-9507</v>
          </cell>
          <cell r="L16">
            <v>-5208</v>
          </cell>
          <cell r="M16">
            <v>-5648</v>
          </cell>
          <cell r="N16">
            <v>-10856</v>
          </cell>
          <cell r="O16">
            <v>-8954</v>
          </cell>
          <cell r="P16">
            <v>-4559</v>
          </cell>
          <cell r="Q16">
            <v>-4768</v>
          </cell>
          <cell r="R16">
            <v>-9327</v>
          </cell>
          <cell r="S16">
            <v>-4371</v>
          </cell>
          <cell r="T16">
            <v>-4799</v>
          </cell>
          <cell r="U16">
            <v>-9170</v>
          </cell>
          <cell r="V16">
            <v>-4567</v>
          </cell>
          <cell r="W16">
            <v>-4908</v>
          </cell>
          <cell r="X16">
            <v>-9475</v>
          </cell>
          <cell r="Y16">
            <v>-4546</v>
          </cell>
          <cell r="Z16">
            <v>-4942</v>
          </cell>
          <cell r="AA16">
            <v>-9488</v>
          </cell>
          <cell r="AB16">
            <v>-3858</v>
          </cell>
          <cell r="AC16">
            <v>-3799.5057375819465</v>
          </cell>
          <cell r="AD16">
            <v>-7657.505737581947</v>
          </cell>
          <cell r="AE16">
            <v>-3527.4117545777858</v>
          </cell>
          <cell r="AF16">
            <v>-3936.0761843331293</v>
          </cell>
          <cell r="AG16">
            <v>-7463.4879389109155</v>
          </cell>
          <cell r="AH16">
            <v>-8276.4568331155569</v>
          </cell>
          <cell r="AI16">
            <v>-8484.4906155675963</v>
          </cell>
          <cell r="AJ16">
            <v>-8747.5606543239955</v>
          </cell>
          <cell r="AK16">
            <v>-8870.8857513691819</v>
          </cell>
          <cell r="AL16">
            <v>-9021.030086155055</v>
          </cell>
          <cell r="AM16">
            <v>-9250.5849175944295</v>
          </cell>
          <cell r="AN16">
            <v>-9197.6882092410433</v>
          </cell>
          <cell r="AO16">
            <v>-9285.5564739013589</v>
          </cell>
          <cell r="AP16" t="str">
            <v>mstag:marketingAndDistributionCosts</v>
          </cell>
          <cell r="AQ16">
            <v>6</v>
          </cell>
          <cell r="AR16" t="str">
            <v>ISO4217:CHF</v>
          </cell>
          <cell r="AS16" t="b">
            <v>1</v>
          </cell>
          <cell r="AT16" t="b">
            <v>0</v>
          </cell>
          <cell r="AU16" t="b">
            <v>1</v>
          </cell>
          <cell r="AV16" t="b">
            <v>0</v>
          </cell>
        </row>
        <row r="17">
          <cell r="A17" t="str">
            <v>Research and development</v>
          </cell>
          <cell r="B17">
            <v>-4132</v>
          </cell>
          <cell r="C17">
            <v>-2178</v>
          </cell>
          <cell r="D17">
            <v>-2351</v>
          </cell>
          <cell r="E17">
            <v>-4529</v>
          </cell>
          <cell r="F17">
            <v>-2361</v>
          </cell>
          <cell r="G17">
            <v>-2793</v>
          </cell>
          <cell r="H17">
            <v>-5154</v>
          </cell>
          <cell r="I17">
            <v>-2559</v>
          </cell>
          <cell r="J17">
            <v>-3113</v>
          </cell>
          <cell r="K17">
            <v>-5672</v>
          </cell>
          <cell r="L17">
            <v>-3063</v>
          </cell>
          <cell r="M17">
            <v>-3526</v>
          </cell>
          <cell r="N17">
            <v>-6589</v>
          </cell>
          <cell r="O17">
            <v>-7365</v>
          </cell>
          <cell r="P17">
            <v>-4017</v>
          </cell>
          <cell r="Q17">
            <v>-4368</v>
          </cell>
          <cell r="R17">
            <v>-8385</v>
          </cell>
          <cell r="S17">
            <v>-4107</v>
          </cell>
          <cell r="T17">
            <v>-4738</v>
          </cell>
          <cell r="U17">
            <v>-8845</v>
          </cell>
          <cell r="V17">
            <v>-4518</v>
          </cell>
          <cell r="W17">
            <v>-5356</v>
          </cell>
          <cell r="X17">
            <v>-9874</v>
          </cell>
          <cell r="Y17">
            <v>-4471</v>
          </cell>
          <cell r="Z17">
            <v>-5555</v>
          </cell>
          <cell r="AA17">
            <v>-10026</v>
          </cell>
          <cell r="AB17">
            <v>-3985</v>
          </cell>
          <cell r="AC17">
            <v>-4416.836298589893</v>
          </cell>
          <cell r="AD17">
            <v>-8401.836298589893</v>
          </cell>
          <cell r="AE17">
            <v>-3747.7709390570008</v>
          </cell>
          <cell r="AF17">
            <v>-4122.7392287087405</v>
          </cell>
          <cell r="AG17">
            <v>-7870.5101677657412</v>
          </cell>
          <cell r="AH17">
            <v>-8127.2493236556284</v>
          </cell>
          <cell r="AI17">
            <v>-8276.7275147401942</v>
          </cell>
          <cell r="AJ17">
            <v>-8308.1324238689267</v>
          </cell>
          <cell r="AK17">
            <v>-8335.9787711923545</v>
          </cell>
          <cell r="AL17">
            <v>-8387.8185495994258</v>
          </cell>
          <cell r="AM17">
            <v>-8527.5801806639665</v>
          </cell>
          <cell r="AN17">
            <v>-8307.0690218382388</v>
          </cell>
          <cell r="AO17">
            <v>-8247.7175831892309</v>
          </cell>
          <cell r="AP17" t="str">
            <v>mstag:researchAndDevelopment</v>
          </cell>
          <cell r="AQ17">
            <v>6</v>
          </cell>
          <cell r="AR17" t="str">
            <v>ISO4217:CHF</v>
          </cell>
          <cell r="AS17" t="b">
            <v>1</v>
          </cell>
          <cell r="AT17" t="b">
            <v>0</v>
          </cell>
          <cell r="AU17" t="b">
            <v>1</v>
          </cell>
          <cell r="AV17" t="b">
            <v>0</v>
          </cell>
        </row>
        <row r="18">
          <cell r="A18" t="str">
            <v>General and Administration</v>
          </cell>
          <cell r="B18">
            <v>-1193</v>
          </cell>
          <cell r="C18">
            <v>-638</v>
          </cell>
          <cell r="D18">
            <v>-697</v>
          </cell>
          <cell r="E18">
            <v>-1335</v>
          </cell>
          <cell r="F18">
            <v>-1059</v>
          </cell>
          <cell r="G18">
            <v>-1026</v>
          </cell>
          <cell r="H18">
            <v>-2085</v>
          </cell>
          <cell r="I18">
            <v>-1145</v>
          </cell>
          <cell r="J18">
            <v>-1164</v>
          </cell>
          <cell r="K18">
            <v>-2309</v>
          </cell>
          <cell r="L18">
            <v>-1072</v>
          </cell>
          <cell r="M18">
            <v>-1470</v>
          </cell>
          <cell r="N18">
            <v>-2542</v>
          </cell>
          <cell r="O18">
            <v>-2098</v>
          </cell>
          <cell r="P18">
            <v>-1112</v>
          </cell>
          <cell r="Q18">
            <v>-1341</v>
          </cell>
          <cell r="R18">
            <v>-2453</v>
          </cell>
          <cell r="S18">
            <v>-1089</v>
          </cell>
          <cell r="T18">
            <v>-1243</v>
          </cell>
          <cell r="U18">
            <v>-2332</v>
          </cell>
          <cell r="V18">
            <v>-967</v>
          </cell>
          <cell r="W18">
            <v>-1208</v>
          </cell>
          <cell r="X18">
            <v>-2175</v>
          </cell>
          <cell r="Y18">
            <v>-1149</v>
          </cell>
          <cell r="Z18">
            <v>-2003</v>
          </cell>
          <cell r="AA18">
            <v>-3152</v>
          </cell>
          <cell r="AB18">
            <v>-1066</v>
          </cell>
          <cell r="AC18">
            <v>-1073.9809227299279</v>
          </cell>
          <cell r="AD18">
            <v>-2139.9809227299279</v>
          </cell>
          <cell r="AE18">
            <v>-704.05833380884053</v>
          </cell>
          <cell r="AF18">
            <v>-773.11987415330668</v>
          </cell>
          <cell r="AG18">
            <v>-1477.1782079621471</v>
          </cell>
          <cell r="AH18">
            <v>-1824.6457069322657</v>
          </cell>
          <cell r="AI18">
            <v>-1862.8796469367828</v>
          </cell>
          <cell r="AJ18">
            <v>-1912.1448499035007</v>
          </cell>
          <cell r="AK18">
            <v>-1932.3251084768667</v>
          </cell>
          <cell r="AL18">
            <v>-1957.64462218776</v>
          </cell>
          <cell r="AM18">
            <v>-1998.8875939740651</v>
          </cell>
          <cell r="AN18">
            <v>-1981.5032732638758</v>
          </cell>
          <cell r="AO18">
            <v>-1992.5673728054862</v>
          </cell>
          <cell r="AP18" t="str">
            <v>mstag:generalAndAdministrativeExpenses</v>
          </cell>
          <cell r="AQ18">
            <v>6</v>
          </cell>
          <cell r="AR18" t="str">
            <v>ISO4217:CHF</v>
          </cell>
          <cell r="AS18" t="b">
            <v>1</v>
          </cell>
          <cell r="AT18" t="b">
            <v>0</v>
          </cell>
          <cell r="AU18" t="b">
            <v>1</v>
          </cell>
          <cell r="AV18" t="b">
            <v>0</v>
          </cell>
        </row>
        <row r="19">
          <cell r="A19" t="str">
            <v>Amortisation of intangible assets</v>
          </cell>
          <cell r="B19">
            <v>-1003</v>
          </cell>
          <cell r="C19">
            <v>-483</v>
          </cell>
          <cell r="D19">
            <v>-476</v>
          </cell>
          <cell r="E19">
            <v>-959</v>
          </cell>
          <cell r="F19">
            <v>-529</v>
          </cell>
          <cell r="G19">
            <v>-502</v>
          </cell>
          <cell r="H19">
            <v>-1031</v>
          </cell>
          <cell r="I19">
            <v>-498</v>
          </cell>
          <cell r="J19">
            <v>-513</v>
          </cell>
          <cell r="K19">
            <v>-1011</v>
          </cell>
          <cell r="L19">
            <v>-494</v>
          </cell>
          <cell r="M19">
            <v>-680</v>
          </cell>
          <cell r="N19">
            <v>-1174</v>
          </cell>
          <cell r="O19">
            <v>0</v>
          </cell>
          <cell r="P19">
            <v>0</v>
          </cell>
          <cell r="Q19">
            <v>0</v>
          </cell>
          <cell r="R19">
            <v>0</v>
          </cell>
          <cell r="S19">
            <v>0</v>
          </cell>
          <cell r="T19">
            <v>0</v>
          </cell>
          <cell r="U19">
            <v>0</v>
          </cell>
          <cell r="V19">
            <v>0</v>
          </cell>
          <cell r="W19">
            <v>0</v>
          </cell>
          <cell r="X19">
            <v>0</v>
          </cell>
          <cell r="AA19">
            <v>0</v>
          </cell>
          <cell r="AD19">
            <v>0</v>
          </cell>
          <cell r="AE19">
            <v>0</v>
          </cell>
          <cell r="AF19">
            <v>0</v>
          </cell>
          <cell r="AG19">
            <v>0</v>
          </cell>
          <cell r="AH19">
            <v>0</v>
          </cell>
          <cell r="AI19">
            <v>0</v>
          </cell>
          <cell r="AJ19">
            <v>0</v>
          </cell>
          <cell r="AK19">
            <v>0</v>
          </cell>
          <cell r="AL19">
            <v>0</v>
          </cell>
          <cell r="AM19">
            <v>0</v>
          </cell>
          <cell r="AN19">
            <v>0</v>
          </cell>
          <cell r="AO19">
            <v>0</v>
          </cell>
          <cell r="AP19" t="str">
            <v>mstag:amortizationOfTaxableOtherIntangiblesInIncomeStatement</v>
          </cell>
          <cell r="AQ19">
            <v>6</v>
          </cell>
          <cell r="AR19" t="str">
            <v>ISO4217:CHF</v>
          </cell>
          <cell r="AS19" t="b">
            <v>1</v>
          </cell>
          <cell r="AT19" t="b">
            <v>0</v>
          </cell>
          <cell r="AU19" t="b">
            <v>1</v>
          </cell>
          <cell r="AV19" t="b">
            <v>0</v>
          </cell>
        </row>
        <row r="20">
          <cell r="A20" t="str">
            <v>Other operating income</v>
          </cell>
          <cell r="B20">
            <v>1330</v>
          </cell>
          <cell r="C20">
            <v>648</v>
          </cell>
          <cell r="D20">
            <v>674</v>
          </cell>
          <cell r="E20">
            <v>1322</v>
          </cell>
          <cell r="AP20" t="str">
            <v>mstag:otherOperatingExpense</v>
          </cell>
          <cell r="AQ20">
            <v>6</v>
          </cell>
          <cell r="AR20" t="str">
            <v>mstag:otherOperatingExpense</v>
          </cell>
          <cell r="AS20">
            <v>6</v>
          </cell>
          <cell r="AT20" t="str">
            <v>ISO4217:CHF</v>
          </cell>
          <cell r="AU20" t="b">
            <v>1</v>
          </cell>
          <cell r="AV20" t="b">
            <v>0</v>
          </cell>
        </row>
        <row r="21">
          <cell r="A21" t="str">
            <v>Other operating expenses</v>
          </cell>
          <cell r="B21">
            <v>-2002</v>
          </cell>
          <cell r="C21">
            <v>-784</v>
          </cell>
          <cell r="D21">
            <v>-1062</v>
          </cell>
          <cell r="E21">
            <v>-1846</v>
          </cell>
          <cell r="AP21" t="str">
            <v>mstag:otherOperatingExpense</v>
          </cell>
          <cell r="AQ21">
            <v>6</v>
          </cell>
          <cell r="AR21" t="str">
            <v>mstag:otherOperatingExpense</v>
          </cell>
          <cell r="AS21">
            <v>6</v>
          </cell>
          <cell r="AT21" t="str">
            <v>ISO4217:CHF</v>
          </cell>
          <cell r="AU21" t="b">
            <v>1</v>
          </cell>
          <cell r="AV21" t="b">
            <v>0</v>
          </cell>
        </row>
        <row r="23">
          <cell r="A23" t="str">
            <v>Operating profit before exceptional items</v>
          </cell>
          <cell r="B23">
            <v>5223</v>
          </cell>
          <cell r="C23">
            <v>1274</v>
          </cell>
          <cell r="D23">
            <v>2218.5478519999997</v>
          </cell>
          <cell r="E23">
            <v>3492.5478519999997</v>
          </cell>
          <cell r="F23">
            <v>1893</v>
          </cell>
          <cell r="G23">
            <v>1468</v>
          </cell>
          <cell r="H23">
            <v>3361</v>
          </cell>
          <cell r="I23">
            <v>2606</v>
          </cell>
          <cell r="J23">
            <v>2959</v>
          </cell>
          <cell r="K23">
            <v>5565</v>
          </cell>
          <cell r="L23">
            <v>3878</v>
          </cell>
          <cell r="M23">
            <v>3967</v>
          </cell>
          <cell r="N23">
            <v>7845</v>
          </cell>
          <cell r="O23">
            <v>7845</v>
          </cell>
          <cell r="P23">
            <v>7477</v>
          </cell>
          <cell r="Q23">
            <v>6991</v>
          </cell>
          <cell r="R23">
            <v>14468</v>
          </cell>
          <cell r="S23">
            <v>7041</v>
          </cell>
          <cell r="T23">
            <v>6855</v>
          </cell>
          <cell r="U23">
            <v>13896</v>
          </cell>
          <cell r="V23">
            <v>7970</v>
          </cell>
          <cell r="W23">
            <v>7042</v>
          </cell>
          <cell r="X23">
            <v>15012</v>
          </cell>
          <cell r="Y23">
            <v>8478</v>
          </cell>
          <cell r="Z23">
            <v>4730</v>
          </cell>
          <cell r="AA23">
            <v>13208</v>
          </cell>
          <cell r="AB23">
            <v>7460</v>
          </cell>
          <cell r="AC23">
            <v>6125.4209445015949</v>
          </cell>
          <cell r="AD23">
            <v>13585.420944501593</v>
          </cell>
          <cell r="AE23">
            <v>7927.410217193089</v>
          </cell>
          <cell r="AF23">
            <v>8582.3751612323958</v>
          </cell>
          <cell r="AG23">
            <v>16509.785378425477</v>
          </cell>
          <cell r="AH23">
            <v>16690.176879610844</v>
          </cell>
          <cell r="AI23">
            <v>16966.831112821154</v>
          </cell>
          <cell r="AJ23">
            <v>17361.543225930662</v>
          </cell>
          <cell r="AK23">
            <v>17224.251782935422</v>
          </cell>
          <cell r="AL23">
            <v>17312.715052108808</v>
          </cell>
          <cell r="AM23">
            <v>17569.865374370162</v>
          </cell>
          <cell r="AN23">
            <v>17131.224961137948</v>
          </cell>
          <cell r="AO23">
            <v>17002.296103597397</v>
          </cell>
        </row>
        <row r="24">
          <cell r="A24" t="str">
            <v>% margin</v>
          </cell>
          <cell r="B24">
            <v>0.20037596869485153</v>
          </cell>
          <cell r="C24">
            <v>0.11203939846979158</v>
          </cell>
          <cell r="D24">
            <v>0.1725543238450854</v>
          </cell>
          <cell r="E24">
            <v>0.14415278706566234</v>
          </cell>
          <cell r="F24">
            <v>0.14775210739931313</v>
          </cell>
          <cell r="G24">
            <v>0.11033446072904923</v>
          </cell>
          <cell r="H24">
            <v>0.12869012520580464</v>
          </cell>
          <cell r="I24">
            <v>0.17542914843487042</v>
          </cell>
          <cell r="J24">
            <v>0.173731798966651</v>
          </cell>
          <cell r="K24">
            <v>0.17452253269357418</v>
          </cell>
          <cell r="L24">
            <v>0.21638210021202992</v>
          </cell>
          <cell r="M24">
            <v>0.19605614312543243</v>
          </cell>
          <cell r="N24">
            <v>0.20560331271621762</v>
          </cell>
          <cell r="O24">
            <v>0.20560331271621762</v>
          </cell>
          <cell r="P24">
            <v>0.32755070749550969</v>
          </cell>
          <cell r="Q24">
            <v>0.29996567407534541</v>
          </cell>
          <cell r="R24">
            <v>0.3136149827672165</v>
          </cell>
          <cell r="S24">
            <v>0.31998727504090163</v>
          </cell>
          <cell r="T24">
            <v>0.29030618726972429</v>
          </cell>
          <cell r="U24">
            <v>0.30462327641011028</v>
          </cell>
          <cell r="V24">
            <v>0.33200033325002082</v>
          </cell>
          <cell r="W24">
            <v>0.28117388700339391</v>
          </cell>
          <cell r="X24">
            <v>0.30604880634441706</v>
          </cell>
          <cell r="Y24">
            <v>0.34413054067218707</v>
          </cell>
          <cell r="Z24">
            <v>0.20712002452160966</v>
          </cell>
          <cell r="AA24">
            <v>0.27822130474164264</v>
          </cell>
          <cell r="AB24">
            <v>0.34423884453878456</v>
          </cell>
          <cell r="AC24">
            <v>0.29884739416728989</v>
          </cell>
          <cell r="AD24">
            <v>0.32217509155627327</v>
          </cell>
          <cell r="AE24">
            <v>0.38062058594346315</v>
          </cell>
          <cell r="AF24">
            <v>0.37485172921852156</v>
          </cell>
          <cell r="AG24">
            <v>0.3775997440680457</v>
          </cell>
          <cell r="AH24">
            <v>0.3601122696041027</v>
          </cell>
          <cell r="AI24">
            <v>0.35824319485176376</v>
          </cell>
          <cell r="AJ24">
            <v>0.35660719648428257</v>
          </cell>
          <cell r="AK24">
            <v>0.35027775317018661</v>
          </cell>
          <cell r="AL24">
            <v>0.34763630778191024</v>
          </cell>
          <cell r="AM24">
            <v>0.34533983344764246</v>
          </cell>
          <cell r="AN24">
            <v>0.34078653952710114</v>
          </cell>
          <cell r="AO24">
            <v>0.33690573899346865</v>
          </cell>
        </row>
        <row r="26">
          <cell r="A26" t="str">
            <v>Amortisation of goodwill</v>
          </cell>
          <cell r="B26">
            <v>-499</v>
          </cell>
          <cell r="C26">
            <v>-234</v>
          </cell>
          <cell r="D26">
            <v>-255</v>
          </cell>
          <cell r="E26">
            <v>-489</v>
          </cell>
          <cell r="F26">
            <v>-282</v>
          </cell>
          <cell r="G26">
            <v>-290</v>
          </cell>
          <cell r="H26">
            <v>-572</v>
          </cell>
          <cell r="AP26" t="str">
            <v>mstag:amortizationOfGoodwillInIncomeStatement</v>
          </cell>
          <cell r="AQ26">
            <v>6</v>
          </cell>
          <cell r="AR26" t="str">
            <v>mstag:amortizationOfGoodwillInIncomeStatement</v>
          </cell>
          <cell r="AS26">
            <v>6</v>
          </cell>
          <cell r="AT26" t="str">
            <v>ISO4217:CHF</v>
          </cell>
          <cell r="AU26" t="b">
            <v>1</v>
          </cell>
          <cell r="AV26" t="b">
            <v>0</v>
          </cell>
        </row>
        <row r="27">
          <cell r="A27" t="str">
            <v>Major legal cases</v>
          </cell>
          <cell r="B27">
            <v>-778</v>
          </cell>
          <cell r="C27">
            <v>0</v>
          </cell>
          <cell r="D27">
            <v>216</v>
          </cell>
          <cell r="E27">
            <v>216</v>
          </cell>
          <cell r="F27">
            <v>0</v>
          </cell>
          <cell r="G27">
            <v>0</v>
          </cell>
          <cell r="H27">
            <v>0</v>
          </cell>
          <cell r="I27">
            <v>-146</v>
          </cell>
          <cell r="J27">
            <v>-210</v>
          </cell>
          <cell r="K27">
            <v>-356</v>
          </cell>
          <cell r="L27">
            <v>0</v>
          </cell>
          <cell r="N27">
            <v>0</v>
          </cell>
          <cell r="O27">
            <v>0</v>
          </cell>
          <cell r="R27">
            <v>0</v>
          </cell>
          <cell r="S27">
            <v>315</v>
          </cell>
          <cell r="T27">
            <v>-44</v>
          </cell>
          <cell r="U27">
            <v>271</v>
          </cell>
          <cell r="V27">
            <v>-421</v>
          </cell>
          <cell r="W27">
            <v>101</v>
          </cell>
          <cell r="X27">
            <v>-320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t="str">
            <v>mstag:otherOperatingExpense</v>
          </cell>
          <cell r="AQ27">
            <v>6</v>
          </cell>
          <cell r="AR27" t="str">
            <v>ISO4217:CHF</v>
          </cell>
          <cell r="AS27" t="b">
            <v>1</v>
          </cell>
          <cell r="AT27" t="b">
            <v>0</v>
          </cell>
          <cell r="AU27" t="b">
            <v>1</v>
          </cell>
          <cell r="AV27" t="b">
            <v>0</v>
          </cell>
        </row>
        <row r="28">
          <cell r="A28" t="str">
            <v>Changes in group organisation</v>
          </cell>
          <cell r="B28">
            <v>586</v>
          </cell>
          <cell r="C28">
            <v>0</v>
          </cell>
          <cell r="D28">
            <v>0</v>
          </cell>
          <cell r="E28">
            <v>0</v>
          </cell>
          <cell r="F28">
            <v>0</v>
          </cell>
          <cell r="G28">
            <v>-199</v>
          </cell>
          <cell r="H28">
            <v>-199</v>
          </cell>
          <cell r="K28">
            <v>0</v>
          </cell>
          <cell r="L28">
            <v>0</v>
          </cell>
          <cell r="N28">
            <v>0</v>
          </cell>
          <cell r="O28">
            <v>0</v>
          </cell>
          <cell r="R28">
            <v>0</v>
          </cell>
          <cell r="T28">
            <v>-243</v>
          </cell>
          <cell r="U28">
            <v>-243</v>
          </cell>
          <cell r="V28">
            <v>-1942</v>
          </cell>
          <cell r="W28">
            <v>-473</v>
          </cell>
          <cell r="X28">
            <v>-2415</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t="str">
            <v>mstag:restructuringCostsOneTime</v>
          </cell>
          <cell r="AQ28">
            <v>6</v>
          </cell>
          <cell r="AR28" t="str">
            <v>ISO4217:CHF</v>
          </cell>
          <cell r="AS28" t="b">
            <v>1</v>
          </cell>
          <cell r="AT28" t="b">
            <v>0</v>
          </cell>
          <cell r="AU28" t="b">
            <v>1</v>
          </cell>
          <cell r="AV28" t="b">
            <v>0</v>
          </cell>
        </row>
        <row r="30">
          <cell r="A30" t="str">
            <v>Operating profit</v>
          </cell>
          <cell r="B30">
            <v>4532</v>
          </cell>
          <cell r="C30">
            <v>1040</v>
          </cell>
          <cell r="D30">
            <v>2179.5478519999997</v>
          </cell>
          <cell r="E30">
            <v>3219.5478519999997</v>
          </cell>
          <cell r="F30">
            <v>1611</v>
          </cell>
          <cell r="G30">
            <v>979</v>
          </cell>
          <cell r="H30">
            <v>2590</v>
          </cell>
          <cell r="I30">
            <v>2460</v>
          </cell>
          <cell r="J30">
            <v>2749</v>
          </cell>
          <cell r="K30">
            <v>5209</v>
          </cell>
          <cell r="L30">
            <v>3878</v>
          </cell>
          <cell r="M30">
            <v>3967</v>
          </cell>
          <cell r="N30">
            <v>7845</v>
          </cell>
          <cell r="O30">
            <v>7845</v>
          </cell>
          <cell r="P30">
            <v>7477</v>
          </cell>
          <cell r="Q30">
            <v>6991</v>
          </cell>
          <cell r="R30">
            <v>14468</v>
          </cell>
          <cell r="S30">
            <v>7356</v>
          </cell>
          <cell r="T30">
            <v>6568</v>
          </cell>
          <cell r="U30">
            <v>13924</v>
          </cell>
          <cell r="V30">
            <v>5607</v>
          </cell>
          <cell r="W30">
            <v>6670</v>
          </cell>
          <cell r="X30">
            <v>12277</v>
          </cell>
          <cell r="Y30">
            <v>8478</v>
          </cell>
          <cell r="Z30">
            <v>4730</v>
          </cell>
          <cell r="AA30">
            <v>13208</v>
          </cell>
          <cell r="AB30">
            <v>7460</v>
          </cell>
          <cell r="AC30">
            <v>6125.4209445015949</v>
          </cell>
          <cell r="AD30">
            <v>13585.420944501593</v>
          </cell>
          <cell r="AE30">
            <v>7927.410217193089</v>
          </cell>
          <cell r="AF30">
            <v>8582.3751612323958</v>
          </cell>
          <cell r="AG30">
            <v>16509.785378425477</v>
          </cell>
          <cell r="AH30">
            <v>16690.176879610844</v>
          </cell>
          <cell r="AI30">
            <v>16966.831112821154</v>
          </cell>
          <cell r="AJ30">
            <v>17361.543225930662</v>
          </cell>
          <cell r="AK30">
            <v>17224.251782935422</v>
          </cell>
          <cell r="AL30">
            <v>17312.715052108808</v>
          </cell>
          <cell r="AM30">
            <v>17569.865374370162</v>
          </cell>
          <cell r="AN30">
            <v>17131.224961137948</v>
          </cell>
          <cell r="AO30">
            <v>17002.296103597397</v>
          </cell>
        </row>
        <row r="31">
          <cell r="A31" t="str">
            <v>% margin</v>
          </cell>
          <cell r="B31">
            <v>0.17386633929256504</v>
          </cell>
          <cell r="C31">
            <v>9.1460733444727813E-2</v>
          </cell>
          <cell r="D31">
            <v>0.16952097992875217</v>
          </cell>
          <cell r="E31">
            <v>0.13288487821041503</v>
          </cell>
          <cell r="F31">
            <v>0.12574149235092102</v>
          </cell>
          <cell r="G31">
            <v>7.3581360390830519E-2</v>
          </cell>
          <cell r="H31">
            <v>9.9169123559367467E-2</v>
          </cell>
          <cell r="I31">
            <v>0.16560080780881858</v>
          </cell>
          <cell r="J31">
            <v>0.16140206669798027</v>
          </cell>
          <cell r="K31">
            <v>0.16335810832000502</v>
          </cell>
          <cell r="L31">
            <v>0.21638210021202992</v>
          </cell>
          <cell r="M31">
            <v>0.19605614312543243</v>
          </cell>
          <cell r="N31">
            <v>0.20560331271621762</v>
          </cell>
          <cell r="O31">
            <v>0.20560331271621762</v>
          </cell>
          <cell r="P31">
            <v>0.32755070749550969</v>
          </cell>
          <cell r="Q31">
            <v>0.29996567407534541</v>
          </cell>
          <cell r="R31">
            <v>0.3136149827672165</v>
          </cell>
          <cell r="S31">
            <v>0.33430285402654064</v>
          </cell>
          <cell r="T31">
            <v>0.27815186549781901</v>
          </cell>
          <cell r="U31">
            <v>0.30523708266654975</v>
          </cell>
          <cell r="V31">
            <v>0.23356660834791301</v>
          </cell>
          <cell r="W31">
            <v>0.26632062287881814</v>
          </cell>
          <cell r="X31">
            <v>0.25029051395486329</v>
          </cell>
          <cell r="Y31">
            <v>0.34413054067218707</v>
          </cell>
          <cell r="Z31">
            <v>0.20712002452160966</v>
          </cell>
          <cell r="AA31">
            <v>0.27822130474164264</v>
          </cell>
          <cell r="AB31">
            <v>0.34423884453878456</v>
          </cell>
          <cell r="AC31">
            <v>0.29884739416728989</v>
          </cell>
          <cell r="AD31">
            <v>0.32217509155627327</v>
          </cell>
          <cell r="AE31">
            <v>0.38062058594346315</v>
          </cell>
          <cell r="AF31">
            <v>0.37485172921852156</v>
          </cell>
          <cell r="AG31">
            <v>0.3775997440680457</v>
          </cell>
          <cell r="AH31">
            <v>0.3601122696041027</v>
          </cell>
          <cell r="AI31">
            <v>0.35824319485176376</v>
          </cell>
          <cell r="AJ31">
            <v>0.35660719648428257</v>
          </cell>
          <cell r="AK31">
            <v>0.35027775317018661</v>
          </cell>
          <cell r="AL31">
            <v>0.34763630778191024</v>
          </cell>
          <cell r="AM31">
            <v>0.34533983344764246</v>
          </cell>
          <cell r="AN31">
            <v>0.34078653952710114</v>
          </cell>
          <cell r="AO31">
            <v>0.33690573899346865</v>
          </cell>
        </row>
        <row r="33">
          <cell r="A33" t="str">
            <v>Income from associated companies</v>
          </cell>
          <cell r="B33">
            <v>-37</v>
          </cell>
          <cell r="C33">
            <v>-18</v>
          </cell>
          <cell r="D33">
            <v>-26</v>
          </cell>
          <cell r="E33">
            <v>-44</v>
          </cell>
          <cell r="F33">
            <v>-27</v>
          </cell>
          <cell r="G33">
            <v>-16</v>
          </cell>
          <cell r="H33">
            <v>-43</v>
          </cell>
          <cell r="I33">
            <v>0</v>
          </cell>
          <cell r="J33">
            <v>1</v>
          </cell>
          <cell r="K33">
            <v>1</v>
          </cell>
          <cell r="L33">
            <v>0</v>
          </cell>
          <cell r="M33">
            <v>2</v>
          </cell>
          <cell r="N33">
            <v>2</v>
          </cell>
          <cell r="O33">
            <v>2</v>
          </cell>
          <cell r="P33">
            <v>0</v>
          </cell>
          <cell r="Q33">
            <v>2</v>
          </cell>
          <cell r="R33">
            <v>2</v>
          </cell>
          <cell r="S33">
            <v>0</v>
          </cell>
          <cell r="T33">
            <v>1</v>
          </cell>
          <cell r="U33">
            <v>1</v>
          </cell>
          <cell r="V33">
            <v>0</v>
          </cell>
          <cell r="W33">
            <v>0</v>
          </cell>
          <cell r="X33">
            <v>0</v>
          </cell>
          <cell r="Y33">
            <v>0</v>
          </cell>
          <cell r="Z33">
            <v>-3</v>
          </cell>
          <cell r="AA33">
            <v>-3</v>
          </cell>
          <cell r="AB33">
            <v>0</v>
          </cell>
          <cell r="AC33">
            <v>2</v>
          </cell>
          <cell r="AD33">
            <v>2</v>
          </cell>
          <cell r="AE33">
            <v>1</v>
          </cell>
          <cell r="AF33">
            <v>1</v>
          </cell>
          <cell r="AG33">
            <v>2</v>
          </cell>
          <cell r="AH33">
            <v>2</v>
          </cell>
          <cell r="AI33">
            <v>2</v>
          </cell>
          <cell r="AJ33">
            <v>2</v>
          </cell>
          <cell r="AK33">
            <v>2</v>
          </cell>
          <cell r="AL33">
            <v>2</v>
          </cell>
          <cell r="AM33">
            <v>2</v>
          </cell>
          <cell r="AN33">
            <v>2</v>
          </cell>
          <cell r="AO33">
            <v>2</v>
          </cell>
          <cell r="AP33" t="str">
            <v>mstag:incomeLossFromInvestmentsUnderTheEquityMethodNonOperatingPreTax</v>
          </cell>
          <cell r="AQ33">
            <v>6</v>
          </cell>
          <cell r="AR33" t="str">
            <v>ISO4217:CHF</v>
          </cell>
          <cell r="AS33" t="b">
            <v>0</v>
          </cell>
          <cell r="AT33" t="b">
            <v>0</v>
          </cell>
          <cell r="AU33" t="b">
            <v>0</v>
          </cell>
          <cell r="AV33" t="b">
            <v>0</v>
          </cell>
        </row>
        <row r="35">
          <cell r="A35" t="str">
            <v>Gains on sale of equity securities</v>
          </cell>
          <cell r="B35">
            <v>305</v>
          </cell>
          <cell r="E35">
            <v>274</v>
          </cell>
          <cell r="K35">
            <v>251</v>
          </cell>
          <cell r="L35">
            <v>231</v>
          </cell>
          <cell r="M35">
            <v>151</v>
          </cell>
          <cell r="N35">
            <v>382</v>
          </cell>
          <cell r="O35">
            <v>382</v>
          </cell>
          <cell r="P35">
            <v>155</v>
          </cell>
          <cell r="Q35">
            <v>195</v>
          </cell>
          <cell r="R35">
            <v>350</v>
          </cell>
          <cell r="S35">
            <v>95</v>
          </cell>
          <cell r="T35">
            <v>136</v>
          </cell>
          <cell r="U35">
            <v>231</v>
          </cell>
          <cell r="V35">
            <v>37</v>
          </cell>
          <cell r="W35">
            <v>18</v>
          </cell>
          <cell r="X35">
            <v>55</v>
          </cell>
          <cell r="Y35">
            <v>90</v>
          </cell>
          <cell r="Z35">
            <v>29</v>
          </cell>
          <cell r="AA35">
            <v>119</v>
          </cell>
          <cell r="AB35">
            <v>67</v>
          </cell>
          <cell r="AC35">
            <v>-67</v>
          </cell>
          <cell r="AD35">
            <v>0</v>
          </cell>
          <cell r="AE35">
            <v>0</v>
          </cell>
          <cell r="AF35">
            <v>0</v>
          </cell>
          <cell r="AG35">
            <v>0</v>
          </cell>
          <cell r="AH35">
            <v>0</v>
          </cell>
          <cell r="AI35">
            <v>0</v>
          </cell>
          <cell r="AJ35">
            <v>0</v>
          </cell>
          <cell r="AK35">
            <v>0</v>
          </cell>
          <cell r="AL35">
            <v>0</v>
          </cell>
          <cell r="AM35">
            <v>0</v>
          </cell>
          <cell r="AN35">
            <v>0</v>
          </cell>
          <cell r="AO35">
            <v>0</v>
          </cell>
          <cell r="AP35" t="str">
            <v>mstag:incomeLossesFromInvestmentsNonOperating</v>
          </cell>
          <cell r="AQ35">
            <v>6</v>
          </cell>
          <cell r="AR35" t="str">
            <v>ISO4217:CHF</v>
          </cell>
          <cell r="AS35" t="b">
            <v>0</v>
          </cell>
          <cell r="AT35" t="b">
            <v>0</v>
          </cell>
          <cell r="AU35" t="b">
            <v>0</v>
          </cell>
          <cell r="AV35" t="b">
            <v>0</v>
          </cell>
        </row>
        <row r="36">
          <cell r="A36" t="str">
            <v>(Losses) on sale of equity securities</v>
          </cell>
          <cell r="B36">
            <v>-46</v>
          </cell>
          <cell r="E36">
            <v>-208</v>
          </cell>
          <cell r="K36">
            <v>-26</v>
          </cell>
          <cell r="L36">
            <v>-2</v>
          </cell>
          <cell r="M36">
            <v>0</v>
          </cell>
          <cell r="N36">
            <v>-2</v>
          </cell>
          <cell r="O36">
            <v>-2</v>
          </cell>
          <cell r="P36">
            <v>-1</v>
          </cell>
          <cell r="Q36">
            <v>-7</v>
          </cell>
          <cell r="R36">
            <v>-8</v>
          </cell>
          <cell r="T36">
            <v>-1</v>
          </cell>
          <cell r="U36">
            <v>-1</v>
          </cell>
          <cell r="V36">
            <v>-2</v>
          </cell>
          <cell r="W36">
            <v>-2</v>
          </cell>
          <cell r="X36">
            <v>-4</v>
          </cell>
          <cell r="Y36">
            <v>-3</v>
          </cell>
          <cell r="Z36">
            <v>-8</v>
          </cell>
          <cell r="AA36">
            <v>-11</v>
          </cell>
          <cell r="AB36">
            <v>-4</v>
          </cell>
          <cell r="AC36">
            <v>0</v>
          </cell>
          <cell r="AD36">
            <v>-4</v>
          </cell>
          <cell r="AE36">
            <v>0</v>
          </cell>
          <cell r="AF36">
            <v>0</v>
          </cell>
          <cell r="AG36">
            <v>0</v>
          </cell>
          <cell r="AP36" t="str">
            <v>mstag:incomeLossesFromInvestmentsNonOperating</v>
          </cell>
          <cell r="AQ36">
            <v>6</v>
          </cell>
          <cell r="AR36" t="str">
            <v>mstag:incomeLossesFromInvestmentsNonOperating</v>
          </cell>
          <cell r="AS36">
            <v>6</v>
          </cell>
          <cell r="AT36" t="str">
            <v>ISO4217:CHF</v>
          </cell>
          <cell r="AU36" t="b">
            <v>0</v>
          </cell>
          <cell r="AV36" t="b">
            <v>0</v>
          </cell>
        </row>
        <row r="37">
          <cell r="A37" t="str">
            <v>Gains on LapCorp transactions</v>
          </cell>
          <cell r="B37">
            <v>1199</v>
          </cell>
          <cell r="M37">
            <v>0</v>
          </cell>
          <cell r="Q37">
            <v>0</v>
          </cell>
          <cell r="R37">
            <v>0</v>
          </cell>
          <cell r="T37">
            <v>0</v>
          </cell>
          <cell r="V37">
            <v>0</v>
          </cell>
          <cell r="W37">
            <v>0</v>
          </cell>
          <cell r="X37">
            <v>0</v>
          </cell>
          <cell r="AA37">
            <v>0</v>
          </cell>
          <cell r="AP37" t="str">
            <v>mstag:incomeLossesFromInvestmentsNonOperating</v>
          </cell>
          <cell r="AQ37">
            <v>6</v>
          </cell>
          <cell r="AR37" t="str">
            <v>mstag:incomeLossesFromInvestmentsNonOperating</v>
          </cell>
          <cell r="AS37">
            <v>6</v>
          </cell>
          <cell r="AT37" t="str">
            <v>ISO4217:CHF</v>
          </cell>
          <cell r="AU37" t="b">
            <v>0</v>
          </cell>
          <cell r="AV37" t="b">
            <v>0</v>
          </cell>
        </row>
        <row r="38">
          <cell r="A38" t="str">
            <v>Dividend income</v>
          </cell>
          <cell r="B38">
            <v>76</v>
          </cell>
          <cell r="E38">
            <v>61</v>
          </cell>
          <cell r="K38">
            <v>10</v>
          </cell>
          <cell r="L38">
            <v>2</v>
          </cell>
          <cell r="M38">
            <v>8</v>
          </cell>
          <cell r="N38">
            <v>10</v>
          </cell>
          <cell r="O38">
            <v>10</v>
          </cell>
          <cell r="P38">
            <v>1</v>
          </cell>
          <cell r="Q38">
            <v>7</v>
          </cell>
          <cell r="R38">
            <v>8</v>
          </cell>
          <cell r="S38">
            <v>1</v>
          </cell>
          <cell r="T38">
            <v>4</v>
          </cell>
          <cell r="U38">
            <v>5</v>
          </cell>
          <cell r="V38">
            <v>1</v>
          </cell>
          <cell r="W38">
            <v>0</v>
          </cell>
          <cell r="X38">
            <v>1</v>
          </cell>
          <cell r="Y38">
            <v>1</v>
          </cell>
          <cell r="Z38">
            <v>1</v>
          </cell>
          <cell r="AA38">
            <v>2</v>
          </cell>
          <cell r="AB38">
            <v>1</v>
          </cell>
          <cell r="AC38">
            <v>1.7200000000000002</v>
          </cell>
          <cell r="AD38">
            <v>2.72</v>
          </cell>
          <cell r="AE38">
            <v>1.36</v>
          </cell>
          <cell r="AF38">
            <v>1.36</v>
          </cell>
          <cell r="AG38">
            <v>2.72</v>
          </cell>
          <cell r="AH38">
            <v>2.72</v>
          </cell>
          <cell r="AI38">
            <v>2.72</v>
          </cell>
          <cell r="AJ38">
            <v>2.72</v>
          </cell>
          <cell r="AK38">
            <v>2.72</v>
          </cell>
          <cell r="AL38">
            <v>2.72</v>
          </cell>
          <cell r="AM38">
            <v>2.72</v>
          </cell>
          <cell r="AN38">
            <v>2.72</v>
          </cell>
          <cell r="AO38">
            <v>2.72</v>
          </cell>
          <cell r="AP38" t="str">
            <v>mstag:dividendIncome</v>
          </cell>
          <cell r="AQ38">
            <v>6</v>
          </cell>
          <cell r="AR38" t="str">
            <v>ISO4217:CHF</v>
          </cell>
          <cell r="AS38" t="b">
            <v>0</v>
          </cell>
          <cell r="AT38" t="b">
            <v>0</v>
          </cell>
          <cell r="AU38" t="b">
            <v>0</v>
          </cell>
          <cell r="AV38" t="b">
            <v>0</v>
          </cell>
        </row>
        <row r="39">
          <cell r="A39" t="str">
            <v>Gains (losses) on equity derivatives, net</v>
          </cell>
          <cell r="B39">
            <v>-21</v>
          </cell>
          <cell r="E39">
            <v>18</v>
          </cell>
          <cell r="K39">
            <v>41</v>
          </cell>
          <cell r="L39">
            <v>12</v>
          </cell>
          <cell r="M39">
            <v>-3</v>
          </cell>
          <cell r="N39">
            <v>9</v>
          </cell>
          <cell r="O39">
            <v>9</v>
          </cell>
          <cell r="P39">
            <v>-1</v>
          </cell>
          <cell r="Q39">
            <v>-1</v>
          </cell>
          <cell r="R39">
            <v>-2</v>
          </cell>
          <cell r="S39">
            <v>13</v>
          </cell>
          <cell r="T39">
            <v>0</v>
          </cell>
          <cell r="U39">
            <v>13</v>
          </cell>
          <cell r="V39">
            <v>1</v>
          </cell>
          <cell r="W39">
            <v>1</v>
          </cell>
          <cell r="X39">
            <v>2</v>
          </cell>
          <cell r="Y39">
            <v>3</v>
          </cell>
          <cell r="Z39">
            <v>0</v>
          </cell>
          <cell r="AA39">
            <v>3</v>
          </cell>
          <cell r="AB39">
            <v>1</v>
          </cell>
          <cell r="AC39">
            <v>0</v>
          </cell>
          <cell r="AD39">
            <v>1</v>
          </cell>
          <cell r="AE39">
            <v>0</v>
          </cell>
          <cell r="AF39">
            <v>0</v>
          </cell>
          <cell r="AG39">
            <v>0</v>
          </cell>
          <cell r="AP39" t="str">
            <v>mstag:incomeLossesFromInvestmentsNonOperating</v>
          </cell>
          <cell r="AQ39">
            <v>6</v>
          </cell>
          <cell r="AR39" t="str">
            <v>mstag:incomeLossesFromInvestmentsNonOperating</v>
          </cell>
          <cell r="AS39">
            <v>6</v>
          </cell>
          <cell r="AT39" t="str">
            <v>ISO4217:CHF</v>
          </cell>
          <cell r="AU39" t="b">
            <v>0</v>
          </cell>
          <cell r="AV39" t="b">
            <v>0</v>
          </cell>
        </row>
        <row r="40">
          <cell r="A40" t="str">
            <v>Write-downs and impairments of equity securities</v>
          </cell>
          <cell r="E40">
            <v>-313</v>
          </cell>
          <cell r="K40">
            <v>-18</v>
          </cell>
          <cell r="L40">
            <v>-2</v>
          </cell>
          <cell r="M40">
            <v>-7</v>
          </cell>
          <cell r="N40">
            <v>-9</v>
          </cell>
          <cell r="O40">
            <v>-9</v>
          </cell>
          <cell r="P40">
            <v>-5</v>
          </cell>
          <cell r="Q40">
            <v>-30</v>
          </cell>
          <cell r="R40">
            <v>-35</v>
          </cell>
          <cell r="S40">
            <v>-10</v>
          </cell>
          <cell r="T40">
            <v>-105</v>
          </cell>
          <cell r="U40">
            <v>-115</v>
          </cell>
          <cell r="V40">
            <v>-2</v>
          </cell>
          <cell r="W40">
            <v>-16</v>
          </cell>
          <cell r="X40">
            <v>-18</v>
          </cell>
          <cell r="Y40">
            <v>-10</v>
          </cell>
          <cell r="Z40">
            <v>-9</v>
          </cell>
          <cell r="AA40">
            <v>-19</v>
          </cell>
          <cell r="AB40">
            <v>-11</v>
          </cell>
          <cell r="AC40">
            <v>0</v>
          </cell>
          <cell r="AD40">
            <v>-11</v>
          </cell>
          <cell r="AE40">
            <v>0</v>
          </cell>
          <cell r="AF40">
            <v>0</v>
          </cell>
          <cell r="AG40">
            <v>0</v>
          </cell>
          <cell r="AP40" t="str">
            <v>mstag:incomeLossesFromInvestmentsNonOperating</v>
          </cell>
          <cell r="AQ40">
            <v>6</v>
          </cell>
          <cell r="AR40" t="str">
            <v>mstag:incomeLossesFromInvestmentsNonOperating</v>
          </cell>
          <cell r="AS40">
            <v>6</v>
          </cell>
          <cell r="AT40" t="str">
            <v>ISO4217:CHF</v>
          </cell>
          <cell r="AU40" t="b">
            <v>0</v>
          </cell>
          <cell r="AV40" t="b">
            <v>0</v>
          </cell>
        </row>
        <row r="41">
          <cell r="A41" t="str">
            <v>Net income from equity securities</v>
          </cell>
          <cell r="B41">
            <v>1513</v>
          </cell>
          <cell r="E41">
            <v>-168</v>
          </cell>
          <cell r="H41">
            <v>0</v>
          </cell>
          <cell r="K41">
            <v>258</v>
          </cell>
          <cell r="L41">
            <v>241</v>
          </cell>
          <cell r="M41">
            <v>149</v>
          </cell>
          <cell r="N41">
            <v>390</v>
          </cell>
          <cell r="O41">
            <v>390</v>
          </cell>
          <cell r="P41">
            <v>149</v>
          </cell>
          <cell r="Q41">
            <v>164</v>
          </cell>
          <cell r="R41">
            <v>313</v>
          </cell>
          <cell r="S41">
            <v>99</v>
          </cell>
          <cell r="T41">
            <v>34</v>
          </cell>
          <cell r="U41">
            <v>133</v>
          </cell>
          <cell r="V41">
            <v>35</v>
          </cell>
          <cell r="W41">
            <v>1</v>
          </cell>
          <cell r="X41">
            <v>36</v>
          </cell>
          <cell r="Y41">
            <v>81</v>
          </cell>
          <cell r="Z41">
            <v>13</v>
          </cell>
          <cell r="AA41">
            <v>94</v>
          </cell>
          <cell r="AB41">
            <v>54</v>
          </cell>
          <cell r="AC41">
            <v>-65.28</v>
          </cell>
          <cell r="AD41">
            <v>-11.28</v>
          </cell>
          <cell r="AE41">
            <v>1.36</v>
          </cell>
          <cell r="AF41">
            <v>1.36</v>
          </cell>
          <cell r="AG41">
            <v>2.72</v>
          </cell>
          <cell r="AH41">
            <v>2.72</v>
          </cell>
          <cell r="AI41">
            <v>2.72</v>
          </cell>
          <cell r="AJ41">
            <v>2.72</v>
          </cell>
          <cell r="AK41">
            <v>2.72</v>
          </cell>
          <cell r="AL41">
            <v>2.72</v>
          </cell>
          <cell r="AM41">
            <v>2.72</v>
          </cell>
          <cell r="AN41">
            <v>2.72</v>
          </cell>
          <cell r="AO41">
            <v>2.72</v>
          </cell>
        </row>
        <row r="42">
          <cell r="AG42">
            <v>-45967.000893715762</v>
          </cell>
          <cell r="AI42">
            <v>-46149.780626873544</v>
          </cell>
        </row>
        <row r="43">
          <cell r="A43" t="str">
            <v>Interest income</v>
          </cell>
          <cell r="B43">
            <v>405</v>
          </cell>
          <cell r="E43">
            <v>203</v>
          </cell>
          <cell r="H43">
            <v>369</v>
          </cell>
          <cell r="K43">
            <v>423</v>
          </cell>
          <cell r="L43">
            <v>341</v>
          </cell>
          <cell r="M43">
            <v>447</v>
          </cell>
          <cell r="N43">
            <v>788</v>
          </cell>
          <cell r="O43">
            <v>788</v>
          </cell>
          <cell r="P43">
            <v>520</v>
          </cell>
          <cell r="Q43">
            <v>552</v>
          </cell>
          <cell r="R43">
            <v>1072</v>
          </cell>
          <cell r="S43">
            <v>390</v>
          </cell>
          <cell r="T43">
            <v>308</v>
          </cell>
          <cell r="U43">
            <v>698</v>
          </cell>
          <cell r="V43">
            <v>137</v>
          </cell>
          <cell r="W43">
            <v>42</v>
          </cell>
          <cell r="X43">
            <v>179</v>
          </cell>
          <cell r="Y43">
            <v>31</v>
          </cell>
          <cell r="Z43">
            <v>20</v>
          </cell>
          <cell r="AA43">
            <v>51</v>
          </cell>
          <cell r="AB43">
            <v>43</v>
          </cell>
          <cell r="AC43">
            <v>50.155000000000001</v>
          </cell>
          <cell r="AD43">
            <v>93.155000000000001</v>
          </cell>
          <cell r="AE43">
            <v>44.148341304358922</v>
          </cell>
          <cell r="AF43">
            <v>44.148341304358922</v>
          </cell>
          <cell r="AG43">
            <v>88.296682608717845</v>
          </cell>
          <cell r="AH43">
            <v>88.40598168705516</v>
          </cell>
          <cell r="AI43">
            <v>93.594382493319344</v>
          </cell>
          <cell r="AJ43">
            <v>93.189729471384894</v>
          </cell>
          <cell r="AK43">
            <v>88.465698350863278</v>
          </cell>
          <cell r="AL43">
            <v>107.26386397166469</v>
          </cell>
          <cell r="AM43">
            <v>158.40673572429461</v>
          </cell>
          <cell r="AN43">
            <v>217.95106047404269</v>
          </cell>
          <cell r="AO43">
            <v>280.79446612278679</v>
          </cell>
          <cell r="AP43" t="str">
            <v>mstag:interestIncome</v>
          </cell>
          <cell r="AQ43">
            <v>6</v>
          </cell>
          <cell r="AR43" t="str">
            <v>ISO4217:CHF</v>
          </cell>
          <cell r="AS43" t="b">
            <v>0</v>
          </cell>
          <cell r="AT43" t="b">
            <v>0</v>
          </cell>
          <cell r="AU43" t="b">
            <v>0</v>
          </cell>
          <cell r="AV43" t="b">
            <v>0</v>
          </cell>
        </row>
        <row r="44">
          <cell r="A44" t="str">
            <v>Gains on sale of debt securities</v>
          </cell>
          <cell r="B44">
            <v>165</v>
          </cell>
          <cell r="E44">
            <v>61</v>
          </cell>
          <cell r="K44">
            <v>79</v>
          </cell>
          <cell r="L44">
            <v>33</v>
          </cell>
          <cell r="M44">
            <v>24</v>
          </cell>
          <cell r="N44">
            <v>57</v>
          </cell>
          <cell r="O44">
            <v>57</v>
          </cell>
          <cell r="P44">
            <v>65</v>
          </cell>
          <cell r="Q44">
            <v>95</v>
          </cell>
          <cell r="R44">
            <v>160</v>
          </cell>
          <cell r="S44">
            <v>7</v>
          </cell>
          <cell r="T44">
            <v>16</v>
          </cell>
          <cell r="U44">
            <v>23</v>
          </cell>
          <cell r="V44">
            <v>0</v>
          </cell>
          <cell r="W44">
            <v>7</v>
          </cell>
          <cell r="X44">
            <v>7</v>
          </cell>
          <cell r="Y44">
            <v>1</v>
          </cell>
          <cell r="Z44">
            <v>16</v>
          </cell>
          <cell r="AA44">
            <v>17</v>
          </cell>
          <cell r="AB44">
            <v>21</v>
          </cell>
          <cell r="AC44">
            <v>0</v>
          </cell>
          <cell r="AD44">
            <v>21</v>
          </cell>
          <cell r="AE44">
            <v>0</v>
          </cell>
          <cell r="AF44">
            <v>0</v>
          </cell>
          <cell r="AG44">
            <v>0</v>
          </cell>
          <cell r="AP44" t="str">
            <v>mstag:gainLossOnRedemptionAndExtinguishmentOfDebt</v>
          </cell>
          <cell r="AQ44">
            <v>6</v>
          </cell>
          <cell r="AR44" t="str">
            <v>mstag:gainLossOnRedemptionAndExtinguishmentOfDebt</v>
          </cell>
          <cell r="AS44">
            <v>6</v>
          </cell>
          <cell r="AT44" t="str">
            <v>ISO4217:CHF</v>
          </cell>
          <cell r="AU44" t="b">
            <v>0</v>
          </cell>
          <cell r="AV44" t="b">
            <v>0</v>
          </cell>
        </row>
        <row r="45">
          <cell r="A45" t="str">
            <v>(Losses) on sale of debt securities</v>
          </cell>
          <cell r="B45">
            <v>-48</v>
          </cell>
          <cell r="E45">
            <v>-49</v>
          </cell>
          <cell r="K45">
            <v>-86</v>
          </cell>
          <cell r="L45">
            <v>-35</v>
          </cell>
          <cell r="M45">
            <v>-32</v>
          </cell>
          <cell r="N45">
            <v>-67</v>
          </cell>
          <cell r="O45">
            <v>-67</v>
          </cell>
          <cell r="P45">
            <v>-57</v>
          </cell>
          <cell r="Q45">
            <v>-128</v>
          </cell>
          <cell r="R45">
            <v>-185</v>
          </cell>
          <cell r="S45">
            <v>-103</v>
          </cell>
          <cell r="T45">
            <v>-109</v>
          </cell>
          <cell r="U45">
            <v>-212</v>
          </cell>
          <cell r="V45">
            <v>11</v>
          </cell>
          <cell r="W45">
            <v>24</v>
          </cell>
          <cell r="X45">
            <v>35</v>
          </cell>
          <cell r="Y45">
            <v>-1</v>
          </cell>
          <cell r="Z45">
            <v>-3</v>
          </cell>
          <cell r="AA45">
            <v>-4</v>
          </cell>
          <cell r="AB45">
            <v>-15</v>
          </cell>
          <cell r="AC45">
            <v>0</v>
          </cell>
          <cell r="AD45">
            <v>-15</v>
          </cell>
          <cell r="AE45">
            <v>0</v>
          </cell>
          <cell r="AF45">
            <v>0</v>
          </cell>
          <cell r="AG45">
            <v>0</v>
          </cell>
          <cell r="AP45" t="str">
            <v>mstag:gainLossOnRedemptionAndExtinguishmentOfDebt</v>
          </cell>
          <cell r="AQ45">
            <v>6</v>
          </cell>
          <cell r="AR45" t="str">
            <v>mstag:gainLossOnRedemptionAndExtinguishmentOfDebt</v>
          </cell>
          <cell r="AS45">
            <v>6</v>
          </cell>
          <cell r="AT45" t="str">
            <v>ISO4217:CHF</v>
          </cell>
          <cell r="AU45" t="b">
            <v>0</v>
          </cell>
          <cell r="AV45" t="b">
            <v>0</v>
          </cell>
        </row>
        <row r="46">
          <cell r="A46" t="str">
            <v>Write-downs and impairments of long-term loans</v>
          </cell>
          <cell r="B46">
            <v>-35</v>
          </cell>
          <cell r="L46">
            <v>-3</v>
          </cell>
          <cell r="M46">
            <v>5</v>
          </cell>
          <cell r="N46">
            <v>2</v>
          </cell>
          <cell r="O46">
            <v>2</v>
          </cell>
          <cell r="P46">
            <v>8</v>
          </cell>
          <cell r="Q46">
            <v>-54</v>
          </cell>
          <cell r="R46">
            <v>-46</v>
          </cell>
          <cell r="S46">
            <v>-6</v>
          </cell>
          <cell r="T46">
            <v>-111</v>
          </cell>
          <cell r="U46">
            <v>-117</v>
          </cell>
          <cell r="V46">
            <v>-3</v>
          </cell>
          <cell r="W46">
            <v>0</v>
          </cell>
          <cell r="X46">
            <v>-3</v>
          </cell>
          <cell r="Y46">
            <v>0</v>
          </cell>
          <cell r="Z46">
            <v>0</v>
          </cell>
          <cell r="AA46">
            <v>0</v>
          </cell>
          <cell r="AB46">
            <v>-9</v>
          </cell>
          <cell r="AC46">
            <v>0</v>
          </cell>
          <cell r="AD46">
            <v>-9</v>
          </cell>
          <cell r="AE46">
            <v>0</v>
          </cell>
          <cell r="AF46">
            <v>0</v>
          </cell>
          <cell r="AG46">
            <v>0</v>
          </cell>
          <cell r="AP46" t="str">
            <v>mstag:gainLossOnRedemptionAndExtinguishmentOfDebt</v>
          </cell>
          <cell r="AQ46">
            <v>6</v>
          </cell>
          <cell r="AR46" t="str">
            <v>mstag:gainLossOnRedemptionAndExtinguishmentOfDebt</v>
          </cell>
          <cell r="AS46">
            <v>6</v>
          </cell>
          <cell r="AT46" t="str">
            <v>ISO4217:CHF</v>
          </cell>
          <cell r="AU46" t="b">
            <v>0</v>
          </cell>
          <cell r="AV46" t="b">
            <v>0</v>
          </cell>
        </row>
        <row r="47">
          <cell r="A47" t="str">
            <v>Net interest income and income from debt securities</v>
          </cell>
          <cell r="B47">
            <v>487</v>
          </cell>
          <cell r="E47">
            <v>215</v>
          </cell>
          <cell r="H47">
            <v>369</v>
          </cell>
          <cell r="K47">
            <v>416</v>
          </cell>
          <cell r="L47">
            <v>336</v>
          </cell>
          <cell r="M47">
            <v>444</v>
          </cell>
          <cell r="N47">
            <v>780</v>
          </cell>
          <cell r="O47">
            <v>780</v>
          </cell>
          <cell r="P47">
            <v>536</v>
          </cell>
          <cell r="Q47">
            <v>465</v>
          </cell>
          <cell r="R47">
            <v>1001</v>
          </cell>
          <cell r="S47">
            <v>288</v>
          </cell>
          <cell r="T47">
            <v>104</v>
          </cell>
          <cell r="U47">
            <v>392</v>
          </cell>
          <cell r="V47">
            <v>145</v>
          </cell>
          <cell r="W47">
            <v>73</v>
          </cell>
          <cell r="X47">
            <v>218</v>
          </cell>
          <cell r="Y47">
            <v>31</v>
          </cell>
          <cell r="Z47">
            <v>33</v>
          </cell>
          <cell r="AA47">
            <v>64</v>
          </cell>
          <cell r="AB47">
            <v>40</v>
          </cell>
          <cell r="AC47">
            <v>50.155000000000001</v>
          </cell>
          <cell r="AD47">
            <v>90.155000000000001</v>
          </cell>
          <cell r="AE47">
            <v>44.148341304358922</v>
          </cell>
          <cell r="AF47">
            <v>44.148341304358922</v>
          </cell>
          <cell r="AG47">
            <v>88.296682608717845</v>
          </cell>
          <cell r="AH47">
            <v>88.40598168705516</v>
          </cell>
          <cell r="AI47">
            <v>93.594382493319344</v>
          </cell>
          <cell r="AJ47">
            <v>93.189729471384894</v>
          </cell>
          <cell r="AK47">
            <v>88.465698350863278</v>
          </cell>
          <cell r="AL47">
            <v>107.26386397166469</v>
          </cell>
          <cell r="AM47">
            <v>158.40673572429461</v>
          </cell>
          <cell r="AN47">
            <v>217.95106047404269</v>
          </cell>
          <cell r="AO47">
            <v>280.79446612278679</v>
          </cell>
        </row>
        <row r="49">
          <cell r="A49" t="str">
            <v>Expected return on plan assets</v>
          </cell>
          <cell r="K49">
            <v>635</v>
          </cell>
          <cell r="L49">
            <v>319</v>
          </cell>
          <cell r="M49">
            <v>317</v>
          </cell>
          <cell r="N49">
            <v>636</v>
          </cell>
          <cell r="O49">
            <v>636</v>
          </cell>
          <cell r="P49">
            <v>335</v>
          </cell>
          <cell r="Q49">
            <v>335</v>
          </cell>
          <cell r="R49">
            <v>670</v>
          </cell>
          <cell r="S49">
            <v>339</v>
          </cell>
          <cell r="T49">
            <v>349</v>
          </cell>
          <cell r="U49">
            <v>688</v>
          </cell>
          <cell r="V49">
            <v>257</v>
          </cell>
          <cell r="W49">
            <v>250</v>
          </cell>
          <cell r="X49">
            <v>507</v>
          </cell>
          <cell r="Y49">
            <v>286</v>
          </cell>
          <cell r="Z49">
            <v>276</v>
          </cell>
          <cell r="AA49">
            <v>562</v>
          </cell>
          <cell r="AB49">
            <v>253</v>
          </cell>
          <cell r="AC49">
            <v>309</v>
          </cell>
          <cell r="AD49">
            <v>562</v>
          </cell>
          <cell r="AE49">
            <v>281</v>
          </cell>
          <cell r="AF49">
            <v>281</v>
          </cell>
          <cell r="AG49">
            <v>562</v>
          </cell>
          <cell r="AH49">
            <v>562</v>
          </cell>
          <cell r="AI49">
            <v>562</v>
          </cell>
          <cell r="AJ49">
            <v>562</v>
          </cell>
          <cell r="AK49">
            <v>562</v>
          </cell>
          <cell r="AL49">
            <v>562</v>
          </cell>
          <cell r="AM49">
            <v>562</v>
          </cell>
          <cell r="AN49">
            <v>562</v>
          </cell>
          <cell r="AO49">
            <v>562</v>
          </cell>
          <cell r="AP49" t="str">
            <v>mstag:otherNonOperatingIncomeExpense</v>
          </cell>
          <cell r="AQ49">
            <v>6</v>
          </cell>
          <cell r="AR49" t="str">
            <v>ISO4217:CHF</v>
          </cell>
          <cell r="AS49" t="b">
            <v>0</v>
          </cell>
          <cell r="AT49" t="str">
            <v>ISO4217:CHF</v>
          </cell>
          <cell r="AU49" t="b">
            <v>0</v>
          </cell>
        </row>
        <row r="51">
          <cell r="A51" t="str">
            <v>Interest expense</v>
          </cell>
          <cell r="B51">
            <v>-621</v>
          </cell>
          <cell r="E51">
            <v>-560</v>
          </cell>
          <cell r="H51">
            <v>-629</v>
          </cell>
          <cell r="K51">
            <v>-264</v>
          </cell>
          <cell r="L51">
            <v>-153</v>
          </cell>
          <cell r="M51">
            <v>-162</v>
          </cell>
          <cell r="N51">
            <v>-315</v>
          </cell>
          <cell r="O51">
            <v>-315</v>
          </cell>
          <cell r="P51">
            <v>-144</v>
          </cell>
          <cell r="Q51">
            <v>-137</v>
          </cell>
          <cell r="R51">
            <v>-281</v>
          </cell>
          <cell r="S51">
            <v>-106</v>
          </cell>
          <cell r="T51">
            <v>-108</v>
          </cell>
          <cell r="U51">
            <v>-214</v>
          </cell>
          <cell r="V51">
            <v>-684</v>
          </cell>
          <cell r="W51">
            <v>-1049</v>
          </cell>
          <cell r="X51">
            <v>-1733</v>
          </cell>
          <cell r="Y51">
            <v>-994</v>
          </cell>
          <cell r="Z51">
            <v>-855</v>
          </cell>
          <cell r="AA51">
            <v>-1849</v>
          </cell>
          <cell r="AB51">
            <v>-765</v>
          </cell>
          <cell r="AC51">
            <v>-867.93715247292948</v>
          </cell>
          <cell r="AD51">
            <v>-1632.9371524729295</v>
          </cell>
          <cell r="AE51">
            <v>-704.33622329528828</v>
          </cell>
          <cell r="AF51">
            <v>-704.33622329528828</v>
          </cell>
          <cell r="AG51">
            <v>-1408.6724465905766</v>
          </cell>
          <cell r="AH51">
            <v>-1227.4690883816213</v>
          </cell>
          <cell r="AI51">
            <v>-931.6823968393328</v>
          </cell>
          <cell r="AJ51">
            <v>-606.5353380158034</v>
          </cell>
          <cell r="AK51">
            <v>-205.88235294117652</v>
          </cell>
          <cell r="AL51">
            <v>-205.88235294117652</v>
          </cell>
          <cell r="AM51">
            <v>-205.88235294117652</v>
          </cell>
          <cell r="AN51">
            <v>-205.88235294117652</v>
          </cell>
          <cell r="AO51">
            <v>-205.88235294117652</v>
          </cell>
          <cell r="AP51" t="str">
            <v>mstag:interestExpense</v>
          </cell>
          <cell r="AQ51">
            <v>6</v>
          </cell>
          <cell r="AR51" t="str">
            <v>ISO4217:CHF</v>
          </cell>
          <cell r="AS51" t="b">
            <v>1</v>
          </cell>
          <cell r="AT51" t="b">
            <v>0</v>
          </cell>
          <cell r="AU51" t="b">
            <v>1</v>
          </cell>
          <cell r="AV51" t="b">
            <v>0</v>
          </cell>
        </row>
        <row r="52">
          <cell r="A52" t="str">
            <v>Amortisation of discount on debt instruments</v>
          </cell>
          <cell r="B52">
            <v>-468</v>
          </cell>
          <cell r="E52">
            <v>-354</v>
          </cell>
          <cell r="K52">
            <v>-62</v>
          </cell>
          <cell r="L52">
            <v>-22</v>
          </cell>
          <cell r="M52">
            <v>-18</v>
          </cell>
          <cell r="N52">
            <v>-40</v>
          </cell>
          <cell r="O52">
            <v>-40</v>
          </cell>
          <cell r="P52">
            <v>-6</v>
          </cell>
          <cell r="Q52">
            <v>-2</v>
          </cell>
          <cell r="R52">
            <v>-8</v>
          </cell>
          <cell r="S52">
            <v>0</v>
          </cell>
          <cell r="T52">
            <v>-1</v>
          </cell>
          <cell r="U52">
            <v>-1</v>
          </cell>
          <cell r="V52">
            <v>-17</v>
          </cell>
          <cell r="W52">
            <v>-30</v>
          </cell>
          <cell r="X52">
            <v>-47</v>
          </cell>
          <cell r="Y52">
            <v>-26</v>
          </cell>
          <cell r="Z52">
            <v>-21</v>
          </cell>
          <cell r="AA52">
            <v>-47</v>
          </cell>
          <cell r="AB52">
            <v>-18</v>
          </cell>
          <cell r="AC52">
            <v>-29</v>
          </cell>
          <cell r="AD52">
            <v>-47</v>
          </cell>
          <cell r="AE52">
            <v>-23.5</v>
          </cell>
          <cell r="AF52">
            <v>-23.5</v>
          </cell>
          <cell r="AG52">
            <v>-47</v>
          </cell>
          <cell r="AH52">
            <v>-47</v>
          </cell>
          <cell r="AI52">
            <v>-47</v>
          </cell>
          <cell r="AJ52">
            <v>-47</v>
          </cell>
          <cell r="AK52">
            <v>-47</v>
          </cell>
          <cell r="AL52">
            <v>-47</v>
          </cell>
          <cell r="AM52">
            <v>-47</v>
          </cell>
          <cell r="AN52">
            <v>-47</v>
          </cell>
          <cell r="AO52">
            <v>-47</v>
          </cell>
          <cell r="AP52" t="str">
            <v>mstag:otherInterestIncomeExpense</v>
          </cell>
          <cell r="AQ52">
            <v>6</v>
          </cell>
          <cell r="AR52" t="str">
            <v>ISO4217:CHF</v>
          </cell>
          <cell r="AS52" t="b">
            <v>0</v>
          </cell>
          <cell r="AT52" t="b">
            <v>0</v>
          </cell>
          <cell r="AU52" t="b">
            <v>0</v>
          </cell>
          <cell r="AV52" t="b">
            <v>0</v>
          </cell>
        </row>
        <row r="53">
          <cell r="A53" t="str">
            <v>Gains (losses) on interest rate derivatives, net</v>
          </cell>
          <cell r="B53">
            <v>-114</v>
          </cell>
          <cell r="E53">
            <v>30</v>
          </cell>
          <cell r="K53">
            <v>-19</v>
          </cell>
          <cell r="L53">
            <v>-25</v>
          </cell>
          <cell r="M53">
            <v>0</v>
          </cell>
          <cell r="N53">
            <v>-25</v>
          </cell>
          <cell r="O53">
            <v>-25</v>
          </cell>
          <cell r="P53">
            <v>0</v>
          </cell>
          <cell r="Q53">
            <v>-2</v>
          </cell>
          <cell r="R53">
            <v>-2</v>
          </cell>
          <cell r="S53">
            <v>-1</v>
          </cell>
          <cell r="T53">
            <v>-3</v>
          </cell>
          <cell r="U53">
            <v>-4</v>
          </cell>
          <cell r="V53">
            <v>1</v>
          </cell>
          <cell r="W53">
            <v>-10</v>
          </cell>
          <cell r="X53">
            <v>-9</v>
          </cell>
          <cell r="Y53">
            <v>-1</v>
          </cell>
          <cell r="Z53">
            <v>0</v>
          </cell>
          <cell r="AA53">
            <v>-1</v>
          </cell>
          <cell r="AB53">
            <v>0</v>
          </cell>
          <cell r="AC53">
            <v>0</v>
          </cell>
          <cell r="AD53">
            <v>0</v>
          </cell>
          <cell r="AE53">
            <v>0</v>
          </cell>
          <cell r="AF53">
            <v>0</v>
          </cell>
          <cell r="AG53">
            <v>0</v>
          </cell>
          <cell r="AP53" t="str">
            <v>mstag:otherInterestIncomeExpense</v>
          </cell>
          <cell r="AQ53">
            <v>6</v>
          </cell>
          <cell r="AR53" t="str">
            <v>mstag:otherInterestIncomeExpense</v>
          </cell>
          <cell r="AS53">
            <v>6</v>
          </cell>
          <cell r="AT53" t="str">
            <v>ISO4217:CHF</v>
          </cell>
          <cell r="AU53" t="b">
            <v>0</v>
          </cell>
          <cell r="AV53" t="b">
            <v>0</v>
          </cell>
        </row>
        <row r="54">
          <cell r="A54" t="str">
            <v>Gains (losses) on redemption/repurchse of bonds/notes, net</v>
          </cell>
          <cell r="Y54">
            <v>-144</v>
          </cell>
          <cell r="Z54">
            <v>-111</v>
          </cell>
          <cell r="AA54">
            <v>-255</v>
          </cell>
          <cell r="AB54">
            <v>-89</v>
          </cell>
          <cell r="AC54">
            <v>0</v>
          </cell>
          <cell r="AD54">
            <v>-89</v>
          </cell>
          <cell r="AE54">
            <v>0</v>
          </cell>
          <cell r="AF54">
            <v>0</v>
          </cell>
          <cell r="AG54">
            <v>0</v>
          </cell>
          <cell r="AP54" t="str">
            <v>mstag:gainLossOnRedemptionAndExtinguishmentOfDebt</v>
          </cell>
          <cell r="AQ54">
            <v>6</v>
          </cell>
          <cell r="AR54" t="str">
            <v>mstag:gainLossOnRedemptionAndExtinguishmentOfDebt</v>
          </cell>
          <cell r="AS54">
            <v>6</v>
          </cell>
          <cell r="AT54" t="str">
            <v>ISO4217:CHF</v>
          </cell>
          <cell r="AU54" t="b">
            <v>0</v>
          </cell>
        </row>
        <row r="55">
          <cell r="A55" t="str">
            <v>Fair value P&amp;L</v>
          </cell>
          <cell r="K55">
            <v>41</v>
          </cell>
          <cell r="L55">
            <v>46</v>
          </cell>
          <cell r="M55">
            <v>5</v>
          </cell>
          <cell r="N55">
            <v>51</v>
          </cell>
          <cell r="O55">
            <v>51</v>
          </cell>
          <cell r="P55">
            <v>14</v>
          </cell>
          <cell r="Q55">
            <v>-13</v>
          </cell>
          <cell r="R55">
            <v>1</v>
          </cell>
          <cell r="S55">
            <v>-1</v>
          </cell>
          <cell r="T55">
            <v>6</v>
          </cell>
          <cell r="U55">
            <v>5</v>
          </cell>
          <cell r="V55">
            <v>6</v>
          </cell>
          <cell r="W55">
            <v>0</v>
          </cell>
          <cell r="X55">
            <v>6</v>
          </cell>
          <cell r="AA55">
            <v>0</v>
          </cell>
          <cell r="AB55">
            <v>0</v>
          </cell>
          <cell r="AC55">
            <v>0</v>
          </cell>
          <cell r="AD55">
            <v>0</v>
          </cell>
          <cell r="AE55">
            <v>0</v>
          </cell>
          <cell r="AF55">
            <v>0</v>
          </cell>
          <cell r="AG55">
            <v>0</v>
          </cell>
          <cell r="AP55" t="str">
            <v>mstag:otherInterestIncomeExpense</v>
          </cell>
          <cell r="AQ55">
            <v>6</v>
          </cell>
          <cell r="AR55" t="str">
            <v>mstag:otherInterestIncomeExpense</v>
          </cell>
          <cell r="AS55">
            <v>6</v>
          </cell>
          <cell r="AT55" t="str">
            <v>ISO4217:CHF</v>
          </cell>
          <cell r="AU55" t="b">
            <v>0</v>
          </cell>
        </row>
        <row r="56">
          <cell r="A56" t="str">
            <v>Time cost of provisions</v>
          </cell>
          <cell r="B56">
            <v>-152</v>
          </cell>
          <cell r="E56">
            <v>-96</v>
          </cell>
          <cell r="K56">
            <v>-78</v>
          </cell>
          <cell r="L56">
            <v>-39</v>
          </cell>
          <cell r="M56">
            <v>-35</v>
          </cell>
          <cell r="N56">
            <v>-74</v>
          </cell>
          <cell r="O56">
            <v>-74</v>
          </cell>
          <cell r="P56">
            <v>-36</v>
          </cell>
          <cell r="Q56">
            <v>-33</v>
          </cell>
          <cell r="R56">
            <v>-69</v>
          </cell>
          <cell r="S56">
            <v>-16</v>
          </cell>
          <cell r="T56">
            <v>-5</v>
          </cell>
          <cell r="U56">
            <v>-21</v>
          </cell>
          <cell r="V56">
            <v>-11</v>
          </cell>
          <cell r="W56">
            <v>-10</v>
          </cell>
          <cell r="X56">
            <v>-21</v>
          </cell>
          <cell r="Y56">
            <v>-7</v>
          </cell>
          <cell r="Z56">
            <v>-13</v>
          </cell>
          <cell r="AA56">
            <v>-20</v>
          </cell>
          <cell r="AB56">
            <v>-5</v>
          </cell>
          <cell r="AC56">
            <v>0</v>
          </cell>
          <cell r="AD56">
            <v>-5</v>
          </cell>
          <cell r="AE56">
            <v>0</v>
          </cell>
          <cell r="AF56">
            <v>0</v>
          </cell>
          <cell r="AG56">
            <v>0</v>
          </cell>
          <cell r="AH56">
            <v>0</v>
          </cell>
          <cell r="AI56">
            <v>0</v>
          </cell>
          <cell r="AJ56">
            <v>0</v>
          </cell>
          <cell r="AK56">
            <v>0</v>
          </cell>
          <cell r="AL56">
            <v>0</v>
          </cell>
          <cell r="AM56">
            <v>0</v>
          </cell>
          <cell r="AN56">
            <v>0</v>
          </cell>
          <cell r="AO56">
            <v>0</v>
          </cell>
          <cell r="AP56" t="str">
            <v>mstag:interestExpense</v>
          </cell>
          <cell r="AQ56">
            <v>6</v>
          </cell>
          <cell r="AR56" t="str">
            <v>ISO4217:CHF</v>
          </cell>
          <cell r="AS56" t="b">
            <v>1</v>
          </cell>
          <cell r="AT56" t="b">
            <v>0</v>
          </cell>
          <cell r="AU56" t="b">
            <v>1</v>
          </cell>
          <cell r="AV56" t="b">
            <v>0</v>
          </cell>
        </row>
        <row r="57">
          <cell r="A57" t="str">
            <v>Net interest expense</v>
          </cell>
          <cell r="B57">
            <v>-1355</v>
          </cell>
          <cell r="E57">
            <v>-980</v>
          </cell>
          <cell r="H57">
            <v>-629</v>
          </cell>
          <cell r="K57">
            <v>-382</v>
          </cell>
          <cell r="L57">
            <v>-193</v>
          </cell>
          <cell r="M57">
            <v>-210</v>
          </cell>
          <cell r="N57">
            <v>-403</v>
          </cell>
          <cell r="O57">
            <v>-403</v>
          </cell>
          <cell r="P57">
            <v>-172</v>
          </cell>
          <cell r="Q57">
            <v>-187</v>
          </cell>
          <cell r="R57">
            <v>-359</v>
          </cell>
          <cell r="S57">
            <v>-124</v>
          </cell>
          <cell r="T57">
            <v>-111</v>
          </cell>
          <cell r="U57">
            <v>-235</v>
          </cell>
          <cell r="V57">
            <v>-705</v>
          </cell>
          <cell r="W57">
            <v>-1099</v>
          </cell>
          <cell r="X57">
            <v>-1804</v>
          </cell>
          <cell r="Y57">
            <v>-1172</v>
          </cell>
          <cell r="Z57">
            <v>-1000</v>
          </cell>
          <cell r="AA57">
            <v>-2172</v>
          </cell>
          <cell r="AB57">
            <v>-877</v>
          </cell>
          <cell r="AC57">
            <v>-896.93715247292948</v>
          </cell>
          <cell r="AD57">
            <v>-1773.9371524729295</v>
          </cell>
          <cell r="AE57">
            <v>-727.83622329528828</v>
          </cell>
          <cell r="AF57">
            <v>-727.83622329528828</v>
          </cell>
          <cell r="AG57">
            <v>-1455.6724465905766</v>
          </cell>
          <cell r="AH57">
            <v>-1274.4690883816213</v>
          </cell>
          <cell r="AI57">
            <v>-978.6823968393328</v>
          </cell>
          <cell r="AJ57">
            <v>-653.5353380158034</v>
          </cell>
          <cell r="AK57">
            <v>-252.88235294117652</v>
          </cell>
          <cell r="AL57">
            <v>-252.88235294117652</v>
          </cell>
          <cell r="AM57">
            <v>-252.88235294117652</v>
          </cell>
          <cell r="AN57">
            <v>-252.88235294117652</v>
          </cell>
          <cell r="AO57">
            <v>-252.88235294117652</v>
          </cell>
        </row>
        <row r="59">
          <cell r="A59" t="str">
            <v>Interest Cost of defined benefit plans</v>
          </cell>
          <cell r="K59">
            <v>-603</v>
          </cell>
          <cell r="L59">
            <v>-285</v>
          </cell>
          <cell r="M59">
            <v>-286</v>
          </cell>
          <cell r="N59">
            <v>-571</v>
          </cell>
          <cell r="O59">
            <v>-571</v>
          </cell>
          <cell r="P59">
            <v>-307</v>
          </cell>
          <cell r="Q59">
            <v>-305</v>
          </cell>
          <cell r="R59">
            <v>-612</v>
          </cell>
          <cell r="S59">
            <v>-323</v>
          </cell>
          <cell r="T59">
            <v>-329</v>
          </cell>
          <cell r="U59">
            <v>-652</v>
          </cell>
          <cell r="V59">
            <v>-330</v>
          </cell>
          <cell r="W59">
            <v>-326</v>
          </cell>
          <cell r="X59">
            <v>-656</v>
          </cell>
          <cell r="Y59">
            <v>-336</v>
          </cell>
          <cell r="Z59">
            <v>-321</v>
          </cell>
          <cell r="AA59">
            <v>-657</v>
          </cell>
          <cell r="AB59">
            <v>-288</v>
          </cell>
          <cell r="AC59">
            <v>-369</v>
          </cell>
          <cell r="AD59">
            <v>-657</v>
          </cell>
          <cell r="AE59">
            <v>-328.5</v>
          </cell>
          <cell r="AF59">
            <v>-328.5</v>
          </cell>
          <cell r="AG59">
            <v>-657</v>
          </cell>
          <cell r="AH59">
            <v>-657</v>
          </cell>
          <cell r="AI59">
            <v>-657</v>
          </cell>
          <cell r="AJ59">
            <v>-657</v>
          </cell>
          <cell r="AK59">
            <v>-657</v>
          </cell>
          <cell r="AL59">
            <v>-657</v>
          </cell>
          <cell r="AM59">
            <v>-657</v>
          </cell>
          <cell r="AN59">
            <v>-657</v>
          </cell>
          <cell r="AO59">
            <v>-657</v>
          </cell>
          <cell r="AP59" t="str">
            <v>mstag:otherNonOperatingIncomeExpense</v>
          </cell>
          <cell r="AQ59">
            <v>6</v>
          </cell>
          <cell r="AR59" t="str">
            <v>ISO4217:CHF</v>
          </cell>
          <cell r="AS59" t="b">
            <v>0</v>
          </cell>
          <cell r="AT59" t="str">
            <v>ISO4217:CHF</v>
          </cell>
          <cell r="AU59" t="b">
            <v>0</v>
          </cell>
        </row>
        <row r="61">
          <cell r="A61" t="str">
            <v>Foreign exchange gains/(losses), net</v>
          </cell>
          <cell r="B61">
            <v>-138</v>
          </cell>
          <cell r="E61">
            <v>254</v>
          </cell>
          <cell r="K61">
            <v>139</v>
          </cell>
          <cell r="L61">
            <v>-44</v>
          </cell>
          <cell r="M61">
            <v>77</v>
          </cell>
          <cell r="N61">
            <v>33</v>
          </cell>
          <cell r="O61">
            <v>33</v>
          </cell>
          <cell r="P61">
            <v>81</v>
          </cell>
          <cell r="Q61">
            <v>29</v>
          </cell>
          <cell r="R61">
            <v>110</v>
          </cell>
          <cell r="S61">
            <v>-82</v>
          </cell>
          <cell r="T61">
            <v>-311</v>
          </cell>
          <cell r="U61">
            <v>-393</v>
          </cell>
          <cell r="V61">
            <v>-742</v>
          </cell>
          <cell r="W61">
            <v>-248</v>
          </cell>
          <cell r="X61">
            <v>-990</v>
          </cell>
          <cell r="Y61">
            <v>288</v>
          </cell>
          <cell r="Z61">
            <v>-431</v>
          </cell>
          <cell r="AA61">
            <v>-143</v>
          </cell>
          <cell r="AB61">
            <v>-230</v>
          </cell>
          <cell r="AC61">
            <v>0</v>
          </cell>
          <cell r="AD61">
            <v>-230</v>
          </cell>
          <cell r="AE61">
            <v>0</v>
          </cell>
          <cell r="AF61">
            <v>0</v>
          </cell>
          <cell r="AG61">
            <v>0</v>
          </cell>
          <cell r="AH61">
            <v>0</v>
          </cell>
          <cell r="AI61">
            <v>0</v>
          </cell>
          <cell r="AJ61">
            <v>0</v>
          </cell>
          <cell r="AK61">
            <v>0</v>
          </cell>
          <cell r="AL61">
            <v>0</v>
          </cell>
          <cell r="AM61">
            <v>0</v>
          </cell>
          <cell r="AN61">
            <v>0</v>
          </cell>
          <cell r="AO61">
            <v>0</v>
          </cell>
          <cell r="AP61" t="str">
            <v>mstag:foreignCurrencyExchangeGainsLosses</v>
          </cell>
          <cell r="AQ61">
            <v>6</v>
          </cell>
          <cell r="AR61" t="str">
            <v>ISO4217:CHF</v>
          </cell>
          <cell r="AS61" t="b">
            <v>0</v>
          </cell>
          <cell r="AT61" t="b">
            <v>0</v>
          </cell>
          <cell r="AU61" t="b">
            <v>0</v>
          </cell>
          <cell r="AV61" t="b">
            <v>0</v>
          </cell>
        </row>
        <row r="62">
          <cell r="A62" t="str">
            <v>Gains (losses) on foreign currency derivatives, net</v>
          </cell>
          <cell r="B62">
            <v>95</v>
          </cell>
          <cell r="E62">
            <v>16</v>
          </cell>
          <cell r="K62">
            <v>-173</v>
          </cell>
          <cell r="L62">
            <v>25</v>
          </cell>
          <cell r="M62">
            <v>-82</v>
          </cell>
          <cell r="N62">
            <v>-57</v>
          </cell>
          <cell r="O62">
            <v>-57</v>
          </cell>
          <cell r="P62">
            <v>-108</v>
          </cell>
          <cell r="Q62">
            <v>-155</v>
          </cell>
          <cell r="R62">
            <v>-263</v>
          </cell>
          <cell r="S62">
            <v>50</v>
          </cell>
          <cell r="T62">
            <v>278</v>
          </cell>
          <cell r="U62">
            <v>328</v>
          </cell>
          <cell r="V62">
            <v>790</v>
          </cell>
          <cell r="W62">
            <v>233</v>
          </cell>
          <cell r="X62">
            <v>1023</v>
          </cell>
          <cell r="Y62">
            <v>-369</v>
          </cell>
          <cell r="Z62">
            <v>365</v>
          </cell>
          <cell r="AA62">
            <v>-4</v>
          </cell>
          <cell r="AB62">
            <v>256</v>
          </cell>
          <cell r="AC62">
            <v>0</v>
          </cell>
          <cell r="AD62">
            <v>256</v>
          </cell>
          <cell r="AE62">
            <v>0</v>
          </cell>
          <cell r="AF62">
            <v>0</v>
          </cell>
          <cell r="AG62">
            <v>0</v>
          </cell>
          <cell r="AH62">
            <v>0</v>
          </cell>
          <cell r="AI62">
            <v>0</v>
          </cell>
          <cell r="AJ62">
            <v>0</v>
          </cell>
          <cell r="AK62">
            <v>0</v>
          </cell>
          <cell r="AL62">
            <v>0</v>
          </cell>
          <cell r="AM62">
            <v>0</v>
          </cell>
          <cell r="AN62">
            <v>0</v>
          </cell>
          <cell r="AO62">
            <v>0</v>
          </cell>
          <cell r="AP62" t="str">
            <v>mstag:foreignCurrencyExchangeGainsLosses</v>
          </cell>
          <cell r="AQ62">
            <v>6</v>
          </cell>
          <cell r="AR62" t="str">
            <v>ISO4217:CHF</v>
          </cell>
          <cell r="AS62" t="b">
            <v>0</v>
          </cell>
          <cell r="AT62" t="b">
            <v>0</v>
          </cell>
          <cell r="AU62" t="b">
            <v>0</v>
          </cell>
          <cell r="AV62" t="b">
            <v>0</v>
          </cell>
        </row>
        <row r="63">
          <cell r="A63" t="str">
            <v>Net foreign exchange gains (losses)</v>
          </cell>
          <cell r="B63">
            <v>-43</v>
          </cell>
          <cell r="E63">
            <v>270</v>
          </cell>
          <cell r="H63">
            <v>0</v>
          </cell>
          <cell r="K63">
            <v>-34</v>
          </cell>
          <cell r="L63">
            <v>-19</v>
          </cell>
          <cell r="M63">
            <v>-5</v>
          </cell>
          <cell r="N63">
            <v>-24</v>
          </cell>
          <cell r="O63">
            <v>-24</v>
          </cell>
          <cell r="P63">
            <v>-27</v>
          </cell>
          <cell r="Q63">
            <v>-126</v>
          </cell>
          <cell r="R63">
            <v>-153</v>
          </cell>
          <cell r="S63">
            <v>-32</v>
          </cell>
          <cell r="T63">
            <v>-33</v>
          </cell>
          <cell r="U63">
            <v>-65</v>
          </cell>
          <cell r="V63">
            <v>48</v>
          </cell>
          <cell r="W63">
            <v>-15</v>
          </cell>
          <cell r="X63">
            <v>33</v>
          </cell>
          <cell r="Y63">
            <v>-81</v>
          </cell>
          <cell r="Z63">
            <v>-66</v>
          </cell>
          <cell r="AA63">
            <v>-147</v>
          </cell>
          <cell r="AB63">
            <v>26</v>
          </cell>
          <cell r="AC63">
            <v>0</v>
          </cell>
          <cell r="AD63">
            <v>26</v>
          </cell>
          <cell r="AE63">
            <v>0</v>
          </cell>
          <cell r="AF63">
            <v>0</v>
          </cell>
          <cell r="AG63">
            <v>0</v>
          </cell>
          <cell r="AH63">
            <v>0</v>
          </cell>
          <cell r="AI63">
            <v>0</v>
          </cell>
          <cell r="AJ63">
            <v>0</v>
          </cell>
          <cell r="AK63">
            <v>0</v>
          </cell>
          <cell r="AL63">
            <v>0</v>
          </cell>
          <cell r="AM63">
            <v>0</v>
          </cell>
          <cell r="AN63">
            <v>0</v>
          </cell>
          <cell r="AO63">
            <v>0</v>
          </cell>
        </row>
        <row r="64">
          <cell r="O64">
            <v>0</v>
          </cell>
        </row>
        <row r="65">
          <cell r="A65" t="str">
            <v>Net other financial income/(expense)</v>
          </cell>
          <cell r="B65">
            <v>61</v>
          </cell>
          <cell r="E65">
            <v>-4</v>
          </cell>
          <cell r="K65">
            <v>38</v>
          </cell>
          <cell r="L65">
            <v>25</v>
          </cell>
          <cell r="M65">
            <v>22</v>
          </cell>
          <cell r="N65">
            <v>47</v>
          </cell>
          <cell r="O65">
            <v>47</v>
          </cell>
          <cell r="P65">
            <v>-14</v>
          </cell>
          <cell r="Q65">
            <v>-12</v>
          </cell>
          <cell r="R65">
            <v>-26</v>
          </cell>
          <cell r="S65">
            <v>-10</v>
          </cell>
          <cell r="T65">
            <v>-15</v>
          </cell>
          <cell r="U65">
            <v>-25</v>
          </cell>
          <cell r="V65">
            <v>-1</v>
          </cell>
          <cell r="W65">
            <v>-1</v>
          </cell>
          <cell r="X65">
            <v>-2</v>
          </cell>
          <cell r="Y65">
            <v>-15</v>
          </cell>
          <cell r="Z65">
            <v>-1</v>
          </cell>
          <cell r="AA65">
            <v>-16</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t="str">
            <v>mstag:otherNonOperatingIncomeExpense</v>
          </cell>
          <cell r="AQ65">
            <v>6</v>
          </cell>
          <cell r="AR65" t="str">
            <v>ISO4217:CHF</v>
          </cell>
          <cell r="AS65" t="b">
            <v>0</v>
          </cell>
          <cell r="AT65" t="b">
            <v>0</v>
          </cell>
          <cell r="AU65" t="b">
            <v>0</v>
          </cell>
          <cell r="AV65" t="b">
            <v>0</v>
          </cell>
        </row>
        <row r="67">
          <cell r="A67" t="str">
            <v>Financial income</v>
          </cell>
          <cell r="F67">
            <v>213</v>
          </cell>
          <cell r="G67">
            <v>156</v>
          </cell>
          <cell r="H67">
            <v>369</v>
          </cell>
          <cell r="I67">
            <v>241</v>
          </cell>
          <cell r="J67">
            <v>437</v>
          </cell>
          <cell r="K67">
            <v>1313</v>
          </cell>
          <cell r="L67">
            <v>902</v>
          </cell>
          <cell r="M67">
            <v>927</v>
          </cell>
          <cell r="N67">
            <v>1829</v>
          </cell>
          <cell r="O67">
            <v>1829</v>
          </cell>
          <cell r="P67">
            <v>979</v>
          </cell>
          <cell r="Q67">
            <v>826</v>
          </cell>
          <cell r="R67">
            <v>1805</v>
          </cell>
          <cell r="S67">
            <v>684</v>
          </cell>
          <cell r="T67">
            <v>439</v>
          </cell>
          <cell r="U67">
            <v>1123</v>
          </cell>
          <cell r="V67">
            <v>484</v>
          </cell>
          <cell r="W67">
            <v>308</v>
          </cell>
          <cell r="X67">
            <v>792</v>
          </cell>
          <cell r="Y67">
            <v>302</v>
          </cell>
          <cell r="Z67">
            <v>255</v>
          </cell>
          <cell r="AA67">
            <v>557</v>
          </cell>
          <cell r="AB67">
            <v>373</v>
          </cell>
          <cell r="AC67">
            <v>293.875</v>
          </cell>
          <cell r="AD67">
            <v>666.875</v>
          </cell>
          <cell r="AE67">
            <v>326.50834130435891</v>
          </cell>
          <cell r="AF67">
            <v>326.50834130435891</v>
          </cell>
          <cell r="AG67">
            <v>653.01668260871782</v>
          </cell>
          <cell r="AH67">
            <v>653.12598168705517</v>
          </cell>
          <cell r="AI67">
            <v>658.31438249331939</v>
          </cell>
          <cell r="AJ67">
            <v>657.90972947138494</v>
          </cell>
          <cell r="AK67">
            <v>653.18569835086328</v>
          </cell>
          <cell r="AL67">
            <v>671.98386397166473</v>
          </cell>
          <cell r="AM67">
            <v>723.12673572429458</v>
          </cell>
          <cell r="AN67">
            <v>782.67106047404263</v>
          </cell>
          <cell r="AO67">
            <v>845.51446612278687</v>
          </cell>
        </row>
        <row r="68">
          <cell r="A68" t="str">
            <v>Financial expense</v>
          </cell>
          <cell r="F68">
            <v>-383</v>
          </cell>
          <cell r="G68">
            <v>-246</v>
          </cell>
          <cell r="H68">
            <v>-629</v>
          </cell>
          <cell r="I68">
            <v>-187</v>
          </cell>
          <cell r="J68">
            <v>-195</v>
          </cell>
          <cell r="K68">
            <v>-985</v>
          </cell>
          <cell r="L68">
            <v>-478</v>
          </cell>
          <cell r="M68">
            <v>-496</v>
          </cell>
          <cell r="N68">
            <v>-974</v>
          </cell>
          <cell r="O68">
            <v>-974</v>
          </cell>
          <cell r="P68">
            <v>-479</v>
          </cell>
          <cell r="Q68">
            <v>-492</v>
          </cell>
          <cell r="R68">
            <v>-971</v>
          </cell>
          <cell r="S68">
            <v>-447</v>
          </cell>
          <cell r="T68">
            <v>-440</v>
          </cell>
          <cell r="U68">
            <v>-887</v>
          </cell>
          <cell r="V68">
            <v>-1035</v>
          </cell>
          <cell r="W68">
            <v>-1425</v>
          </cell>
          <cell r="X68">
            <v>-2460</v>
          </cell>
          <cell r="Y68">
            <v>-1508</v>
          </cell>
          <cell r="Z68">
            <v>-1321</v>
          </cell>
          <cell r="AA68">
            <v>-2829</v>
          </cell>
          <cell r="AB68">
            <v>-1165</v>
          </cell>
          <cell r="AC68">
            <v>-1265.9371524729295</v>
          </cell>
          <cell r="AD68">
            <v>-2430.9371524729295</v>
          </cell>
          <cell r="AE68">
            <v>-1056.3362232952882</v>
          </cell>
          <cell r="AF68">
            <v>-1056.3362232952882</v>
          </cell>
          <cell r="AG68">
            <v>-2112.6724465905763</v>
          </cell>
          <cell r="AH68">
            <v>-1931.4690883816213</v>
          </cell>
          <cell r="AI68">
            <v>-1635.6823968393328</v>
          </cell>
          <cell r="AJ68">
            <v>-1310.5353380158035</v>
          </cell>
          <cell r="AK68">
            <v>-909.88235294117658</v>
          </cell>
          <cell r="AL68">
            <v>-909.88235294117658</v>
          </cell>
          <cell r="AM68">
            <v>-909.88235294117658</v>
          </cell>
          <cell r="AN68">
            <v>-909.88235294117658</v>
          </cell>
          <cell r="AO68">
            <v>-909.88235294117658</v>
          </cell>
        </row>
        <row r="69">
          <cell r="A69" t="str">
            <v>Financial income/(expense)</v>
          </cell>
          <cell r="B69">
            <v>835</v>
          </cell>
          <cell r="C69">
            <v>-351</v>
          </cell>
          <cell r="D69">
            <v>-283</v>
          </cell>
          <cell r="E69">
            <v>-634</v>
          </cell>
          <cell r="F69">
            <v>-170</v>
          </cell>
          <cell r="G69">
            <v>-88</v>
          </cell>
          <cell r="H69">
            <v>-258</v>
          </cell>
          <cell r="I69">
            <v>54</v>
          </cell>
          <cell r="J69">
            <v>274</v>
          </cell>
          <cell r="K69">
            <v>328</v>
          </cell>
          <cell r="L69">
            <v>424</v>
          </cell>
          <cell r="M69">
            <v>431</v>
          </cell>
          <cell r="N69">
            <v>855</v>
          </cell>
          <cell r="O69">
            <v>855</v>
          </cell>
          <cell r="P69">
            <v>500</v>
          </cell>
          <cell r="Q69">
            <v>334</v>
          </cell>
          <cell r="R69">
            <v>834</v>
          </cell>
          <cell r="S69">
            <v>237</v>
          </cell>
          <cell r="T69">
            <v>-1</v>
          </cell>
          <cell r="U69">
            <v>236</v>
          </cell>
          <cell r="V69">
            <v>-551</v>
          </cell>
          <cell r="W69">
            <v>-1117</v>
          </cell>
          <cell r="X69">
            <v>-1668</v>
          </cell>
          <cell r="Y69">
            <v>-1206</v>
          </cell>
          <cell r="Z69">
            <v>-1066</v>
          </cell>
          <cell r="AA69">
            <v>-2272</v>
          </cell>
          <cell r="AB69">
            <v>-792</v>
          </cell>
          <cell r="AC69">
            <v>-972.06215247292948</v>
          </cell>
          <cell r="AD69">
            <v>-1764.0621524729295</v>
          </cell>
          <cell r="AE69">
            <v>-729.8278819909292</v>
          </cell>
          <cell r="AF69">
            <v>-729.8278819909292</v>
          </cell>
          <cell r="AG69">
            <v>-1459.6557639818584</v>
          </cell>
          <cell r="AH69">
            <v>-1278.3431066945661</v>
          </cell>
          <cell r="AI69">
            <v>-977.36801434601341</v>
          </cell>
          <cell r="AJ69">
            <v>-652.62560854441858</v>
          </cell>
          <cell r="AK69">
            <v>-256.6966545903133</v>
          </cell>
          <cell r="AL69">
            <v>-237.89848896951185</v>
          </cell>
          <cell r="AM69">
            <v>-186.755617216882</v>
          </cell>
          <cell r="AN69">
            <v>-127.21129246713394</v>
          </cell>
          <cell r="AO69">
            <v>-64.367886818389707</v>
          </cell>
        </row>
        <row r="70">
          <cell r="A70" t="str">
            <v>Exceptional financial items</v>
          </cell>
          <cell r="B70">
            <v>-5192</v>
          </cell>
          <cell r="C70">
            <v>0</v>
          </cell>
          <cell r="D70">
            <v>0</v>
          </cell>
          <cell r="E70">
            <v>0</v>
          </cell>
          <cell r="F70">
            <v>965</v>
          </cell>
          <cell r="G70">
            <v>-93</v>
          </cell>
          <cell r="H70">
            <v>872</v>
          </cell>
          <cell r="K70">
            <v>0</v>
          </cell>
          <cell r="N70">
            <v>0</v>
          </cell>
          <cell r="O70">
            <v>0</v>
          </cell>
          <cell r="R70">
            <v>0</v>
          </cell>
          <cell r="S70">
            <v>0</v>
          </cell>
          <cell r="T70">
            <v>0</v>
          </cell>
          <cell r="U70">
            <v>0</v>
          </cell>
          <cell r="V70">
            <v>-365</v>
          </cell>
          <cell r="W70">
            <v>-12</v>
          </cell>
          <cell r="X70">
            <v>-377</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t="str">
            <v>mstag:incomeLossFromExtraordinaryItemsPretax</v>
          </cell>
          <cell r="AQ70">
            <v>6</v>
          </cell>
          <cell r="AR70" t="str">
            <v>ISO4217:CHF</v>
          </cell>
          <cell r="AS70" t="b">
            <v>0</v>
          </cell>
          <cell r="AT70" t="b">
            <v>0</v>
          </cell>
          <cell r="AU70" t="b">
            <v>0</v>
          </cell>
          <cell r="AV70" t="b">
            <v>0</v>
          </cell>
        </row>
        <row r="72">
          <cell r="A72" t="str">
            <v>Profit before taxes</v>
          </cell>
          <cell r="B72">
            <v>138</v>
          </cell>
          <cell r="C72">
            <v>671</v>
          </cell>
          <cell r="D72">
            <v>1870.5478519999997</v>
          </cell>
          <cell r="E72">
            <v>2541.5478519999997</v>
          </cell>
          <cell r="F72">
            <v>2379</v>
          </cell>
          <cell r="G72">
            <v>782</v>
          </cell>
          <cell r="H72">
            <v>3161</v>
          </cell>
          <cell r="I72">
            <v>2514</v>
          </cell>
          <cell r="J72">
            <v>3024</v>
          </cell>
          <cell r="K72">
            <v>5538</v>
          </cell>
          <cell r="L72">
            <v>4302</v>
          </cell>
          <cell r="M72">
            <v>4400</v>
          </cell>
          <cell r="N72">
            <v>8702</v>
          </cell>
          <cell r="O72">
            <v>8702</v>
          </cell>
          <cell r="P72">
            <v>7977</v>
          </cell>
          <cell r="Q72">
            <v>7327</v>
          </cell>
          <cell r="R72">
            <v>15304</v>
          </cell>
          <cell r="S72">
            <v>7593</v>
          </cell>
          <cell r="T72">
            <v>6568</v>
          </cell>
          <cell r="U72">
            <v>14161</v>
          </cell>
          <cell r="V72">
            <v>4691</v>
          </cell>
          <cell r="W72">
            <v>5541</v>
          </cell>
          <cell r="X72">
            <v>10232</v>
          </cell>
          <cell r="Y72">
            <v>7272</v>
          </cell>
          <cell r="Z72">
            <v>3661</v>
          </cell>
          <cell r="AA72">
            <v>10933</v>
          </cell>
          <cell r="AB72">
            <v>6668</v>
          </cell>
          <cell r="AC72">
            <v>5155.3587920286654</v>
          </cell>
          <cell r="AD72">
            <v>11823.358792028663</v>
          </cell>
          <cell r="AE72">
            <v>7198.5823352021598</v>
          </cell>
          <cell r="AF72">
            <v>7853.5472792414666</v>
          </cell>
          <cell r="AG72">
            <v>15052.129614443618</v>
          </cell>
          <cell r="AH72">
            <v>15413.833772916278</v>
          </cell>
          <cell r="AI72">
            <v>15991.46309847514</v>
          </cell>
          <cell r="AJ72">
            <v>16710.917617386243</v>
          </cell>
          <cell r="AK72">
            <v>16969.55512834511</v>
          </cell>
          <cell r="AL72">
            <v>17076.816563139295</v>
          </cell>
          <cell r="AM72">
            <v>17385.109757153281</v>
          </cell>
          <cell r="AN72">
            <v>17006.013668670814</v>
          </cell>
          <cell r="AO72">
            <v>16939.928216779008</v>
          </cell>
        </row>
        <row r="73">
          <cell r="A73" t="str">
            <v>% margin</v>
          </cell>
          <cell r="B73">
            <v>5.294253049950127E-3</v>
          </cell>
          <cell r="C73">
            <v>5.9009761674434967E-2</v>
          </cell>
          <cell r="D73">
            <v>0.14548756274549668</v>
          </cell>
          <cell r="E73">
            <v>0.10490084083364695</v>
          </cell>
          <cell r="F73">
            <v>0.18568529503590384</v>
          </cell>
          <cell r="G73">
            <v>5.8774896655392712E-2</v>
          </cell>
          <cell r="H73">
            <v>0.12103227782670291</v>
          </cell>
          <cell r="I73">
            <v>0.16923594749242679</v>
          </cell>
          <cell r="J73">
            <v>0.17754814466885863</v>
          </cell>
          <cell r="K73">
            <v>0.17367579264276978</v>
          </cell>
          <cell r="L73">
            <v>0.24004017408771341</v>
          </cell>
          <cell r="M73">
            <v>0.2174557675200158</v>
          </cell>
          <cell r="N73">
            <v>0.22806373833735191</v>
          </cell>
          <cell r="O73">
            <v>0.22806373833735191</v>
          </cell>
          <cell r="P73">
            <v>0.34945459324484163</v>
          </cell>
          <cell r="Q73">
            <v>0.31438256243027546</v>
          </cell>
          <cell r="R73">
            <v>0.33173650098627883</v>
          </cell>
          <cell r="S73">
            <v>0.34507362297764044</v>
          </cell>
          <cell r="T73">
            <v>0.27815186549781901</v>
          </cell>
          <cell r="U73">
            <v>0.3104325141942697</v>
          </cell>
          <cell r="V73">
            <v>0.19540948096309255</v>
          </cell>
          <cell r="W73">
            <v>0.22124176482331803</v>
          </cell>
          <cell r="X73">
            <v>0.20859921306395385</v>
          </cell>
          <cell r="Y73">
            <v>0.2951777886020458</v>
          </cell>
          <cell r="Z73">
            <v>0.16031002320795201</v>
          </cell>
          <cell r="AA73">
            <v>0.23029932803909592</v>
          </cell>
          <cell r="AB73">
            <v>0.30769230769230771</v>
          </cell>
          <cell r="AC73">
            <v>0.25151994531545668</v>
          </cell>
          <cell r="AD73">
            <v>0.28038819826677447</v>
          </cell>
          <cell r="AE73">
            <v>0.3456272037549552</v>
          </cell>
          <cell r="AF73">
            <v>0.34301877077351439</v>
          </cell>
          <cell r="AG73">
            <v>0.34426130684413592</v>
          </cell>
          <cell r="AH73">
            <v>0.33257350735726132</v>
          </cell>
          <cell r="AI73">
            <v>0.3376489571127263</v>
          </cell>
          <cell r="AJ73">
            <v>0.34324330531374592</v>
          </cell>
          <cell r="AK73">
            <v>0.34509816261181792</v>
          </cell>
          <cell r="AL73">
            <v>0.34289950714319672</v>
          </cell>
          <cell r="AM73">
            <v>0.34170841836740701</v>
          </cell>
          <cell r="AN73">
            <v>0.33829574723604267</v>
          </cell>
          <cell r="AO73">
            <v>0.33566990008853603</v>
          </cell>
        </row>
        <row r="75">
          <cell r="A75" t="str">
            <v>Income taxes</v>
          </cell>
          <cell r="B75">
            <v>-1224</v>
          </cell>
          <cell r="C75">
            <v>-654</v>
          </cell>
          <cell r="D75">
            <v>-748</v>
          </cell>
          <cell r="E75">
            <v>-1402</v>
          </cell>
          <cell r="F75">
            <v>-1084</v>
          </cell>
          <cell r="G75">
            <v>-778</v>
          </cell>
          <cell r="H75">
            <v>-1862</v>
          </cell>
          <cell r="I75">
            <v>-1040</v>
          </cell>
          <cell r="J75">
            <v>-1244</v>
          </cell>
          <cell r="K75">
            <v>-2284</v>
          </cell>
          <cell r="L75">
            <v>-1701</v>
          </cell>
          <cell r="M75">
            <v>-1735</v>
          </cell>
          <cell r="N75">
            <v>-3436</v>
          </cell>
          <cell r="O75">
            <v>-3436</v>
          </cell>
          <cell r="P75">
            <v>-2115</v>
          </cell>
          <cell r="Q75">
            <v>-1752</v>
          </cell>
          <cell r="R75">
            <v>-3867</v>
          </cell>
          <cell r="S75">
            <v>-1861</v>
          </cell>
          <cell r="T75">
            <v>-1456</v>
          </cell>
          <cell r="U75">
            <v>-3317</v>
          </cell>
          <cell r="V75">
            <v>-640</v>
          </cell>
          <cell r="W75">
            <v>-1082</v>
          </cell>
          <cell r="X75">
            <v>-1722</v>
          </cell>
          <cell r="Y75">
            <v>-1707</v>
          </cell>
          <cell r="Z75">
            <v>-613</v>
          </cell>
          <cell r="AA75">
            <v>-2320</v>
          </cell>
          <cell r="AB75">
            <v>-1409</v>
          </cell>
          <cell r="AC75">
            <v>-1082.6253463260198</v>
          </cell>
          <cell r="AD75">
            <v>-2491.62534632602</v>
          </cell>
          <cell r="AE75">
            <v>-1511.7022903924535</v>
          </cell>
          <cell r="AF75">
            <v>-1649.2449286407079</v>
          </cell>
          <cell r="AG75">
            <v>-3160.9472190331617</v>
          </cell>
          <cell r="AH75">
            <v>-3236.9050923124182</v>
          </cell>
          <cell r="AI75">
            <v>-3358.2072506797795</v>
          </cell>
          <cell r="AJ75">
            <v>-3509.292699651111</v>
          </cell>
          <cell r="AK75">
            <v>-3563.606576952473</v>
          </cell>
          <cell r="AL75">
            <v>-3586.1314782592517</v>
          </cell>
          <cell r="AM75">
            <v>-3650.873049002189</v>
          </cell>
          <cell r="AN75">
            <v>-3571.262870420871</v>
          </cell>
          <cell r="AO75">
            <v>-3557.3849255235914</v>
          </cell>
        </row>
        <row r="76">
          <cell r="A76" t="str">
            <v>Income taxes, underlying</v>
          </cell>
          <cell r="X76">
            <v>-2870</v>
          </cell>
          <cell r="Y76">
            <v>-1800</v>
          </cell>
          <cell r="Z76">
            <v>-1335</v>
          </cell>
          <cell r="AA76">
            <v>-3135</v>
          </cell>
          <cell r="AB76">
            <v>-1518</v>
          </cell>
        </row>
        <row r="77">
          <cell r="A77" t="str">
            <v>Income taxes on exceptionals</v>
          </cell>
          <cell r="X77">
            <v>1148</v>
          </cell>
          <cell r="Y77">
            <v>93</v>
          </cell>
          <cell r="Z77">
            <v>722</v>
          </cell>
          <cell r="AA77">
            <v>815</v>
          </cell>
          <cell r="AB77">
            <v>109</v>
          </cell>
        </row>
        <row r="78">
          <cell r="A78" t="str">
            <v>% tax rate</v>
          </cell>
          <cell r="B78">
            <v>8.8695652173913047</v>
          </cell>
          <cell r="C78">
            <v>0.97466467958271241</v>
          </cell>
          <cell r="D78">
            <v>0.39988284672869207</v>
          </cell>
          <cell r="E78">
            <v>0.55163234439860553</v>
          </cell>
          <cell r="F78">
            <v>0.45565363598150482</v>
          </cell>
          <cell r="G78">
            <v>0.99488491048593353</v>
          </cell>
          <cell r="H78">
            <v>0.58905409680480858</v>
          </cell>
          <cell r="I78">
            <v>0.41368337311058073</v>
          </cell>
          <cell r="J78">
            <v>0.41137566137566139</v>
          </cell>
          <cell r="K78">
            <v>0.41242325749368003</v>
          </cell>
          <cell r="L78">
            <v>0.39539748953974896</v>
          </cell>
          <cell r="M78">
            <v>0.39431818181818185</v>
          </cell>
          <cell r="N78">
            <v>0.39485175821650198</v>
          </cell>
          <cell r="O78">
            <v>0.39485175821650198</v>
          </cell>
          <cell r="P78">
            <v>0.26513726965024448</v>
          </cell>
          <cell r="Q78">
            <v>0.23911559983622219</v>
          </cell>
          <cell r="R78">
            <v>0.25267903815995818</v>
          </cell>
          <cell r="S78">
            <v>0.24509416567891479</v>
          </cell>
          <cell r="T78">
            <v>0.22168087697929353</v>
          </cell>
          <cell r="U78">
            <v>0.23423487041875574</v>
          </cell>
          <cell r="V78">
            <v>0.13643146450650182</v>
          </cell>
          <cell r="W78">
            <v>0.19527161162245082</v>
          </cell>
          <cell r="X78">
            <v>0.16829554339327599</v>
          </cell>
          <cell r="Y78">
            <v>0.23473597359735973</v>
          </cell>
          <cell r="Z78">
            <v>0.16744059000273148</v>
          </cell>
          <cell r="AA78">
            <v>0.21220159151193635</v>
          </cell>
          <cell r="AB78">
            <v>0.21130773845230955</v>
          </cell>
          <cell r="AC78">
            <v>0.21</v>
          </cell>
          <cell r="AD78">
            <v>0.21073752308065621</v>
          </cell>
          <cell r="AE78">
            <v>0.21</v>
          </cell>
          <cell r="AF78">
            <v>0.21</v>
          </cell>
          <cell r="AG78">
            <v>0.21</v>
          </cell>
          <cell r="AH78">
            <v>0.21</v>
          </cell>
          <cell r="AI78">
            <v>0.21</v>
          </cell>
          <cell r="AJ78">
            <v>0.21</v>
          </cell>
          <cell r="AK78">
            <v>0.21</v>
          </cell>
          <cell r="AL78">
            <v>0.21</v>
          </cell>
          <cell r="AM78">
            <v>0.21</v>
          </cell>
          <cell r="AN78">
            <v>0.21</v>
          </cell>
          <cell r="AO78">
            <v>0.21</v>
          </cell>
        </row>
        <row r="80">
          <cell r="A80" t="str">
            <v>Profit from continuing businesses</v>
          </cell>
          <cell r="B80">
            <v>-1086</v>
          </cell>
          <cell r="C80">
            <v>17</v>
          </cell>
          <cell r="D80">
            <v>1122.5478519999997</v>
          </cell>
          <cell r="E80">
            <v>1139.5478519999997</v>
          </cell>
          <cell r="F80">
            <v>1295</v>
          </cell>
          <cell r="G80">
            <v>4</v>
          </cell>
          <cell r="H80">
            <v>1299</v>
          </cell>
          <cell r="I80">
            <v>1474</v>
          </cell>
          <cell r="J80">
            <v>1780</v>
          </cell>
          <cell r="K80">
            <v>3254</v>
          </cell>
          <cell r="L80">
            <v>2601</v>
          </cell>
          <cell r="M80">
            <v>2665</v>
          </cell>
          <cell r="N80">
            <v>5266</v>
          </cell>
          <cell r="O80">
            <v>5266</v>
          </cell>
          <cell r="P80">
            <v>5862</v>
          </cell>
          <cell r="Q80">
            <v>5575</v>
          </cell>
          <cell r="R80">
            <v>11437</v>
          </cell>
          <cell r="S80">
            <v>5732</v>
          </cell>
          <cell r="T80">
            <v>5112</v>
          </cell>
          <cell r="U80">
            <v>10844</v>
          </cell>
          <cell r="V80">
            <v>4051</v>
          </cell>
          <cell r="W80">
            <v>4459</v>
          </cell>
          <cell r="X80">
            <v>8510</v>
          </cell>
          <cell r="Y80">
            <v>5565</v>
          </cell>
          <cell r="Z80">
            <v>3048</v>
          </cell>
          <cell r="AA80">
            <v>8613</v>
          </cell>
          <cell r="AB80">
            <v>5259</v>
          </cell>
          <cell r="AC80">
            <v>4072.7334457026454</v>
          </cell>
          <cell r="AD80">
            <v>9331.7334457026427</v>
          </cell>
          <cell r="AE80">
            <v>5686.8800448097063</v>
          </cell>
          <cell r="AF80">
            <v>6204.3023506007585</v>
          </cell>
          <cell r="AG80">
            <v>11891.182395410457</v>
          </cell>
          <cell r="AH80">
            <v>12176.92868060386</v>
          </cell>
          <cell r="AI80">
            <v>12633.255847795361</v>
          </cell>
          <cell r="AJ80">
            <v>13201.624917735133</v>
          </cell>
          <cell r="AK80">
            <v>13405.948551392637</v>
          </cell>
          <cell r="AL80">
            <v>13490.685084880042</v>
          </cell>
          <cell r="AM80">
            <v>13734.236708151093</v>
          </cell>
          <cell r="AN80">
            <v>13434.750798249943</v>
          </cell>
          <cell r="AO80">
            <v>13382.543291255417</v>
          </cell>
        </row>
        <row r="81">
          <cell r="A81" t="str">
            <v>% margin</v>
          </cell>
          <cell r="B81">
            <v>-4.1663469653955343E-2</v>
          </cell>
          <cell r="C81">
            <v>1.4950312197695892E-3</v>
          </cell>
          <cell r="D81">
            <v>8.7309581991208252E-2</v>
          </cell>
          <cell r="E81">
            <v>4.7034144075197307E-2</v>
          </cell>
          <cell r="F81">
            <v>0.10107711520449579</v>
          </cell>
          <cell r="G81">
            <v>3.006388575723412E-4</v>
          </cell>
          <cell r="H81">
            <v>4.9737718727265769E-2</v>
          </cell>
          <cell r="I81">
            <v>9.9225849882194544E-2</v>
          </cell>
          <cell r="J81">
            <v>0.1045091592296853</v>
          </cell>
          <cell r="K81">
            <v>0.10204785649324176</v>
          </cell>
          <cell r="L81">
            <v>0.14512889186474723</v>
          </cell>
          <cell r="M81">
            <v>0.13170900464564594</v>
          </cell>
          <cell r="N81">
            <v>0.13801237026942029</v>
          </cell>
          <cell r="O81">
            <v>0.13801237026942029</v>
          </cell>
          <cell r="P81">
            <v>0.25680115652516755</v>
          </cell>
          <cell r="Q81">
            <v>0.23920878743671159</v>
          </cell>
          <cell r="R81">
            <v>0.24791364099451585</v>
          </cell>
          <cell r="S81">
            <v>0.26049809125613527</v>
          </cell>
          <cell r="T81">
            <v>0.21649091602083598</v>
          </cell>
          <cell r="U81">
            <v>0.23771839445820636</v>
          </cell>
          <cell r="V81">
            <v>0.16874947929684245</v>
          </cell>
          <cell r="W81">
            <v>0.17803952884807348</v>
          </cell>
          <cell r="X81">
            <v>0.17349289514994598</v>
          </cell>
          <cell r="Y81">
            <v>0.22588894301022894</v>
          </cell>
          <cell r="Z81">
            <v>0.13346761833866094</v>
          </cell>
          <cell r="AA81">
            <v>0.18142944410507025</v>
          </cell>
          <cell r="AB81">
            <v>0.24267454201467398</v>
          </cell>
          <cell r="AC81">
            <v>0.19870075679921076</v>
          </cell>
          <cell r="AD81">
            <v>0.22129988386298646</v>
          </cell>
          <cell r="AE81">
            <v>0.27304549096641462</v>
          </cell>
          <cell r="AF81">
            <v>0.27098482891107639</v>
          </cell>
          <cell r="AG81">
            <v>0.2719664324068673</v>
          </cell>
          <cell r="AH81">
            <v>0.26273307081223646</v>
          </cell>
          <cell r="AI81">
            <v>0.26674267611905378</v>
          </cell>
          <cell r="AJ81">
            <v>0.27116221119785927</v>
          </cell>
          <cell r="AK81">
            <v>0.2726275484633362</v>
          </cell>
          <cell r="AL81">
            <v>0.27089061064312542</v>
          </cell>
          <cell r="AM81">
            <v>0.26994965051025155</v>
          </cell>
          <cell r="AN81">
            <v>0.2672536403164737</v>
          </cell>
          <cell r="AO81">
            <v>0.26517922106994346</v>
          </cell>
        </row>
        <row r="83">
          <cell r="A83" t="str">
            <v>Profit from discontinued businesses</v>
          </cell>
          <cell r="F83">
            <v>112</v>
          </cell>
          <cell r="G83">
            <v>2225</v>
          </cell>
          <cell r="H83">
            <v>2337</v>
          </cell>
          <cell r="I83">
            <v>1</v>
          </cell>
          <cell r="J83">
            <v>-13</v>
          </cell>
          <cell r="K83">
            <v>-12</v>
          </cell>
          <cell r="L83">
            <v>15</v>
          </cell>
          <cell r="M83">
            <v>5</v>
          </cell>
          <cell r="N83">
            <v>20</v>
          </cell>
          <cell r="O83">
            <v>20</v>
          </cell>
          <cell r="AP83" t="str">
            <v>mstag:incomeLossFromDiscontinuedOperationsNetOfTax</v>
          </cell>
          <cell r="AQ83">
            <v>6</v>
          </cell>
          <cell r="AR83" t="str">
            <v>mstag:incomeLossFromDiscontinuedOperationsNetOfTax</v>
          </cell>
          <cell r="AS83">
            <v>6</v>
          </cell>
          <cell r="AT83" t="str">
            <v>ISO4217:CHF</v>
          </cell>
          <cell r="AU83" t="b">
            <v>0</v>
          </cell>
        </row>
        <row r="85">
          <cell r="A85" t="str">
            <v>Net income</v>
          </cell>
          <cell r="F85">
            <v>1407</v>
          </cell>
          <cell r="G85">
            <v>2229</v>
          </cell>
          <cell r="H85">
            <v>3636</v>
          </cell>
          <cell r="I85">
            <v>1475</v>
          </cell>
          <cell r="J85">
            <v>1767</v>
          </cell>
          <cell r="K85">
            <v>3242</v>
          </cell>
          <cell r="L85">
            <v>2616</v>
          </cell>
          <cell r="M85">
            <v>2670</v>
          </cell>
          <cell r="N85">
            <v>5286</v>
          </cell>
          <cell r="O85">
            <v>5286</v>
          </cell>
          <cell r="P85">
            <v>5862</v>
          </cell>
          <cell r="Q85">
            <v>5575</v>
          </cell>
          <cell r="R85">
            <v>11437</v>
          </cell>
          <cell r="S85">
            <v>5732</v>
          </cell>
          <cell r="T85">
            <v>5112</v>
          </cell>
          <cell r="U85">
            <v>10844</v>
          </cell>
          <cell r="V85">
            <v>4051</v>
          </cell>
          <cell r="W85">
            <v>4459</v>
          </cell>
          <cell r="X85">
            <v>8510</v>
          </cell>
          <cell r="Y85">
            <v>5565</v>
          </cell>
          <cell r="Z85">
            <v>3048</v>
          </cell>
          <cell r="AA85">
            <v>8613</v>
          </cell>
          <cell r="AB85">
            <v>5259</v>
          </cell>
          <cell r="AC85">
            <v>4072.7334457026454</v>
          </cell>
          <cell r="AD85">
            <v>9331.7334457026427</v>
          </cell>
          <cell r="AE85">
            <v>5686.8800448097063</v>
          </cell>
          <cell r="AF85">
            <v>6204.3023506007585</v>
          </cell>
          <cell r="AG85">
            <v>11891.182395410457</v>
          </cell>
          <cell r="AH85">
            <v>12176.92868060386</v>
          </cell>
          <cell r="AI85">
            <v>12633.255847795361</v>
          </cell>
          <cell r="AJ85">
            <v>13201.624917735133</v>
          </cell>
          <cell r="AK85">
            <v>13405.948551392637</v>
          </cell>
          <cell r="AL85">
            <v>13490.685084880042</v>
          </cell>
          <cell r="AM85">
            <v>13734.236708151093</v>
          </cell>
          <cell r="AN85">
            <v>13434.750798249943</v>
          </cell>
          <cell r="AO85">
            <v>13382.543291255417</v>
          </cell>
        </row>
        <row r="87">
          <cell r="A87" t="str">
            <v>Minority interests</v>
          </cell>
          <cell r="B87">
            <v>34</v>
          </cell>
          <cell r="C87">
            <v>-126</v>
          </cell>
          <cell r="D87">
            <v>-242</v>
          </cell>
          <cell r="E87">
            <v>-368</v>
          </cell>
          <cell r="F87">
            <v>-210</v>
          </cell>
          <cell r="G87">
            <v>-247</v>
          </cell>
          <cell r="H87">
            <v>-457</v>
          </cell>
          <cell r="I87">
            <v>-444</v>
          </cell>
          <cell r="J87">
            <v>-499</v>
          </cell>
          <cell r="K87">
            <v>-943</v>
          </cell>
          <cell r="L87">
            <v>-572</v>
          </cell>
          <cell r="M87">
            <v>-719</v>
          </cell>
          <cell r="N87">
            <v>-1291</v>
          </cell>
          <cell r="O87">
            <v>-1291</v>
          </cell>
          <cell r="P87">
            <v>-943</v>
          </cell>
          <cell r="Q87">
            <v>-733</v>
          </cell>
          <cell r="R87">
            <v>-1676</v>
          </cell>
          <cell r="S87">
            <v>-912</v>
          </cell>
          <cell r="T87">
            <v>-963</v>
          </cell>
          <cell r="U87">
            <v>-1875</v>
          </cell>
          <cell r="V87">
            <v>-578</v>
          </cell>
          <cell r="W87">
            <v>-148</v>
          </cell>
          <cell r="X87">
            <v>-726</v>
          </cell>
          <cell r="Y87">
            <v>-97</v>
          </cell>
          <cell r="Z87">
            <v>-128</v>
          </cell>
          <cell r="AA87">
            <v>-225</v>
          </cell>
          <cell r="AB87">
            <v>-108</v>
          </cell>
          <cell r="AC87">
            <v>-229.55702239246727</v>
          </cell>
          <cell r="AD87">
            <v>-337.55702239246727</v>
          </cell>
          <cell r="AE87">
            <v>-191.91366588449995</v>
          </cell>
          <cell r="AF87">
            <v>-191.91366588449995</v>
          </cell>
          <cell r="AG87">
            <v>-383.8273317689999</v>
          </cell>
          <cell r="AH87">
            <v>-397.13763805745003</v>
          </cell>
          <cell r="AI87">
            <v>-410.81063968032242</v>
          </cell>
          <cell r="AJ87">
            <v>-424.85838680493868</v>
          </cell>
          <cell r="AK87">
            <v>-439.29334956900357</v>
          </cell>
          <cell r="AL87">
            <v>-454.12843360298626</v>
          </cell>
          <cell r="AM87">
            <v>-469.37699616433406</v>
          </cell>
          <cell r="AN87">
            <v>-485.05286290918536</v>
          </cell>
          <cell r="AO87">
            <v>-501.17034532837818</v>
          </cell>
          <cell r="AP87" t="str">
            <v>mstag:minorityInterestsInNetIncome</v>
          </cell>
          <cell r="AQ87">
            <v>6</v>
          </cell>
          <cell r="AR87" t="str">
            <v>ISO4217:CHF</v>
          </cell>
          <cell r="AS87" t="b">
            <v>1</v>
          </cell>
          <cell r="AT87" t="b">
            <v>0</v>
          </cell>
          <cell r="AU87" t="b">
            <v>1</v>
          </cell>
          <cell r="AV87" t="b">
            <v>0</v>
          </cell>
        </row>
        <row r="89">
          <cell r="A89" t="str">
            <v>Net income attributable to Roche shareholders</v>
          </cell>
          <cell r="B89">
            <v>-1052</v>
          </cell>
          <cell r="C89">
            <v>-109</v>
          </cell>
          <cell r="D89">
            <v>880.54785199999969</v>
          </cell>
          <cell r="E89">
            <v>771.54785199999969</v>
          </cell>
          <cell r="F89">
            <v>1197</v>
          </cell>
          <cell r="G89">
            <v>1982</v>
          </cell>
          <cell r="H89">
            <v>3179</v>
          </cell>
          <cell r="I89">
            <v>1030</v>
          </cell>
          <cell r="J89">
            <v>1281</v>
          </cell>
          <cell r="K89">
            <v>2311</v>
          </cell>
          <cell r="L89">
            <v>2029</v>
          </cell>
          <cell r="M89">
            <v>1946</v>
          </cell>
          <cell r="N89">
            <v>3975</v>
          </cell>
          <cell r="O89">
            <v>3975</v>
          </cell>
          <cell r="P89">
            <v>4919</v>
          </cell>
          <cell r="Q89">
            <v>4842</v>
          </cell>
          <cell r="R89">
            <v>9761</v>
          </cell>
          <cell r="S89">
            <v>4820</v>
          </cell>
          <cell r="T89">
            <v>4149</v>
          </cell>
          <cell r="U89">
            <v>8969</v>
          </cell>
          <cell r="V89">
            <v>3473</v>
          </cell>
          <cell r="W89">
            <v>4311</v>
          </cell>
          <cell r="X89">
            <v>7784</v>
          </cell>
          <cell r="Y89">
            <v>5468</v>
          </cell>
          <cell r="Z89">
            <v>2920</v>
          </cell>
          <cell r="AA89">
            <v>8388</v>
          </cell>
          <cell r="AB89">
            <v>5151</v>
          </cell>
          <cell r="AC89">
            <v>3843.1764233101781</v>
          </cell>
          <cell r="AD89">
            <v>8994.1764233101749</v>
          </cell>
          <cell r="AE89">
            <v>5494.9663789252063</v>
          </cell>
          <cell r="AF89">
            <v>6012.3886847162585</v>
          </cell>
          <cell r="AG89">
            <v>11507.355063641457</v>
          </cell>
          <cell r="AH89">
            <v>11779.791042546411</v>
          </cell>
          <cell r="AI89">
            <v>12222.445208115038</v>
          </cell>
          <cell r="AJ89">
            <v>12776.766530930194</v>
          </cell>
          <cell r="AK89">
            <v>12966.655201823634</v>
          </cell>
          <cell r="AL89">
            <v>13036.556651277057</v>
          </cell>
          <cell r="AM89">
            <v>13264.859711986759</v>
          </cell>
          <cell r="AN89">
            <v>12949.697935340757</v>
          </cell>
          <cell r="AO89">
            <v>12881.372945927038</v>
          </cell>
          <cell r="AP89" t="str">
            <v>mstag:netIncomeAsReported</v>
          </cell>
          <cell r="AQ89">
            <v>6</v>
          </cell>
          <cell r="AR89" t="str">
            <v>ISO4217:CHF</v>
          </cell>
          <cell r="AS89" t="b">
            <v>0</v>
          </cell>
          <cell r="AT89" t="str">
            <v>ISO4217:CHF</v>
          </cell>
          <cell r="AU89" t="b">
            <v>0</v>
          </cell>
        </row>
        <row r="90">
          <cell r="A90" t="str">
            <v>% margin</v>
          </cell>
          <cell r="B90">
            <v>-4.0359088467735747E-2</v>
          </cell>
          <cell r="C90">
            <v>-9.5857884091108958E-3</v>
          </cell>
          <cell r="D90">
            <v>6.8487294100114948E-2</v>
          </cell>
          <cell r="E90">
            <v>3.1845168035889562E-2</v>
          </cell>
          <cell r="F90">
            <v>9.342803621604745E-2</v>
          </cell>
          <cell r="G90">
            <v>0.14896655392709507</v>
          </cell>
          <cell r="H90">
            <v>0.12172148409082206</v>
          </cell>
          <cell r="I90">
            <v>6.9336923594749245E-2</v>
          </cell>
          <cell r="J90">
            <v>7.52113668388915E-2</v>
          </cell>
          <cell r="K90">
            <v>7.2474676200332419E-2</v>
          </cell>
          <cell r="L90">
            <v>0.11321281107019306</v>
          </cell>
          <cell r="M90">
            <v>9.6174755362261541E-2</v>
          </cell>
          <cell r="N90">
            <v>0.10417758674913513</v>
          </cell>
          <cell r="O90">
            <v>0.10417758674913513</v>
          </cell>
          <cell r="P90">
            <v>0.21549042800192755</v>
          </cell>
          <cell r="Q90">
            <v>0.20775765897193857</v>
          </cell>
          <cell r="R90">
            <v>0.21158389872759195</v>
          </cell>
          <cell r="S90">
            <v>0.21905108162152337</v>
          </cell>
          <cell r="T90">
            <v>0.17570829627747428</v>
          </cell>
          <cell r="U90">
            <v>0.19661529692877655</v>
          </cell>
          <cell r="V90">
            <v>0.14467216529201032</v>
          </cell>
          <cell r="W90">
            <v>0.17213016570173686</v>
          </cell>
          <cell r="X90">
            <v>0.1586919736600681</v>
          </cell>
          <cell r="Y90">
            <v>0.22195161552200032</v>
          </cell>
          <cell r="Z90">
            <v>0.12786267898585629</v>
          </cell>
          <cell r="AA90">
            <v>0.17668990794767553</v>
          </cell>
          <cell r="AB90">
            <v>0.23769092335379077</v>
          </cell>
          <cell r="AC90">
            <v>0.18750111540699407</v>
          </cell>
          <cell r="AD90">
            <v>0.21329479774610974</v>
          </cell>
          <cell r="AE90">
            <v>0.26383109560169732</v>
          </cell>
          <cell r="AF90">
            <v>0.26260263072397916</v>
          </cell>
          <cell r="AG90">
            <v>0.26318781421648857</v>
          </cell>
          <cell r="AH90">
            <v>0.2541643098447724</v>
          </cell>
          <cell r="AI90">
            <v>0.25806868655320225</v>
          </cell>
          <cell r="AJ90">
            <v>0.26243559304820901</v>
          </cell>
          <cell r="AK90">
            <v>0.26369394197587853</v>
          </cell>
          <cell r="AL90">
            <v>0.26177179066362749</v>
          </cell>
          <cell r="AM90">
            <v>0.26072393533112453</v>
          </cell>
          <cell r="AN90">
            <v>0.25760462298038039</v>
          </cell>
          <cell r="AO90">
            <v>0.25524837616960416</v>
          </cell>
        </row>
        <row r="92">
          <cell r="A92" t="str">
            <v>Basic Shares</v>
          </cell>
          <cell r="B92">
            <v>0</v>
          </cell>
          <cell r="E92">
            <v>839</v>
          </cell>
          <cell r="H92">
            <v>841</v>
          </cell>
          <cell r="K92">
            <v>845</v>
          </cell>
          <cell r="N92">
            <v>852</v>
          </cell>
          <cell r="O92">
            <v>852</v>
          </cell>
          <cell r="P92">
            <v>858</v>
          </cell>
          <cell r="Q92">
            <v>860</v>
          </cell>
          <cell r="R92">
            <v>859</v>
          </cell>
          <cell r="S92">
            <v>860</v>
          </cell>
          <cell r="T92">
            <v>860</v>
          </cell>
          <cell r="U92">
            <v>860</v>
          </cell>
          <cell r="V92">
            <v>859</v>
          </cell>
          <cell r="W92">
            <v>858</v>
          </cell>
          <cell r="X92">
            <v>858</v>
          </cell>
          <cell r="Y92">
            <v>856</v>
          </cell>
          <cell r="Z92">
            <v>855</v>
          </cell>
          <cell r="AA92">
            <v>855</v>
          </cell>
          <cell r="AB92">
            <v>850</v>
          </cell>
          <cell r="AC92">
            <v>850</v>
          </cell>
          <cell r="AD92">
            <v>850</v>
          </cell>
          <cell r="AE92">
            <v>860</v>
          </cell>
          <cell r="AF92">
            <v>860</v>
          </cell>
          <cell r="AG92">
            <v>860</v>
          </cell>
          <cell r="AH92">
            <v>860</v>
          </cell>
          <cell r="AI92">
            <v>860</v>
          </cell>
          <cell r="AJ92">
            <v>860</v>
          </cell>
          <cell r="AK92">
            <v>860</v>
          </cell>
          <cell r="AL92">
            <v>860</v>
          </cell>
          <cell r="AM92">
            <v>860</v>
          </cell>
          <cell r="AN92">
            <v>860</v>
          </cell>
          <cell r="AO92">
            <v>860</v>
          </cell>
        </row>
        <row r="93">
          <cell r="A93" t="str">
            <v>Diluted shares</v>
          </cell>
          <cell r="B93">
            <v>839</v>
          </cell>
          <cell r="C93">
            <v>848</v>
          </cell>
          <cell r="D93">
            <v>859</v>
          </cell>
          <cell r="E93">
            <v>859</v>
          </cell>
          <cell r="F93">
            <v>859</v>
          </cell>
          <cell r="G93">
            <v>859</v>
          </cell>
          <cell r="H93">
            <v>860</v>
          </cell>
          <cell r="I93">
            <v>859</v>
          </cell>
          <cell r="J93">
            <v>860</v>
          </cell>
          <cell r="K93">
            <v>860</v>
          </cell>
          <cell r="L93">
            <v>860</v>
          </cell>
          <cell r="M93">
            <v>862</v>
          </cell>
          <cell r="N93">
            <v>862</v>
          </cell>
          <cell r="O93">
            <v>862</v>
          </cell>
          <cell r="P93">
            <v>863</v>
          </cell>
          <cell r="Q93">
            <v>861</v>
          </cell>
          <cell r="R93">
            <v>862</v>
          </cell>
          <cell r="S93">
            <v>861</v>
          </cell>
          <cell r="T93">
            <v>861</v>
          </cell>
          <cell r="U93">
            <v>861</v>
          </cell>
          <cell r="V93">
            <v>859</v>
          </cell>
          <cell r="W93">
            <v>859</v>
          </cell>
          <cell r="X93">
            <v>859</v>
          </cell>
          <cell r="Y93">
            <v>858</v>
          </cell>
          <cell r="Z93">
            <v>857</v>
          </cell>
          <cell r="AA93">
            <v>857</v>
          </cell>
          <cell r="AB93">
            <v>853</v>
          </cell>
          <cell r="AC93">
            <v>853</v>
          </cell>
          <cell r="AD93">
            <v>853</v>
          </cell>
          <cell r="AE93">
            <v>862</v>
          </cell>
          <cell r="AF93">
            <v>862</v>
          </cell>
          <cell r="AG93">
            <v>862</v>
          </cell>
          <cell r="AH93">
            <v>862</v>
          </cell>
          <cell r="AI93">
            <v>862</v>
          </cell>
          <cell r="AJ93">
            <v>862</v>
          </cell>
          <cell r="AK93">
            <v>862</v>
          </cell>
          <cell r="AL93">
            <v>862</v>
          </cell>
          <cell r="AM93">
            <v>862</v>
          </cell>
          <cell r="AN93">
            <v>862</v>
          </cell>
          <cell r="AO93">
            <v>862</v>
          </cell>
        </row>
        <row r="94">
          <cell r="A94" t="str">
            <v>Earnings per share and non voting security</v>
          </cell>
          <cell r="B94">
            <v>-1.2538736591179975</v>
          </cell>
          <cell r="C94">
            <v>-0.12853773584905662</v>
          </cell>
          <cell r="D94">
            <v>1.0250848102444701</v>
          </cell>
          <cell r="E94">
            <v>0.89819307566938267</v>
          </cell>
          <cell r="F94">
            <v>1.3934807916181606</v>
          </cell>
          <cell r="G94">
            <v>2.3073341094295694</v>
          </cell>
          <cell r="H94">
            <v>3.6965116279069767</v>
          </cell>
          <cell r="I94">
            <v>1.1990686845168801</v>
          </cell>
          <cell r="J94">
            <v>1.4895348837209301</v>
          </cell>
          <cell r="K94">
            <v>2.6872093023255812</v>
          </cell>
          <cell r="L94">
            <v>2.3593023255813952</v>
          </cell>
          <cell r="M94">
            <v>2.2575406032482599</v>
          </cell>
          <cell r="N94">
            <v>4.6113689095127608</v>
          </cell>
          <cell r="O94">
            <v>4.6113689095127608</v>
          </cell>
          <cell r="P94">
            <v>5.6998841251448438</v>
          </cell>
          <cell r="Q94">
            <v>5.6236933797909412</v>
          </cell>
          <cell r="R94">
            <v>11.323665893271462</v>
          </cell>
          <cell r="S94">
            <v>5.5981416957026715</v>
          </cell>
          <cell r="T94">
            <v>4.8188153310104527</v>
          </cell>
          <cell r="U94">
            <v>10.416957026713124</v>
          </cell>
          <cell r="V94">
            <v>4.0430733410942956</v>
          </cell>
          <cell r="W94">
            <v>5.0186263096623982</v>
          </cell>
          <cell r="X94">
            <v>9.0616996507566938</v>
          </cell>
          <cell r="Y94">
            <v>6.3729603729603728</v>
          </cell>
          <cell r="Z94">
            <v>3.4072345390898482</v>
          </cell>
          <cell r="AA94">
            <v>9.7876312718786469</v>
          </cell>
          <cell r="AB94">
            <v>6.038686987104338</v>
          </cell>
          <cell r="AC94">
            <v>4.505482325099857</v>
          </cell>
          <cell r="AD94">
            <v>10.544169312204192</v>
          </cell>
          <cell r="AE94">
            <v>6.3746709732310975</v>
          </cell>
          <cell r="AF94">
            <v>6.9749288685803466</v>
          </cell>
          <cell r="AG94">
            <v>13.349599841811434</v>
          </cell>
          <cell r="AH94">
            <v>13.665650861422749</v>
          </cell>
          <cell r="AI94">
            <v>14.17917077507545</v>
          </cell>
          <cell r="AJ94">
            <v>14.822234954675398</v>
          </cell>
          <cell r="AK94">
            <v>15.042523435990296</v>
          </cell>
          <cell r="AL94">
            <v>15.123615604729764</v>
          </cell>
          <cell r="AM94">
            <v>15.388468343372111</v>
          </cell>
          <cell r="AN94">
            <v>15.022851433109928</v>
          </cell>
          <cell r="AO94">
            <v>14.943588104323711</v>
          </cell>
        </row>
        <row r="96">
          <cell r="A96" t="str">
            <v>Diluted Net Income (assume options ex)</v>
          </cell>
          <cell r="H96">
            <v>3171</v>
          </cell>
          <cell r="K96">
            <v>2296</v>
          </cell>
          <cell r="N96">
            <v>3900</v>
          </cell>
          <cell r="O96">
            <v>3900</v>
          </cell>
          <cell r="P96">
            <v>4846</v>
          </cell>
          <cell r="R96">
            <v>9624</v>
          </cell>
          <cell r="U96">
            <v>8810</v>
          </cell>
          <cell r="X96">
            <v>7745</v>
          </cell>
          <cell r="AA96">
            <v>8665</v>
          </cell>
          <cell r="AD96">
            <v>9271.1764233101749</v>
          </cell>
          <cell r="AE96">
            <v>11122.500169912417</v>
          </cell>
          <cell r="AF96">
            <v>11692.587169349326</v>
          </cell>
          <cell r="AG96">
            <v>11784.355063641457</v>
          </cell>
          <cell r="AH96">
            <v>12056.791042546411</v>
          </cell>
          <cell r="AI96">
            <v>12499.445208115038</v>
          </cell>
          <cell r="AJ96">
            <v>13053.766530930194</v>
          </cell>
          <cell r="AK96">
            <v>13243.655201823634</v>
          </cell>
          <cell r="AL96">
            <v>13313.556651277057</v>
          </cell>
          <cell r="AM96">
            <v>13541.859711986759</v>
          </cell>
          <cell r="AN96">
            <v>13226.697935340757</v>
          </cell>
          <cell r="AO96">
            <v>13158.372945927038</v>
          </cell>
        </row>
        <row r="98">
          <cell r="A98" t="str">
            <v>Dividend</v>
          </cell>
          <cell r="E98">
            <v>1417.35</v>
          </cell>
          <cell r="H98">
            <v>1725</v>
          </cell>
          <cell r="K98">
            <v>2156</v>
          </cell>
          <cell r="N98">
            <v>2933</v>
          </cell>
          <cell r="O98">
            <v>2933</v>
          </cell>
          <cell r="R98">
            <v>3968</v>
          </cell>
          <cell r="U98">
            <v>4313</v>
          </cell>
          <cell r="X98">
            <v>5175</v>
          </cell>
          <cell r="AA98">
            <v>5693</v>
          </cell>
          <cell r="AD98">
            <v>5190.9135043543947</v>
          </cell>
          <cell r="AE98">
            <v>6319.2250934518279</v>
          </cell>
          <cell r="AF98">
            <v>6632.7729431421258</v>
          </cell>
          <cell r="AG98">
            <v>6530.345285002807</v>
          </cell>
          <cell r="AH98">
            <v>6680.1850734005247</v>
          </cell>
          <cell r="AI98">
            <v>6923.6448644632701</v>
          </cell>
          <cell r="AJ98">
            <v>7228.521592011607</v>
          </cell>
          <cell r="AK98">
            <v>7332.9603610030017</v>
          </cell>
          <cell r="AL98">
            <v>7371.4061582023833</v>
          </cell>
          <cell r="AM98">
            <v>7496.9728415927138</v>
          </cell>
          <cell r="AN98">
            <v>7323.6338644374127</v>
          </cell>
          <cell r="AO98">
            <v>7286.0551202598672</v>
          </cell>
          <cell r="AP98" t="str">
            <v>mstag:commonDividends</v>
          </cell>
          <cell r="AQ98">
            <v>6</v>
          </cell>
          <cell r="AR98" t="str">
            <v>ISO4217:CHF</v>
          </cell>
          <cell r="AS98" t="b">
            <v>0</v>
          </cell>
          <cell r="AT98" t="b">
            <v>0</v>
          </cell>
          <cell r="AU98" t="b">
            <v>0</v>
          </cell>
          <cell r="AV98" t="b">
            <v>0</v>
          </cell>
        </row>
        <row r="99">
          <cell r="A99" t="str">
            <v>DPS</v>
          </cell>
          <cell r="B99">
            <v>1.45</v>
          </cell>
          <cell r="E99">
            <v>1.65</v>
          </cell>
          <cell r="H99">
            <v>2</v>
          </cell>
          <cell r="K99">
            <v>2.5</v>
          </cell>
          <cell r="N99">
            <v>3.4</v>
          </cell>
          <cell r="O99">
            <v>3.4</v>
          </cell>
          <cell r="R99">
            <v>4.5999999999999996</v>
          </cell>
          <cell r="U99">
            <v>5</v>
          </cell>
          <cell r="X99">
            <v>6</v>
          </cell>
          <cell r="AA99">
            <v>6.6</v>
          </cell>
          <cell r="AD99">
            <v>6.1069570639463464</v>
          </cell>
          <cell r="AE99">
            <v>7.3479361551765443</v>
          </cell>
          <cell r="AF99">
            <v>7.7125266780722397</v>
          </cell>
          <cell r="AG99">
            <v>7.5934247500032637</v>
          </cell>
          <cell r="AH99">
            <v>7.7676570620936332</v>
          </cell>
          <cell r="AI99">
            <v>8.050749842399151</v>
          </cell>
          <cell r="AJ99">
            <v>8.4052576651297759</v>
          </cell>
          <cell r="AK99">
            <v>8.5266980941895376</v>
          </cell>
          <cell r="AL99">
            <v>8.5714025095376556</v>
          </cell>
          <cell r="AM99">
            <v>8.7174102809217597</v>
          </cell>
          <cell r="AN99">
            <v>8.5158533307411783</v>
          </cell>
          <cell r="AO99">
            <v>8.4721571165812417</v>
          </cell>
        </row>
        <row r="100">
          <cell r="A100" t="str">
            <v>Payout ratio</v>
          </cell>
          <cell r="E100">
            <v>1.8370215098466769</v>
          </cell>
          <cell r="H100">
            <v>0.54262346649889903</v>
          </cell>
          <cell r="K100">
            <v>0.93292946776287322</v>
          </cell>
          <cell r="N100">
            <v>0.73786163522012582</v>
          </cell>
          <cell r="O100">
            <v>0.73786163522012582</v>
          </cell>
          <cell r="R100">
            <v>0.40651572584776152</v>
          </cell>
          <cell r="U100">
            <v>0.48087858178169252</v>
          </cell>
          <cell r="X100">
            <v>0.528169014084507</v>
          </cell>
          <cell r="AA100">
            <v>0.53320221035871496</v>
          </cell>
          <cell r="AD100">
            <v>0.53</v>
          </cell>
          <cell r="AE100">
            <v>0.55000000000000004</v>
          </cell>
          <cell r="AF100">
            <v>0.55000000000000004</v>
          </cell>
          <cell r="AG100">
            <v>0.55000000000000004</v>
          </cell>
          <cell r="AH100">
            <v>0.55000000000000004</v>
          </cell>
          <cell r="AI100">
            <v>0.55000000000000004</v>
          </cell>
          <cell r="AJ100">
            <v>0.55000000000000004</v>
          </cell>
          <cell r="AK100">
            <v>0.55000000000000004</v>
          </cell>
          <cell r="AL100">
            <v>0.55000000000000004</v>
          </cell>
          <cell r="AM100">
            <v>0.55000000000000004</v>
          </cell>
          <cell r="AN100">
            <v>0.55000000000000004</v>
          </cell>
          <cell r="AO100">
            <v>0.55000000000000004</v>
          </cell>
        </row>
        <row r="101">
          <cell r="A101" t="str">
            <v>Payout (Core)</v>
          </cell>
          <cell r="K101">
            <v>0.31913314531690662</v>
          </cell>
          <cell r="N101">
            <v>0.34459729570840686</v>
          </cell>
          <cell r="O101">
            <v>0.34459729570840686</v>
          </cell>
          <cell r="R101">
            <v>0.38802231138076126</v>
          </cell>
          <cell r="U101">
            <v>0.45282423477437678</v>
          </cell>
          <cell r="X101">
            <v>0.49226361031518623</v>
          </cell>
          <cell r="AA101">
            <v>0.5297555493116044</v>
          </cell>
          <cell r="AD101">
            <v>0.5318705882352941</v>
          </cell>
          <cell r="AE101">
            <v>0.5512790697674419</v>
          </cell>
          <cell r="AF101">
            <v>0.5512790697674419</v>
          </cell>
          <cell r="AG101">
            <v>0.5512790697674419</v>
          </cell>
          <cell r="AH101">
            <v>0.5512790697674419</v>
          </cell>
          <cell r="AI101">
            <v>0.5512790697674419</v>
          </cell>
          <cell r="AJ101">
            <v>0.5512790697674419</v>
          </cell>
          <cell r="AK101">
            <v>0.55127906976744201</v>
          </cell>
          <cell r="AL101">
            <v>0.5512790697674419</v>
          </cell>
          <cell r="AM101">
            <v>0.5512790697674419</v>
          </cell>
          <cell r="AN101">
            <v>0.5512790697674419</v>
          </cell>
          <cell r="AO101">
            <v>0.5512790697674419</v>
          </cell>
        </row>
        <row r="102">
          <cell r="A102" t="str">
            <v>Dividend Growth</v>
          </cell>
          <cell r="E102">
            <v>0.13793103448275867</v>
          </cell>
          <cell r="H102">
            <v>0.21212121212121215</v>
          </cell>
          <cell r="K102">
            <v>0.25</v>
          </cell>
          <cell r="N102">
            <v>0.35999999999999988</v>
          </cell>
          <cell r="O102">
            <v>0.35999999999999988</v>
          </cell>
          <cell r="R102">
            <v>0.35294117647058809</v>
          </cell>
          <cell r="U102">
            <v>8.6956521739130599E-2</v>
          </cell>
          <cell r="X102">
            <v>0.19999999999999996</v>
          </cell>
          <cell r="AA102">
            <v>9.9999999999999867E-2</v>
          </cell>
          <cell r="AD102">
            <v>-7.4703475159644483E-2</v>
          </cell>
          <cell r="AE102">
            <v>0.16953329328178901</v>
          </cell>
          <cell r="AF102">
            <v>4.9618085295807246E-2</v>
          </cell>
          <cell r="AG102">
            <v>0.24340562255342824</v>
          </cell>
          <cell r="AH102">
            <v>2.2945155555837315E-2</v>
          </cell>
          <cell r="AI102">
            <v>3.6445066773997725E-2</v>
          </cell>
          <cell r="AJ102">
            <v>4.403413715125204E-2</v>
          </cell>
          <cell r="AK102">
            <v>1.4448150657364378E-2</v>
          </cell>
          <cell r="AL102">
            <v>5.2428753609303769E-3</v>
          </cell>
          <cell r="AM102">
            <v>1.7034291788495137E-2</v>
          </cell>
          <cell r="AN102">
            <v>-2.3121195823683216E-2</v>
          </cell>
          <cell r="AO102">
            <v>-5.1311609609572262E-3</v>
          </cell>
        </row>
        <row r="104">
          <cell r="A104" t="str">
            <v>Basic EPS (continuing)</v>
          </cell>
          <cell r="H104">
            <v>3.7800237812128419</v>
          </cell>
          <cell r="K104">
            <v>2.7349112426035505</v>
          </cell>
          <cell r="N104">
            <v>4.665492957746479</v>
          </cell>
          <cell r="O104">
            <v>4.665492957746479</v>
          </cell>
          <cell r="P104">
            <v>5.7331002331002328</v>
          </cell>
          <cell r="R104">
            <v>11.363213038416763</v>
          </cell>
          <cell r="S104">
            <v>5.6046511627906979</v>
          </cell>
          <cell r="T104">
            <v>4.8244186046511626</v>
          </cell>
          <cell r="U104">
            <v>10.429069767441861</v>
          </cell>
          <cell r="V104">
            <v>4.0430733410942956</v>
          </cell>
          <cell r="W104">
            <v>5.0244755244755241</v>
          </cell>
          <cell r="X104">
            <v>9.0722610722610728</v>
          </cell>
          <cell r="Y104">
            <v>6.3878504672897201</v>
          </cell>
          <cell r="Z104">
            <v>3.4152046783625729</v>
          </cell>
          <cell r="AA104">
            <v>9.810526315789474</v>
          </cell>
          <cell r="AB104">
            <v>6.06</v>
          </cell>
          <cell r="AC104">
            <v>4.5213840274237391</v>
          </cell>
          <cell r="AD104">
            <v>10.581384027423734</v>
          </cell>
          <cell r="AE104">
            <v>6.3894957894479143</v>
          </cell>
          <cell r="AF104">
            <v>6.9911496333909984</v>
          </cell>
          <cell r="AG104">
            <v>13.380645422838903</v>
          </cell>
          <cell r="AH104">
            <v>13.697431444821408</v>
          </cell>
          <cell r="AI104">
            <v>14.212145590831438</v>
          </cell>
          <cell r="AJ104">
            <v>14.856705268523481</v>
          </cell>
          <cell r="AK104">
            <v>15.077506048632133</v>
          </cell>
          <cell r="AL104">
            <v>15.15878680381053</v>
          </cell>
          <cell r="AM104">
            <v>15.424255479054372</v>
          </cell>
          <cell r="AN104">
            <v>15.057788296907857</v>
          </cell>
          <cell r="AO104">
            <v>14.978340634798881</v>
          </cell>
        </row>
        <row r="105">
          <cell r="A105" t="str">
            <v>Diluted EPS</v>
          </cell>
          <cell r="H105">
            <v>3.6872093023255812</v>
          </cell>
          <cell r="K105">
            <v>2.6697674418604653</v>
          </cell>
          <cell r="N105">
            <v>4.5243619489559164</v>
          </cell>
          <cell r="O105">
            <v>4.5243619489559164</v>
          </cell>
          <cell r="P105">
            <v>5.6152954808806488</v>
          </cell>
          <cell r="R105">
            <v>11.164733178654293</v>
          </cell>
          <cell r="U105">
            <v>10.232288037166086</v>
          </cell>
          <cell r="X105">
            <v>9.0162980209545989</v>
          </cell>
          <cell r="AA105">
            <v>10.110851808634772</v>
          </cell>
          <cell r="AB105">
            <v>6.038686987104338</v>
          </cell>
          <cell r="AD105">
            <v>10.868905537292116</v>
          </cell>
          <cell r="AE105">
            <v>12.903132447694219</v>
          </cell>
          <cell r="AF105">
            <v>13.564486275347246</v>
          </cell>
          <cell r="AG105">
            <v>13.670945549468048</v>
          </cell>
          <cell r="AH105">
            <v>13.986996569079363</v>
          </cell>
          <cell r="AI105">
            <v>14.500516482732062</v>
          </cell>
          <cell r="AJ105">
            <v>15.143580662332011</v>
          </cell>
          <cell r="AK105">
            <v>15.363869143646907</v>
          </cell>
          <cell r="AL105">
            <v>15.444961312386376</v>
          </cell>
          <cell r="AM105">
            <v>15.709814051028722</v>
          </cell>
          <cell r="AN105">
            <v>15.344197140766539</v>
          </cell>
          <cell r="AO105">
            <v>15.264933811980322</v>
          </cell>
        </row>
        <row r="106">
          <cell r="A106" t="str">
            <v>ModelWare EPS</v>
          </cell>
          <cell r="H106">
            <v>7.54</v>
          </cell>
          <cell r="K106">
            <v>7.07</v>
          </cell>
          <cell r="L106">
            <v>2.3593023255813952</v>
          </cell>
          <cell r="M106">
            <v>2.2575406032482599</v>
          </cell>
          <cell r="N106">
            <v>8.98</v>
          </cell>
          <cell r="O106">
            <v>8.98</v>
          </cell>
          <cell r="P106">
            <v>5.6998841251448438</v>
          </cell>
          <cell r="Q106">
            <v>5.6236933797909412</v>
          </cell>
          <cell r="R106">
            <v>0</v>
          </cell>
          <cell r="S106">
            <v>0</v>
          </cell>
          <cell r="T106">
            <v>0</v>
          </cell>
          <cell r="U106">
            <v>0</v>
          </cell>
          <cell r="V106">
            <v>0</v>
          </cell>
          <cell r="W106">
            <v>0</v>
          </cell>
          <cell r="X106">
            <v>11.261373690337603</v>
          </cell>
          <cell r="Y106">
            <v>0</v>
          </cell>
          <cell r="Z106">
            <v>0</v>
          </cell>
          <cell r="AA106">
            <v>9.7876312718786469</v>
          </cell>
          <cell r="AD106">
            <v>10.544169312204193</v>
          </cell>
          <cell r="AE106">
            <v>12.904292540501643</v>
          </cell>
          <cell r="AF106">
            <v>13.565646368154669</v>
          </cell>
          <cell r="AG106">
            <v>13.349599841811431</v>
          </cell>
          <cell r="AH106">
            <v>13.665650861422744</v>
          </cell>
          <cell r="AI106">
            <v>14.179170775075452</v>
          </cell>
          <cell r="AJ106">
            <v>14.822234954675396</v>
          </cell>
          <cell r="AK106">
            <v>15.042523435990297</v>
          </cell>
          <cell r="AL106">
            <v>15.23150423582025</v>
          </cell>
          <cell r="AM106">
            <v>15.4963569744626</v>
          </cell>
          <cell r="AN106">
            <v>15.130740064200412</v>
          </cell>
          <cell r="AO106">
            <v>15.051476735414184</v>
          </cell>
        </row>
        <row r="107">
          <cell r="A107" t="str">
            <v>Core EPS</v>
          </cell>
          <cell r="H107">
            <v>5.7279069767441859</v>
          </cell>
          <cell r="I107">
            <v>0</v>
          </cell>
          <cell r="J107">
            <v>0</v>
          </cell>
          <cell r="K107">
            <v>7.8337209302325581</v>
          </cell>
          <cell r="L107">
            <v>0</v>
          </cell>
          <cell r="M107">
            <v>0</v>
          </cell>
          <cell r="N107">
            <v>9.8665893271461709</v>
          </cell>
          <cell r="O107">
            <v>9.8665893271461709</v>
          </cell>
          <cell r="P107">
            <v>5.9513325608342988</v>
          </cell>
          <cell r="Q107">
            <v>5.9036004645760745</v>
          </cell>
          <cell r="R107">
            <v>11.854988399071926</v>
          </cell>
          <cell r="S107">
            <v>5.7468060394889662</v>
          </cell>
          <cell r="T107">
            <v>5.2950058072009289</v>
          </cell>
          <cell r="U107">
            <v>11.041811846689896</v>
          </cell>
          <cell r="V107">
            <v>6.3224679860302677</v>
          </cell>
          <cell r="W107">
            <v>5.8661233993015136</v>
          </cell>
          <cell r="X107">
            <v>12.188591385331781</v>
          </cell>
          <cell r="Y107">
            <v>6.5885780885780889</v>
          </cell>
          <cell r="Z107">
            <v>5.869998340826811</v>
          </cell>
          <cell r="AA107">
            <v>12.4585764294049</v>
          </cell>
          <cell r="AB107">
            <v>6.6787807737397422</v>
          </cell>
          <cell r="AC107">
            <v>4.8032548925090035</v>
          </cell>
          <cell r="AD107">
            <v>11.482035666248743</v>
          </cell>
          <cell r="AE107">
            <v>6.5684064720710049</v>
          </cell>
          <cell r="AF107">
            <v>7.150102882501459</v>
          </cell>
          <cell r="AG107">
            <v>13.774193809328846</v>
          </cell>
          <cell r="AH107">
            <v>14.090244828940147</v>
          </cell>
          <cell r="AI107">
            <v>14.603764742592849</v>
          </cell>
          <cell r="AJ107">
            <v>15.246828922192801</v>
          </cell>
          <cell r="AK107">
            <v>15.4671174035077</v>
          </cell>
          <cell r="AL107">
            <v>15.548209572247169</v>
          </cell>
          <cell r="AM107">
            <v>15.813062310889503</v>
          </cell>
          <cell r="AN107">
            <v>15.44744540062732</v>
          </cell>
          <cell r="AO107">
            <v>15.368182071841103</v>
          </cell>
          <cell r="AP107" t="str">
            <v>mstag:adjEpsForConsensus~ROG.VX</v>
          </cell>
          <cell r="AQ107">
            <v>0</v>
          </cell>
          <cell r="AR107" t="str">
            <v>ISO4217:CHF</v>
          </cell>
          <cell r="AS107" t="b">
            <v>0</v>
          </cell>
          <cell r="AT107" t="str">
            <v>ISO4217:CHF</v>
          </cell>
          <cell r="AU107" t="b">
            <v>0</v>
          </cell>
        </row>
        <row r="108">
          <cell r="A108" t="str">
            <v>Growth</v>
          </cell>
          <cell r="R108">
            <v>0.20152851263962379</v>
          </cell>
          <cell r="U108">
            <v>-6.8593618568676962E-2</v>
          </cell>
          <cell r="X108">
            <v>0.10385791340808481</v>
          </cell>
          <cell r="AA108">
            <v>2.2150635421089637E-2</v>
          </cell>
          <cell r="AB108">
            <v>1.3690766649336439E-2</v>
          </cell>
          <cell r="AC108">
            <v>-0.18172806641160866</v>
          </cell>
          <cell r="AD108">
            <v>-7.8383013395600498E-2</v>
          </cell>
          <cell r="AE108">
            <v>0.12700480988972362</v>
          </cell>
          <cell r="AF108">
            <v>4.9618085295807246E-2</v>
          </cell>
          <cell r="AG108">
            <v>0.19962994452437255</v>
          </cell>
          <cell r="AH108">
            <v>2.2945155555837315E-2</v>
          </cell>
          <cell r="AI108">
            <v>3.6445066773997947E-2</v>
          </cell>
          <cell r="AJ108">
            <v>4.403413715125204E-2</v>
          </cell>
        </row>
        <row r="109">
          <cell r="A109" t="str">
            <v>Core EPS (consensus)</v>
          </cell>
          <cell r="AD109">
            <v>12.91</v>
          </cell>
          <cell r="AE109">
            <v>14.24</v>
          </cell>
          <cell r="AF109">
            <v>15.28</v>
          </cell>
          <cell r="AG109">
            <v>14.24</v>
          </cell>
          <cell r="AH109">
            <v>15.28</v>
          </cell>
          <cell r="AI109">
            <v>16.04</v>
          </cell>
          <cell r="AJ109">
            <v>16.73</v>
          </cell>
          <cell r="AP109" t="str">
            <v>mstag:tag017</v>
          </cell>
          <cell r="AQ109">
            <v>6</v>
          </cell>
          <cell r="AR109" t="str">
            <v>mstag:tag017</v>
          </cell>
          <cell r="AS109">
            <v>6</v>
          </cell>
          <cell r="AT109" t="str">
            <v>ISO4217:CHF</v>
          </cell>
          <cell r="AU109" t="b">
            <v>0</v>
          </cell>
        </row>
        <row r="110">
          <cell r="A110" t="str">
            <v>% +/-</v>
          </cell>
          <cell r="AD110">
            <v>-0.11060916605354432</v>
          </cell>
          <cell r="AE110">
            <v>-6.3982689043606711E-2</v>
          </cell>
          <cell r="AF110">
            <v>-8.4408354995283652E-2</v>
          </cell>
          <cell r="AG110">
            <v>-3.2711108895446261E-2</v>
          </cell>
          <cell r="AH110">
            <v>-7.7863558315435344E-2</v>
          </cell>
          <cell r="AI110">
            <v>-8.9540851459298576E-2</v>
          </cell>
          <cell r="AJ110">
            <v>-8.8653381817525356E-2</v>
          </cell>
        </row>
        <row r="112">
          <cell r="A112" t="str">
            <v>Exceptionals</v>
          </cell>
          <cell r="B112">
            <v>-5384</v>
          </cell>
          <cell r="C112">
            <v>0</v>
          </cell>
          <cell r="D112">
            <v>216</v>
          </cell>
          <cell r="E112">
            <v>216</v>
          </cell>
          <cell r="F112">
            <v>1077</v>
          </cell>
          <cell r="G112">
            <v>1933</v>
          </cell>
          <cell r="H112">
            <v>3010</v>
          </cell>
          <cell r="I112">
            <v>-146</v>
          </cell>
          <cell r="J112">
            <v>-210</v>
          </cell>
          <cell r="K112">
            <v>-356</v>
          </cell>
          <cell r="N112">
            <v>0</v>
          </cell>
          <cell r="O112">
            <v>0</v>
          </cell>
          <cell r="R112">
            <v>0</v>
          </cell>
          <cell r="S112">
            <v>-315</v>
          </cell>
          <cell r="U112">
            <v>28</v>
          </cell>
          <cell r="V112">
            <v>-2728</v>
          </cell>
          <cell r="W112">
            <v>-384</v>
          </cell>
          <cell r="X112">
            <v>-3112</v>
          </cell>
          <cell r="Y112">
            <v>0</v>
          </cell>
          <cell r="Z112">
            <v>0</v>
          </cell>
          <cell r="AA112">
            <v>0</v>
          </cell>
          <cell r="AD112">
            <v>0</v>
          </cell>
          <cell r="AE112">
            <v>0</v>
          </cell>
          <cell r="AF112">
            <v>0</v>
          </cell>
          <cell r="AG112">
            <v>0</v>
          </cell>
          <cell r="AH112">
            <v>0</v>
          </cell>
          <cell r="AI112">
            <v>0</v>
          </cell>
          <cell r="AJ112">
            <v>0</v>
          </cell>
          <cell r="AK112">
            <v>0</v>
          </cell>
          <cell r="AL112">
            <v>0</v>
          </cell>
          <cell r="AM112">
            <v>0</v>
          </cell>
          <cell r="AN112">
            <v>0</v>
          </cell>
          <cell r="AO112">
            <v>0</v>
          </cell>
        </row>
        <row r="113">
          <cell r="A113" t="str">
            <v>Exceptionals after tax</v>
          </cell>
          <cell r="B113">
            <v>-3822.64</v>
          </cell>
          <cell r="C113">
            <v>0</v>
          </cell>
          <cell r="D113">
            <v>153.35999999999999</v>
          </cell>
          <cell r="E113">
            <v>153.35999999999999</v>
          </cell>
          <cell r="F113">
            <v>670.6</v>
          </cell>
          <cell r="G113">
            <v>0</v>
          </cell>
          <cell r="H113">
            <v>670.6</v>
          </cell>
          <cell r="I113">
            <v>-91</v>
          </cell>
          <cell r="J113">
            <v>-130</v>
          </cell>
          <cell r="K113">
            <v>-221</v>
          </cell>
          <cell r="N113">
            <v>0</v>
          </cell>
          <cell r="O113">
            <v>0</v>
          </cell>
          <cell r="R113">
            <v>0</v>
          </cell>
          <cell r="S113">
            <v>-192</v>
          </cell>
          <cell r="U113">
            <v>19.88</v>
          </cell>
          <cell r="V113">
            <v>-1936.8799999999999</v>
          </cell>
          <cell r="W113">
            <v>-272.64</v>
          </cell>
          <cell r="X113">
            <v>-2209.52</v>
          </cell>
          <cell r="Y113">
            <v>0</v>
          </cell>
          <cell r="Z113">
            <v>0</v>
          </cell>
          <cell r="AA113">
            <v>0</v>
          </cell>
          <cell r="AD113">
            <v>0</v>
          </cell>
          <cell r="AE113">
            <v>0</v>
          </cell>
          <cell r="AF113">
            <v>0</v>
          </cell>
          <cell r="AG113">
            <v>0</v>
          </cell>
          <cell r="AH113">
            <v>0</v>
          </cell>
          <cell r="AI113">
            <v>0</v>
          </cell>
          <cell r="AJ113">
            <v>0</v>
          </cell>
          <cell r="AK113">
            <v>0</v>
          </cell>
          <cell r="AL113">
            <v>0</v>
          </cell>
          <cell r="AM113">
            <v>0</v>
          </cell>
          <cell r="AN113">
            <v>0</v>
          </cell>
          <cell r="AO113">
            <v>0</v>
          </cell>
        </row>
        <row r="114">
          <cell r="A114" t="str">
            <v>Exceptionals after tax and minority interest</v>
          </cell>
          <cell r="B114">
            <v>-3702.9625046040514</v>
          </cell>
          <cell r="C114">
            <v>0</v>
          </cell>
          <cell r="D114">
            <v>153.35999999999999</v>
          </cell>
          <cell r="E114">
            <v>153.35999999999999</v>
          </cell>
          <cell r="F114">
            <v>670.6</v>
          </cell>
          <cell r="G114">
            <v>0</v>
          </cell>
          <cell r="H114">
            <v>670.6</v>
          </cell>
          <cell r="I114">
            <v>-91</v>
          </cell>
          <cell r="J114">
            <v>-130</v>
          </cell>
          <cell r="K114">
            <v>-221</v>
          </cell>
          <cell r="N114">
            <v>0</v>
          </cell>
          <cell r="O114">
            <v>0</v>
          </cell>
          <cell r="R114">
            <v>0</v>
          </cell>
          <cell r="S114">
            <v>107</v>
          </cell>
          <cell r="T114">
            <v>-91</v>
          </cell>
          <cell r="U114">
            <v>16</v>
          </cell>
          <cell r="V114">
            <v>-1660.5243742285854</v>
          </cell>
          <cell r="W114">
            <v>-263.59072437766315</v>
          </cell>
          <cell r="X114">
            <v>-2021.0227591069331</v>
          </cell>
          <cell r="Y114">
            <v>0</v>
          </cell>
          <cell r="Z114">
            <v>0</v>
          </cell>
          <cell r="AA114">
            <v>0</v>
          </cell>
          <cell r="AD114">
            <v>0</v>
          </cell>
          <cell r="AE114">
            <v>0</v>
          </cell>
          <cell r="AF114">
            <v>0</v>
          </cell>
          <cell r="AG114">
            <v>0</v>
          </cell>
          <cell r="AH114">
            <v>0</v>
          </cell>
          <cell r="AI114">
            <v>0</v>
          </cell>
          <cell r="AJ114">
            <v>0</v>
          </cell>
          <cell r="AK114">
            <v>0</v>
          </cell>
          <cell r="AL114">
            <v>0</v>
          </cell>
          <cell r="AM114">
            <v>0</v>
          </cell>
          <cell r="AN114">
            <v>0</v>
          </cell>
          <cell r="AO114">
            <v>0</v>
          </cell>
        </row>
        <row r="115">
          <cell r="A115" t="str">
            <v>Net income pre-exceptionals</v>
          </cell>
          <cell r="B115">
            <v>2650.9625046040514</v>
          </cell>
          <cell r="C115">
            <v>-109</v>
          </cell>
          <cell r="D115">
            <v>727.18785199999968</v>
          </cell>
          <cell r="E115">
            <v>618.18785199999968</v>
          </cell>
          <cell r="F115">
            <v>526.4</v>
          </cell>
          <cell r="G115">
            <v>1982</v>
          </cell>
          <cell r="H115">
            <v>2508.4</v>
          </cell>
          <cell r="I115">
            <v>1121</v>
          </cell>
          <cell r="J115">
            <v>1411</v>
          </cell>
          <cell r="K115">
            <v>2532</v>
          </cell>
          <cell r="L115">
            <v>2029</v>
          </cell>
          <cell r="M115">
            <v>1946</v>
          </cell>
          <cell r="N115">
            <v>3975</v>
          </cell>
          <cell r="O115">
            <v>3975</v>
          </cell>
          <cell r="P115">
            <v>4919</v>
          </cell>
          <cell r="Q115">
            <v>4842</v>
          </cell>
          <cell r="R115">
            <v>9761</v>
          </cell>
          <cell r="S115">
            <v>4713</v>
          </cell>
          <cell r="T115">
            <v>4240</v>
          </cell>
          <cell r="U115">
            <v>8953</v>
          </cell>
          <cell r="V115">
            <v>5133.5243742285857</v>
          </cell>
          <cell r="W115">
            <v>4574.5907243776628</v>
          </cell>
          <cell r="X115">
            <v>9805.0227591069324</v>
          </cell>
          <cell r="Y115">
            <v>5468</v>
          </cell>
          <cell r="Z115">
            <v>2920</v>
          </cell>
          <cell r="AA115">
            <v>8388</v>
          </cell>
          <cell r="AD115">
            <v>8994.1764233101749</v>
          </cell>
          <cell r="AE115">
            <v>11123.500169912417</v>
          </cell>
          <cell r="AF115">
            <v>11693.587169349326</v>
          </cell>
          <cell r="AG115">
            <v>11507.355063641457</v>
          </cell>
          <cell r="AH115">
            <v>11779.791042546411</v>
          </cell>
          <cell r="AI115">
            <v>12222.445208115038</v>
          </cell>
          <cell r="AJ115">
            <v>12776.766530930194</v>
          </cell>
          <cell r="AK115">
            <v>12966.655201823634</v>
          </cell>
          <cell r="AL115">
            <v>13036.556651277057</v>
          </cell>
          <cell r="AM115">
            <v>13264.859711986759</v>
          </cell>
          <cell r="AN115">
            <v>12949.697935340757</v>
          </cell>
          <cell r="AO115">
            <v>12881.372945927038</v>
          </cell>
        </row>
        <row r="116">
          <cell r="A116" t="str">
            <v>EPS pre-exceptionals</v>
          </cell>
          <cell r="B116">
            <v>3.1596692545936249</v>
          </cell>
          <cell r="C116">
            <v>-0.12853773584905662</v>
          </cell>
          <cell r="D116">
            <v>0.84655163213038376</v>
          </cell>
          <cell r="E116">
            <v>0.71965989755529647</v>
          </cell>
          <cell r="F116">
            <v>0.61280558789289874</v>
          </cell>
          <cell r="G116">
            <v>2.3073341094295694</v>
          </cell>
          <cell r="H116">
            <v>2.9167441860465115</v>
          </cell>
          <cell r="I116">
            <v>1.3050058207217694</v>
          </cell>
          <cell r="J116">
            <v>1.6406976744186046</v>
          </cell>
          <cell r="K116">
            <v>2.9441860465116281</v>
          </cell>
          <cell r="L116">
            <v>2.3593023255813952</v>
          </cell>
          <cell r="M116">
            <v>2.2575406032482599</v>
          </cell>
          <cell r="N116">
            <v>4.6113689095127608</v>
          </cell>
          <cell r="O116">
            <v>4.6113689095127608</v>
          </cell>
          <cell r="P116">
            <v>5.6998841251448438</v>
          </cell>
          <cell r="Q116">
            <v>5.6236933797909412</v>
          </cell>
          <cell r="R116">
            <v>11.323665893271462</v>
          </cell>
          <cell r="S116">
            <v>5.473867595818815</v>
          </cell>
          <cell r="T116">
            <v>4.9245063879210225</v>
          </cell>
          <cell r="U116">
            <v>10.398373983739837</v>
          </cell>
          <cell r="V116">
            <v>5.9761634158656411</v>
          </cell>
          <cell r="W116">
            <v>5.3254839631870343</v>
          </cell>
          <cell r="X116">
            <v>11.414461884874195</v>
          </cell>
          <cell r="Y116">
            <v>6.3729603729603728</v>
          </cell>
          <cell r="Z116">
            <v>3.4072345390898482</v>
          </cell>
          <cell r="AA116">
            <v>9.7876312718786469</v>
          </cell>
          <cell r="AD116">
            <v>10.544169312204192</v>
          </cell>
          <cell r="AE116">
            <v>12.904292540501643</v>
          </cell>
          <cell r="AF116">
            <v>13.56564636815467</v>
          </cell>
          <cell r="AG116">
            <v>13.349599841811434</v>
          </cell>
          <cell r="AH116">
            <v>13.665650861422749</v>
          </cell>
          <cell r="AI116">
            <v>14.17917077507545</v>
          </cell>
          <cell r="AJ116">
            <v>14.822234954675398</v>
          </cell>
          <cell r="AK116">
            <v>15.042523435990296</v>
          </cell>
          <cell r="AL116">
            <v>15.123615604729764</v>
          </cell>
          <cell r="AM116">
            <v>15.388468343372111</v>
          </cell>
          <cell r="AN116">
            <v>15.022851433109928</v>
          </cell>
          <cell r="AO116">
            <v>14.943588104323711</v>
          </cell>
          <cell r="AQ116">
            <v>0</v>
          </cell>
          <cell r="AR116" t="str">
            <v>ISO4217:CHF</v>
          </cell>
          <cell r="AS116">
            <v>0</v>
          </cell>
          <cell r="AT116" t="str">
            <v>ISO4217:CHF</v>
          </cell>
          <cell r="AU116" t="b">
            <v>0</v>
          </cell>
          <cell r="AV116" t="b">
            <v>0</v>
          </cell>
        </row>
        <row r="118">
          <cell r="A118" t="str">
            <v>EBITDA</v>
          </cell>
          <cell r="U118">
            <v>16673</v>
          </cell>
          <cell r="V118">
            <v>9316.5</v>
          </cell>
          <cell r="W118">
            <v>8388.5</v>
          </cell>
          <cell r="X118">
            <v>17705</v>
          </cell>
          <cell r="Y118">
            <v>9754</v>
          </cell>
          <cell r="Z118">
            <v>6006</v>
          </cell>
          <cell r="AA118">
            <v>15760</v>
          </cell>
          <cell r="AB118">
            <v>8809.0422456843535</v>
          </cell>
          <cell r="AC118">
            <v>7474.4631901859484</v>
          </cell>
          <cell r="AD118">
            <v>16283.5054358703</v>
          </cell>
          <cell r="AE118">
            <v>9348.3595942760821</v>
          </cell>
          <cell r="AF118">
            <v>10003.324538315388</v>
          </cell>
          <cell r="AG118">
            <v>19351.684132591461</v>
          </cell>
          <cell r="AH118">
            <v>19673.665072574106</v>
          </cell>
          <cell r="AI118">
            <v>20089.728417061699</v>
          </cell>
          <cell r="AJ118">
            <v>20621.712920478883</v>
          </cell>
          <cell r="AK118">
            <v>20619.599881241113</v>
          </cell>
          <cell r="AL118">
            <v>20594.178007771814</v>
          </cell>
          <cell r="AM118">
            <v>20982.443562288612</v>
          </cell>
          <cell r="AN118">
            <v>20607.801412328128</v>
          </cell>
          <cell r="AO118">
            <v>20606.08551713248</v>
          </cell>
        </row>
        <row r="122">
          <cell r="A122" t="str">
            <v>Statutory Tax Rate</v>
          </cell>
          <cell r="B122">
            <v>0.245</v>
          </cell>
          <cell r="E122">
            <v>0.24399999999999999</v>
          </cell>
          <cell r="H122">
            <v>0.24399999999999999</v>
          </cell>
          <cell r="K122">
            <v>0.24399999999999999</v>
          </cell>
          <cell r="N122">
            <v>0.24399999999999999</v>
          </cell>
          <cell r="R122">
            <v>0.24399999999999999</v>
          </cell>
          <cell r="S122">
            <v>0.24399999999999999</v>
          </cell>
          <cell r="T122">
            <v>0.24399999999999999</v>
          </cell>
          <cell r="U122">
            <v>0.24399999999999999</v>
          </cell>
          <cell r="V122">
            <v>0.24399999999999999</v>
          </cell>
          <cell r="W122">
            <v>0.24399999999999999</v>
          </cell>
          <cell r="X122">
            <v>0.24399999999999999</v>
          </cell>
          <cell r="Y122">
            <v>0.24399999999999999</v>
          </cell>
          <cell r="Z122">
            <v>0.24399999999999999</v>
          </cell>
          <cell r="AA122">
            <v>0.24399999999999999</v>
          </cell>
          <cell r="AD122">
            <v>0.24399999999999999</v>
          </cell>
          <cell r="AE122">
            <v>0.24399999999999999</v>
          </cell>
          <cell r="AF122">
            <v>0.24399999999999999</v>
          </cell>
          <cell r="AG122">
            <v>0.24399999999999999</v>
          </cell>
          <cell r="AH122">
            <v>0.24399999999999999</v>
          </cell>
          <cell r="AI122">
            <v>0.24399999999999999</v>
          </cell>
          <cell r="AJ122">
            <v>0.24399999999999999</v>
          </cell>
          <cell r="AK122">
            <v>0.24399999999999999</v>
          </cell>
          <cell r="AL122">
            <v>0.24399999999999999</v>
          </cell>
          <cell r="AM122">
            <v>0.24399999999999999</v>
          </cell>
          <cell r="AN122">
            <v>0.24399999999999999</v>
          </cell>
          <cell r="AO122">
            <v>0.24399999999999999</v>
          </cell>
          <cell r="AP122" t="str">
            <v>mstag:statutoryTaxRate</v>
          </cell>
          <cell r="AQ122">
            <v>0</v>
          </cell>
          <cell r="AR122" t="str">
            <v>ms_eqr_gcim_Decimal:ms_eqr_gcim_decimal</v>
          </cell>
          <cell r="AS122" t="b">
            <v>0</v>
          </cell>
          <cell r="AT122" t="b">
            <v>0</v>
          </cell>
          <cell r="AU122" t="b">
            <v>0</v>
          </cell>
          <cell r="AV122" t="b">
            <v>0</v>
          </cell>
        </row>
        <row r="123">
          <cell r="A123" t="str">
            <v>Average Diluted Shares</v>
          </cell>
          <cell r="B123">
            <v>839</v>
          </cell>
          <cell r="E123">
            <v>859</v>
          </cell>
          <cell r="H123">
            <v>860</v>
          </cell>
          <cell r="K123">
            <v>860</v>
          </cell>
          <cell r="N123">
            <v>862</v>
          </cell>
          <cell r="R123">
            <v>862</v>
          </cell>
          <cell r="U123">
            <v>861</v>
          </cell>
          <cell r="X123">
            <v>859</v>
          </cell>
          <cell r="AA123">
            <v>857</v>
          </cell>
          <cell r="AD123">
            <v>853</v>
          </cell>
          <cell r="AE123">
            <v>862</v>
          </cell>
          <cell r="AF123">
            <v>862</v>
          </cell>
          <cell r="AG123">
            <v>862</v>
          </cell>
          <cell r="AH123">
            <v>862</v>
          </cell>
          <cell r="AI123">
            <v>862</v>
          </cell>
          <cell r="AJ123">
            <v>862</v>
          </cell>
          <cell r="AK123">
            <v>862</v>
          </cell>
          <cell r="AL123">
            <v>862</v>
          </cell>
          <cell r="AM123">
            <v>862</v>
          </cell>
          <cell r="AN123">
            <v>862</v>
          </cell>
          <cell r="AO123">
            <v>862</v>
          </cell>
        </row>
        <row r="124">
          <cell r="A124" t="str">
            <v>Tax on exceptionals</v>
          </cell>
          <cell r="B124">
            <v>1561.3600000000001</v>
          </cell>
          <cell r="E124">
            <v>-62.640000000000015</v>
          </cell>
          <cell r="H124">
            <v>-2339.4</v>
          </cell>
          <cell r="K124">
            <v>135</v>
          </cell>
          <cell r="N124">
            <v>0</v>
          </cell>
          <cell r="V124">
            <v>791.12000000000012</v>
          </cell>
          <cell r="W124">
            <v>111.36000000000001</v>
          </cell>
          <cell r="X124">
            <v>902.48</v>
          </cell>
          <cell r="AA124">
            <v>0</v>
          </cell>
          <cell r="AD124">
            <v>0</v>
          </cell>
          <cell r="AE124">
            <v>0</v>
          </cell>
          <cell r="AF124">
            <v>0</v>
          </cell>
          <cell r="AG124">
            <v>0</v>
          </cell>
          <cell r="AH124">
            <v>0</v>
          </cell>
          <cell r="AI124">
            <v>0</v>
          </cell>
          <cell r="AJ124">
            <v>0</v>
          </cell>
          <cell r="AK124">
            <v>0</v>
          </cell>
          <cell r="AL124">
            <v>0</v>
          </cell>
          <cell r="AM124">
            <v>0</v>
          </cell>
          <cell r="AN124">
            <v>0</v>
          </cell>
          <cell r="AO124">
            <v>0</v>
          </cell>
          <cell r="AP124" t="str">
            <v>mstag:taxOnIncomeLossFromExtraordinaryItems</v>
          </cell>
          <cell r="AQ124">
            <v>6</v>
          </cell>
          <cell r="AR124" t="str">
            <v>ISO4217:CHF</v>
          </cell>
          <cell r="AS124" t="b">
            <v>1</v>
          </cell>
          <cell r="AT124" t="b">
            <v>0</v>
          </cell>
          <cell r="AU124" t="b">
            <v>1</v>
          </cell>
          <cell r="AV124" t="b">
            <v>0</v>
          </cell>
        </row>
        <row r="125">
          <cell r="A125" t="str">
            <v>Tax on continuing</v>
          </cell>
          <cell r="B125">
            <v>-2785.36</v>
          </cell>
          <cell r="E125">
            <v>-1339.36</v>
          </cell>
          <cell r="H125">
            <v>477.40000000000009</v>
          </cell>
          <cell r="K125">
            <v>-2419</v>
          </cell>
          <cell r="N125">
            <v>-3436</v>
          </cell>
          <cell r="R125">
            <v>-3867</v>
          </cell>
          <cell r="U125">
            <v>-3317</v>
          </cell>
          <cell r="V125">
            <v>-1431.1200000000001</v>
          </cell>
          <cell r="W125">
            <v>-1193.3600000000001</v>
          </cell>
          <cell r="X125">
            <v>-2624.48</v>
          </cell>
          <cell r="Y125">
            <v>-1707</v>
          </cell>
          <cell r="Z125">
            <v>-613</v>
          </cell>
          <cell r="AA125">
            <v>-2320</v>
          </cell>
          <cell r="AD125">
            <v>-2491.62534632602</v>
          </cell>
          <cell r="AE125">
            <v>-3057.1338141285974</v>
          </cell>
          <cell r="AF125">
            <v>-3212.1575335151019</v>
          </cell>
          <cell r="AG125">
            <v>-3160.9472190331617</v>
          </cell>
          <cell r="AH125">
            <v>-3236.9050923124182</v>
          </cell>
          <cell r="AI125">
            <v>-3358.2072506797795</v>
          </cell>
          <cell r="AJ125">
            <v>-3509.292699651111</v>
          </cell>
          <cell r="AK125">
            <v>-3563.606576952473</v>
          </cell>
          <cell r="AL125">
            <v>-3586.1314782592517</v>
          </cell>
          <cell r="AM125">
            <v>-3650.873049002189</v>
          </cell>
          <cell r="AN125">
            <v>-3571.262870420871</v>
          </cell>
          <cell r="AO125">
            <v>-3557.3849255235914</v>
          </cell>
          <cell r="AP125" t="str">
            <v>mstag:taxExpenseIncome</v>
          </cell>
          <cell r="AQ125">
            <v>6</v>
          </cell>
          <cell r="AR125" t="str">
            <v>ISO4217:CHF</v>
          </cell>
          <cell r="AS125" t="b">
            <v>1</v>
          </cell>
          <cell r="AT125" t="b">
            <v>0</v>
          </cell>
          <cell r="AU125" t="b">
            <v>1</v>
          </cell>
          <cell r="AV125" t="b">
            <v>0</v>
          </cell>
        </row>
        <row r="126">
          <cell r="A126" t="str">
            <v>Total tax</v>
          </cell>
          <cell r="B126">
            <v>-1224</v>
          </cell>
          <cell r="E126">
            <v>-1402</v>
          </cell>
          <cell r="H126">
            <v>-1862</v>
          </cell>
          <cell r="K126">
            <v>-2284</v>
          </cell>
          <cell r="N126">
            <v>-3436</v>
          </cell>
          <cell r="R126">
            <v>-3867</v>
          </cell>
          <cell r="U126">
            <v>-3317</v>
          </cell>
          <cell r="V126">
            <v>-640</v>
          </cell>
          <cell r="W126">
            <v>-1082</v>
          </cell>
          <cell r="X126">
            <v>-1722</v>
          </cell>
          <cell r="Y126">
            <v>-1707</v>
          </cell>
          <cell r="Z126">
            <v>-613</v>
          </cell>
          <cell r="AA126">
            <v>-2320</v>
          </cell>
          <cell r="AD126">
            <v>-2491.62534632602</v>
          </cell>
          <cell r="AE126">
            <v>-3057.1338141285974</v>
          </cell>
          <cell r="AF126">
            <v>-3212.1575335151019</v>
          </cell>
          <cell r="AG126">
            <v>-3160.9472190331617</v>
          </cell>
          <cell r="AH126">
            <v>-3236.9050923124182</v>
          </cell>
          <cell r="AI126">
            <v>-3358.2072506797795</v>
          </cell>
          <cell r="AJ126">
            <v>-3509.292699651111</v>
          </cell>
          <cell r="AK126">
            <v>-3563.606576952473</v>
          </cell>
          <cell r="AL126">
            <v>-3586.1314782592517</v>
          </cell>
          <cell r="AM126">
            <v>-3650.873049002189</v>
          </cell>
          <cell r="AN126">
            <v>-3571.262870420871</v>
          </cell>
          <cell r="AO126">
            <v>-3557.3849255235914</v>
          </cell>
        </row>
        <row r="127">
          <cell r="A127" t="str">
            <v>Adjustment to net income for dilutive items</v>
          </cell>
          <cell r="E127">
            <v>34</v>
          </cell>
          <cell r="AP127" t="str">
            <v>mstag:adjustmentToNetIncomeForDilutiveItems</v>
          </cell>
          <cell r="AQ127">
            <v>6</v>
          </cell>
          <cell r="AR127" t="str">
            <v>mstag:adjustmentToNetIncomeForDilutiveItems</v>
          </cell>
          <cell r="AS127">
            <v>6</v>
          </cell>
          <cell r="AT127" t="str">
            <v>ISO4217:CHF</v>
          </cell>
          <cell r="AU127" t="b">
            <v>0</v>
          </cell>
          <cell r="AV127" t="b">
            <v>0</v>
          </cell>
        </row>
        <row r="128">
          <cell r="E128">
            <v>0.93777398370197873</v>
          </cell>
        </row>
        <row r="129">
          <cell r="A129" t="str">
            <v>ADR Ratio</v>
          </cell>
          <cell r="B129">
            <v>0.25</v>
          </cell>
          <cell r="E129">
            <v>0.25</v>
          </cell>
          <cell r="H129">
            <v>0.25</v>
          </cell>
          <cell r="K129">
            <v>0.25</v>
          </cell>
          <cell r="N129">
            <v>0.25</v>
          </cell>
          <cell r="R129">
            <v>0.25</v>
          </cell>
          <cell r="U129">
            <v>0.25</v>
          </cell>
          <cell r="X129">
            <v>0.25</v>
          </cell>
          <cell r="AA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t="str">
            <v>mstag:adrRatioNew~RHHBY.PK</v>
          </cell>
          <cell r="AQ129">
            <v>0</v>
          </cell>
          <cell r="AR129" t="str">
            <v>ms_eqr_gcim_Decimal:ms_eqr_gcim_decimal</v>
          </cell>
          <cell r="AS129" t="b">
            <v>0</v>
          </cell>
          <cell r="AT129" t="str">
            <v>ms_eqr_gcim_Decimal:ms_eqr_gcim_decimal</v>
          </cell>
          <cell r="AU129" t="b">
            <v>0</v>
          </cell>
        </row>
        <row r="130">
          <cell r="H130" t="str">
            <v>2004-FY</v>
          </cell>
          <cell r="K130" t="str">
            <v>2005-FY</v>
          </cell>
          <cell r="N130" t="str">
            <v>2006-FY</v>
          </cell>
          <cell r="R130" t="str">
            <v>2007-FY</v>
          </cell>
          <cell r="U130" t="str">
            <v>2008-FY</v>
          </cell>
          <cell r="X130" t="str">
            <v>2009-FY</v>
          </cell>
          <cell r="AA130" t="str">
            <v>2010-FY</v>
          </cell>
          <cell r="AD130" t="str">
            <v>2011-FY</v>
          </cell>
          <cell r="AE130" t="str">
            <v>2012-FY</v>
          </cell>
          <cell r="AF130" t="str">
            <v>2013-FY</v>
          </cell>
          <cell r="AG130" t="str">
            <v>2012-FY</v>
          </cell>
          <cell r="AH130" t="str">
            <v>2013-FY</v>
          </cell>
          <cell r="AI130" t="str">
            <v>2014-FY</v>
          </cell>
          <cell r="AJ130" t="str">
            <v>2015-FY</v>
          </cell>
          <cell r="AK130" t="str">
            <v>2016-FY</v>
          </cell>
          <cell r="AL130" t="str">
            <v>2017-FY</v>
          </cell>
          <cell r="AM130" t="str">
            <v>2018-FY</v>
          </cell>
          <cell r="AN130" t="str">
            <v>2019-FY</v>
          </cell>
          <cell r="AO130" t="str">
            <v>2020-FY</v>
          </cell>
        </row>
        <row r="133">
          <cell r="A133" t="str">
            <v>Core EPS Calculation</v>
          </cell>
        </row>
        <row r="135">
          <cell r="A135" t="str">
            <v>Net Income</v>
          </cell>
          <cell r="H135">
            <v>4339</v>
          </cell>
          <cell r="K135">
            <v>6878</v>
          </cell>
          <cell r="N135">
            <v>9151</v>
          </cell>
          <cell r="O135">
            <v>9151</v>
          </cell>
          <cell r="P135">
            <v>5862</v>
          </cell>
          <cell r="Q135">
            <v>5575</v>
          </cell>
          <cell r="R135">
            <v>11437</v>
          </cell>
          <cell r="S135">
            <v>5732</v>
          </cell>
          <cell r="T135">
            <v>5112</v>
          </cell>
          <cell r="U135">
            <v>10844</v>
          </cell>
          <cell r="V135">
            <v>4051</v>
          </cell>
          <cell r="W135">
            <v>4459</v>
          </cell>
          <cell r="X135">
            <v>8510</v>
          </cell>
          <cell r="Y135">
            <v>5565</v>
          </cell>
          <cell r="Z135">
            <v>3048</v>
          </cell>
          <cell r="AA135">
            <v>8613</v>
          </cell>
          <cell r="AB135">
            <v>5259</v>
          </cell>
          <cell r="AC135">
            <v>4072.7334457026454</v>
          </cell>
          <cell r="AD135">
            <v>9709.5880414157564</v>
          </cell>
          <cell r="AE135">
            <v>11500.646253150438</v>
          </cell>
          <cell r="AF135">
            <v>12083.830721318718</v>
          </cell>
          <cell r="AG135">
            <v>12536.474217499956</v>
          </cell>
          <cell r="AH135">
            <v>13157.933636469194</v>
          </cell>
          <cell r="AI135">
            <v>13367.017698606054</v>
          </cell>
          <cell r="AJ135">
            <v>13465.743060359559</v>
          </cell>
          <cell r="AK135">
            <v>13724.394709140299</v>
          </cell>
          <cell r="AL135">
            <v>13428.754451487424</v>
          </cell>
          <cell r="AM135">
            <v>13380.470488432013</v>
          </cell>
          <cell r="AN135">
            <v>13434.750798249943</v>
          </cell>
          <cell r="AO135">
            <v>13382.543291255417</v>
          </cell>
        </row>
        <row r="137">
          <cell r="A137" t="str">
            <v>Major legal cases</v>
          </cell>
          <cell r="K137">
            <v>356</v>
          </cell>
          <cell r="N137">
            <v>0</v>
          </cell>
          <cell r="O137">
            <v>0</v>
          </cell>
          <cell r="P137">
            <v>0</v>
          </cell>
          <cell r="Q137">
            <v>0</v>
          </cell>
          <cell r="R137">
            <v>0</v>
          </cell>
          <cell r="S137">
            <v>-315</v>
          </cell>
          <cell r="T137">
            <v>44</v>
          </cell>
          <cell r="U137">
            <v>-271</v>
          </cell>
          <cell r="V137">
            <v>421</v>
          </cell>
          <cell r="W137">
            <v>-101</v>
          </cell>
          <cell r="X137">
            <v>320</v>
          </cell>
          <cell r="Y137">
            <v>0</v>
          </cell>
          <cell r="Z137">
            <v>0</v>
          </cell>
          <cell r="AA137">
            <v>0</v>
          </cell>
          <cell r="AD137">
            <v>0</v>
          </cell>
          <cell r="AE137">
            <v>0</v>
          </cell>
          <cell r="AF137">
            <v>0</v>
          </cell>
          <cell r="AG137">
            <v>0</v>
          </cell>
          <cell r="AH137">
            <v>0</v>
          </cell>
          <cell r="AI137">
            <v>0</v>
          </cell>
          <cell r="AJ137">
            <v>0</v>
          </cell>
          <cell r="AK137">
            <v>0</v>
          </cell>
          <cell r="AL137">
            <v>0</v>
          </cell>
          <cell r="AM137">
            <v>0</v>
          </cell>
          <cell r="AN137">
            <v>0</v>
          </cell>
          <cell r="AO137">
            <v>0</v>
          </cell>
        </row>
        <row r="138">
          <cell r="A138" t="str">
            <v>Tax</v>
          </cell>
          <cell r="K138">
            <v>-135</v>
          </cell>
          <cell r="S138">
            <v>123</v>
          </cell>
          <cell r="T138">
            <v>-18</v>
          </cell>
          <cell r="U138">
            <v>105</v>
          </cell>
          <cell r="V138">
            <v>-163</v>
          </cell>
          <cell r="W138">
            <v>40</v>
          </cell>
          <cell r="X138">
            <v>-123</v>
          </cell>
          <cell r="Y138">
            <v>0</v>
          </cell>
          <cell r="Z138">
            <v>0</v>
          </cell>
          <cell r="AA138">
            <v>0</v>
          </cell>
        </row>
        <row r="140">
          <cell r="A140" t="str">
            <v>Changes in group organisation</v>
          </cell>
          <cell r="K140">
            <v>0</v>
          </cell>
          <cell r="N140">
            <v>0</v>
          </cell>
          <cell r="O140">
            <v>0</v>
          </cell>
          <cell r="P140">
            <v>0</v>
          </cell>
          <cell r="Q140">
            <v>0</v>
          </cell>
          <cell r="R140">
            <v>0</v>
          </cell>
          <cell r="S140">
            <v>0</v>
          </cell>
          <cell r="T140">
            <v>243</v>
          </cell>
          <cell r="U140">
            <v>243</v>
          </cell>
          <cell r="V140">
            <v>1942</v>
          </cell>
          <cell r="W140">
            <v>473</v>
          </cell>
          <cell r="X140">
            <v>2415</v>
          </cell>
          <cell r="Y140">
            <v>0</v>
          </cell>
          <cell r="Z140">
            <v>0</v>
          </cell>
          <cell r="AA140">
            <v>0</v>
          </cell>
          <cell r="AD140">
            <v>0</v>
          </cell>
          <cell r="AE140">
            <v>0</v>
          </cell>
          <cell r="AF140">
            <v>0</v>
          </cell>
          <cell r="AG140">
            <v>0</v>
          </cell>
          <cell r="AH140">
            <v>0</v>
          </cell>
          <cell r="AI140">
            <v>0</v>
          </cell>
          <cell r="AJ140">
            <v>0</v>
          </cell>
          <cell r="AK140">
            <v>0</v>
          </cell>
          <cell r="AL140">
            <v>0</v>
          </cell>
          <cell r="AM140">
            <v>0</v>
          </cell>
          <cell r="AN140">
            <v>0</v>
          </cell>
          <cell r="AO140">
            <v>0</v>
          </cell>
        </row>
        <row r="141">
          <cell r="A141" t="str">
            <v>Tax</v>
          </cell>
          <cell r="T141">
            <v>-93</v>
          </cell>
          <cell r="U141">
            <v>-93</v>
          </cell>
          <cell r="V141">
            <v>-814</v>
          </cell>
          <cell r="W141">
            <v>-150</v>
          </cell>
          <cell r="X141">
            <v>-964</v>
          </cell>
          <cell r="Y141">
            <v>-93</v>
          </cell>
          <cell r="Z141">
            <v>0</v>
          </cell>
          <cell r="AA141">
            <v>-93</v>
          </cell>
          <cell r="AD141">
            <v>0</v>
          </cell>
          <cell r="AE141">
            <v>0</v>
          </cell>
          <cell r="AG141">
            <v>0</v>
          </cell>
        </row>
        <row r="143">
          <cell r="A143" t="str">
            <v>Exceptional financial items</v>
          </cell>
          <cell r="V143">
            <v>365</v>
          </cell>
          <cell r="W143">
            <v>12</v>
          </cell>
          <cell r="X143">
            <v>377</v>
          </cell>
          <cell r="Y143">
            <v>0</v>
          </cell>
        </row>
        <row r="144">
          <cell r="A144" t="str">
            <v>Tax</v>
          </cell>
          <cell r="V144">
            <v>-61</v>
          </cell>
          <cell r="W144">
            <v>0</v>
          </cell>
          <cell r="X144">
            <v>-61</v>
          </cell>
          <cell r="Y144">
            <v>0</v>
          </cell>
        </row>
        <row r="146">
          <cell r="A146" t="str">
            <v>Profit before exceptionals</v>
          </cell>
          <cell r="I146">
            <v>0</v>
          </cell>
          <cell r="J146">
            <v>0</v>
          </cell>
          <cell r="K146">
            <v>7099</v>
          </cell>
          <cell r="N146">
            <v>9151</v>
          </cell>
          <cell r="O146">
            <v>9151</v>
          </cell>
          <cell r="P146">
            <v>5862</v>
          </cell>
          <cell r="Q146">
            <v>5575</v>
          </cell>
          <cell r="R146">
            <v>11437</v>
          </cell>
          <cell r="S146">
            <v>5540</v>
          </cell>
          <cell r="T146">
            <v>5288</v>
          </cell>
          <cell r="U146">
            <v>10828</v>
          </cell>
          <cell r="V146">
            <v>5741</v>
          </cell>
          <cell r="W146">
            <v>4733</v>
          </cell>
          <cell r="X146">
            <v>10474</v>
          </cell>
          <cell r="Y146">
            <v>5472</v>
          </cell>
          <cell r="Z146">
            <v>3048</v>
          </cell>
          <cell r="AA146">
            <v>8520</v>
          </cell>
          <cell r="AB146">
            <v>5259</v>
          </cell>
          <cell r="AC146">
            <v>4072.7334457026454</v>
          </cell>
          <cell r="AD146">
            <v>9709.5880414157564</v>
          </cell>
          <cell r="AE146">
            <v>11500.646253150438</v>
          </cell>
          <cell r="AF146">
            <v>12083.830721318718</v>
          </cell>
          <cell r="AG146">
            <v>12536.474217499956</v>
          </cell>
          <cell r="AH146">
            <v>13157.933636469194</v>
          </cell>
          <cell r="AI146">
            <v>13367.017698606054</v>
          </cell>
          <cell r="AJ146">
            <v>13465.743060359559</v>
          </cell>
          <cell r="AK146">
            <v>13724.394709140299</v>
          </cell>
          <cell r="AL146">
            <v>13428.754451487424</v>
          </cell>
          <cell r="AM146">
            <v>13380.470488432013</v>
          </cell>
          <cell r="AN146">
            <v>13434.750798249943</v>
          </cell>
          <cell r="AO146">
            <v>13382.543291255417</v>
          </cell>
        </row>
        <row r="147">
          <cell r="A147" t="str">
            <v>Minorities in Net income</v>
          </cell>
          <cell r="I147">
            <v>-444</v>
          </cell>
          <cell r="J147">
            <v>-499</v>
          </cell>
          <cell r="K147">
            <v>-943</v>
          </cell>
          <cell r="N147">
            <v>-1291</v>
          </cell>
          <cell r="O147">
            <v>-1291</v>
          </cell>
          <cell r="P147">
            <v>-943</v>
          </cell>
          <cell r="Q147">
            <v>-733</v>
          </cell>
          <cell r="R147">
            <v>-1676</v>
          </cell>
          <cell r="S147">
            <v>-912</v>
          </cell>
          <cell r="T147">
            <v>-963</v>
          </cell>
          <cell r="U147">
            <v>-1875</v>
          </cell>
          <cell r="V147">
            <v>-578</v>
          </cell>
          <cell r="W147">
            <v>-148</v>
          </cell>
          <cell r="X147">
            <v>-726</v>
          </cell>
          <cell r="Y147">
            <v>-97</v>
          </cell>
          <cell r="Z147">
            <v>-128</v>
          </cell>
          <cell r="AA147">
            <v>-225</v>
          </cell>
          <cell r="AB147">
            <v>-108</v>
          </cell>
          <cell r="AC147">
            <v>-229.55702239246727</v>
          </cell>
          <cell r="AD147">
            <v>-330.86653793198315</v>
          </cell>
          <cell r="AE147">
            <v>-377.14608323802236</v>
          </cell>
          <cell r="AF147">
            <v>-390.24355196939138</v>
          </cell>
          <cell r="AG147">
            <v>-403.69733090847046</v>
          </cell>
          <cell r="AH147">
            <v>-417.51927866877941</v>
          </cell>
          <cell r="AI147">
            <v>-431.72166808760784</v>
          </cell>
          <cell r="AJ147">
            <v>-446.31720157599693</v>
          </cell>
          <cell r="AK147">
            <v>-461.31902707538342</v>
          </cell>
          <cell r="AL147">
            <v>-476.74075464641453</v>
          </cell>
          <cell r="AM147">
            <v>-492.59647371657258</v>
          </cell>
          <cell r="AN147">
            <v>-485.05286290918536</v>
          </cell>
          <cell r="AO147">
            <v>-501.17034532837818</v>
          </cell>
        </row>
        <row r="148">
          <cell r="A148" t="str">
            <v>Minorities in legal charge</v>
          </cell>
          <cell r="S148">
            <v>85</v>
          </cell>
          <cell r="T148">
            <v>-12</v>
          </cell>
          <cell r="U148">
            <v>73</v>
          </cell>
          <cell r="V148">
            <v>0</v>
          </cell>
          <cell r="W148">
            <v>0</v>
          </cell>
          <cell r="X148">
            <v>0</v>
          </cell>
          <cell r="Y148">
            <v>0</v>
          </cell>
          <cell r="Z148">
            <v>0</v>
          </cell>
          <cell r="AA148">
            <v>0</v>
          </cell>
        </row>
        <row r="149">
          <cell r="A149" t="str">
            <v>Minorities in group reorg</v>
          </cell>
          <cell r="T149">
            <v>-25</v>
          </cell>
          <cell r="U149">
            <v>-25</v>
          </cell>
          <cell r="V149">
            <v>50</v>
          </cell>
          <cell r="W149">
            <v>0</v>
          </cell>
          <cell r="X149">
            <v>50</v>
          </cell>
          <cell r="Y149">
            <v>0</v>
          </cell>
          <cell r="Z149">
            <v>0</v>
          </cell>
          <cell r="AA149">
            <v>0</v>
          </cell>
        </row>
        <row r="150">
          <cell r="A150" t="str">
            <v>Attributable to Roche</v>
          </cell>
          <cell r="I150">
            <v>-444</v>
          </cell>
          <cell r="J150">
            <v>-499</v>
          </cell>
          <cell r="K150">
            <v>6156</v>
          </cell>
          <cell r="N150">
            <v>7860</v>
          </cell>
          <cell r="O150">
            <v>7860</v>
          </cell>
          <cell r="P150">
            <v>4919</v>
          </cell>
          <cell r="Q150">
            <v>4842</v>
          </cell>
          <cell r="R150">
            <v>9761</v>
          </cell>
          <cell r="S150">
            <v>4713</v>
          </cell>
          <cell r="T150">
            <v>4288</v>
          </cell>
          <cell r="U150">
            <v>9001</v>
          </cell>
          <cell r="V150">
            <v>5213</v>
          </cell>
          <cell r="W150">
            <v>4585</v>
          </cell>
          <cell r="X150">
            <v>9798</v>
          </cell>
          <cell r="Y150">
            <v>5375</v>
          </cell>
          <cell r="Z150">
            <v>2920</v>
          </cell>
          <cell r="AA150">
            <v>8295</v>
          </cell>
          <cell r="AB150">
            <v>5151</v>
          </cell>
          <cell r="AC150">
            <v>3843.1764233101781</v>
          </cell>
          <cell r="AD150">
            <v>9378.7215034837736</v>
          </cell>
          <cell r="AE150">
            <v>11123.500169912417</v>
          </cell>
          <cell r="AF150">
            <v>11693.587169349326</v>
          </cell>
          <cell r="AG150">
            <v>12132.776886591486</v>
          </cell>
          <cell r="AH150">
            <v>12740.414357800415</v>
          </cell>
          <cell r="AI150">
            <v>12935.296030518446</v>
          </cell>
          <cell r="AJ150">
            <v>13019.425858783561</v>
          </cell>
          <cell r="AK150">
            <v>13263.075682064915</v>
          </cell>
          <cell r="AL150">
            <v>12952.01369684101</v>
          </cell>
          <cell r="AM150">
            <v>12887.87401471544</v>
          </cell>
          <cell r="AN150">
            <v>12949.697935340757</v>
          </cell>
          <cell r="AO150">
            <v>12881.372945927038</v>
          </cell>
        </row>
        <row r="152">
          <cell r="A152" t="str">
            <v>Amortisation and impairment</v>
          </cell>
          <cell r="K152">
            <v>1011</v>
          </cell>
          <cell r="N152">
            <v>1174</v>
          </cell>
          <cell r="P152">
            <v>488</v>
          </cell>
          <cell r="Q152">
            <v>546</v>
          </cell>
          <cell r="R152">
            <v>1034</v>
          </cell>
          <cell r="S152">
            <v>502</v>
          </cell>
          <cell r="T152">
            <v>571</v>
          </cell>
          <cell r="U152">
            <v>1073</v>
          </cell>
          <cell r="V152">
            <v>408</v>
          </cell>
          <cell r="W152">
            <v>686</v>
          </cell>
          <cell r="X152">
            <v>1094</v>
          </cell>
          <cell r="Y152">
            <v>413</v>
          </cell>
          <cell r="Z152">
            <v>538.10393258426961</v>
          </cell>
          <cell r="AA152">
            <v>951.10393258426961</v>
          </cell>
          <cell r="AD152">
            <v>1001.1529925564926</v>
          </cell>
          <cell r="AE152">
            <v>1051.2020525287155</v>
          </cell>
          <cell r="AF152">
            <v>1101.2511125009385</v>
          </cell>
          <cell r="AG152">
            <v>1051.2020525287155</v>
          </cell>
          <cell r="AH152">
            <v>1101.2511125009385</v>
          </cell>
          <cell r="AI152">
            <v>1151.3001724731614</v>
          </cell>
          <cell r="AJ152">
            <v>1201.3492324453844</v>
          </cell>
          <cell r="AK152">
            <v>1251.3982924176073</v>
          </cell>
          <cell r="AL152">
            <v>921.91011235955034</v>
          </cell>
          <cell r="AM152">
            <v>971.95917233177329</v>
          </cell>
          <cell r="AN152">
            <v>921.91011235955034</v>
          </cell>
          <cell r="AO152">
            <v>971.95917233177329</v>
          </cell>
        </row>
        <row r="153">
          <cell r="A153" t="str">
            <v>Income Tax</v>
          </cell>
          <cell r="K153">
            <v>-359</v>
          </cell>
          <cell r="N153">
            <v>-405</v>
          </cell>
          <cell r="P153">
            <v>-173</v>
          </cell>
          <cell r="Q153">
            <v>-201</v>
          </cell>
          <cell r="R153">
            <v>-374</v>
          </cell>
          <cell r="S153">
            <v>-166</v>
          </cell>
          <cell r="T153">
            <v>-190</v>
          </cell>
          <cell r="U153">
            <v>-356</v>
          </cell>
          <cell r="V153">
            <v>-142</v>
          </cell>
          <cell r="W153">
            <v>-231</v>
          </cell>
          <cell r="X153">
            <v>-373</v>
          </cell>
          <cell r="Y153">
            <v>-135</v>
          </cell>
          <cell r="Z153">
            <v>-66.825768187643433</v>
          </cell>
          <cell r="AA153">
            <v>-201.82576818764343</v>
          </cell>
          <cell r="AD153">
            <v>-210.98050187614189</v>
          </cell>
          <cell r="AE153">
            <v>-220.75243103103026</v>
          </cell>
          <cell r="AF153">
            <v>-231.26273362519706</v>
          </cell>
          <cell r="AG153">
            <v>-220.75243103103026</v>
          </cell>
          <cell r="AH153">
            <v>-231.26273362519706</v>
          </cell>
          <cell r="AI153">
            <v>-241.77303621936389</v>
          </cell>
          <cell r="AJ153">
            <v>-252.28333881353072</v>
          </cell>
          <cell r="AK153">
            <v>-262.79364140769752</v>
          </cell>
          <cell r="AL153">
            <v>-193.60112359550556</v>
          </cell>
          <cell r="AM153">
            <v>-204.11142618967239</v>
          </cell>
          <cell r="AN153">
            <v>-193.60112359550556</v>
          </cell>
          <cell r="AO153">
            <v>-204.11142618967239</v>
          </cell>
        </row>
        <row r="154">
          <cell r="A154" t="str">
            <v>Minorities</v>
          </cell>
          <cell r="K154">
            <v>-51</v>
          </cell>
          <cell r="N154">
            <v>-45</v>
          </cell>
          <cell r="P154">
            <v>-23</v>
          </cell>
          <cell r="Q154">
            <v>-37</v>
          </cell>
          <cell r="R154">
            <v>-60</v>
          </cell>
          <cell r="S154">
            <v>-26</v>
          </cell>
          <cell r="T154">
            <v>-26</v>
          </cell>
          <cell r="U154">
            <v>-52</v>
          </cell>
          <cell r="V154">
            <v>-13</v>
          </cell>
          <cell r="W154">
            <v>0</v>
          </cell>
          <cell r="X154">
            <v>-13</v>
          </cell>
          <cell r="Y154">
            <v>0</v>
          </cell>
          <cell r="Z154">
            <v>-11.30196629213483</v>
          </cell>
          <cell r="AA154">
            <v>-11.30196629213483</v>
          </cell>
          <cell r="AD154">
            <v>-11.896699180287388</v>
          </cell>
          <cell r="AE154">
            <v>-12.491432068439947</v>
          </cell>
          <cell r="AF154">
            <v>-13.086164956592505</v>
          </cell>
          <cell r="AG154">
            <v>-12.491432068439947</v>
          </cell>
          <cell r="AH154">
            <v>-13.086164956592505</v>
          </cell>
          <cell r="AI154">
            <v>-13.680897844745063</v>
          </cell>
          <cell r="AJ154">
            <v>-14.275630732897621</v>
          </cell>
          <cell r="AK154">
            <v>-14.870363621050178</v>
          </cell>
          <cell r="AL154">
            <v>-10.955056179775278</v>
          </cell>
          <cell r="AM154">
            <v>-11.549789067927836</v>
          </cell>
          <cell r="AN154">
            <v>-10.955056179775278</v>
          </cell>
          <cell r="AO154">
            <v>-11.549789067927836</v>
          </cell>
        </row>
        <row r="155">
          <cell r="A155" t="str">
            <v>Core Net Income</v>
          </cell>
          <cell r="H155">
            <v>4907</v>
          </cell>
          <cell r="I155">
            <v>-444</v>
          </cell>
          <cell r="J155">
            <v>-499</v>
          </cell>
          <cell r="K155">
            <v>6757</v>
          </cell>
          <cell r="N155">
            <v>8584</v>
          </cell>
          <cell r="O155">
            <v>7860</v>
          </cell>
          <cell r="P155">
            <v>5211</v>
          </cell>
          <cell r="Q155">
            <v>5150</v>
          </cell>
          <cell r="R155">
            <v>10361</v>
          </cell>
          <cell r="S155">
            <v>5023</v>
          </cell>
          <cell r="T155">
            <v>4643</v>
          </cell>
          <cell r="U155">
            <v>9666</v>
          </cell>
          <cell r="V155">
            <v>5466</v>
          </cell>
          <cell r="W155">
            <v>5040</v>
          </cell>
          <cell r="X155">
            <v>10506</v>
          </cell>
          <cell r="Y155">
            <v>5653</v>
          </cell>
          <cell r="Z155">
            <v>3379.9761981044912</v>
          </cell>
          <cell r="AA155">
            <v>9032.9761981044921</v>
          </cell>
          <cell r="AD155">
            <v>9772.4522148102369</v>
          </cell>
          <cell r="AE155">
            <v>11941.458359341661</v>
          </cell>
          <cell r="AF155">
            <v>12550.489383268476</v>
          </cell>
          <cell r="AG155">
            <v>12325.313253070701</v>
          </cell>
          <cell r="AH155">
            <v>12636.69325646556</v>
          </cell>
          <cell r="AI155">
            <v>13118.291446524092</v>
          </cell>
          <cell r="AJ155">
            <v>13711.556793829148</v>
          </cell>
          <cell r="AK155">
            <v>13940.389489212494</v>
          </cell>
          <cell r="AL155">
            <v>13753.910583861327</v>
          </cell>
          <cell r="AM155">
            <v>14021.157669060933</v>
          </cell>
          <cell r="AN155">
            <v>13667.051867925027</v>
          </cell>
          <cell r="AO155">
            <v>13637.670903001212</v>
          </cell>
        </row>
        <row r="156">
          <cell r="A156" t="str">
            <v>Elim of net int of converts</v>
          </cell>
          <cell r="K156">
            <v>43</v>
          </cell>
          <cell r="N156">
            <v>25</v>
          </cell>
          <cell r="P156">
            <v>4</v>
          </cell>
          <cell r="Q156">
            <v>0</v>
          </cell>
          <cell r="R156">
            <v>4</v>
          </cell>
          <cell r="S156">
            <v>0</v>
          </cell>
          <cell r="T156">
            <v>0</v>
          </cell>
          <cell r="U156">
            <v>0</v>
          </cell>
        </row>
        <row r="157">
          <cell r="A157" t="str">
            <v>Inc in min share of net income, net of tax assuming all DNA &amp; Chg stock opt</v>
          </cell>
          <cell r="K157">
            <v>-63</v>
          </cell>
          <cell r="N157">
            <v>-104</v>
          </cell>
          <cell r="P157">
            <v>-79</v>
          </cell>
          <cell r="Q157">
            <v>-67</v>
          </cell>
          <cell r="R157">
            <v>-146</v>
          </cell>
          <cell r="S157">
            <v>-75</v>
          </cell>
          <cell r="T157">
            <v>-84</v>
          </cell>
          <cell r="U157">
            <v>-159</v>
          </cell>
          <cell r="V157">
            <v>-35</v>
          </cell>
          <cell r="W157">
            <v>-1</v>
          </cell>
          <cell r="X157">
            <v>-36</v>
          </cell>
          <cell r="Y157">
            <v>0</v>
          </cell>
          <cell r="Z157">
            <v>-11.15702479338843</v>
          </cell>
          <cell r="AA157">
            <v>-11.15702479338843</v>
          </cell>
          <cell r="AD157">
            <v>-16.738364746733915</v>
          </cell>
          <cell r="AE157">
            <v>-18.701458672959788</v>
          </cell>
          <cell r="AF157">
            <v>-19.350919932366519</v>
          </cell>
          <cell r="AG157">
            <v>-19.032760253008259</v>
          </cell>
          <cell r="AH157">
            <v>-19.69277544086529</v>
          </cell>
          <cell r="AI157">
            <v>-20.370775521338299</v>
          </cell>
          <cell r="AJ157">
            <v>-21.067358023385388</v>
          </cell>
          <cell r="AK157">
            <v>-21.783141300942326</v>
          </cell>
          <cell r="AL157">
            <v>-22.518765302627418</v>
          </cell>
          <cell r="AM157">
            <v>-23.27489237178516</v>
          </cell>
          <cell r="AN157">
            <v>-24.052208078141422</v>
          </cell>
          <cell r="AO157">
            <v>-24.851422082398916</v>
          </cell>
        </row>
        <row r="158">
          <cell r="A158" t="str">
            <v>Net Income used to calc diluted EPS</v>
          </cell>
          <cell r="H158">
            <v>4926</v>
          </cell>
          <cell r="K158">
            <v>6737</v>
          </cell>
          <cell r="N158">
            <v>8505</v>
          </cell>
          <cell r="O158">
            <v>7860</v>
          </cell>
          <cell r="P158">
            <v>5136</v>
          </cell>
          <cell r="Q158">
            <v>5083</v>
          </cell>
          <cell r="R158">
            <v>10219</v>
          </cell>
          <cell r="S158">
            <v>4948</v>
          </cell>
          <cell r="T158">
            <v>4559</v>
          </cell>
          <cell r="U158">
            <v>9507</v>
          </cell>
          <cell r="V158">
            <v>5431</v>
          </cell>
          <cell r="W158">
            <v>5039</v>
          </cell>
          <cell r="X158">
            <v>10470</v>
          </cell>
          <cell r="Y158">
            <v>5653</v>
          </cell>
          <cell r="Z158">
            <v>3368.819173311103</v>
          </cell>
          <cell r="AA158">
            <v>9021.8191733111034</v>
          </cell>
          <cell r="AD158">
            <v>9755.7138500635028</v>
          </cell>
          <cell r="AE158">
            <v>11922.756900668701</v>
          </cell>
          <cell r="AF158">
            <v>12531.138463336109</v>
          </cell>
          <cell r="AG158">
            <v>12306.280492817692</v>
          </cell>
          <cell r="AH158">
            <v>12617.000481024694</v>
          </cell>
          <cell r="AI158">
            <v>13097.920671002754</v>
          </cell>
          <cell r="AJ158">
            <v>13690.489435805763</v>
          </cell>
          <cell r="AK158">
            <v>13918.606347911551</v>
          </cell>
          <cell r="AL158">
            <v>13731.391818558699</v>
          </cell>
          <cell r="AM158">
            <v>13997.882776689148</v>
          </cell>
          <cell r="AN158">
            <v>13642.999659846886</v>
          </cell>
          <cell r="AO158">
            <v>13612.819480918813</v>
          </cell>
        </row>
        <row r="160">
          <cell r="A160" t="str">
            <v>Core EPS</v>
          </cell>
          <cell r="H160">
            <v>5.7279069767441859</v>
          </cell>
          <cell r="I160">
            <v>0</v>
          </cell>
          <cell r="J160">
            <v>0</v>
          </cell>
          <cell r="K160">
            <v>7.8337209302325581</v>
          </cell>
          <cell r="N160">
            <v>9.8665893271461709</v>
          </cell>
          <cell r="O160">
            <v>9.1183294663573093</v>
          </cell>
          <cell r="P160">
            <v>5.9513325608342988</v>
          </cell>
          <cell r="Q160">
            <v>5.9036004645760745</v>
          </cell>
          <cell r="R160">
            <v>11.854988399071926</v>
          </cell>
          <cell r="S160">
            <v>5.7468060394889662</v>
          </cell>
          <cell r="T160">
            <v>5.2950058072009289</v>
          </cell>
          <cell r="U160">
            <v>11.041811846689896</v>
          </cell>
          <cell r="V160">
            <v>6.3224679860302677</v>
          </cell>
          <cell r="W160">
            <v>5.8661233993015136</v>
          </cell>
          <cell r="X160">
            <v>12.188591385331781</v>
          </cell>
          <cell r="Y160">
            <v>6.5885780885780889</v>
          </cell>
          <cell r="Z160">
            <v>3.9309441928951028</v>
          </cell>
          <cell r="AA160">
            <v>10.527210237235826</v>
          </cell>
          <cell r="AD160">
            <v>11.436944724576206</v>
          </cell>
          <cell r="AE160">
            <v>13.831504525137705</v>
          </cell>
          <cell r="AF160">
            <v>14.537283600157899</v>
          </cell>
          <cell r="AG160">
            <v>14.276427485867393</v>
          </cell>
          <cell r="AH160">
            <v>14.63689150930939</v>
          </cell>
          <cell r="AI160">
            <v>15.194803562648206</v>
          </cell>
          <cell r="AJ160">
            <v>15.882238324600653</v>
          </cell>
          <cell r="AK160">
            <v>16.146875113586486</v>
          </cell>
          <cell r="AL160">
            <v>15.929688884638862</v>
          </cell>
          <cell r="AM160">
            <v>16.238843128409684</v>
          </cell>
          <cell r="AN160">
            <v>15.827145777084555</v>
          </cell>
          <cell r="AO160">
            <v>15.792133968583311</v>
          </cell>
        </row>
        <row r="163">
          <cell r="A163" t="str">
            <v>Core EPS calculation - as of 2011</v>
          </cell>
        </row>
        <row r="165">
          <cell r="A165" t="str">
            <v>Core Operating Profit</v>
          </cell>
          <cell r="AA165">
            <v>16313</v>
          </cell>
          <cell r="AB165">
            <v>8251</v>
          </cell>
          <cell r="AC165">
            <v>6965.4209445015968</v>
          </cell>
          <cell r="AD165">
            <v>15216.420944501595</v>
          </cell>
          <cell r="AE165">
            <v>8517.9102171930881</v>
          </cell>
          <cell r="AF165">
            <v>9172.875161232394</v>
          </cell>
          <cell r="AG165">
            <v>17690.785378425484</v>
          </cell>
          <cell r="AH165">
            <v>17871.176879610841</v>
          </cell>
          <cell r="AI165">
            <v>18147.831112821154</v>
          </cell>
          <cell r="AJ165">
            <v>18542.543225930662</v>
          </cell>
          <cell r="AK165">
            <v>18405.251782935426</v>
          </cell>
          <cell r="AL165">
            <v>18493.715052108808</v>
          </cell>
          <cell r="AM165">
            <v>18750.865374370154</v>
          </cell>
          <cell r="AN165">
            <v>18312.224961137937</v>
          </cell>
          <cell r="AO165">
            <v>18183.296103597389</v>
          </cell>
        </row>
        <row r="167">
          <cell r="A167" t="str">
            <v>Associates</v>
          </cell>
          <cell r="AA167">
            <v>-3</v>
          </cell>
          <cell r="AB167">
            <v>0</v>
          </cell>
          <cell r="AC167">
            <v>2</v>
          </cell>
          <cell r="AD167">
            <v>2</v>
          </cell>
          <cell r="AE167">
            <v>1</v>
          </cell>
          <cell r="AF167">
            <v>1</v>
          </cell>
          <cell r="AG167">
            <v>2</v>
          </cell>
          <cell r="AH167">
            <v>2</v>
          </cell>
          <cell r="AI167">
            <v>2</v>
          </cell>
          <cell r="AJ167">
            <v>2</v>
          </cell>
          <cell r="AK167">
            <v>2</v>
          </cell>
          <cell r="AL167">
            <v>2</v>
          </cell>
          <cell r="AM167">
            <v>2</v>
          </cell>
          <cell r="AN167">
            <v>2</v>
          </cell>
          <cell r="AO167">
            <v>2</v>
          </cell>
        </row>
        <row r="168">
          <cell r="A168" t="str">
            <v>Financial income</v>
          </cell>
          <cell r="AA168">
            <v>557</v>
          </cell>
          <cell r="AB168">
            <v>373</v>
          </cell>
          <cell r="AC168">
            <v>293.875</v>
          </cell>
          <cell r="AD168">
            <v>666.875</v>
          </cell>
          <cell r="AE168">
            <v>326.50834130435891</v>
          </cell>
          <cell r="AF168">
            <v>326.50834130435891</v>
          </cell>
          <cell r="AG168">
            <v>653.01668260871782</v>
          </cell>
          <cell r="AH168">
            <v>653.12598168705517</v>
          </cell>
          <cell r="AI168">
            <v>658.31438249331939</v>
          </cell>
          <cell r="AJ168">
            <v>657.90972947138494</v>
          </cell>
          <cell r="AK168">
            <v>653.18569835086328</v>
          </cell>
          <cell r="AL168">
            <v>671.98386397166473</v>
          </cell>
          <cell r="AM168">
            <v>723.12673572429458</v>
          </cell>
          <cell r="AN168">
            <v>782.67106047404263</v>
          </cell>
          <cell r="AO168">
            <v>845.51446612278687</v>
          </cell>
        </row>
        <row r="169">
          <cell r="A169" t="str">
            <v>Financial expenses</v>
          </cell>
          <cell r="AA169">
            <v>-2829</v>
          </cell>
          <cell r="AB169">
            <v>-1165</v>
          </cell>
          <cell r="AC169">
            <v>-1265.9371524729295</v>
          </cell>
          <cell r="AD169">
            <v>-2430.9371524729295</v>
          </cell>
          <cell r="AE169">
            <v>-1056.3362232952882</v>
          </cell>
          <cell r="AF169">
            <v>-1056.3362232952882</v>
          </cell>
          <cell r="AG169">
            <v>-2112.6724465905763</v>
          </cell>
          <cell r="AH169">
            <v>-1931.4690883816213</v>
          </cell>
          <cell r="AI169">
            <v>-1635.6823968393328</v>
          </cell>
          <cell r="AJ169">
            <v>-1310.5353380158035</v>
          </cell>
          <cell r="AK169">
            <v>-909.88235294117658</v>
          </cell>
          <cell r="AL169">
            <v>-909.88235294117658</v>
          </cell>
          <cell r="AM169">
            <v>-909.88235294117658</v>
          </cell>
          <cell r="AN169">
            <v>-909.88235294117658</v>
          </cell>
          <cell r="AO169">
            <v>-909.88235294117658</v>
          </cell>
        </row>
        <row r="171">
          <cell r="A171" t="str">
            <v>Profit before taxes</v>
          </cell>
          <cell r="AA171">
            <v>14038</v>
          </cell>
          <cell r="AB171">
            <v>7459</v>
          </cell>
          <cell r="AC171">
            <v>5995.3587920286673</v>
          </cell>
          <cell r="AD171">
            <v>13454.358792028666</v>
          </cell>
          <cell r="AE171">
            <v>7789.0823352021598</v>
          </cell>
          <cell r="AF171">
            <v>8444.0472792414657</v>
          </cell>
          <cell r="AG171">
            <v>16233.129614443627</v>
          </cell>
          <cell r="AH171">
            <v>16594.833772916274</v>
          </cell>
          <cell r="AI171">
            <v>17172.463098475138</v>
          </cell>
          <cell r="AJ171">
            <v>17891.917617386243</v>
          </cell>
          <cell r="AK171">
            <v>18150.555128345113</v>
          </cell>
          <cell r="AL171">
            <v>18257.816563139299</v>
          </cell>
          <cell r="AM171">
            <v>18566.109757153274</v>
          </cell>
          <cell r="AN171">
            <v>18187.013668670807</v>
          </cell>
          <cell r="AO171">
            <v>18120.928216779001</v>
          </cell>
        </row>
        <row r="173">
          <cell r="A173" t="str">
            <v>Tax expense</v>
          </cell>
          <cell r="AA173">
            <v>-2320</v>
          </cell>
          <cell r="AB173">
            <v>-1409</v>
          </cell>
          <cell r="AC173">
            <v>-1082.6253463260198</v>
          </cell>
          <cell r="AD173">
            <v>-2491.62534632602</v>
          </cell>
          <cell r="AE173">
            <v>-1511.7022903924535</v>
          </cell>
          <cell r="AF173">
            <v>-1649.2449286407079</v>
          </cell>
          <cell r="AG173">
            <v>-3160.9472190331617</v>
          </cell>
          <cell r="AH173">
            <v>-3236.9050923124182</v>
          </cell>
          <cell r="AI173">
            <v>-3358.2072506797795</v>
          </cell>
          <cell r="AJ173">
            <v>-3509.292699651111</v>
          </cell>
          <cell r="AK173">
            <v>-3563.606576952473</v>
          </cell>
          <cell r="AL173">
            <v>-3586.1314782592517</v>
          </cell>
          <cell r="AM173">
            <v>-3650.873049002189</v>
          </cell>
          <cell r="AN173">
            <v>-3571.262870420871</v>
          </cell>
          <cell r="AO173">
            <v>-3557.3849255235914</v>
          </cell>
        </row>
        <row r="174">
          <cell r="A174" t="str">
            <v>Adjustment to tax expense</v>
          </cell>
          <cell r="AA174">
            <v>-815</v>
          </cell>
          <cell r="AB174">
            <v>-229</v>
          </cell>
          <cell r="AC174">
            <v>-586</v>
          </cell>
          <cell r="AD174">
            <v>-815</v>
          </cell>
          <cell r="AE174">
            <v>-407.5</v>
          </cell>
          <cell r="AF174">
            <v>-407.5</v>
          </cell>
          <cell r="AG174">
            <v>-815</v>
          </cell>
          <cell r="AH174">
            <v>-815</v>
          </cell>
          <cell r="AI174">
            <v>-815</v>
          </cell>
          <cell r="AJ174">
            <v>-815</v>
          </cell>
          <cell r="AK174">
            <v>-815</v>
          </cell>
          <cell r="AL174">
            <v>-815</v>
          </cell>
          <cell r="AM174">
            <v>-815</v>
          </cell>
          <cell r="AN174">
            <v>-815</v>
          </cell>
          <cell r="AO174">
            <v>-815</v>
          </cell>
        </row>
        <row r="175">
          <cell r="A175" t="str">
            <v>Core tax expense</v>
          </cell>
          <cell r="AA175">
            <v>-3135</v>
          </cell>
          <cell r="AB175">
            <v>-1638</v>
          </cell>
          <cell r="AC175">
            <v>-1668.6253463260198</v>
          </cell>
          <cell r="AD175">
            <v>-3306.62534632602</v>
          </cell>
          <cell r="AE175">
            <v>-1919.2022903924535</v>
          </cell>
          <cell r="AF175">
            <v>-2056.7449286407082</v>
          </cell>
          <cell r="AG175">
            <v>-3975.9472190331617</v>
          </cell>
          <cell r="AH175">
            <v>-4051.9050923124182</v>
          </cell>
          <cell r="AI175">
            <v>-4173.2072506797795</v>
          </cell>
          <cell r="AJ175">
            <v>-4324.2926996511105</v>
          </cell>
          <cell r="AK175">
            <v>-4378.606576952473</v>
          </cell>
          <cell r="AL175">
            <v>-4401.1314782592517</v>
          </cell>
          <cell r="AM175">
            <v>-4465.873049002189</v>
          </cell>
          <cell r="AN175">
            <v>-4386.262870420871</v>
          </cell>
          <cell r="AO175">
            <v>-4372.3849255235909</v>
          </cell>
        </row>
        <row r="177">
          <cell r="A177" t="str">
            <v>Minorities</v>
          </cell>
          <cell r="AA177">
            <v>-225</v>
          </cell>
          <cell r="AB177">
            <v>-108</v>
          </cell>
          <cell r="AC177">
            <v>-229.55702239246727</v>
          </cell>
          <cell r="AD177">
            <v>-337.55702239246727</v>
          </cell>
          <cell r="AE177">
            <v>-191.91366588449995</v>
          </cell>
          <cell r="AF177">
            <v>-191.91366588449995</v>
          </cell>
          <cell r="AG177">
            <v>-383.8273317689999</v>
          </cell>
          <cell r="AH177">
            <v>-397.13763805745003</v>
          </cell>
          <cell r="AI177">
            <v>-410.81063968032242</v>
          </cell>
          <cell r="AJ177">
            <v>-424.85838680493868</v>
          </cell>
          <cell r="AK177">
            <v>-439.29334956900357</v>
          </cell>
          <cell r="AL177">
            <v>-454.12843360298626</v>
          </cell>
          <cell r="AM177">
            <v>-469.37699616433406</v>
          </cell>
          <cell r="AN177">
            <v>-485.05286290918536</v>
          </cell>
          <cell r="AO177">
            <v>-501.17034532837818</v>
          </cell>
        </row>
        <row r="178">
          <cell r="A178" t="str">
            <v>Adjustment</v>
          </cell>
          <cell r="AA178">
            <v>-1</v>
          </cell>
          <cell r="AB178">
            <v>-16</v>
          </cell>
          <cell r="AC178">
            <v>0</v>
          </cell>
          <cell r="AD178">
            <v>-16</v>
          </cell>
          <cell r="AE178">
            <v>-16</v>
          </cell>
          <cell r="AF178">
            <v>-32</v>
          </cell>
          <cell r="AG178">
            <v>0</v>
          </cell>
          <cell r="AH178">
            <v>0</v>
          </cell>
          <cell r="AI178">
            <v>0</v>
          </cell>
          <cell r="AJ178">
            <v>0</v>
          </cell>
          <cell r="AK178">
            <v>0</v>
          </cell>
          <cell r="AL178">
            <v>0</v>
          </cell>
          <cell r="AM178">
            <v>0</v>
          </cell>
          <cell r="AN178">
            <v>0</v>
          </cell>
          <cell r="AO178">
            <v>0</v>
          </cell>
        </row>
        <row r="179">
          <cell r="A179" t="str">
            <v>Core minorities</v>
          </cell>
          <cell r="AA179">
            <v>-226</v>
          </cell>
          <cell r="AB179">
            <v>-124</v>
          </cell>
          <cell r="AC179">
            <v>-229.55702239246727</v>
          </cell>
          <cell r="AD179">
            <v>-353.55702239246727</v>
          </cell>
          <cell r="AE179">
            <v>-207.91366588449995</v>
          </cell>
          <cell r="AF179">
            <v>-223.91366588449995</v>
          </cell>
          <cell r="AG179">
            <v>-383.8273317689999</v>
          </cell>
          <cell r="AH179">
            <v>-397.13763805745003</v>
          </cell>
          <cell r="AI179">
            <v>-410.81063968032242</v>
          </cell>
          <cell r="AJ179">
            <v>-424.85838680493868</v>
          </cell>
          <cell r="AK179">
            <v>-439.29334956900357</v>
          </cell>
          <cell r="AL179">
            <v>-454.12843360298626</v>
          </cell>
          <cell r="AM179">
            <v>-469.37699616433406</v>
          </cell>
          <cell r="AN179">
            <v>-485.05286290918536</v>
          </cell>
          <cell r="AO179">
            <v>-501.17034532837818</v>
          </cell>
        </row>
        <row r="181">
          <cell r="A181" t="str">
            <v>Net income</v>
          </cell>
          <cell r="F181">
            <v>0</v>
          </cell>
          <cell r="G181">
            <v>0</v>
          </cell>
          <cell r="H181">
            <v>4926</v>
          </cell>
          <cell r="I181">
            <v>0</v>
          </cell>
          <cell r="J181">
            <v>0</v>
          </cell>
          <cell r="K181">
            <v>6737</v>
          </cell>
          <cell r="L181">
            <v>0</v>
          </cell>
          <cell r="M181">
            <v>0</v>
          </cell>
          <cell r="N181">
            <v>8505</v>
          </cell>
          <cell r="O181">
            <v>7860</v>
          </cell>
          <cell r="P181">
            <v>5136</v>
          </cell>
          <cell r="Q181">
            <v>5083</v>
          </cell>
          <cell r="R181">
            <v>10219</v>
          </cell>
          <cell r="S181">
            <v>4948</v>
          </cell>
          <cell r="T181">
            <v>4559</v>
          </cell>
          <cell r="U181">
            <v>9507</v>
          </cell>
          <cell r="X181">
            <v>10470</v>
          </cell>
          <cell r="AA181">
            <v>10677</v>
          </cell>
          <cell r="AB181">
            <v>5697</v>
          </cell>
          <cell r="AC181">
            <v>4097.1764233101803</v>
          </cell>
          <cell r="AD181">
            <v>9794.1764233101785</v>
          </cell>
          <cell r="AE181">
            <v>5661.9663789252063</v>
          </cell>
          <cell r="AF181">
            <v>6163.3886847162576</v>
          </cell>
          <cell r="AG181">
            <v>11873.355063641466</v>
          </cell>
          <cell r="AH181">
            <v>12145.791042546407</v>
          </cell>
          <cell r="AI181">
            <v>12588.445208115036</v>
          </cell>
          <cell r="AJ181">
            <v>13142.766530930194</v>
          </cell>
          <cell r="AK181">
            <v>13332.655201823638</v>
          </cell>
          <cell r="AL181">
            <v>13402.55665127706</v>
          </cell>
          <cell r="AM181">
            <v>13630.859711986752</v>
          </cell>
          <cell r="AN181">
            <v>13315.69793534075</v>
          </cell>
          <cell r="AO181">
            <v>13247.372945927031</v>
          </cell>
          <cell r="AP181" t="str">
            <v>mstag:netIncomeAdjustedForConsensus</v>
          </cell>
          <cell r="AQ181">
            <v>6</v>
          </cell>
          <cell r="AR181" t="str">
            <v>ISO4217:CHF</v>
          </cell>
          <cell r="AS181" t="b">
            <v>0</v>
          </cell>
          <cell r="AT181" t="str">
            <v>ISO4217:CHF</v>
          </cell>
          <cell r="AU181" t="b">
            <v>0</v>
          </cell>
        </row>
        <row r="182">
          <cell r="A182" t="str">
            <v>Core EPS</v>
          </cell>
          <cell r="AA182">
            <v>12.4585764294049</v>
          </cell>
          <cell r="AB182">
            <v>6.6787807737397422</v>
          </cell>
          <cell r="AC182">
            <v>4.8032548925090035</v>
          </cell>
          <cell r="AD182">
            <v>11.482035666248743</v>
          </cell>
          <cell r="AE182">
            <v>6.5684064720710049</v>
          </cell>
          <cell r="AF182">
            <v>7.150102882501459</v>
          </cell>
          <cell r="AG182">
            <v>13.774193809328846</v>
          </cell>
          <cell r="AH182">
            <v>14.090244828940147</v>
          </cell>
          <cell r="AI182">
            <v>14.603764742592849</v>
          </cell>
          <cell r="AJ182">
            <v>15.246828922192801</v>
          </cell>
          <cell r="AK182">
            <v>15.4671174035077</v>
          </cell>
          <cell r="AL182">
            <v>15.548209572247169</v>
          </cell>
          <cell r="AM182">
            <v>15.813062310889503</v>
          </cell>
          <cell r="AN182">
            <v>15.44744540062732</v>
          </cell>
          <cell r="AO182">
            <v>15.368182071841103</v>
          </cell>
        </row>
        <row r="185">
          <cell r="A185" t="str">
            <v>ModelWare EPS</v>
          </cell>
        </row>
        <row r="186">
          <cell r="A186" t="str">
            <v>Operating Revenue</v>
          </cell>
          <cell r="R186">
            <v>48376</v>
          </cell>
          <cell r="S186">
            <v>23140</v>
          </cell>
          <cell r="T186">
            <v>24764</v>
          </cell>
          <cell r="U186">
            <v>47904</v>
          </cell>
          <cell r="V186">
            <v>25122</v>
          </cell>
          <cell r="W186">
            <v>26029</v>
          </cell>
          <cell r="X186">
            <v>51151</v>
          </cell>
          <cell r="AA186">
            <v>49167</v>
          </cell>
          <cell r="AD186">
            <v>44287.823191115873</v>
          </cell>
          <cell r="AE186">
            <v>47241.799877857338</v>
          </cell>
          <cell r="AF186">
            <v>47795.368993688113</v>
          </cell>
          <cell r="AG186">
            <v>45964.219061181131</v>
          </cell>
          <cell r="AH186">
            <v>48390.766170960378</v>
          </cell>
          <cell r="AI186">
            <v>49355.460156077374</v>
          </cell>
          <cell r="AJ186">
            <v>50689.880033614332</v>
          </cell>
          <cell r="AK186">
            <v>50787.608061714891</v>
          </cell>
          <cell r="AL186">
            <v>51485.386363894417</v>
          </cell>
          <cell r="AM186">
            <v>52634.54554047573</v>
          </cell>
          <cell r="AN186">
            <v>51105.166685828801</v>
          </cell>
          <cell r="AO186">
            <v>51332.975080302524</v>
          </cell>
        </row>
        <row r="187">
          <cell r="A187" t="str">
            <v>Operating Expense</v>
          </cell>
          <cell r="R187">
            <v>-33908</v>
          </cell>
          <cell r="S187">
            <v>-16099</v>
          </cell>
          <cell r="T187">
            <v>-17909</v>
          </cell>
          <cell r="U187">
            <v>-33737</v>
          </cell>
          <cell r="V187">
            <v>-17573</v>
          </cell>
          <cell r="W187">
            <v>-18886</v>
          </cell>
          <cell r="X187">
            <v>-36459</v>
          </cell>
          <cell r="AA187">
            <v>-35959</v>
          </cell>
          <cell r="AD187">
            <v>-30702.402246614278</v>
          </cell>
          <cell r="AE187">
            <v>-31171.130277382814</v>
          </cell>
          <cell r="AF187">
            <v>-31168.684550181562</v>
          </cell>
          <cell r="AG187">
            <v>-29454.433682755658</v>
          </cell>
          <cell r="AH187">
            <v>-31700.589291349537</v>
          </cell>
          <cell r="AI187">
            <v>-32388.62904325622</v>
          </cell>
          <cell r="AJ187">
            <v>-33328.33680768367</v>
          </cell>
          <cell r="AK187">
            <v>-33563.356278779465</v>
          </cell>
          <cell r="AL187">
            <v>-34172.671311785612</v>
          </cell>
          <cell r="AM187">
            <v>-35064.680166105565</v>
          </cell>
          <cell r="AN187">
            <v>-33973.941724690856</v>
          </cell>
          <cell r="AO187">
            <v>-34330.678976705138</v>
          </cell>
        </row>
        <row r="188">
          <cell r="A188" t="str">
            <v>PTOP</v>
          </cell>
          <cell r="R188">
            <v>14468</v>
          </cell>
          <cell r="S188">
            <v>7041</v>
          </cell>
          <cell r="T188">
            <v>6855</v>
          </cell>
          <cell r="U188">
            <v>14167</v>
          </cell>
          <cell r="V188">
            <v>7549</v>
          </cell>
          <cell r="W188">
            <v>7143</v>
          </cell>
          <cell r="X188">
            <v>14692</v>
          </cell>
          <cell r="AA188">
            <v>13208</v>
          </cell>
          <cell r="AD188">
            <v>13585.420944501595</v>
          </cell>
          <cell r="AE188">
            <v>16070.669600474524</v>
          </cell>
          <cell r="AF188">
            <v>16626.68444350655</v>
          </cell>
          <cell r="AG188">
            <v>16509.785378425473</v>
          </cell>
          <cell r="AH188">
            <v>16690.176879610841</v>
          </cell>
          <cell r="AI188">
            <v>16966.831112821154</v>
          </cell>
          <cell r="AJ188">
            <v>17361.543225930662</v>
          </cell>
          <cell r="AK188">
            <v>17224.251782935426</v>
          </cell>
          <cell r="AL188">
            <v>17312.715052108804</v>
          </cell>
          <cell r="AM188">
            <v>17569.865374370165</v>
          </cell>
          <cell r="AN188">
            <v>17131.224961137945</v>
          </cell>
          <cell r="AO188">
            <v>17002.296103597386</v>
          </cell>
        </row>
        <row r="189">
          <cell r="A189" t="str">
            <v>Tax</v>
          </cell>
          <cell r="X189">
            <v>-3584.848</v>
          </cell>
          <cell r="AA189">
            <v>-3222.752</v>
          </cell>
          <cell r="AD189">
            <v>-3314.8427104583889</v>
          </cell>
          <cell r="AE189">
            <v>-3921.2433825157841</v>
          </cell>
          <cell r="AF189">
            <v>-4056.911004215598</v>
          </cell>
          <cell r="AG189">
            <v>-4028.3876323358154</v>
          </cell>
          <cell r="AH189">
            <v>-4072.4031586250449</v>
          </cell>
          <cell r="AI189">
            <v>-4139.9067915283613</v>
          </cell>
          <cell r="AJ189">
            <v>-4236.216547127081</v>
          </cell>
          <cell r="AK189">
            <v>-4202.7174350362438</v>
          </cell>
          <cell r="AL189">
            <v>-4224.3024727145485</v>
          </cell>
          <cell r="AM189">
            <v>-4287.0471513463199</v>
          </cell>
          <cell r="AN189">
            <v>-4180.0188905176583</v>
          </cell>
          <cell r="AO189">
            <v>-4148.5602492777616</v>
          </cell>
        </row>
        <row r="190">
          <cell r="A190" t="str">
            <v>Net Financing</v>
          </cell>
          <cell r="F190">
            <v>1443</v>
          </cell>
          <cell r="X190">
            <v>-1148.364</v>
          </cell>
          <cell r="AA190">
            <v>-1645.8119999999999</v>
          </cell>
          <cell r="AD190">
            <v>-1261.8109872695347</v>
          </cell>
          <cell r="AE190">
            <v>-1073.4364870957893</v>
          </cell>
          <cell r="AF190">
            <v>-935.69831863658487</v>
          </cell>
          <cell r="AG190">
            <v>-1031.6797575702849</v>
          </cell>
          <cell r="AH190">
            <v>-894.60738866109205</v>
          </cell>
          <cell r="AI190">
            <v>-667.07021884558617</v>
          </cell>
          <cell r="AJ190">
            <v>-421.56496005958047</v>
          </cell>
          <cell r="AK190">
            <v>-122.24267087027685</v>
          </cell>
          <cell r="AL190">
            <v>-108.03125766095096</v>
          </cell>
          <cell r="AM190">
            <v>-69.367246615962799</v>
          </cell>
          <cell r="AN190">
            <v>-24.351737105153262</v>
          </cell>
          <cell r="AO190">
            <v>23.157877565297383</v>
          </cell>
        </row>
        <row r="191">
          <cell r="A191" t="str">
            <v>Non op expense</v>
          </cell>
          <cell r="F191">
            <v>1.7</v>
          </cell>
          <cell r="X191">
            <v>-285.26800000000003</v>
          </cell>
          <cell r="Y191">
            <v>-2136.0640000000003</v>
          </cell>
          <cell r="Z191">
            <v>-1038.124</v>
          </cell>
          <cell r="AA191">
            <v>48.563999999999851</v>
          </cell>
          <cell r="AD191">
            <v>-14.590823463493393</v>
          </cell>
          <cell r="AE191">
            <v>47.510439049465049</v>
          </cell>
          <cell r="AF191">
            <v>59.512048694958537</v>
          </cell>
          <cell r="AG191">
            <v>57.637075122080319</v>
          </cell>
          <cell r="AH191">
            <v>56.624710221702287</v>
          </cell>
          <cell r="AI191">
            <v>62.591105667832267</v>
          </cell>
          <cell r="AJ191">
            <v>73.004812186192794</v>
          </cell>
          <cell r="AK191">
            <v>67.363524794730893</v>
          </cell>
          <cell r="AL191">
            <v>149.17532954374957</v>
          </cell>
          <cell r="AM191">
            <v>144.40873557887767</v>
          </cell>
          <cell r="AN191">
            <v>115.84360182562125</v>
          </cell>
          <cell r="AO191">
            <v>97.479214042105014</v>
          </cell>
        </row>
        <row r="192">
          <cell r="A192" t="str">
            <v>ModelWare Net Income</v>
          </cell>
          <cell r="F192">
            <v>848.82352941176475</v>
          </cell>
          <cell r="X192">
            <v>9673.52</v>
          </cell>
          <cell r="AA192">
            <v>8388</v>
          </cell>
          <cell r="AD192">
            <v>8994.1764233101767</v>
          </cell>
          <cell r="AE192">
            <v>11123.500169912417</v>
          </cell>
          <cell r="AF192">
            <v>11693.587169349325</v>
          </cell>
          <cell r="AG192">
            <v>11507.355063641453</v>
          </cell>
          <cell r="AH192">
            <v>11779.791042546405</v>
          </cell>
          <cell r="AI192">
            <v>12222.445208115039</v>
          </cell>
          <cell r="AJ192">
            <v>12776.766530930192</v>
          </cell>
          <cell r="AK192">
            <v>12966.655201823636</v>
          </cell>
          <cell r="AL192">
            <v>13129.556651277055</v>
          </cell>
          <cell r="AM192">
            <v>13357.859711986761</v>
          </cell>
          <cell r="AN192">
            <v>13042.697935340755</v>
          </cell>
          <cell r="AO192">
            <v>12974.372945927027</v>
          </cell>
        </row>
        <row r="193">
          <cell r="A193" t="str">
            <v>Diluted Shares</v>
          </cell>
          <cell r="X193">
            <v>859</v>
          </cell>
          <cell r="AA193">
            <v>857</v>
          </cell>
          <cell r="AD193">
            <v>853</v>
          </cell>
          <cell r="AE193">
            <v>862</v>
          </cell>
          <cell r="AF193">
            <v>862</v>
          </cell>
          <cell r="AG193">
            <v>862</v>
          </cell>
          <cell r="AH193">
            <v>862</v>
          </cell>
          <cell r="AI193">
            <v>862</v>
          </cell>
          <cell r="AJ193">
            <v>862</v>
          </cell>
          <cell r="AK193">
            <v>862</v>
          </cell>
          <cell r="AL193">
            <v>862</v>
          </cell>
          <cell r="AM193">
            <v>862</v>
          </cell>
          <cell r="AN193">
            <v>862</v>
          </cell>
          <cell r="AO193">
            <v>862</v>
          </cell>
        </row>
        <row r="194">
          <cell r="A194" t="str">
            <v>ModelWare EPS</v>
          </cell>
          <cell r="X194">
            <v>11.261373690337603</v>
          </cell>
          <cell r="AA194">
            <v>9.7876312718786469</v>
          </cell>
          <cell r="AD194">
            <v>10.544169312204193</v>
          </cell>
          <cell r="AE194">
            <v>12.904292540501643</v>
          </cell>
          <cell r="AF194">
            <v>13.565646368154669</v>
          </cell>
          <cell r="AG194">
            <v>13.349599841811431</v>
          </cell>
          <cell r="AH194">
            <v>13.665650861422744</v>
          </cell>
          <cell r="AI194">
            <v>14.179170775075452</v>
          </cell>
          <cell r="AJ194">
            <v>14.822234954675396</v>
          </cell>
          <cell r="AK194">
            <v>15.042523435990297</v>
          </cell>
          <cell r="AL194">
            <v>15.23150423582025</v>
          </cell>
          <cell r="AM194">
            <v>15.4963569744626</v>
          </cell>
          <cell r="AN194">
            <v>15.130740064200412</v>
          </cell>
          <cell r="AO194">
            <v>15.051476735414184</v>
          </cell>
        </row>
        <row r="197">
          <cell r="A197" t="str">
            <v>Operating Revenue</v>
          </cell>
          <cell r="V197">
            <v>25122</v>
          </cell>
          <cell r="W197">
            <v>26029</v>
          </cell>
          <cell r="X197">
            <v>51151</v>
          </cell>
          <cell r="AA197">
            <v>49167</v>
          </cell>
          <cell r="AD197">
            <v>44287.823191115873</v>
          </cell>
          <cell r="AE197">
            <v>47241.799877857338</v>
          </cell>
          <cell r="AF197">
            <v>47795.368993688113</v>
          </cell>
          <cell r="AG197">
            <v>45964.219061181131</v>
          </cell>
          <cell r="AH197">
            <v>48390.766170960378</v>
          </cell>
          <cell r="AI197">
            <v>49355.460156077374</v>
          </cell>
          <cell r="AJ197">
            <v>50689.880033614332</v>
          </cell>
          <cell r="AK197">
            <v>50787.608061714891</v>
          </cell>
          <cell r="AL197">
            <v>51485.386363894417</v>
          </cell>
          <cell r="AM197">
            <v>52634.54554047573</v>
          </cell>
          <cell r="AN197">
            <v>51105.166685828801</v>
          </cell>
          <cell r="AO197">
            <v>51332.975080302524</v>
          </cell>
        </row>
        <row r="198">
          <cell r="A198" t="str">
            <v>Operating Expense</v>
          </cell>
          <cell r="V198">
            <v>-17573</v>
          </cell>
          <cell r="W198">
            <v>-18886</v>
          </cell>
          <cell r="X198">
            <v>-36459</v>
          </cell>
          <cell r="AA198">
            <v>-35959</v>
          </cell>
          <cell r="AD198">
            <v>-30702.402246614278</v>
          </cell>
          <cell r="AE198">
            <v>-31171.130277382814</v>
          </cell>
          <cell r="AF198">
            <v>-31168.684550181562</v>
          </cell>
          <cell r="AG198">
            <v>-29454.433682755658</v>
          </cell>
          <cell r="AH198">
            <v>-31700.589291349537</v>
          </cell>
          <cell r="AI198">
            <v>-32388.62904325622</v>
          </cell>
          <cell r="AJ198">
            <v>-33328.33680768367</v>
          </cell>
          <cell r="AK198">
            <v>-33563.356278779465</v>
          </cell>
          <cell r="AL198">
            <v>-34172.671311785612</v>
          </cell>
          <cell r="AM198">
            <v>-35064.680166105565</v>
          </cell>
          <cell r="AN198">
            <v>-33973.941724690856</v>
          </cell>
          <cell r="AO198">
            <v>-34330.678976705138</v>
          </cell>
        </row>
        <row r="199">
          <cell r="A199" t="str">
            <v>PTOP</v>
          </cell>
          <cell r="V199">
            <v>7549</v>
          </cell>
          <cell r="W199">
            <v>7143</v>
          </cell>
          <cell r="X199">
            <v>14692</v>
          </cell>
          <cell r="AA199">
            <v>13208</v>
          </cell>
          <cell r="AD199">
            <v>13585.420944501595</v>
          </cell>
          <cell r="AE199">
            <v>16070.669600474524</v>
          </cell>
          <cell r="AF199">
            <v>16626.68444350655</v>
          </cell>
          <cell r="AG199">
            <v>16509.785378425473</v>
          </cell>
          <cell r="AH199">
            <v>16690.176879610841</v>
          </cell>
          <cell r="AI199">
            <v>16966.831112821154</v>
          </cell>
          <cell r="AJ199">
            <v>17361.543225930662</v>
          </cell>
          <cell r="AK199">
            <v>17224.251782935426</v>
          </cell>
          <cell r="AL199">
            <v>17312.715052108804</v>
          </cell>
          <cell r="AM199">
            <v>17569.865374370165</v>
          </cell>
          <cell r="AN199">
            <v>17131.224961137945</v>
          </cell>
          <cell r="AO199">
            <v>17002.296103597386</v>
          </cell>
        </row>
        <row r="200">
          <cell r="A200" t="str">
            <v>Int Div Income</v>
          </cell>
          <cell r="V200">
            <v>146</v>
          </cell>
          <cell r="W200">
            <v>73</v>
          </cell>
          <cell r="X200">
            <v>219</v>
          </cell>
          <cell r="AA200">
            <v>66</v>
          </cell>
          <cell r="AD200">
            <v>92.875</v>
          </cell>
          <cell r="AE200">
            <v>95.782913395087945</v>
          </cell>
          <cell r="AF200">
            <v>96.77289970889008</v>
          </cell>
          <cell r="AG200">
            <v>91.016682608717844</v>
          </cell>
          <cell r="AH200">
            <v>91.125981687055159</v>
          </cell>
          <cell r="AI200">
            <v>96.314382493319343</v>
          </cell>
          <cell r="AJ200">
            <v>95.909729471384892</v>
          </cell>
          <cell r="AK200">
            <v>91.185698350863277</v>
          </cell>
          <cell r="AL200">
            <v>109.98386397166469</v>
          </cell>
          <cell r="AM200">
            <v>161.1267357242946</v>
          </cell>
          <cell r="AN200">
            <v>220.67106047404269</v>
          </cell>
          <cell r="AO200">
            <v>283.51446612278681</v>
          </cell>
        </row>
        <row r="201">
          <cell r="A201" t="str">
            <v>Int Exp</v>
          </cell>
          <cell r="V201">
            <v>-705</v>
          </cell>
          <cell r="W201">
            <v>-1099</v>
          </cell>
          <cell r="X201">
            <v>-1804</v>
          </cell>
          <cell r="AA201">
            <v>-2172</v>
          </cell>
          <cell r="AD201">
            <v>-1773.9371524729295</v>
          </cell>
          <cell r="AE201">
            <v>-1515.6724465905766</v>
          </cell>
          <cell r="AF201">
            <v>-1334.4690883816213</v>
          </cell>
          <cell r="AG201">
            <v>-1455.6724465905766</v>
          </cell>
          <cell r="AH201">
            <v>-1274.4690883816213</v>
          </cell>
          <cell r="AI201">
            <v>-978.6823968393328</v>
          </cell>
          <cell r="AJ201">
            <v>-653.5353380158034</v>
          </cell>
          <cell r="AK201">
            <v>-252.88235294117652</v>
          </cell>
          <cell r="AL201">
            <v>-252.88235294117652</v>
          </cell>
          <cell r="AM201">
            <v>-252.88235294117652</v>
          </cell>
          <cell r="AN201">
            <v>-252.88235294117652</v>
          </cell>
          <cell r="AO201">
            <v>-252.88235294117652</v>
          </cell>
        </row>
        <row r="202">
          <cell r="A202" t="str">
            <v>Othe net fin</v>
          </cell>
          <cell r="V202">
            <v>80</v>
          </cell>
          <cell r="W202">
            <v>-23</v>
          </cell>
          <cell r="X202">
            <v>57</v>
          </cell>
          <cell r="AA202">
            <v>-90</v>
          </cell>
          <cell r="AD202">
            <v>-38</v>
          </cell>
          <cell r="AE202">
            <v>-47</v>
          </cell>
          <cell r="AF202">
            <v>-47</v>
          </cell>
          <cell r="AG202">
            <v>-47</v>
          </cell>
          <cell r="AH202">
            <v>-47</v>
          </cell>
          <cell r="AI202">
            <v>-47</v>
          </cell>
          <cell r="AJ202">
            <v>-47</v>
          </cell>
          <cell r="AK202">
            <v>-47</v>
          </cell>
          <cell r="AL202">
            <v>-47</v>
          </cell>
          <cell r="AM202">
            <v>-47</v>
          </cell>
          <cell r="AN202">
            <v>-47</v>
          </cell>
          <cell r="AO202">
            <v>-47</v>
          </cell>
        </row>
        <row r="203">
          <cell r="A203" t="str">
            <v>Tax Exp</v>
          </cell>
          <cell r="V203">
            <v>-1431.1200000000001</v>
          </cell>
          <cell r="W203">
            <v>-1193.3600000000001</v>
          </cell>
          <cell r="X203">
            <v>-2624.48</v>
          </cell>
          <cell r="AA203">
            <v>-2320</v>
          </cell>
          <cell r="AD203">
            <v>-2491.62534632602</v>
          </cell>
          <cell r="AE203">
            <v>-3057.1338141285974</v>
          </cell>
          <cell r="AF203">
            <v>-3212.1575335151019</v>
          </cell>
          <cell r="AG203">
            <v>-3160.9472190331617</v>
          </cell>
          <cell r="AH203">
            <v>-3236.9050923124182</v>
          </cell>
          <cell r="AI203">
            <v>-3358.2072506797795</v>
          </cell>
          <cell r="AJ203">
            <v>-3509.292699651111</v>
          </cell>
          <cell r="AK203">
            <v>-3563.606576952473</v>
          </cell>
          <cell r="AL203">
            <v>-3586.1314782592517</v>
          </cell>
          <cell r="AM203">
            <v>-3650.873049002189</v>
          </cell>
          <cell r="AN203">
            <v>-3571.262870420871</v>
          </cell>
          <cell r="AO203">
            <v>-3557.3849255235914</v>
          </cell>
        </row>
        <row r="204">
          <cell r="A204" t="str">
            <v>Minorities</v>
          </cell>
          <cell r="V204">
            <v>-578</v>
          </cell>
          <cell r="W204">
            <v>-148</v>
          </cell>
          <cell r="X204">
            <v>-726</v>
          </cell>
          <cell r="AA204">
            <v>-225</v>
          </cell>
          <cell r="AD204">
            <v>-337.55702239246727</v>
          </cell>
          <cell r="AE204">
            <v>-377.14608323802236</v>
          </cell>
          <cell r="AF204">
            <v>-390.24355196939138</v>
          </cell>
          <cell r="AG204">
            <v>-383.8273317689999</v>
          </cell>
          <cell r="AH204">
            <v>-397.13763805745003</v>
          </cell>
          <cell r="AI204">
            <v>-410.81063968032242</v>
          </cell>
          <cell r="AJ204">
            <v>-424.85838680493868</v>
          </cell>
          <cell r="AK204">
            <v>-439.29334956900357</v>
          </cell>
          <cell r="AL204">
            <v>-454.12843360298626</v>
          </cell>
          <cell r="AM204">
            <v>-469.37699616433406</v>
          </cell>
          <cell r="AN204">
            <v>-485.05286290918536</v>
          </cell>
          <cell r="AO204">
            <v>-501.17034532837818</v>
          </cell>
        </row>
        <row r="205">
          <cell r="A205" t="str">
            <v>ModelWare Net Income</v>
          </cell>
          <cell r="V205">
            <v>5060.88</v>
          </cell>
          <cell r="W205">
            <v>4752.6399999999994</v>
          </cell>
          <cell r="X205">
            <v>9813.52</v>
          </cell>
          <cell r="AA205">
            <v>8467</v>
          </cell>
          <cell r="AD205">
            <v>9037.1764233101785</v>
          </cell>
          <cell r="AE205">
            <v>11169.500169912415</v>
          </cell>
          <cell r="AF205">
            <v>11739.587169349323</v>
          </cell>
          <cell r="AG205">
            <v>11553.355063641453</v>
          </cell>
          <cell r="AH205">
            <v>11825.791042546407</v>
          </cell>
          <cell r="AI205">
            <v>12268.445208115036</v>
          </cell>
          <cell r="AJ205">
            <v>12822.766530930194</v>
          </cell>
          <cell r="AK205">
            <v>13012.655201823638</v>
          </cell>
          <cell r="AL205">
            <v>13082.556651277057</v>
          </cell>
          <cell r="AM205">
            <v>13310.859711986763</v>
          </cell>
          <cell r="AN205">
            <v>12995.697935340757</v>
          </cell>
          <cell r="AO205">
            <v>12927.372945927027</v>
          </cell>
        </row>
        <row r="206">
          <cell r="A206" t="str">
            <v>Diluted Shares</v>
          </cell>
          <cell r="V206">
            <v>859</v>
          </cell>
          <cell r="W206">
            <v>859</v>
          </cell>
          <cell r="X206">
            <v>859</v>
          </cell>
          <cell r="AA206">
            <v>857</v>
          </cell>
          <cell r="AD206">
            <v>853</v>
          </cell>
          <cell r="AE206">
            <v>862</v>
          </cell>
          <cell r="AF206">
            <v>862</v>
          </cell>
          <cell r="AG206">
            <v>862</v>
          </cell>
          <cell r="AH206">
            <v>862</v>
          </cell>
          <cell r="AI206">
            <v>862</v>
          </cell>
          <cell r="AJ206">
            <v>862</v>
          </cell>
          <cell r="AK206">
            <v>862</v>
          </cell>
          <cell r="AL206">
            <v>862</v>
          </cell>
          <cell r="AM206">
            <v>862</v>
          </cell>
          <cell r="AN206">
            <v>862</v>
          </cell>
          <cell r="AO206">
            <v>862</v>
          </cell>
        </row>
        <row r="207">
          <cell r="A207" t="str">
            <v>ModelWare EPS</v>
          </cell>
          <cell r="V207">
            <v>5.8915948777648426</v>
          </cell>
          <cell r="W207">
            <v>5.5327590221187419</v>
          </cell>
          <cell r="X207">
            <v>11.424353899883586</v>
          </cell>
          <cell r="AA207">
            <v>9.8798133022170358</v>
          </cell>
          <cell r="AD207">
            <v>10.59457962873409</v>
          </cell>
          <cell r="AE207">
            <v>12.957656809643172</v>
          </cell>
          <cell r="AF207">
            <v>13.619010637296197</v>
          </cell>
          <cell r="AG207">
            <v>13.402964110952961</v>
          </cell>
          <cell r="AH207">
            <v>13.719015130564276</v>
          </cell>
          <cell r="AI207">
            <v>14.232535044216979</v>
          </cell>
          <cell r="AJ207">
            <v>14.875599223816931</v>
          </cell>
          <cell r="AK207">
            <v>15.095887705131831</v>
          </cell>
          <cell r="AL207">
            <v>15.176979873871295</v>
          </cell>
          <cell r="AM207">
            <v>15.441832612513647</v>
          </cell>
          <cell r="AN207">
            <v>15.076215702251458</v>
          </cell>
          <cell r="AO207">
            <v>14.996952373465229</v>
          </cell>
        </row>
      </sheetData>
      <sheetData sheetId="11"/>
      <sheetData sheetId="12" refreshError="1">
        <row r="1">
          <cell r="A1" t="str">
            <v>Roche</v>
          </cell>
        </row>
        <row r="2">
          <cell r="A2" t="str">
            <v>Annual Income Statement</v>
          </cell>
          <cell r="N2" t="str">
            <v>Morgan Stanley Equity Research: Pharmaceuticals</v>
          </cell>
        </row>
        <row r="4">
          <cell r="A4" t="str">
            <v>SFr millions</v>
          </cell>
          <cell r="B4">
            <v>2004</v>
          </cell>
          <cell r="C4">
            <v>2005</v>
          </cell>
          <cell r="D4">
            <v>2006</v>
          </cell>
          <cell r="E4">
            <v>2007</v>
          </cell>
          <cell r="F4">
            <v>2008</v>
          </cell>
          <cell r="G4">
            <v>2009</v>
          </cell>
          <cell r="H4">
            <v>2010</v>
          </cell>
          <cell r="I4">
            <v>2011</v>
          </cell>
          <cell r="J4">
            <v>2012</v>
          </cell>
          <cell r="K4">
            <v>2013</v>
          </cell>
          <cell r="L4">
            <v>2014</v>
          </cell>
          <cell r="M4">
            <v>2015</v>
          </cell>
          <cell r="N4">
            <v>2016</v>
          </cell>
          <cell r="O4">
            <v>2017</v>
          </cell>
          <cell r="P4">
            <v>2018</v>
          </cell>
          <cell r="Q4">
            <v>2019</v>
          </cell>
          <cell r="R4">
            <v>2020</v>
          </cell>
        </row>
        <row r="7">
          <cell r="A7" t="str">
            <v>Sales</v>
          </cell>
          <cell r="B7">
            <v>26117</v>
          </cell>
          <cell r="C7">
            <v>31887</v>
          </cell>
          <cell r="D7">
            <v>38156</v>
          </cell>
          <cell r="E7">
            <v>46133</v>
          </cell>
          <cell r="F7">
            <v>45617</v>
          </cell>
          <cell r="G7">
            <v>49051</v>
          </cell>
          <cell r="H7">
            <v>47473</v>
          </cell>
          <cell r="I7">
            <v>42167.818992079563</v>
          </cell>
          <cell r="J7">
            <v>43722.97820056339</v>
          </cell>
          <cell r="K7">
            <v>46347.148621066299</v>
          </cell>
          <cell r="L7">
            <v>47361.20980565116</v>
          </cell>
          <cell r="M7">
            <v>48685.341734812326</v>
          </cell>
          <cell r="N7">
            <v>49173.125118702053</v>
          </cell>
          <cell r="O7">
            <v>49801.228078195869</v>
          </cell>
          <cell r="P7">
            <v>50877.030891468123</v>
          </cell>
          <cell r="Q7">
            <v>50269.664362067866</v>
          </cell>
          <cell r="R7">
            <v>50466.032886210371</v>
          </cell>
        </row>
        <row r="9">
          <cell r="A9" t="str">
            <v>Royalties and other operating income</v>
          </cell>
          <cell r="B9">
            <v>1570</v>
          </cell>
          <cell r="C9">
            <v>1447</v>
          </cell>
          <cell r="D9">
            <v>1466</v>
          </cell>
          <cell r="E9">
            <v>2243</v>
          </cell>
          <cell r="F9">
            <v>2287</v>
          </cell>
          <cell r="G9">
            <v>2100</v>
          </cell>
          <cell r="H9">
            <v>1694</v>
          </cell>
          <cell r="I9">
            <v>2120.0041990363106</v>
          </cell>
          <cell r="J9">
            <v>2241.2408606177446</v>
          </cell>
          <cell r="K9">
            <v>2043.6175498940804</v>
          </cell>
          <cell r="L9">
            <v>1994.2503504262156</v>
          </cell>
          <cell r="M9">
            <v>2004.5382988020096</v>
          </cell>
          <cell r="N9">
            <v>1614.4829430128395</v>
          </cell>
          <cell r="O9">
            <v>1684.1582856985444</v>
          </cell>
          <cell r="P9">
            <v>1757.5146490076056</v>
          </cell>
          <cell r="Q9">
            <v>835.50232376093504</v>
          </cell>
          <cell r="R9">
            <v>866.94219409215168</v>
          </cell>
        </row>
        <row r="10">
          <cell r="A10" t="str">
            <v>Cost of sales</v>
          </cell>
          <cell r="B10">
            <v>-7718</v>
          </cell>
          <cell r="C10">
            <v>-9270</v>
          </cell>
          <cell r="D10">
            <v>-10616</v>
          </cell>
          <cell r="E10">
            <v>-13743</v>
          </cell>
          <cell r="F10">
            <v>-13661</v>
          </cell>
          <cell r="G10">
            <v>-14615</v>
          </cell>
          <cell r="H10">
            <v>-13293</v>
          </cell>
          <cell r="I10">
            <v>-12503.07928771251</v>
          </cell>
          <cell r="J10">
            <v>-12643.257368116854</v>
          </cell>
          <cell r="K10">
            <v>-13472.237427646087</v>
          </cell>
          <cell r="L10">
            <v>-13764.531266011647</v>
          </cell>
          <cell r="M10">
            <v>-14360.498879587249</v>
          </cell>
          <cell r="N10">
            <v>-14424.166647741064</v>
          </cell>
          <cell r="O10">
            <v>-14806.178053843367</v>
          </cell>
          <cell r="P10">
            <v>-15287.627473873104</v>
          </cell>
          <cell r="Q10">
            <v>-14487.681220347698</v>
          </cell>
          <cell r="R10">
            <v>-14804.837546809056</v>
          </cell>
        </row>
        <row r="12">
          <cell r="A12" t="str">
            <v>Marketing and distribution</v>
          </cell>
          <cell r="B12">
            <v>-8338</v>
          </cell>
          <cell r="C12">
            <v>-9507</v>
          </cell>
          <cell r="D12">
            <v>-10856</v>
          </cell>
          <cell r="E12">
            <v>-9327</v>
          </cell>
          <cell r="F12">
            <v>-9170</v>
          </cell>
          <cell r="G12">
            <v>-9475</v>
          </cell>
          <cell r="H12">
            <v>-9488</v>
          </cell>
          <cell r="I12">
            <v>-7657.505737581947</v>
          </cell>
          <cell r="J12">
            <v>-7463.4879389109155</v>
          </cell>
          <cell r="K12">
            <v>-8276.4568331155569</v>
          </cell>
          <cell r="L12">
            <v>-8484.4906155675963</v>
          </cell>
          <cell r="M12">
            <v>-8747.5606543239955</v>
          </cell>
          <cell r="N12">
            <v>-8870.8857513691819</v>
          </cell>
          <cell r="O12">
            <v>-9021.030086155055</v>
          </cell>
          <cell r="P12">
            <v>-9250.5849175944295</v>
          </cell>
          <cell r="Q12">
            <v>-9197.6882092410433</v>
          </cell>
          <cell r="R12">
            <v>-9285.5564739013589</v>
          </cell>
        </row>
        <row r="13">
          <cell r="A13" t="str">
            <v>Research and development</v>
          </cell>
          <cell r="B13">
            <v>-5154</v>
          </cell>
          <cell r="C13">
            <v>-5672</v>
          </cell>
          <cell r="D13">
            <v>-6589</v>
          </cell>
          <cell r="E13">
            <v>-8385</v>
          </cell>
          <cell r="F13">
            <v>-8845</v>
          </cell>
          <cell r="G13">
            <v>-9874</v>
          </cell>
          <cell r="H13">
            <v>-10026</v>
          </cell>
          <cell r="I13">
            <v>-8401.836298589893</v>
          </cell>
          <cell r="J13">
            <v>-7870.5101677657412</v>
          </cell>
          <cell r="K13">
            <v>-8127.2493236556284</v>
          </cell>
          <cell r="L13">
            <v>-8276.7275147401942</v>
          </cell>
          <cell r="M13">
            <v>-8308.1324238689267</v>
          </cell>
          <cell r="N13">
            <v>-8335.9787711923545</v>
          </cell>
          <cell r="O13">
            <v>-8387.8185495994258</v>
          </cell>
          <cell r="P13">
            <v>-8527.5801806639665</v>
          </cell>
          <cell r="Q13">
            <v>-8307.0690218382388</v>
          </cell>
          <cell r="R13">
            <v>-8247.7175831892309</v>
          </cell>
          <cell r="U13">
            <v>35681</v>
          </cell>
          <cell r="V13">
            <v>33460</v>
          </cell>
          <cell r="W13">
            <v>33060</v>
          </cell>
        </row>
        <row r="14">
          <cell r="A14" t="str">
            <v>General and Administration</v>
          </cell>
          <cell r="B14">
            <v>-2085</v>
          </cell>
          <cell r="C14">
            <v>-2309</v>
          </cell>
          <cell r="D14">
            <v>-2542</v>
          </cell>
          <cell r="E14">
            <v>-2453</v>
          </cell>
          <cell r="F14">
            <v>-2332</v>
          </cell>
          <cell r="G14">
            <v>-2175</v>
          </cell>
          <cell r="H14">
            <v>-3152</v>
          </cell>
          <cell r="I14">
            <v>-2139.9809227299279</v>
          </cell>
          <cell r="J14">
            <v>-1477.1782079621471</v>
          </cell>
          <cell r="K14">
            <v>-1824.6457069322657</v>
          </cell>
          <cell r="L14">
            <v>-1862.8796469367828</v>
          </cell>
          <cell r="M14">
            <v>-1912.1448499035007</v>
          </cell>
          <cell r="N14">
            <v>-1932.3251084768667</v>
          </cell>
          <cell r="O14">
            <v>-1957.64462218776</v>
          </cell>
          <cell r="P14">
            <v>-1998.8875939740651</v>
          </cell>
          <cell r="Q14">
            <v>-1981.5032732638758</v>
          </cell>
          <cell r="R14">
            <v>-1992.5673728054862</v>
          </cell>
        </row>
        <row r="15">
          <cell r="A15" t="str">
            <v>Amortisation of intangible assets</v>
          </cell>
          <cell r="B15">
            <v>-1031</v>
          </cell>
          <cell r="C15">
            <v>-1011</v>
          </cell>
          <cell r="D15">
            <v>-1174</v>
          </cell>
          <cell r="E15">
            <v>0</v>
          </cell>
          <cell r="F15">
            <v>0</v>
          </cell>
          <cell r="G15">
            <v>0</v>
          </cell>
          <cell r="H15">
            <v>0</v>
          </cell>
          <cell r="I15">
            <v>0</v>
          </cell>
          <cell r="J15">
            <v>0</v>
          </cell>
          <cell r="K15">
            <v>0</v>
          </cell>
          <cell r="L15">
            <v>0</v>
          </cell>
          <cell r="M15">
            <v>0</v>
          </cell>
          <cell r="N15">
            <v>0</v>
          </cell>
          <cell r="O15">
            <v>0</v>
          </cell>
          <cell r="P15">
            <v>0</v>
          </cell>
          <cell r="Q15">
            <v>0</v>
          </cell>
          <cell r="R15">
            <v>0</v>
          </cell>
          <cell r="V15">
            <v>-2221</v>
          </cell>
          <cell r="W15">
            <v>-400</v>
          </cell>
        </row>
        <row r="17">
          <cell r="A17" t="str">
            <v>Operating profit before exceptional items</v>
          </cell>
          <cell r="B17">
            <v>3361</v>
          </cell>
          <cell r="C17">
            <v>5565</v>
          </cell>
          <cell r="D17">
            <v>7845</v>
          </cell>
          <cell r="E17">
            <v>14468</v>
          </cell>
          <cell r="F17">
            <v>13896</v>
          </cell>
          <cell r="G17">
            <v>15012</v>
          </cell>
          <cell r="H17">
            <v>13208</v>
          </cell>
          <cell r="I17">
            <v>13585.420944501593</v>
          </cell>
          <cell r="J17">
            <v>16509.785378425477</v>
          </cell>
          <cell r="K17">
            <v>16690.176879610844</v>
          </cell>
          <cell r="L17">
            <v>16966.831112821154</v>
          </cell>
          <cell r="M17">
            <v>17361.543225930662</v>
          </cell>
          <cell r="N17">
            <v>17224.251782935422</v>
          </cell>
          <cell r="O17">
            <v>17312.715052108808</v>
          </cell>
          <cell r="P17">
            <v>17569.865374370162</v>
          </cell>
          <cell r="Q17">
            <v>17131.224961137948</v>
          </cell>
          <cell r="R17">
            <v>17002.296103597397</v>
          </cell>
        </row>
        <row r="18">
          <cell r="A18" t="str">
            <v>% margin</v>
          </cell>
          <cell r="B18">
            <v>0.12869012520580464</v>
          </cell>
          <cell r="C18">
            <v>0.17452253269357418</v>
          </cell>
          <cell r="D18">
            <v>0.20560331271621762</v>
          </cell>
          <cell r="E18">
            <v>0.3136149827672165</v>
          </cell>
          <cell r="F18">
            <v>0.30462327641011028</v>
          </cell>
          <cell r="G18">
            <v>0.30604880634441706</v>
          </cell>
          <cell r="H18">
            <v>0.27822130474164264</v>
          </cell>
          <cell r="I18">
            <v>0.32217509155627327</v>
          </cell>
          <cell r="J18">
            <v>0.3775997440680457</v>
          </cell>
          <cell r="K18">
            <v>0.3601122696041027</v>
          </cell>
          <cell r="L18">
            <v>0.35824319485176376</v>
          </cell>
          <cell r="M18">
            <v>0.35660719648428257</v>
          </cell>
          <cell r="N18">
            <v>0.35027775317018661</v>
          </cell>
          <cell r="O18">
            <v>0.34763630778191024</v>
          </cell>
          <cell r="P18">
            <v>0.34533983344764246</v>
          </cell>
          <cell r="Q18">
            <v>0.34078653952710114</v>
          </cell>
          <cell r="R18">
            <v>0.33690573899346865</v>
          </cell>
        </row>
        <row r="20">
          <cell r="A20" t="str">
            <v>Amortisation of goodwill</v>
          </cell>
          <cell r="B20">
            <v>-572</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A21" t="str">
            <v>Major legal cases</v>
          </cell>
          <cell r="B21">
            <v>0</v>
          </cell>
          <cell r="C21">
            <v>-356</v>
          </cell>
          <cell r="D21">
            <v>0</v>
          </cell>
          <cell r="E21">
            <v>0</v>
          </cell>
          <cell r="F21">
            <v>271</v>
          </cell>
          <cell r="G21">
            <v>-320</v>
          </cell>
          <cell r="H21">
            <v>0</v>
          </cell>
          <cell r="I21">
            <v>0</v>
          </cell>
          <cell r="J21">
            <v>0</v>
          </cell>
          <cell r="K21">
            <v>0</v>
          </cell>
          <cell r="L21">
            <v>0</v>
          </cell>
          <cell r="M21">
            <v>0</v>
          </cell>
          <cell r="N21">
            <v>0</v>
          </cell>
          <cell r="O21">
            <v>0</v>
          </cell>
          <cell r="P21">
            <v>0</v>
          </cell>
          <cell r="Q21">
            <v>0</v>
          </cell>
          <cell r="R21">
            <v>0</v>
          </cell>
        </row>
        <row r="22">
          <cell r="A22" t="str">
            <v>Changes in group organisation</v>
          </cell>
          <cell r="B22">
            <v>-199</v>
          </cell>
          <cell r="C22">
            <v>0</v>
          </cell>
          <cell r="D22">
            <v>0</v>
          </cell>
          <cell r="E22">
            <v>0</v>
          </cell>
          <cell r="F22">
            <v>-243</v>
          </cell>
          <cell r="G22">
            <v>-2415</v>
          </cell>
          <cell r="H22">
            <v>0</v>
          </cell>
          <cell r="I22">
            <v>0</v>
          </cell>
          <cell r="J22">
            <v>0</v>
          </cell>
          <cell r="K22">
            <v>0</v>
          </cell>
          <cell r="L22">
            <v>0</v>
          </cell>
          <cell r="M22">
            <v>0</v>
          </cell>
          <cell r="N22">
            <v>0</v>
          </cell>
          <cell r="O22">
            <v>0</v>
          </cell>
          <cell r="P22">
            <v>0</v>
          </cell>
          <cell r="Q22">
            <v>0</v>
          </cell>
          <cell r="R22">
            <v>0</v>
          </cell>
        </row>
        <row r="24">
          <cell r="A24" t="str">
            <v>Operating profit</v>
          </cell>
          <cell r="B24">
            <v>2590</v>
          </cell>
          <cell r="C24">
            <v>5209</v>
          </cell>
          <cell r="D24">
            <v>7845</v>
          </cell>
          <cell r="E24">
            <v>14468</v>
          </cell>
          <cell r="F24">
            <v>13924</v>
          </cell>
          <cell r="G24">
            <v>12277</v>
          </cell>
          <cell r="H24">
            <v>13208</v>
          </cell>
          <cell r="I24">
            <v>13585.420944501593</v>
          </cell>
          <cell r="J24">
            <v>16509.785378425477</v>
          </cell>
          <cell r="K24">
            <v>16690.176879610844</v>
          </cell>
          <cell r="L24">
            <v>16966.831112821154</v>
          </cell>
          <cell r="M24">
            <v>17361.543225930662</v>
          </cell>
          <cell r="N24">
            <v>17224.251782935422</v>
          </cell>
          <cell r="O24">
            <v>17312.715052108808</v>
          </cell>
          <cell r="P24">
            <v>17569.865374370162</v>
          </cell>
          <cell r="Q24">
            <v>17131.224961137948</v>
          </cell>
          <cell r="R24">
            <v>17002.296103597397</v>
          </cell>
        </row>
        <row r="25">
          <cell r="A25" t="str">
            <v>% margin</v>
          </cell>
          <cell r="B25">
            <v>9.9169123559367467E-2</v>
          </cell>
          <cell r="C25">
            <v>0.16335810832000502</v>
          </cell>
          <cell r="D25">
            <v>0.20560331271621762</v>
          </cell>
          <cell r="E25">
            <v>0.3136149827672165</v>
          </cell>
          <cell r="F25">
            <v>0.30523708266654975</v>
          </cell>
          <cell r="G25">
            <v>0.25029051395486329</v>
          </cell>
          <cell r="H25">
            <v>0.27822130474164264</v>
          </cell>
          <cell r="I25">
            <v>0.32217509155627327</v>
          </cell>
          <cell r="J25">
            <v>0.3775997440680457</v>
          </cell>
          <cell r="K25">
            <v>0.3601122696041027</v>
          </cell>
          <cell r="L25">
            <v>0.35824319485176376</v>
          </cell>
          <cell r="M25">
            <v>0.35660719648428257</v>
          </cell>
          <cell r="N25">
            <v>0.35027775317018661</v>
          </cell>
          <cell r="O25">
            <v>0.34763630778191024</v>
          </cell>
          <cell r="P25">
            <v>0.34533983344764246</v>
          </cell>
          <cell r="Q25">
            <v>0.34078653952710114</v>
          </cell>
          <cell r="R25">
            <v>0.33690573899346865</v>
          </cell>
        </row>
        <row r="26">
          <cell r="A26" t="str">
            <v>Income from associated companies</v>
          </cell>
          <cell r="B26">
            <v>-43</v>
          </cell>
          <cell r="C26">
            <v>1</v>
          </cell>
          <cell r="D26">
            <v>2</v>
          </cell>
          <cell r="E26">
            <v>2</v>
          </cell>
          <cell r="F26">
            <v>1</v>
          </cell>
          <cell r="G26">
            <v>0</v>
          </cell>
          <cell r="H26">
            <v>-3</v>
          </cell>
          <cell r="I26">
            <v>2</v>
          </cell>
          <cell r="J26">
            <v>2</v>
          </cell>
          <cell r="K26">
            <v>2</v>
          </cell>
          <cell r="L26">
            <v>2</v>
          </cell>
          <cell r="M26">
            <v>2</v>
          </cell>
          <cell r="N26">
            <v>2</v>
          </cell>
          <cell r="O26">
            <v>2</v>
          </cell>
          <cell r="P26">
            <v>2</v>
          </cell>
          <cell r="Q26">
            <v>2</v>
          </cell>
          <cell r="R26">
            <v>2</v>
          </cell>
        </row>
        <row r="27">
          <cell r="A27" t="str">
            <v>Financial income/(expense)</v>
          </cell>
          <cell r="B27">
            <v>-258</v>
          </cell>
          <cell r="C27">
            <v>328</v>
          </cell>
          <cell r="D27">
            <v>855</v>
          </cell>
          <cell r="E27">
            <v>834</v>
          </cell>
          <cell r="F27">
            <v>236</v>
          </cell>
          <cell r="G27">
            <v>-1668</v>
          </cell>
          <cell r="H27">
            <v>-2272</v>
          </cell>
          <cell r="I27">
            <v>-1764.0621524729295</v>
          </cell>
          <cell r="J27">
            <v>-1459.6557639818584</v>
          </cell>
          <cell r="K27">
            <v>-1278.3431066945661</v>
          </cell>
          <cell r="L27">
            <v>-977.36801434601341</v>
          </cell>
          <cell r="M27">
            <v>-652.62560854441858</v>
          </cell>
          <cell r="N27">
            <v>-256.6966545903133</v>
          </cell>
          <cell r="O27">
            <v>-237.89848896951185</v>
          </cell>
          <cell r="P27">
            <v>-186.755617216882</v>
          </cell>
          <cell r="Q27">
            <v>-127.21129246713394</v>
          </cell>
          <cell r="R27">
            <v>-64.367886818389707</v>
          </cell>
        </row>
        <row r="28">
          <cell r="A28" t="str">
            <v>Exceptional financial items</v>
          </cell>
          <cell r="B28">
            <v>872</v>
          </cell>
          <cell r="C28">
            <v>0</v>
          </cell>
          <cell r="D28">
            <v>0</v>
          </cell>
          <cell r="E28">
            <v>0</v>
          </cell>
          <cell r="F28">
            <v>0</v>
          </cell>
          <cell r="G28">
            <v>-377</v>
          </cell>
          <cell r="H28">
            <v>0</v>
          </cell>
          <cell r="I28">
            <v>0</v>
          </cell>
          <cell r="J28">
            <v>0</v>
          </cell>
          <cell r="K28">
            <v>0</v>
          </cell>
          <cell r="L28">
            <v>0</v>
          </cell>
          <cell r="M28">
            <v>0</v>
          </cell>
          <cell r="N28">
            <v>0</v>
          </cell>
          <cell r="O28">
            <v>0</v>
          </cell>
          <cell r="P28">
            <v>0</v>
          </cell>
          <cell r="Q28">
            <v>0</v>
          </cell>
          <cell r="R28">
            <v>0</v>
          </cell>
        </row>
        <row r="30">
          <cell r="A30" t="str">
            <v>Profit before taxes</v>
          </cell>
          <cell r="B30">
            <v>3161</v>
          </cell>
          <cell r="C30">
            <v>5538</v>
          </cell>
          <cell r="D30">
            <v>8702</v>
          </cell>
          <cell r="E30">
            <v>15304</v>
          </cell>
          <cell r="F30">
            <v>14161</v>
          </cell>
          <cell r="G30">
            <v>10232</v>
          </cell>
          <cell r="H30">
            <v>10933</v>
          </cell>
          <cell r="I30">
            <v>11823.358792028663</v>
          </cell>
          <cell r="J30">
            <v>15052.129614443618</v>
          </cell>
          <cell r="K30">
            <v>15413.833772916278</v>
          </cell>
          <cell r="L30">
            <v>15991.46309847514</v>
          </cell>
          <cell r="M30">
            <v>16710.917617386243</v>
          </cell>
          <cell r="N30">
            <v>16969.55512834511</v>
          </cell>
          <cell r="O30">
            <v>17076.816563139295</v>
          </cell>
          <cell r="P30">
            <v>17385.109757153281</v>
          </cell>
          <cell r="Q30">
            <v>17006.013668670814</v>
          </cell>
          <cell r="R30">
            <v>16939.928216779008</v>
          </cell>
        </row>
        <row r="31">
          <cell r="A31" t="str">
            <v>% margin</v>
          </cell>
          <cell r="B31">
            <v>0.12103227782670291</v>
          </cell>
          <cell r="C31">
            <v>0.17367579264276978</v>
          </cell>
          <cell r="D31">
            <v>0.22806373833735191</v>
          </cell>
          <cell r="E31">
            <v>0.33173650098627883</v>
          </cell>
          <cell r="F31">
            <v>0.3104325141942697</v>
          </cell>
          <cell r="G31">
            <v>0.20859921306395385</v>
          </cell>
          <cell r="H31">
            <v>0.23029932803909592</v>
          </cell>
          <cell r="I31">
            <v>0.28038819826677447</v>
          </cell>
          <cell r="J31">
            <v>0.34426130684413592</v>
          </cell>
          <cell r="K31">
            <v>0.33257350735726132</v>
          </cell>
          <cell r="L31">
            <v>0.3376489571127263</v>
          </cell>
          <cell r="M31">
            <v>0.34324330531374592</v>
          </cell>
          <cell r="N31">
            <v>0.34509816261181792</v>
          </cell>
          <cell r="O31">
            <v>0.34289950714319672</v>
          </cell>
          <cell r="P31">
            <v>0.34170841836740701</v>
          </cell>
          <cell r="Q31">
            <v>0.33829574723604267</v>
          </cell>
          <cell r="R31">
            <v>0.33566990008853603</v>
          </cell>
        </row>
        <row r="32">
          <cell r="A32" t="str">
            <v>Income taxes</v>
          </cell>
          <cell r="B32">
            <v>-1862</v>
          </cell>
          <cell r="C32">
            <v>-2284</v>
          </cell>
          <cell r="D32">
            <v>-3436</v>
          </cell>
          <cell r="E32">
            <v>-3867</v>
          </cell>
          <cell r="F32">
            <v>-3317</v>
          </cell>
          <cell r="G32">
            <v>-1722</v>
          </cell>
          <cell r="H32">
            <v>-2320</v>
          </cell>
          <cell r="I32">
            <v>-2491.62534632602</v>
          </cell>
          <cell r="J32">
            <v>-3160.9472190331617</v>
          </cell>
          <cell r="K32">
            <v>-3236.9050923124182</v>
          </cell>
          <cell r="L32">
            <v>-3358.2072506797795</v>
          </cell>
          <cell r="M32">
            <v>-3509.292699651111</v>
          </cell>
          <cell r="N32">
            <v>-3563.606576952473</v>
          </cell>
          <cell r="O32">
            <v>-3586.1314782592517</v>
          </cell>
          <cell r="P32">
            <v>-3650.873049002189</v>
          </cell>
          <cell r="Q32">
            <v>-3571.262870420871</v>
          </cell>
          <cell r="R32">
            <v>-3557.3849255235914</v>
          </cell>
        </row>
        <row r="33">
          <cell r="A33" t="str">
            <v>% tax rate</v>
          </cell>
          <cell r="B33">
            <v>0.58905409680480858</v>
          </cell>
          <cell r="C33">
            <v>0.41242325749368003</v>
          </cell>
          <cell r="D33">
            <v>0.39485175821650198</v>
          </cell>
          <cell r="E33">
            <v>0.25267903815995818</v>
          </cell>
          <cell r="F33">
            <v>0.23423487041875574</v>
          </cell>
          <cell r="G33">
            <v>0.16829554339327599</v>
          </cell>
          <cell r="H33">
            <v>0.21220159151193635</v>
          </cell>
          <cell r="I33">
            <v>0.21073752308065621</v>
          </cell>
          <cell r="J33">
            <v>0.21</v>
          </cell>
          <cell r="K33">
            <v>0.21</v>
          </cell>
          <cell r="L33">
            <v>0.21</v>
          </cell>
          <cell r="M33">
            <v>0.21</v>
          </cell>
          <cell r="N33">
            <v>0.21</v>
          </cell>
          <cell r="O33">
            <v>0.21</v>
          </cell>
          <cell r="P33">
            <v>0.21</v>
          </cell>
          <cell r="Q33">
            <v>0.21</v>
          </cell>
          <cell r="R33">
            <v>0.21</v>
          </cell>
        </row>
        <row r="35">
          <cell r="A35" t="str">
            <v>Profit from continuing businesses</v>
          </cell>
          <cell r="B35">
            <v>1299</v>
          </cell>
          <cell r="C35">
            <v>3254</v>
          </cell>
          <cell r="D35">
            <v>5266</v>
          </cell>
          <cell r="E35">
            <v>11437</v>
          </cell>
          <cell r="F35">
            <v>10844</v>
          </cell>
          <cell r="G35">
            <v>8510</v>
          </cell>
          <cell r="H35">
            <v>8613</v>
          </cell>
          <cell r="I35">
            <v>9331.7334457026427</v>
          </cell>
          <cell r="J35">
            <v>11891.182395410457</v>
          </cell>
          <cell r="K35">
            <v>12176.92868060386</v>
          </cell>
          <cell r="L35">
            <v>12633.255847795361</v>
          </cell>
          <cell r="M35">
            <v>13201.624917735133</v>
          </cell>
          <cell r="N35">
            <v>13405.948551392637</v>
          </cell>
          <cell r="O35">
            <v>13490.685084880042</v>
          </cell>
          <cell r="P35">
            <v>13734.236708151093</v>
          </cell>
          <cell r="Q35">
            <v>13434.750798249943</v>
          </cell>
          <cell r="R35">
            <v>13382.543291255417</v>
          </cell>
        </row>
        <row r="36">
          <cell r="A36" t="str">
            <v>% margin</v>
          </cell>
          <cell r="B36">
            <v>4.9737718727265769E-2</v>
          </cell>
          <cell r="C36">
            <v>0.10204785649324176</v>
          </cell>
          <cell r="D36">
            <v>0.13801237026942029</v>
          </cell>
          <cell r="E36">
            <v>0.24791364099451585</v>
          </cell>
          <cell r="F36">
            <v>0.23771839445820636</v>
          </cell>
          <cell r="G36">
            <v>0.17349289514994598</v>
          </cell>
          <cell r="H36">
            <v>0.18142944410507025</v>
          </cell>
          <cell r="I36">
            <v>0.22129988386298646</v>
          </cell>
          <cell r="J36">
            <v>0.2719664324068673</v>
          </cell>
          <cell r="K36">
            <v>0.26273307081223646</v>
          </cell>
          <cell r="L36">
            <v>0.26674267611905378</v>
          </cell>
          <cell r="M36">
            <v>0.27116221119785927</v>
          </cell>
          <cell r="N36">
            <v>0.2726275484633362</v>
          </cell>
          <cell r="O36">
            <v>0.27089061064312542</v>
          </cell>
          <cell r="P36">
            <v>0.26994965051025155</v>
          </cell>
          <cell r="Q36">
            <v>0.2672536403164737</v>
          </cell>
          <cell r="R36">
            <v>0.26517922106994346</v>
          </cell>
        </row>
        <row r="37">
          <cell r="A37" t="str">
            <v>Profit from discontinued businesses</v>
          </cell>
          <cell r="B37">
            <v>2337</v>
          </cell>
          <cell r="C37">
            <v>-12</v>
          </cell>
          <cell r="D37">
            <v>20</v>
          </cell>
          <cell r="E37">
            <v>0</v>
          </cell>
          <cell r="F37">
            <v>0</v>
          </cell>
          <cell r="G37">
            <v>0</v>
          </cell>
          <cell r="H37">
            <v>0</v>
          </cell>
          <cell r="I37">
            <v>0</v>
          </cell>
          <cell r="J37">
            <v>0</v>
          </cell>
          <cell r="K37">
            <v>0</v>
          </cell>
          <cell r="L37">
            <v>0</v>
          </cell>
          <cell r="M37">
            <v>0</v>
          </cell>
          <cell r="N37">
            <v>0</v>
          </cell>
          <cell r="O37">
            <v>0</v>
          </cell>
          <cell r="P37">
            <v>0</v>
          </cell>
          <cell r="Q37">
            <v>0</v>
          </cell>
          <cell r="R37">
            <v>0</v>
          </cell>
        </row>
        <row r="39">
          <cell r="A39" t="str">
            <v>Net income</v>
          </cell>
          <cell r="B39">
            <v>3636</v>
          </cell>
          <cell r="C39">
            <v>3242</v>
          </cell>
          <cell r="D39">
            <v>5286</v>
          </cell>
          <cell r="E39">
            <v>11437</v>
          </cell>
          <cell r="F39">
            <v>10844</v>
          </cell>
          <cell r="G39">
            <v>8510</v>
          </cell>
          <cell r="H39">
            <v>8613</v>
          </cell>
          <cell r="I39">
            <v>9331.7334457026427</v>
          </cell>
          <cell r="J39">
            <v>11891.182395410457</v>
          </cell>
          <cell r="K39">
            <v>12176.92868060386</v>
          </cell>
          <cell r="L39">
            <v>12633.255847795361</v>
          </cell>
          <cell r="M39">
            <v>13201.624917735133</v>
          </cell>
          <cell r="N39">
            <v>13405.948551392637</v>
          </cell>
          <cell r="O39">
            <v>13490.685084880042</v>
          </cell>
          <cell r="P39">
            <v>13734.236708151093</v>
          </cell>
          <cell r="Q39">
            <v>13434.750798249943</v>
          </cell>
          <cell r="R39">
            <v>13382.543291255417</v>
          </cell>
        </row>
        <row r="41">
          <cell r="A41" t="str">
            <v>Minority interests</v>
          </cell>
          <cell r="B41">
            <v>-457</v>
          </cell>
          <cell r="C41">
            <v>-943</v>
          </cell>
          <cell r="D41">
            <v>-1291</v>
          </cell>
          <cell r="E41">
            <v>-1676</v>
          </cell>
          <cell r="F41">
            <v>-1875</v>
          </cell>
          <cell r="G41">
            <v>-726</v>
          </cell>
          <cell r="H41">
            <v>-225</v>
          </cell>
          <cell r="I41">
            <v>-337.55702239246727</v>
          </cell>
          <cell r="J41">
            <v>-383.8273317689999</v>
          </cell>
          <cell r="K41">
            <v>-397.13763805745003</v>
          </cell>
          <cell r="L41">
            <v>-410.81063968032242</v>
          </cell>
          <cell r="M41">
            <v>-424.85838680493868</v>
          </cell>
          <cell r="N41">
            <v>-439.29334956900357</v>
          </cell>
          <cell r="O41">
            <v>-454.12843360298626</v>
          </cell>
          <cell r="P41">
            <v>-469.37699616433406</v>
          </cell>
          <cell r="Q41">
            <v>-485.05286290918536</v>
          </cell>
          <cell r="R41">
            <v>-501.17034532837818</v>
          </cell>
        </row>
        <row r="43">
          <cell r="A43" t="str">
            <v>Net income attributable to Roche shareholders</v>
          </cell>
          <cell r="B43">
            <v>3179</v>
          </cell>
          <cell r="C43">
            <v>2311</v>
          </cell>
          <cell r="D43">
            <v>3975</v>
          </cell>
          <cell r="E43">
            <v>9761</v>
          </cell>
          <cell r="F43">
            <v>8969</v>
          </cell>
          <cell r="G43">
            <v>7784</v>
          </cell>
          <cell r="H43">
            <v>8388</v>
          </cell>
          <cell r="I43">
            <v>8994.1764233101749</v>
          </cell>
          <cell r="J43">
            <v>11507.355063641457</v>
          </cell>
          <cell r="K43">
            <v>11779.791042546411</v>
          </cell>
          <cell r="L43">
            <v>12222.445208115038</v>
          </cell>
          <cell r="M43">
            <v>12776.766530930194</v>
          </cell>
          <cell r="N43">
            <v>12966.655201823634</v>
          </cell>
          <cell r="O43">
            <v>13036.556651277057</v>
          </cell>
          <cell r="P43">
            <v>13264.859711986759</v>
          </cell>
          <cell r="Q43">
            <v>12949.697935340757</v>
          </cell>
          <cell r="R43">
            <v>12881.372945927038</v>
          </cell>
        </row>
        <row r="44">
          <cell r="A44" t="str">
            <v>% margin</v>
          </cell>
          <cell r="B44">
            <v>0.12172148409082206</v>
          </cell>
          <cell r="C44">
            <v>7.2474676200332419E-2</v>
          </cell>
          <cell r="D44">
            <v>0.10417758674913513</v>
          </cell>
          <cell r="E44">
            <v>0.21158389872759195</v>
          </cell>
          <cell r="F44">
            <v>0.19661529692877655</v>
          </cell>
          <cell r="G44">
            <v>0.1586919736600681</v>
          </cell>
          <cell r="H44">
            <v>0.17668990794767553</v>
          </cell>
          <cell r="I44">
            <v>0.21329479774610974</v>
          </cell>
          <cell r="J44">
            <v>0.26318781421648857</v>
          </cell>
          <cell r="K44">
            <v>0.2541643098447724</v>
          </cell>
          <cell r="L44">
            <v>0.25806868655320225</v>
          </cell>
          <cell r="M44">
            <v>0.26243559304820901</v>
          </cell>
          <cell r="N44">
            <v>0.26369394197587853</v>
          </cell>
          <cell r="O44">
            <v>0.26177179066362749</v>
          </cell>
          <cell r="P44">
            <v>0.26072393533112453</v>
          </cell>
          <cell r="Q44">
            <v>0.25760462298038039</v>
          </cell>
          <cell r="R44">
            <v>0.25524837616960416</v>
          </cell>
        </row>
        <row r="46">
          <cell r="A46" t="str">
            <v>Diluted shares</v>
          </cell>
          <cell r="B46">
            <v>860</v>
          </cell>
          <cell r="C46">
            <v>860</v>
          </cell>
          <cell r="D46">
            <v>862</v>
          </cell>
          <cell r="E46">
            <v>862</v>
          </cell>
          <cell r="F46">
            <v>861</v>
          </cell>
          <cell r="G46">
            <v>859</v>
          </cell>
          <cell r="H46">
            <v>857</v>
          </cell>
          <cell r="I46">
            <v>853</v>
          </cell>
          <cell r="J46">
            <v>862</v>
          </cell>
          <cell r="K46">
            <v>862</v>
          </cell>
          <cell r="L46">
            <v>862</v>
          </cell>
          <cell r="M46">
            <v>862</v>
          </cell>
          <cell r="N46">
            <v>862</v>
          </cell>
          <cell r="O46">
            <v>862</v>
          </cell>
          <cell r="P46">
            <v>862</v>
          </cell>
          <cell r="Q46">
            <v>862</v>
          </cell>
          <cell r="R46">
            <v>862</v>
          </cell>
        </row>
        <row r="47">
          <cell r="A47" t="str">
            <v>Diluted Net Income</v>
          </cell>
          <cell r="B47">
            <v>3171</v>
          </cell>
          <cell r="C47">
            <v>2296</v>
          </cell>
          <cell r="D47">
            <v>3900</v>
          </cell>
          <cell r="E47">
            <v>9624</v>
          </cell>
          <cell r="F47">
            <v>8810</v>
          </cell>
          <cell r="G47">
            <v>7745</v>
          </cell>
          <cell r="H47">
            <v>8665</v>
          </cell>
          <cell r="I47">
            <v>9271.1764233101749</v>
          </cell>
          <cell r="J47">
            <v>11784.355063641457</v>
          </cell>
          <cell r="K47">
            <v>12056.791042546411</v>
          </cell>
          <cell r="L47">
            <v>12499.445208115038</v>
          </cell>
          <cell r="M47">
            <v>13053.766530930194</v>
          </cell>
          <cell r="N47">
            <v>13243.655201823634</v>
          </cell>
          <cell r="O47">
            <v>13313.556651277057</v>
          </cell>
          <cell r="P47">
            <v>13541.859711986759</v>
          </cell>
          <cell r="Q47">
            <v>13226.697935340757</v>
          </cell>
          <cell r="R47">
            <v>13158.372945927038</v>
          </cell>
        </row>
        <row r="48">
          <cell r="A48" t="str">
            <v>Dividend</v>
          </cell>
          <cell r="B48">
            <v>1725</v>
          </cell>
          <cell r="C48">
            <v>2156</v>
          </cell>
          <cell r="D48">
            <v>2933</v>
          </cell>
          <cell r="E48">
            <v>3968</v>
          </cell>
          <cell r="F48">
            <v>4313</v>
          </cell>
          <cell r="G48">
            <v>5175</v>
          </cell>
          <cell r="H48">
            <v>5693</v>
          </cell>
          <cell r="I48">
            <v>5190.9135043543947</v>
          </cell>
          <cell r="J48">
            <v>6530.345285002807</v>
          </cell>
          <cell r="K48">
            <v>6680.1850734005247</v>
          </cell>
          <cell r="L48">
            <v>6923.6448644632701</v>
          </cell>
          <cell r="M48">
            <v>7228.521592011607</v>
          </cell>
          <cell r="N48">
            <v>7332.9603610030017</v>
          </cell>
          <cell r="O48">
            <v>7371.4061582023833</v>
          </cell>
          <cell r="P48">
            <v>7496.9728415927138</v>
          </cell>
          <cell r="Q48">
            <v>7323.6338644374127</v>
          </cell>
          <cell r="R48">
            <v>7286.0551202598672</v>
          </cell>
        </row>
        <row r="49">
          <cell r="A49" t="str">
            <v>DPS</v>
          </cell>
          <cell r="B49">
            <v>2</v>
          </cell>
          <cell r="C49">
            <v>2.5</v>
          </cell>
          <cell r="D49">
            <v>3.4</v>
          </cell>
          <cell r="E49">
            <v>4.5999999999999996</v>
          </cell>
          <cell r="F49">
            <v>5</v>
          </cell>
          <cell r="G49">
            <v>6</v>
          </cell>
          <cell r="H49">
            <v>6.6</v>
          </cell>
          <cell r="I49">
            <v>6.1069570639463464</v>
          </cell>
          <cell r="J49">
            <v>7.5934247500032637</v>
          </cell>
          <cell r="K49">
            <v>7.7676570620936332</v>
          </cell>
          <cell r="L49">
            <v>8.050749842399151</v>
          </cell>
          <cell r="M49">
            <v>8.4052576651297759</v>
          </cell>
          <cell r="N49">
            <v>8.5266980941895376</v>
          </cell>
          <cell r="O49">
            <v>8.5714025095376556</v>
          </cell>
          <cell r="P49">
            <v>8.7174102809217597</v>
          </cell>
          <cell r="Q49">
            <v>8.5158533307411783</v>
          </cell>
          <cell r="R49">
            <v>8.4721571165812417</v>
          </cell>
        </row>
        <row r="50">
          <cell r="A50" t="str">
            <v>Payout ratio</v>
          </cell>
          <cell r="B50">
            <v>0.54262346649889903</v>
          </cell>
          <cell r="C50">
            <v>0.93292946776287322</v>
          </cell>
          <cell r="D50">
            <v>0.73786163522012582</v>
          </cell>
          <cell r="E50">
            <v>0.40651572584776152</v>
          </cell>
          <cell r="F50">
            <v>0.48087858178169252</v>
          </cell>
          <cell r="G50">
            <v>0.528169014084507</v>
          </cell>
          <cell r="H50">
            <v>0.53320221035871496</v>
          </cell>
          <cell r="I50">
            <v>0.53</v>
          </cell>
          <cell r="J50">
            <v>0.55000000000000004</v>
          </cell>
          <cell r="K50">
            <v>0.55000000000000004</v>
          </cell>
          <cell r="L50">
            <v>0.55000000000000004</v>
          </cell>
          <cell r="M50">
            <v>0.55000000000000004</v>
          </cell>
          <cell r="N50">
            <v>0.55000000000000004</v>
          </cell>
          <cell r="O50">
            <v>0.55000000000000004</v>
          </cell>
          <cell r="P50">
            <v>0.55000000000000004</v>
          </cell>
          <cell r="Q50">
            <v>0.55000000000000004</v>
          </cell>
          <cell r="R50">
            <v>0.55000000000000004</v>
          </cell>
        </row>
        <row r="52">
          <cell r="A52" t="str">
            <v>Basic EPS</v>
          </cell>
          <cell r="B52">
            <v>3.7800237812128419</v>
          </cell>
          <cell r="C52">
            <v>2.7349112426035505</v>
          </cell>
          <cell r="D52">
            <v>4.665492957746479</v>
          </cell>
          <cell r="E52">
            <v>11.363213038416763</v>
          </cell>
          <cell r="F52">
            <v>10.429069767441861</v>
          </cell>
          <cell r="G52">
            <v>9.0722610722610728</v>
          </cell>
          <cell r="H52">
            <v>9.810526315789474</v>
          </cell>
          <cell r="I52">
            <v>10.581384027423734</v>
          </cell>
          <cell r="J52">
            <v>13.380645422838903</v>
          </cell>
          <cell r="K52">
            <v>13.697431444821408</v>
          </cell>
          <cell r="L52">
            <v>14.212145590831438</v>
          </cell>
          <cell r="M52">
            <v>14.856705268523481</v>
          </cell>
          <cell r="N52">
            <v>15.077506048632133</v>
          </cell>
          <cell r="O52">
            <v>15.15878680381053</v>
          </cell>
          <cell r="P52">
            <v>15.424255479054372</v>
          </cell>
          <cell r="Q52">
            <v>15.057788296907857</v>
          </cell>
          <cell r="R52">
            <v>14.978340634798881</v>
          </cell>
        </row>
        <row r="53">
          <cell r="A53" t="str">
            <v>Diluted EPS</v>
          </cell>
          <cell r="B53">
            <v>3.6872093023255812</v>
          </cell>
          <cell r="C53">
            <v>2.6697674418604653</v>
          </cell>
          <cell r="D53">
            <v>4.5243619489559164</v>
          </cell>
          <cell r="E53">
            <v>11.164733178654293</v>
          </cell>
          <cell r="F53">
            <v>10.232288037166086</v>
          </cell>
          <cell r="G53">
            <v>9.0162980209545989</v>
          </cell>
          <cell r="H53">
            <v>10.110851808634772</v>
          </cell>
          <cell r="I53">
            <v>10.868905537292116</v>
          </cell>
          <cell r="J53">
            <v>13.670945549468048</v>
          </cell>
          <cell r="K53">
            <v>13.986996569079363</v>
          </cell>
          <cell r="L53">
            <v>14.500516482732062</v>
          </cell>
          <cell r="M53">
            <v>15.143580662332011</v>
          </cell>
          <cell r="N53">
            <v>15.363869143646907</v>
          </cell>
          <cell r="O53">
            <v>15.444961312386376</v>
          </cell>
          <cell r="P53">
            <v>15.709814051028722</v>
          </cell>
          <cell r="Q53">
            <v>15.344197140766539</v>
          </cell>
          <cell r="R53">
            <v>15.264933811980322</v>
          </cell>
        </row>
        <row r="54">
          <cell r="A54" t="str">
            <v>ModelWare EPS</v>
          </cell>
          <cell r="B54">
            <v>7.54</v>
          </cell>
          <cell r="C54">
            <v>6.66</v>
          </cell>
          <cell r="D54">
            <v>8.98</v>
          </cell>
          <cell r="E54">
            <v>11.26</v>
          </cell>
          <cell r="F54">
            <v>10.65</v>
          </cell>
          <cell r="G54">
            <v>11.261373690337603</v>
          </cell>
          <cell r="H54">
            <v>9.7876312718786469</v>
          </cell>
          <cell r="I54">
            <v>10.544169312204193</v>
          </cell>
          <cell r="J54">
            <v>13.349599841811431</v>
          </cell>
          <cell r="K54">
            <v>13.665650861422744</v>
          </cell>
          <cell r="L54">
            <v>14.179170775075452</v>
          </cell>
          <cell r="M54">
            <v>14.822234954675396</v>
          </cell>
          <cell r="N54">
            <v>15.042523435990297</v>
          </cell>
          <cell r="O54">
            <v>15.23150423582025</v>
          </cell>
          <cell r="P54">
            <v>15.4963569744626</v>
          </cell>
          <cell r="Q54">
            <v>15.130740064200412</v>
          </cell>
          <cell r="R54">
            <v>15.051476735414184</v>
          </cell>
        </row>
        <row r="55">
          <cell r="A55" t="str">
            <v>Core EPS</v>
          </cell>
          <cell r="B55">
            <v>5.7279069767441859</v>
          </cell>
          <cell r="C55">
            <v>7.8337209302325581</v>
          </cell>
          <cell r="D55">
            <v>9.8665893271461709</v>
          </cell>
          <cell r="E55">
            <v>11.854988399071926</v>
          </cell>
          <cell r="F55">
            <v>11.041811846689896</v>
          </cell>
          <cell r="G55">
            <v>12.188591385331781</v>
          </cell>
          <cell r="H55">
            <v>12.4585764294049</v>
          </cell>
          <cell r="I55">
            <v>11.482035666248743</v>
          </cell>
          <cell r="J55">
            <v>13.774193809328846</v>
          </cell>
          <cell r="K55">
            <v>14.090244828940147</v>
          </cell>
          <cell r="L55">
            <v>14.603764742592849</v>
          </cell>
          <cell r="M55">
            <v>15.246828922192801</v>
          </cell>
          <cell r="N55">
            <v>15.4671174035077</v>
          </cell>
          <cell r="O55">
            <v>15.548209572247169</v>
          </cell>
          <cell r="P55">
            <v>15.813062310889503</v>
          </cell>
          <cell r="Q55">
            <v>15.44744540062732</v>
          </cell>
          <cell r="R55">
            <v>15.368182071841103</v>
          </cell>
        </row>
      </sheetData>
      <sheetData sheetId="13" refreshError="1">
        <row r="1">
          <cell r="A1" t="str">
            <v>Return to contents</v>
          </cell>
          <cell r="Y1" t="str">
            <v>ElementName</v>
          </cell>
          <cell r="Z1" t="str">
            <v>ScaleOverride</v>
          </cell>
          <cell r="AA1" t="str">
            <v>UnitOverride</v>
          </cell>
          <cell r="AB1" t="str">
            <v>ReverseSign</v>
          </cell>
          <cell r="AC1" t="str">
            <v>IsDrivingAssumption</v>
          </cell>
          <cell r="AD1" t="str">
            <v>SegmentID</v>
          </cell>
        </row>
        <row r="2">
          <cell r="A2" t="str">
            <v>Roche</v>
          </cell>
        </row>
        <row r="3">
          <cell r="A3" t="str">
            <v>Annual Balance sheet</v>
          </cell>
          <cell r="S3" t="str">
            <v>Morgan Stanley Equity Research: Pharmaceuticals</v>
          </cell>
        </row>
        <row r="5">
          <cell r="A5" t="str">
            <v>in SFr mlns</v>
          </cell>
          <cell r="B5">
            <v>2000</v>
          </cell>
          <cell r="C5">
            <v>2001</v>
          </cell>
          <cell r="D5">
            <v>2002</v>
          </cell>
          <cell r="E5">
            <v>2003</v>
          </cell>
          <cell r="F5">
            <v>2004</v>
          </cell>
          <cell r="G5">
            <v>2005</v>
          </cell>
          <cell r="H5">
            <v>2006</v>
          </cell>
          <cell r="I5">
            <v>2007</v>
          </cell>
          <cell r="J5">
            <v>2008</v>
          </cell>
          <cell r="K5">
            <v>2009</v>
          </cell>
          <cell r="L5">
            <v>2010</v>
          </cell>
          <cell r="M5">
            <v>2011</v>
          </cell>
          <cell r="N5">
            <v>2012</v>
          </cell>
          <cell r="O5">
            <v>2013</v>
          </cell>
          <cell r="P5">
            <v>2014</v>
          </cell>
          <cell r="Q5">
            <v>2015</v>
          </cell>
          <cell r="R5">
            <v>2016</v>
          </cell>
          <cell r="S5">
            <v>2017</v>
          </cell>
          <cell r="T5">
            <v>2018</v>
          </cell>
          <cell r="U5">
            <v>2019</v>
          </cell>
          <cell r="V5">
            <v>2020</v>
          </cell>
          <cell r="W5" t="str">
            <v>Model Directions/Assumptions</v>
          </cell>
        </row>
        <row r="7">
          <cell r="A7" t="str">
            <v>Long-term assets</v>
          </cell>
          <cell r="E7" t="str">
            <v xml:space="preserve"> </v>
          </cell>
        </row>
        <row r="8">
          <cell r="A8" t="str">
            <v>Property, plant and equipment</v>
          </cell>
          <cell r="B8">
            <v>13785</v>
          </cell>
          <cell r="C8">
            <v>15052</v>
          </cell>
          <cell r="D8">
            <v>13434</v>
          </cell>
          <cell r="E8">
            <v>12494</v>
          </cell>
          <cell r="F8">
            <v>12408</v>
          </cell>
          <cell r="G8">
            <v>15097</v>
          </cell>
          <cell r="H8">
            <v>16417</v>
          </cell>
          <cell r="I8">
            <v>17832</v>
          </cell>
          <cell r="J8">
            <v>18190</v>
          </cell>
          <cell r="K8">
            <v>17697</v>
          </cell>
          <cell r="L8">
            <v>16729</v>
          </cell>
          <cell r="M8">
            <v>17345.48857142857</v>
          </cell>
          <cell r="N8">
            <v>17850.735942857144</v>
          </cell>
          <cell r="O8">
            <v>18246.966938285717</v>
          </cell>
          <cell r="P8">
            <v>18536.361885234292</v>
          </cell>
          <cell r="Q8">
            <v>18721.057504672463</v>
          </cell>
          <cell r="R8">
            <v>18803.147783150445</v>
          </cell>
          <cell r="S8">
            <v>18784.684827487439</v>
          </cell>
          <cell r="T8">
            <v>18667.679702366266</v>
          </cell>
          <cell r="U8">
            <v>18454.103251176086</v>
          </cell>
          <cell r="V8">
            <v>18145.88690043828</v>
          </cell>
          <cell r="W8" t="str">
            <v>Linked to schedule below</v>
          </cell>
          <cell r="Y8" t="str">
            <v>mstag:propertyPlantAndEquipmentNet</v>
          </cell>
          <cell r="Z8">
            <v>6</v>
          </cell>
          <cell r="AA8" t="str">
            <v>ISO4217:CHF</v>
          </cell>
          <cell r="AB8" t="b">
            <v>0</v>
          </cell>
          <cell r="AC8" t="b">
            <v>0</v>
          </cell>
        </row>
        <row r="9">
          <cell r="A9" t="str">
            <v>Goodwill</v>
          </cell>
          <cell r="B9">
            <v>6550</v>
          </cell>
          <cell r="C9">
            <v>6107</v>
          </cell>
          <cell r="D9">
            <v>5057</v>
          </cell>
          <cell r="E9">
            <v>5206</v>
          </cell>
          <cell r="F9">
            <v>5532</v>
          </cell>
          <cell r="G9">
            <v>6132</v>
          </cell>
          <cell r="H9">
            <v>5914</v>
          </cell>
          <cell r="I9">
            <v>6835</v>
          </cell>
          <cell r="J9">
            <v>8353</v>
          </cell>
          <cell r="K9">
            <v>8261</v>
          </cell>
          <cell r="L9">
            <v>7722</v>
          </cell>
          <cell r="M9">
            <v>7722</v>
          </cell>
          <cell r="N9">
            <v>7722</v>
          </cell>
          <cell r="O9">
            <v>7722</v>
          </cell>
          <cell r="P9">
            <v>7722</v>
          </cell>
          <cell r="Q9">
            <v>7722</v>
          </cell>
          <cell r="R9">
            <v>7722</v>
          </cell>
          <cell r="S9">
            <v>7722</v>
          </cell>
          <cell r="T9">
            <v>7722</v>
          </cell>
          <cell r="U9">
            <v>7722</v>
          </cell>
          <cell r="V9">
            <v>7722</v>
          </cell>
          <cell r="W9" t="str">
            <v>Linked to schedule below</v>
          </cell>
          <cell r="Y9" t="str">
            <v>mstag:goodwill</v>
          </cell>
          <cell r="Z9">
            <v>6</v>
          </cell>
          <cell r="AA9" t="str">
            <v>ISO4217:CHF</v>
          </cell>
          <cell r="AB9" t="b">
            <v>0</v>
          </cell>
          <cell r="AC9" t="b">
            <v>0</v>
          </cell>
        </row>
        <row r="10">
          <cell r="A10" t="str">
            <v>Other Intangible assets</v>
          </cell>
          <cell r="B10">
            <v>9320</v>
          </cell>
          <cell r="C10">
            <v>8836</v>
          </cell>
          <cell r="D10">
            <v>7786</v>
          </cell>
          <cell r="E10">
            <v>6945</v>
          </cell>
          <cell r="F10">
            <v>6340</v>
          </cell>
          <cell r="G10">
            <v>6256</v>
          </cell>
          <cell r="H10">
            <v>5469</v>
          </cell>
          <cell r="I10">
            <v>6346</v>
          </cell>
          <cell r="J10">
            <v>7121</v>
          </cell>
          <cell r="K10">
            <v>6005</v>
          </cell>
          <cell r="L10">
            <v>5133</v>
          </cell>
          <cell r="M10">
            <v>5355.4269372027211</v>
          </cell>
          <cell r="N10">
            <v>5545.2808116081642</v>
          </cell>
          <cell r="O10">
            <v>5702.5616232163284</v>
          </cell>
          <cell r="P10">
            <v>5827.2693720272146</v>
          </cell>
          <cell r="Q10">
            <v>5919.4040580408218</v>
          </cell>
          <cell r="R10">
            <v>5978.9656812571502</v>
          </cell>
          <cell r="S10">
            <v>6252.9656812571502</v>
          </cell>
          <cell r="T10">
            <v>6494.3926184598713</v>
          </cell>
          <cell r="U10">
            <v>6768.3926184598713</v>
          </cell>
          <cell r="V10">
            <v>7009.8195556625924</v>
          </cell>
          <cell r="W10" t="str">
            <v>Linked to schedule below</v>
          </cell>
          <cell r="Y10" t="str">
            <v>mstag:otherIntangibleAssets</v>
          </cell>
          <cell r="Z10">
            <v>6</v>
          </cell>
          <cell r="AA10" t="str">
            <v>ISO4217:CHF</v>
          </cell>
          <cell r="AB10" t="b">
            <v>0</v>
          </cell>
          <cell r="AC10" t="b">
            <v>0</v>
          </cell>
        </row>
        <row r="11">
          <cell r="A11" t="str">
            <v>Investments in associated companies</v>
          </cell>
          <cell r="B11">
            <v>652</v>
          </cell>
          <cell r="C11">
            <v>186</v>
          </cell>
          <cell r="D11">
            <v>129</v>
          </cell>
          <cell r="E11">
            <v>110</v>
          </cell>
          <cell r="F11">
            <v>55</v>
          </cell>
          <cell r="G11">
            <v>58</v>
          </cell>
          <cell r="H11">
            <v>7</v>
          </cell>
          <cell r="I11">
            <v>9</v>
          </cell>
          <cell r="J11">
            <v>9</v>
          </cell>
          <cell r="K11">
            <v>16</v>
          </cell>
          <cell r="L11">
            <v>13</v>
          </cell>
          <cell r="M11">
            <v>12.28</v>
          </cell>
          <cell r="N11">
            <v>11.559999999999999</v>
          </cell>
          <cell r="O11">
            <v>10.839999999999998</v>
          </cell>
          <cell r="P11">
            <v>10.119999999999997</v>
          </cell>
          <cell r="Q11">
            <v>9.3999999999999968</v>
          </cell>
          <cell r="R11">
            <v>8.6799999999999962</v>
          </cell>
          <cell r="S11">
            <v>7.9599999999999955</v>
          </cell>
          <cell r="T11">
            <v>7.2399999999999949</v>
          </cell>
          <cell r="U11">
            <v>6.5199999999999942</v>
          </cell>
          <cell r="V11">
            <v>5.7999999999999936</v>
          </cell>
          <cell r="W11" t="str">
            <v>Linked to P&amp;L</v>
          </cell>
          <cell r="Y11" t="str">
            <v>mstag:investmentsUnderTheEquityMethodNonOperating</v>
          </cell>
          <cell r="Z11">
            <v>6</v>
          </cell>
          <cell r="AA11" t="str">
            <v>ISO4217:CHF</v>
          </cell>
          <cell r="AB11" t="b">
            <v>0</v>
          </cell>
          <cell r="AC11" t="b">
            <v>0</v>
          </cell>
        </row>
        <row r="12">
          <cell r="A12" t="str">
            <v>Financial Long-Term Assets</v>
          </cell>
          <cell r="B12">
            <v>1558</v>
          </cell>
          <cell r="C12">
            <v>2924</v>
          </cell>
          <cell r="D12">
            <v>3672</v>
          </cell>
          <cell r="E12">
            <v>2093</v>
          </cell>
          <cell r="F12">
            <v>1227</v>
          </cell>
          <cell r="G12">
            <v>2190</v>
          </cell>
          <cell r="H12">
            <v>2152</v>
          </cell>
          <cell r="I12">
            <v>1333</v>
          </cell>
          <cell r="J12">
            <v>940</v>
          </cell>
          <cell r="K12">
            <v>481</v>
          </cell>
          <cell r="L12">
            <v>428</v>
          </cell>
          <cell r="M12">
            <v>428</v>
          </cell>
          <cell r="N12">
            <v>428</v>
          </cell>
          <cell r="O12">
            <v>428</v>
          </cell>
          <cell r="P12">
            <v>428</v>
          </cell>
          <cell r="Q12">
            <v>428</v>
          </cell>
          <cell r="R12">
            <v>428</v>
          </cell>
          <cell r="S12">
            <v>428</v>
          </cell>
          <cell r="T12">
            <v>428</v>
          </cell>
          <cell r="U12">
            <v>428</v>
          </cell>
          <cell r="V12">
            <v>428</v>
          </cell>
          <cell r="W12" t="str">
            <v>Linked to Financing Sheet</v>
          </cell>
          <cell r="Y12" t="str">
            <v>mstag:longTermInvestmentsNonOperating</v>
          </cell>
          <cell r="Z12">
            <v>6</v>
          </cell>
          <cell r="AA12" t="str">
            <v>ISO4217:CHF</v>
          </cell>
          <cell r="AB12" t="b">
            <v>0</v>
          </cell>
          <cell r="AC12" t="b">
            <v>0</v>
          </cell>
        </row>
        <row r="13">
          <cell r="A13" t="str">
            <v>Deferred income tax assets</v>
          </cell>
          <cell r="B13">
            <v>460</v>
          </cell>
          <cell r="C13">
            <v>1410</v>
          </cell>
          <cell r="D13">
            <v>784</v>
          </cell>
          <cell r="E13">
            <v>900</v>
          </cell>
          <cell r="F13">
            <v>1047</v>
          </cell>
          <cell r="G13">
            <v>2551</v>
          </cell>
          <cell r="H13">
            <v>1935</v>
          </cell>
          <cell r="I13">
            <v>1317</v>
          </cell>
          <cell r="J13">
            <v>1829</v>
          </cell>
          <cell r="K13">
            <v>2573</v>
          </cell>
          <cell r="L13">
            <v>2368</v>
          </cell>
          <cell r="M13">
            <v>2368</v>
          </cell>
          <cell r="N13">
            <v>2368</v>
          </cell>
          <cell r="O13">
            <v>2368</v>
          </cell>
          <cell r="P13">
            <v>2368</v>
          </cell>
          <cell r="Q13">
            <v>2368</v>
          </cell>
          <cell r="R13">
            <v>2368</v>
          </cell>
          <cell r="S13">
            <v>2368</v>
          </cell>
          <cell r="T13">
            <v>2368</v>
          </cell>
          <cell r="U13">
            <v>2368</v>
          </cell>
          <cell r="V13">
            <v>2368</v>
          </cell>
          <cell r="W13" t="str">
            <v>Linked to CAPEX growth</v>
          </cell>
          <cell r="Y13" t="str">
            <v>mstag:deferredTaxAssetsNonCurrent</v>
          </cell>
          <cell r="Z13">
            <v>6</v>
          </cell>
          <cell r="AA13" t="str">
            <v>ISO4217:CHF</v>
          </cell>
          <cell r="AB13" t="b">
            <v>0</v>
          </cell>
          <cell r="AC13" t="b">
            <v>0</v>
          </cell>
        </row>
        <row r="14">
          <cell r="A14" t="str">
            <v>Post employment benefit assets</v>
          </cell>
          <cell r="F14">
            <v>1577</v>
          </cell>
          <cell r="G14">
            <v>625</v>
          </cell>
          <cell r="H14">
            <v>831</v>
          </cell>
          <cell r="I14">
            <v>1332</v>
          </cell>
          <cell r="J14">
            <v>592</v>
          </cell>
          <cell r="K14">
            <v>601</v>
          </cell>
          <cell r="L14">
            <v>559</v>
          </cell>
          <cell r="M14">
            <v>559</v>
          </cell>
          <cell r="N14">
            <v>559</v>
          </cell>
          <cell r="O14">
            <v>559</v>
          </cell>
          <cell r="P14">
            <v>559</v>
          </cell>
          <cell r="Q14">
            <v>559</v>
          </cell>
          <cell r="R14">
            <v>559</v>
          </cell>
          <cell r="S14">
            <v>559</v>
          </cell>
          <cell r="T14">
            <v>559</v>
          </cell>
          <cell r="U14">
            <v>559</v>
          </cell>
          <cell r="V14">
            <v>559</v>
          </cell>
          <cell r="Y14" t="str">
            <v>mstag:pensionAndOtherPostRetirementAssets</v>
          </cell>
          <cell r="Z14">
            <v>6</v>
          </cell>
          <cell r="AA14" t="str">
            <v>ISO4217:CHF</v>
          </cell>
          <cell r="AB14" t="b">
            <v>0</v>
          </cell>
        </row>
        <row r="15">
          <cell r="A15" t="str">
            <v>Other long-term assets</v>
          </cell>
          <cell r="B15">
            <v>2473</v>
          </cell>
          <cell r="C15">
            <v>1896</v>
          </cell>
          <cell r="D15">
            <v>2281</v>
          </cell>
          <cell r="E15">
            <v>2072</v>
          </cell>
          <cell r="F15">
            <v>484</v>
          </cell>
          <cell r="G15">
            <v>660</v>
          </cell>
          <cell r="H15">
            <v>794</v>
          </cell>
          <cell r="I15">
            <v>527</v>
          </cell>
          <cell r="J15">
            <v>451</v>
          </cell>
          <cell r="K15">
            <v>452</v>
          </cell>
          <cell r="L15">
            <v>456</v>
          </cell>
          <cell r="M15">
            <v>456</v>
          </cell>
          <cell r="N15">
            <v>456</v>
          </cell>
          <cell r="O15">
            <v>456</v>
          </cell>
          <cell r="P15">
            <v>456</v>
          </cell>
          <cell r="Q15">
            <v>456</v>
          </cell>
          <cell r="R15">
            <v>456</v>
          </cell>
          <cell r="S15">
            <v>456</v>
          </cell>
          <cell r="T15">
            <v>456</v>
          </cell>
          <cell r="U15">
            <v>456</v>
          </cell>
          <cell r="V15">
            <v>456</v>
          </cell>
          <cell r="W15" t="str">
            <v>Contains pension items</v>
          </cell>
          <cell r="Y15" t="str">
            <v>mstag:otherAssetsNonOperatingNonCurrent</v>
          </cell>
          <cell r="Z15">
            <v>6</v>
          </cell>
          <cell r="AA15" t="str">
            <v>ISO4217:CHF</v>
          </cell>
          <cell r="AB15" t="b">
            <v>0</v>
          </cell>
          <cell r="AC15" t="b">
            <v>0</v>
          </cell>
        </row>
        <row r="16">
          <cell r="A16" t="str">
            <v>Total fixed assets</v>
          </cell>
          <cell r="B16">
            <v>34798</v>
          </cell>
          <cell r="C16">
            <v>36411</v>
          </cell>
          <cell r="D16">
            <v>33143</v>
          </cell>
          <cell r="E16">
            <v>29820</v>
          </cell>
          <cell r="F16">
            <v>28670</v>
          </cell>
          <cell r="G16">
            <v>33569</v>
          </cell>
          <cell r="H16">
            <v>33519</v>
          </cell>
          <cell r="I16">
            <v>35531</v>
          </cell>
          <cell r="J16">
            <v>37485</v>
          </cell>
          <cell r="K16">
            <v>36086</v>
          </cell>
          <cell r="L16">
            <v>33408</v>
          </cell>
          <cell r="M16">
            <v>34246.195508631288</v>
          </cell>
          <cell r="N16">
            <v>34940.576754465306</v>
          </cell>
          <cell r="O16">
            <v>35493.368561502051</v>
          </cell>
          <cell r="P16">
            <v>35906.751257261509</v>
          </cell>
          <cell r="Q16">
            <v>36182.861562713282</v>
          </cell>
          <cell r="R16">
            <v>36323.793464407594</v>
          </cell>
          <cell r="S16">
            <v>36578.61050874459</v>
          </cell>
          <cell r="T16">
            <v>36702.312320826131</v>
          </cell>
          <cell r="U16">
            <v>36762.01586963595</v>
          </cell>
          <cell r="V16">
            <v>36694.506456100877</v>
          </cell>
        </row>
        <row r="17">
          <cell r="E17" t="str">
            <v xml:space="preserve"> </v>
          </cell>
          <cell r="F17" t="str">
            <v xml:space="preserve"> </v>
          </cell>
        </row>
        <row r="18">
          <cell r="A18" t="str">
            <v>Current Assets</v>
          </cell>
        </row>
        <row r="19">
          <cell r="A19" t="str">
            <v>Inventories</v>
          </cell>
          <cell r="B19">
            <v>5754</v>
          </cell>
          <cell r="C19">
            <v>5780</v>
          </cell>
          <cell r="D19">
            <v>5724</v>
          </cell>
          <cell r="E19">
            <v>5025</v>
          </cell>
          <cell r="F19">
            <v>4574</v>
          </cell>
          <cell r="G19">
            <v>5041</v>
          </cell>
          <cell r="H19">
            <v>5592</v>
          </cell>
          <cell r="I19">
            <v>6113</v>
          </cell>
          <cell r="J19">
            <v>5830</v>
          </cell>
          <cell r="K19">
            <v>5648</v>
          </cell>
          <cell r="L19">
            <v>4972</v>
          </cell>
          <cell r="M19">
            <v>4676.5448144517113</v>
          </cell>
          <cell r="N19">
            <v>4728.9758244397053</v>
          </cell>
          <cell r="O19">
            <v>5039.0404340823252</v>
          </cell>
          <cell r="P19">
            <v>5148.3675208463037</v>
          </cell>
          <cell r="Q19">
            <v>5371.2781485975929</v>
          </cell>
          <cell r="R19">
            <v>5395.0918959278242</v>
          </cell>
          <cell r="S19">
            <v>5537.9761742051624</v>
          </cell>
          <cell r="T19">
            <v>5718.05339653179</v>
          </cell>
          <cell r="U19">
            <v>5418.8483433061583</v>
          </cell>
          <cell r="V19">
            <v>5537.474782421923</v>
          </cell>
          <cell r="W19" t="str">
            <v>Linked to schedule below</v>
          </cell>
          <cell r="Y19" t="str">
            <v>mstag:inventories</v>
          </cell>
          <cell r="Z19">
            <v>6</v>
          </cell>
          <cell r="AA19" t="str">
            <v>ISO4217:CHF</v>
          </cell>
          <cell r="AB19" t="b">
            <v>0</v>
          </cell>
          <cell r="AC19" t="b">
            <v>0</v>
          </cell>
        </row>
        <row r="20">
          <cell r="A20" t="str">
            <v>Trade Receivables</v>
          </cell>
          <cell r="B20">
            <v>5519</v>
          </cell>
          <cell r="C20">
            <v>5779</v>
          </cell>
          <cell r="D20">
            <v>6517</v>
          </cell>
          <cell r="E20">
            <v>6774</v>
          </cell>
          <cell r="F20">
            <v>6781</v>
          </cell>
          <cell r="G20">
            <v>7698</v>
          </cell>
          <cell r="H20">
            <v>8960</v>
          </cell>
          <cell r="I20">
            <v>9804</v>
          </cell>
          <cell r="J20">
            <v>9755</v>
          </cell>
          <cell r="K20">
            <v>10461</v>
          </cell>
          <cell r="L20">
            <v>9403</v>
          </cell>
          <cell r="M20">
            <v>9011.2051544717979</v>
          </cell>
          <cell r="N20">
            <v>9343.5405469697107</v>
          </cell>
          <cell r="O20">
            <v>9904.3221710771813</v>
          </cell>
          <cell r="P20">
            <v>10121.025657098056</v>
          </cell>
          <cell r="Q20">
            <v>10403.990836480441</v>
          </cell>
          <cell r="R20">
            <v>10508.229477421261</v>
          </cell>
          <cell r="S20">
            <v>10642.454219450075</v>
          </cell>
          <cell r="T20">
            <v>10872.351806943872</v>
          </cell>
          <cell r="U20">
            <v>10742.558411619983</v>
          </cell>
          <cell r="V20">
            <v>10784.522096231258</v>
          </cell>
          <cell r="W20" t="str">
            <v>Linked to schedule below</v>
          </cell>
          <cell r="Y20" t="str">
            <v>mstag:tradeReceivables</v>
          </cell>
          <cell r="Z20">
            <v>6</v>
          </cell>
          <cell r="AA20" t="str">
            <v>ISO4217:CHF</v>
          </cell>
          <cell r="AB20" t="b">
            <v>0</v>
          </cell>
          <cell r="AC20" t="b">
            <v>0</v>
          </cell>
        </row>
        <row r="21">
          <cell r="A21" t="str">
            <v>Other Receivables</v>
          </cell>
          <cell r="B21">
            <v>913</v>
          </cell>
          <cell r="C21">
            <v>1095</v>
          </cell>
          <cell r="D21">
            <v>772</v>
          </cell>
          <cell r="E21">
            <v>788</v>
          </cell>
          <cell r="F21">
            <v>797</v>
          </cell>
          <cell r="G21">
            <v>1131</v>
          </cell>
          <cell r="H21">
            <v>1295</v>
          </cell>
          <cell r="I21">
            <v>1101</v>
          </cell>
          <cell r="J21">
            <v>1121</v>
          </cell>
          <cell r="K21">
            <v>1205</v>
          </cell>
          <cell r="L21">
            <v>1071</v>
          </cell>
          <cell r="M21">
            <v>951.31409728724145</v>
          </cell>
          <cell r="N21">
            <v>986.39878779102628</v>
          </cell>
          <cell r="O21">
            <v>1045.6005766048493</v>
          </cell>
          <cell r="P21">
            <v>1068.4779917395656</v>
          </cell>
          <cell r="Q21">
            <v>1098.3506624393658</v>
          </cell>
          <cell r="R21">
            <v>1109.3551492875931</v>
          </cell>
          <cell r="S21">
            <v>1123.5252727181298</v>
          </cell>
          <cell r="T21">
            <v>1147.7955908571685</v>
          </cell>
          <cell r="U21">
            <v>1134.0932852732012</v>
          </cell>
          <cell r="V21">
            <v>1138.523396902056</v>
          </cell>
          <cell r="W21" t="str">
            <v>Linked to schedule below</v>
          </cell>
          <cell r="Y21" t="str">
            <v>mstag:otherReceivables</v>
          </cell>
          <cell r="Z21">
            <v>6</v>
          </cell>
          <cell r="AA21" t="str">
            <v>ISO4217:CHF</v>
          </cell>
          <cell r="AB21" t="b">
            <v>0</v>
          </cell>
          <cell r="AC21" t="b">
            <v>0</v>
          </cell>
        </row>
        <row r="22">
          <cell r="A22" t="str">
            <v>Other current assets</v>
          </cell>
          <cell r="B22">
            <v>1468</v>
          </cell>
          <cell r="C22">
            <v>1429</v>
          </cell>
          <cell r="D22">
            <v>986</v>
          </cell>
          <cell r="E22">
            <v>746</v>
          </cell>
          <cell r="F22">
            <v>1210</v>
          </cell>
          <cell r="G22">
            <v>572</v>
          </cell>
          <cell r="H22">
            <v>459</v>
          </cell>
          <cell r="I22">
            <v>1351</v>
          </cell>
          <cell r="J22">
            <v>859</v>
          </cell>
          <cell r="K22">
            <v>2372</v>
          </cell>
          <cell r="L22">
            <v>1097</v>
          </cell>
          <cell r="M22">
            <v>1097</v>
          </cell>
          <cell r="N22">
            <v>1097</v>
          </cell>
          <cell r="O22">
            <v>1097</v>
          </cell>
          <cell r="P22">
            <v>1097</v>
          </cell>
          <cell r="Q22">
            <v>1097</v>
          </cell>
          <cell r="R22">
            <v>1097</v>
          </cell>
          <cell r="S22">
            <v>1097</v>
          </cell>
          <cell r="T22">
            <v>1097</v>
          </cell>
          <cell r="U22">
            <v>1097</v>
          </cell>
          <cell r="V22">
            <v>1097</v>
          </cell>
          <cell r="W22" t="str">
            <v>Flat</v>
          </cell>
          <cell r="Y22" t="str">
            <v>mstag:otherAssetsNonOperatingCurrent</v>
          </cell>
          <cell r="Z22">
            <v>6</v>
          </cell>
          <cell r="AA22" t="str">
            <v>ISO4217:CHF</v>
          </cell>
          <cell r="AB22" t="b">
            <v>0</v>
          </cell>
          <cell r="AC22" t="b">
            <v>0</v>
          </cell>
        </row>
        <row r="23">
          <cell r="A23" t="str">
            <v>Current income tax assets</v>
          </cell>
          <cell r="B23">
            <v>435</v>
          </cell>
          <cell r="C23">
            <v>244</v>
          </cell>
          <cell r="D23">
            <v>1028</v>
          </cell>
          <cell r="E23">
            <v>238</v>
          </cell>
          <cell r="F23">
            <v>159</v>
          </cell>
          <cell r="G23">
            <v>299</v>
          </cell>
          <cell r="H23">
            <v>258</v>
          </cell>
          <cell r="I23">
            <v>263</v>
          </cell>
          <cell r="J23">
            <v>268</v>
          </cell>
          <cell r="K23">
            <v>244</v>
          </cell>
          <cell r="L23">
            <v>168</v>
          </cell>
          <cell r="M23">
            <v>168</v>
          </cell>
          <cell r="N23">
            <v>168</v>
          </cell>
          <cell r="O23">
            <v>168</v>
          </cell>
          <cell r="P23">
            <v>168</v>
          </cell>
          <cell r="Q23">
            <v>168</v>
          </cell>
          <cell r="R23">
            <v>168</v>
          </cell>
          <cell r="S23">
            <v>168</v>
          </cell>
          <cell r="T23">
            <v>168</v>
          </cell>
          <cell r="U23">
            <v>168</v>
          </cell>
          <cell r="V23">
            <v>168</v>
          </cell>
          <cell r="W23" t="str">
            <v>Flat post 03</v>
          </cell>
          <cell r="Y23" t="str">
            <v>mstag:deferredTaxAssetsCurrent</v>
          </cell>
          <cell r="Z23">
            <v>6</v>
          </cell>
          <cell r="AA23" t="str">
            <v>ISO4217:CHF</v>
          </cell>
          <cell r="AB23" t="b">
            <v>0</v>
          </cell>
          <cell r="AC23" t="b">
            <v>0</v>
          </cell>
        </row>
        <row r="24">
          <cell r="A24" t="str">
            <v>Receivable from Bayer collected 010105</v>
          </cell>
          <cell r="F24">
            <v>2886</v>
          </cell>
          <cell r="Y24" t="str">
            <v>mstag:otherReceivables</v>
          </cell>
          <cell r="Z24">
            <v>6</v>
          </cell>
          <cell r="AA24" t="str">
            <v>ISO4217:CHF</v>
          </cell>
          <cell r="AB24" t="b">
            <v>0</v>
          </cell>
          <cell r="AC24" t="b">
            <v>0</v>
          </cell>
        </row>
        <row r="25">
          <cell r="A25" t="str">
            <v>Marketable securities</v>
          </cell>
          <cell r="B25">
            <v>18086</v>
          </cell>
          <cell r="C25">
            <v>21412</v>
          </cell>
          <cell r="D25">
            <v>12395</v>
          </cell>
          <cell r="E25">
            <v>10819</v>
          </cell>
          <cell r="F25">
            <v>10394</v>
          </cell>
          <cell r="G25">
            <v>16657</v>
          </cell>
          <cell r="H25">
            <v>21121</v>
          </cell>
          <cell r="I25">
            <v>20447</v>
          </cell>
          <cell r="J25">
            <v>15856</v>
          </cell>
          <cell r="K25">
            <v>16107</v>
          </cell>
          <cell r="L25">
            <v>9060</v>
          </cell>
          <cell r="M25">
            <v>9060</v>
          </cell>
          <cell r="N25">
            <v>9060</v>
          </cell>
          <cell r="O25">
            <v>9060</v>
          </cell>
          <cell r="P25">
            <v>9060</v>
          </cell>
          <cell r="Q25">
            <v>9060</v>
          </cell>
          <cell r="R25">
            <v>9060</v>
          </cell>
          <cell r="S25">
            <v>9060</v>
          </cell>
          <cell r="T25">
            <v>9060</v>
          </cell>
          <cell r="U25">
            <v>9060</v>
          </cell>
          <cell r="V25">
            <v>9060</v>
          </cell>
          <cell r="W25" t="str">
            <v>Linked to Financing Sheet</v>
          </cell>
          <cell r="Y25" t="str">
            <v>mstag:shortTermInvestments</v>
          </cell>
          <cell r="Z25">
            <v>6</v>
          </cell>
          <cell r="AA25" t="str">
            <v>ISO4217:CHF</v>
          </cell>
          <cell r="AB25" t="b">
            <v>0</v>
          </cell>
          <cell r="AC25" t="b">
            <v>0</v>
          </cell>
        </row>
        <row r="26">
          <cell r="A26" t="str">
            <v>Cash and cash equivalents</v>
          </cell>
          <cell r="B26">
            <v>2562</v>
          </cell>
          <cell r="C26">
            <v>3136</v>
          </cell>
          <cell r="D26">
            <v>3430</v>
          </cell>
          <cell r="E26">
            <v>5276</v>
          </cell>
          <cell r="F26">
            <v>2605</v>
          </cell>
          <cell r="G26">
            <v>4228</v>
          </cell>
          <cell r="H26">
            <v>3210</v>
          </cell>
          <cell r="I26">
            <v>3755</v>
          </cell>
          <cell r="J26">
            <v>4915</v>
          </cell>
          <cell r="K26">
            <v>2442</v>
          </cell>
          <cell r="L26">
            <v>1841</v>
          </cell>
          <cell r="M26">
            <v>1462.8922925676202</v>
          </cell>
          <cell r="N26">
            <v>1546.5490105158497</v>
          </cell>
          <cell r="O26">
            <v>2109.2607127637516</v>
          </cell>
          <cell r="P26">
            <v>1550.430489641406</v>
          </cell>
          <cell r="Q26">
            <v>1495.3512034970877</v>
          </cell>
          <cell r="R26">
            <v>5627.8679175972829</v>
          </cell>
          <cell r="S26">
            <v>11480.276868330346</v>
          </cell>
          <cell r="T26">
            <v>17549.203653234512</v>
          </cell>
          <cell r="U26">
            <v>24046.176974260728</v>
          </cell>
          <cell r="V26">
            <v>30215.04061799846</v>
          </cell>
          <cell r="W26" t="str">
            <v>Linked to Financing Sheet</v>
          </cell>
          <cell r="Y26" t="str">
            <v>mstag:cashAndCashEquivalents</v>
          </cell>
          <cell r="Z26">
            <v>6</v>
          </cell>
          <cell r="AA26" t="str">
            <v>ISO4217:CHF</v>
          </cell>
          <cell r="AB26" t="b">
            <v>0</v>
          </cell>
          <cell r="AC26" t="b">
            <v>0</v>
          </cell>
        </row>
        <row r="27">
          <cell r="A27" t="str">
            <v>Total Current Assets</v>
          </cell>
          <cell r="B27">
            <v>34737</v>
          </cell>
          <cell r="C27">
            <v>38875</v>
          </cell>
          <cell r="D27">
            <v>30852</v>
          </cell>
          <cell r="E27">
            <v>29666</v>
          </cell>
          <cell r="F27">
            <v>29406</v>
          </cell>
          <cell r="G27">
            <v>35626</v>
          </cell>
          <cell r="H27">
            <v>40895</v>
          </cell>
          <cell r="I27">
            <v>42834</v>
          </cell>
          <cell r="J27">
            <v>38604</v>
          </cell>
          <cell r="K27">
            <v>38479</v>
          </cell>
          <cell r="L27">
            <v>27612</v>
          </cell>
          <cell r="M27">
            <v>26426.956358778367</v>
          </cell>
          <cell r="N27">
            <v>26930.464169716292</v>
          </cell>
          <cell r="O27">
            <v>28423.223894528106</v>
          </cell>
          <cell r="P27">
            <v>28213.301659325331</v>
          </cell>
          <cell r="Q27">
            <v>28693.970851014488</v>
          </cell>
          <cell r="R27">
            <v>32965.544440233964</v>
          </cell>
          <cell r="S27">
            <v>39109.232534703711</v>
          </cell>
          <cell r="T27">
            <v>45612.404447567344</v>
          </cell>
          <cell r="U27">
            <v>51666.677014460074</v>
          </cell>
          <cell r="V27">
            <v>58000.560893553702</v>
          </cell>
        </row>
        <row r="29">
          <cell r="A29" t="str">
            <v>Total Assets</v>
          </cell>
          <cell r="B29">
            <v>69535</v>
          </cell>
          <cell r="C29">
            <v>75286</v>
          </cell>
          <cell r="D29">
            <v>63995</v>
          </cell>
          <cell r="E29">
            <v>59486</v>
          </cell>
          <cell r="F29">
            <v>58076</v>
          </cell>
          <cell r="G29">
            <v>69195</v>
          </cell>
          <cell r="H29">
            <v>74414</v>
          </cell>
          <cell r="I29">
            <v>78365</v>
          </cell>
          <cell r="J29">
            <v>76089</v>
          </cell>
          <cell r="K29">
            <v>74565</v>
          </cell>
          <cell r="L29">
            <v>61020</v>
          </cell>
          <cell r="M29">
            <v>60673.151867409659</v>
          </cell>
          <cell r="N29">
            <v>61871.040924181594</v>
          </cell>
          <cell r="O29">
            <v>63916.592456030157</v>
          </cell>
          <cell r="P29">
            <v>64120.052916586836</v>
          </cell>
          <cell r="Q29">
            <v>64876.832413727767</v>
          </cell>
          <cell r="R29">
            <v>69289.33790464155</v>
          </cell>
          <cell r="S29">
            <v>75687.843043448302</v>
          </cell>
          <cell r="T29">
            <v>82314.716768393468</v>
          </cell>
          <cell r="U29">
            <v>88428.692884096032</v>
          </cell>
          <cell r="V29">
            <v>94695.067349654579</v>
          </cell>
        </row>
        <row r="30">
          <cell r="E30" t="str">
            <v xml:space="preserve"> </v>
          </cell>
        </row>
        <row r="31">
          <cell r="A31" t="str">
            <v>Non-Current Liabilities</v>
          </cell>
          <cell r="E31" t="str">
            <v xml:space="preserve"> </v>
          </cell>
        </row>
        <row r="32">
          <cell r="A32" t="str">
            <v>Long-term debt</v>
          </cell>
          <cell r="B32">
            <v>16167</v>
          </cell>
          <cell r="C32">
            <v>17109</v>
          </cell>
          <cell r="D32">
            <v>14167</v>
          </cell>
          <cell r="E32">
            <v>10246</v>
          </cell>
          <cell r="F32">
            <v>6947</v>
          </cell>
          <cell r="G32">
            <v>9322</v>
          </cell>
          <cell r="H32">
            <v>6199</v>
          </cell>
          <cell r="I32">
            <v>3834</v>
          </cell>
          <cell r="J32">
            <v>2972</v>
          </cell>
          <cell r="K32">
            <v>36143</v>
          </cell>
          <cell r="L32">
            <v>27857</v>
          </cell>
          <cell r="M32">
            <v>23868.823529411762</v>
          </cell>
          <cell r="N32">
            <v>18086.529411764699</v>
          </cell>
          <cell r="O32">
            <v>14121.618964003508</v>
          </cell>
          <cell r="P32">
            <v>8073.3751829089815</v>
          </cell>
          <cell r="Q32">
            <v>2232.2575358501563</v>
          </cell>
          <cell r="R32">
            <v>185.25753585015627</v>
          </cell>
          <cell r="S32">
            <v>138.25753585015627</v>
          </cell>
          <cell r="T32">
            <v>91.257535850156273</v>
          </cell>
          <cell r="U32">
            <v>44.257535850156273</v>
          </cell>
          <cell r="V32">
            <v>0.25753585015627323</v>
          </cell>
          <cell r="W32" t="str">
            <v>Linked to Financing Sheet</v>
          </cell>
          <cell r="Y32" t="str">
            <v>mstag:longTermDebt</v>
          </cell>
          <cell r="Z32">
            <v>6</v>
          </cell>
          <cell r="AA32" t="str">
            <v>ISO4217:CHF</v>
          </cell>
          <cell r="AB32" t="b">
            <v>0</v>
          </cell>
          <cell r="AC32" t="b">
            <v>0</v>
          </cell>
        </row>
        <row r="33">
          <cell r="A33" t="str">
            <v>Deferred income tax liabilities</v>
          </cell>
          <cell r="B33">
            <v>2535</v>
          </cell>
          <cell r="C33">
            <v>4162</v>
          </cell>
          <cell r="D33">
            <v>3551</v>
          </cell>
          <cell r="E33">
            <v>3133</v>
          </cell>
          <cell r="F33">
            <v>3564</v>
          </cell>
          <cell r="G33">
            <v>3462</v>
          </cell>
          <cell r="H33">
            <v>2310</v>
          </cell>
          <cell r="I33">
            <v>1527</v>
          </cell>
          <cell r="J33">
            <v>1409</v>
          </cell>
          <cell r="K33">
            <v>1099</v>
          </cell>
          <cell r="L33">
            <v>885</v>
          </cell>
          <cell r="M33">
            <v>885</v>
          </cell>
          <cell r="N33">
            <v>885</v>
          </cell>
          <cell r="O33">
            <v>885</v>
          </cell>
          <cell r="P33">
            <v>885</v>
          </cell>
          <cell r="Q33">
            <v>885</v>
          </cell>
          <cell r="R33">
            <v>885</v>
          </cell>
          <cell r="S33">
            <v>885</v>
          </cell>
          <cell r="T33">
            <v>885</v>
          </cell>
          <cell r="U33">
            <v>885</v>
          </cell>
          <cell r="V33">
            <v>885</v>
          </cell>
          <cell r="W33" t="str">
            <v>Linked to CAPEX growth</v>
          </cell>
          <cell r="Y33" t="str">
            <v>mstag:deferredTaxLiabilitiesNonCurrent</v>
          </cell>
          <cell r="Z33">
            <v>6</v>
          </cell>
          <cell r="AA33" t="str">
            <v>ISO4217:CHF</v>
          </cell>
          <cell r="AB33" t="b">
            <v>0</v>
          </cell>
          <cell r="AC33" t="b">
            <v>0</v>
          </cell>
        </row>
        <row r="34">
          <cell r="A34" t="str">
            <v>Liabilities for post-employment benefits</v>
          </cell>
          <cell r="B34">
            <v>2502</v>
          </cell>
          <cell r="C34">
            <v>2610</v>
          </cell>
          <cell r="D34">
            <v>2926</v>
          </cell>
          <cell r="E34">
            <v>2755</v>
          </cell>
          <cell r="F34">
            <v>2744</v>
          </cell>
          <cell r="G34">
            <v>4408</v>
          </cell>
          <cell r="H34">
            <v>4221</v>
          </cell>
          <cell r="I34">
            <v>3696</v>
          </cell>
          <cell r="J34">
            <v>4669</v>
          </cell>
          <cell r="K34">
            <v>4726</v>
          </cell>
          <cell r="L34">
            <v>4367</v>
          </cell>
          <cell r="M34">
            <v>4272</v>
          </cell>
          <cell r="N34">
            <v>4177</v>
          </cell>
          <cell r="O34">
            <v>4082</v>
          </cell>
          <cell r="P34">
            <v>3987</v>
          </cell>
          <cell r="Q34">
            <v>3892</v>
          </cell>
          <cell r="R34">
            <v>3797</v>
          </cell>
          <cell r="S34">
            <v>3702</v>
          </cell>
          <cell r="T34">
            <v>3607</v>
          </cell>
          <cell r="U34">
            <v>3512</v>
          </cell>
          <cell r="V34">
            <v>3417</v>
          </cell>
          <cell r="W34" t="str">
            <v>Flat</v>
          </cell>
          <cell r="Y34" t="str">
            <v>mstag:pensionAndOtherPostRetirementObligations</v>
          </cell>
          <cell r="Z34">
            <v>6</v>
          </cell>
          <cell r="AA34" t="str">
            <v>ISO4217:CHF</v>
          </cell>
          <cell r="AB34" t="b">
            <v>0</v>
          </cell>
          <cell r="AC34" t="b">
            <v>0</v>
          </cell>
        </row>
        <row r="35">
          <cell r="A35" t="str">
            <v>Restructuring Provisions</v>
          </cell>
          <cell r="C35">
            <v>287</v>
          </cell>
          <cell r="D35">
            <v>278</v>
          </cell>
          <cell r="E35">
            <v>256</v>
          </cell>
          <cell r="F35">
            <v>204</v>
          </cell>
          <cell r="G35">
            <v>152</v>
          </cell>
          <cell r="H35">
            <v>95</v>
          </cell>
          <cell r="I35">
            <v>77</v>
          </cell>
          <cell r="J35">
            <v>78</v>
          </cell>
          <cell r="K35">
            <v>111</v>
          </cell>
          <cell r="L35">
            <v>209</v>
          </cell>
          <cell r="M35">
            <v>209</v>
          </cell>
          <cell r="N35">
            <v>209</v>
          </cell>
          <cell r="O35">
            <v>209</v>
          </cell>
          <cell r="P35">
            <v>209</v>
          </cell>
          <cell r="Q35">
            <v>209</v>
          </cell>
          <cell r="R35">
            <v>209</v>
          </cell>
          <cell r="S35">
            <v>209</v>
          </cell>
          <cell r="T35">
            <v>209</v>
          </cell>
          <cell r="U35">
            <v>209</v>
          </cell>
          <cell r="V35">
            <v>209</v>
          </cell>
          <cell r="Y35" t="str">
            <v>mstag:restructuringProvision</v>
          </cell>
          <cell r="Z35">
            <v>6</v>
          </cell>
          <cell r="AA35" t="str">
            <v>ISO4217:CHF</v>
          </cell>
          <cell r="AB35" t="b">
            <v>0</v>
          </cell>
          <cell r="AC35" t="b">
            <v>0</v>
          </cell>
        </row>
        <row r="36">
          <cell r="A36" t="str">
            <v>Other Provisions</v>
          </cell>
          <cell r="C36">
            <v>1828</v>
          </cell>
          <cell r="D36">
            <v>1424</v>
          </cell>
          <cell r="E36">
            <v>1214</v>
          </cell>
          <cell r="F36">
            <v>479</v>
          </cell>
          <cell r="G36">
            <v>1395</v>
          </cell>
          <cell r="H36">
            <v>1498</v>
          </cell>
          <cell r="I36">
            <v>611</v>
          </cell>
          <cell r="J36">
            <v>576</v>
          </cell>
          <cell r="K36">
            <v>589</v>
          </cell>
          <cell r="L36">
            <v>725</v>
          </cell>
          <cell r="M36">
            <v>725</v>
          </cell>
          <cell r="N36">
            <v>725</v>
          </cell>
          <cell r="O36">
            <v>725</v>
          </cell>
          <cell r="P36">
            <v>725</v>
          </cell>
          <cell r="Q36">
            <v>725</v>
          </cell>
          <cell r="R36">
            <v>725</v>
          </cell>
          <cell r="S36">
            <v>725</v>
          </cell>
          <cell r="T36">
            <v>725</v>
          </cell>
          <cell r="U36">
            <v>725</v>
          </cell>
          <cell r="V36">
            <v>725</v>
          </cell>
          <cell r="Y36" t="str">
            <v>mstag:otherProvisions</v>
          </cell>
          <cell r="Z36">
            <v>6</v>
          </cell>
          <cell r="AA36" t="str">
            <v>ISO4217:CHF</v>
          </cell>
          <cell r="AB36" t="b">
            <v>0</v>
          </cell>
          <cell r="AC36" t="b">
            <v>0</v>
          </cell>
        </row>
        <row r="37">
          <cell r="A37" t="str">
            <v>Provisions</v>
          </cell>
          <cell r="B37">
            <v>2036</v>
          </cell>
          <cell r="C37">
            <v>2115</v>
          </cell>
          <cell r="D37">
            <v>1702</v>
          </cell>
          <cell r="E37">
            <v>1470</v>
          </cell>
          <cell r="F37">
            <v>683</v>
          </cell>
          <cell r="G37">
            <v>1547</v>
          </cell>
          <cell r="H37">
            <v>1593</v>
          </cell>
          <cell r="I37">
            <v>688</v>
          </cell>
          <cell r="J37">
            <v>654</v>
          </cell>
          <cell r="K37">
            <v>700</v>
          </cell>
          <cell r="L37">
            <v>934</v>
          </cell>
          <cell r="M37">
            <v>934</v>
          </cell>
          <cell r="N37">
            <v>934</v>
          </cell>
          <cell r="O37">
            <v>934</v>
          </cell>
          <cell r="P37">
            <v>934</v>
          </cell>
          <cell r="Q37">
            <v>934</v>
          </cell>
          <cell r="R37">
            <v>934</v>
          </cell>
          <cell r="S37">
            <v>934</v>
          </cell>
          <cell r="T37">
            <v>934</v>
          </cell>
          <cell r="U37">
            <v>934</v>
          </cell>
          <cell r="V37">
            <v>934</v>
          </cell>
          <cell r="W37" t="str">
            <v>Linked to Financing Sheet</v>
          </cell>
        </row>
        <row r="38">
          <cell r="A38" t="str">
            <v>Other non-current liabilities</v>
          </cell>
          <cell r="B38">
            <v>402</v>
          </cell>
          <cell r="C38">
            <v>490</v>
          </cell>
          <cell r="D38">
            <v>504</v>
          </cell>
          <cell r="E38">
            <v>1054</v>
          </cell>
          <cell r="F38">
            <v>944</v>
          </cell>
          <cell r="G38">
            <v>806</v>
          </cell>
          <cell r="H38">
            <v>585</v>
          </cell>
          <cell r="I38">
            <v>723</v>
          </cell>
          <cell r="J38">
            <v>459</v>
          </cell>
          <cell r="K38">
            <v>416</v>
          </cell>
          <cell r="L38">
            <v>337</v>
          </cell>
          <cell r="M38">
            <v>337</v>
          </cell>
          <cell r="N38">
            <v>337</v>
          </cell>
          <cell r="O38">
            <v>337</v>
          </cell>
          <cell r="P38">
            <v>337</v>
          </cell>
          <cell r="Q38">
            <v>337</v>
          </cell>
          <cell r="R38">
            <v>337</v>
          </cell>
          <cell r="S38">
            <v>337</v>
          </cell>
          <cell r="T38">
            <v>337</v>
          </cell>
          <cell r="U38">
            <v>337</v>
          </cell>
          <cell r="V38">
            <v>337</v>
          </cell>
          <cell r="W38" t="str">
            <v>Flat</v>
          </cell>
          <cell r="Y38" t="str">
            <v>mstag:otherLiabilitiesNonOperatingNonCurrent</v>
          </cell>
          <cell r="Z38">
            <v>6</v>
          </cell>
          <cell r="AA38" t="str">
            <v>ISO4217:CHF</v>
          </cell>
          <cell r="AB38" t="b">
            <v>0</v>
          </cell>
          <cell r="AC38" t="b">
            <v>0</v>
          </cell>
        </row>
        <row r="39">
          <cell r="A39" t="str">
            <v>Total Long-term liabilitites</v>
          </cell>
          <cell r="B39">
            <v>23642</v>
          </cell>
          <cell r="C39">
            <v>26486</v>
          </cell>
          <cell r="D39">
            <v>22850</v>
          </cell>
          <cell r="E39">
            <v>18658</v>
          </cell>
          <cell r="F39">
            <v>14882</v>
          </cell>
          <cell r="G39">
            <v>19545</v>
          </cell>
          <cell r="H39">
            <v>14908</v>
          </cell>
          <cell r="I39">
            <v>10468</v>
          </cell>
          <cell r="J39">
            <v>10163</v>
          </cell>
          <cell r="K39">
            <v>43084</v>
          </cell>
          <cell r="L39">
            <v>34380</v>
          </cell>
          <cell r="M39">
            <v>30296.823529411762</v>
          </cell>
          <cell r="N39">
            <v>24419.529411764699</v>
          </cell>
          <cell r="O39">
            <v>20359.618964003508</v>
          </cell>
          <cell r="P39">
            <v>14216.375182908982</v>
          </cell>
          <cell r="Q39">
            <v>8280.2575358501563</v>
          </cell>
          <cell r="R39">
            <v>6138.2575358501563</v>
          </cell>
          <cell r="S39">
            <v>5996.2575358501563</v>
          </cell>
          <cell r="T39">
            <v>5854.2575358501563</v>
          </cell>
          <cell r="U39">
            <v>5712.2575358501563</v>
          </cell>
          <cell r="V39">
            <v>5573.2575358501563</v>
          </cell>
        </row>
        <row r="40">
          <cell r="E40" t="str">
            <v xml:space="preserve"> </v>
          </cell>
        </row>
        <row r="41">
          <cell r="A41" t="str">
            <v>Current Liabilities</v>
          </cell>
          <cell r="E41" t="str">
            <v xml:space="preserve"> </v>
          </cell>
        </row>
        <row r="42">
          <cell r="A42" t="str">
            <v>Short-term debt</v>
          </cell>
          <cell r="B42">
            <v>5451</v>
          </cell>
          <cell r="C42">
            <v>6621</v>
          </cell>
          <cell r="D42">
            <v>8183</v>
          </cell>
          <cell r="E42">
            <v>5041</v>
          </cell>
          <cell r="F42">
            <v>2013</v>
          </cell>
          <cell r="G42">
            <v>348</v>
          </cell>
          <cell r="H42">
            <v>2044</v>
          </cell>
          <cell r="I42">
            <v>3032</v>
          </cell>
          <cell r="J42">
            <v>1117</v>
          </cell>
          <cell r="K42">
            <v>6273</v>
          </cell>
          <cell r="L42">
            <v>2201</v>
          </cell>
          <cell r="M42">
            <v>2201</v>
          </cell>
          <cell r="N42">
            <v>2201</v>
          </cell>
          <cell r="O42">
            <v>2201</v>
          </cell>
          <cell r="P42">
            <v>2201</v>
          </cell>
          <cell r="Q42">
            <v>2201</v>
          </cell>
          <cell r="R42">
            <v>2201</v>
          </cell>
          <cell r="S42">
            <v>2201</v>
          </cell>
          <cell r="T42">
            <v>2201</v>
          </cell>
          <cell r="U42">
            <v>2201</v>
          </cell>
          <cell r="V42">
            <v>2201</v>
          </cell>
          <cell r="W42" t="str">
            <v>Linked to Financing Sheet</v>
          </cell>
          <cell r="Y42" t="str">
            <v>mstag:shortTermBorrowings</v>
          </cell>
          <cell r="Z42">
            <v>6</v>
          </cell>
          <cell r="AA42" t="str">
            <v>ISO4217:CHF</v>
          </cell>
          <cell r="AB42" t="b">
            <v>0</v>
          </cell>
          <cell r="AC42" t="b">
            <v>0</v>
          </cell>
        </row>
        <row r="43">
          <cell r="A43" t="str">
            <v>Current income tax liabilities</v>
          </cell>
          <cell r="B43">
            <v>882</v>
          </cell>
          <cell r="C43">
            <v>716</v>
          </cell>
          <cell r="D43">
            <v>849</v>
          </cell>
          <cell r="E43">
            <v>714</v>
          </cell>
          <cell r="F43">
            <v>947</v>
          </cell>
          <cell r="G43">
            <v>811</v>
          </cell>
          <cell r="H43">
            <v>2034</v>
          </cell>
          <cell r="I43">
            <v>2215</v>
          </cell>
          <cell r="J43">
            <v>2193</v>
          </cell>
          <cell r="K43">
            <v>2478</v>
          </cell>
          <cell r="L43">
            <v>2037</v>
          </cell>
          <cell r="M43">
            <v>2037</v>
          </cell>
          <cell r="N43">
            <v>2037</v>
          </cell>
          <cell r="O43">
            <v>2037</v>
          </cell>
          <cell r="P43">
            <v>2037</v>
          </cell>
          <cell r="Q43">
            <v>2037</v>
          </cell>
          <cell r="R43">
            <v>2037</v>
          </cell>
          <cell r="S43">
            <v>2037</v>
          </cell>
          <cell r="T43">
            <v>2037</v>
          </cell>
          <cell r="U43">
            <v>2037</v>
          </cell>
          <cell r="V43">
            <v>2037</v>
          </cell>
          <cell r="W43" t="str">
            <v>Flat</v>
          </cell>
          <cell r="Y43" t="str">
            <v>mstag:deferredTaxLiabilitiesCurrent</v>
          </cell>
          <cell r="Z43">
            <v>6</v>
          </cell>
          <cell r="AA43" t="str">
            <v>ISO4217:CHF</v>
          </cell>
          <cell r="AB43" t="b">
            <v>0</v>
          </cell>
          <cell r="AC43" t="b">
            <v>0</v>
          </cell>
        </row>
        <row r="44">
          <cell r="A44" t="str">
            <v>Restructuring Provisions</v>
          </cell>
          <cell r="C44">
            <v>309</v>
          </cell>
          <cell r="D44">
            <v>245</v>
          </cell>
          <cell r="E44">
            <v>187</v>
          </cell>
          <cell r="F44">
            <v>144</v>
          </cell>
          <cell r="G44">
            <v>126</v>
          </cell>
          <cell r="H44">
            <v>79</v>
          </cell>
          <cell r="I44">
            <v>116</v>
          </cell>
          <cell r="J44">
            <v>186</v>
          </cell>
          <cell r="K44">
            <v>421</v>
          </cell>
          <cell r="L44">
            <v>761</v>
          </cell>
          <cell r="M44">
            <v>761</v>
          </cell>
          <cell r="N44">
            <v>761</v>
          </cell>
          <cell r="O44">
            <v>761</v>
          </cell>
          <cell r="P44">
            <v>761</v>
          </cell>
          <cell r="Q44">
            <v>761</v>
          </cell>
          <cell r="R44">
            <v>761</v>
          </cell>
          <cell r="S44">
            <v>761</v>
          </cell>
          <cell r="T44">
            <v>761</v>
          </cell>
          <cell r="U44">
            <v>761</v>
          </cell>
          <cell r="V44">
            <v>761</v>
          </cell>
          <cell r="W44" t="str">
            <v>Linked to Financing Sheet</v>
          </cell>
          <cell r="Y44" t="str">
            <v>mstag:restructuringProvision</v>
          </cell>
          <cell r="Z44">
            <v>6</v>
          </cell>
          <cell r="AA44" t="str">
            <v>ISO4217:CHF</v>
          </cell>
          <cell r="AB44" t="b">
            <v>0</v>
          </cell>
          <cell r="AC44" t="b">
            <v>0</v>
          </cell>
        </row>
        <row r="45">
          <cell r="A45" t="str">
            <v>Other Provisions</v>
          </cell>
          <cell r="C45">
            <v>1543</v>
          </cell>
          <cell r="D45">
            <v>913</v>
          </cell>
          <cell r="E45">
            <v>355</v>
          </cell>
          <cell r="F45">
            <v>942</v>
          </cell>
          <cell r="G45">
            <v>707</v>
          </cell>
          <cell r="H45">
            <v>677</v>
          </cell>
          <cell r="I45">
            <v>1401</v>
          </cell>
          <cell r="J45">
            <v>618</v>
          </cell>
          <cell r="K45">
            <v>1197</v>
          </cell>
          <cell r="L45">
            <v>1385</v>
          </cell>
          <cell r="M45">
            <v>1385</v>
          </cell>
          <cell r="N45">
            <v>1385</v>
          </cell>
          <cell r="O45">
            <v>1385</v>
          </cell>
          <cell r="P45">
            <v>1385</v>
          </cell>
          <cell r="Q45">
            <v>1385</v>
          </cell>
          <cell r="R45">
            <v>1385</v>
          </cell>
          <cell r="S45">
            <v>1385</v>
          </cell>
          <cell r="T45">
            <v>1385</v>
          </cell>
          <cell r="U45">
            <v>1385</v>
          </cell>
          <cell r="V45">
            <v>1385</v>
          </cell>
          <cell r="W45" t="str">
            <v>Linked to Financing Sheet</v>
          </cell>
          <cell r="Y45" t="str">
            <v>mstag:otherProvisions</v>
          </cell>
          <cell r="Z45">
            <v>6</v>
          </cell>
          <cell r="AA45" t="str">
            <v>ISO4217:CHF</v>
          </cell>
          <cell r="AB45" t="b">
            <v>0</v>
          </cell>
          <cell r="AC45" t="b">
            <v>0</v>
          </cell>
        </row>
        <row r="46">
          <cell r="A46" t="str">
            <v>Provisions (current portion)</v>
          </cell>
          <cell r="B46">
            <v>1959</v>
          </cell>
          <cell r="C46">
            <v>1852</v>
          </cell>
          <cell r="D46">
            <v>1158</v>
          </cell>
          <cell r="E46">
            <v>542</v>
          </cell>
          <cell r="F46">
            <v>1086</v>
          </cell>
          <cell r="G46">
            <v>833</v>
          </cell>
          <cell r="H46">
            <v>756</v>
          </cell>
          <cell r="I46">
            <v>1517</v>
          </cell>
          <cell r="J46">
            <v>804</v>
          </cell>
          <cell r="K46">
            <v>1618</v>
          </cell>
          <cell r="L46">
            <v>2146</v>
          </cell>
          <cell r="M46">
            <v>2146</v>
          </cell>
          <cell r="N46">
            <v>2146</v>
          </cell>
          <cell r="O46">
            <v>2146</v>
          </cell>
          <cell r="P46">
            <v>2146</v>
          </cell>
          <cell r="Q46">
            <v>2146</v>
          </cell>
          <cell r="R46">
            <v>2146</v>
          </cell>
          <cell r="S46">
            <v>2146</v>
          </cell>
          <cell r="T46">
            <v>2146</v>
          </cell>
          <cell r="U46">
            <v>2146</v>
          </cell>
          <cell r="V46">
            <v>2146</v>
          </cell>
          <cell r="W46" t="str">
            <v>Linked to Financing Sheet</v>
          </cell>
        </row>
        <row r="47">
          <cell r="A47" t="str">
            <v>Accounts payable - trade and other</v>
          </cell>
          <cell r="B47">
            <v>2215</v>
          </cell>
          <cell r="C47">
            <v>1710</v>
          </cell>
          <cell r="D47">
            <v>1787</v>
          </cell>
          <cell r="E47">
            <v>1700</v>
          </cell>
          <cell r="F47">
            <v>1844</v>
          </cell>
          <cell r="G47">
            <v>2373</v>
          </cell>
          <cell r="H47">
            <v>2213</v>
          </cell>
          <cell r="I47">
            <v>1861</v>
          </cell>
          <cell r="J47">
            <v>2017</v>
          </cell>
          <cell r="K47">
            <v>2300</v>
          </cell>
          <cell r="L47">
            <v>2068</v>
          </cell>
          <cell r="M47">
            <v>1836.8978087675212</v>
          </cell>
          <cell r="N47">
            <v>1904.6430374900488</v>
          </cell>
          <cell r="O47">
            <v>2018.9561087010534</v>
          </cell>
          <cell r="P47">
            <v>2063.1302398855478</v>
          </cell>
          <cell r="Q47">
            <v>2120.8115498829206</v>
          </cell>
          <cell r="R47">
            <v>2142.0601762154456</v>
          </cell>
          <cell r="S47">
            <v>2169.4213482549885</v>
          </cell>
          <cell r="T47">
            <v>2216.2850437839629</v>
          </cell>
          <cell r="U47">
            <v>2189.8271838888704</v>
          </cell>
          <cell r="V47">
            <v>2198.3813116652213</v>
          </cell>
          <cell r="W47" t="str">
            <v>Linked to schedule below</v>
          </cell>
          <cell r="Y47" t="str">
            <v>mstag:tradeAndOtherPayablesCurrent</v>
          </cell>
          <cell r="Z47">
            <v>6</v>
          </cell>
          <cell r="AA47" t="str">
            <v>ISO4217:CHF</v>
          </cell>
          <cell r="AB47" t="b">
            <v>0</v>
          </cell>
          <cell r="AC47" t="b">
            <v>0</v>
          </cell>
        </row>
        <row r="48">
          <cell r="A48" t="str">
            <v>Accrued and other current liabilities</v>
          </cell>
          <cell r="B48">
            <v>3350</v>
          </cell>
          <cell r="C48">
            <v>4034</v>
          </cell>
          <cell r="D48">
            <v>3395</v>
          </cell>
          <cell r="E48">
            <v>3667</v>
          </cell>
          <cell r="F48">
            <v>4011</v>
          </cell>
          <cell r="G48">
            <v>5127</v>
          </cell>
          <cell r="H48">
            <v>5645</v>
          </cell>
          <cell r="I48">
            <v>5829</v>
          </cell>
          <cell r="J48">
            <v>5973</v>
          </cell>
          <cell r="K48">
            <v>9398</v>
          </cell>
          <cell r="L48">
            <v>6526</v>
          </cell>
          <cell r="M48">
            <v>6023.9135043543938</v>
          </cell>
          <cell r="N48">
            <v>7363.345285002807</v>
          </cell>
          <cell r="O48">
            <v>7513.1850734005247</v>
          </cell>
          <cell r="P48">
            <v>7756.6448644632701</v>
          </cell>
          <cell r="Q48">
            <v>8061.521592011607</v>
          </cell>
          <cell r="R48">
            <v>8165.9603610030017</v>
          </cell>
          <cell r="S48">
            <v>8204.4061582023824</v>
          </cell>
          <cell r="T48">
            <v>8329.9728415927129</v>
          </cell>
          <cell r="U48">
            <v>8156.6338644374109</v>
          </cell>
          <cell r="V48">
            <v>8119.0551202598645</v>
          </cell>
          <cell r="W48" t="str">
            <v>Linked to SG&amp;A growth</v>
          </cell>
          <cell r="Y48" t="str">
            <v>mstag:otherLiabilitiesNonOperatingCurrent</v>
          </cell>
          <cell r="Z48">
            <v>6</v>
          </cell>
          <cell r="AA48" t="str">
            <v>ISO4217:CHF</v>
          </cell>
          <cell r="AB48" t="b">
            <v>0</v>
          </cell>
          <cell r="AC48" t="b">
            <v>0</v>
          </cell>
        </row>
        <row r="49">
          <cell r="A49" t="str">
            <v>Total Current Liabilities</v>
          </cell>
          <cell r="B49">
            <v>13857</v>
          </cell>
          <cell r="C49">
            <v>14933</v>
          </cell>
          <cell r="D49">
            <v>15372</v>
          </cell>
          <cell r="E49">
            <v>11664</v>
          </cell>
          <cell r="F49">
            <v>9901</v>
          </cell>
          <cell r="G49">
            <v>9492</v>
          </cell>
          <cell r="H49">
            <v>12692</v>
          </cell>
          <cell r="I49">
            <v>14454</v>
          </cell>
          <cell r="J49">
            <v>12104</v>
          </cell>
          <cell r="K49">
            <v>22067</v>
          </cell>
          <cell r="L49">
            <v>14978</v>
          </cell>
          <cell r="M49">
            <v>14244.811313121914</v>
          </cell>
          <cell r="N49">
            <v>15651.988322492856</v>
          </cell>
          <cell r="O49">
            <v>15916.141182101579</v>
          </cell>
          <cell r="P49">
            <v>16203.775104348817</v>
          </cell>
          <cell r="Q49">
            <v>16566.333141894527</v>
          </cell>
          <cell r="R49">
            <v>16692.020537218446</v>
          </cell>
          <cell r="S49">
            <v>16757.827506457372</v>
          </cell>
          <cell r="T49">
            <v>16930.257885376675</v>
          </cell>
          <cell r="U49">
            <v>16730.46104832628</v>
          </cell>
          <cell r="V49">
            <v>16701.436431925085</v>
          </cell>
        </row>
        <row r="50">
          <cell r="D50" t="str">
            <v xml:space="preserve"> </v>
          </cell>
          <cell r="E50" t="str">
            <v xml:space="preserve"> </v>
          </cell>
          <cell r="L50">
            <v>49358</v>
          </cell>
          <cell r="M50">
            <v>44541.634842533676</v>
          </cell>
        </row>
        <row r="51">
          <cell r="A51" t="str">
            <v>Equity</v>
          </cell>
          <cell r="E51" t="str">
            <v xml:space="preserve"> </v>
          </cell>
        </row>
        <row r="52">
          <cell r="A52" t="str">
            <v>Share capital</v>
          </cell>
          <cell r="B52">
            <v>160</v>
          </cell>
          <cell r="C52">
            <v>160</v>
          </cell>
          <cell r="D52">
            <v>160</v>
          </cell>
          <cell r="E52">
            <v>160</v>
          </cell>
          <cell r="F52">
            <v>160</v>
          </cell>
          <cell r="G52">
            <v>160</v>
          </cell>
          <cell r="H52">
            <v>160</v>
          </cell>
          <cell r="I52">
            <v>160</v>
          </cell>
          <cell r="J52">
            <v>160</v>
          </cell>
          <cell r="K52">
            <v>160</v>
          </cell>
          <cell r="L52">
            <v>160</v>
          </cell>
          <cell r="M52">
            <v>160</v>
          </cell>
          <cell r="N52">
            <v>160</v>
          </cell>
          <cell r="O52">
            <v>160</v>
          </cell>
          <cell r="P52">
            <v>160</v>
          </cell>
          <cell r="Q52">
            <v>160</v>
          </cell>
          <cell r="R52">
            <v>160</v>
          </cell>
          <cell r="S52">
            <v>160</v>
          </cell>
          <cell r="T52">
            <v>160</v>
          </cell>
          <cell r="U52">
            <v>160</v>
          </cell>
          <cell r="V52">
            <v>160</v>
          </cell>
          <cell r="W52" t="str">
            <v>Flat</v>
          </cell>
          <cell r="Y52" t="str">
            <v>mstag:totalShareCapital</v>
          </cell>
          <cell r="Z52">
            <v>6</v>
          </cell>
          <cell r="AA52" t="str">
            <v>ISO4217:CHF</v>
          </cell>
          <cell r="AB52" t="b">
            <v>0</v>
          </cell>
          <cell r="AC52" t="b">
            <v>0</v>
          </cell>
        </row>
        <row r="53">
          <cell r="A53" t="str">
            <v>Own equity instruments</v>
          </cell>
          <cell r="B53">
            <v>-4166</v>
          </cell>
          <cell r="C53">
            <v>-3460</v>
          </cell>
          <cell r="D53">
            <v>-5853</v>
          </cell>
          <cell r="E53">
            <v>-4583</v>
          </cell>
          <cell r="F53">
            <v>-4326</v>
          </cell>
          <cell r="G53">
            <v>-3485</v>
          </cell>
          <cell r="H53">
            <v>-2102</v>
          </cell>
          <cell r="I53">
            <v>-1017</v>
          </cell>
          <cell r="J53">
            <v>-1115</v>
          </cell>
          <cell r="K53">
            <v>-1038</v>
          </cell>
          <cell r="L53">
            <v>0</v>
          </cell>
          <cell r="M53">
            <v>0</v>
          </cell>
          <cell r="N53">
            <v>0</v>
          </cell>
          <cell r="O53">
            <v>0</v>
          </cell>
          <cell r="P53">
            <v>0</v>
          </cell>
          <cell r="Q53">
            <v>0</v>
          </cell>
          <cell r="R53">
            <v>0</v>
          </cell>
          <cell r="S53">
            <v>0</v>
          </cell>
          <cell r="T53">
            <v>0</v>
          </cell>
          <cell r="U53">
            <v>0</v>
          </cell>
          <cell r="V53">
            <v>0</v>
          </cell>
          <cell r="Y53" t="str">
            <v>mstag:treasuryStockAndInvestmentInOwnShares</v>
          </cell>
          <cell r="Z53">
            <v>6</v>
          </cell>
          <cell r="AA53" t="str">
            <v>ISO4217:CHF</v>
          </cell>
          <cell r="AB53" t="b">
            <v>1</v>
          </cell>
          <cell r="AC53" t="b">
            <v>0</v>
          </cell>
        </row>
        <row r="54">
          <cell r="A54" t="str">
            <v>Retained Earnings and reserves</v>
          </cell>
          <cell r="B54">
            <v>31614</v>
          </cell>
          <cell r="C54">
            <v>34272</v>
          </cell>
          <cell r="D54">
            <v>29145</v>
          </cell>
          <cell r="E54">
            <v>30985</v>
          </cell>
          <cell r="F54">
            <v>36212</v>
          </cell>
          <cell r="G54">
            <v>38624</v>
          </cell>
          <cell r="H54">
            <v>44251</v>
          </cell>
          <cell r="I54">
            <v>50922</v>
          </cell>
          <cell r="J54">
            <v>53196</v>
          </cell>
          <cell r="K54">
            <v>12873</v>
          </cell>
          <cell r="L54">
            <v>14550</v>
          </cell>
          <cell r="M54">
            <v>18353.262918955781</v>
          </cell>
          <cell r="N54">
            <v>23330.272697594432</v>
          </cell>
          <cell r="O54">
            <v>28429.878666740318</v>
          </cell>
          <cell r="P54">
            <v>33728.679010392087</v>
          </cell>
          <cell r="Q54">
            <v>39276.923949310672</v>
          </cell>
          <cell r="R54">
            <v>44910.618790131302</v>
          </cell>
          <cell r="S54">
            <v>50575.769283205977</v>
          </cell>
          <cell r="T54">
            <v>56343.656153600023</v>
          </cell>
          <cell r="U54">
            <v>61969.72022450337</v>
          </cell>
          <cell r="V54">
            <v>67565.038050170537</v>
          </cell>
          <cell r="W54" t="str">
            <v>Add retained earnings</v>
          </cell>
          <cell r="Y54" t="str">
            <v>mstag:retainedEarnings</v>
          </cell>
          <cell r="Z54">
            <v>6</v>
          </cell>
          <cell r="AA54" t="str">
            <v>ISO4217:CHF</v>
          </cell>
          <cell r="AB54" t="b">
            <v>0</v>
          </cell>
          <cell r="AC54" t="b">
            <v>0</v>
          </cell>
        </row>
        <row r="55">
          <cell r="A55" t="str">
            <v>Fair value and other reserves</v>
          </cell>
          <cell r="C55">
            <v>-1999</v>
          </cell>
          <cell r="D55">
            <v>-2642</v>
          </cell>
          <cell r="E55">
            <v>-2992</v>
          </cell>
          <cell r="F55">
            <v>-3823</v>
          </cell>
          <cell r="G55">
            <v>-1965</v>
          </cell>
          <cell r="H55">
            <v>-2865</v>
          </cell>
          <cell r="I55">
            <v>-4582</v>
          </cell>
          <cell r="J55">
            <v>-7762</v>
          </cell>
          <cell r="K55">
            <v>-4629</v>
          </cell>
          <cell r="L55">
            <v>-5241</v>
          </cell>
          <cell r="M55">
            <v>-4912.302916472262</v>
          </cell>
          <cell r="N55">
            <v>-4605.1338618318514</v>
          </cell>
          <cell r="O55">
            <v>-4260.5683490341607</v>
          </cell>
          <cell r="P55">
            <v>-3911.1090129622908</v>
          </cell>
          <cell r="Q55">
            <v>-3553.8732320317608</v>
          </cell>
          <cell r="R55">
            <v>-3198.0433268315342</v>
          </cell>
          <cell r="S55">
            <v>-2842.6240839413672</v>
          </cell>
          <cell r="T55">
            <v>-2483.4446044738725</v>
          </cell>
          <cell r="U55">
            <v>-2138.7885855334571</v>
          </cell>
          <cell r="V55">
            <v>-1800.8776745692712</v>
          </cell>
          <cell r="Y55" t="str">
            <v>mstag:otherAccumulatedOciAndReserves</v>
          </cell>
          <cell r="Z55">
            <v>6</v>
          </cell>
          <cell r="AA55" t="str">
            <v>ISO4217:CHF</v>
          </cell>
          <cell r="AB55" t="b">
            <v>0</v>
          </cell>
          <cell r="AC55" t="b">
            <v>0</v>
          </cell>
        </row>
        <row r="56">
          <cell r="A56" t="str">
            <v>Total Shareholders' Equity</v>
          </cell>
          <cell r="B56">
            <v>27608</v>
          </cell>
          <cell r="C56">
            <v>28973</v>
          </cell>
          <cell r="D56">
            <v>20810</v>
          </cell>
          <cell r="E56">
            <v>23570</v>
          </cell>
          <cell r="F56">
            <v>28223</v>
          </cell>
          <cell r="G56">
            <v>33334</v>
          </cell>
          <cell r="H56">
            <v>39444</v>
          </cell>
          <cell r="I56">
            <v>45483</v>
          </cell>
          <cell r="J56">
            <v>44479</v>
          </cell>
          <cell r="K56">
            <v>7366</v>
          </cell>
          <cell r="L56">
            <v>9469</v>
          </cell>
          <cell r="M56">
            <v>13600.96000248352</v>
          </cell>
          <cell r="N56">
            <v>18885.13883576258</v>
          </cell>
          <cell r="O56">
            <v>24329.310317706157</v>
          </cell>
          <cell r="P56">
            <v>29977.569997429797</v>
          </cell>
          <cell r="Q56">
            <v>35883.050717278915</v>
          </cell>
          <cell r="R56">
            <v>41872.57546329977</v>
          </cell>
          <cell r="S56">
            <v>47893.145199264611</v>
          </cell>
          <cell r="T56">
            <v>54020.21154912615</v>
          </cell>
          <cell r="U56">
            <v>59990.931638969909</v>
          </cell>
          <cell r="V56">
            <v>65924.160375601263</v>
          </cell>
        </row>
        <row r="57">
          <cell r="E57" t="str">
            <v xml:space="preserve"> </v>
          </cell>
        </row>
        <row r="58">
          <cell r="A58" t="str">
            <v>Minority interests</v>
          </cell>
          <cell r="B58">
            <v>4428</v>
          </cell>
          <cell r="C58">
            <v>4894</v>
          </cell>
          <cell r="D58">
            <v>4963</v>
          </cell>
          <cell r="E58">
            <v>5594</v>
          </cell>
          <cell r="F58">
            <v>5070</v>
          </cell>
          <cell r="G58">
            <v>6824</v>
          </cell>
          <cell r="H58">
            <v>7370</v>
          </cell>
          <cell r="I58">
            <v>7960</v>
          </cell>
          <cell r="J58">
            <v>9343</v>
          </cell>
          <cell r="K58">
            <v>2048</v>
          </cell>
          <cell r="L58">
            <v>2193</v>
          </cell>
          <cell r="M58">
            <v>2530.5570223924674</v>
          </cell>
          <cell r="N58">
            <v>2914.3843541614674</v>
          </cell>
          <cell r="O58">
            <v>3311.5219922189176</v>
          </cell>
          <cell r="P58">
            <v>3722.3326318992399</v>
          </cell>
          <cell r="Q58">
            <v>4147.1910187041785</v>
          </cell>
          <cell r="R58">
            <v>4586.4843682731826</v>
          </cell>
          <cell r="S58">
            <v>5040.6128018761692</v>
          </cell>
          <cell r="T58">
            <v>5509.989798040503</v>
          </cell>
          <cell r="U58">
            <v>5995.0426609496881</v>
          </cell>
          <cell r="V58">
            <v>6496.2130062780661</v>
          </cell>
          <cell r="W58" t="str">
            <v>Linked to P&amp;L</v>
          </cell>
          <cell r="Y58" t="str">
            <v>mstag:minorityInterestsInShareholdersEquity</v>
          </cell>
          <cell r="Z58">
            <v>6</v>
          </cell>
          <cell r="AA58" t="str">
            <v>ISO4217:CHF</v>
          </cell>
          <cell r="AB58" t="b">
            <v>0</v>
          </cell>
          <cell r="AC58" t="b">
            <v>0</v>
          </cell>
        </row>
        <row r="59">
          <cell r="A59" t="str">
            <v>Liabilities + Shareholders' Equity</v>
          </cell>
          <cell r="B59">
            <v>69535</v>
          </cell>
          <cell r="C59">
            <v>75286</v>
          </cell>
          <cell r="D59">
            <v>63995</v>
          </cell>
          <cell r="E59">
            <v>59486</v>
          </cell>
          <cell r="F59">
            <v>58076</v>
          </cell>
          <cell r="G59">
            <v>69195</v>
          </cell>
          <cell r="H59">
            <v>74414</v>
          </cell>
          <cell r="I59">
            <v>78365</v>
          </cell>
          <cell r="J59">
            <v>76089</v>
          </cell>
          <cell r="K59">
            <v>74565</v>
          </cell>
          <cell r="L59">
            <v>61020</v>
          </cell>
          <cell r="M59">
            <v>60673.151867409666</v>
          </cell>
          <cell r="N59">
            <v>61871.040924181601</v>
          </cell>
          <cell r="O59">
            <v>63916.592456030165</v>
          </cell>
          <cell r="P59">
            <v>64120.052916586836</v>
          </cell>
          <cell r="Q59">
            <v>64876.832413727781</v>
          </cell>
          <cell r="R59">
            <v>69289.337904641565</v>
          </cell>
          <cell r="S59">
            <v>75687.843043448302</v>
          </cell>
          <cell r="T59">
            <v>82314.716768393497</v>
          </cell>
          <cell r="U59">
            <v>88428.692884096032</v>
          </cell>
          <cell r="V59">
            <v>94695.067349654564</v>
          </cell>
        </row>
        <row r="60">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row>
        <row r="64">
          <cell r="A64" t="str">
            <v>OUTPUTS</v>
          </cell>
        </row>
        <row r="65">
          <cell r="A65" t="str">
            <v>Net Debt (excl pension)</v>
          </cell>
          <cell r="F65" t="str">
            <v xml:space="preserve"> </v>
          </cell>
          <cell r="I65">
            <v>-17336</v>
          </cell>
          <cell r="J65">
            <v>-16682</v>
          </cell>
          <cell r="K65">
            <v>23867</v>
          </cell>
          <cell r="L65">
            <v>19157</v>
          </cell>
          <cell r="M65">
            <v>15546.931236844142</v>
          </cell>
          <cell r="N65">
            <v>9680.9804012488494</v>
          </cell>
          <cell r="O65">
            <v>5153.358251239757</v>
          </cell>
          <cell r="P65">
            <v>-336.05530673242447</v>
          </cell>
          <cell r="Q65">
            <v>-6122.0936676469319</v>
          </cell>
          <cell r="R65">
            <v>-12301.610381747127</v>
          </cell>
          <cell r="S65">
            <v>-18201.019332480188</v>
          </cell>
          <cell r="T65">
            <v>-24316.946117384356</v>
          </cell>
          <cell r="U65">
            <v>-30860.919438410572</v>
          </cell>
          <cell r="V65">
            <v>-37073.783082148308</v>
          </cell>
          <cell r="X65" t="str">
            <v xml:space="preserve"> </v>
          </cell>
        </row>
        <row r="66">
          <cell r="A66" t="str">
            <v>Net Debt (inc pension)</v>
          </cell>
          <cell r="I66">
            <v>-13640</v>
          </cell>
          <cell r="J66">
            <v>-12013</v>
          </cell>
          <cell r="K66">
            <v>28593</v>
          </cell>
          <cell r="L66">
            <v>23524</v>
          </cell>
          <cell r="M66">
            <v>19818.931236844142</v>
          </cell>
          <cell r="N66">
            <v>13857.980401248849</v>
          </cell>
          <cell r="O66">
            <v>9235.358251239757</v>
          </cell>
          <cell r="P66">
            <v>3650.9446932675755</v>
          </cell>
          <cell r="Q66">
            <v>-2230.0936676469319</v>
          </cell>
          <cell r="R66">
            <v>-8504.6103817471267</v>
          </cell>
          <cell r="S66">
            <v>-14499.019332480188</v>
          </cell>
          <cell r="T66">
            <v>-20709.946117384356</v>
          </cell>
          <cell r="U66">
            <v>-27348.919438410572</v>
          </cell>
          <cell r="V66">
            <v>-33656.783082148308</v>
          </cell>
        </row>
        <row r="67">
          <cell r="A67" t="str">
            <v>ROE (%)</v>
          </cell>
        </row>
        <row r="68">
          <cell r="A68" t="str">
            <v>ROCE (%)</v>
          </cell>
        </row>
        <row r="69">
          <cell r="A69" t="str">
            <v>Debt: Equity</v>
          </cell>
        </row>
        <row r="70">
          <cell r="A70" t="str">
            <v>Leverage (Total Assets:Equity)</v>
          </cell>
        </row>
        <row r="71">
          <cell r="A71" t="str">
            <v>Asset turnover</v>
          </cell>
        </row>
        <row r="72">
          <cell r="A72" t="str">
            <v>Working Capital as a % Sales</v>
          </cell>
        </row>
        <row r="73">
          <cell r="A73" t="str">
            <v>Book Value per share</v>
          </cell>
        </row>
        <row r="75">
          <cell r="A75" t="str">
            <v>FIGURES FOR WORKINGS</v>
          </cell>
        </row>
        <row r="76">
          <cell r="A76" t="str">
            <v>Sales</v>
          </cell>
          <cell r="D76">
            <v>26066</v>
          </cell>
          <cell r="E76">
            <v>24228.097999999998</v>
          </cell>
          <cell r="F76">
            <v>26117</v>
          </cell>
          <cell r="G76">
            <v>31887</v>
          </cell>
          <cell r="H76">
            <v>38156</v>
          </cell>
          <cell r="I76">
            <v>46133</v>
          </cell>
          <cell r="J76">
            <v>45617</v>
          </cell>
          <cell r="K76">
            <v>49051</v>
          </cell>
          <cell r="L76">
            <v>47473</v>
          </cell>
          <cell r="M76">
            <v>42167.818992079563</v>
          </cell>
          <cell r="N76">
            <v>43722.97820056339</v>
          </cell>
          <cell r="O76">
            <v>46347.148621066299</v>
          </cell>
          <cell r="P76">
            <v>47361.20980565116</v>
          </cell>
          <cell r="Q76">
            <v>48685.341734812326</v>
          </cell>
          <cell r="R76">
            <v>49173.125118702053</v>
          </cell>
          <cell r="S76">
            <v>49801.228078195869</v>
          </cell>
          <cell r="T76">
            <v>50877.030891468123</v>
          </cell>
          <cell r="U76">
            <v>50269.664362067866</v>
          </cell>
          <cell r="V76">
            <v>50466.032886210371</v>
          </cell>
        </row>
        <row r="77">
          <cell r="A77" t="str">
            <v>Sales Growth</v>
          </cell>
          <cell r="E77">
            <v>-7.0509552673981513E-2</v>
          </cell>
          <cell r="F77">
            <v>7.7963280485327413E-2</v>
          </cell>
          <cell r="G77">
            <v>0.22092889688708506</v>
          </cell>
          <cell r="H77">
            <v>0.19660049549973335</v>
          </cell>
          <cell r="I77">
            <v>0.20906279484222656</v>
          </cell>
          <cell r="J77">
            <v>-1.1185051915114985E-2</v>
          </cell>
          <cell r="K77">
            <v>7.5278953021899797E-2</v>
          </cell>
          <cell r="L77">
            <v>-3.2170597949073398E-2</v>
          </cell>
          <cell r="M77">
            <v>-0.11175154314916769</v>
          </cell>
          <cell r="N77">
            <v>3.6880238192445569E-2</v>
          </cell>
          <cell r="O77">
            <v>6.0018107834866052E-2</v>
          </cell>
          <cell r="P77">
            <v>2.1879688713448475E-2</v>
          </cell>
          <cell r="Q77">
            <v>2.7958152559759419E-2</v>
          </cell>
          <cell r="R77">
            <v>1.001910157161201E-2</v>
          </cell>
          <cell r="S77">
            <v>1.2773297568084097E-2</v>
          </cell>
          <cell r="T77">
            <v>2.1601933421864006E-2</v>
          </cell>
          <cell r="U77">
            <v>-1.1937931887100572E-2</v>
          </cell>
          <cell r="V77">
            <v>3.9063026704964088E-3</v>
          </cell>
        </row>
        <row r="78">
          <cell r="A78" t="str">
            <v>Cost of Goods Sold</v>
          </cell>
          <cell r="D78">
            <v>5984</v>
          </cell>
          <cell r="E78">
            <v>5475.5501479999994</v>
          </cell>
          <cell r="F78">
            <v>7718</v>
          </cell>
          <cell r="G78">
            <v>9270</v>
          </cell>
          <cell r="H78">
            <v>10616</v>
          </cell>
          <cell r="I78">
            <v>13743</v>
          </cell>
          <cell r="J78">
            <v>13661</v>
          </cell>
          <cell r="K78">
            <v>14615</v>
          </cell>
          <cell r="L78">
            <v>13293</v>
          </cell>
          <cell r="M78">
            <v>12503.07928771251</v>
          </cell>
          <cell r="N78">
            <v>12643.257368116854</v>
          </cell>
          <cell r="O78">
            <v>13472.237427646087</v>
          </cell>
          <cell r="P78">
            <v>13764.531266011647</v>
          </cell>
          <cell r="Q78">
            <v>14360.498879587249</v>
          </cell>
          <cell r="R78">
            <v>14424.166647741064</v>
          </cell>
          <cell r="S78">
            <v>14806.178053843367</v>
          </cell>
          <cell r="T78">
            <v>15287.627473873104</v>
          </cell>
          <cell r="U78">
            <v>14487.681220347698</v>
          </cell>
          <cell r="V78">
            <v>14804.837546809056</v>
          </cell>
        </row>
        <row r="79">
          <cell r="A79" t="str">
            <v>Cost of Goods Sold Growth</v>
          </cell>
          <cell r="E79">
            <v>-8.4968223930481424E-2</v>
          </cell>
          <cell r="F79">
            <v>0.40953872969624405</v>
          </cell>
          <cell r="G79">
            <v>0.20108836486136306</v>
          </cell>
          <cell r="H79">
            <v>0.14519956850053939</v>
          </cell>
          <cell r="I79">
            <v>0.29455538809344395</v>
          </cell>
          <cell r="J79">
            <v>-5.9666739430983551E-3</v>
          </cell>
          <cell r="K79">
            <v>6.9833833540736467E-2</v>
          </cell>
          <cell r="L79">
            <v>-9.04550119739993E-2</v>
          </cell>
          <cell r="M79">
            <v>-5.9423810448167469E-2</v>
          </cell>
          <cell r="N79">
            <v>1.1211484561415741E-2</v>
          </cell>
          <cell r="O79">
            <v>6.5566968653166358E-2</v>
          </cell>
          <cell r="P79">
            <v>2.1696012999722791E-2</v>
          </cell>
          <cell r="Q79">
            <v>4.3297341700781811E-2</v>
          </cell>
          <cell r="R79">
            <v>4.4335345650363678E-3</v>
          </cell>
          <cell r="S79">
            <v>2.6484123168538876E-2</v>
          </cell>
          <cell r="T79">
            <v>3.2516792536124051E-2</v>
          </cell>
          <cell r="U79">
            <v>-5.2326383207108584E-2</v>
          </cell>
          <cell r="V79">
            <v>2.1891448440756411E-2</v>
          </cell>
        </row>
        <row r="80">
          <cell r="A80" t="str">
            <v>SG&amp;A</v>
          </cell>
          <cell r="D80">
            <v>9052</v>
          </cell>
          <cell r="E80">
            <v>9248</v>
          </cell>
          <cell r="F80">
            <v>10423</v>
          </cell>
          <cell r="G80">
            <v>11816</v>
          </cell>
          <cell r="H80">
            <v>13398</v>
          </cell>
          <cell r="I80">
            <v>11780</v>
          </cell>
          <cell r="J80">
            <v>11502</v>
          </cell>
          <cell r="K80">
            <v>11650</v>
          </cell>
          <cell r="L80">
            <v>12640</v>
          </cell>
          <cell r="M80">
            <v>9797.4866603118753</v>
          </cell>
          <cell r="N80">
            <v>8940.6661468730636</v>
          </cell>
          <cell r="O80">
            <v>10101.102540047823</v>
          </cell>
          <cell r="P80">
            <v>10347.370262504379</v>
          </cell>
          <cell r="Q80">
            <v>10659.705504227497</v>
          </cell>
          <cell r="R80">
            <v>10803.210859846049</v>
          </cell>
          <cell r="S80">
            <v>10978.674708342814</v>
          </cell>
          <cell r="T80">
            <v>11249.472511568494</v>
          </cell>
          <cell r="U80">
            <v>11179.191482504919</v>
          </cell>
          <cell r="V80">
            <v>11278.123846706845</v>
          </cell>
        </row>
        <row r="81">
          <cell r="A81" t="str">
            <v>SG&amp;A Growth</v>
          </cell>
          <cell r="E81">
            <v>2.1652673442333237E-2</v>
          </cell>
          <cell r="F81">
            <v>0.12705449826989623</v>
          </cell>
          <cell r="G81">
            <v>0.13364674278038957</v>
          </cell>
          <cell r="H81">
            <v>0.13388625592417069</v>
          </cell>
          <cell r="I81">
            <v>-0.12076429317808623</v>
          </cell>
          <cell r="J81">
            <v>-2.3599320882852326E-2</v>
          </cell>
          <cell r="K81">
            <v>1.286732742131802E-2</v>
          </cell>
          <cell r="L81">
            <v>8.4978540772532085E-2</v>
          </cell>
          <cell r="M81">
            <v>-0.22488238446899722</v>
          </cell>
          <cell r="N81">
            <v>-8.74530931396581E-2</v>
          </cell>
          <cell r="O81">
            <v>0.12979305726348067</v>
          </cell>
          <cell r="P81">
            <v>2.4380281407913484E-2</v>
          </cell>
          <cell r="Q81">
            <v>3.0184987470190716E-2</v>
          </cell>
          <cell r="R81">
            <v>1.3462412780694599E-2</v>
          </cell>
          <cell r="S81">
            <v>1.6241823914493692E-2</v>
          </cell>
          <cell r="T81">
            <v>2.466580078375924E-2</v>
          </cell>
          <cell r="U81">
            <v>-6.247495515127599E-3</v>
          </cell>
          <cell r="V81">
            <v>8.8496886699500621E-3</v>
          </cell>
        </row>
        <row r="82">
          <cell r="A82" t="str">
            <v>EBIT</v>
          </cell>
          <cell r="E82">
            <v>3492.5478519999997</v>
          </cell>
          <cell r="F82">
            <v>3361</v>
          </cell>
          <cell r="G82">
            <v>5565</v>
          </cell>
          <cell r="H82">
            <v>7845</v>
          </cell>
          <cell r="I82">
            <v>14468</v>
          </cell>
          <cell r="J82">
            <v>13896</v>
          </cell>
          <cell r="K82">
            <v>15012</v>
          </cell>
          <cell r="L82">
            <v>13208</v>
          </cell>
          <cell r="M82">
            <v>13585.420944501593</v>
          </cell>
          <cell r="N82">
            <v>16509.785378425477</v>
          </cell>
          <cell r="O82">
            <v>16690.176879610844</v>
          </cell>
          <cell r="P82">
            <v>16966.831112821154</v>
          </cell>
          <cell r="Q82">
            <v>17361.543225930662</v>
          </cell>
          <cell r="R82">
            <v>17224.251782935422</v>
          </cell>
          <cell r="S82">
            <v>17312.715052108808</v>
          </cell>
          <cell r="T82">
            <v>17569.865374370162</v>
          </cell>
          <cell r="U82">
            <v>17131.224961137948</v>
          </cell>
          <cell r="V82">
            <v>17002.296103597397</v>
          </cell>
        </row>
        <row r="83">
          <cell r="A83" t="str">
            <v>EBIT Growth</v>
          </cell>
          <cell r="F83">
            <v>-3.7665296962121508E-2</v>
          </cell>
          <cell r="G83">
            <v>0.65575721511454921</v>
          </cell>
          <cell r="H83">
            <v>0.40970350404312672</v>
          </cell>
          <cell r="I83">
            <v>0.84423199490121092</v>
          </cell>
          <cell r="J83">
            <v>-3.9535526679568722E-2</v>
          </cell>
          <cell r="K83">
            <v>8.0310880829015607E-2</v>
          </cell>
          <cell r="L83">
            <v>-0.12017053024247271</v>
          </cell>
          <cell r="M83">
            <v>2.8575177506177551E-2</v>
          </cell>
          <cell r="N83">
            <v>0.21525755041896266</v>
          </cell>
          <cell r="O83">
            <v>1.0926338353319798E-2</v>
          </cell>
          <cell r="P83">
            <v>1.6575871855994295E-2</v>
          </cell>
          <cell r="Q83">
            <v>2.3263749752965968E-2</v>
          </cell>
          <cell r="R83">
            <v>-7.9077902930994037E-3</v>
          </cell>
          <cell r="S83">
            <v>5.1359716687970902E-3</v>
          </cell>
          <cell r="T83">
            <v>1.4853263713251685E-2</v>
          </cell>
          <cell r="U83">
            <v>-2.496549654114455E-2</v>
          </cell>
          <cell r="V83">
            <v>-7.5259567154728479E-3</v>
          </cell>
        </row>
        <row r="84">
          <cell r="A84" t="str">
            <v>Net Income</v>
          </cell>
          <cell r="E84">
            <v>771.54785199999969</v>
          </cell>
          <cell r="F84">
            <v>3179</v>
          </cell>
          <cell r="G84">
            <v>2311</v>
          </cell>
          <cell r="H84">
            <v>3975</v>
          </cell>
          <cell r="I84">
            <v>9761</v>
          </cell>
          <cell r="J84">
            <v>8969</v>
          </cell>
          <cell r="K84">
            <v>7784</v>
          </cell>
          <cell r="L84">
            <v>8388</v>
          </cell>
          <cell r="M84">
            <v>8994.1764233101749</v>
          </cell>
          <cell r="N84">
            <v>11507.355063641457</v>
          </cell>
          <cell r="O84">
            <v>11779.791042546411</v>
          </cell>
          <cell r="P84">
            <v>12222.445208115038</v>
          </cell>
          <cell r="Q84">
            <v>12776.766530930194</v>
          </cell>
          <cell r="R84">
            <v>12966.655201823634</v>
          </cell>
          <cell r="S84">
            <v>13036.556651277057</v>
          </cell>
          <cell r="T84">
            <v>13264.859711986759</v>
          </cell>
          <cell r="U84">
            <v>12949.697935340757</v>
          </cell>
          <cell r="V84">
            <v>12881.372945927038</v>
          </cell>
        </row>
        <row r="85">
          <cell r="A85" t="str">
            <v>Dividends</v>
          </cell>
          <cell r="E85">
            <v>-1417.35</v>
          </cell>
          <cell r="F85">
            <v>-1725</v>
          </cell>
          <cell r="G85">
            <v>-2156</v>
          </cell>
          <cell r="H85">
            <v>-2933</v>
          </cell>
          <cell r="I85">
            <v>-3968</v>
          </cell>
          <cell r="J85">
            <v>-4313</v>
          </cell>
          <cell r="K85">
            <v>-5175</v>
          </cell>
          <cell r="L85">
            <v>-5693</v>
          </cell>
          <cell r="M85">
            <v>-5190.9135043543947</v>
          </cell>
          <cell r="N85">
            <v>-6530.345285002807</v>
          </cell>
          <cell r="O85">
            <v>-6680.1850734005247</v>
          </cell>
          <cell r="P85">
            <v>-6923.6448644632701</v>
          </cell>
          <cell r="Q85">
            <v>-7228.521592011607</v>
          </cell>
          <cell r="R85">
            <v>-7332.9603610030017</v>
          </cell>
          <cell r="S85">
            <v>-7371.4061582023833</v>
          </cell>
          <cell r="T85">
            <v>-7496.9728415927138</v>
          </cell>
          <cell r="U85">
            <v>-7323.6338644374127</v>
          </cell>
          <cell r="V85">
            <v>-7286.0551202598672</v>
          </cell>
        </row>
        <row r="86">
          <cell r="A86" t="str">
            <v>Share Repurchases</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row>
        <row r="87">
          <cell r="A87" t="str">
            <v>Retained Earnings</v>
          </cell>
          <cell r="E87">
            <v>-645.80214800000022</v>
          </cell>
          <cell r="F87">
            <v>643</v>
          </cell>
          <cell r="G87">
            <v>155</v>
          </cell>
          <cell r="H87">
            <v>1042</v>
          </cell>
          <cell r="I87">
            <v>5793</v>
          </cell>
          <cell r="J87">
            <v>4656</v>
          </cell>
          <cell r="K87">
            <v>2609</v>
          </cell>
          <cell r="L87">
            <v>2695</v>
          </cell>
          <cell r="M87">
            <v>3803.2629189557802</v>
          </cell>
          <cell r="N87">
            <v>4977.0097786386495</v>
          </cell>
          <cell r="O87">
            <v>5099.6059691458859</v>
          </cell>
          <cell r="P87">
            <v>5298.8003436517674</v>
          </cell>
          <cell r="Q87">
            <v>5548.2449389185867</v>
          </cell>
          <cell r="R87">
            <v>5633.6948408206326</v>
          </cell>
          <cell r="S87">
            <v>5665.1504930746732</v>
          </cell>
          <cell r="T87">
            <v>5767.8868703940452</v>
          </cell>
          <cell r="U87">
            <v>5626.0640709033441</v>
          </cell>
          <cell r="V87">
            <v>5595.3178256671708</v>
          </cell>
        </row>
        <row r="88">
          <cell r="A88" t="str">
            <v>Growth in Capex on Tangibles</v>
          </cell>
          <cell r="C88">
            <v>-0.11543747136967475</v>
          </cell>
          <cell r="D88">
            <v>5.851890212325217E-2</v>
          </cell>
          <cell r="E88">
            <v>0.10812133072407049</v>
          </cell>
          <cell r="F88">
            <v>4.0618101545253804E-2</v>
          </cell>
          <cell r="G88">
            <v>0.45439117522274075</v>
          </cell>
          <cell r="H88">
            <v>0.13127187864644108</v>
          </cell>
          <cell r="I88">
            <v>-5.0799381124290832E-2</v>
          </cell>
          <cell r="J88">
            <v>-0.13420266232002176</v>
          </cell>
          <cell r="K88">
            <v>-0.10982114841543766</v>
          </cell>
          <cell r="L88">
            <v>-6.1332393373281668E-2</v>
          </cell>
          <cell r="M88">
            <v>0</v>
          </cell>
          <cell r="N88">
            <v>0</v>
          </cell>
          <cell r="O88">
            <v>0</v>
          </cell>
          <cell r="P88">
            <v>0</v>
          </cell>
          <cell r="Q88">
            <v>0</v>
          </cell>
          <cell r="R88">
            <v>0</v>
          </cell>
          <cell r="S88">
            <v>0</v>
          </cell>
          <cell r="T88">
            <v>0</v>
          </cell>
          <cell r="U88">
            <v>0</v>
          </cell>
          <cell r="V88">
            <v>0</v>
          </cell>
        </row>
        <row r="89">
          <cell r="A89" t="str">
            <v>Other Equity Items for Modelware</v>
          </cell>
        </row>
        <row r="90">
          <cell r="A90" t="str">
            <v>Own Equity Instruments and other comp inc</v>
          </cell>
          <cell r="D90">
            <v>-3075</v>
          </cell>
          <cell r="E90">
            <v>920</v>
          </cell>
          <cell r="F90">
            <v>-811</v>
          </cell>
          <cell r="G90">
            <v>203</v>
          </cell>
          <cell r="H90">
            <v>-900</v>
          </cell>
          <cell r="I90">
            <v>-1748</v>
          </cell>
          <cell r="J90">
            <v>-5385</v>
          </cell>
          <cell r="K90">
            <v>-39214</v>
          </cell>
          <cell r="L90">
            <v>-707</v>
          </cell>
          <cell r="M90">
            <v>233.69708352773796</v>
          </cell>
          <cell r="N90">
            <v>212.16905464041065</v>
          </cell>
          <cell r="O90">
            <v>249.56551279769064</v>
          </cell>
          <cell r="P90">
            <v>254.45933607186998</v>
          </cell>
          <cell r="Q90">
            <v>262.23578093052993</v>
          </cell>
          <cell r="R90">
            <v>260.82990520022668</v>
          </cell>
          <cell r="S90">
            <v>260.41924289016697</v>
          </cell>
          <cell r="T90">
            <v>264.17947946749473</v>
          </cell>
          <cell r="U90">
            <v>249.65601894041538</v>
          </cell>
          <cell r="V90">
            <v>242.91091096418586</v>
          </cell>
          <cell r="Y90" t="str">
            <v>mstag:changeInAccumulatedOtherComprehensiveIncomeLossOrOtherReserves</v>
          </cell>
          <cell r="Z90">
            <v>6</v>
          </cell>
          <cell r="AA90" t="str">
            <v>ISO4217:CHF</v>
          </cell>
          <cell r="AB90" t="b">
            <v>0</v>
          </cell>
          <cell r="AC90" t="b">
            <v>0</v>
          </cell>
        </row>
        <row r="91">
          <cell r="A91" t="str">
            <v>Unrecorded GW from Pooling</v>
          </cell>
          <cell r="D91">
            <v>0</v>
          </cell>
          <cell r="E91">
            <v>9476</v>
          </cell>
          <cell r="F91">
            <v>9046</v>
          </cell>
          <cell r="G91">
            <v>9046</v>
          </cell>
          <cell r="H91">
            <v>9046</v>
          </cell>
          <cell r="I91">
            <v>9046</v>
          </cell>
          <cell r="J91">
            <v>9046</v>
          </cell>
          <cell r="K91">
            <v>9046</v>
          </cell>
          <cell r="L91">
            <v>9046</v>
          </cell>
          <cell r="M91">
            <v>9046</v>
          </cell>
          <cell r="N91">
            <v>9046</v>
          </cell>
          <cell r="O91">
            <v>9046</v>
          </cell>
          <cell r="P91">
            <v>9046</v>
          </cell>
          <cell r="Q91">
            <v>9046</v>
          </cell>
          <cell r="R91">
            <v>9046</v>
          </cell>
          <cell r="S91">
            <v>9046</v>
          </cell>
          <cell r="T91">
            <v>9046</v>
          </cell>
          <cell r="U91">
            <v>9046</v>
          </cell>
          <cell r="V91">
            <v>9046</v>
          </cell>
          <cell r="Y91" t="str">
            <v>mstag:unrecordedGoodwillFromPoolingAndAmortizedOrWrittenOffGoodwill</v>
          </cell>
          <cell r="Z91">
            <v>6</v>
          </cell>
          <cell r="AA91" t="str">
            <v>ISO4217:CHF</v>
          </cell>
          <cell r="AB91" t="b">
            <v>0</v>
          </cell>
          <cell r="AC91" t="b">
            <v>0</v>
          </cell>
        </row>
        <row r="92">
          <cell r="A92" t="str">
            <v>Dividends reducing retained earnings in the current period - modelware</v>
          </cell>
          <cell r="D92">
            <v>1101</v>
          </cell>
          <cell r="E92">
            <v>1229</v>
          </cell>
          <cell r="F92">
            <v>1414</v>
          </cell>
          <cell r="G92">
            <v>1721</v>
          </cell>
          <cell r="H92">
            <v>2152</v>
          </cell>
          <cell r="I92">
            <v>3027</v>
          </cell>
          <cell r="J92">
            <v>4313</v>
          </cell>
          <cell r="K92">
            <v>5175</v>
          </cell>
          <cell r="L92">
            <v>5693</v>
          </cell>
          <cell r="M92">
            <v>5190.9135043543947</v>
          </cell>
          <cell r="N92">
            <v>6530.345285002807</v>
          </cell>
          <cell r="O92">
            <v>6680.1850734005247</v>
          </cell>
          <cell r="P92">
            <v>6923.6448644632701</v>
          </cell>
          <cell r="Q92">
            <v>7228.521592011607</v>
          </cell>
          <cell r="R92">
            <v>7332.9603610030017</v>
          </cell>
          <cell r="S92">
            <v>7371.4061582023833</v>
          </cell>
          <cell r="T92">
            <v>7496.9728415927138</v>
          </cell>
          <cell r="U92">
            <v>7323.6338644374127</v>
          </cell>
          <cell r="V92">
            <v>7286.0551202598672</v>
          </cell>
        </row>
        <row r="94">
          <cell r="A94" t="str">
            <v>INPUTS</v>
          </cell>
        </row>
        <row r="95">
          <cell r="A95" t="str">
            <v>1) WORKING CAPITAL</v>
          </cell>
        </row>
        <row r="96">
          <cell r="A96" t="str">
            <v>Inventories</v>
          </cell>
          <cell r="B96">
            <v>5754</v>
          </cell>
          <cell r="C96">
            <v>5780</v>
          </cell>
          <cell r="D96">
            <v>5724</v>
          </cell>
          <cell r="E96">
            <v>5025</v>
          </cell>
          <cell r="F96">
            <v>4574</v>
          </cell>
          <cell r="G96">
            <v>5041</v>
          </cell>
          <cell r="H96">
            <v>5592</v>
          </cell>
          <cell r="I96">
            <v>6113</v>
          </cell>
          <cell r="J96">
            <v>5830</v>
          </cell>
          <cell r="K96">
            <v>5648</v>
          </cell>
          <cell r="L96">
            <v>4972</v>
          </cell>
          <cell r="M96">
            <v>4676.5448144517113</v>
          </cell>
          <cell r="N96">
            <v>4728.9758244397053</v>
          </cell>
          <cell r="O96">
            <v>5039.0404340823252</v>
          </cell>
          <cell r="P96">
            <v>5148.3675208463037</v>
          </cell>
          <cell r="Q96">
            <v>5371.2781485975929</v>
          </cell>
          <cell r="R96">
            <v>5395.0918959278242</v>
          </cell>
          <cell r="S96">
            <v>5537.9761742051624</v>
          </cell>
          <cell r="T96">
            <v>5718.05339653179</v>
          </cell>
          <cell r="U96">
            <v>5418.8483433061583</v>
          </cell>
          <cell r="V96">
            <v>5537.474782421923</v>
          </cell>
          <cell r="W96" t="str">
            <v>Feeds into balance sheet</v>
          </cell>
        </row>
        <row r="97">
          <cell r="A97" t="str">
            <v>Change in Inventories</v>
          </cell>
          <cell r="C97">
            <v>26</v>
          </cell>
          <cell r="D97">
            <v>-56</v>
          </cell>
          <cell r="E97">
            <v>-699</v>
          </cell>
          <cell r="F97">
            <v>-451</v>
          </cell>
          <cell r="G97">
            <v>467</v>
          </cell>
          <cell r="H97">
            <v>551</v>
          </cell>
          <cell r="I97">
            <v>521</v>
          </cell>
          <cell r="J97">
            <v>-283</v>
          </cell>
          <cell r="K97">
            <v>-182</v>
          </cell>
          <cell r="L97">
            <v>-676</v>
          </cell>
          <cell r="M97">
            <v>-295.45518554828868</v>
          </cell>
          <cell r="N97">
            <v>52.431009987994003</v>
          </cell>
          <cell r="O97">
            <v>310.06460964261987</v>
          </cell>
          <cell r="P97">
            <v>109.32708676397851</v>
          </cell>
          <cell r="Q97">
            <v>222.91062775128921</v>
          </cell>
          <cell r="R97">
            <v>23.813747330231308</v>
          </cell>
          <cell r="S97">
            <v>142.88427827733813</v>
          </cell>
          <cell r="T97">
            <v>180.07722232662763</v>
          </cell>
          <cell r="U97">
            <v>-299.20505322563167</v>
          </cell>
          <cell r="V97">
            <v>118.6264391157647</v>
          </cell>
          <cell r="W97" t="str">
            <v>Feeds into Cash Flow</v>
          </cell>
        </row>
        <row r="98">
          <cell r="A98" t="str">
            <v>Inventory Days</v>
          </cell>
          <cell r="D98">
            <v>349.14104278074865</v>
          </cell>
          <cell r="E98">
            <v>334.96634135839901</v>
          </cell>
          <cell r="F98">
            <v>216.31381186835969</v>
          </cell>
          <cell r="G98">
            <v>198.48597626752965</v>
          </cell>
          <cell r="H98">
            <v>192.26450640542578</v>
          </cell>
          <cell r="I98">
            <v>162.35501709961434</v>
          </cell>
          <cell r="J98">
            <v>155.76824537003148</v>
          </cell>
          <cell r="K98">
            <v>141.05508039685256</v>
          </cell>
          <cell r="L98">
            <v>136.52147746934477</v>
          </cell>
          <cell r="M98">
            <v>136.52147746934477</v>
          </cell>
          <cell r="N98">
            <v>136.52147746934477</v>
          </cell>
          <cell r="O98">
            <v>136.52147746934477</v>
          </cell>
          <cell r="P98">
            <v>136.52147746934477</v>
          </cell>
          <cell r="Q98">
            <v>136.52147746934477</v>
          </cell>
          <cell r="R98">
            <v>136.52147746934477</v>
          </cell>
          <cell r="S98">
            <v>136.52147746934477</v>
          </cell>
          <cell r="T98">
            <v>136.52147746934477</v>
          </cell>
          <cell r="U98">
            <v>136.52147746934477</v>
          </cell>
          <cell r="V98">
            <v>136.52147746934477</v>
          </cell>
          <cell r="W98" t="str">
            <v>Input</v>
          </cell>
        </row>
        <row r="100">
          <cell r="A100" t="str">
            <v>Trade Receivables</v>
          </cell>
          <cell r="B100">
            <v>5519</v>
          </cell>
          <cell r="C100">
            <v>5779</v>
          </cell>
          <cell r="D100">
            <v>6517</v>
          </cell>
          <cell r="E100">
            <v>6774</v>
          </cell>
          <cell r="F100">
            <v>6781</v>
          </cell>
          <cell r="G100">
            <v>7698</v>
          </cell>
          <cell r="H100">
            <v>8960</v>
          </cell>
          <cell r="I100">
            <v>9804</v>
          </cell>
          <cell r="J100">
            <v>9755</v>
          </cell>
          <cell r="K100">
            <v>10461</v>
          </cell>
          <cell r="L100">
            <v>9403</v>
          </cell>
          <cell r="M100">
            <v>9011.2051544717979</v>
          </cell>
          <cell r="N100">
            <v>9343.5405469697107</v>
          </cell>
          <cell r="O100">
            <v>9904.3221710771813</v>
          </cell>
          <cell r="P100">
            <v>10121.025657098056</v>
          </cell>
          <cell r="Q100">
            <v>10403.990836480441</v>
          </cell>
          <cell r="R100">
            <v>10508.229477421261</v>
          </cell>
          <cell r="S100">
            <v>10642.454219450075</v>
          </cell>
          <cell r="T100">
            <v>10872.351806943872</v>
          </cell>
          <cell r="U100">
            <v>10742.558411619983</v>
          </cell>
          <cell r="V100">
            <v>10784.522096231258</v>
          </cell>
          <cell r="W100" t="str">
            <v>Feeds into balance sheet</v>
          </cell>
        </row>
        <row r="101">
          <cell r="A101" t="str">
            <v>Change in Trade Receivables</v>
          </cell>
          <cell r="C101">
            <v>260</v>
          </cell>
          <cell r="D101">
            <v>738</v>
          </cell>
          <cell r="E101">
            <v>257</v>
          </cell>
          <cell r="F101">
            <v>7</v>
          </cell>
          <cell r="G101">
            <v>917</v>
          </cell>
          <cell r="H101">
            <v>1262</v>
          </cell>
          <cell r="I101">
            <v>844</v>
          </cell>
          <cell r="J101">
            <v>-49</v>
          </cell>
          <cell r="K101">
            <v>706</v>
          </cell>
          <cell r="L101">
            <v>-1058</v>
          </cell>
          <cell r="M101">
            <v>-391.79484552820213</v>
          </cell>
          <cell r="N101">
            <v>332.33539249791284</v>
          </cell>
          <cell r="O101">
            <v>560.78162410747063</v>
          </cell>
          <cell r="P101">
            <v>216.70348602087506</v>
          </cell>
          <cell r="Q101">
            <v>282.96517938238503</v>
          </cell>
          <cell r="R101">
            <v>104.2386409408191</v>
          </cell>
          <cell r="S101">
            <v>134.22474202881494</v>
          </cell>
          <cell r="T101">
            <v>229.89758749379689</v>
          </cell>
          <cell r="U101">
            <v>-129.79339532388985</v>
          </cell>
          <cell r="V101">
            <v>41.963684611275312</v>
          </cell>
          <cell r="W101" t="str">
            <v>Feeds into Cash Flow</v>
          </cell>
        </row>
        <row r="102">
          <cell r="A102" t="str">
            <v>Trade Receivable Days</v>
          </cell>
          <cell r="D102">
            <v>91.257001457837802</v>
          </cell>
          <cell r="E102">
            <v>102.05134550801306</v>
          </cell>
          <cell r="F102">
            <v>94.768350116782173</v>
          </cell>
          <cell r="G102">
            <v>88.116473798099534</v>
          </cell>
          <cell r="H102">
            <v>85.711290491665793</v>
          </cell>
          <cell r="I102">
            <v>77.568335031322476</v>
          </cell>
          <cell r="J102">
            <v>78.053686125786442</v>
          </cell>
          <cell r="K102">
            <v>77.8427554993782</v>
          </cell>
          <cell r="L102">
            <v>72.29572599161628</v>
          </cell>
          <cell r="M102">
            <v>78</v>
          </cell>
          <cell r="N102">
            <v>78</v>
          </cell>
          <cell r="O102">
            <v>78</v>
          </cell>
          <cell r="P102">
            <v>78</v>
          </cell>
          <cell r="Q102">
            <v>78</v>
          </cell>
          <cell r="R102">
            <v>78</v>
          </cell>
          <cell r="S102">
            <v>78</v>
          </cell>
          <cell r="T102">
            <v>78</v>
          </cell>
          <cell r="U102">
            <v>78</v>
          </cell>
          <cell r="V102">
            <v>78</v>
          </cell>
          <cell r="W102" t="str">
            <v>Input</v>
          </cell>
        </row>
        <row r="104">
          <cell r="A104" t="str">
            <v>Other Receivables</v>
          </cell>
          <cell r="B104">
            <v>913</v>
          </cell>
          <cell r="C104">
            <v>1095</v>
          </cell>
          <cell r="D104">
            <v>772</v>
          </cell>
          <cell r="E104">
            <v>788</v>
          </cell>
          <cell r="F104">
            <v>797</v>
          </cell>
          <cell r="G104">
            <v>1131</v>
          </cell>
          <cell r="H104">
            <v>1295</v>
          </cell>
          <cell r="I104">
            <v>1101</v>
          </cell>
          <cell r="J104">
            <v>1121</v>
          </cell>
          <cell r="K104">
            <v>1205</v>
          </cell>
          <cell r="L104">
            <v>1071</v>
          </cell>
          <cell r="M104">
            <v>951.31409728724145</v>
          </cell>
          <cell r="N104">
            <v>986.39878779102628</v>
          </cell>
          <cell r="O104">
            <v>1045.6005766048493</v>
          </cell>
          <cell r="P104">
            <v>1068.4779917395656</v>
          </cell>
          <cell r="Q104">
            <v>1098.3506624393658</v>
          </cell>
          <cell r="R104">
            <v>1109.3551492875931</v>
          </cell>
          <cell r="S104">
            <v>1123.5252727181298</v>
          </cell>
          <cell r="T104">
            <v>1147.7955908571685</v>
          </cell>
          <cell r="U104">
            <v>1134.0932852732012</v>
          </cell>
          <cell r="V104">
            <v>1138.523396902056</v>
          </cell>
          <cell r="W104" t="str">
            <v>Linked to Sales Growth</v>
          </cell>
        </row>
        <row r="105">
          <cell r="A105" t="str">
            <v>Change in Other Receivables</v>
          </cell>
          <cell r="C105">
            <v>182</v>
          </cell>
          <cell r="D105">
            <v>-323</v>
          </cell>
          <cell r="E105">
            <v>16</v>
          </cell>
          <cell r="F105">
            <v>9</v>
          </cell>
          <cell r="G105">
            <v>334</v>
          </cell>
          <cell r="H105">
            <v>164</v>
          </cell>
          <cell r="I105">
            <v>-194</v>
          </cell>
          <cell r="J105">
            <v>20</v>
          </cell>
          <cell r="K105">
            <v>84</v>
          </cell>
          <cell r="L105">
            <v>-134</v>
          </cell>
          <cell r="M105">
            <v>-119.68590271275855</v>
          </cell>
          <cell r="N105">
            <v>35.084690503784827</v>
          </cell>
          <cell r="O105">
            <v>59.201788813822986</v>
          </cell>
          <cell r="P105">
            <v>22.87741513471633</v>
          </cell>
          <cell r="Q105">
            <v>29.87267069980021</v>
          </cell>
          <cell r="R105">
            <v>11.004486848227316</v>
          </cell>
          <cell r="S105">
            <v>14.170123430536705</v>
          </cell>
          <cell r="T105">
            <v>24.270318139038636</v>
          </cell>
          <cell r="U105">
            <v>-13.702305583967245</v>
          </cell>
          <cell r="V105">
            <v>4.4301116288547746</v>
          </cell>
          <cell r="W105" t="str">
            <v>Feeds into Cash Flow</v>
          </cell>
        </row>
        <row r="107">
          <cell r="A107" t="str">
            <v>Creditors (all)</v>
          </cell>
          <cell r="B107">
            <v>2215</v>
          </cell>
          <cell r="C107">
            <v>1710</v>
          </cell>
          <cell r="D107">
            <v>1787</v>
          </cell>
          <cell r="E107">
            <v>1700</v>
          </cell>
          <cell r="F107">
            <v>1844</v>
          </cell>
          <cell r="G107">
            <v>2373</v>
          </cell>
          <cell r="H107">
            <v>2213</v>
          </cell>
          <cell r="I107">
            <v>1861</v>
          </cell>
          <cell r="J107">
            <v>2017</v>
          </cell>
          <cell r="K107">
            <v>2300</v>
          </cell>
          <cell r="L107">
            <v>2068</v>
          </cell>
          <cell r="M107">
            <v>1836.8978087675212</v>
          </cell>
          <cell r="N107">
            <v>1904.6430374900488</v>
          </cell>
          <cell r="O107">
            <v>2018.9561087010534</v>
          </cell>
          <cell r="P107">
            <v>2063.1302398855478</v>
          </cell>
          <cell r="Q107">
            <v>2120.8115498829206</v>
          </cell>
          <cell r="R107">
            <v>2142.0601762154456</v>
          </cell>
          <cell r="S107">
            <v>2169.4213482549885</v>
          </cell>
          <cell r="T107">
            <v>2216.2850437839629</v>
          </cell>
          <cell r="U107">
            <v>2189.8271838888704</v>
          </cell>
          <cell r="V107">
            <v>2198.3813116652213</v>
          </cell>
          <cell r="W107" t="str">
            <v>Feeds into balance sheet</v>
          </cell>
        </row>
        <row r="108">
          <cell r="A108" t="str">
            <v>Change in Creditors</v>
          </cell>
          <cell r="C108">
            <v>-505</v>
          </cell>
          <cell r="D108">
            <v>77</v>
          </cell>
          <cell r="E108">
            <v>-87</v>
          </cell>
          <cell r="F108">
            <v>144</v>
          </cell>
          <cell r="G108">
            <v>529</v>
          </cell>
          <cell r="H108">
            <v>-160</v>
          </cell>
          <cell r="I108">
            <v>-352</v>
          </cell>
          <cell r="J108">
            <v>156</v>
          </cell>
          <cell r="K108">
            <v>283</v>
          </cell>
          <cell r="L108">
            <v>-232</v>
          </cell>
          <cell r="M108">
            <v>-231.10219123247884</v>
          </cell>
          <cell r="N108">
            <v>67.7452287225276</v>
          </cell>
          <cell r="O108">
            <v>114.31307121100463</v>
          </cell>
          <cell r="P108">
            <v>44.174131184494399</v>
          </cell>
          <cell r="Q108">
            <v>57.681309997372864</v>
          </cell>
          <cell r="R108">
            <v>21.248626332524964</v>
          </cell>
          <cell r="S108">
            <v>27.361172039542907</v>
          </cell>
          <cell r="T108">
            <v>46.863695528974404</v>
          </cell>
          <cell r="U108">
            <v>-26.457859895092497</v>
          </cell>
          <cell r="V108">
            <v>8.5541277763509243</v>
          </cell>
          <cell r="W108" t="str">
            <v>Feeds into Cash Flow</v>
          </cell>
        </row>
        <row r="109">
          <cell r="A109" t="str">
            <v>Trade Creditor Days</v>
          </cell>
          <cell r="D109">
            <v>25.023210312284199</v>
          </cell>
          <cell r="E109">
            <v>25.610759870626246</v>
          </cell>
          <cell r="F109">
            <v>25.770953784891066</v>
          </cell>
          <cell r="G109">
            <v>27.162950418665915</v>
          </cell>
          <cell r="H109">
            <v>21.169540832372366</v>
          </cell>
          <cell r="I109">
            <v>14.724058699846099</v>
          </cell>
          <cell r="J109">
            <v>16.138829822215403</v>
          </cell>
          <cell r="K109">
            <v>17.114839656683859</v>
          </cell>
          <cell r="L109">
            <v>15.8999852547764</v>
          </cell>
          <cell r="M109">
            <v>15.8999852547764</v>
          </cell>
          <cell r="N109">
            <v>15.8999852547764</v>
          </cell>
          <cell r="O109">
            <v>15.8999852547764</v>
          </cell>
          <cell r="P109">
            <v>15.8999852547764</v>
          </cell>
          <cell r="Q109">
            <v>15.8999852547764</v>
          </cell>
          <cell r="R109">
            <v>15.8999852547764</v>
          </cell>
          <cell r="S109">
            <v>15.8999852547764</v>
          </cell>
          <cell r="T109">
            <v>15.8999852547764</v>
          </cell>
          <cell r="U109">
            <v>15.8999852547764</v>
          </cell>
          <cell r="V109">
            <v>15.8999852547764</v>
          </cell>
          <cell r="W109" t="str">
            <v>Input</v>
          </cell>
        </row>
        <row r="111">
          <cell r="E111" t="str">
            <v xml:space="preserve"> </v>
          </cell>
        </row>
        <row r="112">
          <cell r="A112" t="str">
            <v>2) TANGIBLE FIXED ASSETS</v>
          </cell>
        </row>
        <row r="113">
          <cell r="A113" t="str">
            <v>Net Book Value</v>
          </cell>
        </row>
        <row r="114">
          <cell r="A114" t="str">
            <v>At start of year</v>
          </cell>
          <cell r="B114">
            <v>14240</v>
          </cell>
          <cell r="C114">
            <v>13785</v>
          </cell>
          <cell r="D114">
            <v>15052</v>
          </cell>
          <cell r="E114">
            <v>13434</v>
          </cell>
          <cell r="F114">
            <v>12494</v>
          </cell>
          <cell r="G114">
            <v>12408</v>
          </cell>
          <cell r="H114">
            <v>15097</v>
          </cell>
          <cell r="I114">
            <v>16417</v>
          </cell>
          <cell r="J114">
            <v>17832</v>
          </cell>
          <cell r="K114">
            <v>18190</v>
          </cell>
          <cell r="L114">
            <v>17697</v>
          </cell>
          <cell r="M114">
            <v>16729</v>
          </cell>
          <cell r="N114">
            <v>17345.48857142857</v>
          </cell>
          <cell r="O114">
            <v>17850.735942857144</v>
          </cell>
          <cell r="P114">
            <v>18246.966938285717</v>
          </cell>
          <cell r="Q114">
            <v>18536.361885234292</v>
          </cell>
          <cell r="R114">
            <v>18721.057504672463</v>
          </cell>
          <cell r="S114">
            <v>18803.147783150445</v>
          </cell>
          <cell r="T114">
            <v>18784.684827487439</v>
          </cell>
          <cell r="U114">
            <v>18667.679702366266</v>
          </cell>
          <cell r="V114">
            <v>18454.103251176086</v>
          </cell>
        </row>
        <row r="115">
          <cell r="A115" t="str">
            <v>Additions on Acquisitions (Chugai/Genentech)</v>
          </cell>
          <cell r="B115">
            <v>-943</v>
          </cell>
          <cell r="C115">
            <v>1118</v>
          </cell>
          <cell r="D115">
            <v>1087</v>
          </cell>
          <cell r="E115">
            <v>58</v>
          </cell>
          <cell r="F115">
            <v>0</v>
          </cell>
          <cell r="G115">
            <v>3</v>
          </cell>
          <cell r="H115">
            <v>0</v>
          </cell>
          <cell r="I115">
            <v>0</v>
          </cell>
          <cell r="J115">
            <v>98</v>
          </cell>
          <cell r="K115">
            <v>3</v>
          </cell>
          <cell r="L115">
            <v>2</v>
          </cell>
          <cell r="M115">
            <v>0</v>
          </cell>
          <cell r="N115">
            <v>0</v>
          </cell>
          <cell r="O115">
            <v>0</v>
          </cell>
          <cell r="P115">
            <v>0</v>
          </cell>
          <cell r="Q115">
            <v>0</v>
          </cell>
          <cell r="R115">
            <v>0</v>
          </cell>
          <cell r="S115">
            <v>0</v>
          </cell>
          <cell r="T115">
            <v>0</v>
          </cell>
          <cell r="U115">
            <v>0</v>
          </cell>
          <cell r="V115">
            <v>0</v>
          </cell>
          <cell r="W115" t="str">
            <v>Hard Coded as 0</v>
          </cell>
        </row>
        <row r="116">
          <cell r="A116" t="str">
            <v>CAPEX</v>
          </cell>
          <cell r="B116">
            <v>2183</v>
          </cell>
          <cell r="C116">
            <v>1931</v>
          </cell>
          <cell r="D116">
            <v>2044</v>
          </cell>
          <cell r="E116">
            <v>2265</v>
          </cell>
          <cell r="F116">
            <v>2357</v>
          </cell>
          <cell r="G116">
            <v>3428</v>
          </cell>
          <cell r="H116">
            <v>3878</v>
          </cell>
          <cell r="I116">
            <v>3681</v>
          </cell>
          <cell r="J116">
            <v>3187</v>
          </cell>
          <cell r="K116">
            <v>2837</v>
          </cell>
          <cell r="L116">
            <v>2663</v>
          </cell>
          <cell r="M116">
            <v>2663</v>
          </cell>
          <cell r="N116">
            <v>2663</v>
          </cell>
          <cell r="O116">
            <v>2663</v>
          </cell>
          <cell r="P116">
            <v>2663</v>
          </cell>
          <cell r="Q116">
            <v>2663</v>
          </cell>
          <cell r="R116">
            <v>2663</v>
          </cell>
          <cell r="S116">
            <v>2663</v>
          </cell>
          <cell r="T116">
            <v>2663</v>
          </cell>
          <cell r="U116">
            <v>2663</v>
          </cell>
          <cell r="V116">
            <v>2663</v>
          </cell>
          <cell r="W116" t="str">
            <v>Kept flat post DNA transaction</v>
          </cell>
        </row>
        <row r="117">
          <cell r="A117" t="str">
            <v>Disposals</v>
          </cell>
          <cell r="B117">
            <v>-120</v>
          </cell>
          <cell r="C117">
            <v>-211</v>
          </cell>
          <cell r="D117">
            <v>-239</v>
          </cell>
          <cell r="E117">
            <v>-244</v>
          </cell>
          <cell r="F117">
            <v>-615</v>
          </cell>
          <cell r="G117">
            <v>-329</v>
          </cell>
          <cell r="H117">
            <v>-531</v>
          </cell>
          <cell r="I117">
            <v>-162</v>
          </cell>
          <cell r="J117">
            <v>-97</v>
          </cell>
          <cell r="K117">
            <v>-135</v>
          </cell>
          <cell r="L117">
            <v>-42</v>
          </cell>
          <cell r="M117">
            <v>0</v>
          </cell>
          <cell r="N117">
            <v>0</v>
          </cell>
          <cell r="O117">
            <v>0</v>
          </cell>
          <cell r="P117">
            <v>0</v>
          </cell>
          <cell r="Q117">
            <v>0</v>
          </cell>
          <cell r="R117">
            <v>0</v>
          </cell>
          <cell r="S117">
            <v>0</v>
          </cell>
          <cell r="T117">
            <v>0</v>
          </cell>
          <cell r="U117">
            <v>0</v>
          </cell>
          <cell r="V117">
            <v>0</v>
          </cell>
          <cell r="W117" t="str">
            <v>Hard Coded as 0</v>
          </cell>
        </row>
        <row r="118">
          <cell r="A118" t="str">
            <v>Impairment</v>
          </cell>
          <cell r="B118">
            <v>0</v>
          </cell>
          <cell r="C118">
            <v>-195</v>
          </cell>
          <cell r="D118">
            <v>-1556</v>
          </cell>
          <cell r="E118">
            <v>-1330</v>
          </cell>
          <cell r="F118">
            <v>-8</v>
          </cell>
          <cell r="G118">
            <v>-66</v>
          </cell>
          <cell r="H118">
            <v>-71</v>
          </cell>
          <cell r="I118">
            <v>-6</v>
          </cell>
          <cell r="J118">
            <v>-28</v>
          </cell>
          <cell r="K118">
            <v>-1127</v>
          </cell>
          <cell r="L118">
            <v>-138</v>
          </cell>
          <cell r="M118">
            <v>0</v>
          </cell>
          <cell r="N118">
            <v>0</v>
          </cell>
          <cell r="O118">
            <v>0</v>
          </cell>
          <cell r="P118">
            <v>0</v>
          </cell>
          <cell r="Q118">
            <v>0</v>
          </cell>
          <cell r="R118">
            <v>0</v>
          </cell>
          <cell r="S118">
            <v>0</v>
          </cell>
          <cell r="T118">
            <v>0</v>
          </cell>
          <cell r="U118">
            <v>0</v>
          </cell>
          <cell r="V118">
            <v>0</v>
          </cell>
          <cell r="W118" t="str">
            <v>Hard Coded as 0</v>
          </cell>
        </row>
        <row r="119">
          <cell r="A119" t="str">
            <v>Exchange adjustments/other</v>
          </cell>
          <cell r="B119">
            <v>-201</v>
          </cell>
          <cell r="C119">
            <v>57</v>
          </cell>
          <cell r="D119">
            <v>-1493</v>
          </cell>
          <cell r="E119">
            <v>-386</v>
          </cell>
          <cell r="F119">
            <v>-573</v>
          </cell>
          <cell r="G119">
            <v>955</v>
          </cell>
          <cell r="H119">
            <v>-495</v>
          </cell>
          <cell r="I119">
            <v>-538</v>
          </cell>
          <cell r="J119">
            <v>-1126</v>
          </cell>
          <cell r="K119">
            <v>-90</v>
          </cell>
          <cell r="L119">
            <v>-1520</v>
          </cell>
          <cell r="M119">
            <v>0</v>
          </cell>
          <cell r="N119">
            <v>0</v>
          </cell>
          <cell r="O119">
            <v>0</v>
          </cell>
          <cell r="P119">
            <v>0</v>
          </cell>
          <cell r="Q119">
            <v>0</v>
          </cell>
          <cell r="R119">
            <v>0</v>
          </cell>
          <cell r="S119">
            <v>0</v>
          </cell>
          <cell r="T119">
            <v>0</v>
          </cell>
          <cell r="U119">
            <v>0</v>
          </cell>
          <cell r="V119">
            <v>0</v>
          </cell>
          <cell r="W119" t="str">
            <v>Hard Coded as 0</v>
          </cell>
        </row>
        <row r="120">
          <cell r="A120" t="str">
            <v>Depreciation</v>
          </cell>
          <cell r="B120">
            <v>-1374</v>
          </cell>
          <cell r="C120">
            <v>-1433</v>
          </cell>
          <cell r="D120">
            <v>-1461</v>
          </cell>
          <cell r="E120">
            <v>-1303</v>
          </cell>
          <cell r="F120">
            <v>-1247</v>
          </cell>
          <cell r="G120">
            <v>-1302</v>
          </cell>
          <cell r="H120">
            <v>-1461</v>
          </cell>
          <cell r="I120">
            <v>-1560</v>
          </cell>
          <cell r="J120">
            <v>-1676</v>
          </cell>
          <cell r="K120">
            <v>-1981</v>
          </cell>
          <cell r="L120">
            <v>-1933</v>
          </cell>
          <cell r="M120">
            <v>-2046.5114285714285</v>
          </cell>
          <cell r="N120">
            <v>-2157.7526285714284</v>
          </cell>
          <cell r="O120">
            <v>-2266.769004571428</v>
          </cell>
          <cell r="P120">
            <v>-2373.6050530514276</v>
          </cell>
          <cell r="Q120">
            <v>-2478.3043805618272</v>
          </cell>
          <cell r="R120">
            <v>-2580.909721522019</v>
          </cell>
          <cell r="S120">
            <v>-2681.4629556630071</v>
          </cell>
          <cell r="T120">
            <v>-2780.0051251211753</v>
          </cell>
          <cell r="U120">
            <v>-2876.5764511901807</v>
          </cell>
          <cell r="V120">
            <v>-2971.2163507378054</v>
          </cell>
        </row>
        <row r="121">
          <cell r="A121" t="str">
            <v>At end of year</v>
          </cell>
          <cell r="B121">
            <v>13785</v>
          </cell>
          <cell r="C121">
            <v>15052</v>
          </cell>
          <cell r="D121">
            <v>13434</v>
          </cell>
          <cell r="E121">
            <v>12494</v>
          </cell>
          <cell r="F121">
            <v>12408</v>
          </cell>
          <cell r="G121">
            <v>15097</v>
          </cell>
          <cell r="H121">
            <v>16417</v>
          </cell>
          <cell r="I121">
            <v>17832</v>
          </cell>
          <cell r="J121">
            <v>18190</v>
          </cell>
          <cell r="K121">
            <v>17697</v>
          </cell>
          <cell r="L121">
            <v>16729</v>
          </cell>
          <cell r="M121">
            <v>17345.48857142857</v>
          </cell>
          <cell r="N121">
            <v>17850.735942857144</v>
          </cell>
          <cell r="O121">
            <v>18246.966938285717</v>
          </cell>
          <cell r="P121">
            <v>18536.361885234292</v>
          </cell>
          <cell r="Q121">
            <v>18721.057504672463</v>
          </cell>
          <cell r="R121">
            <v>18803.147783150445</v>
          </cell>
          <cell r="S121">
            <v>18784.684827487439</v>
          </cell>
          <cell r="T121">
            <v>18667.679702366266</v>
          </cell>
          <cell r="U121">
            <v>18454.103251176086</v>
          </cell>
          <cell r="V121">
            <v>18145.88690043828</v>
          </cell>
        </row>
        <row r="124">
          <cell r="A124" t="str">
            <v>Cost bf</v>
          </cell>
          <cell r="B124">
            <v>23871</v>
          </cell>
          <cell r="C124">
            <v>26146</v>
          </cell>
          <cell r="D124">
            <v>25946</v>
          </cell>
          <cell r="E124">
            <v>20654</v>
          </cell>
          <cell r="F124">
            <v>20919</v>
          </cell>
          <cell r="G124">
            <v>25739</v>
          </cell>
          <cell r="H124">
            <v>27399</v>
          </cell>
          <cell r="I124">
            <v>29404</v>
          </cell>
          <cell r="J124">
            <v>30139</v>
          </cell>
          <cell r="K124">
            <v>31920</v>
          </cell>
          <cell r="L124">
            <v>30988</v>
          </cell>
        </row>
        <row r="125">
          <cell r="A125" t="str">
            <v>Accumulated Dep'n</v>
          </cell>
          <cell r="B125">
            <v>-10086</v>
          </cell>
          <cell r="C125">
            <v>-11094</v>
          </cell>
          <cell r="D125">
            <v>-12512</v>
          </cell>
          <cell r="E125">
            <v>-8160</v>
          </cell>
          <cell r="F125">
            <v>-8511</v>
          </cell>
          <cell r="G125">
            <v>-10642</v>
          </cell>
          <cell r="H125">
            <v>-10982</v>
          </cell>
          <cell r="I125">
            <v>-11572</v>
          </cell>
          <cell r="J125">
            <v>-11949</v>
          </cell>
          <cell r="K125">
            <v>-14223</v>
          </cell>
          <cell r="L125">
            <v>-14259</v>
          </cell>
        </row>
        <row r="126">
          <cell r="A126" t="str">
            <v>Net book value cf</v>
          </cell>
          <cell r="B126">
            <v>13785</v>
          </cell>
          <cell r="C126">
            <v>15052</v>
          </cell>
          <cell r="D126">
            <v>13434</v>
          </cell>
          <cell r="E126">
            <v>12494</v>
          </cell>
          <cell r="F126">
            <v>12408</v>
          </cell>
          <cell r="G126">
            <v>15097</v>
          </cell>
          <cell r="H126">
            <v>16417</v>
          </cell>
          <cell r="I126">
            <v>17832</v>
          </cell>
          <cell r="J126">
            <v>18190</v>
          </cell>
          <cell r="K126">
            <v>17697</v>
          </cell>
        </row>
        <row r="128">
          <cell r="A128" t="str">
            <v>CAPEX / Depreciation (Tangible Fixed)</v>
          </cell>
          <cell r="C128">
            <v>-1.3475226796929518</v>
          </cell>
          <cell r="D128">
            <v>-1.3990417522245038</v>
          </cell>
          <cell r="E128">
            <v>-1.7382962394474291</v>
          </cell>
          <cell r="F128">
            <v>-1.8901363271852445</v>
          </cell>
          <cell r="G128">
            <v>-2.6328725038402458</v>
          </cell>
          <cell r="H128">
            <v>-2.6543463381245722</v>
          </cell>
          <cell r="I128">
            <v>-2.3596153846153847</v>
          </cell>
          <cell r="J128">
            <v>-1.9015513126491648</v>
          </cell>
          <cell r="K128">
            <v>-1.4321049974760223</v>
          </cell>
          <cell r="L128">
            <v>-1.3776513191929642</v>
          </cell>
          <cell r="M128">
            <v>-1.3012387631076718</v>
          </cell>
          <cell r="N128">
            <v>-1.234154446037254</v>
          </cell>
          <cell r="O128">
            <v>-1.1747999000469334</v>
          </cell>
          <cell r="P128">
            <v>-1.1219221144547766</v>
          </cell>
          <cell r="Q128">
            <v>-1.0745249941398654</v>
          </cell>
          <cell r="R128">
            <v>-1.0318067221776244</v>
          </cell>
          <cell r="S128">
            <v>-0.99311459603646024</v>
          </cell>
          <cell r="T128">
            <v>-0.95791190308828111</v>
          </cell>
          <cell r="U128">
            <v>-0.92575325049962998</v>
          </cell>
          <cell r="V128">
            <v>-0.8962659347706976</v>
          </cell>
        </row>
        <row r="129">
          <cell r="A129" t="str">
            <v>Average Useful Life</v>
          </cell>
          <cell r="B129">
            <v>17.373362445414848</v>
          </cell>
          <cell r="C129">
            <v>18.245638520586184</v>
          </cell>
          <cell r="D129">
            <v>17.759069130732374</v>
          </cell>
          <cell r="E129">
            <v>15.85111281657713</v>
          </cell>
          <cell r="F129">
            <v>16.775461106655975</v>
          </cell>
          <cell r="G129">
            <v>19.768817204301076</v>
          </cell>
          <cell r="H129">
            <v>18.753593429158112</v>
          </cell>
          <cell r="I129">
            <v>18.848717948717947</v>
          </cell>
          <cell r="J129">
            <v>17.982696897374701</v>
          </cell>
          <cell r="K129">
            <v>16.113074204946997</v>
          </cell>
          <cell r="L129">
            <v>16.031039834454216</v>
          </cell>
          <cell r="M129">
            <v>17.5</v>
          </cell>
          <cell r="N129">
            <v>17.5</v>
          </cell>
          <cell r="O129">
            <v>17.5</v>
          </cell>
          <cell r="P129">
            <v>17.5</v>
          </cell>
          <cell r="Q129">
            <v>17.5</v>
          </cell>
          <cell r="R129">
            <v>17.5</v>
          </cell>
          <cell r="S129">
            <v>17.5</v>
          </cell>
          <cell r="T129">
            <v>17.5</v>
          </cell>
          <cell r="U129">
            <v>17.5</v>
          </cell>
          <cell r="V129">
            <v>17.5</v>
          </cell>
          <cell r="W129" t="str">
            <v>Drives Depn Charge</v>
          </cell>
        </row>
        <row r="131">
          <cell r="A131" t="str">
            <v>3) GOODWILL</v>
          </cell>
        </row>
        <row r="132">
          <cell r="A132" t="str">
            <v>Net Book Value</v>
          </cell>
        </row>
        <row r="133">
          <cell r="A133" t="str">
            <v>At start of year</v>
          </cell>
          <cell r="B133">
            <v>5389</v>
          </cell>
          <cell r="C133">
            <v>6550</v>
          </cell>
          <cell r="D133">
            <v>6107</v>
          </cell>
          <cell r="E133">
            <v>5057</v>
          </cell>
          <cell r="F133">
            <v>5206</v>
          </cell>
          <cell r="G133">
            <v>5532</v>
          </cell>
          <cell r="H133">
            <v>6132</v>
          </cell>
          <cell r="I133">
            <v>5914</v>
          </cell>
          <cell r="J133">
            <v>6835</v>
          </cell>
          <cell r="K133">
            <v>8353</v>
          </cell>
          <cell r="L133">
            <v>8261</v>
          </cell>
          <cell r="M133">
            <v>7722</v>
          </cell>
          <cell r="N133">
            <v>7722</v>
          </cell>
          <cell r="O133">
            <v>7722</v>
          </cell>
          <cell r="P133">
            <v>7722</v>
          </cell>
          <cell r="Q133">
            <v>7722</v>
          </cell>
          <cell r="R133">
            <v>7722</v>
          </cell>
          <cell r="S133">
            <v>7722</v>
          </cell>
          <cell r="T133">
            <v>7722</v>
          </cell>
          <cell r="U133">
            <v>7722</v>
          </cell>
          <cell r="V133">
            <v>7722</v>
          </cell>
        </row>
        <row r="134">
          <cell r="A134" t="str">
            <v>Changes in Accting Policies/Group Org</v>
          </cell>
          <cell r="B134">
            <v>1553</v>
          </cell>
          <cell r="C134">
            <v>13</v>
          </cell>
          <cell r="E134">
            <v>0</v>
          </cell>
          <cell r="F134">
            <v>0</v>
          </cell>
          <cell r="G134">
            <v>77</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t="str">
            <v>Hard Coded as 0</v>
          </cell>
        </row>
        <row r="135">
          <cell r="A135" t="str">
            <v>Additions</v>
          </cell>
          <cell r="B135">
            <v>0</v>
          </cell>
          <cell r="C135">
            <v>0</v>
          </cell>
          <cell r="D135">
            <v>159</v>
          </cell>
          <cell r="E135">
            <v>882</v>
          </cell>
          <cell r="F135">
            <v>1315</v>
          </cell>
          <cell r="G135">
            <v>0</v>
          </cell>
          <cell r="H135">
            <v>0</v>
          </cell>
          <cell r="I135">
            <v>921</v>
          </cell>
          <cell r="J135">
            <v>1518</v>
          </cell>
          <cell r="K135">
            <v>15</v>
          </cell>
          <cell r="L135">
            <v>264</v>
          </cell>
          <cell r="M135">
            <v>0</v>
          </cell>
          <cell r="N135">
            <v>0</v>
          </cell>
          <cell r="O135">
            <v>0</v>
          </cell>
          <cell r="P135">
            <v>0</v>
          </cell>
          <cell r="Q135">
            <v>0</v>
          </cell>
          <cell r="R135">
            <v>0</v>
          </cell>
          <cell r="S135">
            <v>0</v>
          </cell>
          <cell r="T135">
            <v>0</v>
          </cell>
          <cell r="U135">
            <v>0</v>
          </cell>
          <cell r="V135">
            <v>0</v>
          </cell>
          <cell r="W135" t="str">
            <v>Hard Coded as 0</v>
          </cell>
        </row>
        <row r="136">
          <cell r="A136" t="str">
            <v>Disposals</v>
          </cell>
          <cell r="B136">
            <v>-2</v>
          </cell>
          <cell r="D136">
            <v>0</v>
          </cell>
          <cell r="E136">
            <v>0</v>
          </cell>
          <cell r="F136">
            <v>-78</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t="str">
            <v>Hard Coded as 0</v>
          </cell>
        </row>
        <row r="137">
          <cell r="A137" t="str">
            <v>Impairment</v>
          </cell>
          <cell r="B137">
            <v>0</v>
          </cell>
          <cell r="C137">
            <v>0</v>
          </cell>
          <cell r="D137">
            <v>-7</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t="str">
            <v>Hard Coded as 0</v>
          </cell>
        </row>
        <row r="138">
          <cell r="A138" t="str">
            <v>Exchange adjustments/other</v>
          </cell>
          <cell r="B138">
            <v>172</v>
          </cell>
          <cell r="C138">
            <v>72</v>
          </cell>
          <cell r="D138">
            <v>-701</v>
          </cell>
          <cell r="E138">
            <v>-236</v>
          </cell>
          <cell r="F138">
            <v>-332</v>
          </cell>
          <cell r="G138">
            <v>523</v>
          </cell>
          <cell r="H138">
            <v>-218</v>
          </cell>
          <cell r="I138">
            <v>0</v>
          </cell>
          <cell r="J138">
            <v>0</v>
          </cell>
          <cell r="K138">
            <v>-107</v>
          </cell>
          <cell r="L138">
            <v>-803</v>
          </cell>
          <cell r="M138">
            <v>0</v>
          </cell>
          <cell r="N138">
            <v>0</v>
          </cell>
          <cell r="O138">
            <v>0</v>
          </cell>
          <cell r="P138">
            <v>0</v>
          </cell>
          <cell r="Q138">
            <v>0</v>
          </cell>
          <cell r="R138">
            <v>0</v>
          </cell>
          <cell r="S138">
            <v>0</v>
          </cell>
          <cell r="T138">
            <v>0</v>
          </cell>
          <cell r="U138">
            <v>0</v>
          </cell>
          <cell r="V138">
            <v>0</v>
          </cell>
          <cell r="W138" t="str">
            <v>Hard Coded as 0</v>
          </cell>
        </row>
        <row r="139">
          <cell r="A139" t="str">
            <v>Amortisation</v>
          </cell>
          <cell r="B139">
            <v>-562</v>
          </cell>
          <cell r="C139">
            <v>-528</v>
          </cell>
          <cell r="D139">
            <v>-501</v>
          </cell>
          <cell r="E139">
            <v>-497</v>
          </cell>
          <cell r="F139">
            <v>-579</v>
          </cell>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row>
        <row r="140">
          <cell r="A140" t="str">
            <v>At end of year</v>
          </cell>
          <cell r="B140">
            <v>6550</v>
          </cell>
          <cell r="C140">
            <v>6107</v>
          </cell>
          <cell r="D140">
            <v>5057</v>
          </cell>
          <cell r="E140">
            <v>5206</v>
          </cell>
          <cell r="F140">
            <v>5532</v>
          </cell>
          <cell r="G140">
            <v>6132</v>
          </cell>
          <cell r="H140">
            <v>5914</v>
          </cell>
          <cell r="I140">
            <v>6835</v>
          </cell>
          <cell r="J140">
            <v>8353</v>
          </cell>
          <cell r="K140">
            <v>8261</v>
          </cell>
          <cell r="L140">
            <v>7722</v>
          </cell>
          <cell r="M140">
            <v>7722</v>
          </cell>
          <cell r="N140">
            <v>7722</v>
          </cell>
          <cell r="O140">
            <v>7722</v>
          </cell>
          <cell r="P140">
            <v>7722</v>
          </cell>
          <cell r="Q140">
            <v>7722</v>
          </cell>
          <cell r="R140">
            <v>7722</v>
          </cell>
          <cell r="S140">
            <v>7722</v>
          </cell>
          <cell r="T140">
            <v>7722</v>
          </cell>
          <cell r="U140">
            <v>7722</v>
          </cell>
          <cell r="V140">
            <v>7722</v>
          </cell>
        </row>
        <row r="143">
          <cell r="A143" t="str">
            <v>Cost bf</v>
          </cell>
          <cell r="B143">
            <v>17762</v>
          </cell>
          <cell r="C143">
            <v>17489</v>
          </cell>
          <cell r="D143">
            <v>15061</v>
          </cell>
          <cell r="E143">
            <v>14682</v>
          </cell>
          <cell r="F143">
            <v>14578</v>
          </cell>
          <cell r="G143">
            <v>14578</v>
          </cell>
          <cell r="H143">
            <v>14578</v>
          </cell>
          <cell r="I143">
            <v>15499</v>
          </cell>
          <cell r="J143">
            <v>17017</v>
          </cell>
          <cell r="K143">
            <v>17032</v>
          </cell>
          <cell r="L143">
            <v>17296</v>
          </cell>
          <cell r="M143">
            <v>17296</v>
          </cell>
          <cell r="N143">
            <v>17296</v>
          </cell>
          <cell r="O143">
            <v>17296</v>
          </cell>
          <cell r="P143">
            <v>17296</v>
          </cell>
          <cell r="Q143">
            <v>17296</v>
          </cell>
          <cell r="R143">
            <v>17296</v>
          </cell>
          <cell r="S143">
            <v>17296</v>
          </cell>
          <cell r="T143">
            <v>17296</v>
          </cell>
          <cell r="U143">
            <v>17296</v>
          </cell>
          <cell r="V143">
            <v>17296</v>
          </cell>
        </row>
        <row r="144">
          <cell r="A144" t="str">
            <v>Accumulated Amort</v>
          </cell>
          <cell r="B144">
            <v>-11212</v>
          </cell>
          <cell r="C144">
            <v>-11382</v>
          </cell>
          <cell r="D144">
            <v>-9997</v>
          </cell>
          <cell r="E144">
            <v>-9476</v>
          </cell>
          <cell r="F144">
            <v>-9046</v>
          </cell>
          <cell r="G144">
            <v>-9046</v>
          </cell>
          <cell r="H144">
            <v>-9046</v>
          </cell>
          <cell r="I144">
            <v>-9046</v>
          </cell>
          <cell r="J144">
            <v>-9046</v>
          </cell>
          <cell r="K144">
            <v>-9046</v>
          </cell>
          <cell r="L144">
            <v>-9046</v>
          </cell>
          <cell r="M144">
            <v>-9046</v>
          </cell>
          <cell r="N144">
            <v>-9046</v>
          </cell>
          <cell r="O144">
            <v>-9046</v>
          </cell>
          <cell r="P144">
            <v>-9046</v>
          </cell>
          <cell r="Q144">
            <v>-9046</v>
          </cell>
          <cell r="R144">
            <v>-9046</v>
          </cell>
          <cell r="S144">
            <v>-9046</v>
          </cell>
          <cell r="T144">
            <v>-9046</v>
          </cell>
          <cell r="U144">
            <v>-9046</v>
          </cell>
          <cell r="V144">
            <v>-9046</v>
          </cell>
        </row>
        <row r="145">
          <cell r="A145" t="str">
            <v>Net book value cf</v>
          </cell>
          <cell r="B145">
            <v>6550</v>
          </cell>
          <cell r="C145">
            <v>6107</v>
          </cell>
          <cell r="D145">
            <v>5064</v>
          </cell>
          <cell r="E145">
            <v>5206</v>
          </cell>
          <cell r="F145">
            <v>5532</v>
          </cell>
          <cell r="G145">
            <v>5532</v>
          </cell>
          <cell r="H145">
            <v>5532</v>
          </cell>
          <cell r="I145">
            <v>6453</v>
          </cell>
          <cell r="J145">
            <v>7971</v>
          </cell>
          <cell r="K145">
            <v>7986</v>
          </cell>
          <cell r="L145">
            <v>8250</v>
          </cell>
          <cell r="M145">
            <v>8250</v>
          </cell>
          <cell r="N145">
            <v>8250</v>
          </cell>
          <cell r="O145">
            <v>8250</v>
          </cell>
          <cell r="P145">
            <v>8250</v>
          </cell>
          <cell r="Q145">
            <v>8250</v>
          </cell>
          <cell r="R145">
            <v>8250</v>
          </cell>
          <cell r="S145">
            <v>8250</v>
          </cell>
          <cell r="T145">
            <v>8250</v>
          </cell>
          <cell r="U145">
            <v>8250</v>
          </cell>
          <cell r="V145">
            <v>8250</v>
          </cell>
        </row>
        <row r="147">
          <cell r="A147" t="str">
            <v>Average Useful Life</v>
          </cell>
          <cell r="B147">
            <v>31.604982206405694</v>
          </cell>
          <cell r="C147">
            <v>33.123106060606062</v>
          </cell>
          <cell r="D147">
            <v>30.061876247504991</v>
          </cell>
          <cell r="E147">
            <v>29.541247484909455</v>
          </cell>
          <cell r="F147">
            <v>25.17789291882556</v>
          </cell>
          <cell r="G147">
            <v>30</v>
          </cell>
          <cell r="H147">
            <v>30</v>
          </cell>
          <cell r="I147">
            <v>30</v>
          </cell>
          <cell r="J147">
            <v>30</v>
          </cell>
          <cell r="K147">
            <v>30</v>
          </cell>
          <cell r="L147">
            <v>30</v>
          </cell>
          <cell r="M147">
            <v>30</v>
          </cell>
          <cell r="N147">
            <v>30</v>
          </cell>
          <cell r="O147">
            <v>30</v>
          </cell>
          <cell r="P147">
            <v>30</v>
          </cell>
          <cell r="Q147">
            <v>30</v>
          </cell>
          <cell r="R147">
            <v>30</v>
          </cell>
          <cell r="S147">
            <v>30</v>
          </cell>
          <cell r="T147">
            <v>30</v>
          </cell>
          <cell r="U147">
            <v>30</v>
          </cell>
          <cell r="V147">
            <v>30</v>
          </cell>
        </row>
        <row r="149">
          <cell r="A149" t="str">
            <v>4) OTHER INTANGIBLE ASSETS</v>
          </cell>
        </row>
        <row r="150">
          <cell r="A150" t="str">
            <v>At start of year</v>
          </cell>
          <cell r="B150">
            <v>10283</v>
          </cell>
          <cell r="C150">
            <v>9320</v>
          </cell>
          <cell r="D150">
            <v>8836</v>
          </cell>
          <cell r="E150">
            <v>7786</v>
          </cell>
          <cell r="F150">
            <v>6945</v>
          </cell>
          <cell r="G150">
            <v>6340</v>
          </cell>
          <cell r="H150">
            <v>6256</v>
          </cell>
          <cell r="I150">
            <v>5469</v>
          </cell>
          <cell r="J150">
            <v>6346</v>
          </cell>
          <cell r="K150">
            <v>7121</v>
          </cell>
          <cell r="L150">
            <v>6005</v>
          </cell>
          <cell r="M150">
            <v>5133</v>
          </cell>
          <cell r="N150">
            <v>5355.4269372027211</v>
          </cell>
          <cell r="O150">
            <v>5545.2808116081642</v>
          </cell>
          <cell r="P150">
            <v>5702.5616232163284</v>
          </cell>
          <cell r="Q150">
            <v>5827.2693720272146</v>
          </cell>
          <cell r="R150">
            <v>5919.4040580408218</v>
          </cell>
          <cell r="S150">
            <v>5978.9656812571502</v>
          </cell>
          <cell r="T150">
            <v>6252.9656812571502</v>
          </cell>
          <cell r="U150">
            <v>6494.3926184598713</v>
          </cell>
          <cell r="V150">
            <v>6768.3926184598713</v>
          </cell>
        </row>
        <row r="151">
          <cell r="A151" t="str">
            <v>Changes in Accting Policies/Group Org</v>
          </cell>
          <cell r="B151">
            <v>-857</v>
          </cell>
          <cell r="C151">
            <v>202</v>
          </cell>
          <cell r="D151">
            <v>0</v>
          </cell>
          <cell r="E151">
            <v>0</v>
          </cell>
          <cell r="F151">
            <v>0</v>
          </cell>
          <cell r="G151">
            <v>198</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t="str">
            <v>Hard Coded as 0</v>
          </cell>
        </row>
        <row r="152">
          <cell r="A152" t="str">
            <v>Additions</v>
          </cell>
          <cell r="B152">
            <v>219</v>
          </cell>
          <cell r="C152">
            <v>209</v>
          </cell>
          <cell r="D152">
            <v>1042</v>
          </cell>
          <cell r="E152">
            <v>553</v>
          </cell>
          <cell r="F152">
            <v>1028</v>
          </cell>
          <cell r="G152">
            <v>262</v>
          </cell>
          <cell r="H152">
            <v>593</v>
          </cell>
          <cell r="I152">
            <v>2139</v>
          </cell>
          <cell r="J152">
            <v>2178</v>
          </cell>
          <cell r="K152">
            <v>325</v>
          </cell>
          <cell r="L152">
            <v>874</v>
          </cell>
          <cell r="M152">
            <v>874</v>
          </cell>
          <cell r="N152">
            <v>874</v>
          </cell>
          <cell r="O152">
            <v>874</v>
          </cell>
          <cell r="P152">
            <v>874</v>
          </cell>
          <cell r="Q152">
            <v>874</v>
          </cell>
          <cell r="R152">
            <v>874</v>
          </cell>
          <cell r="S152">
            <v>874</v>
          </cell>
          <cell r="T152">
            <v>874</v>
          </cell>
          <cell r="U152">
            <v>874</v>
          </cell>
          <cell r="V152">
            <v>874</v>
          </cell>
          <cell r="W152" t="str">
            <v>Hard Coded as 0</v>
          </cell>
        </row>
        <row r="153">
          <cell r="A153" t="str">
            <v>Disposals</v>
          </cell>
          <cell r="B153">
            <v>1838</v>
          </cell>
          <cell r="C153">
            <v>-5</v>
          </cell>
          <cell r="D153">
            <v>-1</v>
          </cell>
          <cell r="E153">
            <v>-2</v>
          </cell>
          <cell r="F153">
            <v>-252</v>
          </cell>
          <cell r="G153">
            <v>-2</v>
          </cell>
          <cell r="H153">
            <v>-1</v>
          </cell>
          <cell r="I153">
            <v>-1</v>
          </cell>
          <cell r="J153">
            <v>0</v>
          </cell>
          <cell r="K153">
            <v>-3</v>
          </cell>
          <cell r="L153">
            <v>0</v>
          </cell>
          <cell r="M153">
            <v>0</v>
          </cell>
          <cell r="N153">
            <v>0</v>
          </cell>
          <cell r="O153">
            <v>0</v>
          </cell>
          <cell r="P153">
            <v>0</v>
          </cell>
          <cell r="Q153">
            <v>0</v>
          </cell>
          <cell r="R153">
            <v>0</v>
          </cell>
          <cell r="S153">
            <v>0</v>
          </cell>
          <cell r="T153">
            <v>0</v>
          </cell>
          <cell r="U153">
            <v>0</v>
          </cell>
          <cell r="V153">
            <v>0</v>
          </cell>
          <cell r="W153" t="str">
            <v>Hard Coded as 0</v>
          </cell>
        </row>
        <row r="154">
          <cell r="A154" t="str">
            <v>Impairment</v>
          </cell>
          <cell r="B154">
            <v>-1147</v>
          </cell>
          <cell r="C154">
            <v>-10</v>
          </cell>
          <cell r="D154">
            <v>-28</v>
          </cell>
          <cell r="E154">
            <v>-21</v>
          </cell>
          <cell r="F154">
            <v>-31</v>
          </cell>
          <cell r="G154">
            <v>0</v>
          </cell>
          <cell r="H154">
            <v>-197</v>
          </cell>
          <cell r="I154">
            <v>-58</v>
          </cell>
          <cell r="J154">
            <v>-104</v>
          </cell>
          <cell r="K154">
            <v>-668</v>
          </cell>
          <cell r="L154">
            <v>-667</v>
          </cell>
          <cell r="M154">
            <v>0</v>
          </cell>
          <cell r="N154">
            <v>0</v>
          </cell>
          <cell r="O154">
            <v>0</v>
          </cell>
          <cell r="P154">
            <v>0</v>
          </cell>
          <cell r="Q154">
            <v>0</v>
          </cell>
          <cell r="R154">
            <v>0</v>
          </cell>
          <cell r="S154">
            <v>0</v>
          </cell>
          <cell r="T154">
            <v>0</v>
          </cell>
          <cell r="U154">
            <v>0</v>
          </cell>
          <cell r="V154">
            <v>0</v>
          </cell>
          <cell r="W154" t="str">
            <v>Hard Coded as 0</v>
          </cell>
        </row>
        <row r="155">
          <cell r="A155" t="str">
            <v>Exchange adjustments/other</v>
          </cell>
          <cell r="B155">
            <v>-104</v>
          </cell>
          <cell r="C155">
            <v>145</v>
          </cell>
          <cell r="D155">
            <v>-1044</v>
          </cell>
          <cell r="E155">
            <v>-358</v>
          </cell>
          <cell r="F155">
            <v>-324</v>
          </cell>
          <cell r="G155">
            <v>469</v>
          </cell>
          <cell r="H155">
            <v>-205</v>
          </cell>
          <cell r="I155">
            <v>-227</v>
          </cell>
          <cell r="J155">
            <v>-330</v>
          </cell>
          <cell r="K155">
            <v>-58</v>
          </cell>
          <cell r="L155">
            <v>-460</v>
          </cell>
          <cell r="M155">
            <v>0</v>
          </cell>
          <cell r="N155">
            <v>0</v>
          </cell>
          <cell r="O155">
            <v>0</v>
          </cell>
          <cell r="P155">
            <v>0</v>
          </cell>
          <cell r="Q155">
            <v>0</v>
          </cell>
          <cell r="R155">
            <v>0</v>
          </cell>
          <cell r="S155">
            <v>0</v>
          </cell>
          <cell r="T155">
            <v>0</v>
          </cell>
          <cell r="U155">
            <v>0</v>
          </cell>
          <cell r="V155">
            <v>0</v>
          </cell>
          <cell r="W155" t="str">
            <v>Hard Coded as 0</v>
          </cell>
        </row>
        <row r="156">
          <cell r="A156" t="str">
            <v>Amortisation</v>
          </cell>
          <cell r="B156">
            <v>-912</v>
          </cell>
          <cell r="C156">
            <v>-1025</v>
          </cell>
          <cell r="D156">
            <v>-1019</v>
          </cell>
          <cell r="E156">
            <v>-1013</v>
          </cell>
          <cell r="F156">
            <v>-1026</v>
          </cell>
          <cell r="G156">
            <v>-1011</v>
          </cell>
          <cell r="H156">
            <v>-977</v>
          </cell>
          <cell r="I156">
            <v>-976</v>
          </cell>
          <cell r="J156">
            <v>-969</v>
          </cell>
          <cell r="K156">
            <v>-712</v>
          </cell>
          <cell r="L156">
            <v>-619</v>
          </cell>
          <cell r="M156">
            <v>-651.57306279727857</v>
          </cell>
          <cell r="N156">
            <v>-684.14612559455713</v>
          </cell>
          <cell r="O156">
            <v>-716.7191883918357</v>
          </cell>
          <cell r="P156">
            <v>-749.29225118911427</v>
          </cell>
          <cell r="Q156">
            <v>-781.86531398639283</v>
          </cell>
          <cell r="R156">
            <v>-814.4383767836714</v>
          </cell>
          <cell r="S156">
            <v>-600</v>
          </cell>
          <cell r="T156">
            <v>-632.57306279727857</v>
          </cell>
          <cell r="U156">
            <v>-600</v>
          </cell>
          <cell r="V156">
            <v>-632.57306279727857</v>
          </cell>
        </row>
        <row r="157">
          <cell r="A157" t="str">
            <v>At end of year</v>
          </cell>
          <cell r="B157">
            <v>9320</v>
          </cell>
          <cell r="C157">
            <v>8836</v>
          </cell>
          <cell r="D157">
            <v>7786</v>
          </cell>
          <cell r="E157">
            <v>6945</v>
          </cell>
          <cell r="F157">
            <v>6340</v>
          </cell>
          <cell r="G157">
            <v>6256</v>
          </cell>
          <cell r="H157">
            <v>5469</v>
          </cell>
          <cell r="I157">
            <v>6346</v>
          </cell>
          <cell r="J157">
            <v>7121</v>
          </cell>
          <cell r="K157">
            <v>6005</v>
          </cell>
          <cell r="L157">
            <v>5133</v>
          </cell>
          <cell r="M157">
            <v>5355.4269372027211</v>
          </cell>
          <cell r="N157">
            <v>5545.2808116081642</v>
          </cell>
          <cell r="O157">
            <v>5702.5616232163284</v>
          </cell>
          <cell r="P157">
            <v>5827.2693720272146</v>
          </cell>
          <cell r="Q157">
            <v>5919.4040580408218</v>
          </cell>
          <cell r="R157">
            <v>5978.9656812571502</v>
          </cell>
          <cell r="S157">
            <v>6252.9656812571502</v>
          </cell>
          <cell r="T157">
            <v>6494.3926184598713</v>
          </cell>
          <cell r="U157">
            <v>6768.3926184598713</v>
          </cell>
          <cell r="V157">
            <v>7009.8195556625924</v>
          </cell>
        </row>
        <row r="160">
          <cell r="A160" t="str">
            <v>Cost bf</v>
          </cell>
          <cell r="B160">
            <v>16849</v>
          </cell>
          <cell r="C160">
            <v>17370</v>
          </cell>
          <cell r="D160">
            <v>15916</v>
          </cell>
          <cell r="E160">
            <v>14729</v>
          </cell>
          <cell r="F160">
            <v>14312</v>
          </cell>
          <cell r="G160">
            <v>15932</v>
          </cell>
          <cell r="H160">
            <v>15133</v>
          </cell>
          <cell r="I160">
            <v>16537</v>
          </cell>
          <cell r="J160">
            <v>17677</v>
          </cell>
          <cell r="K160">
            <v>17341</v>
          </cell>
          <cell r="L160">
            <v>16609</v>
          </cell>
        </row>
        <row r="161">
          <cell r="A161" t="str">
            <v>Accumulated Dep'n</v>
          </cell>
          <cell r="B161">
            <v>-7529</v>
          </cell>
          <cell r="C161">
            <v>-8534</v>
          </cell>
          <cell r="D161">
            <v>-8130</v>
          </cell>
          <cell r="E161">
            <v>-7784</v>
          </cell>
          <cell r="F161">
            <v>-7972</v>
          </cell>
          <cell r="G161">
            <v>-9676</v>
          </cell>
          <cell r="H161">
            <v>-9664</v>
          </cell>
          <cell r="I161">
            <v>-10191</v>
          </cell>
          <cell r="J161">
            <v>-10556</v>
          </cell>
          <cell r="K161">
            <v>-11336</v>
          </cell>
          <cell r="L161">
            <v>-11476</v>
          </cell>
        </row>
        <row r="162">
          <cell r="A162" t="str">
            <v>Net book value cf</v>
          </cell>
          <cell r="B162">
            <v>9320</v>
          </cell>
          <cell r="C162">
            <v>8836</v>
          </cell>
          <cell r="D162">
            <v>7786</v>
          </cell>
          <cell r="E162">
            <v>6945</v>
          </cell>
          <cell r="F162">
            <v>6340</v>
          </cell>
          <cell r="G162">
            <v>6256</v>
          </cell>
          <cell r="H162">
            <v>5469</v>
          </cell>
          <cell r="I162">
            <v>6346</v>
          </cell>
          <cell r="J162">
            <v>7121</v>
          </cell>
          <cell r="K162">
            <v>6005</v>
          </cell>
          <cell r="L162">
            <v>5133</v>
          </cell>
        </row>
        <row r="164">
          <cell r="A164" t="str">
            <v>Average Useful Life</v>
          </cell>
          <cell r="B164">
            <v>18.474780701754387</v>
          </cell>
          <cell r="C164">
            <v>16.946341463414633</v>
          </cell>
          <cell r="D164">
            <v>15.619234543670265</v>
          </cell>
          <cell r="E164">
            <v>14.539980256663377</v>
          </cell>
          <cell r="F164">
            <v>13.949317738791423</v>
          </cell>
          <cell r="G164">
            <v>15.758654797230465</v>
          </cell>
          <cell r="H164">
            <v>15.489252814738997</v>
          </cell>
          <cell r="I164">
            <v>16.943647540983605</v>
          </cell>
          <cell r="J164">
            <v>18.24251805985552</v>
          </cell>
          <cell r="K164">
            <v>24.355337078651687</v>
          </cell>
          <cell r="L164">
            <v>26.831987075928918</v>
          </cell>
          <cell r="M164">
            <v>26.831987075928918</v>
          </cell>
          <cell r="N164">
            <v>26.831987075928918</v>
          </cell>
          <cell r="O164">
            <v>26.831987075928918</v>
          </cell>
          <cell r="P164">
            <v>26.831987075928918</v>
          </cell>
          <cell r="Q164">
            <v>26.831987075928918</v>
          </cell>
          <cell r="R164">
            <v>26.831987075928918</v>
          </cell>
          <cell r="S164">
            <v>26.831987075928918</v>
          </cell>
          <cell r="T164">
            <v>26.831987075928918</v>
          </cell>
          <cell r="U164">
            <v>26.831987075928918</v>
          </cell>
          <cell r="V164">
            <v>26.831987075928918</v>
          </cell>
          <cell r="W164" t="str">
            <v>Drives Amort'n Charge</v>
          </cell>
        </row>
        <row r="166">
          <cell r="A166" t="str">
            <v>5) DEBT, CASH, INVESTMENTS</v>
          </cell>
        </row>
        <row r="168">
          <cell r="A168" t="str">
            <v>STD</v>
          </cell>
          <cell r="B168">
            <v>5451</v>
          </cell>
          <cell r="C168">
            <v>6621</v>
          </cell>
          <cell r="D168">
            <v>8183</v>
          </cell>
          <cell r="E168">
            <v>5041</v>
          </cell>
          <cell r="F168">
            <v>2013</v>
          </cell>
          <cell r="G168">
            <v>348</v>
          </cell>
          <cell r="H168">
            <v>2044</v>
          </cell>
          <cell r="I168">
            <v>3032</v>
          </cell>
          <cell r="J168">
            <v>1117</v>
          </cell>
          <cell r="K168">
            <v>6273</v>
          </cell>
          <cell r="L168">
            <v>2201</v>
          </cell>
          <cell r="M168">
            <v>2201</v>
          </cell>
          <cell r="N168">
            <v>2201</v>
          </cell>
          <cell r="O168">
            <v>2201</v>
          </cell>
          <cell r="P168">
            <v>2201</v>
          </cell>
          <cell r="Q168">
            <v>2201</v>
          </cell>
          <cell r="R168">
            <v>2201</v>
          </cell>
          <cell r="S168">
            <v>2201</v>
          </cell>
          <cell r="T168">
            <v>2201</v>
          </cell>
          <cell r="U168">
            <v>2201</v>
          </cell>
          <cell r="V168">
            <v>2201</v>
          </cell>
        </row>
        <row r="170">
          <cell r="A170" t="str">
            <v>LTD (bf)</v>
          </cell>
          <cell r="C170">
            <v>16167</v>
          </cell>
          <cell r="D170">
            <v>17109</v>
          </cell>
          <cell r="E170">
            <v>14167</v>
          </cell>
          <cell r="F170">
            <v>10246</v>
          </cell>
          <cell r="G170">
            <v>6947</v>
          </cell>
          <cell r="H170">
            <v>9322</v>
          </cell>
          <cell r="I170">
            <v>6199</v>
          </cell>
          <cell r="J170">
            <v>3834</v>
          </cell>
          <cell r="K170">
            <v>2972</v>
          </cell>
          <cell r="L170">
            <v>36143</v>
          </cell>
          <cell r="M170">
            <v>27857</v>
          </cell>
          <cell r="N170">
            <v>23868.823529411762</v>
          </cell>
          <cell r="O170">
            <v>18086.529411764699</v>
          </cell>
          <cell r="P170">
            <v>14121.618964003508</v>
          </cell>
          <cell r="Q170">
            <v>8073.3751829089815</v>
          </cell>
          <cell r="R170">
            <v>2232.2575358501563</v>
          </cell>
          <cell r="S170">
            <v>185.25753585015627</v>
          </cell>
          <cell r="T170">
            <v>138.25753585015627</v>
          </cell>
          <cell r="U170">
            <v>91.257535850156273</v>
          </cell>
          <cell r="V170">
            <v>44.257535850156273</v>
          </cell>
        </row>
        <row r="171">
          <cell r="A171" t="str">
            <v>Change</v>
          </cell>
          <cell r="C171">
            <v>942</v>
          </cell>
          <cell r="D171">
            <v>-2942</v>
          </cell>
          <cell r="E171">
            <v>-3921</v>
          </cell>
          <cell r="F171">
            <v>-3299</v>
          </cell>
          <cell r="G171">
            <v>2375</v>
          </cell>
          <cell r="H171">
            <v>-3123</v>
          </cell>
          <cell r="I171">
            <v>-2365</v>
          </cell>
          <cell r="J171">
            <v>-862</v>
          </cell>
          <cell r="K171">
            <v>33171</v>
          </cell>
          <cell r="L171">
            <v>-8286</v>
          </cell>
          <cell r="M171">
            <v>-3941.1764705882379</v>
          </cell>
          <cell r="N171">
            <v>-5735.2941176470631</v>
          </cell>
          <cell r="O171">
            <v>-3917.9104477611909</v>
          </cell>
          <cell r="P171">
            <v>-6001.2437810945266</v>
          </cell>
          <cell r="Q171">
            <v>-5794.1176470588252</v>
          </cell>
          <cell r="R171">
            <v>-2000</v>
          </cell>
          <cell r="S171">
            <v>0</v>
          </cell>
          <cell r="T171">
            <v>0</v>
          </cell>
          <cell r="U171">
            <v>0</v>
          </cell>
          <cell r="V171">
            <v>3</v>
          </cell>
        </row>
        <row r="172">
          <cell r="A172" t="str">
            <v>LTD (cf)</v>
          </cell>
          <cell r="B172">
            <v>16167</v>
          </cell>
          <cell r="C172">
            <v>17109</v>
          </cell>
          <cell r="D172">
            <v>14167</v>
          </cell>
          <cell r="E172">
            <v>10246</v>
          </cell>
          <cell r="F172">
            <v>6947</v>
          </cell>
          <cell r="G172">
            <v>9322</v>
          </cell>
          <cell r="H172">
            <v>6199</v>
          </cell>
          <cell r="I172">
            <v>3834</v>
          </cell>
          <cell r="J172">
            <v>2972</v>
          </cell>
          <cell r="K172">
            <v>36143</v>
          </cell>
          <cell r="L172">
            <v>27857</v>
          </cell>
          <cell r="M172">
            <v>23868.823529411762</v>
          </cell>
          <cell r="N172">
            <v>18086.529411764699</v>
          </cell>
          <cell r="O172">
            <v>14121.618964003508</v>
          </cell>
          <cell r="P172">
            <v>8073.3751829089815</v>
          </cell>
          <cell r="Q172">
            <v>2232.2575358501563</v>
          </cell>
          <cell r="R172">
            <v>185.25753585015627</v>
          </cell>
          <cell r="S172">
            <v>138.25753585015627</v>
          </cell>
          <cell r="T172">
            <v>91.257535850156273</v>
          </cell>
          <cell r="U172">
            <v>44.257535850156273</v>
          </cell>
          <cell r="V172">
            <v>0.25753585015627323</v>
          </cell>
        </row>
        <row r="174">
          <cell r="A174" t="str">
            <v>Cash (bf)</v>
          </cell>
          <cell r="C174">
            <v>2562</v>
          </cell>
          <cell r="D174">
            <v>3136</v>
          </cell>
          <cell r="E174">
            <v>3430</v>
          </cell>
          <cell r="F174">
            <v>5276</v>
          </cell>
          <cell r="G174">
            <v>2605</v>
          </cell>
          <cell r="H174">
            <v>4228</v>
          </cell>
          <cell r="I174">
            <v>3210</v>
          </cell>
          <cell r="J174">
            <v>3755</v>
          </cell>
          <cell r="K174">
            <v>4915</v>
          </cell>
          <cell r="L174">
            <v>2442</v>
          </cell>
          <cell r="M174">
            <v>1841</v>
          </cell>
          <cell r="N174">
            <v>1462.8922925676202</v>
          </cell>
          <cell r="O174">
            <v>1546.5490105158497</v>
          </cell>
          <cell r="P174">
            <v>2109.2607127637516</v>
          </cell>
          <cell r="Q174">
            <v>1550.430489641406</v>
          </cell>
          <cell r="R174">
            <v>1495.3512034970877</v>
          </cell>
          <cell r="S174">
            <v>5627.8679175972829</v>
          </cell>
          <cell r="T174">
            <v>11480.276868330346</v>
          </cell>
          <cell r="U174">
            <v>17549.203653234512</v>
          </cell>
          <cell r="V174">
            <v>24046.176974260728</v>
          </cell>
        </row>
        <row r="175">
          <cell r="A175" t="str">
            <v>Change</v>
          </cell>
          <cell r="C175">
            <v>574</v>
          </cell>
          <cell r="D175">
            <v>294</v>
          </cell>
          <cell r="E175">
            <v>1846</v>
          </cell>
          <cell r="F175">
            <v>-2671</v>
          </cell>
          <cell r="G175">
            <v>1623</v>
          </cell>
          <cell r="H175">
            <v>-1018</v>
          </cell>
          <cell r="I175">
            <v>545</v>
          </cell>
          <cell r="J175">
            <v>1160</v>
          </cell>
          <cell r="K175">
            <v>-2473</v>
          </cell>
          <cell r="L175">
            <v>-601</v>
          </cell>
          <cell r="M175">
            <v>-378.10770743237981</v>
          </cell>
          <cell r="N175">
            <v>83.65671794822947</v>
          </cell>
          <cell r="O175">
            <v>562.71170224790194</v>
          </cell>
          <cell r="P175">
            <v>-558.83022312234561</v>
          </cell>
          <cell r="Q175">
            <v>-55.079286144318303</v>
          </cell>
          <cell r="R175">
            <v>4132.5167141001948</v>
          </cell>
          <cell r="S175">
            <v>5852.4089507330627</v>
          </cell>
          <cell r="T175">
            <v>6068.9267849041671</v>
          </cell>
          <cell r="U175">
            <v>6496.9733210262184</v>
          </cell>
          <cell r="V175">
            <v>6168.8636437377318</v>
          </cell>
        </row>
        <row r="176">
          <cell r="A176" t="str">
            <v>Cash (cf)</v>
          </cell>
          <cell r="B176">
            <v>2562</v>
          </cell>
          <cell r="C176">
            <v>3136</v>
          </cell>
          <cell r="D176">
            <v>3430</v>
          </cell>
          <cell r="E176">
            <v>5276</v>
          </cell>
          <cell r="F176">
            <v>2605</v>
          </cell>
          <cell r="G176">
            <v>4228</v>
          </cell>
          <cell r="H176">
            <v>3210</v>
          </cell>
          <cell r="I176">
            <v>3755</v>
          </cell>
          <cell r="J176">
            <v>4915</v>
          </cell>
          <cell r="K176">
            <v>2442</v>
          </cell>
          <cell r="L176">
            <v>1841</v>
          </cell>
          <cell r="M176">
            <v>1462.8922925676202</v>
          </cell>
          <cell r="N176">
            <v>1546.5490105158497</v>
          </cell>
          <cell r="O176">
            <v>2109.2607127637516</v>
          </cell>
          <cell r="P176">
            <v>1550.430489641406</v>
          </cell>
          <cell r="Q176">
            <v>1495.3512034970877</v>
          </cell>
          <cell r="R176">
            <v>5627.8679175972829</v>
          </cell>
          <cell r="S176">
            <v>11480.276868330346</v>
          </cell>
          <cell r="T176">
            <v>17549.203653234512</v>
          </cell>
          <cell r="U176">
            <v>24046.176974260728</v>
          </cell>
          <cell r="V176">
            <v>30215.04061799846</v>
          </cell>
        </row>
        <row r="178">
          <cell r="A178" t="str">
            <v>Marketable securities</v>
          </cell>
        </row>
        <row r="179">
          <cell r="A179" t="str">
            <v>Financial assets at FV</v>
          </cell>
          <cell r="F179">
            <v>674</v>
          </cell>
          <cell r="G179">
            <v>880</v>
          </cell>
          <cell r="H179">
            <v>927</v>
          </cell>
          <cell r="I179">
            <v>1552</v>
          </cell>
          <cell r="J179">
            <v>1027</v>
          </cell>
          <cell r="K179">
            <v>0</v>
          </cell>
          <cell r="L179">
            <v>0</v>
          </cell>
          <cell r="M179">
            <v>0</v>
          </cell>
          <cell r="N179">
            <v>0</v>
          </cell>
          <cell r="O179">
            <v>0</v>
          </cell>
          <cell r="P179">
            <v>0</v>
          </cell>
          <cell r="Q179">
            <v>0</v>
          </cell>
          <cell r="R179">
            <v>0</v>
          </cell>
          <cell r="S179">
            <v>0</v>
          </cell>
          <cell r="T179">
            <v>0</v>
          </cell>
          <cell r="U179">
            <v>0</v>
          </cell>
          <cell r="V179">
            <v>0</v>
          </cell>
        </row>
        <row r="180">
          <cell r="A180" t="str">
            <v>Shares available for sale</v>
          </cell>
          <cell r="F180">
            <v>1229</v>
          </cell>
          <cell r="G180">
            <v>828</v>
          </cell>
          <cell r="H180">
            <v>876</v>
          </cell>
          <cell r="I180">
            <v>292</v>
          </cell>
          <cell r="J180">
            <v>51</v>
          </cell>
          <cell r="K180">
            <v>314</v>
          </cell>
          <cell r="L180">
            <v>272</v>
          </cell>
          <cell r="M180">
            <v>272</v>
          </cell>
          <cell r="N180">
            <v>272</v>
          </cell>
          <cell r="O180">
            <v>272</v>
          </cell>
          <cell r="P180">
            <v>272</v>
          </cell>
          <cell r="Q180">
            <v>272</v>
          </cell>
          <cell r="R180">
            <v>272</v>
          </cell>
          <cell r="S180">
            <v>272</v>
          </cell>
          <cell r="T180">
            <v>272</v>
          </cell>
          <cell r="U180">
            <v>272</v>
          </cell>
          <cell r="V180">
            <v>272</v>
          </cell>
        </row>
        <row r="181">
          <cell r="A181" t="str">
            <v>Bonds available for sale</v>
          </cell>
          <cell r="F181">
            <v>1868</v>
          </cell>
          <cell r="G181">
            <v>4274</v>
          </cell>
          <cell r="H181">
            <v>6533</v>
          </cell>
          <cell r="I181">
            <v>7624</v>
          </cell>
          <cell r="J181">
            <v>6814</v>
          </cell>
          <cell r="K181">
            <v>753</v>
          </cell>
          <cell r="L181">
            <v>1614</v>
          </cell>
          <cell r="M181">
            <v>1614</v>
          </cell>
          <cell r="N181">
            <v>1614</v>
          </cell>
          <cell r="O181">
            <v>1614</v>
          </cell>
          <cell r="P181">
            <v>1614</v>
          </cell>
          <cell r="Q181">
            <v>1614</v>
          </cell>
          <cell r="R181">
            <v>1614</v>
          </cell>
          <cell r="S181">
            <v>1614</v>
          </cell>
          <cell r="T181">
            <v>1614</v>
          </cell>
          <cell r="U181">
            <v>1614</v>
          </cell>
          <cell r="V181">
            <v>1614</v>
          </cell>
        </row>
        <row r="182">
          <cell r="A182" t="str">
            <v>Money mkt instruments</v>
          </cell>
          <cell r="F182">
            <v>6623</v>
          </cell>
          <cell r="G182">
            <v>10675</v>
          </cell>
          <cell r="H182">
            <v>12785</v>
          </cell>
          <cell r="I182">
            <v>10979</v>
          </cell>
          <cell r="J182">
            <v>7964</v>
          </cell>
          <cell r="K182">
            <v>15040</v>
          </cell>
          <cell r="L182">
            <v>7174</v>
          </cell>
          <cell r="M182">
            <v>7174</v>
          </cell>
          <cell r="N182">
            <v>7174</v>
          </cell>
          <cell r="O182">
            <v>7174</v>
          </cell>
          <cell r="P182">
            <v>7174</v>
          </cell>
          <cell r="Q182">
            <v>7174</v>
          </cell>
          <cell r="R182">
            <v>7174</v>
          </cell>
          <cell r="S182">
            <v>7174</v>
          </cell>
          <cell r="T182">
            <v>7174</v>
          </cell>
          <cell r="U182">
            <v>7174</v>
          </cell>
          <cell r="V182">
            <v>7174</v>
          </cell>
        </row>
        <row r="183">
          <cell r="A183" t="str">
            <v>Sum</v>
          </cell>
          <cell r="F183">
            <v>10394</v>
          </cell>
          <cell r="G183">
            <v>16657</v>
          </cell>
          <cell r="H183">
            <v>21121</v>
          </cell>
          <cell r="I183">
            <v>20447</v>
          </cell>
          <cell r="J183">
            <v>15856</v>
          </cell>
          <cell r="K183">
            <v>16107</v>
          </cell>
          <cell r="L183">
            <v>9060</v>
          </cell>
          <cell r="M183">
            <v>9060</v>
          </cell>
          <cell r="N183">
            <v>9060</v>
          </cell>
          <cell r="O183">
            <v>9060</v>
          </cell>
          <cell r="P183">
            <v>9060</v>
          </cell>
          <cell r="Q183">
            <v>9060</v>
          </cell>
          <cell r="R183">
            <v>9060</v>
          </cell>
          <cell r="S183">
            <v>9060</v>
          </cell>
          <cell r="T183">
            <v>9060</v>
          </cell>
          <cell r="U183">
            <v>9060</v>
          </cell>
          <cell r="V183">
            <v>9060</v>
          </cell>
        </row>
        <row r="185">
          <cell r="A185" t="str">
            <v>Gain on sale of equity securities</v>
          </cell>
          <cell r="G185">
            <v>0.24404472532814778</v>
          </cell>
          <cell r="H185">
            <v>0.44835680751173707</v>
          </cell>
          <cell r="I185">
            <v>0.59931506849315064</v>
          </cell>
          <cell r="J185">
            <v>1.346938775510204</v>
          </cell>
          <cell r="K185">
            <v>0.30136986301369861</v>
          </cell>
          <cell r="L185">
            <v>0.4061433447098976</v>
          </cell>
          <cell r="M185">
            <v>0.1</v>
          </cell>
          <cell r="N185">
            <v>0.1</v>
          </cell>
          <cell r="O185">
            <v>0.1</v>
          </cell>
          <cell r="P185">
            <v>0.1</v>
          </cell>
          <cell r="Q185">
            <v>0.1</v>
          </cell>
          <cell r="R185">
            <v>0.1</v>
          </cell>
          <cell r="S185">
            <v>0.1</v>
          </cell>
          <cell r="T185">
            <v>0.1</v>
          </cell>
          <cell r="U185">
            <v>0.1</v>
          </cell>
          <cell r="V185">
            <v>0.1</v>
          </cell>
        </row>
        <row r="186">
          <cell r="A186" t="str">
            <v>Dividend Income</v>
          </cell>
          <cell r="G186">
            <v>9.7228974234321829E-3</v>
          </cell>
          <cell r="H186">
            <v>1.1737089201877934E-2</v>
          </cell>
          <cell r="I186">
            <v>1.3698630136986301E-2</v>
          </cell>
          <cell r="J186">
            <v>2.9154518950437316E-2</v>
          </cell>
          <cell r="K186">
            <v>5.4794520547945206E-3</v>
          </cell>
          <cell r="L186">
            <v>6.8259385665529011E-3</v>
          </cell>
          <cell r="M186">
            <v>0.01</v>
          </cell>
          <cell r="N186">
            <v>0.01</v>
          </cell>
          <cell r="O186">
            <v>0.01</v>
          </cell>
          <cell r="P186">
            <v>0.01</v>
          </cell>
          <cell r="Q186">
            <v>0.01</v>
          </cell>
          <cell r="R186">
            <v>0.01</v>
          </cell>
          <cell r="S186">
            <v>0.01</v>
          </cell>
          <cell r="T186">
            <v>0.01</v>
          </cell>
          <cell r="U186">
            <v>0.01</v>
          </cell>
          <cell r="V186">
            <v>0.01</v>
          </cell>
        </row>
        <row r="187">
          <cell r="A187" t="str">
            <v>Interest Income</v>
          </cell>
          <cell r="G187">
            <v>3.5058638266130704E-2</v>
          </cell>
          <cell r="H187">
            <v>5.1006537639976694E-2</v>
          </cell>
          <cell r="I187">
            <v>6.9771225877835269E-2</v>
          </cell>
          <cell r="J187">
            <v>5.0555897584471085E-2</v>
          </cell>
          <cell r="K187">
            <v>1.1791442969599157E-2</v>
          </cell>
          <cell r="L187">
            <v>3.8494923953655133E-3</v>
          </cell>
          <cell r="M187">
            <v>0.01</v>
          </cell>
          <cell r="N187">
            <v>0.01</v>
          </cell>
          <cell r="O187">
            <v>0.01</v>
          </cell>
          <cell r="P187">
            <v>0.01</v>
          </cell>
          <cell r="Q187">
            <v>0.01</v>
          </cell>
          <cell r="R187">
            <v>0.01</v>
          </cell>
          <cell r="S187">
            <v>0.01</v>
          </cell>
          <cell r="T187">
            <v>0.01</v>
          </cell>
          <cell r="U187">
            <v>0.01</v>
          </cell>
          <cell r="V187">
            <v>0.01</v>
          </cell>
        </row>
        <row r="188">
          <cell r="A188" t="str">
            <v>Interest Expense</v>
          </cell>
          <cell r="G188">
            <v>2.8341384863123993E-2</v>
          </cell>
          <cell r="H188">
            <v>3.5169988276670575E-2</v>
          </cell>
          <cell r="I188">
            <v>3.7196373022701699E-2</v>
          </cell>
          <cell r="J188">
            <v>3.9068918302145136E-2</v>
          </cell>
          <cell r="K188">
            <v>7.4529620470917102E-2</v>
          </cell>
          <cell r="L188">
            <v>5.1025195242431771E-2</v>
          </cell>
          <cell r="M188">
            <v>0.06</v>
          </cell>
          <cell r="N188">
            <v>0.06</v>
          </cell>
          <cell r="O188">
            <v>0.06</v>
          </cell>
          <cell r="P188">
            <v>0.06</v>
          </cell>
          <cell r="Q188">
            <v>0.06</v>
          </cell>
          <cell r="R188">
            <v>0.06</v>
          </cell>
          <cell r="S188">
            <v>0.06</v>
          </cell>
          <cell r="T188">
            <v>0.06</v>
          </cell>
          <cell r="U188">
            <v>0.06</v>
          </cell>
          <cell r="V188">
            <v>0.06</v>
          </cell>
        </row>
        <row r="191">
          <cell r="A191" t="str">
            <v>Gains on Sale of Equity Securities</v>
          </cell>
          <cell r="C191">
            <v>702</v>
          </cell>
          <cell r="D191">
            <v>259</v>
          </cell>
          <cell r="E191">
            <v>66</v>
          </cell>
          <cell r="F191">
            <v>82</v>
          </cell>
          <cell r="G191">
            <v>251</v>
          </cell>
          <cell r="H191">
            <v>382</v>
          </cell>
          <cell r="I191">
            <v>350</v>
          </cell>
          <cell r="J191">
            <v>231</v>
          </cell>
          <cell r="K191">
            <v>55</v>
          </cell>
          <cell r="L191">
            <v>119</v>
          </cell>
          <cell r="M191">
            <v>0</v>
          </cell>
          <cell r="N191">
            <v>0</v>
          </cell>
          <cell r="O191">
            <v>0</v>
          </cell>
          <cell r="P191">
            <v>0</v>
          </cell>
          <cell r="Q191">
            <v>0</v>
          </cell>
          <cell r="R191">
            <v>0</v>
          </cell>
          <cell r="S191">
            <v>0</v>
          </cell>
          <cell r="T191">
            <v>0</v>
          </cell>
          <cell r="U191">
            <v>0</v>
          </cell>
          <cell r="V191">
            <v>0</v>
          </cell>
        </row>
        <row r="192">
          <cell r="A192" t="str">
            <v>Interest Paid</v>
          </cell>
          <cell r="C192">
            <v>-851</v>
          </cell>
          <cell r="D192">
            <v>-621</v>
          </cell>
          <cell r="E192">
            <v>-560</v>
          </cell>
          <cell r="F192">
            <v>-418</v>
          </cell>
          <cell r="G192">
            <v>-264</v>
          </cell>
          <cell r="H192">
            <v>-315</v>
          </cell>
          <cell r="I192">
            <v>-281</v>
          </cell>
          <cell r="J192">
            <v>-214</v>
          </cell>
          <cell r="K192">
            <v>-1733</v>
          </cell>
          <cell r="L192">
            <v>-1849</v>
          </cell>
          <cell r="M192">
            <v>-1632.9371524729295</v>
          </cell>
          <cell r="N192">
            <v>-1408.6724465905766</v>
          </cell>
          <cell r="O192">
            <v>-1227.4690883816213</v>
          </cell>
          <cell r="P192">
            <v>-931.6823968393328</v>
          </cell>
          <cell r="Q192">
            <v>-606.5353380158034</v>
          </cell>
          <cell r="R192">
            <v>-205.88235294117652</v>
          </cell>
          <cell r="S192">
            <v>-205.88235294117652</v>
          </cell>
          <cell r="T192">
            <v>-205.88235294117652</v>
          </cell>
          <cell r="U192">
            <v>-205.88235294117652</v>
          </cell>
          <cell r="V192">
            <v>-205.88235294117652</v>
          </cell>
        </row>
        <row r="193">
          <cell r="A193" t="str">
            <v>Amortization of Debt Instruments</v>
          </cell>
          <cell r="C193">
            <v>-501</v>
          </cell>
          <cell r="D193">
            <v>-468</v>
          </cell>
          <cell r="E193">
            <v>-354</v>
          </cell>
          <cell r="F193">
            <v>-131</v>
          </cell>
          <cell r="G193">
            <v>-62</v>
          </cell>
          <cell r="H193">
            <v>-40</v>
          </cell>
          <cell r="I193">
            <v>-8</v>
          </cell>
          <cell r="J193">
            <v>-1</v>
          </cell>
          <cell r="K193">
            <v>-47</v>
          </cell>
          <cell r="L193">
            <v>-47</v>
          </cell>
          <cell r="M193">
            <v>-47</v>
          </cell>
          <cell r="N193">
            <v>-47</v>
          </cell>
          <cell r="O193">
            <v>-47</v>
          </cell>
          <cell r="P193">
            <v>-47</v>
          </cell>
          <cell r="Q193">
            <v>-47</v>
          </cell>
          <cell r="R193">
            <v>-47</v>
          </cell>
          <cell r="S193">
            <v>-47</v>
          </cell>
          <cell r="T193">
            <v>-47</v>
          </cell>
          <cell r="U193">
            <v>-47</v>
          </cell>
          <cell r="V193">
            <v>-47</v>
          </cell>
        </row>
        <row r="194">
          <cell r="A194" t="str">
            <v>Time Cost Provisions</v>
          </cell>
          <cell r="C194">
            <v>-97</v>
          </cell>
          <cell r="D194">
            <v>-152</v>
          </cell>
          <cell r="E194">
            <v>-96</v>
          </cell>
          <cell r="F194">
            <v>148</v>
          </cell>
          <cell r="G194">
            <v>-78</v>
          </cell>
          <cell r="H194">
            <v>-74</v>
          </cell>
          <cell r="I194">
            <v>-69</v>
          </cell>
          <cell r="J194">
            <v>-21</v>
          </cell>
          <cell r="K194">
            <v>-21</v>
          </cell>
          <cell r="L194">
            <v>-20</v>
          </cell>
          <cell r="M194">
            <v>0</v>
          </cell>
          <cell r="N194">
            <v>0</v>
          </cell>
          <cell r="O194">
            <v>0</v>
          </cell>
          <cell r="P194">
            <v>0</v>
          </cell>
          <cell r="Q194">
            <v>0</v>
          </cell>
          <cell r="R194">
            <v>0</v>
          </cell>
          <cell r="S194">
            <v>0</v>
          </cell>
          <cell r="T194">
            <v>0</v>
          </cell>
          <cell r="U194">
            <v>0</v>
          </cell>
          <cell r="V194">
            <v>0</v>
          </cell>
        </row>
        <row r="195">
          <cell r="A195" t="str">
            <v>Interest Received</v>
          </cell>
          <cell r="C195">
            <v>646</v>
          </cell>
          <cell r="D195">
            <v>405</v>
          </cell>
          <cell r="E195">
            <v>203</v>
          </cell>
          <cell r="F195">
            <v>199</v>
          </cell>
          <cell r="G195">
            <v>423</v>
          </cell>
          <cell r="H195">
            <v>788</v>
          </cell>
          <cell r="I195">
            <v>1072</v>
          </cell>
          <cell r="J195">
            <v>698</v>
          </cell>
          <cell r="K195">
            <v>179</v>
          </cell>
          <cell r="L195">
            <v>51</v>
          </cell>
          <cell r="M195">
            <v>93.155000000000001</v>
          </cell>
          <cell r="N195">
            <v>88.259461462838104</v>
          </cell>
          <cell r="O195">
            <v>86.787206515417353</v>
          </cell>
          <cell r="P195">
            <v>90.01904861639801</v>
          </cell>
          <cell r="Q195">
            <v>90.038456012025776</v>
          </cell>
          <cell r="R195">
            <v>86.968908465692479</v>
          </cell>
          <cell r="S195">
            <v>107.35609560547186</v>
          </cell>
          <cell r="T195">
            <v>157.28072392963816</v>
          </cell>
          <cell r="U195">
            <v>216.8874026078243</v>
          </cell>
          <cell r="V195">
            <v>279.71690313747621</v>
          </cell>
        </row>
        <row r="196">
          <cell r="A196" t="str">
            <v>Dividends Received</v>
          </cell>
          <cell r="C196">
            <v>161</v>
          </cell>
          <cell r="D196">
            <v>76</v>
          </cell>
          <cell r="E196">
            <v>61</v>
          </cell>
          <cell r="F196">
            <v>34</v>
          </cell>
          <cell r="G196">
            <v>10</v>
          </cell>
          <cell r="H196">
            <v>10</v>
          </cell>
          <cell r="I196">
            <v>8</v>
          </cell>
          <cell r="J196">
            <v>5</v>
          </cell>
          <cell r="K196">
            <v>1</v>
          </cell>
          <cell r="L196">
            <v>2</v>
          </cell>
          <cell r="M196">
            <v>2.72</v>
          </cell>
          <cell r="N196">
            <v>2.72</v>
          </cell>
          <cell r="O196">
            <v>2.72</v>
          </cell>
          <cell r="P196">
            <v>2.72</v>
          </cell>
          <cell r="Q196">
            <v>2.72</v>
          </cell>
          <cell r="R196">
            <v>2.72</v>
          </cell>
          <cell r="S196">
            <v>2.72</v>
          </cell>
          <cell r="T196">
            <v>2.72</v>
          </cell>
          <cell r="U196">
            <v>2.72</v>
          </cell>
          <cell r="V196">
            <v>2.72</v>
          </cell>
        </row>
        <row r="197">
          <cell r="A197" t="str">
            <v>Gains on Sale of Equity Securities</v>
          </cell>
          <cell r="C197">
            <v>702</v>
          </cell>
          <cell r="D197">
            <v>259</v>
          </cell>
          <cell r="E197">
            <v>66</v>
          </cell>
          <cell r="F197">
            <v>82</v>
          </cell>
          <cell r="G197">
            <v>251</v>
          </cell>
          <cell r="H197">
            <v>382</v>
          </cell>
          <cell r="I197">
            <v>350</v>
          </cell>
          <cell r="J197">
            <v>231</v>
          </cell>
          <cell r="K197">
            <v>55</v>
          </cell>
          <cell r="L197">
            <v>119</v>
          </cell>
          <cell r="M197">
            <v>0</v>
          </cell>
          <cell r="N197">
            <v>0</v>
          </cell>
          <cell r="O197">
            <v>0</v>
          </cell>
          <cell r="P197">
            <v>0</v>
          </cell>
          <cell r="Q197">
            <v>0</v>
          </cell>
          <cell r="R197">
            <v>0</v>
          </cell>
          <cell r="S197">
            <v>0</v>
          </cell>
          <cell r="T197">
            <v>0</v>
          </cell>
          <cell r="U197">
            <v>0</v>
          </cell>
          <cell r="V197">
            <v>0</v>
          </cell>
        </row>
        <row r="198">
          <cell r="A198" t="str">
            <v>Interest Paid</v>
          </cell>
          <cell r="C198">
            <v>-851</v>
          </cell>
          <cell r="D198">
            <v>-621</v>
          </cell>
          <cell r="E198">
            <v>-560</v>
          </cell>
          <cell r="F198">
            <v>-418</v>
          </cell>
          <cell r="G198">
            <v>-264</v>
          </cell>
          <cell r="H198">
            <v>-315</v>
          </cell>
          <cell r="I198">
            <v>-281</v>
          </cell>
          <cell r="J198">
            <v>-214</v>
          </cell>
          <cell r="K198">
            <v>-1733</v>
          </cell>
          <cell r="L198">
            <v>-1849</v>
          </cell>
          <cell r="M198">
            <v>-1632.9371524729295</v>
          </cell>
          <cell r="N198">
            <v>-1408.6724465905766</v>
          </cell>
          <cell r="O198">
            <v>-1227.4690883816213</v>
          </cell>
          <cell r="P198">
            <v>-931.6823968393328</v>
          </cell>
          <cell r="Q198">
            <v>-606.5353380158034</v>
          </cell>
          <cell r="R198">
            <v>-205.88235294117652</v>
          </cell>
          <cell r="S198">
            <v>-205.88235294117652</v>
          </cell>
          <cell r="T198">
            <v>-205.88235294117652</v>
          </cell>
          <cell r="U198">
            <v>-205.88235294117652</v>
          </cell>
          <cell r="V198">
            <v>-205.88235294117652</v>
          </cell>
        </row>
        <row r="199">
          <cell r="A199" t="str">
            <v>Amortization of Debt Instruments</v>
          </cell>
          <cell r="C199">
            <v>-501</v>
          </cell>
          <cell r="D199">
            <v>-468</v>
          </cell>
          <cell r="E199">
            <v>-354</v>
          </cell>
          <cell r="F199">
            <v>-131</v>
          </cell>
          <cell r="G199">
            <v>-62</v>
          </cell>
          <cell r="H199">
            <v>-40</v>
          </cell>
          <cell r="I199">
            <v>-8</v>
          </cell>
          <cell r="J199">
            <v>-1</v>
          </cell>
          <cell r="K199">
            <v>-47</v>
          </cell>
          <cell r="L199">
            <v>-47</v>
          </cell>
          <cell r="M199">
            <v>-47</v>
          </cell>
          <cell r="N199">
            <v>-47</v>
          </cell>
          <cell r="O199">
            <v>-47</v>
          </cell>
          <cell r="P199">
            <v>-47</v>
          </cell>
          <cell r="Q199">
            <v>-47</v>
          </cell>
          <cell r="R199">
            <v>-47</v>
          </cell>
          <cell r="S199">
            <v>-47</v>
          </cell>
          <cell r="T199">
            <v>-47</v>
          </cell>
          <cell r="U199">
            <v>-47</v>
          </cell>
          <cell r="V199">
            <v>-47</v>
          </cell>
        </row>
        <row r="200">
          <cell r="A200" t="str">
            <v>Time Cost Provisions</v>
          </cell>
          <cell r="C200">
            <v>-97</v>
          </cell>
          <cell r="D200">
            <v>-152</v>
          </cell>
          <cell r="E200">
            <v>-96</v>
          </cell>
          <cell r="F200">
            <v>148</v>
          </cell>
          <cell r="G200">
            <v>-78</v>
          </cell>
          <cell r="H200">
            <v>-74</v>
          </cell>
          <cell r="I200">
            <v>-69</v>
          </cell>
          <cell r="J200">
            <v>-21</v>
          </cell>
          <cell r="K200">
            <v>-21</v>
          </cell>
          <cell r="L200">
            <v>-20</v>
          </cell>
          <cell r="M200">
            <v>0</v>
          </cell>
          <cell r="N200">
            <v>0</v>
          </cell>
          <cell r="O200">
            <v>0</v>
          </cell>
          <cell r="P200">
            <v>0</v>
          </cell>
          <cell r="Q200">
            <v>0</v>
          </cell>
          <cell r="R200">
            <v>0</v>
          </cell>
          <cell r="S200">
            <v>0</v>
          </cell>
          <cell r="T200">
            <v>0</v>
          </cell>
          <cell r="U200">
            <v>0</v>
          </cell>
          <cell r="V200">
            <v>0</v>
          </cell>
          <cell r="X200" t="str">
            <v>``</v>
          </cell>
        </row>
        <row r="201">
          <cell r="A201" t="str">
            <v>Interest Received</v>
          </cell>
          <cell r="C201">
            <v>646</v>
          </cell>
          <cell r="D201">
            <v>405</v>
          </cell>
          <cell r="E201">
            <v>203</v>
          </cell>
          <cell r="F201">
            <v>199</v>
          </cell>
          <cell r="G201">
            <v>423</v>
          </cell>
          <cell r="H201">
            <v>788</v>
          </cell>
          <cell r="I201">
            <v>1072</v>
          </cell>
          <cell r="J201">
            <v>698</v>
          </cell>
          <cell r="K201">
            <v>179</v>
          </cell>
          <cell r="L201">
            <v>51</v>
          </cell>
          <cell r="M201">
            <v>93.155000000000001</v>
          </cell>
          <cell r="N201">
            <v>88.296682608717845</v>
          </cell>
          <cell r="O201">
            <v>88.40598168705516</v>
          </cell>
          <cell r="P201">
            <v>93.594382493319344</v>
          </cell>
          <cell r="Q201">
            <v>93.189729471384894</v>
          </cell>
          <cell r="R201">
            <v>88.465698350863278</v>
          </cell>
          <cell r="S201">
            <v>107.26386397166469</v>
          </cell>
          <cell r="T201">
            <v>158.40673572429461</v>
          </cell>
          <cell r="U201">
            <v>217.95106047404269</v>
          </cell>
          <cell r="V201">
            <v>280.79446612278679</v>
          </cell>
        </row>
        <row r="202">
          <cell r="A202" t="str">
            <v>Dividends Received</v>
          </cell>
          <cell r="C202">
            <v>161</v>
          </cell>
          <cell r="D202">
            <v>76</v>
          </cell>
          <cell r="E202">
            <v>61</v>
          </cell>
          <cell r="F202">
            <v>34</v>
          </cell>
          <cell r="G202">
            <v>10</v>
          </cell>
          <cell r="H202">
            <v>10</v>
          </cell>
          <cell r="I202">
            <v>8</v>
          </cell>
          <cell r="J202">
            <v>5</v>
          </cell>
          <cell r="K202">
            <v>1</v>
          </cell>
          <cell r="L202">
            <v>2</v>
          </cell>
          <cell r="M202">
            <v>2.72</v>
          </cell>
          <cell r="N202">
            <v>2.72</v>
          </cell>
          <cell r="O202">
            <v>2.72</v>
          </cell>
          <cell r="P202">
            <v>2.72</v>
          </cell>
          <cell r="Q202">
            <v>2.72</v>
          </cell>
          <cell r="R202">
            <v>2.72</v>
          </cell>
          <cell r="S202">
            <v>2.72</v>
          </cell>
          <cell r="T202">
            <v>2.72</v>
          </cell>
          <cell r="U202">
            <v>2.72</v>
          </cell>
          <cell r="V202">
            <v>2.72</v>
          </cell>
        </row>
        <row r="204">
          <cell r="A204" t="str">
            <v>6) PENSIONS</v>
          </cell>
        </row>
        <row r="206">
          <cell r="A206" t="str">
            <v>7) SHARE REPURCHASE</v>
          </cell>
        </row>
        <row r="207">
          <cell r="A207" t="str">
            <v>Operating cashflow</v>
          </cell>
          <cell r="C207">
            <v>5088</v>
          </cell>
          <cell r="D207">
            <v>982</v>
          </cell>
          <cell r="E207">
            <v>7253</v>
          </cell>
          <cell r="F207">
            <v>7335</v>
          </cell>
          <cell r="G207">
            <v>6515</v>
          </cell>
          <cell r="H207">
            <v>6444</v>
          </cell>
          <cell r="I207">
            <v>11728</v>
          </cell>
          <cell r="J207">
            <v>12177</v>
          </cell>
          <cell r="K207">
            <v>16877</v>
          </cell>
          <cell r="L207">
            <v>14034</v>
          </cell>
          <cell r="M207">
            <v>14601.410915628787</v>
          </cell>
          <cell r="N207">
            <v>16050.800103931546</v>
          </cell>
          <cell r="O207">
            <v>15870.590541706466</v>
          </cell>
          <cell r="P207">
            <v>16681.246645718718</v>
          </cell>
          <cell r="Q207">
            <v>16896.588833922196</v>
          </cell>
          <cell r="R207">
            <v>17199.014960702116</v>
          </cell>
          <cell r="S207">
            <v>17004.547800705575</v>
          </cell>
          <cell r="T207">
            <v>17208.368560323433</v>
          </cell>
          <cell r="U207">
            <v>17702.437455086067</v>
          </cell>
          <cell r="V207">
            <v>17135.145394993535</v>
          </cell>
          <cell r="W207" t="str">
            <v>From CF</v>
          </cell>
        </row>
        <row r="208">
          <cell r="A208" t="str">
            <v>Cash used in Share repurchase</v>
          </cell>
          <cell r="B208" t="str">
            <v xml:space="preserve"> </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t="str">
            <v>Feed to Cash Flow</v>
          </cell>
        </row>
        <row r="209">
          <cell r="A209" t="str">
            <v>% of Operating Cashflow used for repurchase</v>
          </cell>
          <cell r="C209">
            <v>0</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row>
        <row r="210">
          <cell r="A210" t="str">
            <v>Average Stock Repurchase Price ($)</v>
          </cell>
          <cell r="E210">
            <v>0</v>
          </cell>
          <cell r="F210">
            <v>0</v>
          </cell>
          <cell r="G210">
            <v>0</v>
          </cell>
          <cell r="H210">
            <v>0</v>
          </cell>
          <cell r="I210">
            <v>0</v>
          </cell>
          <cell r="J210">
            <v>0</v>
          </cell>
          <cell r="K210">
            <v>175</v>
          </cell>
          <cell r="L210">
            <v>140</v>
          </cell>
          <cell r="M210">
            <v>151.9</v>
          </cell>
          <cell r="N210">
            <v>164.8115</v>
          </cell>
          <cell r="O210">
            <v>178.82047749999998</v>
          </cell>
          <cell r="P210">
            <v>194.02021808749998</v>
          </cell>
          <cell r="Q210">
            <v>210.51193662493748</v>
          </cell>
          <cell r="R210">
            <v>228.40545123805717</v>
          </cell>
          <cell r="S210">
            <v>247.81991459329203</v>
          </cell>
          <cell r="T210">
            <v>268.88460733372182</v>
          </cell>
          <cell r="U210">
            <v>291.73979895708817</v>
          </cell>
          <cell r="V210">
            <v>316.53768186844064</v>
          </cell>
        </row>
        <row r="211">
          <cell r="A211" t="str">
            <v>Theoretical Cost of equity (%)</v>
          </cell>
          <cell r="F211">
            <v>0.09</v>
          </cell>
          <cell r="G211">
            <v>0.09</v>
          </cell>
          <cell r="H211">
            <v>0.09</v>
          </cell>
          <cell r="I211">
            <v>0.09</v>
          </cell>
          <cell r="J211">
            <v>0.09</v>
          </cell>
          <cell r="K211">
            <v>0.09</v>
          </cell>
          <cell r="L211">
            <v>8.5000000000000006E-2</v>
          </cell>
          <cell r="M211">
            <v>8.5000000000000006E-2</v>
          </cell>
          <cell r="N211">
            <v>8.5000000000000006E-2</v>
          </cell>
          <cell r="O211">
            <v>8.5000000000000006E-2</v>
          </cell>
          <cell r="P211">
            <v>8.5000000000000006E-2</v>
          </cell>
          <cell r="Q211">
            <v>8.5000000000000006E-2</v>
          </cell>
          <cell r="R211">
            <v>8.5000000000000006E-2</v>
          </cell>
          <cell r="S211">
            <v>8.5000000000000006E-2</v>
          </cell>
          <cell r="T211">
            <v>8.5000000000000006E-2</v>
          </cell>
          <cell r="U211">
            <v>8.5000000000000006E-2</v>
          </cell>
          <cell r="V211">
            <v>8.5000000000000006E-2</v>
          </cell>
        </row>
        <row r="212">
          <cell r="A212" t="str">
            <v>No. Shares Repurchase</v>
          </cell>
          <cell r="C212">
            <v>0</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row>
        <row r="214">
          <cell r="A214" t="str">
            <v>Opening Share Count</v>
          </cell>
          <cell r="E214">
            <v>839</v>
          </cell>
          <cell r="F214">
            <v>840</v>
          </cell>
          <cell r="G214">
            <v>843</v>
          </cell>
          <cell r="H214">
            <v>847</v>
          </cell>
          <cell r="I214">
            <v>857</v>
          </cell>
          <cell r="J214">
            <v>859</v>
          </cell>
          <cell r="K214">
            <v>860</v>
          </cell>
          <cell r="L214">
            <v>859</v>
          </cell>
          <cell r="M214">
            <v>860</v>
          </cell>
          <cell r="N214">
            <v>860</v>
          </cell>
          <cell r="O214">
            <v>860</v>
          </cell>
          <cell r="P214">
            <v>860</v>
          </cell>
          <cell r="Q214">
            <v>860</v>
          </cell>
          <cell r="R214">
            <v>860</v>
          </cell>
          <cell r="S214">
            <v>860</v>
          </cell>
          <cell r="T214">
            <v>860</v>
          </cell>
          <cell r="U214">
            <v>860</v>
          </cell>
          <cell r="V214">
            <v>860</v>
          </cell>
        </row>
        <row r="215">
          <cell r="A215" t="str">
            <v>Issued shares (mn)</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t="str">
            <v>Stays Constant</v>
          </cell>
        </row>
        <row r="216">
          <cell r="A216" t="str">
            <v>Repurchased shares (mn)</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row>
        <row r="217">
          <cell r="A217" t="str">
            <v>Closing Share Count</v>
          </cell>
          <cell r="D217">
            <v>839</v>
          </cell>
          <cell r="E217">
            <v>859</v>
          </cell>
          <cell r="F217">
            <v>843</v>
          </cell>
          <cell r="G217">
            <v>847</v>
          </cell>
          <cell r="H217">
            <v>857</v>
          </cell>
          <cell r="I217">
            <v>859</v>
          </cell>
          <cell r="J217">
            <v>860</v>
          </cell>
          <cell r="K217">
            <v>859</v>
          </cell>
          <cell r="L217">
            <v>860</v>
          </cell>
          <cell r="M217">
            <v>860</v>
          </cell>
          <cell r="N217">
            <v>860</v>
          </cell>
          <cell r="O217">
            <v>860</v>
          </cell>
          <cell r="P217">
            <v>860</v>
          </cell>
          <cell r="Q217">
            <v>860</v>
          </cell>
          <cell r="R217">
            <v>860</v>
          </cell>
          <cell r="S217">
            <v>860</v>
          </cell>
          <cell r="T217">
            <v>860</v>
          </cell>
          <cell r="U217">
            <v>860</v>
          </cell>
          <cell r="V217">
            <v>860</v>
          </cell>
          <cell r="Y217" t="str">
            <v>mstag:periodEndBasicSharesOutstanding~ROG.VX</v>
          </cell>
          <cell r="Z217">
            <v>6</v>
          </cell>
          <cell r="AA217" t="str">
            <v>ms_eqr_gcim_Decimal:ms_eqr_gcim_decimal</v>
          </cell>
          <cell r="AB217" t="b">
            <v>0</v>
          </cell>
        </row>
        <row r="218">
          <cell r="A218" t="str">
            <v>Average share count</v>
          </cell>
          <cell r="E218">
            <v>839</v>
          </cell>
          <cell r="F218">
            <v>841</v>
          </cell>
          <cell r="G218">
            <v>845</v>
          </cell>
          <cell r="H218">
            <v>852</v>
          </cell>
          <cell r="I218">
            <v>859</v>
          </cell>
          <cell r="J218">
            <v>860</v>
          </cell>
          <cell r="K218">
            <v>858</v>
          </cell>
          <cell r="L218">
            <v>855</v>
          </cell>
          <cell r="M218">
            <v>860</v>
          </cell>
          <cell r="N218">
            <v>860</v>
          </cell>
          <cell r="O218">
            <v>860</v>
          </cell>
          <cell r="P218">
            <v>860</v>
          </cell>
          <cell r="Q218">
            <v>860</v>
          </cell>
          <cell r="R218">
            <v>860</v>
          </cell>
          <cell r="S218">
            <v>860</v>
          </cell>
          <cell r="T218">
            <v>860</v>
          </cell>
          <cell r="U218">
            <v>860</v>
          </cell>
          <cell r="V218">
            <v>860</v>
          </cell>
          <cell r="Y218" t="str">
            <v>mstag:averageBasicSharesOutstanding~ROG.VX</v>
          </cell>
          <cell r="Z218">
            <v>6</v>
          </cell>
          <cell r="AA218" t="str">
            <v>ms_eqr_gcim_Decimal:ms_eqr_gcim_decimal</v>
          </cell>
          <cell r="AB218" t="b">
            <v>0</v>
          </cell>
        </row>
        <row r="219">
          <cell r="A219" t="str">
            <v>Adjustment for convertible debt instrument</v>
          </cell>
          <cell r="D219">
            <v>0</v>
          </cell>
          <cell r="E219">
            <v>20</v>
          </cell>
          <cell r="F219">
            <v>19</v>
          </cell>
          <cell r="G219">
            <v>15</v>
          </cell>
          <cell r="H219">
            <v>10</v>
          </cell>
          <cell r="I219">
            <v>3</v>
          </cell>
          <cell r="J219">
            <v>1</v>
          </cell>
          <cell r="K219">
            <v>1</v>
          </cell>
          <cell r="L219">
            <v>2</v>
          </cell>
          <cell r="M219">
            <v>2</v>
          </cell>
          <cell r="N219">
            <v>2</v>
          </cell>
          <cell r="O219">
            <v>2</v>
          </cell>
          <cell r="P219">
            <v>2</v>
          </cell>
          <cell r="Q219">
            <v>2</v>
          </cell>
          <cell r="R219">
            <v>2</v>
          </cell>
          <cell r="S219">
            <v>2</v>
          </cell>
          <cell r="T219">
            <v>2</v>
          </cell>
          <cell r="U219">
            <v>2</v>
          </cell>
          <cell r="V219">
            <v>2</v>
          </cell>
        </row>
        <row r="220">
          <cell r="A220" t="str">
            <v>Diluted shares</v>
          </cell>
          <cell r="D220">
            <v>839</v>
          </cell>
          <cell r="E220">
            <v>859</v>
          </cell>
          <cell r="F220">
            <v>860</v>
          </cell>
          <cell r="G220">
            <v>860</v>
          </cell>
          <cell r="H220">
            <v>862</v>
          </cell>
          <cell r="I220">
            <v>862</v>
          </cell>
          <cell r="J220">
            <v>861</v>
          </cell>
          <cell r="K220">
            <v>859</v>
          </cell>
          <cell r="L220">
            <v>857</v>
          </cell>
          <cell r="M220">
            <v>862</v>
          </cell>
          <cell r="N220">
            <v>862</v>
          </cell>
          <cell r="O220">
            <v>862</v>
          </cell>
          <cell r="P220">
            <v>862</v>
          </cell>
          <cell r="Q220">
            <v>862</v>
          </cell>
          <cell r="R220">
            <v>862</v>
          </cell>
          <cell r="S220">
            <v>862</v>
          </cell>
          <cell r="T220">
            <v>862</v>
          </cell>
          <cell r="U220">
            <v>862</v>
          </cell>
          <cell r="V220">
            <v>862</v>
          </cell>
          <cell r="W220" t="str">
            <v>Feed to Profit and Loss</v>
          </cell>
          <cell r="Y220" t="str">
            <v>mstag:averageDilutedSharesOutstanding~ROG.VX</v>
          </cell>
          <cell r="Z220">
            <v>6</v>
          </cell>
          <cell r="AA220" t="str">
            <v>ms_eqr_gcim_Decimal:ms_eqr_gcim_decimal</v>
          </cell>
          <cell r="AB220" t="b">
            <v>0</v>
          </cell>
        </row>
        <row r="249">
          <cell r="F249" t="str">
            <v>2004-FY</v>
          </cell>
          <cell r="G249" t="str">
            <v>2005-FY</v>
          </cell>
          <cell r="H249" t="str">
            <v>2006-FY</v>
          </cell>
          <cell r="I249" t="str">
            <v>2007-FY</v>
          </cell>
          <cell r="J249" t="str">
            <v>2008-FY</v>
          </cell>
          <cell r="K249" t="str">
            <v>2009-FY</v>
          </cell>
          <cell r="L249" t="str">
            <v>2010-FY</v>
          </cell>
          <cell r="M249" t="str">
            <v>2011-FY</v>
          </cell>
          <cell r="N249" t="str">
            <v>2012-FY</v>
          </cell>
          <cell r="O249" t="str">
            <v>2013-FY</v>
          </cell>
          <cell r="P249" t="str">
            <v>2014-FY</v>
          </cell>
          <cell r="Q249" t="str">
            <v>2015-FY</v>
          </cell>
          <cell r="R249" t="str">
            <v>2016-FY</v>
          </cell>
          <cell r="S249" t="str">
            <v>2017-FY</v>
          </cell>
          <cell r="T249" t="str">
            <v>2018-FY</v>
          </cell>
          <cell r="U249" t="str">
            <v>2019-FY</v>
          </cell>
          <cell r="V249" t="str">
            <v>2020-FY</v>
          </cell>
        </row>
      </sheetData>
      <sheetData sheetId="14" refreshError="1">
        <row r="1">
          <cell r="A1" t="str">
            <v>Return to contents</v>
          </cell>
          <cell r="Y1" t="str">
            <v>ElementName</v>
          </cell>
          <cell r="Z1" t="str">
            <v>ScaleOverride</v>
          </cell>
          <cell r="AA1" t="str">
            <v>UnitOverride</v>
          </cell>
          <cell r="AB1" t="str">
            <v>ReverseSign</v>
          </cell>
          <cell r="AC1" t="str">
            <v>IsDrivingAssumption</v>
          </cell>
          <cell r="AD1" t="str">
            <v>SegmentID</v>
          </cell>
        </row>
        <row r="2">
          <cell r="A2" t="str">
            <v>ROCHE</v>
          </cell>
        </row>
        <row r="3">
          <cell r="A3" t="str">
            <v>Annual Cash flow Statement</v>
          </cell>
          <cell r="R3" t="str">
            <v>Morgan Stanley Equity Research: Pharmaceuticals</v>
          </cell>
        </row>
        <row r="4">
          <cell r="A4" t="str">
            <v xml:space="preserve"> </v>
          </cell>
        </row>
        <row r="5">
          <cell r="A5" t="str">
            <v>in Sfr mlns</v>
          </cell>
          <cell r="B5">
            <v>2001</v>
          </cell>
          <cell r="C5">
            <v>2002</v>
          </cell>
          <cell r="D5">
            <v>2003</v>
          </cell>
          <cell r="E5">
            <v>2004</v>
          </cell>
          <cell r="F5">
            <v>2005</v>
          </cell>
          <cell r="G5">
            <v>2006</v>
          </cell>
          <cell r="H5">
            <v>2007</v>
          </cell>
          <cell r="I5">
            <v>2008</v>
          </cell>
          <cell r="J5">
            <v>2009</v>
          </cell>
          <cell r="K5">
            <v>2010</v>
          </cell>
          <cell r="L5">
            <v>2011</v>
          </cell>
          <cell r="M5">
            <v>2012</v>
          </cell>
          <cell r="N5">
            <v>2013</v>
          </cell>
          <cell r="O5">
            <v>2014</v>
          </cell>
          <cell r="P5">
            <v>2015</v>
          </cell>
          <cell r="Q5">
            <v>2016</v>
          </cell>
          <cell r="R5">
            <v>2017</v>
          </cell>
          <cell r="S5">
            <v>2018</v>
          </cell>
          <cell r="T5">
            <v>2019</v>
          </cell>
          <cell r="U5">
            <v>2020</v>
          </cell>
          <cell r="V5" t="str">
            <v>Model Directions/Assumptions</v>
          </cell>
        </row>
        <row r="6">
          <cell r="A6" t="str">
            <v>Net Income</v>
          </cell>
          <cell r="B6">
            <v>3697</v>
          </cell>
          <cell r="C6">
            <v>-4026</v>
          </cell>
          <cell r="D6">
            <v>3069</v>
          </cell>
          <cell r="E6">
            <v>6641</v>
          </cell>
          <cell r="F6">
            <v>2311</v>
          </cell>
          <cell r="G6">
            <v>3975</v>
          </cell>
          <cell r="H6">
            <v>9761</v>
          </cell>
          <cell r="I6">
            <v>8969</v>
          </cell>
          <cell r="J6">
            <v>7784</v>
          </cell>
          <cell r="K6">
            <v>8388</v>
          </cell>
          <cell r="L6">
            <v>8994.1764233101749</v>
          </cell>
          <cell r="M6">
            <v>11507.355063641457</v>
          </cell>
          <cell r="N6">
            <v>11779.791042546411</v>
          </cell>
          <cell r="O6">
            <v>12222.445208115038</v>
          </cell>
          <cell r="P6">
            <v>12776.766530930194</v>
          </cell>
          <cell r="Q6">
            <v>12966.655201823634</v>
          </cell>
          <cell r="R6">
            <v>13036.556651277057</v>
          </cell>
          <cell r="S6">
            <v>13264.859711986759</v>
          </cell>
          <cell r="T6">
            <v>12949.697935340757</v>
          </cell>
          <cell r="U6">
            <v>12881.372945927038</v>
          </cell>
          <cell r="Y6" t="str">
            <v>mstag:netIncomeReported</v>
          </cell>
          <cell r="Z6">
            <v>6</v>
          </cell>
          <cell r="AA6" t="str">
            <v>ISO4217:CHF</v>
          </cell>
          <cell r="AB6" t="b">
            <v>0</v>
          </cell>
          <cell r="AC6" t="b">
            <v>0</v>
          </cell>
        </row>
        <row r="7">
          <cell r="A7" t="str">
            <v>financial income (expense), net (Reported)</v>
          </cell>
          <cell r="B7">
            <v>-1515</v>
          </cell>
          <cell r="C7">
            <v>-663</v>
          </cell>
          <cell r="D7">
            <v>667</v>
          </cell>
          <cell r="E7">
            <v>359</v>
          </cell>
          <cell r="F7">
            <v>-328</v>
          </cell>
          <cell r="G7">
            <v>-855</v>
          </cell>
          <cell r="H7">
            <v>-834</v>
          </cell>
          <cell r="I7">
            <v>-236</v>
          </cell>
          <cell r="J7">
            <v>1668</v>
          </cell>
          <cell r="K7">
            <v>2272</v>
          </cell>
          <cell r="L7">
            <v>1764.0621524729295</v>
          </cell>
          <cell r="M7">
            <v>1459.6557639818584</v>
          </cell>
          <cell r="N7">
            <v>1278.3431066945661</v>
          </cell>
          <cell r="O7">
            <v>977.36801434601341</v>
          </cell>
          <cell r="P7">
            <v>652.62560854441858</v>
          </cell>
          <cell r="Q7">
            <v>256.6966545903133</v>
          </cell>
          <cell r="R7">
            <v>237.89848896951185</v>
          </cell>
          <cell r="S7">
            <v>186.755617216882</v>
          </cell>
          <cell r="T7">
            <v>127.21129246713394</v>
          </cell>
          <cell r="U7">
            <v>64.367886818389707</v>
          </cell>
          <cell r="Y7" t="str">
            <v>mstag:otherCashFlow</v>
          </cell>
          <cell r="Z7">
            <v>6</v>
          </cell>
          <cell r="AA7" t="str">
            <v>ISO4217:CHF</v>
          </cell>
          <cell r="AB7" t="b">
            <v>0</v>
          </cell>
          <cell r="AC7" t="b">
            <v>0</v>
          </cell>
        </row>
        <row r="8">
          <cell r="A8" t="str">
            <v>Income taxes</v>
          </cell>
          <cell r="B8">
            <v>1038</v>
          </cell>
          <cell r="C8">
            <v>839</v>
          </cell>
          <cell r="D8">
            <v>1445</v>
          </cell>
          <cell r="E8">
            <v>2345</v>
          </cell>
          <cell r="F8">
            <v>2284</v>
          </cell>
          <cell r="G8">
            <v>3436</v>
          </cell>
          <cell r="H8">
            <v>3867</v>
          </cell>
          <cell r="I8">
            <v>3317</v>
          </cell>
          <cell r="J8">
            <v>1722</v>
          </cell>
          <cell r="K8">
            <v>2320</v>
          </cell>
          <cell r="L8">
            <v>2491.62534632602</v>
          </cell>
          <cell r="M8">
            <v>3160.9472190331617</v>
          </cell>
          <cell r="N8">
            <v>3236.9050923124182</v>
          </cell>
          <cell r="O8">
            <v>3358.2072506797795</v>
          </cell>
          <cell r="P8">
            <v>3509.292699651111</v>
          </cell>
          <cell r="Q8">
            <v>3563.606576952473</v>
          </cell>
          <cell r="R8">
            <v>3586.1314782592517</v>
          </cell>
          <cell r="S8">
            <v>3650.873049002189</v>
          </cell>
          <cell r="T8">
            <v>3571.262870420871</v>
          </cell>
          <cell r="U8">
            <v>3557.3849255235914</v>
          </cell>
          <cell r="Y8" t="str">
            <v>mstag:netIncreaseInIncomeTaxPayableReceivable</v>
          </cell>
          <cell r="Z8">
            <v>6</v>
          </cell>
          <cell r="AA8" t="str">
            <v>ISO4217:CHF</v>
          </cell>
          <cell r="AB8" t="b">
            <v>0</v>
          </cell>
          <cell r="AC8" t="b">
            <v>0</v>
          </cell>
        </row>
        <row r="9">
          <cell r="A9" t="str">
            <v>Income applicable to minority interests</v>
          </cell>
          <cell r="B9">
            <v>34</v>
          </cell>
          <cell r="C9">
            <v>-41</v>
          </cell>
          <cell r="D9">
            <v>367</v>
          </cell>
          <cell r="E9">
            <v>499</v>
          </cell>
          <cell r="F9">
            <v>943</v>
          </cell>
          <cell r="G9">
            <v>1291</v>
          </cell>
          <cell r="H9">
            <v>1676</v>
          </cell>
          <cell r="I9">
            <v>1875</v>
          </cell>
          <cell r="J9">
            <v>726</v>
          </cell>
          <cell r="K9">
            <v>225</v>
          </cell>
          <cell r="L9">
            <v>337.55702239246727</v>
          </cell>
          <cell r="M9">
            <v>383.8273317689999</v>
          </cell>
          <cell r="N9">
            <v>397.13763805745003</v>
          </cell>
          <cell r="O9">
            <v>410.81063968032242</v>
          </cell>
          <cell r="P9">
            <v>424.85838680493868</v>
          </cell>
          <cell r="Q9">
            <v>439.29334956900357</v>
          </cell>
          <cell r="R9">
            <v>454.12843360298626</v>
          </cell>
          <cell r="S9">
            <v>469.37699616433406</v>
          </cell>
          <cell r="T9">
            <v>485.05286290918536</v>
          </cell>
          <cell r="U9">
            <v>501.17034532837818</v>
          </cell>
          <cell r="Y9" t="str">
            <v>mstag:otherCashFlow</v>
          </cell>
          <cell r="Z9">
            <v>6</v>
          </cell>
          <cell r="AA9" t="str">
            <v>ISO4217:CHF</v>
          </cell>
          <cell r="AB9" t="b">
            <v>0</v>
          </cell>
          <cell r="AC9" t="b">
            <v>0</v>
          </cell>
        </row>
        <row r="10">
          <cell r="A10" t="str">
            <v>Share of result of assoc. companies</v>
          </cell>
          <cell r="B10">
            <v>-7</v>
          </cell>
          <cell r="C10">
            <v>34</v>
          </cell>
          <cell r="D10">
            <v>44</v>
          </cell>
          <cell r="E10">
            <v>43</v>
          </cell>
          <cell r="F10">
            <v>-1</v>
          </cell>
          <cell r="G10">
            <v>-2</v>
          </cell>
          <cell r="H10">
            <v>-2</v>
          </cell>
          <cell r="I10">
            <v>-1</v>
          </cell>
          <cell r="J10">
            <v>0</v>
          </cell>
          <cell r="K10">
            <v>3</v>
          </cell>
          <cell r="L10">
            <v>-2</v>
          </cell>
          <cell r="M10">
            <v>-2</v>
          </cell>
          <cell r="N10">
            <v>-2</v>
          </cell>
          <cell r="O10">
            <v>-2</v>
          </cell>
          <cell r="P10">
            <v>-2</v>
          </cell>
          <cell r="Q10">
            <v>-2</v>
          </cell>
          <cell r="R10">
            <v>-2</v>
          </cell>
          <cell r="S10">
            <v>-2</v>
          </cell>
          <cell r="T10">
            <v>-2</v>
          </cell>
          <cell r="U10">
            <v>-2</v>
          </cell>
          <cell r="Y10" t="str">
            <v>mstag:otherCashFlow</v>
          </cell>
          <cell r="Z10">
            <v>6</v>
          </cell>
          <cell r="AA10" t="str">
            <v>ISO4217:CHF</v>
          </cell>
          <cell r="AB10" t="b">
            <v>0</v>
          </cell>
          <cell r="AC10" t="b">
            <v>0</v>
          </cell>
        </row>
        <row r="11">
          <cell r="A11" t="str">
            <v>Other</v>
          </cell>
          <cell r="B11">
            <v>0</v>
          </cell>
          <cell r="C11">
            <v>5192</v>
          </cell>
          <cell r="D11">
            <v>0</v>
          </cell>
          <cell r="E11">
            <v>-908</v>
          </cell>
          <cell r="F11">
            <v>0</v>
          </cell>
          <cell r="G11">
            <v>0</v>
          </cell>
          <cell r="H11">
            <v>0</v>
          </cell>
          <cell r="I11">
            <v>-28</v>
          </cell>
          <cell r="J11">
            <v>2363</v>
          </cell>
          <cell r="K11">
            <v>0</v>
          </cell>
          <cell r="L11">
            <v>0</v>
          </cell>
          <cell r="M11">
            <v>0</v>
          </cell>
          <cell r="N11">
            <v>0</v>
          </cell>
          <cell r="O11">
            <v>0</v>
          </cell>
          <cell r="P11">
            <v>0</v>
          </cell>
          <cell r="Q11">
            <v>0</v>
          </cell>
          <cell r="R11">
            <v>0</v>
          </cell>
          <cell r="S11">
            <v>0</v>
          </cell>
          <cell r="T11">
            <v>0</v>
          </cell>
          <cell r="U11">
            <v>0</v>
          </cell>
          <cell r="Y11" t="str">
            <v>mstag:otherCashFlow</v>
          </cell>
          <cell r="Z11">
            <v>6</v>
          </cell>
          <cell r="AA11" t="str">
            <v>ISO4217:CHF</v>
          </cell>
          <cell r="AB11" t="b">
            <v>0</v>
          </cell>
          <cell r="AC11" t="b">
            <v>0</v>
          </cell>
        </row>
        <row r="12">
          <cell r="A12" t="str">
            <v>Operating profit</v>
          </cell>
          <cell r="B12">
            <v>3247</v>
          </cell>
          <cell r="C12">
            <v>1335</v>
          </cell>
          <cell r="D12">
            <v>5592</v>
          </cell>
          <cell r="E12">
            <v>8979</v>
          </cell>
          <cell r="F12">
            <v>5209</v>
          </cell>
          <cell r="G12">
            <v>7845</v>
          </cell>
          <cell r="H12">
            <v>14468</v>
          </cell>
          <cell r="I12">
            <v>13896</v>
          </cell>
          <cell r="J12">
            <v>14263</v>
          </cell>
          <cell r="K12">
            <v>13208</v>
          </cell>
          <cell r="L12">
            <v>13585.420944501591</v>
          </cell>
          <cell r="M12">
            <v>16509.785378425477</v>
          </cell>
          <cell r="N12">
            <v>16690.176879610844</v>
          </cell>
          <cell r="O12">
            <v>16966.831112821154</v>
          </cell>
          <cell r="P12">
            <v>17361.543225930662</v>
          </cell>
          <cell r="Q12">
            <v>17224.251782935426</v>
          </cell>
          <cell r="R12">
            <v>17312.715052108804</v>
          </cell>
          <cell r="S12">
            <v>17569.865374370165</v>
          </cell>
          <cell r="T12">
            <v>17131.224961137948</v>
          </cell>
          <cell r="U12">
            <v>17002.296103597397</v>
          </cell>
          <cell r="V12">
            <v>23863.750161201871</v>
          </cell>
        </row>
        <row r="13">
          <cell r="A13" t="str">
            <v>Depreciation of property, plant and equipment</v>
          </cell>
          <cell r="B13">
            <v>1433</v>
          </cell>
          <cell r="C13">
            <v>1461</v>
          </cell>
          <cell r="D13">
            <v>1303</v>
          </cell>
          <cell r="E13">
            <v>1247</v>
          </cell>
          <cell r="F13">
            <v>1302</v>
          </cell>
          <cell r="G13">
            <v>1461</v>
          </cell>
          <cell r="H13">
            <v>1560</v>
          </cell>
          <cell r="I13">
            <v>1676</v>
          </cell>
          <cell r="J13">
            <v>1981</v>
          </cell>
          <cell r="K13">
            <v>1933</v>
          </cell>
          <cell r="L13">
            <v>2046.5114285714285</v>
          </cell>
          <cell r="M13">
            <v>2157.7526285714284</v>
          </cell>
          <cell r="N13">
            <v>2266.769004571428</v>
          </cell>
          <cell r="O13">
            <v>2373.6050530514276</v>
          </cell>
          <cell r="P13">
            <v>2478.3043805618272</v>
          </cell>
          <cell r="Q13">
            <v>2580.909721522019</v>
          </cell>
          <cell r="R13">
            <v>2681.4629556630071</v>
          </cell>
          <cell r="S13">
            <v>2780.0051251211753</v>
          </cell>
          <cell r="T13">
            <v>2876.5764511901807</v>
          </cell>
          <cell r="U13">
            <v>2971.2163507378054</v>
          </cell>
          <cell r="V13" t="str">
            <v>Linked to BS</v>
          </cell>
          <cell r="Y13" t="str">
            <v>mstag:depreciation</v>
          </cell>
          <cell r="Z13">
            <v>6</v>
          </cell>
          <cell r="AA13" t="str">
            <v>ISO4217:CHF</v>
          </cell>
          <cell r="AB13" t="b">
            <v>0</v>
          </cell>
          <cell r="AC13" t="b">
            <v>0</v>
          </cell>
        </row>
        <row r="14">
          <cell r="A14" t="str">
            <v>Amortisation of Goodwill</v>
          </cell>
          <cell r="B14">
            <v>528</v>
          </cell>
          <cell r="C14">
            <v>501</v>
          </cell>
          <cell r="D14">
            <v>497</v>
          </cell>
          <cell r="E14">
            <v>579</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t="str">
            <v>Linked to BS</v>
          </cell>
          <cell r="Y14" t="str">
            <v>mstag:amortizationOfGoodwillCashFlowStatement</v>
          </cell>
          <cell r="Z14">
            <v>6</v>
          </cell>
          <cell r="AA14" t="str">
            <v>ISO4217:CHF</v>
          </cell>
          <cell r="AB14" t="b">
            <v>0</v>
          </cell>
          <cell r="AC14" t="b">
            <v>0</v>
          </cell>
        </row>
        <row r="15">
          <cell r="A15" t="str">
            <v>Amortisation of Other Intangibles</v>
          </cell>
          <cell r="B15">
            <v>1025</v>
          </cell>
          <cell r="C15">
            <v>1019</v>
          </cell>
          <cell r="D15">
            <v>1013</v>
          </cell>
          <cell r="E15">
            <v>1026</v>
          </cell>
          <cell r="F15">
            <v>1011</v>
          </cell>
          <cell r="G15">
            <v>977</v>
          </cell>
          <cell r="H15">
            <v>976</v>
          </cell>
          <cell r="I15">
            <v>969</v>
          </cell>
          <cell r="J15">
            <v>712</v>
          </cell>
          <cell r="K15">
            <v>619</v>
          </cell>
          <cell r="L15">
            <v>651.57306279727857</v>
          </cell>
          <cell r="M15">
            <v>684.14612559455713</v>
          </cell>
          <cell r="N15">
            <v>716.7191883918357</v>
          </cell>
          <cell r="O15">
            <v>749.29225118911427</v>
          </cell>
          <cell r="P15">
            <v>781.86531398639283</v>
          </cell>
          <cell r="Q15">
            <v>814.4383767836714</v>
          </cell>
          <cell r="R15">
            <v>600</v>
          </cell>
          <cell r="S15">
            <v>632.57306279727857</v>
          </cell>
          <cell r="T15">
            <v>600</v>
          </cell>
          <cell r="U15">
            <v>632.57306279727857</v>
          </cell>
          <cell r="V15" t="str">
            <v>Linked to BS</v>
          </cell>
          <cell r="Y15" t="str">
            <v>mstag:amortizationOfOtherIntangibles</v>
          </cell>
          <cell r="Z15">
            <v>6</v>
          </cell>
          <cell r="AA15" t="str">
            <v>ISO4217:CHF</v>
          </cell>
          <cell r="AB15" t="b">
            <v>0</v>
          </cell>
          <cell r="AC15" t="b">
            <v>0</v>
          </cell>
        </row>
        <row r="16">
          <cell r="A16" t="str">
            <v>Stock option charge</v>
          </cell>
          <cell r="F16">
            <v>364</v>
          </cell>
          <cell r="G16">
            <v>620</v>
          </cell>
          <cell r="H16">
            <v>603</v>
          </cell>
          <cell r="I16">
            <v>526</v>
          </cell>
          <cell r="J16">
            <v>586</v>
          </cell>
          <cell r="K16">
            <v>302</v>
          </cell>
          <cell r="L16">
            <v>328.69708352773802</v>
          </cell>
          <cell r="M16">
            <v>307.16905464041048</v>
          </cell>
          <cell r="N16">
            <v>344.56551279769081</v>
          </cell>
          <cell r="O16">
            <v>349.45933607186981</v>
          </cell>
          <cell r="P16">
            <v>357.2357809305301</v>
          </cell>
          <cell r="Q16">
            <v>355.82990520022673</v>
          </cell>
          <cell r="R16">
            <v>355.4192428901668</v>
          </cell>
          <cell r="S16">
            <v>359.17947946749456</v>
          </cell>
          <cell r="T16">
            <v>344.65601894041515</v>
          </cell>
          <cell r="U16">
            <v>337.91091096418592</v>
          </cell>
          <cell r="Y16" t="str">
            <v>mstag:stockBasedCompensationChargePreTax</v>
          </cell>
          <cell r="Z16">
            <v>6</v>
          </cell>
          <cell r="AA16" t="str">
            <v>ISO4217:CHF</v>
          </cell>
          <cell r="AB16" t="b">
            <v>0</v>
          </cell>
          <cell r="AC16" t="b">
            <v>0</v>
          </cell>
        </row>
        <row r="17">
          <cell r="A17" t="str">
            <v>Impairment of Long-Term Assets</v>
          </cell>
          <cell r="B17">
            <v>18</v>
          </cell>
          <cell r="C17">
            <v>13</v>
          </cell>
          <cell r="D17">
            <v>25</v>
          </cell>
          <cell r="E17">
            <v>39</v>
          </cell>
          <cell r="F17">
            <v>66</v>
          </cell>
          <cell r="G17">
            <v>268</v>
          </cell>
          <cell r="H17">
            <v>64</v>
          </cell>
          <cell r="I17">
            <v>132</v>
          </cell>
          <cell r="J17">
            <v>1795</v>
          </cell>
          <cell r="K17">
            <v>805</v>
          </cell>
          <cell r="L17">
            <v>0</v>
          </cell>
          <cell r="M17">
            <v>0</v>
          </cell>
          <cell r="N17">
            <v>0</v>
          </cell>
          <cell r="O17">
            <v>0</v>
          </cell>
          <cell r="P17">
            <v>0</v>
          </cell>
          <cell r="Q17">
            <v>0</v>
          </cell>
          <cell r="R17">
            <v>0</v>
          </cell>
          <cell r="S17">
            <v>0</v>
          </cell>
          <cell r="T17">
            <v>0</v>
          </cell>
          <cell r="U17">
            <v>0</v>
          </cell>
          <cell r="V17" t="str">
            <v>Linked to BS</v>
          </cell>
          <cell r="Y17" t="str">
            <v>mstag:assetImpairmentNonGoodwillOneTime</v>
          </cell>
          <cell r="Z17">
            <v>6</v>
          </cell>
          <cell r="AA17" t="str">
            <v>ISO4217:CHF</v>
          </cell>
          <cell r="AB17" t="b">
            <v>0</v>
          </cell>
          <cell r="AC17" t="b">
            <v>0</v>
          </cell>
        </row>
        <row r="18">
          <cell r="A18" t="str">
            <v>Charge for vitamin case</v>
          </cell>
          <cell r="B18">
            <v>760</v>
          </cell>
          <cell r="C18">
            <v>1770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Y18" t="str">
            <v>mstag:legalProvisionOneTimeCashFlowStatement</v>
          </cell>
          <cell r="Z18">
            <v>6</v>
          </cell>
          <cell r="AA18" t="str">
            <v>ISO4217:CHF</v>
          </cell>
          <cell r="AB18" t="b">
            <v>0</v>
          </cell>
          <cell r="AC18" t="b">
            <v>0</v>
          </cell>
        </row>
        <row r="19">
          <cell r="A19" t="str">
            <v>Charge for Pharma Division restructuring</v>
          </cell>
          <cell r="B19">
            <v>777</v>
          </cell>
          <cell r="C19">
            <v>154</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Y19" t="str">
            <v>mstag:restructuringCostsOneTimeCashFlowStatement</v>
          </cell>
          <cell r="Z19">
            <v>6</v>
          </cell>
          <cell r="AA19" t="str">
            <v>ISO4217:CHF</v>
          </cell>
          <cell r="AB19" t="b">
            <v>0</v>
          </cell>
          <cell r="AC19" t="b">
            <v>0</v>
          </cell>
        </row>
        <row r="20">
          <cell r="A20" t="str">
            <v>Charge for major legal cases</v>
          </cell>
          <cell r="B20">
            <v>0</v>
          </cell>
          <cell r="C20">
            <v>778</v>
          </cell>
          <cell r="D20">
            <v>-216</v>
          </cell>
          <cell r="E20">
            <v>0</v>
          </cell>
          <cell r="F20">
            <v>356</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Y20" t="str">
            <v>mstag:legalProvisionOneTimeCashFlowStatement</v>
          </cell>
          <cell r="Z20">
            <v>6</v>
          </cell>
          <cell r="AA20" t="str">
            <v>ISO4217:CHF</v>
          </cell>
          <cell r="AB20" t="b">
            <v>0</v>
          </cell>
          <cell r="AC20" t="b">
            <v>0</v>
          </cell>
        </row>
        <row r="21">
          <cell r="A21" t="str">
            <v>Expense for defined benefit post-employment plans</v>
          </cell>
          <cell r="B21">
            <v>264</v>
          </cell>
          <cell r="C21">
            <v>279</v>
          </cell>
          <cell r="D21">
            <v>469</v>
          </cell>
          <cell r="E21">
            <v>532</v>
          </cell>
          <cell r="F21">
            <v>313</v>
          </cell>
          <cell r="G21">
            <v>348</v>
          </cell>
          <cell r="H21">
            <v>370</v>
          </cell>
          <cell r="I21">
            <v>317</v>
          </cell>
          <cell r="J21">
            <v>315</v>
          </cell>
          <cell r="K21">
            <v>235</v>
          </cell>
          <cell r="L21">
            <v>-95</v>
          </cell>
          <cell r="M21">
            <v>-95</v>
          </cell>
          <cell r="N21">
            <v>-95</v>
          </cell>
          <cell r="O21">
            <v>-95</v>
          </cell>
          <cell r="P21">
            <v>-95</v>
          </cell>
          <cell r="Q21">
            <v>-95</v>
          </cell>
          <cell r="R21">
            <v>-95</v>
          </cell>
          <cell r="S21">
            <v>-95</v>
          </cell>
          <cell r="T21">
            <v>-95</v>
          </cell>
          <cell r="U21">
            <v>-95</v>
          </cell>
          <cell r="Y21" t="str">
            <v>mstag:contributionToPensionAndOtherPostRetirementPlanAssets</v>
          </cell>
          <cell r="Z21">
            <v>6</v>
          </cell>
          <cell r="AA21" t="str">
            <v>ISO4217:CHF</v>
          </cell>
          <cell r="AB21" t="b">
            <v>0</v>
          </cell>
          <cell r="AC21" t="b">
            <v>0</v>
          </cell>
        </row>
        <row r="22">
          <cell r="A22" t="str">
            <v>Other adjustments</v>
          </cell>
          <cell r="B22">
            <v>-114</v>
          </cell>
          <cell r="C22">
            <v>1308</v>
          </cell>
          <cell r="D22">
            <v>507</v>
          </cell>
          <cell r="E22">
            <v>-2654</v>
          </cell>
          <cell r="F22">
            <v>440</v>
          </cell>
          <cell r="G22">
            <v>571</v>
          </cell>
          <cell r="H22">
            <v>439</v>
          </cell>
          <cell r="I22">
            <v>110</v>
          </cell>
          <cell r="J22">
            <v>-348</v>
          </cell>
          <cell r="K22">
            <v>2056</v>
          </cell>
          <cell r="V22" t="str">
            <v>Change in Provisions and other current</v>
          </cell>
          <cell r="Y22" t="str">
            <v>mstag:otherCashFlow</v>
          </cell>
          <cell r="Z22">
            <v>6</v>
          </cell>
          <cell r="AA22" t="str">
            <v>ISO4217:CHF</v>
          </cell>
          <cell r="AB22" t="b">
            <v>0</v>
          </cell>
          <cell r="AC22" t="b">
            <v>0</v>
          </cell>
        </row>
        <row r="23">
          <cell r="A23" t="str">
            <v>Cash generated from operations</v>
          </cell>
          <cell r="B23">
            <v>7938</v>
          </cell>
          <cell r="C23">
            <v>8618</v>
          </cell>
          <cell r="D23">
            <v>9190</v>
          </cell>
          <cell r="E23">
            <v>9748</v>
          </cell>
          <cell r="F23">
            <v>9061</v>
          </cell>
          <cell r="G23">
            <v>12090</v>
          </cell>
          <cell r="H23">
            <v>18480</v>
          </cell>
          <cell r="I23">
            <v>17626</v>
          </cell>
          <cell r="J23">
            <v>19304</v>
          </cell>
          <cell r="K23">
            <v>19158</v>
          </cell>
          <cell r="L23">
            <v>16517.202519398037</v>
          </cell>
          <cell r="M23">
            <v>19563.853187231871</v>
          </cell>
          <cell r="N23">
            <v>19923.230585371795</v>
          </cell>
          <cell r="O23">
            <v>20344.187753133567</v>
          </cell>
          <cell r="P23">
            <v>20883.948701409412</v>
          </cell>
          <cell r="Q23">
            <v>20880.429786441338</v>
          </cell>
          <cell r="R23">
            <v>20854.597250661976</v>
          </cell>
          <cell r="S23">
            <v>21246.623041756113</v>
          </cell>
          <cell r="T23">
            <v>20857.457431268544</v>
          </cell>
          <cell r="U23">
            <v>20848.996428096667</v>
          </cell>
        </row>
        <row r="24">
          <cell r="A24" t="str">
            <v>Decrease in Inventories</v>
          </cell>
          <cell r="B24">
            <v>-131</v>
          </cell>
          <cell r="C24">
            <v>-322</v>
          </cell>
          <cell r="D24">
            <v>-791</v>
          </cell>
          <cell r="E24">
            <v>227</v>
          </cell>
          <cell r="F24">
            <v>488</v>
          </cell>
          <cell r="G24">
            <v>-1897</v>
          </cell>
          <cell r="H24">
            <v>-1207</v>
          </cell>
          <cell r="I24">
            <v>-524</v>
          </cell>
          <cell r="J24">
            <v>349</v>
          </cell>
          <cell r="K24">
            <v>-1266</v>
          </cell>
          <cell r="L24">
            <v>295.45518554828868</v>
          </cell>
          <cell r="M24">
            <v>-52.431009987994003</v>
          </cell>
          <cell r="N24">
            <v>-310.06460964261987</v>
          </cell>
          <cell r="O24">
            <v>-109.32708676397851</v>
          </cell>
          <cell r="P24">
            <v>-222.91062775128921</v>
          </cell>
          <cell r="Q24">
            <v>-23.813747330231308</v>
          </cell>
          <cell r="R24">
            <v>-142.88427827733813</v>
          </cell>
          <cell r="S24">
            <v>-180.07722232662763</v>
          </cell>
          <cell r="T24">
            <v>299.20505322563167</v>
          </cell>
          <cell r="U24">
            <v>-118.6264391157647</v>
          </cell>
          <cell r="V24" t="str">
            <v>Linked to BS</v>
          </cell>
          <cell r="Y24" t="str">
            <v>mstag:netDecreaseInInventories</v>
          </cell>
          <cell r="Z24">
            <v>6</v>
          </cell>
          <cell r="AA24" t="str">
            <v>ISO4217:CHF</v>
          </cell>
          <cell r="AB24" t="b">
            <v>0</v>
          </cell>
          <cell r="AC24" t="b">
            <v>0</v>
          </cell>
        </row>
        <row r="25">
          <cell r="A25" t="str">
            <v>Decrease in Trade Receivables</v>
          </cell>
          <cell r="L25">
            <v>391.79484552820213</v>
          </cell>
          <cell r="M25">
            <v>-332.33539249791284</v>
          </cell>
          <cell r="N25">
            <v>-560.78162410747063</v>
          </cell>
          <cell r="O25">
            <v>-216.70348602087506</v>
          </cell>
          <cell r="P25">
            <v>-282.96517938238503</v>
          </cell>
          <cell r="Q25">
            <v>-104.2386409408191</v>
          </cell>
          <cell r="R25">
            <v>-134.22474202881494</v>
          </cell>
          <cell r="S25">
            <v>-229.89758749379689</v>
          </cell>
          <cell r="T25">
            <v>129.79339532388985</v>
          </cell>
          <cell r="U25">
            <v>-41.963684611275312</v>
          </cell>
          <cell r="V25" t="str">
            <v>Linked to BS</v>
          </cell>
          <cell r="Y25" t="str">
            <v>mstag:netDecreaseInTradeReceivables</v>
          </cell>
          <cell r="Z25">
            <v>6</v>
          </cell>
          <cell r="AA25" t="str">
            <v>ISO4217:CHF</v>
          </cell>
          <cell r="AB25" t="b">
            <v>0</v>
          </cell>
          <cell r="AC25" t="b">
            <v>0</v>
          </cell>
        </row>
        <row r="26">
          <cell r="A26" t="str">
            <v>Decrease in Other Receivables</v>
          </cell>
          <cell r="L26">
            <v>119.68590271275855</v>
          </cell>
          <cell r="M26">
            <v>-35.084690503784827</v>
          </cell>
          <cell r="N26">
            <v>-59.201788813822986</v>
          </cell>
          <cell r="O26">
            <v>-22.87741513471633</v>
          </cell>
          <cell r="P26">
            <v>-29.87267069980021</v>
          </cell>
          <cell r="Q26">
            <v>-11.004486848227316</v>
          </cell>
          <cell r="R26">
            <v>-14.170123430536705</v>
          </cell>
          <cell r="S26">
            <v>-24.270318139038636</v>
          </cell>
          <cell r="T26">
            <v>13.702305583967245</v>
          </cell>
          <cell r="U26">
            <v>-4.4301116288547746</v>
          </cell>
          <cell r="Y26" t="str">
            <v>mstag:netDecreaseInOtherReceivables</v>
          </cell>
          <cell r="Z26">
            <v>6</v>
          </cell>
          <cell r="AA26" t="str">
            <v>ISO4217:CHF</v>
          </cell>
          <cell r="AB26" t="b">
            <v>0</v>
          </cell>
          <cell r="AC26" t="b">
            <v>0</v>
          </cell>
        </row>
        <row r="27">
          <cell r="A27" t="str">
            <v>Increase in Payables</v>
          </cell>
          <cell r="L27">
            <v>-231.10219123247884</v>
          </cell>
          <cell r="M27">
            <v>67.7452287225276</v>
          </cell>
          <cell r="N27">
            <v>114.31307121100463</v>
          </cell>
          <cell r="O27">
            <v>44.174131184494399</v>
          </cell>
          <cell r="P27">
            <v>57.681309997372864</v>
          </cell>
          <cell r="Q27">
            <v>21.248626332524964</v>
          </cell>
          <cell r="R27">
            <v>27.361172039542907</v>
          </cell>
          <cell r="S27">
            <v>46.863695528974404</v>
          </cell>
          <cell r="T27">
            <v>-26.457859895092497</v>
          </cell>
          <cell r="U27">
            <v>8.5541277763509243</v>
          </cell>
          <cell r="V27" t="str">
            <v>Linked to BS</v>
          </cell>
          <cell r="Y27" t="str">
            <v>mstag:netIncreaseInTradeAndOtherPayables</v>
          </cell>
          <cell r="Z27">
            <v>6</v>
          </cell>
          <cell r="AA27" t="str">
            <v>ISO4217:CHF</v>
          </cell>
          <cell r="AB27" t="b">
            <v>0</v>
          </cell>
          <cell r="AC27" t="b">
            <v>0</v>
          </cell>
        </row>
        <row r="28">
          <cell r="A28" t="str">
            <v xml:space="preserve">Pharma Division restructuring costs paid </v>
          </cell>
          <cell r="B28">
            <v>-239</v>
          </cell>
          <cell r="C28">
            <v>-156</v>
          </cell>
          <cell r="D28">
            <v>-159</v>
          </cell>
          <cell r="E28">
            <v>-163</v>
          </cell>
          <cell r="F28">
            <v>-119</v>
          </cell>
          <cell r="G28">
            <v>-98</v>
          </cell>
          <cell r="H28">
            <v>0</v>
          </cell>
          <cell r="I28">
            <v>0</v>
          </cell>
          <cell r="J28">
            <v>0</v>
          </cell>
          <cell r="K28">
            <v>0</v>
          </cell>
          <cell r="L28">
            <v>0</v>
          </cell>
          <cell r="M28">
            <v>0</v>
          </cell>
          <cell r="N28">
            <v>0</v>
          </cell>
          <cell r="O28">
            <v>0</v>
          </cell>
          <cell r="P28">
            <v>0</v>
          </cell>
          <cell r="Q28">
            <v>0</v>
          </cell>
          <cell r="R28">
            <v>0</v>
          </cell>
          <cell r="S28">
            <v>0</v>
          </cell>
          <cell r="T28">
            <v>0</v>
          </cell>
          <cell r="U28">
            <v>0</v>
          </cell>
          <cell r="Y28" t="str">
            <v>mstag:restructuringCostsOneTimeCashFlowStatement</v>
          </cell>
          <cell r="Z28">
            <v>6</v>
          </cell>
          <cell r="AA28" t="str">
            <v>ISO4217:CHF</v>
          </cell>
          <cell r="AB28" t="b">
            <v>0</v>
          </cell>
          <cell r="AC28" t="b">
            <v>0</v>
          </cell>
        </row>
        <row r="29">
          <cell r="A29" t="str">
            <v>Legal Costs Paid</v>
          </cell>
          <cell r="B29">
            <v>-533</v>
          </cell>
          <cell r="C29">
            <v>-4284</v>
          </cell>
          <cell r="D29">
            <v>395</v>
          </cell>
          <cell r="E29">
            <v>-131</v>
          </cell>
          <cell r="F29">
            <v>-180</v>
          </cell>
          <cell r="G29">
            <v>-31</v>
          </cell>
          <cell r="H29">
            <v>-299</v>
          </cell>
          <cell r="I29">
            <v>0</v>
          </cell>
          <cell r="J29">
            <v>0</v>
          </cell>
          <cell r="K29">
            <v>0</v>
          </cell>
          <cell r="L29">
            <v>0</v>
          </cell>
          <cell r="M29">
            <v>0</v>
          </cell>
          <cell r="N29">
            <v>0</v>
          </cell>
          <cell r="O29">
            <v>0</v>
          </cell>
          <cell r="P29">
            <v>0</v>
          </cell>
          <cell r="Q29">
            <v>0</v>
          </cell>
          <cell r="R29">
            <v>0</v>
          </cell>
          <cell r="S29">
            <v>0</v>
          </cell>
          <cell r="T29">
            <v>0</v>
          </cell>
          <cell r="U29">
            <v>0</v>
          </cell>
          <cell r="Y29" t="str">
            <v>mstag:legalProvisionOneTimeCashFlowStatement</v>
          </cell>
          <cell r="Z29">
            <v>6</v>
          </cell>
          <cell r="AA29" t="str">
            <v>ISO4217:CHF</v>
          </cell>
          <cell r="AB29" t="b">
            <v>0</v>
          </cell>
          <cell r="AC29" t="b">
            <v>0</v>
          </cell>
        </row>
        <row r="30">
          <cell r="A30" t="str">
            <v>Payments made for defined benefit post-employment plans</v>
          </cell>
          <cell r="B30">
            <v>-293</v>
          </cell>
          <cell r="C30">
            <v>-779</v>
          </cell>
          <cell r="D30">
            <v>-434</v>
          </cell>
          <cell r="E30">
            <v>-653</v>
          </cell>
          <cell r="F30">
            <v>-303</v>
          </cell>
          <cell r="G30">
            <v>-323</v>
          </cell>
          <cell r="H30">
            <v>-352</v>
          </cell>
          <cell r="I30">
            <v>-353</v>
          </cell>
          <cell r="J30">
            <v>-467</v>
          </cell>
          <cell r="K30">
            <v>-334</v>
          </cell>
          <cell r="L30">
            <v>0</v>
          </cell>
          <cell r="M30">
            <v>0</v>
          </cell>
          <cell r="N30">
            <v>0</v>
          </cell>
          <cell r="O30">
            <v>0</v>
          </cell>
          <cell r="P30">
            <v>0</v>
          </cell>
          <cell r="Q30">
            <v>0</v>
          </cell>
          <cell r="R30">
            <v>0</v>
          </cell>
          <cell r="S30">
            <v>0</v>
          </cell>
          <cell r="T30">
            <v>0</v>
          </cell>
          <cell r="U30">
            <v>0</v>
          </cell>
          <cell r="Y30" t="str">
            <v>mstag:contributionToPensionAndOtherPostRetirementPlanAssets</v>
          </cell>
          <cell r="Z30">
            <v>6</v>
          </cell>
          <cell r="AA30" t="str">
            <v>ISO4217:CHF</v>
          </cell>
          <cell r="AB30" t="b">
            <v>0</v>
          </cell>
          <cell r="AC30" t="b">
            <v>0</v>
          </cell>
        </row>
        <row r="31">
          <cell r="A31" t="str">
            <v>Other operating cash flows</v>
          </cell>
          <cell r="B31">
            <v>-459</v>
          </cell>
          <cell r="C31">
            <v>-736</v>
          </cell>
          <cell r="D31">
            <v>-182</v>
          </cell>
          <cell r="E31">
            <v>-203</v>
          </cell>
          <cell r="F31">
            <v>-435</v>
          </cell>
          <cell r="G31">
            <v>-500</v>
          </cell>
          <cell r="H31">
            <v>-400</v>
          </cell>
          <cell r="I31">
            <v>-1058</v>
          </cell>
          <cell r="J31">
            <v>-542</v>
          </cell>
          <cell r="K31">
            <v>-735</v>
          </cell>
          <cell r="L31">
            <v>0</v>
          </cell>
          <cell r="M31">
            <v>0</v>
          </cell>
          <cell r="N31">
            <v>0</v>
          </cell>
          <cell r="O31">
            <v>0</v>
          </cell>
          <cell r="P31">
            <v>0</v>
          </cell>
          <cell r="Q31">
            <v>0</v>
          </cell>
          <cell r="R31">
            <v>0</v>
          </cell>
          <cell r="S31">
            <v>0</v>
          </cell>
          <cell r="T31">
            <v>0</v>
          </cell>
          <cell r="U31">
            <v>0</v>
          </cell>
          <cell r="V31" t="str">
            <v>Change in Deferred tax</v>
          </cell>
          <cell r="Y31" t="str">
            <v>mstag:otherCashFlow</v>
          </cell>
          <cell r="Z31">
            <v>6</v>
          </cell>
          <cell r="AA31" t="str">
            <v>ISO4217:CHF</v>
          </cell>
          <cell r="AB31" t="b">
            <v>0</v>
          </cell>
          <cell r="AC31" t="b">
            <v>0</v>
          </cell>
        </row>
        <row r="32">
          <cell r="A32" t="str">
            <v>Income taxes paid</v>
          </cell>
          <cell r="B32">
            <v>-1195</v>
          </cell>
          <cell r="C32">
            <v>-1359</v>
          </cell>
          <cell r="D32">
            <v>-766</v>
          </cell>
          <cell r="E32">
            <v>-1490</v>
          </cell>
          <cell r="F32">
            <v>-1997</v>
          </cell>
          <cell r="G32">
            <v>-2797</v>
          </cell>
          <cell r="H32">
            <v>-4494</v>
          </cell>
          <cell r="I32">
            <v>-3514</v>
          </cell>
          <cell r="J32">
            <v>-1767</v>
          </cell>
          <cell r="K32">
            <v>-2789</v>
          </cell>
          <cell r="L32">
            <v>-2491.62534632602</v>
          </cell>
          <cell r="M32">
            <v>-3160.9472190331617</v>
          </cell>
          <cell r="N32">
            <v>-3236.9050923124182</v>
          </cell>
          <cell r="O32">
            <v>-3358.2072506797795</v>
          </cell>
          <cell r="P32">
            <v>-3509.292699651111</v>
          </cell>
          <cell r="Q32">
            <v>-3563.606576952473</v>
          </cell>
          <cell r="R32">
            <v>-3586.1314782592517</v>
          </cell>
          <cell r="S32">
            <v>-3650.873049002189</v>
          </cell>
          <cell r="T32">
            <v>-3571.262870420871</v>
          </cell>
          <cell r="U32">
            <v>-3557.3849255235914</v>
          </cell>
          <cell r="V32" t="str">
            <v>Linked to P&amp;L and BS</v>
          </cell>
          <cell r="Y32" t="str">
            <v>mstag:taxPaidCashFlowStatement</v>
          </cell>
          <cell r="Z32">
            <v>6</v>
          </cell>
          <cell r="AA32" t="str">
            <v>ISO4217:CHF</v>
          </cell>
          <cell r="AB32" t="b">
            <v>1</v>
          </cell>
          <cell r="AC32" t="b">
            <v>0</v>
          </cell>
        </row>
        <row r="33">
          <cell r="A33" t="str">
            <v xml:space="preserve">Total cash flows from operating activities </v>
          </cell>
          <cell r="B33">
            <v>5088</v>
          </cell>
          <cell r="C33">
            <v>982</v>
          </cell>
          <cell r="D33">
            <v>7253</v>
          </cell>
          <cell r="E33">
            <v>7335</v>
          </cell>
          <cell r="F33">
            <v>6515</v>
          </cell>
          <cell r="G33">
            <v>6444</v>
          </cell>
          <cell r="H33">
            <v>11728</v>
          </cell>
          <cell r="I33">
            <v>12177</v>
          </cell>
          <cell r="J33">
            <v>16877</v>
          </cell>
          <cell r="K33">
            <v>14034</v>
          </cell>
          <cell r="L33">
            <v>14601.410915628787</v>
          </cell>
          <cell r="M33">
            <v>16050.800103931546</v>
          </cell>
          <cell r="N33">
            <v>15870.590541706466</v>
          </cell>
          <cell r="O33">
            <v>16681.246645718718</v>
          </cell>
          <cell r="P33">
            <v>16896.588833922196</v>
          </cell>
          <cell r="Q33">
            <v>17199.014960702116</v>
          </cell>
          <cell r="R33">
            <v>17004.547800705575</v>
          </cell>
          <cell r="S33">
            <v>17208.368560323433</v>
          </cell>
          <cell r="T33">
            <v>17702.437455086067</v>
          </cell>
          <cell r="U33">
            <v>17135.145394993535</v>
          </cell>
        </row>
        <row r="34">
          <cell r="D34" t="str">
            <v xml:space="preserve"> </v>
          </cell>
        </row>
        <row r="35">
          <cell r="A35" t="str">
            <v>Proceeds from issue of long-term debt</v>
          </cell>
          <cell r="B35">
            <v>2110</v>
          </cell>
          <cell r="C35">
            <v>274</v>
          </cell>
          <cell r="D35">
            <v>2635</v>
          </cell>
          <cell r="E35">
            <v>0</v>
          </cell>
          <cell r="F35">
            <v>2565</v>
          </cell>
          <cell r="G35">
            <v>0</v>
          </cell>
          <cell r="H35">
            <v>719</v>
          </cell>
          <cell r="I35">
            <v>0</v>
          </cell>
          <cell r="J35">
            <v>48197</v>
          </cell>
          <cell r="K35">
            <v>0</v>
          </cell>
          <cell r="L35">
            <v>0</v>
          </cell>
          <cell r="M35">
            <v>0</v>
          </cell>
          <cell r="N35">
            <v>0</v>
          </cell>
          <cell r="O35">
            <v>0</v>
          </cell>
          <cell r="P35">
            <v>0</v>
          </cell>
          <cell r="Q35">
            <v>0</v>
          </cell>
          <cell r="R35">
            <v>0</v>
          </cell>
          <cell r="S35">
            <v>0</v>
          </cell>
          <cell r="T35">
            <v>0</v>
          </cell>
          <cell r="U35">
            <v>0</v>
          </cell>
          <cell r="V35" t="str">
            <v>Linked to financing</v>
          </cell>
          <cell r="Y35" t="str">
            <v>mstag:proceedsFromIssuanceAndCashUsedToRepayLongTermDebt</v>
          </cell>
          <cell r="Z35">
            <v>6</v>
          </cell>
          <cell r="AA35" t="str">
            <v>ISO4217:CHF</v>
          </cell>
          <cell r="AB35" t="b">
            <v>0</v>
          </cell>
          <cell r="AC35" t="b">
            <v>0</v>
          </cell>
        </row>
        <row r="36">
          <cell r="A36" t="str">
            <v xml:space="preserve">Repayment of long-term debt </v>
          </cell>
          <cell r="B36">
            <v>-2808</v>
          </cell>
          <cell r="C36">
            <v>-1700</v>
          </cell>
          <cell r="D36">
            <v>-5429</v>
          </cell>
          <cell r="E36">
            <v>-4195</v>
          </cell>
          <cell r="F36">
            <v>-2261</v>
          </cell>
          <cell r="G36">
            <v>-1902</v>
          </cell>
          <cell r="H36">
            <v>-1908</v>
          </cell>
          <cell r="I36">
            <v>-2422</v>
          </cell>
          <cell r="J36">
            <v>-7421</v>
          </cell>
          <cell r="K36">
            <v>-8625</v>
          </cell>
          <cell r="L36">
            <v>-3988.1764705882379</v>
          </cell>
          <cell r="M36">
            <v>-5782.2941176470631</v>
          </cell>
          <cell r="N36">
            <v>-3964.9104477611909</v>
          </cell>
          <cell r="O36">
            <v>-6048.2437810945266</v>
          </cell>
          <cell r="P36">
            <v>-5841.1176470588252</v>
          </cell>
          <cell r="Q36">
            <v>-2047</v>
          </cell>
          <cell r="R36">
            <v>-47</v>
          </cell>
          <cell r="S36">
            <v>-47</v>
          </cell>
          <cell r="T36">
            <v>-47</v>
          </cell>
          <cell r="U36">
            <v>-44</v>
          </cell>
          <cell r="V36" t="str">
            <v>Linked to financing</v>
          </cell>
          <cell r="Y36" t="str">
            <v>mstag:proceedsFromIssuanceAndCashUsedToRepayLongTermDebt</v>
          </cell>
          <cell r="Z36">
            <v>6</v>
          </cell>
          <cell r="AA36" t="str">
            <v>ISO4217:CHF</v>
          </cell>
          <cell r="AB36" t="b">
            <v>0</v>
          </cell>
          <cell r="AC36" t="b">
            <v>0</v>
          </cell>
        </row>
        <row r="37">
          <cell r="A37" t="str">
            <v>Transaction in own equity instruments (Purchase of Treasury)</v>
          </cell>
          <cell r="B37">
            <v>706</v>
          </cell>
          <cell r="C37">
            <v>39</v>
          </cell>
          <cell r="D37">
            <v>-15</v>
          </cell>
          <cell r="E37">
            <v>237</v>
          </cell>
          <cell r="F37">
            <v>779</v>
          </cell>
          <cell r="G37">
            <v>1367</v>
          </cell>
          <cell r="H37">
            <v>1085</v>
          </cell>
          <cell r="I37">
            <v>-98</v>
          </cell>
          <cell r="J37">
            <v>-651</v>
          </cell>
          <cell r="K37">
            <v>-773</v>
          </cell>
          <cell r="L37">
            <v>0</v>
          </cell>
          <cell r="M37">
            <v>0</v>
          </cell>
          <cell r="N37">
            <v>0</v>
          </cell>
          <cell r="O37">
            <v>0</v>
          </cell>
          <cell r="P37">
            <v>0</v>
          </cell>
          <cell r="Q37">
            <v>0</v>
          </cell>
          <cell r="R37">
            <v>0</v>
          </cell>
          <cell r="S37">
            <v>0</v>
          </cell>
          <cell r="T37">
            <v>0</v>
          </cell>
          <cell r="U37">
            <v>0</v>
          </cell>
          <cell r="Y37" t="str">
            <v>mstag:proceedsFromIssuanceFundsUsedToRepurchaseCommonStock</v>
          </cell>
          <cell r="Z37">
            <v>6</v>
          </cell>
          <cell r="AA37" t="str">
            <v>ISO4217:CHF</v>
          </cell>
          <cell r="AB37" t="b">
            <v>0</v>
          </cell>
          <cell r="AC37" t="b">
            <v>0</v>
          </cell>
        </row>
        <row r="38">
          <cell r="A38" t="str">
            <v>Increase (decrease) in short-term borrowings</v>
          </cell>
          <cell r="B38">
            <v>867</v>
          </cell>
          <cell r="C38">
            <v>230</v>
          </cell>
          <cell r="D38">
            <v>-2528</v>
          </cell>
          <cell r="E38">
            <v>-939</v>
          </cell>
          <cell r="F38">
            <v>-422</v>
          </cell>
          <cell r="G38">
            <v>200</v>
          </cell>
          <cell r="H38">
            <v>-389</v>
          </cell>
          <cell r="I38">
            <v>-190</v>
          </cell>
          <cell r="J38">
            <v>-394</v>
          </cell>
          <cell r="K38">
            <v>-137</v>
          </cell>
          <cell r="L38">
            <v>0</v>
          </cell>
          <cell r="M38">
            <v>0</v>
          </cell>
          <cell r="N38">
            <v>0</v>
          </cell>
          <cell r="O38">
            <v>0</v>
          </cell>
          <cell r="P38">
            <v>0</v>
          </cell>
          <cell r="Q38">
            <v>0</v>
          </cell>
          <cell r="R38">
            <v>0</v>
          </cell>
          <cell r="S38">
            <v>0</v>
          </cell>
          <cell r="T38">
            <v>0</v>
          </cell>
          <cell r="U38">
            <v>0</v>
          </cell>
          <cell r="Y38" t="str">
            <v>mstag:proceedsFromIssuanceAndCashUsedToRepayShortTermBorrowings</v>
          </cell>
          <cell r="Z38">
            <v>6</v>
          </cell>
          <cell r="AA38" t="str">
            <v>ISO4217:CHF</v>
          </cell>
          <cell r="AB38" t="b">
            <v>0</v>
          </cell>
          <cell r="AC38" t="b">
            <v>0</v>
          </cell>
        </row>
        <row r="39">
          <cell r="A39" t="str">
            <v>Interest paid</v>
          </cell>
          <cell r="B39">
            <v>-919</v>
          </cell>
          <cell r="C39">
            <v>-693</v>
          </cell>
          <cell r="D39">
            <v>-493</v>
          </cell>
          <cell r="E39">
            <v>-489</v>
          </cell>
          <cell r="F39">
            <v>-194</v>
          </cell>
          <cell r="G39">
            <v>-343</v>
          </cell>
          <cell r="H39">
            <v>-297</v>
          </cell>
          <cell r="I39">
            <v>-216</v>
          </cell>
          <cell r="J39">
            <v>-748</v>
          </cell>
          <cell r="K39">
            <v>-1931</v>
          </cell>
          <cell r="L39">
            <v>-2430.9371524729295</v>
          </cell>
          <cell r="M39">
            <v>-2112.6724465905763</v>
          </cell>
          <cell r="N39">
            <v>-1931.4690883816213</v>
          </cell>
          <cell r="O39">
            <v>-1635.6823968393328</v>
          </cell>
          <cell r="P39">
            <v>-1310.5353380158035</v>
          </cell>
          <cell r="Q39">
            <v>-909.88235294117658</v>
          </cell>
          <cell r="R39">
            <v>-909.88235294117658</v>
          </cell>
          <cell r="S39">
            <v>-909.88235294117658</v>
          </cell>
          <cell r="T39">
            <v>-909.88235294117658</v>
          </cell>
          <cell r="U39">
            <v>-909.88235294117658</v>
          </cell>
          <cell r="V39" t="str">
            <v>Linked to financing</v>
          </cell>
          <cell r="Y39" t="str">
            <v>mstag:otherCashFlow</v>
          </cell>
          <cell r="Z39">
            <v>6</v>
          </cell>
          <cell r="AA39" t="str">
            <v>ISO4217:CHF</v>
          </cell>
          <cell r="AB39" t="b">
            <v>0</v>
          </cell>
          <cell r="AC39" t="b">
            <v>0</v>
          </cell>
        </row>
        <row r="40">
          <cell r="A40" t="str">
            <v>Dividends paid</v>
          </cell>
          <cell r="B40">
            <v>-981</v>
          </cell>
          <cell r="C40">
            <v>-1101</v>
          </cell>
          <cell r="D40">
            <v>-1255</v>
          </cell>
          <cell r="E40">
            <v>-1482</v>
          </cell>
          <cell r="F40">
            <v>-1789</v>
          </cell>
          <cell r="G40">
            <v>-2257</v>
          </cell>
          <cell r="H40">
            <v>-3027</v>
          </cell>
          <cell r="I40">
            <v>-4051</v>
          </cell>
          <cell r="J40">
            <v>-4395</v>
          </cell>
          <cell r="K40">
            <v>-5265</v>
          </cell>
          <cell r="L40">
            <v>-5693</v>
          </cell>
          <cell r="M40">
            <v>-5190.9135043543947</v>
          </cell>
          <cell r="N40">
            <v>-6530.345285002807</v>
          </cell>
          <cell r="O40">
            <v>-6680.1850734005247</v>
          </cell>
          <cell r="P40">
            <v>-6923.6448644632701</v>
          </cell>
          <cell r="Q40">
            <v>-7228.521592011607</v>
          </cell>
          <cell r="R40">
            <v>-7332.9603610030017</v>
          </cell>
          <cell r="S40">
            <v>-7371.4061582023833</v>
          </cell>
          <cell r="T40">
            <v>-7496.9728415927138</v>
          </cell>
          <cell r="U40">
            <v>-7323.6338644374127</v>
          </cell>
          <cell r="V40" t="str">
            <v>Linked to P&amp;L</v>
          </cell>
          <cell r="Y40" t="str">
            <v>mstag:cashDividendsPaid</v>
          </cell>
          <cell r="Z40">
            <v>6</v>
          </cell>
          <cell r="AA40" t="str">
            <v>ISO4217:CHF</v>
          </cell>
          <cell r="AB40" t="b">
            <v>1</v>
          </cell>
          <cell r="AC40" t="b">
            <v>0</v>
          </cell>
        </row>
        <row r="41">
          <cell r="A41" t="str">
            <v>Genentech / Chugai stock repurchases</v>
          </cell>
          <cell r="B41">
            <v>-67</v>
          </cell>
          <cell r="C41">
            <v>-1079</v>
          </cell>
          <cell r="D41">
            <v>368</v>
          </cell>
          <cell r="E41">
            <v>-1059</v>
          </cell>
          <cell r="F41">
            <v>-1421</v>
          </cell>
          <cell r="G41">
            <v>-768</v>
          </cell>
          <cell r="H41">
            <v>-1895</v>
          </cell>
          <cell r="I41">
            <v>-844</v>
          </cell>
          <cell r="J41">
            <v>94</v>
          </cell>
          <cell r="K41">
            <v>0</v>
          </cell>
          <cell r="L41">
            <v>0</v>
          </cell>
          <cell r="M41">
            <v>0</v>
          </cell>
          <cell r="N41">
            <v>0</v>
          </cell>
          <cell r="O41">
            <v>0</v>
          </cell>
          <cell r="P41">
            <v>0</v>
          </cell>
          <cell r="Q41">
            <v>0</v>
          </cell>
          <cell r="R41">
            <v>0</v>
          </cell>
          <cell r="S41">
            <v>0</v>
          </cell>
          <cell r="T41">
            <v>0</v>
          </cell>
          <cell r="U41">
            <v>0</v>
          </cell>
          <cell r="Y41" t="str">
            <v>mstag:otherCashFlow</v>
          </cell>
          <cell r="Z41">
            <v>6</v>
          </cell>
          <cell r="AA41" t="str">
            <v>ISO4217:CHF</v>
          </cell>
          <cell r="AB41" t="b">
            <v>0</v>
          </cell>
          <cell r="AC41" t="b">
            <v>0</v>
          </cell>
        </row>
        <row r="42">
          <cell r="A42" t="str">
            <v>Other financing cash flows</v>
          </cell>
          <cell r="B42">
            <v>268</v>
          </cell>
          <cell r="C42">
            <v>89</v>
          </cell>
          <cell r="D42">
            <v>-28</v>
          </cell>
          <cell r="E42">
            <v>64</v>
          </cell>
          <cell r="F42">
            <v>-38</v>
          </cell>
          <cell r="G42">
            <v>-12</v>
          </cell>
          <cell r="H42">
            <v>442</v>
          </cell>
          <cell r="I42">
            <v>-1621</v>
          </cell>
          <cell r="J42">
            <v>-49450</v>
          </cell>
          <cell r="K42">
            <v>-1703</v>
          </cell>
          <cell r="L42">
            <v>0</v>
          </cell>
          <cell r="M42">
            <v>0</v>
          </cell>
          <cell r="N42">
            <v>0</v>
          </cell>
          <cell r="O42">
            <v>0</v>
          </cell>
          <cell r="P42">
            <v>0</v>
          </cell>
          <cell r="Q42">
            <v>0</v>
          </cell>
          <cell r="R42">
            <v>0</v>
          </cell>
          <cell r="S42">
            <v>0</v>
          </cell>
          <cell r="T42">
            <v>0</v>
          </cell>
          <cell r="U42">
            <v>0</v>
          </cell>
          <cell r="Y42" t="str">
            <v>mstag:otherCashFlow</v>
          </cell>
          <cell r="Z42">
            <v>6</v>
          </cell>
          <cell r="AA42" t="str">
            <v>ISO4217:CHF</v>
          </cell>
          <cell r="AB42" t="b">
            <v>0</v>
          </cell>
          <cell r="AC42" t="b">
            <v>0</v>
          </cell>
        </row>
        <row r="43">
          <cell r="A43" t="str">
            <v>Total cash flows from financing activities</v>
          </cell>
          <cell r="B43">
            <v>-824</v>
          </cell>
          <cell r="C43">
            <v>-3941</v>
          </cell>
          <cell r="D43">
            <v>-6745</v>
          </cell>
          <cell r="E43">
            <v>-7863</v>
          </cell>
          <cell r="F43">
            <v>-2781</v>
          </cell>
          <cell r="G43">
            <v>-3715</v>
          </cell>
          <cell r="H43">
            <v>-5270</v>
          </cell>
          <cell r="I43">
            <v>-9442</v>
          </cell>
          <cell r="J43">
            <v>-14768</v>
          </cell>
          <cell r="K43">
            <v>-18434</v>
          </cell>
          <cell r="L43">
            <v>-12112.113623061166</v>
          </cell>
          <cell r="M43">
            <v>-13085.880068592034</v>
          </cell>
          <cell r="N43">
            <v>-12426.724821145619</v>
          </cell>
          <cell r="O43">
            <v>-14364.111251334383</v>
          </cell>
          <cell r="P43">
            <v>-14075.297849537899</v>
          </cell>
          <cell r="Q43">
            <v>-10185.403944952785</v>
          </cell>
          <cell r="R43">
            <v>-8289.8427139441774</v>
          </cell>
          <cell r="S43">
            <v>-8328.2885111435608</v>
          </cell>
          <cell r="T43">
            <v>-8453.8551945338913</v>
          </cell>
          <cell r="U43">
            <v>-8277.5162173785902</v>
          </cell>
        </row>
        <row r="45">
          <cell r="A45" t="str">
            <v>Purchase of property, plant and equipment (CAPEX)</v>
          </cell>
          <cell r="B45">
            <v>-2140</v>
          </cell>
          <cell r="C45">
            <v>-2139</v>
          </cell>
          <cell r="D45">
            <v>-2493</v>
          </cell>
          <cell r="E45">
            <v>-2344</v>
          </cell>
          <cell r="F45">
            <v>-3319</v>
          </cell>
          <cell r="G45">
            <v>-3561</v>
          </cell>
          <cell r="H45">
            <v>-3519</v>
          </cell>
          <cell r="I45">
            <v>-3139</v>
          </cell>
          <cell r="J45">
            <v>-2984</v>
          </cell>
          <cell r="K45">
            <v>-2671</v>
          </cell>
          <cell r="L45">
            <v>-2663</v>
          </cell>
          <cell r="M45">
            <v>-2663</v>
          </cell>
          <cell r="N45">
            <v>-2663</v>
          </cell>
          <cell r="O45">
            <v>-2663</v>
          </cell>
          <cell r="P45">
            <v>-2663</v>
          </cell>
          <cell r="Q45">
            <v>-2663</v>
          </cell>
          <cell r="R45">
            <v>-2663</v>
          </cell>
          <cell r="S45">
            <v>-2663</v>
          </cell>
          <cell r="T45">
            <v>-2663</v>
          </cell>
          <cell r="U45">
            <v>-2663</v>
          </cell>
          <cell r="V45" t="str">
            <v>Linked to BS</v>
          </cell>
          <cell r="Y45" t="str">
            <v>mstag:capitalExpenditures</v>
          </cell>
          <cell r="Z45">
            <v>6</v>
          </cell>
          <cell r="AA45" t="str">
            <v>ISO4217:CHF</v>
          </cell>
          <cell r="AB45" t="b">
            <v>1</v>
          </cell>
          <cell r="AC45" t="b">
            <v>0</v>
          </cell>
        </row>
        <row r="46">
          <cell r="A46" t="str">
            <v>Investment in intangibles</v>
          </cell>
          <cell r="E46">
            <v>-191</v>
          </cell>
          <cell r="F46">
            <v>-349</v>
          </cell>
          <cell r="G46">
            <v>-593</v>
          </cell>
          <cell r="H46">
            <v>-946</v>
          </cell>
          <cell r="I46">
            <v>-418</v>
          </cell>
          <cell r="J46">
            <v>-235</v>
          </cell>
          <cell r="K46">
            <v>-339</v>
          </cell>
          <cell r="L46">
            <v>-874</v>
          </cell>
          <cell r="M46">
            <v>-874</v>
          </cell>
          <cell r="N46">
            <v>-874</v>
          </cell>
          <cell r="O46">
            <v>-874</v>
          </cell>
          <cell r="P46">
            <v>-874</v>
          </cell>
          <cell r="Q46">
            <v>-874</v>
          </cell>
          <cell r="R46">
            <v>-874</v>
          </cell>
          <cell r="S46">
            <v>-874</v>
          </cell>
          <cell r="T46">
            <v>-874</v>
          </cell>
          <cell r="U46">
            <v>-874</v>
          </cell>
          <cell r="Y46" t="str">
            <v>mstag:investmentInIntangibleAssets</v>
          </cell>
          <cell r="Z46">
            <v>6</v>
          </cell>
          <cell r="AA46" t="str">
            <v>ISO4217:CHF</v>
          </cell>
          <cell r="AB46" t="b">
            <v>1</v>
          </cell>
          <cell r="AC46" t="b">
            <v>0</v>
          </cell>
        </row>
        <row r="47">
          <cell r="A47" t="str">
            <v>Disposal of property, plant and equipment, and intangible assets</v>
          </cell>
          <cell r="B47">
            <v>209</v>
          </cell>
          <cell r="C47">
            <v>283</v>
          </cell>
          <cell r="D47">
            <v>403</v>
          </cell>
          <cell r="E47">
            <v>639</v>
          </cell>
          <cell r="F47">
            <v>411</v>
          </cell>
          <cell r="G47">
            <v>346</v>
          </cell>
          <cell r="H47">
            <v>116</v>
          </cell>
          <cell r="I47">
            <v>69</v>
          </cell>
          <cell r="J47">
            <v>116</v>
          </cell>
          <cell r="K47">
            <v>112</v>
          </cell>
          <cell r="V47" t="str">
            <v>Linked to BS</v>
          </cell>
          <cell r="Y47" t="str">
            <v>mstag:proceedsFromSaleOfPpeAndIntangibleAssets</v>
          </cell>
          <cell r="Z47">
            <v>6</v>
          </cell>
          <cell r="AA47" t="str">
            <v>ISO4217:CHF</v>
          </cell>
          <cell r="AB47" t="b">
            <v>0</v>
          </cell>
          <cell r="AC47" t="b">
            <v>0</v>
          </cell>
        </row>
        <row r="48">
          <cell r="A48" t="str">
            <v>Acquisition of subsidiaries, associated companies, and products</v>
          </cell>
          <cell r="B48">
            <v>-175</v>
          </cell>
          <cell r="C48">
            <v>-492</v>
          </cell>
          <cell r="D48">
            <v>-897</v>
          </cell>
          <cell r="E48">
            <v>-1822</v>
          </cell>
          <cell r="F48">
            <v>-233</v>
          </cell>
          <cell r="G48">
            <v>0</v>
          </cell>
          <cell r="H48">
            <v>-2310</v>
          </cell>
          <cell r="I48">
            <v>-3004</v>
          </cell>
          <cell r="J48">
            <v>-98</v>
          </cell>
          <cell r="K48">
            <v>-504</v>
          </cell>
          <cell r="Y48" t="str">
            <v>mstag:netDisposalsAcquisitions</v>
          </cell>
          <cell r="Z48">
            <v>6</v>
          </cell>
          <cell r="AA48" t="str">
            <v>ISO4217:CHF</v>
          </cell>
          <cell r="AB48" t="b">
            <v>0</v>
          </cell>
          <cell r="AC48" t="b">
            <v>0</v>
          </cell>
        </row>
        <row r="49">
          <cell r="A49" t="str">
            <v>Divestments of subsidiaries, associated companies, and products</v>
          </cell>
          <cell r="B49">
            <v>0</v>
          </cell>
          <cell r="C49">
            <v>217</v>
          </cell>
          <cell r="D49">
            <v>2113</v>
          </cell>
          <cell r="E49">
            <v>696</v>
          </cell>
          <cell r="F49">
            <v>2902</v>
          </cell>
          <cell r="G49">
            <v>9</v>
          </cell>
          <cell r="H49">
            <v>247</v>
          </cell>
          <cell r="I49">
            <v>512</v>
          </cell>
          <cell r="J49">
            <v>184</v>
          </cell>
          <cell r="K49">
            <v>30</v>
          </cell>
          <cell r="Y49" t="str">
            <v>mstag:otherCashFlow</v>
          </cell>
          <cell r="Z49">
            <v>6</v>
          </cell>
          <cell r="AA49" t="str">
            <v>ISO4217:CHF</v>
          </cell>
          <cell r="AB49" t="b">
            <v>0</v>
          </cell>
          <cell r="AC49" t="b">
            <v>0</v>
          </cell>
        </row>
        <row r="50">
          <cell r="A50" t="str">
            <v>Interest received</v>
          </cell>
          <cell r="B50">
            <v>672</v>
          </cell>
          <cell r="C50">
            <v>428</v>
          </cell>
          <cell r="D50">
            <v>225</v>
          </cell>
          <cell r="E50">
            <v>221</v>
          </cell>
          <cell r="F50">
            <v>373</v>
          </cell>
          <cell r="G50">
            <v>836</v>
          </cell>
          <cell r="H50">
            <v>1071</v>
          </cell>
          <cell r="I50">
            <v>606</v>
          </cell>
          <cell r="J50">
            <v>305</v>
          </cell>
          <cell r="K50">
            <v>57</v>
          </cell>
          <cell r="L50">
            <v>666.875</v>
          </cell>
          <cell r="M50">
            <v>653.01668260871782</v>
          </cell>
          <cell r="N50">
            <v>653.12598168705517</v>
          </cell>
          <cell r="O50">
            <v>658.31438249331939</v>
          </cell>
          <cell r="P50">
            <v>657.90972947138494</v>
          </cell>
          <cell r="Q50">
            <v>653.18569835086328</v>
          </cell>
          <cell r="R50">
            <v>671.98386397166473</v>
          </cell>
          <cell r="S50">
            <v>723.12673572429458</v>
          </cell>
          <cell r="T50">
            <v>782.67106047404263</v>
          </cell>
          <cell r="U50">
            <v>845.51446612278687</v>
          </cell>
          <cell r="V50" t="str">
            <v>Linked to P&amp;L</v>
          </cell>
          <cell r="Y50" t="str">
            <v>mstag:otherCashFlow</v>
          </cell>
          <cell r="Z50">
            <v>6</v>
          </cell>
          <cell r="AA50" t="str">
            <v>ISO4217:CHF</v>
          </cell>
          <cell r="AB50" t="b">
            <v>0</v>
          </cell>
          <cell r="AC50" t="b">
            <v>0</v>
          </cell>
        </row>
        <row r="51">
          <cell r="A51" t="str">
            <v>Dividends Received</v>
          </cell>
          <cell r="B51">
            <v>161</v>
          </cell>
          <cell r="C51">
            <v>77</v>
          </cell>
          <cell r="D51">
            <v>61</v>
          </cell>
          <cell r="E51">
            <v>34</v>
          </cell>
          <cell r="F51">
            <v>10</v>
          </cell>
          <cell r="G51">
            <v>10</v>
          </cell>
          <cell r="H51">
            <v>8</v>
          </cell>
          <cell r="I51">
            <v>5</v>
          </cell>
          <cell r="J51">
            <v>1</v>
          </cell>
          <cell r="K51">
            <v>2</v>
          </cell>
          <cell r="L51">
            <v>2.72</v>
          </cell>
          <cell r="M51">
            <v>2.72</v>
          </cell>
          <cell r="N51">
            <v>2.72</v>
          </cell>
          <cell r="O51">
            <v>2.72</v>
          </cell>
          <cell r="P51">
            <v>2.72</v>
          </cell>
          <cell r="Q51">
            <v>2.72</v>
          </cell>
          <cell r="R51">
            <v>2.72</v>
          </cell>
          <cell r="S51">
            <v>2.72</v>
          </cell>
          <cell r="T51">
            <v>2.72</v>
          </cell>
          <cell r="U51">
            <v>2.72</v>
          </cell>
          <cell r="Y51" t="str">
            <v>mstag:otherCashFlow</v>
          </cell>
          <cell r="Z51">
            <v>6</v>
          </cell>
          <cell r="AA51" t="str">
            <v>ISO4217:CHF</v>
          </cell>
          <cell r="AB51" t="b">
            <v>0</v>
          </cell>
          <cell r="AC51" t="b">
            <v>0</v>
          </cell>
        </row>
        <row r="52">
          <cell r="A52" t="str">
            <v>Proceeds from Labcorp</v>
          </cell>
          <cell r="B52">
            <v>1420</v>
          </cell>
          <cell r="C52">
            <v>1246</v>
          </cell>
          <cell r="Y52" t="str">
            <v>mstag:otherCashFlow</v>
          </cell>
          <cell r="Z52">
            <v>6</v>
          </cell>
          <cell r="AA52" t="str">
            <v>ISO4217:CHF</v>
          </cell>
          <cell r="AB52" t="b">
            <v>0</v>
          </cell>
          <cell r="AC52" t="b">
            <v>0</v>
          </cell>
        </row>
        <row r="53">
          <cell r="A53" t="str">
            <v>Sales/(purchases) of marketable securities, net and other investing cash flows</v>
          </cell>
          <cell r="B53">
            <v>-3847</v>
          </cell>
          <cell r="C53">
            <v>3918</v>
          </cell>
          <cell r="D53">
            <v>2151</v>
          </cell>
          <cell r="E53">
            <v>748</v>
          </cell>
          <cell r="F53">
            <v>-5481</v>
          </cell>
          <cell r="G53">
            <v>-4497</v>
          </cell>
          <cell r="H53">
            <v>-455</v>
          </cell>
          <cell r="I53">
            <v>3647</v>
          </cell>
          <cell r="J53">
            <v>-198</v>
          </cell>
          <cell r="K53">
            <v>6877</v>
          </cell>
          <cell r="L53">
            <v>0</v>
          </cell>
          <cell r="M53">
            <v>0</v>
          </cell>
          <cell r="N53">
            <v>0</v>
          </cell>
          <cell r="O53">
            <v>0</v>
          </cell>
          <cell r="P53">
            <v>0</v>
          </cell>
          <cell r="Q53">
            <v>0</v>
          </cell>
          <cell r="R53">
            <v>0</v>
          </cell>
          <cell r="S53">
            <v>0</v>
          </cell>
          <cell r="T53">
            <v>0</v>
          </cell>
          <cell r="U53">
            <v>0</v>
          </cell>
          <cell r="Y53" t="str">
            <v>mstag:otherCashFlow</v>
          </cell>
          <cell r="Z53">
            <v>6</v>
          </cell>
          <cell r="AA53" t="str">
            <v>ISO4217:CHF</v>
          </cell>
          <cell r="AB53" t="b">
            <v>0</v>
          </cell>
          <cell r="AC53" t="b">
            <v>0</v>
          </cell>
        </row>
        <row r="54">
          <cell r="A54" t="str">
            <v>Total cash flows from investing activities</v>
          </cell>
          <cell r="B54">
            <v>-3700</v>
          </cell>
          <cell r="C54">
            <v>3538</v>
          </cell>
          <cell r="D54">
            <v>1563</v>
          </cell>
          <cell r="E54">
            <v>-2019</v>
          </cell>
          <cell r="F54">
            <v>-5686</v>
          </cell>
          <cell r="G54">
            <v>-7450</v>
          </cell>
          <cell r="H54">
            <v>-5788</v>
          </cell>
          <cell r="I54">
            <v>-1722</v>
          </cell>
          <cell r="J54">
            <v>-2909</v>
          </cell>
          <cell r="K54">
            <v>3564</v>
          </cell>
          <cell r="L54">
            <v>-2867.4050000000002</v>
          </cell>
          <cell r="M54">
            <v>-2881.2633173912823</v>
          </cell>
          <cell r="N54">
            <v>-2881.154018312945</v>
          </cell>
          <cell r="O54">
            <v>-2875.9656175066807</v>
          </cell>
          <cell r="P54">
            <v>-2876.3702705286155</v>
          </cell>
          <cell r="Q54">
            <v>-2881.0943016491369</v>
          </cell>
          <cell r="R54">
            <v>-2862.2961360283357</v>
          </cell>
          <cell r="S54">
            <v>-2811.1532642757056</v>
          </cell>
          <cell r="T54">
            <v>-2751.6089395259573</v>
          </cell>
          <cell r="U54">
            <v>-2688.7655338772133</v>
          </cell>
        </row>
        <row r="56">
          <cell r="A56" t="str">
            <v xml:space="preserve">Net effect of currency translation on cash </v>
          </cell>
          <cell r="B56">
            <v>10</v>
          </cell>
          <cell r="C56">
            <v>-285</v>
          </cell>
          <cell r="D56">
            <v>-225</v>
          </cell>
          <cell r="E56">
            <v>-124</v>
          </cell>
          <cell r="F56">
            <v>115</v>
          </cell>
          <cell r="G56">
            <v>-182</v>
          </cell>
          <cell r="H56">
            <v>-125</v>
          </cell>
          <cell r="I56">
            <v>147</v>
          </cell>
          <cell r="J56">
            <v>-1673</v>
          </cell>
          <cell r="K56">
            <v>-43</v>
          </cell>
          <cell r="L56">
            <v>0</v>
          </cell>
          <cell r="M56">
            <v>0</v>
          </cell>
          <cell r="N56">
            <v>0</v>
          </cell>
          <cell r="O56">
            <v>0</v>
          </cell>
          <cell r="P56">
            <v>0</v>
          </cell>
          <cell r="Q56">
            <v>0</v>
          </cell>
          <cell r="R56">
            <v>0</v>
          </cell>
          <cell r="S56">
            <v>0</v>
          </cell>
          <cell r="T56">
            <v>0</v>
          </cell>
          <cell r="U56">
            <v>0</v>
          </cell>
          <cell r="Y56" t="str">
            <v>mstag:effectOfForeignExchangeRatesOnCash</v>
          </cell>
          <cell r="Z56">
            <v>6</v>
          </cell>
          <cell r="AA56" t="str">
            <v>ISO4217:CHF</v>
          </cell>
          <cell r="AB56" t="b">
            <v>0</v>
          </cell>
          <cell r="AC56" t="b">
            <v>0</v>
          </cell>
        </row>
        <row r="57">
          <cell r="D57" t="str">
            <v xml:space="preserve"> </v>
          </cell>
        </row>
        <row r="58">
          <cell r="A58" t="str">
            <v>Increase / (decrease) in cash</v>
          </cell>
          <cell r="B58">
            <v>574</v>
          </cell>
          <cell r="C58">
            <v>294</v>
          </cell>
          <cell r="D58">
            <v>1846</v>
          </cell>
          <cell r="E58">
            <v>-2671</v>
          </cell>
          <cell r="F58">
            <v>-1837</v>
          </cell>
          <cell r="G58">
            <v>-4903</v>
          </cell>
          <cell r="H58">
            <v>545</v>
          </cell>
          <cell r="I58">
            <v>1160</v>
          </cell>
          <cell r="J58">
            <v>-2473</v>
          </cell>
          <cell r="K58">
            <v>-879</v>
          </cell>
          <cell r="L58">
            <v>-378.10770743237981</v>
          </cell>
          <cell r="M58">
            <v>83.65671794822947</v>
          </cell>
          <cell r="N58">
            <v>562.71170224790194</v>
          </cell>
          <cell r="O58">
            <v>-558.83022312234561</v>
          </cell>
          <cell r="P58">
            <v>-55.079286144318303</v>
          </cell>
          <cell r="Q58">
            <v>4132.5167141001948</v>
          </cell>
          <cell r="R58">
            <v>5852.4089507330627</v>
          </cell>
          <cell r="S58">
            <v>6068.9267849041671</v>
          </cell>
          <cell r="T58">
            <v>6496.9733210262184</v>
          </cell>
          <cell r="U58">
            <v>6168.8636437377318</v>
          </cell>
        </row>
        <row r="60">
          <cell r="A60" t="str">
            <v>Cash at beginning of year</v>
          </cell>
          <cell r="B60">
            <v>2562</v>
          </cell>
          <cell r="C60">
            <v>3136</v>
          </cell>
          <cell r="D60">
            <v>3430</v>
          </cell>
          <cell r="E60">
            <v>5276</v>
          </cell>
          <cell r="F60">
            <v>2605</v>
          </cell>
          <cell r="G60">
            <v>768</v>
          </cell>
          <cell r="H60">
            <v>3210</v>
          </cell>
          <cell r="I60">
            <v>3755</v>
          </cell>
          <cell r="J60">
            <v>4915</v>
          </cell>
          <cell r="K60">
            <v>2442</v>
          </cell>
          <cell r="L60">
            <v>1563</v>
          </cell>
          <cell r="M60">
            <v>1184.8922925676202</v>
          </cell>
          <cell r="N60">
            <v>1268.5490105158497</v>
          </cell>
          <cell r="O60">
            <v>1831.2607127637516</v>
          </cell>
          <cell r="P60">
            <v>1272.430489641406</v>
          </cell>
          <cell r="Q60">
            <v>1217.3512034970877</v>
          </cell>
          <cell r="R60">
            <v>5349.8679175972829</v>
          </cell>
          <cell r="S60">
            <v>11202.276868330346</v>
          </cell>
          <cell r="T60">
            <v>17271.203653234512</v>
          </cell>
          <cell r="U60">
            <v>23768.176974260728</v>
          </cell>
        </row>
        <row r="61">
          <cell r="A61" t="str">
            <v xml:space="preserve">Cash at end of year </v>
          </cell>
          <cell r="B61">
            <v>3136</v>
          </cell>
          <cell r="C61">
            <v>3430</v>
          </cell>
          <cell r="D61">
            <v>5276</v>
          </cell>
          <cell r="E61">
            <v>2605</v>
          </cell>
          <cell r="F61">
            <v>768</v>
          </cell>
          <cell r="G61">
            <v>-4135</v>
          </cell>
          <cell r="H61">
            <v>3755</v>
          </cell>
          <cell r="I61">
            <v>4915</v>
          </cell>
          <cell r="J61">
            <v>2442</v>
          </cell>
          <cell r="K61">
            <v>1563</v>
          </cell>
          <cell r="L61">
            <v>1184.8922925676202</v>
          </cell>
          <cell r="M61">
            <v>1268.5490105158497</v>
          </cell>
          <cell r="N61">
            <v>1831.2607127637516</v>
          </cell>
          <cell r="O61">
            <v>1272.430489641406</v>
          </cell>
          <cell r="P61">
            <v>1217.3512034970877</v>
          </cell>
          <cell r="Q61">
            <v>5349.8679175972829</v>
          </cell>
          <cell r="R61">
            <v>11202.276868330346</v>
          </cell>
          <cell r="S61">
            <v>17271.203653234512</v>
          </cell>
          <cell r="T61">
            <v>23768.176974260728</v>
          </cell>
          <cell r="U61">
            <v>29937.04061799846</v>
          </cell>
        </row>
        <row r="64">
          <cell r="A64" t="str">
            <v>Free Cash flow (simplified)</v>
          </cell>
        </row>
        <row r="65">
          <cell r="A65" t="str">
            <v>Operating Cash flow</v>
          </cell>
          <cell r="B65">
            <v>5088</v>
          </cell>
          <cell r="C65">
            <v>982</v>
          </cell>
          <cell r="D65">
            <v>7253</v>
          </cell>
          <cell r="E65">
            <v>7335</v>
          </cell>
          <cell r="F65">
            <v>6515</v>
          </cell>
          <cell r="G65">
            <v>6444</v>
          </cell>
          <cell r="H65">
            <v>11728</v>
          </cell>
          <cell r="I65">
            <v>12177</v>
          </cell>
          <cell r="J65">
            <v>16877</v>
          </cell>
          <cell r="K65">
            <v>14034</v>
          </cell>
          <cell r="L65">
            <v>14601.410915628787</v>
          </cell>
          <cell r="M65">
            <v>16050.800103931546</v>
          </cell>
          <cell r="N65">
            <v>15870.590541706466</v>
          </cell>
          <cell r="O65">
            <v>16681.246645718718</v>
          </cell>
          <cell r="P65">
            <v>16896.588833922196</v>
          </cell>
          <cell r="Q65">
            <v>17199.014960702116</v>
          </cell>
          <cell r="R65">
            <v>17004.547800705575</v>
          </cell>
          <cell r="S65">
            <v>17208.368560323433</v>
          </cell>
          <cell r="T65">
            <v>17702.437455086067</v>
          </cell>
          <cell r="U65">
            <v>17135.145394993535</v>
          </cell>
        </row>
        <row r="66">
          <cell r="A66" t="str">
            <v>- Capex</v>
          </cell>
          <cell r="B66">
            <v>-1931</v>
          </cell>
          <cell r="C66">
            <v>-1856</v>
          </cell>
          <cell r="D66">
            <v>-2090</v>
          </cell>
          <cell r="E66">
            <v>-1705</v>
          </cell>
          <cell r="F66">
            <v>-2908</v>
          </cell>
          <cell r="G66">
            <v>-3215</v>
          </cell>
          <cell r="H66">
            <v>-3403</v>
          </cell>
          <cell r="I66">
            <v>-3070</v>
          </cell>
          <cell r="J66">
            <v>-2868</v>
          </cell>
          <cell r="K66">
            <v>-2559</v>
          </cell>
          <cell r="L66">
            <v>-2663</v>
          </cell>
          <cell r="M66">
            <v>-2663</v>
          </cell>
          <cell r="N66">
            <v>-2663</v>
          </cell>
          <cell r="O66">
            <v>-2663</v>
          </cell>
          <cell r="P66">
            <v>-2663</v>
          </cell>
          <cell r="Q66">
            <v>-2663</v>
          </cell>
          <cell r="R66">
            <v>-2663</v>
          </cell>
          <cell r="S66">
            <v>-2663</v>
          </cell>
          <cell r="T66">
            <v>-2663</v>
          </cell>
          <cell r="U66">
            <v>-2663</v>
          </cell>
        </row>
        <row r="67">
          <cell r="A67" t="str">
            <v>Repayment of long-term debt</v>
          </cell>
          <cell r="B67">
            <v>-698</v>
          </cell>
          <cell r="C67">
            <v>-1426</v>
          </cell>
          <cell r="D67">
            <v>-2794</v>
          </cell>
          <cell r="E67">
            <v>-4195</v>
          </cell>
          <cell r="F67">
            <v>304</v>
          </cell>
          <cell r="G67">
            <v>-1902</v>
          </cell>
          <cell r="H67">
            <v>-1189</v>
          </cell>
          <cell r="I67">
            <v>-2422</v>
          </cell>
          <cell r="J67">
            <v>40776</v>
          </cell>
          <cell r="K67">
            <v>-8625</v>
          </cell>
          <cell r="L67">
            <v>-3988.1764705882379</v>
          </cell>
          <cell r="M67">
            <v>-5782.2941176470631</v>
          </cell>
          <cell r="N67">
            <v>-3964.9104477611909</v>
          </cell>
          <cell r="O67">
            <v>-6048.2437810945266</v>
          </cell>
          <cell r="P67">
            <v>-5841.1176470588252</v>
          </cell>
          <cell r="Q67">
            <v>-2047</v>
          </cell>
          <cell r="R67">
            <v>-47</v>
          </cell>
          <cell r="S67">
            <v>-47</v>
          </cell>
          <cell r="T67">
            <v>-47</v>
          </cell>
          <cell r="U67">
            <v>-44</v>
          </cell>
        </row>
        <row r="69">
          <cell r="A69" t="str">
            <v>FCF</v>
          </cell>
          <cell r="B69">
            <v>2459</v>
          </cell>
          <cell r="C69">
            <v>-2300</v>
          </cell>
          <cell r="D69">
            <v>2369</v>
          </cell>
          <cell r="E69">
            <v>1435</v>
          </cell>
          <cell r="F69">
            <v>3911</v>
          </cell>
          <cell r="G69">
            <v>1327</v>
          </cell>
          <cell r="H69">
            <v>7136</v>
          </cell>
          <cell r="I69">
            <v>6685</v>
          </cell>
          <cell r="J69">
            <v>54785</v>
          </cell>
          <cell r="K69">
            <v>2850</v>
          </cell>
          <cell r="L69">
            <v>7950.234445040549</v>
          </cell>
          <cell r="M69">
            <v>7605.5059862844828</v>
          </cell>
          <cell r="N69">
            <v>9242.6800939452751</v>
          </cell>
          <cell r="O69">
            <v>7970.0028646241917</v>
          </cell>
          <cell r="P69">
            <v>8392.4711868633713</v>
          </cell>
          <cell r="Q69">
            <v>12489.014960702116</v>
          </cell>
          <cell r="R69">
            <v>14294.547800705575</v>
          </cell>
          <cell r="S69">
            <v>14498.368560323433</v>
          </cell>
          <cell r="T69">
            <v>14992.437455086067</v>
          </cell>
          <cell r="U69">
            <v>14428.145394993535</v>
          </cell>
        </row>
        <row r="71">
          <cell r="A71" t="str">
            <v>Free Cash flow to Equity Calculation</v>
          </cell>
        </row>
        <row r="72">
          <cell r="A72" t="str">
            <v>Operating Cashflow</v>
          </cell>
          <cell r="B72">
            <v>5088</v>
          </cell>
          <cell r="C72">
            <v>982</v>
          </cell>
          <cell r="D72">
            <v>7253</v>
          </cell>
          <cell r="E72">
            <v>7335</v>
          </cell>
          <cell r="F72">
            <v>6515</v>
          </cell>
          <cell r="G72">
            <v>6444</v>
          </cell>
          <cell r="H72">
            <v>11728</v>
          </cell>
          <cell r="I72">
            <v>12177</v>
          </cell>
          <cell r="J72">
            <v>16877</v>
          </cell>
          <cell r="K72">
            <v>14034</v>
          </cell>
          <cell r="L72">
            <v>14601.410915628787</v>
          </cell>
          <cell r="M72">
            <v>16050.800103931546</v>
          </cell>
          <cell r="N72">
            <v>15870.590541706466</v>
          </cell>
          <cell r="O72">
            <v>16681.246645718718</v>
          </cell>
          <cell r="P72">
            <v>16896.588833922196</v>
          </cell>
          <cell r="Q72">
            <v>17199.014960702116</v>
          </cell>
          <cell r="R72">
            <v>17004.547800705575</v>
          </cell>
          <cell r="S72">
            <v>17208.368560323433</v>
          </cell>
          <cell r="T72">
            <v>17702.437455086067</v>
          </cell>
          <cell r="U72">
            <v>17135.145394993535</v>
          </cell>
        </row>
        <row r="73">
          <cell r="A73" t="str">
            <v>Investing Cashflows</v>
          </cell>
          <cell r="B73">
            <v>-3700</v>
          </cell>
          <cell r="C73">
            <v>3538</v>
          </cell>
          <cell r="D73">
            <v>1563</v>
          </cell>
          <cell r="E73">
            <v>-2019</v>
          </cell>
          <cell r="F73">
            <v>-5686</v>
          </cell>
          <cell r="G73">
            <v>-7450</v>
          </cell>
          <cell r="H73">
            <v>-5788</v>
          </cell>
          <cell r="I73">
            <v>-1722</v>
          </cell>
          <cell r="J73">
            <v>-2909</v>
          </cell>
          <cell r="K73">
            <v>3564</v>
          </cell>
          <cell r="L73">
            <v>-2867.4050000000002</v>
          </cell>
          <cell r="M73">
            <v>-2881.2633173912823</v>
          </cell>
          <cell r="N73">
            <v>-2881.154018312945</v>
          </cell>
          <cell r="O73">
            <v>-2875.9656175066807</v>
          </cell>
          <cell r="P73">
            <v>-2876.3702705286155</v>
          </cell>
          <cell r="Q73">
            <v>-2881.0943016491369</v>
          </cell>
          <cell r="R73">
            <v>-2862.2961360283357</v>
          </cell>
          <cell r="S73">
            <v>-2811.1532642757056</v>
          </cell>
          <cell r="T73">
            <v>-2751.6089395259573</v>
          </cell>
          <cell r="U73">
            <v>-2688.7655338772133</v>
          </cell>
        </row>
        <row r="74">
          <cell r="A74" t="str">
            <v>Change in Debt</v>
          </cell>
          <cell r="B74">
            <v>-698</v>
          </cell>
          <cell r="C74">
            <v>-1426</v>
          </cell>
          <cell r="D74">
            <v>-2794</v>
          </cell>
          <cell r="E74">
            <v>-5429</v>
          </cell>
          <cell r="F74">
            <v>304</v>
          </cell>
          <cell r="G74">
            <v>-1902</v>
          </cell>
          <cell r="H74">
            <v>-1189</v>
          </cell>
          <cell r="I74">
            <v>-2422</v>
          </cell>
          <cell r="J74">
            <v>40776</v>
          </cell>
          <cell r="K74">
            <v>-8625</v>
          </cell>
          <cell r="L74">
            <v>-3988.1764705882379</v>
          </cell>
          <cell r="M74">
            <v>-5782.2941176470631</v>
          </cell>
          <cell r="N74">
            <v>-3964.9104477611909</v>
          </cell>
          <cell r="O74">
            <v>-6048.2437810945266</v>
          </cell>
          <cell r="P74">
            <v>-5841.1176470588252</v>
          </cell>
          <cell r="Q74">
            <v>-2047</v>
          </cell>
          <cell r="R74">
            <v>-47</v>
          </cell>
          <cell r="S74">
            <v>-47</v>
          </cell>
          <cell r="T74">
            <v>-47</v>
          </cell>
          <cell r="U74">
            <v>-44</v>
          </cell>
        </row>
        <row r="75">
          <cell r="A75" t="str">
            <v>Preferred Dividends Paid</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A76" t="str">
            <v>Free Cash flow</v>
          </cell>
          <cell r="B76">
            <v>690</v>
          </cell>
          <cell r="C76">
            <v>3094</v>
          </cell>
          <cell r="D76">
            <v>6022</v>
          </cell>
          <cell r="E76">
            <v>-113</v>
          </cell>
          <cell r="F76">
            <v>1133</v>
          </cell>
          <cell r="G76">
            <v>-2908</v>
          </cell>
          <cell r="H76">
            <v>4751</v>
          </cell>
          <cell r="I76">
            <v>8033</v>
          </cell>
          <cell r="J76">
            <v>54744</v>
          </cell>
          <cell r="K76">
            <v>8973</v>
          </cell>
          <cell r="M76">
            <v>7387.242668893201</v>
          </cell>
          <cell r="N76">
            <v>9024.5260756323296</v>
          </cell>
          <cell r="O76">
            <v>7757.0372471175106</v>
          </cell>
          <cell r="P76">
            <v>8179.1009163347553</v>
          </cell>
          <cell r="Q76">
            <v>12270.920659052979</v>
          </cell>
          <cell r="R76">
            <v>14095.25166467724</v>
          </cell>
          <cell r="S76">
            <v>14350.215296047729</v>
          </cell>
          <cell r="T76">
            <v>14903.82851556011</v>
          </cell>
          <cell r="U76">
            <v>14402.379861116322</v>
          </cell>
        </row>
        <row r="77">
          <cell r="A77" t="str">
            <v>Free Cash flow to equity for DCF</v>
          </cell>
          <cell r="F77">
            <v>769</v>
          </cell>
          <cell r="G77">
            <v>-3528</v>
          </cell>
          <cell r="H77">
            <v>4148</v>
          </cell>
          <cell r="I77">
            <v>7507</v>
          </cell>
          <cell r="J77">
            <v>54158</v>
          </cell>
          <cell r="K77">
            <v>8671</v>
          </cell>
          <cell r="L77">
            <v>-328.69708352773802</v>
          </cell>
          <cell r="M77">
            <v>7080.0736142527903</v>
          </cell>
          <cell r="N77">
            <v>8679.960562834638</v>
          </cell>
          <cell r="O77">
            <v>7407.5779110456406</v>
          </cell>
          <cell r="P77">
            <v>7821.8651354042249</v>
          </cell>
          <cell r="Q77">
            <v>11915.090753852752</v>
          </cell>
          <cell r="R77">
            <v>13739.832421787074</v>
          </cell>
          <cell r="S77">
            <v>13991.035816580234</v>
          </cell>
          <cell r="T77">
            <v>14559.172496619694</v>
          </cell>
          <cell r="U77">
            <v>14064.468950152135</v>
          </cell>
        </row>
        <row r="78">
          <cell r="A78" t="str">
            <v>Div + share repurchases</v>
          </cell>
          <cell r="I78">
            <v>4149</v>
          </cell>
          <cell r="J78">
            <v>5046</v>
          </cell>
          <cell r="K78">
            <v>6038</v>
          </cell>
          <cell r="L78">
            <v>5693</v>
          </cell>
          <cell r="M78">
            <v>5190.9135043543947</v>
          </cell>
          <cell r="N78">
            <v>6530.345285002807</v>
          </cell>
          <cell r="O78">
            <v>6680.1850734005247</v>
          </cell>
          <cell r="P78">
            <v>6923.6448644632701</v>
          </cell>
          <cell r="Q78">
            <v>7228.521592011607</v>
          </cell>
          <cell r="R78">
            <v>7332.9603610030017</v>
          </cell>
          <cell r="S78">
            <v>7371.4061582023833</v>
          </cell>
          <cell r="T78">
            <v>7496.9728415927138</v>
          </cell>
          <cell r="U78">
            <v>7323.6338644374127</v>
          </cell>
        </row>
        <row r="79">
          <cell r="A79" t="str">
            <v>Cash flow ratios</v>
          </cell>
        </row>
        <row r="80">
          <cell r="A80" t="str">
            <v>Cashflow as % sales</v>
          </cell>
        </row>
        <row r="82">
          <cell r="A82" t="str">
            <v>Free cashflow to firm calculation</v>
          </cell>
        </row>
        <row r="83">
          <cell r="A83" t="str">
            <v>EBIT</v>
          </cell>
          <cell r="F83">
            <v>5565</v>
          </cell>
          <cell r="G83">
            <v>7845</v>
          </cell>
          <cell r="H83">
            <v>14468</v>
          </cell>
          <cell r="I83">
            <v>13924</v>
          </cell>
          <cell r="J83">
            <v>12277</v>
          </cell>
          <cell r="K83">
            <v>13208</v>
          </cell>
          <cell r="L83">
            <v>13585.420944501593</v>
          </cell>
          <cell r="M83">
            <v>16509.785378425477</v>
          </cell>
          <cell r="N83">
            <v>16690.176879610844</v>
          </cell>
          <cell r="O83">
            <v>16966.831112821154</v>
          </cell>
          <cell r="P83">
            <v>17361.543225930662</v>
          </cell>
          <cell r="Q83">
            <v>17224.251782935422</v>
          </cell>
          <cell r="R83">
            <v>17312.715052108808</v>
          </cell>
          <cell r="S83">
            <v>17569.865374370162</v>
          </cell>
          <cell r="T83">
            <v>17131.224961137948</v>
          </cell>
          <cell r="U83">
            <v>17002.296103597397</v>
          </cell>
        </row>
        <row r="84">
          <cell r="A84" t="str">
            <v>Depreciation and amortization</v>
          </cell>
          <cell r="H84">
            <v>2536</v>
          </cell>
          <cell r="I84">
            <v>2645</v>
          </cell>
          <cell r="J84">
            <v>2693</v>
          </cell>
          <cell r="K84">
            <v>2552</v>
          </cell>
          <cell r="L84">
            <v>2698.0844913687069</v>
          </cell>
          <cell r="M84">
            <v>2841.8987541659853</v>
          </cell>
          <cell r="N84">
            <v>2983.4881929632638</v>
          </cell>
          <cell r="O84">
            <v>3122.8973042405419</v>
          </cell>
          <cell r="P84">
            <v>3260.1696945482199</v>
          </cell>
          <cell r="Q84">
            <v>3395.3480983056907</v>
          </cell>
          <cell r="R84">
            <v>3281.4629556630071</v>
          </cell>
          <cell r="S84">
            <v>3412.5781879184538</v>
          </cell>
          <cell r="T84">
            <v>3476.5764511901807</v>
          </cell>
          <cell r="U84">
            <v>3603.7894135350839</v>
          </cell>
        </row>
        <row r="85">
          <cell r="A85" t="str">
            <v>EBITDA</v>
          </cell>
          <cell r="F85">
            <v>7878</v>
          </cell>
          <cell r="G85">
            <v>10283</v>
          </cell>
          <cell r="H85">
            <v>17004</v>
          </cell>
          <cell r="I85">
            <v>16569</v>
          </cell>
          <cell r="J85">
            <v>14970</v>
          </cell>
          <cell r="K85">
            <v>15760</v>
          </cell>
          <cell r="L85">
            <v>16283.5054358703</v>
          </cell>
          <cell r="M85">
            <v>19351.684132591461</v>
          </cell>
          <cell r="N85">
            <v>19673.665072574109</v>
          </cell>
          <cell r="O85">
            <v>20089.728417061695</v>
          </cell>
          <cell r="P85">
            <v>20621.71292047888</v>
          </cell>
          <cell r="Q85">
            <v>20619.599881241113</v>
          </cell>
          <cell r="R85">
            <v>20594.178007771814</v>
          </cell>
          <cell r="S85">
            <v>20982.443562288616</v>
          </cell>
          <cell r="T85">
            <v>20607.801412328128</v>
          </cell>
          <cell r="U85">
            <v>20606.08551713248</v>
          </cell>
        </row>
        <row r="87">
          <cell r="A87" t="str">
            <v>Tax rate</v>
          </cell>
          <cell r="F87">
            <v>0.41242325749368003</v>
          </cell>
          <cell r="G87">
            <v>0.39485175821650198</v>
          </cell>
          <cell r="H87">
            <v>0.25267903815995818</v>
          </cell>
          <cell r="I87">
            <v>0.23423487041875574</v>
          </cell>
          <cell r="J87">
            <v>0.16829554339327599</v>
          </cell>
          <cell r="K87">
            <v>0.21220159151193635</v>
          </cell>
          <cell r="L87">
            <v>0.21073752308065621</v>
          </cell>
          <cell r="M87">
            <v>0.21</v>
          </cell>
          <cell r="N87">
            <v>0.21</v>
          </cell>
          <cell r="O87">
            <v>0.21</v>
          </cell>
          <cell r="P87">
            <v>0.21</v>
          </cell>
          <cell r="Q87">
            <v>0.21</v>
          </cell>
          <cell r="R87">
            <v>0.21</v>
          </cell>
          <cell r="S87">
            <v>0.21</v>
          </cell>
          <cell r="T87">
            <v>0.21</v>
          </cell>
          <cell r="U87">
            <v>0.21</v>
          </cell>
        </row>
        <row r="88">
          <cell r="A88" t="str">
            <v>NOPLAT</v>
          </cell>
          <cell r="F88">
            <v>4628.929577464789</v>
          </cell>
          <cell r="G88">
            <v>6222.7393702597101</v>
          </cell>
          <cell r="H88">
            <v>12707.445635128071</v>
          </cell>
          <cell r="I88">
            <v>12687.962432031636</v>
          </cell>
          <cell r="J88">
            <v>12450.615715402659</v>
          </cell>
          <cell r="K88">
            <v>12415.702917771881</v>
          </cell>
          <cell r="L88">
            <v>12851.959833244593</v>
          </cell>
          <cell r="M88">
            <v>15287.830464747254</v>
          </cell>
          <cell r="N88">
            <v>15542.195407333547</v>
          </cell>
          <cell r="O88">
            <v>15870.885449478739</v>
          </cell>
          <cell r="P88">
            <v>16291.153207178315</v>
          </cell>
          <cell r="Q88">
            <v>16289.48390618048</v>
          </cell>
          <cell r="R88">
            <v>16269.400626139734</v>
          </cell>
          <cell r="S88">
            <v>16576.130414208008</v>
          </cell>
          <cell r="T88">
            <v>16280.163115739222</v>
          </cell>
          <cell r="U88">
            <v>16278.80755853466</v>
          </cell>
        </row>
        <row r="90">
          <cell r="A90" t="str">
            <v>Increase in working capital</v>
          </cell>
          <cell r="F90">
            <v>488</v>
          </cell>
          <cell r="G90">
            <v>-1897</v>
          </cell>
          <cell r="H90">
            <v>-1207</v>
          </cell>
          <cell r="I90">
            <v>-524</v>
          </cell>
          <cell r="J90">
            <v>349</v>
          </cell>
          <cell r="K90">
            <v>-1266</v>
          </cell>
          <cell r="L90">
            <v>575.83374255677052</v>
          </cell>
          <cell r="M90">
            <v>-352.10586426716407</v>
          </cell>
          <cell r="N90">
            <v>-815.73495135290887</v>
          </cell>
          <cell r="O90">
            <v>-304.73385673507551</v>
          </cell>
          <cell r="P90">
            <v>-478.06716783610159</v>
          </cell>
          <cell r="Q90">
            <v>-117.80824878675276</v>
          </cell>
          <cell r="R90">
            <v>-263.91797169714687</v>
          </cell>
          <cell r="S90">
            <v>-387.38143243048876</v>
          </cell>
          <cell r="T90">
            <v>416.24289423839627</v>
          </cell>
          <cell r="U90">
            <v>-156.46610757954386</v>
          </cell>
        </row>
        <row r="91">
          <cell r="A91" t="str">
            <v>CAPEX</v>
          </cell>
          <cell r="F91">
            <v>-3319</v>
          </cell>
          <cell r="G91">
            <v>-3561</v>
          </cell>
          <cell r="H91">
            <v>-3519</v>
          </cell>
          <cell r="I91">
            <v>-3139</v>
          </cell>
          <cell r="J91">
            <v>-2984</v>
          </cell>
          <cell r="K91">
            <v>-2671</v>
          </cell>
          <cell r="L91">
            <v>-2663</v>
          </cell>
          <cell r="M91">
            <v>-2663</v>
          </cell>
          <cell r="N91">
            <v>-2663</v>
          </cell>
          <cell r="O91">
            <v>-2663</v>
          </cell>
          <cell r="P91">
            <v>-2663</v>
          </cell>
          <cell r="Q91">
            <v>-2663</v>
          </cell>
          <cell r="R91">
            <v>-2663</v>
          </cell>
          <cell r="S91">
            <v>-2663</v>
          </cell>
          <cell r="T91">
            <v>-2663</v>
          </cell>
          <cell r="U91">
            <v>-2663</v>
          </cell>
        </row>
        <row r="93">
          <cell r="A93" t="str">
            <v>Free Cash flow to firm</v>
          </cell>
          <cell r="F93">
            <v>1797.929577464789</v>
          </cell>
          <cell r="G93">
            <v>764.73937025971009</v>
          </cell>
          <cell r="H93">
            <v>7981.4456351280714</v>
          </cell>
          <cell r="I93">
            <v>9024.9624320316361</v>
          </cell>
          <cell r="J93">
            <v>9815.6157154026587</v>
          </cell>
          <cell r="K93">
            <v>8478.7029177718814</v>
          </cell>
          <cell r="L93">
            <v>10764.793575801363</v>
          </cell>
          <cell r="M93">
            <v>12272.724600480091</v>
          </cell>
          <cell r="N93">
            <v>12063.460455980639</v>
          </cell>
          <cell r="O93">
            <v>12903.151592743663</v>
          </cell>
          <cell r="P93">
            <v>13150.086039342214</v>
          </cell>
          <cell r="Q93">
            <v>13508.675657393727</v>
          </cell>
          <cell r="R93">
            <v>13342.482654442587</v>
          </cell>
          <cell r="S93">
            <v>13525.74898177752</v>
          </cell>
          <cell r="T93">
            <v>14033.406009977618</v>
          </cell>
          <cell r="U93">
            <v>13459.341450955115</v>
          </cell>
        </row>
        <row r="95">
          <cell r="A95" t="str">
            <v>Restate</v>
          </cell>
          <cell r="F95">
            <v>-164</v>
          </cell>
          <cell r="Y95" t="str">
            <v>mstag:otherCashFlow</v>
          </cell>
          <cell r="Z95">
            <v>6</v>
          </cell>
          <cell r="AA95" t="str">
            <v>ISO4217:CHF</v>
          </cell>
          <cell r="AB95" t="b">
            <v>0</v>
          </cell>
          <cell r="AC95" t="b">
            <v>0</v>
          </cell>
        </row>
        <row r="96">
          <cell r="A96" t="str">
            <v>Accrual Issuances/Repurchases of Common Stock</v>
          </cell>
          <cell r="B96">
            <v>706</v>
          </cell>
          <cell r="C96">
            <v>39</v>
          </cell>
          <cell r="D96">
            <v>0</v>
          </cell>
          <cell r="E96">
            <v>237</v>
          </cell>
          <cell r="F96">
            <v>779</v>
          </cell>
          <cell r="G96">
            <v>1367</v>
          </cell>
          <cell r="H96">
            <v>1085</v>
          </cell>
          <cell r="I96">
            <v>-98</v>
          </cell>
          <cell r="J96">
            <v>-651</v>
          </cell>
          <cell r="K96">
            <v>-773</v>
          </cell>
          <cell r="L96">
            <v>0</v>
          </cell>
          <cell r="M96">
            <v>0</v>
          </cell>
          <cell r="N96">
            <v>0</v>
          </cell>
          <cell r="Y96" t="str">
            <v>mstag:netIssuanceRepurchaseOfCommonStock</v>
          </cell>
          <cell r="Z96">
            <v>6</v>
          </cell>
          <cell r="AA96" t="str">
            <v>ISO4217:CHF</v>
          </cell>
          <cell r="AB96" t="b">
            <v>0</v>
          </cell>
          <cell r="AC96" t="b">
            <v>0</v>
          </cell>
        </row>
        <row r="98">
          <cell r="E98" t="str">
            <v>2004-FY</v>
          </cell>
          <cell r="F98" t="str">
            <v>2005-FY</v>
          </cell>
          <cell r="G98" t="str">
            <v>2006-FY</v>
          </cell>
          <cell r="H98" t="str">
            <v>2007-FY</v>
          </cell>
          <cell r="I98" t="str">
            <v>2008-FY</v>
          </cell>
          <cell r="J98" t="str">
            <v>2009-FY</v>
          </cell>
          <cell r="K98" t="str">
            <v>2010-FY</v>
          </cell>
          <cell r="L98" t="str">
            <v>2011-FY</v>
          </cell>
          <cell r="M98" t="str">
            <v>2012-FY</v>
          </cell>
          <cell r="N98" t="str">
            <v>2013-FY</v>
          </cell>
          <cell r="O98" t="str">
            <v>2014-FY</v>
          </cell>
          <cell r="P98" t="str">
            <v>2015-FY</v>
          </cell>
          <cell r="Q98" t="str">
            <v>2016-FY</v>
          </cell>
          <cell r="R98" t="str">
            <v>2017-FY</v>
          </cell>
          <cell r="S98" t="str">
            <v>2018-FY</v>
          </cell>
          <cell r="T98" t="str">
            <v>2019-FY</v>
          </cell>
          <cell r="U98" t="str">
            <v>2020-FY</v>
          </cell>
        </row>
        <row r="101">
          <cell r="A101" t="str">
            <v>Credit analysis</v>
          </cell>
        </row>
        <row r="102">
          <cell r="A102" t="str">
            <v>FFO</v>
          </cell>
          <cell r="H102">
            <v>11728</v>
          </cell>
          <cell r="I102">
            <v>12177</v>
          </cell>
          <cell r="J102">
            <v>16877</v>
          </cell>
          <cell r="K102">
            <v>14034</v>
          </cell>
          <cell r="L102">
            <v>14601.410915628787</v>
          </cell>
          <cell r="M102">
            <v>16050.800103931546</v>
          </cell>
          <cell r="N102">
            <v>15870.590541706466</v>
          </cell>
          <cell r="O102">
            <v>16681.246645718718</v>
          </cell>
          <cell r="P102">
            <v>16896.588833922196</v>
          </cell>
          <cell r="Q102">
            <v>17199.014960702116</v>
          </cell>
          <cell r="R102">
            <v>17004.547800705575</v>
          </cell>
          <cell r="S102">
            <v>17208.368560323433</v>
          </cell>
          <cell r="T102">
            <v>17702.437455086067</v>
          </cell>
          <cell r="U102">
            <v>17135.145394993535</v>
          </cell>
        </row>
        <row r="103">
          <cell r="A103" t="str">
            <v>FFC</v>
          </cell>
          <cell r="H103">
            <v>6458</v>
          </cell>
          <cell r="I103">
            <v>2735</v>
          </cell>
          <cell r="J103">
            <v>2109</v>
          </cell>
          <cell r="K103">
            <v>-4400</v>
          </cell>
          <cell r="L103">
            <v>2489.2972925676204</v>
          </cell>
          <cell r="M103">
            <v>2964.9200353395117</v>
          </cell>
          <cell r="N103">
            <v>3443.865720560847</v>
          </cell>
          <cell r="O103">
            <v>2317.1353943843351</v>
          </cell>
          <cell r="P103">
            <v>2821.2909843842972</v>
          </cell>
          <cell r="Q103">
            <v>7013.6110157493313</v>
          </cell>
          <cell r="R103">
            <v>8714.705086761398</v>
          </cell>
          <cell r="S103">
            <v>8880.0800491798727</v>
          </cell>
          <cell r="T103">
            <v>9248.5822605521753</v>
          </cell>
          <cell r="U103">
            <v>8857.6291776149446</v>
          </cell>
        </row>
        <row r="104">
          <cell r="A104" t="str">
            <v>EBIT</v>
          </cell>
          <cell r="H104">
            <v>14468</v>
          </cell>
          <cell r="I104">
            <v>13924</v>
          </cell>
          <cell r="J104">
            <v>12277</v>
          </cell>
          <cell r="K104">
            <v>13208</v>
          </cell>
          <cell r="L104">
            <v>13585.420944501593</v>
          </cell>
          <cell r="M104">
            <v>16509.785378425477</v>
          </cell>
          <cell r="N104">
            <v>16690.176879610844</v>
          </cell>
          <cell r="O104">
            <v>16966.831112821154</v>
          </cell>
          <cell r="P104">
            <v>17361.543225930662</v>
          </cell>
          <cell r="Q104">
            <v>17224.251782935422</v>
          </cell>
          <cell r="R104">
            <v>17312.715052108808</v>
          </cell>
          <cell r="S104">
            <v>17569.865374370162</v>
          </cell>
          <cell r="T104">
            <v>17131.224961137948</v>
          </cell>
          <cell r="U104">
            <v>17002.296103597397</v>
          </cell>
        </row>
        <row r="105">
          <cell r="A105" t="str">
            <v>EBITDA</v>
          </cell>
          <cell r="H105">
            <v>17004</v>
          </cell>
          <cell r="I105">
            <v>16541</v>
          </cell>
          <cell r="J105">
            <v>17705</v>
          </cell>
          <cell r="K105">
            <v>15760</v>
          </cell>
          <cell r="L105">
            <v>16283.5054358703</v>
          </cell>
          <cell r="M105">
            <v>19351.684132591461</v>
          </cell>
          <cell r="N105">
            <v>19673.665072574106</v>
          </cell>
          <cell r="O105">
            <v>20089.728417061699</v>
          </cell>
          <cell r="P105">
            <v>20621.712920478883</v>
          </cell>
          <cell r="Q105">
            <v>20619.599881241113</v>
          </cell>
          <cell r="R105">
            <v>20594.178007771814</v>
          </cell>
          <cell r="S105">
            <v>20982.443562288612</v>
          </cell>
          <cell r="T105">
            <v>20607.801412328128</v>
          </cell>
          <cell r="U105">
            <v>20606.08551713248</v>
          </cell>
        </row>
        <row r="107">
          <cell r="A107" t="str">
            <v>Net debt</v>
          </cell>
          <cell r="H107">
            <v>-13640</v>
          </cell>
          <cell r="I107">
            <v>-12013</v>
          </cell>
          <cell r="J107">
            <v>28593</v>
          </cell>
          <cell r="K107">
            <v>23524</v>
          </cell>
          <cell r="L107">
            <v>19818.931236844142</v>
          </cell>
          <cell r="M107">
            <v>13857.980401248849</v>
          </cell>
          <cell r="N107">
            <v>9235.358251239757</v>
          </cell>
          <cell r="O107">
            <v>3650.9446932675755</v>
          </cell>
          <cell r="P107">
            <v>-2230.0936676469319</v>
          </cell>
          <cell r="Q107">
            <v>-8504.6103817471267</v>
          </cell>
          <cell r="R107">
            <v>-14499.019332480188</v>
          </cell>
          <cell r="S107">
            <v>-20709.946117384356</v>
          </cell>
          <cell r="T107">
            <v>-27348.919438410572</v>
          </cell>
          <cell r="U107">
            <v>-33656.783082148308</v>
          </cell>
        </row>
        <row r="108">
          <cell r="A108" t="str">
            <v>Total debt</v>
          </cell>
          <cell r="H108">
            <v>10562</v>
          </cell>
          <cell r="I108">
            <v>8758</v>
          </cell>
          <cell r="J108">
            <v>47142</v>
          </cell>
          <cell r="K108">
            <v>34425</v>
          </cell>
          <cell r="L108">
            <v>30341.823529411762</v>
          </cell>
          <cell r="M108">
            <v>24464.529411764699</v>
          </cell>
          <cell r="N108">
            <v>20404.618964003508</v>
          </cell>
          <cell r="O108">
            <v>14261.375182908982</v>
          </cell>
          <cell r="P108">
            <v>8325.2575358501563</v>
          </cell>
          <cell r="Q108">
            <v>6183.2575358501563</v>
          </cell>
          <cell r="R108">
            <v>6041.2575358501563</v>
          </cell>
          <cell r="S108">
            <v>5899.2575358501563</v>
          </cell>
          <cell r="T108">
            <v>5757.2575358501563</v>
          </cell>
          <cell r="U108">
            <v>5618.2575358501563</v>
          </cell>
        </row>
        <row r="109">
          <cell r="A109" t="str">
            <v>Interest payments</v>
          </cell>
          <cell r="H109">
            <v>-834</v>
          </cell>
          <cell r="I109">
            <v>-236</v>
          </cell>
          <cell r="J109">
            <v>1668</v>
          </cell>
          <cell r="K109">
            <v>2272</v>
          </cell>
          <cell r="L109">
            <v>1764.0621524729295</v>
          </cell>
          <cell r="M109">
            <v>1459.6557639818584</v>
          </cell>
          <cell r="N109">
            <v>1278.3431066945661</v>
          </cell>
          <cell r="O109">
            <v>977.36801434601341</v>
          </cell>
          <cell r="P109">
            <v>652.62560854441858</v>
          </cell>
          <cell r="Q109">
            <v>256.6966545903133</v>
          </cell>
          <cell r="R109">
            <v>237.89848896951185</v>
          </cell>
          <cell r="S109">
            <v>186.755617216882</v>
          </cell>
          <cell r="T109">
            <v>127.21129246713394</v>
          </cell>
          <cell r="U109">
            <v>64.367886818389707</v>
          </cell>
        </row>
        <row r="111">
          <cell r="A111" t="str">
            <v>Interest cover</v>
          </cell>
          <cell r="H111">
            <v>-17.347721822541967</v>
          </cell>
          <cell r="I111">
            <v>-59</v>
          </cell>
          <cell r="J111">
            <v>7.3603117505995206</v>
          </cell>
          <cell r="K111">
            <v>5.813380281690141</v>
          </cell>
          <cell r="L111">
            <v>7.701214452935818</v>
          </cell>
          <cell r="M111">
            <v>11.310739001494239</v>
          </cell>
          <cell r="N111">
            <v>13.056101129818678</v>
          </cell>
          <cell r="O111">
            <v>17.359715955278293</v>
          </cell>
          <cell r="P111">
            <v>26.602607986304619</v>
          </cell>
          <cell r="Q111">
            <v>67.09963482159614</v>
          </cell>
          <cell r="R111">
            <v>72.773539365891224</v>
          </cell>
          <cell r="S111">
            <v>94.079447977010631</v>
          </cell>
          <cell r="T111">
            <v>134.66748610831021</v>
          </cell>
          <cell r="U111">
            <v>264.14252423057474</v>
          </cell>
        </row>
        <row r="112">
          <cell r="A112" t="str">
            <v>FFO/ Total debt</v>
          </cell>
          <cell r="H112">
            <v>1.1103957583790949</v>
          </cell>
          <cell r="I112">
            <v>1.3903859328613839</v>
          </cell>
          <cell r="J112">
            <v>0.35800347885113065</v>
          </cell>
          <cell r="K112">
            <v>0.40766884531590414</v>
          </cell>
          <cell r="L112">
            <v>0.4812305002523975</v>
          </cell>
          <cell r="M112">
            <v>0.6560845636463748</v>
          </cell>
          <cell r="N112">
            <v>0.77779401662458492</v>
          </cell>
          <cell r="O112">
            <v>1.1696800926820679</v>
          </cell>
          <cell r="P112">
            <v>2.0295574955083664</v>
          </cell>
          <cell r="Q112">
            <v>2.7815459506551781</v>
          </cell>
          <cell r="R112">
            <v>2.8147364517729683</v>
          </cell>
          <cell r="S112">
            <v>2.9170397216509203</v>
          </cell>
          <cell r="T112">
            <v>3.0748038184593738</v>
          </cell>
          <cell r="U112">
            <v>3.0499038688871067</v>
          </cell>
        </row>
        <row r="113">
          <cell r="A113" t="str">
            <v>FFC/ Total Debt</v>
          </cell>
          <cell r="H113">
            <v>0.61143722779776555</v>
          </cell>
          <cell r="I113">
            <v>0.31228591002511991</v>
          </cell>
          <cell r="J113">
            <v>4.4737177039582535E-2</v>
          </cell>
          <cell r="K113">
            <v>-0.12781408859840232</v>
          </cell>
          <cell r="L113">
            <v>8.2041782694920323E-2</v>
          </cell>
          <cell r="M113">
            <v>0.12119260442073811</v>
          </cell>
          <cell r="N113">
            <v>0.16877873223882736</v>
          </cell>
          <cell r="O113">
            <v>0.16247629451339451</v>
          </cell>
          <cell r="P113">
            <v>0.33888332850188441</v>
          </cell>
          <cell r="Q113">
            <v>1.1342906186722508</v>
          </cell>
          <cell r="R113">
            <v>1.4425316310464193</v>
          </cell>
          <cell r="S113">
            <v>1.5052877409089316</v>
          </cell>
          <cell r="T113">
            <v>1.6064214954710143</v>
          </cell>
          <cell r="U113">
            <v>1.5765794147196575</v>
          </cell>
        </row>
        <row r="114">
          <cell r="A114" t="str">
            <v>Net Debt/EBITDA</v>
          </cell>
          <cell r="H114">
            <v>-0.80216419665960947</v>
          </cell>
          <cell r="I114">
            <v>-0.72625597001390485</v>
          </cell>
          <cell r="J114">
            <v>1.6149675232985032</v>
          </cell>
          <cell r="K114">
            <v>1.4926395939086294</v>
          </cell>
          <cell r="L114">
            <v>1.217116997006418</v>
          </cell>
          <cell r="M114">
            <v>0.71611237070109579</v>
          </cell>
          <cell r="N114">
            <v>0.46942744105744816</v>
          </cell>
          <cell r="O114">
            <v>0.1817319088378975</v>
          </cell>
          <cell r="P114">
            <v>-0.10814298871517526</v>
          </cell>
          <cell r="Q114">
            <v>-0.41245273578195285</v>
          </cell>
          <cell r="R114">
            <v>-0.70403486495108281</v>
          </cell>
          <cell r="S114">
            <v>-0.98701307385408577</v>
          </cell>
          <cell r="T114">
            <v>-1.3271148576795646</v>
          </cell>
          <cell r="U114">
            <v>-1.6333419102898079</v>
          </cell>
        </row>
      </sheetData>
      <sheetData sheetId="15" refreshError="1">
        <row r="1">
          <cell r="A1" t="str">
            <v>Return to contents</v>
          </cell>
          <cell r="X1" t="str">
            <v>c</v>
          </cell>
          <cell r="CH1">
            <v>0</v>
          </cell>
          <cell r="CI1">
            <v>0</v>
          </cell>
          <cell r="CJ1">
            <v>0</v>
          </cell>
          <cell r="CK1">
            <v>0</v>
          </cell>
          <cell r="CL1">
            <v>0</v>
          </cell>
          <cell r="CM1">
            <v>0</v>
          </cell>
          <cell r="CN1">
            <v>0</v>
          </cell>
          <cell r="CO1">
            <v>0</v>
          </cell>
          <cell r="CP1">
            <v>0</v>
          </cell>
          <cell r="CQ1">
            <v>0</v>
          </cell>
          <cell r="CR1">
            <v>0</v>
          </cell>
          <cell r="CS1">
            <v>0</v>
          </cell>
          <cell r="CT1">
            <v>0</v>
          </cell>
          <cell r="CU1">
            <v>0</v>
          </cell>
          <cell r="CV1">
            <v>0</v>
          </cell>
          <cell r="CW1">
            <v>0</v>
          </cell>
          <cell r="EZ1" t="str">
            <v>ElementName</v>
          </cell>
          <cell r="FA1" t="str">
            <v>ScaleOverride</v>
          </cell>
          <cell r="FB1" t="str">
            <v>UnitOverride</v>
          </cell>
          <cell r="FC1" t="str">
            <v>ReverseSign</v>
          </cell>
          <cell r="FD1" t="str">
            <v>IsDrivingAssumption</v>
          </cell>
          <cell r="FE1" t="str">
            <v>SegmentID</v>
          </cell>
          <cell r="FJ1" t="str">
            <v>ElementName</v>
          </cell>
          <cell r="FK1" t="str">
            <v>ScaleOverride</v>
          </cell>
          <cell r="FL1" t="str">
            <v>UnitOverride</v>
          </cell>
          <cell r="FM1" t="str">
            <v>ReverseSign</v>
          </cell>
          <cell r="FN1" t="str">
            <v>IsDrivingAssumption</v>
          </cell>
          <cell r="FO1" t="str">
            <v>SegmentID</v>
          </cell>
        </row>
        <row r="2">
          <cell r="A2" t="str">
            <v>Roche</v>
          </cell>
        </row>
        <row r="3">
          <cell r="A3" t="str">
            <v>Quarterly Sales Model</v>
          </cell>
          <cell r="CM3" t="str">
            <v>Morgan Stanley Equity Research- Pharmaceuticals</v>
          </cell>
          <cell r="CS3" t="str">
            <v>Morgan Stanley Equity Research- Pharmaceuticals</v>
          </cell>
        </row>
        <row r="4">
          <cell r="A4" t="str">
            <v>Currency Impact</v>
          </cell>
          <cell r="Q4" t="str">
            <v>Old format</v>
          </cell>
          <cell r="R4" t="str">
            <v>Old format</v>
          </cell>
          <cell r="S4" t="str">
            <v>Old format</v>
          </cell>
          <cell r="T4">
            <v>0.96</v>
          </cell>
          <cell r="U4" t="str">
            <v>Old format</v>
          </cell>
          <cell r="V4">
            <v>0.96360000000000001</v>
          </cell>
          <cell r="W4" t="str">
            <v>Old format</v>
          </cell>
          <cell r="X4" t="str">
            <v>New format</v>
          </cell>
          <cell r="Y4" t="str">
            <v>New format</v>
          </cell>
          <cell r="Z4" t="str">
            <v>New format</v>
          </cell>
          <cell r="AA4" t="str">
            <v>New format</v>
          </cell>
          <cell r="AB4" t="str">
            <v>New format</v>
          </cell>
          <cell r="AC4" t="str">
            <v>New format</v>
          </cell>
          <cell r="AD4" t="str">
            <v>New format</v>
          </cell>
          <cell r="AE4">
            <v>0.98799999999999999</v>
          </cell>
          <cell r="AF4">
            <v>0.98599999999999999</v>
          </cell>
          <cell r="AH4">
            <v>0.96599999999999997</v>
          </cell>
          <cell r="AJ4">
            <v>0.94089999999999996</v>
          </cell>
          <cell r="AL4">
            <v>0.97624534510201733</v>
          </cell>
          <cell r="AM4">
            <v>0.99031067888085544</v>
          </cell>
          <cell r="AO4">
            <v>1.0090328217156213</v>
          </cell>
          <cell r="AQ4">
            <v>1.0317735032290565</v>
          </cell>
          <cell r="AR4">
            <v>1.0063</v>
          </cell>
          <cell r="AS4">
            <v>1.0362756659296446</v>
          </cell>
          <cell r="AT4">
            <v>1.0023218843750583</v>
          </cell>
          <cell r="AV4">
            <v>0.98756714071025997</v>
          </cell>
          <cell r="AX4">
            <v>0.98957217600660174</v>
          </cell>
          <cell r="AZ4">
            <v>0.97999852613879701</v>
          </cell>
          <cell r="BA4">
            <v>1.0028131751792557</v>
          </cell>
          <cell r="BC4">
            <v>0.99714881451799686</v>
          </cell>
          <cell r="BE4">
            <v>0.97500780911332319</v>
          </cell>
          <cell r="BF4">
            <v>0.98720806654614901</v>
          </cell>
          <cell r="BG4">
            <v>0.92827018131700323</v>
          </cell>
          <cell r="BH4">
            <v>0.90621598532966485</v>
          </cell>
          <cell r="BJ4">
            <v>0.93482319451048013</v>
          </cell>
          <cell r="BL4">
            <v>0.99758868832057701</v>
          </cell>
          <cell r="BM4">
            <v>0.94233737042542332</v>
          </cell>
          <cell r="BN4">
            <v>0.99</v>
          </cell>
          <cell r="BO4">
            <v>0.99</v>
          </cell>
          <cell r="BP4">
            <v>0.99</v>
          </cell>
          <cell r="BQ4">
            <v>0.992353730273972</v>
          </cell>
          <cell r="BR4">
            <v>0.9907845767579907</v>
          </cell>
          <cell r="BS4">
            <v>0.93198280263719735</v>
          </cell>
          <cell r="BT4">
            <v>0.97608413322779231</v>
          </cell>
          <cell r="BU4">
            <v>0.9601550842151545</v>
          </cell>
          <cell r="BV4">
            <v>0.98100167663972071</v>
          </cell>
          <cell r="BW4">
            <v>0.9705783804274376</v>
          </cell>
          <cell r="BX4">
            <v>0.94842030579665704</v>
          </cell>
          <cell r="BY4">
            <v>0.96319235555051075</v>
          </cell>
          <cell r="BZ4">
            <v>0.93677247830426358</v>
          </cell>
          <cell r="CA4">
            <v>0.95658738623894901</v>
          </cell>
          <cell r="CB4">
            <v>0.89059050047185873</v>
          </cell>
          <cell r="CC4">
            <v>0.83792941753467043</v>
          </cell>
          <cell r="CD4">
            <v>0.86425995900326458</v>
          </cell>
          <cell r="CE4">
            <v>0.84733174717725224</v>
          </cell>
          <cell r="CF4">
            <v>0.8586172217279272</v>
          </cell>
          <cell r="CG4">
            <v>0.87635345885990767</v>
          </cell>
          <cell r="CH4">
            <v>0.86305128101092232</v>
          </cell>
          <cell r="CI4">
            <v>0.91143245125197392</v>
          </cell>
          <cell r="CJ4">
            <v>0.98322725681455736</v>
          </cell>
          <cell r="CK4">
            <v>0.94732985403326564</v>
          </cell>
          <cell r="CL4">
            <v>1.0561955231650182</v>
          </cell>
          <cell r="CM4">
            <v>0.98361841041051645</v>
          </cell>
          <cell r="CN4">
            <v>1.0928339406559084</v>
          </cell>
          <cell r="CO4">
            <v>1.0109222929718644</v>
          </cell>
          <cell r="CP4">
            <v>1.0489321444445312</v>
          </cell>
          <cell r="CQ4">
            <v>1</v>
          </cell>
          <cell r="CR4">
            <v>1</v>
          </cell>
          <cell r="CS4">
            <v>1</v>
          </cell>
          <cell r="CT4">
            <v>1</v>
          </cell>
          <cell r="CU4">
            <v>1</v>
          </cell>
          <cell r="CV4">
            <v>1</v>
          </cell>
          <cell r="CW4">
            <v>1</v>
          </cell>
          <cell r="CX4" t="str">
            <v>Contrib</v>
          </cell>
        </row>
        <row r="5">
          <cell r="A5" t="str">
            <v>SFr / Euro Rate</v>
          </cell>
          <cell r="S5">
            <v>1.2746047794722146</v>
          </cell>
          <cell r="U5">
            <v>1.2746047794722146</v>
          </cell>
          <cell r="AE5">
            <v>1.5682209385218513</v>
          </cell>
          <cell r="AF5">
            <v>1.5378195253354201</v>
          </cell>
          <cell r="AH5">
            <v>1.5362657212061475</v>
          </cell>
          <cell r="AJ5">
            <v>1.5335738420275273</v>
          </cell>
          <cell r="AL5">
            <v>1.5491041230290887</v>
          </cell>
          <cell r="AM5">
            <v>1.5436795737180151</v>
          </cell>
          <cell r="AO5">
            <v>1.5535330193808572</v>
          </cell>
          <cell r="AQ5">
            <v>1.547562438076975</v>
          </cell>
          <cell r="AR5">
            <v>1.5485072806250948</v>
          </cell>
          <cell r="AS5">
            <v>1.5593864247766211</v>
          </cell>
          <cell r="AT5">
            <v>1.5633557576469981</v>
          </cell>
          <cell r="AV5">
            <v>1.5770357888432083</v>
          </cell>
          <cell r="AX5">
            <v>1.593092523529668</v>
          </cell>
          <cell r="AY5">
            <v>1.573</v>
          </cell>
          <cell r="AZ5">
            <v>1.6161863357328499</v>
          </cell>
          <cell r="BA5">
            <v>1.6477729999999999</v>
          </cell>
          <cell r="BC5">
            <v>1.6477154356256514</v>
          </cell>
          <cell r="BE5">
            <v>1.66020985760359</v>
          </cell>
          <cell r="BF5">
            <v>1.6425962356520001</v>
          </cell>
          <cell r="BG5">
            <v>1.6012441918830818</v>
          </cell>
          <cell r="BH5">
            <v>1.6035432488189765</v>
          </cell>
          <cell r="BI5">
            <v>1.6023937203510292</v>
          </cell>
          <cell r="BJ5">
            <v>1.6105458189034314</v>
          </cell>
          <cell r="BK5">
            <v>1.6051110865351632</v>
          </cell>
          <cell r="BL5">
            <v>1.5227864511890623</v>
          </cell>
          <cell r="BM5">
            <v>1.584529927698638</v>
          </cell>
          <cell r="BN5">
            <v>1.4964343069388617</v>
          </cell>
          <cell r="BO5">
            <v>1.5138607140107496</v>
          </cell>
          <cell r="BP5">
            <v>1.5051475104748056</v>
          </cell>
          <cell r="BQ5">
            <v>1.5193513863215355</v>
          </cell>
          <cell r="BR5">
            <v>1.5098821357570487</v>
          </cell>
          <cell r="BS5">
            <v>1.5082432599110747</v>
          </cell>
          <cell r="BT5">
            <v>1.5094724167955551</v>
          </cell>
          <cell r="BU5">
            <v>1.52</v>
          </cell>
          <cell r="BV5">
            <v>1.411688224392043</v>
          </cell>
          <cell r="BW5">
            <v>1.4658441121960215</v>
          </cell>
          <cell r="BX5">
            <v>1.3323420869044811</v>
          </cell>
          <cell r="BY5">
            <v>1.4213434370988416</v>
          </cell>
          <cell r="BZ5">
            <v>1.3209622650772013</v>
          </cell>
          <cell r="CA5">
            <v>1.3962481440934313</v>
          </cell>
          <cell r="CB5">
            <v>1.2874919924822206</v>
          </cell>
          <cell r="CC5">
            <v>1.2521290836085019</v>
          </cell>
          <cell r="CD5">
            <v>1.2698105380453613</v>
          </cell>
          <cell r="CE5">
            <v>1.1299999999999999</v>
          </cell>
          <cell r="CF5">
            <v>1.2232070253635741</v>
          </cell>
          <cell r="CG5">
            <v>1.1299999999999999</v>
          </cell>
          <cell r="CH5">
            <v>1.1999052690226806</v>
          </cell>
          <cell r="CI5">
            <v>1.17</v>
          </cell>
          <cell r="CJ5">
            <v>1.22</v>
          </cell>
          <cell r="CK5">
            <v>1.1949999999999998</v>
          </cell>
          <cell r="CL5">
            <v>1.27</v>
          </cell>
          <cell r="CM5">
            <v>1.22</v>
          </cell>
          <cell r="CN5">
            <v>1.33</v>
          </cell>
          <cell r="CO5">
            <v>1.2475000000000001</v>
          </cell>
          <cell r="CP5">
            <v>1.33</v>
          </cell>
          <cell r="CQ5">
            <v>1.33</v>
          </cell>
          <cell r="CR5">
            <v>1.33</v>
          </cell>
          <cell r="CS5">
            <v>1.33</v>
          </cell>
          <cell r="CT5">
            <v>1.33</v>
          </cell>
          <cell r="CU5">
            <v>1.33</v>
          </cell>
          <cell r="CV5">
            <v>1.33</v>
          </cell>
          <cell r="CW5">
            <v>1.33</v>
          </cell>
          <cell r="CX5">
            <v>0.35899999999999999</v>
          </cell>
        </row>
        <row r="6">
          <cell r="A6" t="str">
            <v>SFr / Yen Rate</v>
          </cell>
          <cell r="S6">
            <v>8.6107628358758591E-3</v>
          </cell>
          <cell r="U6">
            <v>8.6107628358758591E-3</v>
          </cell>
          <cell r="AE6">
            <v>1.1657883506335691E-2</v>
          </cell>
          <cell r="AF6">
            <v>1.0985551223784541E-2</v>
          </cell>
          <cell r="AH6">
            <v>1.1118286260561645E-2</v>
          </cell>
          <cell r="AJ6">
            <v>1.2268402703223191E-2</v>
          </cell>
          <cell r="AL6">
            <v>1.253716445363549E-2</v>
          </cell>
          <cell r="AM6">
            <v>1.1696724556883184E-2</v>
          </cell>
          <cell r="AO6">
            <v>1.0966797024913518E-2</v>
          </cell>
          <cell r="AQ6">
            <v>1.0133827414799776E-2</v>
          </cell>
          <cell r="AR6">
            <v>1.1299999999999999E-2</v>
          </cell>
          <cell r="AS6">
            <v>1.1093982310518566E-2</v>
          </cell>
          <cell r="AT6">
            <v>1.0873350983962131E-2</v>
          </cell>
          <cell r="AV6">
            <v>1.06478535103313E-2</v>
          </cell>
          <cell r="AX6">
            <v>1.0492052230335995E-2</v>
          </cell>
          <cell r="AY6">
            <v>1.0775862068965518E-2</v>
          </cell>
          <cell r="AZ6">
            <v>1.03308859093594E-2</v>
          </cell>
          <cell r="BA6">
            <v>1.0119632856520667E-2</v>
          </cell>
          <cell r="BC6">
            <v>1.0358184512733201E-2</v>
          </cell>
          <cell r="BE6">
            <v>1.0133745420954951E-2</v>
          </cell>
          <cell r="BF6">
            <v>1.0133745420954951E-2</v>
          </cell>
          <cell r="BG6">
            <v>1.0152521779061294E-2</v>
          </cell>
          <cell r="BH6">
            <v>9.8129442673515286E-3</v>
          </cell>
          <cell r="BI6">
            <v>9.9827330232064113E-3</v>
          </cell>
          <cell r="BJ6">
            <v>9.9737375813696415E-3</v>
          </cell>
          <cell r="BK6">
            <v>9.9797345425941542E-3</v>
          </cell>
          <cell r="BL6">
            <v>1.2032687155449787E-2</v>
          </cell>
          <cell r="BM6">
            <v>1.0492972695808062E-2</v>
          </cell>
          <cell r="BN6">
            <v>1.2261679764363988E-2</v>
          </cell>
          <cell r="BO6">
            <v>1.1417708273326841E-2</v>
          </cell>
          <cell r="BP6">
            <v>1.1839694018845414E-2</v>
          </cell>
          <cell r="BQ6">
            <v>1.1356627444111089E-2</v>
          </cell>
          <cell r="BR6">
            <v>1.1678671827267307E-2</v>
          </cell>
          <cell r="BS6">
            <v>1.136950975382448E-2</v>
          </cell>
          <cell r="BT6">
            <v>1.1601381308906601E-2</v>
          </cell>
          <cell r="BU6">
            <v>1.1657821358251868E-2</v>
          </cell>
          <cell r="BV6">
            <v>1.2021197853321945E-2</v>
          </cell>
          <cell r="BW6">
            <v>1.1839509605786907E-2</v>
          </cell>
          <cell r="BX6">
            <v>1.20235898134147E-2</v>
          </cell>
          <cell r="BY6">
            <v>1.1900869674996171E-2</v>
          </cell>
          <cell r="BZ6">
            <v>1.1794844327509265E-2</v>
          </cell>
          <cell r="CA6">
            <v>1.1874363338124444E-2</v>
          </cell>
          <cell r="CB6">
            <v>1.1482647606471153E-2</v>
          </cell>
          <cell r="CC6">
            <v>1.0667301155389348E-2</v>
          </cell>
          <cell r="CD6">
            <v>1.107497438093025E-2</v>
          </cell>
          <cell r="CE6">
            <v>1.0999999999999999E-2</v>
          </cell>
          <cell r="CF6">
            <v>1.1049982920620169E-2</v>
          </cell>
          <cell r="CG6">
            <v>1.0999999999999999E-2</v>
          </cell>
          <cell r="CH6">
            <v>1.1037487190465125E-2</v>
          </cell>
          <cell r="CI6">
            <v>1.0999999999999999E-2</v>
          </cell>
          <cell r="CJ6">
            <v>1.0999999999999999E-2</v>
          </cell>
          <cell r="CK6">
            <v>1.0999999999999999E-2</v>
          </cell>
          <cell r="CL6">
            <v>1.0999999999999999E-2</v>
          </cell>
          <cell r="CM6">
            <v>1.1000000000000001E-2</v>
          </cell>
          <cell r="CN6">
            <v>1.0999999999999999E-2</v>
          </cell>
          <cell r="CO6">
            <v>1.0999999999999999E-2</v>
          </cell>
          <cell r="CP6">
            <v>1.0999999999999999E-2</v>
          </cell>
          <cell r="CQ6">
            <v>1.0999999999999999E-2</v>
          </cell>
          <cell r="CR6">
            <v>1.0999999999999999E-2</v>
          </cell>
          <cell r="CS6">
            <v>1.0999999999999999E-2</v>
          </cell>
          <cell r="CT6">
            <v>1.0999999999999999E-2</v>
          </cell>
          <cell r="CU6">
            <v>1.0999999999999999E-2</v>
          </cell>
          <cell r="CV6">
            <v>1.0999999999999999E-2</v>
          </cell>
          <cell r="CW6">
            <v>1.0999999999999999E-2</v>
          </cell>
          <cell r="CX6">
            <v>0.126</v>
          </cell>
        </row>
        <row r="7">
          <cell r="A7" t="str">
            <v>SFr / $ Rate</v>
          </cell>
          <cell r="S7">
            <v>0.80850363513443435</v>
          </cell>
          <cell r="U7">
            <v>0.80850363513443435</v>
          </cell>
          <cell r="AE7">
            <v>1.2547518446153849</v>
          </cell>
          <cell r="AF7">
            <v>1.2764162323076922</v>
          </cell>
          <cell r="AH7">
            <v>1.2569533136363633</v>
          </cell>
          <cell r="AJ7">
            <v>1.1825069621212123</v>
          </cell>
          <cell r="AL7">
            <v>1.1819818125000001</v>
          </cell>
          <cell r="AM7">
            <v>1.2271685676923083</v>
          </cell>
          <cell r="AO7">
            <v>1.2739007742424242</v>
          </cell>
          <cell r="AQ7">
            <v>1.3022335569230767</v>
          </cell>
          <cell r="AR7">
            <v>1.2466747123076918</v>
          </cell>
          <cell r="AS7">
            <v>1.2968498615384614</v>
          </cell>
          <cell r="AT7">
            <v>1.2434705661538454</v>
          </cell>
          <cell r="AV7">
            <v>1.237577692307692</v>
          </cell>
          <cell r="AX7">
            <v>1.235699843076923</v>
          </cell>
          <cell r="AY7">
            <v>1.2533994907692316</v>
          </cell>
          <cell r="AZ7">
            <v>1.2332807692307688</v>
          </cell>
          <cell r="BA7">
            <v>1.2239</v>
          </cell>
          <cell r="BC7">
            <v>1.1990261538461544</v>
          </cell>
          <cell r="BE7">
            <v>1.1468336696969694</v>
          </cell>
          <cell r="BF7">
            <v>1.2001237590038314</v>
          </cell>
          <cell r="BG7">
            <v>1.0692510949230769</v>
          </cell>
          <cell r="BH7">
            <v>1.0264807676923076</v>
          </cell>
          <cell r="BI7">
            <v>1.0478659313076921</v>
          </cell>
          <cell r="BJ7">
            <v>1.0728590852582716</v>
          </cell>
          <cell r="BK7">
            <v>1.0561969826245521</v>
          </cell>
          <cell r="BL7">
            <v>1.1553403469843253</v>
          </cell>
          <cell r="BM7">
            <v>1.0809828237144954</v>
          </cell>
          <cell r="BN7">
            <v>1.1482593782574508</v>
          </cell>
          <cell r="BO7">
            <v>1.1122288322003633</v>
          </cell>
          <cell r="BP7">
            <v>1.1302441052289072</v>
          </cell>
          <cell r="BQ7">
            <v>1.0625424130496617</v>
          </cell>
          <cell r="BR7">
            <v>1.1076768745024921</v>
          </cell>
          <cell r="BS7">
            <v>1.0216081615169124</v>
          </cell>
          <cell r="BT7">
            <v>1.1076768745024921</v>
          </cell>
          <cell r="BU7">
            <v>1.0576593797732492</v>
          </cell>
          <cell r="BV7">
            <v>1.1090379082265216</v>
          </cell>
          <cell r="BW7">
            <v>1.0833486439998854</v>
          </cell>
          <cell r="BX7">
            <v>1.0309818359779246</v>
          </cell>
          <cell r="BY7">
            <v>1.0658930413258985</v>
          </cell>
          <cell r="BZ7">
            <v>0.9736795850426837</v>
          </cell>
          <cell r="CA7">
            <v>1.0658930413258985</v>
          </cell>
          <cell r="CB7">
            <v>0.94594364614976945</v>
          </cell>
          <cell r="CC7">
            <v>0.87007592189167471</v>
          </cell>
          <cell r="CD7">
            <v>0.90800978402072208</v>
          </cell>
          <cell r="CE7">
            <v>0.85</v>
          </cell>
          <cell r="CF7">
            <v>0.88867318934714801</v>
          </cell>
          <cell r="CG7">
            <v>0.85</v>
          </cell>
          <cell r="CH7">
            <v>0.88867318934714801</v>
          </cell>
          <cell r="CI7">
            <v>0.85</v>
          </cell>
          <cell r="CJ7">
            <v>0.85</v>
          </cell>
          <cell r="CK7">
            <v>0.85</v>
          </cell>
          <cell r="CL7">
            <v>0.87</v>
          </cell>
          <cell r="CM7">
            <v>0.85666666666666658</v>
          </cell>
          <cell r="CN7">
            <v>0.9</v>
          </cell>
          <cell r="CO7">
            <v>0.85666666666666658</v>
          </cell>
          <cell r="CP7">
            <v>0.9</v>
          </cell>
          <cell r="CQ7">
            <v>0.9</v>
          </cell>
          <cell r="CR7">
            <v>0.9</v>
          </cell>
          <cell r="CS7">
            <v>0.9</v>
          </cell>
          <cell r="CT7">
            <v>0.9</v>
          </cell>
          <cell r="CU7">
            <v>0.9</v>
          </cell>
          <cell r="CV7">
            <v>0.9</v>
          </cell>
          <cell r="CW7">
            <v>0.9</v>
          </cell>
          <cell r="CX7">
            <v>0.498</v>
          </cell>
        </row>
        <row r="9">
          <cell r="A9" t="str">
            <v>SFr mlns</v>
          </cell>
          <cell r="B9" t="str">
            <v>FY00A</v>
          </cell>
          <cell r="C9" t="str">
            <v>1QA</v>
          </cell>
          <cell r="D9" t="str">
            <v>2QA</v>
          </cell>
          <cell r="E9" t="str">
            <v>1H01A</v>
          </cell>
          <cell r="F9" t="str">
            <v>3QA</v>
          </cell>
          <cell r="G9" t="str">
            <v>9mos01A</v>
          </cell>
          <cell r="H9" t="str">
            <v>4QA</v>
          </cell>
          <cell r="I9" t="str">
            <v>FY01A</v>
          </cell>
          <cell r="J9" t="str">
            <v>1QA</v>
          </cell>
          <cell r="K9" t="str">
            <v>2QA</v>
          </cell>
          <cell r="L9" t="str">
            <v>1H02A</v>
          </cell>
          <cell r="M9" t="str">
            <v>3QA</v>
          </cell>
          <cell r="N9" t="str">
            <v>9mos02A</v>
          </cell>
          <cell r="O9" t="str">
            <v>4QA</v>
          </cell>
          <cell r="P9" t="str">
            <v>FY02A</v>
          </cell>
          <cell r="Q9" t="str">
            <v>1QA</v>
          </cell>
          <cell r="R9" t="str">
            <v>2QA</v>
          </cell>
          <cell r="S9" t="str">
            <v>1H03A</v>
          </cell>
          <cell r="T9" t="str">
            <v>3QA</v>
          </cell>
          <cell r="U9" t="str">
            <v>9mos03A</v>
          </cell>
          <cell r="V9" t="str">
            <v>4QE</v>
          </cell>
          <cell r="W9" t="str">
            <v>FY03E</v>
          </cell>
          <cell r="X9" t="str">
            <v>1QA</v>
          </cell>
          <cell r="Y9" t="str">
            <v>2QA</v>
          </cell>
          <cell r="Z9" t="str">
            <v>1H03A</v>
          </cell>
          <cell r="AA9" t="str">
            <v>3QA</v>
          </cell>
          <cell r="AB9" t="str">
            <v>9mos03A</v>
          </cell>
          <cell r="AC9" t="str">
            <v>4QA</v>
          </cell>
          <cell r="AD9" t="str">
            <v>FY03A</v>
          </cell>
          <cell r="AE9" t="str">
            <v>1QA</v>
          </cell>
          <cell r="AF9" t="str">
            <v>2QA</v>
          </cell>
          <cell r="AG9" t="str">
            <v>1H04A</v>
          </cell>
          <cell r="AH9" t="str">
            <v>3QA</v>
          </cell>
          <cell r="AI9" t="str">
            <v>9mos04A</v>
          </cell>
          <cell r="AJ9" t="str">
            <v>4QA</v>
          </cell>
          <cell r="AK9" t="str">
            <v>FY04A</v>
          </cell>
          <cell r="AL9" t="str">
            <v>1QA</v>
          </cell>
          <cell r="AM9" t="str">
            <v>2QA</v>
          </cell>
          <cell r="AN9" t="str">
            <v>1H05A</v>
          </cell>
          <cell r="AO9" t="str">
            <v>3QA</v>
          </cell>
          <cell r="AP9" t="str">
            <v>9mos05A</v>
          </cell>
          <cell r="AQ9" t="str">
            <v>4QA</v>
          </cell>
          <cell r="AR9" t="str">
            <v>FY05A</v>
          </cell>
          <cell r="AS9" t="str">
            <v>1QA</v>
          </cell>
          <cell r="AT9" t="str">
            <v>2QA</v>
          </cell>
          <cell r="AU9" t="str">
            <v>1H06A</v>
          </cell>
          <cell r="AV9" t="str">
            <v>3QA</v>
          </cell>
          <cell r="AW9" t="str">
            <v>9mos06A</v>
          </cell>
          <cell r="AX9" t="str">
            <v>4QA</v>
          </cell>
          <cell r="AY9" t="str">
            <v>FY06A</v>
          </cell>
          <cell r="AZ9" t="str">
            <v>1QA</v>
          </cell>
          <cell r="BA9" t="str">
            <v>2QA</v>
          </cell>
          <cell r="BB9" t="str">
            <v>1H07A</v>
          </cell>
          <cell r="BC9" t="str">
            <v>3QA</v>
          </cell>
          <cell r="BD9" t="str">
            <v>9mos07A</v>
          </cell>
          <cell r="BE9" t="str">
            <v>4QA</v>
          </cell>
          <cell r="BF9" t="str">
            <v>FY07A</v>
          </cell>
          <cell r="BG9" t="str">
            <v>1QA</v>
          </cell>
          <cell r="BH9" t="str">
            <v>2QA</v>
          </cell>
          <cell r="BI9" t="str">
            <v>1H08A</v>
          </cell>
          <cell r="BJ9" t="str">
            <v>3QA</v>
          </cell>
          <cell r="BK9" t="str">
            <v>9mos08A</v>
          </cell>
          <cell r="BL9" t="str">
            <v>4QA</v>
          </cell>
          <cell r="BM9" t="str">
            <v>FY08A</v>
          </cell>
          <cell r="BN9" t="str">
            <v>1QA</v>
          </cell>
          <cell r="BO9" t="str">
            <v>2QA</v>
          </cell>
          <cell r="BP9" t="str">
            <v>1H09A</v>
          </cell>
          <cell r="BQ9" t="str">
            <v>3QA</v>
          </cell>
          <cell r="BR9" t="str">
            <v>9mos09A</v>
          </cell>
          <cell r="BS9" t="str">
            <v>4QA</v>
          </cell>
          <cell r="BT9" t="str">
            <v>FY09A</v>
          </cell>
          <cell r="BU9" t="str">
            <v>1QA</v>
          </cell>
          <cell r="BV9" t="str">
            <v>2QA</v>
          </cell>
          <cell r="BW9" t="str">
            <v>1H10A</v>
          </cell>
          <cell r="BX9" t="str">
            <v>3QA</v>
          </cell>
          <cell r="BY9" t="str">
            <v>9mos10A</v>
          </cell>
          <cell r="BZ9" t="str">
            <v>4QA</v>
          </cell>
          <cell r="CA9" t="str">
            <v>FY10A</v>
          </cell>
          <cell r="CB9" t="str">
            <v>1QA</v>
          </cell>
          <cell r="CC9" t="str">
            <v>2Q</v>
          </cell>
          <cell r="CD9" t="str">
            <v>1H11</v>
          </cell>
          <cell r="CE9" t="str">
            <v>3Qe</v>
          </cell>
          <cell r="CF9" t="str">
            <v>9mos11e</v>
          </cell>
          <cell r="CG9" t="str">
            <v>4Qe</v>
          </cell>
          <cell r="CH9" t="str">
            <v>FY11E</v>
          </cell>
          <cell r="CI9" t="str">
            <v>1Qe</v>
          </cell>
          <cell r="CJ9" t="str">
            <v>2Qe</v>
          </cell>
          <cell r="CK9" t="str">
            <v>1H12e</v>
          </cell>
          <cell r="CL9" t="str">
            <v>3Qe</v>
          </cell>
          <cell r="CM9" t="str">
            <v>9mos12e</v>
          </cell>
          <cell r="CN9" t="str">
            <v>4Qe</v>
          </cell>
          <cell r="CO9" t="str">
            <v>FY12E</v>
          </cell>
          <cell r="CP9" t="str">
            <v>FY13E</v>
          </cell>
          <cell r="CQ9" t="str">
            <v>FY14E</v>
          </cell>
          <cell r="CR9" t="str">
            <v>FY15E</v>
          </cell>
          <cell r="CS9" t="str">
            <v>FY16E</v>
          </cell>
          <cell r="CT9" t="str">
            <v>FY17E</v>
          </cell>
          <cell r="CU9" t="str">
            <v>FY18E</v>
          </cell>
          <cell r="CV9" t="str">
            <v>FY19E</v>
          </cell>
          <cell r="CW9" t="str">
            <v>FY20E</v>
          </cell>
          <cell r="CX9" t="str">
            <v>Growth</v>
          </cell>
          <cell r="CY9" t="str">
            <v>Medicare</v>
          </cell>
          <cell r="CZ9">
            <v>2001</v>
          </cell>
          <cell r="DA9">
            <v>2002</v>
          </cell>
          <cell r="DB9" t="str">
            <v>Q103</v>
          </cell>
          <cell r="DC9" t="str">
            <v>Q203</v>
          </cell>
          <cell r="DD9" t="str">
            <v>Q303</v>
          </cell>
          <cell r="DE9" t="str">
            <v>Q403</v>
          </cell>
          <cell r="DF9">
            <v>2003</v>
          </cell>
          <cell r="DG9" t="str">
            <v>Q1 04</v>
          </cell>
          <cell r="DH9" t="str">
            <v>Q2 04</v>
          </cell>
          <cell r="DI9" t="str">
            <v>Q3 04</v>
          </cell>
          <cell r="DJ9" t="str">
            <v>Q4 04</v>
          </cell>
          <cell r="DK9">
            <v>2004</v>
          </cell>
          <cell r="DL9" t="str">
            <v>Q1 05</v>
          </cell>
          <cell r="DM9" t="str">
            <v>Q2 05</v>
          </cell>
          <cell r="DN9" t="str">
            <v>Q3 05</v>
          </cell>
          <cell r="DO9" t="str">
            <v>Q4 05</v>
          </cell>
          <cell r="DP9">
            <v>2005</v>
          </cell>
          <cell r="DQ9" t="str">
            <v>Q106</v>
          </cell>
          <cell r="DR9" t="str">
            <v>Q206</v>
          </cell>
          <cell r="DS9" t="str">
            <v>Q306</v>
          </cell>
          <cell r="DT9" t="str">
            <v>Q406</v>
          </cell>
          <cell r="DU9">
            <v>2006</v>
          </cell>
          <cell r="DV9" t="str">
            <v>Q107</v>
          </cell>
          <cell r="DW9" t="str">
            <v>Q207</v>
          </cell>
          <cell r="DX9" t="str">
            <v>Q307</v>
          </cell>
          <cell r="DY9" t="str">
            <v>Q407</v>
          </cell>
          <cell r="DZ9">
            <v>2007</v>
          </cell>
          <cell r="EA9" t="str">
            <v>Q108</v>
          </cell>
          <cell r="EB9" t="str">
            <v>Q208</v>
          </cell>
          <cell r="EC9" t="str">
            <v>Q308</v>
          </cell>
          <cell r="ED9" t="str">
            <v>Q408</v>
          </cell>
          <cell r="EE9" t="str">
            <v>2008E</v>
          </cell>
          <cell r="EF9" t="str">
            <v>Q109e</v>
          </cell>
          <cell r="EG9" t="str">
            <v>Q209e</v>
          </cell>
          <cell r="EH9" t="str">
            <v>Q309e</v>
          </cell>
          <cell r="EI9" t="str">
            <v>Q409e</v>
          </cell>
          <cell r="EJ9" t="str">
            <v>2009E</v>
          </cell>
          <cell r="EK9" t="str">
            <v>Q110e</v>
          </cell>
          <cell r="EL9" t="str">
            <v>Q210e</v>
          </cell>
          <cell r="EM9" t="str">
            <v>Q310e</v>
          </cell>
          <cell r="EN9" t="str">
            <v>Q410e</v>
          </cell>
          <cell r="EO9" t="str">
            <v>2010E</v>
          </cell>
          <cell r="EP9" t="str">
            <v>Q111e</v>
          </cell>
          <cell r="EQ9" t="str">
            <v>Q211e</v>
          </cell>
          <cell r="ER9" t="str">
            <v>Q311e</v>
          </cell>
          <cell r="ES9" t="str">
            <v>Q411e</v>
          </cell>
          <cell r="ET9" t="str">
            <v>2011E</v>
          </cell>
          <cell r="EU9" t="str">
            <v>Q112e</v>
          </cell>
          <cell r="EV9" t="str">
            <v>Q212e</v>
          </cell>
          <cell r="EW9" t="str">
            <v>Q312e</v>
          </cell>
          <cell r="EX9" t="str">
            <v>Q412e</v>
          </cell>
          <cell r="EY9" t="str">
            <v>2012E</v>
          </cell>
          <cell r="EZ9" t="str">
            <v>2013E</v>
          </cell>
          <cell r="FA9" t="str">
            <v>2014E</v>
          </cell>
          <cell r="FB9" t="str">
            <v>2015E</v>
          </cell>
          <cell r="FC9" t="str">
            <v>2016E</v>
          </cell>
          <cell r="FD9" t="str">
            <v>2017E</v>
          </cell>
          <cell r="FE9" t="str">
            <v>2018E</v>
          </cell>
          <cell r="FF9" t="str">
            <v>2019E</v>
          </cell>
          <cell r="FG9" t="str">
            <v>2020E</v>
          </cell>
        </row>
        <row r="10">
          <cell r="A10" t="str">
            <v>Mabthera / Rituxan</v>
          </cell>
          <cell r="B10">
            <v>900</v>
          </cell>
          <cell r="C10">
            <v>350</v>
          </cell>
          <cell r="D10">
            <v>392</v>
          </cell>
          <cell r="E10">
            <v>742</v>
          </cell>
          <cell r="F10">
            <v>443</v>
          </cell>
          <cell r="G10">
            <v>1185</v>
          </cell>
          <cell r="H10">
            <v>510</v>
          </cell>
          <cell r="I10">
            <v>1695</v>
          </cell>
          <cell r="J10">
            <v>526</v>
          </cell>
          <cell r="K10">
            <v>568</v>
          </cell>
          <cell r="L10">
            <v>1094</v>
          </cell>
          <cell r="M10">
            <v>580</v>
          </cell>
          <cell r="N10">
            <v>1674</v>
          </cell>
          <cell r="O10">
            <v>658</v>
          </cell>
          <cell r="P10">
            <v>2332</v>
          </cell>
          <cell r="Q10">
            <v>620</v>
          </cell>
          <cell r="R10">
            <v>679</v>
          </cell>
          <cell r="S10">
            <v>1299</v>
          </cell>
          <cell r="T10">
            <v>724</v>
          </cell>
          <cell r="U10">
            <v>2023</v>
          </cell>
          <cell r="V10">
            <v>760.85856000000001</v>
          </cell>
          <cell r="W10">
            <v>2783.8585600000001</v>
          </cell>
          <cell r="X10">
            <v>611</v>
          </cell>
          <cell r="Y10">
            <v>670</v>
          </cell>
          <cell r="Z10">
            <v>1281</v>
          </cell>
          <cell r="AA10">
            <v>713</v>
          </cell>
          <cell r="AB10">
            <v>1994</v>
          </cell>
          <cell r="AC10">
            <v>781</v>
          </cell>
          <cell r="AD10">
            <v>2775</v>
          </cell>
          <cell r="AE10">
            <v>782</v>
          </cell>
          <cell r="AF10">
            <v>842</v>
          </cell>
          <cell r="AG10">
            <v>1624</v>
          </cell>
          <cell r="AH10">
            <v>877</v>
          </cell>
          <cell r="AI10">
            <v>2501</v>
          </cell>
          <cell r="AJ10">
            <v>877</v>
          </cell>
          <cell r="AK10">
            <v>3378</v>
          </cell>
          <cell r="AL10">
            <v>929</v>
          </cell>
          <cell r="AM10">
            <v>1015</v>
          </cell>
          <cell r="AN10">
            <v>1944</v>
          </cell>
          <cell r="AO10">
            <v>1057</v>
          </cell>
          <cell r="AP10">
            <v>3001</v>
          </cell>
          <cell r="AQ10">
            <v>1153</v>
          </cell>
          <cell r="AR10">
            <v>4154</v>
          </cell>
          <cell r="AS10">
            <v>1146</v>
          </cell>
          <cell r="AT10">
            <v>1202</v>
          </cell>
          <cell r="AU10">
            <v>2348</v>
          </cell>
          <cell r="AV10">
            <v>1177</v>
          </cell>
          <cell r="AW10">
            <v>3525</v>
          </cell>
          <cell r="AX10">
            <v>1314</v>
          </cell>
          <cell r="AY10">
            <v>4839</v>
          </cell>
          <cell r="AZ10">
            <v>1309</v>
          </cell>
          <cell r="BA10">
            <v>1395</v>
          </cell>
          <cell r="BB10">
            <v>2704</v>
          </cell>
          <cell r="BC10">
            <v>1380</v>
          </cell>
          <cell r="BD10">
            <v>4084</v>
          </cell>
          <cell r="BE10">
            <v>1432</v>
          </cell>
          <cell r="BF10">
            <v>5516</v>
          </cell>
          <cell r="BG10">
            <v>1407</v>
          </cell>
          <cell r="BH10">
            <v>1460</v>
          </cell>
          <cell r="BI10">
            <v>2867</v>
          </cell>
          <cell r="BJ10">
            <v>1472</v>
          </cell>
          <cell r="BK10">
            <v>4339</v>
          </cell>
          <cell r="BL10">
            <v>1584</v>
          </cell>
          <cell r="BM10">
            <v>5923</v>
          </cell>
          <cell r="BN10">
            <v>1481</v>
          </cell>
          <cell r="BO10">
            <v>1617</v>
          </cell>
          <cell r="BP10">
            <v>3098</v>
          </cell>
          <cell r="BQ10">
            <v>1508</v>
          </cell>
          <cell r="BR10">
            <v>4606</v>
          </cell>
          <cell r="BS10">
            <v>1481</v>
          </cell>
          <cell r="BT10">
            <v>6087</v>
          </cell>
          <cell r="BU10">
            <v>1606</v>
          </cell>
          <cell r="BV10">
            <v>1695</v>
          </cell>
          <cell r="BW10">
            <v>3301</v>
          </cell>
          <cell r="BX10">
            <v>1520</v>
          </cell>
          <cell r="BY10">
            <v>4821</v>
          </cell>
          <cell r="BZ10">
            <v>1535</v>
          </cell>
          <cell r="CA10">
            <v>6356</v>
          </cell>
          <cell r="CB10">
            <v>1556</v>
          </cell>
          <cell r="CC10">
            <v>1500</v>
          </cell>
          <cell r="CD10">
            <v>3056</v>
          </cell>
          <cell r="CE10">
            <v>1327.9202482008748</v>
          </cell>
          <cell r="CF10">
            <v>4383.920248200875</v>
          </cell>
          <cell r="CG10">
            <v>1380.8177572300901</v>
          </cell>
          <cell r="CH10">
            <v>5764.7380054309651</v>
          </cell>
          <cell r="CI10">
            <v>1482.957556748961</v>
          </cell>
          <cell r="CJ10">
            <v>1542.9002680136964</v>
          </cell>
          <cell r="CK10">
            <v>3025.8578247626574</v>
          </cell>
          <cell r="CL10">
            <v>1499.0196297586267</v>
          </cell>
          <cell r="CM10">
            <v>4524.8774545212837</v>
          </cell>
          <cell r="CN10">
            <v>1620.0242565019323</v>
          </cell>
          <cell r="CO10">
            <v>6144.9017110232162</v>
          </cell>
          <cell r="CP10">
            <v>6526.5710253474117</v>
          </cell>
          <cell r="CQ10">
            <v>6525.5781992836</v>
          </cell>
          <cell r="CR10">
            <v>6348.8921515546308</v>
          </cell>
          <cell r="CS10">
            <v>5766.5465496484876</v>
          </cell>
          <cell r="CT10">
            <v>0.8833333333333333</v>
          </cell>
          <cell r="CU10">
            <v>0.37581120943952806</v>
          </cell>
          <cell r="CV10">
            <v>0.17870722433460084</v>
          </cell>
          <cell r="CW10">
            <v>0.19542253521126751</v>
          </cell>
          <cell r="CX10">
            <v>0.18738574040219369</v>
          </cell>
          <cell r="CY10">
            <v>0.2</v>
          </cell>
          <cell r="CZ10">
            <v>0.19376439108061749</v>
          </cell>
          <cell r="DA10">
            <v>0.27986906710310966</v>
          </cell>
          <cell r="DB10">
            <v>0.25671641791044775</v>
          </cell>
          <cell r="DC10">
            <v>0.2300140252454419</v>
          </cell>
          <cell r="DD10">
            <v>0.25426278836509519</v>
          </cell>
          <cell r="DE10">
            <v>0.2172972972972973</v>
          </cell>
          <cell r="DF10">
            <v>0.18797953964194369</v>
          </cell>
          <cell r="DG10">
            <v>0.20546318289786214</v>
          </cell>
          <cell r="DH10">
            <v>0.20524515393386555</v>
          </cell>
          <cell r="DI10">
            <v>0.31470923603192702</v>
          </cell>
          <cell r="DJ10">
            <v>0.22972172883362929</v>
          </cell>
          <cell r="DK10">
            <v>0.23358449946178683</v>
          </cell>
          <cell r="DL10">
            <v>0.18423645320197046</v>
          </cell>
          <cell r="DM10">
            <v>0.11352885525070966</v>
          </cell>
          <cell r="DN10">
            <v>0.1396357328707718</v>
          </cell>
          <cell r="DO10">
            <v>0.16490129995185354</v>
          </cell>
          <cell r="DP10">
            <v>0.14223385689354284</v>
          </cell>
          <cell r="DQ10">
            <v>0.16056572379367728</v>
          </cell>
          <cell r="DR10">
            <v>0.1724723874256584</v>
          </cell>
          <cell r="DS10">
            <v>8.9802130898021248E-2</v>
          </cell>
          <cell r="DT10">
            <v>0.13990493903699108</v>
          </cell>
          <cell r="DU10">
            <v>7.4866310160427885E-2</v>
          </cell>
          <cell r="DV10">
            <v>4.6594982078853153E-2</v>
          </cell>
          <cell r="DW10">
            <v>6.6666666666666652E-2</v>
          </cell>
          <cell r="DX10">
            <v>0.1061452513966481</v>
          </cell>
          <cell r="DY10">
            <v>7.3785351704133362E-2</v>
          </cell>
          <cell r="DZ10">
            <v>0.13990493903699108</v>
          </cell>
          <cell r="EA10">
            <v>7.4866310160427885E-2</v>
          </cell>
          <cell r="EB10">
            <v>4.6594982078853153E-2</v>
          </cell>
          <cell r="EC10">
            <v>6.6666666666666652E-2</v>
          </cell>
          <cell r="ED10">
            <v>2.7688671281445254E-2</v>
          </cell>
          <cell r="EE10">
            <v>7.3785351704133362E-2</v>
          </cell>
          <cell r="EI10">
            <v>4.4192541481846481E-2</v>
          </cell>
          <cell r="EJ10">
            <v>2.7688671281445254E-2</v>
          </cell>
          <cell r="EN10">
            <v>-3.7469125100370593E-2</v>
          </cell>
          <cell r="EO10">
            <v>4.4192541481846481E-2</v>
          </cell>
          <cell r="EP10">
            <v>4.4464640451622017E-2</v>
          </cell>
          <cell r="ET10">
            <v>-9.3024228220427108E-2</v>
          </cell>
          <cell r="EY10">
            <v>6.5946397778025467E-2</v>
          </cell>
          <cell r="EZ10" t="str">
            <v>mstag:mabthera</v>
          </cell>
          <cell r="FA10">
            <v>6</v>
          </cell>
          <cell r="FB10" t="str">
            <v>ISO4217:CHF</v>
          </cell>
          <cell r="FC10" t="b">
            <v>0</v>
          </cell>
          <cell r="FJ10" t="str">
            <v>mstag:mabthera</v>
          </cell>
          <cell r="FK10">
            <v>6</v>
          </cell>
          <cell r="FL10" t="str">
            <v>ISO4217:CHF</v>
          </cell>
          <cell r="FM10" t="b">
            <v>0</v>
          </cell>
        </row>
        <row r="11">
          <cell r="A11" t="str">
            <v>Herceptin</v>
          </cell>
          <cell r="B11">
            <v>540</v>
          </cell>
          <cell r="C11">
            <v>170</v>
          </cell>
          <cell r="D11">
            <v>186</v>
          </cell>
          <cell r="E11">
            <v>356</v>
          </cell>
          <cell r="F11">
            <v>204</v>
          </cell>
          <cell r="G11">
            <v>560</v>
          </cell>
          <cell r="H11">
            <v>246</v>
          </cell>
          <cell r="I11">
            <v>806</v>
          </cell>
          <cell r="J11">
            <v>223</v>
          </cell>
          <cell r="K11">
            <v>246</v>
          </cell>
          <cell r="L11">
            <v>469</v>
          </cell>
          <cell r="M11">
            <v>257</v>
          </cell>
          <cell r="N11">
            <v>726</v>
          </cell>
          <cell r="O11">
            <v>281</v>
          </cell>
          <cell r="P11">
            <v>1007</v>
          </cell>
          <cell r="Q11">
            <v>268</v>
          </cell>
          <cell r="R11">
            <v>289</v>
          </cell>
          <cell r="S11">
            <v>557</v>
          </cell>
          <cell r="T11">
            <v>314</v>
          </cell>
          <cell r="U11">
            <v>871</v>
          </cell>
          <cell r="V11">
            <v>324.92592000000002</v>
          </cell>
          <cell r="W11">
            <v>1195.9259200000001</v>
          </cell>
          <cell r="X11">
            <v>265</v>
          </cell>
          <cell r="Y11">
            <v>286</v>
          </cell>
          <cell r="Z11">
            <v>551</v>
          </cell>
          <cell r="AA11">
            <v>311</v>
          </cell>
          <cell r="AB11">
            <v>862</v>
          </cell>
          <cell r="AC11">
            <v>315</v>
          </cell>
          <cell r="AD11">
            <v>1177</v>
          </cell>
          <cell r="AE11">
            <v>328</v>
          </cell>
          <cell r="AF11">
            <v>356</v>
          </cell>
          <cell r="AG11">
            <v>684</v>
          </cell>
          <cell r="AH11">
            <v>373</v>
          </cell>
          <cell r="AI11">
            <v>1057</v>
          </cell>
          <cell r="AJ11">
            <v>378</v>
          </cell>
          <cell r="AK11">
            <v>1435</v>
          </cell>
          <cell r="AL11">
            <v>391</v>
          </cell>
          <cell r="AM11">
            <v>460</v>
          </cell>
          <cell r="AN11">
            <v>851</v>
          </cell>
          <cell r="AO11">
            <v>591</v>
          </cell>
          <cell r="AP11">
            <v>1442</v>
          </cell>
          <cell r="AQ11">
            <v>704</v>
          </cell>
          <cell r="AR11">
            <v>2146</v>
          </cell>
          <cell r="AS11">
            <v>861</v>
          </cell>
          <cell r="AT11">
            <v>952</v>
          </cell>
          <cell r="AU11">
            <v>1813</v>
          </cell>
          <cell r="AV11">
            <v>1009</v>
          </cell>
          <cell r="AW11">
            <v>2822</v>
          </cell>
          <cell r="AX11">
            <v>1105</v>
          </cell>
          <cell r="AY11">
            <v>3927</v>
          </cell>
          <cell r="AZ11">
            <v>1168</v>
          </cell>
          <cell r="BA11">
            <v>1214</v>
          </cell>
          <cell r="BB11">
            <v>2382</v>
          </cell>
          <cell r="BC11">
            <v>1209</v>
          </cell>
          <cell r="BD11">
            <v>3591</v>
          </cell>
          <cell r="BE11">
            <v>1261</v>
          </cell>
          <cell r="BF11">
            <v>4852</v>
          </cell>
          <cell r="BG11">
            <v>1225</v>
          </cell>
          <cell r="BH11">
            <v>1239</v>
          </cell>
          <cell r="BI11">
            <v>2464</v>
          </cell>
          <cell r="BJ11">
            <v>1305</v>
          </cell>
          <cell r="BK11">
            <v>3769</v>
          </cell>
          <cell r="BL11">
            <v>1313</v>
          </cell>
          <cell r="BM11">
            <v>5082</v>
          </cell>
          <cell r="BN11">
            <v>1307</v>
          </cell>
          <cell r="BO11">
            <v>1338</v>
          </cell>
          <cell r="BP11">
            <v>2645</v>
          </cell>
          <cell r="BQ11">
            <v>1327</v>
          </cell>
          <cell r="BR11">
            <v>3972</v>
          </cell>
          <cell r="BS11">
            <v>1294</v>
          </cell>
          <cell r="BT11">
            <v>5266</v>
          </cell>
          <cell r="BU11">
            <v>1417</v>
          </cell>
          <cell r="BV11">
            <v>1389</v>
          </cell>
          <cell r="BW11">
            <v>2806</v>
          </cell>
          <cell r="BX11">
            <v>1357</v>
          </cell>
          <cell r="BY11">
            <v>4163</v>
          </cell>
          <cell r="BZ11">
            <v>1266</v>
          </cell>
          <cell r="CA11">
            <v>5429</v>
          </cell>
          <cell r="CB11">
            <v>1386</v>
          </cell>
          <cell r="CC11">
            <v>1330</v>
          </cell>
          <cell r="CD11">
            <v>2716</v>
          </cell>
          <cell r="CE11">
            <v>1161.9937144506775</v>
          </cell>
          <cell r="CF11">
            <v>3877.9937144506775</v>
          </cell>
          <cell r="CG11">
            <v>1122.9856755406763</v>
          </cell>
          <cell r="CH11">
            <v>5000.9793899913539</v>
          </cell>
          <cell r="CI11">
            <v>1280.0700056360727</v>
          </cell>
          <cell r="CJ11">
            <v>1354.5059638926489</v>
          </cell>
          <cell r="CK11">
            <v>2634.5759695287215</v>
          </cell>
          <cell r="CL11">
            <v>1336.7733136629331</v>
          </cell>
          <cell r="CM11">
            <v>3971.3492831916546</v>
          </cell>
          <cell r="CN11">
            <v>1352.0624465774104</v>
          </cell>
          <cell r="CO11">
            <v>5323.4117297690646</v>
          </cell>
          <cell r="CP11">
            <v>5570.4788468210863</v>
          </cell>
          <cell r="CQ11">
            <v>5076.3315873152769</v>
          </cell>
          <cell r="CR11">
            <v>4626.6179788203826</v>
          </cell>
          <cell r="CS11">
            <v>4257.9347875215717</v>
          </cell>
          <cell r="CT11">
            <v>0.49259259259259269</v>
          </cell>
          <cell r="CU11">
            <v>0.24937965260545902</v>
          </cell>
          <cell r="CV11">
            <v>0.20179372197309409</v>
          </cell>
          <cell r="CW11">
            <v>0.17479674796747968</v>
          </cell>
          <cell r="CX11">
            <v>0.187633262260128</v>
          </cell>
          <cell r="CY11">
            <v>0.2</v>
          </cell>
          <cell r="CZ11">
            <v>0.18761263157894748</v>
          </cell>
          <cell r="DA11">
            <v>0.23773584905660372</v>
          </cell>
          <cell r="DB11">
            <v>0.24475524475524479</v>
          </cell>
          <cell r="DC11">
            <v>0.19935691318327975</v>
          </cell>
          <cell r="DD11">
            <v>0.22621809744779586</v>
          </cell>
          <cell r="DE11">
            <v>0.21920135938827534</v>
          </cell>
          <cell r="DF11">
            <v>0.19207317073170738</v>
          </cell>
          <cell r="DG11">
            <v>0.14000000000000001</v>
          </cell>
          <cell r="DH11">
            <v>0.58445040214477206</v>
          </cell>
          <cell r="DI11">
            <v>0.86243386243386233</v>
          </cell>
          <cell r="DJ11">
            <v>0.49547038327526138</v>
          </cell>
          <cell r="DK11">
            <v>1.2020460358056266</v>
          </cell>
          <cell r="DL11">
            <v>1.0695652173913044</v>
          </cell>
          <cell r="DM11">
            <v>0.7072758037225042</v>
          </cell>
          <cell r="DN11">
            <v>0.56960227272727271</v>
          </cell>
          <cell r="DO11">
            <v>0.82991612301957129</v>
          </cell>
          <cell r="DP11">
            <v>0.35656213704994189</v>
          </cell>
          <cell r="DQ11">
            <v>0.27521008403361336</v>
          </cell>
          <cell r="DR11">
            <v>0.19821605550049548</v>
          </cell>
          <cell r="DS11">
            <v>0.14117647058823524</v>
          </cell>
          <cell r="DT11">
            <v>0.23554876496052968</v>
          </cell>
          <cell r="DU11">
            <v>4.8801369863013644E-2</v>
          </cell>
          <cell r="DV11">
            <v>2.0593080724876422E-2</v>
          </cell>
          <cell r="DW11">
            <v>7.9404466501240778E-2</v>
          </cell>
          <cell r="DX11">
            <v>4.1237113402061931E-2</v>
          </cell>
          <cell r="DY11">
            <v>4.7403132728771613E-2</v>
          </cell>
          <cell r="DZ11">
            <v>0.23554876496052968</v>
          </cell>
          <cell r="EA11">
            <v>4.8801369863013644E-2</v>
          </cell>
          <cell r="EB11">
            <v>2.0593080724876422E-2</v>
          </cell>
          <cell r="EC11">
            <v>7.9404466501240778E-2</v>
          </cell>
          <cell r="ED11">
            <v>3.6206218024399828E-2</v>
          </cell>
          <cell r="EE11">
            <v>4.7403132728771613E-2</v>
          </cell>
          <cell r="EI11">
            <v>3.0953285225977956E-2</v>
          </cell>
          <cell r="EJ11">
            <v>3.6206218024399828E-2</v>
          </cell>
          <cell r="EN11">
            <v>4.1399916606363885E-3</v>
          </cell>
          <cell r="EO11">
            <v>3.0953285225977956E-2</v>
          </cell>
          <cell r="EP11">
            <v>3.7178668240171131E-2</v>
          </cell>
          <cell r="ET11">
            <v>-7.8839677658619656E-2</v>
          </cell>
          <cell r="EY11">
            <v>6.4473838949028028E-2</v>
          </cell>
          <cell r="EZ11" t="str">
            <v>mstag:herceptin</v>
          </cell>
          <cell r="FA11">
            <v>6</v>
          </cell>
          <cell r="FB11" t="str">
            <v>ISO4217:CHF</v>
          </cell>
          <cell r="FC11" t="b">
            <v>0</v>
          </cell>
          <cell r="FJ11" t="str">
            <v>mstag:herceptin</v>
          </cell>
          <cell r="FK11">
            <v>6</v>
          </cell>
          <cell r="FL11" t="str">
            <v>ISO4217:CHF</v>
          </cell>
          <cell r="FM11" t="b">
            <v>0</v>
          </cell>
        </row>
        <row r="12">
          <cell r="A12" t="str">
            <v>Xeloda</v>
          </cell>
          <cell r="B12">
            <v>150</v>
          </cell>
          <cell r="C12">
            <v>60</v>
          </cell>
          <cell r="D12">
            <v>52.5</v>
          </cell>
          <cell r="E12">
            <v>112.5</v>
          </cell>
          <cell r="F12">
            <v>72.5</v>
          </cell>
          <cell r="G12">
            <v>185</v>
          </cell>
          <cell r="H12">
            <v>75</v>
          </cell>
          <cell r="I12">
            <v>260</v>
          </cell>
          <cell r="J12">
            <v>104</v>
          </cell>
          <cell r="K12">
            <v>109</v>
          </cell>
          <cell r="L12">
            <v>213</v>
          </cell>
          <cell r="M12">
            <v>119</v>
          </cell>
          <cell r="N12">
            <v>332</v>
          </cell>
          <cell r="O12">
            <v>112</v>
          </cell>
          <cell r="P12">
            <v>444</v>
          </cell>
          <cell r="Q12">
            <v>133</v>
          </cell>
          <cell r="R12">
            <v>147</v>
          </cell>
          <cell r="S12">
            <v>280</v>
          </cell>
          <cell r="T12">
            <v>129</v>
          </cell>
          <cell r="U12">
            <v>409</v>
          </cell>
          <cell r="V12">
            <v>140.30016000000001</v>
          </cell>
          <cell r="W12">
            <v>549.30016000000001</v>
          </cell>
          <cell r="X12">
            <v>131</v>
          </cell>
          <cell r="Y12">
            <v>145</v>
          </cell>
          <cell r="Z12">
            <v>276</v>
          </cell>
          <cell r="AA12">
            <v>128</v>
          </cell>
          <cell r="AB12">
            <v>404</v>
          </cell>
          <cell r="AC12">
            <v>111</v>
          </cell>
          <cell r="AD12">
            <v>515</v>
          </cell>
          <cell r="AE12">
            <v>115</v>
          </cell>
          <cell r="AF12">
            <v>128</v>
          </cell>
          <cell r="AG12">
            <v>243</v>
          </cell>
          <cell r="AH12">
            <v>145</v>
          </cell>
          <cell r="AI12">
            <v>388</v>
          </cell>
          <cell r="AJ12">
            <v>145</v>
          </cell>
          <cell r="AK12">
            <v>533</v>
          </cell>
          <cell r="AL12">
            <v>165</v>
          </cell>
          <cell r="AM12">
            <v>190</v>
          </cell>
          <cell r="AN12">
            <v>355</v>
          </cell>
          <cell r="AO12">
            <v>213</v>
          </cell>
          <cell r="AP12">
            <v>568</v>
          </cell>
          <cell r="AQ12">
            <v>228</v>
          </cell>
          <cell r="AR12">
            <v>796</v>
          </cell>
          <cell r="AS12">
            <v>238</v>
          </cell>
          <cell r="AT12">
            <v>234</v>
          </cell>
          <cell r="AU12">
            <v>472</v>
          </cell>
          <cell r="AV12">
            <v>239</v>
          </cell>
          <cell r="AW12">
            <v>711</v>
          </cell>
          <cell r="AX12">
            <v>260</v>
          </cell>
          <cell r="AY12">
            <v>971</v>
          </cell>
          <cell r="AZ12">
            <v>267</v>
          </cell>
          <cell r="BA12">
            <v>282</v>
          </cell>
          <cell r="BB12">
            <v>549</v>
          </cell>
          <cell r="BC12">
            <v>290</v>
          </cell>
          <cell r="BD12">
            <v>839</v>
          </cell>
          <cell r="BE12">
            <v>312</v>
          </cell>
          <cell r="BF12">
            <v>1151</v>
          </cell>
          <cell r="BG12">
            <v>281</v>
          </cell>
          <cell r="BH12">
            <v>292</v>
          </cell>
          <cell r="BI12">
            <v>573</v>
          </cell>
          <cell r="BJ12">
            <v>307</v>
          </cell>
          <cell r="BK12">
            <v>880</v>
          </cell>
          <cell r="BL12">
            <v>331</v>
          </cell>
          <cell r="BM12">
            <v>1211</v>
          </cell>
          <cell r="BN12">
            <v>296</v>
          </cell>
          <cell r="BO12">
            <v>330</v>
          </cell>
          <cell r="BP12">
            <v>626</v>
          </cell>
          <cell r="BQ12">
            <v>326</v>
          </cell>
          <cell r="BR12">
            <v>952</v>
          </cell>
          <cell r="BS12">
            <v>308</v>
          </cell>
          <cell r="BT12">
            <v>1260</v>
          </cell>
          <cell r="BU12">
            <v>352</v>
          </cell>
          <cell r="BV12">
            <v>380</v>
          </cell>
          <cell r="BW12">
            <v>732</v>
          </cell>
          <cell r="BX12">
            <v>361</v>
          </cell>
          <cell r="BY12">
            <v>1093</v>
          </cell>
          <cell r="BZ12">
            <v>333</v>
          </cell>
          <cell r="CA12">
            <v>1426</v>
          </cell>
          <cell r="CB12">
            <v>342</v>
          </cell>
          <cell r="CC12">
            <v>326</v>
          </cell>
          <cell r="CD12">
            <v>668</v>
          </cell>
          <cell r="CE12">
            <v>286.72945061739728</v>
          </cell>
          <cell r="CF12">
            <v>954.72945061739722</v>
          </cell>
          <cell r="CG12">
            <v>270.55378119996959</v>
          </cell>
          <cell r="CH12">
            <v>1225.2832318173669</v>
          </cell>
          <cell r="CI12">
            <v>277.27045244541193</v>
          </cell>
          <cell r="CJ12">
            <v>283.5423125760189</v>
          </cell>
          <cell r="CK12">
            <v>560.81276502143078</v>
          </cell>
          <cell r="CL12">
            <v>302.75648194152484</v>
          </cell>
          <cell r="CM12">
            <v>863.56924696295573</v>
          </cell>
          <cell r="CN12">
            <v>297.77612131649647</v>
          </cell>
          <cell r="CO12">
            <v>1161.345368279452</v>
          </cell>
          <cell r="CP12">
            <v>910.2645687167585</v>
          </cell>
          <cell r="CQ12">
            <v>678.53197525495762</v>
          </cell>
          <cell r="CR12">
            <v>512.18448211637428</v>
          </cell>
          <cell r="CS12">
            <v>392.02002697557566</v>
          </cell>
          <cell r="CT12">
            <v>0.73333333333333339</v>
          </cell>
          <cell r="CU12">
            <v>0.70769230769230762</v>
          </cell>
          <cell r="CV12">
            <v>0.27884615384615374</v>
          </cell>
          <cell r="CW12">
            <v>0.34862385321100908</v>
          </cell>
          <cell r="CX12">
            <v>0.31455399061032874</v>
          </cell>
          <cell r="CY12">
            <v>0.3</v>
          </cell>
          <cell r="CZ12">
            <v>0.23716252252252246</v>
          </cell>
          <cell r="DA12">
            <v>-0.12213740458015265</v>
          </cell>
          <cell r="DB12">
            <v>-0.11724137931034484</v>
          </cell>
          <cell r="DC12">
            <v>0.1328125</v>
          </cell>
          <cell r="DD12">
            <v>-3.9603960396039639E-2</v>
          </cell>
          <cell r="DE12">
            <v>3.4951456310679641E-2</v>
          </cell>
          <cell r="DF12">
            <v>0.43478260869565211</v>
          </cell>
          <cell r="DG12">
            <v>0.484375</v>
          </cell>
          <cell r="DH12">
            <v>0.46896551724137936</v>
          </cell>
          <cell r="DI12">
            <v>0.57241379310344831</v>
          </cell>
          <cell r="DJ12">
            <v>0.49343339587242019</v>
          </cell>
          <cell r="DK12">
            <v>0.44242424242424239</v>
          </cell>
          <cell r="DL12">
            <v>0.23157894736842111</v>
          </cell>
          <cell r="DM12">
            <v>0.1220657276995305</v>
          </cell>
          <cell r="DN12">
            <v>0.14035087719298245</v>
          </cell>
          <cell r="DO12">
            <v>0.21984924623115587</v>
          </cell>
          <cell r="DP12">
            <v>0.12184873949579833</v>
          </cell>
          <cell r="DQ12">
            <v>0.20512820512820507</v>
          </cell>
          <cell r="DR12">
            <v>0.21338912133891208</v>
          </cell>
          <cell r="DS12">
            <v>0.19999999999999996</v>
          </cell>
          <cell r="DT12">
            <v>0.18537590113285263</v>
          </cell>
          <cell r="DU12">
            <v>5.2434456928838857E-2</v>
          </cell>
          <cell r="DV12">
            <v>3.5460992907801359E-2</v>
          </cell>
          <cell r="DW12">
            <v>5.862068965517242E-2</v>
          </cell>
          <cell r="DX12">
            <v>6.0897435897435903E-2</v>
          </cell>
          <cell r="DY12">
            <v>5.2128583840139076E-2</v>
          </cell>
          <cell r="DZ12">
            <v>0.18537590113285263</v>
          </cell>
          <cell r="EA12">
            <v>5.2434456928838857E-2</v>
          </cell>
          <cell r="EB12">
            <v>3.5460992907801359E-2</v>
          </cell>
          <cell r="EC12">
            <v>5.862068965517242E-2</v>
          </cell>
          <cell r="ED12">
            <v>4.0462427745664664E-2</v>
          </cell>
          <cell r="EE12">
            <v>5.2128583840139076E-2</v>
          </cell>
          <cell r="EI12">
            <v>0.13174603174603172</v>
          </cell>
          <cell r="EJ12">
            <v>4.0462427745664664E-2</v>
          </cell>
          <cell r="EN12">
            <v>-0.13364972651143914</v>
          </cell>
          <cell r="EO12">
            <v>0.13174603174603172</v>
          </cell>
          <cell r="EP12">
            <v>-0.1</v>
          </cell>
          <cell r="ET12">
            <v>-0.14075509690226728</v>
          </cell>
          <cell r="EY12">
            <v>-5.2182109309600877E-2</v>
          </cell>
          <cell r="EZ12" t="str">
            <v>mstag:xeloda</v>
          </cell>
          <cell r="FA12">
            <v>6</v>
          </cell>
          <cell r="FB12" t="str">
            <v>ISO4217:CHF</v>
          </cell>
          <cell r="FC12" t="b">
            <v>0</v>
          </cell>
          <cell r="FJ12" t="str">
            <v>mstag:xeloda</v>
          </cell>
          <cell r="FK12">
            <v>6</v>
          </cell>
          <cell r="FL12" t="str">
            <v>ISO4217:CHF</v>
          </cell>
          <cell r="FM12" t="b">
            <v>0</v>
          </cell>
        </row>
        <row r="13">
          <cell r="A13" t="str">
            <v>Xeloda US</v>
          </cell>
          <cell r="I13">
            <v>154</v>
          </cell>
          <cell r="P13">
            <v>253</v>
          </cell>
          <cell r="W13">
            <v>251</v>
          </cell>
          <cell r="AD13">
            <v>251</v>
          </cell>
          <cell r="AK13">
            <v>191</v>
          </cell>
          <cell r="AR13">
            <v>313</v>
          </cell>
          <cell r="AY13">
            <v>383</v>
          </cell>
          <cell r="AZ13">
            <v>89</v>
          </cell>
          <cell r="BA13">
            <v>109</v>
          </cell>
          <cell r="BB13">
            <v>198</v>
          </cell>
          <cell r="BC13">
            <v>114</v>
          </cell>
          <cell r="BD13">
            <v>312</v>
          </cell>
          <cell r="BE13">
            <v>123</v>
          </cell>
          <cell r="BF13">
            <v>435</v>
          </cell>
          <cell r="BG13">
            <v>89</v>
          </cell>
          <cell r="BH13">
            <v>97</v>
          </cell>
          <cell r="BI13">
            <v>186</v>
          </cell>
          <cell r="BJ13">
            <v>111</v>
          </cell>
          <cell r="BK13">
            <v>297</v>
          </cell>
          <cell r="BL13">
            <v>131</v>
          </cell>
          <cell r="BM13">
            <v>428</v>
          </cell>
          <cell r="BN13">
            <v>106</v>
          </cell>
          <cell r="BO13">
            <v>118</v>
          </cell>
          <cell r="BP13">
            <v>224</v>
          </cell>
          <cell r="BQ13">
            <v>131</v>
          </cell>
          <cell r="BR13">
            <v>355</v>
          </cell>
          <cell r="BS13">
            <v>118</v>
          </cell>
          <cell r="BT13">
            <v>473</v>
          </cell>
          <cell r="BU13">
            <v>123</v>
          </cell>
          <cell r="BV13">
            <v>147</v>
          </cell>
          <cell r="BW13">
            <v>270</v>
          </cell>
          <cell r="BX13">
            <v>136</v>
          </cell>
          <cell r="BY13">
            <v>406</v>
          </cell>
          <cell r="BZ13">
            <v>124</v>
          </cell>
          <cell r="CA13">
            <v>530</v>
          </cell>
          <cell r="CB13">
            <v>123</v>
          </cell>
          <cell r="CC13">
            <v>119</v>
          </cell>
          <cell r="CD13">
            <v>242</v>
          </cell>
          <cell r="CE13">
            <v>67.275676039635997</v>
          </cell>
          <cell r="CF13">
            <v>309.27567603963598</v>
          </cell>
          <cell r="CG13">
            <v>64.949497731564037</v>
          </cell>
          <cell r="CH13">
            <v>374.22517377120005</v>
          </cell>
          <cell r="CI13">
            <v>66.314732653818226</v>
          </cell>
          <cell r="CJ13">
            <v>69.752533627238975</v>
          </cell>
          <cell r="CK13">
            <v>136.06726628105719</v>
          </cell>
          <cell r="CL13">
            <v>41.315179873752925</v>
          </cell>
          <cell r="CM13">
            <v>177.38244615481011</v>
          </cell>
          <cell r="CN13">
            <v>41.262033852993618</v>
          </cell>
          <cell r="CO13">
            <v>218.64448000780374</v>
          </cell>
          <cell r="CP13">
            <v>206.73388576613351</v>
          </cell>
          <cell r="CQ13">
            <v>186.06049718952016</v>
          </cell>
          <cell r="CR13">
            <v>167.45444747056814</v>
          </cell>
          <cell r="CS13">
            <v>150.70900272351133</v>
          </cell>
          <cell r="CT13">
            <v>135.63810245116019</v>
          </cell>
          <cell r="CU13">
            <v>122.07429220604418</v>
          </cell>
          <cell r="CV13">
            <v>109.86686298543977</v>
          </cell>
          <cell r="CW13">
            <v>98.880176686895794</v>
          </cell>
          <cell r="EI13">
            <v>0.12050739957716705</v>
          </cell>
          <cell r="EO13">
            <v>0.12050739957716705</v>
          </cell>
        </row>
        <row r="14">
          <cell r="A14" t="str">
            <v>Growth</v>
          </cell>
          <cell r="P14">
            <v>0.64285714285714279</v>
          </cell>
          <cell r="AK14">
            <v>-0.23904382470119523</v>
          </cell>
          <cell r="AR14">
            <v>0.6387434554973821</v>
          </cell>
          <cell r="AY14">
            <v>0.21824800001436473</v>
          </cell>
          <cell r="BF14">
            <v>0.17827522414463504</v>
          </cell>
          <cell r="BG14">
            <v>0.13300270173676809</v>
          </cell>
          <cell r="BH14">
            <v>5.1211657736761729E-2</v>
          </cell>
          <cell r="BJ14">
            <v>7.8908828173873125E-2</v>
          </cell>
          <cell r="BL14">
            <v>5.7623116798859231E-2</v>
          </cell>
          <cell r="BM14">
            <v>8.3181920354958638E-2</v>
          </cell>
          <cell r="BN14">
            <v>0.1171200015111411</v>
          </cell>
          <cell r="BO14">
            <v>0.13295887741392298</v>
          </cell>
          <cell r="BQ14">
            <v>0.18979623540156676</v>
          </cell>
          <cell r="BS14">
            <v>1.651469198228428E-2</v>
          </cell>
          <cell r="BT14">
            <v>8.0445945525196683E-2</v>
          </cell>
          <cell r="BU14">
            <v>0.23927939073148041</v>
          </cell>
          <cell r="BV14">
            <v>0.24863165742799997</v>
          </cell>
          <cell r="BW14">
            <v>0.24684858794592213</v>
          </cell>
          <cell r="BX14">
            <v>6.7870825784682953E-2</v>
          </cell>
          <cell r="BY14">
            <v>0.1813840134646173</v>
          </cell>
          <cell r="BZ14">
            <v>9.7762290808426688E-2</v>
          </cell>
          <cell r="CA14">
            <v>0.1582294412107984</v>
          </cell>
          <cell r="CB14">
            <v>0.10562543646843126</v>
          </cell>
          <cell r="CC14">
            <v>2.4991634890549674E-2</v>
          </cell>
          <cell r="CD14">
            <v>5.8145264262680518E-2</v>
          </cell>
          <cell r="CE14">
            <v>-0.4</v>
          </cell>
          <cell r="CF14">
            <v>-7.1973052844079621E-2</v>
          </cell>
          <cell r="CG14">
            <v>-0.4</v>
          </cell>
          <cell r="CH14">
            <v>-0.12765056817961196</v>
          </cell>
          <cell r="CI14">
            <v>-0.4</v>
          </cell>
          <cell r="CJ14">
            <v>-0.4</v>
          </cell>
          <cell r="CK14">
            <v>-0.37385183015312151</v>
          </cell>
          <cell r="CL14">
            <v>-0.4</v>
          </cell>
          <cell r="CM14">
            <v>-0.3904423866667267</v>
          </cell>
          <cell r="CN14">
            <v>-0.4</v>
          </cell>
          <cell r="CO14">
            <v>-0.37972477740449961</v>
          </cell>
          <cell r="CP14">
            <v>-0.1</v>
          </cell>
          <cell r="CQ14">
            <v>-0.1</v>
          </cell>
          <cell r="CR14">
            <v>-0.1</v>
          </cell>
          <cell r="CS14">
            <v>-0.1</v>
          </cell>
          <cell r="CT14">
            <v>-0.1</v>
          </cell>
          <cell r="CU14">
            <v>-0.1</v>
          </cell>
          <cell r="CV14">
            <v>-0.1</v>
          </cell>
          <cell r="CW14">
            <v>-0.1</v>
          </cell>
          <cell r="EI14">
            <v>0.96690386541903406</v>
          </cell>
          <cell r="EO14">
            <v>0.96690386541903406</v>
          </cell>
        </row>
        <row r="15">
          <cell r="A15" t="str">
            <v>Xeloda ROW</v>
          </cell>
          <cell r="I15">
            <v>106</v>
          </cell>
          <cell r="P15">
            <v>191</v>
          </cell>
          <cell r="W15">
            <v>264</v>
          </cell>
          <cell r="AD15">
            <v>264</v>
          </cell>
          <cell r="AK15">
            <v>343</v>
          </cell>
          <cell r="AR15">
            <v>483</v>
          </cell>
          <cell r="AY15">
            <v>588</v>
          </cell>
          <cell r="AZ15">
            <v>178</v>
          </cell>
          <cell r="BA15">
            <v>173</v>
          </cell>
          <cell r="BB15">
            <v>351</v>
          </cell>
          <cell r="BC15">
            <v>176</v>
          </cell>
          <cell r="BD15">
            <v>527</v>
          </cell>
          <cell r="BE15">
            <v>189</v>
          </cell>
          <cell r="BF15">
            <v>716</v>
          </cell>
          <cell r="BG15">
            <v>192</v>
          </cell>
          <cell r="BH15">
            <v>195</v>
          </cell>
          <cell r="BI15">
            <v>387</v>
          </cell>
          <cell r="BJ15">
            <v>196</v>
          </cell>
          <cell r="BK15">
            <v>583</v>
          </cell>
          <cell r="BL15">
            <v>200</v>
          </cell>
          <cell r="BM15">
            <v>783</v>
          </cell>
          <cell r="BN15">
            <v>190</v>
          </cell>
          <cell r="BO15">
            <v>212</v>
          </cell>
          <cell r="BP15">
            <v>402</v>
          </cell>
          <cell r="BQ15">
            <v>195</v>
          </cell>
          <cell r="BR15">
            <v>597</v>
          </cell>
          <cell r="BS15">
            <v>190</v>
          </cell>
          <cell r="BT15">
            <v>787</v>
          </cell>
          <cell r="BU15">
            <v>229</v>
          </cell>
          <cell r="BV15">
            <v>233</v>
          </cell>
          <cell r="BW15">
            <v>462</v>
          </cell>
          <cell r="BX15">
            <v>225</v>
          </cell>
          <cell r="BY15">
            <v>687</v>
          </cell>
          <cell r="BZ15">
            <v>209</v>
          </cell>
          <cell r="CA15">
            <v>896</v>
          </cell>
          <cell r="CB15">
            <v>219</v>
          </cell>
          <cell r="CC15">
            <v>207</v>
          </cell>
          <cell r="CD15">
            <v>426</v>
          </cell>
          <cell r="CE15">
            <v>219.45377457776127</v>
          </cell>
          <cell r="CF15">
            <v>645.45377457776124</v>
          </cell>
          <cell r="CG15">
            <v>205.60428346840555</v>
          </cell>
          <cell r="CH15">
            <v>851.05805804616682</v>
          </cell>
          <cell r="CI15">
            <v>210.95571979159371</v>
          </cell>
          <cell r="CJ15">
            <v>213.78977894877994</v>
          </cell>
          <cell r="CK15">
            <v>424.74549874037365</v>
          </cell>
          <cell r="CL15">
            <v>261.44130206777191</v>
          </cell>
          <cell r="CM15">
            <v>686.18680080814556</v>
          </cell>
          <cell r="CN15">
            <v>256.51408746350285</v>
          </cell>
          <cell r="CO15">
            <v>942.70088827164841</v>
          </cell>
          <cell r="CP15">
            <v>703.53068295062496</v>
          </cell>
          <cell r="CQ15">
            <v>492.47147806543745</v>
          </cell>
          <cell r="CR15">
            <v>344.7300346458062</v>
          </cell>
          <cell r="CS15">
            <v>241.31102425206433</v>
          </cell>
          <cell r="CT15">
            <v>168.91771697644501</v>
          </cell>
          <cell r="CU15">
            <v>118.24240188351149</v>
          </cell>
          <cell r="CV15">
            <v>82.769681318458041</v>
          </cell>
          <cell r="CW15">
            <v>57.938776922920624</v>
          </cell>
          <cell r="EI15">
            <v>0.13850063532401524</v>
          </cell>
          <cell r="EO15">
            <v>0.13850063532401524</v>
          </cell>
        </row>
        <row r="16">
          <cell r="A16" t="str">
            <v>Growth</v>
          </cell>
          <cell r="P16">
            <v>0.80188679245283012</v>
          </cell>
          <cell r="AK16">
            <v>0.29924242424242431</v>
          </cell>
          <cell r="AR16">
            <v>0.40816326530612246</v>
          </cell>
          <cell r="AY16">
            <v>0.20157431744608045</v>
          </cell>
          <cell r="BF16">
            <v>0.1734428055025321</v>
          </cell>
          <cell r="BG16">
            <v>8.7896995491114627E-2</v>
          </cell>
          <cell r="BH16">
            <v>0.15400976861755866</v>
          </cell>
          <cell r="BJ16">
            <v>0.13619463791028652</v>
          </cell>
          <cell r="BL16">
            <v>0.14097577838787223</v>
          </cell>
          <cell r="BM16">
            <v>0.12892574227718512</v>
          </cell>
          <cell r="BN16">
            <v>5.5038612094383765E-2</v>
          </cell>
          <cell r="BO16">
            <v>0.14310721776877977</v>
          </cell>
          <cell r="BQ16">
            <v>5.1521267574854313E-2</v>
          </cell>
          <cell r="BS16">
            <v>-4.0449618679867072E-2</v>
          </cell>
          <cell r="BT16">
            <v>5.2477501774047752E-2</v>
          </cell>
          <cell r="BU16">
            <v>0.18951526107636951</v>
          </cell>
          <cell r="BV16">
            <v>0.1665479447358692</v>
          </cell>
          <cell r="BW16">
            <v>0.17536638675098215</v>
          </cell>
          <cell r="BX16">
            <v>0.27693111042740792</v>
          </cell>
          <cell r="BY16">
            <v>0.20939324576856666</v>
          </cell>
          <cell r="BZ16">
            <v>0.22417161064914393</v>
          </cell>
          <cell r="CA16">
            <v>0.21350980504603412</v>
          </cell>
          <cell r="CB16">
            <v>0.10929767214884945</v>
          </cell>
          <cell r="CC16">
            <v>1.4391984008704783E-3</v>
          </cell>
          <cell r="CD16">
            <v>5.5812179711209553E-2</v>
          </cell>
          <cell r="CE16">
            <v>0.15</v>
          </cell>
          <cell r="CF16">
            <v>7.8925944614375743E-2</v>
          </cell>
          <cell r="CG16">
            <v>0.15</v>
          </cell>
          <cell r="CH16">
            <v>9.0463345256104777E-2</v>
          </cell>
          <cell r="CI16">
            <v>0.06</v>
          </cell>
          <cell r="CJ16">
            <v>0.06</v>
          </cell>
          <cell r="CK16">
            <v>5.5969885885392534E-2</v>
          </cell>
          <cell r="CL16">
            <v>0.06</v>
          </cell>
          <cell r="CM16">
            <v>6.5729398116556981E-2</v>
          </cell>
          <cell r="CN16">
            <v>0.06</v>
          </cell>
          <cell r="CO16">
            <v>6.801564868578458E-2</v>
          </cell>
          <cell r="CP16">
            <v>-0.3</v>
          </cell>
          <cell r="CQ16">
            <v>-0.3</v>
          </cell>
          <cell r="CR16">
            <v>-0.3</v>
          </cell>
          <cell r="CS16">
            <v>-0.3</v>
          </cell>
          <cell r="CT16">
            <v>-0.3</v>
          </cell>
          <cell r="CU16">
            <v>-0.3</v>
          </cell>
          <cell r="CV16">
            <v>-0.3</v>
          </cell>
          <cell r="CW16">
            <v>-0.3</v>
          </cell>
          <cell r="EI16">
            <v>3.0685969763831888</v>
          </cell>
          <cell r="EO16">
            <v>3.0685969763831888</v>
          </cell>
        </row>
        <row r="17">
          <cell r="A17" t="str">
            <v>Kytril</v>
          </cell>
          <cell r="B17">
            <v>0</v>
          </cell>
          <cell r="C17">
            <v>130</v>
          </cell>
          <cell r="D17">
            <v>122</v>
          </cell>
          <cell r="E17">
            <v>252</v>
          </cell>
          <cell r="F17">
            <v>91</v>
          </cell>
          <cell r="G17">
            <v>343</v>
          </cell>
          <cell r="H17">
            <v>94</v>
          </cell>
          <cell r="I17">
            <v>437</v>
          </cell>
          <cell r="J17">
            <v>108</v>
          </cell>
          <cell r="K17">
            <v>109.8</v>
          </cell>
          <cell r="L17">
            <v>217.8</v>
          </cell>
          <cell r="M17">
            <v>111.2</v>
          </cell>
          <cell r="N17">
            <v>329</v>
          </cell>
          <cell r="O17">
            <v>122</v>
          </cell>
          <cell r="P17">
            <v>451</v>
          </cell>
          <cell r="Q17">
            <v>87</v>
          </cell>
          <cell r="R17">
            <v>113</v>
          </cell>
          <cell r="S17">
            <v>200</v>
          </cell>
          <cell r="T17">
            <v>121</v>
          </cell>
          <cell r="U17">
            <v>321</v>
          </cell>
          <cell r="V17">
            <v>119.91038399999999</v>
          </cell>
          <cell r="W17">
            <v>440.91038400000002</v>
          </cell>
          <cell r="X17">
            <v>86</v>
          </cell>
          <cell r="Y17">
            <v>112</v>
          </cell>
          <cell r="Z17">
            <v>198</v>
          </cell>
          <cell r="AA17">
            <v>120</v>
          </cell>
          <cell r="AB17">
            <v>318</v>
          </cell>
          <cell r="AC17">
            <v>119</v>
          </cell>
          <cell r="AD17">
            <v>437</v>
          </cell>
          <cell r="AE17">
            <v>109</v>
          </cell>
          <cell r="AF17">
            <v>111</v>
          </cell>
          <cell r="AG17">
            <v>220</v>
          </cell>
          <cell r="AH17">
            <v>114</v>
          </cell>
          <cell r="AI17">
            <v>334</v>
          </cell>
          <cell r="AJ17">
            <v>123</v>
          </cell>
          <cell r="AK17">
            <v>457</v>
          </cell>
          <cell r="AL17">
            <v>105</v>
          </cell>
          <cell r="AM17">
            <v>130</v>
          </cell>
          <cell r="AN17">
            <v>235</v>
          </cell>
          <cell r="AO17">
            <v>130</v>
          </cell>
          <cell r="AP17">
            <v>365</v>
          </cell>
          <cell r="AQ17">
            <v>135</v>
          </cell>
          <cell r="AR17">
            <v>500</v>
          </cell>
          <cell r="AS17">
            <v>130</v>
          </cell>
          <cell r="AT17">
            <v>124</v>
          </cell>
          <cell r="AU17">
            <v>254</v>
          </cell>
          <cell r="AV17">
            <v>127</v>
          </cell>
          <cell r="AW17">
            <v>381</v>
          </cell>
          <cell r="AX17">
            <v>117</v>
          </cell>
          <cell r="AY17">
            <v>498</v>
          </cell>
          <cell r="AZ17">
            <v>105</v>
          </cell>
          <cell r="BA17">
            <v>100</v>
          </cell>
          <cell r="BB17">
            <v>205</v>
          </cell>
          <cell r="BC17">
            <v>110</v>
          </cell>
          <cell r="BD17">
            <v>315</v>
          </cell>
          <cell r="BE17">
            <v>110</v>
          </cell>
          <cell r="BF17">
            <v>425</v>
          </cell>
          <cell r="BG17">
            <v>74</v>
          </cell>
          <cell r="BH17">
            <v>70</v>
          </cell>
          <cell r="BI17">
            <v>144</v>
          </cell>
          <cell r="BJ17">
            <v>66</v>
          </cell>
          <cell r="BK17">
            <v>210</v>
          </cell>
          <cell r="BL17">
            <v>60</v>
          </cell>
          <cell r="BM17">
            <v>270</v>
          </cell>
          <cell r="BN17">
            <v>50</v>
          </cell>
          <cell r="BO17">
            <v>45</v>
          </cell>
          <cell r="BP17">
            <v>95</v>
          </cell>
          <cell r="BQ17">
            <v>40</v>
          </cell>
          <cell r="BR17">
            <v>135</v>
          </cell>
          <cell r="BS17">
            <v>40</v>
          </cell>
          <cell r="BT17">
            <v>175</v>
          </cell>
          <cell r="BU17">
            <v>33</v>
          </cell>
          <cell r="BV17">
            <v>32</v>
          </cell>
          <cell r="BW17">
            <v>65</v>
          </cell>
          <cell r="BX17">
            <v>25</v>
          </cell>
          <cell r="BY17">
            <v>90</v>
          </cell>
          <cell r="BZ17">
            <v>25</v>
          </cell>
          <cell r="CA17">
            <v>115</v>
          </cell>
          <cell r="CB17">
            <v>16</v>
          </cell>
          <cell r="CC17">
            <v>8</v>
          </cell>
          <cell r="CD17">
            <v>24</v>
          </cell>
          <cell r="CE17">
            <v>19.064964311488175</v>
          </cell>
          <cell r="CF17">
            <v>43.064964311488175</v>
          </cell>
          <cell r="CG17">
            <v>19.717952824347922</v>
          </cell>
          <cell r="CH17">
            <v>62.782917135836101</v>
          </cell>
          <cell r="CI17">
            <v>13.124627298028425</v>
          </cell>
          <cell r="CJ17">
            <v>7.0792362490648131</v>
          </cell>
          <cell r="CK17">
            <v>20.203863547093238</v>
          </cell>
          <cell r="CL17">
            <v>18.122696959585191</v>
          </cell>
          <cell r="CM17">
            <v>38.326560506678433</v>
          </cell>
          <cell r="CN17">
            <v>19.393603278029499</v>
          </cell>
          <cell r="CO17">
            <v>57.720163784707935</v>
          </cell>
          <cell r="CP17">
            <v>54.490081658744934</v>
          </cell>
          <cell r="CQ17">
            <v>49.041073492870439</v>
          </cell>
          <cell r="CR17">
            <v>44.136966143583393</v>
          </cell>
          <cell r="CS17">
            <v>39.723269529225057</v>
          </cell>
          <cell r="CT17">
            <v>35.750942576302549</v>
          </cell>
          <cell r="CU17">
            <v>3.203661327231111E-2</v>
          </cell>
          <cell r="CV17">
            <v>-0.19444444444444442</v>
          </cell>
          <cell r="CW17">
            <v>2.9143897996356971E-2</v>
          </cell>
          <cell r="CX17">
            <v>-8.1726354453627192E-2</v>
          </cell>
          <cell r="CY17">
            <v>0.02</v>
          </cell>
          <cell r="CZ17">
            <v>-2.2371654101995486E-2</v>
          </cell>
          <cell r="DA17">
            <v>0.26744186046511631</v>
          </cell>
          <cell r="DB17">
            <v>-8.9285714285713969E-3</v>
          </cell>
          <cell r="DC17">
            <v>-5.0000000000000044E-2</v>
          </cell>
          <cell r="DD17">
            <v>5.031446540880502E-2</v>
          </cell>
          <cell r="DE17">
            <v>4.5766590389016093E-2</v>
          </cell>
          <cell r="DF17">
            <v>-3.669724770642202E-2</v>
          </cell>
          <cell r="DG17">
            <v>0.1711711711711712</v>
          </cell>
          <cell r="DH17">
            <v>0.14035087719298245</v>
          </cell>
          <cell r="DI17">
            <v>9.7560975609756184E-2</v>
          </cell>
          <cell r="DJ17">
            <v>9.4091903719912384E-2</v>
          </cell>
          <cell r="DK17">
            <v>0.23809523809523814</v>
          </cell>
          <cell r="DL17">
            <v>-4.6153846153846101E-2</v>
          </cell>
          <cell r="DM17">
            <v>-2.3076923076923106E-2</v>
          </cell>
          <cell r="DN17">
            <v>-0.1333333333333333</v>
          </cell>
          <cell r="DO17">
            <v>-4.0000000000000036E-3</v>
          </cell>
          <cell r="DP17">
            <v>-0.19230769230769229</v>
          </cell>
          <cell r="DQ17">
            <v>-0.19354838709677424</v>
          </cell>
          <cell r="DR17">
            <v>-0.13385826771653542</v>
          </cell>
          <cell r="DS17">
            <v>-5.9829059829059839E-2</v>
          </cell>
          <cell r="DT17">
            <v>-0.14658634538152615</v>
          </cell>
          <cell r="DU17">
            <v>-0.29523809523809519</v>
          </cell>
          <cell r="DV17">
            <v>-0.30000000000000004</v>
          </cell>
          <cell r="DW17">
            <v>-0.4</v>
          </cell>
          <cell r="DX17">
            <v>-0.45454545454545459</v>
          </cell>
          <cell r="DY17">
            <v>-0.36470588235294121</v>
          </cell>
          <cell r="DZ17">
            <v>-0.14658634538152615</v>
          </cell>
          <cell r="EA17">
            <v>-0.29523809523809519</v>
          </cell>
          <cell r="EB17">
            <v>-0.30000000000000004</v>
          </cell>
          <cell r="EC17">
            <v>-0.4</v>
          </cell>
          <cell r="ED17">
            <v>-0.35</v>
          </cell>
          <cell r="EE17">
            <v>-0.36</v>
          </cell>
          <cell r="EF17">
            <v>-0.34</v>
          </cell>
          <cell r="EG17">
            <v>-0.35</v>
          </cell>
          <cell r="EH17">
            <v>-0.33</v>
          </cell>
          <cell r="EI17">
            <v>-0.34285714285714286</v>
          </cell>
          <cell r="EJ17">
            <v>-0.1</v>
          </cell>
          <cell r="EK17">
            <v>-0.1</v>
          </cell>
          <cell r="EL17">
            <v>-0.1</v>
          </cell>
          <cell r="EM17">
            <v>-0.1</v>
          </cell>
          <cell r="EN17">
            <v>-0.22190948939830779</v>
          </cell>
          <cell r="EO17">
            <v>-0.1</v>
          </cell>
          <cell r="EP17">
            <v>-0.1</v>
          </cell>
          <cell r="EQ17">
            <v>-0.1</v>
          </cell>
          <cell r="ER17">
            <v>-0.1</v>
          </cell>
          <cell r="ES17">
            <v>-0.1</v>
          </cell>
          <cell r="ET17">
            <v>-0.45406159012316438</v>
          </cell>
          <cell r="EU17">
            <v>-0.1</v>
          </cell>
          <cell r="EV17">
            <v>-0.1</v>
          </cell>
          <cell r="EW17">
            <v>-0.1</v>
          </cell>
          <cell r="EX17">
            <v>-0.1</v>
          </cell>
          <cell r="EY17">
            <v>-8.063902701708614E-2</v>
          </cell>
          <cell r="EZ17">
            <v>-0.1</v>
          </cell>
        </row>
        <row r="18">
          <cell r="A18" t="str">
            <v>Tarceva</v>
          </cell>
          <cell r="B18">
            <v>0</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AG18">
            <v>0</v>
          </cell>
          <cell r="AI18">
            <v>0</v>
          </cell>
          <cell r="AJ18">
            <v>17</v>
          </cell>
          <cell r="AK18">
            <v>17</v>
          </cell>
          <cell r="AL18">
            <v>57</v>
          </cell>
          <cell r="AM18">
            <v>88</v>
          </cell>
          <cell r="AN18">
            <v>145</v>
          </cell>
          <cell r="AO18">
            <v>101</v>
          </cell>
          <cell r="AP18">
            <v>246</v>
          </cell>
          <cell r="AQ18">
            <v>141</v>
          </cell>
          <cell r="AR18">
            <v>387</v>
          </cell>
          <cell r="AS18">
            <v>172</v>
          </cell>
          <cell r="AT18">
            <v>195</v>
          </cell>
          <cell r="AU18">
            <v>367</v>
          </cell>
          <cell r="AV18">
            <v>211</v>
          </cell>
          <cell r="AW18">
            <v>578</v>
          </cell>
          <cell r="AX18">
            <v>235</v>
          </cell>
          <cell r="AY18">
            <v>813</v>
          </cell>
          <cell r="AZ18">
            <v>243</v>
          </cell>
          <cell r="BA18">
            <v>260</v>
          </cell>
          <cell r="BB18">
            <v>503</v>
          </cell>
          <cell r="BC18">
            <v>271</v>
          </cell>
          <cell r="BD18">
            <v>774</v>
          </cell>
          <cell r="BE18">
            <v>288</v>
          </cell>
          <cell r="BF18">
            <v>1062</v>
          </cell>
          <cell r="BG18">
            <v>286</v>
          </cell>
          <cell r="BH18">
            <v>301</v>
          </cell>
          <cell r="BI18">
            <v>587</v>
          </cell>
          <cell r="BJ18">
            <v>298</v>
          </cell>
          <cell r="BK18">
            <v>885</v>
          </cell>
          <cell r="BL18">
            <v>330</v>
          </cell>
          <cell r="BM18">
            <v>1215</v>
          </cell>
          <cell r="BN18">
            <v>320</v>
          </cell>
          <cell r="BO18">
            <v>323</v>
          </cell>
          <cell r="BP18">
            <v>643</v>
          </cell>
          <cell r="BQ18">
            <v>319</v>
          </cell>
          <cell r="BR18">
            <v>962</v>
          </cell>
          <cell r="BS18">
            <v>342</v>
          </cell>
          <cell r="BT18">
            <v>1304</v>
          </cell>
          <cell r="BU18">
            <v>326</v>
          </cell>
          <cell r="BV18">
            <v>348</v>
          </cell>
          <cell r="BW18">
            <v>674</v>
          </cell>
          <cell r="BX18">
            <v>331</v>
          </cell>
          <cell r="BY18">
            <v>1005</v>
          </cell>
          <cell r="BZ18">
            <v>320</v>
          </cell>
          <cell r="CA18">
            <v>1325</v>
          </cell>
          <cell r="CB18">
            <v>317</v>
          </cell>
          <cell r="CC18">
            <v>297</v>
          </cell>
          <cell r="CD18">
            <v>614</v>
          </cell>
          <cell r="CE18">
            <v>294.60629022811804</v>
          </cell>
          <cell r="CF18">
            <v>908.60629022811804</v>
          </cell>
          <cell r="CG18">
            <v>294.35082863692588</v>
          </cell>
          <cell r="CH18">
            <v>1202.9571188650439</v>
          </cell>
          <cell r="CI18">
            <v>305.59991799487182</v>
          </cell>
          <cell r="CJ18">
            <v>309.10933513777218</v>
          </cell>
          <cell r="CK18">
            <v>614.70925313264399</v>
          </cell>
          <cell r="CL18">
            <v>336.22632490339339</v>
          </cell>
          <cell r="CM18">
            <v>950.93557803603744</v>
          </cell>
          <cell r="CN18">
            <v>348.45840498637244</v>
          </cell>
          <cell r="CO18">
            <v>1299.3939830224099</v>
          </cell>
          <cell r="CP18">
            <v>1400.8496499141572</v>
          </cell>
          <cell r="CQ18">
            <v>1455.9909730985023</v>
          </cell>
          <cell r="CR18">
            <v>1519.2570139305922</v>
          </cell>
          <cell r="CS18">
            <v>1577.9738750730962</v>
          </cell>
          <cell r="CT18">
            <v>1650.0897755487943</v>
          </cell>
          <cell r="CU18">
            <v>1716.2134944818597</v>
          </cell>
          <cell r="CV18">
            <v>877.60519167537655</v>
          </cell>
          <cell r="CW18">
            <v>753.99112507749544</v>
          </cell>
          <cell r="CX18">
            <v>-9.8502836396710342E-2</v>
          </cell>
          <cell r="DK18">
            <v>2.0175438596491229</v>
          </cell>
          <cell r="DL18">
            <v>1.2159090909090908</v>
          </cell>
          <cell r="DM18">
            <v>1.0891089108910892</v>
          </cell>
          <cell r="DN18">
            <v>0.66666666666666674</v>
          </cell>
          <cell r="DO18">
            <v>1.1007751937984498</v>
          </cell>
          <cell r="DP18">
            <v>0.41279069767441867</v>
          </cell>
          <cell r="DQ18">
            <v>2.0175438596491229</v>
          </cell>
          <cell r="DR18">
            <v>1.2159090909090908</v>
          </cell>
          <cell r="DS18">
            <v>1.0891089108910892</v>
          </cell>
          <cell r="DT18">
            <v>0.66666666666666674</v>
          </cell>
          <cell r="DU18">
            <v>1.1007751937984498</v>
          </cell>
          <cell r="DV18">
            <v>0.41279069767441867</v>
          </cell>
          <cell r="DW18">
            <v>0.33333333333333326</v>
          </cell>
          <cell r="DX18">
            <v>0.28436018957345977</v>
          </cell>
          <cell r="DY18">
            <v>0.22553191489361701</v>
          </cell>
          <cell r="DZ18">
            <v>0.30627306273062738</v>
          </cell>
          <cell r="EA18">
            <v>0.17695473251028804</v>
          </cell>
          <cell r="EB18">
            <v>0.1576923076923078</v>
          </cell>
          <cell r="EC18">
            <v>9.9630996309963082E-2</v>
          </cell>
          <cell r="ED18">
            <v>7.3251028806584406E-2</v>
          </cell>
          <cell r="EE18">
            <v>0.14406779661016955</v>
          </cell>
          <cell r="EI18">
            <v>1.6104294478527681E-2</v>
          </cell>
          <cell r="EJ18">
            <v>7.3251028806584406E-2</v>
          </cell>
          <cell r="EN18">
            <v>-1.5726165241565782E-2</v>
          </cell>
          <cell r="EO18">
            <v>1.6104294478527681E-2</v>
          </cell>
          <cell r="EP18">
            <v>6.4921006111929858E-2</v>
          </cell>
          <cell r="ET18">
            <v>-9.2107834818834777E-2</v>
          </cell>
          <cell r="EY18">
            <v>8.0166501901872911E-2</v>
          </cell>
          <cell r="EZ18" t="str">
            <v>mstag:tarceva</v>
          </cell>
          <cell r="FA18">
            <v>6</v>
          </cell>
          <cell r="FB18" t="str">
            <v>ISO4217:CHF</v>
          </cell>
          <cell r="FC18" t="b">
            <v>0</v>
          </cell>
          <cell r="FJ18" t="str">
            <v>mstag:tarceva</v>
          </cell>
          <cell r="FK18">
            <v>6</v>
          </cell>
          <cell r="FL18" t="str">
            <v>ISO4217:CHF</v>
          </cell>
          <cell r="FM18" t="b">
            <v>0</v>
          </cell>
        </row>
        <row r="19">
          <cell r="A19" t="str">
            <v>Avastin</v>
          </cell>
          <cell r="B19">
            <v>0</v>
          </cell>
          <cell r="I19">
            <v>0</v>
          </cell>
          <cell r="P19">
            <v>0</v>
          </cell>
          <cell r="U19">
            <v>0</v>
          </cell>
          <cell r="V19">
            <v>0</v>
          </cell>
          <cell r="W19">
            <v>0</v>
          </cell>
          <cell r="AE19">
            <v>48</v>
          </cell>
          <cell r="AF19">
            <v>169</v>
          </cell>
          <cell r="AG19">
            <v>217</v>
          </cell>
          <cell r="AH19">
            <v>235</v>
          </cell>
          <cell r="AI19">
            <v>452</v>
          </cell>
          <cell r="AJ19">
            <v>238</v>
          </cell>
          <cell r="AK19">
            <v>690</v>
          </cell>
          <cell r="AL19">
            <v>260</v>
          </cell>
          <cell r="AM19">
            <v>347</v>
          </cell>
          <cell r="AN19">
            <v>607</v>
          </cell>
          <cell r="AO19">
            <v>486</v>
          </cell>
          <cell r="AP19">
            <v>1093</v>
          </cell>
          <cell r="AQ19">
            <v>572</v>
          </cell>
          <cell r="AR19">
            <v>1665</v>
          </cell>
          <cell r="AS19">
            <v>676</v>
          </cell>
          <cell r="AT19">
            <v>713</v>
          </cell>
          <cell r="AU19">
            <v>1389</v>
          </cell>
          <cell r="AV19">
            <v>741</v>
          </cell>
          <cell r="AW19">
            <v>2130</v>
          </cell>
          <cell r="AX19">
            <v>832</v>
          </cell>
          <cell r="AY19">
            <v>2962</v>
          </cell>
          <cell r="AZ19">
            <v>923</v>
          </cell>
          <cell r="BA19">
            <v>986</v>
          </cell>
          <cell r="BB19">
            <v>1909</v>
          </cell>
          <cell r="BC19">
            <v>1062</v>
          </cell>
          <cell r="BD19">
            <v>2971</v>
          </cell>
          <cell r="BE19">
            <v>1135</v>
          </cell>
          <cell r="BF19">
            <v>4106</v>
          </cell>
          <cell r="BG19">
            <v>1131</v>
          </cell>
          <cell r="BH19">
            <v>1220</v>
          </cell>
          <cell r="BI19">
            <v>2351</v>
          </cell>
          <cell r="BJ19">
            <v>1351</v>
          </cell>
          <cell r="BK19">
            <v>3702</v>
          </cell>
          <cell r="BL19">
            <v>1505</v>
          </cell>
          <cell r="BM19">
            <v>5207</v>
          </cell>
          <cell r="BN19">
            <v>1485</v>
          </cell>
          <cell r="BO19">
            <v>1605</v>
          </cell>
          <cell r="BP19">
            <v>3090</v>
          </cell>
          <cell r="BQ19">
            <v>1594</v>
          </cell>
          <cell r="BR19">
            <v>4684</v>
          </cell>
          <cell r="BS19">
            <v>1538</v>
          </cell>
          <cell r="BT19">
            <v>6222</v>
          </cell>
          <cell r="BU19">
            <v>1666</v>
          </cell>
          <cell r="BV19">
            <v>1727</v>
          </cell>
          <cell r="BW19">
            <v>3393</v>
          </cell>
          <cell r="BX19">
            <v>1608</v>
          </cell>
          <cell r="BY19">
            <v>5001</v>
          </cell>
          <cell r="BZ19">
            <v>1460</v>
          </cell>
          <cell r="CA19">
            <v>6461</v>
          </cell>
          <cell r="CB19">
            <v>1417</v>
          </cell>
          <cell r="CC19">
            <v>1309</v>
          </cell>
          <cell r="CD19">
            <v>2726</v>
          </cell>
          <cell r="CE19">
            <v>1427.9557212320251</v>
          </cell>
          <cell r="CF19">
            <v>4153.9557212320251</v>
          </cell>
          <cell r="CG19">
            <v>1557.8671636960753</v>
          </cell>
          <cell r="CH19">
            <v>5711.8228849281004</v>
          </cell>
          <cell r="CI19">
            <v>1419.3367043666331</v>
          </cell>
          <cell r="CJ19">
            <v>1419.3367043666331</v>
          </cell>
          <cell r="CK19">
            <v>2838.6734087332661</v>
          </cell>
          <cell r="CL19">
            <v>1419.3367043666331</v>
          </cell>
          <cell r="CM19">
            <v>4258.0101130998992</v>
          </cell>
          <cell r="CN19">
            <v>1419.3367043666331</v>
          </cell>
          <cell r="CO19">
            <v>5677.3468174665322</v>
          </cell>
          <cell r="CP19">
            <v>6193.2878057671842</v>
          </cell>
          <cell r="CQ19">
            <v>6523.0380070046976</v>
          </cell>
          <cell r="CR19">
            <v>6784.6697719527765</v>
          </cell>
          <cell r="CS19">
            <v>6912.2844354285244</v>
          </cell>
          <cell r="CT19" t="str">
            <v xml:space="preserve"> </v>
          </cell>
          <cell r="CU19">
            <v>6912.2844354285244</v>
          </cell>
          <cell r="CV19">
            <v>6221.0559918856725</v>
          </cell>
          <cell r="CW19">
            <v>5598.9503926971056</v>
          </cell>
          <cell r="CX19">
            <v>-0.65200522992525012</v>
          </cell>
          <cell r="CZ19" t="str">
            <v xml:space="preserve"> </v>
          </cell>
          <cell r="DJ19">
            <v>1.4130434782608696</v>
          </cell>
          <cell r="DK19">
            <v>1.6</v>
          </cell>
          <cell r="DL19">
            <v>1.0547550432276656</v>
          </cell>
          <cell r="DM19">
            <v>0.52469135802469147</v>
          </cell>
          <cell r="DN19">
            <v>0.45454545454545459</v>
          </cell>
          <cell r="DO19">
            <v>0.77897897897897894</v>
          </cell>
          <cell r="DP19">
            <v>1.4130434782608696</v>
          </cell>
          <cell r="DQ19">
            <v>1.6</v>
          </cell>
          <cell r="DR19">
            <v>1.0547550432276656</v>
          </cell>
          <cell r="DS19">
            <v>0.52469135802469147</v>
          </cell>
          <cell r="DT19">
            <v>0.45454545454545459</v>
          </cell>
          <cell r="DU19">
            <v>0.77897897897897894</v>
          </cell>
          <cell r="DV19">
            <v>0.36538461538461542</v>
          </cell>
          <cell r="DW19">
            <v>0.38288920056100983</v>
          </cell>
          <cell r="DX19">
            <v>0.4331983805668016</v>
          </cell>
          <cell r="DY19">
            <v>0.36418269230769229</v>
          </cell>
          <cell r="DZ19">
            <v>0.38622552329507087</v>
          </cell>
          <cell r="EA19">
            <v>0.22535211267605626</v>
          </cell>
          <cell r="EB19">
            <v>0.23732251521298164</v>
          </cell>
          <cell r="EC19">
            <v>0.27212806026365355</v>
          </cell>
          <cell r="ED19">
            <v>0.194929902054926</v>
          </cell>
          <cell r="EE19">
            <v>0.26814417924987821</v>
          </cell>
          <cell r="EI19">
            <v>3.8412086145933833E-2</v>
          </cell>
          <cell r="EJ19">
            <v>0.194929902054926</v>
          </cell>
          <cell r="EN19">
            <v>-0.1173743404993578</v>
          </cell>
          <cell r="EO19">
            <v>3.8412086145933833E-2</v>
          </cell>
          <cell r="EP19">
            <v>6.0428073773652669E-2</v>
          </cell>
          <cell r="ET19">
            <v>-0.11595374014423454</v>
          </cell>
          <cell r="EY19">
            <v>-6.0359132550382721E-3</v>
          </cell>
          <cell r="EZ19" t="str">
            <v>mstag:avastin</v>
          </cell>
          <cell r="FA19">
            <v>6</v>
          </cell>
          <cell r="FB19" t="str">
            <v>ISO4217:CHF</v>
          </cell>
          <cell r="FC19" t="b">
            <v>0</v>
          </cell>
          <cell r="FJ19" t="str">
            <v>mstag:avastin</v>
          </cell>
          <cell r="FK19">
            <v>6</v>
          </cell>
          <cell r="FL19" t="str">
            <v>ISO4217:CHF</v>
          </cell>
          <cell r="FM19" t="b">
            <v>0</v>
          </cell>
        </row>
        <row r="20">
          <cell r="A20" t="str">
            <v>Oncology Total</v>
          </cell>
          <cell r="B20">
            <v>1590</v>
          </cell>
          <cell r="C20">
            <v>710</v>
          </cell>
          <cell r="D20">
            <v>752.5</v>
          </cell>
          <cell r="E20">
            <v>1462.5</v>
          </cell>
          <cell r="F20">
            <v>810.5</v>
          </cell>
          <cell r="G20">
            <v>2273</v>
          </cell>
          <cell r="H20">
            <v>925</v>
          </cell>
          <cell r="I20">
            <v>3198</v>
          </cell>
          <cell r="J20">
            <v>961</v>
          </cell>
          <cell r="K20">
            <v>1032.8</v>
          </cell>
          <cell r="L20">
            <v>1993.8</v>
          </cell>
          <cell r="M20">
            <v>1067.2</v>
          </cell>
          <cell r="N20">
            <v>3061</v>
          </cell>
          <cell r="O20">
            <v>1173</v>
          </cell>
          <cell r="P20">
            <v>4234</v>
          </cell>
          <cell r="Q20">
            <v>1108</v>
          </cell>
          <cell r="R20">
            <v>1228</v>
          </cell>
          <cell r="S20">
            <v>2336</v>
          </cell>
          <cell r="T20">
            <v>1288</v>
          </cell>
          <cell r="U20">
            <v>3624</v>
          </cell>
          <cell r="V20">
            <v>1345.9950240000001</v>
          </cell>
          <cell r="W20">
            <v>4969.9950239999998</v>
          </cell>
          <cell r="X20">
            <v>1093</v>
          </cell>
          <cell r="Y20">
            <v>1213</v>
          </cell>
          <cell r="Z20">
            <v>2306</v>
          </cell>
          <cell r="AA20">
            <v>1272</v>
          </cell>
          <cell r="AB20">
            <v>3578</v>
          </cell>
          <cell r="AC20">
            <v>1326</v>
          </cell>
          <cell r="AD20">
            <v>4904</v>
          </cell>
          <cell r="AE20">
            <v>1382</v>
          </cell>
          <cell r="AF20">
            <v>1606</v>
          </cell>
          <cell r="AG20">
            <v>2988</v>
          </cell>
          <cell r="AH20">
            <v>1744</v>
          </cell>
          <cell r="AI20">
            <v>4732</v>
          </cell>
          <cell r="AJ20">
            <v>1778</v>
          </cell>
          <cell r="AK20">
            <v>6510</v>
          </cell>
          <cell r="AL20">
            <v>1907</v>
          </cell>
          <cell r="AM20">
            <v>2230</v>
          </cell>
          <cell r="AN20">
            <v>4137</v>
          </cell>
          <cell r="AO20">
            <v>2578</v>
          </cell>
          <cell r="AP20">
            <v>6715</v>
          </cell>
          <cell r="AQ20">
            <v>2933</v>
          </cell>
          <cell r="AR20">
            <v>9648</v>
          </cell>
          <cell r="AS20">
            <v>3223</v>
          </cell>
          <cell r="AT20">
            <v>3420</v>
          </cell>
          <cell r="AU20">
            <v>6643</v>
          </cell>
          <cell r="AV20">
            <v>3504</v>
          </cell>
          <cell r="AW20">
            <v>10147</v>
          </cell>
          <cell r="AX20">
            <v>3863</v>
          </cell>
          <cell r="AY20">
            <v>14010</v>
          </cell>
          <cell r="AZ20">
            <v>4015</v>
          </cell>
          <cell r="BA20">
            <v>4237</v>
          </cell>
          <cell r="BB20">
            <v>8252</v>
          </cell>
          <cell r="BC20">
            <v>4322</v>
          </cell>
          <cell r="BD20">
            <v>12574</v>
          </cell>
          <cell r="BE20">
            <v>4538</v>
          </cell>
          <cell r="BF20">
            <v>17112</v>
          </cell>
          <cell r="BG20">
            <v>4404</v>
          </cell>
          <cell r="BH20">
            <v>4582</v>
          </cell>
          <cell r="BI20">
            <v>8986</v>
          </cell>
          <cell r="BJ20">
            <v>4799</v>
          </cell>
          <cell r="BK20">
            <v>13785</v>
          </cell>
          <cell r="BL20">
            <v>5123</v>
          </cell>
          <cell r="BM20">
            <v>18908</v>
          </cell>
          <cell r="BN20">
            <v>4939</v>
          </cell>
          <cell r="BO20">
            <v>5258</v>
          </cell>
          <cell r="BP20">
            <v>10197</v>
          </cell>
          <cell r="BQ20">
            <v>5114</v>
          </cell>
          <cell r="BR20">
            <v>15311</v>
          </cell>
          <cell r="BS20">
            <v>5003</v>
          </cell>
          <cell r="BT20">
            <v>20314</v>
          </cell>
          <cell r="BU20">
            <v>5400</v>
          </cell>
          <cell r="BV20">
            <v>5571</v>
          </cell>
          <cell r="BW20">
            <v>10971</v>
          </cell>
          <cell r="BX20">
            <v>5202</v>
          </cell>
          <cell r="BY20">
            <v>16173</v>
          </cell>
          <cell r="BZ20">
            <v>4939</v>
          </cell>
          <cell r="CA20">
            <v>21112</v>
          </cell>
          <cell r="CB20">
            <v>5034</v>
          </cell>
          <cell r="CC20">
            <v>4770</v>
          </cell>
          <cell r="CD20">
            <v>9804</v>
          </cell>
          <cell r="CE20">
            <v>4518.270389040581</v>
          </cell>
          <cell r="CF20">
            <v>14322.270389040581</v>
          </cell>
          <cell r="CG20">
            <v>4646.2931591280849</v>
          </cell>
          <cell r="CH20">
            <v>18968.563548168666</v>
          </cell>
          <cell r="CI20">
            <v>4778.3592644899791</v>
          </cell>
          <cell r="CJ20">
            <v>4916.473820235834</v>
          </cell>
          <cell r="CK20">
            <v>9694.8330847258148</v>
          </cell>
          <cell r="CL20">
            <v>4912.2351515926966</v>
          </cell>
          <cell r="CM20">
            <v>14607.068236318511</v>
          </cell>
          <cell r="CN20">
            <v>5057.0515370268731</v>
          </cell>
          <cell r="CO20">
            <v>19664.119773345381</v>
          </cell>
          <cell r="CP20">
            <v>20655.941978225343</v>
          </cell>
          <cell r="CQ20">
            <v>20308.511815449907</v>
          </cell>
          <cell r="CR20">
            <v>19835.75836451834</v>
          </cell>
          <cell r="CS20">
            <v>18946.482944176481</v>
          </cell>
          <cell r="CT20">
            <v>18343.049584264547</v>
          </cell>
          <cell r="CU20">
            <v>18246.739201894128</v>
          </cell>
          <cell r="CV20">
            <v>16721.954834052529</v>
          </cell>
          <cell r="CW20">
            <v>15993.597053017435</v>
          </cell>
          <cell r="CX20">
            <v>-1.0589612815709752</v>
          </cell>
          <cell r="DP20">
            <v>0.24573378839590454</v>
          </cell>
          <cell r="DQ20">
            <v>0.23888888888888893</v>
          </cell>
          <cell r="DR20">
            <v>0.23344748858447484</v>
          </cell>
          <cell r="DS20">
            <v>0.17473466217965306</v>
          </cell>
          <cell r="DT20">
            <v>0.22141327623126328</v>
          </cell>
          <cell r="DU20">
            <v>9.6886674968866826E-2</v>
          </cell>
          <cell r="DV20">
            <v>0.24573378839590454</v>
          </cell>
          <cell r="DW20">
            <v>0.23888888888888893</v>
          </cell>
          <cell r="DX20">
            <v>0.23344748858447484</v>
          </cell>
          <cell r="DY20">
            <v>0.10495558672276761</v>
          </cell>
          <cell r="DZ20">
            <v>0.22141327623126328</v>
          </cell>
          <cell r="EA20">
            <v>9.6886674968866826E-2</v>
          </cell>
          <cell r="EB20">
            <v>8.1425536936511778E-2</v>
          </cell>
          <cell r="EC20">
            <v>0.11036557149467829</v>
          </cell>
          <cell r="ED20">
            <v>7.4360059234186648E-2</v>
          </cell>
          <cell r="EE20">
            <v>0.10495558672276761</v>
          </cell>
          <cell r="EI20">
            <v>3.9283252929014578E-2</v>
          </cell>
          <cell r="EJ20">
            <v>7.4360059234186648E-2</v>
          </cell>
          <cell r="EN20">
            <v>-5.7359540953481614E-2</v>
          </cell>
          <cell r="EO20">
            <v>3.9283252929014578E-2</v>
          </cell>
          <cell r="EP20">
            <v>3.021950244821725E-2</v>
          </cell>
          <cell r="ET20">
            <v>-0.10152692553198817</v>
          </cell>
          <cell r="EY20">
            <v>3.6668892898000571E-2</v>
          </cell>
          <cell r="EZ20">
            <v>5.0438169433059121E-2</v>
          </cell>
        </row>
        <row r="22">
          <cell r="A22" t="str">
            <v>Pegasys</v>
          </cell>
          <cell r="B22">
            <v>0</v>
          </cell>
          <cell r="C22">
            <v>0</v>
          </cell>
          <cell r="D22">
            <v>0</v>
          </cell>
          <cell r="E22">
            <v>0</v>
          </cell>
          <cell r="F22">
            <v>0</v>
          </cell>
          <cell r="G22">
            <v>0</v>
          </cell>
          <cell r="H22">
            <v>0</v>
          </cell>
          <cell r="I22">
            <v>0</v>
          </cell>
          <cell r="J22">
            <v>0</v>
          </cell>
          <cell r="K22">
            <v>0</v>
          </cell>
          <cell r="L22">
            <v>0</v>
          </cell>
          <cell r="M22">
            <v>0</v>
          </cell>
          <cell r="N22">
            <v>54</v>
          </cell>
          <cell r="O22">
            <v>40</v>
          </cell>
          <cell r="P22">
            <v>94</v>
          </cell>
          <cell r="Q22">
            <v>97</v>
          </cell>
          <cell r="R22">
            <v>165</v>
          </cell>
          <cell r="S22">
            <v>262</v>
          </cell>
          <cell r="T22">
            <v>199</v>
          </cell>
          <cell r="U22">
            <v>461</v>
          </cell>
          <cell r="V22">
            <v>250</v>
          </cell>
          <cell r="W22">
            <v>711</v>
          </cell>
          <cell r="X22">
            <v>96.191666666666663</v>
          </cell>
          <cell r="Y22">
            <v>161.16279069767444</v>
          </cell>
          <cell r="Z22">
            <v>257.3544573643411</v>
          </cell>
          <cell r="AA22">
            <v>195.49647887323943</v>
          </cell>
          <cell r="AB22">
            <v>452.85093623758053</v>
          </cell>
          <cell r="AC22">
            <v>253</v>
          </cell>
          <cell r="AD22">
            <v>705.85093623758053</v>
          </cell>
          <cell r="AE22">
            <v>289</v>
          </cell>
          <cell r="AF22">
            <v>295</v>
          </cell>
          <cell r="AG22">
            <v>584</v>
          </cell>
          <cell r="AH22">
            <v>296</v>
          </cell>
          <cell r="AI22">
            <v>880</v>
          </cell>
          <cell r="AJ22">
            <v>299</v>
          </cell>
          <cell r="AK22">
            <v>1179</v>
          </cell>
          <cell r="AL22">
            <v>325</v>
          </cell>
          <cell r="AM22">
            <v>355</v>
          </cell>
          <cell r="AN22">
            <v>680</v>
          </cell>
          <cell r="AO22">
            <v>350</v>
          </cell>
          <cell r="AP22">
            <v>1030</v>
          </cell>
          <cell r="AQ22">
            <v>373</v>
          </cell>
          <cell r="AR22">
            <v>1403</v>
          </cell>
          <cell r="AS22">
            <v>350</v>
          </cell>
          <cell r="AT22">
            <v>374</v>
          </cell>
          <cell r="AU22">
            <v>724</v>
          </cell>
          <cell r="AV22">
            <v>350</v>
          </cell>
          <cell r="AW22">
            <v>1074</v>
          </cell>
          <cell r="AX22">
            <v>393</v>
          </cell>
          <cell r="AY22">
            <v>1467</v>
          </cell>
          <cell r="AZ22">
            <v>400</v>
          </cell>
          <cell r="BA22">
            <v>407</v>
          </cell>
          <cell r="BB22">
            <v>807</v>
          </cell>
          <cell r="BC22">
            <v>383</v>
          </cell>
          <cell r="BD22">
            <v>1190</v>
          </cell>
          <cell r="BE22">
            <v>447</v>
          </cell>
          <cell r="BF22">
            <v>1637</v>
          </cell>
          <cell r="BG22">
            <v>369</v>
          </cell>
          <cell r="BH22">
            <v>416</v>
          </cell>
          <cell r="BI22">
            <v>785</v>
          </cell>
          <cell r="BJ22">
            <v>405</v>
          </cell>
          <cell r="BK22">
            <v>1190</v>
          </cell>
          <cell r="BL22">
            <v>445</v>
          </cell>
          <cell r="BM22">
            <v>1635</v>
          </cell>
          <cell r="BN22">
            <v>393</v>
          </cell>
          <cell r="BO22">
            <v>449</v>
          </cell>
          <cell r="BP22">
            <v>842</v>
          </cell>
          <cell r="BQ22">
            <v>438</v>
          </cell>
          <cell r="BR22">
            <v>1280</v>
          </cell>
          <cell r="BS22">
            <v>375</v>
          </cell>
          <cell r="BT22">
            <v>1655</v>
          </cell>
          <cell r="BU22">
            <v>441</v>
          </cell>
          <cell r="BV22">
            <v>428</v>
          </cell>
          <cell r="BW22">
            <v>869</v>
          </cell>
          <cell r="BX22">
            <v>384</v>
          </cell>
          <cell r="BY22">
            <v>1253</v>
          </cell>
          <cell r="BZ22">
            <v>392</v>
          </cell>
          <cell r="CA22">
            <v>1645</v>
          </cell>
          <cell r="CB22">
            <v>346</v>
          </cell>
          <cell r="CC22">
            <v>349</v>
          </cell>
          <cell r="CD22">
            <v>695</v>
          </cell>
          <cell r="CE22">
            <v>420.55538408002269</v>
          </cell>
          <cell r="CF22">
            <v>1115.5553840800226</v>
          </cell>
          <cell r="CG22">
            <v>437.9600879391366</v>
          </cell>
          <cell r="CH22">
            <v>1553.5154720191595</v>
          </cell>
          <cell r="CI22">
            <v>379.43741964895401</v>
          </cell>
          <cell r="CJ22">
            <v>411.69022481954886</v>
          </cell>
          <cell r="CK22">
            <v>791.12764446850281</v>
          </cell>
          <cell r="CL22">
            <v>560.36204537765684</v>
          </cell>
          <cell r="CM22">
            <v>1351.4896898461595</v>
          </cell>
          <cell r="CN22">
            <v>609.595013641484</v>
          </cell>
          <cell r="CO22">
            <v>1961.0847034876438</v>
          </cell>
          <cell r="CP22">
            <v>1667.4170111213587</v>
          </cell>
          <cell r="CQ22">
            <v>1483.095782958284</v>
          </cell>
          <cell r="CR22">
            <v>1334.7862046624555</v>
          </cell>
          <cell r="CS22">
            <v>1334.7862046624555</v>
          </cell>
          <cell r="CT22">
            <v>1334.7862046624555</v>
          </cell>
          <cell r="CU22">
            <v>1334.7862046624555</v>
          </cell>
          <cell r="CV22">
            <v>1334.7862046624555</v>
          </cell>
          <cell r="CW22">
            <v>1334.7862046624555</v>
          </cell>
          <cell r="CX22">
            <v>-0.13447376433001765</v>
          </cell>
          <cell r="CZ22">
            <v>6.5638297872340425</v>
          </cell>
          <cell r="DA22">
            <v>2.0044182621502209</v>
          </cell>
          <cell r="DB22">
            <v>0.83044733044733032</v>
          </cell>
          <cell r="DC22">
            <v>0.5140937663226528</v>
          </cell>
          <cell r="DD22">
            <v>0.18181818181818188</v>
          </cell>
          <cell r="DE22">
            <v>0.67032434112003991</v>
          </cell>
          <cell r="DF22">
            <v>6.5638297872340425</v>
          </cell>
          <cell r="DG22">
            <v>2.0044182621502209</v>
          </cell>
          <cell r="DH22">
            <v>0.83044733044733032</v>
          </cell>
          <cell r="DI22">
            <v>0.5140937663226528</v>
          </cell>
          <cell r="DJ22">
            <v>0.18181818181818188</v>
          </cell>
          <cell r="DK22">
            <v>0.67032434112003991</v>
          </cell>
          <cell r="DL22">
            <v>0.12456747404844282</v>
          </cell>
          <cell r="DM22">
            <v>0.20338983050847448</v>
          </cell>
          <cell r="DN22">
            <v>0.18243243243243246</v>
          </cell>
          <cell r="DO22">
            <v>0.24749163879598668</v>
          </cell>
          <cell r="DP22">
            <v>0.18999151823579297</v>
          </cell>
          <cell r="DQ22">
            <v>7.6923076923076872E-2</v>
          </cell>
          <cell r="DR22">
            <v>5.3521126760563309E-2</v>
          </cell>
          <cell r="DS22">
            <v>0</v>
          </cell>
          <cell r="DT22">
            <v>5.3619302949061698E-2</v>
          </cell>
          <cell r="DU22">
            <v>4.5616535994297935E-2</v>
          </cell>
          <cell r="DV22">
            <v>0.14285714285714279</v>
          </cell>
          <cell r="DW22">
            <v>8.8235294117646967E-2</v>
          </cell>
          <cell r="DX22">
            <v>9.4285714285714306E-2</v>
          </cell>
          <cell r="DY22">
            <v>0.13740458015267176</v>
          </cell>
          <cell r="DZ22">
            <v>0.11588275391956371</v>
          </cell>
          <cell r="EA22">
            <v>-7.7500000000000013E-2</v>
          </cell>
          <cell r="EB22">
            <v>2.2113022113022129E-2</v>
          </cell>
          <cell r="EC22">
            <v>5.7441253263707637E-2</v>
          </cell>
          <cell r="ED22">
            <v>7.0000000000000007E-2</v>
          </cell>
          <cell r="EE22">
            <v>-1.2217470983506562E-3</v>
          </cell>
          <cell r="EI22">
            <v>-6.0422960725075026E-3</v>
          </cell>
          <cell r="EJ22">
            <v>7.0000000000000007E-2</v>
          </cell>
          <cell r="EN22">
            <v>0</v>
          </cell>
          <cell r="EO22">
            <v>-6.0422960725075026E-3</v>
          </cell>
          <cell r="EP22">
            <v>0</v>
          </cell>
          <cell r="ET22">
            <v>0</v>
          </cell>
          <cell r="EY22">
            <v>0</v>
          </cell>
          <cell r="EZ22" t="str">
            <v>mstag:pegasys</v>
          </cell>
          <cell r="FA22">
            <v>6</v>
          </cell>
          <cell r="FB22" t="str">
            <v>ISO4217:CHF</v>
          </cell>
          <cell r="FC22" t="b">
            <v>0</v>
          </cell>
          <cell r="FJ22" t="str">
            <v>mstag:pegasys</v>
          </cell>
          <cell r="FK22">
            <v>6</v>
          </cell>
          <cell r="FL22" t="str">
            <v>ISO4217:CHF</v>
          </cell>
          <cell r="FM22" t="b">
            <v>0</v>
          </cell>
        </row>
        <row r="23">
          <cell r="A23" t="str">
            <v>Pegasys US</v>
          </cell>
          <cell r="AK23">
            <v>458</v>
          </cell>
          <cell r="AR23">
            <v>494</v>
          </cell>
          <cell r="AY23">
            <v>447</v>
          </cell>
          <cell r="AZ23">
            <v>104</v>
          </cell>
          <cell r="BA23">
            <v>107</v>
          </cell>
          <cell r="BB23">
            <v>211</v>
          </cell>
          <cell r="BC23">
            <v>75</v>
          </cell>
          <cell r="BD23">
            <v>286</v>
          </cell>
          <cell r="BE23">
            <v>111</v>
          </cell>
          <cell r="BF23">
            <v>397</v>
          </cell>
          <cell r="BG23">
            <v>81</v>
          </cell>
          <cell r="BH23">
            <v>95</v>
          </cell>
          <cell r="BI23">
            <v>176</v>
          </cell>
          <cell r="BJ23">
            <v>99</v>
          </cell>
          <cell r="BK23">
            <v>275</v>
          </cell>
          <cell r="BL23">
            <v>120</v>
          </cell>
          <cell r="BM23">
            <v>395</v>
          </cell>
          <cell r="BN23">
            <v>101</v>
          </cell>
          <cell r="BO23">
            <v>107</v>
          </cell>
          <cell r="BP23">
            <v>208</v>
          </cell>
          <cell r="BQ23">
            <v>109</v>
          </cell>
          <cell r="BR23">
            <v>317</v>
          </cell>
          <cell r="BS23">
            <v>87</v>
          </cell>
          <cell r="BT23">
            <v>404</v>
          </cell>
          <cell r="BU23">
            <v>102</v>
          </cell>
          <cell r="BV23">
            <v>106</v>
          </cell>
          <cell r="BW23">
            <v>208</v>
          </cell>
          <cell r="BX23">
            <v>92</v>
          </cell>
          <cell r="BY23">
            <v>300</v>
          </cell>
          <cell r="BZ23">
            <v>89</v>
          </cell>
          <cell r="CA23">
            <v>389</v>
          </cell>
          <cell r="CB23">
            <v>65</v>
          </cell>
          <cell r="CC23">
            <v>70</v>
          </cell>
          <cell r="CD23">
            <v>135</v>
          </cell>
          <cell r="CE23">
            <v>98.605034979662577</v>
          </cell>
          <cell r="CF23">
            <v>233.60503497966258</v>
          </cell>
          <cell r="CG23">
            <v>101.00345278954246</v>
          </cell>
          <cell r="CH23">
            <v>334.60848776920506</v>
          </cell>
          <cell r="CI23">
            <v>73.009106072123728</v>
          </cell>
          <cell r="CJ23">
            <v>85.481046111812475</v>
          </cell>
          <cell r="CK23">
            <v>158.4901521839362</v>
          </cell>
          <cell r="CL23">
            <v>126.15644181221535</v>
          </cell>
          <cell r="CM23">
            <v>284.64659399615152</v>
          </cell>
          <cell r="CN23">
            <v>133.68104045674738</v>
          </cell>
          <cell r="CO23">
            <v>418.32763445289891</v>
          </cell>
          <cell r="CP23">
            <v>351.59054101877888</v>
          </cell>
          <cell r="CQ23">
            <v>298.85195986596204</v>
          </cell>
          <cell r="CR23">
            <v>268.96676387936583</v>
          </cell>
          <cell r="CS23">
            <v>268.96676387936583</v>
          </cell>
          <cell r="CT23">
            <v>268.96676387936583</v>
          </cell>
          <cell r="CU23">
            <v>268.96676387936583</v>
          </cell>
          <cell r="CV23">
            <v>268.96676387936583</v>
          </cell>
          <cell r="CW23">
            <v>268.96676387936583</v>
          </cell>
          <cell r="DW23">
            <v>0.32000000000000006</v>
          </cell>
          <cell r="EC23">
            <v>0.32000000000000006</v>
          </cell>
        </row>
        <row r="24">
          <cell r="A24" t="str">
            <v>Growth</v>
          </cell>
          <cell r="AY24">
            <v>-0.1005358729144552</v>
          </cell>
          <cell r="BF24">
            <v>-6.9351834108529409E-2</v>
          </cell>
          <cell r="BG24">
            <v>-8.8151144417078053E-2</v>
          </cell>
          <cell r="BH24">
            <v>4.9153868145747404E-2</v>
          </cell>
          <cell r="BJ24">
            <v>0.42522461764755737</v>
          </cell>
          <cell r="BL24">
            <v>7.3663547473436397E-2</v>
          </cell>
          <cell r="BM24">
            <v>9.4236091002632194E-2</v>
          </cell>
          <cell r="BN24">
            <v>0.17302234580299847</v>
          </cell>
          <cell r="BO24">
            <v>4.2779821526782502E-2</v>
          </cell>
          <cell r="BQ24">
            <v>0.11062615623148764</v>
          </cell>
          <cell r="BS24">
            <v>-0.15924866679634164</v>
          </cell>
          <cell r="BT24">
            <v>-1.9094312641090294E-3</v>
          </cell>
          <cell r="BU24">
            <v>8.8803022339924209E-2</v>
          </cell>
          <cell r="BV24">
            <v>-6.4768488289301818E-3</v>
          </cell>
          <cell r="BW24">
            <v>4.1491445088779333E-2</v>
          </cell>
          <cell r="BX24">
            <v>-0.12626041589890824</v>
          </cell>
          <cell r="BY24">
            <v>-1.5905718618734577E-2</v>
          </cell>
          <cell r="BZ24">
            <v>6.9903338928434366E-2</v>
          </cell>
          <cell r="CA24">
            <v>5.9332876234419185E-4</v>
          </cell>
          <cell r="CB24">
            <v>-0.25711966157078447</v>
          </cell>
          <cell r="CC24">
            <v>-0.12415481614269386</v>
          </cell>
          <cell r="CD24">
            <v>-0.18911257049515418</v>
          </cell>
          <cell r="CE24">
            <v>0.3</v>
          </cell>
          <cell r="CF24">
            <v>-5.5052351777969522E-2</v>
          </cell>
          <cell r="CG24">
            <v>0.3</v>
          </cell>
          <cell r="CH24">
            <v>2.6440259393176735E-2</v>
          </cell>
          <cell r="CI24">
            <v>0.25</v>
          </cell>
          <cell r="CJ24">
            <v>0.25</v>
          </cell>
          <cell r="CK24">
            <v>0.23788786622183533</v>
          </cell>
          <cell r="CL24">
            <v>0.25</v>
          </cell>
          <cell r="CM24">
            <v>0.25451119289410762</v>
          </cell>
          <cell r="CN24">
            <v>0.25</v>
          </cell>
          <cell r="CO24">
            <v>0.28621638570189212</v>
          </cell>
          <cell r="CP24">
            <v>-0.2</v>
          </cell>
          <cell r="CQ24">
            <v>-0.15</v>
          </cell>
          <cell r="CR24">
            <v>-0.1</v>
          </cell>
          <cell r="CS24">
            <v>0</v>
          </cell>
          <cell r="CT24">
            <v>0</v>
          </cell>
          <cell r="CU24">
            <v>0</v>
          </cell>
          <cell r="CV24">
            <v>0</v>
          </cell>
          <cell r="CW24">
            <v>0</v>
          </cell>
        </row>
        <row r="25">
          <cell r="A25" t="str">
            <v>Pegasys ROW</v>
          </cell>
          <cell r="AK25">
            <v>721</v>
          </cell>
          <cell r="AR25">
            <v>909</v>
          </cell>
          <cell r="AY25">
            <v>1020</v>
          </cell>
          <cell r="AZ25">
            <v>296</v>
          </cell>
          <cell r="BA25">
            <v>300</v>
          </cell>
          <cell r="BB25">
            <v>596</v>
          </cell>
          <cell r="BC25">
            <v>308</v>
          </cell>
          <cell r="BD25">
            <v>904</v>
          </cell>
          <cell r="BE25">
            <v>336</v>
          </cell>
          <cell r="BF25">
            <v>1240</v>
          </cell>
          <cell r="BG25">
            <v>288</v>
          </cell>
          <cell r="BH25">
            <v>321</v>
          </cell>
          <cell r="BI25">
            <v>609</v>
          </cell>
          <cell r="BJ25">
            <v>306</v>
          </cell>
          <cell r="BK25">
            <v>915</v>
          </cell>
          <cell r="BL25">
            <v>325</v>
          </cell>
          <cell r="BM25">
            <v>1240</v>
          </cell>
          <cell r="BN25">
            <v>292</v>
          </cell>
          <cell r="BO25">
            <v>342</v>
          </cell>
          <cell r="BP25">
            <v>634</v>
          </cell>
          <cell r="BQ25">
            <v>329</v>
          </cell>
          <cell r="BR25">
            <v>963</v>
          </cell>
          <cell r="BS25">
            <v>288</v>
          </cell>
          <cell r="BT25">
            <v>1251</v>
          </cell>
          <cell r="BU25">
            <v>339</v>
          </cell>
          <cell r="BV25">
            <v>322</v>
          </cell>
          <cell r="BW25">
            <v>661</v>
          </cell>
          <cell r="BX25">
            <v>292</v>
          </cell>
          <cell r="BY25">
            <v>953</v>
          </cell>
          <cell r="BZ25">
            <v>303</v>
          </cell>
          <cell r="CA25">
            <v>1256</v>
          </cell>
          <cell r="CB25">
            <v>281</v>
          </cell>
          <cell r="CC25">
            <v>279</v>
          </cell>
          <cell r="CD25">
            <v>560</v>
          </cell>
          <cell r="CE25">
            <v>321.95034910036009</v>
          </cell>
          <cell r="CF25">
            <v>881.95034910036009</v>
          </cell>
          <cell r="CG25">
            <v>336.95663514959415</v>
          </cell>
          <cell r="CH25">
            <v>1218.9069842499543</v>
          </cell>
          <cell r="CI25">
            <v>306.42831357683031</v>
          </cell>
          <cell r="CJ25">
            <v>326.20917870773638</v>
          </cell>
          <cell r="CK25">
            <v>632.63749228456663</v>
          </cell>
          <cell r="CL25">
            <v>434.20560356544149</v>
          </cell>
          <cell r="CM25">
            <v>1066.843095850008</v>
          </cell>
          <cell r="CN25">
            <v>475.91397318473662</v>
          </cell>
          <cell r="CO25">
            <v>1542.7570690347447</v>
          </cell>
          <cell r="CP25">
            <v>1315.8264701025798</v>
          </cell>
          <cell r="CQ25">
            <v>1184.2438230923219</v>
          </cell>
          <cell r="CR25">
            <v>1065.8194407830897</v>
          </cell>
          <cell r="CS25">
            <v>1065.8194407830897</v>
          </cell>
          <cell r="CT25">
            <v>1065.8194407830897</v>
          </cell>
          <cell r="CU25">
            <v>1065.8194407830897</v>
          </cell>
          <cell r="CV25">
            <v>1065.8194407830897</v>
          </cell>
          <cell r="CW25">
            <v>1065.8194407830897</v>
          </cell>
          <cell r="DW25">
            <v>-6.4935064935064402E-3</v>
          </cell>
          <cell r="EC25">
            <v>-6.4935064935064402E-3</v>
          </cell>
        </row>
        <row r="26">
          <cell r="A26" t="str">
            <v>Growth</v>
          </cell>
          <cell r="AY26">
            <v>0.10629522431937644</v>
          </cell>
          <cell r="BF26">
            <v>0.17144200518240393</v>
          </cell>
          <cell r="BG26">
            <v>-1.7781716929170743E-2</v>
          </cell>
          <cell r="BH26">
            <v>9.6842138559755209E-2</v>
          </cell>
          <cell r="BJ26">
            <v>1.6064767780416545E-2</v>
          </cell>
          <cell r="BL26">
            <v>5.0036624948718855E-2</v>
          </cell>
          <cell r="BM26">
            <v>3.5350323282771767E-2</v>
          </cell>
          <cell r="BN26">
            <v>7.9344167649939235E-2</v>
          </cell>
          <cell r="BO26">
            <v>0.12134829133695613</v>
          </cell>
          <cell r="BQ26">
            <v>0.13178670708399121</v>
          </cell>
          <cell r="BS26">
            <v>-0.10429577252602085</v>
          </cell>
          <cell r="BT26">
            <v>5.6239912683288429E-2</v>
          </cell>
          <cell r="BU26">
            <v>0.14521100729122183</v>
          </cell>
          <cell r="BV26">
            <v>9.0118087985415762E-3</v>
          </cell>
          <cell r="BW26">
            <v>6.8699406196342072E-2</v>
          </cell>
          <cell r="BX26">
            <v>1.0622950502226836E-2</v>
          </cell>
          <cell r="BY26">
            <v>4.8255260932652977E-2</v>
          </cell>
          <cell r="BZ26">
            <v>0.1762549439824771</v>
          </cell>
          <cell r="CA26">
            <v>7.9005972279972414E-2</v>
          </cell>
          <cell r="CB26">
            <v>-1.8125651008136789E-2</v>
          </cell>
          <cell r="CC26">
            <v>-2.0513191437318889E-2</v>
          </cell>
          <cell r="CD26">
            <v>-1.9064532079269281E-2</v>
          </cell>
          <cell r="CE26">
            <v>0.3</v>
          </cell>
          <cell r="CF26">
            <v>6.4847126111770681E-2</v>
          </cell>
          <cell r="CG26">
            <v>0.3</v>
          </cell>
          <cell r="CH26">
            <v>0.11108910676334638</v>
          </cell>
          <cell r="CI26">
            <v>0.2</v>
          </cell>
          <cell r="CJ26">
            <v>0.2</v>
          </cell>
          <cell r="CK26">
            <v>0.18862453217402497</v>
          </cell>
          <cell r="CL26">
            <v>0.2</v>
          </cell>
          <cell r="CM26">
            <v>0.21226258330777847</v>
          </cell>
          <cell r="CN26">
            <v>0.2</v>
          </cell>
          <cell r="CO26">
            <v>0.22602351664012255</v>
          </cell>
          <cell r="CP26">
            <v>-0.2</v>
          </cell>
          <cell r="CQ26">
            <v>-0.1</v>
          </cell>
          <cell r="CR26">
            <v>-0.1</v>
          </cell>
          <cell r="CS26">
            <v>0</v>
          </cell>
          <cell r="CT26">
            <v>0</v>
          </cell>
          <cell r="CU26">
            <v>0</v>
          </cell>
          <cell r="CV26">
            <v>0</v>
          </cell>
          <cell r="CW26">
            <v>0</v>
          </cell>
        </row>
        <row r="27">
          <cell r="A27" t="str">
            <v>Copegus</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23</v>
          </cell>
          <cell r="R27">
            <v>50</v>
          </cell>
          <cell r="S27">
            <v>73</v>
          </cell>
          <cell r="T27">
            <v>85</v>
          </cell>
          <cell r="U27">
            <v>158</v>
          </cell>
          <cell r="V27">
            <v>125</v>
          </cell>
          <cell r="W27">
            <v>283</v>
          </cell>
          <cell r="X27">
            <v>22.808333333333334</v>
          </cell>
          <cell r="Y27">
            <v>48.837209302325583</v>
          </cell>
          <cell r="Z27">
            <v>71.645542635658913</v>
          </cell>
          <cell r="AA27">
            <v>83.50352112676056</v>
          </cell>
          <cell r="AB27">
            <v>155.14906376241947</v>
          </cell>
          <cell r="AC27">
            <v>81</v>
          </cell>
          <cell r="AD27">
            <v>236.14906376241947</v>
          </cell>
          <cell r="AE27">
            <v>102</v>
          </cell>
          <cell r="AF27">
            <v>97</v>
          </cell>
          <cell r="AG27">
            <v>199</v>
          </cell>
          <cell r="AH27">
            <v>97</v>
          </cell>
          <cell r="AI27">
            <v>296</v>
          </cell>
          <cell r="AJ27">
            <v>87</v>
          </cell>
          <cell r="AK27">
            <v>383</v>
          </cell>
          <cell r="AL27">
            <v>104</v>
          </cell>
          <cell r="AM27">
            <v>109</v>
          </cell>
          <cell r="AN27">
            <v>213</v>
          </cell>
          <cell r="AO27">
            <v>107</v>
          </cell>
          <cell r="AP27">
            <v>320</v>
          </cell>
          <cell r="AQ27">
            <v>87</v>
          </cell>
          <cell r="AR27">
            <v>407</v>
          </cell>
          <cell r="AS27">
            <v>60</v>
          </cell>
          <cell r="AT27">
            <v>57</v>
          </cell>
          <cell r="AU27">
            <v>117</v>
          </cell>
          <cell r="AV27">
            <v>53</v>
          </cell>
          <cell r="AW27">
            <v>170</v>
          </cell>
          <cell r="AX27">
            <v>50</v>
          </cell>
          <cell r="AY27">
            <v>220</v>
          </cell>
          <cell r="AZ27">
            <v>42</v>
          </cell>
          <cell r="BA27">
            <v>40</v>
          </cell>
          <cell r="BB27">
            <v>82</v>
          </cell>
          <cell r="BC27">
            <v>37</v>
          </cell>
          <cell r="BD27">
            <v>119</v>
          </cell>
          <cell r="BE27">
            <v>34</v>
          </cell>
          <cell r="BF27">
            <v>153</v>
          </cell>
          <cell r="BG27">
            <v>35</v>
          </cell>
          <cell r="BH27">
            <v>33</v>
          </cell>
          <cell r="BI27">
            <v>68</v>
          </cell>
          <cell r="BJ27">
            <v>31</v>
          </cell>
          <cell r="BK27">
            <v>99</v>
          </cell>
          <cell r="BL27">
            <v>30</v>
          </cell>
          <cell r="BM27">
            <v>129</v>
          </cell>
          <cell r="BN27">
            <v>30</v>
          </cell>
          <cell r="BO27">
            <v>30</v>
          </cell>
          <cell r="BP27">
            <v>60</v>
          </cell>
          <cell r="BQ27">
            <v>30</v>
          </cell>
          <cell r="BR27">
            <v>90</v>
          </cell>
          <cell r="BS27">
            <v>30</v>
          </cell>
          <cell r="BT27">
            <v>120</v>
          </cell>
          <cell r="BU27">
            <v>25</v>
          </cell>
          <cell r="BV27">
            <v>26</v>
          </cell>
          <cell r="BW27">
            <v>51</v>
          </cell>
          <cell r="BX27">
            <v>26</v>
          </cell>
          <cell r="BY27">
            <v>77</v>
          </cell>
          <cell r="BZ27">
            <v>24</v>
          </cell>
          <cell r="CA27">
            <v>101</v>
          </cell>
          <cell r="CB27">
            <v>30</v>
          </cell>
          <cell r="CC27">
            <v>19.607548370311289</v>
          </cell>
          <cell r="CD27">
            <v>49.607548370311292</v>
          </cell>
          <cell r="CE27">
            <v>19.827562883947703</v>
          </cell>
          <cell r="CF27">
            <v>69.435111254258999</v>
          </cell>
          <cell r="CG27">
            <v>18.929234711374008</v>
          </cell>
          <cell r="CH27">
            <v>88.364345965633007</v>
          </cell>
          <cell r="CI27">
            <v>24.608676183803297</v>
          </cell>
          <cell r="CJ27">
            <v>17.350808397299922</v>
          </cell>
          <cell r="CK27">
            <v>41.959484581103219</v>
          </cell>
          <cell r="CL27">
            <v>18.847604837968596</v>
          </cell>
          <cell r="CM27">
            <v>60.807089419071815</v>
          </cell>
          <cell r="CN27">
            <v>18.617859146908319</v>
          </cell>
          <cell r="CO27">
            <v>79.424948565980131</v>
          </cell>
          <cell r="CP27">
            <v>74.980243459539111</v>
          </cell>
          <cell r="CQ27">
            <v>67.482219113585202</v>
          </cell>
          <cell r="CR27">
            <v>60.733997202226682</v>
          </cell>
          <cell r="CS27">
            <v>54.660597482004015</v>
          </cell>
          <cell r="CT27">
            <v>49.194537733803614</v>
          </cell>
          <cell r="CU27">
            <v>44.275083960423252</v>
          </cell>
          <cell r="CV27">
            <v>39.847575564380925</v>
          </cell>
          <cell r="CW27">
            <v>35.862818007942835</v>
          </cell>
          <cell r="CX27">
            <v>3.0528790839659408E-2</v>
          </cell>
          <cell r="DA27">
            <v>3.4720496894409933</v>
          </cell>
          <cell r="DB27">
            <v>0.98619047619047606</v>
          </cell>
          <cell r="DC27">
            <v>0.16162766181741528</v>
          </cell>
          <cell r="DD27">
            <v>7.4074074074074181E-2</v>
          </cell>
          <cell r="DE27">
            <v>0.6218569487335408</v>
          </cell>
          <cell r="DF27">
            <v>1.9607843137254832E-2</v>
          </cell>
          <cell r="DG27">
            <v>3.4720496894409933</v>
          </cell>
          <cell r="DH27">
            <v>0.98619047619047606</v>
          </cell>
          <cell r="DI27">
            <v>0.16162766181741528</v>
          </cell>
          <cell r="DJ27">
            <v>7.4074074074074181E-2</v>
          </cell>
          <cell r="DK27">
            <v>0.6218569487335408</v>
          </cell>
          <cell r="DL27">
            <v>1.9607843137254832E-2</v>
          </cell>
          <cell r="DM27">
            <v>0.12371134020618557</v>
          </cell>
          <cell r="DN27">
            <v>0.10309278350515472</v>
          </cell>
          <cell r="DO27">
            <v>0</v>
          </cell>
          <cell r="DP27">
            <v>6.2663185378590169E-2</v>
          </cell>
          <cell r="DQ27">
            <v>-0.42307692307692313</v>
          </cell>
          <cell r="DR27">
            <v>-0.47706422018348627</v>
          </cell>
          <cell r="DS27">
            <v>-0.50467289719626174</v>
          </cell>
          <cell r="DT27">
            <v>-0.42528735632183912</v>
          </cell>
          <cell r="DU27">
            <v>-0.45945945945945943</v>
          </cell>
          <cell r="DV27">
            <v>-0.30000000000000004</v>
          </cell>
          <cell r="DW27">
            <v>-0.29824561403508776</v>
          </cell>
          <cell r="DX27">
            <v>-0.30188679245283023</v>
          </cell>
          <cell r="DY27">
            <v>-0.31999999999999995</v>
          </cell>
          <cell r="DZ27">
            <v>-0.30454545454545456</v>
          </cell>
          <cell r="EA27">
            <v>-0.16666666666666663</v>
          </cell>
          <cell r="EB27">
            <v>-0.17500000000000004</v>
          </cell>
          <cell r="EC27">
            <v>-0.16216216216216217</v>
          </cell>
          <cell r="ED27">
            <v>-0.1</v>
          </cell>
          <cell r="EE27">
            <v>-0.12</v>
          </cell>
          <cell r="EF27">
            <v>-0.1</v>
          </cell>
          <cell r="EG27">
            <v>-0.08</v>
          </cell>
          <cell r="EH27">
            <v>-0.15</v>
          </cell>
          <cell r="EI27">
            <v>-0.15833333333333333</v>
          </cell>
          <cell r="EJ27">
            <v>-0.1</v>
          </cell>
          <cell r="EK27">
            <v>-0.1</v>
          </cell>
          <cell r="EL27">
            <v>-0.1</v>
          </cell>
          <cell r="EM27">
            <v>-0.1</v>
          </cell>
          <cell r="EN27">
            <v>-0.21851894137457017</v>
          </cell>
          <cell r="EO27">
            <v>-0.1</v>
          </cell>
          <cell r="EP27">
            <v>-0.1</v>
          </cell>
          <cell r="EQ27">
            <v>-0.1</v>
          </cell>
          <cell r="ER27">
            <v>-0.1</v>
          </cell>
          <cell r="ES27">
            <v>-0.1</v>
          </cell>
          <cell r="ET27">
            <v>-0.12510548548878209</v>
          </cell>
          <cell r="EU27">
            <v>-0.1</v>
          </cell>
          <cell r="EV27">
            <v>-0.1</v>
          </cell>
          <cell r="EW27">
            <v>-0.1</v>
          </cell>
          <cell r="EX27">
            <v>-0.1</v>
          </cell>
          <cell r="EY27">
            <v>-0.10116520755022185</v>
          </cell>
          <cell r="EZ27">
            <v>-0.1</v>
          </cell>
        </row>
        <row r="28">
          <cell r="A28" t="str">
            <v>Viracept</v>
          </cell>
          <cell r="B28">
            <v>500</v>
          </cell>
          <cell r="C28">
            <v>80</v>
          </cell>
          <cell r="D28">
            <v>141</v>
          </cell>
          <cell r="E28">
            <v>221</v>
          </cell>
          <cell r="F28">
            <v>112</v>
          </cell>
          <cell r="G28">
            <v>333</v>
          </cell>
          <cell r="H28">
            <v>119</v>
          </cell>
          <cell r="I28">
            <v>452</v>
          </cell>
          <cell r="J28">
            <v>86</v>
          </cell>
          <cell r="K28">
            <v>70</v>
          </cell>
          <cell r="L28">
            <v>156</v>
          </cell>
          <cell r="M28">
            <v>94</v>
          </cell>
          <cell r="N28">
            <v>250</v>
          </cell>
          <cell r="O28">
            <v>70</v>
          </cell>
          <cell r="P28">
            <v>320</v>
          </cell>
          <cell r="Q28">
            <v>65</v>
          </cell>
          <cell r="R28">
            <v>76</v>
          </cell>
          <cell r="S28">
            <v>141</v>
          </cell>
          <cell r="T28">
            <v>70</v>
          </cell>
          <cell r="U28">
            <v>211</v>
          </cell>
          <cell r="V28">
            <v>64.079400000000007</v>
          </cell>
          <cell r="W28">
            <v>275.07940000000002</v>
          </cell>
          <cell r="X28">
            <v>65</v>
          </cell>
          <cell r="Y28">
            <v>76</v>
          </cell>
          <cell r="Z28">
            <v>141</v>
          </cell>
          <cell r="AA28">
            <v>70</v>
          </cell>
          <cell r="AB28">
            <v>211</v>
          </cell>
          <cell r="AC28">
            <v>65</v>
          </cell>
          <cell r="AD28">
            <v>276</v>
          </cell>
          <cell r="AE28">
            <v>51</v>
          </cell>
          <cell r="AF28">
            <v>71</v>
          </cell>
          <cell r="AG28">
            <v>122</v>
          </cell>
          <cell r="AH28">
            <v>63</v>
          </cell>
          <cell r="AI28">
            <v>185</v>
          </cell>
          <cell r="AJ28">
            <v>58</v>
          </cell>
          <cell r="AK28">
            <v>243</v>
          </cell>
          <cell r="AL28">
            <v>48</v>
          </cell>
          <cell r="AM28">
            <v>60</v>
          </cell>
          <cell r="AN28">
            <v>108</v>
          </cell>
          <cell r="AO28">
            <v>62</v>
          </cell>
          <cell r="AP28">
            <v>170</v>
          </cell>
          <cell r="AQ28">
            <v>59</v>
          </cell>
          <cell r="AR28">
            <v>229</v>
          </cell>
          <cell r="CT28">
            <v>-9.5999999999999974E-2</v>
          </cell>
          <cell r="CU28">
            <v>-0.29203539823008851</v>
          </cell>
          <cell r="CV28">
            <v>-0.2441860465116279</v>
          </cell>
          <cell r="CW28">
            <v>8.5714285714285632E-2</v>
          </cell>
          <cell r="CX28">
            <v>-9.6153846153846145E-2</v>
          </cell>
          <cell r="CY28">
            <v>-0.05</v>
          </cell>
          <cell r="CZ28">
            <v>-9.5999999999999974E-2</v>
          </cell>
          <cell r="DA28">
            <v>-0.29203539823008851</v>
          </cell>
          <cell r="DB28">
            <v>-0.2441860465116279</v>
          </cell>
          <cell r="DC28">
            <v>8.5714285714285632E-2</v>
          </cell>
          <cell r="DD28">
            <v>-9.6153846153846145E-2</v>
          </cell>
          <cell r="DE28">
            <v>-0.05</v>
          </cell>
          <cell r="DF28">
            <v>-0.14037687499999996</v>
          </cell>
          <cell r="DG28">
            <v>-0.2153846153846154</v>
          </cell>
          <cell r="DH28">
            <v>-6.5789473684210509E-2</v>
          </cell>
          <cell r="DI28">
            <v>-9.9999999999999978E-2</v>
          </cell>
          <cell r="DJ28">
            <v>-0.12322274881516593</v>
          </cell>
          <cell r="DK28">
            <v>-0.11956521739130432</v>
          </cell>
          <cell r="DL28">
            <v>-5.8823529411764719E-2</v>
          </cell>
          <cell r="DM28">
            <v>-0.15492957746478875</v>
          </cell>
          <cell r="DN28">
            <v>-1.5873015873015928E-2</v>
          </cell>
          <cell r="DO28">
            <v>1.7241379310344751E-2</v>
          </cell>
          <cell r="DP28">
            <v>-5.7613168724279795E-2</v>
          </cell>
        </row>
        <row r="29">
          <cell r="A29" t="str">
            <v>Cymevene / Valcyte</v>
          </cell>
          <cell r="B29">
            <v>0</v>
          </cell>
          <cell r="C29">
            <v>0</v>
          </cell>
          <cell r="D29">
            <v>0</v>
          </cell>
          <cell r="E29">
            <v>0</v>
          </cell>
          <cell r="F29">
            <v>0</v>
          </cell>
          <cell r="G29">
            <v>0</v>
          </cell>
          <cell r="H29">
            <v>0</v>
          </cell>
          <cell r="I29">
            <v>0</v>
          </cell>
          <cell r="J29">
            <v>89</v>
          </cell>
          <cell r="K29">
            <v>76</v>
          </cell>
          <cell r="L29">
            <v>165</v>
          </cell>
          <cell r="M29">
            <v>58</v>
          </cell>
          <cell r="N29">
            <v>223</v>
          </cell>
          <cell r="O29">
            <v>73</v>
          </cell>
          <cell r="P29">
            <v>296</v>
          </cell>
          <cell r="Q29">
            <v>70</v>
          </cell>
          <cell r="R29">
            <v>68</v>
          </cell>
          <cell r="S29">
            <v>138</v>
          </cell>
          <cell r="T29">
            <v>76</v>
          </cell>
          <cell r="U29">
            <v>214</v>
          </cell>
          <cell r="V29">
            <v>66.825659999999999</v>
          </cell>
          <cell r="W29">
            <v>280.82565999999997</v>
          </cell>
          <cell r="X29">
            <v>69</v>
          </cell>
          <cell r="Y29">
            <v>68</v>
          </cell>
          <cell r="Z29">
            <v>137</v>
          </cell>
          <cell r="AA29">
            <v>75</v>
          </cell>
          <cell r="AB29">
            <v>212</v>
          </cell>
          <cell r="AC29">
            <v>69</v>
          </cell>
          <cell r="AD29">
            <v>281</v>
          </cell>
          <cell r="AE29">
            <v>86</v>
          </cell>
          <cell r="AF29">
            <v>78</v>
          </cell>
          <cell r="AG29">
            <v>164</v>
          </cell>
          <cell r="AH29">
            <v>81</v>
          </cell>
          <cell r="AI29">
            <v>245</v>
          </cell>
          <cell r="AJ29">
            <v>83</v>
          </cell>
          <cell r="AK29">
            <v>328</v>
          </cell>
          <cell r="AL29">
            <v>86</v>
          </cell>
          <cell r="AM29">
            <v>99</v>
          </cell>
          <cell r="AN29">
            <v>185</v>
          </cell>
          <cell r="AO29">
            <v>100</v>
          </cell>
          <cell r="AP29">
            <v>285</v>
          </cell>
          <cell r="AQ29">
            <v>109</v>
          </cell>
          <cell r="AR29">
            <v>394</v>
          </cell>
          <cell r="AS29">
            <v>110</v>
          </cell>
          <cell r="AT29">
            <v>113</v>
          </cell>
          <cell r="AU29">
            <v>223</v>
          </cell>
          <cell r="AV29">
            <v>126</v>
          </cell>
          <cell r="AW29">
            <v>349</v>
          </cell>
          <cell r="AX29">
            <v>139</v>
          </cell>
          <cell r="AY29">
            <v>488</v>
          </cell>
          <cell r="AZ29">
            <v>124</v>
          </cell>
          <cell r="BA29">
            <v>137</v>
          </cell>
          <cell r="BB29">
            <v>261</v>
          </cell>
          <cell r="BC29">
            <v>137</v>
          </cell>
          <cell r="BD29">
            <v>398</v>
          </cell>
          <cell r="BE29">
            <v>144</v>
          </cell>
          <cell r="BF29">
            <v>542</v>
          </cell>
          <cell r="BG29">
            <v>125</v>
          </cell>
          <cell r="BH29">
            <v>139</v>
          </cell>
          <cell r="BI29">
            <v>264</v>
          </cell>
          <cell r="BJ29">
            <v>140</v>
          </cell>
          <cell r="BK29">
            <v>404</v>
          </cell>
          <cell r="BL29">
            <v>149</v>
          </cell>
          <cell r="BM29">
            <v>553</v>
          </cell>
          <cell r="BN29">
            <v>131</v>
          </cell>
          <cell r="BO29">
            <v>143</v>
          </cell>
          <cell r="BP29">
            <v>274</v>
          </cell>
          <cell r="BQ29">
            <v>148</v>
          </cell>
          <cell r="BR29">
            <v>422</v>
          </cell>
          <cell r="BS29">
            <v>142</v>
          </cell>
          <cell r="BT29">
            <v>564</v>
          </cell>
          <cell r="BU29">
            <v>149</v>
          </cell>
          <cell r="BV29">
            <v>147</v>
          </cell>
          <cell r="BW29">
            <v>296</v>
          </cell>
          <cell r="BX29">
            <v>157</v>
          </cell>
          <cell r="BY29">
            <v>453</v>
          </cell>
          <cell r="BZ29">
            <v>152</v>
          </cell>
          <cell r="CA29">
            <v>605</v>
          </cell>
          <cell r="CB29">
            <v>145</v>
          </cell>
          <cell r="CC29">
            <v>137</v>
          </cell>
          <cell r="CD29">
            <v>282</v>
          </cell>
          <cell r="CE29">
            <v>135.69170599296518</v>
          </cell>
          <cell r="CF29">
            <v>417.69170599296518</v>
          </cell>
          <cell r="CG29">
            <v>135.86984026164009</v>
          </cell>
          <cell r="CH29">
            <v>553.56154625460522</v>
          </cell>
          <cell r="CI29">
            <v>134.80085954016695</v>
          </cell>
          <cell r="CJ29">
            <v>137.39617686726626</v>
          </cell>
          <cell r="CK29">
            <v>272.19703640743319</v>
          </cell>
          <cell r="CL29">
            <v>146.18331184840159</v>
          </cell>
          <cell r="CM29">
            <v>418.38034825583475</v>
          </cell>
          <cell r="CN29">
            <v>151.45283640840529</v>
          </cell>
          <cell r="CO29">
            <v>569.83318466423998</v>
          </cell>
          <cell r="CP29">
            <v>609.67067125282824</v>
          </cell>
          <cell r="CQ29">
            <v>640.15420481546971</v>
          </cell>
          <cell r="CR29">
            <v>448.10794337082876</v>
          </cell>
          <cell r="CS29">
            <v>358.48635469666306</v>
          </cell>
          <cell r="CT29">
            <v>286.78908375733045</v>
          </cell>
          <cell r="CU29">
            <v>229.43126700586436</v>
          </cell>
          <cell r="CV29">
            <v>-0.2134831460674157</v>
          </cell>
          <cell r="CW29">
            <v>-0.10526315789473684</v>
          </cell>
          <cell r="CX29">
            <v>-0.16363636363636369</v>
          </cell>
          <cell r="CY29">
            <v>-0.05</v>
          </cell>
          <cell r="CZ29">
            <v>-5.12646621621623E-2</v>
          </cell>
          <cell r="DA29">
            <v>0.24637681159420288</v>
          </cell>
          <cell r="DB29">
            <v>0.14705882352941169</v>
          </cell>
          <cell r="DC29">
            <v>8.0000000000000071E-2</v>
          </cell>
          <cell r="DD29">
            <v>0.15566037735849059</v>
          </cell>
          <cell r="DE29">
            <v>0.16725978647686834</v>
          </cell>
          <cell r="DF29">
            <v>0</v>
          </cell>
          <cell r="DG29">
            <v>0.26923076923076916</v>
          </cell>
          <cell r="DH29">
            <v>0.23456790123456783</v>
          </cell>
          <cell r="DI29">
            <v>0.31325301204819267</v>
          </cell>
          <cell r="DJ29">
            <v>0.20121951219512191</v>
          </cell>
          <cell r="DK29">
            <v>0.27906976744186052</v>
          </cell>
          <cell r="DL29">
            <v>0.14141414141414144</v>
          </cell>
          <cell r="DM29">
            <v>0.26</v>
          </cell>
          <cell r="DN29">
            <v>0.27522935779816504</v>
          </cell>
          <cell r="DO29">
            <v>0.23857868020304562</v>
          </cell>
          <cell r="DP29">
            <v>0.1272727272727272</v>
          </cell>
          <cell r="DQ29">
            <v>0.21238938053097356</v>
          </cell>
          <cell r="DR29">
            <v>8.7301587301587213E-2</v>
          </cell>
          <cell r="DS29">
            <v>3.5971223021582732E-2</v>
          </cell>
          <cell r="DT29">
            <v>0.12504726748299744</v>
          </cell>
          <cell r="DU29">
            <v>8.5960247800720202E-2</v>
          </cell>
          <cell r="DV29">
            <v>0.11959903220741896</v>
          </cell>
          <cell r="DW29">
            <v>9.314554476164294E-2</v>
          </cell>
          <cell r="DX29">
            <v>3.722329085763687E-2</v>
          </cell>
          <cell r="DY29">
            <v>8.2728155513361212E-2</v>
          </cell>
          <cell r="DZ29">
            <v>5.8585858585858741E-2</v>
          </cell>
          <cell r="EA29">
            <v>0.08</v>
          </cell>
          <cell r="EB29">
            <v>7.0000000000000007E-2</v>
          </cell>
          <cell r="EC29">
            <v>7.0000000000000007E-2</v>
          </cell>
          <cell r="ED29">
            <v>4.488072921695907E-2</v>
          </cell>
          <cell r="EE29">
            <v>0.02</v>
          </cell>
          <cell r="EF29">
            <v>0.01</v>
          </cell>
          <cell r="EG29">
            <v>0.03</v>
          </cell>
          <cell r="EH29">
            <v>0.02</v>
          </cell>
          <cell r="EI29">
            <v>7.2695035460992985E-2</v>
          </cell>
          <cell r="EJ29">
            <v>0.02</v>
          </cell>
          <cell r="EK29">
            <v>0.02</v>
          </cell>
          <cell r="EL29">
            <v>0.02</v>
          </cell>
          <cell r="EM29">
            <v>0.02</v>
          </cell>
          <cell r="EN29">
            <v>-9.7257612422527617E-2</v>
          </cell>
          <cell r="EO29">
            <v>0.02</v>
          </cell>
          <cell r="EP29">
            <v>0.02</v>
          </cell>
          <cell r="EQ29">
            <v>0.02</v>
          </cell>
          <cell r="ER29">
            <v>0.02</v>
          </cell>
          <cell r="ES29">
            <v>0.02</v>
          </cell>
          <cell r="ET29">
            <v>-8.5022237595693828E-2</v>
          </cell>
          <cell r="EU29">
            <v>0.02</v>
          </cell>
          <cell r="EV29">
            <v>0.02</v>
          </cell>
          <cell r="EW29">
            <v>0.02</v>
          </cell>
          <cell r="EX29">
            <v>0.02</v>
          </cell>
          <cell r="EY29">
            <v>2.9394452197282428E-2</v>
          </cell>
          <cell r="EZ29">
            <v>0.02</v>
          </cell>
        </row>
        <row r="30">
          <cell r="A30" t="str">
            <v>Fuzeon</v>
          </cell>
          <cell r="B30">
            <v>0</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AD30">
            <v>49</v>
          </cell>
          <cell r="AE30">
            <v>31</v>
          </cell>
          <cell r="AF30">
            <v>47</v>
          </cell>
          <cell r="AG30">
            <v>78</v>
          </cell>
          <cell r="AH30">
            <v>43</v>
          </cell>
          <cell r="AI30">
            <v>121</v>
          </cell>
          <cell r="AJ30">
            <v>47</v>
          </cell>
          <cell r="AK30">
            <v>168</v>
          </cell>
          <cell r="AL30">
            <v>50</v>
          </cell>
          <cell r="AM30">
            <v>66</v>
          </cell>
          <cell r="AN30">
            <v>116</v>
          </cell>
          <cell r="AO30">
            <v>62</v>
          </cell>
          <cell r="AP30">
            <v>178</v>
          </cell>
          <cell r="AQ30">
            <v>81</v>
          </cell>
          <cell r="AR30">
            <v>259</v>
          </cell>
          <cell r="AS30">
            <v>72</v>
          </cell>
          <cell r="AT30">
            <v>71</v>
          </cell>
          <cell r="AU30">
            <v>143</v>
          </cell>
          <cell r="AV30">
            <v>78</v>
          </cell>
          <cell r="AW30">
            <v>221</v>
          </cell>
          <cell r="AX30">
            <v>87</v>
          </cell>
          <cell r="AY30">
            <v>308</v>
          </cell>
          <cell r="AZ30">
            <v>78</v>
          </cell>
          <cell r="BA30">
            <v>77</v>
          </cell>
          <cell r="BB30">
            <v>155</v>
          </cell>
          <cell r="BC30">
            <v>86</v>
          </cell>
          <cell r="BD30">
            <v>241</v>
          </cell>
          <cell r="BE30">
            <v>92</v>
          </cell>
          <cell r="BF30">
            <v>333</v>
          </cell>
          <cell r="BG30">
            <v>46</v>
          </cell>
          <cell r="BH30">
            <v>42</v>
          </cell>
          <cell r="BI30">
            <v>88</v>
          </cell>
          <cell r="BJ30">
            <v>48</v>
          </cell>
          <cell r="BK30">
            <v>136</v>
          </cell>
          <cell r="BL30">
            <v>50</v>
          </cell>
          <cell r="BM30">
            <v>186</v>
          </cell>
          <cell r="BN30">
            <v>50</v>
          </cell>
          <cell r="BO30">
            <v>50</v>
          </cell>
          <cell r="BP30">
            <v>100</v>
          </cell>
          <cell r="BQ30">
            <v>50</v>
          </cell>
          <cell r="BR30">
            <v>150</v>
          </cell>
          <cell r="BS30">
            <v>50</v>
          </cell>
          <cell r="BT30">
            <v>200</v>
          </cell>
          <cell r="BU30">
            <v>49</v>
          </cell>
          <cell r="BV30">
            <v>50</v>
          </cell>
          <cell r="BW30">
            <v>99</v>
          </cell>
          <cell r="BX30">
            <v>49</v>
          </cell>
          <cell r="BY30">
            <v>148</v>
          </cell>
          <cell r="BZ30">
            <v>48</v>
          </cell>
          <cell r="CA30">
            <v>196</v>
          </cell>
          <cell r="CB30">
            <v>45</v>
          </cell>
          <cell r="CC30">
            <v>43.153365003035525</v>
          </cell>
          <cell r="CD30">
            <v>88.153365003035532</v>
          </cell>
          <cell r="CE30">
            <v>42.764833280035923</v>
          </cell>
          <cell r="CF30">
            <v>130.91819828307146</v>
          </cell>
          <cell r="CG30">
            <v>43.326915006033836</v>
          </cell>
          <cell r="CH30">
            <v>174.24511328910529</v>
          </cell>
          <cell r="CI30">
            <v>42.244894115528993</v>
          </cell>
          <cell r="CJ30">
            <v>43.702451635079498</v>
          </cell>
          <cell r="CK30">
            <v>85.947345750608491</v>
          </cell>
          <cell r="CL30">
            <v>46.523066223050492</v>
          </cell>
          <cell r="CM30">
            <v>132.470411973659</v>
          </cell>
          <cell r="CN30">
            <v>48.769596960382799</v>
          </cell>
          <cell r="CO30">
            <v>181.24000893404178</v>
          </cell>
          <cell r="CP30">
            <v>195.81172536724037</v>
          </cell>
          <cell r="CQ30">
            <v>156.64938029379232</v>
          </cell>
          <cell r="CR30">
            <v>125.31950423503386</v>
          </cell>
          <cell r="CS30">
            <v>125.31950423503386</v>
          </cell>
          <cell r="CT30">
            <v>125.31950423503386</v>
          </cell>
          <cell r="CU30">
            <v>125.31950423503386</v>
          </cell>
          <cell r="CV30">
            <v>100.2556033880271</v>
          </cell>
          <cell r="CW30">
            <v>80.204482710421686</v>
          </cell>
          <cell r="CX30">
            <v>6.2970381056899602E-2</v>
          </cell>
          <cell r="DE30">
            <v>2.4285714285714284</v>
          </cell>
          <cell r="DF30">
            <v>0.61290322580645151</v>
          </cell>
          <cell r="DG30">
            <v>0.4042553191489362</v>
          </cell>
          <cell r="DH30">
            <v>0.44186046511627897</v>
          </cell>
          <cell r="DI30">
            <v>0.72340425531914887</v>
          </cell>
          <cell r="DJ30">
            <v>0.54166666666666674</v>
          </cell>
          <cell r="DK30">
            <v>2.4285714285714284</v>
          </cell>
          <cell r="DL30">
            <v>0.61290322580645151</v>
          </cell>
          <cell r="DM30">
            <v>0.4042553191489362</v>
          </cell>
          <cell r="DN30">
            <v>0.44186046511627897</v>
          </cell>
          <cell r="DO30">
            <v>0.72340425531914887</v>
          </cell>
          <cell r="DP30">
            <v>0.54166666666666674</v>
          </cell>
          <cell r="DQ30">
            <v>0.43999999999999995</v>
          </cell>
          <cell r="DR30">
            <v>7.575757575757569E-2</v>
          </cell>
          <cell r="DS30">
            <v>0.25806451612903225</v>
          </cell>
          <cell r="DT30">
            <v>7.4074074074074181E-2</v>
          </cell>
          <cell r="DU30">
            <v>0.18918918918918926</v>
          </cell>
          <cell r="DV30">
            <v>8.3333333333333259E-2</v>
          </cell>
          <cell r="DW30">
            <v>8.4507042253521236E-2</v>
          </cell>
          <cell r="DX30">
            <v>0.10256410256410264</v>
          </cell>
          <cell r="DY30">
            <v>5.7471264367816133E-2</v>
          </cell>
          <cell r="DZ30">
            <v>8.1168831168831224E-2</v>
          </cell>
          <cell r="EA30">
            <v>-0.41025641025641024</v>
          </cell>
          <cell r="EB30">
            <v>-0.45454545454545459</v>
          </cell>
          <cell r="EC30">
            <v>-0.44186046511627908</v>
          </cell>
          <cell r="ED30">
            <v>0.03</v>
          </cell>
          <cell r="EE30">
            <v>0.03</v>
          </cell>
          <cell r="EF30">
            <v>0.03</v>
          </cell>
          <cell r="EG30">
            <v>0.03</v>
          </cell>
          <cell r="EH30">
            <v>0.03</v>
          </cell>
          <cell r="EI30">
            <v>-2.0000000000000018E-2</v>
          </cell>
          <cell r="EJ30">
            <v>0.03</v>
          </cell>
          <cell r="EK30">
            <v>0.03</v>
          </cell>
          <cell r="EL30">
            <v>0.03</v>
          </cell>
          <cell r="EM30">
            <v>0.03</v>
          </cell>
          <cell r="EN30">
            <v>-0.10459244047270377</v>
          </cell>
          <cell r="EO30">
            <v>0.03</v>
          </cell>
          <cell r="EP30">
            <v>0.03</v>
          </cell>
          <cell r="EQ30">
            <v>0.03</v>
          </cell>
          <cell r="ER30">
            <v>0.03</v>
          </cell>
          <cell r="ES30">
            <v>0.03</v>
          </cell>
          <cell r="ET30">
            <v>-0.11099431995354447</v>
          </cell>
          <cell r="EU30">
            <v>0.03</v>
          </cell>
          <cell r="EV30">
            <v>0.03</v>
          </cell>
          <cell r="EW30">
            <v>0.03</v>
          </cell>
          <cell r="EX30">
            <v>0.03</v>
          </cell>
          <cell r="EY30">
            <v>4.0143998950092019E-2</v>
          </cell>
          <cell r="EZ30">
            <v>0.03</v>
          </cell>
        </row>
        <row r="31">
          <cell r="A31" t="str">
            <v>Virology Total</v>
          </cell>
          <cell r="B31">
            <v>500</v>
          </cell>
          <cell r="C31">
            <v>80</v>
          </cell>
          <cell r="D31">
            <v>141</v>
          </cell>
          <cell r="E31">
            <v>221</v>
          </cell>
          <cell r="F31">
            <v>112</v>
          </cell>
          <cell r="G31">
            <v>333</v>
          </cell>
          <cell r="H31">
            <v>119</v>
          </cell>
          <cell r="I31">
            <v>452</v>
          </cell>
          <cell r="J31">
            <v>175</v>
          </cell>
          <cell r="K31">
            <v>146</v>
          </cell>
          <cell r="L31">
            <v>321</v>
          </cell>
          <cell r="M31">
            <v>152</v>
          </cell>
          <cell r="N31">
            <v>527</v>
          </cell>
          <cell r="O31">
            <v>183</v>
          </cell>
          <cell r="P31">
            <v>710</v>
          </cell>
          <cell r="Q31">
            <v>255</v>
          </cell>
          <cell r="R31">
            <v>359</v>
          </cell>
          <cell r="S31">
            <v>614</v>
          </cell>
          <cell r="T31">
            <v>430</v>
          </cell>
          <cell r="U31">
            <v>1044</v>
          </cell>
          <cell r="V31">
            <v>505.90506000000005</v>
          </cell>
          <cell r="W31">
            <v>1549.90506</v>
          </cell>
          <cell r="X31">
            <v>253</v>
          </cell>
          <cell r="Y31">
            <v>354</v>
          </cell>
          <cell r="Z31">
            <v>607</v>
          </cell>
          <cell r="AA31">
            <v>424</v>
          </cell>
          <cell r="AB31">
            <v>1031</v>
          </cell>
          <cell r="AC31">
            <v>468</v>
          </cell>
          <cell r="AD31">
            <v>1548</v>
          </cell>
          <cell r="AE31">
            <v>559</v>
          </cell>
          <cell r="AF31">
            <v>588</v>
          </cell>
          <cell r="AG31">
            <v>1147</v>
          </cell>
          <cell r="AH31">
            <v>580</v>
          </cell>
          <cell r="AI31">
            <v>1727</v>
          </cell>
          <cell r="AJ31">
            <v>574</v>
          </cell>
          <cell r="AK31">
            <v>2301</v>
          </cell>
          <cell r="AL31">
            <v>613</v>
          </cell>
          <cell r="AM31">
            <v>689</v>
          </cell>
          <cell r="AN31">
            <v>1302</v>
          </cell>
          <cell r="AO31">
            <v>681</v>
          </cell>
          <cell r="AP31">
            <v>1983</v>
          </cell>
          <cell r="AQ31">
            <v>709</v>
          </cell>
          <cell r="AR31">
            <v>2692</v>
          </cell>
          <cell r="AS31">
            <v>592</v>
          </cell>
          <cell r="AT31">
            <v>615</v>
          </cell>
          <cell r="AU31">
            <v>1207</v>
          </cell>
          <cell r="AV31">
            <v>607</v>
          </cell>
          <cell r="AW31">
            <v>1814</v>
          </cell>
          <cell r="AX31">
            <v>669</v>
          </cell>
          <cell r="AY31">
            <v>2483</v>
          </cell>
          <cell r="AZ31">
            <v>644</v>
          </cell>
          <cell r="BA31">
            <v>661</v>
          </cell>
          <cell r="BB31">
            <v>1305</v>
          </cell>
          <cell r="BC31">
            <v>643</v>
          </cell>
          <cell r="BD31">
            <v>1948</v>
          </cell>
          <cell r="BE31">
            <v>717</v>
          </cell>
          <cell r="BF31">
            <v>2665</v>
          </cell>
          <cell r="BG31">
            <v>575</v>
          </cell>
          <cell r="BH31">
            <v>630</v>
          </cell>
          <cell r="BI31">
            <v>1205</v>
          </cell>
          <cell r="BJ31">
            <v>624</v>
          </cell>
          <cell r="BK31">
            <v>1829</v>
          </cell>
          <cell r="BL31">
            <v>674</v>
          </cell>
          <cell r="BM31">
            <v>2503</v>
          </cell>
          <cell r="BN31">
            <v>604</v>
          </cell>
          <cell r="BO31">
            <v>672</v>
          </cell>
          <cell r="BP31">
            <v>1276</v>
          </cell>
          <cell r="BQ31">
            <v>666</v>
          </cell>
          <cell r="BR31">
            <v>1942</v>
          </cell>
          <cell r="BS31">
            <v>597</v>
          </cell>
          <cell r="BT31">
            <v>2539</v>
          </cell>
          <cell r="BU31">
            <v>664</v>
          </cell>
          <cell r="BV31">
            <v>651</v>
          </cell>
          <cell r="BW31">
            <v>1315</v>
          </cell>
          <cell r="BX31">
            <v>616</v>
          </cell>
          <cell r="BY31">
            <v>1931</v>
          </cell>
          <cell r="BZ31">
            <v>616</v>
          </cell>
          <cell r="CA31">
            <v>2547</v>
          </cell>
          <cell r="CB31">
            <v>566</v>
          </cell>
          <cell r="CC31">
            <v>548.76091337334685</v>
          </cell>
          <cell r="CD31">
            <v>1114.7609133733467</v>
          </cell>
          <cell r="CE31">
            <v>618.83948623697142</v>
          </cell>
          <cell r="CF31">
            <v>1733.6003996103182</v>
          </cell>
          <cell r="CG31">
            <v>636.08607791818451</v>
          </cell>
          <cell r="CH31">
            <v>2369.6864775285026</v>
          </cell>
          <cell r="CI31">
            <v>581.09184948845325</v>
          </cell>
          <cell r="CJ31">
            <v>610.13966171919458</v>
          </cell>
          <cell r="CK31">
            <v>1191.2315112076478</v>
          </cell>
          <cell r="CL31">
            <v>771.91602828707744</v>
          </cell>
          <cell r="CM31">
            <v>1963.1475394947252</v>
          </cell>
          <cell r="CN31">
            <v>828.43530615718055</v>
          </cell>
          <cell r="CO31">
            <v>2791.5828456519057</v>
          </cell>
          <cell r="CP31">
            <v>2547.8796512009662</v>
          </cell>
          <cell r="CQ31">
            <v>2347.3815871811312</v>
          </cell>
          <cell r="CR31">
            <v>1968.9476494705448</v>
          </cell>
          <cell r="CS31">
            <v>1873.2526610761565</v>
          </cell>
          <cell r="CT31">
            <v>1796.0893303886235</v>
          </cell>
          <cell r="CU31">
            <v>1733.812059863777</v>
          </cell>
          <cell r="CV31">
            <v>1658.4343972195552</v>
          </cell>
          <cell r="CW31">
            <v>1597.6895162645733</v>
          </cell>
          <cell r="CX31">
            <v>-5.2523527248382947E-2</v>
          </cell>
          <cell r="DW31">
            <v>-2.9548989113530322E-2</v>
          </cell>
          <cell r="EC31">
            <v>-2.9548989113530322E-2</v>
          </cell>
        </row>
        <row r="33">
          <cell r="A33" t="str">
            <v>NeoRecormon</v>
          </cell>
          <cell r="B33">
            <v>650</v>
          </cell>
          <cell r="C33">
            <v>180</v>
          </cell>
          <cell r="D33">
            <v>174</v>
          </cell>
          <cell r="E33">
            <v>354</v>
          </cell>
          <cell r="F33">
            <v>191</v>
          </cell>
          <cell r="G33">
            <v>545</v>
          </cell>
          <cell r="H33">
            <v>201</v>
          </cell>
          <cell r="I33">
            <v>746</v>
          </cell>
          <cell r="J33">
            <v>216</v>
          </cell>
          <cell r="K33">
            <v>226</v>
          </cell>
          <cell r="L33">
            <v>442</v>
          </cell>
          <cell r="M33">
            <v>242</v>
          </cell>
          <cell r="N33">
            <v>684</v>
          </cell>
          <cell r="O33">
            <v>508</v>
          </cell>
          <cell r="P33">
            <v>1192</v>
          </cell>
          <cell r="Q33">
            <v>450</v>
          </cell>
          <cell r="R33">
            <v>520</v>
          </cell>
          <cell r="S33">
            <v>970</v>
          </cell>
          <cell r="T33">
            <v>539</v>
          </cell>
          <cell r="U33">
            <v>1509</v>
          </cell>
          <cell r="V33">
            <v>587.41056000000003</v>
          </cell>
          <cell r="W33">
            <v>2096.4105600000003</v>
          </cell>
          <cell r="X33">
            <v>449</v>
          </cell>
          <cell r="Y33">
            <v>520</v>
          </cell>
          <cell r="Z33">
            <v>969</v>
          </cell>
          <cell r="AA33">
            <v>537</v>
          </cell>
          <cell r="AB33">
            <v>1506</v>
          </cell>
          <cell r="AC33">
            <v>545</v>
          </cell>
          <cell r="AD33">
            <v>2051</v>
          </cell>
          <cell r="AE33">
            <v>489</v>
          </cell>
          <cell r="AF33">
            <v>531</v>
          </cell>
          <cell r="AG33">
            <v>1020</v>
          </cell>
          <cell r="AH33">
            <v>528</v>
          </cell>
          <cell r="AI33">
            <v>1548</v>
          </cell>
          <cell r="AJ33">
            <v>534</v>
          </cell>
          <cell r="AK33">
            <v>2082</v>
          </cell>
          <cell r="AL33">
            <v>516</v>
          </cell>
          <cell r="AM33">
            <v>570</v>
          </cell>
          <cell r="AN33">
            <v>1086</v>
          </cell>
          <cell r="AO33">
            <v>564</v>
          </cell>
          <cell r="AP33">
            <v>1650</v>
          </cell>
          <cell r="AQ33">
            <v>602</v>
          </cell>
          <cell r="AR33">
            <v>2252</v>
          </cell>
          <cell r="AS33">
            <v>535</v>
          </cell>
          <cell r="AT33">
            <v>565</v>
          </cell>
          <cell r="AU33">
            <v>1100</v>
          </cell>
          <cell r="AV33">
            <v>535</v>
          </cell>
          <cell r="AW33">
            <v>1635</v>
          </cell>
          <cell r="AX33">
            <v>592</v>
          </cell>
          <cell r="AY33">
            <v>2227</v>
          </cell>
          <cell r="AZ33">
            <v>522</v>
          </cell>
          <cell r="BA33">
            <v>544</v>
          </cell>
          <cell r="BB33">
            <v>1066</v>
          </cell>
          <cell r="BC33">
            <v>518</v>
          </cell>
          <cell r="BD33">
            <v>1584</v>
          </cell>
          <cell r="BE33">
            <v>510</v>
          </cell>
          <cell r="BF33">
            <v>2094</v>
          </cell>
          <cell r="BG33">
            <v>442</v>
          </cell>
          <cell r="BH33">
            <v>450</v>
          </cell>
          <cell r="BI33">
            <v>892</v>
          </cell>
          <cell r="BJ33">
            <v>427</v>
          </cell>
          <cell r="BK33">
            <v>1319</v>
          </cell>
          <cell r="BL33">
            <v>455</v>
          </cell>
          <cell r="BM33">
            <v>1774</v>
          </cell>
          <cell r="BN33">
            <v>378</v>
          </cell>
          <cell r="BO33">
            <v>411</v>
          </cell>
          <cell r="BP33">
            <v>789</v>
          </cell>
          <cell r="BQ33">
            <v>391</v>
          </cell>
          <cell r="BR33">
            <v>1180</v>
          </cell>
          <cell r="BS33">
            <v>380</v>
          </cell>
          <cell r="BT33">
            <v>1560</v>
          </cell>
          <cell r="BU33">
            <v>339</v>
          </cell>
          <cell r="BV33">
            <v>338</v>
          </cell>
          <cell r="BW33">
            <v>677</v>
          </cell>
          <cell r="BX33">
            <v>312</v>
          </cell>
          <cell r="BY33">
            <v>989</v>
          </cell>
          <cell r="BZ33">
            <v>296</v>
          </cell>
          <cell r="CA33">
            <v>1285</v>
          </cell>
          <cell r="CB33">
            <v>246</v>
          </cell>
          <cell r="CC33">
            <v>247</v>
          </cell>
          <cell r="CD33">
            <v>493</v>
          </cell>
          <cell r="CE33">
            <v>238.15505275917047</v>
          </cell>
          <cell r="CF33">
            <v>731.15505275917053</v>
          </cell>
          <cell r="CG33">
            <v>227.88841737459225</v>
          </cell>
          <cell r="CH33">
            <v>959.04347013376275</v>
          </cell>
          <cell r="CI33">
            <v>201.19581443033877</v>
          </cell>
          <cell r="CJ33">
            <v>216.59587941078198</v>
          </cell>
          <cell r="CK33">
            <v>417.79169384112072</v>
          </cell>
          <cell r="CL33">
            <v>240.89488964932028</v>
          </cell>
          <cell r="CM33">
            <v>658.68658349044097</v>
          </cell>
          <cell r="CN33">
            <v>241.40038548441328</v>
          </cell>
          <cell r="CO33">
            <v>900.08696897485424</v>
          </cell>
          <cell r="CP33">
            <v>863.65058265563175</v>
          </cell>
          <cell r="CQ33">
            <v>777.28552439006864</v>
          </cell>
          <cell r="CR33">
            <v>699.55697195106177</v>
          </cell>
          <cell r="CS33">
            <v>629.60127475595561</v>
          </cell>
          <cell r="CT33">
            <v>0.14769230769230779</v>
          </cell>
          <cell r="CU33">
            <v>0.59785522788203749</v>
          </cell>
          <cell r="CV33">
            <v>1.0833333333333335</v>
          </cell>
          <cell r="CW33">
            <v>1.3008849557522124</v>
          </cell>
          <cell r="CX33">
            <v>1.1945701357466065</v>
          </cell>
          <cell r="CY33">
            <v>0.2</v>
          </cell>
          <cell r="CZ33">
            <v>0.7587336912751681</v>
          </cell>
          <cell r="DA33">
            <v>8.9086859688195963E-2</v>
          </cell>
          <cell r="DB33">
            <v>2.1153846153846079E-2</v>
          </cell>
          <cell r="DC33">
            <v>-1.6759776536312887E-2</v>
          </cell>
          <cell r="DD33">
            <v>2.7888446215139417E-2</v>
          </cell>
          <cell r="DE33">
            <v>1.5114578254509903E-2</v>
          </cell>
          <cell r="DF33">
            <v>5.5214723926380271E-2</v>
          </cell>
          <cell r="DG33">
            <v>7.344632768361592E-2</v>
          </cell>
          <cell r="DH33">
            <v>6.8181818181818121E-2</v>
          </cell>
          <cell r="DI33">
            <v>0.12734082397003754</v>
          </cell>
          <cell r="DJ33">
            <v>8.1652257444764675E-2</v>
          </cell>
          <cell r="DK33">
            <v>3.6821705426356655E-2</v>
          </cell>
          <cell r="DL33">
            <v>-8.7719298245614308E-3</v>
          </cell>
          <cell r="DM33">
            <v>-5.1418439716312103E-2</v>
          </cell>
          <cell r="DN33">
            <v>-1.6611295681063121E-2</v>
          </cell>
          <cell r="DO33">
            <v>-1.1101243339253997E-2</v>
          </cell>
          <cell r="DP33">
            <v>-2.4299065420560706E-2</v>
          </cell>
          <cell r="DQ33">
            <v>-3.7168141592920367E-2</v>
          </cell>
          <cell r="DR33">
            <v>-3.1775700934579487E-2</v>
          </cell>
          <cell r="DS33">
            <v>-0.13851351351351349</v>
          </cell>
          <cell r="DT33">
            <v>-0.10396586789048923</v>
          </cell>
          <cell r="DU33">
            <v>-0.14401139488298664</v>
          </cell>
          <cell r="DV33">
            <v>-0.14595197908730373</v>
          </cell>
          <cell r="DW33">
            <v>-0.15311740140175267</v>
          </cell>
          <cell r="DX33">
            <v>-2.5068417068087823E-2</v>
          </cell>
          <cell r="DY33">
            <v>-0.1174672507382406</v>
          </cell>
          <cell r="DZ33">
            <v>-7.9341101329447383E-2</v>
          </cell>
          <cell r="EA33">
            <v>-0.1</v>
          </cell>
          <cell r="EB33">
            <v>-0.1</v>
          </cell>
          <cell r="EC33">
            <v>-0.1</v>
          </cell>
          <cell r="ED33">
            <v>-7.3262396659548923E-2</v>
          </cell>
          <cell r="EE33">
            <v>-0.1</v>
          </cell>
          <cell r="EF33">
            <v>-0.1</v>
          </cell>
          <cell r="EG33">
            <v>-0.1</v>
          </cell>
          <cell r="EH33">
            <v>-0.1</v>
          </cell>
          <cell r="EI33">
            <v>-0.10322492985531539</v>
          </cell>
          <cell r="EJ33">
            <v>-0.1</v>
          </cell>
          <cell r="EK33">
            <v>-0.1</v>
          </cell>
          <cell r="EL33">
            <v>-0.1</v>
          </cell>
          <cell r="EM33">
            <v>-0.1</v>
          </cell>
          <cell r="EN33">
            <v>-0.10434974315139078</v>
          </cell>
          <cell r="EO33">
            <v>-0.1</v>
          </cell>
          <cell r="EP33">
            <v>-0.1</v>
          </cell>
          <cell r="EQ33">
            <v>-0.1</v>
          </cell>
          <cell r="ER33">
            <v>-0.1</v>
          </cell>
          <cell r="ES33">
            <v>-0.1</v>
          </cell>
          <cell r="ET33">
            <v>-0.13805303926479229</v>
          </cell>
          <cell r="EU33">
            <v>-0.1</v>
          </cell>
          <cell r="EV33">
            <v>-0.1</v>
          </cell>
          <cell r="EW33">
            <v>-0.1</v>
          </cell>
          <cell r="EX33">
            <v>-0.1</v>
          </cell>
          <cell r="EY33">
            <v>-6.1474274102179649E-2</v>
          </cell>
          <cell r="EZ33" t="str">
            <v>mstag:neoRecormon</v>
          </cell>
          <cell r="FA33">
            <v>6</v>
          </cell>
          <cell r="FB33" t="str">
            <v>ISO4217:CHF</v>
          </cell>
          <cell r="FC33" t="b">
            <v>0</v>
          </cell>
          <cell r="FJ33" t="str">
            <v>mstag:neoRecormon</v>
          </cell>
          <cell r="FK33">
            <v>6</v>
          </cell>
          <cell r="FL33" t="str">
            <v>ISO4217:CHF</v>
          </cell>
          <cell r="FM33" t="b">
            <v>0</v>
          </cell>
        </row>
        <row r="34">
          <cell r="A34" t="str">
            <v>Cellcept</v>
          </cell>
          <cell r="B34">
            <v>790</v>
          </cell>
          <cell r="C34">
            <v>230</v>
          </cell>
          <cell r="D34">
            <v>284</v>
          </cell>
          <cell r="E34">
            <v>514</v>
          </cell>
          <cell r="F34">
            <v>270</v>
          </cell>
          <cell r="G34">
            <v>784</v>
          </cell>
          <cell r="H34">
            <v>272</v>
          </cell>
          <cell r="I34">
            <v>1056</v>
          </cell>
          <cell r="J34">
            <v>261</v>
          </cell>
          <cell r="K34">
            <v>297</v>
          </cell>
          <cell r="L34">
            <v>558</v>
          </cell>
          <cell r="M34">
            <v>297</v>
          </cell>
          <cell r="N34">
            <v>855</v>
          </cell>
          <cell r="O34">
            <v>318</v>
          </cell>
          <cell r="P34">
            <v>1173</v>
          </cell>
          <cell r="Q34">
            <v>313</v>
          </cell>
          <cell r="R34">
            <v>316</v>
          </cell>
          <cell r="S34">
            <v>629</v>
          </cell>
          <cell r="T34">
            <v>360</v>
          </cell>
          <cell r="U34">
            <v>989</v>
          </cell>
          <cell r="V34">
            <v>337.06728000000004</v>
          </cell>
          <cell r="W34">
            <v>1326.06728</v>
          </cell>
          <cell r="X34">
            <v>309</v>
          </cell>
          <cell r="Y34">
            <v>313</v>
          </cell>
          <cell r="Z34">
            <v>622</v>
          </cell>
          <cell r="AA34">
            <v>356</v>
          </cell>
          <cell r="AB34">
            <v>978</v>
          </cell>
          <cell r="AC34">
            <v>357</v>
          </cell>
          <cell r="AD34">
            <v>1335</v>
          </cell>
          <cell r="AE34">
            <v>369</v>
          </cell>
          <cell r="AF34">
            <v>350</v>
          </cell>
          <cell r="AG34">
            <v>719</v>
          </cell>
          <cell r="AH34">
            <v>337</v>
          </cell>
          <cell r="AI34">
            <v>1056</v>
          </cell>
          <cell r="AJ34">
            <v>347</v>
          </cell>
          <cell r="AK34">
            <v>1403</v>
          </cell>
          <cell r="AL34">
            <v>370</v>
          </cell>
          <cell r="AM34">
            <v>430</v>
          </cell>
          <cell r="AN34">
            <v>800</v>
          </cell>
          <cell r="AO34">
            <v>441</v>
          </cell>
          <cell r="AP34">
            <v>1241</v>
          </cell>
          <cell r="AQ34">
            <v>464</v>
          </cell>
          <cell r="AR34">
            <v>1705</v>
          </cell>
          <cell r="AS34">
            <v>454</v>
          </cell>
          <cell r="AT34">
            <v>437</v>
          </cell>
          <cell r="AU34">
            <v>891</v>
          </cell>
          <cell r="AV34">
            <v>466</v>
          </cell>
          <cell r="AW34">
            <v>1357</v>
          </cell>
          <cell r="AX34">
            <v>485</v>
          </cell>
          <cell r="AY34">
            <v>1842</v>
          </cell>
          <cell r="AZ34">
            <v>476</v>
          </cell>
          <cell r="BA34">
            <v>503</v>
          </cell>
          <cell r="BB34">
            <v>979</v>
          </cell>
          <cell r="BC34">
            <v>485</v>
          </cell>
          <cell r="BD34">
            <v>1464</v>
          </cell>
          <cell r="BE34">
            <v>548</v>
          </cell>
          <cell r="BF34">
            <v>2012</v>
          </cell>
          <cell r="BG34">
            <v>487</v>
          </cell>
          <cell r="BH34">
            <v>523</v>
          </cell>
          <cell r="BI34">
            <v>1010</v>
          </cell>
          <cell r="BJ34">
            <v>513</v>
          </cell>
          <cell r="BK34">
            <v>1523</v>
          </cell>
          <cell r="BL34">
            <v>576</v>
          </cell>
          <cell r="BM34">
            <v>2099</v>
          </cell>
          <cell r="BN34">
            <v>517</v>
          </cell>
          <cell r="BO34">
            <v>410</v>
          </cell>
          <cell r="BP34">
            <v>927</v>
          </cell>
          <cell r="BQ34">
            <v>362</v>
          </cell>
          <cell r="BR34">
            <v>1289</v>
          </cell>
          <cell r="BS34">
            <v>287</v>
          </cell>
          <cell r="BT34">
            <v>1576</v>
          </cell>
          <cell r="BU34">
            <v>357</v>
          </cell>
          <cell r="BV34">
            <v>345</v>
          </cell>
          <cell r="BW34">
            <v>702</v>
          </cell>
          <cell r="BX34">
            <v>299</v>
          </cell>
          <cell r="BY34">
            <v>1001</v>
          </cell>
          <cell r="BZ34">
            <v>289</v>
          </cell>
          <cell r="CA34">
            <v>1290</v>
          </cell>
          <cell r="CB34">
            <v>280</v>
          </cell>
          <cell r="CC34">
            <v>258</v>
          </cell>
          <cell r="CD34">
            <v>538</v>
          </cell>
          <cell r="CE34">
            <v>201.69860642910302</v>
          </cell>
          <cell r="CF34">
            <v>739.69860642910305</v>
          </cell>
          <cell r="CG34">
            <v>198.53476799156243</v>
          </cell>
          <cell r="CH34">
            <v>938.23337442066554</v>
          </cell>
          <cell r="CI34">
            <v>203.11920777299051</v>
          </cell>
          <cell r="CJ34">
            <v>201.21143585171964</v>
          </cell>
          <cell r="CK34">
            <v>404.33064362471021</v>
          </cell>
          <cell r="CL34">
            <v>178.06688587233702</v>
          </cell>
          <cell r="CM34">
            <v>582.39752949704723</v>
          </cell>
          <cell r="CN34">
            <v>183.37380430979073</v>
          </cell>
          <cell r="CO34">
            <v>765.7713338068379</v>
          </cell>
          <cell r="CP34">
            <v>651.32858182090581</v>
          </cell>
          <cell r="CQ34">
            <v>533.24018148885727</v>
          </cell>
          <cell r="CR34">
            <v>437.55172962000523</v>
          </cell>
          <cell r="CS34">
            <v>359.90500968203162</v>
          </cell>
          <cell r="CT34">
            <v>0.33670886075949369</v>
          </cell>
          <cell r="CU34">
            <v>0.11079545454545459</v>
          </cell>
          <cell r="CV34">
            <v>0.19923371647509569</v>
          </cell>
          <cell r="CW34">
            <v>6.3973063973064015E-2</v>
          </cell>
          <cell r="CX34">
            <v>0.12724014336917566</v>
          </cell>
          <cell r="CY34">
            <v>0.1</v>
          </cell>
          <cell r="CZ34">
            <v>0.13049213981244678</v>
          </cell>
          <cell r="DA34">
            <v>0.19417475728155331</v>
          </cell>
          <cell r="DB34">
            <v>0.1182108626198084</v>
          </cell>
          <cell r="DC34">
            <v>-5.3370786516853896E-2</v>
          </cell>
          <cell r="DD34">
            <v>7.9754601226993849E-2</v>
          </cell>
          <cell r="DE34">
            <v>5.0936329588014972E-2</v>
          </cell>
          <cell r="DF34">
            <v>2.7100271002709064E-3</v>
          </cell>
          <cell r="DG34">
            <v>0.22857142857142865</v>
          </cell>
          <cell r="DH34">
            <v>0.3086053412462908</v>
          </cell>
          <cell r="DI34">
            <v>0.33717579250720453</v>
          </cell>
          <cell r="DJ34">
            <v>0.21525302922309342</v>
          </cell>
          <cell r="DK34">
            <v>0.22702702702702693</v>
          </cell>
          <cell r="DL34">
            <v>1.6279069767441756E-2</v>
          </cell>
          <cell r="DM34">
            <v>5.6689342403628107E-2</v>
          </cell>
          <cell r="DN34">
            <v>4.5258620689655249E-2</v>
          </cell>
          <cell r="DO34">
            <v>8.0351906158357744E-2</v>
          </cell>
          <cell r="DP34">
            <v>4.8458149779735615E-2</v>
          </cell>
          <cell r="DQ34">
            <v>0.15102974828375282</v>
          </cell>
          <cell r="DR34">
            <v>4.0772532188841248E-2</v>
          </cell>
          <cell r="DS34">
            <v>0.12989690721649483</v>
          </cell>
          <cell r="DT34">
            <v>9.229098805646041E-2</v>
          </cell>
          <cell r="DU34">
            <v>2.3109243697478909E-2</v>
          </cell>
          <cell r="DV34">
            <v>3.9761431411530879E-2</v>
          </cell>
          <cell r="DW34">
            <v>5.7731958762886615E-2</v>
          </cell>
          <cell r="DX34">
            <v>5.1094890510948954E-2</v>
          </cell>
          <cell r="DY34">
            <v>4.3240556660039786E-2</v>
          </cell>
          <cell r="DZ34">
            <v>9.229098805646041E-2</v>
          </cell>
          <cell r="EA34">
            <v>2.3109243697478909E-2</v>
          </cell>
          <cell r="EB34">
            <v>3.9761431411530879E-2</v>
          </cell>
          <cell r="EC34">
            <v>5.7731958762886615E-2</v>
          </cell>
          <cell r="ED34">
            <v>0.05</v>
          </cell>
          <cell r="EE34">
            <v>4.3240556660039786E-2</v>
          </cell>
          <cell r="EI34">
            <v>-0.18147208121827407</v>
          </cell>
          <cell r="EJ34">
            <v>0.05</v>
          </cell>
          <cell r="EN34">
            <v>-0.27043139452741538</v>
          </cell>
          <cell r="EO34">
            <v>-0.18147208121827407</v>
          </cell>
          <cell r="EP34">
            <v>-0.1</v>
          </cell>
          <cell r="ET34">
            <v>-0.27268730665064689</v>
          </cell>
          <cell r="EZ34">
            <v>-0.1</v>
          </cell>
          <cell r="FA34">
            <v>6</v>
          </cell>
          <cell r="FB34" t="str">
            <v>ISO4217:CHF</v>
          </cell>
          <cell r="FC34" t="b">
            <v>0</v>
          </cell>
          <cell r="FJ34" t="str">
            <v>mstag:cellcept</v>
          </cell>
          <cell r="FK34">
            <v>6</v>
          </cell>
          <cell r="FL34" t="str">
            <v>ISO4217:CHF</v>
          </cell>
          <cell r="FM34" t="b">
            <v>0</v>
          </cell>
        </row>
        <row r="35">
          <cell r="A35" t="str">
            <v>Cellcept US</v>
          </cell>
          <cell r="AK35">
            <v>638</v>
          </cell>
          <cell r="AR35">
            <v>821</v>
          </cell>
          <cell r="AY35">
            <v>941</v>
          </cell>
          <cell r="AZ35">
            <v>217</v>
          </cell>
          <cell r="BA35">
            <v>250</v>
          </cell>
          <cell r="BB35">
            <v>467</v>
          </cell>
          <cell r="BC35">
            <v>232</v>
          </cell>
          <cell r="BD35">
            <v>699</v>
          </cell>
          <cell r="BE35">
            <v>290</v>
          </cell>
          <cell r="BF35">
            <v>989</v>
          </cell>
          <cell r="BG35">
            <v>215</v>
          </cell>
          <cell r="BH35">
            <v>243</v>
          </cell>
          <cell r="BI35">
            <v>458</v>
          </cell>
          <cell r="BJ35">
            <v>247</v>
          </cell>
          <cell r="BK35">
            <v>705</v>
          </cell>
          <cell r="BL35">
            <v>321</v>
          </cell>
          <cell r="BM35">
            <v>1026</v>
          </cell>
          <cell r="BN35">
            <v>256</v>
          </cell>
          <cell r="BO35">
            <v>140</v>
          </cell>
          <cell r="BP35">
            <v>396</v>
          </cell>
          <cell r="BQ35">
            <v>119</v>
          </cell>
          <cell r="BR35">
            <v>515</v>
          </cell>
          <cell r="BS35">
            <v>34</v>
          </cell>
          <cell r="BT35">
            <v>549</v>
          </cell>
          <cell r="BU35">
            <v>83</v>
          </cell>
          <cell r="BV35">
            <v>76</v>
          </cell>
          <cell r="BW35">
            <v>159</v>
          </cell>
          <cell r="BX35">
            <v>62</v>
          </cell>
          <cell r="BY35">
            <v>221</v>
          </cell>
          <cell r="BZ35">
            <v>54</v>
          </cell>
          <cell r="CA35">
            <v>275</v>
          </cell>
          <cell r="CB35">
            <v>54</v>
          </cell>
          <cell r="CC35">
            <v>52</v>
          </cell>
          <cell r="CD35">
            <v>106</v>
          </cell>
          <cell r="CE35">
            <v>40.893057984876783</v>
          </cell>
          <cell r="CF35">
            <v>146.89305798487678</v>
          </cell>
          <cell r="CG35">
            <v>37.712611586069443</v>
          </cell>
          <cell r="CH35">
            <v>184.60566957094622</v>
          </cell>
          <cell r="CI35">
            <v>38.818380090039945</v>
          </cell>
          <cell r="CJ35">
            <v>40.640131637158845</v>
          </cell>
          <cell r="CK35">
            <v>79.458511727198783</v>
          </cell>
          <cell r="CL35">
            <v>33.484198067616752</v>
          </cell>
          <cell r="CM35">
            <v>112.94270979481553</v>
          </cell>
          <cell r="CN35">
            <v>31.944800402317647</v>
          </cell>
          <cell r="CO35">
            <v>144.88751019713317</v>
          </cell>
          <cell r="CP35">
            <v>121.77316032132595</v>
          </cell>
          <cell r="CQ35">
            <v>109.59584428919335</v>
          </cell>
          <cell r="CR35">
            <v>98.636259860274023</v>
          </cell>
          <cell r="CS35">
            <v>0.05</v>
          </cell>
          <cell r="CT35">
            <v>79.89537048682196</v>
          </cell>
          <cell r="CU35">
            <v>71.905833438139766</v>
          </cell>
          <cell r="CV35">
            <v>64.715250094325796</v>
          </cell>
          <cell r="CW35">
            <v>58.243725084893221</v>
          </cell>
          <cell r="CY35">
            <v>0.05</v>
          </cell>
        </row>
        <row r="36">
          <cell r="A36" t="str">
            <v>Growth</v>
          </cell>
          <cell r="AY36">
            <v>0.14076904308114613</v>
          </cell>
          <cell r="BF36">
            <v>9.3514553450994908E-2</v>
          </cell>
          <cell r="BG36">
            <v>0.12378611187501698</v>
          </cell>
          <cell r="BH36">
            <v>0.13330340085602777</v>
          </cell>
          <cell r="BJ36">
            <v>0.16987979006135046</v>
          </cell>
          <cell r="BL36">
            <v>9.947901811649329E-2</v>
          </cell>
          <cell r="BM36">
            <v>0.13668540117268924</v>
          </cell>
          <cell r="BN36">
            <v>0.11680643997468954</v>
          </cell>
          <cell r="BO36">
            <v>-0.50740428070410326</v>
          </cell>
          <cell r="BQ36">
            <v>-0.50860256826039474</v>
          </cell>
          <cell r="BS36">
            <v>-0.77832966368107681</v>
          </cell>
          <cell r="BT36">
            <v>-0.4896065220924456</v>
          </cell>
          <cell r="BU36">
            <v>-0.5968792177590857</v>
          </cell>
          <cell r="BV36">
            <v>-0.454273911579264</v>
          </cell>
          <cell r="BW36">
            <v>-0.55699340339606918</v>
          </cell>
          <cell r="BX36">
            <v>-0.44928870978527014</v>
          </cell>
          <cell r="BY36">
            <v>-0.53315174477413563</v>
          </cell>
          <cell r="BZ36">
            <v>0.63515012729895493</v>
          </cell>
          <cell r="CA36">
            <v>-0.46136721155398253</v>
          </cell>
          <cell r="CB36">
            <v>-0.24377215389301454</v>
          </cell>
          <cell r="CC36">
            <v>-0.10032164831747037</v>
          </cell>
          <cell r="CD36">
            <v>-0.17148436536694911</v>
          </cell>
          <cell r="CE36">
            <v>-0.2</v>
          </cell>
          <cell r="CF36">
            <v>-0.1690613311903737</v>
          </cell>
          <cell r="CG36">
            <v>-0.2</v>
          </cell>
          <cell r="CH36">
            <v>-0.16244245781582822</v>
          </cell>
          <cell r="CI36">
            <v>-0.2</v>
          </cell>
          <cell r="CJ36">
            <v>-0.2</v>
          </cell>
          <cell r="CK36">
            <v>-0.18650465986659248</v>
          </cell>
          <cell r="CL36">
            <v>-0.2</v>
          </cell>
          <cell r="CM36">
            <v>-0.19510681298446653</v>
          </cell>
          <cell r="CN36">
            <v>-0.2</v>
          </cell>
          <cell r="CO36">
            <v>-0.17913527413649644</v>
          </cell>
          <cell r="CP36">
            <v>-0.2</v>
          </cell>
          <cell r="CQ36">
            <v>-0.1</v>
          </cell>
          <cell r="CR36">
            <v>-0.1</v>
          </cell>
          <cell r="CS36">
            <v>-0.1</v>
          </cell>
          <cell r="CT36">
            <v>-0.1</v>
          </cell>
          <cell r="CU36">
            <v>-0.1</v>
          </cell>
          <cell r="CV36">
            <v>-0.1</v>
          </cell>
          <cell r="CW36">
            <v>-0.1</v>
          </cell>
        </row>
        <row r="37">
          <cell r="A37" t="str">
            <v>Cellcept ROW</v>
          </cell>
          <cell r="AK37">
            <v>765</v>
          </cell>
          <cell r="AR37">
            <v>884</v>
          </cell>
          <cell r="AY37">
            <v>901</v>
          </cell>
          <cell r="AZ37">
            <v>259</v>
          </cell>
          <cell r="BA37">
            <v>253</v>
          </cell>
          <cell r="BB37">
            <v>512</v>
          </cell>
          <cell r="BC37">
            <v>253</v>
          </cell>
          <cell r="BD37">
            <v>765</v>
          </cell>
          <cell r="BE37">
            <v>258</v>
          </cell>
          <cell r="BF37">
            <v>1023</v>
          </cell>
          <cell r="BG37">
            <v>272</v>
          </cell>
          <cell r="BH37">
            <v>280</v>
          </cell>
          <cell r="BI37">
            <v>552</v>
          </cell>
          <cell r="BJ37">
            <v>266</v>
          </cell>
          <cell r="BK37">
            <v>818</v>
          </cell>
          <cell r="BL37">
            <v>255</v>
          </cell>
          <cell r="BM37">
            <v>1073</v>
          </cell>
          <cell r="BN37">
            <v>261</v>
          </cell>
          <cell r="BO37">
            <v>270</v>
          </cell>
          <cell r="BP37">
            <v>531</v>
          </cell>
          <cell r="BQ37">
            <v>243</v>
          </cell>
          <cell r="BR37">
            <v>774</v>
          </cell>
          <cell r="BS37">
            <v>253</v>
          </cell>
          <cell r="BT37">
            <v>1027</v>
          </cell>
          <cell r="BU37">
            <v>274</v>
          </cell>
          <cell r="BV37">
            <v>269</v>
          </cell>
          <cell r="BW37">
            <v>543</v>
          </cell>
          <cell r="BX37">
            <v>237</v>
          </cell>
          <cell r="BY37">
            <v>780</v>
          </cell>
          <cell r="BZ37">
            <v>235</v>
          </cell>
          <cell r="CA37">
            <v>1015</v>
          </cell>
          <cell r="CB37">
            <v>226</v>
          </cell>
          <cell r="CC37">
            <v>206</v>
          </cell>
          <cell r="CD37">
            <v>432</v>
          </cell>
          <cell r="CE37">
            <v>160.80554844422625</v>
          </cell>
          <cell r="CF37">
            <v>592.80554844422625</v>
          </cell>
          <cell r="CG37">
            <v>160.82215640549299</v>
          </cell>
          <cell r="CH37">
            <v>753.62770484971929</v>
          </cell>
          <cell r="CI37">
            <v>164.30082768295057</v>
          </cell>
          <cell r="CJ37">
            <v>160.5713042145608</v>
          </cell>
          <cell r="CK37">
            <v>324.87213189751139</v>
          </cell>
          <cell r="CL37">
            <v>144.58268780472028</v>
          </cell>
          <cell r="CM37">
            <v>469.4548197022317</v>
          </cell>
          <cell r="CN37">
            <v>151.42900390747309</v>
          </cell>
          <cell r="CO37">
            <v>620.88382360970479</v>
          </cell>
          <cell r="CP37">
            <v>529.55542149957989</v>
          </cell>
          <cell r="CQ37">
            <v>423.64433719966394</v>
          </cell>
          <cell r="CR37">
            <v>338.9154697597312</v>
          </cell>
          <cell r="CS37">
            <v>271.13237580778497</v>
          </cell>
          <cell r="CT37">
            <v>216.90590064622799</v>
          </cell>
          <cell r="CU37">
            <v>173.5247205169824</v>
          </cell>
          <cell r="CV37">
            <v>138.81977641358591</v>
          </cell>
          <cell r="CW37">
            <v>111.05582113086874</v>
          </cell>
        </row>
        <row r="38">
          <cell r="A38" t="str">
            <v>Growth</v>
          </cell>
          <cell r="AY38">
            <v>3.4137823290234515E-3</v>
          </cell>
          <cell r="BF38">
            <v>9.1160836111001897E-2</v>
          </cell>
          <cell r="BG38">
            <v>5.9438360290906322E-2</v>
          </cell>
          <cell r="BH38">
            <v>0.133561506148688</v>
          </cell>
          <cell r="BJ38">
            <v>7.3941673483409076E-2</v>
          </cell>
          <cell r="BL38">
            <v>7.1146813210069881E-2</v>
          </cell>
          <cell r="BM38">
            <v>8.4226178610239955E-2</v>
          </cell>
          <cell r="BN38">
            <v>2.5014102290462192E-2</v>
          </cell>
          <cell r="BO38">
            <v>2.0213444875006981E-2</v>
          </cell>
          <cell r="BQ38">
            <v>-2.9842857022353009E-2</v>
          </cell>
          <cell r="BS38">
            <v>1.7072440652310394E-3</v>
          </cell>
          <cell r="BT38">
            <v>4.498488277792867E-3</v>
          </cell>
          <cell r="BU38">
            <v>3.4060532300406621E-2</v>
          </cell>
          <cell r="BV38">
            <v>6.378763725858061E-2</v>
          </cell>
          <cell r="BW38">
            <v>4.8711525464195771E-2</v>
          </cell>
          <cell r="BX38">
            <v>9.8393598556562822E-2</v>
          </cell>
          <cell r="BY38">
            <v>6.6391414908841706E-2</v>
          </cell>
          <cell r="BZ38">
            <v>5.3025365589855267E-2</v>
          </cell>
          <cell r="CA38">
            <v>6.332465170838697E-2</v>
          </cell>
          <cell r="CB38">
            <v>-2.2216687332233032E-2</v>
          </cell>
          <cell r="CC38">
            <v>-0.12117356226093523</v>
          </cell>
          <cell r="CD38">
            <v>-7.0685631869474963E-2</v>
          </cell>
          <cell r="CE38">
            <v>-0.2</v>
          </cell>
          <cell r="CF38">
            <v>-0.10059208694138566</v>
          </cell>
          <cell r="CG38">
            <v>-0.2</v>
          </cell>
          <cell r="CH38">
            <v>-0.11688788777907166</v>
          </cell>
          <cell r="CI38">
            <v>-0.2</v>
          </cell>
          <cell r="CJ38">
            <v>-0.2</v>
          </cell>
          <cell r="CK38">
            <v>-0.18906645164015501</v>
          </cell>
          <cell r="CL38">
            <v>-0.2</v>
          </cell>
          <cell r="CM38">
            <v>-0.2054577613317714</v>
          </cell>
          <cell r="CN38">
            <v>-0.2</v>
          </cell>
          <cell r="CO38">
            <v>-0.21580527083622991</v>
          </cell>
          <cell r="CP38">
            <v>-0.2</v>
          </cell>
          <cell r="CQ38">
            <v>-0.2</v>
          </cell>
          <cell r="CR38">
            <v>-0.2</v>
          </cell>
          <cell r="CS38">
            <v>-0.2</v>
          </cell>
          <cell r="CT38">
            <v>-0.2</v>
          </cell>
          <cell r="CU38">
            <v>-0.2</v>
          </cell>
          <cell r="CV38">
            <v>-0.2</v>
          </cell>
          <cell r="CW38">
            <v>-0.2</v>
          </cell>
        </row>
        <row r="39">
          <cell r="A39" t="str">
            <v>Neutrogin</v>
          </cell>
          <cell r="B39">
            <v>0</v>
          </cell>
          <cell r="C39">
            <v>0</v>
          </cell>
          <cell r="D39">
            <v>0</v>
          </cell>
          <cell r="E39">
            <v>0</v>
          </cell>
          <cell r="F39">
            <v>0</v>
          </cell>
          <cell r="G39">
            <v>0</v>
          </cell>
          <cell r="H39">
            <v>0</v>
          </cell>
          <cell r="I39">
            <v>0</v>
          </cell>
          <cell r="J39">
            <v>0</v>
          </cell>
          <cell r="K39">
            <v>0</v>
          </cell>
          <cell r="L39">
            <v>0</v>
          </cell>
          <cell r="M39">
            <v>0</v>
          </cell>
          <cell r="N39">
            <v>0</v>
          </cell>
          <cell r="O39">
            <v>63</v>
          </cell>
          <cell r="P39">
            <v>63</v>
          </cell>
          <cell r="Q39">
            <v>70</v>
          </cell>
          <cell r="R39">
            <v>81</v>
          </cell>
          <cell r="S39">
            <v>151</v>
          </cell>
          <cell r="T39">
            <v>83</v>
          </cell>
          <cell r="U39">
            <v>234</v>
          </cell>
          <cell r="V39">
            <v>95</v>
          </cell>
          <cell r="W39">
            <v>329</v>
          </cell>
          <cell r="X39">
            <v>70</v>
          </cell>
          <cell r="Y39">
            <v>81</v>
          </cell>
          <cell r="Z39">
            <v>151</v>
          </cell>
          <cell r="AA39">
            <v>83</v>
          </cell>
          <cell r="AB39">
            <v>234</v>
          </cell>
          <cell r="AC39">
            <v>84</v>
          </cell>
          <cell r="AD39">
            <v>318</v>
          </cell>
          <cell r="AE39">
            <v>76</v>
          </cell>
          <cell r="AF39">
            <v>80</v>
          </cell>
          <cell r="AG39">
            <v>156</v>
          </cell>
          <cell r="AH39">
            <v>81</v>
          </cell>
          <cell r="AI39">
            <v>237</v>
          </cell>
          <cell r="AJ39">
            <v>85</v>
          </cell>
          <cell r="AK39">
            <v>322</v>
          </cell>
          <cell r="AL39">
            <v>80</v>
          </cell>
          <cell r="AM39">
            <v>89</v>
          </cell>
          <cell r="AN39">
            <v>169</v>
          </cell>
          <cell r="AO39">
            <v>97</v>
          </cell>
          <cell r="AP39">
            <v>266</v>
          </cell>
          <cell r="AQ39">
            <v>98</v>
          </cell>
          <cell r="AR39">
            <v>364</v>
          </cell>
          <cell r="AS39">
            <v>93</v>
          </cell>
          <cell r="AT39">
            <v>95</v>
          </cell>
          <cell r="AU39">
            <v>188</v>
          </cell>
          <cell r="AV39">
            <v>91</v>
          </cell>
          <cell r="AW39">
            <v>279</v>
          </cell>
          <cell r="AX39">
            <v>100</v>
          </cell>
          <cell r="AY39">
            <v>379</v>
          </cell>
          <cell r="AZ39">
            <v>96</v>
          </cell>
          <cell r="BA39">
            <v>99</v>
          </cell>
          <cell r="BB39">
            <v>195</v>
          </cell>
          <cell r="BC39">
            <v>100</v>
          </cell>
          <cell r="BD39">
            <v>295</v>
          </cell>
          <cell r="BE39">
            <v>110</v>
          </cell>
          <cell r="BF39">
            <v>405</v>
          </cell>
          <cell r="BG39">
            <v>95</v>
          </cell>
          <cell r="BH39">
            <v>97</v>
          </cell>
          <cell r="BI39">
            <v>192</v>
          </cell>
          <cell r="BJ39">
            <v>98</v>
          </cell>
          <cell r="BK39">
            <v>290</v>
          </cell>
          <cell r="BL39">
            <v>114</v>
          </cell>
          <cell r="BM39">
            <v>404</v>
          </cell>
          <cell r="BN39">
            <v>90</v>
          </cell>
          <cell r="BO39">
            <v>98</v>
          </cell>
          <cell r="BP39">
            <v>188</v>
          </cell>
          <cell r="BQ39">
            <v>101</v>
          </cell>
          <cell r="BR39">
            <v>289</v>
          </cell>
          <cell r="BS39">
            <v>96</v>
          </cell>
          <cell r="BT39">
            <v>385</v>
          </cell>
          <cell r="BU39">
            <v>81</v>
          </cell>
          <cell r="BV39">
            <v>86</v>
          </cell>
          <cell r="BW39">
            <v>167</v>
          </cell>
          <cell r="BX39">
            <v>82</v>
          </cell>
          <cell r="BY39">
            <v>249</v>
          </cell>
          <cell r="BZ39">
            <v>82</v>
          </cell>
          <cell r="CA39">
            <v>331</v>
          </cell>
          <cell r="CB39">
            <v>76</v>
          </cell>
          <cell r="CC39">
            <v>59</v>
          </cell>
          <cell r="CD39">
            <v>135</v>
          </cell>
          <cell r="CE39">
            <v>71.268232973480011</v>
          </cell>
          <cell r="CF39">
            <v>206.26823297348</v>
          </cell>
          <cell r="CG39">
            <v>72.650386576229849</v>
          </cell>
          <cell r="CH39">
            <v>278.91861954970983</v>
          </cell>
          <cell r="CI39">
            <v>71.3493985079092</v>
          </cell>
          <cell r="CJ39">
            <v>59.623328406610995</v>
          </cell>
          <cell r="CK39">
            <v>130.97272691452019</v>
          </cell>
          <cell r="CL39">
            <v>69.842868314010403</v>
          </cell>
          <cell r="CM39">
            <v>200.81559522853058</v>
          </cell>
          <cell r="CN39">
            <v>71.197378844705256</v>
          </cell>
          <cell r="CO39">
            <v>272.01297407323585</v>
          </cell>
          <cell r="CP39">
            <v>266.5727145917711</v>
          </cell>
          <cell r="CQ39">
            <v>261.24126029993567</v>
          </cell>
          <cell r="CR39">
            <v>256.01643509393693</v>
          </cell>
          <cell r="CS39">
            <v>250.89610639205819</v>
          </cell>
          <cell r="CT39">
            <v>245.87818426421703</v>
          </cell>
          <cell r="CU39">
            <v>240.96062057893269</v>
          </cell>
          <cell r="CV39">
            <v>236.14140816735403</v>
          </cell>
          <cell r="CW39">
            <v>231.41858000400694</v>
          </cell>
          <cell r="CX39">
            <v>5.5180839425540661E-2</v>
          </cell>
          <cell r="CY39">
            <v>0.50793650793650791</v>
          </cell>
          <cell r="CZ39">
            <v>4.2222222222222223</v>
          </cell>
          <cell r="DA39">
            <v>8.5714285714285632E-2</v>
          </cell>
          <cell r="DB39">
            <v>-1.2345679012345734E-2</v>
          </cell>
          <cell r="DC39">
            <v>-2.4096385542168641E-2</v>
          </cell>
          <cell r="DD39">
            <v>1.2820512820512775E-2</v>
          </cell>
          <cell r="DE39">
            <v>1.2578616352201255E-2</v>
          </cell>
          <cell r="DF39">
            <v>5.2631578947368363E-2</v>
          </cell>
          <cell r="DG39">
            <v>0.11250000000000004</v>
          </cell>
          <cell r="DH39">
            <v>0.19753086419753085</v>
          </cell>
          <cell r="DI39">
            <v>0.15294117647058814</v>
          </cell>
          <cell r="DJ39">
            <v>0.13043478260869557</v>
          </cell>
          <cell r="DK39">
            <v>0.16250000000000009</v>
          </cell>
          <cell r="DL39">
            <v>6.7415730337078594E-2</v>
          </cell>
          <cell r="DM39">
            <v>-6.1855670103092786E-2</v>
          </cell>
          <cell r="DN39">
            <v>2.0408163265306145E-2</v>
          </cell>
          <cell r="DO39">
            <v>4.1208791208791284E-2</v>
          </cell>
          <cell r="DP39">
            <v>3.2258064516129004E-2</v>
          </cell>
          <cell r="DQ39">
            <v>4.2105263157894646E-2</v>
          </cell>
          <cell r="DR39">
            <v>9.8901098901098994E-2</v>
          </cell>
          <cell r="DS39">
            <v>0.10000000000000009</v>
          </cell>
          <cell r="DT39">
            <v>0.13631266505841211</v>
          </cell>
          <cell r="DU39">
            <v>6.9687844014147959E-3</v>
          </cell>
          <cell r="DV39">
            <v>1.0420069550876709E-2</v>
          </cell>
          <cell r="DW39">
            <v>1.7775005574645286E-2</v>
          </cell>
          <cell r="DX39">
            <v>-0.12719036747435131</v>
          </cell>
          <cell r="DY39">
            <v>-3.6619638650027708E-2</v>
          </cell>
          <cell r="DZ39">
            <v>-0.21559046457199282</v>
          </cell>
          <cell r="EA39">
            <v>-0.2</v>
          </cell>
          <cell r="EB39">
            <v>-0.2</v>
          </cell>
          <cell r="EC39">
            <v>-0.2</v>
          </cell>
          <cell r="ED39">
            <v>-9.8659913599091764E-2</v>
          </cell>
          <cell r="EE39">
            <v>-0.1</v>
          </cell>
          <cell r="EF39">
            <v>-0.1</v>
          </cell>
          <cell r="EG39">
            <v>-0.1</v>
          </cell>
          <cell r="EH39">
            <v>-0.1</v>
          </cell>
          <cell r="EI39">
            <v>-0.14025974025974031</v>
          </cell>
          <cell r="EJ39">
            <v>-0.05</v>
          </cell>
          <cell r="EK39">
            <v>-0.05</v>
          </cell>
          <cell r="EL39">
            <v>-0.05</v>
          </cell>
          <cell r="EM39">
            <v>-0.05</v>
          </cell>
          <cell r="EN39">
            <v>-0.13777919361502688</v>
          </cell>
          <cell r="EO39">
            <v>-0.02</v>
          </cell>
          <cell r="EP39">
            <v>-0.02</v>
          </cell>
          <cell r="EQ39">
            <v>-0.02</v>
          </cell>
          <cell r="ER39">
            <v>-0.02</v>
          </cell>
          <cell r="ES39">
            <v>-0.02</v>
          </cell>
          <cell r="ET39">
            <v>-0.02</v>
          </cell>
          <cell r="EU39">
            <v>-0.02</v>
          </cell>
          <cell r="EV39">
            <v>-0.02</v>
          </cell>
          <cell r="EW39">
            <v>-0.02</v>
          </cell>
          <cell r="EX39">
            <v>-0.02</v>
          </cell>
          <cell r="EY39">
            <v>-2.4758639231839519E-2</v>
          </cell>
          <cell r="EZ39">
            <v>-0.02</v>
          </cell>
          <cell r="FA39">
            <v>-0.02</v>
          </cell>
          <cell r="FB39">
            <v>-0.02</v>
          </cell>
          <cell r="FC39">
            <v>-0.02</v>
          </cell>
          <cell r="FD39">
            <v>-0.02</v>
          </cell>
          <cell r="FE39">
            <v>-0.02</v>
          </cell>
          <cell r="FF39">
            <v>-0.02</v>
          </cell>
          <cell r="FG39">
            <v>-0.02</v>
          </cell>
        </row>
        <row r="40">
          <cell r="A40" t="str">
            <v xml:space="preserve">Xenical </v>
          </cell>
          <cell r="B40">
            <v>950</v>
          </cell>
          <cell r="C40">
            <v>240</v>
          </cell>
          <cell r="D40">
            <v>281</v>
          </cell>
          <cell r="E40">
            <v>521</v>
          </cell>
          <cell r="F40">
            <v>226</v>
          </cell>
          <cell r="G40">
            <v>747</v>
          </cell>
          <cell r="H40">
            <v>216</v>
          </cell>
          <cell r="I40">
            <v>963</v>
          </cell>
          <cell r="J40">
            <v>200</v>
          </cell>
          <cell r="K40">
            <v>209</v>
          </cell>
          <cell r="L40">
            <v>409</v>
          </cell>
          <cell r="M40">
            <v>176</v>
          </cell>
          <cell r="N40">
            <v>585</v>
          </cell>
          <cell r="O40">
            <v>178</v>
          </cell>
          <cell r="P40">
            <v>763</v>
          </cell>
          <cell r="Q40">
            <v>145</v>
          </cell>
          <cell r="R40">
            <v>172</v>
          </cell>
          <cell r="S40">
            <v>317</v>
          </cell>
          <cell r="T40">
            <v>154</v>
          </cell>
          <cell r="U40">
            <v>471</v>
          </cell>
          <cell r="V40">
            <v>145.79267999999999</v>
          </cell>
          <cell r="W40">
            <v>616.79268000000002</v>
          </cell>
          <cell r="X40">
            <v>144</v>
          </cell>
          <cell r="Y40">
            <v>170</v>
          </cell>
          <cell r="Z40">
            <v>314</v>
          </cell>
          <cell r="AA40">
            <v>153</v>
          </cell>
          <cell r="AB40">
            <v>467</v>
          </cell>
          <cell r="AC40">
            <v>151</v>
          </cell>
          <cell r="AD40">
            <v>618</v>
          </cell>
          <cell r="AE40">
            <v>146</v>
          </cell>
          <cell r="AF40">
            <v>165</v>
          </cell>
          <cell r="AG40">
            <v>311</v>
          </cell>
          <cell r="AH40">
            <v>145</v>
          </cell>
          <cell r="AI40">
            <v>456</v>
          </cell>
          <cell r="AJ40">
            <v>137</v>
          </cell>
          <cell r="AK40">
            <v>593</v>
          </cell>
          <cell r="AL40">
            <v>147</v>
          </cell>
          <cell r="AM40">
            <v>165</v>
          </cell>
          <cell r="AN40">
            <v>312</v>
          </cell>
          <cell r="AO40">
            <v>162</v>
          </cell>
          <cell r="AP40">
            <v>474</v>
          </cell>
          <cell r="AQ40">
            <v>161</v>
          </cell>
          <cell r="AR40">
            <v>635</v>
          </cell>
          <cell r="AS40">
            <v>181</v>
          </cell>
          <cell r="AT40">
            <v>182</v>
          </cell>
          <cell r="AU40">
            <v>363</v>
          </cell>
          <cell r="AV40">
            <v>160</v>
          </cell>
          <cell r="AW40">
            <v>523</v>
          </cell>
          <cell r="AX40">
            <v>170</v>
          </cell>
          <cell r="AY40">
            <v>693</v>
          </cell>
          <cell r="AZ40">
            <v>163</v>
          </cell>
          <cell r="BA40">
            <v>176</v>
          </cell>
          <cell r="BB40">
            <v>339</v>
          </cell>
          <cell r="BC40">
            <v>151</v>
          </cell>
          <cell r="BD40">
            <v>490</v>
          </cell>
          <cell r="BE40">
            <v>142</v>
          </cell>
          <cell r="BF40">
            <v>632</v>
          </cell>
          <cell r="BG40">
            <v>136</v>
          </cell>
          <cell r="BH40">
            <v>128</v>
          </cell>
          <cell r="BI40">
            <v>264</v>
          </cell>
          <cell r="BJ40">
            <v>126</v>
          </cell>
          <cell r="BK40">
            <v>390</v>
          </cell>
          <cell r="BL40">
            <v>112</v>
          </cell>
          <cell r="BM40">
            <v>502</v>
          </cell>
          <cell r="BN40">
            <v>103</v>
          </cell>
          <cell r="BO40">
            <v>106</v>
          </cell>
          <cell r="BP40">
            <v>209</v>
          </cell>
          <cell r="BQ40">
            <v>98</v>
          </cell>
          <cell r="BR40">
            <v>307</v>
          </cell>
          <cell r="BS40">
            <v>90</v>
          </cell>
          <cell r="BT40">
            <v>397</v>
          </cell>
          <cell r="BU40">
            <v>91</v>
          </cell>
          <cell r="BV40">
            <v>92</v>
          </cell>
          <cell r="BW40">
            <v>183</v>
          </cell>
          <cell r="BX40">
            <v>76</v>
          </cell>
          <cell r="BY40">
            <v>259</v>
          </cell>
          <cell r="BZ40">
            <v>78</v>
          </cell>
          <cell r="CA40">
            <v>337</v>
          </cell>
          <cell r="CB40">
            <v>81</v>
          </cell>
          <cell r="CC40">
            <v>50</v>
          </cell>
          <cell r="CD40">
            <v>131</v>
          </cell>
          <cell r="CE40">
            <v>62.576985049884897</v>
          </cell>
          <cell r="CF40">
            <v>193.57698504988491</v>
          </cell>
          <cell r="CG40">
            <v>65.46928289667953</v>
          </cell>
          <cell r="CH40">
            <v>259.04626794656446</v>
          </cell>
          <cell r="CI40">
            <v>69.835810301108765</v>
          </cell>
          <cell r="CJ40">
            <v>46.403489766473449</v>
          </cell>
          <cell r="CK40">
            <v>116.23930006758221</v>
          </cell>
          <cell r="CL40">
            <v>56.319286544896407</v>
          </cell>
          <cell r="CM40">
            <v>172.55858661247862</v>
          </cell>
          <cell r="CN40">
            <v>58.922354607011577</v>
          </cell>
          <cell r="CO40">
            <v>231.48094121949021</v>
          </cell>
          <cell r="CP40">
            <v>218.52702006425852</v>
          </cell>
          <cell r="CQ40">
            <v>196.67431805783266</v>
          </cell>
          <cell r="CR40">
            <v>177.00688625204941</v>
          </cell>
          <cell r="CS40">
            <v>159.30619762684447</v>
          </cell>
          <cell r="CT40">
            <v>143.37557786416002</v>
          </cell>
          <cell r="CU40">
            <v>129.03802007774402</v>
          </cell>
          <cell r="CV40">
            <v>116.13421806996962</v>
          </cell>
          <cell r="CW40">
            <v>104.52079626297267</v>
          </cell>
          <cell r="CX40">
            <v>0.16618897757445139</v>
          </cell>
          <cell r="CY40">
            <v>3.9840637450199202E-2</v>
          </cell>
          <cell r="CZ40">
            <v>1.3684210526315743E-2</v>
          </cell>
          <cell r="DA40">
            <v>-0.20768431983385249</v>
          </cell>
          <cell r="DB40">
            <v>-0.27500000000000002</v>
          </cell>
          <cell r="DC40">
            <v>-0.17703349282296654</v>
          </cell>
          <cell r="DD40">
            <v>-0.22493887530562351</v>
          </cell>
          <cell r="DE40">
            <v>-0.15</v>
          </cell>
          <cell r="DF40">
            <v>-0.19162165137614673</v>
          </cell>
          <cell r="DG40">
            <v>1.388888888888884E-2</v>
          </cell>
          <cell r="DH40">
            <v>-2.9411764705882359E-2</v>
          </cell>
          <cell r="DI40">
            <v>-5.2287581699346442E-2</v>
          </cell>
          <cell r="DJ40">
            <v>-2.3554603854389677E-2</v>
          </cell>
          <cell r="DK40">
            <v>-4.0453074433656977E-2</v>
          </cell>
          <cell r="DL40">
            <v>6.8493150684931781E-3</v>
          </cell>
          <cell r="DM40">
            <v>0</v>
          </cell>
          <cell r="DN40">
            <v>0.11724137931034484</v>
          </cell>
          <cell r="DO40">
            <v>0.17518248175182483</v>
          </cell>
          <cell r="DP40">
            <v>7.0826306913996717E-2</v>
          </cell>
          <cell r="DQ40">
            <v>0.23129251700680276</v>
          </cell>
          <cell r="DR40">
            <v>0.10303030303030303</v>
          </cell>
          <cell r="DS40">
            <v>-1.2345679012345734E-2</v>
          </cell>
          <cell r="DT40">
            <v>5.5900621118012417E-2</v>
          </cell>
          <cell r="DU40">
            <v>9.1338582677165325E-2</v>
          </cell>
          <cell r="DV40">
            <v>-9.9447513812154664E-2</v>
          </cell>
          <cell r="DW40">
            <v>-3.2967032967032961E-2</v>
          </cell>
          <cell r="DX40">
            <v>-5.6250000000000022E-2</v>
          </cell>
          <cell r="DY40">
            <v>-0.16470588235294115</v>
          </cell>
          <cell r="DZ40">
            <v>-7.6205976347459403E-2</v>
          </cell>
          <cell r="EA40">
            <v>-0.10117135612705064</v>
          </cell>
          <cell r="EB40">
            <v>-0.19746204100763165</v>
          </cell>
          <cell r="EC40">
            <v>-0.10738512801913525</v>
          </cell>
          <cell r="ED40">
            <v>-0.12849288544698878</v>
          </cell>
          <cell r="EE40">
            <v>-0.17034587924887379</v>
          </cell>
          <cell r="EF40">
            <v>-0.17719178006247904</v>
          </cell>
          <cell r="EG40">
            <v>-0.15</v>
          </cell>
          <cell r="EH40">
            <v>-0.15</v>
          </cell>
          <cell r="EI40">
            <v>-0.15</v>
          </cell>
          <cell r="EJ40">
            <v>-0.18978638575831275</v>
          </cell>
          <cell r="EK40">
            <v>-0.7</v>
          </cell>
          <cell r="EL40">
            <v>-0.7</v>
          </cell>
          <cell r="EM40">
            <v>-0.7</v>
          </cell>
          <cell r="EN40">
            <v>-0.7</v>
          </cell>
          <cell r="EO40">
            <v>-0.1511335012594458</v>
          </cell>
          <cell r="EP40">
            <v>-0.1</v>
          </cell>
          <cell r="EQ40">
            <v>-0.1</v>
          </cell>
          <cell r="ER40">
            <v>-0.1</v>
          </cell>
          <cell r="ES40">
            <v>-0.1</v>
          </cell>
          <cell r="ET40">
            <v>-0.23131671232473461</v>
          </cell>
          <cell r="EU40">
            <v>-0.1</v>
          </cell>
          <cell r="EV40">
            <v>-0.1</v>
          </cell>
          <cell r="EW40">
            <v>-0.1</v>
          </cell>
          <cell r="EX40">
            <v>-0.1</v>
          </cell>
          <cell r="EY40">
            <v>-0.10641082361688514</v>
          </cell>
          <cell r="EZ40">
            <v>-0.1</v>
          </cell>
        </row>
        <row r="41">
          <cell r="A41" t="str">
            <v>Nutropin / Protropin</v>
          </cell>
          <cell r="B41">
            <v>390</v>
          </cell>
          <cell r="C41">
            <v>100</v>
          </cell>
          <cell r="D41">
            <v>107</v>
          </cell>
          <cell r="E41">
            <v>207</v>
          </cell>
          <cell r="F41">
            <v>118</v>
          </cell>
          <cell r="G41">
            <v>325</v>
          </cell>
          <cell r="H41">
            <v>110</v>
          </cell>
          <cell r="I41">
            <v>435</v>
          </cell>
          <cell r="J41">
            <v>117</v>
          </cell>
          <cell r="K41">
            <v>124</v>
          </cell>
          <cell r="L41">
            <v>241</v>
          </cell>
          <cell r="M41">
            <v>119</v>
          </cell>
          <cell r="N41">
            <v>360</v>
          </cell>
          <cell r="O41">
            <v>135</v>
          </cell>
          <cell r="P41">
            <v>477</v>
          </cell>
          <cell r="Q41">
            <v>108</v>
          </cell>
          <cell r="R41">
            <v>112</v>
          </cell>
          <cell r="S41">
            <v>220</v>
          </cell>
          <cell r="T41">
            <v>115</v>
          </cell>
          <cell r="U41">
            <v>335</v>
          </cell>
          <cell r="V41">
            <v>132.68771999999998</v>
          </cell>
          <cell r="W41">
            <v>467.68772000000001</v>
          </cell>
          <cell r="X41">
            <v>107</v>
          </cell>
          <cell r="Y41">
            <v>110</v>
          </cell>
          <cell r="Z41">
            <v>217</v>
          </cell>
          <cell r="AA41">
            <v>113</v>
          </cell>
          <cell r="AB41">
            <v>330</v>
          </cell>
          <cell r="AC41">
            <v>112</v>
          </cell>
          <cell r="AD41">
            <v>442</v>
          </cell>
          <cell r="AE41">
            <v>109</v>
          </cell>
          <cell r="AF41">
            <v>116</v>
          </cell>
          <cell r="AG41">
            <v>225</v>
          </cell>
          <cell r="AH41">
            <v>110</v>
          </cell>
          <cell r="AI41">
            <v>335</v>
          </cell>
          <cell r="AJ41">
            <v>113</v>
          </cell>
          <cell r="AK41">
            <v>448</v>
          </cell>
          <cell r="AL41">
            <v>110</v>
          </cell>
          <cell r="AM41">
            <v>122</v>
          </cell>
          <cell r="AN41">
            <v>232</v>
          </cell>
          <cell r="AO41">
            <v>116</v>
          </cell>
          <cell r="AP41">
            <v>348</v>
          </cell>
          <cell r="AQ41">
            <v>128</v>
          </cell>
          <cell r="AR41">
            <v>476</v>
          </cell>
          <cell r="AS41">
            <v>118</v>
          </cell>
          <cell r="AT41">
            <v>126</v>
          </cell>
          <cell r="AU41">
            <v>244</v>
          </cell>
          <cell r="AV41">
            <v>118</v>
          </cell>
          <cell r="AW41">
            <v>362</v>
          </cell>
          <cell r="AX41">
            <v>132</v>
          </cell>
          <cell r="AY41">
            <v>494</v>
          </cell>
          <cell r="AZ41">
            <v>117</v>
          </cell>
          <cell r="BA41">
            <v>122</v>
          </cell>
          <cell r="BB41">
            <v>239</v>
          </cell>
          <cell r="BC41">
            <v>118</v>
          </cell>
          <cell r="BD41">
            <v>357</v>
          </cell>
          <cell r="BE41">
            <v>113</v>
          </cell>
          <cell r="BF41">
            <v>470</v>
          </cell>
          <cell r="BG41">
            <v>97</v>
          </cell>
          <cell r="BH41">
            <v>98</v>
          </cell>
          <cell r="BI41">
            <v>195</v>
          </cell>
          <cell r="BJ41">
            <v>106</v>
          </cell>
          <cell r="BK41">
            <v>301</v>
          </cell>
          <cell r="BL41">
            <v>112</v>
          </cell>
          <cell r="BM41">
            <v>413</v>
          </cell>
          <cell r="BN41">
            <v>104</v>
          </cell>
          <cell r="BO41">
            <v>107</v>
          </cell>
          <cell r="BP41">
            <v>211</v>
          </cell>
          <cell r="BQ41">
            <v>100</v>
          </cell>
          <cell r="BR41">
            <v>311</v>
          </cell>
          <cell r="BS41">
            <v>89</v>
          </cell>
          <cell r="BT41">
            <v>400</v>
          </cell>
          <cell r="BU41">
            <v>91</v>
          </cell>
          <cell r="BV41">
            <v>102</v>
          </cell>
          <cell r="BW41">
            <v>193</v>
          </cell>
          <cell r="BX41">
            <v>117</v>
          </cell>
          <cell r="BY41">
            <v>310</v>
          </cell>
          <cell r="BZ41">
            <v>95</v>
          </cell>
          <cell r="CA41">
            <v>405</v>
          </cell>
          <cell r="CB41">
            <v>87</v>
          </cell>
          <cell r="CC41">
            <v>82</v>
          </cell>
          <cell r="CD41">
            <v>169</v>
          </cell>
          <cell r="CE41">
            <v>85.631663752474068</v>
          </cell>
          <cell r="CF41">
            <v>254.63166375247408</v>
          </cell>
          <cell r="CG41">
            <v>70.878425928029117</v>
          </cell>
          <cell r="CH41">
            <v>325.5100896805032</v>
          </cell>
          <cell r="CI41">
            <v>66.674518476778744</v>
          </cell>
          <cell r="CJ41">
            <v>67.645976192903518</v>
          </cell>
          <cell r="CK41">
            <v>134.32049466968226</v>
          </cell>
          <cell r="CL41">
            <v>68.505331001979258</v>
          </cell>
          <cell r="CM41">
            <v>202.82582567166151</v>
          </cell>
          <cell r="CN41">
            <v>56.702740742423295</v>
          </cell>
          <cell r="CO41">
            <v>259.52856641408482</v>
          </cell>
          <cell r="CP41">
            <v>217.78228457067277</v>
          </cell>
          <cell r="CQ41">
            <v>174.22582765653823</v>
          </cell>
          <cell r="CR41">
            <v>139.3806621252306</v>
          </cell>
          <cell r="CS41">
            <v>111.50452970018449</v>
          </cell>
          <cell r="CT41">
            <v>0.11538461538461542</v>
          </cell>
          <cell r="CU41">
            <v>9.6551724137931005E-2</v>
          </cell>
          <cell r="CV41">
            <v>-7.6923076923076872E-2</v>
          </cell>
          <cell r="CW41">
            <v>-9.6774193548387122E-2</v>
          </cell>
          <cell r="CX41">
            <v>-8.7136929460580936E-2</v>
          </cell>
          <cell r="CY41">
            <v>0.02</v>
          </cell>
          <cell r="CZ41">
            <v>-1.9522599580712785E-2</v>
          </cell>
          <cell r="DA41">
            <v>1.8691588785046731E-2</v>
          </cell>
          <cell r="DB41">
            <v>5.4545454545454453E-2</v>
          </cell>
          <cell r="DC41">
            <v>-2.6548672566371723E-2</v>
          </cell>
          <cell r="DD41">
            <v>1.5151515151515138E-2</v>
          </cell>
          <cell r="DE41">
            <v>1.3574660633484115E-2</v>
          </cell>
          <cell r="DF41">
            <v>9.1743119266054496E-3</v>
          </cell>
          <cell r="DG41">
            <v>5.1724137931034475E-2</v>
          </cell>
          <cell r="DH41">
            <v>5.4545454545454453E-2</v>
          </cell>
          <cell r="DI41">
            <v>0.13274336283185839</v>
          </cell>
          <cell r="DJ41">
            <v>6.25E-2</v>
          </cell>
          <cell r="DK41">
            <v>7.2727272727272751E-2</v>
          </cell>
          <cell r="DL41">
            <v>3.2786885245901676E-2</v>
          </cell>
          <cell r="DM41">
            <v>1.7241379310344751E-2</v>
          </cell>
          <cell r="DN41">
            <v>3.125E-2</v>
          </cell>
          <cell r="DO41">
            <v>3.7815126050420256E-2</v>
          </cell>
          <cell r="DP41">
            <v>-8.4745762711864181E-3</v>
          </cell>
          <cell r="DQ41">
            <v>-3.1746031746031744E-2</v>
          </cell>
          <cell r="DR41">
            <v>0</v>
          </cell>
          <cell r="DS41">
            <v>-0.14393939393939392</v>
          </cell>
          <cell r="DT41">
            <v>-3.6254831894541595E-2</v>
          </cell>
          <cell r="DU41">
            <v>-0.10687659073182476</v>
          </cell>
          <cell r="DV41">
            <v>-0.11359024611293733</v>
          </cell>
          <cell r="DW41">
            <v>-3.9064188799722732E-2</v>
          </cell>
          <cell r="DX41">
            <v>-6.4538079852725083E-3</v>
          </cell>
          <cell r="DY41">
            <v>-6.750657266344573E-2</v>
          </cell>
          <cell r="DZ41">
            <v>-1.7262859903068861E-3</v>
          </cell>
          <cell r="EA41">
            <v>-7.0000000000000007E-2</v>
          </cell>
          <cell r="EB41">
            <v>-7.0000000000000007E-2</v>
          </cell>
          <cell r="EC41">
            <v>-7.0000000000000007E-2</v>
          </cell>
          <cell r="ED41">
            <v>-7.7463924974182641E-3</v>
          </cell>
          <cell r="EE41">
            <v>-0.2</v>
          </cell>
          <cell r="EF41">
            <v>-0.2</v>
          </cell>
          <cell r="EG41">
            <v>-0.2</v>
          </cell>
          <cell r="EH41">
            <v>-0.2</v>
          </cell>
          <cell r="EI41">
            <v>1.2499999999999956E-2</v>
          </cell>
          <cell r="EJ41">
            <v>-0.2</v>
          </cell>
          <cell r="EK41">
            <v>-0.2</v>
          </cell>
          <cell r="EL41">
            <v>-0.2</v>
          </cell>
          <cell r="EM41">
            <v>-0.2</v>
          </cell>
          <cell r="EN41">
            <v>-0.23880626478989186</v>
          </cell>
          <cell r="EO41">
            <v>-0.2</v>
          </cell>
          <cell r="EP41">
            <v>-0.2</v>
          </cell>
          <cell r="EQ41">
            <v>-0.2</v>
          </cell>
          <cell r="ER41">
            <v>-0.2</v>
          </cell>
          <cell r="ES41">
            <v>-0.2</v>
          </cell>
          <cell r="ET41">
            <v>-0.19627138350493034</v>
          </cell>
          <cell r="EU41">
            <v>-0.2</v>
          </cell>
          <cell r="EV41">
            <v>-0.2</v>
          </cell>
          <cell r="EW41">
            <v>-0.2</v>
          </cell>
          <cell r="EX41">
            <v>-0.2</v>
          </cell>
          <cell r="EY41">
            <v>-0.20270192955057398</v>
          </cell>
          <cell r="EZ41">
            <v>-0.2</v>
          </cell>
        </row>
        <row r="42">
          <cell r="A42" t="str">
            <v>Bonviva</v>
          </cell>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AE42">
            <v>0</v>
          </cell>
          <cell r="AF42">
            <v>0</v>
          </cell>
          <cell r="AG42">
            <v>0</v>
          </cell>
          <cell r="AH42">
            <v>0</v>
          </cell>
          <cell r="AI42">
            <v>0</v>
          </cell>
          <cell r="AJ42">
            <v>0</v>
          </cell>
          <cell r="AK42">
            <v>0</v>
          </cell>
          <cell r="AL42">
            <v>0</v>
          </cell>
          <cell r="AM42">
            <v>21</v>
          </cell>
          <cell r="AN42">
            <v>21</v>
          </cell>
          <cell r="AO42">
            <v>14</v>
          </cell>
          <cell r="AP42">
            <v>35</v>
          </cell>
          <cell r="AQ42">
            <v>51</v>
          </cell>
          <cell r="AR42">
            <v>86</v>
          </cell>
          <cell r="AS42">
            <v>75</v>
          </cell>
          <cell r="AT42">
            <v>92</v>
          </cell>
          <cell r="AU42">
            <v>167</v>
          </cell>
          <cell r="AV42">
            <v>142</v>
          </cell>
          <cell r="AW42">
            <v>309</v>
          </cell>
          <cell r="AX42">
            <v>179</v>
          </cell>
          <cell r="AY42">
            <v>488</v>
          </cell>
          <cell r="AZ42">
            <v>170</v>
          </cell>
          <cell r="BA42">
            <v>204</v>
          </cell>
          <cell r="BB42">
            <v>374</v>
          </cell>
          <cell r="BC42">
            <v>230</v>
          </cell>
          <cell r="BD42">
            <v>604</v>
          </cell>
          <cell r="BE42">
            <v>283</v>
          </cell>
          <cell r="BF42">
            <v>887</v>
          </cell>
          <cell r="BG42">
            <v>241</v>
          </cell>
          <cell r="BH42">
            <v>266</v>
          </cell>
          <cell r="BI42">
            <v>507</v>
          </cell>
          <cell r="BJ42">
            <v>268</v>
          </cell>
          <cell r="BK42">
            <v>775</v>
          </cell>
          <cell r="BL42">
            <v>333</v>
          </cell>
          <cell r="BM42">
            <v>1108</v>
          </cell>
          <cell r="BN42">
            <v>249</v>
          </cell>
          <cell r="BO42">
            <v>276</v>
          </cell>
          <cell r="BP42">
            <v>525</v>
          </cell>
          <cell r="BQ42">
            <v>255</v>
          </cell>
          <cell r="BR42">
            <v>780</v>
          </cell>
          <cell r="BS42">
            <v>278</v>
          </cell>
          <cell r="BT42">
            <v>1058</v>
          </cell>
          <cell r="BU42">
            <v>277</v>
          </cell>
          <cell r="BV42">
            <v>267</v>
          </cell>
          <cell r="BW42">
            <v>544</v>
          </cell>
          <cell r="BX42">
            <v>246</v>
          </cell>
          <cell r="BY42">
            <v>790</v>
          </cell>
          <cell r="BZ42">
            <v>223</v>
          </cell>
          <cell r="CA42">
            <v>1013</v>
          </cell>
          <cell r="CB42">
            <v>212</v>
          </cell>
          <cell r="CC42">
            <v>182</v>
          </cell>
          <cell r="CD42">
            <v>394</v>
          </cell>
          <cell r="CE42">
            <v>236.31045670153901</v>
          </cell>
          <cell r="CF42">
            <v>630.31045670153901</v>
          </cell>
          <cell r="CG42">
            <v>218.37083461905289</v>
          </cell>
          <cell r="CH42">
            <v>848.68129132059187</v>
          </cell>
          <cell r="CI42">
            <v>182.78014547944514</v>
          </cell>
          <cell r="CJ42">
            <v>168.90870274996337</v>
          </cell>
          <cell r="CK42">
            <v>351.68884822940851</v>
          </cell>
          <cell r="CL42">
            <v>212.67941103138511</v>
          </cell>
          <cell r="CM42">
            <v>564.36825926079359</v>
          </cell>
          <cell r="CN42">
            <v>196.53375115714761</v>
          </cell>
          <cell r="CO42">
            <v>760.90201041794126</v>
          </cell>
          <cell r="CP42">
            <v>399.06728874992308</v>
          </cell>
          <cell r="CQ42">
            <v>239.44037324995384</v>
          </cell>
          <cell r="CR42">
            <v>191.55229859996308</v>
          </cell>
          <cell r="CS42">
            <v>153.24183887997046</v>
          </cell>
          <cell r="CT42">
            <v>122.59347110397637</v>
          </cell>
          <cell r="CU42">
            <v>98.074776883181102</v>
          </cell>
          <cell r="CV42">
            <v>78.459821506544884</v>
          </cell>
          <cell r="CW42">
            <v>62.767857205235913</v>
          </cell>
          <cell r="CX42">
            <v>5.2322343976945192E-2</v>
          </cell>
          <cell r="CY42">
            <v>0.18276173285198555</v>
          </cell>
          <cell r="DL42">
            <v>3.3809523809523814</v>
          </cell>
          <cell r="DO42">
            <v>4.6744186046511631</v>
          </cell>
          <cell r="DP42">
            <v>1.2666666666666666</v>
          </cell>
          <cell r="DQ42">
            <v>1.2173913043478262</v>
          </cell>
          <cell r="DR42">
            <v>3.3809523809523814</v>
          </cell>
          <cell r="DS42">
            <v>0.58100558659217882</v>
          </cell>
          <cell r="DT42">
            <v>0.86012793997736203</v>
          </cell>
          <cell r="DU42">
            <v>4.6744186046511631</v>
          </cell>
          <cell r="DV42">
            <v>1.2666666666666666</v>
          </cell>
          <cell r="DW42">
            <v>1.2173913043478262</v>
          </cell>
          <cell r="DX42">
            <v>0.61971830985915499</v>
          </cell>
          <cell r="DY42">
            <v>0.58100558659217882</v>
          </cell>
          <cell r="DZ42">
            <v>0.86012793997736203</v>
          </cell>
          <cell r="EA42">
            <v>0.55064976056029757</v>
          </cell>
          <cell r="EB42">
            <v>0.4652249694834788</v>
          </cell>
          <cell r="EC42">
            <v>0.27044200895190507</v>
          </cell>
          <cell r="ED42">
            <v>0.16926091162203716</v>
          </cell>
          <cell r="EE42">
            <v>0.1</v>
          </cell>
          <cell r="EF42">
            <v>0.1</v>
          </cell>
          <cell r="EG42">
            <v>0.1</v>
          </cell>
          <cell r="EH42">
            <v>0.1</v>
          </cell>
          <cell r="EI42">
            <v>-4.2533081285444196E-2</v>
          </cell>
          <cell r="EJ42">
            <v>0.05</v>
          </cell>
          <cell r="EK42">
            <v>0.05</v>
          </cell>
          <cell r="EL42">
            <v>0.05</v>
          </cell>
          <cell r="EM42">
            <v>0.05</v>
          </cell>
          <cell r="EN42">
            <v>-0.11819144283671679</v>
          </cell>
          <cell r="EO42">
            <v>-0.1</v>
          </cell>
          <cell r="EP42">
            <v>-0.5</v>
          </cell>
          <cell r="EQ42">
            <v>0.05</v>
          </cell>
          <cell r="ER42">
            <v>0.05</v>
          </cell>
          <cell r="ES42">
            <v>0.05</v>
          </cell>
          <cell r="ET42">
            <v>-0.16220997895301892</v>
          </cell>
          <cell r="EU42">
            <v>-0.1</v>
          </cell>
          <cell r="EV42">
            <v>-0.1</v>
          </cell>
          <cell r="EW42">
            <v>-0.1</v>
          </cell>
          <cell r="EX42">
            <v>-0.1</v>
          </cell>
          <cell r="EY42">
            <v>-0.10343020613316634</v>
          </cell>
          <cell r="EZ42" t="str">
            <v>mstag:boniva</v>
          </cell>
          <cell r="FA42">
            <v>6</v>
          </cell>
          <cell r="FB42" t="str">
            <v>ISO4217:CHF</v>
          </cell>
          <cell r="FC42" t="b">
            <v>0</v>
          </cell>
          <cell r="FJ42" t="str">
            <v>mstag:boniva</v>
          </cell>
          <cell r="FK42">
            <v>6</v>
          </cell>
          <cell r="FL42" t="str">
            <v>ISO4217:CHF</v>
          </cell>
          <cell r="FM42" t="b">
            <v>0</v>
          </cell>
        </row>
        <row r="43">
          <cell r="A43" t="str">
            <v>Mircera</v>
          </cell>
          <cell r="BG43">
            <v>5</v>
          </cell>
          <cell r="BH43">
            <v>10</v>
          </cell>
          <cell r="BI43">
            <v>15</v>
          </cell>
          <cell r="BJ43">
            <v>19</v>
          </cell>
          <cell r="BK43">
            <v>34</v>
          </cell>
          <cell r="BL43">
            <v>21</v>
          </cell>
          <cell r="BM43">
            <v>55</v>
          </cell>
          <cell r="BN43">
            <v>30</v>
          </cell>
          <cell r="BO43">
            <v>45</v>
          </cell>
          <cell r="BP43">
            <v>75</v>
          </cell>
          <cell r="BQ43">
            <v>48</v>
          </cell>
          <cell r="BR43">
            <v>123</v>
          </cell>
          <cell r="BS43">
            <v>45</v>
          </cell>
          <cell r="BT43">
            <v>168</v>
          </cell>
          <cell r="BU43">
            <v>49</v>
          </cell>
          <cell r="BV43">
            <v>65</v>
          </cell>
          <cell r="BW43">
            <v>114</v>
          </cell>
          <cell r="BX43">
            <v>67</v>
          </cell>
          <cell r="BY43">
            <v>181</v>
          </cell>
          <cell r="BZ43">
            <v>63</v>
          </cell>
          <cell r="CA43">
            <v>244</v>
          </cell>
          <cell r="CB43">
            <v>70</v>
          </cell>
          <cell r="CC43">
            <v>68</v>
          </cell>
          <cell r="CD43">
            <v>138</v>
          </cell>
          <cell r="CE43">
            <v>65.348457318711127</v>
          </cell>
          <cell r="CF43">
            <v>203.34845731871113</v>
          </cell>
          <cell r="CG43">
            <v>61.976410806265775</v>
          </cell>
          <cell r="CH43">
            <v>265.32486812497689</v>
          </cell>
          <cell r="CI43">
            <v>73.153853033614595</v>
          </cell>
          <cell r="CJ43">
            <v>76.19342226686075</v>
          </cell>
          <cell r="CK43">
            <v>149.34727530047536</v>
          </cell>
          <cell r="CL43">
            <v>84.46143532210408</v>
          </cell>
          <cell r="CM43">
            <v>233.80871062257944</v>
          </cell>
          <cell r="CN43">
            <v>83.887540113436742</v>
          </cell>
          <cell r="CO43">
            <v>317.69625073601617</v>
          </cell>
          <cell r="CP43">
            <v>355.64153439105939</v>
          </cell>
          <cell r="CQ43">
            <v>446.3107804227912</v>
          </cell>
          <cell r="CR43">
            <v>577.30010383547494</v>
          </cell>
          <cell r="CS43">
            <v>738.61910695053916</v>
          </cell>
          <cell r="CT43">
            <v>820.27768015905542</v>
          </cell>
          <cell r="CU43">
            <v>853.28601056382718</v>
          </cell>
          <cell r="CV43">
            <v>878.88459088074194</v>
          </cell>
          <cell r="CW43">
            <v>905.25112860716422</v>
          </cell>
          <cell r="EZ43" t="str">
            <v>mstag:mircera</v>
          </cell>
          <cell r="FA43">
            <v>6</v>
          </cell>
          <cell r="FB43" t="str">
            <v>ISO4217:CHF</v>
          </cell>
          <cell r="FC43" t="b">
            <v>0</v>
          </cell>
          <cell r="FJ43" t="str">
            <v>mstag:mircera</v>
          </cell>
          <cell r="FK43">
            <v>6</v>
          </cell>
          <cell r="FL43" t="str">
            <v>ISO4217:CHF</v>
          </cell>
          <cell r="FM43" t="b">
            <v>0</v>
          </cell>
        </row>
        <row r="44">
          <cell r="A44" t="str">
            <v>Mircera US</v>
          </cell>
          <cell r="BG44">
            <v>0</v>
          </cell>
          <cell r="BH44">
            <v>0</v>
          </cell>
          <cell r="BI44">
            <v>0</v>
          </cell>
          <cell r="BJ44">
            <v>0</v>
          </cell>
          <cell r="BK44">
            <v>0</v>
          </cell>
          <cell r="BL44">
            <v>0</v>
          </cell>
          <cell r="BM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80</v>
          </cell>
          <cell r="CR44">
            <v>200</v>
          </cell>
          <cell r="CS44">
            <v>350</v>
          </cell>
          <cell r="CT44">
            <v>420</v>
          </cell>
          <cell r="CU44">
            <v>441</v>
          </cell>
          <cell r="CV44">
            <v>454.23</v>
          </cell>
          <cell r="CW44">
            <v>467.85690000000005</v>
          </cell>
        </row>
        <row r="45">
          <cell r="A45" t="str">
            <v>Growth</v>
          </cell>
          <cell r="CL45">
            <v>1.5</v>
          </cell>
          <cell r="CM45">
            <v>0.75</v>
          </cell>
          <cell r="CN45">
            <v>0.2</v>
          </cell>
          <cell r="CO45">
            <v>0.05</v>
          </cell>
          <cell r="CP45">
            <v>0.03</v>
          </cell>
          <cell r="CQ45">
            <v>0.03</v>
          </cell>
          <cell r="CR45">
            <v>1.5</v>
          </cell>
          <cell r="CS45">
            <v>0.75</v>
          </cell>
          <cell r="CT45">
            <v>0.2</v>
          </cell>
          <cell r="CU45">
            <v>0.05</v>
          </cell>
          <cell r="CV45">
            <v>0.03</v>
          </cell>
          <cell r="CW45">
            <v>0.03</v>
          </cell>
        </row>
        <row r="46">
          <cell r="A46" t="str">
            <v>Mircera ROW</v>
          </cell>
          <cell r="BG46">
            <v>5</v>
          </cell>
          <cell r="BH46">
            <v>10</v>
          </cell>
          <cell r="BI46">
            <v>15</v>
          </cell>
          <cell r="BJ46">
            <v>19</v>
          </cell>
          <cell r="BK46">
            <v>34</v>
          </cell>
          <cell r="BL46">
            <v>21</v>
          </cell>
          <cell r="BM46">
            <v>55</v>
          </cell>
          <cell r="BN46">
            <v>30</v>
          </cell>
          <cell r="BO46">
            <v>45</v>
          </cell>
          <cell r="BP46">
            <v>75</v>
          </cell>
          <cell r="BQ46">
            <v>48</v>
          </cell>
          <cell r="BR46">
            <v>123</v>
          </cell>
          <cell r="BS46">
            <v>45</v>
          </cell>
          <cell r="BT46">
            <v>168</v>
          </cell>
          <cell r="BU46">
            <v>49</v>
          </cell>
          <cell r="BV46">
            <v>65</v>
          </cell>
          <cell r="BW46">
            <v>114</v>
          </cell>
          <cell r="BX46">
            <v>67</v>
          </cell>
          <cell r="BY46">
            <v>181</v>
          </cell>
          <cell r="BZ46">
            <v>63</v>
          </cell>
          <cell r="CA46">
            <v>244</v>
          </cell>
          <cell r="CB46">
            <v>70</v>
          </cell>
          <cell r="CC46">
            <v>68</v>
          </cell>
          <cell r="CD46">
            <v>138</v>
          </cell>
          <cell r="CE46">
            <v>65.348457318711127</v>
          </cell>
          <cell r="CF46">
            <v>203.34845731871113</v>
          </cell>
          <cell r="CG46">
            <v>61.976410806265775</v>
          </cell>
          <cell r="CH46">
            <v>265.32486812497689</v>
          </cell>
          <cell r="CI46">
            <v>73.153853033614595</v>
          </cell>
          <cell r="CJ46">
            <v>76.19342226686075</v>
          </cell>
          <cell r="CK46">
            <v>149.34727530047536</v>
          </cell>
          <cell r="CL46">
            <v>84.46143532210408</v>
          </cell>
          <cell r="CM46">
            <v>233.80871062257944</v>
          </cell>
          <cell r="CN46">
            <v>83.887540113436742</v>
          </cell>
          <cell r="CO46">
            <v>317.69625073601617</v>
          </cell>
          <cell r="CP46">
            <v>355.64153439105939</v>
          </cell>
          <cell r="CQ46">
            <v>366.3107804227912</v>
          </cell>
          <cell r="CR46">
            <v>377.30010383547494</v>
          </cell>
          <cell r="CS46">
            <v>388.61910695053922</v>
          </cell>
          <cell r="CT46">
            <v>400.27768015905542</v>
          </cell>
          <cell r="CU46">
            <v>412.28601056382712</v>
          </cell>
          <cell r="CV46">
            <v>424.65459088074192</v>
          </cell>
          <cell r="CW46">
            <v>437.39422860716417</v>
          </cell>
        </row>
        <row r="47">
          <cell r="A47" t="str">
            <v>Growth</v>
          </cell>
          <cell r="BU47">
            <v>0.6333333333333333</v>
          </cell>
          <cell r="BV47">
            <v>0.44444444444444442</v>
          </cell>
          <cell r="BX47">
            <v>0.39583333333333326</v>
          </cell>
          <cell r="BZ47">
            <v>0.39999999999999991</v>
          </cell>
          <cell r="CB47">
            <v>0.4285714285714286</v>
          </cell>
          <cell r="CC47">
            <v>4.6153846153846212E-2</v>
          </cell>
          <cell r="CE47">
            <v>0.15</v>
          </cell>
          <cell r="CG47">
            <v>0.15</v>
          </cell>
          <cell r="CI47">
            <v>0.15</v>
          </cell>
          <cell r="CJ47">
            <v>0.15</v>
          </cell>
          <cell r="CK47">
            <v>0.03</v>
          </cell>
          <cell r="CL47">
            <v>0.15</v>
          </cell>
          <cell r="CM47">
            <v>0.03</v>
          </cell>
          <cell r="CN47">
            <v>0.15</v>
          </cell>
          <cell r="CO47">
            <v>0.03</v>
          </cell>
          <cell r="CP47">
            <v>0.05</v>
          </cell>
          <cell r="CQ47">
            <v>0.03</v>
          </cell>
          <cell r="CR47">
            <v>0.03</v>
          </cell>
          <cell r="CS47">
            <v>0.03</v>
          </cell>
          <cell r="CT47">
            <v>0.03</v>
          </cell>
          <cell r="CU47">
            <v>0.03</v>
          </cell>
          <cell r="CV47">
            <v>0.03</v>
          </cell>
          <cell r="CW47">
            <v>0.03</v>
          </cell>
        </row>
        <row r="48">
          <cell r="A48" t="str">
            <v>Blood / Metabolism Total</v>
          </cell>
          <cell r="B48">
            <v>2780</v>
          </cell>
          <cell r="C48">
            <v>750</v>
          </cell>
          <cell r="D48">
            <v>846</v>
          </cell>
          <cell r="E48">
            <v>1596</v>
          </cell>
          <cell r="F48">
            <v>805</v>
          </cell>
          <cell r="G48">
            <v>2401</v>
          </cell>
          <cell r="H48">
            <v>799</v>
          </cell>
          <cell r="I48">
            <v>3200</v>
          </cell>
          <cell r="J48">
            <v>794</v>
          </cell>
          <cell r="K48">
            <v>856</v>
          </cell>
          <cell r="L48">
            <v>1650</v>
          </cell>
          <cell r="M48">
            <v>834</v>
          </cell>
          <cell r="N48">
            <v>2484</v>
          </cell>
          <cell r="O48">
            <v>1202</v>
          </cell>
          <cell r="P48">
            <v>3668</v>
          </cell>
          <cell r="Q48">
            <v>1086</v>
          </cell>
          <cell r="R48">
            <v>1201</v>
          </cell>
          <cell r="S48">
            <v>2287</v>
          </cell>
          <cell r="T48">
            <v>1251</v>
          </cell>
          <cell r="U48">
            <v>3538</v>
          </cell>
          <cell r="V48">
            <v>1297.9582399999999</v>
          </cell>
          <cell r="W48">
            <v>4835.9582399999999</v>
          </cell>
          <cell r="X48">
            <v>1079</v>
          </cell>
          <cell r="Y48">
            <v>1194</v>
          </cell>
          <cell r="Z48">
            <v>2273</v>
          </cell>
          <cell r="AA48">
            <v>1242</v>
          </cell>
          <cell r="AB48">
            <v>3515</v>
          </cell>
          <cell r="AC48">
            <v>1249</v>
          </cell>
          <cell r="AD48">
            <v>4764</v>
          </cell>
          <cell r="AE48">
            <v>1189</v>
          </cell>
          <cell r="AF48">
            <v>1242</v>
          </cell>
          <cell r="AG48">
            <v>2431</v>
          </cell>
          <cell r="AH48">
            <v>1201</v>
          </cell>
          <cell r="AI48">
            <v>3632</v>
          </cell>
          <cell r="AJ48">
            <v>1216</v>
          </cell>
          <cell r="AK48">
            <v>4848</v>
          </cell>
          <cell r="AL48">
            <v>1223</v>
          </cell>
          <cell r="AM48">
            <v>1397</v>
          </cell>
          <cell r="AN48">
            <v>2620</v>
          </cell>
          <cell r="AO48">
            <v>1394</v>
          </cell>
          <cell r="AP48">
            <v>4014</v>
          </cell>
          <cell r="AQ48">
            <v>1504</v>
          </cell>
          <cell r="AR48">
            <v>5518</v>
          </cell>
          <cell r="AS48">
            <v>1456</v>
          </cell>
          <cell r="AT48">
            <v>1497</v>
          </cell>
          <cell r="AU48">
            <v>2953</v>
          </cell>
          <cell r="AV48">
            <v>1512</v>
          </cell>
          <cell r="AW48">
            <v>4465</v>
          </cell>
          <cell r="AX48">
            <v>1658</v>
          </cell>
          <cell r="AY48">
            <v>6123</v>
          </cell>
          <cell r="AZ48">
            <v>1544</v>
          </cell>
          <cell r="BA48">
            <v>1648</v>
          </cell>
          <cell r="BB48">
            <v>3192</v>
          </cell>
          <cell r="BC48">
            <v>1602</v>
          </cell>
          <cell r="BD48">
            <v>4794</v>
          </cell>
          <cell r="BE48">
            <v>1706</v>
          </cell>
          <cell r="BF48">
            <v>6500</v>
          </cell>
          <cell r="BG48">
            <v>1503</v>
          </cell>
          <cell r="BH48">
            <v>1572</v>
          </cell>
          <cell r="BI48">
            <v>3075</v>
          </cell>
          <cell r="BJ48">
            <v>1557</v>
          </cell>
          <cell r="BK48">
            <v>4632</v>
          </cell>
          <cell r="BL48">
            <v>1723</v>
          </cell>
          <cell r="BM48">
            <v>6355</v>
          </cell>
          <cell r="BN48">
            <v>1471</v>
          </cell>
          <cell r="BO48">
            <v>1453</v>
          </cell>
          <cell r="BP48">
            <v>2924</v>
          </cell>
          <cell r="BQ48">
            <v>1355</v>
          </cell>
          <cell r="BR48">
            <v>4279</v>
          </cell>
          <cell r="BS48">
            <v>1265</v>
          </cell>
          <cell r="BT48">
            <v>5544</v>
          </cell>
          <cell r="BU48">
            <v>1285</v>
          </cell>
          <cell r="BV48">
            <v>1295</v>
          </cell>
          <cell r="BW48">
            <v>2580</v>
          </cell>
          <cell r="BX48">
            <v>1199</v>
          </cell>
          <cell r="BY48">
            <v>3779</v>
          </cell>
          <cell r="BZ48">
            <v>1126</v>
          </cell>
          <cell r="CA48">
            <v>4905</v>
          </cell>
          <cell r="CB48">
            <v>1052</v>
          </cell>
          <cell r="CC48">
            <v>946</v>
          </cell>
          <cell r="CD48">
            <v>1998</v>
          </cell>
          <cell r="CE48">
            <v>960.98945498436251</v>
          </cell>
          <cell r="CF48">
            <v>2958.9894549843625</v>
          </cell>
          <cell r="CG48">
            <v>915.76852619241174</v>
          </cell>
          <cell r="CH48">
            <v>3874.757981176775</v>
          </cell>
          <cell r="CI48">
            <v>868.10874800218573</v>
          </cell>
          <cell r="CJ48">
            <v>836.58223464531375</v>
          </cell>
          <cell r="CK48">
            <v>1704.6909826474994</v>
          </cell>
          <cell r="CL48">
            <v>910.77010773603251</v>
          </cell>
          <cell r="CM48">
            <v>2615.4610903835319</v>
          </cell>
          <cell r="CN48">
            <v>892.01795525892851</v>
          </cell>
          <cell r="CO48">
            <v>3507.4790456424607</v>
          </cell>
          <cell r="CP48">
            <v>2972.5700068442225</v>
          </cell>
          <cell r="CQ48">
            <v>2628.4182655659774</v>
          </cell>
          <cell r="CR48">
            <v>2478.3650874777218</v>
          </cell>
          <cell r="CS48">
            <v>2403.0740639875839</v>
          </cell>
          <cell r="CT48">
            <v>2284.7709555649662</v>
          </cell>
          <cell r="CU48">
            <v>2148.1299136192492</v>
          </cell>
          <cell r="CV48">
            <v>2029.2247136361084</v>
          </cell>
          <cell r="CW48">
            <v>1932.0115600277197</v>
          </cell>
          <cell r="CX48">
            <v>1.2416987078943018</v>
          </cell>
        </row>
        <row r="50">
          <cell r="A50" t="str">
            <v>Dilatrend</v>
          </cell>
          <cell r="B50">
            <v>240</v>
          </cell>
          <cell r="C50">
            <v>72</v>
          </cell>
          <cell r="D50">
            <v>72</v>
          </cell>
          <cell r="E50">
            <v>144</v>
          </cell>
          <cell r="F50">
            <v>72</v>
          </cell>
          <cell r="G50">
            <v>216</v>
          </cell>
          <cell r="H50">
            <v>72</v>
          </cell>
          <cell r="I50">
            <v>288</v>
          </cell>
          <cell r="J50">
            <v>86.4</v>
          </cell>
          <cell r="K50">
            <v>86.4</v>
          </cell>
          <cell r="L50">
            <v>352.8</v>
          </cell>
          <cell r="M50">
            <v>86.4</v>
          </cell>
          <cell r="N50">
            <v>259.2</v>
          </cell>
          <cell r="O50">
            <v>86.4</v>
          </cell>
          <cell r="P50">
            <v>345.6</v>
          </cell>
          <cell r="Q50">
            <v>85</v>
          </cell>
          <cell r="R50">
            <v>102</v>
          </cell>
          <cell r="S50">
            <v>187</v>
          </cell>
          <cell r="T50">
            <v>99</v>
          </cell>
          <cell r="U50">
            <v>286</v>
          </cell>
          <cell r="V50">
            <v>99.906048000000013</v>
          </cell>
          <cell r="W50">
            <v>385.906048</v>
          </cell>
          <cell r="X50">
            <v>87</v>
          </cell>
          <cell r="Y50">
            <v>100</v>
          </cell>
          <cell r="Z50">
            <v>187</v>
          </cell>
          <cell r="AA50">
            <v>99</v>
          </cell>
          <cell r="AB50">
            <v>286</v>
          </cell>
          <cell r="AC50">
            <v>106</v>
          </cell>
          <cell r="AD50">
            <v>392</v>
          </cell>
          <cell r="AE50">
            <v>104</v>
          </cell>
          <cell r="AF50">
            <v>96</v>
          </cell>
          <cell r="AG50">
            <v>200</v>
          </cell>
          <cell r="AH50">
            <v>86</v>
          </cell>
          <cell r="AI50">
            <v>286</v>
          </cell>
          <cell r="AJ50">
            <v>75</v>
          </cell>
          <cell r="AK50">
            <v>361</v>
          </cell>
          <cell r="AL50">
            <v>83</v>
          </cell>
          <cell r="AM50">
            <v>84</v>
          </cell>
          <cell r="AN50">
            <v>167</v>
          </cell>
          <cell r="AO50">
            <v>79</v>
          </cell>
          <cell r="AP50">
            <v>246</v>
          </cell>
          <cell r="AQ50">
            <v>80</v>
          </cell>
          <cell r="AR50">
            <v>326</v>
          </cell>
          <cell r="AS50">
            <v>81</v>
          </cell>
          <cell r="AT50">
            <v>78</v>
          </cell>
          <cell r="AU50">
            <v>159</v>
          </cell>
          <cell r="AV50">
            <v>75</v>
          </cell>
          <cell r="AW50">
            <v>234</v>
          </cell>
          <cell r="AX50">
            <v>70</v>
          </cell>
          <cell r="AY50">
            <v>304</v>
          </cell>
          <cell r="AZ50">
            <v>77</v>
          </cell>
          <cell r="BA50">
            <v>75</v>
          </cell>
          <cell r="BB50">
            <v>152</v>
          </cell>
          <cell r="BC50">
            <v>72</v>
          </cell>
          <cell r="BD50">
            <v>224</v>
          </cell>
          <cell r="BE50">
            <v>65</v>
          </cell>
          <cell r="BF50">
            <v>289</v>
          </cell>
          <cell r="BG50">
            <v>59</v>
          </cell>
          <cell r="BH50">
            <v>56</v>
          </cell>
          <cell r="BI50">
            <v>115</v>
          </cell>
          <cell r="BJ50">
            <v>55</v>
          </cell>
          <cell r="BK50">
            <v>170</v>
          </cell>
          <cell r="BL50">
            <v>50</v>
          </cell>
          <cell r="BM50">
            <v>220</v>
          </cell>
          <cell r="BN50">
            <v>50</v>
          </cell>
          <cell r="BO50">
            <v>45</v>
          </cell>
          <cell r="BP50">
            <v>95</v>
          </cell>
          <cell r="BQ50">
            <v>45</v>
          </cell>
          <cell r="BR50">
            <v>140</v>
          </cell>
          <cell r="BS50">
            <v>45</v>
          </cell>
          <cell r="BT50">
            <v>185</v>
          </cell>
          <cell r="BU50">
            <v>48</v>
          </cell>
          <cell r="BV50">
            <v>45</v>
          </cell>
          <cell r="BW50">
            <v>93</v>
          </cell>
          <cell r="BX50">
            <v>43</v>
          </cell>
          <cell r="BY50">
            <v>136</v>
          </cell>
          <cell r="BZ50">
            <v>42</v>
          </cell>
          <cell r="CA50">
            <v>178</v>
          </cell>
          <cell r="CB50">
            <v>38</v>
          </cell>
          <cell r="CC50">
            <v>33.93614141015415</v>
          </cell>
          <cell r="CD50">
            <v>71.93614141015415</v>
          </cell>
          <cell r="CE50">
            <v>32.791738615759662</v>
          </cell>
          <cell r="CF50">
            <v>104.72788002591381</v>
          </cell>
          <cell r="CG50">
            <v>33.126160744904517</v>
          </cell>
          <cell r="CH50">
            <v>137.85404077081833</v>
          </cell>
          <cell r="CI50">
            <v>31.170989832817511</v>
          </cell>
          <cell r="CJ50">
            <v>30.030245303019093</v>
          </cell>
          <cell r="CK50">
            <v>61.201235135836605</v>
          </cell>
          <cell r="CL50">
            <v>31.171038770486525</v>
          </cell>
          <cell r="CM50">
            <v>92.37227390632313</v>
          </cell>
          <cell r="CN50">
            <v>32.581253507089563</v>
          </cell>
          <cell r="CO50">
            <v>124.9535274134127</v>
          </cell>
          <cell r="CP50">
            <v>117.96099431909356</v>
          </cell>
          <cell r="CQ50">
            <v>106.1648948871842</v>
          </cell>
          <cell r="CR50">
            <v>95.548405398465789</v>
          </cell>
          <cell r="CS50">
            <v>85.993564858619209</v>
          </cell>
          <cell r="CT50">
            <v>77.394208372757291</v>
          </cell>
          <cell r="CU50">
            <v>69.65478753548156</v>
          </cell>
          <cell r="CV50">
            <v>62.689308781933406</v>
          </cell>
          <cell r="CW50">
            <v>56.420377903740068</v>
          </cell>
          <cell r="CX50">
            <v>6.8068460054982224E-2</v>
          </cell>
          <cell r="CY50">
            <v>0.1</v>
          </cell>
          <cell r="CZ50">
            <v>0.19999999999999996</v>
          </cell>
          <cell r="DA50">
            <v>0.20000000000000018</v>
          </cell>
          <cell r="DB50">
            <v>-1.620370370370372E-2</v>
          </cell>
          <cell r="DC50">
            <v>0.18055555555555558</v>
          </cell>
          <cell r="DD50">
            <v>-0.46995464852607716</v>
          </cell>
          <cell r="DE50">
            <v>0.2</v>
          </cell>
          <cell r="DF50">
            <v>0.11662629629629628</v>
          </cell>
          <cell r="DG50">
            <v>0.19540229885057481</v>
          </cell>
          <cell r="DH50">
            <v>-4.0000000000000036E-2</v>
          </cell>
          <cell r="DI50">
            <v>-0.13131313131313127</v>
          </cell>
          <cell r="DJ50">
            <v>0</v>
          </cell>
          <cell r="DK50">
            <v>-7.9081632653061229E-2</v>
          </cell>
          <cell r="DL50">
            <v>-0.20192307692307687</v>
          </cell>
          <cell r="DM50">
            <v>-0.35</v>
          </cell>
          <cell r="DN50">
            <v>-8.1395348837209336E-2</v>
          </cell>
          <cell r="DO50">
            <v>6.6666666666666652E-2</v>
          </cell>
          <cell r="DP50">
            <v>-9.695290858725758E-2</v>
          </cell>
          <cell r="DQ50">
            <v>-2.4096385542168641E-2</v>
          </cell>
          <cell r="DR50">
            <v>-7.1428571428571397E-2</v>
          </cell>
          <cell r="DS50">
            <v>-5.0632911392405111E-2</v>
          </cell>
          <cell r="DT50">
            <v>-0.125</v>
          </cell>
          <cell r="DU50">
            <v>-6.7484662576687171E-2</v>
          </cell>
          <cell r="DV50">
            <v>-4.9382716049382713E-2</v>
          </cell>
          <cell r="DW50">
            <v>-3.8461538461538436E-2</v>
          </cell>
          <cell r="DX50">
            <v>-4.0000000000000036E-2</v>
          </cell>
          <cell r="DY50">
            <v>-7.1428571428571397E-2</v>
          </cell>
          <cell r="DZ50">
            <v>-3.7023777507391609E-2</v>
          </cell>
          <cell r="EA50">
            <v>-0.17455738463272008</v>
          </cell>
          <cell r="EB50">
            <v>-0.17606102876783514</v>
          </cell>
          <cell r="EC50">
            <v>-0.1828520158949426</v>
          </cell>
          <cell r="ED50">
            <v>-0.1</v>
          </cell>
          <cell r="EE50">
            <v>-0.19217288984642944</v>
          </cell>
          <cell r="EI50">
            <v>-3.7837837837837784E-2</v>
          </cell>
          <cell r="EJ50">
            <v>-0.1</v>
          </cell>
          <cell r="EK50">
            <v>-0.1</v>
          </cell>
          <cell r="EL50">
            <v>-0.1</v>
          </cell>
          <cell r="EM50">
            <v>-0.1</v>
          </cell>
          <cell r="EN50">
            <v>-0.22014151416506722</v>
          </cell>
          <cell r="EO50">
            <v>-3.7837837837837784E-2</v>
          </cell>
          <cell r="EP50">
            <v>-0.1</v>
          </cell>
          <cell r="EQ50">
            <v>-0.1</v>
          </cell>
          <cell r="ER50">
            <v>-0.1</v>
          </cell>
          <cell r="ES50">
            <v>-0.1</v>
          </cell>
          <cell r="ET50">
            <v>-0.22553909679315542</v>
          </cell>
          <cell r="EU50">
            <v>-0.1</v>
          </cell>
          <cell r="EV50">
            <v>-0.1</v>
          </cell>
          <cell r="EW50">
            <v>-0.1</v>
          </cell>
          <cell r="EX50">
            <v>-0.1</v>
          </cell>
          <cell r="EY50">
            <v>-9.3580959145424414E-2</v>
          </cell>
          <cell r="EZ50">
            <v>-0.1</v>
          </cell>
        </row>
        <row r="51">
          <cell r="A51" t="str">
            <v>Pulmozyme</v>
          </cell>
          <cell r="B51">
            <v>300</v>
          </cell>
          <cell r="C51">
            <v>80</v>
          </cell>
          <cell r="D51">
            <v>73</v>
          </cell>
          <cell r="E51">
            <v>153</v>
          </cell>
          <cell r="F51">
            <v>85</v>
          </cell>
          <cell r="G51">
            <v>238</v>
          </cell>
          <cell r="H51">
            <v>81</v>
          </cell>
          <cell r="I51">
            <v>319</v>
          </cell>
          <cell r="J51">
            <v>80</v>
          </cell>
          <cell r="K51">
            <v>81</v>
          </cell>
          <cell r="L51">
            <v>161</v>
          </cell>
          <cell r="M51">
            <v>82</v>
          </cell>
          <cell r="N51">
            <v>243</v>
          </cell>
          <cell r="O51">
            <v>77</v>
          </cell>
          <cell r="P51">
            <v>320</v>
          </cell>
          <cell r="Q51">
            <v>77</v>
          </cell>
          <cell r="R51">
            <v>82</v>
          </cell>
          <cell r="S51">
            <v>159</v>
          </cell>
          <cell r="T51">
            <v>84</v>
          </cell>
          <cell r="U51">
            <v>243</v>
          </cell>
          <cell r="V51">
            <v>77.907060000000016</v>
          </cell>
          <cell r="W51">
            <v>320.90706</v>
          </cell>
          <cell r="X51">
            <v>76</v>
          </cell>
          <cell r="Y51">
            <v>81</v>
          </cell>
          <cell r="Z51">
            <v>157</v>
          </cell>
          <cell r="AA51">
            <v>83</v>
          </cell>
          <cell r="AB51">
            <v>240</v>
          </cell>
          <cell r="AC51">
            <v>88</v>
          </cell>
          <cell r="AD51">
            <v>328</v>
          </cell>
          <cell r="AE51">
            <v>84</v>
          </cell>
          <cell r="AF51">
            <v>82</v>
          </cell>
          <cell r="AG51">
            <v>166</v>
          </cell>
          <cell r="AH51">
            <v>86</v>
          </cell>
          <cell r="AI51">
            <v>252</v>
          </cell>
          <cell r="AJ51">
            <v>86</v>
          </cell>
          <cell r="AK51">
            <v>338</v>
          </cell>
          <cell r="AL51">
            <v>89</v>
          </cell>
          <cell r="AM51">
            <v>97</v>
          </cell>
          <cell r="AN51">
            <v>186</v>
          </cell>
          <cell r="AO51">
            <v>100</v>
          </cell>
          <cell r="AP51">
            <v>286</v>
          </cell>
          <cell r="AQ51">
            <v>107</v>
          </cell>
          <cell r="AR51">
            <v>393</v>
          </cell>
          <cell r="AS51">
            <v>109</v>
          </cell>
          <cell r="AT51">
            <v>103</v>
          </cell>
          <cell r="AU51">
            <v>212</v>
          </cell>
          <cell r="AV51">
            <v>108</v>
          </cell>
          <cell r="AW51">
            <v>320</v>
          </cell>
          <cell r="AX51">
            <v>116</v>
          </cell>
          <cell r="AY51">
            <v>436</v>
          </cell>
          <cell r="AZ51">
            <v>111</v>
          </cell>
          <cell r="BA51">
            <v>120</v>
          </cell>
          <cell r="BB51">
            <v>231</v>
          </cell>
          <cell r="BC51">
            <v>124</v>
          </cell>
          <cell r="BD51">
            <v>355</v>
          </cell>
          <cell r="BE51">
            <v>128</v>
          </cell>
          <cell r="BF51">
            <v>483</v>
          </cell>
          <cell r="BG51">
            <v>117</v>
          </cell>
          <cell r="BH51">
            <v>120</v>
          </cell>
          <cell r="BI51">
            <v>237</v>
          </cell>
          <cell r="BJ51">
            <v>120</v>
          </cell>
          <cell r="BK51">
            <v>357</v>
          </cell>
          <cell r="BL51">
            <v>139</v>
          </cell>
          <cell r="BM51">
            <v>496</v>
          </cell>
          <cell r="BN51">
            <v>120</v>
          </cell>
          <cell r="BO51">
            <v>128</v>
          </cell>
          <cell r="BP51">
            <v>248</v>
          </cell>
          <cell r="BQ51">
            <v>125</v>
          </cell>
          <cell r="BR51">
            <v>373</v>
          </cell>
          <cell r="BS51">
            <v>128</v>
          </cell>
          <cell r="BT51">
            <v>501</v>
          </cell>
          <cell r="BU51">
            <v>135</v>
          </cell>
          <cell r="BV51">
            <v>129</v>
          </cell>
          <cell r="BW51">
            <v>264</v>
          </cell>
          <cell r="BX51">
            <v>121</v>
          </cell>
          <cell r="BY51">
            <v>385</v>
          </cell>
          <cell r="BZ51">
            <v>128</v>
          </cell>
          <cell r="CA51">
            <v>513</v>
          </cell>
          <cell r="CB51">
            <v>131</v>
          </cell>
          <cell r="CC51">
            <v>116</v>
          </cell>
          <cell r="CD51">
            <v>247</v>
          </cell>
          <cell r="CE51">
            <v>105.60295565070095</v>
          </cell>
          <cell r="CF51">
            <v>352.60295565070095</v>
          </cell>
          <cell r="CG51">
            <v>115.53844001609023</v>
          </cell>
          <cell r="CH51">
            <v>468.1413956667912</v>
          </cell>
          <cell r="CI51">
            <v>122.97958064742885</v>
          </cell>
          <cell r="CJ51">
            <v>117.47599264420332</v>
          </cell>
          <cell r="CK51">
            <v>240.45557329163216</v>
          </cell>
          <cell r="CL51">
            <v>114.88349006100223</v>
          </cell>
          <cell r="CM51">
            <v>355.33906335263441</v>
          </cell>
          <cell r="CN51">
            <v>130.05225856102081</v>
          </cell>
          <cell r="CO51">
            <v>485.39132191365525</v>
          </cell>
          <cell r="CP51">
            <v>524.41683699534588</v>
          </cell>
          <cell r="CQ51">
            <v>471.97515329581131</v>
          </cell>
          <cell r="CR51">
            <v>424.7776379662302</v>
          </cell>
          <cell r="CS51">
            <v>382.29987416960716</v>
          </cell>
          <cell r="CT51">
            <v>344.06988675264648</v>
          </cell>
          <cell r="CU51">
            <v>309.66289807738184</v>
          </cell>
          <cell r="CV51">
            <v>278.69660826964366</v>
          </cell>
          <cell r="CW51">
            <v>250.82694744267931</v>
          </cell>
          <cell r="CX51">
            <v>-9.9224078147934817E-4</v>
          </cell>
          <cell r="CY51">
            <v>0.22419354838709679</v>
          </cell>
          <cell r="CZ51">
            <v>6.3333333333333242E-2</v>
          </cell>
          <cell r="DA51">
            <v>3.1347962382444194E-3</v>
          </cell>
          <cell r="DB51">
            <v>-3.7499999999999978E-2</v>
          </cell>
          <cell r="DC51">
            <v>1.2345679012345734E-2</v>
          </cell>
          <cell r="DD51">
            <v>-1.2422360248447228E-2</v>
          </cell>
          <cell r="DE51">
            <v>0.05</v>
          </cell>
          <cell r="DF51">
            <v>2.8345624999999153E-3</v>
          </cell>
          <cell r="DG51">
            <v>0.10526315789473695</v>
          </cell>
          <cell r="DH51">
            <v>1.2345679012345734E-2</v>
          </cell>
          <cell r="DI51">
            <v>3.6144578313253017E-2</v>
          </cell>
          <cell r="DJ51">
            <v>5.0000000000000044E-2</v>
          </cell>
          <cell r="DK51">
            <v>3.0487804878048808E-2</v>
          </cell>
          <cell r="DL51">
            <v>5.9523809523809534E-2</v>
          </cell>
          <cell r="DM51">
            <v>0.18292682926829262</v>
          </cell>
          <cell r="DN51">
            <v>0.16279069767441867</v>
          </cell>
          <cell r="DO51">
            <v>0.2441860465116279</v>
          </cell>
          <cell r="DP51">
            <v>0.16272189349112431</v>
          </cell>
          <cell r="DQ51">
            <v>0.22471910112359561</v>
          </cell>
          <cell r="DR51">
            <v>6.1855670103092786E-2</v>
          </cell>
          <cell r="DS51">
            <v>8.0000000000000071E-2</v>
          </cell>
          <cell r="DT51">
            <v>8.4112149532710179E-2</v>
          </cell>
          <cell r="DU51">
            <v>0.10941475826972002</v>
          </cell>
          <cell r="DV51">
            <v>1.8348623853210899E-2</v>
          </cell>
          <cell r="DW51">
            <v>0.16504854368932032</v>
          </cell>
          <cell r="DX51">
            <v>0.14814814814814814</v>
          </cell>
          <cell r="DY51">
            <v>0.10344827586206895</v>
          </cell>
          <cell r="DZ51">
            <v>0.12215266738385044</v>
          </cell>
          <cell r="EA51">
            <v>0.135503515322007</v>
          </cell>
          <cell r="EB51">
            <v>0.10348969361450644</v>
          </cell>
          <cell r="EC51">
            <v>3.5213868426348549E-2</v>
          </cell>
          <cell r="ED51">
            <v>8.8562363140019862E-2</v>
          </cell>
          <cell r="EE51">
            <v>8.9753145848422866E-2</v>
          </cell>
          <cell r="EF51">
            <v>7.0000000000000007E-2</v>
          </cell>
          <cell r="EG51">
            <v>0.06</v>
          </cell>
          <cell r="EH51">
            <v>0.05</v>
          </cell>
          <cell r="EI51">
            <v>2.39520958083832E-2</v>
          </cell>
          <cell r="EJ51">
            <v>0.03</v>
          </cell>
          <cell r="EK51">
            <v>0.03</v>
          </cell>
          <cell r="EL51">
            <v>0.03</v>
          </cell>
          <cell r="EM51">
            <v>0.03</v>
          </cell>
          <cell r="EN51">
            <v>-9.0258396820196762E-2</v>
          </cell>
          <cell r="EO51">
            <v>0.03</v>
          </cell>
          <cell r="EP51">
            <v>0.03</v>
          </cell>
          <cell r="EQ51">
            <v>0.03</v>
          </cell>
          <cell r="ER51">
            <v>0.03</v>
          </cell>
          <cell r="ES51">
            <v>0.03</v>
          </cell>
          <cell r="ET51">
            <v>-8.7443673164149693E-2</v>
          </cell>
          <cell r="EU51">
            <v>0.03</v>
          </cell>
          <cell r="EV51">
            <v>0.03</v>
          </cell>
          <cell r="EW51">
            <v>0.03</v>
          </cell>
          <cell r="EX51">
            <v>0.03</v>
          </cell>
          <cell r="EY51">
            <v>3.6847684068387787E-2</v>
          </cell>
          <cell r="EZ51">
            <v>0.03</v>
          </cell>
        </row>
        <row r="52">
          <cell r="A52" t="str">
            <v>Activase / TNKase</v>
          </cell>
          <cell r="B52">
            <v>330</v>
          </cell>
          <cell r="C52">
            <v>0</v>
          </cell>
          <cell r="D52">
            <v>123</v>
          </cell>
          <cell r="E52">
            <v>123</v>
          </cell>
          <cell r="F52">
            <v>161</v>
          </cell>
          <cell r="G52">
            <v>284</v>
          </cell>
          <cell r="H52">
            <v>87</v>
          </cell>
          <cell r="I52">
            <v>371</v>
          </cell>
          <cell r="J52">
            <v>77</v>
          </cell>
          <cell r="K52">
            <v>70.897772000000003</v>
          </cell>
          <cell r="L52">
            <v>147.897772</v>
          </cell>
          <cell r="M52">
            <v>83.102227999999997</v>
          </cell>
          <cell r="N52">
            <v>231</v>
          </cell>
          <cell r="O52">
            <v>91</v>
          </cell>
          <cell r="P52">
            <v>322</v>
          </cell>
          <cell r="Q52">
            <v>70</v>
          </cell>
          <cell r="R52">
            <v>71</v>
          </cell>
          <cell r="S52">
            <v>141</v>
          </cell>
          <cell r="T52">
            <v>74</v>
          </cell>
          <cell r="U52">
            <v>215</v>
          </cell>
          <cell r="V52">
            <v>83.30322000000001</v>
          </cell>
          <cell r="W52">
            <v>298.30322000000001</v>
          </cell>
          <cell r="X52">
            <v>68</v>
          </cell>
          <cell r="Y52">
            <v>70</v>
          </cell>
          <cell r="Z52">
            <v>138</v>
          </cell>
          <cell r="AA52">
            <v>72</v>
          </cell>
          <cell r="AB52">
            <v>210</v>
          </cell>
          <cell r="AC52">
            <v>68</v>
          </cell>
          <cell r="AD52">
            <v>278</v>
          </cell>
          <cell r="AE52">
            <v>63</v>
          </cell>
          <cell r="AF52">
            <v>72</v>
          </cell>
          <cell r="AG52">
            <v>135</v>
          </cell>
          <cell r="AH52">
            <v>76</v>
          </cell>
          <cell r="AI52">
            <v>211</v>
          </cell>
          <cell r="AJ52">
            <v>64</v>
          </cell>
          <cell r="AK52">
            <v>275</v>
          </cell>
          <cell r="AL52">
            <v>67</v>
          </cell>
          <cell r="AM52">
            <v>72</v>
          </cell>
          <cell r="AN52">
            <v>139</v>
          </cell>
          <cell r="AO52">
            <v>84</v>
          </cell>
          <cell r="AP52">
            <v>223</v>
          </cell>
          <cell r="AQ52">
            <v>87</v>
          </cell>
          <cell r="AR52">
            <v>310</v>
          </cell>
          <cell r="AS52">
            <v>88</v>
          </cell>
          <cell r="AT52">
            <v>90</v>
          </cell>
          <cell r="AU52">
            <v>178</v>
          </cell>
          <cell r="AV52">
            <v>89</v>
          </cell>
          <cell r="AW52">
            <v>267</v>
          </cell>
          <cell r="AX52">
            <v>95</v>
          </cell>
          <cell r="AY52">
            <v>362</v>
          </cell>
          <cell r="AZ52">
            <v>96</v>
          </cell>
          <cell r="BA52">
            <v>106</v>
          </cell>
          <cell r="BB52">
            <v>202</v>
          </cell>
          <cell r="BC52">
            <v>92</v>
          </cell>
          <cell r="BD52">
            <v>294</v>
          </cell>
          <cell r="BE52">
            <v>88</v>
          </cell>
          <cell r="BF52">
            <v>382</v>
          </cell>
          <cell r="BG52">
            <v>83</v>
          </cell>
          <cell r="BH52">
            <v>81</v>
          </cell>
          <cell r="BI52">
            <v>164</v>
          </cell>
          <cell r="BJ52">
            <v>81</v>
          </cell>
          <cell r="BK52">
            <v>245</v>
          </cell>
          <cell r="BL52">
            <v>97</v>
          </cell>
          <cell r="BM52">
            <v>342</v>
          </cell>
          <cell r="BN52">
            <v>126</v>
          </cell>
          <cell r="BO52">
            <v>100</v>
          </cell>
          <cell r="BP52">
            <v>226</v>
          </cell>
          <cell r="BQ52">
            <v>107</v>
          </cell>
          <cell r="BR52">
            <v>333</v>
          </cell>
          <cell r="BS52">
            <v>122</v>
          </cell>
          <cell r="BT52">
            <v>455</v>
          </cell>
          <cell r="BU52">
            <v>110</v>
          </cell>
          <cell r="BV52">
            <v>117</v>
          </cell>
          <cell r="BW52">
            <v>227</v>
          </cell>
          <cell r="BX52">
            <v>119</v>
          </cell>
          <cell r="BY52">
            <v>346</v>
          </cell>
          <cell r="BZ52">
            <v>114</v>
          </cell>
          <cell r="CA52">
            <v>460</v>
          </cell>
          <cell r="CB52">
            <v>122</v>
          </cell>
          <cell r="CC52">
            <v>109</v>
          </cell>
          <cell r="CD52">
            <v>231</v>
          </cell>
          <cell r="CE52">
            <v>103.85745225151581</v>
          </cell>
          <cell r="CF52">
            <v>334.85745225151584</v>
          </cell>
          <cell r="CG52">
            <v>102.90142313933036</v>
          </cell>
          <cell r="CH52">
            <v>437.75887539084619</v>
          </cell>
          <cell r="CI52">
            <v>114.53060182432304</v>
          </cell>
          <cell r="CJ52">
            <v>110.38692412257035</v>
          </cell>
          <cell r="CK52">
            <v>224.91752594689339</v>
          </cell>
          <cell r="CL52">
            <v>112.9845893988369</v>
          </cell>
          <cell r="CM52">
            <v>337.90211534573029</v>
          </cell>
          <cell r="CN52">
            <v>115.82779278090915</v>
          </cell>
          <cell r="CO52">
            <v>453.72990812663943</v>
          </cell>
          <cell r="CP52">
            <v>490.20984209579291</v>
          </cell>
          <cell r="CQ52">
            <v>465.69934999100326</v>
          </cell>
          <cell r="CR52">
            <v>442.41438249145307</v>
          </cell>
          <cell r="CS52">
            <v>420.29366336688042</v>
          </cell>
          <cell r="CT52">
            <v>0.12424242424242427</v>
          </cell>
          <cell r="CU52">
            <v>-0.13207547169811318</v>
          </cell>
          <cell r="CV52">
            <v>-9.0909090909090939E-2</v>
          </cell>
          <cell r="CW52">
            <v>1.4419070884201801E-3</v>
          </cell>
          <cell r="CX52">
            <v>-4.6638782361102749E-2</v>
          </cell>
          <cell r="CY52">
            <v>-0.05</v>
          </cell>
          <cell r="CZ52">
            <v>-7.3592484472049691E-2</v>
          </cell>
          <cell r="DA52">
            <v>-7.3529411764705843E-2</v>
          </cell>
          <cell r="DB52">
            <v>2.857142857142847E-2</v>
          </cell>
          <cell r="DC52">
            <v>5.555555555555558E-2</v>
          </cell>
          <cell r="DD52">
            <v>4.761904761904745E-3</v>
          </cell>
          <cell r="DE52">
            <v>-1.0791366906474864E-2</v>
          </cell>
          <cell r="DF52">
            <v>6.3492063492063489E-2</v>
          </cell>
          <cell r="DG52">
            <v>0</v>
          </cell>
          <cell r="DH52">
            <v>0.10526315789473695</v>
          </cell>
          <cell r="DI52">
            <v>0.359375</v>
          </cell>
          <cell r="DJ52">
            <v>0.1272727272727272</v>
          </cell>
          <cell r="DK52">
            <v>0.31343283582089554</v>
          </cell>
          <cell r="DL52">
            <v>0.25</v>
          </cell>
          <cell r="DM52">
            <v>5.9523809523809534E-2</v>
          </cell>
          <cell r="DN52">
            <v>9.1954022988505857E-2</v>
          </cell>
          <cell r="DO52">
            <v>0.16774193548387095</v>
          </cell>
          <cell r="DP52">
            <v>9.0909090909090828E-2</v>
          </cell>
          <cell r="DQ52">
            <v>0.17777777777777781</v>
          </cell>
          <cell r="DR52">
            <v>3.3707865168539408E-2</v>
          </cell>
          <cell r="DS52">
            <v>-7.3684210526315796E-2</v>
          </cell>
          <cell r="DT52">
            <v>6.8922200439901715E-2</v>
          </cell>
          <cell r="DU52">
            <v>-6.860809413624902E-2</v>
          </cell>
          <cell r="DV52">
            <v>-0.1567673095964619</v>
          </cell>
          <cell r="DW52">
            <v>-5.8180426225158954E-2</v>
          </cell>
          <cell r="DX52">
            <v>0.10493707494657345</v>
          </cell>
          <cell r="DY52">
            <v>-4.9928416071411186E-2</v>
          </cell>
          <cell r="DZ52">
            <v>0.53340635268346115</v>
          </cell>
          <cell r="EA52">
            <v>0.24703828407532114</v>
          </cell>
          <cell r="EB52">
            <v>0.2</v>
          </cell>
          <cell r="EC52">
            <v>0.2</v>
          </cell>
          <cell r="ED52">
            <v>0.3630068468848513</v>
          </cell>
          <cell r="EE52">
            <v>-4.9928416071411186E-2</v>
          </cell>
          <cell r="EF52">
            <v>0.53340635268346115</v>
          </cell>
          <cell r="EG52">
            <v>0.24703828407532114</v>
          </cell>
          <cell r="EH52">
            <v>0.2</v>
          </cell>
          <cell r="EI52">
            <v>1.098901098901095E-2</v>
          </cell>
          <cell r="EJ52">
            <v>0.03</v>
          </cell>
          <cell r="EK52">
            <v>0.03</v>
          </cell>
          <cell r="EL52">
            <v>0.03</v>
          </cell>
          <cell r="EM52">
            <v>0.03</v>
          </cell>
          <cell r="EN52">
            <v>-5.9234882412711576E-2</v>
          </cell>
          <cell r="EO52">
            <v>0.03</v>
          </cell>
          <cell r="EP52">
            <v>0.03</v>
          </cell>
          <cell r="EQ52">
            <v>0.03</v>
          </cell>
          <cell r="ER52">
            <v>0.03</v>
          </cell>
          <cell r="ES52">
            <v>0.03</v>
          </cell>
          <cell r="ET52">
            <v>-4.8350270889464864E-2</v>
          </cell>
          <cell r="EU52">
            <v>0.03</v>
          </cell>
          <cell r="EV52">
            <v>0.03</v>
          </cell>
          <cell r="EW52">
            <v>0.03</v>
          </cell>
          <cell r="EX52">
            <v>0.03</v>
          </cell>
          <cell r="EY52">
            <v>3.6483629764293868E-2</v>
          </cell>
          <cell r="EZ52">
            <v>0.03</v>
          </cell>
        </row>
        <row r="53">
          <cell r="A53" t="str">
            <v>Xolair</v>
          </cell>
          <cell r="AS53">
            <v>124</v>
          </cell>
          <cell r="AT53">
            <v>133</v>
          </cell>
          <cell r="AU53">
            <v>257</v>
          </cell>
          <cell r="AV53">
            <v>135</v>
          </cell>
          <cell r="AW53">
            <v>392</v>
          </cell>
          <cell r="AX53">
            <v>145</v>
          </cell>
          <cell r="AY53">
            <v>537</v>
          </cell>
          <cell r="AZ53">
            <v>136</v>
          </cell>
          <cell r="BA53">
            <v>148</v>
          </cell>
          <cell r="BB53">
            <v>284</v>
          </cell>
          <cell r="BC53">
            <v>145</v>
          </cell>
          <cell r="BD53">
            <v>429</v>
          </cell>
          <cell r="BE53">
            <v>138</v>
          </cell>
          <cell r="BF53">
            <v>567</v>
          </cell>
          <cell r="BG53">
            <v>125</v>
          </cell>
          <cell r="BH53">
            <v>134</v>
          </cell>
          <cell r="BI53">
            <v>259</v>
          </cell>
          <cell r="BJ53">
            <v>145</v>
          </cell>
          <cell r="BK53">
            <v>404</v>
          </cell>
          <cell r="BL53">
            <v>156</v>
          </cell>
          <cell r="BM53">
            <v>560</v>
          </cell>
          <cell r="BN53">
            <v>152</v>
          </cell>
          <cell r="BO53">
            <v>161</v>
          </cell>
          <cell r="BP53">
            <v>313</v>
          </cell>
          <cell r="BQ53">
            <v>157</v>
          </cell>
          <cell r="BR53">
            <v>470</v>
          </cell>
          <cell r="BS53">
            <v>150</v>
          </cell>
          <cell r="BT53">
            <v>620</v>
          </cell>
          <cell r="BU53">
            <v>148</v>
          </cell>
          <cell r="BV53">
            <v>176</v>
          </cell>
          <cell r="BW53">
            <v>324</v>
          </cell>
          <cell r="BX53">
            <v>167</v>
          </cell>
          <cell r="BY53">
            <v>491</v>
          </cell>
          <cell r="BZ53">
            <v>150</v>
          </cell>
          <cell r="CA53">
            <v>641</v>
          </cell>
          <cell r="CB53">
            <v>149</v>
          </cell>
          <cell r="CC53">
            <v>151</v>
          </cell>
          <cell r="CD53">
            <v>300</v>
          </cell>
          <cell r="CE53">
            <v>137.58036327963114</v>
          </cell>
          <cell r="CF53">
            <v>437.58036327963111</v>
          </cell>
          <cell r="CG53">
            <v>129.85194823826802</v>
          </cell>
          <cell r="CH53">
            <v>567.43231151789917</v>
          </cell>
          <cell r="CI53">
            <v>140.58184178441547</v>
          </cell>
          <cell r="CJ53">
            <v>154.89165555460423</v>
          </cell>
          <cell r="CK53">
            <v>295.47349733901967</v>
          </cell>
          <cell r="CL53">
            <v>147.85842571287418</v>
          </cell>
          <cell r="CM53">
            <v>443.33192305189385</v>
          </cell>
          <cell r="CN53">
            <v>144.36481304136856</v>
          </cell>
          <cell r="CO53">
            <v>587.69673609326242</v>
          </cell>
          <cell r="CP53">
            <v>640.68490128118719</v>
          </cell>
          <cell r="CQ53">
            <v>672.71914634524649</v>
          </cell>
          <cell r="CR53">
            <v>686.17352927215143</v>
          </cell>
          <cell r="CS53">
            <v>699.89699985759455</v>
          </cell>
          <cell r="CT53">
            <v>713.89493985474633</v>
          </cell>
          <cell r="CU53">
            <v>728.1728386518414</v>
          </cell>
          <cell r="CV53">
            <v>742.73629542487822</v>
          </cell>
          <cell r="CW53">
            <v>757.59102133337581</v>
          </cell>
          <cell r="CX53">
            <v>-8.5877796201265406E-3</v>
          </cell>
          <cell r="DY53">
            <v>-1.2345679012345734E-2</v>
          </cell>
          <cell r="ED53">
            <v>0.10714285714285721</v>
          </cell>
          <cell r="EE53">
            <v>-1.2345679012345734E-2</v>
          </cell>
          <cell r="EI53">
            <v>3.3870967741935543E-2</v>
          </cell>
          <cell r="EJ53">
            <v>0.10714285714285721</v>
          </cell>
          <cell r="EN53">
            <v>-0.12775321780941096</v>
          </cell>
          <cell r="EO53">
            <v>3.3870967741935543E-2</v>
          </cell>
          <cell r="EP53">
            <v>5.0000000000000266E-2</v>
          </cell>
          <cell r="ET53">
            <v>-0.11477018483947088</v>
          </cell>
          <cell r="EY53">
            <v>3.5712496740193167E-2</v>
          </cell>
          <cell r="EZ53">
            <v>9.0162428908769687E-2</v>
          </cell>
        </row>
        <row r="54">
          <cell r="A54" t="str">
            <v>Tamiflu</v>
          </cell>
          <cell r="B54">
            <v>70</v>
          </cell>
          <cell r="C54">
            <v>60</v>
          </cell>
          <cell r="D54">
            <v>10</v>
          </cell>
          <cell r="E54">
            <v>70</v>
          </cell>
          <cell r="F54">
            <v>10</v>
          </cell>
          <cell r="G54">
            <v>80</v>
          </cell>
          <cell r="H54">
            <v>60</v>
          </cell>
          <cell r="I54">
            <v>140</v>
          </cell>
          <cell r="J54">
            <v>61</v>
          </cell>
          <cell r="K54">
            <v>40</v>
          </cell>
          <cell r="L54">
            <v>101</v>
          </cell>
          <cell r="M54">
            <v>40</v>
          </cell>
          <cell r="N54">
            <v>141</v>
          </cell>
          <cell r="O54">
            <v>70</v>
          </cell>
          <cell r="P54">
            <v>211</v>
          </cell>
          <cell r="Q54">
            <v>107</v>
          </cell>
          <cell r="R54">
            <v>7</v>
          </cell>
          <cell r="S54">
            <v>114</v>
          </cell>
          <cell r="T54">
            <v>43.342574257425738</v>
          </cell>
          <cell r="U54">
            <v>157.34257425742572</v>
          </cell>
          <cell r="V54">
            <v>80.942400000000006</v>
          </cell>
          <cell r="W54">
            <v>238.28497425742574</v>
          </cell>
          <cell r="X54">
            <v>107</v>
          </cell>
          <cell r="Y54">
            <v>7</v>
          </cell>
          <cell r="Z54">
            <v>114</v>
          </cell>
          <cell r="AA54">
            <v>0</v>
          </cell>
          <cell r="AB54">
            <v>114</v>
          </cell>
          <cell r="AC54">
            <v>335</v>
          </cell>
          <cell r="AD54">
            <v>449</v>
          </cell>
          <cell r="AE54">
            <v>108</v>
          </cell>
          <cell r="AF54">
            <v>19</v>
          </cell>
          <cell r="AG54">
            <v>127</v>
          </cell>
          <cell r="AH54">
            <v>110</v>
          </cell>
          <cell r="AI54">
            <v>237</v>
          </cell>
          <cell r="AJ54">
            <v>93</v>
          </cell>
          <cell r="AK54">
            <v>330</v>
          </cell>
          <cell r="AL54">
            <v>424</v>
          </cell>
          <cell r="AM54">
            <v>156</v>
          </cell>
          <cell r="AN54">
            <v>580</v>
          </cell>
          <cell r="AO54">
            <v>279</v>
          </cell>
          <cell r="AP54">
            <v>859</v>
          </cell>
          <cell r="AQ54">
            <v>699</v>
          </cell>
          <cell r="AR54">
            <v>1558</v>
          </cell>
          <cell r="AS54">
            <v>601</v>
          </cell>
          <cell r="AT54">
            <v>360</v>
          </cell>
          <cell r="AU54">
            <v>961</v>
          </cell>
          <cell r="AV54">
            <v>669</v>
          </cell>
          <cell r="AW54">
            <v>1630</v>
          </cell>
          <cell r="AX54">
            <v>997</v>
          </cell>
          <cell r="AY54">
            <v>2627</v>
          </cell>
          <cell r="AZ54">
            <v>865</v>
          </cell>
          <cell r="BA54">
            <v>451</v>
          </cell>
          <cell r="BB54">
            <v>1316</v>
          </cell>
          <cell r="BC54">
            <v>257</v>
          </cell>
          <cell r="BD54">
            <v>1573</v>
          </cell>
          <cell r="BE54">
            <v>512</v>
          </cell>
          <cell r="BF54">
            <v>2085</v>
          </cell>
          <cell r="BG54">
            <v>278</v>
          </cell>
          <cell r="BH54">
            <v>25</v>
          </cell>
          <cell r="BI54">
            <v>303</v>
          </cell>
          <cell r="BJ54">
            <v>125</v>
          </cell>
          <cell r="BK54">
            <v>428</v>
          </cell>
          <cell r="BL54">
            <v>181</v>
          </cell>
          <cell r="BM54">
            <v>609</v>
          </cell>
          <cell r="BN54">
            <v>401</v>
          </cell>
          <cell r="BO54">
            <v>609</v>
          </cell>
          <cell r="BP54">
            <v>1010</v>
          </cell>
          <cell r="BQ54">
            <v>994</v>
          </cell>
          <cell r="BR54">
            <v>2004</v>
          </cell>
          <cell r="BS54">
            <v>1196</v>
          </cell>
          <cell r="BT54">
            <v>3200</v>
          </cell>
          <cell r="BU54">
            <v>517</v>
          </cell>
          <cell r="BV54">
            <v>193</v>
          </cell>
          <cell r="BW54">
            <v>710</v>
          </cell>
          <cell r="BX54">
            <v>98</v>
          </cell>
          <cell r="BY54">
            <v>808</v>
          </cell>
          <cell r="BZ54">
            <v>65</v>
          </cell>
          <cell r="CA54">
            <v>873</v>
          </cell>
          <cell r="CB54">
            <v>252</v>
          </cell>
          <cell r="CC54">
            <v>10</v>
          </cell>
          <cell r="CD54">
            <v>262</v>
          </cell>
          <cell r="CE54">
            <v>41.519255611685359</v>
          </cell>
          <cell r="CF54">
            <v>303.51925561168537</v>
          </cell>
          <cell r="CG54">
            <v>28.481487412947001</v>
          </cell>
          <cell r="CH54">
            <v>332.00074302463236</v>
          </cell>
          <cell r="CI54">
            <v>195.2288310581728</v>
          </cell>
          <cell r="CJ54">
            <v>8.3574316829237372</v>
          </cell>
          <cell r="CK54">
            <v>203.58626274109653</v>
          </cell>
          <cell r="CL54">
            <v>37.274584116875218</v>
          </cell>
          <cell r="CM54">
            <v>240.86084685797175</v>
          </cell>
          <cell r="CN54">
            <v>26.456705706447647</v>
          </cell>
          <cell r="CO54">
            <v>267.31755256441937</v>
          </cell>
          <cell r="CP54">
            <v>252.35817629315409</v>
          </cell>
          <cell r="CQ54">
            <v>239.74026747849638</v>
          </cell>
          <cell r="CR54">
            <v>227.75325410457154</v>
          </cell>
          <cell r="CS54">
            <v>223.19818902248011</v>
          </cell>
          <cell r="CT54">
            <v>218.7342252420305</v>
          </cell>
          <cell r="CU54">
            <v>214.35954073718989</v>
          </cell>
          <cell r="CV54">
            <v>210.07234992244608</v>
          </cell>
          <cell r="CW54">
            <v>205.87090292399716</v>
          </cell>
          <cell r="CX54">
            <v>0.75421825971055501</v>
          </cell>
          <cell r="CY54">
            <v>0.16420361247947454</v>
          </cell>
          <cell r="CZ54">
            <v>1</v>
          </cell>
          <cell r="DA54">
            <v>0.50714285714285712</v>
          </cell>
          <cell r="DB54">
            <v>0.75409836065573765</v>
          </cell>
          <cell r="DC54">
            <v>-0.82499999999999996</v>
          </cell>
          <cell r="DD54">
            <v>1.0789473684210527</v>
          </cell>
          <cell r="DE54">
            <v>-0.26503340757238303</v>
          </cell>
          <cell r="DF54">
            <v>2.925925925925926</v>
          </cell>
          <cell r="DG54">
            <v>7.2105263157894743</v>
          </cell>
          <cell r="DH54">
            <v>1.5363636363636362</v>
          </cell>
          <cell r="DI54">
            <v>6.5161290322580649</v>
          </cell>
          <cell r="DJ54">
            <v>3.7212121212121216</v>
          </cell>
          <cell r="DK54">
            <v>0.41745283018867929</v>
          </cell>
          <cell r="DL54">
            <v>1.3076923076923075</v>
          </cell>
          <cell r="DM54">
            <v>1.3978494623655915</v>
          </cell>
          <cell r="DN54">
            <v>0.42632331902718179</v>
          </cell>
          <cell r="DO54">
            <v>0.68613607188703463</v>
          </cell>
          <cell r="DP54">
            <v>0.43926788685524132</v>
          </cell>
          <cell r="DQ54">
            <v>0.25277777777777777</v>
          </cell>
          <cell r="DR54">
            <v>-0.61584454409566525</v>
          </cell>
          <cell r="DS54">
            <v>-0.48645937813440321</v>
          </cell>
          <cell r="DT54">
            <v>-0.19603472475119976</v>
          </cell>
          <cell r="DU54">
            <v>-0.65377829676590582</v>
          </cell>
          <cell r="DV54">
            <v>-0.93883094824753288</v>
          </cell>
          <cell r="DW54">
            <v>-0.47970768610219194</v>
          </cell>
          <cell r="DX54">
            <v>-0.64562987818643247</v>
          </cell>
          <cell r="DY54">
            <v>-0.6900405946933974</v>
          </cell>
          <cell r="DZ54">
            <v>-0.6</v>
          </cell>
          <cell r="EA54">
            <v>-0.2</v>
          </cell>
          <cell r="EB54">
            <v>-0.2</v>
          </cell>
          <cell r="EC54">
            <v>-0.2</v>
          </cell>
          <cell r="ED54">
            <v>4.2545155993431854</v>
          </cell>
          <cell r="EE54">
            <v>-0.6900405946933974</v>
          </cell>
          <cell r="EF54">
            <v>-0.6</v>
          </cell>
          <cell r="EG54">
            <v>-0.2</v>
          </cell>
          <cell r="EH54">
            <v>-0.2</v>
          </cell>
          <cell r="EI54">
            <v>-0.72718749999999999</v>
          </cell>
          <cell r="EJ54">
            <v>-0.5</v>
          </cell>
          <cell r="EK54">
            <v>-0.5</v>
          </cell>
          <cell r="EL54">
            <v>-0.5</v>
          </cell>
          <cell r="EM54">
            <v>-0.5</v>
          </cell>
          <cell r="EN54">
            <v>-0.53735910237256079</v>
          </cell>
          <cell r="EO54">
            <v>-0.15</v>
          </cell>
          <cell r="EP54">
            <v>-0.1</v>
          </cell>
          <cell r="EQ54">
            <v>-0.05</v>
          </cell>
          <cell r="ER54">
            <v>-0.05</v>
          </cell>
          <cell r="ES54">
            <v>-0.02</v>
          </cell>
          <cell r="ET54">
            <v>-0.02</v>
          </cell>
          <cell r="EU54">
            <v>-0.02</v>
          </cell>
          <cell r="EV54">
            <v>-0.02</v>
          </cell>
          <cell r="EW54">
            <v>-0.02</v>
          </cell>
          <cell r="EX54">
            <v>-0.15</v>
          </cell>
          <cell r="EY54">
            <v>-0.19482845089721346</v>
          </cell>
          <cell r="EZ54">
            <v>-0.1</v>
          </cell>
          <cell r="FA54">
            <v>-0.05</v>
          </cell>
          <cell r="FB54">
            <v>-0.05</v>
          </cell>
          <cell r="FC54">
            <v>-0.02</v>
          </cell>
          <cell r="FD54">
            <v>-0.02</v>
          </cell>
          <cell r="FE54">
            <v>-0.02</v>
          </cell>
          <cell r="FF54">
            <v>-0.02</v>
          </cell>
          <cell r="FG54">
            <v>-0.02</v>
          </cell>
        </row>
        <row r="55">
          <cell r="A55" t="str">
            <v>Cardiology / Respiratory Total</v>
          </cell>
          <cell r="B55">
            <v>940</v>
          </cell>
          <cell r="C55">
            <v>212</v>
          </cell>
          <cell r="D55">
            <v>278</v>
          </cell>
          <cell r="E55">
            <v>490</v>
          </cell>
          <cell r="F55">
            <v>328</v>
          </cell>
          <cell r="G55">
            <v>818</v>
          </cell>
          <cell r="H55">
            <v>300</v>
          </cell>
          <cell r="I55">
            <v>1118</v>
          </cell>
          <cell r="J55">
            <v>304.39999999999998</v>
          </cell>
          <cell r="K55">
            <v>278.29777200000001</v>
          </cell>
          <cell r="L55">
            <v>762.69777199999999</v>
          </cell>
          <cell r="M55">
            <v>291.502228</v>
          </cell>
          <cell r="N55">
            <v>874.2</v>
          </cell>
          <cell r="O55">
            <v>324.39999999999998</v>
          </cell>
          <cell r="P55">
            <v>1198.5999999999999</v>
          </cell>
          <cell r="Q55">
            <v>339</v>
          </cell>
          <cell r="R55">
            <v>262</v>
          </cell>
          <cell r="S55">
            <v>601</v>
          </cell>
          <cell r="T55">
            <v>300.34257425742572</v>
          </cell>
          <cell r="U55">
            <v>901.34257425742567</v>
          </cell>
          <cell r="V55">
            <v>342.05872800000009</v>
          </cell>
          <cell r="W55">
            <v>1243.4013022574259</v>
          </cell>
          <cell r="X55">
            <v>338</v>
          </cell>
          <cell r="Y55">
            <v>258</v>
          </cell>
          <cell r="Z55">
            <v>596</v>
          </cell>
          <cell r="AA55">
            <v>254</v>
          </cell>
          <cell r="AB55">
            <v>850</v>
          </cell>
          <cell r="AC55">
            <v>597</v>
          </cell>
          <cell r="AD55">
            <v>1447</v>
          </cell>
          <cell r="AE55">
            <v>359</v>
          </cell>
          <cell r="AF55">
            <v>269</v>
          </cell>
          <cell r="AG55">
            <v>628</v>
          </cell>
          <cell r="AH55">
            <v>358</v>
          </cell>
          <cell r="AI55">
            <v>986</v>
          </cell>
          <cell r="AJ55">
            <v>318</v>
          </cell>
          <cell r="AK55">
            <v>1304</v>
          </cell>
          <cell r="AL55">
            <v>663</v>
          </cell>
          <cell r="AM55">
            <v>409</v>
          </cell>
          <cell r="AN55">
            <v>1072</v>
          </cell>
          <cell r="AO55">
            <v>542</v>
          </cell>
          <cell r="AP55">
            <v>1614</v>
          </cell>
          <cell r="AQ55">
            <v>973</v>
          </cell>
          <cell r="AR55">
            <v>2587</v>
          </cell>
          <cell r="AS55">
            <v>1003</v>
          </cell>
          <cell r="AT55">
            <v>764</v>
          </cell>
          <cell r="AU55">
            <v>1767</v>
          </cell>
          <cell r="AV55">
            <v>1076</v>
          </cell>
          <cell r="AW55">
            <v>2843</v>
          </cell>
          <cell r="AX55">
            <v>1423</v>
          </cell>
          <cell r="AY55">
            <v>4266</v>
          </cell>
          <cell r="AZ55">
            <v>1285</v>
          </cell>
          <cell r="BA55">
            <v>900</v>
          </cell>
          <cell r="BB55">
            <v>2185</v>
          </cell>
          <cell r="BC55">
            <v>690</v>
          </cell>
          <cell r="BD55">
            <v>2875</v>
          </cell>
          <cell r="BE55">
            <v>931</v>
          </cell>
          <cell r="BF55">
            <v>3806</v>
          </cell>
          <cell r="BG55">
            <v>662</v>
          </cell>
          <cell r="BH55">
            <v>416</v>
          </cell>
          <cell r="BI55">
            <v>1078</v>
          </cell>
          <cell r="BJ55">
            <v>526</v>
          </cell>
          <cell r="BK55">
            <v>1604</v>
          </cell>
          <cell r="BL55">
            <v>623</v>
          </cell>
          <cell r="BM55">
            <v>2227</v>
          </cell>
          <cell r="BN55">
            <v>849</v>
          </cell>
          <cell r="BO55">
            <v>1043</v>
          </cell>
          <cell r="BP55">
            <v>1892</v>
          </cell>
          <cell r="BQ55">
            <v>1428</v>
          </cell>
          <cell r="BR55">
            <v>3320</v>
          </cell>
          <cell r="BS55">
            <v>1641</v>
          </cell>
          <cell r="BT55">
            <v>4961</v>
          </cell>
          <cell r="BU55">
            <v>958</v>
          </cell>
          <cell r="BV55">
            <v>660</v>
          </cell>
          <cell r="BW55">
            <v>1618</v>
          </cell>
          <cell r="BX55">
            <v>548</v>
          </cell>
          <cell r="BY55">
            <v>2166</v>
          </cell>
          <cell r="BZ55">
            <v>499</v>
          </cell>
          <cell r="CA55">
            <v>2665</v>
          </cell>
          <cell r="CB55">
            <v>692</v>
          </cell>
          <cell r="CC55">
            <v>419.93614141015416</v>
          </cell>
          <cell r="CD55">
            <v>1111.9361414101541</v>
          </cell>
          <cell r="CE55">
            <v>421.35176540929297</v>
          </cell>
          <cell r="CF55">
            <v>1533.287906819447</v>
          </cell>
          <cell r="CG55">
            <v>409.89945955154008</v>
          </cell>
          <cell r="CH55">
            <v>1943.1873663709871</v>
          </cell>
          <cell r="CI55">
            <v>604.49184514715762</v>
          </cell>
          <cell r="CJ55">
            <v>421.1422493073207</v>
          </cell>
          <cell r="CK55">
            <v>1025.6340944544784</v>
          </cell>
          <cell r="CL55">
            <v>444.17212806007512</v>
          </cell>
          <cell r="CM55">
            <v>1469.8062225145536</v>
          </cell>
          <cell r="CN55">
            <v>449.28282359683573</v>
          </cell>
          <cell r="CO55">
            <v>1919.0890461113893</v>
          </cell>
          <cell r="CP55">
            <v>2025.6307509845738</v>
          </cell>
          <cell r="CQ55">
            <v>1956.2988119977415</v>
          </cell>
          <cell r="CR55">
            <v>1876.6672092328722</v>
          </cell>
          <cell r="CS55">
            <v>1811.6822912751813</v>
          </cell>
          <cell r="CT55">
            <v>1753.3722404207172</v>
          </cell>
          <cell r="CU55">
            <v>1701.1650961905043</v>
          </cell>
          <cell r="CV55">
            <v>1654.5438420280805</v>
          </cell>
          <cell r="CW55">
            <v>1613.0410652515125</v>
          </cell>
          <cell r="CX55">
            <v>0.78294352122861011</v>
          </cell>
        </row>
        <row r="57">
          <cell r="A57" t="str">
            <v>Rocephin</v>
          </cell>
          <cell r="B57">
            <v>1710</v>
          </cell>
          <cell r="C57">
            <v>420</v>
          </cell>
          <cell r="D57">
            <v>475</v>
          </cell>
          <cell r="E57">
            <v>895</v>
          </cell>
          <cell r="F57">
            <v>386</v>
          </cell>
          <cell r="G57">
            <v>1281</v>
          </cell>
          <cell r="H57">
            <v>435</v>
          </cell>
          <cell r="I57">
            <v>1698</v>
          </cell>
          <cell r="J57">
            <v>524</v>
          </cell>
          <cell r="K57">
            <v>389</v>
          </cell>
          <cell r="L57">
            <v>913</v>
          </cell>
          <cell r="M57">
            <v>311</v>
          </cell>
          <cell r="N57">
            <v>1224</v>
          </cell>
          <cell r="O57">
            <v>324</v>
          </cell>
          <cell r="P57">
            <v>1548</v>
          </cell>
          <cell r="Q57">
            <v>379</v>
          </cell>
          <cell r="R57">
            <v>333</v>
          </cell>
          <cell r="S57">
            <v>712</v>
          </cell>
          <cell r="T57">
            <v>311</v>
          </cell>
          <cell r="U57">
            <v>1023</v>
          </cell>
          <cell r="V57">
            <v>318.45052800000002</v>
          </cell>
          <cell r="W57">
            <v>1341.4505280000001</v>
          </cell>
          <cell r="X57">
            <v>370</v>
          </cell>
          <cell r="Y57">
            <v>328</v>
          </cell>
          <cell r="Z57">
            <v>698</v>
          </cell>
          <cell r="AA57">
            <v>309</v>
          </cell>
          <cell r="AB57">
            <v>1007</v>
          </cell>
          <cell r="AC57">
            <v>368</v>
          </cell>
          <cell r="AD57">
            <v>1375</v>
          </cell>
          <cell r="AE57">
            <v>369</v>
          </cell>
          <cell r="AF57">
            <v>305</v>
          </cell>
          <cell r="AG57">
            <v>674</v>
          </cell>
          <cell r="AH57">
            <v>307</v>
          </cell>
          <cell r="AI57">
            <v>981</v>
          </cell>
          <cell r="AJ57">
            <v>321</v>
          </cell>
          <cell r="AK57">
            <v>1302</v>
          </cell>
          <cell r="AL57">
            <v>330</v>
          </cell>
          <cell r="AM57">
            <v>284</v>
          </cell>
          <cell r="AN57">
            <v>614</v>
          </cell>
          <cell r="AO57">
            <v>152</v>
          </cell>
          <cell r="AP57">
            <v>766</v>
          </cell>
          <cell r="AQ57">
            <v>161</v>
          </cell>
          <cell r="AR57">
            <v>927</v>
          </cell>
          <cell r="AS57">
            <v>110</v>
          </cell>
          <cell r="AT57">
            <v>106</v>
          </cell>
          <cell r="AU57">
            <v>216</v>
          </cell>
          <cell r="AV57">
            <v>96</v>
          </cell>
          <cell r="AW57">
            <v>312</v>
          </cell>
          <cell r="AX57">
            <v>104</v>
          </cell>
          <cell r="AY57">
            <v>416</v>
          </cell>
          <cell r="AZ57">
            <v>100</v>
          </cell>
          <cell r="BA57">
            <v>104</v>
          </cell>
          <cell r="BB57">
            <v>204</v>
          </cell>
          <cell r="BC57">
            <v>94</v>
          </cell>
          <cell r="BD57">
            <v>298</v>
          </cell>
          <cell r="BE57">
            <v>100</v>
          </cell>
          <cell r="BF57">
            <v>398</v>
          </cell>
          <cell r="BG57">
            <v>91</v>
          </cell>
          <cell r="BH57">
            <v>85</v>
          </cell>
          <cell r="BI57">
            <v>176</v>
          </cell>
          <cell r="BJ57">
            <v>76</v>
          </cell>
          <cell r="BK57">
            <v>252</v>
          </cell>
          <cell r="BL57">
            <v>92</v>
          </cell>
          <cell r="BM57">
            <v>344</v>
          </cell>
          <cell r="BN57">
            <v>77</v>
          </cell>
          <cell r="BO57">
            <v>87</v>
          </cell>
          <cell r="BP57">
            <v>164</v>
          </cell>
          <cell r="BQ57">
            <v>73</v>
          </cell>
          <cell r="BR57">
            <v>237</v>
          </cell>
          <cell r="BS57">
            <v>70</v>
          </cell>
          <cell r="BT57">
            <v>307</v>
          </cell>
          <cell r="BU57">
            <v>82</v>
          </cell>
          <cell r="BV57">
            <v>83</v>
          </cell>
          <cell r="BW57">
            <v>165</v>
          </cell>
          <cell r="BX57">
            <v>77</v>
          </cell>
          <cell r="BY57">
            <v>242</v>
          </cell>
          <cell r="BZ57">
            <v>69</v>
          </cell>
          <cell r="CA57">
            <v>311</v>
          </cell>
          <cell r="CB57">
            <v>73</v>
          </cell>
          <cell r="CC57">
            <v>50</v>
          </cell>
          <cell r="CD57">
            <v>123</v>
          </cell>
          <cell r="CE57">
            <v>61.982317306015993</v>
          </cell>
          <cell r="CF57">
            <v>184.982317306016</v>
          </cell>
          <cell r="CG57">
            <v>57.444969228266949</v>
          </cell>
          <cell r="CH57">
            <v>242.42728653428296</v>
          </cell>
          <cell r="CI57">
            <v>63.207840494324387</v>
          </cell>
          <cell r="CJ57">
            <v>46.703294698691472</v>
          </cell>
          <cell r="CK57">
            <v>109.91113519301587</v>
          </cell>
          <cell r="CL57">
            <v>62.192173751307337</v>
          </cell>
          <cell r="CM57">
            <v>172.1033089443232</v>
          </cell>
          <cell r="CN57">
            <v>59.638921487955152</v>
          </cell>
          <cell r="CO57">
            <v>231.74223043227835</v>
          </cell>
          <cell r="CP57">
            <v>230.927780989404</v>
          </cell>
          <cell r="CQ57">
            <v>219.38139193993379</v>
          </cell>
          <cell r="CR57">
            <v>208.4123223429371</v>
          </cell>
          <cell r="CS57">
            <v>197.99170622579024</v>
          </cell>
          <cell r="CT57">
            <v>-7.0175438596491446E-3</v>
          </cell>
          <cell r="CU57">
            <v>-8.8339222614840951E-2</v>
          </cell>
          <cell r="CV57">
            <v>-0.27671755725190839</v>
          </cell>
          <cell r="CW57">
            <v>-0.14395886889460152</v>
          </cell>
          <cell r="CX57">
            <v>-0.22015334063526837</v>
          </cell>
          <cell r="CY57">
            <v>0.02</v>
          </cell>
          <cell r="CZ57">
            <v>-0.13342989147286821</v>
          </cell>
          <cell r="DA57">
            <v>-2.7027027027026751E-3</v>
          </cell>
          <cell r="DB57">
            <v>-7.0121951219512146E-2</v>
          </cell>
          <cell r="DC57">
            <v>-6.4724919093851474E-3</v>
          </cell>
          <cell r="DD57">
            <v>-2.5819265143992021E-2</v>
          </cell>
          <cell r="DE57">
            <v>-2.9408857931434662E-2</v>
          </cell>
          <cell r="DF57">
            <v>-0.13342989147286821</v>
          </cell>
          <cell r="DG57">
            <v>-2.7027027027026751E-3</v>
          </cell>
          <cell r="DH57">
            <v>-0.50488599348534202</v>
          </cell>
          <cell r="DI57">
            <v>-0.49844236760124616</v>
          </cell>
          <cell r="DJ57">
            <v>-0.28801843317972353</v>
          </cell>
          <cell r="DK57">
            <v>-0.66666666666666674</v>
          </cell>
          <cell r="DL57">
            <v>-0.62676056338028174</v>
          </cell>
          <cell r="DM57">
            <v>-0.36842105263157898</v>
          </cell>
          <cell r="DN57">
            <v>-0.35403726708074534</v>
          </cell>
          <cell r="DO57">
            <v>-0.55124056094929874</v>
          </cell>
          <cell r="DP57">
            <v>-9.0909090909090939E-2</v>
          </cell>
          <cell r="DQ57">
            <v>-1.8867924528301883E-2</v>
          </cell>
          <cell r="DR57">
            <v>-2.083333333333337E-2</v>
          </cell>
          <cell r="DS57">
            <v>-3.8461538461538436E-2</v>
          </cell>
          <cell r="DT57">
            <v>-3.0872212604590832E-2</v>
          </cell>
          <cell r="DU57">
            <v>-1.9681965105333821E-2</v>
          </cell>
          <cell r="DV57">
            <v>-9.8109385026605267E-2</v>
          </cell>
          <cell r="DW57">
            <v>-0.13511919361259683</v>
          </cell>
          <cell r="DX57">
            <v>-7.7776231054901168E-2</v>
          </cell>
          <cell r="DY57">
            <v>-8.2789630161862027E-2</v>
          </cell>
          <cell r="DZ57">
            <v>-0.08</v>
          </cell>
          <cell r="EA57">
            <v>-0.08</v>
          </cell>
          <cell r="EB57">
            <v>-0.08</v>
          </cell>
          <cell r="EC57">
            <v>-0.08</v>
          </cell>
          <cell r="ED57">
            <v>-8.5691663162355769E-2</v>
          </cell>
          <cell r="EE57">
            <v>-0.05</v>
          </cell>
          <cell r="EF57">
            <v>-0.05</v>
          </cell>
          <cell r="EG57">
            <v>-0.05</v>
          </cell>
          <cell r="EH57">
            <v>-0.05</v>
          </cell>
          <cell r="EI57">
            <v>1.3029315960912058E-2</v>
          </cell>
          <cell r="EJ57">
            <v>-0.05</v>
          </cell>
          <cell r="EK57">
            <v>-0.05</v>
          </cell>
          <cell r="EL57">
            <v>-0.05</v>
          </cell>
          <cell r="EM57">
            <v>-0.05</v>
          </cell>
          <cell r="EN57">
            <v>-0.16321430140921889</v>
          </cell>
          <cell r="EO57">
            <v>-0.05</v>
          </cell>
          <cell r="EP57">
            <v>-0.05</v>
          </cell>
          <cell r="EQ57">
            <v>-0.05</v>
          </cell>
          <cell r="ER57">
            <v>-0.05</v>
          </cell>
          <cell r="ES57">
            <v>-0.05</v>
          </cell>
          <cell r="ET57">
            <v>-0.22049104008269149</v>
          </cell>
          <cell r="EU57">
            <v>-0.05</v>
          </cell>
          <cell r="EV57">
            <v>-0.05</v>
          </cell>
          <cell r="EW57">
            <v>-0.05</v>
          </cell>
          <cell r="EX57">
            <v>-0.05</v>
          </cell>
          <cell r="EY57">
            <v>-4.4075302969220687E-2</v>
          </cell>
          <cell r="EZ57">
            <v>-0.05</v>
          </cell>
        </row>
        <row r="58">
          <cell r="A58" t="str">
            <v>Madopar</v>
          </cell>
          <cell r="B58">
            <v>246</v>
          </cell>
          <cell r="C58">
            <v>61</v>
          </cell>
          <cell r="D58">
            <v>62</v>
          </cell>
          <cell r="E58">
            <v>123</v>
          </cell>
          <cell r="F58">
            <v>61</v>
          </cell>
          <cell r="G58">
            <v>184</v>
          </cell>
          <cell r="H58">
            <v>62</v>
          </cell>
          <cell r="I58">
            <v>246</v>
          </cell>
          <cell r="J58">
            <v>60</v>
          </cell>
          <cell r="K58">
            <v>60</v>
          </cell>
          <cell r="L58">
            <v>120</v>
          </cell>
          <cell r="M58">
            <v>60</v>
          </cell>
          <cell r="N58">
            <v>180</v>
          </cell>
          <cell r="O58">
            <v>59</v>
          </cell>
          <cell r="P58">
            <v>239</v>
          </cell>
          <cell r="Q58">
            <v>57</v>
          </cell>
          <cell r="R58">
            <v>60</v>
          </cell>
          <cell r="S58">
            <v>117</v>
          </cell>
          <cell r="T58">
            <v>62</v>
          </cell>
          <cell r="U58">
            <v>179</v>
          </cell>
          <cell r="V58">
            <v>56.852400000000003</v>
          </cell>
          <cell r="W58">
            <v>235.85239999999999</v>
          </cell>
          <cell r="X58">
            <v>57</v>
          </cell>
          <cell r="Y58">
            <v>60</v>
          </cell>
          <cell r="Z58">
            <v>117</v>
          </cell>
          <cell r="AA58">
            <v>61</v>
          </cell>
          <cell r="AB58">
            <v>178</v>
          </cell>
          <cell r="AC58">
            <v>63</v>
          </cell>
          <cell r="AD58">
            <v>241</v>
          </cell>
          <cell r="AE58">
            <v>61</v>
          </cell>
          <cell r="AF58">
            <v>63</v>
          </cell>
          <cell r="AG58">
            <v>124</v>
          </cell>
          <cell r="AH58">
            <v>62</v>
          </cell>
          <cell r="AI58">
            <v>186</v>
          </cell>
          <cell r="AJ58">
            <v>59</v>
          </cell>
          <cell r="AK58">
            <v>245</v>
          </cell>
          <cell r="AL58">
            <v>58</v>
          </cell>
          <cell r="AM58">
            <v>60</v>
          </cell>
          <cell r="AN58">
            <v>118</v>
          </cell>
          <cell r="AO58">
            <v>61</v>
          </cell>
          <cell r="AP58">
            <v>179</v>
          </cell>
          <cell r="AQ58">
            <v>61</v>
          </cell>
          <cell r="AR58">
            <v>240</v>
          </cell>
          <cell r="BU58">
            <v>75</v>
          </cell>
          <cell r="CB58">
            <v>75</v>
          </cell>
          <cell r="CC58">
            <v>75</v>
          </cell>
          <cell r="CD58">
            <v>150</v>
          </cell>
          <cell r="CT58">
            <v>0</v>
          </cell>
          <cell r="CU58">
            <v>-2.8455284552845517E-2</v>
          </cell>
          <cell r="CV58">
            <v>-5.0000000000000044E-2</v>
          </cell>
          <cell r="CW58">
            <v>0</v>
          </cell>
          <cell r="CX58">
            <v>-2.5000000000000022E-2</v>
          </cell>
          <cell r="CY58">
            <v>0</v>
          </cell>
          <cell r="CZ58">
            <v>0</v>
          </cell>
          <cell r="DA58">
            <v>-2.8455284552845517E-2</v>
          </cell>
          <cell r="DB58">
            <v>-5.0000000000000044E-2</v>
          </cell>
          <cell r="DC58">
            <v>0</v>
          </cell>
          <cell r="DD58">
            <v>-2.5000000000000022E-2</v>
          </cell>
          <cell r="DE58">
            <v>0</v>
          </cell>
          <cell r="DF58">
            <v>-1.3169874476987475E-2</v>
          </cell>
          <cell r="DG58">
            <v>7.0175438596491224E-2</v>
          </cell>
          <cell r="DH58">
            <v>5.0000000000000044E-2</v>
          </cell>
          <cell r="DI58">
            <v>1.6393442622950838E-2</v>
          </cell>
          <cell r="DJ58">
            <v>4.4943820224719211E-2</v>
          </cell>
          <cell r="DK58">
            <v>3.8785274179953255E-2</v>
          </cell>
          <cell r="DL58">
            <v>-4.9180327868852514E-2</v>
          </cell>
          <cell r="DM58">
            <v>-4.7619047619047672E-2</v>
          </cell>
          <cell r="DN58">
            <v>-1.6129032258064502E-2</v>
          </cell>
          <cell r="DO58">
            <v>3.3898305084745672E-2</v>
          </cell>
          <cell r="DP58">
            <v>-2.0408163265306145E-2</v>
          </cell>
        </row>
        <row r="59">
          <cell r="A59" t="str">
            <v>Roaccutane</v>
          </cell>
          <cell r="B59">
            <v>1280</v>
          </cell>
          <cell r="C59">
            <v>360</v>
          </cell>
          <cell r="D59">
            <v>254</v>
          </cell>
          <cell r="E59">
            <v>614</v>
          </cell>
          <cell r="F59">
            <v>231.8</v>
          </cell>
          <cell r="G59">
            <v>845.8</v>
          </cell>
          <cell r="H59">
            <v>320.39999999999998</v>
          </cell>
          <cell r="I59">
            <v>1166.2</v>
          </cell>
          <cell r="J59">
            <v>315</v>
          </cell>
          <cell r="K59">
            <v>254</v>
          </cell>
          <cell r="L59">
            <v>569</v>
          </cell>
          <cell r="M59">
            <v>183</v>
          </cell>
          <cell r="N59">
            <v>752</v>
          </cell>
          <cell r="O59">
            <v>159</v>
          </cell>
          <cell r="P59">
            <v>911</v>
          </cell>
          <cell r="Q59">
            <v>180</v>
          </cell>
          <cell r="R59">
            <v>135</v>
          </cell>
          <cell r="S59">
            <v>315</v>
          </cell>
          <cell r="T59">
            <v>109</v>
          </cell>
          <cell r="U59">
            <v>424</v>
          </cell>
          <cell r="V59">
            <v>107.24867999999999</v>
          </cell>
          <cell r="W59">
            <v>531.24868000000004</v>
          </cell>
          <cell r="X59">
            <v>358</v>
          </cell>
          <cell r="Y59">
            <v>115</v>
          </cell>
          <cell r="Z59">
            <v>473</v>
          </cell>
          <cell r="AA59">
            <v>109</v>
          </cell>
          <cell r="AB59">
            <v>582</v>
          </cell>
          <cell r="AC59">
            <v>113</v>
          </cell>
          <cell r="AD59">
            <v>695</v>
          </cell>
          <cell r="AE59">
            <v>116</v>
          </cell>
          <cell r="AF59">
            <v>94</v>
          </cell>
          <cell r="AG59">
            <v>210</v>
          </cell>
          <cell r="AH59">
            <v>43</v>
          </cell>
          <cell r="AI59">
            <v>253</v>
          </cell>
          <cell r="AJ59">
            <v>63</v>
          </cell>
          <cell r="AK59">
            <v>316</v>
          </cell>
          <cell r="AL59">
            <v>81</v>
          </cell>
          <cell r="AM59">
            <v>62</v>
          </cell>
          <cell r="AN59">
            <v>143</v>
          </cell>
          <cell r="AO59">
            <v>33</v>
          </cell>
          <cell r="AP59">
            <v>176</v>
          </cell>
          <cell r="AQ59">
            <v>33</v>
          </cell>
          <cell r="AR59">
            <v>209</v>
          </cell>
          <cell r="AS59">
            <v>67</v>
          </cell>
          <cell r="AT59">
            <v>59</v>
          </cell>
          <cell r="AU59">
            <v>126</v>
          </cell>
          <cell r="AV59">
            <v>31</v>
          </cell>
          <cell r="AW59">
            <v>157</v>
          </cell>
          <cell r="AX59">
            <v>31</v>
          </cell>
          <cell r="AY59">
            <v>188</v>
          </cell>
          <cell r="AZ59">
            <v>30</v>
          </cell>
          <cell r="BA59">
            <v>30</v>
          </cell>
          <cell r="BB59">
            <v>60</v>
          </cell>
          <cell r="BC59">
            <v>30</v>
          </cell>
          <cell r="BD59">
            <v>90</v>
          </cell>
          <cell r="BE59">
            <v>29</v>
          </cell>
          <cell r="BF59">
            <v>119</v>
          </cell>
          <cell r="BG59">
            <v>26</v>
          </cell>
          <cell r="BH59">
            <v>26</v>
          </cell>
          <cell r="BI59">
            <v>52</v>
          </cell>
          <cell r="BJ59">
            <v>27</v>
          </cell>
          <cell r="BK59">
            <v>79</v>
          </cell>
          <cell r="BL59">
            <v>25</v>
          </cell>
          <cell r="BM59">
            <v>104</v>
          </cell>
          <cell r="BN59">
            <v>25</v>
          </cell>
          <cell r="BO59">
            <v>25</v>
          </cell>
          <cell r="BP59">
            <v>50</v>
          </cell>
          <cell r="BQ59">
            <v>25</v>
          </cell>
          <cell r="BR59">
            <v>75</v>
          </cell>
          <cell r="BS59">
            <v>25</v>
          </cell>
          <cell r="BT59">
            <v>100</v>
          </cell>
          <cell r="BU59">
            <v>24</v>
          </cell>
          <cell r="BV59">
            <v>24</v>
          </cell>
          <cell r="BW59">
            <v>48</v>
          </cell>
          <cell r="BX59">
            <v>23</v>
          </cell>
          <cell r="BY59">
            <v>71</v>
          </cell>
          <cell r="BZ59">
            <v>23</v>
          </cell>
          <cell r="CA59">
            <v>94</v>
          </cell>
          <cell r="CB59">
            <v>21</v>
          </cell>
          <cell r="CC59">
            <v>19.708099900415448</v>
          </cell>
          <cell r="CD59">
            <v>40.708099900415448</v>
          </cell>
          <cell r="CE59">
            <v>19.098857581375263</v>
          </cell>
          <cell r="CF59">
            <v>59.806957481790711</v>
          </cell>
          <cell r="CG59">
            <v>19.753006962702319</v>
          </cell>
          <cell r="CH59">
            <v>79.559964444493033</v>
          </cell>
          <cell r="CI59">
            <v>18.757279846765623</v>
          </cell>
          <cell r="CJ59">
            <v>18.989990182070478</v>
          </cell>
          <cell r="CK59">
            <v>37.747270028836098</v>
          </cell>
          <cell r="CL59">
            <v>19.768685317514525</v>
          </cell>
          <cell r="CM59">
            <v>57.515955346350623</v>
          </cell>
          <cell r="CN59">
            <v>21.155021310076503</v>
          </cell>
          <cell r="CO59">
            <v>78.670976656427129</v>
          </cell>
          <cell r="CP59">
            <v>80.870105924776325</v>
          </cell>
          <cell r="CQ59">
            <v>76.826600628537506</v>
          </cell>
          <cell r="CR59">
            <v>72.985270597110627</v>
          </cell>
          <cell r="CS59">
            <v>69.336007067255096</v>
          </cell>
          <cell r="CT59">
            <v>-8.8906249999999964E-2</v>
          </cell>
          <cell r="CU59">
            <v>-0.21883038929857657</v>
          </cell>
          <cell r="CV59">
            <v>-0.4285714285714286</v>
          </cell>
          <cell r="CW59">
            <v>-0.46850393700787396</v>
          </cell>
          <cell r="CX59">
            <v>-0.44639718804920914</v>
          </cell>
          <cell r="CY59">
            <v>-0.3</v>
          </cell>
          <cell r="CZ59">
            <v>-0.41685106476399558</v>
          </cell>
          <cell r="DA59">
            <v>-0.67597765363128492</v>
          </cell>
          <cell r="DB59">
            <v>-0.18260869565217386</v>
          </cell>
          <cell r="DC59">
            <v>-0.60550458715596323</v>
          </cell>
          <cell r="DD59">
            <v>-0.56529209621993126</v>
          </cell>
          <cell r="DE59">
            <v>-0.40517499262304058</v>
          </cell>
          <cell r="DF59">
            <v>-0.41685106476399558</v>
          </cell>
          <cell r="DG59">
            <v>-0.67597765363128492</v>
          </cell>
          <cell r="DH59">
            <v>-0.23255813953488369</v>
          </cell>
          <cell r="DI59">
            <v>-0.47619047619047616</v>
          </cell>
          <cell r="DJ59">
            <v>-0.33860759493670889</v>
          </cell>
          <cell r="DK59">
            <v>-0.1728395061728395</v>
          </cell>
          <cell r="DL59">
            <v>-4.8387096774193505E-2</v>
          </cell>
          <cell r="DM59">
            <v>-6.0606060606060552E-2</v>
          </cell>
          <cell r="DN59">
            <v>-6.0606060606060552E-2</v>
          </cell>
          <cell r="DO59">
            <v>-0.1004784688995215</v>
          </cell>
          <cell r="DP59">
            <v>-0.55223880597014929</v>
          </cell>
          <cell r="DQ59">
            <v>-0.49152542372881358</v>
          </cell>
          <cell r="DR59">
            <v>-3.2258064516129004E-2</v>
          </cell>
          <cell r="DS59">
            <v>-6.4516129032258118E-2</v>
          </cell>
          <cell r="DT59">
            <v>-0.36702127659574468</v>
          </cell>
          <cell r="DU59">
            <v>-0.1333333333333333</v>
          </cell>
          <cell r="DV59">
            <v>-0.1333333333333333</v>
          </cell>
          <cell r="DW59">
            <v>-9.9999999999999978E-2</v>
          </cell>
          <cell r="DX59">
            <v>-0.05</v>
          </cell>
          <cell r="DY59">
            <v>-0.05</v>
          </cell>
          <cell r="DZ59">
            <v>-0.36702127659574468</v>
          </cell>
          <cell r="EA59">
            <v>-0.1333333333333333</v>
          </cell>
          <cell r="EB59">
            <v>-0.1333333333333333</v>
          </cell>
          <cell r="EC59">
            <v>-9.9999999999999978E-2</v>
          </cell>
          <cell r="ED59">
            <v>-0.02</v>
          </cell>
          <cell r="EE59">
            <v>-0.02</v>
          </cell>
          <cell r="EF59">
            <v>-0.02</v>
          </cell>
          <cell r="EG59">
            <v>-0.02</v>
          </cell>
          <cell r="EH59">
            <v>-0.02</v>
          </cell>
          <cell r="EI59">
            <v>-6.0000000000000053E-2</v>
          </cell>
          <cell r="EJ59">
            <v>-0.02</v>
          </cell>
          <cell r="EK59">
            <v>-0.02</v>
          </cell>
          <cell r="EL59">
            <v>-0.02</v>
          </cell>
          <cell r="EM59">
            <v>-0.02</v>
          </cell>
          <cell r="EN59">
            <v>-0.14759475033639347</v>
          </cell>
          <cell r="EO59">
            <v>-0.02</v>
          </cell>
          <cell r="EP59">
            <v>-0.02</v>
          </cell>
          <cell r="EQ59">
            <v>-0.02</v>
          </cell>
          <cell r="ER59">
            <v>-0.02</v>
          </cell>
          <cell r="ES59">
            <v>-0.02</v>
          </cell>
          <cell r="ET59">
            <v>-0.15361739952666986</v>
          </cell>
          <cell r="EU59">
            <v>-0.02</v>
          </cell>
          <cell r="EV59">
            <v>-0.02</v>
          </cell>
          <cell r="EW59">
            <v>-0.02</v>
          </cell>
          <cell r="EX59">
            <v>-0.02</v>
          </cell>
          <cell r="EY59">
            <v>-1.1173808262397222E-2</v>
          </cell>
          <cell r="EZ59">
            <v>-0.02</v>
          </cell>
        </row>
        <row r="60">
          <cell r="A60" t="str">
            <v>Lucentis</v>
          </cell>
          <cell r="AT60">
            <v>13</v>
          </cell>
          <cell r="AU60">
            <v>13</v>
          </cell>
          <cell r="AV60">
            <v>192</v>
          </cell>
          <cell r="AW60">
            <v>205</v>
          </cell>
          <cell r="AX60">
            <v>272</v>
          </cell>
          <cell r="AY60">
            <v>477</v>
          </cell>
          <cell r="AZ60">
            <v>263</v>
          </cell>
          <cell r="BA60">
            <v>261</v>
          </cell>
          <cell r="BB60">
            <v>524</v>
          </cell>
          <cell r="BC60">
            <v>239</v>
          </cell>
          <cell r="BD60">
            <v>763</v>
          </cell>
          <cell r="BE60">
            <v>228</v>
          </cell>
          <cell r="BF60">
            <v>991</v>
          </cell>
          <cell r="BG60">
            <v>215</v>
          </cell>
          <cell r="BH60">
            <v>225</v>
          </cell>
          <cell r="BI60">
            <v>440</v>
          </cell>
          <cell r="BJ60">
            <v>246</v>
          </cell>
          <cell r="BK60">
            <v>686</v>
          </cell>
          <cell r="BL60">
            <v>274</v>
          </cell>
          <cell r="BM60">
            <v>960</v>
          </cell>
          <cell r="BN60">
            <v>279</v>
          </cell>
          <cell r="BO60">
            <v>294</v>
          </cell>
          <cell r="BP60">
            <v>573</v>
          </cell>
          <cell r="BQ60">
            <v>296</v>
          </cell>
          <cell r="BR60">
            <v>869</v>
          </cell>
          <cell r="BS60">
            <v>329</v>
          </cell>
          <cell r="BT60">
            <v>1198</v>
          </cell>
          <cell r="BU60">
            <v>327</v>
          </cell>
          <cell r="BV60">
            <v>370</v>
          </cell>
          <cell r="BW60">
            <v>697</v>
          </cell>
          <cell r="BX60">
            <v>384</v>
          </cell>
          <cell r="BY60">
            <v>1081</v>
          </cell>
          <cell r="BZ60">
            <v>377</v>
          </cell>
          <cell r="CA60">
            <v>1458</v>
          </cell>
          <cell r="CB60">
            <v>392</v>
          </cell>
          <cell r="CC60">
            <v>377</v>
          </cell>
          <cell r="CD60">
            <v>769</v>
          </cell>
          <cell r="CE60">
            <v>347.08383315245993</v>
          </cell>
          <cell r="CF60">
            <v>1116.0838331524599</v>
          </cell>
          <cell r="CG60">
            <v>358.06489223919209</v>
          </cell>
          <cell r="CH60">
            <v>1474.1487253916521</v>
          </cell>
          <cell r="CI60">
            <v>380.77236573876399</v>
          </cell>
          <cell r="CJ60">
            <v>398.13358959165396</v>
          </cell>
          <cell r="CK60">
            <v>778.90595533041801</v>
          </cell>
          <cell r="CL60">
            <v>384.02580301752232</v>
          </cell>
          <cell r="CM60">
            <v>1162.9317583479403</v>
          </cell>
          <cell r="CN60">
            <v>409.8368631288352</v>
          </cell>
          <cell r="CO60">
            <v>1572.7686214767755</v>
          </cell>
          <cell r="CP60">
            <v>1468.6459991268505</v>
          </cell>
          <cell r="CQ60">
            <v>1321.7813992141655</v>
          </cell>
          <cell r="CR60">
            <v>1189.603259292749</v>
          </cell>
          <cell r="CS60">
            <v>1070.6429333634742</v>
          </cell>
          <cell r="CT60">
            <v>1070.6429333634742</v>
          </cell>
          <cell r="CU60">
            <v>1070.6429333634742</v>
          </cell>
          <cell r="CV60">
            <v>1070.6429333634742</v>
          </cell>
          <cell r="CW60">
            <v>1070.6429333634742</v>
          </cell>
          <cell r="CX60">
            <v>-0.24139558472573786</v>
          </cell>
          <cell r="CY60">
            <v>0.15</v>
          </cell>
          <cell r="DQ60">
            <v>19.076923076923077</v>
          </cell>
          <cell r="DR60">
            <v>0.24479166666666674</v>
          </cell>
          <cell r="DS60">
            <v>-0.16176470588235292</v>
          </cell>
          <cell r="DT60">
            <v>1.0775681341719077</v>
          </cell>
          <cell r="DU60">
            <v>-0.18250950570342206</v>
          </cell>
          <cell r="DV60">
            <v>-0.13793103448275867</v>
          </cell>
          <cell r="DW60">
            <v>19.076923076923077</v>
          </cell>
          <cell r="DX60">
            <v>0.24479166666666674</v>
          </cell>
          <cell r="DY60">
            <v>-3.1281533804238149E-2</v>
          </cell>
          <cell r="DZ60">
            <v>1.0775681341719077</v>
          </cell>
          <cell r="EA60">
            <v>-0.18250950570342206</v>
          </cell>
          <cell r="EB60">
            <v>-0.13793103448275867</v>
          </cell>
          <cell r="EC60">
            <v>2.9288702928870203E-2</v>
          </cell>
          <cell r="ED60">
            <v>-0.02</v>
          </cell>
          <cell r="EE60">
            <v>-3.1281533804238149E-2</v>
          </cell>
          <cell r="EI60">
            <v>0.21702838063439067</v>
          </cell>
          <cell r="EJ60">
            <v>-0.02</v>
          </cell>
          <cell r="EN60">
            <v>-2.2308952608805388E-2</v>
          </cell>
          <cell r="EO60">
            <v>0.21702838063439067</v>
          </cell>
          <cell r="EP60">
            <v>-0.1000000000000002</v>
          </cell>
          <cell r="ET60">
            <v>1.1075943341325223E-2</v>
          </cell>
          <cell r="EY60">
            <v>6.6899556595907184E-2</v>
          </cell>
          <cell r="EZ60" t="str">
            <v>mstag:lucentis</v>
          </cell>
          <cell r="FA60">
            <v>6</v>
          </cell>
          <cell r="FB60" t="str">
            <v>ISO4217:CHF</v>
          </cell>
          <cell r="FC60" t="b">
            <v>0</v>
          </cell>
          <cell r="FJ60" t="str">
            <v>mstag:lucentis</v>
          </cell>
          <cell r="FK60">
            <v>6</v>
          </cell>
          <cell r="FL60" t="str">
            <v>ISO4217:CHF</v>
          </cell>
          <cell r="FM60" t="b">
            <v>0</v>
          </cell>
        </row>
        <row r="61">
          <cell r="A61" t="str">
            <v>Lexotan</v>
          </cell>
          <cell r="B61">
            <v>290</v>
          </cell>
          <cell r="C61">
            <v>70</v>
          </cell>
          <cell r="D61">
            <v>70</v>
          </cell>
          <cell r="E61">
            <v>140</v>
          </cell>
          <cell r="F61">
            <v>74</v>
          </cell>
          <cell r="G61">
            <v>214</v>
          </cell>
          <cell r="H61">
            <v>60</v>
          </cell>
          <cell r="I61">
            <v>274</v>
          </cell>
          <cell r="J61">
            <v>61</v>
          </cell>
          <cell r="K61">
            <v>61</v>
          </cell>
          <cell r="L61">
            <v>122</v>
          </cell>
          <cell r="M61">
            <v>61</v>
          </cell>
          <cell r="N61">
            <v>183</v>
          </cell>
          <cell r="O61">
            <v>61</v>
          </cell>
          <cell r="P61">
            <v>244</v>
          </cell>
          <cell r="Q61">
            <v>53</v>
          </cell>
          <cell r="R61">
            <v>54</v>
          </cell>
          <cell r="S61">
            <v>107</v>
          </cell>
          <cell r="T61">
            <v>54</v>
          </cell>
          <cell r="U61">
            <v>161</v>
          </cell>
          <cell r="V61">
            <v>52.90164</v>
          </cell>
          <cell r="W61">
            <v>213.90163999999999</v>
          </cell>
          <cell r="X61">
            <v>52</v>
          </cell>
          <cell r="Y61">
            <v>53</v>
          </cell>
          <cell r="Z61">
            <v>105</v>
          </cell>
          <cell r="AA61">
            <v>54</v>
          </cell>
          <cell r="AB61">
            <v>159</v>
          </cell>
          <cell r="AC61">
            <v>55</v>
          </cell>
          <cell r="AD61">
            <v>214</v>
          </cell>
          <cell r="AE61">
            <v>52</v>
          </cell>
          <cell r="AF61">
            <v>50</v>
          </cell>
          <cell r="AG61">
            <v>102</v>
          </cell>
          <cell r="AH61">
            <v>49</v>
          </cell>
          <cell r="AI61">
            <v>151</v>
          </cell>
          <cell r="AJ61">
            <v>49</v>
          </cell>
          <cell r="AK61">
            <v>200</v>
          </cell>
          <cell r="AL61">
            <v>48</v>
          </cell>
          <cell r="AM61">
            <v>47</v>
          </cell>
          <cell r="AN61">
            <v>95</v>
          </cell>
          <cell r="AO61">
            <v>49</v>
          </cell>
          <cell r="AP61">
            <v>144</v>
          </cell>
          <cell r="AQ61">
            <v>49</v>
          </cell>
          <cell r="AR61">
            <v>193</v>
          </cell>
          <cell r="CT61">
            <v>-5.5172413793103448E-2</v>
          </cell>
          <cell r="CU61">
            <v>-0.10948905109489049</v>
          </cell>
          <cell r="CV61">
            <v>-0.13114754098360659</v>
          </cell>
          <cell r="CW61">
            <v>-0.11475409836065575</v>
          </cell>
          <cell r="CX61">
            <v>-0.12295081967213117</v>
          </cell>
          <cell r="CY61">
            <v>-0.1</v>
          </cell>
          <cell r="CZ61">
            <v>-5.5172413793103448E-2</v>
          </cell>
          <cell r="DA61">
            <v>-0.10948905109489049</v>
          </cell>
          <cell r="DB61">
            <v>-0.13114754098360659</v>
          </cell>
          <cell r="DC61">
            <v>-0.11475409836065575</v>
          </cell>
          <cell r="DD61">
            <v>-0.12295081967213117</v>
          </cell>
          <cell r="DE61">
            <v>-0.1</v>
          </cell>
          <cell r="DF61">
            <v>-0.12335393442622955</v>
          </cell>
          <cell r="DG61">
            <v>0</v>
          </cell>
          <cell r="DH61">
            <v>-5.6603773584905648E-2</v>
          </cell>
          <cell r="DI61">
            <v>-9.259259259259256E-2</v>
          </cell>
          <cell r="DJ61">
            <v>-5.031446540880502E-2</v>
          </cell>
          <cell r="DK61">
            <v>-6.499080605459584E-2</v>
          </cell>
          <cell r="DL61">
            <v>-7.6923076923076872E-2</v>
          </cell>
          <cell r="DM61">
            <v>-6.0000000000000053E-2</v>
          </cell>
          <cell r="DN61">
            <v>0</v>
          </cell>
          <cell r="DO61">
            <v>0</v>
          </cell>
          <cell r="DP61">
            <v>-3.5000000000000031E-2</v>
          </cell>
        </row>
        <row r="62">
          <cell r="A62" t="str">
            <v>Actemra</v>
          </cell>
          <cell r="BN62">
            <v>22</v>
          </cell>
          <cell r="BO62">
            <v>33</v>
          </cell>
          <cell r="BP62">
            <v>55</v>
          </cell>
          <cell r="BQ62">
            <v>40</v>
          </cell>
          <cell r="BR62">
            <v>95</v>
          </cell>
          <cell r="BS62">
            <v>50</v>
          </cell>
          <cell r="BT62">
            <v>145</v>
          </cell>
          <cell r="BU62">
            <v>66</v>
          </cell>
          <cell r="BV62">
            <v>89</v>
          </cell>
          <cell r="BW62">
            <v>155</v>
          </cell>
          <cell r="BX62">
            <v>107</v>
          </cell>
          <cell r="BY62">
            <v>262</v>
          </cell>
          <cell r="BZ62">
            <v>135</v>
          </cell>
          <cell r="CA62">
            <v>397</v>
          </cell>
          <cell r="CB62">
            <v>129</v>
          </cell>
          <cell r="CC62">
            <v>148</v>
          </cell>
          <cell r="CD62">
            <v>277</v>
          </cell>
          <cell r="CE62">
            <v>158.66286965894048</v>
          </cell>
          <cell r="CF62">
            <v>435.66286965894051</v>
          </cell>
          <cell r="CG62">
            <v>207.03850465565318</v>
          </cell>
          <cell r="CH62">
            <v>642.70137431459375</v>
          </cell>
          <cell r="CI62">
            <v>164.60470069610648</v>
          </cell>
          <cell r="CJ62">
            <v>203.72468761197626</v>
          </cell>
          <cell r="CK62">
            <v>368.32938830808274</v>
          </cell>
          <cell r="CL62">
            <v>234.61061767680283</v>
          </cell>
          <cell r="CM62">
            <v>602.9400059848856</v>
          </cell>
          <cell r="CN62">
            <v>316.7621868744817</v>
          </cell>
          <cell r="CO62">
            <v>919.7021928593673</v>
          </cell>
          <cell r="CP62">
            <v>1070.8227646810085</v>
          </cell>
          <cell r="CQ62">
            <v>1124.363902915059</v>
          </cell>
          <cell r="CR62">
            <v>1180.5820980608121</v>
          </cell>
          <cell r="CS62">
            <v>1215.9995610026365</v>
          </cell>
          <cell r="CT62">
            <v>1252.4795478327155</v>
          </cell>
          <cell r="CU62">
            <v>1290.0539342676971</v>
          </cell>
          <cell r="CV62">
            <v>1328.755552295728</v>
          </cell>
          <cell r="CW62">
            <v>1368.6182188645998</v>
          </cell>
          <cell r="EJ62">
            <v>1</v>
          </cell>
          <cell r="EK62">
            <v>1</v>
          </cell>
          <cell r="EL62">
            <v>0.75</v>
          </cell>
          <cell r="EM62">
            <v>0.75</v>
          </cell>
          <cell r="EN62">
            <v>0.63518409251805408</v>
          </cell>
          <cell r="EO62">
            <v>0.4</v>
          </cell>
          <cell r="EP62">
            <v>1</v>
          </cell>
          <cell r="EQ62">
            <v>1</v>
          </cell>
          <cell r="ER62">
            <v>0.75</v>
          </cell>
          <cell r="ES62">
            <v>0.75</v>
          </cell>
          <cell r="ET62">
            <v>0.61889514940703716</v>
          </cell>
          <cell r="EU62">
            <v>0.4</v>
          </cell>
          <cell r="EV62">
            <v>0.4</v>
          </cell>
          <cell r="EW62">
            <v>0.4</v>
          </cell>
          <cell r="EX62">
            <v>0.4</v>
          </cell>
          <cell r="EY62">
            <v>0.43099459502506887</v>
          </cell>
          <cell r="EZ62">
            <v>0.11</v>
          </cell>
          <cell r="FA62">
            <v>0.05</v>
          </cell>
          <cell r="FB62">
            <v>0.05</v>
          </cell>
          <cell r="FC62">
            <v>0.03</v>
          </cell>
          <cell r="FD62">
            <v>0.03</v>
          </cell>
          <cell r="FE62">
            <v>0.03</v>
          </cell>
          <cell r="FF62">
            <v>0.03</v>
          </cell>
          <cell r="FG62">
            <v>0.03</v>
          </cell>
        </row>
        <row r="63">
          <cell r="A63" t="str">
            <v>Other Total</v>
          </cell>
          <cell r="B63">
            <v>3526</v>
          </cell>
          <cell r="C63">
            <v>911</v>
          </cell>
          <cell r="D63">
            <v>861</v>
          </cell>
          <cell r="E63">
            <v>1772</v>
          </cell>
          <cell r="F63">
            <v>752.8</v>
          </cell>
          <cell r="G63">
            <v>2524.8000000000002</v>
          </cell>
          <cell r="H63">
            <v>877.4</v>
          </cell>
          <cell r="I63">
            <v>3384.2</v>
          </cell>
          <cell r="J63">
            <v>960</v>
          </cell>
          <cell r="K63">
            <v>764</v>
          </cell>
          <cell r="L63">
            <v>1724</v>
          </cell>
          <cell r="M63">
            <v>615</v>
          </cell>
          <cell r="N63">
            <v>2339</v>
          </cell>
          <cell r="O63">
            <v>603</v>
          </cell>
          <cell r="P63">
            <v>2942</v>
          </cell>
          <cell r="Q63">
            <v>669</v>
          </cell>
          <cell r="R63">
            <v>582</v>
          </cell>
          <cell r="S63">
            <v>1251</v>
          </cell>
          <cell r="T63">
            <v>536</v>
          </cell>
          <cell r="U63">
            <v>1787</v>
          </cell>
          <cell r="V63">
            <v>535.45324800000003</v>
          </cell>
          <cell r="W63">
            <v>2322.4532480000003</v>
          </cell>
          <cell r="X63">
            <v>837</v>
          </cell>
          <cell r="Y63">
            <v>556</v>
          </cell>
          <cell r="Z63">
            <v>1393</v>
          </cell>
          <cell r="AA63">
            <v>533</v>
          </cell>
          <cell r="AB63">
            <v>1926</v>
          </cell>
          <cell r="AC63">
            <v>599</v>
          </cell>
          <cell r="AD63">
            <v>2525</v>
          </cell>
          <cell r="AE63">
            <v>598</v>
          </cell>
          <cell r="AF63">
            <v>512</v>
          </cell>
          <cell r="AG63">
            <v>1110</v>
          </cell>
          <cell r="AH63">
            <v>461</v>
          </cell>
          <cell r="AI63">
            <v>1571</v>
          </cell>
          <cell r="AJ63">
            <v>492</v>
          </cell>
          <cell r="AK63">
            <v>2063</v>
          </cell>
          <cell r="AL63">
            <v>517</v>
          </cell>
          <cell r="AM63">
            <v>453</v>
          </cell>
          <cell r="AN63">
            <v>970</v>
          </cell>
          <cell r="AO63">
            <v>295</v>
          </cell>
          <cell r="AP63">
            <v>1265</v>
          </cell>
          <cell r="AQ63">
            <v>304</v>
          </cell>
          <cell r="AR63">
            <v>1569</v>
          </cell>
          <cell r="AS63">
            <v>177</v>
          </cell>
          <cell r="AT63">
            <v>178</v>
          </cell>
          <cell r="AU63">
            <v>355</v>
          </cell>
          <cell r="AV63">
            <v>319</v>
          </cell>
          <cell r="AW63">
            <v>674</v>
          </cell>
          <cell r="AX63">
            <v>407</v>
          </cell>
          <cell r="AY63">
            <v>1081</v>
          </cell>
          <cell r="AZ63">
            <v>393</v>
          </cell>
          <cell r="BA63">
            <v>395</v>
          </cell>
          <cell r="BB63">
            <v>788</v>
          </cell>
          <cell r="BC63">
            <v>363</v>
          </cell>
          <cell r="BD63">
            <v>1151</v>
          </cell>
          <cell r="BE63">
            <v>357</v>
          </cell>
          <cell r="BF63">
            <v>1508</v>
          </cell>
          <cell r="BG63">
            <v>332</v>
          </cell>
          <cell r="BH63">
            <v>336</v>
          </cell>
          <cell r="BI63">
            <v>668</v>
          </cell>
          <cell r="BJ63">
            <v>349</v>
          </cell>
          <cell r="BK63">
            <v>1017</v>
          </cell>
          <cell r="BL63">
            <v>391</v>
          </cell>
          <cell r="BM63">
            <v>1408</v>
          </cell>
          <cell r="BN63">
            <v>403</v>
          </cell>
          <cell r="BO63">
            <v>439</v>
          </cell>
          <cell r="BP63">
            <v>842</v>
          </cell>
          <cell r="BQ63">
            <v>434</v>
          </cell>
          <cell r="BR63">
            <v>1276</v>
          </cell>
          <cell r="BS63">
            <v>474</v>
          </cell>
          <cell r="BT63">
            <v>1750</v>
          </cell>
          <cell r="BU63">
            <v>574</v>
          </cell>
          <cell r="BV63">
            <v>566</v>
          </cell>
          <cell r="BW63">
            <v>1065</v>
          </cell>
          <cell r="BX63">
            <v>591</v>
          </cell>
          <cell r="BY63">
            <v>1656</v>
          </cell>
          <cell r="BZ63">
            <v>604</v>
          </cell>
          <cell r="CA63">
            <v>2260</v>
          </cell>
          <cell r="CB63">
            <v>690</v>
          </cell>
          <cell r="CC63">
            <v>669.70809990041539</v>
          </cell>
          <cell r="CD63">
            <v>1359.7080999004154</v>
          </cell>
          <cell r="CE63">
            <v>586.82787769879167</v>
          </cell>
          <cell r="CF63">
            <v>1796.5359775992072</v>
          </cell>
          <cell r="CG63">
            <v>642.30137308581448</v>
          </cell>
          <cell r="CH63">
            <v>2438.8373506850221</v>
          </cell>
          <cell r="CI63">
            <v>627.3421867759605</v>
          </cell>
          <cell r="CJ63">
            <v>667.55156208439212</v>
          </cell>
          <cell r="CK63">
            <v>1294.8937488603528</v>
          </cell>
          <cell r="CL63">
            <v>700.59727976314696</v>
          </cell>
          <cell r="CM63">
            <v>1995.4910286234997</v>
          </cell>
          <cell r="CN63">
            <v>807.39299280134856</v>
          </cell>
          <cell r="CO63">
            <v>2802.884021424848</v>
          </cell>
          <cell r="CP63">
            <v>2851.2666507220392</v>
          </cell>
          <cell r="CQ63">
            <v>2742.3532946976957</v>
          </cell>
          <cell r="CR63">
            <v>2651.5829502936085</v>
          </cell>
          <cell r="CS63">
            <v>2553.9702076591557</v>
          </cell>
          <cell r="CT63">
            <v>2577.0838088245828</v>
          </cell>
          <cell r="CU63">
            <v>2601.9601288781446</v>
          </cell>
          <cell r="CV63">
            <v>2628.5985838438269</v>
          </cell>
          <cell r="CW63">
            <v>2657.0012455034675</v>
          </cell>
          <cell r="CX63">
            <v>-0.53729141442934347</v>
          </cell>
        </row>
        <row r="66">
          <cell r="A66" t="str">
            <v>Other Pharma</v>
          </cell>
          <cell r="B66">
            <v>6656</v>
          </cell>
          <cell r="C66">
            <v>1396.5500000000002</v>
          </cell>
          <cell r="D66">
            <v>1503.9499999999998</v>
          </cell>
          <cell r="E66">
            <v>2900.5</v>
          </cell>
          <cell r="F66">
            <v>1433.7</v>
          </cell>
          <cell r="G66">
            <v>4334.2</v>
          </cell>
          <cell r="H66">
            <v>1486.1749999999997</v>
          </cell>
          <cell r="I66">
            <v>5838.8</v>
          </cell>
          <cell r="J66">
            <v>1185.5999999999999</v>
          </cell>
          <cell r="K66">
            <v>1239.9022279999999</v>
          </cell>
          <cell r="L66">
            <v>2245.5022279999998</v>
          </cell>
          <cell r="M66">
            <v>1099.2977720000001</v>
          </cell>
          <cell r="N66">
            <v>3470.8</v>
          </cell>
          <cell r="O66">
            <v>1512.6</v>
          </cell>
          <cell r="P66">
            <v>5001.3999999999996</v>
          </cell>
          <cell r="Q66">
            <v>1128</v>
          </cell>
          <cell r="R66">
            <v>1226</v>
          </cell>
          <cell r="S66">
            <v>2354</v>
          </cell>
          <cell r="T66">
            <v>1200.6574257425743</v>
          </cell>
          <cell r="U66">
            <v>3554.6574257425746</v>
          </cell>
          <cell r="V66">
            <v>1428.3905328000001</v>
          </cell>
          <cell r="W66">
            <v>4983.0479585425746</v>
          </cell>
          <cell r="X66">
            <v>886</v>
          </cell>
          <cell r="Y66">
            <v>1204</v>
          </cell>
          <cell r="Z66">
            <v>2090</v>
          </cell>
          <cell r="AA66">
            <v>1202</v>
          </cell>
          <cell r="AB66">
            <v>3292</v>
          </cell>
          <cell r="AC66">
            <v>1350</v>
          </cell>
          <cell r="AD66">
            <v>4593</v>
          </cell>
          <cell r="AE66">
            <v>1130</v>
          </cell>
          <cell r="AF66">
            <v>1213</v>
          </cell>
          <cell r="AG66">
            <v>2343</v>
          </cell>
          <cell r="AH66">
            <v>1191</v>
          </cell>
          <cell r="AI66">
            <v>3534</v>
          </cell>
          <cell r="AJ66">
            <v>1135</v>
          </cell>
          <cell r="AK66">
            <v>4669</v>
          </cell>
          <cell r="AL66">
            <v>1233</v>
          </cell>
          <cell r="AM66">
            <v>1319</v>
          </cell>
          <cell r="AN66">
            <v>2552</v>
          </cell>
          <cell r="AO66">
            <v>1291</v>
          </cell>
          <cell r="AP66">
            <v>3843</v>
          </cell>
          <cell r="AQ66">
            <v>1411</v>
          </cell>
          <cell r="AR66">
            <v>5254</v>
          </cell>
          <cell r="AS66">
            <v>1288</v>
          </cell>
          <cell r="AT66">
            <v>1365</v>
          </cell>
          <cell r="AU66">
            <v>2653</v>
          </cell>
          <cell r="AV66">
            <v>1317</v>
          </cell>
          <cell r="AW66">
            <v>3970</v>
          </cell>
          <cell r="AX66">
            <v>1361</v>
          </cell>
          <cell r="AY66">
            <v>5331</v>
          </cell>
          <cell r="AZ66">
            <v>1261</v>
          </cell>
          <cell r="BA66">
            <v>1285</v>
          </cell>
          <cell r="BB66">
            <v>2546</v>
          </cell>
          <cell r="BC66">
            <v>1236</v>
          </cell>
          <cell r="BD66">
            <v>3782</v>
          </cell>
          <cell r="BE66">
            <v>1410</v>
          </cell>
          <cell r="BF66">
            <v>5192</v>
          </cell>
          <cell r="BG66">
            <v>1087</v>
          </cell>
          <cell r="BH66">
            <v>1158</v>
          </cell>
          <cell r="BI66">
            <v>2245</v>
          </cell>
          <cell r="BJ66">
            <v>1081</v>
          </cell>
          <cell r="BK66">
            <v>3326</v>
          </cell>
          <cell r="BL66">
            <v>1234</v>
          </cell>
          <cell r="BM66">
            <v>4560</v>
          </cell>
          <cell r="BN66">
            <v>950</v>
          </cell>
          <cell r="BO66">
            <v>1023</v>
          </cell>
          <cell r="BP66">
            <v>1973</v>
          </cell>
          <cell r="BQ66">
            <v>933</v>
          </cell>
          <cell r="BR66">
            <v>2906</v>
          </cell>
          <cell r="BS66">
            <v>982</v>
          </cell>
          <cell r="BT66">
            <v>3888</v>
          </cell>
          <cell r="BU66">
            <v>844</v>
          </cell>
          <cell r="BV66">
            <v>993</v>
          </cell>
          <cell r="BW66">
            <v>1837</v>
          </cell>
          <cell r="BX66">
            <v>853</v>
          </cell>
          <cell r="BY66">
            <v>2690</v>
          </cell>
          <cell r="BZ66">
            <v>879</v>
          </cell>
          <cell r="CA66">
            <v>3569</v>
          </cell>
          <cell r="CB66">
            <v>670</v>
          </cell>
          <cell r="CC66">
            <v>740.59484531608382</v>
          </cell>
          <cell r="CD66">
            <v>1410.5948453160838</v>
          </cell>
          <cell r="CE66">
            <v>722.77398034219618</v>
          </cell>
          <cell r="CF66">
            <v>2133.36882565828</v>
          </cell>
          <cell r="CG66">
            <v>770.31469033785879</v>
          </cell>
          <cell r="CH66">
            <v>2903.6835159961388</v>
          </cell>
          <cell r="CI66">
            <v>592.3399500686578</v>
          </cell>
          <cell r="CJ66">
            <v>706.32784702600043</v>
          </cell>
          <cell r="CK66">
            <v>1298.6677970946582</v>
          </cell>
          <cell r="CL66">
            <v>740.48892302866079</v>
          </cell>
          <cell r="CM66">
            <v>2039.156720123319</v>
          </cell>
          <cell r="CN66">
            <v>816.57125742944629</v>
          </cell>
          <cell r="CO66">
            <v>2855.7279775527654</v>
          </cell>
          <cell r="CP66">
            <v>2935.5555740157729</v>
          </cell>
          <cell r="CQ66">
            <v>2935.5555740157729</v>
          </cell>
          <cell r="CR66">
            <v>2935.5555740157729</v>
          </cell>
          <cell r="CS66">
            <v>2935.5555740157729</v>
          </cell>
          <cell r="CT66">
            <v>2935.5555740157729</v>
          </cell>
          <cell r="CU66">
            <v>2935.5555740157729</v>
          </cell>
          <cell r="CV66">
            <v>2935.5555740157729</v>
          </cell>
          <cell r="CW66">
            <v>2935.5555740157729</v>
          </cell>
          <cell r="CX66">
            <v>0.96939870958569085</v>
          </cell>
          <cell r="CY66">
            <v>0.05</v>
          </cell>
          <cell r="CZ66">
            <v>-0.12277644230769225</v>
          </cell>
          <cell r="DA66">
            <v>-0.14341988079742418</v>
          </cell>
          <cell r="DB66">
            <v>-4.8582995951416907E-2</v>
          </cell>
          <cell r="DC66">
            <v>-1.1212358269913514E-2</v>
          </cell>
          <cell r="DD66">
            <v>4.8317819794209571E-2</v>
          </cell>
          <cell r="DE66">
            <v>-0.02</v>
          </cell>
          <cell r="DF66">
            <v>9.1150442477876181E-2</v>
          </cell>
          <cell r="DG66">
            <v>8.7386644682605041E-2</v>
          </cell>
          <cell r="DH66">
            <v>8.3963056255247581E-2</v>
          </cell>
          <cell r="DI66">
            <v>0.24317180616740086</v>
          </cell>
          <cell r="DJ66">
            <v>0.08</v>
          </cell>
          <cell r="DK66">
            <v>4.4606650446066487E-2</v>
          </cell>
          <cell r="DL66">
            <v>3.487490523123582E-2</v>
          </cell>
          <cell r="DM66">
            <v>2.0139426800929616E-2</v>
          </cell>
          <cell r="DN66">
            <v>-3.5435861091424492E-2</v>
          </cell>
          <cell r="DO66">
            <v>-1.1614863307520817E-3</v>
          </cell>
          <cell r="DP66">
            <v>0.08</v>
          </cell>
          <cell r="DQ66">
            <v>4.4606650446066487E-2</v>
          </cell>
          <cell r="DR66">
            <v>3.487490523123582E-2</v>
          </cell>
          <cell r="DS66">
            <v>2.0139426800929616E-2</v>
          </cell>
          <cell r="DT66">
            <v>-1.3454077545249632E-2</v>
          </cell>
          <cell r="DU66">
            <v>-7.137567086081853E-2</v>
          </cell>
          <cell r="DV66">
            <v>-5.5711554820244702E-3</v>
          </cell>
          <cell r="DW66">
            <v>-6.4426862329143297E-2</v>
          </cell>
          <cell r="DX66">
            <v>-0.1227072688265094</v>
          </cell>
          <cell r="DY66">
            <v>-6.7983191934460896E-2</v>
          </cell>
          <cell r="DZ66">
            <v>-0.11720702889056156</v>
          </cell>
          <cell r="EA66">
            <v>-0.10765687967760507</v>
          </cell>
          <cell r="EB66">
            <v>-0.12819219017183858</v>
          </cell>
          <cell r="EC66">
            <v>-0.13</v>
          </cell>
          <cell r="ED66">
            <v>-0.12647737021621408</v>
          </cell>
          <cell r="EE66">
            <v>-0.05</v>
          </cell>
          <cell r="EF66">
            <v>-0.05</v>
          </cell>
          <cell r="EG66">
            <v>-0.05</v>
          </cell>
          <cell r="EH66">
            <v>-0.05</v>
          </cell>
          <cell r="EI66">
            <v>-8.2047325102880708E-2</v>
          </cell>
          <cell r="EJ66">
            <v>-0.12647737021621408</v>
          </cell>
          <cell r="EK66">
            <v>-0.05</v>
          </cell>
          <cell r="EL66">
            <v>-0.05</v>
          </cell>
          <cell r="EM66">
            <v>-0.05</v>
          </cell>
          <cell r="EN66">
            <v>-0.16954275518411788</v>
          </cell>
          <cell r="EO66">
            <v>-0.03</v>
          </cell>
          <cell r="EP66">
            <v>-0.02</v>
          </cell>
          <cell r="ET66">
            <v>-0.18641537797810626</v>
          </cell>
          <cell r="EU66">
            <v>-0.03</v>
          </cell>
          <cell r="EV66">
            <v>-0.03</v>
          </cell>
          <cell r="EW66">
            <v>-0.03</v>
          </cell>
          <cell r="EX66">
            <v>-0.03</v>
          </cell>
          <cell r="EY66">
            <v>-1.6515415050982862E-2</v>
          </cell>
          <cell r="EZ66">
            <v>-0.02</v>
          </cell>
        </row>
        <row r="67">
          <cell r="A67" t="str">
            <v>New Products</v>
          </cell>
          <cell r="AY67">
            <v>0</v>
          </cell>
          <cell r="BD67">
            <v>0</v>
          </cell>
          <cell r="BI67">
            <v>0</v>
          </cell>
          <cell r="BJ67">
            <v>0</v>
          </cell>
          <cell r="BK67">
            <v>0</v>
          </cell>
          <cell r="BL67">
            <v>0</v>
          </cell>
          <cell r="BM67">
            <v>0</v>
          </cell>
          <cell r="BU67">
            <v>0</v>
          </cell>
          <cell r="BV67">
            <v>0</v>
          </cell>
          <cell r="BW67">
            <v>0</v>
          </cell>
          <cell r="BX67">
            <v>0</v>
          </cell>
          <cell r="BY67">
            <v>0</v>
          </cell>
          <cell r="BZ67">
            <v>0</v>
          </cell>
          <cell r="CA67">
            <v>0</v>
          </cell>
          <cell r="CB67">
            <v>8</v>
          </cell>
          <cell r="CC67">
            <v>8</v>
          </cell>
          <cell r="CD67">
            <v>16</v>
          </cell>
          <cell r="CE67">
            <v>7.5</v>
          </cell>
          <cell r="CF67">
            <v>23.5</v>
          </cell>
          <cell r="CG67">
            <v>6.5</v>
          </cell>
          <cell r="CH67">
            <v>30</v>
          </cell>
          <cell r="CI67">
            <v>83.75</v>
          </cell>
          <cell r="CJ67">
            <v>83.75</v>
          </cell>
          <cell r="CK67">
            <v>167.5</v>
          </cell>
          <cell r="CL67">
            <v>83.75</v>
          </cell>
          <cell r="CM67">
            <v>251.25</v>
          </cell>
          <cell r="CN67">
            <v>83.75</v>
          </cell>
          <cell r="CO67">
            <v>335</v>
          </cell>
          <cell r="CP67">
            <v>1190</v>
          </cell>
          <cell r="CQ67">
            <v>2710</v>
          </cell>
          <cell r="CR67">
            <v>4602.5</v>
          </cell>
          <cell r="CS67">
            <v>5677.5</v>
          </cell>
          <cell r="CT67">
            <v>6469.15</v>
          </cell>
          <cell r="CU67">
            <v>7147.0244999999995</v>
          </cell>
          <cell r="CV67">
            <v>7497.3102349999999</v>
          </cell>
          <cell r="CW67">
            <v>7753.9295420500011</v>
          </cell>
          <cell r="CX67">
            <v>-0.13900289203952959</v>
          </cell>
          <cell r="CY67">
            <v>0.05</v>
          </cell>
        </row>
        <row r="68">
          <cell r="A68" t="str">
            <v>Phase 1 &amp; other</v>
          </cell>
          <cell r="BY68">
            <v>0</v>
          </cell>
          <cell r="CM68">
            <v>365.33649147218853</v>
          </cell>
          <cell r="CN68">
            <v>913.34122868047132</v>
          </cell>
          <cell r="CO68">
            <v>2374.6871945692255</v>
          </cell>
          <cell r="CP68">
            <v>3288.028423249697</v>
          </cell>
          <cell r="CQ68">
            <v>3653.3649147218853</v>
          </cell>
          <cell r="CS68">
            <v>365.33649147218853</v>
          </cell>
          <cell r="CT68">
            <v>913.34122868047132</v>
          </cell>
          <cell r="CU68">
            <v>2374.6871945692255</v>
          </cell>
          <cell r="CV68">
            <v>3288.028423249697</v>
          </cell>
          <cell r="CW68">
            <v>3653.3649147218853</v>
          </cell>
        </row>
        <row r="70">
          <cell r="A70" t="str">
            <v>EU sales</v>
          </cell>
          <cell r="CC70">
            <v>1646.7701998778878</v>
          </cell>
          <cell r="CD70">
            <v>0</v>
          </cell>
          <cell r="CE70">
            <v>1401.2949410983233</v>
          </cell>
          <cell r="CF70">
            <v>1401.2949410983233</v>
          </cell>
          <cell r="CG70">
            <v>1508.9836108980091</v>
          </cell>
          <cell r="CH70">
            <v>2910.2785519963327</v>
          </cell>
          <cell r="CI70">
            <v>1508.9836108980091</v>
          </cell>
          <cell r="CJ70">
            <v>5858.6785519963314</v>
          </cell>
          <cell r="CK70">
            <v>7367.6621628943403</v>
          </cell>
          <cell r="CL70">
            <v>1555.1504052035086</v>
          </cell>
          <cell r="CM70">
            <v>8922.8125680978483</v>
          </cell>
          <cell r="CN70">
            <v>1631.1613849229727</v>
          </cell>
          <cell r="CO70">
            <v>10553.973953020821</v>
          </cell>
          <cell r="CP70">
            <v>6615.9405983125507</v>
          </cell>
          <cell r="CQ70">
            <v>6295.4058211100391</v>
          </cell>
          <cell r="CR70">
            <v>5912.2587442075755</v>
          </cell>
          <cell r="CS70">
            <v>5630.7697589449854</v>
          </cell>
          <cell r="CT70">
            <v>5563.4261092844299</v>
          </cell>
          <cell r="CU70">
            <v>5513.1627505920633</v>
          </cell>
          <cell r="CV70">
            <v>5379.2387205621926</v>
          </cell>
          <cell r="CW70">
            <v>5360.7405508933361</v>
          </cell>
        </row>
        <row r="71">
          <cell r="A71" t="str">
            <v>EU healthcare reform impact</v>
          </cell>
          <cell r="CC71">
            <v>0.05</v>
          </cell>
          <cell r="CE71">
            <v>0.05</v>
          </cell>
          <cell r="CG71">
            <v>0.05</v>
          </cell>
          <cell r="CI71">
            <v>0.05</v>
          </cell>
          <cell r="CJ71">
            <v>0.05</v>
          </cell>
          <cell r="CK71">
            <v>0.05</v>
          </cell>
          <cell r="CL71">
            <v>0.05</v>
          </cell>
          <cell r="CM71">
            <v>0.05</v>
          </cell>
          <cell r="CN71">
            <v>0.05</v>
          </cell>
          <cell r="CO71">
            <v>0.05</v>
          </cell>
          <cell r="CP71">
            <v>0.05</v>
          </cell>
          <cell r="CQ71">
            <v>0.05</v>
          </cell>
          <cell r="CR71">
            <v>0.05</v>
          </cell>
          <cell r="CS71">
            <v>0.05</v>
          </cell>
          <cell r="CT71">
            <v>0.05</v>
          </cell>
          <cell r="CU71">
            <v>0.05</v>
          </cell>
          <cell r="CV71">
            <v>0.05</v>
          </cell>
          <cell r="CW71">
            <v>0.05</v>
          </cell>
        </row>
        <row r="72">
          <cell r="CC72">
            <v>-82.338509993894391</v>
          </cell>
          <cell r="CD72">
            <v>0</v>
          </cell>
          <cell r="CE72">
            <v>-70.064747054916168</v>
          </cell>
          <cell r="CF72">
            <v>-70.064747054916168</v>
          </cell>
          <cell r="CG72">
            <v>-75.449180544900457</v>
          </cell>
          <cell r="CH72">
            <v>-145.51392759981661</v>
          </cell>
          <cell r="CI72">
            <v>-75.449180544900457</v>
          </cell>
          <cell r="CJ72">
            <v>-292.93392759981657</v>
          </cell>
          <cell r="CK72">
            <v>-368.38310814471703</v>
          </cell>
          <cell r="CL72">
            <v>-77.75752026017544</v>
          </cell>
          <cell r="CM72">
            <v>-446.14062840489248</v>
          </cell>
          <cell r="CN72">
            <v>-81.558069246148648</v>
          </cell>
          <cell r="CO72">
            <v>-527.69869765104113</v>
          </cell>
          <cell r="CP72">
            <v>-330.79702991562755</v>
          </cell>
          <cell r="CQ72">
            <v>-314.77029105550196</v>
          </cell>
          <cell r="CR72">
            <v>-295.61293721037879</v>
          </cell>
          <cell r="CS72">
            <v>-281.53848794724928</v>
          </cell>
          <cell r="CT72">
            <v>-278.17130546422152</v>
          </cell>
          <cell r="CU72">
            <v>-275.65813752960315</v>
          </cell>
          <cell r="CV72">
            <v>-268.96193602810962</v>
          </cell>
          <cell r="CW72">
            <v>-268.03702754466684</v>
          </cell>
        </row>
        <row r="74">
          <cell r="A74" t="str">
            <v>Prescription Pharma</v>
          </cell>
          <cell r="B74">
            <v>15992</v>
          </cell>
          <cell r="C74">
            <v>4059.55</v>
          </cell>
          <cell r="D74">
            <v>4382.45</v>
          </cell>
          <cell r="E74">
            <v>8442</v>
          </cell>
          <cell r="F74">
            <v>4242</v>
          </cell>
          <cell r="G74">
            <v>12684</v>
          </cell>
          <cell r="H74">
            <v>4506.5749999999998</v>
          </cell>
          <cell r="I74">
            <v>17191</v>
          </cell>
          <cell r="J74">
            <v>4380</v>
          </cell>
          <cell r="K74">
            <v>4317</v>
          </cell>
          <cell r="L74">
            <v>8697</v>
          </cell>
          <cell r="M74">
            <v>4059</v>
          </cell>
          <cell r="N74">
            <v>12756</v>
          </cell>
          <cell r="O74">
            <v>4998</v>
          </cell>
          <cell r="P74">
            <v>17754</v>
          </cell>
          <cell r="Q74">
            <v>4585</v>
          </cell>
          <cell r="R74">
            <v>4858</v>
          </cell>
          <cell r="S74">
            <v>9443</v>
          </cell>
          <cell r="T74">
            <v>5006</v>
          </cell>
          <cell r="U74">
            <v>14449</v>
          </cell>
          <cell r="V74">
            <v>5455.7608327999997</v>
          </cell>
          <cell r="W74">
            <v>19904.760832799999</v>
          </cell>
          <cell r="X74">
            <v>4486</v>
          </cell>
          <cell r="Y74">
            <v>4779</v>
          </cell>
          <cell r="Z74">
            <v>9265</v>
          </cell>
          <cell r="AA74">
            <v>4927</v>
          </cell>
          <cell r="AB74">
            <v>14192</v>
          </cell>
          <cell r="AC74">
            <v>5589</v>
          </cell>
          <cell r="AD74">
            <v>19781</v>
          </cell>
          <cell r="AE74">
            <v>5217</v>
          </cell>
          <cell r="AF74">
            <v>5430</v>
          </cell>
          <cell r="AG74">
            <v>10647</v>
          </cell>
          <cell r="AH74">
            <v>5535</v>
          </cell>
          <cell r="AI74">
            <v>16182</v>
          </cell>
          <cell r="AJ74">
            <v>5513</v>
          </cell>
          <cell r="AK74">
            <v>21695</v>
          </cell>
          <cell r="AL74">
            <v>6156</v>
          </cell>
          <cell r="AM74">
            <v>6497</v>
          </cell>
          <cell r="AN74">
            <v>12653</v>
          </cell>
          <cell r="AO74">
            <v>6781</v>
          </cell>
          <cell r="AP74">
            <v>19434</v>
          </cell>
          <cell r="AQ74">
            <v>7834</v>
          </cell>
          <cell r="AR74">
            <v>27268</v>
          </cell>
          <cell r="AS74">
            <v>7739</v>
          </cell>
          <cell r="AT74">
            <v>7839</v>
          </cell>
          <cell r="AU74">
            <v>15578</v>
          </cell>
          <cell r="AV74">
            <v>8335</v>
          </cell>
          <cell r="AW74">
            <v>23913</v>
          </cell>
          <cell r="AX74">
            <v>9381</v>
          </cell>
          <cell r="AY74">
            <v>33294</v>
          </cell>
          <cell r="AZ74">
            <v>9142</v>
          </cell>
          <cell r="BA74">
            <v>9126</v>
          </cell>
          <cell r="BB74">
            <v>18268</v>
          </cell>
          <cell r="BC74">
            <v>8856</v>
          </cell>
          <cell r="BD74">
            <v>27124</v>
          </cell>
          <cell r="BE74">
            <v>9659</v>
          </cell>
          <cell r="BF74">
            <v>36783</v>
          </cell>
          <cell r="BG74">
            <v>8563</v>
          </cell>
          <cell r="BH74">
            <v>8694</v>
          </cell>
          <cell r="BI74">
            <v>17257</v>
          </cell>
          <cell r="BJ74">
            <v>8936</v>
          </cell>
          <cell r="BK74">
            <v>26193</v>
          </cell>
          <cell r="BL74">
            <v>9768</v>
          </cell>
          <cell r="BM74">
            <v>35961</v>
          </cell>
          <cell r="BN74">
            <v>9216</v>
          </cell>
          <cell r="BO74">
            <v>9888</v>
          </cell>
          <cell r="BP74">
            <v>19104</v>
          </cell>
          <cell r="BQ74">
            <v>9930</v>
          </cell>
          <cell r="BR74">
            <v>29034</v>
          </cell>
          <cell r="BS74">
            <v>9962</v>
          </cell>
          <cell r="BT74">
            <v>38996</v>
          </cell>
          <cell r="BU74">
            <v>9725</v>
          </cell>
          <cell r="BV74">
            <v>9736</v>
          </cell>
          <cell r="BW74">
            <v>19386</v>
          </cell>
          <cell r="BX74">
            <v>9009</v>
          </cell>
          <cell r="BY74">
            <v>28395</v>
          </cell>
          <cell r="BZ74">
            <v>8663</v>
          </cell>
          <cell r="CA74">
            <v>37058</v>
          </cell>
          <cell r="CB74">
            <v>8712</v>
          </cell>
          <cell r="CC74">
            <v>8103</v>
          </cell>
          <cell r="CD74">
            <v>16815</v>
          </cell>
          <cell r="CE74">
            <v>7766.48820665728</v>
          </cell>
          <cell r="CF74">
            <v>24431.488206657283</v>
          </cell>
          <cell r="CG74">
            <v>7951.7141056689934</v>
          </cell>
          <cell r="CH74">
            <v>32383.202312326277</v>
          </cell>
          <cell r="CI74">
            <v>8060.0346634274947</v>
          </cell>
          <cell r="CJ74">
            <v>7949.0334474182391</v>
          </cell>
          <cell r="CK74">
            <v>16009.068110845737</v>
          </cell>
          <cell r="CL74">
            <v>8486.1720982075149</v>
          </cell>
          <cell r="CM74">
            <v>24495.240209053249</v>
          </cell>
          <cell r="CN74">
            <v>8852.9438030244637</v>
          </cell>
          <cell r="CO74">
            <v>33348.184012077712</v>
          </cell>
          <cell r="CP74">
            <v>34848.047582077292</v>
          </cell>
          <cell r="CQ74">
            <v>35313.749057852729</v>
          </cell>
          <cell r="CR74">
            <v>36053.763897798483</v>
          </cell>
          <cell r="CS74">
            <v>35919.979254243088</v>
          </cell>
          <cell r="CT74">
            <v>7.497498749374687E-2</v>
          </cell>
          <cell r="CU74">
            <v>3.2749694607643542E-2</v>
          </cell>
          <cell r="CV74">
            <v>4.6803652968036458E-2</v>
          </cell>
          <cell r="CW74">
            <v>0.12531850822330326</v>
          </cell>
          <cell r="CX74">
            <v>8.5776704610785348E-2</v>
          </cell>
          <cell r="CY74">
            <v>9.1588802080832199E-2</v>
          </cell>
          <cell r="CZ74">
            <v>7.497498749374687E-2</v>
          </cell>
          <cell r="DA74">
            <v>3.2749694607643542E-2</v>
          </cell>
          <cell r="DB74">
            <v>4.6803652968036458E-2</v>
          </cell>
          <cell r="DC74">
            <v>0.12531850822330326</v>
          </cell>
          <cell r="DD74">
            <v>8.5776704610785348E-2</v>
          </cell>
          <cell r="DE74">
            <v>9.1588802080832199E-2</v>
          </cell>
          <cell r="DY74">
            <v>-2.23472799934753E-2</v>
          </cell>
          <cell r="EE74">
            <v>-2.23472799934753E-2</v>
          </cell>
        </row>
        <row r="75">
          <cell r="A75" t="str">
            <v>YOY Growth</v>
          </cell>
          <cell r="I75">
            <v>7.497498749374687E-2</v>
          </cell>
          <cell r="J75">
            <v>7.8937320638986952E-2</v>
          </cell>
          <cell r="K75">
            <v>-1.4934568563246597E-2</v>
          </cell>
          <cell r="L75">
            <v>3.02061122956645E-2</v>
          </cell>
          <cell r="M75">
            <v>-4.3140028288543131E-2</v>
          </cell>
          <cell r="N75">
            <v>5.6764427625355385E-3</v>
          </cell>
          <cell r="O75">
            <v>0.10904622690180465</v>
          </cell>
          <cell r="P75">
            <v>3.2749694607643542E-2</v>
          </cell>
          <cell r="Q75">
            <v>4.6803652968036458E-2</v>
          </cell>
          <cell r="R75">
            <v>0.12531850822330326</v>
          </cell>
          <cell r="S75">
            <v>8.5776704610785348E-2</v>
          </cell>
          <cell r="T75">
            <v>0.23330869672333088</v>
          </cell>
          <cell r="U75">
            <v>0.13272185638131084</v>
          </cell>
          <cell r="V75">
            <v>9.1588802080832199E-2</v>
          </cell>
          <cell r="W75">
            <v>0.12114232470429198</v>
          </cell>
          <cell r="AE75">
            <v>0.13784078516902953</v>
          </cell>
          <cell r="AF75">
            <v>0.11774392754219853</v>
          </cell>
          <cell r="AG75">
            <v>0.12750185322461083</v>
          </cell>
          <cell r="AH75">
            <v>0.10567319216939675</v>
          </cell>
          <cell r="AI75">
            <v>0.11993909613122011</v>
          </cell>
          <cell r="AJ75">
            <v>1.0491509608683502E-2</v>
          </cell>
          <cell r="AR75">
            <v>0.25687946531458872</v>
          </cell>
          <cell r="AU75">
            <v>0.23117047340551644</v>
          </cell>
          <cell r="AY75">
            <v>0.22099163855068205</v>
          </cell>
          <cell r="AZ75">
            <v>0.18128957229616227</v>
          </cell>
          <cell r="BA75">
            <v>0.16417910447761197</v>
          </cell>
          <cell r="BB75">
            <v>0.17267941969444078</v>
          </cell>
          <cell r="BC75">
            <v>6.2507498500300018E-2</v>
          </cell>
          <cell r="BD75">
            <v>0.13427842596077455</v>
          </cell>
          <cell r="BE75">
            <v>2.9634367338236878E-2</v>
          </cell>
          <cell r="BF75">
            <v>0.10479365651468742</v>
          </cell>
          <cell r="BG75">
            <v>-6.3334062568365823E-2</v>
          </cell>
          <cell r="BH75">
            <v>-4.7337278106508895E-2</v>
          </cell>
          <cell r="BI75">
            <v>-5.5342675717100942E-2</v>
          </cell>
          <cell r="BJ75">
            <v>9.0334236675699842E-3</v>
          </cell>
          <cell r="BK75">
            <v>-3.4323846040407058E-2</v>
          </cell>
          <cell r="BL75">
            <v>1.1284812092348995E-2</v>
          </cell>
          <cell r="BM75">
            <v>-2.23472799934753E-2</v>
          </cell>
          <cell r="BN75">
            <v>7.6258320682003999E-2</v>
          </cell>
          <cell r="BO75">
            <v>0.13733609385783296</v>
          </cell>
          <cell r="BP75">
            <v>0.10702903169728217</v>
          </cell>
          <cell r="BQ75">
            <v>0.11123545210384966</v>
          </cell>
          <cell r="BR75">
            <v>0.10846409346008468</v>
          </cell>
          <cell r="BS75">
            <v>1.9860769860769789E-2</v>
          </cell>
          <cell r="BT75">
            <v>8.4396985623314213E-2</v>
          </cell>
          <cell r="BU75">
            <v>5.5230034722222321E-2</v>
          </cell>
          <cell r="BV75">
            <v>-1.53721682847896E-2</v>
          </cell>
          <cell r="BW75">
            <v>1.4761306532663276E-2</v>
          </cell>
          <cell r="BX75">
            <v>-9.2749244712990953E-2</v>
          </cell>
          <cell r="BY75">
            <v>-2.2008679479231241E-2</v>
          </cell>
          <cell r="BZ75">
            <v>-0.13039550291106206</v>
          </cell>
          <cell r="CA75">
            <v>-4.9697404862037109E-2</v>
          </cell>
          <cell r="CB75">
            <v>-0.10416452442159385</v>
          </cell>
          <cell r="CC75">
            <v>-0.16772801972062445</v>
          </cell>
          <cell r="CD75">
            <v>-0.13262147941813685</v>
          </cell>
          <cell r="CE75">
            <v>-0.13791894697998885</v>
          </cell>
          <cell r="CF75">
            <v>-0.13958484921087222</v>
          </cell>
          <cell r="CG75">
            <v>-8.2106186578668638E-2</v>
          </cell>
          <cell r="CH75">
            <v>-0.12614813772124034</v>
          </cell>
          <cell r="CI75">
            <v>-7.483532329803777E-2</v>
          </cell>
          <cell r="CJ75">
            <v>-1.9001178894453963E-2</v>
          </cell>
          <cell r="CK75">
            <v>-4.792934220364331E-2</v>
          </cell>
          <cell r="CL75">
            <v>9.2665291235920044E-2</v>
          </cell>
          <cell r="CM75">
            <v>2.6094195268298037E-3</v>
          </cell>
          <cell r="CN75">
            <v>0.11333778923376525</v>
          </cell>
          <cell r="CO75">
            <v>2.979883491584534E-2</v>
          </cell>
          <cell r="CP75">
            <v>4.4975869434340732E-2</v>
          </cell>
          <cell r="CQ75">
            <v>1.3363775249634058E-2</v>
          </cell>
          <cell r="CR75">
            <v>2.095543123256105E-2</v>
          </cell>
          <cell r="CS75">
            <v>-3.710698387403677E-3</v>
          </cell>
          <cell r="CT75">
            <v>-1.0879479064143105E-3</v>
          </cell>
          <cell r="CU75">
            <v>9.9726636467305507E-3</v>
          </cell>
          <cell r="CV75">
            <v>-3.8137875046672098E-2</v>
          </cell>
          <cell r="CW75">
            <v>-1.8414607443543507E-2</v>
          </cell>
          <cell r="DY75">
            <v>-1.213250312439887</v>
          </cell>
          <cell r="EE75">
            <v>-1.213250312439887</v>
          </cell>
        </row>
        <row r="76">
          <cell r="A76" t="str">
            <v xml:space="preserve">CER Growth </v>
          </cell>
          <cell r="BP76">
            <v>0.11</v>
          </cell>
          <cell r="BR76">
            <v>0.12</v>
          </cell>
          <cell r="BS76">
            <v>0.08</v>
          </cell>
          <cell r="BT76">
            <v>0.11</v>
          </cell>
          <cell r="BU76">
            <v>0.1</v>
          </cell>
          <cell r="BW76">
            <v>0.04</v>
          </cell>
        </row>
        <row r="77">
          <cell r="A77" t="str">
            <v>Currency Impact</v>
          </cell>
          <cell r="BP77">
            <v>-2.9709683027178274E-3</v>
          </cell>
          <cell r="BR77">
            <v>-1.1535906539915319E-2</v>
          </cell>
          <cell r="BS77">
            <v>-6.0139230139230213E-2</v>
          </cell>
          <cell r="BT77">
            <v>-2.5603014376685787E-2</v>
          </cell>
          <cell r="BU77">
            <v>-3.9844915784845503E-2</v>
          </cell>
          <cell r="BW77">
            <v>-2.9421619572562396E-2</v>
          </cell>
        </row>
        <row r="78">
          <cell r="AZ78">
            <v>9141.7302285270271</v>
          </cell>
          <cell r="BB78">
            <v>18267.730228527027</v>
          </cell>
        </row>
        <row r="79">
          <cell r="A79" t="str">
            <v>Roche Prescription</v>
          </cell>
          <cell r="U79">
            <v>9792</v>
          </cell>
          <cell r="X79">
            <v>3053</v>
          </cell>
          <cell r="Y79">
            <v>3210</v>
          </cell>
          <cell r="AA79">
            <v>3321</v>
          </cell>
          <cell r="AC79">
            <v>3659</v>
          </cell>
          <cell r="AE79">
            <v>3546</v>
          </cell>
          <cell r="AF79">
            <v>3494</v>
          </cell>
          <cell r="AG79">
            <v>7040</v>
          </cell>
          <cell r="AH79">
            <v>3483</v>
          </cell>
          <cell r="AI79">
            <v>10523</v>
          </cell>
          <cell r="AJ79">
            <v>3447</v>
          </cell>
          <cell r="AK79">
            <v>13970</v>
          </cell>
          <cell r="AL79">
            <v>3859</v>
          </cell>
          <cell r="AM79">
            <v>4119</v>
          </cell>
          <cell r="AN79">
            <v>7978</v>
          </cell>
          <cell r="AO79">
            <v>4191</v>
          </cell>
          <cell r="AP79">
            <v>12169</v>
          </cell>
          <cell r="AQ79">
            <v>4786</v>
          </cell>
          <cell r="AR79">
            <v>16955</v>
          </cell>
          <cell r="AS79">
            <v>4821</v>
          </cell>
          <cell r="AT79">
            <v>4849</v>
          </cell>
          <cell r="AU79">
            <v>9670</v>
          </cell>
          <cell r="AV79">
            <v>5251</v>
          </cell>
          <cell r="AW79">
            <v>14921</v>
          </cell>
          <cell r="AX79">
            <v>5745</v>
          </cell>
          <cell r="AY79">
            <v>20666</v>
          </cell>
          <cell r="AZ79">
            <v>5702</v>
          </cell>
          <cell r="BA79">
            <v>5665</v>
          </cell>
          <cell r="BB79">
            <v>11367</v>
          </cell>
          <cell r="BC79">
            <v>5425</v>
          </cell>
          <cell r="BD79">
            <v>16792</v>
          </cell>
          <cell r="BE79">
            <v>6358</v>
          </cell>
          <cell r="BF79">
            <v>23150</v>
          </cell>
          <cell r="BG79">
            <v>5498</v>
          </cell>
          <cell r="BH79">
            <v>5440</v>
          </cell>
          <cell r="BI79">
            <v>10938</v>
          </cell>
          <cell r="BJ79">
            <v>5485</v>
          </cell>
          <cell r="BK79">
            <v>16423</v>
          </cell>
          <cell r="BL79">
            <v>5741</v>
          </cell>
          <cell r="BM79">
            <v>22164</v>
          </cell>
          <cell r="DH79">
            <v>0.20327304048234285</v>
          </cell>
          <cell r="DI79">
            <v>0.38845372787931542</v>
          </cell>
          <cell r="DJ79">
            <v>0.21367215461703659</v>
          </cell>
          <cell r="DK79">
            <v>0.24928738015029794</v>
          </cell>
          <cell r="DL79">
            <v>0.17722748239864039</v>
          </cell>
          <cell r="DM79">
            <v>0.25292293008828448</v>
          </cell>
          <cell r="DN79">
            <v>0.20327304048234285</v>
          </cell>
          <cell r="DO79">
            <v>0.38845372787931542</v>
          </cell>
          <cell r="DP79">
            <v>0.21367215461703659</v>
          </cell>
          <cell r="DQ79">
            <v>0.24928738015029794</v>
          </cell>
          <cell r="DR79">
            <v>0.17722748239864039</v>
          </cell>
          <cell r="DS79">
            <v>0.25292293008828448</v>
          </cell>
          <cell r="DT79">
            <v>0.20037609694943592</v>
          </cell>
          <cell r="DU79">
            <v>0.21887348864641698</v>
          </cell>
          <cell r="DV79">
            <v>0.18274216967434143</v>
          </cell>
          <cell r="DW79">
            <v>0.16828212002474729</v>
          </cell>
          <cell r="DX79">
            <v>3.3136545419919949E-2</v>
          </cell>
          <cell r="DY79">
            <v>-4.2591792656587524E-2</v>
          </cell>
          <cell r="DZ79">
            <v>0.12019742572341041</v>
          </cell>
          <cell r="EA79">
            <v>-3.5776920378814414E-2</v>
          </cell>
          <cell r="EB79">
            <v>-3.9717563989408622E-2</v>
          </cell>
          <cell r="EE79">
            <v>-4.2591792656587524E-2</v>
          </cell>
        </row>
        <row r="80">
          <cell r="A80" t="str">
            <v>Genentech Prescription</v>
          </cell>
          <cell r="U80">
            <v>2515</v>
          </cell>
          <cell r="X80">
            <v>777</v>
          </cell>
          <cell r="Y80">
            <v>814</v>
          </cell>
          <cell r="AA80">
            <v>875</v>
          </cell>
          <cell r="AC80">
            <v>916</v>
          </cell>
          <cell r="AE80">
            <v>923</v>
          </cell>
          <cell r="AF80">
            <v>1129</v>
          </cell>
          <cell r="AG80">
            <v>2052</v>
          </cell>
          <cell r="AH80">
            <v>1235</v>
          </cell>
          <cell r="AI80">
            <v>3287</v>
          </cell>
          <cell r="AJ80">
            <v>1235</v>
          </cell>
          <cell r="AK80">
            <v>4522</v>
          </cell>
          <cell r="AL80">
            <v>1341</v>
          </cell>
          <cell r="AM80">
            <v>1526</v>
          </cell>
          <cell r="AN80">
            <v>2867</v>
          </cell>
          <cell r="AO80">
            <v>3565</v>
          </cell>
          <cell r="AP80">
            <v>6432</v>
          </cell>
          <cell r="AQ80">
            <v>1982</v>
          </cell>
          <cell r="AR80">
            <v>8414</v>
          </cell>
          <cell r="AS80">
            <v>2056</v>
          </cell>
          <cell r="AT80">
            <v>2167</v>
          </cell>
          <cell r="AU80">
            <v>4223</v>
          </cell>
          <cell r="AV80">
            <v>2299</v>
          </cell>
          <cell r="AW80">
            <v>6522</v>
          </cell>
          <cell r="AX80">
            <v>2603</v>
          </cell>
          <cell r="AY80">
            <v>9125</v>
          </cell>
          <cell r="AZ80">
            <v>2547</v>
          </cell>
          <cell r="BA80">
            <v>2680</v>
          </cell>
          <cell r="BB80">
            <v>5227</v>
          </cell>
          <cell r="BC80">
            <v>2623</v>
          </cell>
          <cell r="BD80">
            <v>7850</v>
          </cell>
          <cell r="BE80">
            <v>2564</v>
          </cell>
          <cell r="BF80">
            <v>10414</v>
          </cell>
          <cell r="BG80">
            <v>2399</v>
          </cell>
          <cell r="BH80">
            <v>2468</v>
          </cell>
          <cell r="BI80">
            <v>4867</v>
          </cell>
          <cell r="BJ80">
            <v>2669</v>
          </cell>
          <cell r="BK80">
            <v>7536</v>
          </cell>
          <cell r="BL80">
            <v>2925</v>
          </cell>
          <cell r="BM80">
            <v>10461</v>
          </cell>
          <cell r="DJ80">
            <v>0.86068111455108354</v>
          </cell>
          <cell r="DK80">
            <v>0.53318419090231162</v>
          </cell>
          <cell r="DL80">
            <v>0.4200524246395807</v>
          </cell>
          <cell r="DM80">
            <v>-0.35511921458625528</v>
          </cell>
          <cell r="DN80">
            <v>0.31331987891019164</v>
          </cell>
          <cell r="DO80">
            <v>8.4502020442120296E-2</v>
          </cell>
          <cell r="DP80">
            <v>0.86068111455108354</v>
          </cell>
          <cell r="DQ80">
            <v>0.53318419090231162</v>
          </cell>
          <cell r="DR80">
            <v>0.4200524246395807</v>
          </cell>
          <cell r="DS80">
            <v>-0.35511921458625528</v>
          </cell>
          <cell r="DT80">
            <v>0.31331987891019164</v>
          </cell>
          <cell r="DU80">
            <v>8.4502020442120296E-2</v>
          </cell>
          <cell r="DV80">
            <v>0.23881322957198448</v>
          </cell>
          <cell r="DW80">
            <v>0.23673281033687132</v>
          </cell>
          <cell r="DX80">
            <v>0.14093083949543272</v>
          </cell>
          <cell r="DY80">
            <v>4.5131553677741909E-3</v>
          </cell>
          <cell r="DZ80">
            <v>0.14126027397260277</v>
          </cell>
          <cell r="EA80">
            <v>-5.8107577542206523E-2</v>
          </cell>
          <cell r="EB80">
            <v>-7.9104477611940283E-2</v>
          </cell>
          <cell r="EE80">
            <v>4.5131553677741909E-3</v>
          </cell>
        </row>
        <row r="81">
          <cell r="A81" t="str">
            <v>Chugai Prescription</v>
          </cell>
          <cell r="U81">
            <v>2142</v>
          </cell>
          <cell r="X81">
            <v>656</v>
          </cell>
          <cell r="Y81">
            <v>755</v>
          </cell>
          <cell r="AA81">
            <v>731</v>
          </cell>
          <cell r="AC81">
            <v>1014</v>
          </cell>
          <cell r="AE81">
            <v>748</v>
          </cell>
          <cell r="AF81">
            <v>807</v>
          </cell>
          <cell r="AG81">
            <v>1555</v>
          </cell>
          <cell r="AH81">
            <v>767</v>
          </cell>
          <cell r="AI81">
            <v>2322</v>
          </cell>
          <cell r="AJ81">
            <v>881</v>
          </cell>
          <cell r="AK81">
            <v>3203</v>
          </cell>
          <cell r="AL81">
            <v>955</v>
          </cell>
          <cell r="AM81">
            <v>852</v>
          </cell>
          <cell r="AN81">
            <v>1807</v>
          </cell>
          <cell r="AO81">
            <v>826</v>
          </cell>
          <cell r="AP81">
            <v>2633</v>
          </cell>
          <cell r="AQ81">
            <v>1066</v>
          </cell>
          <cell r="AR81">
            <v>3699</v>
          </cell>
          <cell r="AS81">
            <v>862</v>
          </cell>
          <cell r="AT81">
            <v>822</v>
          </cell>
          <cell r="AU81">
            <v>1684</v>
          </cell>
          <cell r="AV81">
            <v>785</v>
          </cell>
          <cell r="AW81">
            <v>2469</v>
          </cell>
          <cell r="AX81">
            <v>1034</v>
          </cell>
          <cell r="AY81">
            <v>3503</v>
          </cell>
          <cell r="AZ81">
            <v>893</v>
          </cell>
          <cell r="BA81">
            <v>781</v>
          </cell>
          <cell r="BB81">
            <v>1674</v>
          </cell>
          <cell r="BC81">
            <v>808</v>
          </cell>
          <cell r="BD81">
            <v>2482</v>
          </cell>
          <cell r="BE81">
            <v>935</v>
          </cell>
          <cell r="BF81">
            <v>3417</v>
          </cell>
          <cell r="BG81">
            <v>671</v>
          </cell>
          <cell r="BH81">
            <v>781</v>
          </cell>
          <cell r="BI81">
            <v>1452</v>
          </cell>
          <cell r="BJ81">
            <v>782</v>
          </cell>
          <cell r="BK81">
            <v>2234</v>
          </cell>
          <cell r="BL81">
            <v>1102</v>
          </cell>
          <cell r="BM81">
            <v>3336</v>
          </cell>
          <cell r="DJ81">
            <v>0.15485482360287239</v>
          </cell>
          <cell r="DK81">
            <v>-9.7382198952879584E-2</v>
          </cell>
          <cell r="DL81">
            <v>-3.5211267605633756E-2</v>
          </cell>
          <cell r="DM81">
            <v>-4.9636803874091973E-2</v>
          </cell>
          <cell r="DN81">
            <v>-3.0018761726078758E-2</v>
          </cell>
          <cell r="DO81">
            <v>-5.298729386320622E-2</v>
          </cell>
          <cell r="DP81">
            <v>0.15485482360287239</v>
          </cell>
          <cell r="DQ81">
            <v>-9.7382198952879584E-2</v>
          </cell>
          <cell r="DR81">
            <v>-3.5211267605633756E-2</v>
          </cell>
          <cell r="DS81">
            <v>-4.9636803874091973E-2</v>
          </cell>
          <cell r="DT81">
            <v>-3.0018761726078758E-2</v>
          </cell>
          <cell r="DU81">
            <v>-5.298729386320622E-2</v>
          </cell>
          <cell r="DV81">
            <v>3.5962877030162321E-2</v>
          </cell>
          <cell r="DW81">
            <v>-4.987834549878345E-2</v>
          </cell>
          <cell r="DX81">
            <v>2.9299363057324834E-2</v>
          </cell>
          <cell r="DY81">
            <v>-2.3705004389815598E-2</v>
          </cell>
          <cell r="DZ81">
            <v>-2.4550385383956597E-2</v>
          </cell>
          <cell r="EA81">
            <v>-0.2486002239641657</v>
          </cell>
          <cell r="EB81">
            <v>0</v>
          </cell>
          <cell r="EE81">
            <v>-2.3705004389815598E-2</v>
          </cell>
        </row>
        <row r="83">
          <cell r="A83" t="str">
            <v>OTC</v>
          </cell>
          <cell r="B83">
            <v>1694</v>
          </cell>
          <cell r="C83">
            <v>428.45</v>
          </cell>
          <cell r="D83">
            <v>405.55</v>
          </cell>
          <cell r="E83">
            <v>834</v>
          </cell>
          <cell r="F83">
            <v>396</v>
          </cell>
          <cell r="G83">
            <v>1230</v>
          </cell>
          <cell r="H83">
            <v>409.42500000000001</v>
          </cell>
          <cell r="I83">
            <v>1639</v>
          </cell>
          <cell r="J83">
            <v>389</v>
          </cell>
          <cell r="K83">
            <v>400</v>
          </cell>
          <cell r="L83">
            <v>789</v>
          </cell>
          <cell r="M83">
            <v>358</v>
          </cell>
          <cell r="N83">
            <v>1147</v>
          </cell>
          <cell r="O83">
            <v>405</v>
          </cell>
          <cell r="P83">
            <v>1552</v>
          </cell>
          <cell r="Q83">
            <v>406</v>
          </cell>
          <cell r="R83">
            <v>462</v>
          </cell>
          <cell r="S83">
            <v>868</v>
          </cell>
          <cell r="T83">
            <v>450</v>
          </cell>
          <cell r="U83">
            <v>1318</v>
          </cell>
          <cell r="V83">
            <v>429.28380000000004</v>
          </cell>
          <cell r="W83">
            <v>1747.2838000000002</v>
          </cell>
          <cell r="X83">
            <v>52.82093023255814</v>
          </cell>
          <cell r="Y83">
            <v>60.359069767441902</v>
          </cell>
          <cell r="Z83">
            <v>113</v>
          </cell>
          <cell r="AA83">
            <v>51.509569230769209</v>
          </cell>
          <cell r="AB83">
            <v>164.50956923076922</v>
          </cell>
          <cell r="AC83">
            <v>53.58843076923074</v>
          </cell>
          <cell r="AD83">
            <v>218.09799999999996</v>
          </cell>
          <cell r="AE83">
            <v>51.75084554678692</v>
          </cell>
          <cell r="AF83">
            <v>55.24915445321308</v>
          </cell>
          <cell r="AG83">
            <v>107</v>
          </cell>
          <cell r="AH83">
            <v>52.743738509538439</v>
          </cell>
          <cell r="AI83">
            <v>159.74373850953845</v>
          </cell>
          <cell r="AJ83">
            <v>53.446635781415353</v>
          </cell>
          <cell r="AK83">
            <v>213.1903742909538</v>
          </cell>
          <cell r="AR83">
            <v>223.84989300550149</v>
          </cell>
          <cell r="AY83">
            <v>235.04238765577657</v>
          </cell>
          <cell r="BF83">
            <v>246.7945070385654</v>
          </cell>
          <cell r="BM83">
            <v>246.7945070385654</v>
          </cell>
          <cell r="BT83">
            <v>259.13423239049371</v>
          </cell>
          <cell r="CA83">
            <v>272.0909440100184</v>
          </cell>
          <cell r="CH83">
            <v>285.69549121051932</v>
          </cell>
          <cell r="CI83">
            <v>299.98026577104531</v>
          </cell>
          <cell r="CJ83">
            <v>314.97927905959762</v>
          </cell>
          <cell r="CO83">
            <v>299.98026577104531</v>
          </cell>
          <cell r="CP83">
            <v>314.97927905959762</v>
          </cell>
          <cell r="CT83">
            <v>-3.2467532467532423E-2</v>
          </cell>
          <cell r="CU83">
            <v>-5.3081147040878629E-2</v>
          </cell>
          <cell r="CV83">
            <v>4.3701799485861281E-2</v>
          </cell>
          <cell r="CW83">
            <v>0.15500000000000003</v>
          </cell>
          <cell r="CX83">
            <v>0.10012674271229405</v>
          </cell>
          <cell r="CY83">
            <v>0.1</v>
          </cell>
          <cell r="CZ83">
            <v>-3.2467532467532423E-2</v>
          </cell>
          <cell r="DA83">
            <v>-5.3081147040878629E-2</v>
          </cell>
          <cell r="DB83">
            <v>4.3701799485861281E-2</v>
          </cell>
          <cell r="DC83">
            <v>0.15500000000000003</v>
          </cell>
          <cell r="DD83">
            <v>0.10012674271229405</v>
          </cell>
          <cell r="DE83">
            <v>0.1</v>
          </cell>
          <cell r="DF83">
            <v>0.1258271907216495</v>
          </cell>
          <cell r="DG83">
            <v>-2.0258724733924427E-2</v>
          </cell>
          <cell r="DH83">
            <v>-8.4658616077366133E-2</v>
          </cell>
          <cell r="DI83">
            <v>0.06</v>
          </cell>
          <cell r="DJ83">
            <v>0.05</v>
          </cell>
          <cell r="DK83">
            <v>-0.87798755171257592</v>
          </cell>
          <cell r="DO83">
            <v>0.05</v>
          </cell>
          <cell r="DP83">
            <v>0.05</v>
          </cell>
          <cell r="DQ83">
            <v>0.05</v>
          </cell>
          <cell r="DR83">
            <v>0.05</v>
          </cell>
          <cell r="DS83">
            <v>0.05</v>
          </cell>
          <cell r="DT83">
            <v>0.05</v>
          </cell>
          <cell r="DU83">
            <v>0.05</v>
          </cell>
          <cell r="DV83">
            <v>0.05</v>
          </cell>
          <cell r="DW83">
            <v>0.05</v>
          </cell>
          <cell r="DX83">
            <v>0.05</v>
          </cell>
          <cell r="DY83">
            <v>0.05</v>
          </cell>
          <cell r="DZ83">
            <v>0.05</v>
          </cell>
          <cell r="ED83">
            <v>0.05</v>
          </cell>
          <cell r="EI83">
            <v>0.05</v>
          </cell>
          <cell r="EJ83">
            <v>0.05</v>
          </cell>
          <cell r="EN83">
            <v>0.05</v>
          </cell>
          <cell r="EO83">
            <v>0.05</v>
          </cell>
          <cell r="EP83">
            <v>0.05</v>
          </cell>
          <cell r="ET83">
            <v>0.05</v>
          </cell>
          <cell r="EY83">
            <v>0.05</v>
          </cell>
          <cell r="EZ83">
            <v>0.05</v>
          </cell>
        </row>
        <row r="84">
          <cell r="A84" t="str">
            <v>YOY Growth</v>
          </cell>
          <cell r="I84">
            <v>-3.2467532467532423E-2</v>
          </cell>
          <cell r="J84">
            <v>-9.2076088224997021E-2</v>
          </cell>
          <cell r="K84">
            <v>-1.3685118974232524E-2</v>
          </cell>
          <cell r="L84">
            <v>-5.3956834532374098E-2</v>
          </cell>
          <cell r="M84">
            <v>-9.5959595959595911E-2</v>
          </cell>
          <cell r="N84">
            <v>-6.747967479674799E-2</v>
          </cell>
          <cell r="O84">
            <v>-1.0807840263784563E-2</v>
          </cell>
          <cell r="P84">
            <v>-5.3081147040878629E-2</v>
          </cell>
          <cell r="Q84">
            <v>4.3701799485861281E-2</v>
          </cell>
          <cell r="R84">
            <v>0.15500000000000003</v>
          </cell>
          <cell r="S84">
            <v>0.10012674271229405</v>
          </cell>
          <cell r="T84">
            <v>0.25698324022346375</v>
          </cell>
          <cell r="U84">
            <v>0.14908456843940709</v>
          </cell>
          <cell r="V84">
            <v>5.9960000000000013E-2</v>
          </cell>
          <cell r="W84">
            <v>0.1258271907216495</v>
          </cell>
          <cell r="AE84">
            <v>-0.87253486318525386</v>
          </cell>
          <cell r="AF84">
            <v>-0.88041308559910592</v>
          </cell>
          <cell r="AG84">
            <v>-0.87672811059907829</v>
          </cell>
          <cell r="AH84">
            <v>-0.88279169220102571</v>
          </cell>
          <cell r="AI84">
            <v>-0.87879837745862033</v>
          </cell>
          <cell r="AJ84">
            <v>-0.87549813018470446</v>
          </cell>
          <cell r="AK84">
            <v>-0.87798755171257592</v>
          </cell>
          <cell r="AR84">
            <v>5.0000000000000044E-2</v>
          </cell>
          <cell r="AY84">
            <v>5.0000000000000044E-2</v>
          </cell>
          <cell r="BF84">
            <v>5.0000000000000044E-2</v>
          </cell>
          <cell r="BM84">
            <v>0</v>
          </cell>
          <cell r="BT84">
            <v>5.0000000000000266E-2</v>
          </cell>
          <cell r="CA84">
            <v>5.0000000000000044E-2</v>
          </cell>
          <cell r="CH84">
            <v>5.0000000000000044E-2</v>
          </cell>
          <cell r="CI84">
            <v>5.0000000000000044E-2</v>
          </cell>
          <cell r="CJ84">
            <v>5.0000000000000044E-2</v>
          </cell>
          <cell r="CO84">
            <v>5.0000000000000044E-2</v>
          </cell>
          <cell r="CP84">
            <v>5.0000000000000044E-2</v>
          </cell>
        </row>
        <row r="85">
          <cell r="AE85">
            <v>7.1</v>
          </cell>
          <cell r="AF85">
            <v>7.04</v>
          </cell>
        </row>
        <row r="86">
          <cell r="A86" t="str">
            <v>Total Pharma</v>
          </cell>
          <cell r="B86">
            <v>17686</v>
          </cell>
          <cell r="C86">
            <v>4488</v>
          </cell>
          <cell r="D86">
            <v>4788</v>
          </cell>
          <cell r="E86">
            <v>9276</v>
          </cell>
          <cell r="F86">
            <v>4638</v>
          </cell>
          <cell r="G86">
            <v>13914</v>
          </cell>
          <cell r="H86">
            <v>4916</v>
          </cell>
          <cell r="I86">
            <v>18830</v>
          </cell>
          <cell r="J86">
            <v>4769</v>
          </cell>
          <cell r="K86">
            <v>4717</v>
          </cell>
          <cell r="L86">
            <v>9486</v>
          </cell>
          <cell r="M86">
            <v>4417</v>
          </cell>
          <cell r="N86">
            <v>13903</v>
          </cell>
          <cell r="O86">
            <v>5403</v>
          </cell>
          <cell r="P86">
            <v>19306</v>
          </cell>
          <cell r="Q86">
            <v>4991</v>
          </cell>
          <cell r="R86">
            <v>5320</v>
          </cell>
          <cell r="S86">
            <v>10311</v>
          </cell>
          <cell r="T86">
            <v>5456</v>
          </cell>
          <cell r="U86">
            <v>15767</v>
          </cell>
          <cell r="V86">
            <v>5885.0446327999998</v>
          </cell>
          <cell r="W86">
            <v>21652.0446328</v>
          </cell>
          <cell r="X86">
            <v>4538.8209302325586</v>
          </cell>
          <cell r="Y86">
            <v>4839.3590697674417</v>
          </cell>
          <cell r="Z86">
            <v>9378</v>
          </cell>
          <cell r="AA86">
            <v>4978.5095692307696</v>
          </cell>
          <cell r="AB86">
            <v>14356.50956923077</v>
          </cell>
          <cell r="AC86">
            <v>5642.5884307692304</v>
          </cell>
          <cell r="AD86">
            <v>19999.097999999998</v>
          </cell>
          <cell r="AE86">
            <v>5268.7508455467869</v>
          </cell>
          <cell r="AF86">
            <v>5485.2491544532131</v>
          </cell>
          <cell r="AG86">
            <v>10754</v>
          </cell>
          <cell r="AH86">
            <v>5587.7437385095382</v>
          </cell>
          <cell r="AI86">
            <v>16341.743738509538</v>
          </cell>
          <cell r="AJ86">
            <v>5566.4466357814154</v>
          </cell>
          <cell r="AK86">
            <v>21908.190374290953</v>
          </cell>
          <cell r="AR86">
            <v>27491.849893005503</v>
          </cell>
          <cell r="AY86">
            <v>33529.042387655776</v>
          </cell>
          <cell r="BF86">
            <v>37029.794507038569</v>
          </cell>
          <cell r="BM86">
            <v>36207.794507038569</v>
          </cell>
          <cell r="BT86">
            <v>39255.134232390497</v>
          </cell>
          <cell r="CA86">
            <v>37330.090944010015</v>
          </cell>
          <cell r="CH86">
            <v>32668.897803536798</v>
          </cell>
          <cell r="CI86">
            <v>34863.099967483948</v>
          </cell>
          <cell r="CJ86">
            <v>35136.370769664216</v>
          </cell>
          <cell r="CO86">
            <v>33648.164277848759</v>
          </cell>
          <cell r="CP86">
            <v>35163.026861136888</v>
          </cell>
          <cell r="CT86">
            <v>6.4683930792717392E-2</v>
          </cell>
          <cell r="CU86">
            <v>2.5278810408921881E-2</v>
          </cell>
          <cell r="CV86">
            <v>4.6550639547074946E-2</v>
          </cell>
          <cell r="CW86">
            <v>0.12783548865804528</v>
          </cell>
          <cell r="CX86">
            <v>8.6970271979759595E-2</v>
          </cell>
          <cell r="CY86">
            <v>8.9217959059781471E-2</v>
          </cell>
          <cell r="CZ86">
            <v>6.4683930792717392E-2</v>
          </cell>
          <cell r="DA86">
            <v>2.5278810408921881E-2</v>
          </cell>
          <cell r="DB86">
            <v>4.6550639547074946E-2</v>
          </cell>
          <cell r="DC86">
            <v>0.12783548865804528</v>
          </cell>
          <cell r="DD86">
            <v>8.6970271979759595E-2</v>
          </cell>
          <cell r="DE86">
            <v>8.9217959059781471E-2</v>
          </cell>
          <cell r="DF86">
            <v>0.1215189388169482</v>
          </cell>
        </row>
        <row r="87">
          <cell r="A87" t="str">
            <v>YOY Growth</v>
          </cell>
          <cell r="I87">
            <v>6.4683930792717392E-2</v>
          </cell>
          <cell r="J87">
            <v>6.2611408199643392E-2</v>
          </cell>
          <cell r="K87">
            <v>-1.482873851294908E-2</v>
          </cell>
          <cell r="L87">
            <v>2.2639068564036302E-2</v>
          </cell>
          <cell r="M87">
            <v>-4.7649849072876282E-2</v>
          </cell>
          <cell r="N87">
            <v>-7.9057064826792978E-4</v>
          </cell>
          <cell r="O87">
            <v>9.9064279902359553E-2</v>
          </cell>
          <cell r="P87">
            <v>2.5278810408921881E-2</v>
          </cell>
          <cell r="Q87">
            <v>4.6550639547074946E-2</v>
          </cell>
          <cell r="R87">
            <v>0.12783548865804528</v>
          </cell>
          <cell r="S87">
            <v>8.6970271979759595E-2</v>
          </cell>
          <cell r="T87">
            <v>0.235227529997736</v>
          </cell>
          <cell r="U87">
            <v>0.13407178306840239</v>
          </cell>
          <cell r="V87">
            <v>8.9217959059781471E-2</v>
          </cell>
          <cell r="W87">
            <v>0.1215189388169482</v>
          </cell>
          <cell r="AE87">
            <v>5.565033972085498E-2</v>
          </cell>
          <cell r="AF87">
            <v>3.1061871137822106E-2</v>
          </cell>
          <cell r="AG87">
            <v>4.2963825041218096E-2</v>
          </cell>
          <cell r="AH87">
            <v>2.4146579638844923E-2</v>
          </cell>
          <cell r="AI87">
            <v>3.6452320575222741E-2</v>
          </cell>
          <cell r="AJ87">
            <v>-5.4136887126207123E-2</v>
          </cell>
          <cell r="AR87">
            <v>0.25486630448797443</v>
          </cell>
          <cell r="AY87">
            <v>0.2195993546504218</v>
          </cell>
          <cell r="BF87">
            <v>0.10440954677165637</v>
          </cell>
          <cell r="BM87">
            <v>-2.2198340848036735E-2</v>
          </cell>
          <cell r="BT87">
            <v>8.4162533698636244E-2</v>
          </cell>
          <cell r="CA87">
            <v>-4.9039274123589105E-2</v>
          </cell>
          <cell r="CH87">
            <v>-0.12486423211409703</v>
          </cell>
          <cell r="CI87">
            <v>3.2559760722295605E-2</v>
          </cell>
          <cell r="CJ87">
            <v>7.8383965406156886E-3</v>
          </cell>
          <cell r="CO87">
            <v>2.9975497802253503E-2</v>
          </cell>
          <cell r="CP87">
            <v>4.5020660585795902E-2</v>
          </cell>
        </row>
        <row r="88">
          <cell r="BX88">
            <v>134</v>
          </cell>
        </row>
        <row r="89">
          <cell r="A89" t="str">
            <v>Professional Diagnostics</v>
          </cell>
          <cell r="I89">
            <v>2333</v>
          </cell>
          <cell r="N89">
            <v>2348</v>
          </cell>
          <cell r="O89">
            <v>0</v>
          </cell>
          <cell r="P89">
            <v>2511</v>
          </cell>
          <cell r="Q89">
            <v>0</v>
          </cell>
          <cell r="R89">
            <v>0</v>
          </cell>
          <cell r="S89">
            <v>1280</v>
          </cell>
          <cell r="T89">
            <v>674</v>
          </cell>
          <cell r="U89">
            <v>1954</v>
          </cell>
          <cell r="V89">
            <v>682.55000000000018</v>
          </cell>
          <cell r="W89">
            <v>2636.55</v>
          </cell>
          <cell r="X89">
            <v>617</v>
          </cell>
          <cell r="Y89">
            <v>644</v>
          </cell>
          <cell r="Z89">
            <v>1261</v>
          </cell>
          <cell r="AA89">
            <v>665</v>
          </cell>
          <cell r="AB89">
            <v>1926</v>
          </cell>
          <cell r="AC89">
            <v>769</v>
          </cell>
          <cell r="AD89">
            <v>2695</v>
          </cell>
          <cell r="AE89">
            <v>672</v>
          </cell>
          <cell r="AF89">
            <v>681</v>
          </cell>
          <cell r="AG89">
            <v>1353</v>
          </cell>
          <cell r="AH89">
            <v>658</v>
          </cell>
          <cell r="AI89">
            <v>2011</v>
          </cell>
          <cell r="AJ89">
            <v>777</v>
          </cell>
          <cell r="AK89">
            <v>2788</v>
          </cell>
          <cell r="AL89">
            <v>685</v>
          </cell>
          <cell r="AM89">
            <v>690</v>
          </cell>
          <cell r="AN89">
            <v>1375</v>
          </cell>
          <cell r="AO89">
            <v>716</v>
          </cell>
          <cell r="AP89">
            <v>2091</v>
          </cell>
          <cell r="AQ89">
            <v>795</v>
          </cell>
          <cell r="AR89">
            <v>2886</v>
          </cell>
          <cell r="AS89">
            <v>682</v>
          </cell>
          <cell r="AT89">
            <v>746</v>
          </cell>
          <cell r="AU89">
            <v>1428</v>
          </cell>
          <cell r="AV89">
            <v>748</v>
          </cell>
          <cell r="AW89">
            <v>2176</v>
          </cell>
          <cell r="AX89">
            <v>843</v>
          </cell>
          <cell r="AY89">
            <v>3019</v>
          </cell>
          <cell r="AZ89">
            <v>755</v>
          </cell>
          <cell r="BA89">
            <v>789</v>
          </cell>
          <cell r="BB89">
            <v>1544</v>
          </cell>
          <cell r="BC89">
            <v>768</v>
          </cell>
          <cell r="BD89">
            <v>2312</v>
          </cell>
          <cell r="BE89">
            <v>904</v>
          </cell>
          <cell r="BF89">
            <v>3216</v>
          </cell>
          <cell r="BG89">
            <v>699</v>
          </cell>
          <cell r="BH89">
            <v>783</v>
          </cell>
          <cell r="BI89">
            <v>1482</v>
          </cell>
          <cell r="BJ89">
            <v>725</v>
          </cell>
          <cell r="BK89">
            <v>2207</v>
          </cell>
          <cell r="BL89">
            <v>764</v>
          </cell>
          <cell r="BM89">
            <v>2971</v>
          </cell>
          <cell r="BN89">
            <v>679</v>
          </cell>
          <cell r="BO89">
            <v>759</v>
          </cell>
          <cell r="BP89">
            <v>1438</v>
          </cell>
          <cell r="BQ89">
            <v>720</v>
          </cell>
          <cell r="BR89">
            <v>2158</v>
          </cell>
          <cell r="BS89">
            <v>811</v>
          </cell>
          <cell r="BT89">
            <v>2969</v>
          </cell>
          <cell r="BU89">
            <v>708</v>
          </cell>
          <cell r="BV89">
            <v>781</v>
          </cell>
          <cell r="BW89">
            <v>1489</v>
          </cell>
          <cell r="BX89">
            <v>702</v>
          </cell>
          <cell r="BY89">
            <v>2191</v>
          </cell>
          <cell r="BZ89">
            <v>768</v>
          </cell>
          <cell r="CA89">
            <v>2959</v>
          </cell>
          <cell r="CB89">
            <v>643</v>
          </cell>
          <cell r="CC89">
            <v>696.30353559407547</v>
          </cell>
          <cell r="CD89">
            <v>1339.3035355940754</v>
          </cell>
          <cell r="CE89">
            <v>643.9259483463602</v>
          </cell>
          <cell r="CF89">
            <v>1983.2294839404356</v>
          </cell>
          <cell r="CG89">
            <v>721.93686926624946</v>
          </cell>
          <cell r="CH89">
            <v>2705.166353206685</v>
          </cell>
          <cell r="CI89">
            <v>2782.3977763737721</v>
          </cell>
          <cell r="CJ89">
            <v>2861.8676708872899</v>
          </cell>
          <cell r="CK89">
            <v>2943.6416214606588</v>
          </cell>
          <cell r="CL89">
            <v>3027.7871489601634</v>
          </cell>
          <cell r="CM89">
            <v>3114.3737678617676</v>
          </cell>
          <cell r="CN89">
            <v>3203.4730454190758</v>
          </cell>
          <cell r="CO89">
            <v>3295.158662593532</v>
          </cell>
          <cell r="CP89">
            <v>3389.50647679946</v>
          </cell>
          <cell r="CQ89">
            <v>3486.5945865181275</v>
          </cell>
          <cell r="CR89">
            <v>5868.0272003167547</v>
          </cell>
          <cell r="CS89">
            <v>6102.7482883294251</v>
          </cell>
          <cell r="CT89">
            <v>6346.8582198626027</v>
          </cell>
          <cell r="CU89">
            <v>7.6296613801971613E-2</v>
          </cell>
          <cell r="CV89">
            <v>6864.7618506033923</v>
          </cell>
          <cell r="CW89">
            <v>7139.3523246275281</v>
          </cell>
          <cell r="CZ89">
            <v>0.05</v>
          </cell>
          <cell r="DA89">
            <v>8.9141004862236528E-2</v>
          </cell>
          <cell r="DB89">
            <v>5.7453416149068293E-2</v>
          </cell>
          <cell r="DC89">
            <v>-1.0526315789473717E-2</v>
          </cell>
          <cell r="DD89">
            <v>4.4132917964693652E-2</v>
          </cell>
          <cell r="DE89">
            <v>5.7442491134247264E-2</v>
          </cell>
          <cell r="DF89">
            <v>1.9345238095238138E-2</v>
          </cell>
          <cell r="DG89">
            <v>1.3215859030837107E-2</v>
          </cell>
          <cell r="DH89">
            <v>8.8145896656534939E-2</v>
          </cell>
          <cell r="DI89">
            <v>2.316602316602312E-2</v>
          </cell>
          <cell r="DJ89">
            <v>3.5150645624103305E-2</v>
          </cell>
          <cell r="DK89">
            <v>6.4315274877783546E-2</v>
          </cell>
          <cell r="DL89">
            <v>3.5460992907800915E-3</v>
          </cell>
          <cell r="DM89">
            <v>5.8755760368663701E-2</v>
          </cell>
          <cell r="DN89">
            <v>8.812729498164007E-2</v>
          </cell>
          <cell r="DO89">
            <v>0.10640732265446218</v>
          </cell>
          <cell r="DP89">
            <v>6.4317180616740188E-2</v>
          </cell>
          <cell r="DQ89">
            <v>0.12249705535924615</v>
          </cell>
          <cell r="DR89">
            <v>6.0935799782372069E-2</v>
          </cell>
          <cell r="DS89">
            <v>6.0742407199100068E-2</v>
          </cell>
          <cell r="DT89">
            <v>4.8603929679420954E-2</v>
          </cell>
          <cell r="DU89">
            <v>7.2019867549668826E-2</v>
          </cell>
          <cell r="DV89">
            <v>6.7156348373557107E-2</v>
          </cell>
          <cell r="DW89">
            <v>0.12102564102564095</v>
          </cell>
          <cell r="DX89">
            <v>0.1102863202545068</v>
          </cell>
          <cell r="DY89">
            <v>0.12130177514792906</v>
          </cell>
          <cell r="DZ89">
            <v>0.1195985352344533</v>
          </cell>
          <cell r="EA89">
            <v>0.13341361398780394</v>
          </cell>
          <cell r="EB89">
            <v>0.12368163677305177</v>
          </cell>
          <cell r="EC89">
            <v>0.11058903929839747</v>
          </cell>
          <cell r="ED89">
            <v>1.564164068750129E-2</v>
          </cell>
          <cell r="EE89">
            <v>9.2824150016552309E-2</v>
          </cell>
          <cell r="EF89">
            <v>0.05</v>
          </cell>
          <cell r="EG89">
            <v>0.05</v>
          </cell>
          <cell r="EH89">
            <v>0.05</v>
          </cell>
          <cell r="EI89">
            <v>-3.3681374200067449E-3</v>
          </cell>
          <cell r="EJ89">
            <v>5.4852311600052106E-2</v>
          </cell>
          <cell r="EN89">
            <v>0.05</v>
          </cell>
          <cell r="EO89">
            <v>6.6988798594333376E-2</v>
          </cell>
          <cell r="EP89">
            <v>0.05</v>
          </cell>
          <cell r="EQ89">
            <v>0.05</v>
          </cell>
          <cell r="ER89">
            <v>0.05</v>
          </cell>
          <cell r="ES89">
            <v>0.05</v>
          </cell>
          <cell r="ET89">
            <v>0.05</v>
          </cell>
          <cell r="EU89">
            <v>0.05</v>
          </cell>
          <cell r="EV89">
            <v>0.05</v>
          </cell>
          <cell r="EW89">
            <v>0.05</v>
          </cell>
          <cell r="EY89">
            <v>0.04</v>
          </cell>
          <cell r="EZ89">
            <v>0.04</v>
          </cell>
          <cell r="FA89">
            <v>0.04</v>
          </cell>
          <cell r="FB89">
            <v>0.04</v>
          </cell>
          <cell r="FC89">
            <v>0.04</v>
          </cell>
          <cell r="FD89">
            <v>0.04</v>
          </cell>
          <cell r="FE89">
            <v>0.04</v>
          </cell>
          <cell r="FF89">
            <v>0.04</v>
          </cell>
          <cell r="FG89">
            <v>0.04</v>
          </cell>
        </row>
        <row r="90">
          <cell r="A90" t="str">
            <v xml:space="preserve">   growth </v>
          </cell>
          <cell r="AZ90">
            <v>215</v>
          </cell>
          <cell r="BA90">
            <v>214</v>
          </cell>
          <cell r="BB90">
            <v>429</v>
          </cell>
          <cell r="BC90">
            <v>216</v>
          </cell>
          <cell r="BD90">
            <v>645</v>
          </cell>
          <cell r="BE90">
            <v>285</v>
          </cell>
          <cell r="BF90">
            <v>930</v>
          </cell>
          <cell r="BG90">
            <v>147</v>
          </cell>
          <cell r="BH90">
            <v>200</v>
          </cell>
          <cell r="BI90">
            <v>347</v>
          </cell>
          <cell r="BJ90">
            <v>176</v>
          </cell>
          <cell r="BK90">
            <v>523</v>
          </cell>
          <cell r="BL90">
            <v>217</v>
          </cell>
          <cell r="BM90">
            <v>740</v>
          </cell>
          <cell r="BN90">
            <v>180</v>
          </cell>
          <cell r="BO90">
            <v>192</v>
          </cell>
          <cell r="BP90">
            <v>372</v>
          </cell>
          <cell r="BQ90">
            <v>181</v>
          </cell>
          <cell r="BR90">
            <v>553</v>
          </cell>
          <cell r="BS90">
            <v>200</v>
          </cell>
          <cell r="BT90">
            <v>2.9624604251469844E-2</v>
          </cell>
          <cell r="BU90">
            <v>7.7348066298342566E-2</v>
          </cell>
          <cell r="BV90">
            <v>0.11024305555555558</v>
          </cell>
          <cell r="BW90">
            <v>9.4280607685433448E-2</v>
          </cell>
          <cell r="BX90">
            <v>2.488888888888896E-2</v>
          </cell>
          <cell r="BY90">
            <v>7.106749925661604E-2</v>
          </cell>
          <cell r="BZ90">
            <v>5.5462184873949605E-2</v>
          </cell>
          <cell r="CA90">
            <v>6.6988798594333376E-2</v>
          </cell>
          <cell r="CB90">
            <v>-4.2735042735042583E-3</v>
          </cell>
          <cell r="CC90">
            <v>-7.5840500390930377E-2</v>
          </cell>
          <cell r="CD90">
            <v>-4.1649652919559021E-2</v>
          </cell>
          <cell r="CE90">
            <v>-7.4391773699972408E-2</v>
          </cell>
          <cell r="CF90">
            <v>-5.2130403963372651E-2</v>
          </cell>
          <cell r="CG90">
            <v>-4.9684886908369696E-2</v>
          </cell>
          <cell r="CH90">
            <v>-5.1498133600860641E-2</v>
          </cell>
          <cell r="CI90">
            <v>745.09128658282407</v>
          </cell>
          <cell r="CJ90">
            <v>767.44402518030881</v>
          </cell>
          <cell r="CK90">
            <v>790.46734593571807</v>
          </cell>
          <cell r="CL90">
            <v>814.18136631378968</v>
          </cell>
          <cell r="CM90">
            <v>838.60680730320337</v>
          </cell>
          <cell r="CN90">
            <v>863.76501152229946</v>
          </cell>
          <cell r="CO90">
            <v>889.67796186796852</v>
          </cell>
          <cell r="CP90">
            <v>916.36830072400755</v>
          </cell>
          <cell r="CQ90">
            <v>943.85934974572785</v>
          </cell>
        </row>
        <row r="91">
          <cell r="A91" t="str">
            <v xml:space="preserve">CER Growth </v>
          </cell>
          <cell r="BG91">
            <v>-0.18327636803067382</v>
          </cell>
          <cell r="BH91">
            <v>9.5882840108364231E-2</v>
          </cell>
          <cell r="BJ91">
            <v>-7.9960567537627925E-2</v>
          </cell>
          <cell r="BL91">
            <v>-0.24601402483571488</v>
          </cell>
          <cell r="BM91">
            <v>-0.10502720089087014</v>
          </cell>
          <cell r="BN91">
            <v>0.15059856147445227</v>
          </cell>
          <cell r="BO91">
            <v>-0.12353596794690169</v>
          </cell>
          <cell r="BQ91">
            <v>3.8025146130477472E-2</v>
          </cell>
          <cell r="BS91">
            <v>3.7410319378773593E-2</v>
          </cell>
          <cell r="BT91">
            <v>-7.1266738231237081E-3</v>
          </cell>
          <cell r="BU91">
            <v>0.13445758779646988</v>
          </cell>
          <cell r="BV91">
            <v>7.0577278896926443E-2</v>
          </cell>
          <cell r="BW91">
            <v>0.09</v>
          </cell>
          <cell r="BX91">
            <v>6.8376920002556574E-2</v>
          </cell>
          <cell r="BY91">
            <v>9.1971589554065258E-2</v>
          </cell>
          <cell r="BZ91">
            <v>4.1914833181307953E-2</v>
          </cell>
          <cell r="CA91">
            <v>7.6234657835490549E-2</v>
          </cell>
          <cell r="CB91">
            <v>9.5099120678957538E-2</v>
          </cell>
          <cell r="CC91">
            <v>0.1</v>
          </cell>
          <cell r="CD91">
            <v>0.09</v>
          </cell>
          <cell r="CE91">
            <v>0.1</v>
          </cell>
          <cell r="CF91">
            <v>8.440473690261896E-2</v>
          </cell>
          <cell r="CG91">
            <v>0.1</v>
          </cell>
          <cell r="CH91">
            <v>9.3604598391156868E-2</v>
          </cell>
          <cell r="CI91">
            <v>0.03</v>
          </cell>
          <cell r="CJ91">
            <v>0.03</v>
          </cell>
          <cell r="CK91">
            <v>0.03</v>
          </cell>
          <cell r="CL91">
            <v>0.03</v>
          </cell>
          <cell r="CM91">
            <v>0.03</v>
          </cell>
          <cell r="CN91">
            <v>0.03</v>
          </cell>
          <cell r="CO91">
            <v>0.03</v>
          </cell>
          <cell r="CP91">
            <v>0.03</v>
          </cell>
          <cell r="CQ91">
            <v>0.03</v>
          </cell>
        </row>
        <row r="92">
          <cell r="A92" t="str">
            <v>Professional Diagnostics US</v>
          </cell>
          <cell r="AZ92">
            <v>213</v>
          </cell>
          <cell r="BA92">
            <v>228</v>
          </cell>
          <cell r="BB92">
            <v>441</v>
          </cell>
          <cell r="BC92">
            <v>226</v>
          </cell>
          <cell r="BD92">
            <v>667</v>
          </cell>
          <cell r="BE92">
            <v>232</v>
          </cell>
          <cell r="BF92">
            <v>899</v>
          </cell>
          <cell r="BG92">
            <v>206</v>
          </cell>
          <cell r="BH92">
            <v>206</v>
          </cell>
          <cell r="BI92">
            <v>412</v>
          </cell>
          <cell r="BJ92">
            <v>208</v>
          </cell>
          <cell r="BK92">
            <v>620</v>
          </cell>
          <cell r="BL92">
            <v>256</v>
          </cell>
          <cell r="BM92">
            <v>876</v>
          </cell>
          <cell r="BN92">
            <v>209</v>
          </cell>
          <cell r="BO92">
            <v>211</v>
          </cell>
          <cell r="BP92">
            <v>420</v>
          </cell>
          <cell r="BQ92">
            <v>211</v>
          </cell>
          <cell r="BR92">
            <v>631</v>
          </cell>
          <cell r="BS92">
            <v>222</v>
          </cell>
          <cell r="BT92">
            <v>853</v>
          </cell>
          <cell r="BU92">
            <v>225</v>
          </cell>
          <cell r="BV92">
            <v>249</v>
          </cell>
          <cell r="BW92">
            <v>474</v>
          </cell>
          <cell r="BX92">
            <v>236</v>
          </cell>
          <cell r="BY92">
            <v>710</v>
          </cell>
          <cell r="BZ92">
            <v>250</v>
          </cell>
          <cell r="CA92">
            <v>960</v>
          </cell>
          <cell r="CB92">
            <v>208</v>
          </cell>
          <cell r="CC92">
            <v>206</v>
          </cell>
          <cell r="CD92">
            <v>414</v>
          </cell>
          <cell r="CE92">
            <v>223.7575793769266</v>
          </cell>
          <cell r="CF92">
            <v>637.75757937692663</v>
          </cell>
          <cell r="CG92">
            <v>250.98092201377233</v>
          </cell>
          <cell r="CH92">
            <v>888.73850139069896</v>
          </cell>
          <cell r="CI92">
            <v>194.3794440064222</v>
          </cell>
          <cell r="CJ92">
            <v>209.29667793136807</v>
          </cell>
          <cell r="CK92">
            <v>403.6761219377903</v>
          </cell>
          <cell r="CL92">
            <v>238.18336214146257</v>
          </cell>
          <cell r="CM92">
            <v>641.85948407925287</v>
          </cell>
          <cell r="CN92">
            <v>276.37428588810695</v>
          </cell>
          <cell r="CO92">
            <v>918.23376996735988</v>
          </cell>
          <cell r="CP92">
            <v>1003.2686482756213</v>
          </cell>
          <cell r="CQ92">
            <v>1043.3993942066463</v>
          </cell>
          <cell r="CR92">
            <v>1085.1353699749122</v>
          </cell>
          <cell r="CS92">
            <v>1128.5407847739089</v>
          </cell>
          <cell r="CT92">
            <v>1173.6824161648653</v>
          </cell>
          <cell r="CU92">
            <v>1220.62971281146</v>
          </cell>
          <cell r="CV92">
            <v>1269.4549013239184</v>
          </cell>
          <cell r="CW92">
            <v>1320.2330973768751</v>
          </cell>
        </row>
        <row r="93">
          <cell r="A93" t="str">
            <v>Growth CER</v>
          </cell>
          <cell r="BG93">
            <v>0.10013885197150985</v>
          </cell>
          <cell r="BH93">
            <v>6.4812172785852384E-2</v>
          </cell>
          <cell r="BJ93">
            <v>2.5578599948442249E-2</v>
          </cell>
          <cell r="BL93">
            <v>9.6030742254424206E-2</v>
          </cell>
          <cell r="BM93">
            <v>7.3689892175499927E-2</v>
          </cell>
          <cell r="BN93">
            <v>-5.9328127647798601E-2</v>
          </cell>
          <cell r="BO93">
            <v>-5.9264123286707493E-2</v>
          </cell>
          <cell r="BQ93">
            <v>2.4039132144463515E-2</v>
          </cell>
          <cell r="BS93">
            <v>-1.706116679634162E-2</v>
          </cell>
          <cell r="BT93">
            <v>-5.0949949153248242E-2</v>
          </cell>
          <cell r="BU93">
            <v>0.15545705616435923</v>
          </cell>
          <cell r="BV93">
            <v>0.18296373229345109</v>
          </cell>
          <cell r="BW93">
            <v>0.17006287366020789</v>
          </cell>
          <cell r="BX93">
            <v>0.14818629917566017</v>
          </cell>
          <cell r="BY93">
            <v>0.16292013989036669</v>
          </cell>
          <cell r="BZ93">
            <v>0.17304095930743413</v>
          </cell>
          <cell r="CA93">
            <v>0.16316166648708974</v>
          </cell>
          <cell r="CB93">
            <v>3.0069880912875657E-2</v>
          </cell>
          <cell r="CC93">
            <v>4.2777062314531267E-2</v>
          </cell>
          <cell r="CD93">
            <v>3.5266689485371594E-2</v>
          </cell>
          <cell r="CE93">
            <v>0.15</v>
          </cell>
          <cell r="CF93">
            <v>6.4514310088310101E-2</v>
          </cell>
          <cell r="CG93">
            <v>0.15</v>
          </cell>
          <cell r="CH93">
            <v>9.2033470571799891E-2</v>
          </cell>
          <cell r="CI93">
            <v>0.04</v>
          </cell>
          <cell r="CJ93">
            <v>0.04</v>
          </cell>
          <cell r="CK93">
            <v>3.8949835401511534E-2</v>
          </cell>
          <cell r="CL93">
            <v>0.04</v>
          </cell>
          <cell r="CM93">
            <v>4.2447839337747983E-2</v>
          </cell>
          <cell r="CN93">
            <v>0.04</v>
          </cell>
          <cell r="CO93">
            <v>6.9203869804829066E-2</v>
          </cell>
          <cell r="CP93">
            <v>0.04</v>
          </cell>
          <cell r="CQ93">
            <v>0.04</v>
          </cell>
          <cell r="CR93">
            <v>0.04</v>
          </cell>
          <cell r="CS93">
            <v>0.04</v>
          </cell>
          <cell r="CT93">
            <v>0.04</v>
          </cell>
          <cell r="CU93">
            <v>0.04</v>
          </cell>
          <cell r="CV93">
            <v>0.04</v>
          </cell>
          <cell r="CW93">
            <v>0.04</v>
          </cell>
        </row>
        <row r="94">
          <cell r="A94" t="str">
            <v>Professional Diagnostics EMEA</v>
          </cell>
          <cell r="AZ94">
            <v>613</v>
          </cell>
          <cell r="BA94">
            <v>639</v>
          </cell>
          <cell r="BB94">
            <v>1252</v>
          </cell>
          <cell r="BC94">
            <v>582</v>
          </cell>
          <cell r="BD94">
            <v>1834</v>
          </cell>
          <cell r="BE94">
            <v>660</v>
          </cell>
          <cell r="BF94">
            <v>2494</v>
          </cell>
          <cell r="BG94">
            <v>642</v>
          </cell>
          <cell r="BH94">
            <v>660</v>
          </cell>
          <cell r="BI94">
            <v>1302</v>
          </cell>
          <cell r="BJ94">
            <v>620</v>
          </cell>
          <cell r="BK94">
            <v>1922</v>
          </cell>
          <cell r="BL94">
            <v>638</v>
          </cell>
          <cell r="BM94">
            <v>2560</v>
          </cell>
          <cell r="BN94">
            <v>622</v>
          </cell>
          <cell r="BO94">
            <v>655</v>
          </cell>
          <cell r="BP94">
            <v>1277</v>
          </cell>
          <cell r="BQ94">
            <v>616</v>
          </cell>
          <cell r="BR94">
            <v>1893</v>
          </cell>
          <cell r="BS94">
            <v>664</v>
          </cell>
          <cell r="BT94">
            <v>2557</v>
          </cell>
          <cell r="BU94">
            <v>670</v>
          </cell>
          <cell r="BV94">
            <v>700</v>
          </cell>
          <cell r="BW94">
            <v>1370</v>
          </cell>
          <cell r="BX94">
            <v>597</v>
          </cell>
          <cell r="BY94">
            <v>1967</v>
          </cell>
          <cell r="BZ94">
            <v>650</v>
          </cell>
          <cell r="CA94">
            <v>2617</v>
          </cell>
          <cell r="CB94">
            <v>617</v>
          </cell>
          <cell r="CC94">
            <v>606</v>
          </cell>
          <cell r="CD94">
            <v>1223</v>
          </cell>
          <cell r="CE94">
            <v>531.65062258577643</v>
          </cell>
          <cell r="CF94">
            <v>1754.6506225857765</v>
          </cell>
          <cell r="CG94">
            <v>583.83575397206903</v>
          </cell>
          <cell r="CH94">
            <v>2338.4863765578457</v>
          </cell>
          <cell r="CI94">
            <v>583.12253931192322</v>
          </cell>
          <cell r="CJ94">
            <v>614.06831776811168</v>
          </cell>
          <cell r="CK94">
            <v>1197.1908570800349</v>
          </cell>
          <cell r="CL94">
            <v>621.41959496574668</v>
          </cell>
          <cell r="CM94">
            <v>1818.6104520457816</v>
          </cell>
          <cell r="CN94">
            <v>714.65629636651875</v>
          </cell>
          <cell r="CO94">
            <v>2533.2667484123003</v>
          </cell>
          <cell r="CP94">
            <v>2808.8293117466083</v>
          </cell>
          <cell r="CQ94">
            <v>2921.1824842164729</v>
          </cell>
          <cell r="CR94">
            <v>3038.029783585132</v>
          </cell>
          <cell r="CS94">
            <v>3159.5509749285375</v>
          </cell>
          <cell r="CT94">
            <v>3285.933013925679</v>
          </cell>
          <cell r="CU94">
            <v>3417.3703344827063</v>
          </cell>
          <cell r="CV94">
            <v>3554.0651478620148</v>
          </cell>
          <cell r="CW94">
            <v>3696.2277537764953</v>
          </cell>
        </row>
        <row r="95">
          <cell r="A95" t="str">
            <v>Growth CER</v>
          </cell>
          <cell r="BG95">
            <v>5.6553629836844754E-2</v>
          </cell>
          <cell r="BH95">
            <v>5.9705988325013393E-2</v>
          </cell>
          <cell r="BJ95">
            <v>8.7850370493854246E-2</v>
          </cell>
          <cell r="BL95">
            <v>4.9441386853480762E-2</v>
          </cell>
          <cell r="BM95">
            <v>6.1813835712603349E-2</v>
          </cell>
          <cell r="BN95">
            <v>3.430263078597251E-2</v>
          </cell>
          <cell r="BO95">
            <v>4.835197301353511E-2</v>
          </cell>
          <cell r="BQ95">
            <v>5.017169548795497E-2</v>
          </cell>
          <cell r="BS95">
            <v>5.0302732417311757E-2</v>
          </cell>
          <cell r="BT95">
            <v>4.6197069941352975E-2</v>
          </cell>
          <cell r="BU95">
            <v>0.15607245024734506</v>
          </cell>
          <cell r="BV95">
            <v>7.1571235639929065E-2</v>
          </cell>
          <cell r="BW95">
            <v>9.893959354395554E-2</v>
          </cell>
          <cell r="BX95">
            <v>9.2240800737098283E-2</v>
          </cell>
          <cell r="BY95">
            <v>9.7730866253452731E-2</v>
          </cell>
          <cell r="BZ95">
            <v>2.5830495831910327E-2</v>
          </cell>
          <cell r="CA95">
            <v>9.847416776660245E-2</v>
          </cell>
          <cell r="CB95">
            <v>2.6520958856490973E-2</v>
          </cell>
          <cell r="CC95">
            <v>8.1182111081025909E-2</v>
          </cell>
          <cell r="CD95">
            <v>2.6434987560294831E-2</v>
          </cell>
          <cell r="CE95">
            <v>0.05</v>
          </cell>
          <cell r="CF95">
            <v>3.1444837587124908E-2</v>
          </cell>
          <cell r="CG95">
            <v>0.05</v>
          </cell>
          <cell r="CH95">
            <v>3.4196992480729493E-2</v>
          </cell>
          <cell r="CI95">
            <v>0.04</v>
          </cell>
          <cell r="CJ95">
            <v>0.04</v>
          </cell>
          <cell r="CK95">
            <v>3.781158231535553E-2</v>
          </cell>
          <cell r="CL95">
            <v>0.04</v>
          </cell>
          <cell r="CM95">
            <v>3.9073421208893233E-2</v>
          </cell>
          <cell r="CN95">
            <v>0.04</v>
          </cell>
          <cell r="CO95">
            <v>4.3627946159114694E-2</v>
          </cell>
          <cell r="CP95">
            <v>0.04</v>
          </cell>
          <cell r="CQ95">
            <v>0.04</v>
          </cell>
          <cell r="CR95">
            <v>0.04</v>
          </cell>
          <cell r="CS95">
            <v>0.04</v>
          </cell>
          <cell r="CT95">
            <v>0.04</v>
          </cell>
          <cell r="CU95">
            <v>0.04</v>
          </cell>
          <cell r="CV95">
            <v>0.04</v>
          </cell>
          <cell r="CW95">
            <v>0.04</v>
          </cell>
        </row>
        <row r="96">
          <cell r="A96" t="str">
            <v>Professional Diagnostics ROW</v>
          </cell>
          <cell r="N96">
            <v>2348</v>
          </cell>
          <cell r="O96">
            <v>0</v>
          </cell>
          <cell r="P96">
            <v>3177</v>
          </cell>
          <cell r="Q96">
            <v>0</v>
          </cell>
          <cell r="R96">
            <v>0</v>
          </cell>
          <cell r="S96">
            <v>1557</v>
          </cell>
          <cell r="T96">
            <v>784</v>
          </cell>
          <cell r="U96">
            <v>2341</v>
          </cell>
          <cell r="V96">
            <v>858.24</v>
          </cell>
          <cell r="W96">
            <v>3199.24</v>
          </cell>
          <cell r="X96">
            <v>759</v>
          </cell>
          <cell r="Y96">
            <v>793</v>
          </cell>
          <cell r="Z96">
            <v>1552</v>
          </cell>
          <cell r="AA96">
            <v>781</v>
          </cell>
          <cell r="AB96">
            <v>2333</v>
          </cell>
          <cell r="AC96">
            <v>847</v>
          </cell>
          <cell r="AD96">
            <v>3180</v>
          </cell>
          <cell r="AE96">
            <v>846</v>
          </cell>
          <cell r="AF96">
            <v>868</v>
          </cell>
          <cell r="AG96">
            <v>1714</v>
          </cell>
          <cell r="AH96">
            <v>817</v>
          </cell>
          <cell r="AI96">
            <v>2531</v>
          </cell>
          <cell r="AJ96">
            <v>874</v>
          </cell>
          <cell r="AK96">
            <v>3405</v>
          </cell>
          <cell r="AL96">
            <v>849</v>
          </cell>
          <cell r="AM96">
            <v>919</v>
          </cell>
          <cell r="AN96">
            <v>1768</v>
          </cell>
          <cell r="AO96">
            <v>889</v>
          </cell>
          <cell r="AP96">
            <v>2657</v>
          </cell>
          <cell r="AQ96">
            <v>967</v>
          </cell>
          <cell r="AR96">
            <v>3624</v>
          </cell>
          <cell r="AS96">
            <v>953</v>
          </cell>
          <cell r="AT96">
            <v>975</v>
          </cell>
          <cell r="AU96">
            <v>1928</v>
          </cell>
          <cell r="AV96">
            <v>943</v>
          </cell>
          <cell r="AW96">
            <v>2871</v>
          </cell>
          <cell r="AX96">
            <v>1014</v>
          </cell>
          <cell r="AY96">
            <v>3885</v>
          </cell>
          <cell r="AZ96">
            <v>191</v>
          </cell>
          <cell r="BA96">
            <v>226</v>
          </cell>
          <cell r="BB96">
            <v>417</v>
          </cell>
          <cell r="BC96">
            <v>239</v>
          </cell>
          <cell r="BD96">
            <v>656</v>
          </cell>
          <cell r="BE96">
            <v>245</v>
          </cell>
          <cell r="BF96">
            <v>901</v>
          </cell>
          <cell r="BG96">
            <v>222</v>
          </cell>
          <cell r="BH96">
            <v>247</v>
          </cell>
          <cell r="BI96">
            <v>469</v>
          </cell>
          <cell r="BJ96">
            <v>259</v>
          </cell>
          <cell r="BK96">
            <v>728</v>
          </cell>
          <cell r="BL96">
            <v>258</v>
          </cell>
          <cell r="BM96">
            <v>986</v>
          </cell>
          <cell r="BN96">
            <v>255</v>
          </cell>
          <cell r="BO96">
            <v>286</v>
          </cell>
          <cell r="BP96">
            <v>541</v>
          </cell>
          <cell r="BQ96">
            <v>298</v>
          </cell>
          <cell r="BR96">
            <v>839</v>
          </cell>
          <cell r="BS96">
            <v>304</v>
          </cell>
          <cell r="BT96">
            <v>1143</v>
          </cell>
          <cell r="BU96">
            <v>275</v>
          </cell>
          <cell r="BV96">
            <v>330</v>
          </cell>
          <cell r="BW96">
            <v>605</v>
          </cell>
          <cell r="BX96">
            <v>320</v>
          </cell>
          <cell r="BY96">
            <v>925</v>
          </cell>
          <cell r="BZ96">
            <v>356</v>
          </cell>
          <cell r="CA96">
            <v>1281</v>
          </cell>
          <cell r="CB96">
            <v>340</v>
          </cell>
          <cell r="CC96">
            <v>370</v>
          </cell>
          <cell r="CD96">
            <v>710</v>
          </cell>
          <cell r="CE96">
            <v>311.81808296122881</v>
          </cell>
          <cell r="CF96">
            <v>1021.8180829612288</v>
          </cell>
          <cell r="CG96">
            <v>358.77910605724617</v>
          </cell>
          <cell r="CH96">
            <v>1380.5971890184751</v>
          </cell>
          <cell r="CI96">
            <v>328.48025543121145</v>
          </cell>
          <cell r="CJ96">
            <v>385.62173012266942</v>
          </cell>
          <cell r="CK96">
            <v>714.10198555388092</v>
          </cell>
          <cell r="CL96">
            <v>349.10131506148099</v>
          </cell>
          <cell r="CM96">
            <v>1063.203300615362</v>
          </cell>
          <cell r="CN96">
            <v>415.61114335539708</v>
          </cell>
          <cell r="CO96">
            <v>1478.8144439707589</v>
          </cell>
          <cell r="CP96">
            <v>1613.2230461877871</v>
          </cell>
          <cell r="CQ96">
            <v>1677.7519680352987</v>
          </cell>
          <cell r="CR96">
            <v>1744.8620467567107</v>
          </cell>
          <cell r="CS96">
            <v>1814.6565286269793</v>
          </cell>
          <cell r="CT96">
            <v>1887.2427897720586</v>
          </cell>
          <cell r="CU96">
            <v>1962.7325013629411</v>
          </cell>
          <cell r="CV96">
            <v>2041.2418014174589</v>
          </cell>
          <cell r="CW96">
            <v>2122.8914734741575</v>
          </cell>
          <cell r="DE96">
            <v>6.4315274877783546E-2</v>
          </cell>
          <cell r="DF96">
            <v>3.5460992907800915E-3</v>
          </cell>
          <cell r="DG96">
            <v>5.8755760368663701E-2</v>
          </cell>
          <cell r="DH96">
            <v>8.812729498164007E-2</v>
          </cell>
          <cell r="DI96">
            <v>0.10640732265446218</v>
          </cell>
          <cell r="DJ96">
            <v>6.4317180616740188E-2</v>
          </cell>
          <cell r="DK96">
            <v>0.12249705535924615</v>
          </cell>
          <cell r="DL96">
            <v>6.0935799782372069E-2</v>
          </cell>
          <cell r="DM96">
            <v>6.0742407199100068E-2</v>
          </cell>
          <cell r="DN96">
            <v>4.8603929679420954E-2</v>
          </cell>
          <cell r="DO96">
            <v>7.2019867549668826E-2</v>
          </cell>
          <cell r="DP96">
            <v>6.7156348373557107E-2</v>
          </cell>
          <cell r="DQ96">
            <v>0.12102564102564095</v>
          </cell>
          <cell r="DR96">
            <v>0.1102863202545068</v>
          </cell>
          <cell r="DS96">
            <v>0.12130177514792906</v>
          </cell>
          <cell r="DT96">
            <v>0.1195985352344533</v>
          </cell>
          <cell r="DU96">
            <v>0.13341361398780394</v>
          </cell>
          <cell r="DV96">
            <v>0.12368163677305177</v>
          </cell>
          <cell r="DW96">
            <v>0.11058903929839747</v>
          </cell>
          <cell r="DX96">
            <v>1.564164068750129E-2</v>
          </cell>
          <cell r="DY96">
            <v>9.2824150016552309E-2</v>
          </cell>
          <cell r="DZ96">
            <v>0.05</v>
          </cell>
          <cell r="EA96">
            <v>0.05</v>
          </cell>
          <cell r="EB96">
            <v>0.05</v>
          </cell>
          <cell r="EC96">
            <v>0.05</v>
          </cell>
          <cell r="ED96">
            <v>5.4852311600052106E-2</v>
          </cell>
          <cell r="EI96">
            <v>6.6988798594333376E-2</v>
          </cell>
          <cell r="EN96">
            <v>0.05</v>
          </cell>
          <cell r="EO96">
            <v>0.04</v>
          </cell>
          <cell r="EP96">
            <v>0.04</v>
          </cell>
          <cell r="EQ96">
            <v>0.04</v>
          </cell>
          <cell r="ER96">
            <v>0.04</v>
          </cell>
          <cell r="ES96">
            <v>0.04</v>
          </cell>
          <cell r="ET96">
            <v>0.04</v>
          </cell>
          <cell r="EU96">
            <v>0.04</v>
          </cell>
          <cell r="EV96">
            <v>0.04</v>
          </cell>
          <cell r="EW96">
            <v>0.04</v>
          </cell>
        </row>
        <row r="97">
          <cell r="A97" t="str">
            <v>Growth CER</v>
          </cell>
          <cell r="AZ97">
            <v>213</v>
          </cell>
          <cell r="BA97">
            <v>228</v>
          </cell>
          <cell r="BB97">
            <v>441</v>
          </cell>
          <cell r="BC97">
            <v>226</v>
          </cell>
          <cell r="BD97">
            <v>667</v>
          </cell>
          <cell r="BE97">
            <v>232</v>
          </cell>
          <cell r="BF97">
            <v>899</v>
          </cell>
          <cell r="BG97">
            <v>0.23403348360446274</v>
          </cell>
          <cell r="BH97">
            <v>0.18670436865263607</v>
          </cell>
          <cell r="BI97">
            <v>412</v>
          </cell>
          <cell r="BJ97">
            <v>0.14885881385772071</v>
          </cell>
          <cell r="BK97">
            <v>620</v>
          </cell>
          <cell r="BL97">
            <v>5.5472536169218878E-2</v>
          </cell>
          <cell r="BM97">
            <v>0.1520022522160861</v>
          </cell>
          <cell r="BN97">
            <v>0.15864864864864869</v>
          </cell>
          <cell r="BO97">
            <v>0.16789473684210532</v>
          </cell>
          <cell r="BP97">
            <v>420</v>
          </cell>
          <cell r="BQ97">
            <v>0.1582254203051785</v>
          </cell>
          <cell r="BR97">
            <v>631</v>
          </cell>
          <cell r="BS97">
            <v>0.2463117710062136</v>
          </cell>
          <cell r="BT97">
            <v>0.18314507569715688</v>
          </cell>
          <cell r="BU97">
            <v>0.15733340478993385</v>
          </cell>
          <cell r="BV97">
            <v>0.15671509940974693</v>
          </cell>
          <cell r="BW97">
            <v>0.14772106504391169</v>
          </cell>
          <cell r="BX97">
            <v>0.12540519755904767</v>
          </cell>
          <cell r="BY97">
            <v>0.13931062418727225</v>
          </cell>
          <cell r="BZ97">
            <v>0.2179674647602553</v>
          </cell>
          <cell r="CA97">
            <v>0.16414752189753401</v>
          </cell>
          <cell r="CB97">
            <v>0.34198907283206759</v>
          </cell>
          <cell r="CC97">
            <v>0.33667994657886124</v>
          </cell>
          <cell r="CD97">
            <v>0.30929376000499997</v>
          </cell>
          <cell r="CE97">
            <v>0.15</v>
          </cell>
          <cell r="CF97">
            <v>0.24605097606799575</v>
          </cell>
          <cell r="CG97">
            <v>0.15</v>
          </cell>
          <cell r="CH97">
            <v>0.21469828106439004</v>
          </cell>
          <cell r="CI97">
            <v>0.06</v>
          </cell>
          <cell r="CJ97">
            <v>0.06</v>
          </cell>
          <cell r="CK97">
            <v>5.8447590408820083E-2</v>
          </cell>
          <cell r="CL97">
            <v>0.06</v>
          </cell>
          <cell r="CM97">
            <v>5.6883141034138718E-2</v>
          </cell>
          <cell r="CN97">
            <v>0.06</v>
          </cell>
          <cell r="CO97">
            <v>6.0218844887550249E-2</v>
          </cell>
          <cell r="CP97">
            <v>0.04</v>
          </cell>
          <cell r="CQ97">
            <v>0.04</v>
          </cell>
          <cell r="CR97">
            <v>0.04</v>
          </cell>
          <cell r="CS97">
            <v>0.04</v>
          </cell>
          <cell r="CT97">
            <v>0.04</v>
          </cell>
          <cell r="CU97">
            <v>0.04</v>
          </cell>
          <cell r="CV97">
            <v>0.04</v>
          </cell>
          <cell r="CW97">
            <v>0.04</v>
          </cell>
        </row>
        <row r="98">
          <cell r="A98" t="str">
            <v>Diabetes Care</v>
          </cell>
          <cell r="I98">
            <v>2333</v>
          </cell>
          <cell r="N98">
            <v>1858</v>
          </cell>
          <cell r="P98">
            <v>2511</v>
          </cell>
          <cell r="S98">
            <v>1280</v>
          </cell>
          <cell r="T98">
            <v>674</v>
          </cell>
          <cell r="U98">
            <v>1954</v>
          </cell>
          <cell r="V98">
            <v>682.55000000000018</v>
          </cell>
          <cell r="W98">
            <v>2636.55</v>
          </cell>
          <cell r="X98">
            <v>617</v>
          </cell>
          <cell r="Y98">
            <v>644</v>
          </cell>
          <cell r="Z98">
            <v>1261</v>
          </cell>
          <cell r="AA98">
            <v>665</v>
          </cell>
          <cell r="AB98">
            <v>1926</v>
          </cell>
          <cell r="AC98">
            <v>769</v>
          </cell>
          <cell r="AD98">
            <v>2695</v>
          </cell>
          <cell r="AE98">
            <v>672</v>
          </cell>
          <cell r="AF98">
            <v>681</v>
          </cell>
          <cell r="AG98">
            <v>1353</v>
          </cell>
          <cell r="AH98">
            <v>658</v>
          </cell>
          <cell r="AI98">
            <v>2011</v>
          </cell>
          <cell r="AJ98">
            <v>777</v>
          </cell>
          <cell r="AK98">
            <v>2788</v>
          </cell>
          <cell r="AL98">
            <v>685</v>
          </cell>
          <cell r="AM98">
            <v>690</v>
          </cell>
          <cell r="AN98">
            <v>1375</v>
          </cell>
          <cell r="AO98">
            <v>716</v>
          </cell>
          <cell r="AP98">
            <v>2091</v>
          </cell>
          <cell r="AQ98">
            <v>795</v>
          </cell>
          <cell r="AR98">
            <v>2886</v>
          </cell>
          <cell r="AS98">
            <v>682</v>
          </cell>
          <cell r="AT98">
            <v>746</v>
          </cell>
          <cell r="AU98">
            <v>1428</v>
          </cell>
          <cell r="AV98">
            <v>748</v>
          </cell>
          <cell r="AW98">
            <v>2176</v>
          </cell>
          <cell r="AX98">
            <v>843</v>
          </cell>
          <cell r="AY98">
            <v>3019</v>
          </cell>
          <cell r="AZ98">
            <v>755</v>
          </cell>
          <cell r="BA98">
            <v>789</v>
          </cell>
          <cell r="BB98">
            <v>1544</v>
          </cell>
          <cell r="BC98">
            <v>768</v>
          </cell>
          <cell r="BD98">
            <v>2312</v>
          </cell>
          <cell r="BE98">
            <v>904</v>
          </cell>
          <cell r="BF98">
            <v>3216</v>
          </cell>
          <cell r="BG98">
            <v>0.10013885197150985</v>
          </cell>
          <cell r="BH98">
            <v>6.4812172785852384E-2</v>
          </cell>
          <cell r="BI98">
            <v>1482</v>
          </cell>
          <cell r="BJ98">
            <v>2.5578599948442249E-2</v>
          </cell>
          <cell r="BK98">
            <v>2207</v>
          </cell>
          <cell r="BL98">
            <v>9.6030742254424206E-2</v>
          </cell>
          <cell r="BM98">
            <v>7.3689892175499927E-2</v>
          </cell>
          <cell r="BN98">
            <v>-5.9328127647798601E-2</v>
          </cell>
          <cell r="BO98">
            <v>-5.9264123286707493E-2</v>
          </cell>
          <cell r="BP98">
            <v>1438</v>
          </cell>
          <cell r="BQ98">
            <v>2.4039132144463515E-2</v>
          </cell>
          <cell r="BR98">
            <v>2158</v>
          </cell>
          <cell r="BS98">
            <v>-1.706116679634162E-2</v>
          </cell>
          <cell r="BT98">
            <v>-5.0949949153248242E-2</v>
          </cell>
          <cell r="BU98">
            <v>0.15545705616435923</v>
          </cell>
          <cell r="BV98">
            <v>0.18296373229345109</v>
          </cell>
          <cell r="BW98">
            <v>0.17006287366020789</v>
          </cell>
          <cell r="BX98">
            <v>0.14818629917566017</v>
          </cell>
          <cell r="BY98">
            <v>0.16292013989036669</v>
          </cell>
          <cell r="BZ98">
            <v>0.17304095930743413</v>
          </cell>
          <cell r="CA98">
            <v>0.16316166648708974</v>
          </cell>
          <cell r="CB98">
            <v>0.21673654757954242</v>
          </cell>
          <cell r="CC98">
            <v>0.15</v>
          </cell>
          <cell r="CD98">
            <v>0.16322193886561187</v>
          </cell>
          <cell r="CE98">
            <v>0.15</v>
          </cell>
          <cell r="CF98">
            <v>0.14951299321306222</v>
          </cell>
          <cell r="CG98">
            <v>0.15</v>
          </cell>
          <cell r="CH98">
            <v>0.15324133348551949</v>
          </cell>
          <cell r="CI98">
            <v>0.04</v>
          </cell>
          <cell r="CJ98">
            <v>0.04</v>
          </cell>
          <cell r="CK98">
            <v>0.04</v>
          </cell>
          <cell r="CL98">
            <v>0.04</v>
          </cell>
          <cell r="CM98">
            <v>0.04</v>
          </cell>
          <cell r="CN98">
            <v>0.04</v>
          </cell>
          <cell r="CO98">
            <v>0.04</v>
          </cell>
          <cell r="CP98">
            <v>0.04</v>
          </cell>
          <cell r="CQ98">
            <v>0.04</v>
          </cell>
          <cell r="CR98">
            <v>3211.9644459609758</v>
          </cell>
          <cell r="CS98">
            <v>3303.3373206720216</v>
          </cell>
          <cell r="CT98">
            <v>3397.3516604510423</v>
          </cell>
          <cell r="CU98">
            <v>3494.0847148266121</v>
          </cell>
          <cell r="CV98">
            <v>3593.6160109246894</v>
          </cell>
          <cell r="CW98">
            <v>3696.0274209987747</v>
          </cell>
          <cell r="DA98">
            <v>7.6296613801971613E-2</v>
          </cell>
          <cell r="DF98">
            <v>0.05</v>
          </cell>
          <cell r="DG98">
            <v>8.9141004862236528E-2</v>
          </cell>
          <cell r="DH98">
            <v>5.7453416149068293E-2</v>
          </cell>
          <cell r="DI98">
            <v>-1.0526315789473717E-2</v>
          </cell>
          <cell r="DJ98">
            <v>4.4132917964693652E-2</v>
          </cell>
          <cell r="DK98">
            <v>5.7442491134247264E-2</v>
          </cell>
          <cell r="DL98">
            <v>1.9345238095238138E-2</v>
          </cell>
          <cell r="DM98">
            <v>1.3215859030837107E-2</v>
          </cell>
          <cell r="DN98">
            <v>8.8145896656534939E-2</v>
          </cell>
          <cell r="DO98">
            <v>2.316602316602312E-2</v>
          </cell>
          <cell r="DP98">
            <v>3.5150645624103305E-2</v>
          </cell>
          <cell r="DQ98">
            <v>-4.3795620437956373E-3</v>
          </cell>
          <cell r="DR98">
            <v>8.1159420289855122E-2</v>
          </cell>
          <cell r="DS98">
            <v>4.4692737430167551E-2</v>
          </cell>
          <cell r="DT98">
            <v>6.0377358490566024E-2</v>
          </cell>
          <cell r="DU98">
            <v>4.6084546084546041E-2</v>
          </cell>
          <cell r="DV98">
            <v>0.10703812316715533</v>
          </cell>
          <cell r="DW98">
            <v>5.7640750670241214E-2</v>
          </cell>
          <cell r="DX98">
            <v>2.673796791443861E-2</v>
          </cell>
          <cell r="DY98">
            <v>7.236061684460271E-2</v>
          </cell>
          <cell r="DZ98">
            <v>7.905661558344268E-2</v>
          </cell>
          <cell r="EA98">
            <v>-2.631094692712832E-3</v>
          </cell>
          <cell r="EB98">
            <v>9.5098137009073103E-2</v>
          </cell>
          <cell r="EC98">
            <v>9.8277644480113668E-3</v>
          </cell>
          <cell r="ED98">
            <v>-0.15282445234458508</v>
          </cell>
          <cell r="EE98">
            <v>-1.9652157546149129E-2</v>
          </cell>
          <cell r="EF98">
            <v>-0.1</v>
          </cell>
          <cell r="EG98">
            <v>-0.1</v>
          </cell>
          <cell r="EH98">
            <v>-0.05</v>
          </cell>
          <cell r="EI98">
            <v>-0.03</v>
          </cell>
          <cell r="EJ98">
            <v>2.3812181722351999E-2</v>
          </cell>
          <cell r="EO98">
            <v>-3.3681374200067449E-3</v>
          </cell>
          <cell r="ET98">
            <v>0.05</v>
          </cell>
          <cell r="EY98">
            <v>0.05</v>
          </cell>
          <cell r="EZ98">
            <v>0.05</v>
          </cell>
          <cell r="FA98">
            <v>0.05</v>
          </cell>
          <cell r="FB98">
            <v>0.05</v>
          </cell>
          <cell r="FC98">
            <v>0.05</v>
          </cell>
          <cell r="FD98">
            <v>0.05</v>
          </cell>
          <cell r="FE98">
            <v>0.05</v>
          </cell>
          <cell r="FF98">
            <v>0.05</v>
          </cell>
          <cell r="FG98">
            <v>0.05</v>
          </cell>
        </row>
        <row r="99">
          <cell r="A99" t="str">
            <v xml:space="preserve">   growth </v>
          </cell>
          <cell r="AZ99">
            <v>613</v>
          </cell>
          <cell r="BA99">
            <v>639</v>
          </cell>
          <cell r="BB99">
            <v>1252</v>
          </cell>
          <cell r="BC99">
            <v>582</v>
          </cell>
          <cell r="BD99">
            <v>1834</v>
          </cell>
          <cell r="BE99">
            <v>660</v>
          </cell>
          <cell r="BF99">
            <v>2494</v>
          </cell>
          <cell r="BG99">
            <v>642</v>
          </cell>
          <cell r="BH99">
            <v>660</v>
          </cell>
          <cell r="BI99">
            <v>1302</v>
          </cell>
          <cell r="BJ99">
            <v>620</v>
          </cell>
          <cell r="BK99">
            <v>1922</v>
          </cell>
          <cell r="BL99">
            <v>638</v>
          </cell>
          <cell r="BM99">
            <v>2560</v>
          </cell>
          <cell r="BN99">
            <v>622</v>
          </cell>
          <cell r="BO99">
            <v>655</v>
          </cell>
          <cell r="BP99">
            <v>1277</v>
          </cell>
          <cell r="BQ99">
            <v>616</v>
          </cell>
          <cell r="BR99">
            <v>1893</v>
          </cell>
          <cell r="BS99">
            <v>664</v>
          </cell>
          <cell r="BT99">
            <v>-6.7317401548305789E-4</v>
          </cell>
          <cell r="BU99">
            <v>4.2709867452135564E-2</v>
          </cell>
          <cell r="BV99">
            <v>2.8985507246376718E-2</v>
          </cell>
          <cell r="BW99">
            <v>3.5465924895688561E-2</v>
          </cell>
          <cell r="BX99">
            <v>-2.5000000000000022E-2</v>
          </cell>
          <cell r="BY99">
            <v>1.5291936978683918E-2</v>
          </cell>
          <cell r="BZ99">
            <v>-5.3020961775585684E-2</v>
          </cell>
          <cell r="CA99">
            <v>-3.3681374200067449E-3</v>
          </cell>
          <cell r="CB99">
            <v>-9.1807909604519788E-2</v>
          </cell>
          <cell r="CC99">
            <v>-0.12163892445582591</v>
          </cell>
          <cell r="CD99">
            <v>-0.10745466756212219</v>
          </cell>
          <cell r="CE99">
            <v>-0.1189037727722746</v>
          </cell>
          <cell r="CF99">
            <v>-0.11112297968331208</v>
          </cell>
          <cell r="CG99">
            <v>-9.6287776269110226E-2</v>
          </cell>
          <cell r="CH99">
            <v>-0.1072725450019647</v>
          </cell>
          <cell r="CI99">
            <v>2576.3086261899189</v>
          </cell>
          <cell r="CJ99">
            <v>2679.3609712375155</v>
          </cell>
          <cell r="CK99">
            <v>2786.5354100870163</v>
          </cell>
          <cell r="CL99">
            <v>2897.9968264904969</v>
          </cell>
          <cell r="CM99">
            <v>3013.9166995501168</v>
          </cell>
          <cell r="CN99">
            <v>3134.4733675321218</v>
          </cell>
          <cell r="CO99">
            <v>3259.8523022334066</v>
          </cell>
          <cell r="CP99">
            <v>3390.2463943227431</v>
          </cell>
          <cell r="CQ99">
            <v>3525.8562500956527</v>
          </cell>
        </row>
        <row r="100">
          <cell r="A100" t="str">
            <v xml:space="preserve">CER Growth </v>
          </cell>
          <cell r="BG100">
            <v>5.6553629836844754E-2</v>
          </cell>
          <cell r="BH100">
            <v>5.9705988325013393E-2</v>
          </cell>
          <cell r="BJ100">
            <v>8.7850370493854246E-2</v>
          </cell>
          <cell r="BL100">
            <v>4.9441386853480762E-2</v>
          </cell>
          <cell r="BM100">
            <v>6.1813835712603349E-2</v>
          </cell>
          <cell r="BN100">
            <v>3.430263078597251E-2</v>
          </cell>
          <cell r="BO100">
            <v>4.835197301353511E-2</v>
          </cell>
          <cell r="BQ100">
            <v>5.017169548795497E-2</v>
          </cell>
          <cell r="BS100">
            <v>5.0302732417311757E-2</v>
          </cell>
          <cell r="BT100">
            <v>4.6197069941352975E-2</v>
          </cell>
          <cell r="BU100">
            <v>0.15607245024734506</v>
          </cell>
          <cell r="BV100">
            <v>7.1571235639929065E-2</v>
          </cell>
          <cell r="BW100">
            <v>9.893959354395554E-2</v>
          </cell>
          <cell r="BX100">
            <v>9.2240800737098283E-2</v>
          </cell>
          <cell r="BY100">
            <v>9.7730866253452731E-2</v>
          </cell>
          <cell r="BZ100">
            <v>2.5830495831910327E-2</v>
          </cell>
          <cell r="CA100">
            <v>9.847416776660245E-2</v>
          </cell>
          <cell r="CB100">
            <v>4.5923943931117872E-2</v>
          </cell>
          <cell r="CC100">
            <v>0.05</v>
          </cell>
          <cell r="CD100">
            <v>0.01</v>
          </cell>
          <cell r="CE100">
            <v>0.05</v>
          </cell>
          <cell r="CF100">
            <v>6.1779220156188419E-2</v>
          </cell>
          <cell r="CG100">
            <v>0.05</v>
          </cell>
          <cell r="CH100">
            <v>5.8257941880531017E-2</v>
          </cell>
          <cell r="CI100">
            <v>0.04</v>
          </cell>
          <cell r="CJ100">
            <v>0.04</v>
          </cell>
          <cell r="CK100">
            <v>0.04</v>
          </cell>
          <cell r="CL100">
            <v>0.04</v>
          </cell>
          <cell r="CM100">
            <v>0.04</v>
          </cell>
          <cell r="CN100">
            <v>0.04</v>
          </cell>
          <cell r="CO100">
            <v>0.04</v>
          </cell>
          <cell r="CP100">
            <v>0.04</v>
          </cell>
          <cell r="CQ100">
            <v>0.04</v>
          </cell>
        </row>
        <row r="101">
          <cell r="A101" t="str">
            <v>Diabetes Care US</v>
          </cell>
          <cell r="AZ101">
            <v>215</v>
          </cell>
          <cell r="BA101">
            <v>214</v>
          </cell>
          <cell r="BB101">
            <v>429</v>
          </cell>
          <cell r="BC101">
            <v>216</v>
          </cell>
          <cell r="BD101">
            <v>645</v>
          </cell>
          <cell r="BE101">
            <v>285</v>
          </cell>
          <cell r="BF101">
            <v>930</v>
          </cell>
          <cell r="BG101">
            <v>147</v>
          </cell>
          <cell r="BH101">
            <v>200</v>
          </cell>
          <cell r="BI101">
            <v>347</v>
          </cell>
          <cell r="BJ101">
            <v>176</v>
          </cell>
          <cell r="BK101">
            <v>523</v>
          </cell>
          <cell r="BL101">
            <v>217</v>
          </cell>
          <cell r="BM101">
            <v>740</v>
          </cell>
          <cell r="BN101">
            <v>180</v>
          </cell>
          <cell r="BO101">
            <v>192</v>
          </cell>
          <cell r="BP101">
            <v>372</v>
          </cell>
          <cell r="BQ101">
            <v>181</v>
          </cell>
          <cell r="BR101">
            <v>553</v>
          </cell>
          <cell r="BS101">
            <v>200</v>
          </cell>
          <cell r="BT101">
            <v>753</v>
          </cell>
          <cell r="BU101">
            <v>190</v>
          </cell>
          <cell r="BV101">
            <v>205</v>
          </cell>
          <cell r="BW101">
            <v>395</v>
          </cell>
          <cell r="BX101">
            <v>188</v>
          </cell>
          <cell r="BY101">
            <v>583</v>
          </cell>
          <cell r="BZ101">
            <v>199</v>
          </cell>
          <cell r="CA101">
            <v>782</v>
          </cell>
          <cell r="CB101">
            <v>134</v>
          </cell>
          <cell r="CC101">
            <v>152</v>
          </cell>
          <cell r="CD101">
            <v>286</v>
          </cell>
          <cell r="CE101">
            <v>170.49766917888144</v>
          </cell>
          <cell r="CF101">
            <v>456.49766917888144</v>
          </cell>
          <cell r="CG101">
            <v>191.09469157848613</v>
          </cell>
          <cell r="CH101">
            <v>647.5923607573676</v>
          </cell>
          <cell r="CI101">
            <v>124.02113009322484</v>
          </cell>
          <cell r="CJ101">
            <v>152.94757233446128</v>
          </cell>
          <cell r="CK101">
            <v>276.96870242768614</v>
          </cell>
          <cell r="CL101">
            <v>179.74466041317137</v>
          </cell>
          <cell r="CM101">
            <v>456.71336284085749</v>
          </cell>
          <cell r="CN101">
            <v>208.40562246265489</v>
          </cell>
          <cell r="CO101">
            <v>665.11898530351232</v>
          </cell>
          <cell r="CP101">
            <v>719.72603040041554</v>
          </cell>
          <cell r="CQ101">
            <v>741.31781131242803</v>
          </cell>
          <cell r="CR101">
            <v>763.55734565180092</v>
          </cell>
          <cell r="CS101">
            <v>786.46406602135494</v>
          </cell>
          <cell r="CT101">
            <v>810.05798800199557</v>
          </cell>
          <cell r="CU101">
            <v>834.35972764205542</v>
          </cell>
          <cell r="CV101">
            <v>859.39051947131713</v>
          </cell>
          <cell r="CW101">
            <v>885.17223505545667</v>
          </cell>
        </row>
        <row r="102">
          <cell r="A102" t="str">
            <v>Growth CER</v>
          </cell>
          <cell r="BG102">
            <v>-0.18327636803067382</v>
          </cell>
          <cell r="BH102">
            <v>9.5882840108364231E-2</v>
          </cell>
          <cell r="BJ102">
            <v>-7.9960567537627925E-2</v>
          </cell>
          <cell r="BL102">
            <v>-0.24601402483571488</v>
          </cell>
          <cell r="BM102">
            <v>-0.10502720089087014</v>
          </cell>
          <cell r="BN102">
            <v>0.15059856147445227</v>
          </cell>
          <cell r="BO102">
            <v>-0.12353596794690169</v>
          </cell>
          <cell r="BQ102">
            <v>3.8025146130477472E-2</v>
          </cell>
          <cell r="BS102">
            <v>3.7410319378773593E-2</v>
          </cell>
          <cell r="BT102">
            <v>-7.1266738231237081E-3</v>
          </cell>
          <cell r="BU102">
            <v>0.13445758779646988</v>
          </cell>
          <cell r="BV102">
            <v>7.0577278896926443E-2</v>
          </cell>
          <cell r="BW102">
            <v>0.10331940207802659</v>
          </cell>
          <cell r="BX102">
            <v>6.8376920002556574E-2</v>
          </cell>
          <cell r="BY102">
            <v>9.1971589554065258E-2</v>
          </cell>
          <cell r="BZ102">
            <v>4.1914833181307953E-2</v>
          </cell>
          <cell r="CA102">
            <v>7.6234657835490549E-2</v>
          </cell>
          <cell r="CB102">
            <v>-0.18911140563683193</v>
          </cell>
          <cell r="CC102">
            <v>-4.3068759999113526E-2</v>
          </cell>
          <cell r="CD102">
            <v>-0.11410039912222336</v>
          </cell>
          <cell r="CE102">
            <v>0.1</v>
          </cell>
          <cell r="CF102">
            <v>-5.0720931763554744E-2</v>
          </cell>
          <cell r="CG102">
            <v>0.1</v>
          </cell>
          <cell r="CH102">
            <v>-5.6125782352834941E-3</v>
          </cell>
          <cell r="CI102">
            <v>0.03</v>
          </cell>
          <cell r="CJ102">
            <v>0.03</v>
          </cell>
          <cell r="CK102">
            <v>3.2308775393860012E-2</v>
          </cell>
          <cell r="CL102">
            <v>0.03</v>
          </cell>
          <cell r="CM102">
            <v>3.6488574491663761E-2</v>
          </cell>
          <cell r="CN102">
            <v>0.03</v>
          </cell>
          <cell r="CO102">
            <v>6.308036325923172E-2</v>
          </cell>
          <cell r="CP102">
            <v>0.03</v>
          </cell>
          <cell r="CQ102">
            <v>0.03</v>
          </cell>
          <cell r="CR102">
            <v>0.03</v>
          </cell>
          <cell r="CS102">
            <v>0.03</v>
          </cell>
          <cell r="CT102">
            <v>0.03</v>
          </cell>
          <cell r="CU102">
            <v>0.03</v>
          </cell>
          <cell r="CV102">
            <v>0.03</v>
          </cell>
          <cell r="CW102">
            <v>0.03</v>
          </cell>
        </row>
        <row r="103">
          <cell r="A103" t="str">
            <v>Diabetes Care EMEA</v>
          </cell>
          <cell r="I103">
            <v>877</v>
          </cell>
          <cell r="N103">
            <v>732</v>
          </cell>
          <cell r="P103">
            <v>977</v>
          </cell>
          <cell r="S103">
            <v>481</v>
          </cell>
          <cell r="T103">
            <v>265</v>
          </cell>
          <cell r="U103">
            <v>746</v>
          </cell>
          <cell r="V103">
            <v>250.53999999999996</v>
          </cell>
          <cell r="W103">
            <v>996.54</v>
          </cell>
          <cell r="X103">
            <v>222</v>
          </cell>
          <cell r="Y103">
            <v>259</v>
          </cell>
          <cell r="Z103">
            <v>481</v>
          </cell>
          <cell r="AA103">
            <v>265</v>
          </cell>
          <cell r="AB103">
            <v>746</v>
          </cell>
          <cell r="AC103">
            <v>279</v>
          </cell>
          <cell r="AD103">
            <v>1025</v>
          </cell>
          <cell r="AE103">
            <v>251</v>
          </cell>
          <cell r="AF103">
            <v>286</v>
          </cell>
          <cell r="AG103">
            <v>537</v>
          </cell>
          <cell r="AH103">
            <v>281</v>
          </cell>
          <cell r="AI103">
            <v>818</v>
          </cell>
          <cell r="AJ103">
            <v>284</v>
          </cell>
          <cell r="AK103">
            <v>1102</v>
          </cell>
          <cell r="AL103">
            <v>263</v>
          </cell>
          <cell r="AM103">
            <v>292</v>
          </cell>
          <cell r="AN103">
            <v>555</v>
          </cell>
          <cell r="AO103">
            <v>303</v>
          </cell>
          <cell r="AP103">
            <v>858</v>
          </cell>
          <cell r="AQ103">
            <v>313</v>
          </cell>
          <cell r="AR103">
            <v>1171</v>
          </cell>
          <cell r="AS103">
            <v>297</v>
          </cell>
          <cell r="AT103">
            <v>312</v>
          </cell>
          <cell r="AU103">
            <v>609</v>
          </cell>
          <cell r="AV103">
            <v>300</v>
          </cell>
          <cell r="AW103">
            <v>909</v>
          </cell>
          <cell r="AX103">
            <v>302</v>
          </cell>
          <cell r="AY103">
            <v>1211</v>
          </cell>
          <cell r="AZ103">
            <v>442</v>
          </cell>
          <cell r="BA103">
            <v>469</v>
          </cell>
          <cell r="BB103">
            <v>911</v>
          </cell>
          <cell r="BC103">
            <v>442</v>
          </cell>
          <cell r="BD103">
            <v>1353</v>
          </cell>
          <cell r="BE103">
            <v>496</v>
          </cell>
          <cell r="BF103">
            <v>1849</v>
          </cell>
          <cell r="BG103">
            <v>454</v>
          </cell>
          <cell r="BH103">
            <v>471</v>
          </cell>
          <cell r="BI103">
            <v>925</v>
          </cell>
          <cell r="BJ103">
            <v>433</v>
          </cell>
          <cell r="BK103">
            <v>1358</v>
          </cell>
          <cell r="BL103">
            <v>435</v>
          </cell>
          <cell r="BM103">
            <v>1793</v>
          </cell>
          <cell r="BN103">
            <v>402</v>
          </cell>
          <cell r="BO103">
            <v>454</v>
          </cell>
          <cell r="BP103">
            <v>856</v>
          </cell>
          <cell r="BQ103">
            <v>430</v>
          </cell>
          <cell r="BR103">
            <v>1286</v>
          </cell>
          <cell r="BS103">
            <v>482</v>
          </cell>
          <cell r="BT103">
            <v>1768</v>
          </cell>
          <cell r="BU103">
            <v>423</v>
          </cell>
          <cell r="BV103">
            <v>460</v>
          </cell>
          <cell r="BW103">
            <v>883</v>
          </cell>
          <cell r="BX103">
            <v>408</v>
          </cell>
          <cell r="BY103">
            <v>1291</v>
          </cell>
          <cell r="BZ103">
            <v>443</v>
          </cell>
          <cell r="CA103">
            <v>1734</v>
          </cell>
          <cell r="CB103">
            <v>400</v>
          </cell>
          <cell r="CC103">
            <v>412</v>
          </cell>
          <cell r="CD103">
            <v>812</v>
          </cell>
          <cell r="CE103">
            <v>356.41837383017736</v>
          </cell>
          <cell r="CF103">
            <v>1168.4183738301774</v>
          </cell>
          <cell r="CG103">
            <v>390.32734971416176</v>
          </cell>
          <cell r="CH103">
            <v>1558.7457235443392</v>
          </cell>
          <cell r="CI103">
            <v>374.40232856955544</v>
          </cell>
          <cell r="CJ103">
            <v>413.47110835249407</v>
          </cell>
          <cell r="CK103">
            <v>787.87343692204945</v>
          </cell>
          <cell r="CL103">
            <v>412.59369451969479</v>
          </cell>
          <cell r="CM103">
            <v>1200.4671314417442</v>
          </cell>
          <cell r="CN103">
            <v>473.1941914809118</v>
          </cell>
          <cell r="CO103">
            <v>1673.6613229226559</v>
          </cell>
          <cell r="CP103">
            <v>1837.8746663500972</v>
          </cell>
          <cell r="CQ103">
            <v>1893.0109063406001</v>
          </cell>
          <cell r="CR103">
            <v>1949.8012335308181</v>
          </cell>
          <cell r="CS103">
            <v>2008.2952705367427</v>
          </cell>
          <cell r="CT103">
            <v>2068.5441286528448</v>
          </cell>
          <cell r="CU103">
            <v>0.11402508551881407</v>
          </cell>
          <cell r="CV103">
            <v>2194.5184660878035</v>
          </cell>
          <cell r="CW103">
            <v>2260.3540200704379</v>
          </cell>
          <cell r="CZ103">
            <v>0.02</v>
          </cell>
          <cell r="DA103">
            <v>0.13063063063063063</v>
          </cell>
          <cell r="DB103">
            <v>0.10424710424710426</v>
          </cell>
          <cell r="DC103">
            <v>6.0377358490566024E-2</v>
          </cell>
          <cell r="DD103">
            <v>9.6514745308311056E-2</v>
          </cell>
          <cell r="DE103">
            <v>0.10582615850843924</v>
          </cell>
          <cell r="DF103">
            <v>4.7808764940239001E-2</v>
          </cell>
          <cell r="DG103">
            <v>2.0979020979021046E-2</v>
          </cell>
          <cell r="DH103">
            <v>7.8291814946619187E-2</v>
          </cell>
          <cell r="DI103">
            <v>0.102112676056338</v>
          </cell>
          <cell r="DJ103">
            <v>6.2613430127041791E-2</v>
          </cell>
          <cell r="DK103">
            <v>0.12927756653992395</v>
          </cell>
          <cell r="DL103">
            <v>6.8493150684931559E-2</v>
          </cell>
          <cell r="DM103">
            <v>-9.9009900990099098E-3</v>
          </cell>
          <cell r="DN103">
            <v>-3.5143769968051131E-2</v>
          </cell>
          <cell r="DO103">
            <v>3.415883859948754E-2</v>
          </cell>
          <cell r="DP103">
            <v>-6.3973063973064015E-2</v>
          </cell>
          <cell r="DQ103">
            <v>-5.1282051282051322E-2</v>
          </cell>
          <cell r="DR103">
            <v>-6.0000000000000053E-2</v>
          </cell>
          <cell r="DS103">
            <v>-3.3112582781456901E-2</v>
          </cell>
          <cell r="DT103">
            <v>-3.9739533400174443E-2</v>
          </cell>
          <cell r="DU103">
            <v>4.6271916442247818E-2</v>
          </cell>
          <cell r="DV103">
            <v>4.7569607789447188E-2</v>
          </cell>
          <cell r="DW103">
            <v>5.0754313023292585E-2</v>
          </cell>
          <cell r="DX103">
            <v>9.283010980714268E-3</v>
          </cell>
          <cell r="DY103">
            <v>3.7157123393159797E-2</v>
          </cell>
          <cell r="DZ103">
            <v>0.05</v>
          </cell>
          <cell r="EA103">
            <v>0.05</v>
          </cell>
          <cell r="EB103">
            <v>0.05</v>
          </cell>
          <cell r="EC103">
            <v>0.05</v>
          </cell>
          <cell r="ED103">
            <v>8.0201148172914127E-2</v>
          </cell>
          <cell r="EI103">
            <v>5.0718512256973103E-3</v>
          </cell>
          <cell r="EN103">
            <v>0.05</v>
          </cell>
          <cell r="EO103">
            <v>0.05</v>
          </cell>
          <cell r="EP103">
            <v>0.05</v>
          </cell>
          <cell r="EQ103">
            <v>0.05</v>
          </cell>
          <cell r="ER103">
            <v>0.05</v>
          </cell>
          <cell r="ES103">
            <v>0.05</v>
          </cell>
          <cell r="ET103">
            <v>0.05</v>
          </cell>
          <cell r="EU103">
            <v>0.05</v>
          </cell>
          <cell r="EV103">
            <v>0.05</v>
          </cell>
          <cell r="EW103">
            <v>0.05</v>
          </cell>
        </row>
        <row r="104">
          <cell r="A104" t="str">
            <v>Growth CER</v>
          </cell>
          <cell r="AZ104">
            <v>95</v>
          </cell>
          <cell r="BA104">
            <v>100</v>
          </cell>
          <cell r="BB104">
            <v>195</v>
          </cell>
          <cell r="BC104">
            <v>93</v>
          </cell>
          <cell r="BD104">
            <v>288</v>
          </cell>
          <cell r="BE104">
            <v>86</v>
          </cell>
          <cell r="BF104">
            <v>374</v>
          </cell>
          <cell r="BG104">
            <v>3.6394631364824459E-2</v>
          </cell>
          <cell r="BH104">
            <v>3.1106530883849071E-2</v>
          </cell>
          <cell r="BI104">
            <v>173</v>
          </cell>
          <cell r="BJ104">
            <v>2.1962833236967017E-3</v>
          </cell>
          <cell r="BK104">
            <v>261</v>
          </cell>
          <cell r="BL104">
            <v>-4.0209150780927794E-2</v>
          </cell>
          <cell r="BM104">
            <v>5.0636818549729679E-3</v>
          </cell>
          <cell r="BN104">
            <v>-0.18842867937783581</v>
          </cell>
          <cell r="BO104">
            <v>-0.119629386205925</v>
          </cell>
          <cell r="BP104">
            <v>184</v>
          </cell>
          <cell r="BQ104">
            <v>2.6876487548739281E-3</v>
          </cell>
          <cell r="BR104">
            <v>270</v>
          </cell>
          <cell r="BS104">
            <v>0.2237973102151527</v>
          </cell>
          <cell r="BT104">
            <v>3.3425832838731684E-2</v>
          </cell>
          <cell r="BU104">
            <v>0.13114083821106359</v>
          </cell>
          <cell r="BV104">
            <v>1.6084804594430291E-2</v>
          </cell>
          <cell r="BW104">
            <v>5.7654711482464926E-2</v>
          </cell>
          <cell r="BX104">
            <v>7.1922165883579803E-2</v>
          </cell>
          <cell r="BY104">
            <v>6.2527501807704833E-2</v>
          </cell>
          <cell r="BZ104">
            <v>-3.3998029889231507E-2</v>
          </cell>
          <cell r="CA104">
            <v>5.5778400491249602E-2</v>
          </cell>
          <cell r="CB104">
            <v>5.1251914009802446E-2</v>
          </cell>
          <cell r="CC104">
            <v>0.11111999927978367</v>
          </cell>
          <cell r="CD104">
            <v>5.3326556614034959E-2</v>
          </cell>
          <cell r="CE104">
            <v>0.03</v>
          </cell>
          <cell r="CF104">
            <v>4.4449888615271105E-2</v>
          </cell>
          <cell r="CG104">
            <v>0.03</v>
          </cell>
          <cell r="CH104">
            <v>3.9552399030714058E-2</v>
          </cell>
          <cell r="CI104">
            <v>0.03</v>
          </cell>
          <cell r="CJ104">
            <v>0.03</v>
          </cell>
          <cell r="CK104">
            <v>2.920220841716259E-2</v>
          </cell>
          <cell r="CL104">
            <v>0.03</v>
          </cell>
          <cell r="CM104">
            <v>3.0050997079561714E-2</v>
          </cell>
          <cell r="CN104">
            <v>0.03</v>
          </cell>
          <cell r="CO104">
            <v>3.4057713767261966E-2</v>
          </cell>
          <cell r="CP104">
            <v>0.03</v>
          </cell>
          <cell r="CQ104">
            <v>0.03</v>
          </cell>
          <cell r="CR104">
            <v>0.03</v>
          </cell>
          <cell r="CS104">
            <v>0.03</v>
          </cell>
          <cell r="CT104">
            <v>0.03</v>
          </cell>
          <cell r="CU104">
            <v>0.03</v>
          </cell>
          <cell r="CV104">
            <v>0.03</v>
          </cell>
          <cell r="CW104">
            <v>0.03</v>
          </cell>
        </row>
        <row r="105">
          <cell r="A105" t="str">
            <v>Diabetes Care ROW</v>
          </cell>
          <cell r="AZ105">
            <v>98</v>
          </cell>
          <cell r="BA105">
            <v>106</v>
          </cell>
          <cell r="BB105">
            <v>204</v>
          </cell>
          <cell r="BC105">
            <v>110</v>
          </cell>
          <cell r="BD105">
            <v>314</v>
          </cell>
          <cell r="BE105">
            <v>123</v>
          </cell>
          <cell r="BF105">
            <v>437</v>
          </cell>
          <cell r="BG105">
            <v>5.9318491210452295E-2</v>
          </cell>
          <cell r="BH105">
            <v>1.1303400856027768E-2</v>
          </cell>
          <cell r="BI105">
            <v>210</v>
          </cell>
          <cell r="BJ105">
            <v>5.14611767873423E-2</v>
          </cell>
          <cell r="BK105">
            <v>326</v>
          </cell>
          <cell r="BL105">
            <v>0.1088615361597971</v>
          </cell>
          <cell r="BM105">
            <v>5.3819328923401688E-2</v>
          </cell>
          <cell r="BN105">
            <v>-1.707305262573322E-2</v>
          </cell>
          <cell r="BO105">
            <v>-1.2947732652784039E-2</v>
          </cell>
          <cell r="BP105">
            <v>210</v>
          </cell>
          <cell r="BQ105">
            <v>-1.3111217505886064E-2</v>
          </cell>
          <cell r="BR105">
            <v>319</v>
          </cell>
          <cell r="BS105">
            <v>7.408466653699175E-2</v>
          </cell>
          <cell r="BT105">
            <v>-1.0688639149794898E-2</v>
          </cell>
          <cell r="BU105">
            <v>4.6643967724785296E-2</v>
          </cell>
          <cell r="BV105">
            <v>6.8803011497659106E-2</v>
          </cell>
          <cell r="BW105">
            <v>5.7795792914866251E-2</v>
          </cell>
          <cell r="BX105">
            <v>8.7842421737106324E-2</v>
          </cell>
          <cell r="BY105">
            <v>6.7351671263261026E-2</v>
          </cell>
          <cell r="BZ105">
            <v>1.4306137529134011E-2</v>
          </cell>
          <cell r="CA105">
            <v>5.1534196329763859E-2</v>
          </cell>
          <cell r="CB105">
            <v>5.0069880912875675E-2</v>
          </cell>
          <cell r="CC105">
            <v>0.05</v>
          </cell>
          <cell r="CD105">
            <v>4.3691759337494029E-2</v>
          </cell>
          <cell r="CE105">
            <v>0.05</v>
          </cell>
          <cell r="CF105">
            <v>4.2664983900978282E-2</v>
          </cell>
          <cell r="CG105">
            <v>0.05</v>
          </cell>
          <cell r="CH105">
            <v>5.1060353677994663E-2</v>
          </cell>
          <cell r="CI105">
            <v>0.05</v>
          </cell>
          <cell r="CJ105">
            <v>0.05</v>
          </cell>
          <cell r="CK105">
            <v>0.05</v>
          </cell>
          <cell r="CL105">
            <v>0.05</v>
          </cell>
          <cell r="CM105">
            <v>0.05</v>
          </cell>
          <cell r="CN105">
            <v>0.05</v>
          </cell>
          <cell r="CO105">
            <v>0.05</v>
          </cell>
          <cell r="CP105">
            <v>0.05</v>
          </cell>
          <cell r="CQ105">
            <v>0.05</v>
          </cell>
          <cell r="CR105">
            <v>498.60586677835664</v>
          </cell>
          <cell r="CS105">
            <v>508.57798411392378</v>
          </cell>
          <cell r="CT105">
            <v>518.74954379620226</v>
          </cell>
          <cell r="CU105">
            <v>529.12453467212629</v>
          </cell>
          <cell r="CV105">
            <v>539.70702536556882</v>
          </cell>
          <cell r="CW105">
            <v>550.50116587288016</v>
          </cell>
        </row>
        <row r="106">
          <cell r="A106" t="str">
            <v>Growth CER</v>
          </cell>
          <cell r="AZ106">
            <v>119</v>
          </cell>
          <cell r="BA106">
            <v>124</v>
          </cell>
          <cell r="BB106">
            <v>243</v>
          </cell>
          <cell r="BC106">
            <v>111</v>
          </cell>
          <cell r="BD106">
            <v>354</v>
          </cell>
          <cell r="BE106">
            <v>126</v>
          </cell>
          <cell r="BF106">
            <v>480</v>
          </cell>
          <cell r="BG106">
            <v>7.1729818682996771E-2</v>
          </cell>
          <cell r="BH106">
            <v>0.1503877882552408</v>
          </cell>
          <cell r="BI106">
            <v>238</v>
          </cell>
          <cell r="BJ106">
            <v>0.11972226003497433</v>
          </cell>
          <cell r="BK106">
            <v>355</v>
          </cell>
          <cell r="BL106">
            <v>-8.7019582629520142E-2</v>
          </cell>
          <cell r="BM106">
            <v>5.9950959094027589E-2</v>
          </cell>
          <cell r="BN106">
            <v>-8.4095316076568172E-2</v>
          </cell>
          <cell r="BO106">
            <v>-7.460739651833026E-2</v>
          </cell>
          <cell r="BP106">
            <v>264</v>
          </cell>
          <cell r="BQ106">
            <v>-5.0728772364820207E-2</v>
          </cell>
          <cell r="BR106">
            <v>394</v>
          </cell>
          <cell r="BS106">
            <v>0.26753704748937257</v>
          </cell>
          <cell r="BT106">
            <v>4.674691700051814E-2</v>
          </cell>
          <cell r="BU106">
            <v>5.8283475539883334E-2</v>
          </cell>
          <cell r="BV106">
            <v>2.9417618129964906E-2</v>
          </cell>
          <cell r="BW106">
            <v>3.4183524334467141E-2</v>
          </cell>
          <cell r="BX106">
            <v>2.4056758423526503E-2</v>
          </cell>
          <cell r="BY106">
            <v>3.0538051973000191E-2</v>
          </cell>
          <cell r="BZ106">
            <v>2.3659019227819544E-2</v>
          </cell>
          <cell r="CA106">
            <v>3.2251899475336687E-2</v>
          </cell>
          <cell r="CB106">
            <v>0.25299385752106285</v>
          </cell>
          <cell r="CC106">
            <v>0.26719196329777462</v>
          </cell>
          <cell r="CD106">
            <v>0.23052677085455542</v>
          </cell>
          <cell r="CE106">
            <v>0.02</v>
          </cell>
          <cell r="CF106">
            <v>0.15909100699385348</v>
          </cell>
          <cell r="CG106">
            <v>0.02</v>
          </cell>
          <cell r="CH106">
            <v>0.11943733081183128</v>
          </cell>
          <cell r="CI106">
            <v>0.02</v>
          </cell>
          <cell r="CJ106">
            <v>0.02</v>
          </cell>
          <cell r="CK106">
            <v>2.100720124031874E-2</v>
          </cell>
          <cell r="CL106">
            <v>0.02</v>
          </cell>
          <cell r="CM106">
            <v>1.5666691931985444E-2</v>
          </cell>
          <cell r="CN106">
            <v>0.02</v>
          </cell>
          <cell r="CO106">
            <v>1.8226628186060356E-2</v>
          </cell>
          <cell r="CP106">
            <v>0.02</v>
          </cell>
          <cell r="CQ106">
            <v>0.02</v>
          </cell>
          <cell r="CR106">
            <v>0.02</v>
          </cell>
          <cell r="CS106">
            <v>0.02</v>
          </cell>
          <cell r="CT106">
            <v>0.02</v>
          </cell>
          <cell r="CU106">
            <v>0.02</v>
          </cell>
          <cell r="CV106">
            <v>0.02</v>
          </cell>
          <cell r="CW106">
            <v>0.02</v>
          </cell>
        </row>
        <row r="107">
          <cell r="A107" t="str">
            <v>Molecular Diagnostics</v>
          </cell>
          <cell r="I107">
            <v>877</v>
          </cell>
          <cell r="N107">
            <v>732</v>
          </cell>
          <cell r="P107">
            <v>977</v>
          </cell>
          <cell r="S107">
            <v>481</v>
          </cell>
          <cell r="T107">
            <v>265</v>
          </cell>
          <cell r="U107">
            <v>746</v>
          </cell>
          <cell r="V107">
            <v>250.53999999999996</v>
          </cell>
          <cell r="W107">
            <v>996.54</v>
          </cell>
          <cell r="X107">
            <v>222</v>
          </cell>
          <cell r="Y107">
            <v>259</v>
          </cell>
          <cell r="Z107">
            <v>481</v>
          </cell>
          <cell r="AA107">
            <v>265</v>
          </cell>
          <cell r="AB107">
            <v>746</v>
          </cell>
          <cell r="AC107">
            <v>279</v>
          </cell>
          <cell r="AD107">
            <v>1025</v>
          </cell>
          <cell r="AE107">
            <v>251</v>
          </cell>
          <cell r="AF107">
            <v>286</v>
          </cell>
          <cell r="AG107">
            <v>537</v>
          </cell>
          <cell r="AH107">
            <v>281</v>
          </cell>
          <cell r="AI107">
            <v>818</v>
          </cell>
          <cell r="AJ107">
            <v>284</v>
          </cell>
          <cell r="AK107">
            <v>1102</v>
          </cell>
          <cell r="AL107">
            <v>263</v>
          </cell>
          <cell r="AM107">
            <v>292</v>
          </cell>
          <cell r="AN107">
            <v>555</v>
          </cell>
          <cell r="AO107">
            <v>303</v>
          </cell>
          <cell r="AP107">
            <v>858</v>
          </cell>
          <cell r="AQ107">
            <v>313</v>
          </cell>
          <cell r="AR107">
            <v>1171</v>
          </cell>
          <cell r="AS107">
            <v>297</v>
          </cell>
          <cell r="AT107">
            <v>312</v>
          </cell>
          <cell r="AU107">
            <v>609</v>
          </cell>
          <cell r="AV107">
            <v>300</v>
          </cell>
          <cell r="AW107">
            <v>909</v>
          </cell>
          <cell r="AX107">
            <v>302</v>
          </cell>
          <cell r="AY107">
            <v>1211</v>
          </cell>
          <cell r="AZ107">
            <v>278</v>
          </cell>
          <cell r="BA107">
            <v>296</v>
          </cell>
          <cell r="BB107">
            <v>574</v>
          </cell>
          <cell r="BC107">
            <v>282</v>
          </cell>
          <cell r="BD107">
            <v>856</v>
          </cell>
          <cell r="BE107">
            <v>292</v>
          </cell>
          <cell r="BF107">
            <v>1148</v>
          </cell>
          <cell r="BG107">
            <v>-3.2771496624832808E-2</v>
          </cell>
          <cell r="BH107">
            <v>2.6842138559755147E-2</v>
          </cell>
          <cell r="BI107">
            <v>551</v>
          </cell>
          <cell r="BJ107">
            <v>7.6612328327976931E-2</v>
          </cell>
          <cell r="BK107">
            <v>828</v>
          </cell>
          <cell r="BL107">
            <v>8.2774720186814088E-2</v>
          </cell>
          <cell r="BM107">
            <v>3.7433656616105204E-2</v>
          </cell>
          <cell r="BN107">
            <v>0.18826229630490998</v>
          </cell>
          <cell r="BO107">
            <v>0.15270192413767969</v>
          </cell>
          <cell r="BP107">
            <v>594</v>
          </cell>
          <cell r="BQ107">
            <v>0.16773441950229195</v>
          </cell>
          <cell r="BR107">
            <v>882</v>
          </cell>
          <cell r="BS107">
            <v>4.9232921002672736E-2</v>
          </cell>
          <cell r="BT107">
            <v>0.1388450364174445</v>
          </cell>
          <cell r="BU107">
            <v>9.4527032240914299E-2</v>
          </cell>
          <cell r="BV107">
            <v>2.8689455635931838E-3</v>
          </cell>
          <cell r="BW107">
            <v>3.3688412983456151E-2</v>
          </cell>
          <cell r="BX107">
            <v>0.11539264888894651</v>
          </cell>
          <cell r="BY107">
            <v>6.1177547990335479E-2</v>
          </cell>
          <cell r="BZ107">
            <v>1.1133064637507406E-3</v>
          </cell>
          <cell r="CA107">
            <v>6.5485360198209386E-2</v>
          </cell>
          <cell r="CB107">
            <v>2.8702359545354383E-2</v>
          </cell>
          <cell r="CC107">
            <v>0.05</v>
          </cell>
          <cell r="CD107">
            <v>6.1026432519971086E-2</v>
          </cell>
          <cell r="CE107">
            <v>0.05</v>
          </cell>
          <cell r="CF107">
            <v>5.6537156466983207E-2</v>
          </cell>
          <cell r="CG107">
            <v>0.05</v>
          </cell>
          <cell r="CH107">
            <v>5.410710471336666E-2</v>
          </cell>
          <cell r="CI107">
            <v>0.05</v>
          </cell>
          <cell r="CJ107">
            <v>0.05</v>
          </cell>
          <cell r="CK107">
            <v>0.05</v>
          </cell>
          <cell r="CL107">
            <v>0.05</v>
          </cell>
          <cell r="CM107">
            <v>0.05</v>
          </cell>
          <cell r="CN107">
            <v>0.05</v>
          </cell>
          <cell r="CO107">
            <v>0.05</v>
          </cell>
          <cell r="CP107">
            <v>0.05</v>
          </cell>
          <cell r="CQ107">
            <v>0.05</v>
          </cell>
          <cell r="CR107">
            <v>1396.7581183765546</v>
          </cell>
          <cell r="CS107">
            <v>1466.5960242953827</v>
          </cell>
          <cell r="CT107">
            <v>1539.925825510152</v>
          </cell>
          <cell r="CU107">
            <v>1616.9221167856597</v>
          </cell>
          <cell r="CV107">
            <v>1697.7682226249426</v>
          </cell>
          <cell r="CW107">
            <v>1782.6566337561899</v>
          </cell>
          <cell r="DA107">
            <v>0.11402508551881407</v>
          </cell>
          <cell r="DF107">
            <v>0.02</v>
          </cell>
          <cell r="DG107">
            <v>0.13063063063063063</v>
          </cell>
          <cell r="DH107">
            <v>0.10424710424710426</v>
          </cell>
          <cell r="DI107">
            <v>6.0377358490566024E-2</v>
          </cell>
          <cell r="DJ107">
            <v>9.6514745308311056E-2</v>
          </cell>
          <cell r="DK107">
            <v>0.10582615850843924</v>
          </cell>
          <cell r="DL107">
            <v>4.7808764940239001E-2</v>
          </cell>
          <cell r="DM107">
            <v>2.0979020979021046E-2</v>
          </cell>
          <cell r="DN107">
            <v>7.8291814946619187E-2</v>
          </cell>
          <cell r="DO107">
            <v>0.102112676056338</v>
          </cell>
          <cell r="DP107">
            <v>6.2613430127041791E-2</v>
          </cell>
          <cell r="DQ107">
            <v>0.12927756653992395</v>
          </cell>
          <cell r="DR107">
            <v>6.8493150684931559E-2</v>
          </cell>
          <cell r="DS107">
            <v>-9.9009900990099098E-3</v>
          </cell>
          <cell r="DT107">
            <v>-3.5143769968051131E-2</v>
          </cell>
          <cell r="DU107">
            <v>3.415883859948754E-2</v>
          </cell>
          <cell r="DV107">
            <v>-6.3973063973064015E-2</v>
          </cell>
          <cell r="DW107">
            <v>-5.1282051282051322E-2</v>
          </cell>
          <cell r="DX107">
            <v>-6.0000000000000053E-2</v>
          </cell>
          <cell r="DY107">
            <v>-3.3112582781456901E-2</v>
          </cell>
          <cell r="DZ107">
            <v>-3.9739533400174443E-2</v>
          </cell>
          <cell r="EA107">
            <v>4.6271916442247818E-2</v>
          </cell>
          <cell r="EB107">
            <v>4.7569607789447188E-2</v>
          </cell>
          <cell r="EC107">
            <v>5.0754313023292585E-2</v>
          </cell>
          <cell r="ED107">
            <v>9.283010980714268E-3</v>
          </cell>
          <cell r="EE107">
            <v>3.7157123393159797E-2</v>
          </cell>
          <cell r="EF107">
            <v>0.05</v>
          </cell>
          <cell r="EG107">
            <v>0.05</v>
          </cell>
          <cell r="EH107">
            <v>0.05</v>
          </cell>
          <cell r="EI107">
            <v>0.05</v>
          </cell>
          <cell r="EJ107">
            <v>8.0201148172914127E-2</v>
          </cell>
          <cell r="EO107">
            <v>5.0718512256973103E-3</v>
          </cell>
          <cell r="ET107">
            <v>0.05</v>
          </cell>
          <cell r="EY107">
            <v>0.05</v>
          </cell>
          <cell r="EZ107">
            <v>0.05</v>
          </cell>
          <cell r="FA107">
            <v>0.05</v>
          </cell>
          <cell r="FB107">
            <v>0.05</v>
          </cell>
          <cell r="FC107">
            <v>0.05</v>
          </cell>
          <cell r="FD107">
            <v>0.05</v>
          </cell>
          <cell r="FE107">
            <v>0.05</v>
          </cell>
          <cell r="FF107">
            <v>0.05</v>
          </cell>
          <cell r="FG107">
            <v>0.05</v>
          </cell>
        </row>
        <row r="108">
          <cell r="A108" t="str">
            <v xml:space="preserve">   growth </v>
          </cell>
          <cell r="AZ108">
            <v>64</v>
          </cell>
          <cell r="BA108">
            <v>72</v>
          </cell>
          <cell r="BB108">
            <v>136</v>
          </cell>
          <cell r="BC108">
            <v>78</v>
          </cell>
          <cell r="BD108">
            <v>214</v>
          </cell>
          <cell r="BE108">
            <v>80</v>
          </cell>
          <cell r="BF108">
            <v>294</v>
          </cell>
          <cell r="BG108">
            <v>68</v>
          </cell>
          <cell r="BH108">
            <v>72</v>
          </cell>
          <cell r="BI108">
            <v>140</v>
          </cell>
          <cell r="BJ108">
            <v>72</v>
          </cell>
          <cell r="BK108">
            <v>212</v>
          </cell>
          <cell r="BL108">
            <v>72</v>
          </cell>
          <cell r="BM108">
            <v>284</v>
          </cell>
          <cell r="BN108">
            <v>73</v>
          </cell>
          <cell r="BO108">
            <v>73</v>
          </cell>
          <cell r="BP108">
            <v>146</v>
          </cell>
          <cell r="BQ108">
            <v>72</v>
          </cell>
          <cell r="BR108">
            <v>218</v>
          </cell>
          <cell r="BS108">
            <v>78</v>
          </cell>
          <cell r="BT108">
            <v>5.4367201426025025E-2</v>
          </cell>
          <cell r="BU108">
            <v>0</v>
          </cell>
          <cell r="BV108">
            <v>3.3333333333333437E-2</v>
          </cell>
          <cell r="BW108">
            <v>1.6835016835016869E-2</v>
          </cell>
          <cell r="BX108">
            <v>2.7777777777777679E-2</v>
          </cell>
          <cell r="BY108">
            <v>2.0408163265306145E-2</v>
          </cell>
          <cell r="BZ108">
            <v>-3.9867109634551534E-2</v>
          </cell>
          <cell r="CA108">
            <v>5.0718512256973103E-3</v>
          </cell>
          <cell r="CB108">
            <v>-6.8027210884353706E-2</v>
          </cell>
          <cell r="CC108">
            <v>-0.12903225806451613</v>
          </cell>
          <cell r="CD108">
            <v>-9.9337748344370813E-2</v>
          </cell>
          <cell r="CE108">
            <v>-0.11732026256805606</v>
          </cell>
          <cell r="CF108">
            <v>-0.10525199746682734</v>
          </cell>
          <cell r="CG108">
            <v>-9.0419884820814755E-2</v>
          </cell>
          <cell r="CH108">
            <v>-0.10164688345951234</v>
          </cell>
          <cell r="CI108">
            <v>289.13607578304544</v>
          </cell>
          <cell r="CJ108">
            <v>303.59287957219772</v>
          </cell>
          <cell r="CK108">
            <v>318.77252355080759</v>
          </cell>
          <cell r="CL108">
            <v>334.711149728348</v>
          </cell>
          <cell r="CM108">
            <v>351.44670721476541</v>
          </cell>
          <cell r="CN108">
            <v>369.0190425755037</v>
          </cell>
          <cell r="CO108">
            <v>387.46999470427892</v>
          </cell>
          <cell r="CP108">
            <v>406.84349443949287</v>
          </cell>
          <cell r="CQ108">
            <v>427.18566916146756</v>
          </cell>
        </row>
        <row r="109">
          <cell r="A109" t="str">
            <v xml:space="preserve">CER Growth </v>
          </cell>
          <cell r="BG109">
            <v>0.13422981868299677</v>
          </cell>
          <cell r="BH109">
            <v>9.3784014670335147E-2</v>
          </cell>
          <cell r="BJ109">
            <v>-1.1746271433556998E-2</v>
          </cell>
          <cell r="BL109">
            <v>-9.7588688320576988E-2</v>
          </cell>
          <cell r="BM109">
            <v>2.3649024132399776E-2</v>
          </cell>
          <cell r="BN109">
            <v>8.3529411764705852E-2</v>
          </cell>
          <cell r="BO109">
            <v>2.3888888888888848E-2</v>
          </cell>
          <cell r="BQ109">
            <v>7.6462697260279988E-3</v>
          </cell>
          <cell r="BS109">
            <v>0.15135053069613591</v>
          </cell>
          <cell r="BT109">
            <v>6.6169387898968202E-2</v>
          </cell>
          <cell r="BU109">
            <v>9.2600662377900655E-2</v>
          </cell>
          <cell r="BV109">
            <v>5.7663466111538386E-2</v>
          </cell>
          <cell r="BW109">
            <v>0.09</v>
          </cell>
          <cell r="BX109">
            <v>0.10713524975889854</v>
          </cell>
          <cell r="BY109">
            <v>7.8092048119214108E-2</v>
          </cell>
          <cell r="BZ109">
            <v>8.4532947197695218E-3</v>
          </cell>
          <cell r="CA109">
            <v>6.3682884031321163E-2</v>
          </cell>
          <cell r="CB109">
            <v>3.8057868900863712E-2</v>
          </cell>
          <cell r="CC109">
            <v>0.05</v>
          </cell>
          <cell r="CD109">
            <v>0.02</v>
          </cell>
          <cell r="CE109">
            <v>0.05</v>
          </cell>
          <cell r="CF109">
            <v>4.1893096743116032E-2</v>
          </cell>
          <cell r="CG109">
            <v>0.05</v>
          </cell>
          <cell r="CH109">
            <v>4.248310654428733E-2</v>
          </cell>
          <cell r="CI109">
            <v>0.05</v>
          </cell>
          <cell r="CJ109">
            <v>0.05</v>
          </cell>
          <cell r="CK109">
            <v>0.05</v>
          </cell>
          <cell r="CL109">
            <v>0.05</v>
          </cell>
          <cell r="CM109">
            <v>0.05</v>
          </cell>
          <cell r="CN109">
            <v>0.05</v>
          </cell>
          <cell r="CO109">
            <v>0.05</v>
          </cell>
          <cell r="CP109">
            <v>0.05</v>
          </cell>
          <cell r="CQ109">
            <v>0.05</v>
          </cell>
        </row>
        <row r="110">
          <cell r="A110" t="str">
            <v>Molecular Diagnostics US</v>
          </cell>
          <cell r="I110">
            <v>571</v>
          </cell>
          <cell r="N110">
            <v>429</v>
          </cell>
          <cell r="P110">
            <v>574</v>
          </cell>
          <cell r="S110">
            <v>251</v>
          </cell>
          <cell r="T110">
            <v>126</v>
          </cell>
          <cell r="U110">
            <v>377</v>
          </cell>
          <cell r="V110">
            <v>197</v>
          </cell>
          <cell r="W110">
            <v>574</v>
          </cell>
          <cell r="X110">
            <v>127</v>
          </cell>
          <cell r="Y110">
            <v>124</v>
          </cell>
          <cell r="Z110">
            <v>251</v>
          </cell>
          <cell r="AA110">
            <v>126</v>
          </cell>
          <cell r="AB110">
            <v>377</v>
          </cell>
          <cell r="AC110">
            <v>132</v>
          </cell>
          <cell r="AD110">
            <v>509</v>
          </cell>
          <cell r="AE110">
            <v>139</v>
          </cell>
          <cell r="AF110">
            <v>136</v>
          </cell>
          <cell r="AG110">
            <v>275</v>
          </cell>
          <cell r="AH110">
            <v>128</v>
          </cell>
          <cell r="AI110">
            <v>403</v>
          </cell>
          <cell r="AJ110">
            <v>129</v>
          </cell>
          <cell r="AK110">
            <v>532</v>
          </cell>
          <cell r="AL110">
            <v>138</v>
          </cell>
          <cell r="AM110">
            <v>134</v>
          </cell>
          <cell r="AN110">
            <v>272</v>
          </cell>
          <cell r="AO110">
            <v>130</v>
          </cell>
          <cell r="AP110">
            <v>402</v>
          </cell>
          <cell r="AQ110">
            <v>160</v>
          </cell>
          <cell r="AR110">
            <v>562</v>
          </cell>
          <cell r="AS110">
            <v>159</v>
          </cell>
          <cell r="AT110">
            <v>148</v>
          </cell>
          <cell r="AU110">
            <v>307</v>
          </cell>
          <cell r="AV110">
            <v>152</v>
          </cell>
          <cell r="AW110">
            <v>459</v>
          </cell>
          <cell r="AX110">
            <v>173</v>
          </cell>
          <cell r="AY110">
            <v>632</v>
          </cell>
          <cell r="AZ110">
            <v>95</v>
          </cell>
          <cell r="BA110">
            <v>100</v>
          </cell>
          <cell r="BB110">
            <v>195</v>
          </cell>
          <cell r="BC110">
            <v>93</v>
          </cell>
          <cell r="BD110">
            <v>288</v>
          </cell>
          <cell r="BE110">
            <v>86</v>
          </cell>
          <cell r="BF110">
            <v>374</v>
          </cell>
          <cell r="BG110">
            <v>88</v>
          </cell>
          <cell r="BH110">
            <v>85</v>
          </cell>
          <cell r="BI110">
            <v>173</v>
          </cell>
          <cell r="BJ110">
            <v>88</v>
          </cell>
          <cell r="BK110">
            <v>261</v>
          </cell>
          <cell r="BL110">
            <v>96</v>
          </cell>
          <cell r="BM110">
            <v>357</v>
          </cell>
          <cell r="BN110">
            <v>93</v>
          </cell>
          <cell r="BO110">
            <v>91</v>
          </cell>
          <cell r="BP110">
            <v>184</v>
          </cell>
          <cell r="BQ110">
            <v>86</v>
          </cell>
          <cell r="BR110">
            <v>270</v>
          </cell>
          <cell r="BS110">
            <v>92</v>
          </cell>
          <cell r="BT110">
            <v>362</v>
          </cell>
          <cell r="BU110">
            <v>90</v>
          </cell>
          <cell r="BV110">
            <v>97</v>
          </cell>
          <cell r="BW110">
            <v>187</v>
          </cell>
          <cell r="BX110">
            <v>91</v>
          </cell>
          <cell r="BY110">
            <v>278</v>
          </cell>
          <cell r="BZ110">
            <v>89</v>
          </cell>
          <cell r="CA110">
            <v>367</v>
          </cell>
          <cell r="CB110">
            <v>92</v>
          </cell>
          <cell r="CC110">
            <v>91</v>
          </cell>
          <cell r="CD110">
            <v>183</v>
          </cell>
          <cell r="CE110">
            <v>78.776848597882591</v>
          </cell>
          <cell r="CF110">
            <v>261.77684859788258</v>
          </cell>
          <cell r="CG110">
            <v>81.579711868476608</v>
          </cell>
          <cell r="CH110">
            <v>343.35656046635916</v>
          </cell>
          <cell r="CI110">
            <v>86.802211034672652</v>
          </cell>
          <cell r="CJ110">
            <v>93.345302354099218</v>
          </cell>
          <cell r="CK110">
            <v>180.14751338877187</v>
          </cell>
          <cell r="CL110">
            <v>84.661942581371463</v>
          </cell>
          <cell r="CM110">
            <v>264.80945597014335</v>
          </cell>
          <cell r="CN110">
            <v>90.697444371423998</v>
          </cell>
          <cell r="CO110">
            <v>355.50690034156736</v>
          </cell>
          <cell r="CP110">
            <v>392.16422664137883</v>
          </cell>
          <cell r="CQ110">
            <v>411.77243797344778</v>
          </cell>
          <cell r="CR110">
            <v>432.36105987212017</v>
          </cell>
          <cell r="CS110">
            <v>453.97911286572617</v>
          </cell>
          <cell r="CT110">
            <v>476.67806850901252</v>
          </cell>
          <cell r="CU110">
            <v>5.2539404553415547E-3</v>
          </cell>
          <cell r="CV110">
            <v>525.53757053118636</v>
          </cell>
          <cell r="CW110">
            <v>551.81444905774572</v>
          </cell>
          <cell r="CZ110">
            <v>0</v>
          </cell>
          <cell r="DA110">
            <v>9.4488188976378007E-2</v>
          </cell>
          <cell r="DB110">
            <v>9.6774193548387011E-2</v>
          </cell>
          <cell r="DC110">
            <v>1.5873015873015817E-2</v>
          </cell>
          <cell r="DD110">
            <v>6.8965517241379226E-2</v>
          </cell>
          <cell r="DE110">
            <v>-7.3170731707317027E-2</v>
          </cell>
          <cell r="DF110">
            <v>-7.194244604316502E-3</v>
          </cell>
          <cell r="DG110">
            <v>-1.4705882352941124E-2</v>
          </cell>
          <cell r="DH110">
            <v>1.5625E-2</v>
          </cell>
          <cell r="DI110">
            <v>0.24031007751937983</v>
          </cell>
          <cell r="DJ110">
            <v>5.6390977443609103E-2</v>
          </cell>
          <cell r="DK110">
            <v>0.15217391304347827</v>
          </cell>
          <cell r="DL110">
            <v>0.10447761194029859</v>
          </cell>
          <cell r="DM110">
            <v>0.1692307692307693</v>
          </cell>
          <cell r="DN110">
            <v>8.1250000000000044E-2</v>
          </cell>
          <cell r="DO110">
            <v>0.12455516014234869</v>
          </cell>
          <cell r="DP110">
            <v>4.4025157232704393E-2</v>
          </cell>
          <cell r="DQ110">
            <v>0.11486486486486491</v>
          </cell>
          <cell r="DR110">
            <v>9.8684210526315708E-2</v>
          </cell>
          <cell r="DS110">
            <v>0.12138728323699421</v>
          </cell>
          <cell r="DT110">
            <v>0.10912455637797858</v>
          </cell>
          <cell r="DU110">
            <v>0.18759565990814164</v>
          </cell>
          <cell r="DV110">
            <v>0.23055820378829828</v>
          </cell>
          <cell r="DW110">
            <v>0.14658717682590972</v>
          </cell>
          <cell r="DX110">
            <v>0.13159460667288569</v>
          </cell>
          <cell r="DY110">
            <v>0.17313752396414972</v>
          </cell>
          <cell r="DZ110">
            <v>0.12</v>
          </cell>
          <cell r="EA110">
            <v>0.12</v>
          </cell>
          <cell r="EB110">
            <v>0.12</v>
          </cell>
          <cell r="EC110">
            <v>0.12</v>
          </cell>
          <cell r="ED110">
            <v>0.16511975069200213</v>
          </cell>
          <cell r="EI110">
            <v>-2.2988505747126853E-3</v>
          </cell>
          <cell r="EN110">
            <v>0.08</v>
          </cell>
          <cell r="EO110">
            <v>0.08</v>
          </cell>
          <cell r="EP110">
            <v>0.08</v>
          </cell>
          <cell r="EQ110">
            <v>0.08</v>
          </cell>
          <cell r="ER110">
            <v>0.08</v>
          </cell>
          <cell r="ES110">
            <v>0.08</v>
          </cell>
          <cell r="ET110">
            <v>0.08</v>
          </cell>
          <cell r="EU110">
            <v>0.08</v>
          </cell>
          <cell r="EV110">
            <v>0.08</v>
          </cell>
          <cell r="EW110">
            <v>0.08</v>
          </cell>
        </row>
        <row r="111">
          <cell r="A111" t="str">
            <v>Growth CER</v>
          </cell>
          <cell r="AZ111">
            <v>62</v>
          </cell>
          <cell r="BA111">
            <v>67</v>
          </cell>
          <cell r="BB111">
            <v>129</v>
          </cell>
          <cell r="BC111">
            <v>69</v>
          </cell>
          <cell r="BD111">
            <v>198</v>
          </cell>
          <cell r="BE111">
            <v>80</v>
          </cell>
          <cell r="BF111">
            <v>278</v>
          </cell>
          <cell r="BG111">
            <v>5.9318491210452295E-2</v>
          </cell>
          <cell r="BH111">
            <v>1.1303400856027768E-2</v>
          </cell>
          <cell r="BI111">
            <v>147</v>
          </cell>
          <cell r="BJ111">
            <v>5.14611767873423E-2</v>
          </cell>
          <cell r="BK111">
            <v>223</v>
          </cell>
          <cell r="BL111">
            <v>0.1088615361597971</v>
          </cell>
          <cell r="BM111">
            <v>5.3819328923401688E-2</v>
          </cell>
          <cell r="BN111">
            <v>-1.707305262573322E-2</v>
          </cell>
          <cell r="BO111">
            <v>-1.2947732652784039E-2</v>
          </cell>
          <cell r="BP111">
            <v>163</v>
          </cell>
          <cell r="BQ111">
            <v>-1.3111217505886064E-2</v>
          </cell>
          <cell r="BR111">
            <v>246</v>
          </cell>
          <cell r="BS111">
            <v>7.408466653699175E-2</v>
          </cell>
          <cell r="BT111">
            <v>-1.0688639149794898E-2</v>
          </cell>
          <cell r="BU111">
            <v>4.6643967724785296E-2</v>
          </cell>
          <cell r="BV111">
            <v>6.8803011497659106E-2</v>
          </cell>
          <cell r="BW111">
            <v>5.7795792914866251E-2</v>
          </cell>
          <cell r="BX111">
            <v>8.7842421737106324E-2</v>
          </cell>
          <cell r="BY111">
            <v>6.7351671263261026E-2</v>
          </cell>
          <cell r="BZ111">
            <v>1.4306137529134011E-2</v>
          </cell>
          <cell r="CA111">
            <v>5.1534196329763859E-2</v>
          </cell>
          <cell r="CB111">
            <v>0.1278476586906534</v>
          </cell>
          <cell r="CC111">
            <v>0.15361215526364735</v>
          </cell>
          <cell r="CD111">
            <v>0.14045859363483348</v>
          </cell>
          <cell r="CE111">
            <v>0.05</v>
          </cell>
          <cell r="CF111">
            <v>0.10790753856997504</v>
          </cell>
          <cell r="CG111">
            <v>0.05</v>
          </cell>
          <cell r="CH111">
            <v>0.10184065732622283</v>
          </cell>
          <cell r="CI111">
            <v>0.05</v>
          </cell>
          <cell r="CJ111">
            <v>0.05</v>
          </cell>
          <cell r="CK111">
            <v>4.8299380402117786E-2</v>
          </cell>
          <cell r="CL111">
            <v>0.05</v>
          </cell>
          <cell r="CM111">
            <v>4.7600782005153275E-2</v>
          </cell>
          <cell r="CN111">
            <v>0.05</v>
          </cell>
          <cell r="CO111">
            <v>7.140302319868963E-2</v>
          </cell>
          <cell r="CP111">
            <v>0.05</v>
          </cell>
          <cell r="CQ111">
            <v>0.05</v>
          </cell>
          <cell r="CR111">
            <v>0.05</v>
          </cell>
          <cell r="CS111">
            <v>0.05</v>
          </cell>
          <cell r="CT111">
            <v>0.05</v>
          </cell>
          <cell r="CU111">
            <v>0.05</v>
          </cell>
          <cell r="CV111">
            <v>0.05</v>
          </cell>
          <cell r="CW111">
            <v>0.05</v>
          </cell>
        </row>
        <row r="112">
          <cell r="A112" t="str">
            <v>Molecular Diagnostics EMEA</v>
          </cell>
          <cell r="AZ112">
            <v>119</v>
          </cell>
          <cell r="BA112">
            <v>124</v>
          </cell>
          <cell r="BB112">
            <v>243</v>
          </cell>
          <cell r="BC112">
            <v>111</v>
          </cell>
          <cell r="BD112">
            <v>354</v>
          </cell>
          <cell r="BE112">
            <v>126</v>
          </cell>
          <cell r="BF112">
            <v>480</v>
          </cell>
          <cell r="BG112">
            <v>0.27816399205934883</v>
          </cell>
          <cell r="BH112">
            <v>0.29563175906498296</v>
          </cell>
          <cell r="BI112">
            <v>238</v>
          </cell>
          <cell r="BJ112">
            <v>0.20667389300987615</v>
          </cell>
          <cell r="BK112">
            <v>355</v>
          </cell>
          <cell r="BL112">
            <v>8.0082466392355167E-2</v>
          </cell>
          <cell r="BM112">
            <v>0.2143817880470118</v>
          </cell>
          <cell r="BN112">
            <v>1.0615807809606137E-2</v>
          </cell>
          <cell r="BO112">
            <v>4.8042979421519361E-2</v>
          </cell>
          <cell r="BP112">
            <v>264</v>
          </cell>
          <cell r="BQ112">
            <v>0.10172131837928133</v>
          </cell>
          <cell r="BR112">
            <v>394</v>
          </cell>
          <cell r="BS112">
            <v>0.13873983895078479</v>
          </cell>
          <cell r="BT112">
            <v>5.5950919899631302E-2</v>
          </cell>
          <cell r="BU112">
            <v>0.22175917509805709</v>
          </cell>
          <cell r="BV112">
            <v>8.4264294400802409E-2</v>
          </cell>
          <cell r="BW112">
            <v>0.1519208929415401</v>
          </cell>
          <cell r="BX112">
            <v>1.7654694082300915E-2</v>
          </cell>
          <cell r="BY112">
            <v>0.10682773269054191</v>
          </cell>
          <cell r="BZ112">
            <v>3.5678878125128155E-2</v>
          </cell>
          <cell r="CA112">
            <v>8.5483235663482149E-2</v>
          </cell>
          <cell r="CB112">
            <v>1.4716345559340316E-2</v>
          </cell>
          <cell r="CC112">
            <v>0.08</v>
          </cell>
          <cell r="CD112">
            <v>3.918825868552589E-2</v>
          </cell>
          <cell r="CE112">
            <v>0.08</v>
          </cell>
          <cell r="CF112">
            <v>4.7578155390530452E-2</v>
          </cell>
          <cell r="CG112">
            <v>0.08</v>
          </cell>
          <cell r="CH112">
            <v>6.153522005599521E-2</v>
          </cell>
          <cell r="CI112">
            <v>0.08</v>
          </cell>
          <cell r="CJ112">
            <v>7.0000000000000007E-2</v>
          </cell>
          <cell r="CK112">
            <v>0.06</v>
          </cell>
          <cell r="CL112">
            <v>0.06</v>
          </cell>
          <cell r="CM112">
            <v>0.05</v>
          </cell>
          <cell r="CN112">
            <v>0.05</v>
          </cell>
          <cell r="CO112">
            <v>0.05</v>
          </cell>
          <cell r="CP112">
            <v>0.05</v>
          </cell>
          <cell r="CQ112">
            <v>0.05</v>
          </cell>
          <cell r="CR112">
            <v>608.08683541862058</v>
          </cell>
          <cell r="CS112">
            <v>638.49117718955165</v>
          </cell>
          <cell r="CT112">
            <v>670.41573604902931</v>
          </cell>
          <cell r="CU112">
            <v>703.93652285148085</v>
          </cell>
          <cell r="CV112">
            <v>739.13334899405493</v>
          </cell>
          <cell r="CW112">
            <v>776.09001644375769</v>
          </cell>
        </row>
        <row r="113">
          <cell r="A113" t="str">
            <v>Growth CER</v>
          </cell>
          <cell r="AZ113">
            <v>76</v>
          </cell>
          <cell r="BA113">
            <v>69</v>
          </cell>
          <cell r="BB113">
            <v>145</v>
          </cell>
          <cell r="BC113">
            <v>65</v>
          </cell>
          <cell r="BD113">
            <v>210</v>
          </cell>
          <cell r="BE113">
            <v>83</v>
          </cell>
          <cell r="BF113">
            <v>293</v>
          </cell>
          <cell r="BG113">
            <v>-3.2771496624832808E-2</v>
          </cell>
          <cell r="BH113">
            <v>2.6842138559755147E-2</v>
          </cell>
          <cell r="BI113">
            <v>156</v>
          </cell>
          <cell r="BJ113">
            <v>7.6612328327976931E-2</v>
          </cell>
          <cell r="BK113">
            <v>228</v>
          </cell>
          <cell r="BL113">
            <v>8.2774720186814088E-2</v>
          </cell>
          <cell r="BM113">
            <v>3.7433656616105204E-2</v>
          </cell>
          <cell r="BN113">
            <v>0.18826229630490998</v>
          </cell>
          <cell r="BO113">
            <v>0.15270192413767969</v>
          </cell>
          <cell r="BP113">
            <v>162</v>
          </cell>
          <cell r="BQ113">
            <v>0.16773441950229195</v>
          </cell>
          <cell r="BR113">
            <v>253</v>
          </cell>
          <cell r="BS113">
            <v>4.9232921002672736E-2</v>
          </cell>
          <cell r="BT113">
            <v>0.1388450364174445</v>
          </cell>
          <cell r="BU113">
            <v>9.4527032240914299E-2</v>
          </cell>
          <cell r="BV113">
            <v>2.8689455635931838E-3</v>
          </cell>
          <cell r="BW113">
            <v>3.3688412983456151E-2</v>
          </cell>
          <cell r="BX113">
            <v>0.11539264888894651</v>
          </cell>
          <cell r="BY113">
            <v>6.1177547990335479E-2</v>
          </cell>
          <cell r="BZ113">
            <v>1.1133064637507406E-3</v>
          </cell>
          <cell r="CA113">
            <v>6.5485360198209386E-2</v>
          </cell>
          <cell r="CB113">
            <v>-3.2836101993107158E-2</v>
          </cell>
          <cell r="CC113">
            <v>1.6938413602034297E-2</v>
          </cell>
          <cell r="CD113">
            <v>-3.5438674697539585E-2</v>
          </cell>
          <cell r="CE113">
            <v>0.05</v>
          </cell>
          <cell r="CF113">
            <v>-1.02719085409686E-2</v>
          </cell>
          <cell r="CG113">
            <v>0.05</v>
          </cell>
          <cell r="CH113">
            <v>2.4590449043672136E-3</v>
          </cell>
          <cell r="CI113">
            <v>0.05</v>
          </cell>
          <cell r="CJ113">
            <v>0.05</v>
          </cell>
          <cell r="CK113">
            <v>4.7066311068843292E-2</v>
          </cell>
          <cell r="CL113">
            <v>0.05</v>
          </cell>
          <cell r="CM113">
            <v>5.642072199394943E-2</v>
          </cell>
          <cell r="CN113">
            <v>0.05</v>
          </cell>
          <cell r="CO113">
            <v>5.974032391712214E-2</v>
          </cell>
          <cell r="CP113">
            <v>0.05</v>
          </cell>
          <cell r="CQ113">
            <v>0.05</v>
          </cell>
          <cell r="CR113">
            <v>0.05</v>
          </cell>
          <cell r="CS113">
            <v>0.05</v>
          </cell>
          <cell r="CT113">
            <v>0.05</v>
          </cell>
          <cell r="CU113">
            <v>0.05</v>
          </cell>
          <cell r="CV113">
            <v>0.05</v>
          </cell>
          <cell r="CW113">
            <v>0.05</v>
          </cell>
        </row>
        <row r="114">
          <cell r="A114" t="str">
            <v>Molecular Diagnostics ROW</v>
          </cell>
          <cell r="AZ114">
            <v>64</v>
          </cell>
          <cell r="BA114">
            <v>72</v>
          </cell>
          <cell r="BB114">
            <v>136</v>
          </cell>
          <cell r="BC114">
            <v>78</v>
          </cell>
          <cell r="BD114">
            <v>214</v>
          </cell>
          <cell r="BE114">
            <v>80</v>
          </cell>
          <cell r="BF114">
            <v>294</v>
          </cell>
          <cell r="BG114">
            <v>4.8718994308382557E-2</v>
          </cell>
          <cell r="BH114">
            <v>0.14278416754526246</v>
          </cell>
          <cell r="BI114">
            <v>140</v>
          </cell>
          <cell r="BJ114">
            <v>0.13025058196623074</v>
          </cell>
          <cell r="BK114">
            <v>212</v>
          </cell>
          <cell r="BL114">
            <v>0.16711206958440439</v>
          </cell>
          <cell r="BM114">
            <v>0.12067455536468297</v>
          </cell>
          <cell r="BN114">
            <v>0.12874641800155662</v>
          </cell>
          <cell r="BO114">
            <v>6.8914743576305559E-2</v>
          </cell>
          <cell r="BP114">
            <v>146</v>
          </cell>
          <cell r="BQ114">
            <v>0.32051219728006963</v>
          </cell>
          <cell r="BR114">
            <v>218</v>
          </cell>
          <cell r="BS114">
            <v>0.17621704798679971</v>
          </cell>
          <cell r="BT114">
            <v>0.17315510846336557</v>
          </cell>
          <cell r="BU114">
            <v>0.2574734608123429</v>
          </cell>
          <cell r="BV114">
            <v>7.9792022486670056E-2</v>
          </cell>
          <cell r="BW114">
            <v>0.15574228503732812</v>
          </cell>
          <cell r="BX114">
            <v>-8.7831752868776647E-3</v>
          </cell>
          <cell r="BY114">
            <v>9.4212599453989854E-2</v>
          </cell>
          <cell r="BZ114">
            <v>-4.8323262056787275E-2</v>
          </cell>
          <cell r="CA114">
            <v>7.2215873632633376E-2</v>
          </cell>
          <cell r="CB114">
            <v>-6.6091735248740457E-2</v>
          </cell>
          <cell r="CC114">
            <v>0.1</v>
          </cell>
          <cell r="CD114">
            <v>2.9670260114302072E-2</v>
          </cell>
          <cell r="CE114">
            <v>0.1</v>
          </cell>
          <cell r="CF114">
            <v>4.766176812049705E-2</v>
          </cell>
          <cell r="CG114">
            <v>0.1</v>
          </cell>
          <cell r="CH114">
            <v>6.046812890895692E-2</v>
          </cell>
          <cell r="CI114">
            <v>0.08</v>
          </cell>
          <cell r="CJ114">
            <v>0.06</v>
          </cell>
          <cell r="CK114">
            <v>0.05</v>
          </cell>
          <cell r="CL114">
            <v>0.05</v>
          </cell>
          <cell r="CM114">
            <v>0.05</v>
          </cell>
          <cell r="CN114">
            <v>0.05</v>
          </cell>
          <cell r="CO114">
            <v>0.05</v>
          </cell>
          <cell r="CP114">
            <v>0.05</v>
          </cell>
          <cell r="CQ114">
            <v>0.05</v>
          </cell>
          <cell r="CR114">
            <v>356.31022308581402</v>
          </cell>
          <cell r="CS114">
            <v>374.12573424010475</v>
          </cell>
          <cell r="CT114">
            <v>392.83202095210999</v>
          </cell>
          <cell r="CU114">
            <v>412.47362199971548</v>
          </cell>
          <cell r="CV114">
            <v>433.09730309970126</v>
          </cell>
          <cell r="CW114">
            <v>454.75216825468635</v>
          </cell>
        </row>
        <row r="115">
          <cell r="A115" t="str">
            <v>Growth CER</v>
          </cell>
          <cell r="AZ115">
            <v>28</v>
          </cell>
          <cell r="BA115">
            <v>29</v>
          </cell>
          <cell r="BB115">
            <v>57</v>
          </cell>
          <cell r="BC115">
            <v>33</v>
          </cell>
          <cell r="BD115">
            <v>90</v>
          </cell>
          <cell r="BE115">
            <v>31</v>
          </cell>
          <cell r="BF115">
            <v>121</v>
          </cell>
          <cell r="BG115">
            <v>0.13422981868299677</v>
          </cell>
          <cell r="BH115">
            <v>9.3784014670335147E-2</v>
          </cell>
          <cell r="BI115">
            <v>64</v>
          </cell>
          <cell r="BJ115">
            <v>-1.1746271433556998E-2</v>
          </cell>
          <cell r="BK115">
            <v>95</v>
          </cell>
          <cell r="BL115">
            <v>-9.7588688320576988E-2</v>
          </cell>
          <cell r="BM115">
            <v>2.3649024132399776E-2</v>
          </cell>
          <cell r="BN115">
            <v>8.3529411764705852E-2</v>
          </cell>
          <cell r="BO115">
            <v>2.3888888888888848E-2</v>
          </cell>
          <cell r="BP115">
            <v>78</v>
          </cell>
          <cell r="BQ115">
            <v>7.6462697260279988E-3</v>
          </cell>
          <cell r="BR115">
            <v>117</v>
          </cell>
          <cell r="BS115">
            <v>0.15135053069613591</v>
          </cell>
          <cell r="BT115">
            <v>6.6169387898968202E-2</v>
          </cell>
          <cell r="BU115">
            <v>9.2600662377900655E-2</v>
          </cell>
          <cell r="BV115">
            <v>5.7663466111538386E-2</v>
          </cell>
          <cell r="BW115">
            <v>6.3668194915028065E-2</v>
          </cell>
          <cell r="BX115">
            <v>0.10713524975889854</v>
          </cell>
          <cell r="BY115">
            <v>7.8092048119214108E-2</v>
          </cell>
          <cell r="BZ115">
            <v>8.4532947197695218E-3</v>
          </cell>
          <cell r="CA115">
            <v>6.3682884031321163E-2</v>
          </cell>
          <cell r="CB115">
            <v>5.1571382414377198E-2</v>
          </cell>
          <cell r="CC115">
            <v>0.1245587344576492</v>
          </cell>
          <cell r="CD115">
            <v>6.2892358877530086E-2</v>
          </cell>
          <cell r="CE115">
            <v>0.05</v>
          </cell>
          <cell r="CF115">
            <v>5.5995436530860143E-2</v>
          </cell>
          <cell r="CG115">
            <v>0.05</v>
          </cell>
          <cell r="CH115">
            <v>5.2941792863125503E-2</v>
          </cell>
          <cell r="CI115">
            <v>0.05</v>
          </cell>
          <cell r="CJ115">
            <v>0.05</v>
          </cell>
          <cell r="CK115">
            <v>4.7366492701663154E-2</v>
          </cell>
          <cell r="CL115">
            <v>0.05</v>
          </cell>
          <cell r="CM115">
            <v>4.8306265925509018E-2</v>
          </cell>
          <cell r="CN115">
            <v>0.05</v>
          </cell>
          <cell r="CO115">
            <v>4.9829705273710889E-2</v>
          </cell>
          <cell r="CP115">
            <v>0.05</v>
          </cell>
          <cell r="CQ115">
            <v>0.05</v>
          </cell>
          <cell r="CR115">
            <v>0.05</v>
          </cell>
          <cell r="CS115">
            <v>0.05</v>
          </cell>
          <cell r="CT115">
            <v>0.05</v>
          </cell>
          <cell r="CU115">
            <v>0.05</v>
          </cell>
          <cell r="CV115">
            <v>0.05</v>
          </cell>
          <cell r="CW115">
            <v>0.05</v>
          </cell>
        </row>
        <row r="116">
          <cell r="A116" t="str">
            <v>Applied Science</v>
          </cell>
          <cell r="I116">
            <v>571</v>
          </cell>
          <cell r="N116">
            <v>429</v>
          </cell>
          <cell r="P116">
            <v>574</v>
          </cell>
          <cell r="S116">
            <v>251</v>
          </cell>
          <cell r="T116">
            <v>126</v>
          </cell>
          <cell r="U116">
            <v>377</v>
          </cell>
          <cell r="V116">
            <v>197</v>
          </cell>
          <cell r="W116">
            <v>574</v>
          </cell>
          <cell r="X116">
            <v>127</v>
          </cell>
          <cell r="Y116">
            <v>124</v>
          </cell>
          <cell r="Z116">
            <v>251</v>
          </cell>
          <cell r="AA116">
            <v>126</v>
          </cell>
          <cell r="AB116">
            <v>377</v>
          </cell>
          <cell r="AC116">
            <v>132</v>
          </cell>
          <cell r="AD116">
            <v>509</v>
          </cell>
          <cell r="AE116">
            <v>139</v>
          </cell>
          <cell r="AF116">
            <v>136</v>
          </cell>
          <cell r="AG116">
            <v>275</v>
          </cell>
          <cell r="AH116">
            <v>128</v>
          </cell>
          <cell r="AI116">
            <v>403</v>
          </cell>
          <cell r="AJ116">
            <v>129</v>
          </cell>
          <cell r="AK116">
            <v>532</v>
          </cell>
          <cell r="AL116">
            <v>138</v>
          </cell>
          <cell r="AM116">
            <v>134</v>
          </cell>
          <cell r="AN116">
            <v>272</v>
          </cell>
          <cell r="AO116">
            <v>130</v>
          </cell>
          <cell r="AP116">
            <v>402</v>
          </cell>
          <cell r="AQ116">
            <v>160</v>
          </cell>
          <cell r="AR116">
            <v>562</v>
          </cell>
          <cell r="AS116">
            <v>159</v>
          </cell>
          <cell r="AT116">
            <v>148</v>
          </cell>
          <cell r="AU116">
            <v>307</v>
          </cell>
          <cell r="AV116">
            <v>152</v>
          </cell>
          <cell r="AW116">
            <v>459</v>
          </cell>
          <cell r="AX116">
            <v>173</v>
          </cell>
          <cell r="AY116">
            <v>632</v>
          </cell>
          <cell r="AZ116">
            <v>166</v>
          </cell>
          <cell r="BA116">
            <v>165</v>
          </cell>
          <cell r="BB116">
            <v>331</v>
          </cell>
          <cell r="BC116">
            <v>167</v>
          </cell>
          <cell r="BD116">
            <v>498</v>
          </cell>
          <cell r="BE116">
            <v>194</v>
          </cell>
          <cell r="BF116">
            <v>692</v>
          </cell>
          <cell r="BG116">
            <v>0.25030124725442537</v>
          </cell>
          <cell r="BH116">
            <v>0.16274953191171437</v>
          </cell>
          <cell r="BI116">
            <v>367</v>
          </cell>
          <cell r="BJ116">
            <v>4.5707448834593212E-3</v>
          </cell>
          <cell r="BK116">
            <v>546</v>
          </cell>
          <cell r="BL116">
            <v>0.35725002135684225</v>
          </cell>
          <cell r="BM116">
            <v>0.18989403453325437</v>
          </cell>
          <cell r="BN116">
            <v>7.0606060606060561E-2</v>
          </cell>
          <cell r="BO116">
            <v>0.3970967741935485</v>
          </cell>
          <cell r="BP116">
            <v>403</v>
          </cell>
          <cell r="BQ116">
            <v>0.26571078585506025</v>
          </cell>
          <cell r="BR116">
            <v>616</v>
          </cell>
          <cell r="BS116">
            <v>0.49658862593423125</v>
          </cell>
          <cell r="BT116">
            <v>0.31588666969191581</v>
          </cell>
          <cell r="BU116">
            <v>0.19318774652662862</v>
          </cell>
          <cell r="BV116">
            <v>7.2636387424058202E-2</v>
          </cell>
          <cell r="BW116">
            <v>0.11916520931615204</v>
          </cell>
          <cell r="BX116">
            <v>-2.5343382719733909E-2</v>
          </cell>
          <cell r="BY116">
            <v>7.099567863752354E-2</v>
          </cell>
          <cell r="BZ116">
            <v>-0.30308516681869202</v>
          </cell>
          <cell r="CA116">
            <v>-5.2632583979062009E-2</v>
          </cell>
          <cell r="CB116">
            <v>2.8702359545354383E-2</v>
          </cell>
          <cell r="CC116">
            <v>0.03</v>
          </cell>
          <cell r="CD116">
            <v>2.6341168088414024E-2</v>
          </cell>
          <cell r="CE116">
            <v>0.03</v>
          </cell>
          <cell r="CF116">
            <v>2.6333934069349363E-2</v>
          </cell>
          <cell r="CG116">
            <v>0.03</v>
          </cell>
          <cell r="CH116">
            <v>2.6252093330252357E-2</v>
          </cell>
          <cell r="CI116">
            <v>0.08</v>
          </cell>
          <cell r="CJ116">
            <v>7.0000000000000007E-2</v>
          </cell>
          <cell r="CK116">
            <v>0.06</v>
          </cell>
          <cell r="CL116">
            <v>0.05</v>
          </cell>
          <cell r="CM116">
            <v>0.05</v>
          </cell>
          <cell r="CN116">
            <v>0.05</v>
          </cell>
          <cell r="CO116">
            <v>0.05</v>
          </cell>
          <cell r="CP116">
            <v>0.05</v>
          </cell>
          <cell r="CQ116">
            <v>0.05</v>
          </cell>
          <cell r="CR116">
            <v>1050.9320654838964</v>
          </cell>
          <cell r="CS116">
            <v>1103.4786687580911</v>
          </cell>
          <cell r="CT116">
            <v>1158.6526021959958</v>
          </cell>
          <cell r="CU116">
            <v>1216.5852323057957</v>
          </cell>
          <cell r="CV116">
            <v>1277.4144939210855</v>
          </cell>
          <cell r="CW116">
            <v>1341.2852186171399</v>
          </cell>
          <cell r="DA116">
            <v>5.2539404553415547E-3</v>
          </cell>
          <cell r="DF116">
            <v>0</v>
          </cell>
          <cell r="DG116">
            <v>9.4488188976378007E-2</v>
          </cell>
          <cell r="DH116">
            <v>9.6774193548387011E-2</v>
          </cell>
          <cell r="DI116">
            <v>1.5873015873015817E-2</v>
          </cell>
          <cell r="DJ116">
            <v>6.8965517241379226E-2</v>
          </cell>
          <cell r="DK116">
            <v>-7.3170731707317027E-2</v>
          </cell>
          <cell r="DL116">
            <v>-7.194244604316502E-3</v>
          </cell>
          <cell r="DM116">
            <v>-1.4705882352941124E-2</v>
          </cell>
          <cell r="DN116">
            <v>1.5625E-2</v>
          </cell>
          <cell r="DO116">
            <v>0.24031007751937983</v>
          </cell>
          <cell r="DP116">
            <v>5.6390977443609103E-2</v>
          </cell>
          <cell r="DQ116">
            <v>0.15217391304347827</v>
          </cell>
          <cell r="DR116">
            <v>0.10447761194029859</v>
          </cell>
          <cell r="DS116">
            <v>0.1692307692307693</v>
          </cell>
          <cell r="DT116">
            <v>8.1250000000000044E-2</v>
          </cell>
          <cell r="DU116">
            <v>0.12455516014234869</v>
          </cell>
          <cell r="DV116">
            <v>4.4025157232704393E-2</v>
          </cell>
          <cell r="DW116">
            <v>0.11486486486486491</v>
          </cell>
          <cell r="DX116">
            <v>9.8684210526315708E-2</v>
          </cell>
          <cell r="DY116">
            <v>0.12138728323699421</v>
          </cell>
          <cell r="DZ116">
            <v>0.10912455637797858</v>
          </cell>
          <cell r="EA116">
            <v>0.18759565990814164</v>
          </cell>
          <cell r="EB116">
            <v>0.23055820378829828</v>
          </cell>
          <cell r="EC116">
            <v>0.14658717682590972</v>
          </cell>
          <cell r="ED116">
            <v>0.13159460667288569</v>
          </cell>
          <cell r="EE116">
            <v>0.17313752396414972</v>
          </cell>
          <cell r="EF116">
            <v>0.12</v>
          </cell>
          <cell r="EG116">
            <v>0.12</v>
          </cell>
          <cell r="EH116">
            <v>0.12</v>
          </cell>
          <cell r="EI116">
            <v>0.12</v>
          </cell>
          <cell r="EJ116">
            <v>0.16511975069200213</v>
          </cell>
          <cell r="EO116">
            <v>-2.2988505747126853E-3</v>
          </cell>
          <cell r="ET116">
            <v>0.08</v>
          </cell>
          <cell r="EY116">
            <v>0.08</v>
          </cell>
          <cell r="EZ116">
            <v>0.08</v>
          </cell>
          <cell r="FA116">
            <v>0.08</v>
          </cell>
          <cell r="FB116">
            <v>0.08</v>
          </cell>
          <cell r="FC116">
            <v>0.08</v>
          </cell>
          <cell r="FD116">
            <v>0.08</v>
          </cell>
          <cell r="FE116">
            <v>0.08</v>
          </cell>
          <cell r="FF116">
            <v>0.08</v>
          </cell>
          <cell r="FG116">
            <v>0.08</v>
          </cell>
        </row>
        <row r="117">
          <cell r="A117" t="str">
            <v xml:space="preserve">   growth </v>
          </cell>
          <cell r="BG117">
            <v>65</v>
          </cell>
          <cell r="BH117">
            <v>99</v>
          </cell>
          <cell r="BI117">
            <v>164</v>
          </cell>
          <cell r="BJ117">
            <v>97</v>
          </cell>
          <cell r="BK117">
            <v>261</v>
          </cell>
          <cell r="BL117">
            <v>115</v>
          </cell>
          <cell r="BM117">
            <v>376</v>
          </cell>
          <cell r="BN117">
            <v>106</v>
          </cell>
          <cell r="BO117">
            <v>123</v>
          </cell>
          <cell r="BP117">
            <v>229</v>
          </cell>
          <cell r="BQ117">
            <v>117</v>
          </cell>
          <cell r="BR117">
            <v>346</v>
          </cell>
          <cell r="BS117">
            <v>134</v>
          </cell>
          <cell r="BT117">
            <v>0.13725490196078427</v>
          </cell>
          <cell r="BU117">
            <v>0.15306122448979598</v>
          </cell>
          <cell r="BV117">
            <v>7.7294685990338063E-2</v>
          </cell>
          <cell r="BW117">
            <v>0.11414392059553347</v>
          </cell>
          <cell r="BX117">
            <v>-7.5117370892018753E-2</v>
          </cell>
          <cell r="BY117">
            <v>4.870129870129869E-2</v>
          </cell>
          <cell r="BZ117">
            <v>-0.12598425196850394</v>
          </cell>
          <cell r="CA117">
            <v>-2.2988505747126853E-3</v>
          </cell>
          <cell r="CB117">
            <v>-0.12389380530973448</v>
          </cell>
          <cell r="CC117">
            <v>-0.19730941704035876</v>
          </cell>
          <cell r="CD117">
            <v>-0.16035634743875282</v>
          </cell>
          <cell r="CE117">
            <v>-9.5758884828346935E-2</v>
          </cell>
          <cell r="CF117">
            <v>-0.14065712122474372</v>
          </cell>
          <cell r="CG117">
            <v>-6.5026888931761229E-2</v>
          </cell>
          <cell r="CH117">
            <v>-0.12131390513137719</v>
          </cell>
          <cell r="CI117">
            <v>693.36804172814027</v>
          </cell>
          <cell r="CJ117">
            <v>801.58855690871974</v>
          </cell>
          <cell r="CK117">
            <v>926.88521115065794</v>
          </cell>
          <cell r="CL117">
            <v>1071.9880376700128</v>
          </cell>
          <cell r="CM117">
            <v>1240.0702971366222</v>
          </cell>
          <cell r="CN117">
            <v>1434.8217062864446</v>
          </cell>
          <cell r="CO117">
            <v>1660.533999724606</v>
          </cell>
          <cell r="CP117">
            <v>1922.2009446775305</v>
          </cell>
          <cell r="CQ117">
            <v>2225.6353003722406</v>
          </cell>
          <cell r="DK117" t="e">
            <v>#DIV/0!</v>
          </cell>
          <cell r="DL117" t="e">
            <v>#DIV/0!</v>
          </cell>
          <cell r="DM117" t="e">
            <v>#DIV/0!</v>
          </cell>
          <cell r="DN117" t="e">
            <v>#DIV/0!</v>
          </cell>
          <cell r="DZ117">
            <v>0.2</v>
          </cell>
          <cell r="EA117">
            <v>0.2</v>
          </cell>
          <cell r="EB117">
            <v>0.2</v>
          </cell>
          <cell r="EC117">
            <v>0.2</v>
          </cell>
          <cell r="ED117">
            <v>0.30787470180393495</v>
          </cell>
          <cell r="EI117">
            <v>0.12708333333333344</v>
          </cell>
          <cell r="EN117">
            <v>0.3</v>
          </cell>
          <cell r="EO117">
            <v>0.2</v>
          </cell>
          <cell r="EP117">
            <v>0.15</v>
          </cell>
          <cell r="EQ117">
            <v>0.1</v>
          </cell>
          <cell r="ER117">
            <v>0.08</v>
          </cell>
          <cell r="ES117">
            <v>0.06</v>
          </cell>
          <cell r="ET117">
            <v>0.05</v>
          </cell>
          <cell r="EU117">
            <v>0.05</v>
          </cell>
          <cell r="EV117">
            <v>0.05</v>
          </cell>
          <cell r="EW117">
            <v>0.05</v>
          </cell>
        </row>
        <row r="118">
          <cell r="A118" t="str">
            <v xml:space="preserve">CER Growth </v>
          </cell>
          <cell r="BG118">
            <v>46</v>
          </cell>
          <cell r="BH118">
            <v>67</v>
          </cell>
          <cell r="BI118">
            <v>113</v>
          </cell>
          <cell r="BJ118">
            <v>72</v>
          </cell>
          <cell r="BK118">
            <v>185</v>
          </cell>
          <cell r="BL118">
            <v>82</v>
          </cell>
          <cell r="BM118">
            <v>267</v>
          </cell>
          <cell r="BN118">
            <v>74</v>
          </cell>
          <cell r="BO118">
            <v>89</v>
          </cell>
          <cell r="BP118">
            <v>163</v>
          </cell>
          <cell r="BQ118">
            <v>81</v>
          </cell>
          <cell r="BR118">
            <v>244</v>
          </cell>
          <cell r="BS118">
            <v>92</v>
          </cell>
          <cell r="BT118">
            <v>336</v>
          </cell>
          <cell r="BU118">
            <v>82</v>
          </cell>
          <cell r="BV118">
            <v>98</v>
          </cell>
          <cell r="BW118">
            <v>0.09</v>
          </cell>
          <cell r="BX118">
            <v>94</v>
          </cell>
          <cell r="BY118">
            <v>274</v>
          </cell>
          <cell r="BZ118">
            <v>101</v>
          </cell>
          <cell r="CA118">
            <v>375</v>
          </cell>
          <cell r="CB118">
            <v>86</v>
          </cell>
          <cell r="CC118">
            <v>99.949399048277314</v>
          </cell>
          <cell r="CD118">
            <v>-0.04</v>
          </cell>
          <cell r="CE118">
            <v>92.197634786598869</v>
          </cell>
          <cell r="CF118">
            <v>278.1470338348762</v>
          </cell>
          <cell r="CG118">
            <v>104.8934209759114</v>
          </cell>
          <cell r="CH118">
            <v>383.04045481078759</v>
          </cell>
          <cell r="CI118">
            <v>459.64854577294511</v>
          </cell>
          <cell r="CJ118">
            <v>528.59582763888682</v>
          </cell>
          <cell r="CK118">
            <v>607.88520178471981</v>
          </cell>
          <cell r="CL118">
            <v>699.06798205242774</v>
          </cell>
          <cell r="CM118">
            <v>803.92817936029189</v>
          </cell>
          <cell r="CN118">
            <v>924.51740626433559</v>
          </cell>
          <cell r="CO118">
            <v>1063.1950172039858</v>
          </cell>
          <cell r="CP118">
            <v>1222.6742697845837</v>
          </cell>
          <cell r="CQ118">
            <v>1406.075410252271</v>
          </cell>
        </row>
        <row r="119">
          <cell r="A119" t="str">
            <v>Applied Science US</v>
          </cell>
          <cell r="AZ119">
            <v>62</v>
          </cell>
          <cell r="BA119">
            <v>67</v>
          </cell>
          <cell r="BB119">
            <v>129</v>
          </cell>
          <cell r="BC119">
            <v>69</v>
          </cell>
          <cell r="BD119">
            <v>198</v>
          </cell>
          <cell r="BE119">
            <v>80</v>
          </cell>
          <cell r="BF119">
            <v>278</v>
          </cell>
          <cell r="BG119">
            <v>71</v>
          </cell>
          <cell r="BH119">
            <v>76</v>
          </cell>
          <cell r="BI119">
            <v>147</v>
          </cell>
          <cell r="BJ119">
            <v>76</v>
          </cell>
          <cell r="BK119">
            <v>223</v>
          </cell>
          <cell r="BL119">
            <v>87</v>
          </cell>
          <cell r="BM119">
            <v>310</v>
          </cell>
          <cell r="BN119">
            <v>0.53480441772999798</v>
          </cell>
          <cell r="BO119">
            <v>0.24482224100832228</v>
          </cell>
          <cell r="BP119">
            <v>163</v>
          </cell>
          <cell r="BQ119">
            <v>0.13461605522138664</v>
          </cell>
          <cell r="BR119">
            <v>246</v>
          </cell>
          <cell r="BS119">
            <v>0.23770255271585361</v>
          </cell>
          <cell r="BT119">
            <v>0.23373272490144359</v>
          </cell>
          <cell r="BU119">
            <v>0.18701014034902241</v>
          </cell>
          <cell r="BV119">
            <v>0.10399254106921119</v>
          </cell>
          <cell r="BW119">
            <v>0.14578592361638676</v>
          </cell>
          <cell r="BX119">
            <v>0.19019671401387916</v>
          </cell>
          <cell r="BY119">
            <v>0.16067286130576253</v>
          </cell>
          <cell r="BZ119">
            <v>0.14474092013782969</v>
          </cell>
          <cell r="CA119">
            <v>0.15379347020505996</v>
          </cell>
          <cell r="CB119">
            <v>0.15440592427330935</v>
          </cell>
          <cell r="CC119">
            <v>0.3</v>
          </cell>
          <cell r="CD119">
            <v>0.19490118490125818</v>
          </cell>
          <cell r="CE119">
            <v>0.2</v>
          </cell>
          <cell r="CF119">
            <v>0.18368912074572907</v>
          </cell>
          <cell r="CG119">
            <v>0.2</v>
          </cell>
          <cell r="CH119">
            <v>0.18999517359319607</v>
          </cell>
          <cell r="CI119">
            <v>0.2</v>
          </cell>
          <cell r="CJ119">
            <v>0.15</v>
          </cell>
          <cell r="CK119">
            <v>0.15</v>
          </cell>
          <cell r="CL119">
            <v>0.15</v>
          </cell>
          <cell r="CM119">
            <v>0.15</v>
          </cell>
          <cell r="CN119">
            <v>0.15</v>
          </cell>
          <cell r="CO119">
            <v>0.15</v>
          </cell>
          <cell r="CP119">
            <v>0.15</v>
          </cell>
          <cell r="CQ119">
            <v>0.15</v>
          </cell>
          <cell r="CR119">
            <v>404.6488858272545</v>
          </cell>
          <cell r="CS119">
            <v>424.88133011861726</v>
          </cell>
          <cell r="CT119">
            <v>446.12539662454816</v>
          </cell>
          <cell r="CU119">
            <v>468.4316664557756</v>
          </cell>
          <cell r="CV119">
            <v>491.85324977856442</v>
          </cell>
          <cell r="CW119">
            <v>516.44591226749264</v>
          </cell>
        </row>
        <row r="120">
          <cell r="A120" t="str">
            <v>Growth CER</v>
          </cell>
          <cell r="BG120">
            <v>0.27816399205934883</v>
          </cell>
          <cell r="BH120">
            <v>0.29563175906498296</v>
          </cell>
          <cell r="BI120">
            <v>41</v>
          </cell>
          <cell r="BJ120">
            <v>0.20667389300987615</v>
          </cell>
          <cell r="BK120">
            <v>60</v>
          </cell>
          <cell r="BL120">
            <v>8.0082466392355167E-2</v>
          </cell>
          <cell r="BM120">
            <v>0.2143817880470118</v>
          </cell>
          <cell r="BN120">
            <v>1.0615807809606137E-2</v>
          </cell>
          <cell r="BO120">
            <v>4.8042979421519361E-2</v>
          </cell>
          <cell r="BP120">
            <v>49</v>
          </cell>
          <cell r="BQ120">
            <v>0.10172131837928133</v>
          </cell>
          <cell r="BR120">
            <v>75</v>
          </cell>
          <cell r="BS120">
            <v>0.13873983895078479</v>
          </cell>
          <cell r="BT120">
            <v>5.5950919899631302E-2</v>
          </cell>
          <cell r="BU120">
            <v>0.22175917509805709</v>
          </cell>
          <cell r="BV120">
            <v>8.4264294400802409E-2</v>
          </cell>
          <cell r="BW120">
            <v>0.1519208929415401</v>
          </cell>
          <cell r="BX120">
            <v>1.7654694082300915E-2</v>
          </cell>
          <cell r="BY120">
            <v>0.10682773269054191</v>
          </cell>
          <cell r="BZ120">
            <v>3.5678878125128155E-2</v>
          </cell>
          <cell r="CA120">
            <v>8.5483235663482149E-2</v>
          </cell>
          <cell r="CB120">
            <v>-7.6192745349750512E-2</v>
          </cell>
          <cell r="CC120">
            <v>-2.1091314418206109E-2</v>
          </cell>
          <cell r="CD120">
            <v>-4.8095783414831228E-2</v>
          </cell>
          <cell r="CE120">
            <v>0.08</v>
          </cell>
          <cell r="CF120">
            <v>-1.2390191571219455E-2</v>
          </cell>
          <cell r="CG120">
            <v>0.08</v>
          </cell>
          <cell r="CH120">
            <v>1.8063745172724688E-2</v>
          </cell>
          <cell r="CI120">
            <v>0.08</v>
          </cell>
          <cell r="CJ120">
            <v>0.08</v>
          </cell>
          <cell r="CK120">
            <v>7.6360783291866463E-2</v>
          </cell>
          <cell r="CL120">
            <v>0.08</v>
          </cell>
          <cell r="CM120">
            <v>7.9903587354995698E-2</v>
          </cell>
          <cell r="CN120">
            <v>0.08</v>
          </cell>
          <cell r="CO120">
            <v>0.10755432855736891</v>
          </cell>
          <cell r="CP120">
            <v>7.0000000000000007E-2</v>
          </cell>
          <cell r="CQ120">
            <v>0.06</v>
          </cell>
          <cell r="CR120">
            <v>0.06</v>
          </cell>
          <cell r="CS120">
            <v>0.05</v>
          </cell>
          <cell r="CT120">
            <v>0.05</v>
          </cell>
          <cell r="CU120">
            <v>0.05</v>
          </cell>
          <cell r="CV120">
            <v>0.05</v>
          </cell>
          <cell r="CW120">
            <v>0.05</v>
          </cell>
        </row>
        <row r="121">
          <cell r="A121" t="str">
            <v>Applied Science EMEA</v>
          </cell>
          <cell r="AZ121">
            <v>76</v>
          </cell>
          <cell r="BA121">
            <v>69</v>
          </cell>
          <cell r="BB121">
            <v>145</v>
          </cell>
          <cell r="BC121">
            <v>65</v>
          </cell>
          <cell r="BD121">
            <v>210</v>
          </cell>
          <cell r="BE121">
            <v>83</v>
          </cell>
          <cell r="BF121">
            <v>293</v>
          </cell>
          <cell r="BG121">
            <v>79</v>
          </cell>
          <cell r="BH121">
            <v>77</v>
          </cell>
          <cell r="BI121">
            <v>156</v>
          </cell>
          <cell r="BJ121">
            <v>72</v>
          </cell>
          <cell r="BK121">
            <v>228</v>
          </cell>
          <cell r="BL121">
            <v>90</v>
          </cell>
          <cell r="BM121">
            <v>318</v>
          </cell>
          <cell r="BN121">
            <v>0.50295527876105039</v>
          </cell>
          <cell r="BO121">
            <v>9.5927730589292715E-2</v>
          </cell>
          <cell r="BP121">
            <v>162</v>
          </cell>
          <cell r="BQ121">
            <v>0.42504436102275978</v>
          </cell>
          <cell r="BR121">
            <v>253</v>
          </cell>
          <cell r="BS121">
            <v>0.20185807362782526</v>
          </cell>
          <cell r="BT121">
            <v>0.27992708447623671</v>
          </cell>
          <cell r="BU121">
            <v>0.29629333658874046</v>
          </cell>
          <cell r="BV121">
            <v>0.1182535609482086</v>
          </cell>
          <cell r="BW121">
            <v>0.18937796153014752</v>
          </cell>
          <cell r="BX121">
            <v>0.16154649504279273</v>
          </cell>
          <cell r="BY121">
            <v>0.17863947692434567</v>
          </cell>
          <cell r="BZ121">
            <v>7.9172897697436961E-2</v>
          </cell>
          <cell r="CA121">
            <v>0.16934879236352829</v>
          </cell>
          <cell r="CB121">
            <v>0.14133972218271706</v>
          </cell>
          <cell r="CC121">
            <v>0.2</v>
          </cell>
          <cell r="CD121">
            <v>0.18402643470477165</v>
          </cell>
          <cell r="CE121">
            <v>0.2</v>
          </cell>
          <cell r="CF121">
            <v>0.18368016587238245</v>
          </cell>
          <cell r="CG121">
            <v>0.2</v>
          </cell>
          <cell r="CH121">
            <v>0.18504184387262246</v>
          </cell>
          <cell r="CI121">
            <v>0.2</v>
          </cell>
          <cell r="CJ121">
            <v>0.15</v>
          </cell>
          <cell r="CK121">
            <v>0.15</v>
          </cell>
          <cell r="CL121">
            <v>0.15</v>
          </cell>
          <cell r="CM121">
            <v>0.15</v>
          </cell>
          <cell r="CN121">
            <v>0.15</v>
          </cell>
          <cell r="CO121">
            <v>0.15</v>
          </cell>
          <cell r="CP121">
            <v>0.15</v>
          </cell>
          <cell r="CQ121">
            <v>0.15</v>
          </cell>
          <cell r="CR121">
            <v>442.64134978630233</v>
          </cell>
          <cell r="CS121">
            <v>464.77341727561748</v>
          </cell>
          <cell r="CT121">
            <v>488.01208813939837</v>
          </cell>
          <cell r="CU121">
            <v>512.41269254636836</v>
          </cell>
          <cell r="CV121">
            <v>538.03332717368676</v>
          </cell>
          <cell r="CW121">
            <v>564.9349935323711</v>
          </cell>
        </row>
        <row r="122">
          <cell r="A122" t="str">
            <v>Growth CER</v>
          </cell>
          <cell r="BG122">
            <v>4.8718994308382557E-2</v>
          </cell>
          <cell r="BH122">
            <v>0.14278416754526246</v>
          </cell>
          <cell r="BI122">
            <v>10</v>
          </cell>
          <cell r="BJ122">
            <v>0.13025058196623074</v>
          </cell>
          <cell r="BK122">
            <v>16</v>
          </cell>
          <cell r="BL122">
            <v>0.16711206958440439</v>
          </cell>
          <cell r="BM122">
            <v>0.12067455536468297</v>
          </cell>
          <cell r="BN122">
            <v>0.12874641800155662</v>
          </cell>
          <cell r="BO122">
            <v>6.8914743576305559E-2</v>
          </cell>
          <cell r="BP122">
            <v>17</v>
          </cell>
          <cell r="BQ122">
            <v>0.32051219728006963</v>
          </cell>
          <cell r="BR122">
            <v>27</v>
          </cell>
          <cell r="BS122">
            <v>0.17621704798679971</v>
          </cell>
          <cell r="BT122">
            <v>0.17315510846336557</v>
          </cell>
          <cell r="BU122">
            <v>0.2574734608123429</v>
          </cell>
          <cell r="BV122">
            <v>7.9792022486670056E-2</v>
          </cell>
          <cell r="BW122">
            <v>0.15574228503732812</v>
          </cell>
          <cell r="BX122">
            <v>-8.7831752868776647E-3</v>
          </cell>
          <cell r="BY122">
            <v>9.4212599453989854E-2</v>
          </cell>
          <cell r="BZ122">
            <v>-4.8323262056787275E-2</v>
          </cell>
          <cell r="CA122">
            <v>7.2215873632633376E-2</v>
          </cell>
          <cell r="CB122">
            <v>-8.6293755450760679E-2</v>
          </cell>
          <cell r="CC122">
            <v>4.880115870007351E-2</v>
          </cell>
          <cell r="CD122">
            <v>-4.6593611219171494E-2</v>
          </cell>
          <cell r="CE122">
            <v>0.1</v>
          </cell>
          <cell r="CF122">
            <v>-6.7727001904384077E-3</v>
          </cell>
          <cell r="CG122">
            <v>0.1</v>
          </cell>
          <cell r="CH122">
            <v>1.7640557467760609E-2</v>
          </cell>
          <cell r="CI122">
            <v>0.08</v>
          </cell>
          <cell r="CJ122">
            <v>0.08</v>
          </cell>
          <cell r="CK122">
            <v>7.341857055799017E-2</v>
          </cell>
          <cell r="CL122">
            <v>0.08</v>
          </cell>
          <cell r="CM122">
            <v>8.2788862824933362E-2</v>
          </cell>
          <cell r="CN122">
            <v>0.08</v>
          </cell>
          <cell r="CO122">
            <v>9.5030046541176416E-2</v>
          </cell>
          <cell r="CP122">
            <v>0.06</v>
          </cell>
          <cell r="CQ122">
            <v>0.05</v>
          </cell>
          <cell r="CR122">
            <v>0.05</v>
          </cell>
          <cell r="CS122">
            <v>0.05</v>
          </cell>
          <cell r="CT122">
            <v>0.05</v>
          </cell>
          <cell r="CU122">
            <v>0.05</v>
          </cell>
          <cell r="CV122">
            <v>0.05</v>
          </cell>
          <cell r="CW122">
            <v>0.05</v>
          </cell>
        </row>
        <row r="123">
          <cell r="A123" t="str">
            <v>Applied Science ROW</v>
          </cell>
          <cell r="AZ123">
            <v>28</v>
          </cell>
          <cell r="BA123">
            <v>29</v>
          </cell>
          <cell r="BB123">
            <v>57</v>
          </cell>
          <cell r="BC123">
            <v>33</v>
          </cell>
          <cell r="BD123">
            <v>90</v>
          </cell>
          <cell r="BE123">
            <v>31</v>
          </cell>
          <cell r="BF123">
            <v>121</v>
          </cell>
          <cell r="BG123">
            <v>33</v>
          </cell>
          <cell r="BH123">
            <v>31</v>
          </cell>
          <cell r="BI123">
            <v>64</v>
          </cell>
          <cell r="BJ123">
            <v>31</v>
          </cell>
          <cell r="BK123">
            <v>95</v>
          </cell>
          <cell r="BL123">
            <v>42</v>
          </cell>
          <cell r="BM123">
            <v>137</v>
          </cell>
          <cell r="BN123">
            <v>2.0099999999999998</v>
          </cell>
          <cell r="BO123">
            <v>0.1528571428571428</v>
          </cell>
          <cell r="BP123">
            <v>78</v>
          </cell>
          <cell r="BQ123">
            <v>0.67431293639269474</v>
          </cell>
          <cell r="BR123">
            <v>117</v>
          </cell>
          <cell r="BS123">
            <v>0.63944576879137405</v>
          </cell>
          <cell r="BT123">
            <v>0.67608977981568597</v>
          </cell>
          <cell r="BU123">
            <v>0.19001314335202546</v>
          </cell>
          <cell r="BV123">
            <v>0.50286894556359318</v>
          </cell>
          <cell r="BW123">
            <v>0.32353926663138599</v>
          </cell>
          <cell r="BX123">
            <v>0.35157969420334301</v>
          </cell>
          <cell r="BY123">
            <v>0.33310394074578553</v>
          </cell>
          <cell r="BZ123">
            <v>0.41055119681767149</v>
          </cell>
          <cell r="CA123">
            <v>0.35920208744526161</v>
          </cell>
          <cell r="CB123">
            <v>0.4056254364684313</v>
          </cell>
          <cell r="CC123">
            <v>0.5</v>
          </cell>
          <cell r="CD123">
            <v>0.41222774625237479</v>
          </cell>
          <cell r="CE123">
            <v>0.5</v>
          </cell>
          <cell r="CF123">
            <v>0.4186564782329969</v>
          </cell>
          <cell r="CG123">
            <v>0.5</v>
          </cell>
          <cell r="CH123">
            <v>0.4276876891005198</v>
          </cell>
          <cell r="CI123">
            <v>0.3</v>
          </cell>
          <cell r="CJ123">
            <v>0.2</v>
          </cell>
          <cell r="CK123">
            <v>0.2</v>
          </cell>
          <cell r="CL123">
            <v>0.2</v>
          </cell>
          <cell r="CM123">
            <v>0.2</v>
          </cell>
          <cell r="CN123">
            <v>0.2</v>
          </cell>
          <cell r="CO123">
            <v>0.2</v>
          </cell>
          <cell r="CP123">
            <v>0.2</v>
          </cell>
          <cell r="CQ123">
            <v>0.2</v>
          </cell>
          <cell r="CR123">
            <v>203.64182987033945</v>
          </cell>
          <cell r="CS123">
            <v>213.82392136385644</v>
          </cell>
          <cell r="CT123">
            <v>224.51511743204927</v>
          </cell>
          <cell r="CU123">
            <v>235.74087330365174</v>
          </cell>
          <cell r="CV123">
            <v>247.52791696883435</v>
          </cell>
          <cell r="CW123">
            <v>259.90431281727609</v>
          </cell>
        </row>
        <row r="124">
          <cell r="A124" t="str">
            <v>Growth CER</v>
          </cell>
          <cell r="B124">
            <v>6252</v>
          </cell>
          <cell r="C124">
            <v>1644</v>
          </cell>
          <cell r="D124">
            <v>1730</v>
          </cell>
          <cell r="E124">
            <v>3374</v>
          </cell>
          <cell r="F124">
            <v>1720</v>
          </cell>
          <cell r="G124">
            <v>5094</v>
          </cell>
          <cell r="H124">
            <v>1806</v>
          </cell>
          <cell r="I124">
            <v>3781</v>
          </cell>
          <cell r="J124">
            <v>1790</v>
          </cell>
          <cell r="K124">
            <v>1831</v>
          </cell>
          <cell r="L124">
            <v>3621</v>
          </cell>
          <cell r="M124">
            <v>1746</v>
          </cell>
          <cell r="N124">
            <v>5367</v>
          </cell>
          <cell r="O124">
            <v>1872</v>
          </cell>
          <cell r="P124">
            <v>7239</v>
          </cell>
          <cell r="Q124">
            <v>1738</v>
          </cell>
          <cell r="R124">
            <v>1831</v>
          </cell>
          <cell r="S124">
            <v>3569</v>
          </cell>
          <cell r="T124">
            <v>1849</v>
          </cell>
          <cell r="U124">
            <v>5418</v>
          </cell>
          <cell r="V124">
            <v>1988.33</v>
          </cell>
          <cell r="W124">
            <v>7406.33</v>
          </cell>
          <cell r="X124">
            <v>1725</v>
          </cell>
          <cell r="Y124">
            <v>1820</v>
          </cell>
          <cell r="Z124">
            <v>3545</v>
          </cell>
          <cell r="AA124">
            <v>1837</v>
          </cell>
          <cell r="AB124">
            <v>5382</v>
          </cell>
          <cell r="AC124">
            <v>2027</v>
          </cell>
          <cell r="AD124">
            <v>7409</v>
          </cell>
          <cell r="AE124">
            <v>1908</v>
          </cell>
          <cell r="AF124">
            <v>1971</v>
          </cell>
          <cell r="AG124">
            <v>3879</v>
          </cell>
          <cell r="AH124">
            <v>1884</v>
          </cell>
          <cell r="AI124">
            <v>5763</v>
          </cell>
          <cell r="AJ124">
            <v>2064</v>
          </cell>
          <cell r="AK124">
            <v>7827</v>
          </cell>
          <cell r="AL124">
            <v>1935</v>
          </cell>
          <cell r="AM124">
            <v>2035</v>
          </cell>
          <cell r="AN124">
            <v>3970</v>
          </cell>
          <cell r="AO124">
            <v>2038</v>
          </cell>
          <cell r="AP124">
            <v>6008</v>
          </cell>
          <cell r="AQ124">
            <v>2235</v>
          </cell>
          <cell r="AR124">
            <v>8243</v>
          </cell>
          <cell r="AS124">
            <v>2091</v>
          </cell>
          <cell r="AT124">
            <v>2181</v>
          </cell>
          <cell r="AU124">
            <v>4272</v>
          </cell>
          <cell r="AV124">
            <v>2143</v>
          </cell>
          <cell r="AW124">
            <v>6415</v>
          </cell>
          <cell r="AX124">
            <v>2332</v>
          </cell>
          <cell r="AY124">
            <v>8747</v>
          </cell>
          <cell r="AZ124">
            <v>2216</v>
          </cell>
          <cell r="BA124">
            <v>2343</v>
          </cell>
          <cell r="BB124">
            <v>4559</v>
          </cell>
          <cell r="BC124">
            <v>2264</v>
          </cell>
          <cell r="BD124">
            <v>6823</v>
          </cell>
          <cell r="BE124">
            <v>2527</v>
          </cell>
          <cell r="BF124">
            <v>9350</v>
          </cell>
          <cell r="BG124">
            <v>0.25030124725442537</v>
          </cell>
          <cell r="BH124">
            <v>0.16274953191171437</v>
          </cell>
          <cell r="BI124">
            <v>4747</v>
          </cell>
          <cell r="BJ124">
            <v>4.5707448834593212E-3</v>
          </cell>
          <cell r="BK124">
            <v>7112</v>
          </cell>
          <cell r="BL124">
            <v>0.35725002135684225</v>
          </cell>
          <cell r="BM124">
            <v>0.18989403453325437</v>
          </cell>
          <cell r="BN124">
            <v>7.0606060606060561E-2</v>
          </cell>
          <cell r="BO124">
            <v>0.3970967741935485</v>
          </cell>
          <cell r="BP124">
            <v>4902</v>
          </cell>
          <cell r="BQ124">
            <v>0.26571078585506025</v>
          </cell>
          <cell r="BR124">
            <v>7365</v>
          </cell>
          <cell r="BS124">
            <v>0.49658862593423125</v>
          </cell>
          <cell r="BT124">
            <v>0.31588666969191581</v>
          </cell>
          <cell r="BU124">
            <v>0.19318774652662862</v>
          </cell>
          <cell r="BV124">
            <v>7.2636387424058202E-2</v>
          </cell>
          <cell r="BW124">
            <v>0.11916520931615204</v>
          </cell>
          <cell r="BX124">
            <v>-2.5343382719733909E-2</v>
          </cell>
          <cell r="BY124">
            <v>7.099567863752354E-2</v>
          </cell>
          <cell r="BZ124">
            <v>-0.30308516681869202</v>
          </cell>
          <cell r="CA124">
            <v>-5.2632583979062009E-2</v>
          </cell>
          <cell r="CB124">
            <v>0.28511261595561077</v>
          </cell>
          <cell r="CC124">
            <v>4.1554781888479275E-2</v>
          </cell>
          <cell r="CD124">
            <v>0.12397533511438252</v>
          </cell>
          <cell r="CE124">
            <v>0.03</v>
          </cell>
          <cell r="CF124">
            <v>9.5259316993829057E-2</v>
          </cell>
          <cell r="CG124">
            <v>0.03</v>
          </cell>
          <cell r="CH124">
            <v>7.8337341662421345E-2</v>
          </cell>
          <cell r="CI124">
            <v>0.08</v>
          </cell>
          <cell r="CJ124">
            <v>0.08</v>
          </cell>
          <cell r="CK124">
            <v>7.2094084036585682E-2</v>
          </cell>
          <cell r="CL124">
            <v>0.08</v>
          </cell>
          <cell r="CM124">
            <v>6.8816560534991189E-2</v>
          </cell>
          <cell r="CN124">
            <v>0.08</v>
          </cell>
          <cell r="CO124">
            <v>7.1387844691126245E-2</v>
          </cell>
          <cell r="CP124">
            <v>7.0000000000000007E-2</v>
          </cell>
          <cell r="CQ124">
            <v>0.06</v>
          </cell>
          <cell r="CR124">
            <v>0.05</v>
          </cell>
          <cell r="CS124">
            <v>0.05</v>
          </cell>
          <cell r="CT124">
            <v>-0.39523352527191302</v>
          </cell>
          <cell r="CU124">
            <v>0.914572864321608</v>
          </cell>
          <cell r="CV124">
            <v>-2.9050279329608908E-2</v>
          </cell>
          <cell r="CW124">
            <v>0</v>
          </cell>
          <cell r="CX124">
            <v>-1.4360673847003569E-2</v>
          </cell>
          <cell r="CY124">
            <v>6.2142094017094029E-2</v>
          </cell>
          <cell r="CZ124">
            <v>2.311507114242306E-2</v>
          </cell>
        </row>
        <row r="125">
          <cell r="A125" t="str">
            <v>Tissue Diagnostics</v>
          </cell>
          <cell r="I125">
            <v>-0.39523352527191302</v>
          </cell>
          <cell r="J125">
            <v>8.8807785888077806E-2</v>
          </cell>
          <cell r="K125">
            <v>5.838150289017352E-2</v>
          </cell>
          <cell r="L125">
            <v>7.3206876111440389E-2</v>
          </cell>
          <cell r="M125">
            <v>1.5116279069767424E-2</v>
          </cell>
          <cell r="N125">
            <v>5.3592461719670137E-2</v>
          </cell>
          <cell r="O125">
            <v>3.6544850498338777E-2</v>
          </cell>
          <cell r="P125">
            <v>0.914572864321608</v>
          </cell>
          <cell r="Q125">
            <v>-2.9050279329608908E-2</v>
          </cell>
          <cell r="R125">
            <v>0</v>
          </cell>
          <cell r="S125">
            <v>-1.4360673847003569E-2</v>
          </cell>
          <cell r="T125">
            <v>5.8991981672394056E-2</v>
          </cell>
          <cell r="U125">
            <v>9.5025153717160915E-3</v>
          </cell>
          <cell r="V125">
            <v>6.2142094017094029E-2</v>
          </cell>
          <cell r="W125">
            <v>2.311507114242306E-2</v>
          </cell>
          <cell r="AE125">
            <v>9.7813578826237091E-2</v>
          </cell>
          <cell r="AF125">
            <v>7.6460950300382358E-2</v>
          </cell>
          <cell r="AG125">
            <v>8.6859064163631317E-2</v>
          </cell>
          <cell r="AH125">
            <v>1.8929150892374347E-2</v>
          </cell>
          <cell r="AI125">
            <v>6.3676633444075259E-2</v>
          </cell>
          <cell r="AJ125">
            <v>3.8057062962385535E-2</v>
          </cell>
          <cell r="AK125">
            <v>5.6798711372569199E-2</v>
          </cell>
          <cell r="AR125">
            <v>5.314935479749594E-2</v>
          </cell>
          <cell r="AS125">
            <v>8.0620155038759744E-2</v>
          </cell>
          <cell r="AT125">
            <v>7.1744471744471738E-2</v>
          </cell>
          <cell r="AU125">
            <v>7.6070528967254303E-2</v>
          </cell>
          <cell r="AV125">
            <v>5.1521099116781155E-2</v>
          </cell>
          <cell r="AW125">
            <v>6.774300932090549E-2</v>
          </cell>
          <cell r="AX125">
            <v>4.3400447427293098E-2</v>
          </cell>
          <cell r="AY125">
            <v>6.1142787819968403E-2</v>
          </cell>
          <cell r="AZ125">
            <v>5.9780009564801562E-2</v>
          </cell>
          <cell r="BA125">
            <v>7.427785419532329E-2</v>
          </cell>
          <cell r="BB125">
            <v>6.7181647940074862E-2</v>
          </cell>
          <cell r="BC125">
            <v>5.646290247316843E-2</v>
          </cell>
          <cell r="BD125">
            <v>6.3600935307872142E-2</v>
          </cell>
          <cell r="BE125">
            <v>8.3619210977701641E-2</v>
          </cell>
          <cell r="BF125">
            <v>6.8937921573110739E-2</v>
          </cell>
          <cell r="BG125">
            <v>65</v>
          </cell>
          <cell r="BH125">
            <v>99</v>
          </cell>
          <cell r="BI125">
            <v>164</v>
          </cell>
          <cell r="BJ125">
            <v>97</v>
          </cell>
          <cell r="BK125">
            <v>261</v>
          </cell>
          <cell r="BL125">
            <v>115</v>
          </cell>
          <cell r="BM125">
            <v>376</v>
          </cell>
          <cell r="BN125">
            <v>106</v>
          </cell>
          <cell r="BO125">
            <v>123</v>
          </cell>
          <cell r="BP125">
            <v>229</v>
          </cell>
          <cell r="BQ125">
            <v>117</v>
          </cell>
          <cell r="BR125">
            <v>346</v>
          </cell>
          <cell r="BS125">
            <v>134</v>
          </cell>
          <cell r="BT125">
            <v>480</v>
          </cell>
          <cell r="BU125">
            <v>120</v>
          </cell>
          <cell r="BV125">
            <v>139</v>
          </cell>
          <cell r="BW125">
            <v>259</v>
          </cell>
          <cell r="BX125">
            <v>134</v>
          </cell>
          <cell r="BY125">
            <v>393</v>
          </cell>
          <cell r="BZ125">
            <v>148</v>
          </cell>
          <cell r="CA125">
            <v>541</v>
          </cell>
          <cell r="CB125">
            <v>128</v>
          </cell>
          <cell r="CC125">
            <v>131</v>
          </cell>
          <cell r="CD125">
            <v>259</v>
          </cell>
          <cell r="CE125">
            <v>137.00112687750232</v>
          </cell>
          <cell r="CF125">
            <v>396.00112687750232</v>
          </cell>
          <cell r="CG125">
            <v>158.37156065697795</v>
          </cell>
          <cell r="CH125">
            <v>554.37268753448029</v>
          </cell>
          <cell r="CI125">
            <v>139.69031746193207</v>
          </cell>
          <cell r="CJ125">
            <v>154.95898847475937</v>
          </cell>
          <cell r="CK125">
            <v>294.64930593669146</v>
          </cell>
          <cell r="CL125">
            <v>173.97200483058279</v>
          </cell>
          <cell r="CM125">
            <v>468.62131076727422</v>
          </cell>
          <cell r="CN125">
            <v>208.84262015475232</v>
          </cell>
          <cell r="CO125">
            <v>677.46393092202652</v>
          </cell>
          <cell r="CP125">
            <v>825.44273095617325</v>
          </cell>
          <cell r="CQ125">
            <v>954.47105344475904</v>
          </cell>
          <cell r="CR125">
            <v>1103.8960068756646</v>
          </cell>
          <cell r="CS125">
            <v>1276.9855624040442</v>
          </cell>
          <cell r="CT125">
            <v>1477.5395821610871</v>
          </cell>
          <cell r="CU125">
            <v>1709.9779419609736</v>
          </cell>
          <cell r="CV125">
            <v>1979.4435402259871</v>
          </cell>
          <cell r="CW125">
            <v>2291.922759624927</v>
          </cell>
          <cell r="DQ125" t="e">
            <v>#DIV/0!</v>
          </cell>
          <cell r="DR125" t="e">
            <v>#DIV/0!</v>
          </cell>
          <cell r="DS125" t="e">
            <v>#DIV/0!</v>
          </cell>
          <cell r="DT125" t="e">
            <v>#DIV/0!</v>
          </cell>
          <cell r="EF125">
            <v>0.2</v>
          </cell>
          <cell r="EG125">
            <v>0.2</v>
          </cell>
          <cell r="EH125">
            <v>0.2</v>
          </cell>
          <cell r="EI125">
            <v>0.2</v>
          </cell>
          <cell r="EJ125">
            <v>0.30787470180393495</v>
          </cell>
          <cell r="EO125">
            <v>0.12708333333333344</v>
          </cell>
          <cell r="ET125">
            <v>0.3</v>
          </cell>
          <cell r="EY125">
            <v>0.2</v>
          </cell>
          <cell r="EZ125">
            <v>0.15</v>
          </cell>
          <cell r="FA125">
            <v>0.1</v>
          </cell>
          <cell r="FB125">
            <v>0.08</v>
          </cell>
          <cell r="FC125">
            <v>0.06</v>
          </cell>
          <cell r="FD125">
            <v>0.05</v>
          </cell>
          <cell r="FE125">
            <v>0.05</v>
          </cell>
          <cell r="FF125">
            <v>0.05</v>
          </cell>
          <cell r="FG125">
            <v>0.05</v>
          </cell>
        </row>
        <row r="126">
          <cell r="A126" t="str">
            <v xml:space="preserve">   growth </v>
          </cell>
          <cell r="X126">
            <v>6211</v>
          </cell>
          <cell r="Y126">
            <v>6599</v>
          </cell>
          <cell r="Z126">
            <v>12810</v>
          </cell>
          <cell r="AA126">
            <v>6764</v>
          </cell>
          <cell r="AB126">
            <v>19574</v>
          </cell>
          <cell r="AC126">
            <v>7616</v>
          </cell>
          <cell r="AD126">
            <v>27190</v>
          </cell>
          <cell r="AE126">
            <v>7125</v>
          </cell>
          <cell r="AF126">
            <v>7401</v>
          </cell>
          <cell r="AG126">
            <v>14526</v>
          </cell>
          <cell r="AH126">
            <v>7419</v>
          </cell>
          <cell r="AI126">
            <v>21945</v>
          </cell>
          <cell r="AJ126">
            <v>7577</v>
          </cell>
          <cell r="AK126">
            <v>29522</v>
          </cell>
          <cell r="AL126">
            <v>8091</v>
          </cell>
          <cell r="AM126">
            <v>8532</v>
          </cell>
          <cell r="AN126">
            <v>16623</v>
          </cell>
          <cell r="AO126">
            <v>8819</v>
          </cell>
          <cell r="AP126">
            <v>25442</v>
          </cell>
          <cell r="AQ126">
            <v>10069</v>
          </cell>
          <cell r="AR126">
            <v>35511</v>
          </cell>
          <cell r="AS126">
            <v>9830</v>
          </cell>
          <cell r="AT126">
            <v>10020</v>
          </cell>
          <cell r="AU126">
            <v>19850</v>
          </cell>
          <cell r="AV126">
            <v>10478</v>
          </cell>
          <cell r="AW126">
            <v>30328</v>
          </cell>
          <cell r="AX126">
            <v>11713</v>
          </cell>
          <cell r="AY126">
            <v>42041</v>
          </cell>
          <cell r="AZ126">
            <v>11358</v>
          </cell>
          <cell r="BA126">
            <v>11469</v>
          </cell>
          <cell r="BB126">
            <v>22827</v>
          </cell>
          <cell r="BC126">
            <v>11120</v>
          </cell>
          <cell r="BD126">
            <v>33947</v>
          </cell>
          <cell r="BE126">
            <v>12186</v>
          </cell>
          <cell r="BF126">
            <v>46133</v>
          </cell>
          <cell r="BG126">
            <v>10850</v>
          </cell>
          <cell r="BH126">
            <v>11154</v>
          </cell>
          <cell r="BI126">
            <v>22004</v>
          </cell>
          <cell r="BJ126">
            <v>11301</v>
          </cell>
          <cell r="BK126">
            <v>33305</v>
          </cell>
          <cell r="BL126">
            <v>12312</v>
          </cell>
          <cell r="BM126">
            <v>45617</v>
          </cell>
          <cell r="BN126">
            <v>11577</v>
          </cell>
          <cell r="BO126">
            <v>12429</v>
          </cell>
          <cell r="BP126">
            <v>24006</v>
          </cell>
          <cell r="BQ126">
            <v>12393</v>
          </cell>
          <cell r="BR126">
            <v>36399</v>
          </cell>
          <cell r="BS126">
            <v>12652</v>
          </cell>
          <cell r="BT126">
            <v>0.27659574468085113</v>
          </cell>
          <cell r="BU126">
            <v>0.13207547169811318</v>
          </cell>
          <cell r="BV126">
            <v>0.13008130081300817</v>
          </cell>
          <cell r="BW126">
            <v>0.13100436681222716</v>
          </cell>
          <cell r="BX126">
            <v>0.14529914529914523</v>
          </cell>
          <cell r="BY126">
            <v>0.13583815028901736</v>
          </cell>
          <cell r="BZ126">
            <v>0.10447761194029859</v>
          </cell>
          <cell r="CA126">
            <v>0.12708333333333344</v>
          </cell>
          <cell r="CB126">
            <v>6.6666666666666652E-2</v>
          </cell>
          <cell r="CC126">
            <v>-5.7553956834532349E-2</v>
          </cell>
          <cell r="CD126">
            <v>0</v>
          </cell>
          <cell r="CE126">
            <v>2.2396469235091976E-2</v>
          </cell>
          <cell r="CF126">
            <v>7.6364551590388796E-3</v>
          </cell>
          <cell r="CG126">
            <v>7.0078112547148352E-2</v>
          </cell>
          <cell r="CH126">
            <v>2.4718461246728829E-2</v>
          </cell>
          <cell r="CI126">
            <v>44961.525559902628</v>
          </cell>
          <cell r="CJ126">
            <v>45717.945573805213</v>
          </cell>
          <cell r="CK126">
            <v>46702.422083833488</v>
          </cell>
          <cell r="CL126">
            <v>48013.766720437896</v>
          </cell>
          <cell r="CM126">
            <v>48501.922715885841</v>
          </cell>
          <cell r="CN126">
            <v>49157.859161453714</v>
          </cell>
          <cell r="CO126">
            <v>50258.225525688365</v>
          </cell>
          <cell r="CP126">
            <v>49635.137071078083</v>
          </cell>
          <cell r="CQ126">
            <v>49814.05689202853</v>
          </cell>
        </row>
        <row r="127">
          <cell r="A127" t="str">
            <v xml:space="preserve">CER Growth </v>
          </cell>
          <cell r="AR127">
            <v>0.20286565950816349</v>
          </cell>
          <cell r="AS127">
            <v>0.21493016932394027</v>
          </cell>
          <cell r="AT127">
            <v>0.17440225035161738</v>
          </cell>
          <cell r="AU127">
            <v>0.19412861697647843</v>
          </cell>
          <cell r="AV127">
            <v>0.18811656650413888</v>
          </cell>
          <cell r="AW127">
            <v>0.19204465057778486</v>
          </cell>
          <cell r="AX127">
            <v>0.16327341344721424</v>
          </cell>
          <cell r="AY127">
            <v>0.18388668299963395</v>
          </cell>
          <cell r="AZ127">
            <v>0.15544252288911498</v>
          </cell>
          <cell r="BA127">
            <v>0.14461077844311387</v>
          </cell>
          <cell r="BB127">
            <v>0.14997481108312338</v>
          </cell>
          <cell r="BC127">
            <v>6.1271234968505395E-2</v>
          </cell>
          <cell r="BD127">
            <v>0.1193286731733052</v>
          </cell>
          <cell r="BE127">
            <v>4.0382481004012538E-2</v>
          </cell>
          <cell r="BF127">
            <v>9.733355533883592E-2</v>
          </cell>
          <cell r="BG127">
            <v>-4.4726184187356965E-2</v>
          </cell>
          <cell r="BH127">
            <v>-2.7465341354956818E-2</v>
          </cell>
          <cell r="BI127">
            <v>-3.6053795943400413E-2</v>
          </cell>
          <cell r="BJ127">
            <v>1.6276978417266275E-2</v>
          </cell>
          <cell r="BK127">
            <v>-1.8911833151677659E-2</v>
          </cell>
          <cell r="BL127">
            <v>1.0339734121122657E-2</v>
          </cell>
          <cell r="BM127">
            <v>-1.1185051915114985E-2</v>
          </cell>
          <cell r="BN127">
            <v>6.7004608294930934E-2</v>
          </cell>
          <cell r="BO127">
            <v>0.11430876815492197</v>
          </cell>
          <cell r="BP127">
            <v>9.0983457553172054E-2</v>
          </cell>
          <cell r="BQ127">
            <v>9.6628616936554224E-2</v>
          </cell>
          <cell r="BR127">
            <v>9.2898964119501493E-2</v>
          </cell>
          <cell r="BS127">
            <v>2.7615334632878463E-2</v>
          </cell>
          <cell r="BT127">
            <v>7.5278953021899797E-2</v>
          </cell>
          <cell r="BU127">
            <v>5.7527856957761081E-2</v>
          </cell>
          <cell r="BV127">
            <v>3.1378228336953473E-3</v>
          </cell>
          <cell r="BW127">
            <v>0.09</v>
          </cell>
          <cell r="BX127">
            <v>-7.2783022674090203E-2</v>
          </cell>
          <cell r="BY127">
            <v>-7.4727327673836941E-3</v>
          </cell>
          <cell r="BZ127">
            <v>-0.10322478659500478</v>
          </cell>
          <cell r="CA127">
            <v>-3.2170597949073398E-2</v>
          </cell>
          <cell r="CB127">
            <v>-9.5347455974155615E-2</v>
          </cell>
          <cell r="CC127">
            <v>-0.11588227354905845</v>
          </cell>
          <cell r="CD127">
            <v>0.16</v>
          </cell>
          <cell r="CE127">
            <v>-8.451285892250826E-2</v>
          </cell>
          <cell r="CF127">
            <v>-9.918610324631949E-2</v>
          </cell>
          <cell r="CG127">
            <v>-4.7896520177847512E-2</v>
          </cell>
          <cell r="CH127">
            <v>-8.6927943671511243E-2</v>
          </cell>
          <cell r="CI127">
            <v>3.7264010026202721E-2</v>
          </cell>
          <cell r="CJ127">
            <v>1.6823717711597741E-2</v>
          </cell>
          <cell r="CK127">
            <v>2.1533699681210994E-2</v>
          </cell>
          <cell r="CL127">
            <v>2.8078728641749429E-2</v>
          </cell>
          <cell r="CM127">
            <v>1.0167000608185095E-2</v>
          </cell>
          <cell r="CN127">
            <v>1.3523926657716512E-2</v>
          </cell>
          <cell r="CO127">
            <v>2.2384342666766921E-2</v>
          </cell>
          <cell r="CP127">
            <v>-1.2397740829345527E-2</v>
          </cell>
          <cell r="CQ127">
            <v>3.604700853232945E-3</v>
          </cell>
        </row>
        <row r="128">
          <cell r="A128" t="str">
            <v>Applied Science US</v>
          </cell>
          <cell r="BG128">
            <v>46</v>
          </cell>
          <cell r="BH128">
            <v>67</v>
          </cell>
          <cell r="BI128">
            <v>113</v>
          </cell>
          <cell r="BJ128">
            <v>72</v>
          </cell>
          <cell r="BK128">
            <v>185</v>
          </cell>
          <cell r="BL128">
            <v>82</v>
          </cell>
          <cell r="BM128">
            <v>267</v>
          </cell>
          <cell r="BN128">
            <v>7.8E-2</v>
          </cell>
          <cell r="BO128">
            <v>0.12</v>
          </cell>
          <cell r="BP128">
            <v>163</v>
          </cell>
          <cell r="BQ128">
            <v>0.13700000000000001</v>
          </cell>
          <cell r="BR128">
            <v>244</v>
          </cell>
          <cell r="BS128">
            <v>0.08</v>
          </cell>
          <cell r="BT128">
            <v>0.10263962101707841</v>
          </cell>
          <cell r="BU128">
            <v>0.09</v>
          </cell>
          <cell r="BV128">
            <v>98</v>
          </cell>
          <cell r="BW128">
            <v>0.05</v>
          </cell>
          <cell r="BX128">
            <v>94</v>
          </cell>
          <cell r="BY128">
            <v>274</v>
          </cell>
          <cell r="BZ128">
            <v>101</v>
          </cell>
          <cell r="CA128">
            <v>375</v>
          </cell>
          <cell r="CB128">
            <v>84</v>
          </cell>
          <cell r="CC128">
            <v>86</v>
          </cell>
          <cell r="CD128">
            <v>170</v>
          </cell>
          <cell r="CE128">
            <v>92.99872864302624</v>
          </cell>
          <cell r="CF128">
            <v>262.99872864302625</v>
          </cell>
          <cell r="CG128">
            <v>105.80482694980593</v>
          </cell>
          <cell r="CH128">
            <v>4.3741615780233056E-2</v>
          </cell>
          <cell r="CI128">
            <v>90.576220210093197</v>
          </cell>
          <cell r="CJ128">
            <v>100.81878809987484</v>
          </cell>
          <cell r="CK128">
            <v>191.39500830996803</v>
          </cell>
          <cell r="CL128">
            <v>114.22432082743457</v>
          </cell>
          <cell r="CM128">
            <v>305.61932913740259</v>
          </cell>
          <cell r="CN128">
            <v>134.43436835975342</v>
          </cell>
          <cell r="CO128">
            <v>440.05369749715601</v>
          </cell>
          <cell r="CP128">
            <v>531.66020650920984</v>
          </cell>
          <cell r="CQ128">
            <v>611.40923748559123</v>
          </cell>
          <cell r="CR128">
            <v>703.12062310842987</v>
          </cell>
          <cell r="CS128">
            <v>808.58871657469433</v>
          </cell>
          <cell r="CT128">
            <v>929.87702406089841</v>
          </cell>
          <cell r="CU128">
            <v>1069.3585776700331</v>
          </cell>
          <cell r="CV128">
            <v>1229.7623643205379</v>
          </cell>
          <cell r="CW128">
            <v>1414.2267189686186</v>
          </cell>
        </row>
        <row r="129">
          <cell r="A129" t="str">
            <v>Growth CER</v>
          </cell>
          <cell r="BN129">
            <v>0.53480441772999798</v>
          </cell>
          <cell r="BO129">
            <v>0.24482224100832228</v>
          </cell>
          <cell r="BQ129">
            <v>0.13461605522138664</v>
          </cell>
          <cell r="BS129">
            <v>0.23770255271585361</v>
          </cell>
          <cell r="BT129">
            <v>0.23373272490144359</v>
          </cell>
          <cell r="BU129">
            <v>0.18701014034902241</v>
          </cell>
          <cell r="BV129">
            <v>0.10399254106921119</v>
          </cell>
          <cell r="BW129">
            <v>-2.9421619572562396E-2</v>
          </cell>
          <cell r="BX129">
            <v>0.19019671401387916</v>
          </cell>
          <cell r="BY129">
            <v>0.16067286130576253</v>
          </cell>
          <cell r="BZ129">
            <v>0.14474092013782969</v>
          </cell>
          <cell r="CA129">
            <v>0.15379347020505996</v>
          </cell>
          <cell r="CB129">
            <v>0.1300156803708703</v>
          </cell>
          <cell r="CC129">
            <v>9.301884577490338E-2</v>
          </cell>
          <cell r="CD129">
            <v>0.10629341241082868</v>
          </cell>
          <cell r="CE129">
            <v>0.2</v>
          </cell>
          <cell r="CF129">
            <v>0.12611357289940672</v>
          </cell>
          <cell r="CG129">
            <v>0.2</v>
          </cell>
          <cell r="CH129">
            <v>-0.1306695594517443</v>
          </cell>
          <cell r="CI129">
            <v>0.2</v>
          </cell>
          <cell r="CJ129">
            <v>0.2</v>
          </cell>
          <cell r="CK129">
            <v>0.1897397289920546</v>
          </cell>
          <cell r="CL129">
            <v>0.2</v>
          </cell>
          <cell r="CM129">
            <v>0.19807237632555708</v>
          </cell>
          <cell r="CN129">
            <v>0.2</v>
          </cell>
          <cell r="CO129">
            <v>0.22920874312226791</v>
          </cell>
          <cell r="CP129">
            <v>0.15</v>
          </cell>
          <cell r="CQ129">
            <v>0.15</v>
          </cell>
          <cell r="CR129">
            <v>0.15</v>
          </cell>
          <cell r="CS129">
            <v>0.15</v>
          </cell>
          <cell r="CT129">
            <v>0.15</v>
          </cell>
          <cell r="CU129">
            <v>0.15</v>
          </cell>
          <cell r="CV129">
            <v>0.15</v>
          </cell>
          <cell r="CW129">
            <v>0.15</v>
          </cell>
        </row>
        <row r="130">
          <cell r="A130" t="str">
            <v>Applied Science EMEA</v>
          </cell>
          <cell r="AT130">
            <v>19850</v>
          </cell>
          <cell r="BG130">
            <v>16</v>
          </cell>
          <cell r="BH130">
            <v>25</v>
          </cell>
          <cell r="BI130">
            <v>41</v>
          </cell>
          <cell r="BJ130">
            <v>19</v>
          </cell>
          <cell r="BK130">
            <v>60</v>
          </cell>
          <cell r="BL130">
            <v>26</v>
          </cell>
          <cell r="BM130">
            <v>86</v>
          </cell>
          <cell r="BN130">
            <v>23</v>
          </cell>
          <cell r="BO130">
            <v>26</v>
          </cell>
          <cell r="BP130">
            <v>49</v>
          </cell>
          <cell r="BQ130">
            <v>26</v>
          </cell>
          <cell r="BR130">
            <v>75</v>
          </cell>
          <cell r="BS130">
            <v>31</v>
          </cell>
          <cell r="BT130">
            <v>106</v>
          </cell>
          <cell r="BU130">
            <v>28</v>
          </cell>
          <cell r="BV130">
            <v>29</v>
          </cell>
          <cell r="BW130">
            <v>57</v>
          </cell>
          <cell r="BX130">
            <v>27</v>
          </cell>
          <cell r="BY130">
            <v>84</v>
          </cell>
          <cell r="BZ130">
            <v>32</v>
          </cell>
          <cell r="CA130">
            <v>116</v>
          </cell>
          <cell r="CB130">
            <v>32</v>
          </cell>
          <cell r="CC130">
            <v>31</v>
          </cell>
          <cell r="CD130">
            <v>63</v>
          </cell>
          <cell r="CE130">
            <v>27.479429164519669</v>
          </cell>
          <cell r="CF130">
            <v>90.479429164519672</v>
          </cell>
          <cell r="CG130">
            <v>32.848780882824101</v>
          </cell>
          <cell r="CH130">
            <v>123.32821004734377</v>
          </cell>
          <cell r="CI130">
            <v>34.895751012308082</v>
          </cell>
          <cell r="CJ130">
            <v>36.245464300859595</v>
          </cell>
          <cell r="CK130">
            <v>71.141215313167677</v>
          </cell>
          <cell r="CL130">
            <v>37.060752253741576</v>
          </cell>
          <cell r="CM130">
            <v>108.20196756690925</v>
          </cell>
          <cell r="CN130">
            <v>46.395269282289618</v>
          </cell>
          <cell r="CO130">
            <v>154.59723684919885</v>
          </cell>
          <cell r="CP130">
            <v>189.54426754376723</v>
          </cell>
          <cell r="CQ130">
            <v>217.97590767533231</v>
          </cell>
          <cell r="CR130">
            <v>250.67229382663214</v>
          </cell>
          <cell r="CS130">
            <v>288.27313790062692</v>
          </cell>
          <cell r="CT130">
            <v>331.51410858572092</v>
          </cell>
          <cell r="CU130">
            <v>381.24122487357903</v>
          </cell>
          <cell r="CV130">
            <v>438.42740860461583</v>
          </cell>
          <cell r="CW130">
            <v>504.19151989530815</v>
          </cell>
        </row>
        <row r="131">
          <cell r="A131" t="str">
            <v>Growth CER</v>
          </cell>
          <cell r="B131">
            <v>23938</v>
          </cell>
          <cell r="C131">
            <v>6132</v>
          </cell>
          <cell r="D131">
            <v>6518</v>
          </cell>
          <cell r="E131">
            <v>12650</v>
          </cell>
          <cell r="F131">
            <v>6358</v>
          </cell>
          <cell r="G131">
            <v>19008</v>
          </cell>
          <cell r="H131">
            <v>6722</v>
          </cell>
          <cell r="I131">
            <v>22611</v>
          </cell>
          <cell r="J131">
            <v>6559</v>
          </cell>
          <cell r="K131">
            <v>6548</v>
          </cell>
          <cell r="L131">
            <v>13107</v>
          </cell>
          <cell r="M131">
            <v>6163</v>
          </cell>
          <cell r="N131">
            <v>19270</v>
          </cell>
          <cell r="O131">
            <v>7275</v>
          </cell>
          <cell r="P131">
            <v>26545</v>
          </cell>
          <cell r="Q131">
            <v>6729</v>
          </cell>
          <cell r="R131">
            <v>7151</v>
          </cell>
          <cell r="S131">
            <v>13880</v>
          </cell>
          <cell r="T131">
            <v>7305</v>
          </cell>
          <cell r="U131">
            <v>21185</v>
          </cell>
          <cell r="V131">
            <v>7873.3746327999997</v>
          </cell>
          <cell r="X131">
            <v>6263.8209302325586</v>
          </cell>
          <cell r="Y131">
            <v>6659.3590697674417</v>
          </cell>
          <cell r="Z131">
            <v>12923</v>
          </cell>
          <cell r="AA131">
            <v>6815.5095692307696</v>
          </cell>
          <cell r="AB131">
            <v>19738.50956923077</v>
          </cell>
          <cell r="AC131">
            <v>7669.5884307692304</v>
          </cell>
          <cell r="AD131">
            <v>27408.097999999998</v>
          </cell>
          <cell r="AE131">
            <v>7176.7508455467869</v>
          </cell>
          <cell r="AF131">
            <v>7456.2491544532131</v>
          </cell>
          <cell r="AG131">
            <v>14633</v>
          </cell>
          <cell r="AH131">
            <v>7471.7437385095382</v>
          </cell>
          <cell r="AI131">
            <v>22104.74373850954</v>
          </cell>
          <cell r="AJ131">
            <v>7630.4466357814154</v>
          </cell>
          <cell r="AK131">
            <v>29735.190374290953</v>
          </cell>
          <cell r="AR131">
            <v>35734.849893005507</v>
          </cell>
          <cell r="AY131">
            <v>42276.042387655776</v>
          </cell>
          <cell r="AZ131">
            <v>2216</v>
          </cell>
          <cell r="BA131">
            <v>2343</v>
          </cell>
          <cell r="BB131">
            <v>4559</v>
          </cell>
          <cell r="BC131">
            <v>2264</v>
          </cell>
          <cell r="BD131">
            <v>6823</v>
          </cell>
          <cell r="BE131">
            <v>2527</v>
          </cell>
          <cell r="BF131">
            <v>46379.794507038569</v>
          </cell>
          <cell r="BG131">
            <v>2287</v>
          </cell>
          <cell r="BH131">
            <v>2460</v>
          </cell>
          <cell r="BI131">
            <v>4747</v>
          </cell>
          <cell r="BJ131">
            <v>2365</v>
          </cell>
          <cell r="BK131">
            <v>7112</v>
          </cell>
          <cell r="BL131">
            <v>2544</v>
          </cell>
          <cell r="BM131">
            <v>45863.794507038569</v>
          </cell>
          <cell r="BN131">
            <v>0.50295527876105039</v>
          </cell>
          <cell r="BO131">
            <v>9.5927730589292715E-2</v>
          </cell>
          <cell r="BQ131">
            <v>0.42504436102275978</v>
          </cell>
          <cell r="BS131">
            <v>0.20185807362782526</v>
          </cell>
          <cell r="BT131">
            <v>49310.134232390497</v>
          </cell>
          <cell r="BU131">
            <v>0.29629333658874046</v>
          </cell>
          <cell r="BV131">
            <v>0.1182535609482086</v>
          </cell>
          <cell r="BW131">
            <v>0.18937796153014752</v>
          </cell>
          <cell r="BX131">
            <v>0.16154649504279273</v>
          </cell>
          <cell r="BY131">
            <v>0.17863947692434567</v>
          </cell>
          <cell r="BZ131">
            <v>7.9172897697436961E-2</v>
          </cell>
          <cell r="CA131">
            <v>47745.090944010015</v>
          </cell>
          <cell r="CB131">
            <v>0.24848257932557405</v>
          </cell>
          <cell r="CC131">
            <v>0.28443334260811937</v>
          </cell>
          <cell r="CD131">
            <v>0.23899741552802445</v>
          </cell>
          <cell r="CE131">
            <v>0.2</v>
          </cell>
          <cell r="CF131">
            <v>0.21653686115095772</v>
          </cell>
          <cell r="CG131">
            <v>0.2</v>
          </cell>
          <cell r="CH131">
            <v>43631.96522129287</v>
          </cell>
          <cell r="CI131">
            <v>45261.505825673681</v>
          </cell>
          <cell r="CJ131">
            <v>46032.92485286481</v>
          </cell>
          <cell r="CK131">
            <v>0.18814036441456339</v>
          </cell>
          <cell r="CL131">
            <v>0.2</v>
          </cell>
          <cell r="CM131">
            <v>0.19849549342438588</v>
          </cell>
          <cell r="CN131">
            <v>0.2</v>
          </cell>
          <cell r="CO131">
            <v>0.21387777486818971</v>
          </cell>
          <cell r="CP131">
            <v>0.15</v>
          </cell>
          <cell r="CQ131">
            <v>0.15</v>
          </cell>
          <cell r="CR131">
            <v>0.15</v>
          </cell>
          <cell r="CS131">
            <v>0.15</v>
          </cell>
          <cell r="CT131">
            <v>0.15</v>
          </cell>
          <cell r="CU131">
            <v>0.15</v>
          </cell>
          <cell r="CV131">
            <v>0.15</v>
          </cell>
          <cell r="CW131">
            <v>0.15</v>
          </cell>
        </row>
        <row r="132">
          <cell r="A132" t="str">
            <v>Applied Science ROW</v>
          </cell>
          <cell r="I132">
            <v>-5.5434873423009456E-2</v>
          </cell>
          <cell r="J132">
            <v>6.9634703196347125E-2</v>
          </cell>
          <cell r="K132">
            <v>4.6026388462718781E-3</v>
          </cell>
          <cell r="L132">
            <v>3.6126482213438837E-2</v>
          </cell>
          <cell r="M132">
            <v>-3.0670022019502974E-2</v>
          </cell>
          <cell r="N132">
            <v>1.3783670033669981E-2</v>
          </cell>
          <cell r="O132">
            <v>8.2267182386194682E-2</v>
          </cell>
          <cell r="P132">
            <v>0.17398611295387201</v>
          </cell>
          <cell r="Q132">
            <v>2.5918585150175311E-2</v>
          </cell>
          <cell r="R132">
            <v>9.2089187538179518E-2</v>
          </cell>
          <cell r="S132">
            <v>5.8976119630731683E-2</v>
          </cell>
          <cell r="T132">
            <v>0.18529936719130302</v>
          </cell>
          <cell r="U132">
            <v>9.9377270368448345E-2</v>
          </cell>
          <cell r="V132">
            <v>8.2250808632302386E-2</v>
          </cell>
          <cell r="AE132">
            <v>6.6540473405674927E-2</v>
          </cell>
          <cell r="AF132">
            <v>4.2686219333409658E-2</v>
          </cell>
          <cell r="AG132">
            <v>5.4250720461095137E-2</v>
          </cell>
          <cell r="AH132">
            <v>2.2825973786384512E-2</v>
          </cell>
          <cell r="AI132">
            <v>4.3414856667903789E-2</v>
          </cell>
          <cell r="AJ132">
            <v>-3.085436783441764E-2</v>
          </cell>
          <cell r="AR132">
            <v>0.20176966897450432</v>
          </cell>
          <cell r="AY132">
            <v>0.18304799136516303</v>
          </cell>
          <cell r="BF132">
            <v>9.7070394663551829E-2</v>
          </cell>
          <cell r="BG132">
            <v>3</v>
          </cell>
          <cell r="BH132">
            <v>7</v>
          </cell>
          <cell r="BI132">
            <v>10</v>
          </cell>
          <cell r="BJ132">
            <v>6</v>
          </cell>
          <cell r="BK132">
            <v>16</v>
          </cell>
          <cell r="BL132">
            <v>7</v>
          </cell>
          <cell r="BM132">
            <v>23</v>
          </cell>
          <cell r="BN132">
            <v>9</v>
          </cell>
          <cell r="BO132">
            <v>8</v>
          </cell>
          <cell r="BP132">
            <v>17</v>
          </cell>
          <cell r="BQ132">
            <v>10</v>
          </cell>
          <cell r="BR132">
            <v>27</v>
          </cell>
          <cell r="BS132">
            <v>11</v>
          </cell>
          <cell r="BT132">
            <v>7.5142926188172865E-2</v>
          </cell>
          <cell r="BU132">
            <v>10</v>
          </cell>
          <cell r="BV132">
            <v>12</v>
          </cell>
          <cell r="BW132">
            <v>22</v>
          </cell>
          <cell r="BX132">
            <v>13</v>
          </cell>
          <cell r="BY132">
            <v>35</v>
          </cell>
          <cell r="BZ132">
            <v>15</v>
          </cell>
          <cell r="CA132">
            <v>-3.1738775664343022E-2</v>
          </cell>
          <cell r="CB132">
            <v>12</v>
          </cell>
          <cell r="CC132">
            <v>14</v>
          </cell>
          <cell r="CD132">
            <v>26</v>
          </cell>
          <cell r="CE132">
            <v>16.522969069956417</v>
          </cell>
          <cell r="CF132">
            <v>42.522969069956417</v>
          </cell>
          <cell r="CG132">
            <v>19.717952824347922</v>
          </cell>
          <cell r="CH132">
            <v>-8.6147615208033601E-2</v>
          </cell>
          <cell r="CI132">
            <v>3.7347403357059328E-2</v>
          </cell>
          <cell r="CJ132">
            <v>1.7043600585501473E-2</v>
          </cell>
          <cell r="CK132">
            <v>32.113082313555736</v>
          </cell>
          <cell r="CL132">
            <v>22.686931749406643</v>
          </cell>
          <cell r="CM132">
            <v>54.800014062962376</v>
          </cell>
          <cell r="CN132">
            <v>28.012982512709272</v>
          </cell>
          <cell r="CO132">
            <v>82.812996575671647</v>
          </cell>
          <cell r="CP132">
            <v>104.23825690319624</v>
          </cell>
          <cell r="CQ132">
            <v>125.08590828383549</v>
          </cell>
          <cell r="CR132">
            <v>150.10308994060259</v>
          </cell>
          <cell r="CS132">
            <v>180.12370792872309</v>
          </cell>
          <cell r="CT132">
            <v>216.1484495144677</v>
          </cell>
          <cell r="CU132">
            <v>259.37813941736124</v>
          </cell>
          <cell r="CV132">
            <v>311.25376730083349</v>
          </cell>
          <cell r="CW132">
            <v>373.50452076100015</v>
          </cell>
        </row>
        <row r="133">
          <cell r="A133" t="str">
            <v>Growth CER</v>
          </cell>
          <cell r="BN133">
            <v>2.0099999999999998</v>
          </cell>
          <cell r="BO133">
            <v>0.1528571428571428</v>
          </cell>
          <cell r="BQ133">
            <v>0.67431293639269474</v>
          </cell>
          <cell r="BS133">
            <v>0.63944576879137405</v>
          </cell>
          <cell r="BT133">
            <v>0.67608977981568597</v>
          </cell>
          <cell r="BU133">
            <v>0.19001314335202546</v>
          </cell>
          <cell r="BV133">
            <v>0.50286894556359318</v>
          </cell>
          <cell r="BW133">
            <v>0.32353926663138599</v>
          </cell>
          <cell r="BX133">
            <v>0.35157969420334301</v>
          </cell>
          <cell r="BY133">
            <v>0.33310394074578553</v>
          </cell>
          <cell r="BZ133">
            <v>0.41055119681767149</v>
          </cell>
          <cell r="CA133">
            <v>40</v>
          </cell>
          <cell r="CB133">
            <v>0.30562543646843121</v>
          </cell>
          <cell r="CC133">
            <v>0.38213449203340688</v>
          </cell>
          <cell r="CD133">
            <v>0.3175582228149173</v>
          </cell>
          <cell r="CE133">
            <v>0.5</v>
          </cell>
          <cell r="CF133">
            <v>0.35632475169939892</v>
          </cell>
          <cell r="CG133">
            <v>0.5</v>
          </cell>
          <cell r="CH133">
            <v>0.38176715687516438</v>
          </cell>
          <cell r="CI133">
            <v>0.3</v>
          </cell>
          <cell r="CJ133">
            <v>0.3</v>
          </cell>
          <cell r="CK133" t="str">
            <v>Ramp</v>
          </cell>
          <cell r="CL133">
            <v>0.3</v>
          </cell>
          <cell r="CM133">
            <v>0.1</v>
          </cell>
          <cell r="CN133">
            <v>0.25</v>
          </cell>
          <cell r="CO133">
            <v>0.65</v>
          </cell>
          <cell r="CP133">
            <v>0.9</v>
          </cell>
          <cell r="CQ133">
            <v>1</v>
          </cell>
          <cell r="CR133">
            <v>0.2</v>
          </cell>
          <cell r="CS133">
            <v>0.2</v>
          </cell>
          <cell r="CT133">
            <v>0.2</v>
          </cell>
          <cell r="CU133">
            <v>0.2</v>
          </cell>
          <cell r="CV133">
            <v>0.2</v>
          </cell>
          <cell r="CW133">
            <v>0.2</v>
          </cell>
        </row>
        <row r="134">
          <cell r="A134" t="str">
            <v>Diagnostics Total</v>
          </cell>
          <cell r="B134">
            <v>6252</v>
          </cell>
          <cell r="C134">
            <v>1644</v>
          </cell>
          <cell r="D134">
            <v>1730</v>
          </cell>
          <cell r="E134">
            <v>3374</v>
          </cell>
          <cell r="F134">
            <v>1720</v>
          </cell>
          <cell r="G134">
            <v>5094</v>
          </cell>
          <cell r="H134">
            <v>1806</v>
          </cell>
          <cell r="I134">
            <v>3781</v>
          </cell>
          <cell r="J134">
            <v>1790</v>
          </cell>
          <cell r="K134">
            <v>1831</v>
          </cell>
          <cell r="L134">
            <v>3621</v>
          </cell>
          <cell r="M134">
            <v>1746</v>
          </cell>
          <cell r="N134">
            <v>5367</v>
          </cell>
          <cell r="O134">
            <v>-1305</v>
          </cell>
          <cell r="P134">
            <v>4062</v>
          </cell>
          <cell r="Q134">
            <v>1738</v>
          </cell>
          <cell r="R134">
            <v>274</v>
          </cell>
          <cell r="S134">
            <v>2012</v>
          </cell>
          <cell r="T134">
            <v>3406</v>
          </cell>
          <cell r="U134">
            <v>5418</v>
          </cell>
          <cell r="V134">
            <v>-1210.9099999999999</v>
          </cell>
          <cell r="W134">
            <v>4207.09</v>
          </cell>
          <cell r="X134">
            <v>966</v>
          </cell>
          <cell r="Y134">
            <v>1027</v>
          </cell>
          <cell r="Z134">
            <v>1993</v>
          </cell>
          <cell r="AA134">
            <v>1056</v>
          </cell>
          <cell r="AB134">
            <v>3049</v>
          </cell>
          <cell r="AC134">
            <v>1180</v>
          </cell>
          <cell r="AD134">
            <v>4229</v>
          </cell>
          <cell r="AE134">
            <v>1062</v>
          </cell>
          <cell r="AF134">
            <v>1103</v>
          </cell>
          <cell r="AG134">
            <v>2165</v>
          </cell>
          <cell r="AH134">
            <v>1067</v>
          </cell>
          <cell r="AI134">
            <v>3232</v>
          </cell>
          <cell r="AJ134">
            <v>1190</v>
          </cell>
          <cell r="AK134">
            <v>4422</v>
          </cell>
          <cell r="AL134">
            <v>1086</v>
          </cell>
          <cell r="AM134">
            <v>1116</v>
          </cell>
          <cell r="AN134">
            <v>2202</v>
          </cell>
          <cell r="AO134">
            <v>1149</v>
          </cell>
          <cell r="AP134">
            <v>3351</v>
          </cell>
          <cell r="AQ134">
            <v>1268</v>
          </cell>
          <cell r="AR134">
            <v>4619</v>
          </cell>
          <cell r="AS134">
            <v>1138</v>
          </cell>
          <cell r="AT134">
            <v>1206</v>
          </cell>
          <cell r="AU134">
            <v>2344</v>
          </cell>
          <cell r="AV134">
            <v>1200</v>
          </cell>
          <cell r="AW134">
            <v>3544</v>
          </cell>
          <cell r="AX134">
            <v>1318</v>
          </cell>
          <cell r="AY134">
            <v>4862</v>
          </cell>
          <cell r="AZ134">
            <v>2216</v>
          </cell>
          <cell r="BA134">
            <v>2343</v>
          </cell>
          <cell r="BB134">
            <v>4559</v>
          </cell>
          <cell r="BC134">
            <v>2264</v>
          </cell>
          <cell r="BD134">
            <v>6823</v>
          </cell>
          <cell r="BE134">
            <v>2527</v>
          </cell>
          <cell r="BF134">
            <v>9350</v>
          </cell>
          <cell r="BG134">
            <v>2287</v>
          </cell>
          <cell r="BH134">
            <v>2460</v>
          </cell>
          <cell r="BI134">
            <v>4747</v>
          </cell>
          <cell r="BJ134">
            <v>2365</v>
          </cell>
          <cell r="BK134">
            <v>7112</v>
          </cell>
          <cell r="BL134">
            <v>2544</v>
          </cell>
          <cell r="BM134">
            <v>9656</v>
          </cell>
          <cell r="BN134" t="str">
            <v>Av Peak</v>
          </cell>
          <cell r="BO134">
            <v>2541</v>
          </cell>
          <cell r="BP134">
            <v>4902</v>
          </cell>
          <cell r="BQ134">
            <v>2463</v>
          </cell>
          <cell r="BR134">
            <v>7365</v>
          </cell>
          <cell r="BS134">
            <v>2690</v>
          </cell>
          <cell r="BT134">
            <v>10055</v>
          </cell>
          <cell r="BU134">
            <v>2518</v>
          </cell>
          <cell r="BV134">
            <v>2732</v>
          </cell>
          <cell r="BW134">
            <v>5250</v>
          </cell>
          <cell r="BX134">
            <v>2482</v>
          </cell>
          <cell r="BY134">
            <v>7732</v>
          </cell>
          <cell r="BZ134">
            <v>2683</v>
          </cell>
          <cell r="CA134">
            <v>1304.7731838292445</v>
          </cell>
          <cell r="CB134">
            <v>2408</v>
          </cell>
          <cell r="CC134">
            <v>2448</v>
          </cell>
          <cell r="CD134">
            <v>4856</v>
          </cell>
          <cell r="CE134">
            <v>2262.1656652839688</v>
          </cell>
          <cell r="CF134">
            <v>7118.1656652839683</v>
          </cell>
          <cell r="CG134">
            <v>2516.4510144693227</v>
          </cell>
          <cell r="CH134">
            <v>9634.6166797532896</v>
          </cell>
          <cell r="CI134">
            <v>2299.7582965993129</v>
          </cell>
          <cell r="CJ134">
            <v>2518.7654516316802</v>
          </cell>
          <cell r="CK134">
            <v>4818.5237482309931</v>
          </cell>
          <cell r="CL134">
            <v>2574.9393999950707</v>
          </cell>
          <cell r="CM134">
            <v>7393.4631482260629</v>
          </cell>
          <cell r="CN134">
            <v>2981.3310402596176</v>
          </cell>
          <cell r="CO134">
            <v>10374.794188485681</v>
          </cell>
          <cell r="CP134">
            <v>11499.101038989009</v>
          </cell>
          <cell r="CQ134">
            <v>12047.460747798432</v>
          </cell>
          <cell r="CR134">
            <v>12631.577837013845</v>
          </cell>
          <cell r="CS134">
            <v>13253.145864458964</v>
          </cell>
          <cell r="CT134">
            <v>13920.327890180881</v>
          </cell>
          <cell r="CU134">
            <v>14638.302554536149</v>
          </cell>
          <cell r="CV134">
            <v>15413.004118300098</v>
          </cell>
          <cell r="CW134">
            <v>16251.244357624559</v>
          </cell>
          <cell r="CZ134">
            <v>-0.39523352527191302</v>
          </cell>
          <cell r="DA134">
            <v>7.4318963237238744E-2</v>
          </cell>
          <cell r="DB134">
            <v>-2.9050279329608908E-2</v>
          </cell>
          <cell r="DC134">
            <v>-0.85035499726925179</v>
          </cell>
          <cell r="DD134">
            <v>-0.4443523888428611</v>
          </cell>
          <cell r="DE134">
            <v>-7.2099616858237625E-2</v>
          </cell>
          <cell r="DF134">
            <v>3.5718857705563822E-2</v>
          </cell>
        </row>
        <row r="135">
          <cell r="A135" t="str">
            <v>YOY Growth</v>
          </cell>
          <cell r="I135">
            <v>-0.39523352527191302</v>
          </cell>
          <cell r="J135">
            <v>8.8807785888077806E-2</v>
          </cell>
          <cell r="K135">
            <v>5.838150289017352E-2</v>
          </cell>
          <cell r="L135">
            <v>7.3206876111440389E-2</v>
          </cell>
          <cell r="M135">
            <v>1.5116279069767424E-2</v>
          </cell>
          <cell r="N135">
            <v>5.3592461719670137E-2</v>
          </cell>
          <cell r="O135">
            <v>-1.7225913621262459</v>
          </cell>
          <cell r="P135">
            <v>7.4318963237238744E-2</v>
          </cell>
          <cell r="Q135">
            <v>-2.9050279329608908E-2</v>
          </cell>
          <cell r="R135">
            <v>-0.85035499726925179</v>
          </cell>
          <cell r="S135">
            <v>-0.4443523888428611</v>
          </cell>
          <cell r="T135">
            <v>0.95074455899198163</v>
          </cell>
          <cell r="U135">
            <v>9.5025153717160915E-3</v>
          </cell>
          <cell r="V135">
            <v>-7.2099616858237625E-2</v>
          </cell>
          <cell r="W135">
            <v>3.5718857705563822E-2</v>
          </cell>
          <cell r="AE135">
            <v>-0.3889528193325662</v>
          </cell>
          <cell r="AF135">
            <v>3.0255474452554747</v>
          </cell>
          <cell r="AG135">
            <v>7.6043737574552628E-2</v>
          </cell>
          <cell r="AH135">
            <v>-0.68672930123311804</v>
          </cell>
          <cell r="AI135">
            <v>-0.40346991509782204</v>
          </cell>
          <cell r="AJ135">
            <v>-1.9827319949459499</v>
          </cell>
          <cell r="AK135">
            <v>5.1082814962361223E-2</v>
          </cell>
          <cell r="AR135">
            <v>4.4549977385798245E-2</v>
          </cell>
          <cell r="AS135">
            <v>4.7882136279926435E-2</v>
          </cell>
          <cell r="AT135">
            <v>8.0645161290322509E-2</v>
          </cell>
          <cell r="AU135">
            <v>6.4486830154405039E-2</v>
          </cell>
          <cell r="AV135">
            <v>4.4386422976501416E-2</v>
          </cell>
          <cell r="AW135">
            <v>5.7594747836466675E-2</v>
          </cell>
          <cell r="AX135">
            <v>3.9432176656151396E-2</v>
          </cell>
          <cell r="AY135">
            <v>5.2608789781337872E-2</v>
          </cell>
          <cell r="AZ135">
            <v>0.94727592267135319</v>
          </cell>
          <cell r="BA135">
            <v>0.94278606965174139</v>
          </cell>
          <cell r="BB135">
            <v>0.94496587030716728</v>
          </cell>
          <cell r="BC135">
            <v>0.88666666666666671</v>
          </cell>
          <cell r="BD135">
            <v>0.92522573363431149</v>
          </cell>
          <cell r="BE135">
            <v>0.91729893778452198</v>
          </cell>
          <cell r="BF135">
            <v>0.92307692307692313</v>
          </cell>
          <cell r="BG135">
            <v>3.2039711191335751E-2</v>
          </cell>
          <cell r="BH135">
            <v>4.9935979513444195E-2</v>
          </cell>
          <cell r="BI135">
            <v>4.1237113402061931E-2</v>
          </cell>
          <cell r="BJ135">
            <v>4.4611307420494795E-2</v>
          </cell>
          <cell r="BK135">
            <v>4.2356734574234167E-2</v>
          </cell>
          <cell r="BL135">
            <v>6.7273446774831491E-3</v>
          </cell>
          <cell r="BM135">
            <v>3.2727272727272716E-2</v>
          </cell>
          <cell r="BN135" t="str">
            <v>Risk Adj</v>
          </cell>
          <cell r="BO135">
            <v>3.2926829268292712E-2</v>
          </cell>
          <cell r="BP135">
            <v>3.2652201390351854E-2</v>
          </cell>
          <cell r="BQ135">
            <v>4.143763213530649E-2</v>
          </cell>
          <cell r="BR135">
            <v>3.5573678290213628E-2</v>
          </cell>
          <cell r="BS135">
            <v>5.7389937106918198E-2</v>
          </cell>
          <cell r="BT135">
            <v>4.1321458160729074E-2</v>
          </cell>
          <cell r="BU135">
            <v>6.6497246929267284E-2</v>
          </cell>
          <cell r="BV135">
            <v>7.5167256985438913E-2</v>
          </cell>
          <cell r="BW135">
            <v>7.0991432068543414E-2</v>
          </cell>
          <cell r="BX135">
            <v>7.7141697117335539E-3</v>
          </cell>
          <cell r="BY135">
            <v>4.9830278343516721E-2</v>
          </cell>
          <cell r="BZ135">
            <v>-2.6022304832713505E-3</v>
          </cell>
          <cell r="CA135">
            <v>7.0000000000000007E-2</v>
          </cell>
          <cell r="CB135">
            <v>-4.3685464654487638E-2</v>
          </cell>
          <cell r="CC135">
            <v>-0.10395314787701315</v>
          </cell>
          <cell r="CD135">
            <v>-7.504761904761903E-2</v>
          </cell>
          <cell r="CE135">
            <v>-8.8571448314275214E-2</v>
          </cell>
          <cell r="CF135">
            <v>-7.9388817216248242E-2</v>
          </cell>
          <cell r="CG135">
            <v>-6.2075656179902072E-2</v>
          </cell>
          <cell r="CH135">
            <v>-7.4928787349660131E-2</v>
          </cell>
          <cell r="CI135">
            <v>-4.4950873505268718E-2</v>
          </cell>
          <cell r="CJ135">
            <v>2.890745573189557E-2</v>
          </cell>
          <cell r="CK135">
            <v>-7.7175147794494858E-3</v>
          </cell>
          <cell r="CL135">
            <v>0.13826296610855837</v>
          </cell>
          <cell r="CM135">
            <v>3.867534079527668E-2</v>
          </cell>
          <cell r="CN135">
            <v>0.18473637003751908</v>
          </cell>
          <cell r="CO135">
            <v>7.6824800958385842E-2</v>
          </cell>
          <cell r="CP135">
            <v>0.10836907509462934</v>
          </cell>
          <cell r="CQ135">
            <v>4.7687180671788676E-2</v>
          </cell>
          <cell r="CR135">
            <v>4.8484664232847141E-2</v>
          </cell>
          <cell r="CS135">
            <v>4.9207473164893267E-2</v>
          </cell>
          <cell r="CT135">
            <v>5.0341408186798997E-2</v>
          </cell>
          <cell r="CU135">
            <v>5.157742475748095E-2</v>
          </cell>
          <cell r="CV135">
            <v>5.2922909666454743E-2</v>
          </cell>
          <cell r="CW135">
            <v>5.4385260192671092E-2</v>
          </cell>
        </row>
        <row r="136">
          <cell r="A136" t="str">
            <v xml:space="preserve">CER Growth </v>
          </cell>
          <cell r="CD136">
            <v>0.05</v>
          </cell>
        </row>
        <row r="137">
          <cell r="A137" t="str">
            <v>Total continuing sales</v>
          </cell>
          <cell r="X137">
            <v>5452</v>
          </cell>
          <cell r="Y137">
            <v>5806</v>
          </cell>
          <cell r="Z137">
            <v>11258</v>
          </cell>
          <cell r="AA137">
            <v>5983</v>
          </cell>
          <cell r="AB137">
            <v>17241</v>
          </cell>
          <cell r="AC137">
            <v>6769</v>
          </cell>
          <cell r="AD137">
            <v>24010</v>
          </cell>
          <cell r="AE137">
            <v>6279</v>
          </cell>
          <cell r="AF137">
            <v>6533</v>
          </cell>
          <cell r="AG137">
            <v>12812</v>
          </cell>
          <cell r="AH137">
            <v>6602</v>
          </cell>
          <cell r="AI137">
            <v>19414</v>
          </cell>
          <cell r="AJ137">
            <v>6703</v>
          </cell>
          <cell r="AK137">
            <v>26117</v>
          </cell>
          <cell r="AL137">
            <v>7242</v>
          </cell>
          <cell r="AM137">
            <v>7613</v>
          </cell>
          <cell r="AN137">
            <v>14855</v>
          </cell>
          <cell r="AO137">
            <v>7930</v>
          </cell>
          <cell r="AP137">
            <v>22785</v>
          </cell>
          <cell r="AQ137">
            <v>9102</v>
          </cell>
          <cell r="AR137">
            <v>31887</v>
          </cell>
          <cell r="AS137">
            <v>8877</v>
          </cell>
          <cell r="AT137">
            <v>9045</v>
          </cell>
          <cell r="AU137">
            <v>17922</v>
          </cell>
          <cell r="AV137">
            <v>9535</v>
          </cell>
          <cell r="AW137">
            <v>27457</v>
          </cell>
          <cell r="AX137">
            <v>10699</v>
          </cell>
          <cell r="AY137">
            <v>38156</v>
          </cell>
          <cell r="AZ137">
            <v>11358</v>
          </cell>
          <cell r="BA137">
            <v>11469</v>
          </cell>
          <cell r="BB137">
            <v>22827</v>
          </cell>
          <cell r="BC137">
            <v>11120</v>
          </cell>
          <cell r="BD137">
            <v>33947</v>
          </cell>
          <cell r="BE137">
            <v>12186</v>
          </cell>
          <cell r="BF137">
            <v>46133</v>
          </cell>
          <cell r="BG137">
            <v>10850</v>
          </cell>
          <cell r="BH137">
            <v>11154</v>
          </cell>
          <cell r="BI137">
            <v>22004</v>
          </cell>
          <cell r="BJ137">
            <v>11301</v>
          </cell>
          <cell r="BK137">
            <v>33305</v>
          </cell>
          <cell r="BL137">
            <v>12312</v>
          </cell>
          <cell r="BM137">
            <v>45617</v>
          </cell>
          <cell r="BN137">
            <v>11577</v>
          </cell>
          <cell r="BO137">
            <v>12429</v>
          </cell>
          <cell r="BP137">
            <v>24006</v>
          </cell>
          <cell r="BQ137">
            <v>12393</v>
          </cell>
          <cell r="BR137">
            <v>36399</v>
          </cell>
          <cell r="BS137">
            <v>12652</v>
          </cell>
          <cell r="BT137">
            <v>49051</v>
          </cell>
          <cell r="BU137">
            <v>12243</v>
          </cell>
          <cell r="BV137">
            <v>12468</v>
          </cell>
          <cell r="BW137">
            <v>24636</v>
          </cell>
          <cell r="BX137">
            <v>11491</v>
          </cell>
          <cell r="BY137">
            <v>36127</v>
          </cell>
          <cell r="BZ137">
            <v>11346</v>
          </cell>
          <cell r="CA137">
            <v>47473</v>
          </cell>
          <cell r="CB137">
            <v>11120</v>
          </cell>
          <cell r="CC137">
            <v>10551</v>
          </cell>
          <cell r="CD137">
            <v>21671</v>
          </cell>
          <cell r="CE137">
            <v>10028.653871941249</v>
          </cell>
          <cell r="CF137">
            <v>31549.653871941249</v>
          </cell>
          <cell r="CG137">
            <v>10468.165120138316</v>
          </cell>
          <cell r="CH137">
            <v>42017.81899207957</v>
          </cell>
          <cell r="CI137">
            <v>10359.792960026807</v>
          </cell>
          <cell r="CJ137">
            <v>10467.79889904992</v>
          </cell>
          <cell r="CK137">
            <v>20827.591859076732</v>
          </cell>
          <cell r="CL137">
            <v>11061.111498202587</v>
          </cell>
          <cell r="CM137">
            <v>31888.703357279312</v>
          </cell>
          <cell r="CN137">
            <v>11834.274843284082</v>
          </cell>
          <cell r="CO137">
            <v>43722.97820056339</v>
          </cell>
          <cell r="CP137">
            <v>46347.148621066299</v>
          </cell>
          <cell r="CQ137">
            <v>47361.20980565116</v>
          </cell>
          <cell r="CR137">
            <v>48685.341734812326</v>
          </cell>
          <cell r="CS137">
            <v>49173.125118702053</v>
          </cell>
          <cell r="CT137">
            <v>49801.228078195869</v>
          </cell>
          <cell r="CU137">
            <v>50877.030891468123</v>
          </cell>
          <cell r="CV137">
            <v>50269.664362067866</v>
          </cell>
          <cell r="CW137">
            <v>50466.032886210371</v>
          </cell>
        </row>
        <row r="138">
          <cell r="A138" t="str">
            <v>YOY Growth</v>
          </cell>
          <cell r="AR138">
            <v>0.22092889688708506</v>
          </cell>
          <cell r="AS138">
            <v>0.22576636288318142</v>
          </cell>
          <cell r="AT138">
            <v>0.18809930382240903</v>
          </cell>
          <cell r="AU138">
            <v>0.20646247054863687</v>
          </cell>
          <cell r="AV138">
            <v>0.2023959646910467</v>
          </cell>
          <cell r="AW138">
            <v>0.20504718016238743</v>
          </cell>
          <cell r="AX138">
            <v>0.17545594374862672</v>
          </cell>
          <cell r="AY138">
            <v>0.19660049549973335</v>
          </cell>
          <cell r="AZ138">
            <v>0.27948631294356208</v>
          </cell>
          <cell r="BA138">
            <v>0.26799336650082917</v>
          </cell>
          <cell r="BB138">
            <v>0.27368597254770677</v>
          </cell>
          <cell r="BC138">
            <v>0.16622968012585204</v>
          </cell>
          <cell r="BD138">
            <v>0.23636959609571329</v>
          </cell>
          <cell r="BE138">
            <v>0.1389849518646602</v>
          </cell>
          <cell r="BF138">
            <v>0.20906279484222656</v>
          </cell>
          <cell r="BG138">
            <v>-4.4726184187356965E-2</v>
          </cell>
          <cell r="BH138">
            <v>-2.7465341354956818E-2</v>
          </cell>
          <cell r="BI138">
            <v>-3.6053795943400413E-2</v>
          </cell>
          <cell r="BJ138">
            <v>1.6276978417266275E-2</v>
          </cell>
          <cell r="BK138">
            <v>-1.8911833151677659E-2</v>
          </cell>
          <cell r="BL138">
            <v>1.0339734121122657E-2</v>
          </cell>
          <cell r="BM138">
            <v>-1.1185051915114985E-2</v>
          </cell>
          <cell r="BN138">
            <v>6.7004608294930934E-2</v>
          </cell>
          <cell r="BO138">
            <v>0.11430876815492197</v>
          </cell>
          <cell r="BP138">
            <v>9.0983457553172054E-2</v>
          </cell>
          <cell r="BQ138">
            <v>9.6628616936554224E-2</v>
          </cell>
          <cell r="BR138">
            <v>9.2898964119501493E-2</v>
          </cell>
          <cell r="BS138">
            <v>2.7615334632878463E-2</v>
          </cell>
          <cell r="BT138">
            <v>7.5278953021899797E-2</v>
          </cell>
          <cell r="BU138">
            <v>5.7527856957761081E-2</v>
          </cell>
          <cell r="BV138">
            <v>3.1378228336953473E-3</v>
          </cell>
          <cell r="BW138">
            <v>2.6243439140214875E-2</v>
          </cell>
          <cell r="BX138">
            <v>-7.2783022674090203E-2</v>
          </cell>
          <cell r="BY138">
            <v>-7.4727327673836941E-3</v>
          </cell>
          <cell r="BZ138">
            <v>-0.10322478659500478</v>
          </cell>
          <cell r="CA138">
            <v>5429</v>
          </cell>
          <cell r="CB138">
            <v>-9.1725884178714412E-2</v>
          </cell>
          <cell r="CC138">
            <v>-0.15375360923965353</v>
          </cell>
          <cell r="CD138">
            <v>-0.12035232992368894</v>
          </cell>
          <cell r="CE138">
            <v>-0.12726012775726658</v>
          </cell>
          <cell r="CF138">
            <v>-0.12670152871975948</v>
          </cell>
          <cell r="CG138">
            <v>-7.7369546964717428E-2</v>
          </cell>
          <cell r="CH138">
            <v>5451.4760147255947</v>
          </cell>
          <cell r="CI138">
            <v>5806.1849144167927</v>
          </cell>
          <cell r="CJ138">
            <v>6392.4038035609601</v>
          </cell>
          <cell r="CK138">
            <v>6364.0285359965692</v>
          </cell>
          <cell r="CL138">
            <v>5914.8814080967404</v>
          </cell>
          <cell r="CM138">
            <v>5556.9440743497289</v>
          </cell>
          <cell r="CN138">
            <v>5537.3926039310836</v>
          </cell>
          <cell r="CO138">
            <v>5701.8369448439717</v>
          </cell>
          <cell r="CP138">
            <v>5784.70800995629</v>
          </cell>
          <cell r="CQ138">
            <v>4674.430616957623</v>
          </cell>
          <cell r="CR138">
            <v>2.7958152559759419E-2</v>
          </cell>
          <cell r="CS138">
            <v>1.001910157161201E-2</v>
          </cell>
          <cell r="CT138">
            <v>1.2773297568084097E-2</v>
          </cell>
          <cell r="CU138">
            <v>2.1601933421864006E-2</v>
          </cell>
          <cell r="CV138">
            <v>-1.1937931887100572E-2</v>
          </cell>
          <cell r="CW138">
            <v>3.9063026704964088E-3</v>
          </cell>
        </row>
        <row r="139">
          <cell r="A139" t="str">
            <v xml:space="preserve">CER Growth </v>
          </cell>
          <cell r="BN139">
            <v>7.8E-2</v>
          </cell>
          <cell r="BO139">
            <v>0.12</v>
          </cell>
          <cell r="BQ139">
            <v>0.13700000000000001</v>
          </cell>
          <cell r="BS139">
            <v>0.08</v>
          </cell>
          <cell r="BT139">
            <v>0.10263962101707841</v>
          </cell>
          <cell r="BU139">
            <v>0.09</v>
          </cell>
          <cell r="BW139">
            <v>0.05</v>
          </cell>
          <cell r="CA139">
            <v>5429</v>
          </cell>
          <cell r="CH139">
            <v>2.2037485068313711E-2</v>
          </cell>
          <cell r="CI139">
            <v>5681.1849144167927</v>
          </cell>
          <cell r="CJ139">
            <v>5892.4038035609601</v>
          </cell>
          <cell r="CK139">
            <v>5364.0285359965692</v>
          </cell>
          <cell r="CL139">
            <v>4884.8814080967404</v>
          </cell>
          <cell r="CM139">
            <v>4496.0440743497293</v>
          </cell>
          <cell r="CN139">
            <v>4444.6656039310838</v>
          </cell>
          <cell r="CO139">
            <v>4576.3281348439714</v>
          </cell>
          <cell r="CP139">
            <v>4625.4339356562896</v>
          </cell>
          <cell r="CQ139">
            <v>4674.430616957623</v>
          </cell>
        </row>
        <row r="140">
          <cell r="A140" t="str">
            <v>Currency Impact</v>
          </cell>
          <cell r="BN140">
            <v>-1.0995391705069066E-2</v>
          </cell>
          <cell r="BO140">
            <v>-5.6912318450780264E-3</v>
          </cell>
          <cell r="BQ140">
            <v>-4.0371383063445787E-2</v>
          </cell>
          <cell r="BS140">
            <v>-5.2384665367121538E-2</v>
          </cell>
          <cell r="BT140">
            <v>-2.7360667995178604E-2</v>
          </cell>
          <cell r="BU140">
            <v>-3.9844915784845503E-2</v>
          </cell>
          <cell r="BW140">
            <v>-2.9421619572562396E-2</v>
          </cell>
          <cell r="CH140">
            <v>-0.13694871898907768</v>
          </cell>
        </row>
        <row r="141">
          <cell r="A141" t="str">
            <v>Medicare</v>
          </cell>
          <cell r="BM141">
            <v>879</v>
          </cell>
          <cell r="BN141">
            <v>249.51013154823582</v>
          </cell>
          <cell r="BO141">
            <v>290.11212003041754</v>
          </cell>
          <cell r="BP141">
            <v>539.62225157865339</v>
          </cell>
          <cell r="BQ141">
            <v>343.25120870036062</v>
          </cell>
          <cell r="BR141">
            <v>882.8734602790139</v>
          </cell>
          <cell r="BS141">
            <v>384.12771382236991</v>
          </cell>
          <cell r="BT141">
            <v>1267.0011741013839</v>
          </cell>
          <cell r="CA141">
            <v>885.62497421694047</v>
          </cell>
          <cell r="CH141">
            <v>731.59188335930753</v>
          </cell>
          <cell r="CI141">
            <v>735.14923564518142</v>
          </cell>
          <cell r="CJ141">
            <v>672.07862801569365</v>
          </cell>
          <cell r="CK141">
            <v>681.40535687050613</v>
          </cell>
          <cell r="CL141">
            <v>734.27921959709283</v>
          </cell>
        </row>
        <row r="142">
          <cell r="BM142">
            <v>1.9269132121796699E-2</v>
          </cell>
          <cell r="BN142">
            <v>2.1552226962791382E-2</v>
          </cell>
          <cell r="BO142">
            <v>2.3341549604185174E-2</v>
          </cell>
          <cell r="BP142">
            <v>2.2478640822238331E-2</v>
          </cell>
          <cell r="BQ142">
            <v>2.7697184596172084E-2</v>
          </cell>
          <cell r="BR142">
            <v>2.4255431750295719E-2</v>
          </cell>
          <cell r="BS142">
            <v>3.0361027017259713E-2</v>
          </cell>
          <cell r="BT142">
            <v>2.5830282238922427E-2</v>
          </cell>
          <cell r="CA142">
            <v>1.8655340387524286E-2</v>
          </cell>
          <cell r="CH142">
            <v>1.6877851033432343E-2</v>
          </cell>
          <cell r="CI142">
            <v>1.6350629265586992E-2</v>
          </cell>
          <cell r="CJ142">
            <v>1.4700543070788623E-2</v>
          </cell>
          <cell r="CK142">
            <v>1.4590364406525747E-2</v>
          </cell>
          <cell r="CL142">
            <v>1.5293097579126906E-2</v>
          </cell>
        </row>
        <row r="143">
          <cell r="A143" t="str">
            <v>US Sales</v>
          </cell>
          <cell r="AD143">
            <v>3382</v>
          </cell>
          <cell r="AK143">
            <v>4522</v>
          </cell>
          <cell r="AR143">
            <v>6614</v>
          </cell>
          <cell r="AY143">
            <v>9125</v>
          </cell>
          <cell r="BM143">
            <v>14252</v>
          </cell>
          <cell r="BN143">
            <v>3921.8163153163523</v>
          </cell>
          <cell r="BO143">
            <v>4146.6130079391241</v>
          </cell>
          <cell r="BP143">
            <v>5409.4293232554783</v>
          </cell>
          <cell r="BQ143">
            <v>4151.7242022874661</v>
          </cell>
          <cell r="BR143">
            <v>14781.153525542944</v>
          </cell>
          <cell r="BS143">
            <v>12168.530284353783</v>
          </cell>
          <cell r="BT143">
            <v>14875.985173937743</v>
          </cell>
          <cell r="CA143">
            <v>13420.63737314422</v>
          </cell>
          <cell r="CD143">
            <v>0.24629324546952225</v>
          </cell>
          <cell r="CH143">
            <v>12573.814520618891</v>
          </cell>
          <cell r="CI143">
            <v>12637.11135907288</v>
          </cell>
          <cell r="CJ143">
            <v>12557.318155245495</v>
          </cell>
          <cell r="CK143">
            <v>12398.402493038497</v>
          </cell>
          <cell r="CL143">
            <v>12525.236699160449</v>
          </cell>
          <cell r="CM143">
            <v>12931.001319676847</v>
          </cell>
          <cell r="CN143">
            <v>12652.481743650347</v>
          </cell>
          <cell r="CO143">
            <v>12831.82332396325</v>
          </cell>
          <cell r="CP143">
            <v>4718.5086417717675</v>
          </cell>
          <cell r="CQ143">
            <v>4726.6321386219988</v>
          </cell>
        </row>
        <row r="144">
          <cell r="A144" t="str">
            <v>Chugai  Sales</v>
          </cell>
          <cell r="AD144">
            <v>3156</v>
          </cell>
          <cell r="AK144">
            <v>3203</v>
          </cell>
          <cell r="AR144">
            <v>3699</v>
          </cell>
          <cell r="AY144">
            <v>3503</v>
          </cell>
          <cell r="CD144">
            <v>0.50844316309719939</v>
          </cell>
        </row>
        <row r="145">
          <cell r="A145" t="str">
            <v>Total Pharma</v>
          </cell>
          <cell r="AD145">
            <v>6538</v>
          </cell>
          <cell r="AE145">
            <v>0</v>
          </cell>
          <cell r="AF145">
            <v>0</v>
          </cell>
          <cell r="AG145">
            <v>0</v>
          </cell>
          <cell r="AH145">
            <v>0</v>
          </cell>
          <cell r="AI145">
            <v>0</v>
          </cell>
          <cell r="AJ145">
            <v>0</v>
          </cell>
          <cell r="AK145">
            <v>7725</v>
          </cell>
          <cell r="AR145">
            <v>10313</v>
          </cell>
          <cell r="AS145">
            <v>0</v>
          </cell>
          <cell r="AT145">
            <v>0</v>
          </cell>
          <cell r="AU145">
            <v>0</v>
          </cell>
          <cell r="AV145">
            <v>0</v>
          </cell>
          <cell r="AW145">
            <v>0</v>
          </cell>
          <cell r="AX145">
            <v>0</v>
          </cell>
          <cell r="AY145">
            <v>12628</v>
          </cell>
          <cell r="CD145">
            <v>0.24526359143327842</v>
          </cell>
        </row>
        <row r="146">
          <cell r="A146" t="str">
            <v>% of sales</v>
          </cell>
        </row>
        <row r="147">
          <cell r="A147" t="str">
            <v>North America</v>
          </cell>
          <cell r="CD147">
            <v>0.24</v>
          </cell>
        </row>
        <row r="148">
          <cell r="A148" t="str">
            <v>LATAM</v>
          </cell>
          <cell r="AD148">
            <v>0</v>
          </cell>
          <cell r="AK148">
            <v>0</v>
          </cell>
          <cell r="AR148">
            <v>0</v>
          </cell>
          <cell r="AY148">
            <v>0</v>
          </cell>
          <cell r="CD148">
            <v>7.0000000000000007E-2</v>
          </cell>
        </row>
        <row r="149">
          <cell r="A149" t="str">
            <v>Asia Pac</v>
          </cell>
          <cell r="AD149">
            <v>0.51728357295809113</v>
          </cell>
          <cell r="AK149">
            <v>0.58537216828478966</v>
          </cell>
          <cell r="AR149">
            <v>0.64132648114030832</v>
          </cell>
          <cell r="AY149">
            <v>0.72260057016154577</v>
          </cell>
          <cell r="CD149">
            <v>0.13</v>
          </cell>
        </row>
        <row r="150">
          <cell r="A150" t="str">
            <v xml:space="preserve">Japan </v>
          </cell>
          <cell r="AD150">
            <v>0.48271642704190881</v>
          </cell>
          <cell r="AK150">
            <v>0.41462783171521034</v>
          </cell>
          <cell r="AR150">
            <v>0.35867351885969168</v>
          </cell>
          <cell r="AY150">
            <v>0.27739942983845423</v>
          </cell>
          <cell r="CD150">
            <v>0.05</v>
          </cell>
        </row>
        <row r="151">
          <cell r="A151" t="str">
            <v>EMEA</v>
          </cell>
          <cell r="CD151">
            <v>0.51</v>
          </cell>
        </row>
        <row r="153">
          <cell r="A153" t="str">
            <v xml:space="preserve">local sales growth </v>
          </cell>
        </row>
        <row r="154">
          <cell r="A154" t="str">
            <v>Diagnostics</v>
          </cell>
          <cell r="AK154">
            <v>0.33707865168539319</v>
          </cell>
          <cell r="AR154">
            <v>0.46262715612560812</v>
          </cell>
          <cell r="AY154">
            <v>0.37964922890837616</v>
          </cell>
          <cell r="CD154">
            <v>0.05</v>
          </cell>
        </row>
        <row r="155">
          <cell r="A155" t="str">
            <v>North America</v>
          </cell>
          <cell r="AK155">
            <v>1.489226869455007E-2</v>
          </cell>
          <cell r="AR155">
            <v>0.15485482360287239</v>
          </cell>
          <cell r="AY155">
            <v>-5.298729386320622E-2</v>
          </cell>
          <cell r="CD155">
            <v>0.05</v>
          </cell>
        </row>
        <row r="156">
          <cell r="A156" t="str">
            <v>EMEA</v>
          </cell>
          <cell r="AK156">
            <v>0.18155399204649747</v>
          </cell>
          <cell r="AR156">
            <v>0.33501618122977339</v>
          </cell>
          <cell r="AY156">
            <v>0.22447396489867155</v>
          </cell>
          <cell r="CD156">
            <v>0.01</v>
          </cell>
        </row>
        <row r="157">
          <cell r="A157" t="str">
            <v>LATAM</v>
          </cell>
          <cell r="CD157">
            <v>0.13</v>
          </cell>
        </row>
        <row r="158">
          <cell r="A158" t="str">
            <v>Asia Pac</v>
          </cell>
          <cell r="CD158">
            <v>0.17</v>
          </cell>
        </row>
        <row r="159">
          <cell r="A159" t="str">
            <v>Japan</v>
          </cell>
          <cell r="AT159">
            <v>17922</v>
          </cell>
          <cell r="CD159">
            <v>0.08</v>
          </cell>
        </row>
        <row r="160">
          <cell r="A160" t="str">
            <v>Total Sales</v>
          </cell>
          <cell r="B160">
            <v>23938</v>
          </cell>
          <cell r="C160">
            <v>6132</v>
          </cell>
          <cell r="D160">
            <v>6518</v>
          </cell>
          <cell r="E160">
            <v>12650</v>
          </cell>
          <cell r="F160">
            <v>6358</v>
          </cell>
          <cell r="G160">
            <v>19008</v>
          </cell>
          <cell r="H160">
            <v>6722</v>
          </cell>
          <cell r="I160">
            <v>22611</v>
          </cell>
          <cell r="J160">
            <v>6559</v>
          </cell>
          <cell r="K160">
            <v>6548</v>
          </cell>
          <cell r="L160">
            <v>13107</v>
          </cell>
          <cell r="M160">
            <v>6163</v>
          </cell>
          <cell r="N160">
            <v>19270</v>
          </cell>
          <cell r="O160">
            <v>4098</v>
          </cell>
          <cell r="P160">
            <v>23368</v>
          </cell>
          <cell r="Q160">
            <v>6729</v>
          </cell>
          <cell r="R160">
            <v>5594</v>
          </cell>
          <cell r="S160">
            <v>12323</v>
          </cell>
          <cell r="T160">
            <v>8862</v>
          </cell>
          <cell r="U160">
            <v>21185</v>
          </cell>
          <cell r="V160">
            <v>4674.1346328</v>
          </cell>
          <cell r="X160">
            <v>5504.8209302325586</v>
          </cell>
          <cell r="Y160">
            <v>5866.3590697674417</v>
          </cell>
          <cell r="Z160">
            <v>11371</v>
          </cell>
          <cell r="AA160">
            <v>6034.5095692307696</v>
          </cell>
          <cell r="AB160">
            <v>17405.50956923077</v>
          </cell>
          <cell r="AC160">
            <v>6822.5884307692304</v>
          </cell>
          <cell r="AD160">
            <v>24228.097999999998</v>
          </cell>
          <cell r="AE160">
            <v>6330.7508455467869</v>
          </cell>
          <cell r="AF160">
            <v>6588.2491544532131</v>
          </cell>
          <cell r="AG160">
            <v>12919</v>
          </cell>
          <cell r="AH160">
            <v>6654.7437385095382</v>
          </cell>
          <cell r="AI160">
            <v>19573.74373850954</v>
          </cell>
          <cell r="AJ160">
            <v>6756.4466357814154</v>
          </cell>
          <cell r="AK160">
            <v>166.102</v>
          </cell>
          <cell r="AR160">
            <v>32110.849893005503</v>
          </cell>
          <cell r="AY160">
            <v>38391.042387655776</v>
          </cell>
          <cell r="AZ160">
            <v>2216</v>
          </cell>
          <cell r="BA160">
            <v>2343</v>
          </cell>
          <cell r="BB160">
            <v>4559</v>
          </cell>
          <cell r="BC160">
            <v>2264</v>
          </cell>
          <cell r="BD160">
            <v>6823</v>
          </cell>
          <cell r="BE160">
            <v>2527</v>
          </cell>
          <cell r="BF160">
            <v>296</v>
          </cell>
          <cell r="BG160">
            <v>2287</v>
          </cell>
          <cell r="BH160">
            <v>2460</v>
          </cell>
          <cell r="BI160">
            <v>4747</v>
          </cell>
          <cell r="BJ160">
            <v>2365</v>
          </cell>
          <cell r="BK160">
            <v>7112</v>
          </cell>
          <cell r="BL160">
            <v>2544</v>
          </cell>
          <cell r="BM160">
            <v>374</v>
          </cell>
          <cell r="BT160">
            <v>49310.134232390497</v>
          </cell>
          <cell r="CA160">
            <v>47745.090944010015</v>
          </cell>
          <cell r="CH160">
            <v>42303.514483290084</v>
          </cell>
          <cell r="CO160">
            <v>44022.958466334443</v>
          </cell>
          <cell r="CP160">
            <v>46662.127900125895</v>
          </cell>
        </row>
        <row r="161">
          <cell r="A161" t="str">
            <v>YOY Growth</v>
          </cell>
          <cell r="I161">
            <v>-5.5434873423009456E-2</v>
          </cell>
          <cell r="J161">
            <v>6.9634703196347125E-2</v>
          </cell>
          <cell r="K161">
            <v>4.6026388462718781E-3</v>
          </cell>
          <cell r="L161">
            <v>3.6126482213438837E-2</v>
          </cell>
          <cell r="M161">
            <v>-3.0670022019502974E-2</v>
          </cell>
          <cell r="N161">
            <v>1.3783670033669981E-2</v>
          </cell>
          <cell r="O161">
            <v>-0.39036001190121983</v>
          </cell>
          <cell r="P161">
            <v>3.347927999646183E-2</v>
          </cell>
          <cell r="Q161">
            <v>2.5918585150175311E-2</v>
          </cell>
          <cell r="R161">
            <v>-0.14569334147831403</v>
          </cell>
          <cell r="S161">
            <v>-5.9815365835049983E-2</v>
          </cell>
          <cell r="T161">
            <v>0.43793607009573265</v>
          </cell>
          <cell r="U161">
            <v>9.9377270368448345E-2</v>
          </cell>
          <cell r="V161">
            <v>0.14058922225475845</v>
          </cell>
          <cell r="AE161">
            <v>-5.9184002742341035E-2</v>
          </cell>
          <cell r="AF161">
            <v>0.17773492214036701</v>
          </cell>
          <cell r="AG161">
            <v>4.8364846222510804E-2</v>
          </cell>
          <cell r="AH161">
            <v>-0.24906976545818793</v>
          </cell>
          <cell r="AI161">
            <v>-7.6056467382131676E-2</v>
          </cell>
          <cell r="AJ161">
            <v>0.44549679599922531</v>
          </cell>
          <cell r="AR161">
            <v>0.2195449192178589</v>
          </cell>
          <cell r="AY161">
            <v>0.19557851989517872</v>
          </cell>
          <cell r="BF161">
            <v>0.20808896092780982</v>
          </cell>
          <cell r="BG161">
            <v>3.2039711191335751E-2</v>
          </cell>
          <cell r="BH161">
            <v>4.9935979513444195E-2</v>
          </cell>
          <cell r="BI161">
            <v>4.1237113402061931E-2</v>
          </cell>
          <cell r="BJ161">
            <v>4.4611307420494795E-2</v>
          </cell>
          <cell r="BK161">
            <v>4.2356734574234167E-2</v>
          </cell>
          <cell r="BL161">
            <v>6.7273446774831491E-3</v>
          </cell>
          <cell r="BM161">
            <v>0.2635135135135136</v>
          </cell>
          <cell r="BT161">
            <v>7.5142926188172865E-2</v>
          </cell>
          <cell r="CA161">
            <v>-3.1738775664343022E-2</v>
          </cell>
          <cell r="CH161">
            <v>-0.11397143356792827</v>
          </cell>
          <cell r="CO161">
            <v>4.0645416912666654E-2</v>
          </cell>
          <cell r="CP161">
            <v>5.9949842666973341E-2</v>
          </cell>
        </row>
        <row r="162">
          <cell r="A162" t="str">
            <v>Phase 1 Calc</v>
          </cell>
          <cell r="AK162">
            <v>124.80500000000001</v>
          </cell>
          <cell r="AR162">
            <v>149.30000000000001</v>
          </cell>
          <cell r="AY162">
            <v>180.10599999999999</v>
          </cell>
          <cell r="BN162" t="str">
            <v>Projects</v>
          </cell>
          <cell r="CA162">
            <v>40</v>
          </cell>
          <cell r="CQ162" t="str">
            <v>Ramp</v>
          </cell>
          <cell r="CS162">
            <v>0.1</v>
          </cell>
          <cell r="CT162">
            <v>0.25</v>
          </cell>
          <cell r="CU162">
            <v>0.65</v>
          </cell>
          <cell r="CV162">
            <v>0.9</v>
          </cell>
          <cell r="CW162">
            <v>1</v>
          </cell>
        </row>
        <row r="163">
          <cell r="A163" t="str">
            <v>Gross Margin</v>
          </cell>
          <cell r="AK163">
            <v>0.75137566073858231</v>
          </cell>
          <cell r="AR163">
            <v>0.74975393206516283</v>
          </cell>
          <cell r="AY163">
            <v>0.75603950919936369</v>
          </cell>
          <cell r="BN163" t="str">
            <v>Av Peak</v>
          </cell>
          <cell r="CA163">
            <v>1304.7731838292445</v>
          </cell>
        </row>
        <row r="164">
          <cell r="BN164" t="str">
            <v>Risk Adj</v>
          </cell>
          <cell r="CA164">
            <v>7.0000000000000007E-2</v>
          </cell>
        </row>
        <row r="166">
          <cell r="A166" t="str">
            <v>Notes:</v>
          </cell>
          <cell r="AK166">
            <v>0</v>
          </cell>
          <cell r="AR166">
            <v>0</v>
          </cell>
          <cell r="AY166">
            <v>0</v>
          </cell>
          <cell r="BF166">
            <v>0</v>
          </cell>
          <cell r="BM166">
            <v>0</v>
          </cell>
          <cell r="BT166">
            <v>0</v>
          </cell>
        </row>
        <row r="167">
          <cell r="A167" t="str">
            <v>E= Morgan Stanley Research Estimates</v>
          </cell>
          <cell r="CA167">
            <v>5429</v>
          </cell>
          <cell r="CH167">
            <v>5000.9793899913539</v>
          </cell>
          <cell r="CO167">
            <v>5448.4117297690646</v>
          </cell>
          <cell r="CP167">
            <v>6070.4788468210863</v>
          </cell>
          <cell r="CQ167">
            <v>6076.3315873152769</v>
          </cell>
          <cell r="CR167">
            <v>5656.6179788203826</v>
          </cell>
          <cell r="CS167">
            <v>5318.8347875215713</v>
          </cell>
          <cell r="CT167">
            <v>5297.9505296887055</v>
          </cell>
          <cell r="CU167">
            <v>5454.0957324283163</v>
          </cell>
          <cell r="CV167">
            <v>5532.7320853934589</v>
          </cell>
          <cell r="CW167">
            <v>4418.1219176936474</v>
          </cell>
        </row>
        <row r="168">
          <cell r="A168" t="str">
            <v>Source: Morgan Stanley Research</v>
          </cell>
          <cell r="CA168">
            <v>5429</v>
          </cell>
          <cell r="CH168">
            <v>5000.9793899913539</v>
          </cell>
          <cell r="CO168">
            <v>5323.4117297690646</v>
          </cell>
          <cell r="CP168">
            <v>5570.4788468210863</v>
          </cell>
          <cell r="CQ168">
            <v>5076.3315873152769</v>
          </cell>
          <cell r="CR168">
            <v>4626.6179788203826</v>
          </cell>
          <cell r="CS168">
            <v>4257.9347875215717</v>
          </cell>
          <cell r="CT168">
            <v>4205.2235296887056</v>
          </cell>
          <cell r="CU168">
            <v>4328.586922428316</v>
          </cell>
          <cell r="CV168">
            <v>4373.4580110934585</v>
          </cell>
          <cell r="CW168">
            <v>4418.1219176936474</v>
          </cell>
        </row>
        <row r="170">
          <cell r="A170" t="str">
            <v>Medicare</v>
          </cell>
          <cell r="BF170">
            <v>6576</v>
          </cell>
          <cell r="BM170">
            <v>879</v>
          </cell>
          <cell r="BN170">
            <v>249.51013154823582</v>
          </cell>
          <cell r="BO170">
            <v>290.11212003041754</v>
          </cell>
          <cell r="BP170">
            <v>539.62225157865339</v>
          </cell>
          <cell r="BQ170">
            <v>343.25120870036062</v>
          </cell>
          <cell r="BR170">
            <v>882.8734602790139</v>
          </cell>
          <cell r="BS170">
            <v>384.12771382236991</v>
          </cell>
          <cell r="BT170">
            <v>4775</v>
          </cell>
          <cell r="CA170">
            <v>885.62497421694047</v>
          </cell>
          <cell r="CH170">
            <v>715.71920604102229</v>
          </cell>
          <cell r="CI170">
            <v>3477.2390813001875</v>
          </cell>
          <cell r="CJ170">
            <v>3378.1572635941575</v>
          </cell>
          <cell r="CK170">
            <v>3337.6810533943581</v>
          </cell>
          <cell r="CL170">
            <v>3300.4729141693301</v>
          </cell>
          <cell r="CM170">
            <v>3266.2450163238573</v>
          </cell>
          <cell r="CN170">
            <v>3234.7363643471313</v>
          </cell>
          <cell r="CO170">
            <v>716.19364918702695</v>
          </cell>
          <cell r="CP170">
            <v>685.10891671971638</v>
          </cell>
          <cell r="CQ170">
            <v>693.41744036218313</v>
          </cell>
          <cell r="CR170">
            <v>744.52073134189311</v>
          </cell>
        </row>
        <row r="171">
          <cell r="A171" t="str">
            <v>generic between 2008 and 2013</v>
          </cell>
          <cell r="BF171">
            <v>5257</v>
          </cell>
          <cell r="BM171">
            <v>1.9269132121796699E-2</v>
          </cell>
          <cell r="BN171">
            <v>2.1552226962791382E-2</v>
          </cell>
          <cell r="BO171">
            <v>2.3341549604185174E-2</v>
          </cell>
          <cell r="BP171">
            <v>2.2478640822238331E-2</v>
          </cell>
          <cell r="BQ171">
            <v>2.7697184596172084E-2</v>
          </cell>
          <cell r="BR171">
            <v>2.4255431750295719E-2</v>
          </cell>
          <cell r="BS171">
            <v>3.0361027017259713E-2</v>
          </cell>
          <cell r="BT171">
            <v>4396</v>
          </cell>
          <cell r="CA171">
            <v>1.8655340387524286E-2</v>
          </cell>
          <cell r="CH171">
            <v>1.7033706727518069E-2</v>
          </cell>
          <cell r="CI171">
            <v>2827.4292121960698</v>
          </cell>
          <cell r="CJ171">
            <v>2276.0224940389821</v>
          </cell>
          <cell r="CK171">
            <v>1864.3226380777392</v>
          </cell>
          <cell r="CL171">
            <v>1544.1483512037789</v>
          </cell>
          <cell r="CM171">
            <v>1292.2151411562347</v>
          </cell>
          <cell r="CN171">
            <v>1091.6115975669263</v>
          </cell>
          <cell r="CO171">
            <v>1.6380257673705274E-2</v>
          </cell>
          <cell r="CP171">
            <v>1.4782115774179727E-2</v>
          </cell>
          <cell r="CQ171">
            <v>1.4641041544497123E-2</v>
          </cell>
          <cell r="CR171">
            <v>1.5292502934400182E-2</v>
          </cell>
        </row>
        <row r="172">
          <cell r="A172" t="str">
            <v>US Sales</v>
          </cell>
          <cell r="AD172">
            <v>3382</v>
          </cell>
          <cell r="AK172">
            <v>4522</v>
          </cell>
          <cell r="AR172">
            <v>6614</v>
          </cell>
          <cell r="AY172">
            <v>9125</v>
          </cell>
          <cell r="BF172">
            <v>24950</v>
          </cell>
          <cell r="BM172">
            <v>14252</v>
          </cell>
          <cell r="BN172">
            <v>3921.8163153163523</v>
          </cell>
          <cell r="BO172">
            <v>4146.6130079391241</v>
          </cell>
          <cell r="BP172">
            <v>5409.4293232554783</v>
          </cell>
          <cell r="BQ172">
            <v>4151.7242022874661</v>
          </cell>
          <cell r="BR172">
            <v>14781.153525542944</v>
          </cell>
          <cell r="BS172">
            <v>12168.530284353783</v>
          </cell>
          <cell r="BT172">
            <v>29825</v>
          </cell>
          <cell r="CA172">
            <v>13196.195930443293</v>
          </cell>
          <cell r="CH172">
            <v>12699.494420387318</v>
          </cell>
          <cell r="CI172">
            <v>28258.451408216646</v>
          </cell>
          <cell r="CJ172">
            <v>29167.211732971482</v>
          </cell>
          <cell r="CK172">
            <v>30081.026484772206</v>
          </cell>
          <cell r="CL172">
            <v>31192.434810539933</v>
          </cell>
          <cell r="CM172">
            <v>31373.577019676446</v>
          </cell>
          <cell r="CN172">
            <v>31624.557287757532</v>
          </cell>
          <cell r="CO172">
            <v>12735.997393454885</v>
          </cell>
          <cell r="CP172">
            <v>12804.195448831064</v>
          </cell>
          <cell r="CQ172">
            <v>12632.860342796994</v>
          </cell>
          <cell r="CR172">
            <v>12742.973733036042</v>
          </cell>
          <cell r="CS172">
            <v>13132.708291724322</v>
          </cell>
          <cell r="CT172">
            <v>12830.280459944475</v>
          </cell>
          <cell r="CU172">
            <v>12991.138519859815</v>
          </cell>
          <cell r="CV172">
            <v>4715.8543866066557</v>
          </cell>
          <cell r="CW172">
            <v>4715.2944281871287</v>
          </cell>
        </row>
        <row r="173">
          <cell r="A173" t="str">
            <v>Chugai  Sales</v>
          </cell>
          <cell r="AD173">
            <v>3156</v>
          </cell>
          <cell r="AK173">
            <v>3203</v>
          </cell>
          <cell r="AR173">
            <v>3699</v>
          </cell>
          <cell r="AY173">
            <v>3503</v>
          </cell>
          <cell r="BF173">
            <v>9350</v>
          </cell>
          <cell r="BM173">
            <v>9656</v>
          </cell>
          <cell r="BT173">
            <v>10055</v>
          </cell>
          <cell r="CA173">
            <v>10415</v>
          </cell>
          <cell r="CH173">
            <v>9868.2052011497944</v>
          </cell>
          <cell r="CI173">
            <v>10398.40585818973</v>
          </cell>
          <cell r="CJ173">
            <v>10896.554083200592</v>
          </cell>
          <cell r="CK173">
            <v>11419.391907589183</v>
          </cell>
          <cell r="CL173">
            <v>11976.710644524854</v>
          </cell>
          <cell r="CM173">
            <v>12569.885538729297</v>
          </cell>
          <cell r="CN173">
            <v>13206.953911782124</v>
          </cell>
          <cell r="CO173">
            <v>13892.928217564095</v>
          </cell>
          <cell r="CP173">
            <v>14633.553929137384</v>
          </cell>
          <cell r="CQ173">
            <v>15435.42786157201</v>
          </cell>
        </row>
        <row r="174">
          <cell r="A174" t="str">
            <v>Total Pharma</v>
          </cell>
          <cell r="AD174">
            <v>6538</v>
          </cell>
          <cell r="AE174">
            <v>0</v>
          </cell>
          <cell r="AF174">
            <v>0</v>
          </cell>
          <cell r="AG174">
            <v>0</v>
          </cell>
          <cell r="AH174">
            <v>0</v>
          </cell>
          <cell r="AI174">
            <v>0</v>
          </cell>
          <cell r="AJ174">
            <v>0</v>
          </cell>
          <cell r="AK174">
            <v>7725</v>
          </cell>
          <cell r="AR174">
            <v>10313</v>
          </cell>
          <cell r="AS174">
            <v>0</v>
          </cell>
          <cell r="AT174">
            <v>0</v>
          </cell>
          <cell r="AU174">
            <v>0</v>
          </cell>
          <cell r="AV174">
            <v>0</v>
          </cell>
          <cell r="AW174">
            <v>0</v>
          </cell>
          <cell r="AX174">
            <v>0</v>
          </cell>
          <cell r="AY174">
            <v>12628</v>
          </cell>
          <cell r="BF174">
            <v>46133</v>
          </cell>
          <cell r="BM174">
            <v>45617</v>
          </cell>
          <cell r="BT174">
            <v>49051</v>
          </cell>
          <cell r="CA174">
            <v>47473</v>
          </cell>
          <cell r="CH174">
            <v>43346.269730082349</v>
          </cell>
          <cell r="CI174">
            <v>44961.525559902628</v>
          </cell>
          <cell r="CJ174">
            <v>45717.945573805213</v>
          </cell>
          <cell r="CK174">
            <v>46702.422083833488</v>
          </cell>
          <cell r="CL174">
            <v>48013.766720437896</v>
          </cell>
          <cell r="CM174">
            <v>48501.922715885841</v>
          </cell>
          <cell r="CN174">
            <v>49157.859161453714</v>
          </cell>
          <cell r="CO174">
            <v>50258.225525688365</v>
          </cell>
          <cell r="CP174">
            <v>49635.137071078083</v>
          </cell>
          <cell r="CQ174">
            <v>49814.05689202853</v>
          </cell>
        </row>
        <row r="175">
          <cell r="A175" t="str">
            <v>Sub total as a % of 2007 revenues</v>
          </cell>
        </row>
        <row r="176">
          <cell r="A176" t="str">
            <v>Share</v>
          </cell>
        </row>
        <row r="177">
          <cell r="A177" t="str">
            <v>Roche Sales</v>
          </cell>
          <cell r="AD177">
            <v>0</v>
          </cell>
          <cell r="AK177">
            <v>0</v>
          </cell>
          <cell r="AR177">
            <v>0</v>
          </cell>
          <cell r="AY177">
            <v>0</v>
          </cell>
          <cell r="BF177">
            <v>0</v>
          </cell>
          <cell r="BM177">
            <v>0</v>
          </cell>
          <cell r="BT177">
            <v>0</v>
          </cell>
          <cell r="CA177">
            <v>0</v>
          </cell>
          <cell r="CH177">
            <v>30</v>
          </cell>
          <cell r="CI177">
            <v>335</v>
          </cell>
          <cell r="CJ177">
            <v>1190</v>
          </cell>
          <cell r="CK177">
            <v>2710</v>
          </cell>
          <cell r="CL177">
            <v>4617.5</v>
          </cell>
          <cell r="CM177">
            <v>6087.8364914721888</v>
          </cell>
          <cell r="CN177">
            <v>7472.4912286804711</v>
          </cell>
          <cell r="CO177">
            <v>9656.7116945692251</v>
          </cell>
          <cell r="CP177">
            <v>10935.338658249697</v>
          </cell>
          <cell r="CQ177">
            <v>11564.794456771886</v>
          </cell>
        </row>
        <row r="178">
          <cell r="A178" t="str">
            <v>Genentech Sales</v>
          </cell>
          <cell r="AD178">
            <v>0.51728357295809113</v>
          </cell>
          <cell r="AK178">
            <v>0.58537216828478966</v>
          </cell>
          <cell r="AR178">
            <v>0.64132648114030832</v>
          </cell>
          <cell r="AY178">
            <v>0.72260057016154577</v>
          </cell>
          <cell r="BF178">
            <v>46133</v>
          </cell>
          <cell r="BM178">
            <v>45617</v>
          </cell>
          <cell r="BT178">
            <v>49051</v>
          </cell>
          <cell r="CA178">
            <v>47473</v>
          </cell>
          <cell r="CH178">
            <v>43346.269730082349</v>
          </cell>
          <cell r="CI178">
            <v>44961.525559902628</v>
          </cell>
          <cell r="CJ178">
            <v>45717.945573805213</v>
          </cell>
          <cell r="CK178">
            <v>46702.422083833488</v>
          </cell>
          <cell r="CL178">
            <v>48013.766720437896</v>
          </cell>
          <cell r="CM178">
            <v>48501.922715885841</v>
          </cell>
          <cell r="CN178">
            <v>49157.859161453714</v>
          </cell>
          <cell r="CO178">
            <v>50258.225525688365</v>
          </cell>
          <cell r="CP178">
            <v>49635.137071078083</v>
          </cell>
          <cell r="CQ178">
            <v>49814.05689202853</v>
          </cell>
        </row>
        <row r="179">
          <cell r="A179" t="str">
            <v>Chugai  Sales</v>
          </cell>
          <cell r="AD179">
            <v>0.48271642704190881</v>
          </cell>
          <cell r="AK179">
            <v>0.41462783171521034</v>
          </cell>
          <cell r="AR179">
            <v>0.35867351885969168</v>
          </cell>
          <cell r="AY179">
            <v>0.27739942983845423</v>
          </cell>
        </row>
        <row r="181">
          <cell r="AY181" t="str">
            <v>2006-FY</v>
          </cell>
          <cell r="BF181" t="str">
            <v>2007-FY</v>
          </cell>
          <cell r="BM181" t="str">
            <v>2008-FY</v>
          </cell>
          <cell r="BT181" t="str">
            <v>2009-FY</v>
          </cell>
          <cell r="CA181" t="str">
            <v>2010-FY</v>
          </cell>
          <cell r="CH181" t="str">
            <v>2011-FY</v>
          </cell>
          <cell r="CI181" t="str">
            <v>2012-FY</v>
          </cell>
          <cell r="CJ181" t="str">
            <v>2013-FY</v>
          </cell>
          <cell r="CK181" t="str">
            <v>2014-FY</v>
          </cell>
          <cell r="CL181" t="str">
            <v>2015-FY</v>
          </cell>
          <cell r="CM181" t="str">
            <v>2016-FY</v>
          </cell>
          <cell r="CN181" t="str">
            <v>2017-FY</v>
          </cell>
        </row>
        <row r="182">
          <cell r="A182" t="str">
            <v>Roche Sales</v>
          </cell>
        </row>
        <row r="183">
          <cell r="A183" t="str">
            <v>Genentech Sales</v>
          </cell>
          <cell r="AK183">
            <v>0.33707865168539319</v>
          </cell>
          <cell r="AR183">
            <v>0.46262715612560812</v>
          </cell>
          <cell r="AY183">
            <v>0.37964922890837616</v>
          </cell>
        </row>
        <row r="184">
          <cell r="A184" t="str">
            <v>Chugai  Sales</v>
          </cell>
          <cell r="AK184">
            <v>1.489226869455007E-2</v>
          </cell>
          <cell r="AR184">
            <v>0.15485482360287239</v>
          </cell>
          <cell r="AY184">
            <v>-5.298729386320622E-2</v>
          </cell>
        </row>
        <row r="185">
          <cell r="A185" t="str">
            <v>Total Pharma</v>
          </cell>
          <cell r="AK185">
            <v>0.18155399204649747</v>
          </cell>
          <cell r="AR185">
            <v>0.33501618122977339</v>
          </cell>
          <cell r="AY185">
            <v>0.22447396489867155</v>
          </cell>
        </row>
        <row r="189">
          <cell r="A189" t="str">
            <v>Sales</v>
          </cell>
          <cell r="AK189">
            <v>166.102</v>
          </cell>
          <cell r="AR189">
            <v>199.13200000000001</v>
          </cell>
          <cell r="AY189">
            <v>238.22299999999998</v>
          </cell>
          <cell r="BF189">
            <v>296</v>
          </cell>
          <cell r="BM189">
            <v>374</v>
          </cell>
          <cell r="BT189">
            <v>467</v>
          </cell>
        </row>
        <row r="190">
          <cell r="A190" t="str">
            <v>Sales growth</v>
          </cell>
          <cell r="AR190">
            <v>0.19885371639113325</v>
          </cell>
          <cell r="AY190">
            <v>0.19630697225960669</v>
          </cell>
          <cell r="BF190">
            <v>0.24253325665447933</v>
          </cell>
          <cell r="BM190">
            <v>0.2635135135135136</v>
          </cell>
          <cell r="BT190">
            <v>0.24866310160427818</v>
          </cell>
        </row>
        <row r="191">
          <cell r="A191" t="str">
            <v>Gross Profit</v>
          </cell>
          <cell r="AK191">
            <v>124.80500000000001</v>
          </cell>
          <cell r="AR191">
            <v>149.30000000000001</v>
          </cell>
          <cell r="AY191">
            <v>180.10599999999999</v>
          </cell>
        </row>
        <row r="192">
          <cell r="A192" t="str">
            <v>Gross Margin</v>
          </cell>
          <cell r="AK192">
            <v>0.75137566073858231</v>
          </cell>
          <cell r="AR192">
            <v>0.74975393206516283</v>
          </cell>
          <cell r="AY192">
            <v>0.75603950919936369</v>
          </cell>
        </row>
        <row r="195">
          <cell r="A195" t="str">
            <v>EBIT Margin</v>
          </cell>
          <cell r="AK195">
            <v>0</v>
          </cell>
          <cell r="AR195">
            <v>0</v>
          </cell>
          <cell r="AY195">
            <v>0</v>
          </cell>
          <cell r="BF195">
            <v>0</v>
          </cell>
          <cell r="BM195">
            <v>0</v>
          </cell>
          <cell r="BT195">
            <v>0</v>
          </cell>
        </row>
        <row r="199">
          <cell r="A199" t="str">
            <v>already generic</v>
          </cell>
          <cell r="BF199">
            <v>6576</v>
          </cell>
          <cell r="BM199">
            <v>5627</v>
          </cell>
          <cell r="BT199">
            <v>4775</v>
          </cell>
          <cell r="CA199">
            <v>4368</v>
          </cell>
          <cell r="CH199">
            <v>3514.6720708472021</v>
          </cell>
          <cell r="CO199">
            <v>3428.2398244055717</v>
          </cell>
          <cell r="CP199">
            <v>3494.7847803673308</v>
          </cell>
          <cell r="CQ199">
            <v>3454.4517540778843</v>
          </cell>
          <cell r="CR199">
            <v>3417.3725357000967</v>
          </cell>
          <cell r="CS199">
            <v>3383.2607191786665</v>
          </cell>
          <cell r="CT199">
            <v>3351.8565903270292</v>
          </cell>
          <cell r="CU199">
            <v>3322.9245550773235</v>
          </cell>
          <cell r="CV199">
            <v>3296.2508200335169</v>
          </cell>
          <cell r="CW199">
            <v>3271.6413003409739</v>
          </cell>
        </row>
        <row r="200">
          <cell r="A200" t="str">
            <v>generic between 2008 and 2013</v>
          </cell>
          <cell r="BF200">
            <v>5257</v>
          </cell>
          <cell r="BM200">
            <v>5084</v>
          </cell>
          <cell r="BT200">
            <v>4396</v>
          </cell>
          <cell r="CA200">
            <v>4001</v>
          </cell>
          <cell r="CH200">
            <v>3122.5600763717948</v>
          </cell>
          <cell r="CO200">
            <v>2827.2036710611442</v>
          </cell>
          <cell r="CP200">
            <v>2425.2437331932961</v>
          </cell>
          <cell r="CQ200">
            <v>1989.0576811338833</v>
          </cell>
          <cell r="CR200">
            <v>1649.2931836874413</v>
          </cell>
          <cell r="CS200">
            <v>1381.5263114135628</v>
          </cell>
          <cell r="CT200">
            <v>1167.9982378410152</v>
          </cell>
          <cell r="CU200">
            <v>995.72428059700189</v>
          </cell>
          <cell r="CV200">
            <v>855.15090010890117</v>
          </cell>
          <cell r="CW200">
            <v>739.19989619296098</v>
          </cell>
        </row>
        <row r="201">
          <cell r="A201" t="str">
            <v>other products (to face generics &gt;2013)</v>
          </cell>
          <cell r="BF201">
            <v>24950</v>
          </cell>
          <cell r="BM201">
            <v>25250</v>
          </cell>
          <cell r="BT201">
            <v>29825</v>
          </cell>
          <cell r="CA201">
            <v>28689</v>
          </cell>
          <cell r="CH201">
            <v>25745.970165107283</v>
          </cell>
          <cell r="CO201">
            <v>27092.740516610989</v>
          </cell>
          <cell r="CP201">
            <v>28928.019068516664</v>
          </cell>
          <cell r="CQ201">
            <v>29870.239622640962</v>
          </cell>
          <cell r="CR201">
            <v>30987.098178410946</v>
          </cell>
          <cell r="CS201">
            <v>31155.192223650862</v>
          </cell>
          <cell r="CT201">
            <v>31361.045359846947</v>
          </cell>
          <cell r="CU201">
            <v>31920.079501257653</v>
          </cell>
          <cell r="CV201">
            <v>30705.258523625347</v>
          </cell>
          <cell r="CW201">
            <v>30203.947332051877</v>
          </cell>
        </row>
        <row r="202">
          <cell r="A202" t="str">
            <v>non pharma assets (e.g. consumer health)</v>
          </cell>
          <cell r="BF202">
            <v>9350</v>
          </cell>
          <cell r="BM202">
            <v>9656</v>
          </cell>
          <cell r="BT202">
            <v>10055</v>
          </cell>
          <cell r="CA202">
            <v>10415</v>
          </cell>
          <cell r="CH202">
            <v>9634.6166797532896</v>
          </cell>
          <cell r="CO202">
            <v>10374.794188485681</v>
          </cell>
          <cell r="CP202">
            <v>11499.101038989009</v>
          </cell>
          <cell r="CQ202">
            <v>12047.460747798432</v>
          </cell>
          <cell r="CR202">
            <v>12631.577837013845</v>
          </cell>
          <cell r="CS202">
            <v>13253.145864458964</v>
          </cell>
          <cell r="CT202">
            <v>13920.327890180881</v>
          </cell>
          <cell r="CU202">
            <v>14638.302554536149</v>
          </cell>
          <cell r="CV202">
            <v>15413.004118300098</v>
          </cell>
          <cell r="CW202">
            <v>16251.244357624559</v>
          </cell>
        </row>
        <row r="203">
          <cell r="A203" t="str">
            <v>Sub total</v>
          </cell>
          <cell r="BF203">
            <v>46133</v>
          </cell>
          <cell r="BM203">
            <v>45617</v>
          </cell>
          <cell r="BT203">
            <v>49051</v>
          </cell>
          <cell r="CA203">
            <v>47473</v>
          </cell>
          <cell r="CH203">
            <v>42017.81899207957</v>
          </cell>
          <cell r="CO203">
            <v>43722.97820056339</v>
          </cell>
          <cell r="CP203">
            <v>46347.148621066299</v>
          </cell>
          <cell r="CQ203">
            <v>47361.20980565116</v>
          </cell>
          <cell r="CR203">
            <v>48685.341734812326</v>
          </cell>
          <cell r="CS203">
            <v>49173.125118702053</v>
          </cell>
          <cell r="CT203">
            <v>49801.228078195869</v>
          </cell>
          <cell r="CU203">
            <v>50877.030891468123</v>
          </cell>
          <cell r="CV203">
            <v>50269.664362067866</v>
          </cell>
          <cell r="CW203">
            <v>50466.032886210371</v>
          </cell>
        </row>
        <row r="204">
          <cell r="A204" t="str">
            <v>Sub total as a % of 2007 revenues</v>
          </cell>
        </row>
        <row r="206">
          <cell r="A206" t="str">
            <v>Pipeline products</v>
          </cell>
          <cell r="BF206">
            <v>0</v>
          </cell>
          <cell r="BM206">
            <v>0</v>
          </cell>
          <cell r="BT206">
            <v>0</v>
          </cell>
          <cell r="CA206">
            <v>0</v>
          </cell>
          <cell r="CH206">
            <v>30</v>
          </cell>
          <cell r="CO206">
            <v>335</v>
          </cell>
          <cell r="CP206">
            <v>1190</v>
          </cell>
          <cell r="CQ206">
            <v>2710</v>
          </cell>
          <cell r="CR206">
            <v>4602.5</v>
          </cell>
          <cell r="CS206">
            <v>6042.8364914721888</v>
          </cell>
          <cell r="CT206">
            <v>7382.4912286804711</v>
          </cell>
          <cell r="CU206">
            <v>9521.7116945692251</v>
          </cell>
          <cell r="CV206">
            <v>10785.338658249697</v>
          </cell>
          <cell r="CW206">
            <v>11407.294456771886</v>
          </cell>
        </row>
        <row r="207">
          <cell r="A207" t="str">
            <v>Total</v>
          </cell>
          <cell r="BF207">
            <v>46133</v>
          </cell>
          <cell r="BM207">
            <v>45617</v>
          </cell>
          <cell r="BT207">
            <v>49051</v>
          </cell>
          <cell r="CA207">
            <v>47473</v>
          </cell>
          <cell r="CH207">
            <v>42017.81899207957</v>
          </cell>
          <cell r="CO207">
            <v>43722.97820056339</v>
          </cell>
          <cell r="CP207">
            <v>46347.148621066299</v>
          </cell>
          <cell r="CQ207">
            <v>47361.20980565116</v>
          </cell>
          <cell r="CR207">
            <v>48685.341734812326</v>
          </cell>
          <cell r="CS207">
            <v>49173.125118702053</v>
          </cell>
          <cell r="CT207">
            <v>49801.228078195869</v>
          </cell>
          <cell r="CU207">
            <v>50877.030891468123</v>
          </cell>
          <cell r="CV207">
            <v>50269.664362067866</v>
          </cell>
          <cell r="CW207">
            <v>50466.032886210371</v>
          </cell>
        </row>
        <row r="210">
          <cell r="AY210" t="str">
            <v>2006-FY</v>
          </cell>
          <cell r="BF210" t="str">
            <v>2007-FY</v>
          </cell>
          <cell r="BM210" t="str">
            <v>2008-FY</v>
          </cell>
          <cell r="BT210" t="str">
            <v>2009-FY</v>
          </cell>
          <cell r="CA210" t="str">
            <v>2010-FY</v>
          </cell>
          <cell r="CH210" t="str">
            <v>2011-FY</v>
          </cell>
          <cell r="CO210" t="str">
            <v>2012-FY</v>
          </cell>
          <cell r="CP210" t="str">
            <v>2013-FY</v>
          </cell>
          <cell r="CQ210" t="str">
            <v>2014-FY</v>
          </cell>
          <cell r="CR210" t="str">
            <v>2015-FY</v>
          </cell>
          <cell r="CS210" t="str">
            <v>2016-FY</v>
          </cell>
          <cell r="CT210" t="str">
            <v>2017-FY</v>
          </cell>
        </row>
      </sheetData>
      <sheetData sheetId="16"/>
      <sheetData sheetId="17" refreshError="1">
        <row r="1">
          <cell r="A1" t="str">
            <v>Return to contents</v>
          </cell>
        </row>
        <row r="2">
          <cell r="A2" t="str">
            <v>Roche</v>
          </cell>
        </row>
        <row r="3">
          <cell r="A3" t="str">
            <v>Yearly Sales Model</v>
          </cell>
          <cell r="R3" t="str">
            <v>Morgan Stanley Equity Research- Pharmaceuticals</v>
          </cell>
        </row>
        <row r="4">
          <cell r="AE4" t="str">
            <v>Specialty Care (SC)/Primary Care (PC)</v>
          </cell>
        </row>
        <row r="5">
          <cell r="A5" t="str">
            <v>SFr mlns</v>
          </cell>
          <cell r="B5" t="str">
            <v>FY00A</v>
          </cell>
          <cell r="C5" t="str">
            <v>FY01A</v>
          </cell>
          <cell r="D5" t="str">
            <v>FY02A</v>
          </cell>
          <cell r="E5" t="str">
            <v>FY03A</v>
          </cell>
          <cell r="F5" t="str">
            <v>FY04A</v>
          </cell>
          <cell r="G5" t="str">
            <v>FY05A</v>
          </cell>
          <cell r="H5" t="str">
            <v>FY06A</v>
          </cell>
          <cell r="I5" t="str">
            <v>FY07A</v>
          </cell>
          <cell r="J5" t="str">
            <v>FY08A</v>
          </cell>
          <cell r="K5" t="str">
            <v>FY09A</v>
          </cell>
          <cell r="L5" t="str">
            <v>FY10A</v>
          </cell>
          <cell r="M5" t="str">
            <v>FY11E</v>
          </cell>
          <cell r="N5" t="str">
            <v>FY12E</v>
          </cell>
          <cell r="O5" t="str">
            <v>FY13E</v>
          </cell>
          <cell r="P5" t="str">
            <v>FY14E</v>
          </cell>
          <cell r="Q5" t="str">
            <v>FY15E</v>
          </cell>
          <cell r="R5" t="str">
            <v>FY16E</v>
          </cell>
          <cell r="S5" t="str">
            <v>FY17E</v>
          </cell>
          <cell r="T5" t="str">
            <v>FY18E</v>
          </cell>
          <cell r="U5" t="str">
            <v>FY19E</v>
          </cell>
          <cell r="V5" t="str">
            <v>FY20E</v>
          </cell>
          <cell r="AJ5" t="str">
            <v xml:space="preserve"> </v>
          </cell>
          <cell r="AK5" t="str">
            <v xml:space="preserve"> </v>
          </cell>
        </row>
        <row r="6">
          <cell r="AF6" t="str">
            <v xml:space="preserve"> </v>
          </cell>
          <cell r="AH6">
            <v>2004</v>
          </cell>
          <cell r="AI6">
            <v>2004</v>
          </cell>
          <cell r="AJ6">
            <v>2009</v>
          </cell>
          <cell r="AK6">
            <v>2009</v>
          </cell>
          <cell r="AM6">
            <v>2003</v>
          </cell>
          <cell r="AN6">
            <v>2008</v>
          </cell>
        </row>
        <row r="7">
          <cell r="A7" t="str">
            <v>Oncology</v>
          </cell>
          <cell r="AH7" t="str">
            <v>SC</v>
          </cell>
          <cell r="AI7" t="str">
            <v>PC</v>
          </cell>
          <cell r="AJ7" t="str">
            <v>SC</v>
          </cell>
          <cell r="AK7" t="str">
            <v>PC</v>
          </cell>
        </row>
        <row r="8">
          <cell r="A8" t="str">
            <v>Mabthera / Rituxan</v>
          </cell>
          <cell r="B8">
            <v>900</v>
          </cell>
          <cell r="C8">
            <v>1695</v>
          </cell>
          <cell r="D8">
            <v>2332</v>
          </cell>
          <cell r="E8">
            <v>2783.8585600000001</v>
          </cell>
          <cell r="F8">
            <v>3378</v>
          </cell>
          <cell r="G8">
            <v>4154</v>
          </cell>
          <cell r="H8">
            <v>4839</v>
          </cell>
          <cell r="I8">
            <v>5516</v>
          </cell>
          <cell r="J8">
            <v>5923</v>
          </cell>
          <cell r="K8">
            <v>6087</v>
          </cell>
          <cell r="L8">
            <v>6356</v>
          </cell>
          <cell r="M8">
            <v>5764.7380054309651</v>
          </cell>
          <cell r="N8">
            <v>6144.9017110232162</v>
          </cell>
          <cell r="O8">
            <v>6526.5710253474117</v>
          </cell>
          <cell r="P8">
            <v>6525.5781992836</v>
          </cell>
          <cell r="Q8">
            <v>6348.8921515546308</v>
          </cell>
          <cell r="R8">
            <v>5766.5465496484876</v>
          </cell>
          <cell r="S8">
            <v>5235.1450815946164</v>
          </cell>
          <cell r="T8">
            <v>5017.1618071472003</v>
          </cell>
          <cell r="U8">
            <v>5028.2408316073206</v>
          </cell>
          <cell r="V8">
            <v>5039.6522268012441</v>
          </cell>
          <cell r="AD8">
            <v>2.8434890091577403E-2</v>
          </cell>
          <cell r="AE8" t="str">
            <v>SC</v>
          </cell>
          <cell r="AF8">
            <v>0.15658054447719785</v>
          </cell>
          <cell r="AG8">
            <v>0.57823247211143858</v>
          </cell>
          <cell r="AH8">
            <v>3263.9508719999994</v>
          </cell>
          <cell r="AJ8">
            <v>4314.99415103505</v>
          </cell>
          <cell r="AL8" t="str">
            <v>y</v>
          </cell>
        </row>
        <row r="9">
          <cell r="A9" t="str">
            <v>Herceptin</v>
          </cell>
          <cell r="B9">
            <v>540</v>
          </cell>
          <cell r="C9">
            <v>806</v>
          </cell>
          <cell r="D9">
            <v>1007</v>
          </cell>
          <cell r="E9">
            <v>1195.9259200000001</v>
          </cell>
          <cell r="F9">
            <v>1435</v>
          </cell>
          <cell r="G9">
            <v>2146</v>
          </cell>
          <cell r="H9">
            <v>3927</v>
          </cell>
          <cell r="I9">
            <v>4852</v>
          </cell>
          <cell r="J9">
            <v>5082</v>
          </cell>
          <cell r="K9">
            <v>5266</v>
          </cell>
          <cell r="L9">
            <v>5429</v>
          </cell>
          <cell r="M9">
            <v>5000.9793899913539</v>
          </cell>
          <cell r="N9">
            <v>5323.4117297690646</v>
          </cell>
          <cell r="O9">
            <v>5570.4788468210863</v>
          </cell>
          <cell r="P9">
            <v>5076.3315873152769</v>
          </cell>
          <cell r="Q9">
            <v>4626.6179788203826</v>
          </cell>
          <cell r="R9">
            <v>4257.9347875215717</v>
          </cell>
          <cell r="S9">
            <v>4205.2235296887056</v>
          </cell>
          <cell r="T9">
            <v>4328.586922428316</v>
          </cell>
          <cell r="U9">
            <v>4373.4580110934585</v>
          </cell>
          <cell r="V9">
            <v>4418.1219176936474</v>
          </cell>
          <cell r="AD9">
            <v>2.3281893447837154E-2</v>
          </cell>
          <cell r="AE9" t="str">
            <v>SC</v>
          </cell>
          <cell r="AF9">
            <v>0.22143228715103172</v>
          </cell>
          <cell r="AH9">
            <v>1318.26332</v>
          </cell>
          <cell r="AJ9">
            <v>3580.3039884576401</v>
          </cell>
          <cell r="AL9" t="str">
            <v>y</v>
          </cell>
          <cell r="AM9">
            <v>1195.9259200000001</v>
          </cell>
          <cell r="AN9">
            <v>5082</v>
          </cell>
        </row>
        <row r="10">
          <cell r="A10" t="str">
            <v>Xeloda</v>
          </cell>
          <cell r="B10">
            <v>150</v>
          </cell>
          <cell r="C10">
            <v>260</v>
          </cell>
          <cell r="D10">
            <v>444</v>
          </cell>
          <cell r="E10">
            <v>549.30016000000001</v>
          </cell>
          <cell r="F10">
            <v>533</v>
          </cell>
          <cell r="G10">
            <v>796</v>
          </cell>
          <cell r="H10">
            <v>971</v>
          </cell>
          <cell r="I10">
            <v>1151</v>
          </cell>
          <cell r="J10">
            <v>1211</v>
          </cell>
          <cell r="K10">
            <v>1260</v>
          </cell>
          <cell r="L10">
            <v>1426</v>
          </cell>
          <cell r="M10">
            <v>1225.2832318173669</v>
          </cell>
          <cell r="N10">
            <v>1161.345368279452</v>
          </cell>
          <cell r="O10">
            <v>910.2645687167585</v>
          </cell>
          <cell r="P10">
            <v>678.53197525495762</v>
          </cell>
          <cell r="Q10">
            <v>512.18448211637428</v>
          </cell>
          <cell r="R10">
            <v>392.02002697557566</v>
          </cell>
          <cell r="S10">
            <v>304.55581942760523</v>
          </cell>
          <cell r="T10">
            <v>240.31669408955565</v>
          </cell>
          <cell r="U10">
            <v>192.63654430389781</v>
          </cell>
          <cell r="V10">
            <v>156.81895360981642</v>
          </cell>
          <cell r="AD10">
            <v>-3.8353653834808155E-2</v>
          </cell>
          <cell r="AE10" t="str">
            <v>SC</v>
          </cell>
          <cell r="AF10">
            <v>4.202069244552338E-2</v>
          </cell>
          <cell r="AH10">
            <v>715.49088000000006</v>
          </cell>
          <cell r="AJ10">
            <v>1350.35844588081</v>
          </cell>
        </row>
        <row r="11">
          <cell r="A11" t="str">
            <v>Kytril</v>
          </cell>
          <cell r="B11">
            <v>0</v>
          </cell>
          <cell r="C11">
            <v>437</v>
          </cell>
          <cell r="D11">
            <v>451</v>
          </cell>
          <cell r="E11">
            <v>440.91038400000002</v>
          </cell>
          <cell r="F11">
            <v>457</v>
          </cell>
          <cell r="G11">
            <v>500</v>
          </cell>
          <cell r="H11">
            <v>498</v>
          </cell>
          <cell r="I11">
            <v>425</v>
          </cell>
          <cell r="J11">
            <v>270</v>
          </cell>
          <cell r="K11">
            <v>175</v>
          </cell>
          <cell r="L11">
            <v>115</v>
          </cell>
          <cell r="M11">
            <v>62.782917135836101</v>
          </cell>
          <cell r="N11">
            <v>57.720163784707935</v>
          </cell>
          <cell r="O11">
            <v>54.490081658744934</v>
          </cell>
          <cell r="P11">
            <v>49.041073492870439</v>
          </cell>
          <cell r="Q11">
            <v>44.136966143583393</v>
          </cell>
          <cell r="R11">
            <v>39.723269529225057</v>
          </cell>
          <cell r="S11">
            <v>35.750942576302549</v>
          </cell>
          <cell r="T11">
            <v>32.175848318672294</v>
          </cell>
          <cell r="U11">
            <v>28.958263486805066</v>
          </cell>
          <cell r="V11">
            <v>26.062437138124562</v>
          </cell>
          <cell r="AD11">
            <v>-0.28989687898119998</v>
          </cell>
          <cell r="AE11" t="str">
            <v>SC</v>
          </cell>
          <cell r="AF11">
            <v>-1.6299635859198889E-2</v>
          </cell>
          <cell r="AH11">
            <v>450.66786479999996</v>
          </cell>
          <cell r="AJ11">
            <v>497.57373814481298</v>
          </cell>
          <cell r="AL11" t="str">
            <v>y</v>
          </cell>
          <cell r="AM11">
            <v>440.91038400000002</v>
          </cell>
          <cell r="AN11">
            <v>270</v>
          </cell>
        </row>
        <row r="12">
          <cell r="A12" t="str">
            <v>Tarceva</v>
          </cell>
          <cell r="B12">
            <v>0</v>
          </cell>
          <cell r="C12">
            <v>0</v>
          </cell>
          <cell r="D12">
            <v>0</v>
          </cell>
          <cell r="E12">
            <v>0</v>
          </cell>
          <cell r="F12">
            <v>17</v>
          </cell>
          <cell r="G12">
            <v>387</v>
          </cell>
          <cell r="H12">
            <v>813</v>
          </cell>
          <cell r="I12">
            <v>1062</v>
          </cell>
          <cell r="J12">
            <v>1215</v>
          </cell>
          <cell r="K12">
            <v>1304</v>
          </cell>
          <cell r="L12">
            <v>1325</v>
          </cell>
          <cell r="M12">
            <v>1202.9571188650439</v>
          </cell>
          <cell r="N12">
            <v>1299.3939830224099</v>
          </cell>
          <cell r="O12">
            <v>1400.8496499141572</v>
          </cell>
          <cell r="P12">
            <v>1455.9909730985023</v>
          </cell>
          <cell r="Q12">
            <v>1519.2570139305922</v>
          </cell>
          <cell r="R12">
            <v>1577.9738750730962</v>
          </cell>
          <cell r="S12">
            <v>1650.0897755487943</v>
          </cell>
          <cell r="T12">
            <v>1716.2134944818597</v>
          </cell>
          <cell r="U12">
            <v>877.60519167537655</v>
          </cell>
          <cell r="V12">
            <v>753.99112507749544</v>
          </cell>
          <cell r="AD12">
            <v>4.7235851301651088E-2</v>
          </cell>
          <cell r="AE12" t="str">
            <v>SC</v>
          </cell>
          <cell r="AF12">
            <v>7.4388763655280035E-2</v>
          </cell>
          <cell r="AH12">
            <v>44.983740362334729</v>
          </cell>
          <cell r="AJ12">
            <v>422.22437839609756</v>
          </cell>
          <cell r="AL12" t="str">
            <v>y</v>
          </cell>
          <cell r="AM12">
            <v>0</v>
          </cell>
          <cell r="AN12">
            <v>1215</v>
          </cell>
        </row>
        <row r="13">
          <cell r="A13" t="str">
            <v>Avastin</v>
          </cell>
          <cell r="B13">
            <v>0</v>
          </cell>
          <cell r="C13">
            <v>0</v>
          </cell>
          <cell r="D13">
            <v>0</v>
          </cell>
          <cell r="E13">
            <v>0</v>
          </cell>
          <cell r="F13">
            <v>690</v>
          </cell>
          <cell r="G13">
            <v>1665</v>
          </cell>
          <cell r="H13">
            <v>2962</v>
          </cell>
          <cell r="I13">
            <v>4106</v>
          </cell>
          <cell r="J13">
            <v>5207</v>
          </cell>
          <cell r="K13">
            <v>6222</v>
          </cell>
          <cell r="L13">
            <v>6461</v>
          </cell>
          <cell r="M13">
            <v>5711.8228849281004</v>
          </cell>
          <cell r="N13">
            <v>5677.3468174665322</v>
          </cell>
          <cell r="O13">
            <v>6193.2878057671842</v>
          </cell>
          <cell r="P13">
            <v>6523.0380070046976</v>
          </cell>
          <cell r="Q13">
            <v>6784.6697719527765</v>
          </cell>
          <cell r="R13">
            <v>6912.2844354285244</v>
          </cell>
          <cell r="S13">
            <v>6912.2844354285244</v>
          </cell>
          <cell r="T13">
            <v>6912.2844354285244</v>
          </cell>
          <cell r="U13">
            <v>6221.0559918856725</v>
          </cell>
          <cell r="V13">
            <v>5598.9503926971056</v>
          </cell>
          <cell r="AD13">
            <v>7.0903619020830311E-2</v>
          </cell>
          <cell r="AE13" t="str">
            <v>SC</v>
          </cell>
          <cell r="AF13">
            <v>0.31975030345066757</v>
          </cell>
          <cell r="AH13">
            <v>307.23576359275182</v>
          </cell>
          <cell r="AJ13">
            <v>2572.6058912581107</v>
          </cell>
          <cell r="AL13" t="str">
            <v>y</v>
          </cell>
          <cell r="AM13">
            <v>0</v>
          </cell>
          <cell r="AN13">
            <v>5207</v>
          </cell>
        </row>
        <row r="14">
          <cell r="A14" t="str">
            <v>Total</v>
          </cell>
          <cell r="B14">
            <v>1590</v>
          </cell>
          <cell r="C14">
            <v>3198</v>
          </cell>
          <cell r="D14">
            <v>4234</v>
          </cell>
          <cell r="E14">
            <v>4969.9950239999998</v>
          </cell>
          <cell r="F14">
            <v>6510</v>
          </cell>
          <cell r="G14">
            <v>9648</v>
          </cell>
          <cell r="H14">
            <v>14010</v>
          </cell>
          <cell r="I14">
            <v>17112</v>
          </cell>
          <cell r="J14">
            <v>18908</v>
          </cell>
          <cell r="K14">
            <v>20314</v>
          </cell>
          <cell r="L14">
            <v>21112</v>
          </cell>
          <cell r="M14">
            <v>18968.563548168666</v>
          </cell>
          <cell r="N14">
            <v>19664.119773345381</v>
          </cell>
          <cell r="O14">
            <v>20655.941978225343</v>
          </cell>
          <cell r="P14">
            <v>20308.511815449907</v>
          </cell>
          <cell r="Q14">
            <v>19835.75836451834</v>
          </cell>
          <cell r="R14">
            <v>18946.482944176481</v>
          </cell>
          <cell r="S14">
            <v>18343.049584264547</v>
          </cell>
          <cell r="T14">
            <v>18246.739201894128</v>
          </cell>
          <cell r="U14">
            <v>16721.954834052529</v>
          </cell>
          <cell r="V14">
            <v>15993.597053017435</v>
          </cell>
          <cell r="AD14">
            <v>3.186774924823621E-2</v>
          </cell>
          <cell r="AE14" t="str">
            <v xml:space="preserve"> </v>
          </cell>
        </row>
        <row r="15">
          <cell r="AE15" t="str">
            <v xml:space="preserve"> </v>
          </cell>
          <cell r="AF15" t="str">
            <v xml:space="preserve"> </v>
          </cell>
        </row>
        <row r="16">
          <cell r="A16" t="str">
            <v>Virology</v>
          </cell>
        </row>
        <row r="17">
          <cell r="A17" t="str">
            <v>Pegasys</v>
          </cell>
          <cell r="B17">
            <v>0</v>
          </cell>
          <cell r="C17">
            <v>0</v>
          </cell>
          <cell r="D17">
            <v>94</v>
          </cell>
          <cell r="E17">
            <v>711</v>
          </cell>
          <cell r="F17">
            <v>1179</v>
          </cell>
          <cell r="G17">
            <v>1403</v>
          </cell>
          <cell r="H17">
            <v>1467</v>
          </cell>
          <cell r="I17">
            <v>1637</v>
          </cell>
          <cell r="J17">
            <v>1635</v>
          </cell>
          <cell r="K17">
            <v>1655</v>
          </cell>
          <cell r="L17">
            <v>1645</v>
          </cell>
          <cell r="M17">
            <v>1553.5154720191595</v>
          </cell>
          <cell r="N17">
            <v>1961.0847034876438</v>
          </cell>
          <cell r="O17">
            <v>1667.4170111213587</v>
          </cell>
          <cell r="P17">
            <v>1483.095782958284</v>
          </cell>
          <cell r="Q17">
            <v>1334.7862046624555</v>
          </cell>
          <cell r="R17">
            <v>1334.7862046624555</v>
          </cell>
          <cell r="S17">
            <v>1334.7862046624555</v>
          </cell>
          <cell r="T17">
            <v>1334.7862046624555</v>
          </cell>
          <cell r="U17">
            <v>1334.7862046624555</v>
          </cell>
          <cell r="V17">
            <v>1334.7862046624555</v>
          </cell>
          <cell r="AD17">
            <v>3.0731174964551133E-3</v>
          </cell>
          <cell r="AE17" t="str">
            <v>SC</v>
          </cell>
          <cell r="AF17">
            <v>2.7512860528293163E-2</v>
          </cell>
          <cell r="AH17">
            <v>1137.5999999999999</v>
          </cell>
          <cell r="AJ17">
            <v>3221.0006400000002</v>
          </cell>
        </row>
        <row r="18">
          <cell r="A18" t="str">
            <v>Copegus</v>
          </cell>
          <cell r="B18">
            <v>0</v>
          </cell>
          <cell r="C18">
            <v>0</v>
          </cell>
          <cell r="D18">
            <v>0</v>
          </cell>
          <cell r="E18">
            <v>283</v>
          </cell>
          <cell r="F18">
            <v>383</v>
          </cell>
          <cell r="G18">
            <v>407</v>
          </cell>
          <cell r="H18">
            <v>220</v>
          </cell>
          <cell r="I18">
            <v>153</v>
          </cell>
          <cell r="J18">
            <v>129</v>
          </cell>
          <cell r="K18">
            <v>120</v>
          </cell>
          <cell r="L18">
            <v>101</v>
          </cell>
          <cell r="M18">
            <v>88.364345965633007</v>
          </cell>
          <cell r="N18">
            <v>79.424948565980131</v>
          </cell>
          <cell r="O18">
            <v>74.980243459539111</v>
          </cell>
          <cell r="P18">
            <v>67.482219113585202</v>
          </cell>
          <cell r="Q18">
            <v>60.733997202226682</v>
          </cell>
          <cell r="R18">
            <v>54.660597482004015</v>
          </cell>
          <cell r="S18">
            <v>49.194537733803614</v>
          </cell>
          <cell r="T18">
            <v>44.275083960423252</v>
          </cell>
          <cell r="U18">
            <v>39.847575564380925</v>
          </cell>
          <cell r="V18">
            <v>35.862818007942835</v>
          </cell>
          <cell r="AD18">
            <v>-0.11207577974563576</v>
          </cell>
          <cell r="AE18" t="str">
            <v>SC</v>
          </cell>
          <cell r="AF18">
            <v>-1.5201433443153575E-2</v>
          </cell>
          <cell r="AH18">
            <v>424.5</v>
          </cell>
          <cell r="AJ18">
            <v>86.937600000000018</v>
          </cell>
        </row>
        <row r="19">
          <cell r="A19" t="str">
            <v>Cymevene / Valcyte</v>
          </cell>
          <cell r="B19">
            <v>0</v>
          </cell>
          <cell r="C19">
            <v>0</v>
          </cell>
          <cell r="D19">
            <v>296</v>
          </cell>
          <cell r="E19">
            <v>280.82565999999997</v>
          </cell>
          <cell r="F19">
            <v>328</v>
          </cell>
          <cell r="G19">
            <v>394</v>
          </cell>
          <cell r="H19">
            <v>488</v>
          </cell>
          <cell r="I19">
            <v>542</v>
          </cell>
          <cell r="J19">
            <v>553</v>
          </cell>
          <cell r="K19">
            <v>564</v>
          </cell>
          <cell r="L19">
            <v>605</v>
          </cell>
          <cell r="M19">
            <v>553.56154625460522</v>
          </cell>
          <cell r="N19">
            <v>569.83318466423998</v>
          </cell>
          <cell r="O19">
            <v>609.67067125282824</v>
          </cell>
          <cell r="P19">
            <v>640.15420481546971</v>
          </cell>
          <cell r="Q19">
            <v>448.10794337082876</v>
          </cell>
          <cell r="R19">
            <v>358.48635469666306</v>
          </cell>
          <cell r="S19">
            <v>286.78908375733045</v>
          </cell>
          <cell r="T19">
            <v>229.43126700586436</v>
          </cell>
          <cell r="U19">
            <v>183.54501360469149</v>
          </cell>
          <cell r="V19">
            <v>146.8360108837532</v>
          </cell>
          <cell r="AD19">
            <v>1.9802336859541025E-2</v>
          </cell>
          <cell r="AE19" t="str">
            <v>PC</v>
          </cell>
          <cell r="AF19">
            <v>1.3640830009826022E-2</v>
          </cell>
          <cell r="AI19">
            <v>286.96562699999998</v>
          </cell>
          <cell r="AK19">
            <v>316.83323994895159</v>
          </cell>
        </row>
        <row r="20">
          <cell r="A20" t="str">
            <v>Fuzeon</v>
          </cell>
          <cell r="B20">
            <v>0</v>
          </cell>
          <cell r="C20">
            <v>0</v>
          </cell>
          <cell r="D20">
            <v>0</v>
          </cell>
          <cell r="E20">
            <v>0</v>
          </cell>
          <cell r="F20">
            <v>168</v>
          </cell>
          <cell r="G20">
            <v>259</v>
          </cell>
          <cell r="H20">
            <v>308</v>
          </cell>
          <cell r="I20">
            <v>333</v>
          </cell>
          <cell r="J20">
            <v>186</v>
          </cell>
          <cell r="K20">
            <v>200</v>
          </cell>
          <cell r="L20">
            <v>196</v>
          </cell>
          <cell r="M20">
            <v>174.24511328910529</v>
          </cell>
          <cell r="N20">
            <v>181.24000893404178</v>
          </cell>
          <cell r="O20">
            <v>195.81172536724037</v>
          </cell>
          <cell r="P20">
            <v>156.64938029379232</v>
          </cell>
          <cell r="Q20">
            <v>125.31950423503386</v>
          </cell>
          <cell r="R20">
            <v>125.31950423503386</v>
          </cell>
          <cell r="S20">
            <v>125.31950423503386</v>
          </cell>
          <cell r="T20">
            <v>125.31950423503386</v>
          </cell>
          <cell r="U20">
            <v>100.2556033880271</v>
          </cell>
          <cell r="V20">
            <v>80.204482710421686</v>
          </cell>
          <cell r="AD20">
            <v>-8.469519248393409E-2</v>
          </cell>
          <cell r="AE20" t="str">
            <v>SC</v>
          </cell>
          <cell r="AF20">
            <v>1.849604069128952E-3</v>
          </cell>
          <cell r="AH20">
            <v>263.27146012331582</v>
          </cell>
          <cell r="AJ20">
            <v>568.50392435374101</v>
          </cell>
          <cell r="AL20" t="str">
            <v>y</v>
          </cell>
          <cell r="AM20">
            <v>0</v>
          </cell>
          <cell r="AN20">
            <v>186</v>
          </cell>
        </row>
        <row r="21">
          <cell r="A21" t="str">
            <v>Total</v>
          </cell>
          <cell r="B21">
            <v>500</v>
          </cell>
          <cell r="C21">
            <v>452</v>
          </cell>
          <cell r="D21">
            <v>710</v>
          </cell>
          <cell r="E21">
            <v>1549.90506</v>
          </cell>
          <cell r="F21">
            <v>2301</v>
          </cell>
          <cell r="G21">
            <v>2692</v>
          </cell>
          <cell r="H21">
            <v>2483</v>
          </cell>
          <cell r="I21">
            <v>2665</v>
          </cell>
          <cell r="J21">
            <v>2503</v>
          </cell>
          <cell r="K21">
            <v>2539</v>
          </cell>
          <cell r="L21">
            <v>2547</v>
          </cell>
          <cell r="M21">
            <v>2369.6864775285026</v>
          </cell>
          <cell r="N21">
            <v>2791.5828456519057</v>
          </cell>
          <cell r="O21">
            <v>2547.8796512009662</v>
          </cell>
          <cell r="P21">
            <v>2347.3815871811312</v>
          </cell>
          <cell r="Q21">
            <v>1968.9476494705448</v>
          </cell>
          <cell r="R21">
            <v>1873.2526610761565</v>
          </cell>
          <cell r="S21">
            <v>1796.0893303886235</v>
          </cell>
          <cell r="T21">
            <v>1733.812059863777</v>
          </cell>
          <cell r="U21">
            <v>1658.4343972195552</v>
          </cell>
          <cell r="V21">
            <v>1597.6895162645733</v>
          </cell>
          <cell r="AD21">
            <v>-7.4624422873449392E-3</v>
          </cell>
          <cell r="AF21">
            <v>1.3756430264146581E-2</v>
          </cell>
        </row>
        <row r="23">
          <cell r="A23" t="str">
            <v>Blood / Metabolism</v>
          </cell>
        </row>
        <row r="24">
          <cell r="A24" t="str">
            <v>NeoRecormon</v>
          </cell>
          <cell r="B24">
            <v>650</v>
          </cell>
          <cell r="C24">
            <v>746</v>
          </cell>
          <cell r="D24">
            <v>1192</v>
          </cell>
          <cell r="E24">
            <v>2051</v>
          </cell>
          <cell r="F24">
            <v>2082</v>
          </cell>
          <cell r="G24">
            <v>2252</v>
          </cell>
          <cell r="H24">
            <v>2227</v>
          </cell>
          <cell r="I24">
            <v>2094</v>
          </cell>
          <cell r="J24">
            <v>1774</v>
          </cell>
          <cell r="K24">
            <v>1560</v>
          </cell>
          <cell r="L24">
            <v>1285</v>
          </cell>
          <cell r="M24">
            <v>959.04347013376275</v>
          </cell>
          <cell r="N24">
            <v>900.08696897485424</v>
          </cell>
          <cell r="O24">
            <v>863.65058265563175</v>
          </cell>
          <cell r="P24">
            <v>777.28552439006864</v>
          </cell>
          <cell r="Q24">
            <v>699.55697195106177</v>
          </cell>
          <cell r="R24">
            <v>629.60127475595561</v>
          </cell>
          <cell r="S24">
            <v>566.64114728036009</v>
          </cell>
          <cell r="T24">
            <v>509.97703255232409</v>
          </cell>
          <cell r="U24">
            <v>458.97932929709168</v>
          </cell>
          <cell r="V24">
            <v>413.08139636738252</v>
          </cell>
          <cell r="AD24">
            <v>-0.13723292034650547</v>
          </cell>
          <cell r="AE24" t="str">
            <v>PC</v>
          </cell>
          <cell r="AF24">
            <v>-3.017166637766603E-2</v>
          </cell>
          <cell r="AH24" t="str">
            <v xml:space="preserve"> </v>
          </cell>
          <cell r="AI24">
            <v>2353.0321920000006</v>
          </cell>
          <cell r="AJ24" t="str">
            <v xml:space="preserve"> </v>
          </cell>
          <cell r="AK24">
            <v>2915.7655303486413</v>
          </cell>
        </row>
        <row r="25">
          <cell r="A25" t="str">
            <v>Cellcept</v>
          </cell>
          <cell r="B25">
            <v>790</v>
          </cell>
          <cell r="C25">
            <v>1056</v>
          </cell>
          <cell r="D25">
            <v>1173</v>
          </cell>
          <cell r="E25">
            <v>1335</v>
          </cell>
          <cell r="F25">
            <v>1403</v>
          </cell>
          <cell r="G25">
            <v>1705</v>
          </cell>
          <cell r="H25">
            <v>1842</v>
          </cell>
          <cell r="I25">
            <v>2012</v>
          </cell>
          <cell r="J25">
            <v>2099</v>
          </cell>
          <cell r="K25">
            <v>1576</v>
          </cell>
          <cell r="L25">
            <v>1290</v>
          </cell>
          <cell r="M25">
            <v>938.23337442066554</v>
          </cell>
          <cell r="N25">
            <v>765.7713338068379</v>
          </cell>
          <cell r="O25">
            <v>651.32858182090581</v>
          </cell>
          <cell r="P25">
            <v>533.24018148885727</v>
          </cell>
          <cell r="Q25">
            <v>437.55172962000523</v>
          </cell>
          <cell r="R25">
            <v>359.90500968203162</v>
          </cell>
          <cell r="S25">
            <v>296.80127113304997</v>
          </cell>
          <cell r="T25">
            <v>245.43055395512215</v>
          </cell>
          <cell r="U25">
            <v>203.53502650791171</v>
          </cell>
          <cell r="V25">
            <v>169.29954621576195</v>
          </cell>
          <cell r="AD25">
            <v>-0.17136737825052017</v>
          </cell>
          <cell r="AE25" t="str">
            <v>SC</v>
          </cell>
          <cell r="AF25">
            <v>9.9994219987283965E-3</v>
          </cell>
          <cell r="AH25">
            <v>1434.9482640000001</v>
          </cell>
          <cell r="AJ25">
            <v>1884.0558963809651</v>
          </cell>
        </row>
        <row r="26">
          <cell r="A26" t="str">
            <v>Neutrogin</v>
          </cell>
          <cell r="B26">
            <v>0</v>
          </cell>
          <cell r="C26">
            <v>0</v>
          </cell>
          <cell r="D26">
            <v>63</v>
          </cell>
          <cell r="E26">
            <v>318</v>
          </cell>
          <cell r="F26">
            <v>322</v>
          </cell>
          <cell r="G26">
            <v>364</v>
          </cell>
          <cell r="H26">
            <v>379</v>
          </cell>
          <cell r="I26">
            <v>405</v>
          </cell>
          <cell r="J26">
            <v>404</v>
          </cell>
          <cell r="K26">
            <v>385</v>
          </cell>
          <cell r="L26">
            <v>331</v>
          </cell>
          <cell r="M26">
            <v>278.91861954970983</v>
          </cell>
          <cell r="N26">
            <v>272.01297407323585</v>
          </cell>
          <cell r="O26">
            <v>266.5727145917711</v>
          </cell>
          <cell r="P26">
            <v>261.24126029993567</v>
          </cell>
          <cell r="Q26">
            <v>256.01643509393693</v>
          </cell>
          <cell r="R26">
            <v>250.89610639205819</v>
          </cell>
          <cell r="S26">
            <v>245.87818426421703</v>
          </cell>
          <cell r="T26">
            <v>240.96062057893269</v>
          </cell>
          <cell r="U26">
            <v>236.14140816735403</v>
          </cell>
          <cell r="V26">
            <v>231.41858000400694</v>
          </cell>
          <cell r="AD26">
            <v>-6.7332639416333384E-2</v>
          </cell>
          <cell r="AE26" t="str">
            <v>SC</v>
          </cell>
          <cell r="AF26">
            <v>3.6414080110976246E-3</v>
          </cell>
          <cell r="AH26">
            <v>338.87</v>
          </cell>
          <cell r="AJ26">
            <v>378.53847890526316</v>
          </cell>
        </row>
        <row r="27">
          <cell r="A27" t="str">
            <v>Xenical</v>
          </cell>
          <cell r="B27">
            <v>950</v>
          </cell>
          <cell r="C27">
            <v>963</v>
          </cell>
          <cell r="D27">
            <v>763</v>
          </cell>
          <cell r="E27">
            <v>618</v>
          </cell>
          <cell r="F27">
            <v>593</v>
          </cell>
          <cell r="G27">
            <v>635</v>
          </cell>
          <cell r="H27">
            <v>693</v>
          </cell>
          <cell r="I27">
            <v>632</v>
          </cell>
          <cell r="J27">
            <v>502</v>
          </cell>
          <cell r="K27">
            <v>397</v>
          </cell>
          <cell r="L27">
            <v>337</v>
          </cell>
          <cell r="M27">
            <v>259.04626794656446</v>
          </cell>
          <cell r="N27">
            <v>231.48094121949021</v>
          </cell>
          <cell r="O27">
            <v>218.52702006425852</v>
          </cell>
          <cell r="P27">
            <v>196.67431805783266</v>
          </cell>
          <cell r="Q27">
            <v>177.00688625204941</v>
          </cell>
          <cell r="R27">
            <v>159.30619762684447</v>
          </cell>
          <cell r="S27">
            <v>143.37557786416002</v>
          </cell>
          <cell r="T27">
            <v>129.03802007774402</v>
          </cell>
          <cell r="U27">
            <v>116.13421806996962</v>
          </cell>
          <cell r="V27">
            <v>104.52079626297267</v>
          </cell>
          <cell r="AD27">
            <v>-0.16221738456341661</v>
          </cell>
          <cell r="AE27" t="str">
            <v>PC</v>
          </cell>
          <cell r="AF27">
            <v>-1.1328824923414832E-2</v>
          </cell>
          <cell r="AI27">
            <v>556.12107000000003</v>
          </cell>
          <cell r="AK27">
            <v>611.59067097581249</v>
          </cell>
        </row>
        <row r="28">
          <cell r="A28" t="str">
            <v>Nutropin / Protropin</v>
          </cell>
          <cell r="B28">
            <v>390</v>
          </cell>
          <cell r="C28">
            <v>435</v>
          </cell>
          <cell r="D28">
            <v>477</v>
          </cell>
          <cell r="E28">
            <v>442</v>
          </cell>
          <cell r="F28">
            <v>448</v>
          </cell>
          <cell r="G28">
            <v>476</v>
          </cell>
          <cell r="H28">
            <v>494</v>
          </cell>
          <cell r="I28">
            <v>470</v>
          </cell>
          <cell r="J28">
            <v>413</v>
          </cell>
          <cell r="K28">
            <v>400</v>
          </cell>
          <cell r="L28">
            <v>405</v>
          </cell>
          <cell r="M28">
            <v>325.5100896805032</v>
          </cell>
          <cell r="N28">
            <v>259.52856641408482</v>
          </cell>
          <cell r="O28">
            <v>217.78228457067277</v>
          </cell>
          <cell r="P28">
            <v>174.22582765653823</v>
          </cell>
          <cell r="Q28">
            <v>139.3806621252306</v>
          </cell>
          <cell r="R28">
            <v>111.50452970018449</v>
          </cell>
          <cell r="S28">
            <v>89.203623760147593</v>
          </cell>
          <cell r="T28">
            <v>71.362899008118077</v>
          </cell>
          <cell r="U28">
            <v>57.090319206494463</v>
          </cell>
          <cell r="V28">
            <v>45.672255365195575</v>
          </cell>
          <cell r="AD28">
            <v>-0.12032797302289211</v>
          </cell>
          <cell r="AE28" t="str">
            <v>SC</v>
          </cell>
          <cell r="AF28">
            <v>-2.7744061036934281E-3</v>
          </cell>
          <cell r="AH28">
            <v>443.35665477776479</v>
          </cell>
          <cell r="AJ28">
            <v>291.53403445874483</v>
          </cell>
        </row>
        <row r="29">
          <cell r="A29" t="str">
            <v>Bonviva</v>
          </cell>
          <cell r="B29">
            <v>0</v>
          </cell>
          <cell r="C29">
            <v>0</v>
          </cell>
          <cell r="D29">
            <v>0</v>
          </cell>
          <cell r="E29">
            <v>0</v>
          </cell>
          <cell r="F29">
            <v>0</v>
          </cell>
          <cell r="G29">
            <v>86</v>
          </cell>
          <cell r="H29">
            <v>488</v>
          </cell>
          <cell r="I29">
            <v>887</v>
          </cell>
          <cell r="J29">
            <v>1108</v>
          </cell>
          <cell r="K29">
            <v>1058</v>
          </cell>
          <cell r="L29">
            <v>1013</v>
          </cell>
          <cell r="M29">
            <v>848.68129132059187</v>
          </cell>
          <cell r="N29">
            <v>760.90201041794126</v>
          </cell>
          <cell r="O29">
            <v>399.06728874992308</v>
          </cell>
          <cell r="P29">
            <v>239.44037324995384</v>
          </cell>
          <cell r="Q29">
            <v>191.55229859996308</v>
          </cell>
          <cell r="R29">
            <v>153.24183887997046</v>
          </cell>
          <cell r="S29">
            <v>122.59347110397637</v>
          </cell>
          <cell r="T29">
            <v>98.074776883181102</v>
          </cell>
          <cell r="U29">
            <v>78.459821506544884</v>
          </cell>
          <cell r="V29">
            <v>62.767857205235913</v>
          </cell>
          <cell r="AD29">
            <v>-0.12463921861759841</v>
          </cell>
          <cell r="AE29" t="str">
            <v>SC</v>
          </cell>
          <cell r="AF29">
            <v>6.1152534535575981E-2</v>
          </cell>
          <cell r="AH29">
            <v>80</v>
          </cell>
          <cell r="AJ29">
            <v>234.82368000000005</v>
          </cell>
        </row>
        <row r="30">
          <cell r="A30" t="str">
            <v>Mircera</v>
          </cell>
          <cell r="F30">
            <v>0</v>
          </cell>
          <cell r="G30">
            <v>0</v>
          </cell>
          <cell r="H30">
            <v>0</v>
          </cell>
          <cell r="I30">
            <v>0</v>
          </cell>
          <cell r="J30">
            <v>55</v>
          </cell>
          <cell r="K30">
            <v>168</v>
          </cell>
          <cell r="L30">
            <v>244</v>
          </cell>
          <cell r="M30">
            <v>265.32486812497689</v>
          </cell>
          <cell r="N30">
            <v>317.69625073601617</v>
          </cell>
          <cell r="O30">
            <v>355.64153439105939</v>
          </cell>
          <cell r="P30">
            <v>446.3107804227912</v>
          </cell>
          <cell r="Q30">
            <v>577.30010383547494</v>
          </cell>
          <cell r="R30">
            <v>738.61910695053916</v>
          </cell>
          <cell r="S30">
            <v>820.27768015905542</v>
          </cell>
          <cell r="T30">
            <v>853.28601056382718</v>
          </cell>
          <cell r="U30">
            <v>878.88459088074194</v>
          </cell>
          <cell r="V30">
            <v>905.25112860716422</v>
          </cell>
        </row>
        <row r="31">
          <cell r="A31" t="str">
            <v>Total</v>
          </cell>
          <cell r="B31">
            <v>2780</v>
          </cell>
          <cell r="C31">
            <v>3200</v>
          </cell>
          <cell r="D31">
            <v>3668</v>
          </cell>
          <cell r="E31">
            <v>4764</v>
          </cell>
          <cell r="F31">
            <v>4848</v>
          </cell>
          <cell r="G31">
            <v>5518</v>
          </cell>
          <cell r="H31">
            <v>6123</v>
          </cell>
          <cell r="I31">
            <v>6500</v>
          </cell>
          <cell r="J31">
            <v>6355</v>
          </cell>
          <cell r="K31">
            <v>5544</v>
          </cell>
          <cell r="L31">
            <v>4905</v>
          </cell>
          <cell r="M31">
            <v>3874.757981176775</v>
          </cell>
          <cell r="N31">
            <v>3507.4790456424607</v>
          </cell>
          <cell r="O31">
            <v>2972.5700068442225</v>
          </cell>
          <cell r="P31">
            <v>2628.4182655659774</v>
          </cell>
          <cell r="Q31">
            <v>2478.3650874777218</v>
          </cell>
          <cell r="R31">
            <v>2403.0740639875839</v>
          </cell>
          <cell r="S31">
            <v>2284.7709555649662</v>
          </cell>
          <cell r="T31">
            <v>2148.1299136192492</v>
          </cell>
          <cell r="U31">
            <v>2029.2247136361084</v>
          </cell>
          <cell r="V31">
            <v>1932.0115600277197</v>
          </cell>
          <cell r="AD31">
            <v>-0.12225212012810616</v>
          </cell>
          <cell r="AF31">
            <v>4.0228888503554709E-2</v>
          </cell>
        </row>
        <row r="33">
          <cell r="A33" t="str">
            <v>Cardiology / Respiratory</v>
          </cell>
          <cell r="AH33" t="str">
            <v xml:space="preserve"> </v>
          </cell>
          <cell r="AJ33" t="str">
            <v xml:space="preserve"> </v>
          </cell>
        </row>
        <row r="34">
          <cell r="A34" t="str">
            <v>Dilatrend</v>
          </cell>
          <cell r="B34">
            <v>240</v>
          </cell>
          <cell r="C34">
            <v>288</v>
          </cell>
          <cell r="D34">
            <v>345.6</v>
          </cell>
          <cell r="E34">
            <v>392</v>
          </cell>
          <cell r="F34">
            <v>361</v>
          </cell>
          <cell r="G34">
            <v>326</v>
          </cell>
          <cell r="H34">
            <v>304</v>
          </cell>
          <cell r="I34">
            <v>289</v>
          </cell>
          <cell r="J34">
            <v>220</v>
          </cell>
          <cell r="K34">
            <v>185</v>
          </cell>
          <cell r="L34">
            <v>178</v>
          </cell>
          <cell r="M34">
            <v>137.85404077081833</v>
          </cell>
          <cell r="N34">
            <v>124.9535274134127</v>
          </cell>
          <cell r="O34">
            <v>117.96099431909356</v>
          </cell>
          <cell r="P34">
            <v>106.1648948871842</v>
          </cell>
          <cell r="Q34">
            <v>95.548405398465789</v>
          </cell>
          <cell r="R34">
            <v>85.993564858619209</v>
          </cell>
          <cell r="S34">
            <v>77.394208372757291</v>
          </cell>
          <cell r="T34">
            <v>69.65478753548156</v>
          </cell>
          <cell r="U34">
            <v>62.689308781933406</v>
          </cell>
          <cell r="V34">
            <v>56.420377903740068</v>
          </cell>
          <cell r="AD34">
            <v>-0.13872845914824616</v>
          </cell>
          <cell r="AE34" t="str">
            <v>SC</v>
          </cell>
          <cell r="AF34">
            <v>-1.0172822380209237E-2</v>
          </cell>
          <cell r="AH34">
            <v>433.07407360000002</v>
          </cell>
          <cell r="AJ34">
            <v>413.44577074741267</v>
          </cell>
        </row>
        <row r="35">
          <cell r="A35" t="str">
            <v>Pulmozyme</v>
          </cell>
          <cell r="B35">
            <v>300</v>
          </cell>
          <cell r="C35">
            <v>319</v>
          </cell>
          <cell r="D35">
            <v>320</v>
          </cell>
          <cell r="E35">
            <v>328</v>
          </cell>
          <cell r="F35">
            <v>338</v>
          </cell>
          <cell r="G35">
            <v>393</v>
          </cell>
          <cell r="H35">
            <v>436</v>
          </cell>
          <cell r="I35">
            <v>483</v>
          </cell>
          <cell r="J35">
            <v>496</v>
          </cell>
          <cell r="K35">
            <v>501</v>
          </cell>
          <cell r="L35">
            <v>513</v>
          </cell>
          <cell r="M35">
            <v>468.1413956667912</v>
          </cell>
          <cell r="N35">
            <v>485.39132191365525</v>
          </cell>
          <cell r="O35">
            <v>524.41683699534588</v>
          </cell>
          <cell r="P35">
            <v>471.97515329581131</v>
          </cell>
          <cell r="Q35">
            <v>424.7776379662302</v>
          </cell>
          <cell r="R35">
            <v>382.29987416960716</v>
          </cell>
          <cell r="S35">
            <v>344.06988675264648</v>
          </cell>
          <cell r="T35">
            <v>309.66289807738184</v>
          </cell>
          <cell r="U35">
            <v>278.69660826964366</v>
          </cell>
          <cell r="V35">
            <v>250.82694744267931</v>
          </cell>
          <cell r="AD35">
            <v>1.3806137318116418E-2</v>
          </cell>
          <cell r="AE35" t="str">
            <v>PC</v>
          </cell>
          <cell r="AF35">
            <v>9.4214207271255991E-3</v>
          </cell>
          <cell r="AI35">
            <v>321.50535000000002</v>
          </cell>
          <cell r="AK35">
            <v>307.4005991612903</v>
          </cell>
        </row>
        <row r="36">
          <cell r="A36" t="str">
            <v>Activase / TNKase</v>
          </cell>
          <cell r="B36">
            <v>330</v>
          </cell>
          <cell r="C36">
            <v>371</v>
          </cell>
          <cell r="D36">
            <v>322</v>
          </cell>
          <cell r="E36">
            <v>278</v>
          </cell>
          <cell r="F36">
            <v>275</v>
          </cell>
          <cell r="G36">
            <v>310</v>
          </cell>
          <cell r="H36">
            <v>362</v>
          </cell>
          <cell r="I36">
            <v>382</v>
          </cell>
          <cell r="J36">
            <v>342</v>
          </cell>
          <cell r="K36">
            <v>455</v>
          </cell>
          <cell r="L36">
            <v>460</v>
          </cell>
          <cell r="M36">
            <v>437.75887539084619</v>
          </cell>
          <cell r="N36">
            <v>453.72990812663943</v>
          </cell>
          <cell r="O36">
            <v>490.20984209579291</v>
          </cell>
          <cell r="P36">
            <v>465.69934999100326</v>
          </cell>
          <cell r="Q36">
            <v>442.41438249145307</v>
          </cell>
          <cell r="R36">
            <v>420.29366336688042</v>
          </cell>
          <cell r="S36">
            <v>399.27898019853637</v>
          </cell>
          <cell r="T36">
            <v>379.31503118860951</v>
          </cell>
          <cell r="U36">
            <v>360.34927962917902</v>
          </cell>
          <cell r="V36">
            <v>342.33181564772008</v>
          </cell>
          <cell r="AD36">
            <v>4.2444903915902721E-2</v>
          </cell>
          <cell r="AE36" t="str">
            <v>SC</v>
          </cell>
          <cell r="AF36">
            <v>1.0404022888850355E-2</v>
          </cell>
          <cell r="AH36">
            <v>292.964091</v>
          </cell>
          <cell r="AJ36">
            <v>357.75089393547597</v>
          </cell>
          <cell r="AL36" t="str">
            <v>y</v>
          </cell>
          <cell r="AM36">
            <v>278</v>
          </cell>
          <cell r="AN36">
            <v>342</v>
          </cell>
        </row>
        <row r="37">
          <cell r="A37" t="str">
            <v>Xolair</v>
          </cell>
          <cell r="B37">
            <v>0</v>
          </cell>
          <cell r="C37">
            <v>0</v>
          </cell>
          <cell r="D37">
            <v>0</v>
          </cell>
          <cell r="E37">
            <v>0</v>
          </cell>
          <cell r="F37">
            <v>0</v>
          </cell>
          <cell r="G37">
            <v>0</v>
          </cell>
          <cell r="H37">
            <v>537</v>
          </cell>
          <cell r="I37">
            <v>567</v>
          </cell>
          <cell r="J37">
            <v>560</v>
          </cell>
          <cell r="K37">
            <v>620</v>
          </cell>
          <cell r="L37">
            <v>641</v>
          </cell>
          <cell r="M37">
            <v>567.43231151789917</v>
          </cell>
          <cell r="N37">
            <v>587.69673609326242</v>
          </cell>
          <cell r="O37">
            <v>640.68490128118719</v>
          </cell>
          <cell r="P37">
            <v>672.71914634524649</v>
          </cell>
          <cell r="Q37">
            <v>686.17352927215143</v>
          </cell>
          <cell r="R37">
            <v>699.89699985759455</v>
          </cell>
          <cell r="S37">
            <v>713.89493985474633</v>
          </cell>
          <cell r="T37">
            <v>728.1728386518414</v>
          </cell>
          <cell r="U37">
            <v>742.73629542487822</v>
          </cell>
          <cell r="V37">
            <v>757.59102133337581</v>
          </cell>
        </row>
        <row r="38">
          <cell r="A38" t="str">
            <v>Tamiflu</v>
          </cell>
          <cell r="B38">
            <v>70</v>
          </cell>
          <cell r="C38">
            <v>140</v>
          </cell>
          <cell r="D38">
            <v>211</v>
          </cell>
          <cell r="E38">
            <v>449</v>
          </cell>
          <cell r="F38">
            <v>330</v>
          </cell>
          <cell r="G38">
            <v>1558</v>
          </cell>
          <cell r="H38">
            <v>2627</v>
          </cell>
          <cell r="I38">
            <v>2085</v>
          </cell>
          <cell r="J38">
            <v>609</v>
          </cell>
          <cell r="K38">
            <v>3200</v>
          </cell>
          <cell r="L38">
            <v>873</v>
          </cell>
          <cell r="M38">
            <v>332.00074302463236</v>
          </cell>
          <cell r="N38">
            <v>267.31755256441937</v>
          </cell>
          <cell r="O38">
            <v>252.35817629315409</v>
          </cell>
          <cell r="P38">
            <v>239.74026747849638</v>
          </cell>
          <cell r="Q38">
            <v>227.75325410457154</v>
          </cell>
          <cell r="R38">
            <v>223.19818902248011</v>
          </cell>
          <cell r="S38">
            <v>218.7342252420305</v>
          </cell>
          <cell r="T38">
            <v>214.35954073718989</v>
          </cell>
          <cell r="U38">
            <v>210.07234992244608</v>
          </cell>
          <cell r="V38">
            <v>205.87090292399716</v>
          </cell>
          <cell r="AD38">
            <v>-0.29668174999041963</v>
          </cell>
          <cell r="AE38" t="str">
            <v>PC</v>
          </cell>
          <cell r="AF38">
            <v>0.16588636495000289</v>
          </cell>
          <cell r="AI38">
            <v>226.96124554455443</v>
          </cell>
          <cell r="AK38">
            <v>355.61828535363298</v>
          </cell>
          <cell r="AL38" t="str">
            <v>y</v>
          </cell>
          <cell r="AM38">
            <v>449</v>
          </cell>
          <cell r="AN38">
            <v>609</v>
          </cell>
        </row>
        <row r="39">
          <cell r="A39" t="str">
            <v>Total</v>
          </cell>
          <cell r="B39">
            <v>940</v>
          </cell>
          <cell r="C39">
            <v>1118</v>
          </cell>
          <cell r="D39">
            <v>1198.5999999999999</v>
          </cell>
          <cell r="E39">
            <v>1447</v>
          </cell>
          <cell r="F39">
            <v>1304</v>
          </cell>
          <cell r="G39">
            <v>2587</v>
          </cell>
          <cell r="H39">
            <v>4266</v>
          </cell>
          <cell r="I39">
            <v>3806</v>
          </cell>
          <cell r="J39">
            <v>2227</v>
          </cell>
          <cell r="K39">
            <v>4961</v>
          </cell>
          <cell r="L39">
            <v>2665</v>
          </cell>
          <cell r="M39">
            <v>1943.1873663709871</v>
          </cell>
          <cell r="N39">
            <v>1919.0890461113893</v>
          </cell>
          <cell r="O39">
            <v>2025.6307509845738</v>
          </cell>
          <cell r="P39">
            <v>1956.2988119977415</v>
          </cell>
          <cell r="Q39">
            <v>1876.6672092328722</v>
          </cell>
          <cell r="R39">
            <v>1811.6822912751813</v>
          </cell>
          <cell r="S39">
            <v>1753.3722404207172</v>
          </cell>
          <cell r="T39">
            <v>1701.1650961905043</v>
          </cell>
          <cell r="U39">
            <v>1654.5438420280805</v>
          </cell>
          <cell r="V39">
            <v>1613.0410652515125</v>
          </cell>
          <cell r="AD39">
            <v>-9.9780154288371281E-2</v>
          </cell>
          <cell r="AF39">
            <v>0.21137506502514306</v>
          </cell>
        </row>
        <row r="41">
          <cell r="A41" t="str">
            <v>Other</v>
          </cell>
        </row>
        <row r="42">
          <cell r="A42" t="str">
            <v>Rocephin</v>
          </cell>
          <cell r="B42">
            <v>1710</v>
          </cell>
          <cell r="C42">
            <v>1698</v>
          </cell>
          <cell r="D42">
            <v>1548</v>
          </cell>
          <cell r="E42">
            <v>1375</v>
          </cell>
          <cell r="F42">
            <v>1302</v>
          </cell>
          <cell r="G42">
            <v>927</v>
          </cell>
          <cell r="H42">
            <v>416</v>
          </cell>
          <cell r="I42">
            <v>398</v>
          </cell>
          <cell r="J42">
            <v>344</v>
          </cell>
          <cell r="K42">
            <v>307</v>
          </cell>
          <cell r="L42">
            <v>311</v>
          </cell>
          <cell r="M42">
            <v>242.42728653428296</v>
          </cell>
          <cell r="N42">
            <v>231.74223043227835</v>
          </cell>
          <cell r="O42">
            <v>230.927780989404</v>
          </cell>
          <cell r="P42">
            <v>219.38139193993379</v>
          </cell>
          <cell r="Q42">
            <v>208.4123223429371</v>
          </cell>
          <cell r="R42">
            <v>197.99170622579024</v>
          </cell>
          <cell r="S42">
            <v>188.09212091450073</v>
          </cell>
          <cell r="T42">
            <v>178.68751486877568</v>
          </cell>
          <cell r="U42">
            <v>169.7531391253369</v>
          </cell>
          <cell r="V42">
            <v>161.26548216907005</v>
          </cell>
          <cell r="AD42">
            <v>-8.673071503291474E-2</v>
          </cell>
          <cell r="AE42" t="str">
            <v>PC</v>
          </cell>
          <cell r="AF42">
            <v>-5.7511126524478352E-2</v>
          </cell>
          <cell r="AI42">
            <v>1182.6285504</v>
          </cell>
          <cell r="AK42">
            <v>386.76388455143996</v>
          </cell>
        </row>
        <row r="43">
          <cell r="A43" t="str">
            <v>Roaccutane</v>
          </cell>
          <cell r="B43">
            <v>1280</v>
          </cell>
          <cell r="C43">
            <v>1166.2</v>
          </cell>
          <cell r="D43">
            <v>911</v>
          </cell>
          <cell r="E43">
            <v>695</v>
          </cell>
          <cell r="F43">
            <v>316</v>
          </cell>
          <cell r="G43">
            <v>209</v>
          </cell>
          <cell r="H43">
            <v>188</v>
          </cell>
          <cell r="I43">
            <v>119</v>
          </cell>
          <cell r="J43">
            <v>104</v>
          </cell>
          <cell r="K43">
            <v>100</v>
          </cell>
          <cell r="L43">
            <v>94</v>
          </cell>
          <cell r="M43">
            <v>79.559964444493033</v>
          </cell>
          <cell r="N43">
            <v>78.670976656427129</v>
          </cell>
          <cell r="O43">
            <v>80.870105924776325</v>
          </cell>
          <cell r="P43">
            <v>76.826600628537506</v>
          </cell>
          <cell r="Q43">
            <v>72.985270597110627</v>
          </cell>
          <cell r="R43">
            <v>69.336007067255096</v>
          </cell>
          <cell r="S43">
            <v>65.869206713892339</v>
          </cell>
          <cell r="T43">
            <v>62.575746378197721</v>
          </cell>
          <cell r="U43">
            <v>59.446959059287835</v>
          </cell>
          <cell r="V43">
            <v>56.474611106323444</v>
          </cell>
          <cell r="AD43">
            <v>-6.2351258414838462E-2</v>
          </cell>
          <cell r="AE43" t="str">
            <v>PC</v>
          </cell>
          <cell r="AF43">
            <v>-1.2484827466620427E-2</v>
          </cell>
          <cell r="AI43">
            <v>488.36868500000003</v>
          </cell>
          <cell r="AK43">
            <v>389.82375931204558</v>
          </cell>
        </row>
        <row r="44">
          <cell r="A44" t="str">
            <v>Lucentis</v>
          </cell>
          <cell r="F44">
            <v>0</v>
          </cell>
          <cell r="G44">
            <v>0</v>
          </cell>
          <cell r="H44">
            <v>477</v>
          </cell>
          <cell r="I44">
            <v>991</v>
          </cell>
          <cell r="J44">
            <v>960</v>
          </cell>
          <cell r="K44">
            <v>1198</v>
          </cell>
          <cell r="L44">
            <v>1458</v>
          </cell>
          <cell r="M44">
            <v>1474.1487253916521</v>
          </cell>
          <cell r="N44">
            <v>1572.7686214767755</v>
          </cell>
          <cell r="O44">
            <v>1468.6459991268505</v>
          </cell>
          <cell r="P44">
            <v>1321.7813992141655</v>
          </cell>
          <cell r="Q44">
            <v>1189.603259292749</v>
          </cell>
          <cell r="R44">
            <v>1070.6429333634742</v>
          </cell>
          <cell r="S44">
            <v>1070.6429333634742</v>
          </cell>
          <cell r="T44">
            <v>1070.6429333634742</v>
          </cell>
          <cell r="U44">
            <v>1070.6429333634742</v>
          </cell>
          <cell r="V44">
            <v>1070.6429333634742</v>
          </cell>
          <cell r="AD44">
            <v>6.7760650416898605E-2</v>
          </cell>
        </row>
        <row r="45">
          <cell r="A45" t="str">
            <v>Total</v>
          </cell>
          <cell r="B45">
            <v>3526</v>
          </cell>
          <cell r="C45">
            <v>3384.2</v>
          </cell>
          <cell r="D45">
            <v>2942</v>
          </cell>
          <cell r="E45">
            <v>2525</v>
          </cell>
          <cell r="F45">
            <v>2063</v>
          </cell>
          <cell r="G45">
            <v>1569</v>
          </cell>
          <cell r="H45">
            <v>1081</v>
          </cell>
          <cell r="I45">
            <v>1508</v>
          </cell>
          <cell r="J45">
            <v>1408</v>
          </cell>
          <cell r="K45">
            <v>1750</v>
          </cell>
          <cell r="L45">
            <v>2260</v>
          </cell>
          <cell r="M45">
            <v>2438.8373506850221</v>
          </cell>
          <cell r="N45">
            <v>2802.884021424848</v>
          </cell>
          <cell r="O45">
            <v>2851.2666507220392</v>
          </cell>
          <cell r="P45">
            <v>2742.3532946976957</v>
          </cell>
          <cell r="Q45">
            <v>2651.5829502936085</v>
          </cell>
          <cell r="R45">
            <v>2553.9702076591557</v>
          </cell>
          <cell r="S45">
            <v>2577.0838088245828</v>
          </cell>
          <cell r="T45">
            <v>2601.9601288781446</v>
          </cell>
          <cell r="U45">
            <v>2628.5985838438269</v>
          </cell>
          <cell r="V45">
            <v>2657.0012455034675</v>
          </cell>
          <cell r="AD45">
            <v>0.11200331558873344</v>
          </cell>
          <cell r="AF45">
            <v>-1.8091439801167564E-2</v>
          </cell>
        </row>
        <row r="46">
          <cell r="B46">
            <v>0</v>
          </cell>
          <cell r="C46">
            <v>0</v>
          </cell>
        </row>
        <row r="47">
          <cell r="A47" t="str">
            <v>Other Pharma</v>
          </cell>
          <cell r="B47">
            <v>6656</v>
          </cell>
          <cell r="C47">
            <v>5838.8</v>
          </cell>
          <cell r="D47">
            <v>5001.3999999999996</v>
          </cell>
          <cell r="E47">
            <v>4593</v>
          </cell>
          <cell r="F47">
            <v>4669</v>
          </cell>
          <cell r="G47">
            <v>5254</v>
          </cell>
          <cell r="H47">
            <v>5331</v>
          </cell>
          <cell r="I47">
            <v>5192</v>
          </cell>
          <cell r="J47">
            <v>4560</v>
          </cell>
          <cell r="K47">
            <v>3888</v>
          </cell>
          <cell r="L47">
            <v>3569</v>
          </cell>
          <cell r="M47">
            <v>2903.6835159961388</v>
          </cell>
          <cell r="N47">
            <v>2855.7279775527654</v>
          </cell>
          <cell r="O47">
            <v>2935.5555740157729</v>
          </cell>
          <cell r="P47">
            <v>2935.5555740157729</v>
          </cell>
          <cell r="Q47">
            <v>2935.5555740157729</v>
          </cell>
          <cell r="R47">
            <v>2935.5555740157729</v>
          </cell>
          <cell r="S47">
            <v>2935.5555740157729</v>
          </cell>
          <cell r="T47">
            <v>2935.5555740157729</v>
          </cell>
          <cell r="U47">
            <v>2935.5555740157729</v>
          </cell>
          <cell r="V47">
            <v>2935.5555740157729</v>
          </cell>
          <cell r="AD47">
            <v>-9.0660749802432217E-2</v>
          </cell>
          <cell r="AF47">
            <v>-4.5141899312178484E-2</v>
          </cell>
          <cell r="AH47">
            <v>2552.0932676683756</v>
          </cell>
          <cell r="AI47">
            <v>2552.0932676683756</v>
          </cell>
          <cell r="AJ47">
            <v>2835.73518480861</v>
          </cell>
          <cell r="AK47">
            <v>2835.73518480861</v>
          </cell>
        </row>
        <row r="48">
          <cell r="A48" t="str">
            <v>New Products</v>
          </cell>
          <cell r="G48">
            <v>0</v>
          </cell>
          <cell r="H48">
            <v>0</v>
          </cell>
          <cell r="I48">
            <v>0</v>
          </cell>
          <cell r="J48">
            <v>0</v>
          </cell>
          <cell r="K48">
            <v>0</v>
          </cell>
          <cell r="L48">
            <v>0</v>
          </cell>
          <cell r="M48">
            <v>30</v>
          </cell>
          <cell r="N48">
            <v>335</v>
          </cell>
          <cell r="O48">
            <v>1190</v>
          </cell>
          <cell r="P48">
            <v>2710</v>
          </cell>
          <cell r="Q48">
            <v>4602.5</v>
          </cell>
          <cell r="R48">
            <v>5677.5</v>
          </cell>
          <cell r="S48">
            <v>6469.15</v>
          </cell>
          <cell r="T48">
            <v>7147.0244999999995</v>
          </cell>
          <cell r="U48">
            <v>7497.3102349999999</v>
          </cell>
          <cell r="V48">
            <v>7753.9295420500011</v>
          </cell>
          <cell r="AF48">
            <v>0</v>
          </cell>
          <cell r="AJ48">
            <v>2733</v>
          </cell>
          <cell r="AK48">
            <v>789</v>
          </cell>
        </row>
        <row r="49">
          <cell r="B49">
            <v>0</v>
          </cell>
          <cell r="C49">
            <v>0</v>
          </cell>
        </row>
        <row r="50">
          <cell r="A50" t="str">
            <v>Prescription Pharma</v>
          </cell>
          <cell r="B50">
            <v>15992</v>
          </cell>
          <cell r="C50">
            <v>17191</v>
          </cell>
          <cell r="D50">
            <v>17754</v>
          </cell>
          <cell r="E50">
            <v>19781</v>
          </cell>
          <cell r="F50">
            <v>21695</v>
          </cell>
          <cell r="G50">
            <v>27268</v>
          </cell>
          <cell r="H50">
            <v>33294</v>
          </cell>
          <cell r="I50">
            <v>36783</v>
          </cell>
          <cell r="J50">
            <v>35961</v>
          </cell>
          <cell r="K50">
            <v>38996</v>
          </cell>
          <cell r="L50">
            <v>37058</v>
          </cell>
          <cell r="M50">
            <v>32383.202312326277</v>
          </cell>
          <cell r="N50">
            <v>33348.184012077712</v>
          </cell>
          <cell r="O50">
            <v>34848.047582077292</v>
          </cell>
          <cell r="P50">
            <v>35313.749057852729</v>
          </cell>
          <cell r="Q50">
            <v>36053.763897798483</v>
          </cell>
          <cell r="R50">
            <v>35919.979254243088</v>
          </cell>
          <cell r="S50">
            <v>35880.900188014988</v>
          </cell>
          <cell r="T50">
            <v>36238.72833693197</v>
          </cell>
          <cell r="U50">
            <v>34856.660243767765</v>
          </cell>
          <cell r="V50">
            <v>34214.788528585814</v>
          </cell>
          <cell r="AD50">
            <v>-8.9660084206475421E-3</v>
          </cell>
          <cell r="AH50">
            <v>13966.655681924543</v>
          </cell>
          <cell r="AI50">
            <v>8199.2392076129308</v>
          </cell>
          <cell r="AJ50">
            <v>24127.535188336638</v>
          </cell>
          <cell r="AK50">
            <v>8919.827964792401</v>
          </cell>
          <cell r="AM50">
            <v>4366.8363040000004</v>
          </cell>
          <cell r="AN50">
            <v>14919</v>
          </cell>
        </row>
        <row r="51">
          <cell r="A51" t="str">
            <v>YOY Growth</v>
          </cell>
          <cell r="B51">
            <v>0</v>
          </cell>
          <cell r="C51">
            <v>7.497498749374687E-2</v>
          </cell>
          <cell r="D51">
            <v>3.2749694607643542E-2</v>
          </cell>
          <cell r="E51">
            <v>1.0491509608683502E-2</v>
          </cell>
          <cell r="F51">
            <v>0</v>
          </cell>
          <cell r="G51">
            <v>0.25687946531458872</v>
          </cell>
          <cell r="H51">
            <v>0.22099163855068205</v>
          </cell>
          <cell r="I51">
            <v>0.10479365651468742</v>
          </cell>
          <cell r="J51">
            <v>-2.23472799934753E-2</v>
          </cell>
          <cell r="K51">
            <v>8.4396985623314213E-2</v>
          </cell>
          <cell r="L51">
            <v>-4.9697404862037109E-2</v>
          </cell>
          <cell r="M51">
            <v>-0.12614813772124034</v>
          </cell>
          <cell r="N51">
            <v>2.979883491584534E-2</v>
          </cell>
          <cell r="O51">
            <v>4.4975869434340732E-2</v>
          </cell>
          <cell r="P51">
            <v>1.3363775249634058E-2</v>
          </cell>
          <cell r="Q51">
            <v>2.095543123256105E-2</v>
          </cell>
          <cell r="R51">
            <v>-3.710698387403677E-3</v>
          </cell>
          <cell r="S51">
            <v>-1.0879479064143105E-3</v>
          </cell>
          <cell r="T51">
            <v>9.9726636467305507E-3</v>
          </cell>
          <cell r="U51">
            <v>-3.8137875046672098E-2</v>
          </cell>
          <cell r="V51">
            <v>-1.8414607443543507E-2</v>
          </cell>
          <cell r="AM51">
            <v>0.2207591276477428</v>
          </cell>
          <cell r="AN51">
            <v>0.75420858399474244</v>
          </cell>
        </row>
        <row r="53">
          <cell r="A53" t="str">
            <v>OTC</v>
          </cell>
          <cell r="B53">
            <v>1694</v>
          </cell>
          <cell r="C53">
            <v>1639</v>
          </cell>
          <cell r="D53">
            <v>1552</v>
          </cell>
          <cell r="E53">
            <v>218.09799999999996</v>
          </cell>
          <cell r="F53">
            <v>213.1903742909538</v>
          </cell>
          <cell r="G53">
            <v>223.84989300550149</v>
          </cell>
          <cell r="H53">
            <v>235.04238765577657</v>
          </cell>
          <cell r="I53">
            <v>246.7945070385654</v>
          </cell>
          <cell r="J53">
            <v>246.7945070385654</v>
          </cell>
          <cell r="K53">
            <v>259.13423239049371</v>
          </cell>
          <cell r="L53">
            <v>272.0909440100184</v>
          </cell>
          <cell r="M53">
            <v>285.69549121051932</v>
          </cell>
          <cell r="N53">
            <v>299.98026577104531</v>
          </cell>
          <cell r="O53">
            <v>314.97927905959762</v>
          </cell>
          <cell r="P53">
            <v>0</v>
          </cell>
          <cell r="Q53">
            <v>0</v>
          </cell>
          <cell r="R53">
            <v>0</v>
          </cell>
          <cell r="S53">
            <v>0</v>
          </cell>
          <cell r="T53">
            <v>0</v>
          </cell>
          <cell r="U53">
            <v>0</v>
          </cell>
          <cell r="V53">
            <v>0</v>
          </cell>
        </row>
        <row r="54">
          <cell r="A54" t="str">
            <v>YOY Growth</v>
          </cell>
          <cell r="B54">
            <v>0</v>
          </cell>
          <cell r="C54">
            <v>-3.2467532467532423E-2</v>
          </cell>
          <cell r="D54">
            <v>-5.3081147040878629E-2</v>
          </cell>
          <cell r="F54">
            <v>-0.87798755171257592</v>
          </cell>
          <cell r="G54">
            <v>5.0000000000000044E-2</v>
          </cell>
          <cell r="H54">
            <v>5.0000000000000044E-2</v>
          </cell>
          <cell r="I54">
            <v>5.0000000000000044E-2</v>
          </cell>
          <cell r="J54">
            <v>0</v>
          </cell>
          <cell r="K54">
            <v>5.0000000000000266E-2</v>
          </cell>
          <cell r="L54">
            <v>5.0000000000000044E-2</v>
          </cell>
          <cell r="M54">
            <v>5.0000000000000044E-2</v>
          </cell>
          <cell r="N54">
            <v>5.0000000000000044E-2</v>
          </cell>
          <cell r="O54">
            <v>5.0000000000000044E-2</v>
          </cell>
          <cell r="P54">
            <v>0</v>
          </cell>
          <cell r="Q54">
            <v>0</v>
          </cell>
          <cell r="R54">
            <v>0</v>
          </cell>
          <cell r="S54">
            <v>0</v>
          </cell>
          <cell r="T54">
            <v>0</v>
          </cell>
          <cell r="U54">
            <v>0</v>
          </cell>
          <cell r="V54">
            <v>0</v>
          </cell>
        </row>
        <row r="55">
          <cell r="B55">
            <v>0</v>
          </cell>
          <cell r="C55">
            <v>0</v>
          </cell>
          <cell r="AH55" t="str">
            <v xml:space="preserve"> </v>
          </cell>
        </row>
        <row r="56">
          <cell r="A56" t="str">
            <v>Total Pharma</v>
          </cell>
          <cell r="B56">
            <v>17686</v>
          </cell>
          <cell r="C56">
            <v>18830</v>
          </cell>
          <cell r="D56">
            <v>19306</v>
          </cell>
          <cell r="E56">
            <v>19999.097999999998</v>
          </cell>
          <cell r="F56">
            <v>21908.190374290953</v>
          </cell>
          <cell r="G56">
            <v>27491.849893005503</v>
          </cell>
          <cell r="H56">
            <v>33529.042387655776</v>
          </cell>
          <cell r="I56">
            <v>37029.794507038569</v>
          </cell>
          <cell r="J56">
            <v>36207.794507038569</v>
          </cell>
          <cell r="K56">
            <v>39255.134232390497</v>
          </cell>
          <cell r="L56">
            <v>37330.090944010015</v>
          </cell>
          <cell r="M56">
            <v>32668.897803536798</v>
          </cell>
          <cell r="N56">
            <v>33648.164277848759</v>
          </cell>
          <cell r="O56">
            <v>35163.026861136888</v>
          </cell>
          <cell r="P56">
            <v>0</v>
          </cell>
          <cell r="Q56">
            <v>0</v>
          </cell>
          <cell r="R56">
            <v>0</v>
          </cell>
          <cell r="S56">
            <v>0</v>
          </cell>
          <cell r="T56">
            <v>0</v>
          </cell>
          <cell r="U56">
            <v>0</v>
          </cell>
          <cell r="V56">
            <v>0</v>
          </cell>
        </row>
        <row r="57">
          <cell r="A57" t="str">
            <v>YOY Growth</v>
          </cell>
          <cell r="B57">
            <v>0</v>
          </cell>
          <cell r="C57">
            <v>6.4683930792717392E-2</v>
          </cell>
          <cell r="D57">
            <v>2.5278810408921881E-2</v>
          </cell>
          <cell r="F57">
            <v>0</v>
          </cell>
          <cell r="G57">
            <v>0.25486630448797443</v>
          </cell>
          <cell r="H57">
            <v>0.2195993546504218</v>
          </cell>
          <cell r="I57">
            <v>0.10440954677165637</v>
          </cell>
          <cell r="J57">
            <v>-2.2198340848036735E-2</v>
          </cell>
          <cell r="K57">
            <v>8.4162533698636244E-2</v>
          </cell>
          <cell r="L57">
            <v>-4.9039274123589105E-2</v>
          </cell>
          <cell r="M57">
            <v>-0.12486423211409703</v>
          </cell>
          <cell r="N57">
            <v>2.9975497802253503E-2</v>
          </cell>
          <cell r="O57">
            <v>4.5020660585795902E-2</v>
          </cell>
          <cell r="P57">
            <v>0</v>
          </cell>
          <cell r="Q57">
            <v>0</v>
          </cell>
          <cell r="R57">
            <v>0</v>
          </cell>
          <cell r="S57">
            <v>0</v>
          </cell>
          <cell r="T57">
            <v>0</v>
          </cell>
          <cell r="U57">
            <v>0</v>
          </cell>
          <cell r="V57">
            <v>0</v>
          </cell>
        </row>
        <row r="59">
          <cell r="A59" t="str">
            <v>Diabetes Care</v>
          </cell>
          <cell r="B59">
            <v>0</v>
          </cell>
          <cell r="C59">
            <v>2333</v>
          </cell>
          <cell r="D59">
            <v>2511</v>
          </cell>
          <cell r="E59">
            <v>2695</v>
          </cell>
          <cell r="F59">
            <v>2788</v>
          </cell>
          <cell r="G59">
            <v>2886</v>
          </cell>
          <cell r="H59">
            <v>3019</v>
          </cell>
          <cell r="I59">
            <v>3216</v>
          </cell>
          <cell r="J59">
            <v>2971</v>
          </cell>
          <cell r="K59">
            <v>2969</v>
          </cell>
          <cell r="L59">
            <v>2959</v>
          </cell>
          <cell r="M59">
            <v>2641.5805393391865</v>
          </cell>
          <cell r="N59">
            <v>2786.709611270117</v>
          </cell>
          <cell r="O59">
            <v>3036.8450900399748</v>
          </cell>
          <cell r="P59">
            <v>3123.1579988082794</v>
          </cell>
          <cell r="Q59">
            <v>3211.9644459609758</v>
          </cell>
          <cell r="R59">
            <v>3303.3373206720216</v>
          </cell>
          <cell r="S59">
            <v>3397.3516604510423</v>
          </cell>
          <cell r="T59">
            <v>3494.0847148266121</v>
          </cell>
          <cell r="U59">
            <v>3593.6160109246894</v>
          </cell>
          <cell r="V59">
            <v>3696.0274209987747</v>
          </cell>
        </row>
        <row r="60">
          <cell r="A60" t="str">
            <v>Professional Diagnostics</v>
          </cell>
          <cell r="B60">
            <v>0</v>
          </cell>
          <cell r="C60">
            <v>0</v>
          </cell>
          <cell r="D60">
            <v>3177</v>
          </cell>
          <cell r="E60">
            <v>3180</v>
          </cell>
          <cell r="F60">
            <v>3405</v>
          </cell>
          <cell r="G60">
            <v>3624</v>
          </cell>
          <cell r="H60">
            <v>3885</v>
          </cell>
          <cell r="I60">
            <v>4294</v>
          </cell>
          <cell r="J60">
            <v>4422</v>
          </cell>
          <cell r="K60">
            <v>4553</v>
          </cell>
          <cell r="L60">
            <v>4858</v>
          </cell>
          <cell r="M60">
            <v>4607.8220669670191</v>
          </cell>
          <cell r="N60">
            <v>4930.3149623504196</v>
          </cell>
          <cell r="O60">
            <v>5425.321006210017</v>
          </cell>
          <cell r="P60">
            <v>5642.3338464584176</v>
          </cell>
          <cell r="Q60">
            <v>5868.0272003167547</v>
          </cell>
          <cell r="R60">
            <v>6102.7482883294251</v>
          </cell>
          <cell r="S60">
            <v>6346.8582198626027</v>
          </cell>
          <cell r="T60">
            <v>6600.7325486571081</v>
          </cell>
          <cell r="U60">
            <v>6864.7618506033923</v>
          </cell>
          <cell r="V60">
            <v>7139.3523246275281</v>
          </cell>
        </row>
        <row r="61">
          <cell r="A61" t="str">
            <v>Molecular Diagnostics</v>
          </cell>
          <cell r="B61">
            <v>0</v>
          </cell>
          <cell r="C61">
            <v>877</v>
          </cell>
          <cell r="D61">
            <v>977</v>
          </cell>
          <cell r="E61">
            <v>1025</v>
          </cell>
          <cell r="F61">
            <v>1102</v>
          </cell>
          <cell r="G61">
            <v>1171</v>
          </cell>
          <cell r="H61">
            <v>1211</v>
          </cell>
          <cell r="I61">
            <v>1148</v>
          </cell>
          <cell r="J61">
            <v>1122</v>
          </cell>
          <cell r="K61">
            <v>1183</v>
          </cell>
          <cell r="L61">
            <v>1189</v>
          </cell>
          <cell r="M61">
            <v>1068.1418555666398</v>
          </cell>
          <cell r="N61">
            <v>1141.6472289793587</v>
          </cell>
          <cell r="O61">
            <v>1266.9007876431335</v>
          </cell>
          <cell r="P61">
            <v>1330.2458270252901</v>
          </cell>
          <cell r="Q61">
            <v>1396.7581183765546</v>
          </cell>
          <cell r="R61">
            <v>1466.5960242953827</v>
          </cell>
          <cell r="S61">
            <v>1539.925825510152</v>
          </cell>
          <cell r="T61">
            <v>1616.9221167856597</v>
          </cell>
          <cell r="U61">
            <v>1697.7682226249426</v>
          </cell>
          <cell r="V61">
            <v>1782.6566337561899</v>
          </cell>
        </row>
        <row r="62">
          <cell r="A62" t="str">
            <v>Applied Science</v>
          </cell>
          <cell r="B62">
            <v>0</v>
          </cell>
          <cell r="C62">
            <v>571</v>
          </cell>
          <cell r="D62">
            <v>574</v>
          </cell>
          <cell r="E62">
            <v>509</v>
          </cell>
          <cell r="F62">
            <v>532</v>
          </cell>
          <cell r="G62">
            <v>562</v>
          </cell>
          <cell r="H62">
            <v>632</v>
          </cell>
          <cell r="I62">
            <v>692</v>
          </cell>
          <cell r="J62">
            <v>765</v>
          </cell>
          <cell r="K62">
            <v>870</v>
          </cell>
          <cell r="L62">
            <v>868</v>
          </cell>
          <cell r="M62">
            <v>762.6995303459646</v>
          </cell>
          <cell r="N62">
            <v>838.65845496376062</v>
          </cell>
          <cell r="O62">
            <v>944.59142413971063</v>
          </cell>
          <cell r="P62">
            <v>997.25202206168683</v>
          </cell>
          <cell r="Q62">
            <v>1050.9320654838964</v>
          </cell>
          <cell r="R62">
            <v>1103.4786687580911</v>
          </cell>
          <cell r="S62">
            <v>1158.6526021959958</v>
          </cell>
          <cell r="T62">
            <v>1216.5852323057957</v>
          </cell>
          <cell r="U62">
            <v>1277.4144939210855</v>
          </cell>
          <cell r="V62">
            <v>1341.2852186171399</v>
          </cell>
        </row>
        <row r="63">
          <cell r="A63" t="str">
            <v>Ventana (Tissue Diagnostics)</v>
          </cell>
          <cell r="I63">
            <v>0</v>
          </cell>
          <cell r="J63">
            <v>376</v>
          </cell>
          <cell r="K63">
            <v>480</v>
          </cell>
          <cell r="L63">
            <v>541</v>
          </cell>
          <cell r="M63">
            <v>554.37268753448029</v>
          </cell>
          <cell r="N63">
            <v>677.46393092202652</v>
          </cell>
          <cell r="O63">
            <v>825.44273095617325</v>
          </cell>
          <cell r="P63">
            <v>954.47105344475904</v>
          </cell>
          <cell r="Q63">
            <v>1103.8960068756646</v>
          </cell>
          <cell r="R63">
            <v>1276.9855624040442</v>
          </cell>
          <cell r="S63">
            <v>1477.5395821610871</v>
          </cell>
          <cell r="T63">
            <v>1709.9779419609736</v>
          </cell>
          <cell r="U63">
            <v>1979.4435402259871</v>
          </cell>
          <cell r="V63">
            <v>2291.922759624927</v>
          </cell>
        </row>
        <row r="64">
          <cell r="A64" t="str">
            <v>Diagnostics Total</v>
          </cell>
          <cell r="B64">
            <v>6252</v>
          </cell>
          <cell r="C64">
            <v>3781</v>
          </cell>
          <cell r="D64">
            <v>4062</v>
          </cell>
          <cell r="E64">
            <v>4229</v>
          </cell>
          <cell r="F64">
            <v>4422</v>
          </cell>
          <cell r="G64">
            <v>4619</v>
          </cell>
          <cell r="H64">
            <v>4862</v>
          </cell>
          <cell r="I64">
            <v>9350</v>
          </cell>
          <cell r="J64">
            <v>9656</v>
          </cell>
          <cell r="K64">
            <v>10055</v>
          </cell>
          <cell r="L64">
            <v>10415</v>
          </cell>
          <cell r="M64">
            <v>9634.6166797532896</v>
          </cell>
          <cell r="N64">
            <v>10374.794188485681</v>
          </cell>
          <cell r="O64">
            <v>11499.101038989009</v>
          </cell>
          <cell r="P64">
            <v>12047.460747798432</v>
          </cell>
          <cell r="Q64">
            <v>12631.577837013845</v>
          </cell>
          <cell r="R64">
            <v>13253.145864458964</v>
          </cell>
          <cell r="S64">
            <v>13920.327890180881</v>
          </cell>
          <cell r="T64">
            <v>14638.302554536149</v>
          </cell>
          <cell r="U64">
            <v>15413.004118300098</v>
          </cell>
          <cell r="V64">
            <v>16251.244357624559</v>
          </cell>
          <cell r="AD64">
            <v>3.5083486154100507E-2</v>
          </cell>
        </row>
        <row r="65">
          <cell r="A65" t="str">
            <v>YOY Growth</v>
          </cell>
          <cell r="B65">
            <v>0</v>
          </cell>
          <cell r="C65">
            <v>-0.39523352527191302</v>
          </cell>
          <cell r="D65">
            <v>7.4318963237238744E-2</v>
          </cell>
          <cell r="E65">
            <v>-1.9827319949459499</v>
          </cell>
          <cell r="F65">
            <v>5.1082814962361223E-2</v>
          </cell>
          <cell r="G65">
            <v>4.4549977385798245E-2</v>
          </cell>
          <cell r="H65">
            <v>5.2608789781337872E-2</v>
          </cell>
          <cell r="I65">
            <v>0.92307692307692313</v>
          </cell>
          <cell r="J65">
            <v>3.2727272727272716E-2</v>
          </cell>
          <cell r="K65">
            <v>4.1321458160729074E-2</v>
          </cell>
          <cell r="L65">
            <v>3.5803083043262074E-2</v>
          </cell>
          <cell r="M65">
            <v>-7.4928787349660131E-2</v>
          </cell>
          <cell r="N65">
            <v>7.6824800958385842E-2</v>
          </cell>
          <cell r="O65">
            <v>0.10836907509462934</v>
          </cell>
          <cell r="P65">
            <v>4.7687180671788676E-2</v>
          </cell>
          <cell r="Q65">
            <v>4.8484664232847141E-2</v>
          </cell>
          <cell r="R65">
            <v>4.9207473164893267E-2</v>
          </cell>
          <cell r="S65">
            <v>5.0341408186798997E-2</v>
          </cell>
          <cell r="T65">
            <v>5.157742475748095E-2</v>
          </cell>
          <cell r="U65">
            <v>5.2922909666454743E-2</v>
          </cell>
          <cell r="V65">
            <v>5.4385260192671092E-2</v>
          </cell>
        </row>
        <row r="67">
          <cell r="B67">
            <v>23938</v>
          </cell>
          <cell r="C67">
            <v>22611</v>
          </cell>
          <cell r="D67">
            <v>23368</v>
          </cell>
          <cell r="E67">
            <v>24228.097999999998</v>
          </cell>
          <cell r="F67">
            <v>26330.190374290953</v>
          </cell>
          <cell r="G67">
            <v>32110.849893005503</v>
          </cell>
          <cell r="H67">
            <v>38391.042387655776</v>
          </cell>
          <cell r="I67">
            <v>46379.794507038569</v>
          </cell>
          <cell r="J67">
            <v>45863.794507038569</v>
          </cell>
          <cell r="K67">
            <v>49310.134232390497</v>
          </cell>
          <cell r="L67">
            <v>47745.090944010015</v>
          </cell>
          <cell r="M67">
            <v>42303.514483290084</v>
          </cell>
          <cell r="N67">
            <v>44022.958466334443</v>
          </cell>
          <cell r="O67">
            <v>46662.127900125895</v>
          </cell>
          <cell r="P67">
            <v>0</v>
          </cell>
          <cell r="Q67">
            <v>0</v>
          </cell>
          <cell r="R67">
            <v>0</v>
          </cell>
          <cell r="S67">
            <v>0</v>
          </cell>
          <cell r="T67">
            <v>0</v>
          </cell>
          <cell r="U67">
            <v>0</v>
          </cell>
          <cell r="V67">
            <v>0</v>
          </cell>
        </row>
        <row r="68">
          <cell r="A68" t="str">
            <v>YOY Growth</v>
          </cell>
          <cell r="B68">
            <v>0</v>
          </cell>
          <cell r="C68">
            <v>-5.5434873423009456E-2</v>
          </cell>
          <cell r="D68">
            <v>3.347927999646183E-2</v>
          </cell>
          <cell r="F68">
            <v>0</v>
          </cell>
          <cell r="G68">
            <v>0.2195449192178589</v>
          </cell>
          <cell r="H68">
            <v>0.19557851989517872</v>
          </cell>
          <cell r="I68">
            <v>0.20808896092780982</v>
          </cell>
          <cell r="J68">
            <v>-1.112553441610642E-2</v>
          </cell>
          <cell r="K68">
            <v>7.5142926188172865E-2</v>
          </cell>
          <cell r="L68">
            <v>-3.1738775664343022E-2</v>
          </cell>
          <cell r="M68">
            <v>-0.11397143356792827</v>
          </cell>
          <cell r="N68">
            <v>4.0645416912666654E-2</v>
          </cell>
          <cell r="O68">
            <v>5.9949842666973341E-2</v>
          </cell>
          <cell r="P68">
            <v>0</v>
          </cell>
          <cell r="Q68">
            <v>0</v>
          </cell>
          <cell r="R68">
            <v>0</v>
          </cell>
          <cell r="S68">
            <v>0</v>
          </cell>
          <cell r="T68">
            <v>0</v>
          </cell>
          <cell r="U68">
            <v>0</v>
          </cell>
          <cell r="V68">
            <v>0</v>
          </cell>
        </row>
        <row r="69">
          <cell r="A69" t="str">
            <v>Total Sales</v>
          </cell>
          <cell r="B69">
            <v>22244</v>
          </cell>
          <cell r="C69">
            <v>20972</v>
          </cell>
          <cell r="D69">
            <v>21816</v>
          </cell>
          <cell r="E69">
            <v>24010</v>
          </cell>
          <cell r="F69">
            <v>26117</v>
          </cell>
          <cell r="G69">
            <v>31887</v>
          </cell>
          <cell r="H69">
            <v>38156</v>
          </cell>
          <cell r="I69">
            <v>46133</v>
          </cell>
          <cell r="J69">
            <v>45617</v>
          </cell>
          <cell r="K69">
            <v>49051</v>
          </cell>
          <cell r="L69">
            <v>47473</v>
          </cell>
          <cell r="M69">
            <v>42017.81899207957</v>
          </cell>
          <cell r="N69">
            <v>43722.97820056339</v>
          </cell>
          <cell r="O69">
            <v>46347.148621066299</v>
          </cell>
          <cell r="P69">
            <v>47361.20980565116</v>
          </cell>
          <cell r="Q69">
            <v>48685.341734812326</v>
          </cell>
          <cell r="R69">
            <v>49173.125118702053</v>
          </cell>
          <cell r="S69">
            <v>49801.228078195869</v>
          </cell>
          <cell r="T69">
            <v>50877.030891468123</v>
          </cell>
          <cell r="U69">
            <v>50269.664362067866</v>
          </cell>
          <cell r="V69">
            <v>50466.032886210371</v>
          </cell>
          <cell r="AD69">
            <v>7.7217174457167026E-4</v>
          </cell>
        </row>
        <row r="70">
          <cell r="A70" t="str">
            <v>Notes:</v>
          </cell>
        </row>
        <row r="71">
          <cell r="A71" t="str">
            <v>E= Morgan Stanley Research Estimates</v>
          </cell>
        </row>
        <row r="72">
          <cell r="A72" t="str">
            <v>Source: Morgan Stanley Research</v>
          </cell>
        </row>
        <row r="79">
          <cell r="I79" t="str">
            <v>2007e</v>
          </cell>
          <cell r="J79" t="str">
            <v>2008e</v>
          </cell>
          <cell r="K79" t="str">
            <v>2009e</v>
          </cell>
          <cell r="L79" t="str">
            <v>2010e</v>
          </cell>
          <cell r="M79" t="str">
            <v>2011e</v>
          </cell>
          <cell r="N79" t="str">
            <v>2012e</v>
          </cell>
          <cell r="O79" t="str">
            <v>2013e</v>
          </cell>
          <cell r="P79" t="str">
            <v>2014e</v>
          </cell>
          <cell r="Q79" t="str">
            <v>2015e</v>
          </cell>
          <cell r="R79" t="str">
            <v>2016e</v>
          </cell>
          <cell r="S79" t="str">
            <v>2035e</v>
          </cell>
          <cell r="T79" t="str">
            <v>2018e</v>
          </cell>
          <cell r="U79" t="str">
            <v>2019e</v>
          </cell>
          <cell r="V79" t="str">
            <v>2020e</v>
          </cell>
        </row>
        <row r="80">
          <cell r="A80" t="str">
            <v>already generic</v>
          </cell>
          <cell r="I80">
            <v>5048</v>
          </cell>
          <cell r="J80">
            <v>4591</v>
          </cell>
          <cell r="K80">
            <v>3718</v>
          </cell>
          <cell r="L80">
            <v>3095</v>
          </cell>
          <cell r="M80">
            <v>2282.0470126690402</v>
          </cell>
          <cell r="N80">
            <v>2033.9916736551056</v>
          </cell>
          <cell r="O80">
            <v>1881.2671330494627</v>
          </cell>
          <cell r="P80">
            <v>1655.7747719402676</v>
          </cell>
          <cell r="Q80">
            <v>1462.6432606546982</v>
          </cell>
          <cell r="R80">
            <v>1296.5572672602577</v>
          </cell>
          <cell r="S80">
            <v>1153.1546886181056</v>
          </cell>
          <cell r="T80">
            <v>1028.8466960730918</v>
          </cell>
          <cell r="U80">
            <v>920.67271747643326</v>
          </cell>
          <cell r="V80">
            <v>826.18347299666254</v>
          </cell>
        </row>
        <row r="81">
          <cell r="A81" t="str">
            <v>generic between 2008 and 2013</v>
          </cell>
          <cell r="I81">
            <v>13726</v>
          </cell>
          <cell r="J81">
            <v>14033</v>
          </cell>
          <cell r="K81">
            <v>14296</v>
          </cell>
          <cell r="L81">
            <v>14840</v>
          </cell>
          <cell r="M81">
            <v>13355.797534593468</v>
          </cell>
          <cell r="N81">
            <v>13912.253174966418</v>
          </cell>
          <cell r="O81">
            <v>14281.813302201868</v>
          </cell>
          <cell r="P81">
            <v>13386.131336044995</v>
          </cell>
          <cell r="Q81">
            <v>12449.727708468396</v>
          </cell>
          <cell r="R81">
            <v>11280.925034735923</v>
          </cell>
          <cell r="S81">
            <v>10524.287231695675</v>
          </cell>
          <cell r="T81">
            <v>10291.10353259883</v>
          </cell>
          <cell r="U81">
            <v>10209.201444720744</v>
          </cell>
          <cell r="V81">
            <v>10152.237957789717</v>
          </cell>
        </row>
        <row r="82">
          <cell r="A82" t="str">
            <v>other products (to face generics &gt;2013)</v>
          </cell>
          <cell r="I82">
            <v>18009</v>
          </cell>
          <cell r="J82">
            <v>17337</v>
          </cell>
          <cell r="K82">
            <v>20982</v>
          </cell>
          <cell r="L82">
            <v>19123</v>
          </cell>
          <cell r="M82">
            <v>16715.357765063771</v>
          </cell>
          <cell r="N82">
            <v>17066.939163456187</v>
          </cell>
          <cell r="O82">
            <v>17494.967146825962</v>
          </cell>
          <cell r="P82">
            <v>17561.842949867467</v>
          </cell>
          <cell r="Q82">
            <v>17538.892928675392</v>
          </cell>
          <cell r="R82">
            <v>17664.996952246911</v>
          </cell>
          <cell r="S82">
            <v>17734.308267701206</v>
          </cell>
          <cell r="T82">
            <v>17771.753608260053</v>
          </cell>
          <cell r="U82">
            <v>16229.475846570596</v>
          </cell>
          <cell r="V82">
            <v>15482.437555749431</v>
          </cell>
        </row>
        <row r="83">
          <cell r="A83" t="str">
            <v>non pharma assets (e.g. consumer health)</v>
          </cell>
          <cell r="I83">
            <v>9350</v>
          </cell>
          <cell r="J83">
            <v>9656</v>
          </cell>
          <cell r="K83">
            <v>10055</v>
          </cell>
          <cell r="L83">
            <v>10415</v>
          </cell>
          <cell r="M83">
            <v>9634.6166797532896</v>
          </cell>
          <cell r="N83">
            <v>10374.794188485681</v>
          </cell>
          <cell r="O83">
            <v>11499.101038989009</v>
          </cell>
          <cell r="P83">
            <v>12047.460747798432</v>
          </cell>
          <cell r="Q83">
            <v>12631.577837013845</v>
          </cell>
          <cell r="R83">
            <v>13253.145864458964</v>
          </cell>
          <cell r="S83">
            <v>13920.327890180881</v>
          </cell>
          <cell r="T83">
            <v>14638.302554536149</v>
          </cell>
          <cell r="U83">
            <v>15413.004118300098</v>
          </cell>
          <cell r="V83">
            <v>16251.244357624559</v>
          </cell>
        </row>
        <row r="84">
          <cell r="A84" t="str">
            <v>Sub total</v>
          </cell>
          <cell r="I84">
            <v>46133</v>
          </cell>
          <cell r="J84">
            <v>45617</v>
          </cell>
          <cell r="K84">
            <v>49051</v>
          </cell>
          <cell r="L84">
            <v>47473</v>
          </cell>
          <cell r="M84">
            <v>41987.81899207957</v>
          </cell>
          <cell r="N84">
            <v>43387.97820056339</v>
          </cell>
          <cell r="O84">
            <v>45157.148621066299</v>
          </cell>
          <cell r="P84">
            <v>44651.20980565116</v>
          </cell>
          <cell r="Q84">
            <v>44082.841734812333</v>
          </cell>
          <cell r="R84">
            <v>43495.625118702053</v>
          </cell>
          <cell r="S84">
            <v>43332.078078195867</v>
          </cell>
          <cell r="T84">
            <v>43730.006391468123</v>
          </cell>
          <cell r="U84">
            <v>42772.354127067869</v>
          </cell>
          <cell r="V84">
            <v>42712.103344160372</v>
          </cell>
        </row>
        <row r="85">
          <cell r="A85" t="str">
            <v>Sub total as a % of 2007 revenues</v>
          </cell>
          <cell r="I85">
            <v>1</v>
          </cell>
          <cell r="J85">
            <v>0.98881494808488501</v>
          </cell>
          <cell r="K85">
            <v>1.0632519021091194</v>
          </cell>
          <cell r="L85">
            <v>1.0290464526477792</v>
          </cell>
          <cell r="M85">
            <v>0.91014716129624285</v>
          </cell>
          <cell r="N85">
            <v>0.94049765245189754</v>
          </cell>
          <cell r="O85">
            <v>0.97884699935114339</v>
          </cell>
          <cell r="P85">
            <v>0.96788003827306179</v>
          </cell>
          <cell r="Q85">
            <v>0.95555983211177098</v>
          </cell>
          <cell r="R85">
            <v>0.94283105626562447</v>
          </cell>
          <cell r="S85">
            <v>0.93928593584193243</v>
          </cell>
          <cell r="T85">
            <v>0.94791161189318107</v>
          </cell>
          <cell r="U85">
            <v>0.92715310357158365</v>
          </cell>
          <cell r="V85">
            <v>0.92584708005463279</v>
          </cell>
        </row>
        <row r="87">
          <cell r="A87" t="str">
            <v>Pipeline products</v>
          </cell>
          <cell r="I87">
            <v>0</v>
          </cell>
          <cell r="J87">
            <v>0</v>
          </cell>
          <cell r="K87">
            <v>0</v>
          </cell>
          <cell r="L87">
            <v>0</v>
          </cell>
          <cell r="M87">
            <v>30</v>
          </cell>
          <cell r="N87">
            <v>335</v>
          </cell>
          <cell r="O87">
            <v>1190</v>
          </cell>
          <cell r="P87">
            <v>2710</v>
          </cell>
          <cell r="Q87">
            <v>4602.5</v>
          </cell>
          <cell r="R87">
            <v>5677.5</v>
          </cell>
          <cell r="S87">
            <v>6469.15</v>
          </cell>
          <cell r="T87">
            <v>7147.0244999999995</v>
          </cell>
          <cell r="U87">
            <v>7497.3102349999999</v>
          </cell>
          <cell r="V87">
            <v>7753.9295420500011</v>
          </cell>
        </row>
        <row r="88">
          <cell r="A88" t="str">
            <v>Total</v>
          </cell>
          <cell r="I88">
            <v>46133</v>
          </cell>
          <cell r="J88">
            <v>45617</v>
          </cell>
          <cell r="K88">
            <v>49051</v>
          </cell>
          <cell r="L88">
            <v>47473</v>
          </cell>
          <cell r="M88">
            <v>42017.81899207957</v>
          </cell>
          <cell r="N88">
            <v>43722.97820056339</v>
          </cell>
          <cell r="O88">
            <v>46347.148621066299</v>
          </cell>
          <cell r="P88">
            <v>47361.20980565116</v>
          </cell>
          <cell r="Q88">
            <v>48685.341734812326</v>
          </cell>
          <cell r="R88">
            <v>49173.125118702053</v>
          </cell>
          <cell r="S88">
            <v>49801.228078195869</v>
          </cell>
          <cell r="T88">
            <v>50877.030891468123</v>
          </cell>
          <cell r="U88">
            <v>50269.664362067866</v>
          </cell>
          <cell r="V88">
            <v>50466.032886210371</v>
          </cell>
        </row>
        <row r="91">
          <cell r="H91" t="str">
            <v>For Chart</v>
          </cell>
          <cell r="I91" t="str">
            <v>2007e</v>
          </cell>
          <cell r="J91" t="str">
            <v>2008e</v>
          </cell>
          <cell r="K91" t="str">
            <v>2009e</v>
          </cell>
          <cell r="L91" t="str">
            <v>2010e</v>
          </cell>
          <cell r="M91" t="str">
            <v>2011e</v>
          </cell>
          <cell r="N91" t="str">
            <v>2012e</v>
          </cell>
          <cell r="O91" t="str">
            <v>2013e</v>
          </cell>
          <cell r="P91" t="str">
            <v>2014e</v>
          </cell>
          <cell r="Q91" t="str">
            <v>2015e</v>
          </cell>
          <cell r="R91" t="str">
            <v>2016e</v>
          </cell>
          <cell r="S91" t="str">
            <v>2035e</v>
          </cell>
          <cell r="T91" t="str">
            <v>2018e</v>
          </cell>
          <cell r="U91" t="str">
            <v>2019e</v>
          </cell>
          <cell r="V91" t="str">
            <v>2020e</v>
          </cell>
        </row>
        <row r="92">
          <cell r="H92" t="str">
            <v>Already generic</v>
          </cell>
          <cell r="I92">
            <v>5048</v>
          </cell>
          <cell r="J92">
            <v>4591</v>
          </cell>
          <cell r="K92">
            <v>3718</v>
          </cell>
          <cell r="L92">
            <v>3095</v>
          </cell>
          <cell r="M92">
            <v>2282.0470126690402</v>
          </cell>
          <cell r="N92">
            <v>2033.9916736551056</v>
          </cell>
          <cell r="O92">
            <v>1881.2671330494627</v>
          </cell>
          <cell r="P92">
            <v>1655.7747719402676</v>
          </cell>
          <cell r="Q92">
            <v>1462.6432606546982</v>
          </cell>
          <cell r="R92">
            <v>1296.5572672602577</v>
          </cell>
          <cell r="S92">
            <v>1153.1546886181056</v>
          </cell>
          <cell r="T92">
            <v>1028.8466960730918</v>
          </cell>
          <cell r="U92">
            <v>920.67271747643326</v>
          </cell>
          <cell r="V92">
            <v>826.18347299666254</v>
          </cell>
        </row>
        <row r="93">
          <cell r="H93" t="str">
            <v>Generic 2008 - 2013</v>
          </cell>
          <cell r="I93">
            <v>13726</v>
          </cell>
          <cell r="J93">
            <v>14033</v>
          </cell>
          <cell r="K93">
            <v>14296</v>
          </cell>
          <cell r="L93">
            <v>14840</v>
          </cell>
          <cell r="M93">
            <v>13355.797534593468</v>
          </cell>
          <cell r="N93">
            <v>13912.253174966418</v>
          </cell>
          <cell r="O93">
            <v>14281.813302201868</v>
          </cell>
          <cell r="P93">
            <v>13386.131336044995</v>
          </cell>
          <cell r="Q93">
            <v>12449.727708468396</v>
          </cell>
          <cell r="R93">
            <v>11280.925034735923</v>
          </cell>
          <cell r="S93">
            <v>10524.287231695675</v>
          </cell>
          <cell r="T93">
            <v>10291.10353259883</v>
          </cell>
          <cell r="U93">
            <v>10209.201444720744</v>
          </cell>
          <cell r="V93">
            <v>10152.237957789717</v>
          </cell>
        </row>
        <row r="94">
          <cell r="H94" t="str">
            <v>Other products (including products facing generics &gt;2013)</v>
          </cell>
          <cell r="I94">
            <v>18009</v>
          </cell>
          <cell r="J94">
            <v>17337</v>
          </cell>
          <cell r="K94">
            <v>20982</v>
          </cell>
          <cell r="L94">
            <v>19123</v>
          </cell>
          <cell r="M94">
            <v>16715.357765063771</v>
          </cell>
          <cell r="N94">
            <v>17066.939163456187</v>
          </cell>
          <cell r="O94">
            <v>17494.967146825962</v>
          </cell>
          <cell r="P94">
            <v>17561.842949867467</v>
          </cell>
          <cell r="Q94">
            <v>17538.892928675392</v>
          </cell>
          <cell r="R94">
            <v>17664.996952246911</v>
          </cell>
          <cell r="S94">
            <v>17734.308267701206</v>
          </cell>
          <cell r="T94">
            <v>17771.753608260053</v>
          </cell>
          <cell r="U94">
            <v>16229.475846570596</v>
          </cell>
          <cell r="V94">
            <v>15482.437555749431</v>
          </cell>
        </row>
        <row r="95">
          <cell r="H95" t="str">
            <v>Non pharma assets</v>
          </cell>
          <cell r="I95">
            <v>9350</v>
          </cell>
          <cell r="J95">
            <v>9656</v>
          </cell>
          <cell r="K95">
            <v>10055</v>
          </cell>
          <cell r="L95">
            <v>10415</v>
          </cell>
          <cell r="M95">
            <v>9634.6166797532896</v>
          </cell>
          <cell r="N95">
            <v>10374.794188485681</v>
          </cell>
          <cell r="O95">
            <v>11499.101038989009</v>
          </cell>
          <cell r="P95">
            <v>12047.460747798432</v>
          </cell>
          <cell r="Q95">
            <v>12631.577837013845</v>
          </cell>
          <cell r="R95">
            <v>13253.145864458964</v>
          </cell>
          <cell r="S95">
            <v>13920.327890180881</v>
          </cell>
          <cell r="T95">
            <v>14638.302554536149</v>
          </cell>
          <cell r="U95">
            <v>15413.004118300098</v>
          </cell>
          <cell r="V95">
            <v>16251.244357624559</v>
          </cell>
        </row>
        <row r="96">
          <cell r="H96" t="str">
            <v>Pipeline products</v>
          </cell>
          <cell r="I96">
            <v>0</v>
          </cell>
          <cell r="J96">
            <v>0</v>
          </cell>
          <cell r="K96">
            <v>0</v>
          </cell>
          <cell r="L96">
            <v>0</v>
          </cell>
          <cell r="M96">
            <v>30</v>
          </cell>
          <cell r="N96">
            <v>335</v>
          </cell>
          <cell r="O96">
            <v>1190</v>
          </cell>
          <cell r="P96">
            <v>2710</v>
          </cell>
          <cell r="Q96">
            <v>4602.5</v>
          </cell>
          <cell r="R96">
            <v>5677.5</v>
          </cell>
          <cell r="S96">
            <v>6469.15</v>
          </cell>
          <cell r="T96">
            <v>7147.0244999999995</v>
          </cell>
          <cell r="U96">
            <v>7497.3102349999999</v>
          </cell>
          <cell r="V96">
            <v>7753.9295420500011</v>
          </cell>
        </row>
      </sheetData>
      <sheetData sheetId="18"/>
      <sheetData sheetId="19"/>
      <sheetData sheetId="20" refreshError="1">
        <row r="2">
          <cell r="A2" t="str">
            <v>ROCHE: FUTURE PRODUCTS FORECAST</v>
          </cell>
          <cell r="AT2" t="str">
            <v>Primary Care</v>
          </cell>
        </row>
        <row r="3">
          <cell r="A3" t="str">
            <v>Product/Indication</v>
          </cell>
          <cell r="B3" t="str">
            <v>Indication</v>
          </cell>
          <cell r="C3" t="str">
            <v>Preclin.</v>
          </cell>
          <cell r="D3" t="str">
            <v>I</v>
          </cell>
          <cell r="E3" t="str">
            <v>II</v>
          </cell>
          <cell r="F3" t="str">
            <v>III</v>
          </cell>
          <cell r="G3" t="str">
            <v>Filed</v>
          </cell>
          <cell r="H3" t="str">
            <v>Launch Year (E)</v>
          </cell>
          <cell r="I3" t="str">
            <v>Specialty or Primary Care Mkt</v>
          </cell>
          <cell r="K3" t="str">
            <v>Yrs to Launch (E)</v>
          </cell>
          <cell r="L3" t="str">
            <v>Peak Sales (E in SFr mm)</v>
          </cell>
          <cell r="M3" t="str">
            <v>Clinical Success Probability</v>
          </cell>
          <cell r="N3" t="str">
            <v>Weighted Peak Sales</v>
          </cell>
          <cell r="O3" t="str">
            <v>Sales 2005E</v>
          </cell>
          <cell r="P3" t="str">
            <v>Sales 2006E</v>
          </cell>
          <cell r="Q3" t="str">
            <v>Sales 2007</v>
          </cell>
          <cell r="R3" t="str">
            <v>Sales 2008</v>
          </cell>
          <cell r="S3" t="str">
            <v>Sales 2009E</v>
          </cell>
          <cell r="T3" t="str">
            <v>Sales 2010E</v>
          </cell>
          <cell r="U3" t="str">
            <v>Sales 2011E</v>
          </cell>
          <cell r="V3" t="str">
            <v>Sales 2012E</v>
          </cell>
          <cell r="W3" t="str">
            <v>Sales 2013E</v>
          </cell>
          <cell r="X3" t="str">
            <v>Sales 2014E</v>
          </cell>
          <cell r="Y3" t="str">
            <v>Sales 2015E</v>
          </cell>
          <cell r="Z3" t="str">
            <v>Sales 2016E</v>
          </cell>
          <cell r="AA3" t="str">
            <v>Sales 2017E</v>
          </cell>
          <cell r="AB3" t="str">
            <v>Sales 2018E</v>
          </cell>
          <cell r="AC3" t="str">
            <v>Sales 2019E</v>
          </cell>
          <cell r="AD3" t="str">
            <v>Sales 2020E</v>
          </cell>
          <cell r="AE3" t="str">
            <v>Novel Target</v>
          </cell>
          <cell r="AF3" t="str">
            <v>End Points Definite</v>
          </cell>
          <cell r="AG3" t="str">
            <v>Collaboration?</v>
          </cell>
          <cell r="AI3" t="str">
            <v>Valuable Early Surrogates</v>
          </cell>
          <cell r="AJ3" t="str">
            <v>1st</v>
          </cell>
          <cell r="AK3" t="str">
            <v>End Pts</v>
          </cell>
          <cell r="AL3" t="str">
            <v>Collab</v>
          </cell>
          <cell r="AM3" t="str">
            <v>PC</v>
          </cell>
          <cell r="AN3" t="str">
            <v>SC</v>
          </cell>
          <cell r="AO3" t="str">
            <v>PC</v>
          </cell>
          <cell r="AP3" t="str">
            <v>SC</v>
          </cell>
          <cell r="AT3" t="str">
            <v>Sales 2007E</v>
          </cell>
          <cell r="AU3" t="str">
            <v>Sales 2008E</v>
          </cell>
          <cell r="AV3" t="str">
            <v>Sales 2009E</v>
          </cell>
          <cell r="AW3" t="str">
            <v>Sales 2010E</v>
          </cell>
          <cell r="AX3" t="str">
            <v>Sales 2011E</v>
          </cell>
          <cell r="AY3" t="str">
            <v>Sales 2012E</v>
          </cell>
          <cell r="AZ3" t="str">
            <v>Sales 2013E</v>
          </cell>
        </row>
        <row r="4">
          <cell r="O4">
            <v>2005</v>
          </cell>
          <cell r="P4">
            <v>2006</v>
          </cell>
          <cell r="Q4">
            <v>2007</v>
          </cell>
          <cell r="R4">
            <v>2008</v>
          </cell>
          <cell r="S4">
            <v>2009</v>
          </cell>
          <cell r="T4">
            <v>2010</v>
          </cell>
          <cell r="U4">
            <v>2011</v>
          </cell>
          <cell r="V4">
            <v>2012</v>
          </cell>
          <cell r="W4">
            <v>2013</v>
          </cell>
          <cell r="X4">
            <v>2014</v>
          </cell>
          <cell r="Y4">
            <v>2015</v>
          </cell>
          <cell r="Z4">
            <v>2016</v>
          </cell>
          <cell r="AA4">
            <v>2017</v>
          </cell>
          <cell r="AB4">
            <v>2018</v>
          </cell>
          <cell r="AC4">
            <v>2019</v>
          </cell>
          <cell r="AD4">
            <v>2020</v>
          </cell>
        </row>
        <row r="5">
          <cell r="A5" t="str">
            <v>Inflammation/Bone</v>
          </cell>
          <cell r="N5">
            <v>700</v>
          </cell>
          <cell r="O5">
            <v>0</v>
          </cell>
          <cell r="P5">
            <v>0</v>
          </cell>
          <cell r="Q5">
            <v>0</v>
          </cell>
          <cell r="R5">
            <v>0</v>
          </cell>
          <cell r="S5">
            <v>0</v>
          </cell>
          <cell r="T5">
            <v>0</v>
          </cell>
          <cell r="U5">
            <v>30</v>
          </cell>
          <cell r="V5">
            <v>90</v>
          </cell>
          <cell r="W5">
            <v>180</v>
          </cell>
          <cell r="X5">
            <v>270</v>
          </cell>
          <cell r="Y5">
            <v>340</v>
          </cell>
          <cell r="Z5">
            <v>435</v>
          </cell>
          <cell r="AA5">
            <v>570.75</v>
          </cell>
          <cell r="AB5">
            <v>700.67250000000001</v>
          </cell>
          <cell r="AC5">
            <v>750.89267500000005</v>
          </cell>
          <cell r="AD5">
            <v>781.41945525000006</v>
          </cell>
          <cell r="AT5">
            <v>0</v>
          </cell>
          <cell r="AU5">
            <v>0</v>
          </cell>
          <cell r="AV5">
            <v>0</v>
          </cell>
          <cell r="AW5">
            <v>0</v>
          </cell>
          <cell r="AX5">
            <v>0</v>
          </cell>
          <cell r="AY5">
            <v>0</v>
          </cell>
          <cell r="AZ5">
            <v>0</v>
          </cell>
        </row>
        <row r="6">
          <cell r="A6" t="str">
            <v>R1594 (Ocrelizumab)</v>
          </cell>
          <cell r="B6" t="str">
            <v>RA -anti CD-20</v>
          </cell>
          <cell r="C6">
            <v>1</v>
          </cell>
          <cell r="D6">
            <v>1</v>
          </cell>
          <cell r="E6">
            <v>1</v>
          </cell>
          <cell r="F6">
            <v>1</v>
          </cell>
          <cell r="H6">
            <v>2011</v>
          </cell>
          <cell r="I6" t="str">
            <v>S</v>
          </cell>
          <cell r="J6">
            <v>0</v>
          </cell>
          <cell r="K6">
            <v>2</v>
          </cell>
          <cell r="L6">
            <v>600</v>
          </cell>
          <cell r="M6">
            <v>0.5</v>
          </cell>
          <cell r="N6">
            <v>300</v>
          </cell>
          <cell r="O6">
            <v>0</v>
          </cell>
          <cell r="P6">
            <v>0</v>
          </cell>
          <cell r="Q6">
            <v>0</v>
          </cell>
          <cell r="R6">
            <v>0</v>
          </cell>
          <cell r="S6">
            <v>0</v>
          </cell>
          <cell r="T6">
            <v>0</v>
          </cell>
          <cell r="U6">
            <v>30</v>
          </cell>
          <cell r="V6">
            <v>90</v>
          </cell>
          <cell r="W6">
            <v>180</v>
          </cell>
          <cell r="X6">
            <v>270</v>
          </cell>
          <cell r="Y6">
            <v>300</v>
          </cell>
          <cell r="Z6">
            <v>315</v>
          </cell>
          <cell r="AA6">
            <v>330.75</v>
          </cell>
          <cell r="AB6">
            <v>340.67250000000001</v>
          </cell>
          <cell r="AC6">
            <v>350.89267500000005</v>
          </cell>
          <cell r="AD6">
            <v>361.41945525000006</v>
          </cell>
          <cell r="AE6" t="str">
            <v>No</v>
          </cell>
          <cell r="AF6" t="str">
            <v>Yes</v>
          </cell>
          <cell r="AG6" t="str">
            <v>Yes</v>
          </cell>
          <cell r="AH6" t="str">
            <v>Genentech</v>
          </cell>
          <cell r="AI6" t="str">
            <v>No</v>
          </cell>
          <cell r="AJ6">
            <v>0</v>
          </cell>
          <cell r="AK6">
            <v>300</v>
          </cell>
          <cell r="AL6">
            <v>300</v>
          </cell>
          <cell r="AM6">
            <v>0</v>
          </cell>
          <cell r="AN6">
            <v>1</v>
          </cell>
          <cell r="AO6">
            <v>0</v>
          </cell>
          <cell r="AP6">
            <v>300</v>
          </cell>
          <cell r="AT6">
            <v>0</v>
          </cell>
          <cell r="AU6">
            <v>0</v>
          </cell>
          <cell r="AV6">
            <v>0</v>
          </cell>
          <cell r="AW6">
            <v>0</v>
          </cell>
          <cell r="AX6">
            <v>0</v>
          </cell>
          <cell r="AY6">
            <v>0</v>
          </cell>
          <cell r="AZ6">
            <v>0</v>
          </cell>
        </row>
        <row r="7">
          <cell r="A7" t="str">
            <v>Lebrikizumab/Anti-IL13 (RG3637)</v>
          </cell>
          <cell r="B7" t="str">
            <v>Asthma-IL13</v>
          </cell>
          <cell r="C7">
            <v>1</v>
          </cell>
          <cell r="D7">
            <v>1</v>
          </cell>
          <cell r="E7">
            <v>1</v>
          </cell>
          <cell r="H7">
            <v>2015</v>
          </cell>
          <cell r="I7" t="str">
            <v>S</v>
          </cell>
          <cell r="J7">
            <v>0</v>
          </cell>
          <cell r="K7">
            <v>3</v>
          </cell>
          <cell r="L7">
            <v>1000</v>
          </cell>
          <cell r="M7">
            <v>0.1</v>
          </cell>
          <cell r="N7">
            <v>100</v>
          </cell>
          <cell r="O7">
            <v>0</v>
          </cell>
          <cell r="P7">
            <v>0</v>
          </cell>
          <cell r="Q7">
            <v>0</v>
          </cell>
          <cell r="R7">
            <v>0</v>
          </cell>
          <cell r="S7">
            <v>0</v>
          </cell>
          <cell r="T7">
            <v>0</v>
          </cell>
          <cell r="U7">
            <v>0</v>
          </cell>
          <cell r="V7">
            <v>0</v>
          </cell>
          <cell r="W7">
            <v>0</v>
          </cell>
          <cell r="X7">
            <v>0</v>
          </cell>
          <cell r="Y7">
            <v>10</v>
          </cell>
          <cell r="Z7">
            <v>30</v>
          </cell>
          <cell r="AA7">
            <v>60</v>
          </cell>
          <cell r="AB7">
            <v>90</v>
          </cell>
          <cell r="AC7">
            <v>100</v>
          </cell>
          <cell r="AD7">
            <v>105</v>
          </cell>
          <cell r="AE7" t="str">
            <v>Yes</v>
          </cell>
          <cell r="AF7" t="str">
            <v>Yes</v>
          </cell>
          <cell r="AG7" t="str">
            <v>Yes</v>
          </cell>
          <cell r="AH7" t="str">
            <v>Chugai</v>
          </cell>
          <cell r="AI7" t="str">
            <v>No</v>
          </cell>
          <cell r="AJ7">
            <v>100</v>
          </cell>
          <cell r="AK7">
            <v>100</v>
          </cell>
          <cell r="AL7">
            <v>100</v>
          </cell>
          <cell r="AM7">
            <v>0</v>
          </cell>
          <cell r="AN7">
            <v>1</v>
          </cell>
          <cell r="AO7">
            <v>0</v>
          </cell>
          <cell r="AP7">
            <v>100</v>
          </cell>
        </row>
        <row r="8">
          <cell r="A8" t="str">
            <v>Palovarotene (RG667)</v>
          </cell>
          <cell r="B8" t="str">
            <v>Emphysema</v>
          </cell>
          <cell r="C8">
            <v>1</v>
          </cell>
          <cell r="D8">
            <v>1</v>
          </cell>
          <cell r="E8">
            <v>1</v>
          </cell>
          <cell r="H8">
            <v>2015</v>
          </cell>
          <cell r="I8" t="str">
            <v>S</v>
          </cell>
          <cell r="J8">
            <v>0</v>
          </cell>
          <cell r="K8">
            <v>3</v>
          </cell>
          <cell r="L8">
            <v>1000</v>
          </cell>
          <cell r="M8">
            <v>0.1</v>
          </cell>
          <cell r="N8">
            <v>100</v>
          </cell>
          <cell r="O8">
            <v>0</v>
          </cell>
          <cell r="P8">
            <v>0</v>
          </cell>
          <cell r="Q8">
            <v>0</v>
          </cell>
          <cell r="R8">
            <v>0</v>
          </cell>
          <cell r="S8">
            <v>0</v>
          </cell>
          <cell r="T8">
            <v>0</v>
          </cell>
          <cell r="U8">
            <v>0</v>
          </cell>
          <cell r="V8">
            <v>0</v>
          </cell>
          <cell r="W8">
            <v>0</v>
          </cell>
          <cell r="X8">
            <v>0</v>
          </cell>
          <cell r="Y8">
            <v>10</v>
          </cell>
          <cell r="Z8">
            <v>30</v>
          </cell>
          <cell r="AA8">
            <v>60</v>
          </cell>
          <cell r="AB8">
            <v>90</v>
          </cell>
          <cell r="AC8">
            <v>100</v>
          </cell>
          <cell r="AD8">
            <v>105</v>
          </cell>
          <cell r="AE8" t="str">
            <v>Yes</v>
          </cell>
          <cell r="AF8" t="str">
            <v>Yes</v>
          </cell>
          <cell r="AG8" t="str">
            <v>Yes</v>
          </cell>
          <cell r="AH8" t="str">
            <v>Chugai</v>
          </cell>
          <cell r="AI8" t="str">
            <v>No</v>
          </cell>
          <cell r="AJ8">
            <v>100</v>
          </cell>
          <cell r="AK8">
            <v>100</v>
          </cell>
          <cell r="AL8">
            <v>100</v>
          </cell>
          <cell r="AM8">
            <v>0</v>
          </cell>
          <cell r="AN8">
            <v>1</v>
          </cell>
          <cell r="AO8">
            <v>0</v>
          </cell>
          <cell r="AP8">
            <v>100</v>
          </cell>
        </row>
        <row r="9">
          <cell r="A9" t="str">
            <v>Rontalizumab/Anti-IFNá (RG7415)</v>
          </cell>
          <cell r="B9" t="str">
            <v>Anti-IFNalpha; SLE</v>
          </cell>
          <cell r="C9">
            <v>1</v>
          </cell>
          <cell r="D9">
            <v>1</v>
          </cell>
          <cell r="E9">
            <v>1</v>
          </cell>
          <cell r="H9">
            <v>2015</v>
          </cell>
          <cell r="I9" t="str">
            <v>S</v>
          </cell>
          <cell r="J9">
            <v>0</v>
          </cell>
          <cell r="K9">
            <v>3</v>
          </cell>
          <cell r="L9">
            <v>2000</v>
          </cell>
          <cell r="M9">
            <v>0.1</v>
          </cell>
          <cell r="N9">
            <v>200</v>
          </cell>
          <cell r="O9">
            <v>0</v>
          </cell>
          <cell r="P9">
            <v>0</v>
          </cell>
          <cell r="Q9">
            <v>0</v>
          </cell>
          <cell r="R9">
            <v>0</v>
          </cell>
          <cell r="S9">
            <v>0</v>
          </cell>
          <cell r="T9">
            <v>0</v>
          </cell>
          <cell r="U9">
            <v>0</v>
          </cell>
          <cell r="V9">
            <v>0</v>
          </cell>
          <cell r="W9">
            <v>0</v>
          </cell>
          <cell r="X9">
            <v>0</v>
          </cell>
          <cell r="Y9">
            <v>20</v>
          </cell>
          <cell r="Z9">
            <v>60</v>
          </cell>
          <cell r="AA9">
            <v>120</v>
          </cell>
          <cell r="AB9">
            <v>180</v>
          </cell>
          <cell r="AC9">
            <v>200</v>
          </cell>
          <cell r="AD9">
            <v>210</v>
          </cell>
          <cell r="AE9" t="str">
            <v>Yes</v>
          </cell>
          <cell r="AF9" t="str">
            <v>Yes</v>
          </cell>
          <cell r="AG9" t="str">
            <v>Yes</v>
          </cell>
          <cell r="AH9" t="str">
            <v>Chugai</v>
          </cell>
          <cell r="AI9" t="str">
            <v>No</v>
          </cell>
          <cell r="AJ9">
            <v>200</v>
          </cell>
          <cell r="AK9">
            <v>200</v>
          </cell>
          <cell r="AL9">
            <v>200</v>
          </cell>
          <cell r="AM9">
            <v>0</v>
          </cell>
          <cell r="AN9">
            <v>1</v>
          </cell>
          <cell r="AO9">
            <v>0</v>
          </cell>
          <cell r="AP9">
            <v>200</v>
          </cell>
        </row>
        <row r="10">
          <cell r="A10" t="str">
            <v>Anti-LT á (RG7416)</v>
          </cell>
          <cell r="B10" t="str">
            <v>RA</v>
          </cell>
          <cell r="C10">
            <v>1</v>
          </cell>
          <cell r="D10">
            <v>1</v>
          </cell>
          <cell r="E10">
            <v>1</v>
          </cell>
          <cell r="H10">
            <v>2017</v>
          </cell>
          <cell r="I10" t="str">
            <v>S</v>
          </cell>
          <cell r="J10">
            <v>0</v>
          </cell>
          <cell r="K10">
            <v>5</v>
          </cell>
          <cell r="L10">
            <v>500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t="str">
            <v>Yes</v>
          </cell>
          <cell r="AF10" t="str">
            <v>Yes</v>
          </cell>
          <cell r="AG10" t="str">
            <v>Yes</v>
          </cell>
          <cell r="AH10" t="str">
            <v>Chugai</v>
          </cell>
          <cell r="AI10" t="str">
            <v>No</v>
          </cell>
          <cell r="AJ10">
            <v>200</v>
          </cell>
          <cell r="AK10">
            <v>200</v>
          </cell>
          <cell r="AL10">
            <v>200</v>
          </cell>
          <cell r="AM10">
            <v>0</v>
          </cell>
          <cell r="AN10">
            <v>1</v>
          </cell>
          <cell r="AO10">
            <v>0</v>
          </cell>
          <cell r="AP10">
            <v>200</v>
          </cell>
        </row>
        <row r="11">
          <cell r="A11" t="str">
            <v>rhuMAb-â7 (RG7413)</v>
          </cell>
          <cell r="B11" t="str">
            <v>UC</v>
          </cell>
          <cell r="C11">
            <v>1</v>
          </cell>
          <cell r="D11">
            <v>1</v>
          </cell>
          <cell r="H11">
            <v>2017</v>
          </cell>
          <cell r="I11" t="str">
            <v>S</v>
          </cell>
          <cell r="J11">
            <v>0</v>
          </cell>
          <cell r="K11">
            <v>5</v>
          </cell>
          <cell r="L11">
            <v>500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row>
        <row r="12">
          <cell r="A12" t="str">
            <v>VAP-1 Antibody</v>
          </cell>
          <cell r="B12" t="str">
            <v>RA / Plaque psoriasis</v>
          </cell>
          <cell r="C12">
            <v>1</v>
          </cell>
          <cell r="D12">
            <v>1</v>
          </cell>
          <cell r="H12">
            <v>2017</v>
          </cell>
          <cell r="I12" t="str">
            <v>S</v>
          </cell>
          <cell r="J12">
            <v>0</v>
          </cell>
          <cell r="K12">
            <v>5</v>
          </cell>
          <cell r="L12">
            <v>500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row>
        <row r="13">
          <cell r="A13" t="str">
            <v>Metabolism</v>
          </cell>
          <cell r="B13" t="str">
            <v>RA / Plaque psoriasis</v>
          </cell>
          <cell r="C13">
            <v>1</v>
          </cell>
          <cell r="D13">
            <v>1</v>
          </cell>
          <cell r="H13">
            <v>2017</v>
          </cell>
          <cell r="I13" t="str">
            <v>S</v>
          </cell>
          <cell r="J13">
            <v>0</v>
          </cell>
          <cell r="K13">
            <v>5</v>
          </cell>
          <cell r="L13">
            <v>500</v>
          </cell>
          <cell r="M13">
            <v>0</v>
          </cell>
          <cell r="N13">
            <v>1700</v>
          </cell>
          <cell r="O13">
            <v>0</v>
          </cell>
          <cell r="P13">
            <v>0</v>
          </cell>
          <cell r="Q13">
            <v>0</v>
          </cell>
          <cell r="R13">
            <v>0</v>
          </cell>
          <cell r="S13">
            <v>0</v>
          </cell>
          <cell r="T13">
            <v>0</v>
          </cell>
          <cell r="U13">
            <v>0</v>
          </cell>
          <cell r="V13">
            <v>20</v>
          </cell>
          <cell r="W13">
            <v>210</v>
          </cell>
          <cell r="X13">
            <v>570</v>
          </cell>
          <cell r="Y13">
            <v>1080</v>
          </cell>
          <cell r="Z13">
            <v>1550</v>
          </cell>
          <cell r="AA13">
            <v>1710</v>
          </cell>
          <cell r="AB13">
            <v>1795.5</v>
          </cell>
          <cell r="AC13">
            <v>1880.865</v>
          </cell>
          <cell r="AD13">
            <v>1937.2909500000001</v>
          </cell>
          <cell r="AT13">
            <v>0</v>
          </cell>
          <cell r="AU13">
            <v>0</v>
          </cell>
          <cell r="AV13">
            <v>0</v>
          </cell>
          <cell r="AW13">
            <v>0</v>
          </cell>
          <cell r="AX13">
            <v>0</v>
          </cell>
          <cell r="AY13">
            <v>0</v>
          </cell>
          <cell r="AZ13">
            <v>0</v>
          </cell>
        </row>
        <row r="14">
          <cell r="A14" t="str">
            <v>R1658 (dalcetrapib)</v>
          </cell>
          <cell r="B14" t="str">
            <v>Dyslipidemia - CETP inhibitor</v>
          </cell>
          <cell r="C14">
            <v>1</v>
          </cell>
          <cell r="D14">
            <v>1</v>
          </cell>
          <cell r="E14">
            <v>1</v>
          </cell>
          <cell r="F14">
            <v>1</v>
          </cell>
          <cell r="H14">
            <v>2013</v>
          </cell>
          <cell r="I14" t="str">
            <v>PC</v>
          </cell>
          <cell r="J14">
            <v>4</v>
          </cell>
          <cell r="K14">
            <v>2</v>
          </cell>
          <cell r="L14">
            <v>3000</v>
          </cell>
          <cell r="M14">
            <v>0.5</v>
          </cell>
          <cell r="N14">
            <v>1750</v>
          </cell>
          <cell r="O14">
            <v>0</v>
          </cell>
          <cell r="P14">
            <v>0</v>
          </cell>
          <cell r="Q14">
            <v>0</v>
          </cell>
          <cell r="R14">
            <v>0</v>
          </cell>
          <cell r="S14">
            <v>0</v>
          </cell>
          <cell r="T14">
            <v>0</v>
          </cell>
          <cell r="U14">
            <v>0</v>
          </cell>
          <cell r="V14">
            <v>20</v>
          </cell>
          <cell r="W14">
            <v>210</v>
          </cell>
          <cell r="X14">
            <v>570</v>
          </cell>
          <cell r="Y14">
            <v>1085</v>
          </cell>
          <cell r="Z14">
            <v>1565</v>
          </cell>
          <cell r="AA14">
            <v>1740</v>
          </cell>
          <cell r="AB14">
            <v>1840.5</v>
          </cell>
          <cell r="AC14">
            <v>1930.865</v>
          </cell>
          <cell r="AD14">
            <v>1989.7909500000001</v>
          </cell>
          <cell r="AE14" t="str">
            <v>Yes</v>
          </cell>
          <cell r="AF14" t="str">
            <v>Yes</v>
          </cell>
          <cell r="AG14" t="str">
            <v>Yes</v>
          </cell>
          <cell r="AH14" t="str">
            <v>Japan Tobacco</v>
          </cell>
          <cell r="AI14" t="str">
            <v>No</v>
          </cell>
          <cell r="AJ14">
            <v>1500</v>
          </cell>
          <cell r="AK14">
            <v>1500</v>
          </cell>
          <cell r="AL14">
            <v>1500</v>
          </cell>
          <cell r="AM14">
            <v>1</v>
          </cell>
          <cell r="AN14">
            <v>0</v>
          </cell>
          <cell r="AO14">
            <v>1500</v>
          </cell>
          <cell r="AP14">
            <v>0</v>
          </cell>
          <cell r="AT14">
            <v>0</v>
          </cell>
          <cell r="AU14">
            <v>0</v>
          </cell>
          <cell r="AV14">
            <v>0</v>
          </cell>
          <cell r="AW14">
            <v>0</v>
          </cell>
          <cell r="AX14">
            <v>0</v>
          </cell>
          <cell r="AY14">
            <v>0</v>
          </cell>
          <cell r="AZ14">
            <v>150</v>
          </cell>
        </row>
        <row r="15">
          <cell r="A15" t="str">
            <v>R1583 (taspoglutide)</v>
          </cell>
          <cell r="B15" t="str">
            <v>Type 2 Diabetes -GLP-1</v>
          </cell>
          <cell r="C15">
            <v>1</v>
          </cell>
          <cell r="D15">
            <v>1</v>
          </cell>
          <cell r="E15">
            <v>1</v>
          </cell>
          <cell r="F15">
            <v>1</v>
          </cell>
          <cell r="H15">
            <v>2012</v>
          </cell>
          <cell r="I15" t="str">
            <v>PC</v>
          </cell>
          <cell r="J15">
            <v>4</v>
          </cell>
          <cell r="K15">
            <v>2</v>
          </cell>
          <cell r="L15">
            <v>0</v>
          </cell>
          <cell r="M15">
            <v>0.3</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t="str">
            <v>No</v>
          </cell>
          <cell r="AF15" t="str">
            <v>Yes</v>
          </cell>
          <cell r="AG15" t="str">
            <v>Yes</v>
          </cell>
          <cell r="AH15" t="str">
            <v>Ipsen</v>
          </cell>
          <cell r="AI15" t="str">
            <v>Yes</v>
          </cell>
          <cell r="AJ15">
            <v>0</v>
          </cell>
          <cell r="AK15">
            <v>0</v>
          </cell>
          <cell r="AL15">
            <v>0</v>
          </cell>
          <cell r="AM15">
            <v>1</v>
          </cell>
          <cell r="AN15">
            <v>0</v>
          </cell>
          <cell r="AO15">
            <v>0</v>
          </cell>
          <cell r="AP15">
            <v>0</v>
          </cell>
          <cell r="AT15">
            <v>0</v>
          </cell>
          <cell r="AU15">
            <v>0</v>
          </cell>
          <cell r="AV15">
            <v>0</v>
          </cell>
          <cell r="AW15">
            <v>0</v>
          </cell>
          <cell r="AX15">
            <v>0</v>
          </cell>
          <cell r="AY15">
            <v>0</v>
          </cell>
          <cell r="AZ15">
            <v>0</v>
          </cell>
        </row>
        <row r="16">
          <cell r="A16" t="str">
            <v>R1439 (aleglitazar)</v>
          </cell>
          <cell r="B16" t="str">
            <v>Dual PPAR</v>
          </cell>
          <cell r="C16">
            <v>1</v>
          </cell>
          <cell r="D16">
            <v>1</v>
          </cell>
          <cell r="E16">
            <v>1</v>
          </cell>
          <cell r="F16">
            <v>1</v>
          </cell>
          <cell r="H16">
            <v>2012</v>
          </cell>
          <cell r="I16" t="str">
            <v>PC</v>
          </cell>
          <cell r="J16">
            <v>4</v>
          </cell>
          <cell r="K16">
            <v>4</v>
          </cell>
          <cell r="L16">
            <v>2000</v>
          </cell>
          <cell r="M16">
            <v>0.1</v>
          </cell>
          <cell r="N16">
            <v>200</v>
          </cell>
          <cell r="O16">
            <v>0</v>
          </cell>
          <cell r="P16">
            <v>0</v>
          </cell>
          <cell r="Q16">
            <v>0</v>
          </cell>
          <cell r="R16">
            <v>0</v>
          </cell>
          <cell r="S16">
            <v>0</v>
          </cell>
          <cell r="T16">
            <v>0</v>
          </cell>
          <cell r="U16">
            <v>0</v>
          </cell>
          <cell r="V16">
            <v>20</v>
          </cell>
          <cell r="W16">
            <v>60</v>
          </cell>
          <cell r="X16">
            <v>120</v>
          </cell>
          <cell r="Y16">
            <v>180</v>
          </cell>
          <cell r="Z16">
            <v>200</v>
          </cell>
          <cell r="AA16">
            <v>210</v>
          </cell>
          <cell r="AB16">
            <v>220.5</v>
          </cell>
          <cell r="AC16">
            <v>227.11500000000001</v>
          </cell>
          <cell r="AD16">
            <v>233.92845000000003</v>
          </cell>
          <cell r="AE16" t="str">
            <v>No</v>
          </cell>
          <cell r="AF16" t="str">
            <v>Yes</v>
          </cell>
          <cell r="AG16" t="str">
            <v>Yes</v>
          </cell>
          <cell r="AH16" t="str">
            <v>Ipsen</v>
          </cell>
          <cell r="AI16" t="str">
            <v>Yes</v>
          </cell>
          <cell r="AJ16">
            <v>200</v>
          </cell>
          <cell r="AK16">
            <v>200</v>
          </cell>
          <cell r="AL16">
            <v>200</v>
          </cell>
          <cell r="AM16">
            <v>1</v>
          </cell>
          <cell r="AN16">
            <v>0</v>
          </cell>
          <cell r="AO16">
            <v>200</v>
          </cell>
          <cell r="AP16">
            <v>0</v>
          </cell>
          <cell r="AT16">
            <v>0</v>
          </cell>
          <cell r="AU16">
            <v>0</v>
          </cell>
          <cell r="AV16">
            <v>0</v>
          </cell>
          <cell r="AW16">
            <v>0</v>
          </cell>
          <cell r="AX16">
            <v>0</v>
          </cell>
          <cell r="AY16">
            <v>0</v>
          </cell>
          <cell r="AZ16">
            <v>0</v>
          </cell>
        </row>
        <row r="17">
          <cell r="A17" t="str">
            <v>11 Beta HSD Inh (RG4929)</v>
          </cell>
          <cell r="B17" t="str">
            <v>Type 2 Diabetes</v>
          </cell>
          <cell r="C17">
            <v>1</v>
          </cell>
          <cell r="D17">
            <v>1</v>
          </cell>
          <cell r="E17">
            <v>1</v>
          </cell>
          <cell r="H17">
            <v>2018</v>
          </cell>
          <cell r="I17" t="str">
            <v>PC</v>
          </cell>
          <cell r="J17">
            <v>4</v>
          </cell>
          <cell r="K17">
            <v>6</v>
          </cell>
          <cell r="L17">
            <v>500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J17">
            <v>200</v>
          </cell>
          <cell r="AK17">
            <v>200</v>
          </cell>
          <cell r="AL17">
            <v>200</v>
          </cell>
          <cell r="AM17">
            <v>1</v>
          </cell>
          <cell r="AN17">
            <v>0</v>
          </cell>
          <cell r="AO17">
            <v>200</v>
          </cell>
          <cell r="AP17">
            <v>0</v>
          </cell>
        </row>
        <row r="18">
          <cell r="A18" t="str">
            <v>11 Beta HSD Inh (RG7234)</v>
          </cell>
          <cell r="B18" t="str">
            <v>Type 2 Diabetes</v>
          </cell>
          <cell r="C18">
            <v>1</v>
          </cell>
          <cell r="D18">
            <v>1</v>
          </cell>
          <cell r="E18">
            <v>1</v>
          </cell>
          <cell r="H18">
            <v>2018</v>
          </cell>
          <cell r="I18" t="str">
            <v>PC</v>
          </cell>
          <cell r="J18">
            <v>4</v>
          </cell>
          <cell r="K18">
            <v>6</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J18">
            <v>50</v>
          </cell>
          <cell r="AK18">
            <v>50</v>
          </cell>
          <cell r="AL18">
            <v>50</v>
          </cell>
          <cell r="AM18">
            <v>1</v>
          </cell>
          <cell r="AN18">
            <v>0</v>
          </cell>
          <cell r="AO18">
            <v>50</v>
          </cell>
          <cell r="AP18">
            <v>0</v>
          </cell>
        </row>
        <row r="19">
          <cell r="A19" t="str">
            <v>ABCA1 Inducer (RG7273)</v>
          </cell>
          <cell r="B19" t="str">
            <v>Dyslipidemia</v>
          </cell>
          <cell r="C19">
            <v>1</v>
          </cell>
          <cell r="D19">
            <v>1</v>
          </cell>
          <cell r="H19">
            <v>2018</v>
          </cell>
          <cell r="I19" t="str">
            <v>PC</v>
          </cell>
          <cell r="J19">
            <v>4</v>
          </cell>
          <cell r="K19">
            <v>6</v>
          </cell>
          <cell r="L19">
            <v>500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row>
        <row r="20">
          <cell r="A20" t="str">
            <v>Anti-oxLDL (RG7418)</v>
          </cell>
          <cell r="B20" t="str">
            <v>Cardio events</v>
          </cell>
          <cell r="C20">
            <v>1</v>
          </cell>
          <cell r="D20">
            <v>1</v>
          </cell>
          <cell r="H20">
            <v>2018</v>
          </cell>
          <cell r="I20" t="str">
            <v>PC</v>
          </cell>
          <cell r="J20">
            <v>4</v>
          </cell>
          <cell r="K20">
            <v>6</v>
          </cell>
          <cell r="L20">
            <v>500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row>
        <row r="21">
          <cell r="A21" t="str">
            <v>BHT-3021 (RG7426)</v>
          </cell>
          <cell r="B21" t="str">
            <v>Type 1 Diabetes</v>
          </cell>
          <cell r="C21">
            <v>1</v>
          </cell>
          <cell r="D21">
            <v>1</v>
          </cell>
          <cell r="H21">
            <v>2018</v>
          </cell>
          <cell r="I21" t="str">
            <v>PC</v>
          </cell>
          <cell r="J21">
            <v>4</v>
          </cell>
          <cell r="K21">
            <v>6</v>
          </cell>
          <cell r="L21">
            <v>500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row>
        <row r="22">
          <cell r="A22" t="str">
            <v>C-Raf Inh/PLX5568 (RG7376)</v>
          </cell>
          <cell r="B22" t="str">
            <v>Polycystic kidney disease</v>
          </cell>
          <cell r="C22">
            <v>1</v>
          </cell>
          <cell r="D22">
            <v>1</v>
          </cell>
          <cell r="H22">
            <v>2018</v>
          </cell>
          <cell r="I22" t="str">
            <v>PC</v>
          </cell>
          <cell r="J22">
            <v>4</v>
          </cell>
          <cell r="K22">
            <v>6</v>
          </cell>
          <cell r="L22">
            <v>500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row>
        <row r="23">
          <cell r="A23" t="str">
            <v>P-selectin huMAb (RG1512)</v>
          </cell>
          <cell r="B23" t="str">
            <v>Peripheral vascular disease</v>
          </cell>
          <cell r="C23">
            <v>1</v>
          </cell>
          <cell r="D23">
            <v>1</v>
          </cell>
          <cell r="H23">
            <v>2018</v>
          </cell>
          <cell r="I23" t="str">
            <v>PC</v>
          </cell>
          <cell r="J23">
            <v>4</v>
          </cell>
          <cell r="K23">
            <v>6</v>
          </cell>
          <cell r="L23">
            <v>500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row>
        <row r="24">
          <cell r="A24" t="str">
            <v>Y2R Agonist Peptide (RG7089)</v>
          </cell>
          <cell r="B24" t="str">
            <v>Type 2 Diabetes</v>
          </cell>
          <cell r="C24">
            <v>1</v>
          </cell>
          <cell r="D24">
            <v>1</v>
          </cell>
          <cell r="H24">
            <v>2018</v>
          </cell>
          <cell r="I24" t="str">
            <v>PC</v>
          </cell>
          <cell r="J24">
            <v>4</v>
          </cell>
          <cell r="K24">
            <v>6</v>
          </cell>
          <cell r="L24">
            <v>500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row>
        <row r="25">
          <cell r="A25" t="str">
            <v>Oncology</v>
          </cell>
          <cell r="B25" t="str">
            <v>Peripheral vascular disease</v>
          </cell>
          <cell r="C25">
            <v>1</v>
          </cell>
          <cell r="D25">
            <v>1</v>
          </cell>
          <cell r="H25">
            <v>2018</v>
          </cell>
          <cell r="I25" t="str">
            <v>PC</v>
          </cell>
          <cell r="J25">
            <v>4</v>
          </cell>
          <cell r="K25">
            <v>6</v>
          </cell>
          <cell r="L25">
            <v>500</v>
          </cell>
          <cell r="M25">
            <v>0</v>
          </cell>
          <cell r="N25">
            <v>4350</v>
          </cell>
          <cell r="O25">
            <v>0</v>
          </cell>
          <cell r="P25">
            <v>0</v>
          </cell>
          <cell r="Q25">
            <v>0</v>
          </cell>
          <cell r="R25">
            <v>0</v>
          </cell>
          <cell r="S25">
            <v>0</v>
          </cell>
          <cell r="T25">
            <v>0</v>
          </cell>
          <cell r="U25">
            <v>0</v>
          </cell>
          <cell r="V25">
            <v>225</v>
          </cell>
          <cell r="W25">
            <v>800</v>
          </cell>
          <cell r="X25">
            <v>1850</v>
          </cell>
          <cell r="Y25">
            <v>3075</v>
          </cell>
          <cell r="Z25">
            <v>3430</v>
          </cell>
          <cell r="AA25">
            <v>3723.4</v>
          </cell>
          <cell r="AB25">
            <v>4023.3519999999999</v>
          </cell>
          <cell r="AC25">
            <v>4180.5525600000001</v>
          </cell>
          <cell r="AD25">
            <v>4315.9691368000003</v>
          </cell>
          <cell r="AT25">
            <v>0</v>
          </cell>
          <cell r="AU25">
            <v>0</v>
          </cell>
          <cell r="AV25">
            <v>0</v>
          </cell>
          <cell r="AW25">
            <v>0</v>
          </cell>
          <cell r="AX25">
            <v>0</v>
          </cell>
          <cell r="AY25">
            <v>0</v>
          </cell>
          <cell r="AZ25">
            <v>0</v>
          </cell>
        </row>
        <row r="26">
          <cell r="A26" t="str">
            <v>Omnitarg (R1273) pertuzumab</v>
          </cell>
          <cell r="B26" t="str">
            <v>Solid Tumour-Monoclonal Antibody</v>
          </cell>
          <cell r="C26">
            <v>1</v>
          </cell>
          <cell r="D26">
            <v>1</v>
          </cell>
          <cell r="E26">
            <v>1</v>
          </cell>
          <cell r="F26">
            <v>1</v>
          </cell>
          <cell r="H26">
            <v>2012</v>
          </cell>
          <cell r="I26" t="str">
            <v>S</v>
          </cell>
          <cell r="J26">
            <v>0</v>
          </cell>
          <cell r="K26">
            <v>2</v>
          </cell>
          <cell r="L26">
            <v>1500</v>
          </cell>
          <cell r="M26">
            <v>0.5</v>
          </cell>
          <cell r="N26">
            <v>750</v>
          </cell>
          <cell r="O26">
            <v>0</v>
          </cell>
          <cell r="P26">
            <v>0</v>
          </cell>
          <cell r="Q26">
            <v>0</v>
          </cell>
          <cell r="R26">
            <v>0</v>
          </cell>
          <cell r="S26">
            <v>0</v>
          </cell>
          <cell r="T26">
            <v>0</v>
          </cell>
          <cell r="U26">
            <v>0</v>
          </cell>
          <cell r="V26">
            <v>75</v>
          </cell>
          <cell r="W26">
            <v>225</v>
          </cell>
          <cell r="X26">
            <v>450</v>
          </cell>
          <cell r="Y26">
            <v>675</v>
          </cell>
          <cell r="Z26">
            <v>750</v>
          </cell>
          <cell r="AA26">
            <v>787.5</v>
          </cell>
          <cell r="AB26">
            <v>826.875</v>
          </cell>
          <cell r="AC26">
            <v>851.68124999999998</v>
          </cell>
          <cell r="AD26">
            <v>877.23168750000013</v>
          </cell>
          <cell r="AE26" t="str">
            <v>Yes</v>
          </cell>
          <cell r="AF26" t="str">
            <v>Yes</v>
          </cell>
          <cell r="AG26" t="str">
            <v>Yes</v>
          </cell>
          <cell r="AH26" t="str">
            <v>Genentech</v>
          </cell>
          <cell r="AI26" t="str">
            <v>No</v>
          </cell>
          <cell r="AJ26">
            <v>750</v>
          </cell>
          <cell r="AK26">
            <v>750</v>
          </cell>
          <cell r="AL26">
            <v>750</v>
          </cell>
          <cell r="AM26">
            <v>0</v>
          </cell>
          <cell r="AN26">
            <v>1</v>
          </cell>
          <cell r="AO26">
            <v>0</v>
          </cell>
          <cell r="AP26">
            <v>750</v>
          </cell>
          <cell r="AT26">
            <v>0</v>
          </cell>
          <cell r="AU26">
            <v>0</v>
          </cell>
          <cell r="AV26">
            <v>0</v>
          </cell>
          <cell r="AW26">
            <v>0</v>
          </cell>
          <cell r="AX26">
            <v>0</v>
          </cell>
          <cell r="AY26">
            <v>0</v>
          </cell>
          <cell r="AZ26">
            <v>0</v>
          </cell>
        </row>
        <row r="27">
          <cell r="A27" t="str">
            <v>Tarceva + Avastin</v>
          </cell>
          <cell r="B27" t="str">
            <v>NSCLC (1st line)</v>
          </cell>
          <cell r="C27">
            <v>1</v>
          </cell>
          <cell r="D27">
            <v>1</v>
          </cell>
          <cell r="E27">
            <v>1</v>
          </cell>
          <cell r="F27">
            <v>1</v>
          </cell>
          <cell r="H27">
            <v>2012</v>
          </cell>
          <cell r="I27" t="str">
            <v>S</v>
          </cell>
          <cell r="J27">
            <v>0</v>
          </cell>
          <cell r="K27">
            <v>2</v>
          </cell>
          <cell r="L27">
            <v>500</v>
          </cell>
          <cell r="M27">
            <v>0.5</v>
          </cell>
          <cell r="N27">
            <v>4350</v>
          </cell>
          <cell r="O27">
            <v>0</v>
          </cell>
          <cell r="P27">
            <v>0</v>
          </cell>
          <cell r="Q27">
            <v>0</v>
          </cell>
          <cell r="R27">
            <v>0</v>
          </cell>
          <cell r="S27">
            <v>0</v>
          </cell>
          <cell r="T27">
            <v>0</v>
          </cell>
          <cell r="U27">
            <v>0</v>
          </cell>
          <cell r="V27">
            <v>225</v>
          </cell>
          <cell r="W27">
            <v>800</v>
          </cell>
          <cell r="X27">
            <v>1850</v>
          </cell>
          <cell r="Y27">
            <v>3075</v>
          </cell>
          <cell r="Z27">
            <v>3430</v>
          </cell>
          <cell r="AA27">
            <v>3723.4</v>
          </cell>
          <cell r="AB27">
            <v>4023.3519999999999</v>
          </cell>
          <cell r="AC27">
            <v>4180.5525600000001</v>
          </cell>
          <cell r="AD27">
            <v>4315.9691368000003</v>
          </cell>
          <cell r="AE27" t="str">
            <v>Yes</v>
          </cell>
          <cell r="AF27" t="str">
            <v>Yes</v>
          </cell>
          <cell r="AG27" t="str">
            <v>No</v>
          </cell>
          <cell r="AI27" t="str">
            <v>No</v>
          </cell>
          <cell r="AJ27">
            <v>250</v>
          </cell>
          <cell r="AK27">
            <v>250</v>
          </cell>
          <cell r="AL27">
            <v>0</v>
          </cell>
          <cell r="AM27">
            <v>0</v>
          </cell>
          <cell r="AN27">
            <v>1</v>
          </cell>
          <cell r="AO27">
            <v>0</v>
          </cell>
          <cell r="AP27">
            <v>250</v>
          </cell>
          <cell r="AT27">
            <v>0</v>
          </cell>
          <cell r="AU27">
            <v>0</v>
          </cell>
          <cell r="AV27">
            <v>0</v>
          </cell>
          <cell r="AW27">
            <v>0</v>
          </cell>
          <cell r="AX27">
            <v>0</v>
          </cell>
          <cell r="AY27">
            <v>0</v>
          </cell>
          <cell r="AZ27">
            <v>0</v>
          </cell>
        </row>
        <row r="28">
          <cell r="A28" t="str">
            <v>RG-7159 (GA101)</v>
          </cell>
          <cell r="B28" t="str">
            <v>NHL</v>
          </cell>
          <cell r="C28">
            <v>1</v>
          </cell>
          <cell r="D28">
            <v>1</v>
          </cell>
          <cell r="E28">
            <v>1</v>
          </cell>
          <cell r="F28">
            <v>1</v>
          </cell>
          <cell r="H28">
            <v>2012</v>
          </cell>
          <cell r="I28" t="str">
            <v>S</v>
          </cell>
          <cell r="J28">
            <v>0</v>
          </cell>
          <cell r="K28">
            <v>5</v>
          </cell>
          <cell r="L28">
            <v>1000</v>
          </cell>
          <cell r="M28">
            <v>0.5</v>
          </cell>
          <cell r="N28">
            <v>500</v>
          </cell>
          <cell r="O28">
            <v>0</v>
          </cell>
          <cell r="P28">
            <v>0</v>
          </cell>
          <cell r="Q28">
            <v>0</v>
          </cell>
          <cell r="R28">
            <v>0</v>
          </cell>
          <cell r="S28">
            <v>0</v>
          </cell>
          <cell r="T28">
            <v>0</v>
          </cell>
          <cell r="U28">
            <v>0</v>
          </cell>
          <cell r="V28">
            <v>50</v>
          </cell>
          <cell r="W28">
            <v>150</v>
          </cell>
          <cell r="X28">
            <v>300</v>
          </cell>
          <cell r="Y28">
            <v>450</v>
          </cell>
          <cell r="Z28">
            <v>500</v>
          </cell>
          <cell r="AA28">
            <v>525</v>
          </cell>
          <cell r="AB28">
            <v>551.25</v>
          </cell>
          <cell r="AC28">
            <v>567.78750000000002</v>
          </cell>
          <cell r="AD28">
            <v>584.82112500000005</v>
          </cell>
          <cell r="AE28" t="str">
            <v>Yes</v>
          </cell>
          <cell r="AF28" t="str">
            <v>Yes</v>
          </cell>
          <cell r="AG28" t="str">
            <v>No</v>
          </cell>
          <cell r="AH28" t="str">
            <v>Genentech</v>
          </cell>
          <cell r="AI28" t="str">
            <v>No</v>
          </cell>
          <cell r="AJ28">
            <v>500</v>
          </cell>
          <cell r="AK28">
            <v>500</v>
          </cell>
          <cell r="AL28">
            <v>0</v>
          </cell>
          <cell r="AM28">
            <v>0</v>
          </cell>
          <cell r="AN28">
            <v>1</v>
          </cell>
          <cell r="AO28">
            <v>0</v>
          </cell>
          <cell r="AP28">
            <v>500</v>
          </cell>
          <cell r="AT28">
            <v>0</v>
          </cell>
          <cell r="AU28">
            <v>0</v>
          </cell>
          <cell r="AV28">
            <v>0</v>
          </cell>
          <cell r="AW28">
            <v>0</v>
          </cell>
          <cell r="AX28">
            <v>0</v>
          </cell>
          <cell r="AY28">
            <v>0</v>
          </cell>
          <cell r="AZ28">
            <v>0</v>
          </cell>
        </row>
        <row r="29">
          <cell r="A29" t="str">
            <v>RG-7204 (braf)</v>
          </cell>
          <cell r="B29" t="str">
            <v>Melanoma PIII 1st line PII 2nd line</v>
          </cell>
          <cell r="C29">
            <v>1</v>
          </cell>
          <cell r="D29">
            <v>1</v>
          </cell>
          <cell r="E29">
            <v>1</v>
          </cell>
          <cell r="F29">
            <v>1</v>
          </cell>
          <cell r="H29">
            <v>2012</v>
          </cell>
          <cell r="I29" t="str">
            <v>S</v>
          </cell>
          <cell r="J29">
            <v>0</v>
          </cell>
          <cell r="K29">
            <v>5</v>
          </cell>
          <cell r="L29">
            <v>1500</v>
          </cell>
          <cell r="M29">
            <v>0.5</v>
          </cell>
          <cell r="N29">
            <v>750</v>
          </cell>
          <cell r="O29">
            <v>0</v>
          </cell>
          <cell r="P29">
            <v>0</v>
          </cell>
          <cell r="Q29">
            <v>0</v>
          </cell>
          <cell r="R29">
            <v>0</v>
          </cell>
          <cell r="S29">
            <v>0</v>
          </cell>
          <cell r="T29">
            <v>0</v>
          </cell>
          <cell r="U29">
            <v>0</v>
          </cell>
          <cell r="V29">
            <v>75</v>
          </cell>
          <cell r="W29">
            <v>225</v>
          </cell>
          <cell r="X29">
            <v>450</v>
          </cell>
          <cell r="Y29">
            <v>675</v>
          </cell>
          <cell r="Z29">
            <v>750</v>
          </cell>
          <cell r="AA29">
            <v>787.5</v>
          </cell>
          <cell r="AB29">
            <v>826.875</v>
          </cell>
          <cell r="AC29">
            <v>851.68124999999998</v>
          </cell>
          <cell r="AD29">
            <v>877.23168750000013</v>
          </cell>
          <cell r="AE29" t="str">
            <v>Yes</v>
          </cell>
          <cell r="AF29" t="str">
            <v>Yes</v>
          </cell>
          <cell r="AG29" t="str">
            <v>No</v>
          </cell>
          <cell r="AI29" t="str">
            <v>No</v>
          </cell>
          <cell r="AJ29">
            <v>750</v>
          </cell>
          <cell r="AK29">
            <v>750</v>
          </cell>
          <cell r="AL29">
            <v>0</v>
          </cell>
          <cell r="AM29">
            <v>0</v>
          </cell>
          <cell r="AN29">
            <v>1</v>
          </cell>
          <cell r="AO29">
            <v>0</v>
          </cell>
          <cell r="AP29">
            <v>750</v>
          </cell>
        </row>
        <row r="30">
          <cell r="A30" t="str">
            <v>R3502</v>
          </cell>
          <cell r="B30" t="str">
            <v>mBC - monoclonal antibody (DM1)</v>
          </cell>
          <cell r="C30">
            <v>1</v>
          </cell>
          <cell r="D30">
            <v>1</v>
          </cell>
          <cell r="E30">
            <v>1</v>
          </cell>
          <cell r="F30">
            <v>1</v>
          </cell>
          <cell r="H30">
            <v>2012</v>
          </cell>
          <cell r="I30" t="str">
            <v>S</v>
          </cell>
          <cell r="J30">
            <v>0</v>
          </cell>
          <cell r="K30">
            <v>2</v>
          </cell>
          <cell r="L30">
            <v>2000</v>
          </cell>
          <cell r="M30">
            <v>0.8</v>
          </cell>
          <cell r="N30">
            <v>1600</v>
          </cell>
          <cell r="O30">
            <v>0</v>
          </cell>
          <cell r="P30">
            <v>0</v>
          </cell>
          <cell r="Q30">
            <v>0</v>
          </cell>
          <cell r="R30">
            <v>0</v>
          </cell>
          <cell r="S30">
            <v>0</v>
          </cell>
          <cell r="T30">
            <v>0</v>
          </cell>
          <cell r="U30">
            <v>0</v>
          </cell>
          <cell r="V30">
            <v>0</v>
          </cell>
          <cell r="W30">
            <v>125</v>
          </cell>
          <cell r="X30">
            <v>500</v>
          </cell>
          <cell r="Y30">
            <v>1000</v>
          </cell>
          <cell r="Z30">
            <v>1030</v>
          </cell>
          <cell r="AA30">
            <v>1060.9000000000001</v>
          </cell>
          <cell r="AB30">
            <v>1092.7270000000001</v>
          </cell>
          <cell r="AC30">
            <v>1125.50881</v>
          </cell>
          <cell r="AD30">
            <v>1159.2740743000002</v>
          </cell>
          <cell r="AE30" t="str">
            <v>Yes</v>
          </cell>
          <cell r="AF30" t="str">
            <v>Yes</v>
          </cell>
          <cell r="AG30" t="str">
            <v>No</v>
          </cell>
          <cell r="AH30" t="str">
            <v>Genentech</v>
          </cell>
          <cell r="AI30" t="str">
            <v>No</v>
          </cell>
          <cell r="AJ30">
            <v>500</v>
          </cell>
          <cell r="AK30">
            <v>500</v>
          </cell>
          <cell r="AL30">
            <v>0</v>
          </cell>
          <cell r="AM30">
            <v>0</v>
          </cell>
          <cell r="AN30">
            <v>1</v>
          </cell>
          <cell r="AO30">
            <v>0</v>
          </cell>
          <cell r="AP30">
            <v>500</v>
          </cell>
        </row>
        <row r="31">
          <cell r="A31" t="str">
            <v>RG7433 (ABT -263)</v>
          </cell>
          <cell r="B31" t="str">
            <v>CLL/ SCLC</v>
          </cell>
          <cell r="C31">
            <v>1</v>
          </cell>
          <cell r="D31">
            <v>1</v>
          </cell>
          <cell r="E31">
            <v>1</v>
          </cell>
          <cell r="F31">
            <v>1</v>
          </cell>
          <cell r="H31">
            <v>2015</v>
          </cell>
          <cell r="I31" t="str">
            <v>S</v>
          </cell>
          <cell r="J31">
            <v>0</v>
          </cell>
          <cell r="K31">
            <v>5</v>
          </cell>
          <cell r="L31">
            <v>1000</v>
          </cell>
          <cell r="M31">
            <v>0.1</v>
          </cell>
          <cell r="N31">
            <v>100</v>
          </cell>
          <cell r="O31">
            <v>0</v>
          </cell>
          <cell r="P31">
            <v>0</v>
          </cell>
          <cell r="Q31">
            <v>0</v>
          </cell>
          <cell r="R31">
            <v>0</v>
          </cell>
          <cell r="S31">
            <v>0</v>
          </cell>
          <cell r="T31">
            <v>0</v>
          </cell>
          <cell r="U31">
            <v>0</v>
          </cell>
          <cell r="V31">
            <v>0</v>
          </cell>
          <cell r="W31">
            <v>0</v>
          </cell>
          <cell r="X31">
            <v>0</v>
          </cell>
          <cell r="Y31">
            <v>10</v>
          </cell>
          <cell r="Z31">
            <v>30</v>
          </cell>
          <cell r="AA31">
            <v>60</v>
          </cell>
          <cell r="AB31">
            <v>90</v>
          </cell>
          <cell r="AC31">
            <v>100</v>
          </cell>
          <cell r="AD31">
            <v>105</v>
          </cell>
          <cell r="AE31" t="str">
            <v>Yes</v>
          </cell>
          <cell r="AF31" t="str">
            <v>Yes</v>
          </cell>
          <cell r="AG31" t="str">
            <v>No</v>
          </cell>
          <cell r="AI31" t="str">
            <v>No</v>
          </cell>
          <cell r="AJ31">
            <v>100</v>
          </cell>
          <cell r="AK31">
            <v>100</v>
          </cell>
          <cell r="AL31">
            <v>0</v>
          </cell>
          <cell r="AM31">
            <v>0</v>
          </cell>
          <cell r="AN31">
            <v>1</v>
          </cell>
          <cell r="AO31">
            <v>0</v>
          </cell>
          <cell r="AP31">
            <v>100</v>
          </cell>
        </row>
        <row r="32">
          <cell r="A32" t="str">
            <v>RG3616</v>
          </cell>
          <cell r="B32" t="str">
            <v>Hedgehog - BCC, mCRC, Ovarian</v>
          </cell>
          <cell r="C32">
            <v>1</v>
          </cell>
          <cell r="D32">
            <v>1</v>
          </cell>
          <cell r="E32">
            <v>1</v>
          </cell>
          <cell r="F32">
            <v>1</v>
          </cell>
          <cell r="H32">
            <v>2015</v>
          </cell>
          <cell r="I32" t="str">
            <v>S</v>
          </cell>
          <cell r="J32">
            <v>0</v>
          </cell>
          <cell r="K32">
            <v>5</v>
          </cell>
          <cell r="L32">
            <v>2000</v>
          </cell>
          <cell r="M32">
            <v>0.1</v>
          </cell>
          <cell r="N32">
            <v>200</v>
          </cell>
          <cell r="O32">
            <v>0</v>
          </cell>
          <cell r="P32">
            <v>0</v>
          </cell>
          <cell r="Q32">
            <v>0</v>
          </cell>
          <cell r="R32">
            <v>0</v>
          </cell>
          <cell r="S32">
            <v>0</v>
          </cell>
          <cell r="T32">
            <v>0</v>
          </cell>
          <cell r="U32">
            <v>0</v>
          </cell>
          <cell r="V32">
            <v>0</v>
          </cell>
          <cell r="W32">
            <v>0</v>
          </cell>
          <cell r="X32">
            <v>0</v>
          </cell>
          <cell r="Y32">
            <v>20</v>
          </cell>
          <cell r="Z32">
            <v>60</v>
          </cell>
          <cell r="AA32">
            <v>120</v>
          </cell>
          <cell r="AB32">
            <v>180</v>
          </cell>
          <cell r="AC32">
            <v>200</v>
          </cell>
          <cell r="AD32">
            <v>210</v>
          </cell>
          <cell r="AE32" t="str">
            <v>Yes</v>
          </cell>
          <cell r="AF32" t="str">
            <v>Yes</v>
          </cell>
          <cell r="AG32" t="str">
            <v>No</v>
          </cell>
          <cell r="AH32" t="str">
            <v>Genentech</v>
          </cell>
          <cell r="AI32" t="str">
            <v>No</v>
          </cell>
          <cell r="AJ32">
            <v>200</v>
          </cell>
          <cell r="AK32">
            <v>200</v>
          </cell>
          <cell r="AL32">
            <v>0</v>
          </cell>
          <cell r="AM32">
            <v>0</v>
          </cell>
          <cell r="AN32">
            <v>1</v>
          </cell>
          <cell r="AO32">
            <v>0</v>
          </cell>
          <cell r="AP32">
            <v>200</v>
          </cell>
        </row>
        <row r="33">
          <cell r="A33" t="str">
            <v>RG3638 MetMab</v>
          </cell>
          <cell r="B33" t="str">
            <v>NSCLC (2nd/ 3rd line)</v>
          </cell>
          <cell r="C33">
            <v>1</v>
          </cell>
          <cell r="D33">
            <v>1</v>
          </cell>
          <cell r="E33">
            <v>1</v>
          </cell>
          <cell r="H33">
            <v>2015</v>
          </cell>
          <cell r="I33" t="str">
            <v>S</v>
          </cell>
          <cell r="J33">
            <v>0</v>
          </cell>
          <cell r="K33">
            <v>5</v>
          </cell>
          <cell r="L33">
            <v>1000</v>
          </cell>
          <cell r="M33">
            <v>0.1</v>
          </cell>
          <cell r="N33">
            <v>100</v>
          </cell>
          <cell r="O33">
            <v>0</v>
          </cell>
          <cell r="P33">
            <v>0</v>
          </cell>
          <cell r="Q33">
            <v>0</v>
          </cell>
          <cell r="R33">
            <v>0</v>
          </cell>
          <cell r="S33">
            <v>0</v>
          </cell>
          <cell r="T33">
            <v>0</v>
          </cell>
          <cell r="U33">
            <v>0</v>
          </cell>
          <cell r="V33">
            <v>0</v>
          </cell>
          <cell r="W33">
            <v>0</v>
          </cell>
          <cell r="X33">
            <v>0</v>
          </cell>
          <cell r="Y33">
            <v>10</v>
          </cell>
          <cell r="Z33">
            <v>30</v>
          </cell>
          <cell r="AA33">
            <v>60</v>
          </cell>
          <cell r="AB33">
            <v>90</v>
          </cell>
          <cell r="AC33">
            <v>100</v>
          </cell>
          <cell r="AD33">
            <v>105</v>
          </cell>
          <cell r="AE33" t="str">
            <v>Yes</v>
          </cell>
          <cell r="AF33" t="str">
            <v>Yes</v>
          </cell>
          <cell r="AG33" t="str">
            <v>No</v>
          </cell>
          <cell r="AI33" t="str">
            <v>No</v>
          </cell>
          <cell r="AJ33">
            <v>100</v>
          </cell>
          <cell r="AK33">
            <v>100</v>
          </cell>
          <cell r="AL33">
            <v>0</v>
          </cell>
          <cell r="AM33">
            <v>0</v>
          </cell>
          <cell r="AN33">
            <v>1</v>
          </cell>
          <cell r="AO33">
            <v>0</v>
          </cell>
          <cell r="AP33">
            <v>100</v>
          </cell>
        </row>
        <row r="34">
          <cell r="A34" t="str">
            <v>Topoisomerase TP300 (Chugai)</v>
          </cell>
          <cell r="B34" t="str">
            <v>mCRC</v>
          </cell>
          <cell r="C34">
            <v>1</v>
          </cell>
          <cell r="D34">
            <v>1</v>
          </cell>
          <cell r="E34">
            <v>1</v>
          </cell>
          <cell r="H34">
            <v>2015</v>
          </cell>
          <cell r="I34" t="str">
            <v>S</v>
          </cell>
          <cell r="J34">
            <v>0</v>
          </cell>
          <cell r="K34">
            <v>5</v>
          </cell>
          <cell r="L34">
            <v>1000</v>
          </cell>
          <cell r="M34">
            <v>0.1</v>
          </cell>
          <cell r="N34">
            <v>100</v>
          </cell>
          <cell r="O34">
            <v>0</v>
          </cell>
          <cell r="P34">
            <v>0</v>
          </cell>
          <cell r="Q34">
            <v>0</v>
          </cell>
          <cell r="R34">
            <v>0</v>
          </cell>
          <cell r="S34">
            <v>0</v>
          </cell>
          <cell r="T34">
            <v>0</v>
          </cell>
          <cell r="U34">
            <v>0</v>
          </cell>
          <cell r="V34">
            <v>0</v>
          </cell>
          <cell r="W34">
            <v>0</v>
          </cell>
          <cell r="X34">
            <v>0</v>
          </cell>
          <cell r="Y34">
            <v>10</v>
          </cell>
          <cell r="Z34">
            <v>30</v>
          </cell>
          <cell r="AA34">
            <v>60</v>
          </cell>
          <cell r="AB34">
            <v>90</v>
          </cell>
          <cell r="AC34">
            <v>100</v>
          </cell>
          <cell r="AD34">
            <v>105</v>
          </cell>
          <cell r="AE34" t="str">
            <v>Yes</v>
          </cell>
          <cell r="AF34" t="str">
            <v>Yes</v>
          </cell>
          <cell r="AG34" t="str">
            <v>No</v>
          </cell>
          <cell r="AI34" t="str">
            <v>No</v>
          </cell>
          <cell r="AJ34">
            <v>100</v>
          </cell>
          <cell r="AK34">
            <v>100</v>
          </cell>
          <cell r="AL34">
            <v>0</v>
          </cell>
          <cell r="AM34">
            <v>0</v>
          </cell>
          <cell r="AN34">
            <v>1</v>
          </cell>
          <cell r="AO34">
            <v>0</v>
          </cell>
          <cell r="AP34">
            <v>100</v>
          </cell>
        </row>
        <row r="35">
          <cell r="A35" t="str">
            <v>RG7414</v>
          </cell>
          <cell r="B35" t="str">
            <v>Anti-EGFL7 (solid tumours)</v>
          </cell>
          <cell r="C35">
            <v>1</v>
          </cell>
          <cell r="D35">
            <v>1</v>
          </cell>
          <cell r="E35">
            <v>1</v>
          </cell>
          <cell r="H35">
            <v>2017</v>
          </cell>
          <cell r="I35" t="str">
            <v>S</v>
          </cell>
          <cell r="J35">
            <v>0</v>
          </cell>
          <cell r="K35">
            <v>5</v>
          </cell>
          <cell r="L35">
            <v>500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t="str">
            <v>Yes</v>
          </cell>
          <cell r="AF35" t="str">
            <v>Yes</v>
          </cell>
          <cell r="AG35" t="str">
            <v>No</v>
          </cell>
          <cell r="AI35" t="str">
            <v>No</v>
          </cell>
          <cell r="AJ35">
            <v>100</v>
          </cell>
          <cell r="AK35">
            <v>100</v>
          </cell>
          <cell r="AL35">
            <v>0</v>
          </cell>
          <cell r="AM35">
            <v>0</v>
          </cell>
          <cell r="AN35">
            <v>1</v>
          </cell>
          <cell r="AO35">
            <v>0</v>
          </cell>
          <cell r="AP35">
            <v>100</v>
          </cell>
        </row>
        <row r="36">
          <cell r="A36" t="str">
            <v>huMAb EGFR/GA201 (RG7160</v>
          </cell>
          <cell r="B36" t="str">
            <v>Solid tumours</v>
          </cell>
          <cell r="C36">
            <v>1</v>
          </cell>
          <cell r="D36">
            <v>1</v>
          </cell>
          <cell r="E36">
            <v>1</v>
          </cell>
          <cell r="H36">
            <v>2017</v>
          </cell>
          <cell r="I36" t="str">
            <v>S</v>
          </cell>
          <cell r="J36">
            <v>0</v>
          </cell>
          <cell r="K36">
            <v>5</v>
          </cell>
          <cell r="L36">
            <v>500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t="str">
            <v>Yes</v>
          </cell>
          <cell r="AF36" t="str">
            <v>Yes</v>
          </cell>
          <cell r="AG36" t="str">
            <v>No</v>
          </cell>
          <cell r="AI36" t="str">
            <v>No</v>
          </cell>
          <cell r="AJ36">
            <v>100</v>
          </cell>
          <cell r="AK36">
            <v>100</v>
          </cell>
          <cell r="AL36">
            <v>0</v>
          </cell>
          <cell r="AM36">
            <v>0</v>
          </cell>
          <cell r="AN36">
            <v>1</v>
          </cell>
          <cell r="AO36">
            <v>0</v>
          </cell>
          <cell r="AP36">
            <v>100</v>
          </cell>
        </row>
        <row r="37">
          <cell r="A37" t="str">
            <v>RG7423 (ABT-263/Bcl2)</v>
          </cell>
          <cell r="B37" t="str">
            <v>Solid tumours</v>
          </cell>
          <cell r="C37">
            <v>1</v>
          </cell>
          <cell r="D37">
            <v>1</v>
          </cell>
          <cell r="H37">
            <v>2017</v>
          </cell>
          <cell r="I37" t="str">
            <v>S</v>
          </cell>
          <cell r="J37">
            <v>0</v>
          </cell>
          <cell r="K37">
            <v>5</v>
          </cell>
          <cell r="L37">
            <v>500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row>
        <row r="38">
          <cell r="A38" t="str">
            <v>RG7347</v>
          </cell>
          <cell r="B38" t="str">
            <v>Anti-NRP1 (solid tumours)</v>
          </cell>
          <cell r="C38">
            <v>1</v>
          </cell>
          <cell r="D38">
            <v>1</v>
          </cell>
          <cell r="H38">
            <v>2017</v>
          </cell>
          <cell r="I38" t="str">
            <v>S</v>
          </cell>
          <cell r="J38">
            <v>0</v>
          </cell>
          <cell r="K38">
            <v>5</v>
          </cell>
          <cell r="L38">
            <v>500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row>
        <row r="39">
          <cell r="A39" t="str">
            <v>RG7334</v>
          </cell>
          <cell r="B39" t="str">
            <v>Anti-PLGF (Solid tumours)</v>
          </cell>
          <cell r="C39">
            <v>1</v>
          </cell>
          <cell r="D39">
            <v>1</v>
          </cell>
          <cell r="H39">
            <v>2017</v>
          </cell>
          <cell r="I39" t="str">
            <v>S</v>
          </cell>
          <cell r="J39">
            <v>0</v>
          </cell>
          <cell r="K39">
            <v>5</v>
          </cell>
          <cell r="L39">
            <v>500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row>
        <row r="40">
          <cell r="A40" t="str">
            <v>RG7304</v>
          </cell>
          <cell r="B40" t="str">
            <v>CK127 (solid tumours)</v>
          </cell>
          <cell r="C40">
            <v>1</v>
          </cell>
          <cell r="D40">
            <v>1</v>
          </cell>
          <cell r="H40">
            <v>2017</v>
          </cell>
          <cell r="I40" t="str">
            <v>S</v>
          </cell>
          <cell r="J40">
            <v>0</v>
          </cell>
          <cell r="K40">
            <v>5</v>
          </cell>
          <cell r="L40">
            <v>500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row>
        <row r="41">
          <cell r="A41" t="str">
            <v>G-secretase Inh (RG4733)</v>
          </cell>
          <cell r="B41" t="str">
            <v>Solid tumours</v>
          </cell>
          <cell r="C41">
            <v>1</v>
          </cell>
          <cell r="D41">
            <v>1</v>
          </cell>
          <cell r="H41">
            <v>2017</v>
          </cell>
          <cell r="I41" t="str">
            <v>S</v>
          </cell>
          <cell r="J41">
            <v>0</v>
          </cell>
          <cell r="K41">
            <v>5</v>
          </cell>
          <cell r="L41">
            <v>500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row>
        <row r="42">
          <cell r="A42" t="str">
            <v>huMAb Glypican-3/GC331</v>
          </cell>
          <cell r="B42" t="str">
            <v>Liver cancer</v>
          </cell>
          <cell r="C42">
            <v>1</v>
          </cell>
          <cell r="D42">
            <v>1</v>
          </cell>
          <cell r="H42">
            <v>2017</v>
          </cell>
          <cell r="I42" t="str">
            <v>S</v>
          </cell>
          <cell r="J42">
            <v>0</v>
          </cell>
          <cell r="K42">
            <v>5</v>
          </cell>
          <cell r="L42">
            <v>500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row>
        <row r="43">
          <cell r="A43" t="str">
            <v>MDM2 Antagonist (RG7112)</v>
          </cell>
          <cell r="B43" t="str">
            <v>Solid tumours</v>
          </cell>
          <cell r="C43">
            <v>1</v>
          </cell>
          <cell r="D43">
            <v>1</v>
          </cell>
          <cell r="H43">
            <v>2017</v>
          </cell>
          <cell r="I43" t="str">
            <v>S</v>
          </cell>
          <cell r="J43">
            <v>0</v>
          </cell>
          <cell r="K43">
            <v>5</v>
          </cell>
          <cell r="L43">
            <v>500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row>
        <row r="44">
          <cell r="A44" t="str">
            <v>MEK Inh/CIF (RG7167)</v>
          </cell>
          <cell r="B44" t="str">
            <v>Solid tumours</v>
          </cell>
          <cell r="C44">
            <v>1</v>
          </cell>
          <cell r="D44" t="str">
            <v>F</v>
          </cell>
          <cell r="H44">
            <v>2017</v>
          </cell>
          <cell r="I44" t="str">
            <v>S</v>
          </cell>
          <cell r="J44">
            <v>0</v>
          </cell>
          <cell r="K44">
            <v>5</v>
          </cell>
          <cell r="L44">
            <v>500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row>
        <row r="45">
          <cell r="A45" t="str">
            <v>MEK Inh/GDC-0973 (RG7420)</v>
          </cell>
          <cell r="B45" t="str">
            <v>Solid tumours</v>
          </cell>
          <cell r="C45">
            <v>1</v>
          </cell>
          <cell r="D45">
            <v>1</v>
          </cell>
          <cell r="H45">
            <v>2017</v>
          </cell>
          <cell r="I45" t="str">
            <v>S</v>
          </cell>
          <cell r="J45">
            <v>0</v>
          </cell>
          <cell r="K45">
            <v>5</v>
          </cell>
          <cell r="L45">
            <v>500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row>
        <row r="46">
          <cell r="A46" t="str">
            <v>PI3 Kinase Inh/GDC-0941 (RG7321)</v>
          </cell>
          <cell r="B46" t="str">
            <v>MBC / NSCLC</v>
          </cell>
          <cell r="C46">
            <v>1</v>
          </cell>
          <cell r="D46">
            <v>1</v>
          </cell>
          <cell r="H46">
            <v>2017</v>
          </cell>
          <cell r="I46" t="str">
            <v>S</v>
          </cell>
          <cell r="J46">
            <v>0</v>
          </cell>
          <cell r="K46">
            <v>5</v>
          </cell>
          <cell r="L46">
            <v>500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row>
        <row r="47">
          <cell r="A47" t="str">
            <v>PI3 Kinase Inh/GDC-0980 (RG7422)</v>
          </cell>
          <cell r="B47" t="str">
            <v>Solid tumours / NHL</v>
          </cell>
          <cell r="C47" t="str">
            <v>cd</v>
          </cell>
          <cell r="D47">
            <v>1</v>
          </cell>
          <cell r="H47">
            <v>2017</v>
          </cell>
          <cell r="I47" t="str">
            <v>S</v>
          </cell>
          <cell r="J47">
            <v>0</v>
          </cell>
          <cell r="K47">
            <v>5</v>
          </cell>
          <cell r="L47">
            <v>500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row>
        <row r="48">
          <cell r="A48" t="str">
            <v>RG7356</v>
          </cell>
          <cell r="B48" t="str">
            <v>antu-CD44 Mab</v>
          </cell>
          <cell r="C48" t="str">
            <v>cd</v>
          </cell>
          <cell r="D48">
            <v>1</v>
          </cell>
          <cell r="H48">
            <v>2019</v>
          </cell>
          <cell r="I48" t="str">
            <v>S</v>
          </cell>
          <cell r="J48">
            <v>0</v>
          </cell>
          <cell r="K48">
            <v>5</v>
          </cell>
          <cell r="L48">
            <v>500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row>
        <row r="49">
          <cell r="A49" t="str">
            <v>RG7458</v>
          </cell>
          <cell r="B49" t="str">
            <v>ADC ovarian</v>
          </cell>
          <cell r="C49" t="str">
            <v>cd</v>
          </cell>
          <cell r="D49">
            <v>1</v>
          </cell>
          <cell r="H49">
            <v>2019</v>
          </cell>
          <cell r="I49" t="str">
            <v>S</v>
          </cell>
          <cell r="J49">
            <v>0</v>
          </cell>
          <cell r="K49">
            <v>5</v>
          </cell>
          <cell r="L49">
            <v>500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row>
        <row r="50">
          <cell r="A50" t="str">
            <v>RG7603</v>
          </cell>
          <cell r="B50" t="str">
            <v>solid tumours or NHL</v>
          </cell>
          <cell r="C50" t="str">
            <v>cd</v>
          </cell>
          <cell r="D50">
            <v>1</v>
          </cell>
          <cell r="H50">
            <v>2019</v>
          </cell>
          <cell r="I50" t="str">
            <v>S</v>
          </cell>
          <cell r="J50">
            <v>0</v>
          </cell>
          <cell r="K50">
            <v>5</v>
          </cell>
          <cell r="L50">
            <v>500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row>
        <row r="51">
          <cell r="A51" t="str">
            <v>RG73446</v>
          </cell>
          <cell r="B51" t="str">
            <v>cancer immunotherapy</v>
          </cell>
          <cell r="C51" t="str">
            <v>cd</v>
          </cell>
          <cell r="D51">
            <v>1</v>
          </cell>
          <cell r="H51">
            <v>2019</v>
          </cell>
          <cell r="I51" t="str">
            <v>S</v>
          </cell>
          <cell r="J51">
            <v>0</v>
          </cell>
          <cell r="K51">
            <v>5</v>
          </cell>
          <cell r="L51">
            <v>500</v>
          </cell>
          <cell r="M51">
            <v>0</v>
          </cell>
          <cell r="N51">
            <v>175</v>
          </cell>
          <cell r="O51">
            <v>0</v>
          </cell>
          <cell r="P51">
            <v>0</v>
          </cell>
          <cell r="Q51">
            <v>0</v>
          </cell>
          <cell r="R51">
            <v>0</v>
          </cell>
          <cell r="S51">
            <v>0</v>
          </cell>
          <cell r="T51">
            <v>0</v>
          </cell>
          <cell r="U51">
            <v>0</v>
          </cell>
          <cell r="V51">
            <v>0</v>
          </cell>
          <cell r="W51">
            <v>0</v>
          </cell>
          <cell r="X51">
            <v>15</v>
          </cell>
          <cell r="Y51">
            <v>47.5</v>
          </cell>
          <cell r="Z51">
            <v>97.5</v>
          </cell>
          <cell r="AA51">
            <v>150</v>
          </cell>
          <cell r="AB51">
            <v>172.5</v>
          </cell>
          <cell r="AC51">
            <v>182.5</v>
          </cell>
          <cell r="AD51">
            <v>191.625</v>
          </cell>
          <cell r="AT51">
            <v>0</v>
          </cell>
          <cell r="AU51">
            <v>0</v>
          </cell>
          <cell r="AV51">
            <v>0</v>
          </cell>
          <cell r="AW51">
            <v>0</v>
          </cell>
          <cell r="AX51">
            <v>0</v>
          </cell>
          <cell r="AY51">
            <v>0</v>
          </cell>
          <cell r="AZ51">
            <v>0</v>
          </cell>
        </row>
        <row r="52">
          <cell r="A52" t="str">
            <v>RG7599</v>
          </cell>
          <cell r="B52" t="str">
            <v>ADC onology</v>
          </cell>
          <cell r="C52" t="str">
            <v>cd</v>
          </cell>
          <cell r="D52">
            <v>1</v>
          </cell>
          <cell r="E52">
            <v>1</v>
          </cell>
          <cell r="H52">
            <v>2019</v>
          </cell>
          <cell r="I52" t="str">
            <v>S</v>
          </cell>
          <cell r="J52">
            <v>0</v>
          </cell>
          <cell r="K52">
            <v>5</v>
          </cell>
          <cell r="L52">
            <v>500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t="str">
            <v>Yes</v>
          </cell>
          <cell r="AF52" t="str">
            <v>Yes</v>
          </cell>
          <cell r="AG52" t="str">
            <v>Yes</v>
          </cell>
          <cell r="AH52" t="str">
            <v>Transgene</v>
          </cell>
          <cell r="AI52" t="str">
            <v>no</v>
          </cell>
          <cell r="AJ52">
            <v>25</v>
          </cell>
          <cell r="AK52">
            <v>25</v>
          </cell>
          <cell r="AL52">
            <v>25</v>
          </cell>
          <cell r="AM52">
            <v>1</v>
          </cell>
          <cell r="AN52">
            <v>0</v>
          </cell>
          <cell r="AO52">
            <v>25</v>
          </cell>
          <cell r="AP52">
            <v>0</v>
          </cell>
        </row>
        <row r="53">
          <cell r="A53" t="str">
            <v>RG7601</v>
          </cell>
          <cell r="B53" t="str">
            <v>Bcl-2 inh CLL</v>
          </cell>
          <cell r="C53" t="str">
            <v>cd</v>
          </cell>
          <cell r="D53">
            <v>1</v>
          </cell>
          <cell r="E53">
            <v>1</v>
          </cell>
          <cell r="H53">
            <v>2019</v>
          </cell>
          <cell r="I53" t="str">
            <v>S</v>
          </cell>
          <cell r="J53">
            <v>0</v>
          </cell>
          <cell r="K53">
            <v>5</v>
          </cell>
          <cell r="L53">
            <v>500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t="str">
            <v>Yes</v>
          </cell>
          <cell r="AF53" t="str">
            <v>Yes</v>
          </cell>
          <cell r="AG53" t="str">
            <v>Yes</v>
          </cell>
          <cell r="AH53" t="str">
            <v>Transgene</v>
          </cell>
          <cell r="AI53" t="str">
            <v>no</v>
          </cell>
          <cell r="AJ53">
            <v>75</v>
          </cell>
          <cell r="AK53">
            <v>75</v>
          </cell>
          <cell r="AL53">
            <v>75</v>
          </cell>
          <cell r="AM53">
            <v>1</v>
          </cell>
          <cell r="AN53">
            <v>0</v>
          </cell>
          <cell r="AO53">
            <v>75</v>
          </cell>
          <cell r="AP53">
            <v>0</v>
          </cell>
        </row>
        <row r="54">
          <cell r="A54" t="str">
            <v>RG7602</v>
          </cell>
          <cell r="B54" t="str">
            <v>solid tumours or lymphoma</v>
          </cell>
          <cell r="C54" t="str">
            <v>cd</v>
          </cell>
          <cell r="D54">
            <v>1</v>
          </cell>
          <cell r="E54">
            <v>1</v>
          </cell>
          <cell r="H54">
            <v>2019</v>
          </cell>
          <cell r="I54" t="str">
            <v>S</v>
          </cell>
          <cell r="J54">
            <v>0</v>
          </cell>
          <cell r="K54">
            <v>5</v>
          </cell>
          <cell r="L54">
            <v>500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t="str">
            <v>Yes</v>
          </cell>
          <cell r="AF54" t="str">
            <v>Yes</v>
          </cell>
          <cell r="AG54" t="str">
            <v>Yes</v>
          </cell>
          <cell r="AH54" t="str">
            <v>Transgene</v>
          </cell>
          <cell r="AI54" t="str">
            <v>no</v>
          </cell>
          <cell r="AJ54">
            <v>75</v>
          </cell>
          <cell r="AK54">
            <v>75</v>
          </cell>
          <cell r="AL54">
            <v>75</v>
          </cell>
          <cell r="AM54">
            <v>1</v>
          </cell>
          <cell r="AN54">
            <v>0</v>
          </cell>
          <cell r="AO54">
            <v>75</v>
          </cell>
          <cell r="AP54">
            <v>0</v>
          </cell>
        </row>
        <row r="55">
          <cell r="A55" t="str">
            <v>Nitazoxamide</v>
          </cell>
          <cell r="B55" t="str">
            <v>Chronic Hep C</v>
          </cell>
          <cell r="C55">
            <v>1</v>
          </cell>
          <cell r="D55">
            <v>1</v>
          </cell>
          <cell r="H55">
            <v>2017</v>
          </cell>
          <cell r="I55" t="str">
            <v>PC</v>
          </cell>
          <cell r="J55">
            <v>4</v>
          </cell>
          <cell r="K55">
            <v>6</v>
          </cell>
          <cell r="L55">
            <v>500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row>
        <row r="56">
          <cell r="A56" t="str">
            <v>Virology</v>
          </cell>
          <cell r="B56" t="str">
            <v>Chronic Hep C</v>
          </cell>
          <cell r="C56">
            <v>1</v>
          </cell>
          <cell r="D56">
            <v>1</v>
          </cell>
          <cell r="H56">
            <v>2017</v>
          </cell>
          <cell r="I56" t="str">
            <v>PC</v>
          </cell>
          <cell r="J56">
            <v>4</v>
          </cell>
          <cell r="K56">
            <v>6</v>
          </cell>
          <cell r="L56">
            <v>500</v>
          </cell>
          <cell r="M56">
            <v>0</v>
          </cell>
          <cell r="N56">
            <v>175</v>
          </cell>
          <cell r="O56">
            <v>0</v>
          </cell>
          <cell r="P56">
            <v>0</v>
          </cell>
          <cell r="Q56">
            <v>0</v>
          </cell>
          <cell r="R56">
            <v>0</v>
          </cell>
          <cell r="S56">
            <v>0</v>
          </cell>
          <cell r="T56">
            <v>0</v>
          </cell>
          <cell r="U56">
            <v>0</v>
          </cell>
          <cell r="V56">
            <v>0</v>
          </cell>
          <cell r="W56">
            <v>0</v>
          </cell>
          <cell r="X56">
            <v>15</v>
          </cell>
          <cell r="Y56">
            <v>47.5</v>
          </cell>
          <cell r="Z56">
            <v>97.5</v>
          </cell>
          <cell r="AA56">
            <v>150</v>
          </cell>
          <cell r="AB56">
            <v>172.5</v>
          </cell>
          <cell r="AC56">
            <v>182.5</v>
          </cell>
          <cell r="AD56">
            <v>191.625</v>
          </cell>
          <cell r="AT56">
            <v>0</v>
          </cell>
          <cell r="AU56">
            <v>0</v>
          </cell>
          <cell r="AV56">
            <v>0</v>
          </cell>
          <cell r="AW56">
            <v>0</v>
          </cell>
          <cell r="AX56">
            <v>0</v>
          </cell>
          <cell r="AY56">
            <v>0</v>
          </cell>
          <cell r="AZ56">
            <v>0</v>
          </cell>
        </row>
        <row r="57">
          <cell r="A57" t="str">
            <v>HPV16 (RG3484)</v>
          </cell>
          <cell r="B57" t="str">
            <v>HPV-16 Cervical neoplasia</v>
          </cell>
          <cell r="C57">
            <v>1</v>
          </cell>
          <cell r="D57">
            <v>1</v>
          </cell>
          <cell r="E57">
            <v>1</v>
          </cell>
          <cell r="H57">
            <v>2015</v>
          </cell>
          <cell r="I57" t="str">
            <v>PC</v>
          </cell>
          <cell r="J57">
            <v>4</v>
          </cell>
          <cell r="K57">
            <v>4</v>
          </cell>
          <cell r="L57">
            <v>250</v>
          </cell>
          <cell r="M57">
            <v>0.1</v>
          </cell>
          <cell r="N57">
            <v>500</v>
          </cell>
          <cell r="O57">
            <v>0</v>
          </cell>
          <cell r="P57">
            <v>0</v>
          </cell>
          <cell r="Q57">
            <v>0</v>
          </cell>
          <cell r="R57">
            <v>0</v>
          </cell>
          <cell r="S57">
            <v>0</v>
          </cell>
          <cell r="T57">
            <v>0</v>
          </cell>
          <cell r="U57">
            <v>0</v>
          </cell>
          <cell r="V57">
            <v>0</v>
          </cell>
          <cell r="W57">
            <v>0</v>
          </cell>
          <cell r="X57">
            <v>5</v>
          </cell>
          <cell r="Y57">
            <v>60</v>
          </cell>
          <cell r="Z57">
            <v>165</v>
          </cell>
          <cell r="AA57">
            <v>315</v>
          </cell>
          <cell r="AB57">
            <v>455</v>
          </cell>
          <cell r="AC57">
            <v>502.5</v>
          </cell>
          <cell r="AD57">
            <v>527.625</v>
          </cell>
          <cell r="AE57" t="str">
            <v>Yes</v>
          </cell>
          <cell r="AF57" t="str">
            <v>Yes</v>
          </cell>
          <cell r="AG57" t="str">
            <v>Yes</v>
          </cell>
          <cell r="AH57" t="str">
            <v>Transgene</v>
          </cell>
          <cell r="AI57" t="str">
            <v>no</v>
          </cell>
          <cell r="AJ57">
            <v>25</v>
          </cell>
          <cell r="AK57">
            <v>25</v>
          </cell>
          <cell r="AL57">
            <v>25</v>
          </cell>
          <cell r="AM57">
            <v>1</v>
          </cell>
          <cell r="AN57">
            <v>0</v>
          </cell>
          <cell r="AO57">
            <v>25</v>
          </cell>
          <cell r="AP57">
            <v>0</v>
          </cell>
          <cell r="AT57">
            <v>0</v>
          </cell>
          <cell r="AU57">
            <v>0</v>
          </cell>
          <cell r="AV57">
            <v>0</v>
          </cell>
          <cell r="AW57">
            <v>0</v>
          </cell>
          <cell r="AX57">
            <v>0</v>
          </cell>
          <cell r="AY57">
            <v>0</v>
          </cell>
          <cell r="AZ57">
            <v>0</v>
          </cell>
        </row>
        <row r="58">
          <cell r="A58" t="str">
            <v>RG7128</v>
          </cell>
          <cell r="B58" t="str">
            <v>Hep C (Polymerase)</v>
          </cell>
          <cell r="C58">
            <v>1</v>
          </cell>
          <cell r="D58">
            <v>1</v>
          </cell>
          <cell r="E58">
            <v>1</v>
          </cell>
          <cell r="H58">
            <v>2014</v>
          </cell>
          <cell r="I58" t="str">
            <v>PC</v>
          </cell>
          <cell r="J58">
            <v>4</v>
          </cell>
          <cell r="K58">
            <v>4</v>
          </cell>
          <cell r="L58">
            <v>750</v>
          </cell>
          <cell r="M58">
            <v>0.1</v>
          </cell>
          <cell r="N58">
            <v>75</v>
          </cell>
          <cell r="O58">
            <v>0</v>
          </cell>
          <cell r="P58">
            <v>0</v>
          </cell>
          <cell r="Q58">
            <v>0</v>
          </cell>
          <cell r="R58">
            <v>0</v>
          </cell>
          <cell r="S58">
            <v>0</v>
          </cell>
          <cell r="T58">
            <v>0</v>
          </cell>
          <cell r="U58">
            <v>0</v>
          </cell>
          <cell r="V58">
            <v>0</v>
          </cell>
          <cell r="W58">
            <v>0</v>
          </cell>
          <cell r="X58">
            <v>7.5</v>
          </cell>
          <cell r="Y58">
            <v>22.5</v>
          </cell>
          <cell r="Z58">
            <v>45</v>
          </cell>
          <cell r="AA58">
            <v>67.5</v>
          </cell>
          <cell r="AB58">
            <v>75</v>
          </cell>
          <cell r="AC58">
            <v>78.75</v>
          </cell>
          <cell r="AD58">
            <v>82.6875</v>
          </cell>
          <cell r="AE58" t="str">
            <v>Yes</v>
          </cell>
          <cell r="AF58" t="str">
            <v>Yes</v>
          </cell>
          <cell r="AG58" t="str">
            <v>Yes</v>
          </cell>
          <cell r="AH58" t="str">
            <v>Transgene</v>
          </cell>
          <cell r="AI58" t="str">
            <v>no</v>
          </cell>
          <cell r="AJ58">
            <v>75</v>
          </cell>
          <cell r="AK58">
            <v>75</v>
          </cell>
          <cell r="AL58">
            <v>75</v>
          </cell>
          <cell r="AM58">
            <v>1</v>
          </cell>
          <cell r="AN58">
            <v>0</v>
          </cell>
          <cell r="AO58">
            <v>75</v>
          </cell>
          <cell r="AP58">
            <v>0</v>
          </cell>
        </row>
        <row r="59">
          <cell r="A59" t="str">
            <v>RG7227</v>
          </cell>
          <cell r="B59" t="str">
            <v>Hep C (protease)</v>
          </cell>
          <cell r="C59">
            <v>1</v>
          </cell>
          <cell r="D59">
            <v>1</v>
          </cell>
          <cell r="E59">
            <v>1</v>
          </cell>
          <cell r="H59">
            <v>2014</v>
          </cell>
          <cell r="I59" t="str">
            <v>PC</v>
          </cell>
          <cell r="J59">
            <v>4</v>
          </cell>
          <cell r="K59">
            <v>4</v>
          </cell>
          <cell r="L59">
            <v>750</v>
          </cell>
          <cell r="M59">
            <v>0.1</v>
          </cell>
          <cell r="N59">
            <v>75</v>
          </cell>
          <cell r="O59">
            <v>0</v>
          </cell>
          <cell r="P59">
            <v>0</v>
          </cell>
          <cell r="Q59">
            <v>0</v>
          </cell>
          <cell r="R59">
            <v>0</v>
          </cell>
          <cell r="S59">
            <v>0</v>
          </cell>
          <cell r="T59">
            <v>0</v>
          </cell>
          <cell r="U59">
            <v>0</v>
          </cell>
          <cell r="V59">
            <v>0</v>
          </cell>
          <cell r="W59">
            <v>0</v>
          </cell>
          <cell r="X59">
            <v>7.5</v>
          </cell>
          <cell r="Y59">
            <v>22.5</v>
          </cell>
          <cell r="Z59">
            <v>45</v>
          </cell>
          <cell r="AA59">
            <v>67.5</v>
          </cell>
          <cell r="AB59">
            <v>75</v>
          </cell>
          <cell r="AC59">
            <v>78.75</v>
          </cell>
          <cell r="AD59">
            <v>82.6875</v>
          </cell>
          <cell r="AE59" t="str">
            <v>Yes</v>
          </cell>
          <cell r="AF59" t="str">
            <v>Yes</v>
          </cell>
          <cell r="AG59" t="str">
            <v>Yes</v>
          </cell>
          <cell r="AH59" t="str">
            <v>Transgene</v>
          </cell>
          <cell r="AI59" t="str">
            <v>no</v>
          </cell>
          <cell r="AJ59">
            <v>75</v>
          </cell>
          <cell r="AK59">
            <v>75</v>
          </cell>
          <cell r="AL59">
            <v>75</v>
          </cell>
          <cell r="AM59">
            <v>1</v>
          </cell>
          <cell r="AN59">
            <v>0</v>
          </cell>
          <cell r="AO59">
            <v>75</v>
          </cell>
          <cell r="AP59">
            <v>0</v>
          </cell>
        </row>
        <row r="60">
          <cell r="A60" t="str">
            <v>Nitazoxamide</v>
          </cell>
          <cell r="B60" t="str">
            <v>Chronic Hep C</v>
          </cell>
          <cell r="C60">
            <v>1</v>
          </cell>
          <cell r="D60">
            <v>1</v>
          </cell>
          <cell r="E60">
            <v>1</v>
          </cell>
          <cell r="H60">
            <v>2017</v>
          </cell>
          <cell r="I60" t="str">
            <v>PC</v>
          </cell>
          <cell r="J60">
            <v>4</v>
          </cell>
          <cell r="K60">
            <v>6</v>
          </cell>
          <cell r="L60">
            <v>500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t="str">
            <v>Yes</v>
          </cell>
          <cell r="AF60" t="str">
            <v>Yes</v>
          </cell>
          <cell r="AG60" t="str">
            <v>Yes</v>
          </cell>
          <cell r="AH60" t="str">
            <v>Genentech</v>
          </cell>
          <cell r="AI60" t="str">
            <v>No</v>
          </cell>
          <cell r="AJ60">
            <v>50</v>
          </cell>
          <cell r="AK60">
            <v>50</v>
          </cell>
          <cell r="AL60">
            <v>50</v>
          </cell>
          <cell r="AM60">
            <v>0</v>
          </cell>
          <cell r="AN60">
            <v>1</v>
          </cell>
          <cell r="AO60">
            <v>0</v>
          </cell>
          <cell r="AP60">
            <v>50</v>
          </cell>
        </row>
        <row r="61">
          <cell r="A61" t="str">
            <v>Serine Palmitoyltransferase Inh/NA8083</v>
          </cell>
          <cell r="B61" t="str">
            <v>Chronic Hep C</v>
          </cell>
          <cell r="C61">
            <v>1</v>
          </cell>
          <cell r="D61">
            <v>1</v>
          </cell>
          <cell r="E61">
            <v>1</v>
          </cell>
          <cell r="H61">
            <v>2017</v>
          </cell>
          <cell r="I61" t="str">
            <v>PC</v>
          </cell>
          <cell r="J61">
            <v>4</v>
          </cell>
          <cell r="K61">
            <v>6</v>
          </cell>
          <cell r="L61">
            <v>500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t="str">
            <v>Yes</v>
          </cell>
          <cell r="AF61" t="str">
            <v>Yes</v>
          </cell>
          <cell r="AG61" t="str">
            <v>Yes</v>
          </cell>
          <cell r="AH61" t="str">
            <v>Genentech</v>
          </cell>
          <cell r="AI61" t="str">
            <v>No</v>
          </cell>
          <cell r="AJ61">
            <v>50</v>
          </cell>
          <cell r="AK61">
            <v>50</v>
          </cell>
          <cell r="AL61">
            <v>50</v>
          </cell>
          <cell r="AM61">
            <v>0</v>
          </cell>
          <cell r="AN61">
            <v>1</v>
          </cell>
          <cell r="AO61">
            <v>0</v>
          </cell>
          <cell r="AP61">
            <v>50</v>
          </cell>
        </row>
        <row r="62">
          <cell r="A62" t="str">
            <v>CNS</v>
          </cell>
          <cell r="B62" t="str">
            <v>Alzheimers</v>
          </cell>
          <cell r="C62">
            <v>1</v>
          </cell>
          <cell r="D62">
            <v>1</v>
          </cell>
          <cell r="H62">
            <v>2018</v>
          </cell>
          <cell r="I62" t="str">
            <v>S</v>
          </cell>
          <cell r="J62">
            <v>0</v>
          </cell>
          <cell r="K62">
            <v>5</v>
          </cell>
          <cell r="L62">
            <v>2000</v>
          </cell>
          <cell r="M62">
            <v>0</v>
          </cell>
          <cell r="N62">
            <v>500</v>
          </cell>
          <cell r="O62">
            <v>0</v>
          </cell>
          <cell r="P62">
            <v>0</v>
          </cell>
          <cell r="Q62">
            <v>0</v>
          </cell>
          <cell r="R62">
            <v>0</v>
          </cell>
          <cell r="S62">
            <v>0</v>
          </cell>
          <cell r="T62">
            <v>0</v>
          </cell>
          <cell r="U62">
            <v>0</v>
          </cell>
          <cell r="V62">
            <v>0</v>
          </cell>
          <cell r="W62">
            <v>0</v>
          </cell>
          <cell r="X62">
            <v>5</v>
          </cell>
          <cell r="Y62">
            <v>60</v>
          </cell>
          <cell r="Z62">
            <v>165</v>
          </cell>
          <cell r="AA62">
            <v>315</v>
          </cell>
          <cell r="AB62">
            <v>455</v>
          </cell>
          <cell r="AC62">
            <v>502.5</v>
          </cell>
          <cell r="AD62">
            <v>527.625</v>
          </cell>
          <cell r="AT62">
            <v>0</v>
          </cell>
          <cell r="AU62">
            <v>0</v>
          </cell>
          <cell r="AV62">
            <v>0</v>
          </cell>
          <cell r="AW62">
            <v>0</v>
          </cell>
          <cell r="AX62">
            <v>0</v>
          </cell>
          <cell r="AY62">
            <v>0</v>
          </cell>
          <cell r="AZ62">
            <v>0</v>
          </cell>
        </row>
        <row r="63">
          <cell r="A63" t="str">
            <v>MEM3454 (R3487)</v>
          </cell>
          <cell r="B63" t="str">
            <v>Alzheimers (nicotinic alpha 7)</v>
          </cell>
          <cell r="C63">
            <v>1</v>
          </cell>
          <cell r="D63">
            <v>1</v>
          </cell>
          <cell r="E63">
            <v>1</v>
          </cell>
          <cell r="H63">
            <v>2015</v>
          </cell>
          <cell r="I63" t="str">
            <v>S</v>
          </cell>
          <cell r="J63">
            <v>0</v>
          </cell>
          <cell r="K63">
            <v>3</v>
          </cell>
          <cell r="L63">
            <v>2000</v>
          </cell>
          <cell r="M63">
            <v>0.1</v>
          </cell>
          <cell r="N63">
            <v>200</v>
          </cell>
          <cell r="O63">
            <v>0</v>
          </cell>
          <cell r="P63">
            <v>0</v>
          </cell>
          <cell r="Q63">
            <v>0</v>
          </cell>
          <cell r="R63">
            <v>0</v>
          </cell>
          <cell r="S63">
            <v>0</v>
          </cell>
          <cell r="T63">
            <v>0</v>
          </cell>
          <cell r="U63">
            <v>0</v>
          </cell>
          <cell r="V63">
            <v>0</v>
          </cell>
          <cell r="W63">
            <v>0</v>
          </cell>
          <cell r="X63">
            <v>0</v>
          </cell>
          <cell r="Y63">
            <v>20</v>
          </cell>
          <cell r="Z63">
            <v>60</v>
          </cell>
          <cell r="AA63">
            <v>120</v>
          </cell>
          <cell r="AB63">
            <v>180</v>
          </cell>
          <cell r="AC63">
            <v>200</v>
          </cell>
          <cell r="AD63">
            <v>210</v>
          </cell>
          <cell r="AE63" t="str">
            <v>Yes</v>
          </cell>
          <cell r="AF63" t="str">
            <v>No</v>
          </cell>
          <cell r="AG63" t="str">
            <v>Yes</v>
          </cell>
          <cell r="AH63" t="str">
            <v>Memory</v>
          </cell>
          <cell r="AI63" t="str">
            <v>No</v>
          </cell>
          <cell r="AJ63">
            <v>200</v>
          </cell>
          <cell r="AK63">
            <v>0</v>
          </cell>
          <cell r="AL63">
            <v>200</v>
          </cell>
          <cell r="AM63">
            <v>0</v>
          </cell>
          <cell r="AN63">
            <v>1</v>
          </cell>
          <cell r="AO63">
            <v>0</v>
          </cell>
          <cell r="AP63">
            <v>200</v>
          </cell>
        </row>
        <row r="64">
          <cell r="A64" t="str">
            <v>R1678</v>
          </cell>
          <cell r="B64" t="str">
            <v>GlyT1 Inhibitor - schizophrenia</v>
          </cell>
          <cell r="C64">
            <v>1</v>
          </cell>
          <cell r="D64">
            <v>1</v>
          </cell>
          <cell r="E64">
            <v>1</v>
          </cell>
          <cell r="H64">
            <v>2015</v>
          </cell>
          <cell r="I64" t="str">
            <v>PC</v>
          </cell>
          <cell r="J64">
            <v>4</v>
          </cell>
          <cell r="K64">
            <v>4</v>
          </cell>
          <cell r="L64">
            <v>2000</v>
          </cell>
          <cell r="M64">
            <v>0.1</v>
          </cell>
          <cell r="N64">
            <v>200</v>
          </cell>
          <cell r="O64">
            <v>0</v>
          </cell>
          <cell r="P64">
            <v>0</v>
          </cell>
          <cell r="Q64">
            <v>0</v>
          </cell>
          <cell r="R64">
            <v>0</v>
          </cell>
          <cell r="S64">
            <v>0</v>
          </cell>
          <cell r="T64">
            <v>0</v>
          </cell>
          <cell r="U64">
            <v>0</v>
          </cell>
          <cell r="V64">
            <v>0</v>
          </cell>
          <cell r="W64">
            <v>0</v>
          </cell>
          <cell r="X64">
            <v>0</v>
          </cell>
          <cell r="Y64">
            <v>20</v>
          </cell>
          <cell r="Z64">
            <v>60</v>
          </cell>
          <cell r="AA64">
            <v>120</v>
          </cell>
          <cell r="AB64">
            <v>180</v>
          </cell>
          <cell r="AC64">
            <v>200</v>
          </cell>
          <cell r="AD64">
            <v>210</v>
          </cell>
        </row>
        <row r="65">
          <cell r="A65" t="str">
            <v>RG7090</v>
          </cell>
          <cell r="B65" t="str">
            <v>Depression and Fragile X syndrome</v>
          </cell>
          <cell r="C65">
            <v>1</v>
          </cell>
          <cell r="D65">
            <v>1</v>
          </cell>
          <cell r="E65">
            <v>1</v>
          </cell>
          <cell r="H65">
            <v>2015</v>
          </cell>
          <cell r="I65" t="str">
            <v>S</v>
          </cell>
          <cell r="J65">
            <v>0</v>
          </cell>
          <cell r="K65">
            <v>3</v>
          </cell>
          <cell r="L65">
            <v>500</v>
          </cell>
          <cell r="M65">
            <v>0.1</v>
          </cell>
          <cell r="N65">
            <v>50</v>
          </cell>
          <cell r="O65">
            <v>0</v>
          </cell>
          <cell r="P65">
            <v>0</v>
          </cell>
          <cell r="Q65">
            <v>0</v>
          </cell>
          <cell r="R65">
            <v>0</v>
          </cell>
          <cell r="S65">
            <v>0</v>
          </cell>
          <cell r="T65">
            <v>0</v>
          </cell>
          <cell r="U65">
            <v>0</v>
          </cell>
          <cell r="V65">
            <v>0</v>
          </cell>
          <cell r="W65">
            <v>0</v>
          </cell>
          <cell r="X65">
            <v>0</v>
          </cell>
          <cell r="Y65">
            <v>5</v>
          </cell>
          <cell r="Z65">
            <v>15</v>
          </cell>
          <cell r="AA65">
            <v>30</v>
          </cell>
          <cell r="AB65">
            <v>45</v>
          </cell>
          <cell r="AC65">
            <v>50</v>
          </cell>
          <cell r="AD65">
            <v>52.5</v>
          </cell>
          <cell r="AE65" t="str">
            <v>Yes</v>
          </cell>
          <cell r="AF65" t="str">
            <v>Yes</v>
          </cell>
          <cell r="AG65" t="str">
            <v>Yes</v>
          </cell>
          <cell r="AH65" t="str">
            <v>Genentech</v>
          </cell>
          <cell r="AI65" t="str">
            <v>No</v>
          </cell>
          <cell r="AJ65">
            <v>50</v>
          </cell>
          <cell r="AK65">
            <v>50</v>
          </cell>
          <cell r="AL65">
            <v>50</v>
          </cell>
          <cell r="AM65">
            <v>0</v>
          </cell>
          <cell r="AN65">
            <v>1</v>
          </cell>
          <cell r="AO65">
            <v>0</v>
          </cell>
          <cell r="AP65">
            <v>50</v>
          </cell>
        </row>
        <row r="66">
          <cell r="A66" t="str">
            <v>Ocrelizumab</v>
          </cell>
          <cell r="B66" t="str">
            <v>RRMS</v>
          </cell>
          <cell r="C66">
            <v>1</v>
          </cell>
          <cell r="D66">
            <v>1</v>
          </cell>
          <cell r="E66">
            <v>1</v>
          </cell>
          <cell r="H66">
            <v>2014</v>
          </cell>
          <cell r="I66" t="str">
            <v>S</v>
          </cell>
          <cell r="J66">
            <v>0</v>
          </cell>
          <cell r="K66">
            <v>3</v>
          </cell>
          <cell r="L66">
            <v>500</v>
          </cell>
          <cell r="M66">
            <v>0.1</v>
          </cell>
          <cell r="N66">
            <v>50</v>
          </cell>
          <cell r="O66">
            <v>0</v>
          </cell>
          <cell r="P66">
            <v>0</v>
          </cell>
          <cell r="Q66">
            <v>0</v>
          </cell>
          <cell r="R66">
            <v>0</v>
          </cell>
          <cell r="S66">
            <v>0</v>
          </cell>
          <cell r="T66">
            <v>0</v>
          </cell>
          <cell r="U66">
            <v>0</v>
          </cell>
          <cell r="V66">
            <v>0</v>
          </cell>
          <cell r="W66">
            <v>0</v>
          </cell>
          <cell r="X66">
            <v>5</v>
          </cell>
          <cell r="Y66">
            <v>15</v>
          </cell>
          <cell r="Z66">
            <v>30</v>
          </cell>
          <cell r="AA66">
            <v>45</v>
          </cell>
          <cell r="AB66">
            <v>50</v>
          </cell>
          <cell r="AC66">
            <v>52.5</v>
          </cell>
          <cell r="AD66">
            <v>55.125</v>
          </cell>
          <cell r="AE66" t="str">
            <v>Yes</v>
          </cell>
          <cell r="AF66" t="str">
            <v>Yes</v>
          </cell>
          <cell r="AG66" t="str">
            <v>Yes</v>
          </cell>
          <cell r="AH66" t="str">
            <v>Genentech</v>
          </cell>
          <cell r="AI66" t="str">
            <v>No</v>
          </cell>
          <cell r="AJ66">
            <v>50</v>
          </cell>
          <cell r="AK66">
            <v>50</v>
          </cell>
          <cell r="AL66">
            <v>50</v>
          </cell>
          <cell r="AM66">
            <v>0</v>
          </cell>
          <cell r="AN66">
            <v>1</v>
          </cell>
          <cell r="AO66">
            <v>0</v>
          </cell>
          <cell r="AP66">
            <v>50</v>
          </cell>
        </row>
        <row r="67">
          <cell r="A67" t="str">
            <v>Anti-Aâ (RG7412)</v>
          </cell>
          <cell r="B67" t="str">
            <v>Alzheimers</v>
          </cell>
          <cell r="C67">
            <v>1</v>
          </cell>
          <cell r="D67">
            <v>1</v>
          </cell>
          <cell r="E67">
            <v>1</v>
          </cell>
          <cell r="H67">
            <v>2018</v>
          </cell>
          <cell r="I67" t="str">
            <v>S</v>
          </cell>
          <cell r="J67">
            <v>0</v>
          </cell>
          <cell r="K67">
            <v>3</v>
          </cell>
          <cell r="L67">
            <v>2000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row>
        <row r="68">
          <cell r="A68" t="str">
            <v>Gantenerumab/Anti-Aâ (RG1450)</v>
          </cell>
          <cell r="B68" t="str">
            <v>Alzheimers</v>
          </cell>
          <cell r="C68">
            <v>1</v>
          </cell>
          <cell r="D68">
            <v>1</v>
          </cell>
          <cell r="H68">
            <v>2018</v>
          </cell>
          <cell r="I68" t="str">
            <v>S</v>
          </cell>
          <cell r="J68">
            <v>0</v>
          </cell>
          <cell r="K68">
            <v>5</v>
          </cell>
          <cell r="L68">
            <v>1000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row>
        <row r="69">
          <cell r="A69" t="str">
            <v>GABA-A Agonist (RG1662)</v>
          </cell>
          <cell r="B69" t="str">
            <v>Alzheimers</v>
          </cell>
          <cell r="C69">
            <v>1</v>
          </cell>
          <cell r="D69">
            <v>1</v>
          </cell>
          <cell r="H69">
            <v>2018</v>
          </cell>
          <cell r="I69" t="str">
            <v>S</v>
          </cell>
          <cell r="J69">
            <v>0</v>
          </cell>
          <cell r="K69">
            <v>5</v>
          </cell>
          <cell r="L69">
            <v>1000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row>
        <row r="70">
          <cell r="A70" t="str">
            <v>NMDA Antagonist4</v>
          </cell>
          <cell r="B70" t="str">
            <v>Treatment resistant depression</v>
          </cell>
          <cell r="C70">
            <v>1</v>
          </cell>
          <cell r="D70">
            <v>1</v>
          </cell>
          <cell r="H70">
            <v>2018</v>
          </cell>
          <cell r="I70" t="str">
            <v>S</v>
          </cell>
          <cell r="J70">
            <v>0</v>
          </cell>
          <cell r="K70">
            <v>5</v>
          </cell>
          <cell r="L70">
            <v>1000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T70">
            <v>0</v>
          </cell>
          <cell r="AU70">
            <v>0</v>
          </cell>
          <cell r="AV70">
            <v>0</v>
          </cell>
          <cell r="AW70">
            <v>0</v>
          </cell>
          <cell r="AX70">
            <v>0</v>
          </cell>
          <cell r="AY70">
            <v>0</v>
          </cell>
          <cell r="AZ70">
            <v>0</v>
          </cell>
        </row>
        <row r="71">
          <cell r="A71" t="str">
            <v>mGluR2 Antagonist (RG1578)</v>
          </cell>
          <cell r="B71" t="str">
            <v>Depression</v>
          </cell>
          <cell r="C71">
            <v>1</v>
          </cell>
          <cell r="D71">
            <v>1</v>
          </cell>
          <cell r="H71">
            <v>2018</v>
          </cell>
          <cell r="I71" t="str">
            <v>S</v>
          </cell>
          <cell r="J71">
            <v>0</v>
          </cell>
          <cell r="K71">
            <v>5</v>
          </cell>
          <cell r="L71">
            <v>1000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t="str">
            <v>Yes</v>
          </cell>
          <cell r="AF71" t="str">
            <v>No</v>
          </cell>
          <cell r="AG71" t="str">
            <v>Yes</v>
          </cell>
          <cell r="AI71" t="str">
            <v>No</v>
          </cell>
          <cell r="AJ71">
            <v>0</v>
          </cell>
          <cell r="AK71">
            <v>0</v>
          </cell>
          <cell r="AL71">
            <v>0</v>
          </cell>
          <cell r="AM71">
            <v>0</v>
          </cell>
          <cell r="AN71">
            <v>1</v>
          </cell>
          <cell r="AO71">
            <v>0</v>
          </cell>
          <cell r="AP71">
            <v>0</v>
          </cell>
          <cell r="AT71">
            <v>0</v>
          </cell>
          <cell r="AU71">
            <v>0</v>
          </cell>
          <cell r="AV71">
            <v>0</v>
          </cell>
          <cell r="AW71">
            <v>0</v>
          </cell>
          <cell r="AX71">
            <v>0</v>
          </cell>
          <cell r="AY71">
            <v>0</v>
          </cell>
          <cell r="AZ71">
            <v>0</v>
          </cell>
        </row>
        <row r="72">
          <cell r="A72" t="str">
            <v>PEG IGF-1 (RG7010)</v>
          </cell>
          <cell r="B72" t="str">
            <v>Neurodegeneration / ATS</v>
          </cell>
          <cell r="C72">
            <v>1</v>
          </cell>
          <cell r="D72">
            <v>1</v>
          </cell>
          <cell r="H72">
            <v>2018</v>
          </cell>
          <cell r="I72" t="str">
            <v>S</v>
          </cell>
          <cell r="J72">
            <v>0</v>
          </cell>
          <cell r="K72">
            <v>5</v>
          </cell>
          <cell r="L72">
            <v>1000</v>
          </cell>
          <cell r="M72">
            <v>0</v>
          </cell>
          <cell r="N72">
            <v>7575</v>
          </cell>
          <cell r="O72">
            <v>0</v>
          </cell>
          <cell r="P72">
            <v>0</v>
          </cell>
          <cell r="Q72">
            <v>0</v>
          </cell>
          <cell r="R72">
            <v>0</v>
          </cell>
          <cell r="S72">
            <v>0</v>
          </cell>
          <cell r="T72">
            <v>0</v>
          </cell>
          <cell r="U72">
            <v>30</v>
          </cell>
          <cell r="V72">
            <v>335</v>
          </cell>
          <cell r="W72">
            <v>1190</v>
          </cell>
          <cell r="X72">
            <v>2710</v>
          </cell>
          <cell r="Y72">
            <v>4617.5</v>
          </cell>
          <cell r="Z72">
            <v>5722.5</v>
          </cell>
          <cell r="AA72">
            <v>6559.15</v>
          </cell>
          <cell r="AB72">
            <v>7282.0244999999995</v>
          </cell>
          <cell r="AC72">
            <v>7647.3102349999999</v>
          </cell>
          <cell r="AD72">
            <v>7911.4295420500011</v>
          </cell>
          <cell r="AE72">
            <v>20</v>
          </cell>
          <cell r="AF72">
            <v>20</v>
          </cell>
          <cell r="AJ72">
            <v>5475</v>
          </cell>
          <cell r="AK72">
            <v>5575</v>
          </cell>
          <cell r="AL72">
            <v>3775</v>
          </cell>
          <cell r="AM72">
            <v>7</v>
          </cell>
          <cell r="AN72">
            <v>17</v>
          </cell>
          <cell r="AO72">
            <v>1925</v>
          </cell>
          <cell r="AP72">
            <v>3850</v>
          </cell>
          <cell r="AT72">
            <v>0</v>
          </cell>
          <cell r="AU72">
            <v>0</v>
          </cell>
          <cell r="AV72">
            <v>0</v>
          </cell>
          <cell r="AW72">
            <v>0</v>
          </cell>
          <cell r="AX72">
            <v>0</v>
          </cell>
          <cell r="AY72">
            <v>0</v>
          </cell>
          <cell r="AZ72">
            <v>150</v>
          </cell>
        </row>
        <row r="73">
          <cell r="A73" t="str">
            <v>TAAR1 Part Agonist (RG7351)</v>
          </cell>
          <cell r="B73" t="str">
            <v>Depression</v>
          </cell>
          <cell r="C73">
            <v>1</v>
          </cell>
          <cell r="D73">
            <v>1</v>
          </cell>
          <cell r="H73">
            <v>2018</v>
          </cell>
          <cell r="I73" t="str">
            <v>S</v>
          </cell>
          <cell r="J73">
            <v>0</v>
          </cell>
          <cell r="K73">
            <v>5</v>
          </cell>
          <cell r="L73">
            <v>1000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row>
        <row r="74">
          <cell r="A74" t="str">
            <v>Triple Reuptake Inh (RG7166)</v>
          </cell>
          <cell r="B74" t="str">
            <v>Depression</v>
          </cell>
          <cell r="C74">
            <v>1</v>
          </cell>
          <cell r="D74">
            <v>1</v>
          </cell>
          <cell r="H74">
            <v>2018</v>
          </cell>
          <cell r="I74" t="str">
            <v>S</v>
          </cell>
          <cell r="J74">
            <v>0</v>
          </cell>
          <cell r="K74">
            <v>5</v>
          </cell>
          <cell r="L74">
            <v>1000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row>
        <row r="75">
          <cell r="A75" t="str">
            <v>Opthalmology</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T75">
            <v>0</v>
          </cell>
          <cell r="AU75">
            <v>0</v>
          </cell>
          <cell r="AV75">
            <v>0</v>
          </cell>
          <cell r="AW75">
            <v>0</v>
          </cell>
          <cell r="AX75">
            <v>0</v>
          </cell>
          <cell r="AY75">
            <v>0</v>
          </cell>
          <cell r="AZ75">
            <v>0</v>
          </cell>
        </row>
        <row r="76">
          <cell r="A76" t="str">
            <v>Anti-Factor D (RG7417)</v>
          </cell>
          <cell r="B76" t="str">
            <v>Age related MD</v>
          </cell>
          <cell r="C76">
            <v>0.05</v>
          </cell>
          <cell r="D76">
            <v>1</v>
          </cell>
          <cell r="E76">
            <v>1</v>
          </cell>
          <cell r="H76">
            <v>2017</v>
          </cell>
          <cell r="I76" t="str">
            <v>S</v>
          </cell>
          <cell r="J76">
            <v>0</v>
          </cell>
          <cell r="K76">
            <v>3</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t="str">
            <v>Yes</v>
          </cell>
          <cell r="AF76" t="str">
            <v>No</v>
          </cell>
          <cell r="AG76" t="str">
            <v>Yes</v>
          </cell>
          <cell r="AI76" t="str">
            <v>No</v>
          </cell>
          <cell r="AJ76">
            <v>0</v>
          </cell>
          <cell r="AK76">
            <v>0</v>
          </cell>
          <cell r="AL76">
            <v>0</v>
          </cell>
          <cell r="AM76">
            <v>0</v>
          </cell>
          <cell r="AN76">
            <v>1</v>
          </cell>
          <cell r="AO76">
            <v>0</v>
          </cell>
          <cell r="AP76">
            <v>0</v>
          </cell>
          <cell r="AT76">
            <v>0</v>
          </cell>
          <cell r="AU76">
            <v>0</v>
          </cell>
          <cell r="AV76">
            <v>0</v>
          </cell>
          <cell r="AW76">
            <v>0</v>
          </cell>
          <cell r="AX76">
            <v>0</v>
          </cell>
          <cell r="AY76">
            <v>0</v>
          </cell>
          <cell r="AZ76">
            <v>0</v>
          </cell>
        </row>
        <row r="77">
          <cell r="A77" t="str">
            <v>TOTAL (SFr)</v>
          </cell>
          <cell r="C77">
            <v>0.1</v>
          </cell>
          <cell r="N77">
            <v>7425</v>
          </cell>
          <cell r="O77">
            <v>0</v>
          </cell>
          <cell r="P77">
            <v>0</v>
          </cell>
          <cell r="Q77">
            <v>0</v>
          </cell>
          <cell r="R77">
            <v>0</v>
          </cell>
          <cell r="S77">
            <v>0</v>
          </cell>
          <cell r="T77">
            <v>0</v>
          </cell>
          <cell r="U77">
            <v>30</v>
          </cell>
          <cell r="V77">
            <v>335</v>
          </cell>
          <cell r="W77">
            <v>1190</v>
          </cell>
          <cell r="X77">
            <v>2710</v>
          </cell>
          <cell r="Y77">
            <v>4602.5</v>
          </cell>
          <cell r="Z77">
            <v>5677.5</v>
          </cell>
          <cell r="AA77">
            <v>6469.15</v>
          </cell>
          <cell r="AB77">
            <v>7147.0244999999995</v>
          </cell>
          <cell r="AC77">
            <v>7497.3102349999999</v>
          </cell>
          <cell r="AD77">
            <v>7753.9295420500011</v>
          </cell>
          <cell r="AE77">
            <v>19</v>
          </cell>
          <cell r="AF77">
            <v>19</v>
          </cell>
          <cell r="AJ77">
            <v>5325</v>
          </cell>
          <cell r="AK77">
            <v>5425</v>
          </cell>
          <cell r="AL77">
            <v>3625</v>
          </cell>
          <cell r="AM77">
            <v>6</v>
          </cell>
          <cell r="AN77">
            <v>16</v>
          </cell>
          <cell r="AO77">
            <v>1875</v>
          </cell>
          <cell r="AP77">
            <v>3750</v>
          </cell>
          <cell r="AT77">
            <v>0</v>
          </cell>
          <cell r="AU77">
            <v>0</v>
          </cell>
          <cell r="AV77">
            <v>0</v>
          </cell>
          <cell r="AW77">
            <v>0</v>
          </cell>
          <cell r="AX77">
            <v>0</v>
          </cell>
          <cell r="AY77">
            <v>0</v>
          </cell>
          <cell r="AZ77">
            <v>150</v>
          </cell>
        </row>
        <row r="78">
          <cell r="A78" t="str">
            <v>Phase III</v>
          </cell>
          <cell r="C78">
            <v>0.5</v>
          </cell>
        </row>
        <row r="79">
          <cell r="A79" t="str">
            <v>ASSUMPTIONS:</v>
          </cell>
          <cell r="C79">
            <v>0.8</v>
          </cell>
        </row>
        <row r="80">
          <cell r="A80" t="str">
            <v>Clinical success probabilities:</v>
          </cell>
        </row>
        <row r="81">
          <cell r="A81" t="str">
            <v>Phase I</v>
          </cell>
          <cell r="C81">
            <v>0.05</v>
          </cell>
        </row>
        <row r="82">
          <cell r="A82" t="str">
            <v>Phase II</v>
          </cell>
          <cell r="C82">
            <v>0.1</v>
          </cell>
        </row>
        <row r="83">
          <cell r="A83" t="str">
            <v>Phase III</v>
          </cell>
          <cell r="C83">
            <v>0.5</v>
          </cell>
        </row>
        <row r="84">
          <cell r="A84" t="str">
            <v>Filed</v>
          </cell>
          <cell r="C84">
            <v>0.8</v>
          </cell>
        </row>
        <row r="85">
          <cell r="A85" t="str">
            <v>Estimated years to market (Specialty Products):</v>
          </cell>
          <cell r="C85">
            <v>6</v>
          </cell>
        </row>
        <row r="86">
          <cell r="A86" t="str">
            <v>Phase I</v>
          </cell>
          <cell r="C86">
            <v>5</v>
          </cell>
        </row>
        <row r="87">
          <cell r="A87" t="str">
            <v>Phase II</v>
          </cell>
          <cell r="C87">
            <v>3</v>
          </cell>
        </row>
        <row r="88">
          <cell r="A88" t="str">
            <v>Phase III</v>
          </cell>
          <cell r="C88">
            <v>2</v>
          </cell>
        </row>
        <row r="89">
          <cell r="A89" t="str">
            <v>Estimated years to market (Primary Care Products):</v>
          </cell>
        </row>
        <row r="90">
          <cell r="A90" t="str">
            <v>Phase I</v>
          </cell>
          <cell r="C90">
            <v>6</v>
          </cell>
        </row>
        <row r="91">
          <cell r="A91" t="str">
            <v>Phase II</v>
          </cell>
          <cell r="C91">
            <v>4</v>
          </cell>
        </row>
        <row r="92">
          <cell r="A92" t="str">
            <v>Phase III</v>
          </cell>
          <cell r="C92">
            <v>2</v>
          </cell>
        </row>
        <row r="93">
          <cell r="A93" t="str">
            <v>Estimated years to peak sales for all products:</v>
          </cell>
          <cell r="C93">
            <v>5</v>
          </cell>
        </row>
        <row r="94">
          <cell r="A94" t="str">
            <v>Estimated sales ramp curve (% of peak sales):</v>
          </cell>
          <cell r="C94">
            <v>1</v>
          </cell>
        </row>
        <row r="95">
          <cell r="A95" t="str">
            <v>Year 1</v>
          </cell>
          <cell r="C95">
            <v>0.1</v>
          </cell>
        </row>
        <row r="96">
          <cell r="A96" t="str">
            <v>Year 2</v>
          </cell>
          <cell r="C96">
            <v>0.3</v>
          </cell>
        </row>
        <row r="97">
          <cell r="A97" t="str">
            <v>Year 3</v>
          </cell>
          <cell r="C97">
            <v>0.6</v>
          </cell>
        </row>
        <row r="98">
          <cell r="A98" t="str">
            <v>Year 4</v>
          </cell>
          <cell r="C98">
            <v>0.9</v>
          </cell>
        </row>
        <row r="99">
          <cell r="A99" t="str">
            <v>Year 5</v>
          </cell>
          <cell r="C99">
            <v>1</v>
          </cell>
        </row>
        <row r="100">
          <cell r="A100" t="str">
            <v>Year 6</v>
          </cell>
          <cell r="C100">
            <v>1.05</v>
          </cell>
        </row>
        <row r="101">
          <cell r="A101" t="str">
            <v>Year 7</v>
          </cell>
          <cell r="C101">
            <v>1.1025</v>
          </cell>
        </row>
        <row r="102">
          <cell r="A102" t="str">
            <v>Year 8</v>
          </cell>
          <cell r="C102">
            <v>1.135575</v>
          </cell>
        </row>
        <row r="103">
          <cell r="A103" t="str">
            <v>Year 9</v>
          </cell>
          <cell r="C103">
            <v>1.1696422500000001</v>
          </cell>
        </row>
        <row r="104">
          <cell r="A104" t="str">
            <v>Year 10</v>
          </cell>
          <cell r="C104">
            <v>1.2047315175000002</v>
          </cell>
        </row>
        <row r="105">
          <cell r="A105" t="str">
            <v>Year 11</v>
          </cell>
          <cell r="C105">
            <v>1.2408734630250002</v>
          </cell>
        </row>
        <row r="106">
          <cell r="A106" t="str">
            <v>Year 12</v>
          </cell>
          <cell r="C106">
            <v>1.2780996669157503</v>
          </cell>
        </row>
        <row r="107">
          <cell r="A107" t="str">
            <v>Year 13</v>
          </cell>
          <cell r="C107">
            <v>1.3164426569232228</v>
          </cell>
        </row>
        <row r="108">
          <cell r="A108" t="str">
            <v>Year 14</v>
          </cell>
          <cell r="C108">
            <v>1.3559359366309196</v>
          </cell>
        </row>
        <row r="109">
          <cell r="A109" t="str">
            <v>Year 15</v>
          </cell>
          <cell r="C109">
            <v>1.3966140147298471</v>
          </cell>
        </row>
        <row r="110">
          <cell r="A110" t="str">
            <v>Year 16</v>
          </cell>
          <cell r="C110">
            <v>1.4385124351717427</v>
          </cell>
        </row>
        <row r="111">
          <cell r="A111" t="str">
            <v>Current year</v>
          </cell>
          <cell r="C111">
            <v>2011</v>
          </cell>
        </row>
      </sheetData>
      <sheetData sheetId="21" refreshError="1">
        <row r="1">
          <cell r="A1" t="str">
            <v>Roche</v>
          </cell>
          <cell r="S1" t="str">
            <v>Roche</v>
          </cell>
          <cell r="AI1" t="str">
            <v>Roche</v>
          </cell>
        </row>
        <row r="2">
          <cell r="A2" t="str">
            <v>Yearly Sales Model</v>
          </cell>
          <cell r="L2" t="str">
            <v>Morgan Stanley Equity Research- Pharmaceuticals</v>
          </cell>
          <cell r="S2" t="str">
            <v>Yearly Sales Model</v>
          </cell>
          <cell r="AD2" t="str">
            <v>Morgan Stanley Equity Research- Pharmaceuticals</v>
          </cell>
          <cell r="AI2" t="str">
            <v>Yearly Sales Model</v>
          </cell>
          <cell r="AT2" t="str">
            <v>Morgan Stanley Equity Research- Pharmaceuticals</v>
          </cell>
        </row>
        <row r="4">
          <cell r="A4" t="str">
            <v>SFr mlns</v>
          </cell>
          <cell r="B4" t="str">
            <v>FY00A</v>
          </cell>
          <cell r="C4" t="str">
            <v>FY01A</v>
          </cell>
          <cell r="D4" t="str">
            <v>FY02A</v>
          </cell>
          <cell r="E4" t="str">
            <v>FY03A</v>
          </cell>
          <cell r="F4" t="str">
            <v>FY04A</v>
          </cell>
          <cell r="G4" t="str">
            <v>FY05A</v>
          </cell>
          <cell r="H4" t="str">
            <v>FY06A</v>
          </cell>
          <cell r="I4" t="str">
            <v>FY07E</v>
          </cell>
          <cell r="J4" t="str">
            <v>FY08E</v>
          </cell>
          <cell r="K4" t="str">
            <v>FY09E</v>
          </cell>
          <cell r="L4" t="str">
            <v>FY10E</v>
          </cell>
          <cell r="M4" t="str">
            <v>FY11E</v>
          </cell>
          <cell r="N4" t="str">
            <v>FY12E</v>
          </cell>
          <cell r="O4" t="str">
            <v>FY13E</v>
          </cell>
          <cell r="P4" t="str">
            <v>Primary Care %</v>
          </cell>
          <cell r="Q4" t="str">
            <v>US Primary Care %</v>
          </cell>
          <cell r="S4" t="str">
            <v>SFr mlns</v>
          </cell>
          <cell r="T4" t="str">
            <v>FY00A</v>
          </cell>
          <cell r="U4" t="str">
            <v>FY01A</v>
          </cell>
          <cell r="V4" t="str">
            <v>FY02A</v>
          </cell>
          <cell r="W4" t="str">
            <v>FY03A</v>
          </cell>
          <cell r="X4" t="str">
            <v>FY04A</v>
          </cell>
          <cell r="Y4" t="str">
            <v>FY05A</v>
          </cell>
          <cell r="Z4" t="str">
            <v>FY06E</v>
          </cell>
          <cell r="AA4" t="str">
            <v>FY07E</v>
          </cell>
          <cell r="AB4" t="str">
            <v>FY08E</v>
          </cell>
          <cell r="AC4" t="str">
            <v>FY09E</v>
          </cell>
          <cell r="AD4" t="str">
            <v>FY10E</v>
          </cell>
          <cell r="AE4" t="str">
            <v>FY11E</v>
          </cell>
          <cell r="AF4" t="str">
            <v>FY12E</v>
          </cell>
          <cell r="AG4" t="str">
            <v>FY12E</v>
          </cell>
          <cell r="AI4" t="str">
            <v>SFr mlns</v>
          </cell>
          <cell r="AJ4" t="str">
            <v>FY00A</v>
          </cell>
          <cell r="AK4" t="str">
            <v>FY01A</v>
          </cell>
          <cell r="AL4" t="str">
            <v>FY02A</v>
          </cell>
          <cell r="AM4" t="str">
            <v>FY03A</v>
          </cell>
          <cell r="AN4" t="str">
            <v>FY04A</v>
          </cell>
          <cell r="AO4" t="str">
            <v>FY05A</v>
          </cell>
          <cell r="AP4" t="str">
            <v>FY06E</v>
          </cell>
          <cell r="AQ4" t="str">
            <v>FY07E</v>
          </cell>
          <cell r="AR4" t="str">
            <v>FY08E</v>
          </cell>
          <cell r="AS4" t="str">
            <v>FY09E</v>
          </cell>
          <cell r="AT4" t="str">
            <v>FY10E</v>
          </cell>
          <cell r="AU4" t="str">
            <v>FY11E</v>
          </cell>
          <cell r="AV4" t="str">
            <v>FY12E</v>
          </cell>
          <cell r="AW4" t="str">
            <v>FY12E</v>
          </cell>
        </row>
        <row r="6">
          <cell r="A6" t="str">
            <v>Oncology</v>
          </cell>
          <cell r="S6" t="str">
            <v>Oncology</v>
          </cell>
          <cell r="AI6" t="str">
            <v>Oncology</v>
          </cell>
        </row>
        <row r="7">
          <cell r="A7" t="str">
            <v>Mabthera / Rituxan</v>
          </cell>
          <cell r="B7">
            <v>900</v>
          </cell>
          <cell r="C7">
            <v>1695</v>
          </cell>
          <cell r="D7">
            <v>2332</v>
          </cell>
          <cell r="E7">
            <v>2783.8585600000001</v>
          </cell>
          <cell r="F7">
            <v>3378</v>
          </cell>
          <cell r="G7">
            <v>4154</v>
          </cell>
          <cell r="H7">
            <v>4839</v>
          </cell>
          <cell r="I7">
            <v>5516</v>
          </cell>
          <cell r="J7">
            <v>5923</v>
          </cell>
          <cell r="K7">
            <v>6087</v>
          </cell>
          <cell r="L7">
            <v>6356</v>
          </cell>
          <cell r="M7">
            <v>5764.7380054309651</v>
          </cell>
          <cell r="N7">
            <v>6144.9017110232162</v>
          </cell>
          <cell r="O7">
            <v>6526.5710253474117</v>
          </cell>
          <cell r="S7" t="str">
            <v>Mabthera / Rituxan</v>
          </cell>
          <cell r="T7">
            <v>0</v>
          </cell>
          <cell r="U7">
            <v>0</v>
          </cell>
          <cell r="V7">
            <v>0</v>
          </cell>
          <cell r="W7">
            <v>0</v>
          </cell>
          <cell r="X7">
            <v>0</v>
          </cell>
          <cell r="Y7">
            <v>0</v>
          </cell>
          <cell r="Z7">
            <v>0</v>
          </cell>
          <cell r="AA7">
            <v>0</v>
          </cell>
          <cell r="AB7">
            <v>0</v>
          </cell>
          <cell r="AC7">
            <v>0</v>
          </cell>
          <cell r="AD7">
            <v>0</v>
          </cell>
          <cell r="AE7">
            <v>0</v>
          </cell>
          <cell r="AF7">
            <v>0</v>
          </cell>
          <cell r="AG7">
            <v>0</v>
          </cell>
          <cell r="AI7" t="str">
            <v>Mabthera / Rituxan</v>
          </cell>
          <cell r="AJ7">
            <v>0</v>
          </cell>
          <cell r="AK7">
            <v>0</v>
          </cell>
          <cell r="AL7">
            <v>0</v>
          </cell>
          <cell r="AM7">
            <v>0</v>
          </cell>
          <cell r="AN7">
            <v>0</v>
          </cell>
          <cell r="AO7">
            <v>0</v>
          </cell>
          <cell r="AP7">
            <v>0</v>
          </cell>
          <cell r="AQ7">
            <v>0</v>
          </cell>
          <cell r="AR7">
            <v>0</v>
          </cell>
          <cell r="AS7">
            <v>0</v>
          </cell>
          <cell r="AT7">
            <v>0</v>
          </cell>
          <cell r="AU7">
            <v>0</v>
          </cell>
          <cell r="AV7">
            <v>0</v>
          </cell>
          <cell r="AW7">
            <v>0</v>
          </cell>
        </row>
        <row r="8">
          <cell r="A8" t="str">
            <v>Herceptin</v>
          </cell>
          <cell r="B8">
            <v>540</v>
          </cell>
          <cell r="C8">
            <v>806</v>
          </cell>
          <cell r="D8">
            <v>1007</v>
          </cell>
          <cell r="E8">
            <v>1195.9259200000001</v>
          </cell>
          <cell r="F8">
            <v>1435</v>
          </cell>
          <cell r="G8">
            <v>2146</v>
          </cell>
          <cell r="H8">
            <v>3927</v>
          </cell>
          <cell r="I8">
            <v>4852</v>
          </cell>
          <cell r="J8">
            <v>5082</v>
          </cell>
          <cell r="K8">
            <v>5266</v>
          </cell>
          <cell r="L8">
            <v>5429</v>
          </cell>
          <cell r="M8">
            <v>5000.9793899913539</v>
          </cell>
          <cell r="N8">
            <v>5323.4117297690646</v>
          </cell>
          <cell r="O8">
            <v>5570.4788468210863</v>
          </cell>
          <cell r="S8" t="str">
            <v>Herceptin</v>
          </cell>
          <cell r="T8">
            <v>0</v>
          </cell>
          <cell r="U8">
            <v>0</v>
          </cell>
          <cell r="V8">
            <v>0</v>
          </cell>
          <cell r="W8">
            <v>0</v>
          </cell>
          <cell r="X8">
            <v>0</v>
          </cell>
          <cell r="Y8">
            <v>0</v>
          </cell>
          <cell r="Z8">
            <v>0</v>
          </cell>
          <cell r="AA8">
            <v>0</v>
          </cell>
          <cell r="AB8">
            <v>0</v>
          </cell>
          <cell r="AC8">
            <v>0</v>
          </cell>
          <cell r="AD8">
            <v>0</v>
          </cell>
          <cell r="AE8">
            <v>0</v>
          </cell>
          <cell r="AF8">
            <v>0</v>
          </cell>
          <cell r="AG8">
            <v>0</v>
          </cell>
          <cell r="AI8" t="str">
            <v>Herceptin</v>
          </cell>
          <cell r="AJ8">
            <v>0</v>
          </cell>
          <cell r="AK8">
            <v>0</v>
          </cell>
          <cell r="AL8">
            <v>0</v>
          </cell>
          <cell r="AM8">
            <v>0</v>
          </cell>
          <cell r="AN8">
            <v>0</v>
          </cell>
          <cell r="AO8">
            <v>0</v>
          </cell>
          <cell r="AP8">
            <v>0</v>
          </cell>
          <cell r="AQ8">
            <v>0</v>
          </cell>
          <cell r="AR8">
            <v>0</v>
          </cell>
          <cell r="AS8">
            <v>0</v>
          </cell>
          <cell r="AT8">
            <v>0</v>
          </cell>
          <cell r="AU8">
            <v>0</v>
          </cell>
          <cell r="AV8">
            <v>0</v>
          </cell>
          <cell r="AW8">
            <v>0</v>
          </cell>
        </row>
        <row r="9">
          <cell r="A9" t="str">
            <v>Xeloda</v>
          </cell>
          <cell r="B9">
            <v>150</v>
          </cell>
          <cell r="C9">
            <v>260</v>
          </cell>
          <cell r="D9">
            <v>444</v>
          </cell>
          <cell r="E9">
            <v>549.30016000000001</v>
          </cell>
          <cell r="F9">
            <v>533</v>
          </cell>
          <cell r="G9">
            <v>796</v>
          </cell>
          <cell r="H9">
            <v>971</v>
          </cell>
          <cell r="I9">
            <v>1151</v>
          </cell>
          <cell r="J9">
            <v>1211</v>
          </cell>
          <cell r="K9">
            <v>1260</v>
          </cell>
          <cell r="L9">
            <v>1426</v>
          </cell>
          <cell r="M9">
            <v>1225.2832318173669</v>
          </cell>
          <cell r="N9">
            <v>1161.345368279452</v>
          </cell>
          <cell r="O9">
            <v>910.2645687167585</v>
          </cell>
          <cell r="S9" t="str">
            <v>Xeloda</v>
          </cell>
          <cell r="T9">
            <v>0</v>
          </cell>
          <cell r="U9">
            <v>0</v>
          </cell>
          <cell r="V9">
            <v>0</v>
          </cell>
          <cell r="W9">
            <v>0</v>
          </cell>
          <cell r="X9">
            <v>0</v>
          </cell>
          <cell r="Y9">
            <v>0</v>
          </cell>
          <cell r="Z9">
            <v>0</v>
          </cell>
          <cell r="AA9">
            <v>0</v>
          </cell>
          <cell r="AB9">
            <v>0</v>
          </cell>
          <cell r="AC9">
            <v>0</v>
          </cell>
          <cell r="AD9">
            <v>0</v>
          </cell>
          <cell r="AE9">
            <v>0</v>
          </cell>
          <cell r="AF9">
            <v>0</v>
          </cell>
          <cell r="AG9">
            <v>0</v>
          </cell>
          <cell r="AI9" t="str">
            <v>Xeloda</v>
          </cell>
          <cell r="AJ9">
            <v>0</v>
          </cell>
          <cell r="AK9">
            <v>0</v>
          </cell>
          <cell r="AL9">
            <v>0</v>
          </cell>
          <cell r="AM9">
            <v>0</v>
          </cell>
          <cell r="AN9">
            <v>0</v>
          </cell>
          <cell r="AO9">
            <v>0</v>
          </cell>
          <cell r="AP9">
            <v>0</v>
          </cell>
          <cell r="AQ9">
            <v>0</v>
          </cell>
          <cell r="AR9">
            <v>0</v>
          </cell>
          <cell r="AS9">
            <v>0</v>
          </cell>
          <cell r="AT9">
            <v>0</v>
          </cell>
          <cell r="AU9">
            <v>0</v>
          </cell>
          <cell r="AV9">
            <v>0</v>
          </cell>
          <cell r="AW9">
            <v>0</v>
          </cell>
        </row>
        <row r="10">
          <cell r="A10" t="str">
            <v>Kytril</v>
          </cell>
          <cell r="B10">
            <v>0</v>
          </cell>
          <cell r="C10">
            <v>437</v>
          </cell>
          <cell r="D10">
            <v>451</v>
          </cell>
          <cell r="E10">
            <v>440.91038400000002</v>
          </cell>
          <cell r="F10">
            <v>457</v>
          </cell>
          <cell r="G10">
            <v>500</v>
          </cell>
          <cell r="H10">
            <v>498</v>
          </cell>
          <cell r="I10">
            <v>425</v>
          </cell>
          <cell r="J10">
            <v>270</v>
          </cell>
          <cell r="K10">
            <v>175</v>
          </cell>
          <cell r="L10">
            <v>115</v>
          </cell>
          <cell r="M10">
            <v>62.782917135836101</v>
          </cell>
          <cell r="N10">
            <v>57.720163784707935</v>
          </cell>
          <cell r="O10">
            <v>54.490081658744934</v>
          </cell>
          <cell r="S10" t="str">
            <v>Kytril</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t="str">
            <v>Kytril</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row>
        <row r="11">
          <cell r="A11" t="str">
            <v>Tarceva</v>
          </cell>
          <cell r="B11">
            <v>0</v>
          </cell>
          <cell r="C11">
            <v>0</v>
          </cell>
          <cell r="D11">
            <v>0</v>
          </cell>
          <cell r="E11">
            <v>0</v>
          </cell>
          <cell r="F11">
            <v>17</v>
          </cell>
          <cell r="G11">
            <v>387</v>
          </cell>
          <cell r="H11">
            <v>813</v>
          </cell>
          <cell r="I11">
            <v>1062</v>
          </cell>
          <cell r="J11">
            <v>1215</v>
          </cell>
          <cell r="K11">
            <v>1304</v>
          </cell>
          <cell r="L11">
            <v>1325</v>
          </cell>
          <cell r="M11">
            <v>1202.9571188650439</v>
          </cell>
          <cell r="N11">
            <v>1299.3939830224099</v>
          </cell>
          <cell r="O11">
            <v>1400.8496499141572</v>
          </cell>
          <cell r="S11" t="str">
            <v>Tarceva</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t="str">
            <v>Tarceva</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row>
        <row r="12">
          <cell r="A12" t="str">
            <v>Avastin</v>
          </cell>
          <cell r="B12">
            <v>0</v>
          </cell>
          <cell r="C12">
            <v>0</v>
          </cell>
          <cell r="D12">
            <v>0</v>
          </cell>
          <cell r="E12">
            <v>0</v>
          </cell>
          <cell r="F12">
            <v>690</v>
          </cell>
          <cell r="G12">
            <v>1665</v>
          </cell>
          <cell r="H12">
            <v>2962</v>
          </cell>
          <cell r="I12">
            <v>4106</v>
          </cell>
          <cell r="J12">
            <v>5207</v>
          </cell>
          <cell r="K12">
            <v>6222</v>
          </cell>
          <cell r="L12">
            <v>6461</v>
          </cell>
          <cell r="M12">
            <v>5711.8228849281004</v>
          </cell>
          <cell r="N12">
            <v>5677.3468174665322</v>
          </cell>
          <cell r="O12">
            <v>6193.2878057671842</v>
          </cell>
          <cell r="S12" t="str">
            <v>Avastin</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t="str">
            <v>Avastin</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row>
        <row r="13">
          <cell r="A13" t="str">
            <v>Total</v>
          </cell>
          <cell r="B13">
            <v>1590</v>
          </cell>
          <cell r="C13">
            <v>3198</v>
          </cell>
          <cell r="D13">
            <v>4234</v>
          </cell>
          <cell r="E13">
            <v>4969.9950239999998</v>
          </cell>
          <cell r="F13">
            <v>6510</v>
          </cell>
          <cell r="G13">
            <v>9648</v>
          </cell>
          <cell r="H13">
            <v>14010</v>
          </cell>
          <cell r="I13">
            <v>17112</v>
          </cell>
          <cell r="J13">
            <v>18908</v>
          </cell>
          <cell r="K13">
            <v>20314</v>
          </cell>
          <cell r="L13">
            <v>21112</v>
          </cell>
          <cell r="M13">
            <v>18968.563548168666</v>
          </cell>
          <cell r="N13">
            <v>19664.119773345381</v>
          </cell>
          <cell r="O13">
            <v>20655.941978225343</v>
          </cell>
          <cell r="S13" t="str">
            <v>Total</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t="str">
            <v>Total</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row>
        <row r="14">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row>
        <row r="15">
          <cell r="A15" t="str">
            <v>Virology</v>
          </cell>
          <cell r="B15">
            <v>0</v>
          </cell>
          <cell r="C15">
            <v>0</v>
          </cell>
          <cell r="D15">
            <v>0</v>
          </cell>
          <cell r="E15">
            <v>0</v>
          </cell>
          <cell r="F15">
            <v>0</v>
          </cell>
          <cell r="G15">
            <v>0</v>
          </cell>
          <cell r="H15">
            <v>0</v>
          </cell>
          <cell r="I15">
            <v>0</v>
          </cell>
          <cell r="J15">
            <v>0</v>
          </cell>
          <cell r="K15">
            <v>0</v>
          </cell>
          <cell r="L15">
            <v>0</v>
          </cell>
          <cell r="M15">
            <v>0</v>
          </cell>
          <cell r="N15">
            <v>0</v>
          </cell>
          <cell r="O15">
            <v>0</v>
          </cell>
          <cell r="S15" t="str">
            <v>Virology</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I15" t="str">
            <v>Virology</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row>
        <row r="16">
          <cell r="A16" t="str">
            <v>Pegasys</v>
          </cell>
          <cell r="B16">
            <v>0</v>
          </cell>
          <cell r="C16">
            <v>0</v>
          </cell>
          <cell r="D16">
            <v>94</v>
          </cell>
          <cell r="E16">
            <v>711</v>
          </cell>
          <cell r="F16">
            <v>1179</v>
          </cell>
          <cell r="G16">
            <v>1403</v>
          </cell>
          <cell r="H16">
            <v>1467</v>
          </cell>
          <cell r="I16">
            <v>1637</v>
          </cell>
          <cell r="J16">
            <v>1635</v>
          </cell>
          <cell r="K16">
            <v>1655</v>
          </cell>
          <cell r="L16">
            <v>1645</v>
          </cell>
          <cell r="M16">
            <v>1553.5154720191595</v>
          </cell>
          <cell r="N16">
            <v>1961.0847034876438</v>
          </cell>
          <cell r="O16">
            <v>1667.4170111213587</v>
          </cell>
          <cell r="S16" t="str">
            <v>Pegasys</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I16" t="str">
            <v>Pegasys</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row>
        <row r="17">
          <cell r="A17" t="str">
            <v>Copegus</v>
          </cell>
          <cell r="B17">
            <v>0</v>
          </cell>
          <cell r="C17">
            <v>0</v>
          </cell>
          <cell r="D17">
            <v>0</v>
          </cell>
          <cell r="E17">
            <v>283</v>
          </cell>
          <cell r="F17">
            <v>383</v>
          </cell>
          <cell r="G17">
            <v>407</v>
          </cell>
          <cell r="H17">
            <v>220</v>
          </cell>
          <cell r="I17">
            <v>153</v>
          </cell>
          <cell r="J17">
            <v>129</v>
          </cell>
          <cell r="K17">
            <v>120</v>
          </cell>
          <cell r="L17">
            <v>101</v>
          </cell>
          <cell r="M17">
            <v>88.364345965633007</v>
          </cell>
          <cell r="N17">
            <v>79.424948565980131</v>
          </cell>
          <cell r="O17">
            <v>74.980243459539111</v>
          </cell>
          <cell r="S17" t="str">
            <v>Copegus</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I17" t="str">
            <v>Copegus</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row>
        <row r="18">
          <cell r="A18" t="str">
            <v>Cymevene / Valcyte</v>
          </cell>
          <cell r="B18">
            <v>0</v>
          </cell>
          <cell r="C18">
            <v>0</v>
          </cell>
          <cell r="D18">
            <v>296</v>
          </cell>
          <cell r="E18">
            <v>280.82565999999997</v>
          </cell>
          <cell r="F18">
            <v>328</v>
          </cell>
          <cell r="G18">
            <v>394</v>
          </cell>
          <cell r="H18">
            <v>488</v>
          </cell>
          <cell r="I18">
            <v>542</v>
          </cell>
          <cell r="J18">
            <v>553</v>
          </cell>
          <cell r="K18">
            <v>564</v>
          </cell>
          <cell r="L18">
            <v>605</v>
          </cell>
          <cell r="M18">
            <v>553.56154625460522</v>
          </cell>
          <cell r="N18">
            <v>569.83318466423998</v>
          </cell>
          <cell r="O18">
            <v>609.67067125282824</v>
          </cell>
          <cell r="S18" t="str">
            <v>Cymevene / Valcyte</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I18" t="str">
            <v>Cymevene / Valcyte</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row>
        <row r="19">
          <cell r="A19" t="str">
            <v>Fuzeon</v>
          </cell>
          <cell r="B19">
            <v>0</v>
          </cell>
          <cell r="C19">
            <v>0</v>
          </cell>
          <cell r="D19">
            <v>0</v>
          </cell>
          <cell r="E19">
            <v>0</v>
          </cell>
          <cell r="F19">
            <v>168</v>
          </cell>
          <cell r="G19">
            <v>259</v>
          </cell>
          <cell r="H19">
            <v>308</v>
          </cell>
          <cell r="I19">
            <v>333</v>
          </cell>
          <cell r="J19">
            <v>186</v>
          </cell>
          <cell r="K19">
            <v>200</v>
          </cell>
          <cell r="L19">
            <v>196</v>
          </cell>
          <cell r="M19">
            <v>174.24511328910529</v>
          </cell>
          <cell r="N19">
            <v>181.24000893404178</v>
          </cell>
          <cell r="O19">
            <v>195.81172536724037</v>
          </cell>
          <cell r="S19" t="str">
            <v>Fuzeon</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I19" t="str">
            <v>Fuzeon</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row>
        <row r="20">
          <cell r="A20" t="str">
            <v>Total</v>
          </cell>
          <cell r="B20">
            <v>1590</v>
          </cell>
          <cell r="C20">
            <v>3198</v>
          </cell>
          <cell r="D20">
            <v>4234</v>
          </cell>
          <cell r="E20">
            <v>4969.9950239999998</v>
          </cell>
          <cell r="F20">
            <v>6510</v>
          </cell>
          <cell r="G20">
            <v>9648</v>
          </cell>
          <cell r="H20">
            <v>14010</v>
          </cell>
          <cell r="I20">
            <v>17112</v>
          </cell>
          <cell r="J20">
            <v>18908</v>
          </cell>
          <cell r="K20">
            <v>20314</v>
          </cell>
          <cell r="L20">
            <v>21112</v>
          </cell>
          <cell r="M20">
            <v>18968.563548168666</v>
          </cell>
          <cell r="N20">
            <v>19664.119773345381</v>
          </cell>
          <cell r="O20">
            <v>20655.941978225343</v>
          </cell>
          <cell r="S20" t="str">
            <v>Total</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I20" t="str">
            <v>Total</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row>
        <row r="21">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row>
        <row r="22">
          <cell r="A22" t="str">
            <v>Blood / Metabolism</v>
          </cell>
          <cell r="B22">
            <v>0</v>
          </cell>
          <cell r="C22">
            <v>0</v>
          </cell>
          <cell r="D22">
            <v>0</v>
          </cell>
          <cell r="E22">
            <v>0</v>
          </cell>
          <cell r="F22">
            <v>0</v>
          </cell>
          <cell r="G22">
            <v>0</v>
          </cell>
          <cell r="H22">
            <v>0</v>
          </cell>
          <cell r="I22">
            <v>0</v>
          </cell>
          <cell r="J22">
            <v>0</v>
          </cell>
          <cell r="K22">
            <v>0</v>
          </cell>
          <cell r="L22">
            <v>0</v>
          </cell>
          <cell r="M22">
            <v>0</v>
          </cell>
          <cell r="N22">
            <v>0</v>
          </cell>
          <cell r="O22">
            <v>0</v>
          </cell>
          <cell r="S22" t="str">
            <v>Blood / Metabolism</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I22" t="str">
            <v>Blood / Metabolism</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row>
        <row r="23">
          <cell r="A23" t="str">
            <v>NeoRecormon</v>
          </cell>
          <cell r="B23">
            <v>650</v>
          </cell>
          <cell r="C23">
            <v>746</v>
          </cell>
          <cell r="D23">
            <v>1192</v>
          </cell>
          <cell r="E23">
            <v>2051</v>
          </cell>
          <cell r="F23">
            <v>2082</v>
          </cell>
          <cell r="G23">
            <v>2252</v>
          </cell>
          <cell r="H23">
            <v>2227</v>
          </cell>
          <cell r="I23">
            <v>2094</v>
          </cell>
          <cell r="J23">
            <v>1774</v>
          </cell>
          <cell r="K23">
            <v>1560</v>
          </cell>
          <cell r="L23">
            <v>1285</v>
          </cell>
          <cell r="M23">
            <v>959.04347013376275</v>
          </cell>
          <cell r="N23">
            <v>900.08696897485424</v>
          </cell>
          <cell r="O23">
            <v>863.65058265563175</v>
          </cell>
          <cell r="S23" t="str">
            <v>NeoRecormon</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I23" t="str">
            <v>NeoRecormon</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row>
        <row r="24">
          <cell r="A24" t="str">
            <v>Cellcept</v>
          </cell>
          <cell r="B24">
            <v>790</v>
          </cell>
          <cell r="C24">
            <v>1056</v>
          </cell>
          <cell r="D24">
            <v>1173</v>
          </cell>
          <cell r="E24">
            <v>1335</v>
          </cell>
          <cell r="F24">
            <v>1403</v>
          </cell>
          <cell r="G24">
            <v>1705</v>
          </cell>
          <cell r="H24">
            <v>1842</v>
          </cell>
          <cell r="I24">
            <v>2012</v>
          </cell>
          <cell r="J24">
            <v>2099</v>
          </cell>
          <cell r="K24">
            <v>1576</v>
          </cell>
          <cell r="L24">
            <v>1290</v>
          </cell>
          <cell r="M24">
            <v>938.23337442066554</v>
          </cell>
          <cell r="N24">
            <v>765.7713338068379</v>
          </cell>
          <cell r="O24">
            <v>651.32858182090581</v>
          </cell>
          <cell r="S24" t="str">
            <v>Cellcept</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I24" t="str">
            <v>Cellcept</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row>
        <row r="25">
          <cell r="A25" t="str">
            <v>Neutrogin</v>
          </cell>
          <cell r="B25">
            <v>0</v>
          </cell>
          <cell r="C25">
            <v>0</v>
          </cell>
          <cell r="D25">
            <v>63</v>
          </cell>
          <cell r="E25">
            <v>318</v>
          </cell>
          <cell r="F25">
            <v>322</v>
          </cell>
          <cell r="G25">
            <v>364</v>
          </cell>
          <cell r="H25">
            <v>379</v>
          </cell>
          <cell r="I25">
            <v>405</v>
          </cell>
          <cell r="J25">
            <v>404</v>
          </cell>
          <cell r="K25">
            <v>385</v>
          </cell>
          <cell r="L25">
            <v>331</v>
          </cell>
          <cell r="M25">
            <v>278.91861954970983</v>
          </cell>
          <cell r="N25">
            <v>272.01297407323585</v>
          </cell>
          <cell r="O25">
            <v>266.5727145917711</v>
          </cell>
          <cell r="S25" t="str">
            <v>Neutrogin</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I25" t="str">
            <v>Neutrogin</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row>
        <row r="26">
          <cell r="A26" t="str">
            <v>Xenical</v>
          </cell>
          <cell r="B26">
            <v>950</v>
          </cell>
          <cell r="C26">
            <v>963</v>
          </cell>
          <cell r="D26">
            <v>763</v>
          </cell>
          <cell r="E26">
            <v>618</v>
          </cell>
          <cell r="F26">
            <v>593</v>
          </cell>
          <cell r="G26">
            <v>635</v>
          </cell>
          <cell r="H26">
            <v>693</v>
          </cell>
          <cell r="I26">
            <v>632</v>
          </cell>
          <cell r="J26">
            <v>502</v>
          </cell>
          <cell r="K26">
            <v>397</v>
          </cell>
          <cell r="L26">
            <v>337</v>
          </cell>
          <cell r="M26">
            <v>259.04626794656446</v>
          </cell>
          <cell r="N26">
            <v>231.48094121949021</v>
          </cell>
          <cell r="O26">
            <v>218.52702006425852</v>
          </cell>
          <cell r="S26" t="str">
            <v>Xenical</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I26" t="str">
            <v>Xenical</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row>
        <row r="27">
          <cell r="A27" t="str">
            <v>Nutropin / Protropin</v>
          </cell>
          <cell r="B27">
            <v>390</v>
          </cell>
          <cell r="C27">
            <v>435</v>
          </cell>
          <cell r="D27">
            <v>477</v>
          </cell>
          <cell r="E27">
            <v>442</v>
          </cell>
          <cell r="F27">
            <v>448</v>
          </cell>
          <cell r="G27">
            <v>476</v>
          </cell>
          <cell r="H27">
            <v>494</v>
          </cell>
          <cell r="I27">
            <v>470</v>
          </cell>
          <cell r="J27">
            <v>413</v>
          </cell>
          <cell r="K27">
            <v>400</v>
          </cell>
          <cell r="L27">
            <v>405</v>
          </cell>
          <cell r="M27">
            <v>325.5100896805032</v>
          </cell>
          <cell r="N27">
            <v>259.52856641408482</v>
          </cell>
          <cell r="O27">
            <v>217.78228457067277</v>
          </cell>
          <cell r="S27" t="str">
            <v>Nutropin / Protropin</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I27" t="str">
            <v>Nutropin / Protropin</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row>
        <row r="28">
          <cell r="A28" t="str">
            <v>Bonviva</v>
          </cell>
          <cell r="B28">
            <v>0</v>
          </cell>
          <cell r="C28">
            <v>0</v>
          </cell>
          <cell r="D28">
            <v>0</v>
          </cell>
          <cell r="E28">
            <v>0</v>
          </cell>
          <cell r="F28">
            <v>0</v>
          </cell>
          <cell r="G28">
            <v>86</v>
          </cell>
          <cell r="H28">
            <v>488</v>
          </cell>
          <cell r="I28">
            <v>887</v>
          </cell>
          <cell r="J28">
            <v>1108</v>
          </cell>
          <cell r="K28">
            <v>1058</v>
          </cell>
          <cell r="L28">
            <v>1013</v>
          </cell>
          <cell r="M28">
            <v>848.68129132059187</v>
          </cell>
          <cell r="N28">
            <v>760.90201041794126</v>
          </cell>
          <cell r="O28">
            <v>399.06728874992308</v>
          </cell>
          <cell r="P28">
            <v>1</v>
          </cell>
          <cell r="Q28">
            <v>0.9</v>
          </cell>
          <cell r="S28" t="str">
            <v>Bonviva</v>
          </cell>
          <cell r="T28">
            <v>0</v>
          </cell>
          <cell r="U28">
            <v>0</v>
          </cell>
          <cell r="V28">
            <v>0</v>
          </cell>
          <cell r="W28">
            <v>0</v>
          </cell>
          <cell r="X28">
            <v>0</v>
          </cell>
          <cell r="Y28">
            <v>86</v>
          </cell>
          <cell r="Z28">
            <v>488</v>
          </cell>
          <cell r="AA28">
            <v>887</v>
          </cell>
          <cell r="AB28">
            <v>1108</v>
          </cell>
          <cell r="AC28">
            <v>1058</v>
          </cell>
          <cell r="AD28">
            <v>1013</v>
          </cell>
          <cell r="AE28">
            <v>848.68129132059187</v>
          </cell>
          <cell r="AF28">
            <v>760.90201041794126</v>
          </cell>
          <cell r="AG28">
            <v>399.06728874992308</v>
          </cell>
          <cell r="AI28" t="str">
            <v>Bonviva</v>
          </cell>
          <cell r="AJ28">
            <v>0</v>
          </cell>
          <cell r="AK28">
            <v>0</v>
          </cell>
          <cell r="AL28">
            <v>0</v>
          </cell>
          <cell r="AM28">
            <v>0</v>
          </cell>
          <cell r="AN28">
            <v>0</v>
          </cell>
          <cell r="AO28">
            <v>77.400000000000006</v>
          </cell>
          <cell r="AP28">
            <v>439.2</v>
          </cell>
          <cell r="AQ28">
            <v>798.30000000000007</v>
          </cell>
          <cell r="AR28">
            <v>997.2</v>
          </cell>
          <cell r="AS28">
            <v>952.2</v>
          </cell>
          <cell r="AT28">
            <v>911.7</v>
          </cell>
          <cell r="AU28">
            <v>763.81316218853271</v>
          </cell>
          <cell r="AV28">
            <v>684.81180937614715</v>
          </cell>
          <cell r="AW28">
            <v>359.16055987493075</v>
          </cell>
        </row>
        <row r="29">
          <cell r="A29" t="str">
            <v>Total</v>
          </cell>
          <cell r="B29">
            <v>1590</v>
          </cell>
          <cell r="C29">
            <v>3198</v>
          </cell>
          <cell r="D29">
            <v>4234</v>
          </cell>
          <cell r="E29">
            <v>4969.9950239999998</v>
          </cell>
          <cell r="F29">
            <v>6510</v>
          </cell>
          <cell r="G29">
            <v>9648</v>
          </cell>
          <cell r="H29">
            <v>14010</v>
          </cell>
          <cell r="I29">
            <v>17112</v>
          </cell>
          <cell r="J29">
            <v>18908</v>
          </cell>
          <cell r="K29">
            <v>20314</v>
          </cell>
          <cell r="L29">
            <v>21112</v>
          </cell>
          <cell r="M29">
            <v>18968.563548168666</v>
          </cell>
          <cell r="N29">
            <v>19664.119773345381</v>
          </cell>
          <cell r="O29">
            <v>20655.941978225343</v>
          </cell>
          <cell r="S29" t="str">
            <v>Total</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I29" t="str">
            <v>Total</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row>
        <row r="30">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row>
        <row r="31">
          <cell r="A31" t="str">
            <v>Cardiology / Respiratory</v>
          </cell>
          <cell r="B31">
            <v>0</v>
          </cell>
          <cell r="C31">
            <v>0</v>
          </cell>
          <cell r="D31">
            <v>0</v>
          </cell>
          <cell r="E31">
            <v>0</v>
          </cell>
          <cell r="F31">
            <v>0</v>
          </cell>
          <cell r="G31">
            <v>0</v>
          </cell>
          <cell r="H31">
            <v>0</v>
          </cell>
          <cell r="I31">
            <v>0</v>
          </cell>
          <cell r="J31">
            <v>0</v>
          </cell>
          <cell r="K31">
            <v>0</v>
          </cell>
          <cell r="L31">
            <v>0</v>
          </cell>
          <cell r="M31">
            <v>0</v>
          </cell>
          <cell r="N31">
            <v>0</v>
          </cell>
          <cell r="O31">
            <v>0</v>
          </cell>
          <cell r="S31" t="str">
            <v>Cardiology / Respiratory</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I31" t="str">
            <v>Cardiology / Respiratory</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row>
        <row r="32">
          <cell r="A32" t="str">
            <v>Dilatrend</v>
          </cell>
          <cell r="B32">
            <v>240</v>
          </cell>
          <cell r="C32">
            <v>288</v>
          </cell>
          <cell r="D32">
            <v>345.6</v>
          </cell>
          <cell r="E32">
            <v>392</v>
          </cell>
          <cell r="F32">
            <v>361</v>
          </cell>
          <cell r="G32">
            <v>326</v>
          </cell>
          <cell r="H32">
            <v>304</v>
          </cell>
          <cell r="I32">
            <v>289</v>
          </cell>
          <cell r="J32">
            <v>220</v>
          </cell>
          <cell r="K32">
            <v>185</v>
          </cell>
          <cell r="L32">
            <v>178</v>
          </cell>
          <cell r="M32">
            <v>137.85404077081833</v>
          </cell>
          <cell r="N32">
            <v>124.9535274134127</v>
          </cell>
          <cell r="O32">
            <v>117.96099431909356</v>
          </cell>
          <cell r="P32">
            <v>1</v>
          </cell>
          <cell r="Q32">
            <v>0</v>
          </cell>
          <cell r="S32" t="str">
            <v>Dilatrend</v>
          </cell>
          <cell r="T32">
            <v>240</v>
          </cell>
          <cell r="U32">
            <v>288</v>
          </cell>
          <cell r="V32">
            <v>345.6</v>
          </cell>
          <cell r="W32">
            <v>392</v>
          </cell>
          <cell r="X32">
            <v>361</v>
          </cell>
          <cell r="Y32">
            <v>326</v>
          </cell>
          <cell r="Z32">
            <v>304</v>
          </cell>
          <cell r="AA32">
            <v>289</v>
          </cell>
          <cell r="AB32">
            <v>220</v>
          </cell>
          <cell r="AC32">
            <v>185</v>
          </cell>
          <cell r="AD32">
            <v>178</v>
          </cell>
          <cell r="AE32">
            <v>137.85404077081833</v>
          </cell>
          <cell r="AF32">
            <v>124.9535274134127</v>
          </cell>
          <cell r="AG32">
            <v>117.96099431909356</v>
          </cell>
          <cell r="AI32" t="str">
            <v>Dilatrend</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row>
        <row r="33">
          <cell r="A33" t="str">
            <v>Pulmozyme</v>
          </cell>
          <cell r="B33">
            <v>300</v>
          </cell>
          <cell r="C33">
            <v>319</v>
          </cell>
          <cell r="D33">
            <v>320</v>
          </cell>
          <cell r="E33">
            <v>328</v>
          </cell>
          <cell r="F33">
            <v>338</v>
          </cell>
          <cell r="G33">
            <v>393</v>
          </cell>
          <cell r="H33">
            <v>436</v>
          </cell>
          <cell r="I33">
            <v>483</v>
          </cell>
          <cell r="J33">
            <v>496</v>
          </cell>
          <cell r="K33">
            <v>501</v>
          </cell>
          <cell r="L33">
            <v>513</v>
          </cell>
          <cell r="M33">
            <v>468.1413956667912</v>
          </cell>
          <cell r="N33">
            <v>485.39132191365525</v>
          </cell>
          <cell r="O33">
            <v>524.41683699534588</v>
          </cell>
          <cell r="S33" t="str">
            <v>Pulmozyme</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t="str">
            <v>Pulmozyme</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row>
        <row r="34">
          <cell r="A34" t="str">
            <v>Activase / TNKase</v>
          </cell>
          <cell r="B34">
            <v>330</v>
          </cell>
          <cell r="C34">
            <v>371</v>
          </cell>
          <cell r="D34">
            <v>322</v>
          </cell>
          <cell r="E34">
            <v>278</v>
          </cell>
          <cell r="F34">
            <v>275</v>
          </cell>
          <cell r="G34">
            <v>310</v>
          </cell>
          <cell r="H34">
            <v>362</v>
          </cell>
          <cell r="I34">
            <v>382</v>
          </cell>
          <cell r="J34">
            <v>342</v>
          </cell>
          <cell r="K34">
            <v>455</v>
          </cell>
          <cell r="L34">
            <v>460</v>
          </cell>
          <cell r="M34">
            <v>437.75887539084619</v>
          </cell>
          <cell r="N34">
            <v>453.72990812663943</v>
          </cell>
          <cell r="O34">
            <v>490.20984209579291</v>
          </cell>
          <cell r="S34" t="str">
            <v>Activase / TNKase</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I34" t="str">
            <v>Activase / TNKase</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row>
        <row r="35">
          <cell r="A35" t="str">
            <v>Xolair</v>
          </cell>
          <cell r="B35">
            <v>0</v>
          </cell>
          <cell r="C35">
            <v>0</v>
          </cell>
          <cell r="D35">
            <v>0</v>
          </cell>
          <cell r="E35">
            <v>0</v>
          </cell>
          <cell r="F35">
            <v>0</v>
          </cell>
          <cell r="G35">
            <v>0</v>
          </cell>
          <cell r="H35">
            <v>537</v>
          </cell>
          <cell r="I35">
            <v>567</v>
          </cell>
          <cell r="J35">
            <v>560</v>
          </cell>
          <cell r="K35">
            <v>620</v>
          </cell>
          <cell r="L35">
            <v>641</v>
          </cell>
          <cell r="M35">
            <v>567.43231151789917</v>
          </cell>
          <cell r="N35">
            <v>587.69673609326242</v>
          </cell>
          <cell r="O35">
            <v>640.68490128118719</v>
          </cell>
          <cell r="P35">
            <v>1</v>
          </cell>
          <cell r="Q35">
            <v>1</v>
          </cell>
        </row>
        <row r="36">
          <cell r="A36" t="str">
            <v>Tamiflu</v>
          </cell>
          <cell r="B36">
            <v>70</v>
          </cell>
          <cell r="C36">
            <v>140</v>
          </cell>
          <cell r="D36">
            <v>211</v>
          </cell>
          <cell r="E36">
            <v>449</v>
          </cell>
          <cell r="F36">
            <v>330</v>
          </cell>
          <cell r="G36">
            <v>1558</v>
          </cell>
          <cell r="H36">
            <v>2627</v>
          </cell>
          <cell r="I36">
            <v>2085</v>
          </cell>
          <cell r="J36">
            <v>609</v>
          </cell>
          <cell r="K36">
            <v>3200</v>
          </cell>
          <cell r="L36">
            <v>873</v>
          </cell>
          <cell r="M36">
            <v>332.00074302463236</v>
          </cell>
          <cell r="N36">
            <v>267.31755256441937</v>
          </cell>
          <cell r="O36">
            <v>252.35817629315409</v>
          </cell>
          <cell r="P36">
            <v>1</v>
          </cell>
          <cell r="Q36">
            <v>0.25</v>
          </cell>
          <cell r="S36" t="str">
            <v>Tamiflu</v>
          </cell>
          <cell r="T36">
            <v>70</v>
          </cell>
          <cell r="U36">
            <v>140</v>
          </cell>
          <cell r="V36">
            <v>211</v>
          </cell>
          <cell r="W36">
            <v>449</v>
          </cell>
          <cell r="X36">
            <v>330</v>
          </cell>
          <cell r="Y36">
            <v>1558</v>
          </cell>
          <cell r="Z36">
            <v>2627</v>
          </cell>
          <cell r="AA36">
            <v>2085</v>
          </cell>
          <cell r="AB36">
            <v>609</v>
          </cell>
          <cell r="AC36">
            <v>3200</v>
          </cell>
          <cell r="AD36">
            <v>873</v>
          </cell>
          <cell r="AE36">
            <v>332.00074302463236</v>
          </cell>
          <cell r="AF36">
            <v>267.31755256441937</v>
          </cell>
          <cell r="AG36">
            <v>252.35817629315409</v>
          </cell>
          <cell r="AI36" t="str">
            <v>Tamiflu</v>
          </cell>
          <cell r="AJ36">
            <v>17.5</v>
          </cell>
          <cell r="AK36">
            <v>35</v>
          </cell>
          <cell r="AL36">
            <v>52.75</v>
          </cell>
          <cell r="AM36">
            <v>112.25</v>
          </cell>
          <cell r="AN36">
            <v>82.5</v>
          </cell>
          <cell r="AO36">
            <v>389.5</v>
          </cell>
          <cell r="AP36">
            <v>656.75</v>
          </cell>
          <cell r="AQ36">
            <v>521.25</v>
          </cell>
          <cell r="AR36">
            <v>152.25</v>
          </cell>
          <cell r="AS36">
            <v>800</v>
          </cell>
          <cell r="AT36">
            <v>218.25</v>
          </cell>
          <cell r="AU36">
            <v>83.000185756158089</v>
          </cell>
          <cell r="AV36">
            <v>66.829388141104843</v>
          </cell>
          <cell r="AW36">
            <v>63.089544073288522</v>
          </cell>
        </row>
        <row r="37">
          <cell r="A37" t="str">
            <v>Total</v>
          </cell>
          <cell r="B37">
            <v>1590</v>
          </cell>
          <cell r="C37">
            <v>3198</v>
          </cell>
          <cell r="D37">
            <v>4234</v>
          </cell>
          <cell r="E37">
            <v>4969.9950239999998</v>
          </cell>
          <cell r="F37">
            <v>6510</v>
          </cell>
          <cell r="G37">
            <v>9648</v>
          </cell>
          <cell r="H37">
            <v>14010</v>
          </cell>
          <cell r="I37">
            <v>17112</v>
          </cell>
          <cell r="J37">
            <v>18908</v>
          </cell>
          <cell r="K37">
            <v>20314</v>
          </cell>
          <cell r="L37">
            <v>21112</v>
          </cell>
          <cell r="M37">
            <v>18968.563548168666</v>
          </cell>
          <cell r="N37">
            <v>19664.119773345381</v>
          </cell>
          <cell r="O37">
            <v>20655.941978225343</v>
          </cell>
          <cell r="S37" t="str">
            <v>Total</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I37" t="str">
            <v>Total</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row>
        <row r="38">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row>
        <row r="39">
          <cell r="A39" t="str">
            <v>Other</v>
          </cell>
          <cell r="B39">
            <v>0</v>
          </cell>
          <cell r="C39">
            <v>0</v>
          </cell>
          <cell r="D39">
            <v>0</v>
          </cell>
          <cell r="E39">
            <v>0</v>
          </cell>
          <cell r="F39">
            <v>0</v>
          </cell>
          <cell r="G39">
            <v>0</v>
          </cell>
          <cell r="H39">
            <v>0</v>
          </cell>
          <cell r="I39">
            <v>0</v>
          </cell>
          <cell r="J39">
            <v>0</v>
          </cell>
          <cell r="K39">
            <v>0</v>
          </cell>
          <cell r="L39">
            <v>0</v>
          </cell>
          <cell r="M39">
            <v>0</v>
          </cell>
          <cell r="N39">
            <v>0</v>
          </cell>
          <cell r="O39">
            <v>0</v>
          </cell>
          <cell r="S39" t="str">
            <v>Other</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t="str">
            <v>Other</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row>
        <row r="40">
          <cell r="A40" t="str">
            <v>Rocephin</v>
          </cell>
          <cell r="B40">
            <v>1710</v>
          </cell>
          <cell r="C40">
            <v>1698</v>
          </cell>
          <cell r="D40">
            <v>1548</v>
          </cell>
          <cell r="E40">
            <v>1375</v>
          </cell>
          <cell r="F40">
            <v>1302</v>
          </cell>
          <cell r="G40">
            <v>927</v>
          </cell>
          <cell r="H40">
            <v>416</v>
          </cell>
          <cell r="I40">
            <v>398</v>
          </cell>
          <cell r="J40">
            <v>344</v>
          </cell>
          <cell r="K40">
            <v>307</v>
          </cell>
          <cell r="L40">
            <v>311</v>
          </cell>
          <cell r="M40">
            <v>242.42728653428296</v>
          </cell>
          <cell r="N40">
            <v>231.74223043227835</v>
          </cell>
          <cell r="O40">
            <v>230.927780989404</v>
          </cell>
          <cell r="S40" t="str">
            <v>Rocephin</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I40" t="str">
            <v>Rocephin</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row>
        <row r="41">
          <cell r="A41" t="str">
            <v>Roaccutane</v>
          </cell>
          <cell r="B41">
            <v>1280</v>
          </cell>
          <cell r="C41">
            <v>1166.2</v>
          </cell>
          <cell r="D41">
            <v>911</v>
          </cell>
          <cell r="E41">
            <v>695</v>
          </cell>
          <cell r="F41">
            <v>316</v>
          </cell>
          <cell r="G41">
            <v>209</v>
          </cell>
          <cell r="H41">
            <v>188</v>
          </cell>
          <cell r="I41">
            <v>119</v>
          </cell>
          <cell r="J41">
            <v>104</v>
          </cell>
          <cell r="K41">
            <v>100</v>
          </cell>
          <cell r="L41">
            <v>94</v>
          </cell>
          <cell r="M41">
            <v>79.559964444493033</v>
          </cell>
          <cell r="N41">
            <v>78.670976656427129</v>
          </cell>
          <cell r="O41">
            <v>80.870105924776325</v>
          </cell>
          <cell r="S41" t="str">
            <v>Roaccutane</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I41" t="str">
            <v>Roaccutane</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row>
        <row r="42">
          <cell r="A42" t="str">
            <v>Lucentis</v>
          </cell>
          <cell r="B42">
            <v>0</v>
          </cell>
          <cell r="C42">
            <v>0</v>
          </cell>
          <cell r="D42">
            <v>0</v>
          </cell>
          <cell r="E42">
            <v>0</v>
          </cell>
          <cell r="F42">
            <v>0</v>
          </cell>
          <cell r="G42">
            <v>0</v>
          </cell>
          <cell r="H42">
            <v>477</v>
          </cell>
          <cell r="I42">
            <v>991</v>
          </cell>
          <cell r="J42">
            <v>960</v>
          </cell>
          <cell r="K42">
            <v>1198</v>
          </cell>
          <cell r="L42">
            <v>1458</v>
          </cell>
          <cell r="M42">
            <v>1474.1487253916521</v>
          </cell>
          <cell r="N42">
            <v>1572.7686214767755</v>
          </cell>
          <cell r="O42">
            <v>1468.6459991268505</v>
          </cell>
          <cell r="S42" t="str">
            <v>Lucentis</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I42" t="str">
            <v>Lucentis</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row>
        <row r="43">
          <cell r="A43" t="str">
            <v>Total</v>
          </cell>
          <cell r="B43">
            <v>1590</v>
          </cell>
          <cell r="C43">
            <v>3198</v>
          </cell>
          <cell r="D43">
            <v>4234</v>
          </cell>
          <cell r="E43">
            <v>4969.9950239999998</v>
          </cell>
          <cell r="F43">
            <v>6510</v>
          </cell>
          <cell r="G43">
            <v>9648</v>
          </cell>
          <cell r="H43">
            <v>14010</v>
          </cell>
          <cell r="I43">
            <v>17112</v>
          </cell>
          <cell r="J43">
            <v>18908</v>
          </cell>
          <cell r="K43">
            <v>20314</v>
          </cell>
          <cell r="L43">
            <v>21112</v>
          </cell>
          <cell r="M43">
            <v>18968.563548168666</v>
          </cell>
          <cell r="N43">
            <v>19664.119773345381</v>
          </cell>
          <cell r="O43">
            <v>20655.941978225343</v>
          </cell>
          <cell r="S43" t="str">
            <v>Total</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I43" t="str">
            <v>Total</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row>
        <row r="44">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row>
        <row r="45">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row>
        <row r="46">
          <cell r="A46" t="str">
            <v>Other Pharma</v>
          </cell>
          <cell r="B46">
            <v>6656</v>
          </cell>
          <cell r="C46">
            <v>5838.8</v>
          </cell>
          <cell r="D46">
            <v>5001.3999999999996</v>
          </cell>
          <cell r="E46">
            <v>4593</v>
          </cell>
          <cell r="F46">
            <v>4669</v>
          </cell>
          <cell r="G46">
            <v>5254</v>
          </cell>
          <cell r="H46">
            <v>5331</v>
          </cell>
          <cell r="I46">
            <v>5192</v>
          </cell>
          <cell r="J46">
            <v>4560</v>
          </cell>
          <cell r="K46">
            <v>3888</v>
          </cell>
          <cell r="L46">
            <v>3569</v>
          </cell>
          <cell r="M46">
            <v>2903.6835159961388</v>
          </cell>
          <cell r="N46">
            <v>2855.7279775527654</v>
          </cell>
          <cell r="O46">
            <v>2935.5555740157729</v>
          </cell>
          <cell r="P46">
            <v>0.8</v>
          </cell>
          <cell r="Q46">
            <v>0.25</v>
          </cell>
          <cell r="S46" t="str">
            <v>Other Pharma</v>
          </cell>
          <cell r="T46">
            <v>5324.8</v>
          </cell>
          <cell r="U46">
            <v>4671.04</v>
          </cell>
          <cell r="V46">
            <v>4001.12</v>
          </cell>
          <cell r="W46">
            <v>3674.4</v>
          </cell>
          <cell r="X46">
            <v>3735.2000000000003</v>
          </cell>
          <cell r="Y46">
            <v>4203.2</v>
          </cell>
          <cell r="Z46">
            <v>4264.8</v>
          </cell>
          <cell r="AA46">
            <v>4153.6000000000004</v>
          </cell>
          <cell r="AB46">
            <v>3648</v>
          </cell>
          <cell r="AC46">
            <v>3110.4</v>
          </cell>
          <cell r="AD46">
            <v>2855.2000000000003</v>
          </cell>
          <cell r="AE46">
            <v>2322.9468127969112</v>
          </cell>
          <cell r="AF46">
            <v>2284.5823820422124</v>
          </cell>
          <cell r="AG46">
            <v>2348.4444592126183</v>
          </cell>
          <cell r="AI46" t="str">
            <v>Other Pharma</v>
          </cell>
          <cell r="AJ46">
            <v>1664</v>
          </cell>
          <cell r="AK46">
            <v>1459.7</v>
          </cell>
          <cell r="AL46">
            <v>1250.3499999999999</v>
          </cell>
          <cell r="AM46">
            <v>1148.25</v>
          </cell>
          <cell r="AN46">
            <v>1167.25</v>
          </cell>
          <cell r="AO46">
            <v>1313.5</v>
          </cell>
          <cell r="AP46">
            <v>1332.75</v>
          </cell>
          <cell r="AQ46">
            <v>1298</v>
          </cell>
          <cell r="AR46">
            <v>1140</v>
          </cell>
          <cell r="AS46">
            <v>972</v>
          </cell>
          <cell r="AT46">
            <v>892.25</v>
          </cell>
          <cell r="AU46">
            <v>725.9208789990347</v>
          </cell>
          <cell r="AV46">
            <v>713.93199438819136</v>
          </cell>
          <cell r="AW46">
            <v>733.88889350394322</v>
          </cell>
        </row>
        <row r="47">
          <cell r="A47" t="str">
            <v>New Products</v>
          </cell>
          <cell r="B47">
            <v>0</v>
          </cell>
          <cell r="C47">
            <v>0</v>
          </cell>
          <cell r="D47">
            <v>0</v>
          </cell>
          <cell r="E47">
            <v>0</v>
          </cell>
          <cell r="F47">
            <v>0</v>
          </cell>
          <cell r="G47">
            <v>0</v>
          </cell>
          <cell r="H47">
            <v>0</v>
          </cell>
          <cell r="I47">
            <v>0</v>
          </cell>
          <cell r="J47">
            <v>0</v>
          </cell>
          <cell r="K47">
            <v>0</v>
          </cell>
          <cell r="L47">
            <v>0</v>
          </cell>
          <cell r="M47">
            <v>30</v>
          </cell>
          <cell r="N47">
            <v>335</v>
          </cell>
          <cell r="O47">
            <v>1190</v>
          </cell>
          <cell r="S47" t="str">
            <v>New Products</v>
          </cell>
          <cell r="T47">
            <v>0</v>
          </cell>
          <cell r="U47">
            <v>0</v>
          </cell>
          <cell r="V47">
            <v>0</v>
          </cell>
          <cell r="W47">
            <v>0</v>
          </cell>
          <cell r="X47">
            <v>0</v>
          </cell>
          <cell r="Y47">
            <v>0</v>
          </cell>
          <cell r="Z47">
            <v>0</v>
          </cell>
          <cell r="AA47">
            <v>0</v>
          </cell>
          <cell r="AB47">
            <v>0</v>
          </cell>
          <cell r="AC47">
            <v>0</v>
          </cell>
          <cell r="AD47">
            <v>0</v>
          </cell>
          <cell r="AE47">
            <v>0</v>
          </cell>
          <cell r="AF47">
            <v>0</v>
          </cell>
          <cell r="AG47">
            <v>150</v>
          </cell>
          <cell r="AI47" t="str">
            <v>New Products</v>
          </cell>
          <cell r="AJ47">
            <v>0</v>
          </cell>
          <cell r="AK47">
            <v>0</v>
          </cell>
          <cell r="AL47">
            <v>0</v>
          </cell>
          <cell r="AM47">
            <v>0</v>
          </cell>
          <cell r="AN47">
            <v>0</v>
          </cell>
          <cell r="AO47">
            <v>0</v>
          </cell>
          <cell r="AP47">
            <v>0</v>
          </cell>
          <cell r="AQ47">
            <v>0</v>
          </cell>
          <cell r="AR47">
            <v>0</v>
          </cell>
          <cell r="AS47">
            <v>0</v>
          </cell>
          <cell r="AT47">
            <v>0</v>
          </cell>
          <cell r="AU47">
            <v>0</v>
          </cell>
          <cell r="AV47">
            <v>0</v>
          </cell>
          <cell r="AW47">
            <v>75</v>
          </cell>
        </row>
        <row r="48">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row>
        <row r="49">
          <cell r="A49" t="str">
            <v>Prescription Pharma</v>
          </cell>
          <cell r="B49">
            <v>15992</v>
          </cell>
          <cell r="C49">
            <v>17191</v>
          </cell>
          <cell r="D49">
            <v>17754</v>
          </cell>
          <cell r="E49">
            <v>19781</v>
          </cell>
          <cell r="F49">
            <v>21695</v>
          </cell>
          <cell r="G49">
            <v>27268</v>
          </cell>
          <cell r="H49">
            <v>33294</v>
          </cell>
          <cell r="I49">
            <v>36783</v>
          </cell>
          <cell r="J49">
            <v>35961</v>
          </cell>
          <cell r="K49">
            <v>38996</v>
          </cell>
          <cell r="L49">
            <v>37058</v>
          </cell>
          <cell r="M49">
            <v>32383.202312326277</v>
          </cell>
          <cell r="N49">
            <v>33348.184012077712</v>
          </cell>
          <cell r="O49">
            <v>34848.047582077292</v>
          </cell>
          <cell r="S49" t="str">
            <v>Prescription Pharma</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I49" t="str">
            <v>Prescription Pharma</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row>
        <row r="50">
          <cell r="A50" t="str">
            <v>YOY Growth</v>
          </cell>
          <cell r="B50">
            <v>0</v>
          </cell>
          <cell r="C50">
            <v>7.497498749374687E-2</v>
          </cell>
          <cell r="D50">
            <v>3.2749694607643542E-2</v>
          </cell>
          <cell r="E50">
            <v>1.0491509608683502E-2</v>
          </cell>
          <cell r="F50">
            <v>0</v>
          </cell>
          <cell r="G50">
            <v>0.25687946531458872</v>
          </cell>
          <cell r="H50">
            <v>0.22099163855068205</v>
          </cell>
          <cell r="I50">
            <v>0.10479365651468742</v>
          </cell>
          <cell r="J50">
            <v>-2.23472799934753E-2</v>
          </cell>
          <cell r="K50">
            <v>8.4396985623314213E-2</v>
          </cell>
          <cell r="L50">
            <v>-4.9697404862037109E-2</v>
          </cell>
          <cell r="M50">
            <v>-0.12614813772124034</v>
          </cell>
          <cell r="N50">
            <v>2.979883491584534E-2</v>
          </cell>
          <cell r="O50">
            <v>4.4975869434340732E-2</v>
          </cell>
          <cell r="S50" t="str">
            <v>YOY Growth</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I50" t="str">
            <v>YOY Growth</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row>
        <row r="51">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row>
        <row r="52">
          <cell r="A52" t="str">
            <v>Diabetes Care</v>
          </cell>
          <cell r="B52">
            <v>0</v>
          </cell>
          <cell r="C52">
            <v>2333</v>
          </cell>
          <cell r="D52">
            <v>2511</v>
          </cell>
          <cell r="E52">
            <v>2695</v>
          </cell>
          <cell r="F52">
            <v>2788</v>
          </cell>
          <cell r="G52">
            <v>2886</v>
          </cell>
          <cell r="H52">
            <v>3019</v>
          </cell>
          <cell r="I52">
            <v>3216</v>
          </cell>
          <cell r="J52">
            <v>2971</v>
          </cell>
          <cell r="K52">
            <v>2969</v>
          </cell>
          <cell r="L52">
            <v>2959</v>
          </cell>
          <cell r="M52">
            <v>2641.5805393391865</v>
          </cell>
          <cell r="N52">
            <v>2786.709611270117</v>
          </cell>
          <cell r="O52">
            <v>3036.8450900399748</v>
          </cell>
          <cell r="S52" t="str">
            <v>Diabetes Care</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I52" t="str">
            <v>Diabetes Care</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row>
        <row r="53">
          <cell r="A53" t="str">
            <v>Professional Diagnostics</v>
          </cell>
          <cell r="B53">
            <v>0</v>
          </cell>
          <cell r="C53">
            <v>0</v>
          </cell>
          <cell r="D53">
            <v>3177</v>
          </cell>
          <cell r="E53">
            <v>3180</v>
          </cell>
          <cell r="F53">
            <v>3405</v>
          </cell>
          <cell r="G53">
            <v>3624</v>
          </cell>
          <cell r="H53">
            <v>3885</v>
          </cell>
          <cell r="I53">
            <v>4294</v>
          </cell>
          <cell r="J53">
            <v>4422</v>
          </cell>
          <cell r="K53">
            <v>4553</v>
          </cell>
          <cell r="L53">
            <v>4858</v>
          </cell>
          <cell r="M53">
            <v>4607.8220669670191</v>
          </cell>
          <cell r="N53">
            <v>4930.3149623504196</v>
          </cell>
          <cell r="O53">
            <v>5425.321006210017</v>
          </cell>
          <cell r="S53" t="str">
            <v>Near Patient Testing</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I53" t="str">
            <v>Near Patient Testing</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row>
        <row r="54">
          <cell r="A54" t="str">
            <v>Molecular Diagnostics</v>
          </cell>
          <cell r="B54">
            <v>0</v>
          </cell>
          <cell r="C54">
            <v>877</v>
          </cell>
          <cell r="D54">
            <v>977</v>
          </cell>
          <cell r="E54">
            <v>1025</v>
          </cell>
          <cell r="F54">
            <v>1102</v>
          </cell>
          <cell r="G54">
            <v>1171</v>
          </cell>
          <cell r="H54">
            <v>1211</v>
          </cell>
          <cell r="I54">
            <v>1148</v>
          </cell>
          <cell r="J54">
            <v>1122</v>
          </cell>
          <cell r="K54">
            <v>1183</v>
          </cell>
          <cell r="L54">
            <v>1189</v>
          </cell>
          <cell r="M54">
            <v>1068.1418555666398</v>
          </cell>
          <cell r="N54">
            <v>1141.6472289793587</v>
          </cell>
          <cell r="O54">
            <v>1266.9007876431335</v>
          </cell>
          <cell r="S54" t="str">
            <v>Centralized Diagnostics</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I54" t="str">
            <v>Centralized Diagnostics</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row>
        <row r="55">
          <cell r="A55" t="str">
            <v>Applied Science</v>
          </cell>
          <cell r="B55">
            <v>0</v>
          </cell>
          <cell r="C55">
            <v>571</v>
          </cell>
          <cell r="D55">
            <v>574</v>
          </cell>
          <cell r="E55">
            <v>509</v>
          </cell>
          <cell r="F55">
            <v>532</v>
          </cell>
          <cell r="G55">
            <v>562</v>
          </cell>
          <cell r="H55">
            <v>632</v>
          </cell>
          <cell r="I55">
            <v>692</v>
          </cell>
          <cell r="J55">
            <v>765</v>
          </cell>
          <cell r="K55">
            <v>870</v>
          </cell>
          <cell r="L55">
            <v>868</v>
          </cell>
          <cell r="M55">
            <v>762.6995303459646</v>
          </cell>
          <cell r="N55">
            <v>838.65845496376062</v>
          </cell>
          <cell r="O55">
            <v>944.59142413971063</v>
          </cell>
          <cell r="S55" t="str">
            <v>Molecular Diagnostics - non-industrial</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I55" t="str">
            <v>Molecular Diagnostics - non-industrial</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row>
        <row r="56">
          <cell r="A56" t="str">
            <v>Ventana (Tissue Diagnostics)</v>
          </cell>
          <cell r="B56">
            <v>0</v>
          </cell>
          <cell r="C56">
            <v>0</v>
          </cell>
          <cell r="D56">
            <v>0</v>
          </cell>
          <cell r="E56">
            <v>0</v>
          </cell>
          <cell r="F56">
            <v>0</v>
          </cell>
          <cell r="G56">
            <v>0</v>
          </cell>
          <cell r="H56">
            <v>0</v>
          </cell>
          <cell r="I56">
            <v>0</v>
          </cell>
          <cell r="J56">
            <v>376</v>
          </cell>
          <cell r="K56">
            <v>480</v>
          </cell>
          <cell r="L56">
            <v>541</v>
          </cell>
          <cell r="M56">
            <v>554.37268753448029</v>
          </cell>
          <cell r="N56">
            <v>677.46393092202652</v>
          </cell>
          <cell r="O56">
            <v>825.44273095617325</v>
          </cell>
          <cell r="S56" t="str">
            <v>Molecular Diagnostics - industrial</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I56" t="str">
            <v>Molecular Diagnostics - industrial</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row>
        <row r="57">
          <cell r="A57" t="str">
            <v>Diagnostics Total</v>
          </cell>
          <cell r="B57">
            <v>6252</v>
          </cell>
          <cell r="C57">
            <v>3781</v>
          </cell>
          <cell r="D57">
            <v>4062</v>
          </cell>
          <cell r="E57">
            <v>4229</v>
          </cell>
          <cell r="F57">
            <v>4422</v>
          </cell>
          <cell r="G57">
            <v>4619</v>
          </cell>
          <cell r="H57">
            <v>4862</v>
          </cell>
          <cell r="I57">
            <v>9350</v>
          </cell>
          <cell r="J57">
            <v>9656</v>
          </cell>
          <cell r="K57">
            <v>10055</v>
          </cell>
          <cell r="L57">
            <v>10415</v>
          </cell>
          <cell r="M57">
            <v>9634.6166797532896</v>
          </cell>
          <cell r="N57">
            <v>10374.794188485681</v>
          </cell>
          <cell r="O57">
            <v>11499.101038989009</v>
          </cell>
          <cell r="S57" t="str">
            <v>Diagnostics Total</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I57" t="str">
            <v>Diagnostics Total</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row>
        <row r="58">
          <cell r="A58" t="str">
            <v>YOY Growth</v>
          </cell>
          <cell r="B58">
            <v>0</v>
          </cell>
          <cell r="C58">
            <v>7.497498749374687E-2</v>
          </cell>
          <cell r="D58">
            <v>3.2749694607643542E-2</v>
          </cell>
          <cell r="E58">
            <v>1.0491509608683502E-2</v>
          </cell>
          <cell r="F58">
            <v>0</v>
          </cell>
          <cell r="G58">
            <v>0.25687946531458872</v>
          </cell>
          <cell r="H58">
            <v>0.22099163855068205</v>
          </cell>
          <cell r="I58">
            <v>0.10479365651468742</v>
          </cell>
          <cell r="J58">
            <v>-2.23472799934753E-2</v>
          </cell>
          <cell r="K58">
            <v>8.4396985623314213E-2</v>
          </cell>
          <cell r="L58">
            <v>-4.9697404862037109E-2</v>
          </cell>
          <cell r="M58">
            <v>-0.12614813772124034</v>
          </cell>
          <cell r="N58">
            <v>2.979883491584534E-2</v>
          </cell>
          <cell r="O58">
            <v>4.4975869434340732E-2</v>
          </cell>
          <cell r="S58" t="str">
            <v>YOY Growth</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I58" t="str">
            <v>YOY Growth</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row>
        <row r="59">
          <cell r="A59" t="str">
            <v>Total Sales</v>
          </cell>
          <cell r="B59">
            <v>22244</v>
          </cell>
          <cell r="C59">
            <v>20972</v>
          </cell>
          <cell r="D59">
            <v>21816</v>
          </cell>
          <cell r="E59">
            <v>24010</v>
          </cell>
          <cell r="F59">
            <v>26117</v>
          </cell>
          <cell r="G59">
            <v>31887</v>
          </cell>
          <cell r="H59">
            <v>38156</v>
          </cell>
          <cell r="I59">
            <v>46133</v>
          </cell>
          <cell r="J59">
            <v>45617</v>
          </cell>
          <cell r="K59">
            <v>49051</v>
          </cell>
          <cell r="L59">
            <v>47473</v>
          </cell>
          <cell r="M59">
            <v>42017.81899207957</v>
          </cell>
          <cell r="N59">
            <v>43722.97820056339</v>
          </cell>
          <cell r="O59">
            <v>46347.148621066299</v>
          </cell>
          <cell r="S59" t="str">
            <v>Total Sales</v>
          </cell>
          <cell r="AI59" t="str">
            <v>Total Sales</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row>
        <row r="61">
          <cell r="A61" t="str">
            <v>With Pipeline</v>
          </cell>
        </row>
        <row r="62">
          <cell r="A62" t="str">
            <v>Primary Care</v>
          </cell>
          <cell r="B62">
            <v>5634.8</v>
          </cell>
          <cell r="C62">
            <v>5099.04</v>
          </cell>
          <cell r="D62">
            <v>4557.72</v>
          </cell>
          <cell r="E62">
            <v>4515.3999999999996</v>
          </cell>
          <cell r="F62">
            <v>4426.2000000000007</v>
          </cell>
          <cell r="G62">
            <v>6173.2</v>
          </cell>
          <cell r="H62">
            <v>7683.8</v>
          </cell>
          <cell r="I62">
            <v>7414.6</v>
          </cell>
          <cell r="J62">
            <v>5585</v>
          </cell>
          <cell r="K62">
            <v>7553.4</v>
          </cell>
          <cell r="L62">
            <v>4919.2000000000007</v>
          </cell>
          <cell r="M62">
            <v>3641.4828879129536</v>
          </cell>
          <cell r="N62">
            <v>3437.7554724379861</v>
          </cell>
          <cell r="O62">
            <v>3267.8309185747889</v>
          </cell>
        </row>
        <row r="63">
          <cell r="A63" t="str">
            <v>% of Pharma</v>
          </cell>
          <cell r="B63">
            <v>0.35235117558779389</v>
          </cell>
          <cell r="C63">
            <v>0.29661101739282181</v>
          </cell>
          <cell r="D63">
            <v>0.25671510645488343</v>
          </cell>
          <cell r="E63">
            <v>0.2282695515899095</v>
          </cell>
          <cell r="F63">
            <v>0.20401935929937778</v>
          </cell>
          <cell r="G63">
            <v>0.22638990758398123</v>
          </cell>
          <cell r="H63">
            <v>0.23078632786688294</v>
          </cell>
          <cell r="I63">
            <v>0.20157681537666858</v>
          </cell>
          <cell r="J63">
            <v>0.15530713828870166</v>
          </cell>
          <cell r="K63">
            <v>0.19369678941429888</v>
          </cell>
          <cell r="L63">
            <v>0.13274326731070216</v>
          </cell>
          <cell r="M63">
            <v>0.1124497464083985</v>
          </cell>
          <cell r="N63">
            <v>0.10308673693274975</v>
          </cell>
          <cell r="O63">
            <v>9.3773716041855609E-2</v>
          </cell>
        </row>
        <row r="64">
          <cell r="A64" t="str">
            <v>% of Total</v>
          </cell>
          <cell r="B64">
            <v>0.25331774860636574</v>
          </cell>
          <cell r="C64">
            <v>0.24313560938394049</v>
          </cell>
          <cell r="D64">
            <v>0.20891639163916392</v>
          </cell>
          <cell r="E64">
            <v>0.18806330695543522</v>
          </cell>
          <cell r="F64">
            <v>0.16947582034690051</v>
          </cell>
          <cell r="G64">
            <v>0.19359613635650891</v>
          </cell>
          <cell r="H64">
            <v>0.20137855121081874</v>
          </cell>
          <cell r="I64">
            <v>0.16072225955389852</v>
          </cell>
          <cell r="J64">
            <v>0.12243242650766162</v>
          </cell>
          <cell r="K64">
            <v>0.15399074432733276</v>
          </cell>
          <cell r="L64">
            <v>0.10362100562424958</v>
          </cell>
          <cell r="M64">
            <v>8.6665204793218306E-2</v>
          </cell>
          <cell r="N64">
            <v>7.8625830488228021E-2</v>
          </cell>
          <cell r="O64">
            <v>7.0507701461691483E-2</v>
          </cell>
        </row>
        <row r="66">
          <cell r="A66" t="str">
            <v>US Primary Care</v>
          </cell>
          <cell r="B66">
            <v>1681.5</v>
          </cell>
          <cell r="C66">
            <v>1494.7</v>
          </cell>
          <cell r="D66">
            <v>1303.0999999999999</v>
          </cell>
          <cell r="E66">
            <v>1260.5</v>
          </cell>
          <cell r="F66">
            <v>1249.75</v>
          </cell>
          <cell r="G66">
            <v>1780.4</v>
          </cell>
          <cell r="H66">
            <v>2428.6999999999998</v>
          </cell>
          <cell r="I66">
            <v>2617.5500000000002</v>
          </cell>
          <cell r="J66">
            <v>2289.4499999999998</v>
          </cell>
          <cell r="K66">
            <v>2724.2</v>
          </cell>
          <cell r="L66">
            <v>2022.2</v>
          </cell>
          <cell r="M66">
            <v>1572.7342269437254</v>
          </cell>
          <cell r="N66">
            <v>1465.5731919054433</v>
          </cell>
          <cell r="O66">
            <v>1231.1389974521626</v>
          </cell>
        </row>
        <row r="67">
          <cell r="A67" t="str">
            <v>% of Pharma</v>
          </cell>
          <cell r="B67">
            <v>0.10514632316158079</v>
          </cell>
          <cell r="C67">
            <v>8.6946658135070673E-2</v>
          </cell>
          <cell r="D67">
            <v>7.3397544215388077E-2</v>
          </cell>
          <cell r="E67">
            <v>6.3722764268742738E-2</v>
          </cell>
          <cell r="F67">
            <v>5.7605439041253745E-2</v>
          </cell>
          <cell r="G67">
            <v>6.5292650726125862E-2</v>
          </cell>
          <cell r="H67">
            <v>7.2947077551510781E-2</v>
          </cell>
          <cell r="I67">
            <v>7.1161949813772676E-2</v>
          </cell>
          <cell r="J67">
            <v>6.3664803537165263E-2</v>
          </cell>
          <cell r="K67">
            <v>6.9858447020207201E-2</v>
          </cell>
          <cell r="L67">
            <v>5.4568514220950944E-2</v>
          </cell>
          <cell r="M67">
            <v>4.8566358934338097E-2</v>
          </cell>
          <cell r="N67">
            <v>4.3947616199270602E-2</v>
          </cell>
          <cell r="O67">
            <v>3.5328779741604519E-2</v>
          </cell>
        </row>
        <row r="68">
          <cell r="A68" t="str">
            <v>% of Total</v>
          </cell>
          <cell r="B68">
            <v>7.5593418449919084E-2</v>
          </cell>
          <cell r="C68">
            <v>7.1271218767880992E-2</v>
          </cell>
          <cell r="D68">
            <v>5.9731389805647225E-2</v>
          </cell>
          <cell r="E68">
            <v>5.2498958767180338E-2</v>
          </cell>
          <cell r="F68">
            <v>4.7851973810161964E-2</v>
          </cell>
          <cell r="G68">
            <v>5.583466616489479E-2</v>
          </cell>
          <cell r="H68">
            <v>6.3651850298773446E-2</v>
          </cell>
          <cell r="I68">
            <v>5.6739210543428786E-2</v>
          </cell>
          <cell r="J68">
            <v>5.018852620733498E-2</v>
          </cell>
          <cell r="K68">
            <v>5.553811339218364E-2</v>
          </cell>
          <cell r="L68">
            <v>4.2596844522149437E-2</v>
          </cell>
          <cell r="M68">
            <v>3.7430172833106554E-2</v>
          </cell>
          <cell r="N68">
            <v>3.3519518848479514E-2</v>
          </cell>
          <cell r="O68">
            <v>2.6563424807811577E-2</v>
          </cell>
        </row>
        <row r="70">
          <cell r="A70" t="str">
            <v>Without Pipeline</v>
          </cell>
        </row>
        <row r="71">
          <cell r="A71" t="str">
            <v>Total</v>
          </cell>
          <cell r="B71">
            <v>22244</v>
          </cell>
          <cell r="C71">
            <v>20972</v>
          </cell>
          <cell r="D71">
            <v>21816</v>
          </cell>
          <cell r="E71">
            <v>24010</v>
          </cell>
          <cell r="F71">
            <v>26117</v>
          </cell>
          <cell r="G71">
            <v>31887</v>
          </cell>
          <cell r="H71">
            <v>38156</v>
          </cell>
          <cell r="I71">
            <v>46133</v>
          </cell>
          <cell r="J71">
            <v>45617</v>
          </cell>
          <cell r="K71">
            <v>49051</v>
          </cell>
          <cell r="L71">
            <v>47473</v>
          </cell>
          <cell r="M71">
            <v>41987.81899207957</v>
          </cell>
          <cell r="N71">
            <v>43387.97820056339</v>
          </cell>
          <cell r="O71">
            <v>45157.148621066299</v>
          </cell>
        </row>
        <row r="72">
          <cell r="A72" t="str">
            <v>Pharma</v>
          </cell>
          <cell r="B72">
            <v>15992</v>
          </cell>
          <cell r="C72">
            <v>17191</v>
          </cell>
          <cell r="D72">
            <v>17754</v>
          </cell>
          <cell r="E72">
            <v>19781</v>
          </cell>
          <cell r="F72">
            <v>21695</v>
          </cell>
          <cell r="G72">
            <v>27268</v>
          </cell>
          <cell r="H72">
            <v>33294</v>
          </cell>
          <cell r="I72">
            <v>36783</v>
          </cell>
          <cell r="J72">
            <v>35961</v>
          </cell>
          <cell r="K72">
            <v>38996</v>
          </cell>
          <cell r="L72">
            <v>37058</v>
          </cell>
          <cell r="M72">
            <v>32353.202312326277</v>
          </cell>
          <cell r="N72">
            <v>33013.184012077712</v>
          </cell>
          <cell r="O72">
            <v>33658.047582077292</v>
          </cell>
        </row>
        <row r="73">
          <cell r="A73" t="str">
            <v>Primary Care</v>
          </cell>
          <cell r="B73">
            <v>5634.8</v>
          </cell>
          <cell r="C73">
            <v>5099.04</v>
          </cell>
          <cell r="D73">
            <v>4557.72</v>
          </cell>
          <cell r="E73">
            <v>4515.3999999999996</v>
          </cell>
          <cell r="F73">
            <v>4426.2000000000007</v>
          </cell>
          <cell r="G73">
            <v>6173.2</v>
          </cell>
          <cell r="H73">
            <v>7683.8</v>
          </cell>
          <cell r="I73">
            <v>7414.6</v>
          </cell>
          <cell r="J73">
            <v>5585</v>
          </cell>
          <cell r="K73">
            <v>7553.4</v>
          </cell>
          <cell r="L73">
            <v>4919.2000000000007</v>
          </cell>
          <cell r="M73">
            <v>3641.4828879129536</v>
          </cell>
          <cell r="N73">
            <v>3437.7554724379861</v>
          </cell>
          <cell r="O73">
            <v>3117.8309185747889</v>
          </cell>
        </row>
        <row r="74">
          <cell r="A74" t="str">
            <v>% of Pharma</v>
          </cell>
          <cell r="B74">
            <v>0.35235117558779389</v>
          </cell>
          <cell r="C74">
            <v>0.29661101739282181</v>
          </cell>
          <cell r="D74">
            <v>0.25671510645488343</v>
          </cell>
          <cell r="E74">
            <v>0.2282695515899095</v>
          </cell>
          <cell r="F74">
            <v>0.20401935929937778</v>
          </cell>
          <cell r="G74">
            <v>0.22638990758398123</v>
          </cell>
          <cell r="H74">
            <v>0.23078632786688294</v>
          </cell>
          <cell r="I74">
            <v>0.20157681537666858</v>
          </cell>
          <cell r="J74">
            <v>0.15530713828870166</v>
          </cell>
          <cell r="K74">
            <v>0.19369678941429888</v>
          </cell>
          <cell r="L74">
            <v>0.13274326731070216</v>
          </cell>
          <cell r="M74">
            <v>0.11255401714981338</v>
          </cell>
          <cell r="N74">
            <v>0.10413280558398427</v>
          </cell>
          <cell r="O74">
            <v>9.2632554249374083E-2</v>
          </cell>
        </row>
        <row r="75">
          <cell r="A75" t="str">
            <v>% of Total</v>
          </cell>
          <cell r="B75">
            <v>0.25331774860636574</v>
          </cell>
          <cell r="C75">
            <v>0.24313560938394049</v>
          </cell>
          <cell r="D75">
            <v>0.20891639163916392</v>
          </cell>
          <cell r="E75">
            <v>0.18806330695543522</v>
          </cell>
          <cell r="F75">
            <v>0.16947582034690051</v>
          </cell>
          <cell r="G75">
            <v>0.19359613635650891</v>
          </cell>
          <cell r="H75">
            <v>0.20137855121081874</v>
          </cell>
          <cell r="I75">
            <v>0.16072225955389852</v>
          </cell>
          <cell r="J75">
            <v>0.12243242650766162</v>
          </cell>
          <cell r="K75">
            <v>0.15399074432733276</v>
          </cell>
          <cell r="L75">
            <v>0.10362100562424958</v>
          </cell>
          <cell r="M75">
            <v>8.6727126469699933E-2</v>
          </cell>
          <cell r="N75">
            <v>7.9232903099258664E-2</v>
          </cell>
          <cell r="O75">
            <v>6.9044016590549012E-2</v>
          </cell>
        </row>
        <row r="77">
          <cell r="A77" t="str">
            <v>US Primary Care</v>
          </cell>
          <cell r="B77">
            <v>1681.5</v>
          </cell>
          <cell r="C77">
            <v>1494.7</v>
          </cell>
          <cell r="D77">
            <v>1303.0999999999999</v>
          </cell>
          <cell r="E77">
            <v>1260.5</v>
          </cell>
          <cell r="F77">
            <v>1249.75</v>
          </cell>
          <cell r="G77">
            <v>1780.4</v>
          </cell>
          <cell r="H77">
            <v>2428.6999999999998</v>
          </cell>
          <cell r="I77">
            <v>2617.5500000000002</v>
          </cell>
          <cell r="J77">
            <v>2289.4499999999998</v>
          </cell>
          <cell r="K77">
            <v>2724.2</v>
          </cell>
          <cell r="L77">
            <v>2022.2</v>
          </cell>
          <cell r="M77">
            <v>1572.7342269437254</v>
          </cell>
          <cell r="N77">
            <v>1465.5731919054433</v>
          </cell>
          <cell r="O77">
            <v>1156.1389974521626</v>
          </cell>
        </row>
        <row r="78">
          <cell r="A78" t="str">
            <v>% of Pharma</v>
          </cell>
          <cell r="B78">
            <v>0.10514632316158079</v>
          </cell>
          <cell r="C78">
            <v>8.6946658135070673E-2</v>
          </cell>
          <cell r="D78">
            <v>7.3397544215388077E-2</v>
          </cell>
          <cell r="E78">
            <v>6.3722764268742738E-2</v>
          </cell>
          <cell r="F78">
            <v>5.7605439041253745E-2</v>
          </cell>
          <cell r="G78">
            <v>6.5292650726125862E-2</v>
          </cell>
          <cell r="H78">
            <v>7.2947077551510781E-2</v>
          </cell>
          <cell r="I78">
            <v>7.1161949813772676E-2</v>
          </cell>
          <cell r="J78">
            <v>6.3664803537165263E-2</v>
          </cell>
          <cell r="K78">
            <v>6.9858447020207201E-2</v>
          </cell>
          <cell r="L78">
            <v>5.4568514220950944E-2</v>
          </cell>
          <cell r="M78">
            <v>4.8611392830951013E-2</v>
          </cell>
          <cell r="N78">
            <v>4.4393572924358658E-2</v>
          </cell>
          <cell r="O78">
            <v>3.4349556213349688E-2</v>
          </cell>
        </row>
        <row r="79">
          <cell r="A79" t="str">
            <v>% of Total</v>
          </cell>
          <cell r="B79">
            <v>7.5593418449919084E-2</v>
          </cell>
          <cell r="C79">
            <v>7.1271218767880992E-2</v>
          </cell>
          <cell r="D79">
            <v>5.9731389805647225E-2</v>
          </cell>
          <cell r="E79">
            <v>5.2498958767180338E-2</v>
          </cell>
          <cell r="F79">
            <v>4.7851973810161964E-2</v>
          </cell>
          <cell r="G79">
            <v>5.583466616489479E-2</v>
          </cell>
          <cell r="H79">
            <v>6.3651850298773446E-2</v>
          </cell>
          <cell r="I79">
            <v>5.6739210543428786E-2</v>
          </cell>
          <cell r="J79">
            <v>5.018852620733498E-2</v>
          </cell>
          <cell r="K79">
            <v>5.553811339218364E-2</v>
          </cell>
          <cell r="L79">
            <v>4.2596844522149437E-2</v>
          </cell>
          <cell r="M79">
            <v>3.7456916427128548E-2</v>
          </cell>
          <cell r="N79">
            <v>3.3778324150776237E-2</v>
          </cell>
          <cell r="O79">
            <v>2.5602568646524576E-2</v>
          </cell>
        </row>
      </sheetData>
      <sheetData sheetId="22" refreshError="1">
        <row r="1">
          <cell r="A1" t="str">
            <v>Return to contents</v>
          </cell>
        </row>
        <row r="2">
          <cell r="A2" t="str">
            <v>Roche</v>
          </cell>
        </row>
        <row r="3">
          <cell r="A3" t="str">
            <v>Gross Margin Model</v>
          </cell>
          <cell r="N3" t="str">
            <v>Morgan Stanley Equity Research- Pharmaceuticals</v>
          </cell>
        </row>
        <row r="5">
          <cell r="A5" t="str">
            <v>SFr mlns</v>
          </cell>
          <cell r="B5" t="str">
            <v>FY04A</v>
          </cell>
          <cell r="C5" t="str">
            <v>FY05A</v>
          </cell>
          <cell r="D5" t="str">
            <v>FY06A</v>
          </cell>
          <cell r="E5" t="str">
            <v>FY07A</v>
          </cell>
          <cell r="F5" t="str">
            <v>FY08A</v>
          </cell>
          <cell r="G5" t="str">
            <v>FY09A</v>
          </cell>
          <cell r="H5" t="str">
            <v>FY10A</v>
          </cell>
          <cell r="I5" t="str">
            <v>FY11E</v>
          </cell>
          <cell r="J5" t="str">
            <v>FY12E</v>
          </cell>
          <cell r="K5" t="str">
            <v>FY13E</v>
          </cell>
          <cell r="L5" t="str">
            <v>FY14E</v>
          </cell>
          <cell r="M5" t="str">
            <v>FY15E</v>
          </cell>
          <cell r="N5" t="str">
            <v>FY16E</v>
          </cell>
          <cell r="O5" t="str">
            <v>FY17E</v>
          </cell>
          <cell r="P5" t="str">
            <v>FY18E</v>
          </cell>
          <cell r="Q5" t="str">
            <v>FY19E</v>
          </cell>
          <cell r="R5" t="str">
            <v>FY20E</v>
          </cell>
        </row>
        <row r="7">
          <cell r="A7" t="str">
            <v>1) Royalty Income</v>
          </cell>
          <cell r="G7">
            <v>3.7277147487844386E-2</v>
          </cell>
        </row>
        <row r="8">
          <cell r="A8" t="str">
            <v>Royalty Income</v>
          </cell>
          <cell r="B8">
            <v>613</v>
          </cell>
          <cell r="C8">
            <v>840</v>
          </cell>
          <cell r="D8">
            <v>863</v>
          </cell>
          <cell r="E8">
            <v>1076</v>
          </cell>
          <cell r="F8">
            <v>1234</v>
          </cell>
          <cell r="G8">
            <v>1280</v>
          </cell>
          <cell r="H8">
            <v>1472</v>
          </cell>
          <cell r="I8">
            <v>1789.7171030393199</v>
          </cell>
          <cell r="J8">
            <v>1901.8542217902032</v>
          </cell>
          <cell r="K8">
            <v>1691.5098295883308</v>
          </cell>
          <cell r="L8">
            <v>1635.9381597554511</v>
          </cell>
          <cell r="M8">
            <v>1639.6170573357294</v>
          </cell>
          <cell r="N8">
            <v>1242.528908392414</v>
          </cell>
          <cell r="O8">
            <v>1304.6553538120347</v>
          </cell>
          <cell r="P8">
            <v>1369.8881215026367</v>
          </cell>
          <cell r="Q8">
            <v>439.11035850245219</v>
          </cell>
          <cell r="R8">
            <v>461.06587642757489</v>
          </cell>
        </row>
        <row r="9">
          <cell r="A9" t="str">
            <v>Outlicensing Income</v>
          </cell>
          <cell r="B9">
            <v>256</v>
          </cell>
          <cell r="C9">
            <v>281</v>
          </cell>
          <cell r="D9">
            <v>320</v>
          </cell>
          <cell r="E9">
            <v>722</v>
          </cell>
          <cell r="F9">
            <v>420</v>
          </cell>
          <cell r="G9">
            <v>442</v>
          </cell>
          <cell r="H9">
            <v>91</v>
          </cell>
          <cell r="I9">
            <v>91</v>
          </cell>
          <cell r="J9">
            <v>91</v>
          </cell>
          <cell r="K9">
            <v>91</v>
          </cell>
          <cell r="L9">
            <v>91</v>
          </cell>
          <cell r="M9">
            <v>91</v>
          </cell>
          <cell r="N9">
            <v>91</v>
          </cell>
          <cell r="O9">
            <v>91</v>
          </cell>
          <cell r="P9">
            <v>91</v>
          </cell>
          <cell r="Q9">
            <v>91</v>
          </cell>
          <cell r="R9">
            <v>91</v>
          </cell>
        </row>
        <row r="10">
          <cell r="A10" t="str">
            <v>Disposal of Products/Other</v>
          </cell>
          <cell r="B10">
            <v>429</v>
          </cell>
          <cell r="C10">
            <v>55</v>
          </cell>
          <cell r="D10">
            <v>26</v>
          </cell>
          <cell r="E10">
            <v>259</v>
          </cell>
          <cell r="F10">
            <v>494</v>
          </cell>
          <cell r="G10">
            <v>226</v>
          </cell>
          <cell r="H10">
            <v>131</v>
          </cell>
          <cell r="I10">
            <v>131</v>
          </cell>
          <cell r="J10">
            <v>131</v>
          </cell>
          <cell r="K10">
            <v>131</v>
          </cell>
          <cell r="L10">
            <v>131</v>
          </cell>
          <cell r="M10">
            <v>131</v>
          </cell>
          <cell r="N10">
            <v>131</v>
          </cell>
          <cell r="O10">
            <v>131</v>
          </cell>
          <cell r="P10">
            <v>131</v>
          </cell>
          <cell r="Q10">
            <v>131</v>
          </cell>
          <cell r="R10">
            <v>131</v>
          </cell>
        </row>
        <row r="11">
          <cell r="A11" t="str">
            <v>Total</v>
          </cell>
          <cell r="B11">
            <v>1298</v>
          </cell>
          <cell r="C11">
            <v>1176</v>
          </cell>
          <cell r="D11">
            <v>1209</v>
          </cell>
          <cell r="E11">
            <v>2057</v>
          </cell>
          <cell r="F11">
            <v>2148</v>
          </cell>
          <cell r="G11">
            <v>1948</v>
          </cell>
          <cell r="H11">
            <v>1694</v>
          </cell>
          <cell r="I11">
            <v>2011.7171030393199</v>
          </cell>
          <cell r="J11">
            <v>2123.8542217902032</v>
          </cell>
          <cell r="K11">
            <v>1913.5098295883308</v>
          </cell>
          <cell r="L11">
            <v>1857.9381597554511</v>
          </cell>
          <cell r="M11">
            <v>1861.6170573357294</v>
          </cell>
          <cell r="N11">
            <v>1464.528908392414</v>
          </cell>
          <cell r="O11">
            <v>1526.6553538120347</v>
          </cell>
          <cell r="P11">
            <v>1591.8881215026367</v>
          </cell>
          <cell r="Q11">
            <v>661.11035850245219</v>
          </cell>
          <cell r="R11">
            <v>683.06587642757495</v>
          </cell>
        </row>
        <row r="13">
          <cell r="A13" t="str">
            <v>2) Gross Profit</v>
          </cell>
        </row>
        <row r="14">
          <cell r="A14" t="str">
            <v>Manufacturing</v>
          </cell>
          <cell r="D14">
            <v>4886</v>
          </cell>
          <cell r="E14">
            <v>5041</v>
          </cell>
        </row>
        <row r="15">
          <cell r="A15" t="str">
            <v>Royalty Expenses</v>
          </cell>
          <cell r="D15">
            <v>1941</v>
          </cell>
          <cell r="E15">
            <v>2089</v>
          </cell>
        </row>
        <row r="16">
          <cell r="A16" t="str">
            <v>Collaboration/Profit Sharing</v>
          </cell>
          <cell r="D16">
            <v>1546</v>
          </cell>
          <cell r="E16">
            <v>1755</v>
          </cell>
        </row>
        <row r="17">
          <cell r="A17" t="str">
            <v>Amortisation of Intangibles</v>
          </cell>
          <cell r="D17">
            <v>619</v>
          </cell>
          <cell r="E17">
            <v>614</v>
          </cell>
        </row>
        <row r="18">
          <cell r="A18" t="str">
            <v>Impairment of PPE</v>
          </cell>
          <cell r="D18">
            <v>40</v>
          </cell>
          <cell r="E18">
            <v>3</v>
          </cell>
        </row>
        <row r="19">
          <cell r="A19" t="str">
            <v>Impairment of Intangibles</v>
          </cell>
        </row>
        <row r="20">
          <cell r="A20" t="str">
            <v>Total</v>
          </cell>
          <cell r="D20">
            <v>9032</v>
          </cell>
          <cell r="E20">
            <v>9502</v>
          </cell>
        </row>
        <row r="23">
          <cell r="A23" t="str">
            <v>DNA Products</v>
          </cell>
        </row>
        <row r="24">
          <cell r="A24" t="str">
            <v>Rituxan US</v>
          </cell>
          <cell r="B24">
            <v>2043</v>
          </cell>
          <cell r="C24">
            <v>2397</v>
          </cell>
          <cell r="D24">
            <v>2696</v>
          </cell>
          <cell r="E24">
            <v>2851</v>
          </cell>
          <cell r="F24">
            <v>2930</v>
          </cell>
          <cell r="G24">
            <v>3015</v>
          </cell>
          <cell r="H24">
            <v>3026</v>
          </cell>
          <cell r="I24">
            <v>2619.9392725728812</v>
          </cell>
          <cell r="J24">
            <v>2685.372821044959</v>
          </cell>
          <cell r="K24">
            <v>2927.2424726827994</v>
          </cell>
          <cell r="L24">
            <v>3073.6045963169395</v>
          </cell>
          <cell r="M24">
            <v>3196.5487801696172</v>
          </cell>
          <cell r="N24">
            <v>2876.8939021526558</v>
          </cell>
          <cell r="O24">
            <v>2589.2045119373902</v>
          </cell>
          <cell r="P24">
            <v>2589.2045119373902</v>
          </cell>
          <cell r="Q24">
            <v>2589.2045119373902</v>
          </cell>
          <cell r="R24">
            <v>2589.2045119373902</v>
          </cell>
        </row>
        <row r="25">
          <cell r="A25" t="str">
            <v>Rituxan US Gross Margin</v>
          </cell>
          <cell r="B25">
            <v>0.8</v>
          </cell>
          <cell r="C25">
            <v>0.8</v>
          </cell>
          <cell r="D25">
            <v>0.7</v>
          </cell>
          <cell r="E25">
            <v>0.7</v>
          </cell>
          <cell r="F25">
            <v>0.7</v>
          </cell>
          <cell r="G25">
            <v>0.7</v>
          </cell>
          <cell r="H25">
            <v>0.7</v>
          </cell>
          <cell r="I25">
            <v>0.7</v>
          </cell>
          <cell r="J25">
            <v>0.7</v>
          </cell>
          <cell r="K25">
            <v>0.7</v>
          </cell>
          <cell r="L25">
            <v>0.7</v>
          </cell>
          <cell r="M25">
            <v>0.7</v>
          </cell>
          <cell r="N25">
            <v>0.7</v>
          </cell>
          <cell r="O25">
            <v>0.7</v>
          </cell>
          <cell r="P25">
            <v>0.7</v>
          </cell>
          <cell r="Q25">
            <v>0.7</v>
          </cell>
          <cell r="R25">
            <v>0.7</v>
          </cell>
        </row>
        <row r="26">
          <cell r="A26" t="str">
            <v>Mabthera ROW</v>
          </cell>
          <cell r="B26">
            <v>1335</v>
          </cell>
          <cell r="C26">
            <v>1757</v>
          </cell>
          <cell r="D26">
            <v>2143</v>
          </cell>
          <cell r="E26">
            <v>2665</v>
          </cell>
          <cell r="F26">
            <v>2993</v>
          </cell>
          <cell r="G26">
            <v>3072</v>
          </cell>
          <cell r="H26">
            <v>3330</v>
          </cell>
          <cell r="I26">
            <v>3144.7987328580834</v>
          </cell>
          <cell r="J26">
            <v>3459.5288899782581</v>
          </cell>
          <cell r="K26">
            <v>3599.3285526646123</v>
          </cell>
          <cell r="L26">
            <v>3451.9736029666597</v>
          </cell>
          <cell r="M26">
            <v>3152.3433713850141</v>
          </cell>
          <cell r="N26">
            <v>2889.6526474958323</v>
          </cell>
          <cell r="O26">
            <v>2645.9405696572262</v>
          </cell>
          <cell r="P26">
            <v>2427.9572952098097</v>
          </cell>
          <cell r="Q26">
            <v>2439.03631966993</v>
          </cell>
          <cell r="R26">
            <v>2450.4477148638543</v>
          </cell>
        </row>
        <row r="27">
          <cell r="A27" t="str">
            <v>Mabthera ROW Gross Margin</v>
          </cell>
          <cell r="B27">
            <v>0.8</v>
          </cell>
          <cell r="C27">
            <v>0.8</v>
          </cell>
          <cell r="D27">
            <v>0.7</v>
          </cell>
          <cell r="E27">
            <v>0.7</v>
          </cell>
          <cell r="F27">
            <v>0.7</v>
          </cell>
          <cell r="G27">
            <v>0.7</v>
          </cell>
          <cell r="H27">
            <v>0.7</v>
          </cell>
          <cell r="I27">
            <v>0.7</v>
          </cell>
          <cell r="J27">
            <v>0.7</v>
          </cell>
          <cell r="K27">
            <v>0.7</v>
          </cell>
          <cell r="L27">
            <v>0.7</v>
          </cell>
          <cell r="M27">
            <v>0.7</v>
          </cell>
          <cell r="N27">
            <v>0.7</v>
          </cell>
          <cell r="O27">
            <v>0.7</v>
          </cell>
          <cell r="P27">
            <v>0.7</v>
          </cell>
          <cell r="Q27">
            <v>0.7</v>
          </cell>
          <cell r="R27">
            <v>0.7</v>
          </cell>
        </row>
        <row r="28">
          <cell r="A28" t="str">
            <v>Avastin US</v>
          </cell>
          <cell r="B28">
            <v>677</v>
          </cell>
          <cell r="C28">
            <v>1411</v>
          </cell>
          <cell r="D28">
            <v>2188</v>
          </cell>
          <cell r="E28">
            <v>2757</v>
          </cell>
          <cell r="F28">
            <v>2908</v>
          </cell>
          <cell r="G28">
            <v>3315</v>
          </cell>
          <cell r="H28">
            <v>3190</v>
          </cell>
          <cell r="I28">
            <v>2232.5818680941966</v>
          </cell>
          <cell r="J28">
            <v>2278.6388524623044</v>
          </cell>
          <cell r="K28">
            <v>2513.5957769379902</v>
          </cell>
          <cell r="L28">
            <v>2639.2755657848897</v>
          </cell>
          <cell r="M28">
            <v>2744.8465884162856</v>
          </cell>
          <cell r="N28">
            <v>2854.6404519529374</v>
          </cell>
          <cell r="O28">
            <v>2940.2796655115258</v>
          </cell>
          <cell r="P28">
            <v>3028.4880554768715</v>
          </cell>
          <cell r="Q28">
            <v>3119.3426971411777</v>
          </cell>
          <cell r="R28">
            <v>3212.9229780554133</v>
          </cell>
        </row>
        <row r="29">
          <cell r="A29" t="str">
            <v>Avastin US Gross Margin</v>
          </cell>
          <cell r="B29">
            <v>0.9</v>
          </cell>
          <cell r="C29">
            <v>0.9</v>
          </cell>
          <cell r="D29">
            <v>0.8</v>
          </cell>
          <cell r="E29">
            <v>0.85</v>
          </cell>
          <cell r="F29">
            <v>0.9</v>
          </cell>
          <cell r="G29">
            <v>0.9</v>
          </cell>
          <cell r="H29">
            <v>0.9</v>
          </cell>
          <cell r="I29">
            <v>0.95</v>
          </cell>
          <cell r="J29">
            <v>0.95</v>
          </cell>
          <cell r="K29">
            <v>0.95</v>
          </cell>
          <cell r="L29">
            <v>0.95</v>
          </cell>
          <cell r="M29">
            <v>0.95</v>
          </cell>
          <cell r="N29">
            <v>0.95</v>
          </cell>
          <cell r="O29">
            <v>0.95</v>
          </cell>
          <cell r="P29">
            <v>0.95</v>
          </cell>
          <cell r="Q29">
            <v>0.9</v>
          </cell>
          <cell r="R29">
            <v>0.85</v>
          </cell>
        </row>
        <row r="30">
          <cell r="A30" t="str">
            <v>Avastin ROW</v>
          </cell>
          <cell r="B30">
            <v>13</v>
          </cell>
          <cell r="C30">
            <v>254</v>
          </cell>
          <cell r="D30">
            <v>774</v>
          </cell>
          <cell r="E30">
            <v>1349</v>
          </cell>
          <cell r="F30">
            <v>2299</v>
          </cell>
          <cell r="G30">
            <v>2907</v>
          </cell>
          <cell r="H30">
            <v>3271</v>
          </cell>
          <cell r="I30">
            <v>3332.6741912025168</v>
          </cell>
          <cell r="J30">
            <v>3422.9865332718059</v>
          </cell>
          <cell r="K30">
            <v>3742.2518484775769</v>
          </cell>
          <cell r="L30">
            <v>3986.365453267867</v>
          </cell>
          <cell r="M30">
            <v>4159.8519418267642</v>
          </cell>
          <cell r="N30">
            <v>4241.4611926372017</v>
          </cell>
          <cell r="O30">
            <v>4325.9785251233316</v>
          </cell>
          <cell r="P30">
            <v>4410.9288219510627</v>
          </cell>
          <cell r="Q30">
            <v>4494.9520437988685</v>
          </cell>
          <cell r="R30">
            <v>4554.7567016715211</v>
          </cell>
        </row>
        <row r="31">
          <cell r="A31" t="str">
            <v>Avastin ROW Gross Margin</v>
          </cell>
          <cell r="B31">
            <v>0.8</v>
          </cell>
          <cell r="C31">
            <v>0.8</v>
          </cell>
          <cell r="D31">
            <v>0.8</v>
          </cell>
          <cell r="E31">
            <v>0.85</v>
          </cell>
          <cell r="F31">
            <v>0.87</v>
          </cell>
          <cell r="G31">
            <v>0.88</v>
          </cell>
          <cell r="H31">
            <v>0.89</v>
          </cell>
          <cell r="I31">
            <v>0.9</v>
          </cell>
          <cell r="J31">
            <v>0.9</v>
          </cell>
          <cell r="K31">
            <v>0.9</v>
          </cell>
          <cell r="L31">
            <v>0.9</v>
          </cell>
          <cell r="M31">
            <v>0.9</v>
          </cell>
          <cell r="N31">
            <v>0.9</v>
          </cell>
          <cell r="O31">
            <v>0.9</v>
          </cell>
          <cell r="P31">
            <v>0.9</v>
          </cell>
          <cell r="Q31">
            <v>0.9</v>
          </cell>
          <cell r="R31">
            <v>0.9</v>
          </cell>
        </row>
        <row r="32">
          <cell r="A32" t="str">
            <v>Herceptin US</v>
          </cell>
          <cell r="B32">
            <v>595</v>
          </cell>
          <cell r="C32">
            <v>931</v>
          </cell>
          <cell r="D32">
            <v>1547</v>
          </cell>
          <cell r="E32">
            <v>1545</v>
          </cell>
          <cell r="F32">
            <v>1496</v>
          </cell>
          <cell r="G32">
            <v>1566</v>
          </cell>
          <cell r="H32">
            <v>1591</v>
          </cell>
          <cell r="I32">
            <v>1258.0287551788019</v>
          </cell>
          <cell r="J32">
            <v>1227.2360980133315</v>
          </cell>
          <cell r="K32">
            <v>1287.4647960415114</v>
          </cell>
          <cell r="L32">
            <v>1300.3394440019265</v>
          </cell>
          <cell r="M32">
            <v>1235.32247180183</v>
          </cell>
          <cell r="N32">
            <v>1050.0241010315556</v>
          </cell>
          <cell r="O32">
            <v>840.01928082524455</v>
          </cell>
          <cell r="P32">
            <v>756.01735274272016</v>
          </cell>
          <cell r="Q32">
            <v>680.4156174684482</v>
          </cell>
          <cell r="R32">
            <v>598.7657433722344</v>
          </cell>
        </row>
        <row r="33">
          <cell r="A33" t="str">
            <v>Herceptin US Gross Margin</v>
          </cell>
          <cell r="B33">
            <v>0.9</v>
          </cell>
          <cell r="C33">
            <v>0.9</v>
          </cell>
          <cell r="D33">
            <v>0.85</v>
          </cell>
          <cell r="E33">
            <v>0.85</v>
          </cell>
          <cell r="F33">
            <v>0.9</v>
          </cell>
          <cell r="G33">
            <v>0.9</v>
          </cell>
          <cell r="H33">
            <v>0.9</v>
          </cell>
          <cell r="I33">
            <v>0.9</v>
          </cell>
          <cell r="J33">
            <v>0.9</v>
          </cell>
          <cell r="K33">
            <v>0.9</v>
          </cell>
          <cell r="L33">
            <v>0.9</v>
          </cell>
          <cell r="M33">
            <v>0.9</v>
          </cell>
          <cell r="N33">
            <v>0.9</v>
          </cell>
          <cell r="O33">
            <v>0.85</v>
          </cell>
          <cell r="P33">
            <v>0.85</v>
          </cell>
          <cell r="Q33">
            <v>0.8</v>
          </cell>
          <cell r="R33">
            <v>0.75</v>
          </cell>
        </row>
        <row r="34">
          <cell r="A34" t="str">
            <v>Herceptin ROW</v>
          </cell>
          <cell r="B34">
            <v>840</v>
          </cell>
          <cell r="C34">
            <v>1215</v>
          </cell>
          <cell r="D34">
            <v>2380</v>
          </cell>
          <cell r="E34">
            <v>3307</v>
          </cell>
          <cell r="F34">
            <v>3586</v>
          </cell>
          <cell r="G34">
            <v>3700</v>
          </cell>
          <cell r="H34">
            <v>3838</v>
          </cell>
          <cell r="I34">
            <v>3742.9506348125519</v>
          </cell>
          <cell r="J34">
            <v>4096.1756317557329</v>
          </cell>
          <cell r="K34">
            <v>4283.014050779575</v>
          </cell>
          <cell r="L34">
            <v>3775.9921433133504</v>
          </cell>
          <cell r="M34">
            <v>3391.2955070185531</v>
          </cell>
          <cell r="N34">
            <v>3207.9106864900164</v>
          </cell>
          <cell r="O34">
            <v>3365.2042488634611</v>
          </cell>
          <cell r="P34">
            <v>3572.569569685596</v>
          </cell>
          <cell r="Q34">
            <v>3693.0423936250108</v>
          </cell>
          <cell r="R34">
            <v>3819.3561743214132</v>
          </cell>
        </row>
        <row r="35">
          <cell r="A35" t="str">
            <v>Herceptin ROW Gross Margin</v>
          </cell>
          <cell r="B35">
            <v>0.8</v>
          </cell>
          <cell r="C35">
            <v>0.8</v>
          </cell>
          <cell r="D35">
            <v>0.85</v>
          </cell>
          <cell r="E35">
            <v>0.85</v>
          </cell>
          <cell r="F35">
            <v>0.9</v>
          </cell>
          <cell r="G35">
            <v>0.9</v>
          </cell>
          <cell r="H35">
            <v>0.9</v>
          </cell>
          <cell r="I35">
            <v>0.9</v>
          </cell>
          <cell r="J35">
            <v>0.9</v>
          </cell>
          <cell r="K35">
            <v>0.9</v>
          </cell>
          <cell r="L35">
            <v>0.9</v>
          </cell>
          <cell r="M35">
            <v>0.9</v>
          </cell>
          <cell r="N35">
            <v>0.9</v>
          </cell>
          <cell r="O35">
            <v>0.85</v>
          </cell>
          <cell r="P35">
            <v>0.85</v>
          </cell>
          <cell r="Q35">
            <v>0.85</v>
          </cell>
          <cell r="R35">
            <v>0.85</v>
          </cell>
        </row>
        <row r="36">
          <cell r="A36" t="str">
            <v>Tarceva US</v>
          </cell>
          <cell r="B36">
            <v>17</v>
          </cell>
          <cell r="C36">
            <v>342</v>
          </cell>
          <cell r="D36">
            <v>504</v>
          </cell>
          <cell r="E36">
            <v>500</v>
          </cell>
          <cell r="F36">
            <v>495</v>
          </cell>
          <cell r="G36">
            <v>521</v>
          </cell>
          <cell r="H36">
            <v>523</v>
          </cell>
          <cell r="I36">
            <v>451.63047864566033</v>
          </cell>
          <cell r="J36">
            <v>468.57953825111673</v>
          </cell>
          <cell r="K36">
            <v>510.27804722802091</v>
          </cell>
          <cell r="L36">
            <v>525.58638864486159</v>
          </cell>
          <cell r="M36">
            <v>541.35398030420743</v>
          </cell>
          <cell r="N36">
            <v>557.59459971333365</v>
          </cell>
          <cell r="O36">
            <v>574.3224377047336</v>
          </cell>
          <cell r="P36">
            <v>591.55211083587562</v>
          </cell>
          <cell r="Q36">
            <v>59.155211083587545</v>
          </cell>
          <cell r="R36">
            <v>60.929867416095178</v>
          </cell>
        </row>
        <row r="37">
          <cell r="A37" t="str">
            <v>Tarceva US Gross Margin</v>
          </cell>
          <cell r="B37">
            <v>0.8</v>
          </cell>
          <cell r="C37">
            <v>0.8</v>
          </cell>
          <cell r="D37">
            <v>0.5</v>
          </cell>
          <cell r="E37">
            <v>0.5</v>
          </cell>
          <cell r="F37">
            <v>0.5</v>
          </cell>
          <cell r="G37">
            <v>0.5</v>
          </cell>
          <cell r="H37">
            <v>0.5</v>
          </cell>
          <cell r="I37">
            <v>0.5</v>
          </cell>
          <cell r="J37">
            <v>0.5</v>
          </cell>
          <cell r="K37">
            <v>0.5</v>
          </cell>
          <cell r="L37">
            <v>0.5</v>
          </cell>
          <cell r="M37">
            <v>0.5</v>
          </cell>
          <cell r="N37">
            <v>0.5</v>
          </cell>
          <cell r="O37">
            <v>0.5</v>
          </cell>
          <cell r="P37">
            <v>0.5</v>
          </cell>
          <cell r="Q37">
            <v>0.3</v>
          </cell>
          <cell r="R37">
            <v>0.3</v>
          </cell>
        </row>
        <row r="38">
          <cell r="A38" t="str">
            <v>Tarceva ROW</v>
          </cell>
          <cell r="B38">
            <v>0</v>
          </cell>
          <cell r="C38">
            <v>45</v>
          </cell>
          <cell r="D38">
            <v>309</v>
          </cell>
          <cell r="E38">
            <v>562</v>
          </cell>
          <cell r="F38">
            <v>720</v>
          </cell>
          <cell r="G38">
            <v>783</v>
          </cell>
          <cell r="H38">
            <v>802</v>
          </cell>
          <cell r="I38">
            <v>751.32664021938365</v>
          </cell>
          <cell r="J38">
            <v>830.81444477129298</v>
          </cell>
          <cell r="K38">
            <v>890.5716026861362</v>
          </cell>
          <cell r="L38">
            <v>930.40458445364084</v>
          </cell>
          <cell r="M38">
            <v>977.90303362638474</v>
          </cell>
          <cell r="N38">
            <v>1020.3792753597625</v>
          </cell>
          <cell r="O38">
            <v>1075.7673378440606</v>
          </cell>
          <cell r="P38">
            <v>1124.661383645984</v>
          </cell>
          <cell r="Q38">
            <v>818.44998059178897</v>
          </cell>
          <cell r="R38">
            <v>693.0612576614003</v>
          </cell>
        </row>
        <row r="39">
          <cell r="A39" t="str">
            <v>Tarceva ROW Gross Margin</v>
          </cell>
          <cell r="B39">
            <v>0.8</v>
          </cell>
          <cell r="C39">
            <v>0.8</v>
          </cell>
          <cell r="D39">
            <v>0.5</v>
          </cell>
          <cell r="E39">
            <v>0.5</v>
          </cell>
          <cell r="F39">
            <v>0.5</v>
          </cell>
          <cell r="G39">
            <v>0.5</v>
          </cell>
          <cell r="H39">
            <v>0.5</v>
          </cell>
          <cell r="I39">
            <v>0.5</v>
          </cell>
          <cell r="J39">
            <v>0.5</v>
          </cell>
          <cell r="K39">
            <v>0.5</v>
          </cell>
          <cell r="L39">
            <v>0.5</v>
          </cell>
          <cell r="M39">
            <v>0.5</v>
          </cell>
          <cell r="N39">
            <v>0.5</v>
          </cell>
          <cell r="O39">
            <v>0.5</v>
          </cell>
          <cell r="P39">
            <v>0.5</v>
          </cell>
          <cell r="Q39">
            <v>0.3</v>
          </cell>
          <cell r="R39">
            <v>0.3</v>
          </cell>
        </row>
        <row r="40">
          <cell r="A40" t="str">
            <v>Lucentis US</v>
          </cell>
          <cell r="B40">
            <v>0</v>
          </cell>
          <cell r="C40">
            <v>0</v>
          </cell>
          <cell r="D40">
            <v>477</v>
          </cell>
          <cell r="E40">
            <v>991</v>
          </cell>
          <cell r="F40">
            <v>960</v>
          </cell>
          <cell r="G40">
            <v>1198</v>
          </cell>
          <cell r="H40">
            <v>1458</v>
          </cell>
          <cell r="I40">
            <v>1474.1487253916521</v>
          </cell>
          <cell r="J40">
            <v>1572.7686214767755</v>
          </cell>
          <cell r="K40">
            <v>1468.6459991268505</v>
          </cell>
          <cell r="L40">
            <v>1321.7813992141655</v>
          </cell>
          <cell r="M40">
            <v>1189.603259292749</v>
          </cell>
          <cell r="N40">
            <v>1070.6429333634742</v>
          </cell>
          <cell r="O40">
            <v>1070.6429333634742</v>
          </cell>
          <cell r="P40">
            <v>1070.6429333634742</v>
          </cell>
          <cell r="Q40">
            <v>1070.6429333634742</v>
          </cell>
          <cell r="R40">
            <v>1070.6429333634742</v>
          </cell>
        </row>
        <row r="41">
          <cell r="A41" t="str">
            <v>Lucentis US Gross Margin</v>
          </cell>
          <cell r="B41">
            <v>0.85</v>
          </cell>
          <cell r="C41">
            <v>0.85</v>
          </cell>
          <cell r="D41">
            <v>0.85</v>
          </cell>
          <cell r="E41">
            <v>0.85</v>
          </cell>
          <cell r="F41">
            <v>0.85</v>
          </cell>
          <cell r="G41">
            <v>0.85</v>
          </cell>
          <cell r="H41">
            <v>0.85</v>
          </cell>
          <cell r="I41">
            <v>0.85</v>
          </cell>
          <cell r="J41">
            <v>0.85</v>
          </cell>
          <cell r="K41">
            <v>0.8</v>
          </cell>
          <cell r="L41">
            <v>0.75</v>
          </cell>
          <cell r="M41">
            <v>0.75</v>
          </cell>
          <cell r="N41">
            <v>0.75</v>
          </cell>
          <cell r="O41">
            <v>0.75</v>
          </cell>
          <cell r="P41">
            <v>0.75</v>
          </cell>
          <cell r="Q41">
            <v>0.75</v>
          </cell>
          <cell r="R41">
            <v>0.75</v>
          </cell>
        </row>
        <row r="42">
          <cell r="A42" t="str">
            <v>Xolair US</v>
          </cell>
          <cell r="D42">
            <v>537</v>
          </cell>
          <cell r="E42">
            <v>567</v>
          </cell>
          <cell r="F42">
            <v>560</v>
          </cell>
          <cell r="G42">
            <v>620</v>
          </cell>
          <cell r="H42">
            <v>641</v>
          </cell>
          <cell r="I42">
            <v>567.43231151789917</v>
          </cell>
          <cell r="J42">
            <v>587.69673609326242</v>
          </cell>
          <cell r="K42">
            <v>640.68490128118719</v>
          </cell>
          <cell r="L42">
            <v>672.71914634524649</v>
          </cell>
          <cell r="M42">
            <v>686.17352927215143</v>
          </cell>
          <cell r="N42">
            <v>699.89699985759455</v>
          </cell>
          <cell r="O42">
            <v>713.89493985474633</v>
          </cell>
          <cell r="P42">
            <v>728.1728386518414</v>
          </cell>
          <cell r="Q42">
            <v>742.73629542487822</v>
          </cell>
          <cell r="R42">
            <v>757.59102133337581</v>
          </cell>
        </row>
        <row r="43">
          <cell r="A43" t="str">
            <v>Xolair US Gross Margin</v>
          </cell>
          <cell r="B43">
            <v>0.85</v>
          </cell>
          <cell r="C43">
            <v>0.85</v>
          </cell>
          <cell r="D43">
            <v>0.7</v>
          </cell>
          <cell r="E43">
            <v>0.7</v>
          </cell>
          <cell r="F43">
            <v>0.7</v>
          </cell>
          <cell r="G43">
            <v>0.7</v>
          </cell>
          <cell r="H43">
            <v>0.7</v>
          </cell>
          <cell r="I43">
            <v>0.7</v>
          </cell>
          <cell r="J43">
            <v>0.7</v>
          </cell>
          <cell r="K43">
            <v>0.7</v>
          </cell>
          <cell r="L43">
            <v>0.7</v>
          </cell>
          <cell r="M43">
            <v>0.7</v>
          </cell>
          <cell r="N43">
            <v>0.7</v>
          </cell>
          <cell r="O43">
            <v>0.7</v>
          </cell>
          <cell r="P43">
            <v>0.7</v>
          </cell>
          <cell r="Q43">
            <v>0.7</v>
          </cell>
          <cell r="R43">
            <v>0.7</v>
          </cell>
        </row>
        <row r="46">
          <cell r="A46" t="str">
            <v>Other key products</v>
          </cell>
        </row>
        <row r="47">
          <cell r="A47" t="str">
            <v>Xeloda US</v>
          </cell>
          <cell r="B47">
            <v>191</v>
          </cell>
          <cell r="C47">
            <v>313</v>
          </cell>
          <cell r="D47">
            <v>383</v>
          </cell>
          <cell r="E47">
            <v>435</v>
          </cell>
          <cell r="F47">
            <v>428</v>
          </cell>
          <cell r="G47">
            <v>473</v>
          </cell>
          <cell r="H47">
            <v>530</v>
          </cell>
          <cell r="I47">
            <v>374.22517377120005</v>
          </cell>
          <cell r="J47">
            <v>218.64448000780374</v>
          </cell>
          <cell r="K47">
            <v>206.73388576613351</v>
          </cell>
          <cell r="L47">
            <v>186.06049718952016</v>
          </cell>
          <cell r="M47">
            <v>167.45444747056814</v>
          </cell>
          <cell r="N47">
            <v>150.70900272351133</v>
          </cell>
          <cell r="O47">
            <v>135.63810245116019</v>
          </cell>
          <cell r="P47">
            <v>122.07429220604418</v>
          </cell>
          <cell r="Q47">
            <v>109.86686298543977</v>
          </cell>
          <cell r="R47">
            <v>98.880176686895794</v>
          </cell>
        </row>
        <row r="48">
          <cell r="A48" t="str">
            <v>Xeloda US Gross Margin</v>
          </cell>
          <cell r="B48">
            <v>0.85</v>
          </cell>
          <cell r="C48">
            <v>0.85</v>
          </cell>
          <cell r="D48">
            <v>0.85</v>
          </cell>
          <cell r="E48">
            <v>0.85</v>
          </cell>
          <cell r="F48">
            <v>0.85</v>
          </cell>
          <cell r="G48">
            <v>0.85</v>
          </cell>
          <cell r="H48">
            <v>0.85</v>
          </cell>
          <cell r="I48">
            <v>0.65</v>
          </cell>
          <cell r="J48">
            <v>0.5</v>
          </cell>
          <cell r="K48">
            <v>0.5</v>
          </cell>
          <cell r="L48">
            <v>0.5</v>
          </cell>
          <cell r="M48">
            <v>0.5</v>
          </cell>
          <cell r="N48">
            <v>0.5</v>
          </cell>
          <cell r="O48">
            <v>0.5</v>
          </cell>
          <cell r="P48">
            <v>0.5</v>
          </cell>
          <cell r="Q48">
            <v>0.5</v>
          </cell>
          <cell r="R48">
            <v>0.5</v>
          </cell>
        </row>
        <row r="49">
          <cell r="A49" t="str">
            <v>Xeloda ROW</v>
          </cell>
          <cell r="B49">
            <v>343</v>
          </cell>
          <cell r="C49">
            <v>483</v>
          </cell>
          <cell r="D49">
            <v>588</v>
          </cell>
          <cell r="E49">
            <v>716</v>
          </cell>
          <cell r="F49">
            <v>783</v>
          </cell>
          <cell r="G49">
            <v>787</v>
          </cell>
          <cell r="H49">
            <v>896</v>
          </cell>
          <cell r="I49">
            <v>851.05805804616682</v>
          </cell>
          <cell r="J49">
            <v>942.70088827164841</v>
          </cell>
          <cell r="K49">
            <v>703.53068295062496</v>
          </cell>
          <cell r="L49">
            <v>492.47147806543745</v>
          </cell>
          <cell r="M49">
            <v>344.7300346458062</v>
          </cell>
          <cell r="N49">
            <v>241.31102425206433</v>
          </cell>
          <cell r="O49">
            <v>168.91771697644501</v>
          </cell>
          <cell r="P49">
            <v>118.24240188351149</v>
          </cell>
          <cell r="Q49">
            <v>82.769681318458041</v>
          </cell>
          <cell r="R49">
            <v>57.938776922920624</v>
          </cell>
        </row>
        <row r="50">
          <cell r="A50" t="str">
            <v>Xeloda ROW Gross Margin</v>
          </cell>
          <cell r="B50">
            <v>0.85</v>
          </cell>
          <cell r="C50">
            <v>0.85</v>
          </cell>
          <cell r="D50">
            <v>0.85</v>
          </cell>
          <cell r="E50">
            <v>0.85</v>
          </cell>
          <cell r="F50">
            <v>0.9</v>
          </cell>
          <cell r="G50">
            <v>0.9</v>
          </cell>
          <cell r="H50">
            <v>0.9</v>
          </cell>
          <cell r="I50">
            <v>0.9</v>
          </cell>
          <cell r="J50">
            <v>0.9</v>
          </cell>
          <cell r="K50">
            <v>0.9</v>
          </cell>
          <cell r="L50">
            <v>0.65</v>
          </cell>
          <cell r="M50">
            <v>0.65</v>
          </cell>
          <cell r="N50">
            <v>0.5</v>
          </cell>
          <cell r="O50">
            <v>0.5</v>
          </cell>
          <cell r="P50">
            <v>0.5</v>
          </cell>
          <cell r="Q50">
            <v>0.5</v>
          </cell>
          <cell r="R50">
            <v>0.5</v>
          </cell>
        </row>
        <row r="51">
          <cell r="A51" t="str">
            <v>Pegasys US</v>
          </cell>
          <cell r="B51">
            <v>458</v>
          </cell>
          <cell r="C51">
            <v>494</v>
          </cell>
          <cell r="D51">
            <v>447</v>
          </cell>
          <cell r="E51">
            <v>397</v>
          </cell>
          <cell r="F51">
            <v>395</v>
          </cell>
          <cell r="G51">
            <v>404</v>
          </cell>
          <cell r="H51">
            <v>389</v>
          </cell>
          <cell r="I51">
            <v>334.60848776920506</v>
          </cell>
          <cell r="J51">
            <v>418.32763445289891</v>
          </cell>
          <cell r="K51">
            <v>351.59054101877888</v>
          </cell>
          <cell r="L51">
            <v>298.85195986596204</v>
          </cell>
          <cell r="M51">
            <v>268.96676387936583</v>
          </cell>
          <cell r="N51">
            <v>268.96676387936583</v>
          </cell>
          <cell r="O51">
            <v>268.96676387936583</v>
          </cell>
          <cell r="P51">
            <v>268.96676387936583</v>
          </cell>
          <cell r="Q51">
            <v>268.96676387936583</v>
          </cell>
          <cell r="R51">
            <v>268.96676387936583</v>
          </cell>
        </row>
        <row r="52">
          <cell r="A52" t="str">
            <v>Pegasys US Gross Margin</v>
          </cell>
          <cell r="B52">
            <v>0.85</v>
          </cell>
          <cell r="C52">
            <v>0.85</v>
          </cell>
          <cell r="D52">
            <v>0.85</v>
          </cell>
          <cell r="E52">
            <v>0.85</v>
          </cell>
          <cell r="F52">
            <v>0.85</v>
          </cell>
          <cell r="G52">
            <v>0.85</v>
          </cell>
          <cell r="H52">
            <v>0.85</v>
          </cell>
          <cell r="I52">
            <v>0.85</v>
          </cell>
          <cell r="J52">
            <v>0.85</v>
          </cell>
          <cell r="K52">
            <v>0.65</v>
          </cell>
          <cell r="L52">
            <v>0.65</v>
          </cell>
          <cell r="M52">
            <v>0.65</v>
          </cell>
          <cell r="N52">
            <v>0.65</v>
          </cell>
          <cell r="O52">
            <v>0.85</v>
          </cell>
          <cell r="P52">
            <v>0.85</v>
          </cell>
          <cell r="Q52">
            <v>0.85</v>
          </cell>
          <cell r="R52">
            <v>0.85</v>
          </cell>
        </row>
        <row r="53">
          <cell r="A53" t="str">
            <v>Pegasys ROW</v>
          </cell>
          <cell r="B53">
            <v>721</v>
          </cell>
          <cell r="C53">
            <v>909</v>
          </cell>
          <cell r="D53">
            <v>1020</v>
          </cell>
          <cell r="E53">
            <v>1240</v>
          </cell>
          <cell r="F53">
            <v>1240</v>
          </cell>
          <cell r="G53">
            <v>1251</v>
          </cell>
          <cell r="H53">
            <v>1256</v>
          </cell>
          <cell r="I53">
            <v>1218.9069842499543</v>
          </cell>
          <cell r="J53">
            <v>1542.7570690347447</v>
          </cell>
          <cell r="K53">
            <v>1315.8264701025798</v>
          </cell>
          <cell r="L53">
            <v>1184.2438230923219</v>
          </cell>
          <cell r="M53">
            <v>1065.8194407830897</v>
          </cell>
          <cell r="N53">
            <v>1065.8194407830897</v>
          </cell>
          <cell r="O53">
            <v>1065.8194407830897</v>
          </cell>
          <cell r="P53">
            <v>1065.8194407830897</v>
          </cell>
          <cell r="Q53">
            <v>1065.8194407830897</v>
          </cell>
          <cell r="R53">
            <v>1065.8194407830897</v>
          </cell>
        </row>
        <row r="54">
          <cell r="A54" t="str">
            <v>Pegasys ROW Gross Margin</v>
          </cell>
          <cell r="B54">
            <v>0.85</v>
          </cell>
          <cell r="C54">
            <v>0.85</v>
          </cell>
          <cell r="D54">
            <v>0.85</v>
          </cell>
          <cell r="E54">
            <v>0.85</v>
          </cell>
          <cell r="F54">
            <v>0.85</v>
          </cell>
          <cell r="G54">
            <v>0.85</v>
          </cell>
          <cell r="H54">
            <v>0.85</v>
          </cell>
          <cell r="I54">
            <v>0.85</v>
          </cell>
          <cell r="J54">
            <v>0.85</v>
          </cell>
          <cell r="K54">
            <v>0.8</v>
          </cell>
          <cell r="L54">
            <v>0.85</v>
          </cell>
          <cell r="M54">
            <v>0.85</v>
          </cell>
          <cell r="N54">
            <v>0.85</v>
          </cell>
          <cell r="O54">
            <v>0.85</v>
          </cell>
          <cell r="P54">
            <v>0.85</v>
          </cell>
          <cell r="Q54">
            <v>0.85</v>
          </cell>
          <cell r="R54">
            <v>0.85</v>
          </cell>
        </row>
        <row r="55">
          <cell r="A55" t="str">
            <v>Cellcept US</v>
          </cell>
          <cell r="B55">
            <v>638</v>
          </cell>
          <cell r="C55">
            <v>821</v>
          </cell>
          <cell r="D55">
            <v>941</v>
          </cell>
          <cell r="E55">
            <v>989</v>
          </cell>
          <cell r="F55">
            <v>1026</v>
          </cell>
          <cell r="G55">
            <v>549</v>
          </cell>
          <cell r="H55">
            <v>275</v>
          </cell>
          <cell r="I55">
            <v>184.60566957094622</v>
          </cell>
          <cell r="J55">
            <v>144.88751019713317</v>
          </cell>
          <cell r="K55">
            <v>121.77316032132595</v>
          </cell>
          <cell r="L55">
            <v>109.59584428919335</v>
          </cell>
          <cell r="M55">
            <v>98.636259860274023</v>
          </cell>
          <cell r="N55">
            <v>88.772633874246623</v>
          </cell>
          <cell r="O55">
            <v>79.89537048682196</v>
          </cell>
          <cell r="P55">
            <v>71.905833438139766</v>
          </cell>
          <cell r="Q55">
            <v>64.715250094325796</v>
          </cell>
          <cell r="R55">
            <v>58.243725084893221</v>
          </cell>
        </row>
        <row r="56">
          <cell r="A56" t="str">
            <v>Cellcept US Gross Margin</v>
          </cell>
          <cell r="B56">
            <v>0.8</v>
          </cell>
          <cell r="C56">
            <v>0.8</v>
          </cell>
          <cell r="D56">
            <v>0.8</v>
          </cell>
          <cell r="E56">
            <v>0.8</v>
          </cell>
          <cell r="F56">
            <v>0.8</v>
          </cell>
          <cell r="G56">
            <v>0.7</v>
          </cell>
          <cell r="H56">
            <v>0.7</v>
          </cell>
          <cell r="I56">
            <v>0.65</v>
          </cell>
          <cell r="J56">
            <v>0.65</v>
          </cell>
          <cell r="K56">
            <v>0.65</v>
          </cell>
          <cell r="L56">
            <v>0.65</v>
          </cell>
          <cell r="M56">
            <v>0.65</v>
          </cell>
          <cell r="N56">
            <v>0.65</v>
          </cell>
          <cell r="O56">
            <v>0.85</v>
          </cell>
          <cell r="P56">
            <v>0.85</v>
          </cell>
          <cell r="Q56">
            <v>0.85</v>
          </cell>
          <cell r="R56">
            <v>0.85</v>
          </cell>
        </row>
        <row r="57">
          <cell r="A57" t="str">
            <v>Cellcept ROW</v>
          </cell>
          <cell r="B57">
            <v>765</v>
          </cell>
          <cell r="C57">
            <v>884</v>
          </cell>
          <cell r="D57">
            <v>901</v>
          </cell>
          <cell r="E57">
            <v>1023</v>
          </cell>
          <cell r="F57">
            <v>1073</v>
          </cell>
          <cell r="G57">
            <v>1027</v>
          </cell>
          <cell r="H57">
            <v>1015</v>
          </cell>
          <cell r="I57">
            <v>753.62770484971929</v>
          </cell>
          <cell r="J57">
            <v>620.88382360970479</v>
          </cell>
          <cell r="K57">
            <v>529.55542149957989</v>
          </cell>
          <cell r="L57">
            <v>423.64433719966394</v>
          </cell>
          <cell r="M57">
            <v>338.9154697597312</v>
          </cell>
          <cell r="N57">
            <v>271.13237580778497</v>
          </cell>
          <cell r="O57">
            <v>216.90590064622799</v>
          </cell>
          <cell r="P57">
            <v>173.5247205169824</v>
          </cell>
          <cell r="Q57">
            <v>138.81977641358591</v>
          </cell>
          <cell r="R57">
            <v>111.05582113086874</v>
          </cell>
        </row>
        <row r="58">
          <cell r="A58" t="str">
            <v>Cellcept ROW Gross Margin</v>
          </cell>
          <cell r="B58">
            <v>0.78</v>
          </cell>
          <cell r="C58">
            <v>0.78</v>
          </cell>
          <cell r="D58">
            <v>0.78</v>
          </cell>
          <cell r="E58">
            <v>0.78</v>
          </cell>
          <cell r="F58">
            <v>0.78</v>
          </cell>
          <cell r="G58">
            <v>0.8</v>
          </cell>
          <cell r="H58">
            <v>0.8</v>
          </cell>
          <cell r="I58">
            <v>0.7</v>
          </cell>
          <cell r="J58">
            <v>0.7</v>
          </cell>
          <cell r="K58">
            <v>0.65</v>
          </cell>
          <cell r="L58">
            <v>0.65</v>
          </cell>
          <cell r="M58">
            <v>0.65</v>
          </cell>
          <cell r="N58">
            <v>0.65</v>
          </cell>
          <cell r="O58">
            <v>0.8</v>
          </cell>
          <cell r="P58">
            <v>0.8</v>
          </cell>
          <cell r="Q58">
            <v>0.8</v>
          </cell>
          <cell r="R58">
            <v>0.8</v>
          </cell>
        </row>
        <row r="59">
          <cell r="A59" t="str">
            <v>Mircera US</v>
          </cell>
          <cell r="B59">
            <v>0</v>
          </cell>
          <cell r="C59">
            <v>0</v>
          </cell>
          <cell r="D59">
            <v>0</v>
          </cell>
          <cell r="E59">
            <v>0</v>
          </cell>
          <cell r="F59">
            <v>0</v>
          </cell>
          <cell r="G59">
            <v>0</v>
          </cell>
          <cell r="H59">
            <v>0</v>
          </cell>
          <cell r="I59">
            <v>0</v>
          </cell>
          <cell r="J59">
            <v>0</v>
          </cell>
          <cell r="K59">
            <v>0</v>
          </cell>
          <cell r="L59">
            <v>80</v>
          </cell>
          <cell r="M59">
            <v>200</v>
          </cell>
          <cell r="N59">
            <v>350</v>
          </cell>
          <cell r="O59">
            <v>420</v>
          </cell>
          <cell r="P59">
            <v>441</v>
          </cell>
          <cell r="Q59">
            <v>454.23</v>
          </cell>
          <cell r="R59">
            <v>467.85690000000005</v>
          </cell>
        </row>
        <row r="60">
          <cell r="A60" t="str">
            <v>Mircera US Gross Margin</v>
          </cell>
          <cell r="B60">
            <v>0.85</v>
          </cell>
          <cell r="C60">
            <v>0.85</v>
          </cell>
          <cell r="D60">
            <v>0.85</v>
          </cell>
          <cell r="E60">
            <v>0.85</v>
          </cell>
          <cell r="F60">
            <v>0.85</v>
          </cell>
          <cell r="G60">
            <v>0.85</v>
          </cell>
          <cell r="H60">
            <v>0.85</v>
          </cell>
          <cell r="I60">
            <v>0.85</v>
          </cell>
          <cell r="J60">
            <v>0.85</v>
          </cell>
          <cell r="K60">
            <v>0.85</v>
          </cell>
          <cell r="L60">
            <v>0.85</v>
          </cell>
          <cell r="M60">
            <v>0.85</v>
          </cell>
          <cell r="N60">
            <v>0.85</v>
          </cell>
          <cell r="O60">
            <v>0.85</v>
          </cell>
          <cell r="P60">
            <v>0.85</v>
          </cell>
          <cell r="Q60">
            <v>0.85</v>
          </cell>
          <cell r="R60">
            <v>0.85</v>
          </cell>
        </row>
        <row r="61">
          <cell r="A61" t="str">
            <v>Mircera ROW</v>
          </cell>
          <cell r="B61">
            <v>0</v>
          </cell>
          <cell r="C61">
            <v>0</v>
          </cell>
          <cell r="D61">
            <v>0</v>
          </cell>
          <cell r="E61">
            <v>0</v>
          </cell>
          <cell r="F61">
            <v>55</v>
          </cell>
          <cell r="G61">
            <v>168</v>
          </cell>
          <cell r="H61">
            <v>244</v>
          </cell>
          <cell r="I61">
            <v>265.32486812497689</v>
          </cell>
          <cell r="J61">
            <v>317.69625073601617</v>
          </cell>
          <cell r="K61">
            <v>355.64153439105939</v>
          </cell>
          <cell r="L61">
            <v>366.3107804227912</v>
          </cell>
          <cell r="M61">
            <v>377.30010383547494</v>
          </cell>
          <cell r="N61">
            <v>388.61910695053922</v>
          </cell>
          <cell r="O61">
            <v>400.27768015905542</v>
          </cell>
          <cell r="P61">
            <v>412.28601056382712</v>
          </cell>
          <cell r="Q61">
            <v>424.65459088074192</v>
          </cell>
          <cell r="R61">
            <v>437.39422860716417</v>
          </cell>
        </row>
        <row r="62">
          <cell r="A62" t="str">
            <v>Mircera ROW Gross Margin</v>
          </cell>
          <cell r="B62">
            <v>0.85</v>
          </cell>
          <cell r="C62">
            <v>0.85</v>
          </cell>
          <cell r="D62">
            <v>0.85</v>
          </cell>
          <cell r="E62">
            <v>0.85</v>
          </cell>
          <cell r="F62">
            <v>0.85</v>
          </cell>
          <cell r="G62">
            <v>0.85</v>
          </cell>
          <cell r="H62">
            <v>0.85</v>
          </cell>
          <cell r="I62">
            <v>0.85</v>
          </cell>
          <cell r="J62">
            <v>0.85</v>
          </cell>
          <cell r="K62">
            <v>0.85</v>
          </cell>
          <cell r="L62">
            <v>0.85</v>
          </cell>
          <cell r="M62">
            <v>0.85</v>
          </cell>
          <cell r="N62">
            <v>0.85</v>
          </cell>
          <cell r="O62">
            <v>0.85</v>
          </cell>
          <cell r="P62">
            <v>0.85</v>
          </cell>
          <cell r="Q62">
            <v>0.85</v>
          </cell>
          <cell r="R62">
            <v>0.85</v>
          </cell>
        </row>
        <row r="63">
          <cell r="A63" t="str">
            <v>NeoRecormon ROW</v>
          </cell>
          <cell r="B63">
            <v>2082</v>
          </cell>
          <cell r="C63">
            <v>2252</v>
          </cell>
          <cell r="D63">
            <v>2227</v>
          </cell>
          <cell r="E63">
            <v>2094</v>
          </cell>
          <cell r="F63">
            <v>1774</v>
          </cell>
          <cell r="G63">
            <v>1560</v>
          </cell>
          <cell r="H63">
            <v>1285</v>
          </cell>
          <cell r="I63">
            <v>959.04347013376275</v>
          </cell>
          <cell r="J63">
            <v>900.08696897485424</v>
          </cell>
          <cell r="K63">
            <v>863.65058265563175</v>
          </cell>
          <cell r="L63">
            <v>777.28552439006864</v>
          </cell>
          <cell r="M63">
            <v>699.55697195106177</v>
          </cell>
          <cell r="N63">
            <v>629.60127475595561</v>
          </cell>
          <cell r="O63">
            <v>566.64114728036009</v>
          </cell>
          <cell r="P63">
            <v>509.97703255232409</v>
          </cell>
          <cell r="Q63">
            <v>458.97932929709168</v>
          </cell>
          <cell r="R63">
            <v>413.08139636738252</v>
          </cell>
        </row>
        <row r="64">
          <cell r="A64" t="str">
            <v>NeoRecormon ROW Gross Margin</v>
          </cell>
          <cell r="B64">
            <v>0.78</v>
          </cell>
          <cell r="C64">
            <v>0.78</v>
          </cell>
          <cell r="D64">
            <v>0.78</v>
          </cell>
          <cell r="E64">
            <v>0.78</v>
          </cell>
          <cell r="F64">
            <v>0.78</v>
          </cell>
          <cell r="G64">
            <v>0.75</v>
          </cell>
          <cell r="H64">
            <v>0.78</v>
          </cell>
          <cell r="I64">
            <v>0.78</v>
          </cell>
          <cell r="J64">
            <v>0.78</v>
          </cell>
          <cell r="K64">
            <v>0.7</v>
          </cell>
          <cell r="L64">
            <v>0.7</v>
          </cell>
          <cell r="M64">
            <v>0.7</v>
          </cell>
          <cell r="N64">
            <v>0.7</v>
          </cell>
          <cell r="O64">
            <v>0.78</v>
          </cell>
          <cell r="P64">
            <v>0.78</v>
          </cell>
          <cell r="Q64">
            <v>0.78</v>
          </cell>
          <cell r="R64">
            <v>0.78</v>
          </cell>
        </row>
        <row r="65">
          <cell r="A65" t="str">
            <v>Tamiflu</v>
          </cell>
          <cell r="B65">
            <v>330</v>
          </cell>
          <cell r="C65">
            <v>1558</v>
          </cell>
          <cell r="D65">
            <v>2627</v>
          </cell>
          <cell r="E65">
            <v>2085</v>
          </cell>
          <cell r="F65">
            <v>609</v>
          </cell>
          <cell r="G65">
            <v>3200</v>
          </cell>
          <cell r="H65">
            <v>873</v>
          </cell>
          <cell r="I65">
            <v>332.00074302463236</v>
          </cell>
          <cell r="J65">
            <v>267.31755256441937</v>
          </cell>
          <cell r="K65">
            <v>252.35817629315409</v>
          </cell>
          <cell r="L65">
            <v>239.74026747849638</v>
          </cell>
          <cell r="M65">
            <v>227.75325410457154</v>
          </cell>
          <cell r="N65">
            <v>223.19818902248011</v>
          </cell>
          <cell r="O65">
            <v>218.7342252420305</v>
          </cell>
          <cell r="P65">
            <v>214.35954073718989</v>
          </cell>
          <cell r="Q65">
            <v>210.07234992244608</v>
          </cell>
          <cell r="R65">
            <v>205.87090292399716</v>
          </cell>
        </row>
        <row r="66">
          <cell r="A66" t="str">
            <v>Tamifu Gross Margin</v>
          </cell>
          <cell r="B66">
            <v>0.7</v>
          </cell>
          <cell r="C66">
            <v>0.7</v>
          </cell>
          <cell r="D66">
            <v>0.7</v>
          </cell>
          <cell r="E66">
            <v>0.7</v>
          </cell>
          <cell r="F66">
            <v>0.75</v>
          </cell>
          <cell r="G66">
            <v>0.65</v>
          </cell>
          <cell r="H66">
            <v>0.65</v>
          </cell>
          <cell r="I66">
            <v>0.65</v>
          </cell>
          <cell r="J66">
            <v>0.65</v>
          </cell>
          <cell r="K66">
            <v>0.65</v>
          </cell>
          <cell r="L66">
            <v>0.65</v>
          </cell>
          <cell r="M66">
            <v>0.65</v>
          </cell>
          <cell r="N66">
            <v>0.65</v>
          </cell>
          <cell r="O66">
            <v>0.65</v>
          </cell>
          <cell r="P66">
            <v>0.65</v>
          </cell>
          <cell r="Q66">
            <v>0.65</v>
          </cell>
          <cell r="R66">
            <v>0.65</v>
          </cell>
        </row>
        <row r="68">
          <cell r="A68" t="str">
            <v>Other disclosed products</v>
          </cell>
          <cell r="B68">
            <v>5979</v>
          </cell>
          <cell r="C68">
            <v>5948</v>
          </cell>
          <cell r="D68">
            <v>5274</v>
          </cell>
          <cell r="E68">
            <v>5518</v>
          </cell>
          <cell r="F68">
            <v>5071</v>
          </cell>
          <cell r="G68">
            <v>4847</v>
          </cell>
          <cell r="H68">
            <v>5056</v>
          </cell>
          <cell r="I68">
            <v>4599.5531282643742</v>
          </cell>
          <cell r="J68">
            <v>4706.3329554755028</v>
          </cell>
          <cell r="K68">
            <v>4552.1103547203993</v>
          </cell>
          <cell r="L68">
            <v>4249.3199506375067</v>
          </cell>
          <cell r="M68">
            <v>3866.9748098798618</v>
          </cell>
          <cell r="N68">
            <v>3625.0527752327716</v>
          </cell>
          <cell r="O68">
            <v>3425.2888760800201</v>
          </cell>
          <cell r="P68">
            <v>3260.5879323841132</v>
          </cell>
          <cell r="Q68">
            <v>3100.1230701553764</v>
          </cell>
          <cell r="R68">
            <v>2969.282690711786</v>
          </cell>
        </row>
        <row r="69">
          <cell r="A69" t="str">
            <v>Other Disclosed Products Gross Margin</v>
          </cell>
          <cell r="B69">
            <v>0.65</v>
          </cell>
          <cell r="C69">
            <v>0.65</v>
          </cell>
          <cell r="D69">
            <v>0.65</v>
          </cell>
          <cell r="E69">
            <v>0.65</v>
          </cell>
          <cell r="F69">
            <v>0.65</v>
          </cell>
          <cell r="G69">
            <v>0.65</v>
          </cell>
          <cell r="H69">
            <v>0.65</v>
          </cell>
          <cell r="I69">
            <v>0.65</v>
          </cell>
          <cell r="J69">
            <v>0.65</v>
          </cell>
          <cell r="K69">
            <v>0.63</v>
          </cell>
          <cell r="L69">
            <v>0.63</v>
          </cell>
          <cell r="M69">
            <v>0.63</v>
          </cell>
          <cell r="N69">
            <v>0.63</v>
          </cell>
          <cell r="O69">
            <v>0.63</v>
          </cell>
          <cell r="P69">
            <v>0.63</v>
          </cell>
          <cell r="Q69">
            <v>0.63</v>
          </cell>
          <cell r="R69">
            <v>0.63</v>
          </cell>
        </row>
        <row r="70">
          <cell r="A70" t="str">
            <v>Other Pharma</v>
          </cell>
          <cell r="B70">
            <v>4669</v>
          </cell>
          <cell r="C70">
            <v>5254</v>
          </cell>
          <cell r="D70">
            <v>5331</v>
          </cell>
          <cell r="E70">
            <v>5192</v>
          </cell>
          <cell r="F70">
            <v>4560</v>
          </cell>
          <cell r="G70">
            <v>3888</v>
          </cell>
          <cell r="H70">
            <v>3569</v>
          </cell>
          <cell r="I70">
            <v>2903.6835159961388</v>
          </cell>
          <cell r="J70">
            <v>2855.7279775527654</v>
          </cell>
          <cell r="K70">
            <v>2935.5555740157729</v>
          </cell>
          <cell r="L70">
            <v>2935.5555740157729</v>
          </cell>
          <cell r="M70">
            <v>2935.5555740157729</v>
          </cell>
          <cell r="N70">
            <v>2935.5555740157729</v>
          </cell>
          <cell r="O70">
            <v>2935.5555740157729</v>
          </cell>
          <cell r="P70">
            <v>2935.5555740157729</v>
          </cell>
          <cell r="Q70">
            <v>2935.5555740157729</v>
          </cell>
          <cell r="R70">
            <v>2935.5555740157729</v>
          </cell>
        </row>
        <row r="71">
          <cell r="A71" t="str">
            <v>Other Pharma Gross Margin</v>
          </cell>
          <cell r="B71">
            <v>0.65</v>
          </cell>
          <cell r="C71">
            <v>0.65</v>
          </cell>
          <cell r="D71">
            <v>0.65</v>
          </cell>
          <cell r="E71">
            <v>0.65</v>
          </cell>
          <cell r="F71">
            <v>0.65</v>
          </cell>
          <cell r="G71">
            <v>0.65</v>
          </cell>
          <cell r="H71">
            <v>0.65</v>
          </cell>
          <cell r="I71">
            <v>0.65</v>
          </cell>
          <cell r="J71">
            <v>0.65</v>
          </cell>
          <cell r="K71">
            <v>0.65</v>
          </cell>
          <cell r="L71">
            <v>0.65</v>
          </cell>
          <cell r="M71">
            <v>0.65</v>
          </cell>
          <cell r="N71">
            <v>0.65</v>
          </cell>
          <cell r="O71">
            <v>0.65</v>
          </cell>
          <cell r="P71">
            <v>0.65</v>
          </cell>
          <cell r="Q71">
            <v>0.65</v>
          </cell>
          <cell r="R71">
            <v>0.65</v>
          </cell>
        </row>
        <row r="72">
          <cell r="A72" t="str">
            <v>TDM1 (Pipeline)</v>
          </cell>
          <cell r="H72">
            <v>0</v>
          </cell>
          <cell r="I72">
            <v>0</v>
          </cell>
          <cell r="J72">
            <v>125</v>
          </cell>
          <cell r="K72">
            <v>500</v>
          </cell>
          <cell r="L72">
            <v>1000</v>
          </cell>
          <cell r="M72">
            <v>1030</v>
          </cell>
          <cell r="N72">
            <v>1060.9000000000001</v>
          </cell>
          <cell r="O72">
            <v>1092.7270000000001</v>
          </cell>
          <cell r="P72">
            <v>1125.50881</v>
          </cell>
          <cell r="Q72">
            <v>1159.2740743000002</v>
          </cell>
          <cell r="R72">
            <v>0</v>
          </cell>
        </row>
        <row r="73">
          <cell r="A73" t="str">
            <v>TDM1 Gross Margin</v>
          </cell>
          <cell r="H73">
            <v>0.9</v>
          </cell>
          <cell r="I73">
            <v>0.9</v>
          </cell>
          <cell r="J73">
            <v>0.9</v>
          </cell>
          <cell r="K73">
            <v>0.9</v>
          </cell>
          <cell r="L73">
            <v>0.9</v>
          </cell>
          <cell r="M73">
            <v>0.9</v>
          </cell>
          <cell r="N73">
            <v>0.9</v>
          </cell>
          <cell r="O73">
            <v>0.9</v>
          </cell>
          <cell r="P73">
            <v>0.9</v>
          </cell>
          <cell r="Q73">
            <v>0.9</v>
          </cell>
          <cell r="R73">
            <v>0.9</v>
          </cell>
        </row>
        <row r="74">
          <cell r="A74" t="str">
            <v>Pipeline (ex-TDM1)</v>
          </cell>
          <cell r="F74">
            <v>0</v>
          </cell>
          <cell r="G74">
            <v>0</v>
          </cell>
          <cell r="H74">
            <v>0</v>
          </cell>
          <cell r="I74">
            <v>30</v>
          </cell>
          <cell r="J74">
            <v>210</v>
          </cell>
          <cell r="K74">
            <v>690</v>
          </cell>
          <cell r="L74">
            <v>1710</v>
          </cell>
          <cell r="M74">
            <v>3572.5</v>
          </cell>
          <cell r="N74">
            <v>4981.9364914721882</v>
          </cell>
          <cell r="O74">
            <v>6289.7642286804712</v>
          </cell>
          <cell r="P74">
            <v>8396.2028845692257</v>
          </cell>
          <cell r="Q74">
            <v>9626.0645839496974</v>
          </cell>
          <cell r="R74">
            <v>11407.294456771886</v>
          </cell>
        </row>
        <row r="75">
          <cell r="A75" t="str">
            <v>Pipeline Gross Margin</v>
          </cell>
          <cell r="F75">
            <v>0.75</v>
          </cell>
          <cell r="G75">
            <v>0.75</v>
          </cell>
          <cell r="H75">
            <v>0.75</v>
          </cell>
          <cell r="I75">
            <v>0.76</v>
          </cell>
          <cell r="J75">
            <v>0.76</v>
          </cell>
          <cell r="K75">
            <v>0.77</v>
          </cell>
          <cell r="L75">
            <v>0.8</v>
          </cell>
          <cell r="M75">
            <v>0.8</v>
          </cell>
          <cell r="N75">
            <v>0.8</v>
          </cell>
          <cell r="O75">
            <v>0.8</v>
          </cell>
          <cell r="P75">
            <v>0.8</v>
          </cell>
          <cell r="Q75">
            <v>0.8</v>
          </cell>
          <cell r="R75">
            <v>0.8</v>
          </cell>
        </row>
        <row r="77">
          <cell r="A77" t="str">
            <v>Royalties</v>
          </cell>
          <cell r="B77">
            <v>1298</v>
          </cell>
          <cell r="C77">
            <v>1176</v>
          </cell>
          <cell r="D77">
            <v>1209</v>
          </cell>
          <cell r="E77">
            <v>2057</v>
          </cell>
          <cell r="F77">
            <v>2148</v>
          </cell>
          <cell r="G77">
            <v>1948</v>
          </cell>
          <cell r="H77">
            <v>1694</v>
          </cell>
          <cell r="I77">
            <v>2011.7171030393199</v>
          </cell>
          <cell r="J77">
            <v>2123.8542217902032</v>
          </cell>
          <cell r="K77">
            <v>1913.5098295883308</v>
          </cell>
          <cell r="L77">
            <v>1857.9381597554511</v>
          </cell>
          <cell r="M77">
            <v>1861.6170573357294</v>
          </cell>
          <cell r="N77">
            <v>1464.528908392414</v>
          </cell>
          <cell r="O77">
            <v>1526.6553538120347</v>
          </cell>
          <cell r="P77">
            <v>1591.8881215026367</v>
          </cell>
          <cell r="Q77">
            <v>661.11035850245219</v>
          </cell>
          <cell r="R77">
            <v>683.06587642757495</v>
          </cell>
        </row>
        <row r="79">
          <cell r="A79" t="str">
            <v>Total Gross Profit</v>
          </cell>
          <cell r="B79">
            <v>17180.510000000002</v>
          </cell>
          <cell r="C79">
            <v>21435.73</v>
          </cell>
          <cell r="D79">
            <v>25488.789999999997</v>
          </cell>
          <cell r="E79">
            <v>29316.01</v>
          </cell>
          <cell r="F79">
            <v>29564.09</v>
          </cell>
          <cell r="G79">
            <v>31387.809999999994</v>
          </cell>
          <cell r="H79">
            <v>30205.040000000005</v>
          </cell>
          <cell r="I79">
            <v>26986.486490053863</v>
          </cell>
          <cell r="J79">
            <v>28346.465061243223</v>
          </cell>
          <cell r="K79">
            <v>28844.531553079272</v>
          </cell>
          <cell r="L79">
            <v>29172.898708827714</v>
          </cell>
          <cell r="M79">
            <v>29884.146301750952</v>
          </cell>
          <cell r="N79">
            <v>29800.976053858722</v>
          </cell>
          <cell r="O79">
            <v>30471.080948219846</v>
          </cell>
          <cell r="P79">
            <v>32210.186806209287</v>
          </cell>
          <cell r="Q79">
            <v>31547.282028066194</v>
          </cell>
          <cell r="R79">
            <v>31777.515699275795</v>
          </cell>
        </row>
        <row r="80">
          <cell r="A80" t="str">
            <v>Gross Margin</v>
          </cell>
          <cell r="B80">
            <v>0.7919110394100024</v>
          </cell>
          <cell r="C80">
            <v>0.78611302625788471</v>
          </cell>
          <cell r="D80">
            <v>0.76556706914158701</v>
          </cell>
          <cell r="E80">
            <v>0.79699888535464747</v>
          </cell>
          <cell r="F80">
            <v>0.82211534718166901</v>
          </cell>
          <cell r="G80">
            <v>0.80489819468663437</v>
          </cell>
          <cell r="H80">
            <v>0.81507474769280597</v>
          </cell>
          <cell r="I80">
            <v>0.83334829674277711</v>
          </cell>
          <cell r="J80">
            <v>0.85001525273391154</v>
          </cell>
          <cell r="K80">
            <v>0.82772303054115182</v>
          </cell>
          <cell r="L80">
            <v>0.82610596402651071</v>
          </cell>
          <cell r="M80">
            <v>0.82887729521010534</v>
          </cell>
          <cell r="N80">
            <v>0.82964903300545334</v>
          </cell>
          <cell r="O80">
            <v>0.84922844155392341</v>
          </cell>
          <cell r="P80">
            <v>0.88883325338386454</v>
          </cell>
          <cell r="Q80">
            <v>0.90505750715766653</v>
          </cell>
          <cell r="R80">
            <v>0.92876551531880069</v>
          </cell>
        </row>
        <row r="82">
          <cell r="A82" t="str">
            <v>Reported Gross Profit</v>
          </cell>
          <cell r="B82">
            <v>18246</v>
          </cell>
          <cell r="C82">
            <v>22428</v>
          </cell>
          <cell r="D82">
            <v>25471</v>
          </cell>
          <cell r="E82">
            <v>29338</v>
          </cell>
          <cell r="F82">
            <v>29146</v>
          </cell>
          <cell r="G82">
            <v>31409</v>
          </cell>
        </row>
        <row r="83">
          <cell r="A83" t="str">
            <v>Reported Pharma Gross Margin</v>
          </cell>
          <cell r="B83">
            <v>0.84102327725282322</v>
          </cell>
          <cell r="C83">
            <v>0.82250256711163272</v>
          </cell>
          <cell r="D83">
            <v>0.76503273863158527</v>
          </cell>
          <cell r="E83">
            <v>0.79759671587418102</v>
          </cell>
          <cell r="F83">
            <v>0.81048914101387615</v>
          </cell>
          <cell r="G83">
            <v>0.80544158375217967</v>
          </cell>
        </row>
        <row r="87">
          <cell r="A87" t="str">
            <v>Notes:</v>
          </cell>
        </row>
        <row r="88">
          <cell r="A88" t="str">
            <v>E= Morgan Stanley Research Estimates</v>
          </cell>
        </row>
        <row r="89">
          <cell r="A89" t="str">
            <v>Source: Morgan Stanley Research</v>
          </cell>
        </row>
        <row r="91">
          <cell r="A91" t="str">
            <v>Sales Check</v>
          </cell>
          <cell r="B91">
            <v>21696</v>
          </cell>
          <cell r="C91">
            <v>27268</v>
          </cell>
          <cell r="D91">
            <v>33294</v>
          </cell>
          <cell r="E91">
            <v>36783</v>
          </cell>
          <cell r="F91">
            <v>35961</v>
          </cell>
          <cell r="G91">
            <v>38851</v>
          </cell>
          <cell r="H91">
            <v>37058</v>
          </cell>
          <cell r="I91">
            <v>32382.149414294701</v>
          </cell>
          <cell r="J91">
            <v>33775.161277996325</v>
          </cell>
          <cell r="K91">
            <v>34741.404431641313</v>
          </cell>
          <cell r="L91">
            <v>34731.12236095628</v>
          </cell>
          <cell r="M91">
            <v>35439.40559329914</v>
          </cell>
          <cell r="N91">
            <v>35689.771442824131</v>
          </cell>
          <cell r="O91">
            <v>36333.659477366004</v>
          </cell>
          <cell r="P91">
            <v>38290.697301030217</v>
          </cell>
          <cell r="Q91">
            <v>38647.615277799945</v>
          </cell>
          <cell r="R91">
            <v>40304.919757882191</v>
          </cell>
        </row>
        <row r="92">
          <cell r="A92" t="str">
            <v>Sales (Quarterly Sales)</v>
          </cell>
          <cell r="B92">
            <v>21695</v>
          </cell>
          <cell r="C92">
            <v>27268</v>
          </cell>
          <cell r="D92">
            <v>33294</v>
          </cell>
          <cell r="E92">
            <v>36783</v>
          </cell>
          <cell r="F92">
            <v>35961</v>
          </cell>
          <cell r="G92">
            <v>38996</v>
          </cell>
          <cell r="H92">
            <v>37058</v>
          </cell>
          <cell r="I92">
            <v>32383.202312326277</v>
          </cell>
          <cell r="J92">
            <v>33348.184012077712</v>
          </cell>
          <cell r="K92">
            <v>34848.047582077292</v>
          </cell>
          <cell r="L92">
            <v>35313.749057852729</v>
          </cell>
          <cell r="M92">
            <v>36053.763897798483</v>
          </cell>
          <cell r="N92">
            <v>35919.979254243088</v>
          </cell>
          <cell r="O92">
            <v>35880.900188014988</v>
          </cell>
          <cell r="P92">
            <v>36238.72833693197</v>
          </cell>
          <cell r="Q92">
            <v>34856.660243767765</v>
          </cell>
          <cell r="R92">
            <v>34214.788528585814</v>
          </cell>
        </row>
        <row r="93">
          <cell r="B93">
            <v>1</v>
          </cell>
          <cell r="C93">
            <v>0</v>
          </cell>
          <cell r="D93">
            <v>0</v>
          </cell>
          <cell r="E93">
            <v>0</v>
          </cell>
          <cell r="F93">
            <v>0</v>
          </cell>
          <cell r="G93">
            <v>-145</v>
          </cell>
          <cell r="H93">
            <v>0</v>
          </cell>
          <cell r="I93">
            <v>-1.0528980315757508</v>
          </cell>
          <cell r="J93">
            <v>426.97726591861283</v>
          </cell>
          <cell r="K93">
            <v>-106.6431504359789</v>
          </cell>
          <cell r="L93">
            <v>-582.62669689644827</v>
          </cell>
          <cell r="M93">
            <v>-614.35830449934292</v>
          </cell>
          <cell r="N93">
            <v>-230.20781141895714</v>
          </cell>
          <cell r="O93">
            <v>452.75928935101547</v>
          </cell>
          <cell r="P93">
            <v>2051.9689640982469</v>
          </cell>
          <cell r="Q93">
            <v>3790.9550340321803</v>
          </cell>
          <cell r="R93">
            <v>6090.1312292963776</v>
          </cell>
        </row>
      </sheetData>
      <sheetData sheetId="23" refreshError="1">
        <row r="1">
          <cell r="B1">
            <v>2004</v>
          </cell>
          <cell r="C1">
            <v>2005</v>
          </cell>
          <cell r="D1">
            <v>2006</v>
          </cell>
          <cell r="E1">
            <v>2007</v>
          </cell>
          <cell r="F1" t="str">
            <v>2008E</v>
          </cell>
          <cell r="G1">
            <v>2009</v>
          </cell>
          <cell r="H1">
            <v>2010</v>
          </cell>
          <cell r="I1" t="str">
            <v>2011E</v>
          </cell>
          <cell r="J1" t="str">
            <v>2012E</v>
          </cell>
          <cell r="K1" t="str">
            <v>2013E</v>
          </cell>
          <cell r="L1" t="str">
            <v>2014E</v>
          </cell>
          <cell r="M1" t="str">
            <v>2015E</v>
          </cell>
          <cell r="N1" t="str">
            <v>2016E</v>
          </cell>
          <cell r="O1" t="str">
            <v>2017E</v>
          </cell>
          <cell r="P1" t="str">
            <v>2018E</v>
          </cell>
          <cell r="Q1" t="str">
            <v>2019E</v>
          </cell>
          <cell r="R1" t="str">
            <v>2020E</v>
          </cell>
        </row>
        <row r="2">
          <cell r="A2" t="str">
            <v>Avastin - non-US / ex Japan (CHF m)</v>
          </cell>
          <cell r="B2">
            <v>13.355329677131524</v>
          </cell>
          <cell r="C2">
            <v>254.88295232761374</v>
          </cell>
          <cell r="D2">
            <v>771.71459958534081</v>
          </cell>
          <cell r="E2">
            <v>1303.6240633895159</v>
          </cell>
          <cell r="F2">
            <v>2051.5313769987511</v>
          </cell>
          <cell r="G2">
            <v>2597.4533858860577</v>
          </cell>
          <cell r="H2">
            <v>3081.489010862249</v>
          </cell>
          <cell r="I2">
            <v>2819.944275727818</v>
          </cell>
          <cell r="J2">
            <v>2945.4556987929582</v>
          </cell>
          <cell r="K2">
            <v>3147.2869248663292</v>
          </cell>
          <cell r="L2">
            <v>3330.5971287905186</v>
          </cell>
          <cell r="M2">
            <v>3471.3013183592384</v>
          </cell>
          <cell r="N2">
            <v>3537.6732206659194</v>
          </cell>
          <cell r="O2">
            <v>3605.3420197781297</v>
          </cell>
          <cell r="P2">
            <v>3674.3333482195735</v>
          </cell>
          <cell r="Q2">
            <v>3744.6733481103047</v>
          </cell>
          <cell r="R2">
            <v>3816.3886813281138</v>
          </cell>
        </row>
        <row r="3">
          <cell r="F3">
            <v>2157.6497179324938</v>
          </cell>
          <cell r="G3">
            <v>2968.2302483025719</v>
          </cell>
          <cell r="H3">
            <v>3459.1966228918313</v>
          </cell>
          <cell r="I3">
            <v>3972.7255291274687</v>
          </cell>
          <cell r="J3">
            <v>4553.3775497697443</v>
          </cell>
          <cell r="K3">
            <v>4756.2595892585514</v>
          </cell>
          <cell r="L3">
            <v>4898.9473769363085</v>
          </cell>
          <cell r="M3">
            <v>5045.9157982443976</v>
          </cell>
          <cell r="N3">
            <v>5197.2932721917296</v>
          </cell>
          <cell r="O3">
            <v>5353.2120703574819</v>
          </cell>
          <cell r="P3">
            <v>5513.8084324682068</v>
          </cell>
          <cell r="Q3">
            <v>5679.2226854422534</v>
          </cell>
          <cell r="R3">
            <v>5849.599366005521</v>
          </cell>
        </row>
        <row r="5">
          <cell r="A5" t="str">
            <v xml:space="preserve"> Colorectal Cancer </v>
          </cell>
          <cell r="T5" t="str">
            <v>Interim analysis of adjuvant in Q408</v>
          </cell>
        </row>
        <row r="7">
          <cell r="A7" t="str">
            <v>Adjuvant</v>
          </cell>
        </row>
        <row r="8">
          <cell r="A8" t="str">
            <v xml:space="preserve">     New Diagnoses of CRC</v>
          </cell>
          <cell r="B8">
            <v>373511.92320000002</v>
          </cell>
          <cell r="C8">
            <v>380982.16166400001</v>
          </cell>
          <cell r="D8">
            <v>388601.80489728</v>
          </cell>
          <cell r="E8">
            <v>396373.84099522559</v>
          </cell>
          <cell r="F8">
            <v>404301.31781513011</v>
          </cell>
          <cell r="G8">
            <v>412387.34417143272</v>
          </cell>
          <cell r="H8">
            <v>420635.09105486138</v>
          </cell>
          <cell r="I8">
            <v>429047.79287595861</v>
          </cell>
          <cell r="J8">
            <v>437628.74873347778</v>
          </cell>
          <cell r="K8">
            <v>446381.32370814733</v>
          </cell>
          <cell r="L8">
            <v>455308.95018231031</v>
          </cell>
          <cell r="M8">
            <v>464415.1291859565</v>
          </cell>
          <cell r="N8">
            <v>473703.43176967563</v>
          </cell>
          <cell r="O8">
            <v>483177.50040506915</v>
          </cell>
          <cell r="P8">
            <v>492841.05041317054</v>
          </cell>
          <cell r="Q8">
            <v>502697.87142143399</v>
          </cell>
          <cell r="R8">
            <v>512751.82884986268</v>
          </cell>
        </row>
        <row r="9">
          <cell r="A9" t="str">
            <v xml:space="preserve">     Eligible Stage II Patients (34%)</v>
          </cell>
          <cell r="B9">
            <v>126994.05388800001</v>
          </cell>
          <cell r="C9">
            <v>129533.93496576001</v>
          </cell>
          <cell r="D9">
            <v>132124.61366507522</v>
          </cell>
          <cell r="E9">
            <v>134767.10593837671</v>
          </cell>
          <cell r="F9">
            <v>137462.44805714424</v>
          </cell>
          <cell r="G9">
            <v>140211.69701828714</v>
          </cell>
          <cell r="H9">
            <v>143015.93095865287</v>
          </cell>
          <cell r="I9">
            <v>145876.24957782595</v>
          </cell>
          <cell r="J9">
            <v>148793.77456938245</v>
          </cell>
          <cell r="K9">
            <v>151769.6500607701</v>
          </cell>
          <cell r="L9">
            <v>154805.04306198552</v>
          </cell>
          <cell r="M9">
            <v>157901.14392322523</v>
          </cell>
          <cell r="N9">
            <v>161059.16680168972</v>
          </cell>
          <cell r="O9">
            <v>164280.35013772352</v>
          </cell>
          <cell r="P9">
            <v>167565.95714047799</v>
          </cell>
          <cell r="Q9">
            <v>170917.27628328756</v>
          </cell>
          <cell r="R9">
            <v>174335.62180895332</v>
          </cell>
        </row>
        <row r="10">
          <cell r="A10" t="str">
            <v xml:space="preserve">     Eligible Stage III Patients (27%)</v>
          </cell>
          <cell r="B10">
            <v>100848.21926400001</v>
          </cell>
          <cell r="C10">
            <v>102865.18364928001</v>
          </cell>
          <cell r="D10">
            <v>104922.4873222656</v>
          </cell>
          <cell r="E10">
            <v>107020.93706871092</v>
          </cell>
          <cell r="F10">
            <v>109161.35581008514</v>
          </cell>
          <cell r="G10">
            <v>111344.58292628684</v>
          </cell>
          <cell r="H10">
            <v>113571.47458481257</v>
          </cell>
          <cell r="I10">
            <v>115842.90407650883</v>
          </cell>
          <cell r="J10">
            <v>118159.76215803901</v>
          </cell>
          <cell r="K10">
            <v>120522.95740119979</v>
          </cell>
          <cell r="L10">
            <v>122933.4165492238</v>
          </cell>
          <cell r="M10">
            <v>125392.08488020826</v>
          </cell>
          <cell r="N10">
            <v>127899.92657781242</v>
          </cell>
          <cell r="O10">
            <v>130457.92510936868</v>
          </cell>
          <cell r="P10">
            <v>133067.08361155607</v>
          </cell>
          <cell r="Q10">
            <v>135728.42528378719</v>
          </cell>
          <cell r="R10">
            <v>138442.99378946293</v>
          </cell>
        </row>
        <row r="11">
          <cell r="A11" t="str">
            <v xml:space="preserve">     Avastin Penetration (Stage II)</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row>
        <row r="12">
          <cell r="A12" t="str">
            <v xml:space="preserve">     Avastin Penetration (Stage III)</v>
          </cell>
          <cell r="B12">
            <v>0</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row>
        <row r="13">
          <cell r="A13" t="str">
            <v xml:space="preserve">     Adjuvant Patients Treated </v>
          </cell>
          <cell r="B13">
            <v>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row>
        <row r="14">
          <cell r="A14" t="str">
            <v xml:space="preserve">     Average Cost Per month</v>
          </cell>
          <cell r="B14">
            <v>3299.8464027480459</v>
          </cell>
          <cell r="C14">
            <v>3288.7488288028089</v>
          </cell>
          <cell r="D14">
            <v>3271.1039299080644</v>
          </cell>
          <cell r="E14">
            <v>3416.3143336177473</v>
          </cell>
          <cell r="F14">
            <v>3792.8447243143937</v>
          </cell>
          <cell r="G14">
            <v>3701.4404600994276</v>
          </cell>
          <cell r="H14">
            <v>3846.5397943679968</v>
          </cell>
          <cell r="I14">
            <v>4613.6195500755575</v>
          </cell>
          <cell r="J14">
            <v>4785.9922178988336</v>
          </cell>
          <cell r="K14">
            <v>4555.5555555555557</v>
          </cell>
          <cell r="L14">
            <v>4555.5555555555557</v>
          </cell>
          <cell r="M14">
            <v>4555.5555555555557</v>
          </cell>
          <cell r="N14">
            <v>4555.5555555555557</v>
          </cell>
          <cell r="O14">
            <v>4555.5555555555557</v>
          </cell>
          <cell r="P14">
            <v>4555.5555555555557</v>
          </cell>
          <cell r="Q14">
            <v>4555.5555555555557</v>
          </cell>
          <cell r="R14">
            <v>4555.5555555555557</v>
          </cell>
        </row>
        <row r="15">
          <cell r="A15" t="str">
            <v xml:space="preserve">     Average Months on Therapy</v>
          </cell>
          <cell r="B15">
            <v>0</v>
          </cell>
          <cell r="C15">
            <v>0</v>
          </cell>
          <cell r="D15">
            <v>0</v>
          </cell>
          <cell r="E15">
            <v>0</v>
          </cell>
          <cell r="F15">
            <v>0</v>
          </cell>
          <cell r="G15">
            <v>3</v>
          </cell>
          <cell r="H15">
            <v>4.5</v>
          </cell>
          <cell r="I15">
            <v>7.5</v>
          </cell>
          <cell r="J15">
            <v>10.5</v>
          </cell>
          <cell r="K15">
            <v>11</v>
          </cell>
          <cell r="L15">
            <v>11</v>
          </cell>
          <cell r="M15">
            <v>11</v>
          </cell>
          <cell r="N15">
            <v>11</v>
          </cell>
          <cell r="O15">
            <v>11</v>
          </cell>
          <cell r="P15">
            <v>11</v>
          </cell>
          <cell r="Q15">
            <v>11</v>
          </cell>
          <cell r="R15">
            <v>11</v>
          </cell>
        </row>
        <row r="16">
          <cell r="A16" t="str">
            <v xml:space="preserve">     Avg. Revenue per patient</v>
          </cell>
          <cell r="B16">
            <v>0</v>
          </cell>
          <cell r="C16">
            <v>0</v>
          </cell>
          <cell r="D16">
            <v>0</v>
          </cell>
          <cell r="E16">
            <v>0</v>
          </cell>
          <cell r="F16">
            <v>0</v>
          </cell>
          <cell r="G16">
            <v>11104.321380298283</v>
          </cell>
          <cell r="H16">
            <v>17309.429074655985</v>
          </cell>
          <cell r="I16">
            <v>34602.146625566682</v>
          </cell>
          <cell r="J16">
            <v>50252.918287937755</v>
          </cell>
          <cell r="K16">
            <v>50111.111111111109</v>
          </cell>
          <cell r="L16">
            <v>50111.111111111109</v>
          </cell>
          <cell r="M16">
            <v>50111.111111111109</v>
          </cell>
          <cell r="N16">
            <v>50111.111111111109</v>
          </cell>
          <cell r="O16">
            <v>50111.111111111109</v>
          </cell>
          <cell r="P16">
            <v>50111.111111111109</v>
          </cell>
          <cell r="Q16">
            <v>50111.111111111109</v>
          </cell>
          <cell r="R16">
            <v>50111.111111111109</v>
          </cell>
        </row>
        <row r="17">
          <cell r="A17" t="str">
            <v xml:space="preserve"> Sales - Adjuvant Setting</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row>
        <row r="19">
          <cell r="A19" t="str">
            <v>First-line</v>
          </cell>
        </row>
        <row r="20">
          <cell r="A20" t="str">
            <v xml:space="preserve">     New Diagnoses of CRC</v>
          </cell>
          <cell r="B20">
            <v>373511.92320000002</v>
          </cell>
          <cell r="C20">
            <v>380982.16166400001</v>
          </cell>
          <cell r="D20">
            <v>388601.80489728</v>
          </cell>
          <cell r="E20">
            <v>396373.84099522559</v>
          </cell>
          <cell r="F20">
            <v>404301.31781513011</v>
          </cell>
          <cell r="G20">
            <v>412387.34417143272</v>
          </cell>
          <cell r="H20">
            <v>420635.09105486138</v>
          </cell>
          <cell r="I20">
            <v>429047.79287595861</v>
          </cell>
          <cell r="J20">
            <v>437628.74873347778</v>
          </cell>
          <cell r="K20">
            <v>446381.32370814733</v>
          </cell>
          <cell r="L20">
            <v>455308.95018231031</v>
          </cell>
          <cell r="M20">
            <v>464415.1291859565</v>
          </cell>
          <cell r="N20">
            <v>473703.43176967563</v>
          </cell>
          <cell r="O20">
            <v>483177.50040506915</v>
          </cell>
          <cell r="P20">
            <v>492841.05041317054</v>
          </cell>
          <cell r="Q20">
            <v>502697.87142143399</v>
          </cell>
          <cell r="R20">
            <v>512751.82884986268</v>
          </cell>
        </row>
        <row r="21">
          <cell r="A21" t="str">
            <v xml:space="preserve">     Eligible Stage (III/IV) Patients (22.5%), FOLFIRI</v>
          </cell>
          <cell r="B21">
            <v>42860.493187200009</v>
          </cell>
          <cell r="C21">
            <v>43717.703050944001</v>
          </cell>
          <cell r="D21">
            <v>44592.05711196288</v>
          </cell>
          <cell r="E21">
            <v>45483.89825420214</v>
          </cell>
          <cell r="F21">
            <v>90967.796508404281</v>
          </cell>
          <cell r="G21">
            <v>92787.152438572361</v>
          </cell>
          <cell r="H21">
            <v>94642.895487343805</v>
          </cell>
          <cell r="I21">
            <v>96535.753397090695</v>
          </cell>
          <cell r="J21">
            <v>98466.468465032507</v>
          </cell>
          <cell r="K21">
            <v>100435.79783433315</v>
          </cell>
          <cell r="L21">
            <v>102444.51379101982</v>
          </cell>
          <cell r="M21">
            <v>104493.40406684022</v>
          </cell>
          <cell r="N21">
            <v>106583.27214817701</v>
          </cell>
          <cell r="O21">
            <v>108714.93759114057</v>
          </cell>
          <cell r="P21">
            <v>110889.23634296337</v>
          </cell>
          <cell r="Q21">
            <v>113107.02106982264</v>
          </cell>
          <cell r="R21">
            <v>115369.1614912191</v>
          </cell>
        </row>
        <row r="22">
          <cell r="A22" t="str">
            <v xml:space="preserve">     Avastin Penetration</v>
          </cell>
          <cell r="B22">
            <v>1.9E-2</v>
          </cell>
          <cell r="C22">
            <v>0.23699999999999999</v>
          </cell>
          <cell r="D22">
            <v>0.46899999999999997</v>
          </cell>
          <cell r="E22">
            <v>0.47</v>
          </cell>
          <cell r="F22">
            <v>0.32</v>
          </cell>
          <cell r="G22">
            <v>0.37</v>
          </cell>
          <cell r="H22">
            <v>0.41</v>
          </cell>
          <cell r="I22">
            <v>0.44</v>
          </cell>
          <cell r="J22">
            <v>0.48</v>
          </cell>
          <cell r="K22">
            <v>0.5</v>
          </cell>
          <cell r="L22">
            <v>0.52</v>
          </cell>
          <cell r="M22">
            <v>0.54</v>
          </cell>
          <cell r="N22">
            <v>0.54</v>
          </cell>
          <cell r="O22">
            <v>0.54</v>
          </cell>
          <cell r="P22">
            <v>0.54</v>
          </cell>
          <cell r="Q22">
            <v>0.54</v>
          </cell>
          <cell r="R22">
            <v>0.54</v>
          </cell>
        </row>
        <row r="23">
          <cell r="A23" t="str">
            <v xml:space="preserve">     First-line Patients Treated </v>
          </cell>
          <cell r="B23">
            <v>814.34937055680018</v>
          </cell>
          <cell r="C23">
            <v>10361.095623073728</v>
          </cell>
          <cell r="D23">
            <v>20913.67478551059</v>
          </cell>
          <cell r="E23">
            <v>21377.432179475003</v>
          </cell>
          <cell r="F23">
            <v>29109.694882689371</v>
          </cell>
          <cell r="G23">
            <v>34331.246402271776</v>
          </cell>
          <cell r="H23">
            <v>38803.587149810955</v>
          </cell>
          <cell r="I23">
            <v>42475.731494719905</v>
          </cell>
          <cell r="J23">
            <v>47263.904863215605</v>
          </cell>
          <cell r="K23">
            <v>50217.898917166574</v>
          </cell>
          <cell r="L23">
            <v>53271.147171330311</v>
          </cell>
          <cell r="M23">
            <v>56426.438196093717</v>
          </cell>
          <cell r="N23">
            <v>57554.96696001559</v>
          </cell>
          <cell r="O23">
            <v>58706.066299215912</v>
          </cell>
          <cell r="P23">
            <v>59880.187625200226</v>
          </cell>
          <cell r="Q23">
            <v>61077.791377704234</v>
          </cell>
          <cell r="R23">
            <v>62299.347205258317</v>
          </cell>
        </row>
        <row r="24">
          <cell r="A24" t="str">
            <v xml:space="preserve">     Average Cost Per month</v>
          </cell>
          <cell r="B24">
            <v>3299.8464027480459</v>
          </cell>
          <cell r="C24">
            <v>3288.7488288028089</v>
          </cell>
          <cell r="D24">
            <v>3271.1039299080644</v>
          </cell>
          <cell r="E24">
            <v>3416.3143336177473</v>
          </cell>
          <cell r="F24">
            <v>3792.8447243143937</v>
          </cell>
          <cell r="G24">
            <v>3701.4404600994276</v>
          </cell>
          <cell r="H24">
            <v>3846.5397943679968</v>
          </cell>
          <cell r="I24">
            <v>4613.6195500755575</v>
          </cell>
          <cell r="J24">
            <v>4785.9922178988336</v>
          </cell>
          <cell r="K24">
            <v>4555.5555555555557</v>
          </cell>
          <cell r="L24">
            <v>4555.5555555555557</v>
          </cell>
          <cell r="M24">
            <v>4555.5555555555557</v>
          </cell>
          <cell r="N24">
            <v>4555.5555555555557</v>
          </cell>
          <cell r="O24">
            <v>4555.5555555555557</v>
          </cell>
          <cell r="P24">
            <v>4555.5555555555557</v>
          </cell>
          <cell r="Q24">
            <v>4555.5555555555557</v>
          </cell>
          <cell r="R24">
            <v>4555.5555555555557</v>
          </cell>
        </row>
        <row r="25">
          <cell r="A25" t="str">
            <v xml:space="preserve">     Average Months on Therapy</v>
          </cell>
          <cell r="B25">
            <v>4</v>
          </cell>
          <cell r="C25">
            <v>6</v>
          </cell>
          <cell r="D25">
            <v>9</v>
          </cell>
          <cell r="E25">
            <v>9</v>
          </cell>
          <cell r="F25">
            <v>9</v>
          </cell>
          <cell r="G25">
            <v>9</v>
          </cell>
          <cell r="H25">
            <v>9</v>
          </cell>
          <cell r="I25">
            <v>9</v>
          </cell>
          <cell r="J25">
            <v>9</v>
          </cell>
          <cell r="K25">
            <v>9</v>
          </cell>
          <cell r="L25">
            <v>9</v>
          </cell>
          <cell r="M25">
            <v>9</v>
          </cell>
          <cell r="N25">
            <v>9</v>
          </cell>
          <cell r="O25">
            <v>9</v>
          </cell>
          <cell r="P25">
            <v>9</v>
          </cell>
          <cell r="Q25">
            <v>9</v>
          </cell>
          <cell r="R25">
            <v>9</v>
          </cell>
          <cell r="T25" t="str">
            <v>From 1H08 presentation</v>
          </cell>
        </row>
        <row r="26">
          <cell r="A26" t="str">
            <v xml:space="preserve">     Avg. Revenue per patient</v>
          </cell>
          <cell r="B26">
            <v>13199.385610992184</v>
          </cell>
          <cell r="C26">
            <v>19732.492972816854</v>
          </cell>
          <cell r="D26">
            <v>29439.935369172581</v>
          </cell>
          <cell r="E26">
            <v>30746.829002559723</v>
          </cell>
          <cell r="F26">
            <v>34135.602518829546</v>
          </cell>
          <cell r="G26">
            <v>33312.964140894852</v>
          </cell>
          <cell r="H26">
            <v>34618.858149311971</v>
          </cell>
          <cell r="I26">
            <v>41522.575950680017</v>
          </cell>
          <cell r="J26">
            <v>43073.929961089503</v>
          </cell>
          <cell r="K26">
            <v>41000</v>
          </cell>
          <cell r="L26">
            <v>41000</v>
          </cell>
          <cell r="M26">
            <v>41000</v>
          </cell>
          <cell r="N26">
            <v>41000</v>
          </cell>
          <cell r="O26">
            <v>41000</v>
          </cell>
          <cell r="P26">
            <v>41000</v>
          </cell>
          <cell r="Q26">
            <v>41000</v>
          </cell>
          <cell r="R26">
            <v>41000</v>
          </cell>
        </row>
        <row r="27">
          <cell r="A27" t="str">
            <v xml:space="preserve"> Sales - First-line Setting</v>
          </cell>
          <cell r="B27">
            <v>10.74891136404797</v>
          </cell>
          <cell r="C27">
            <v>204.4502465729858</v>
          </cell>
          <cell r="D27">
            <v>615.69723401732597</v>
          </cell>
          <cell r="E27">
            <v>657.28825173613563</v>
          </cell>
          <cell r="F27">
            <v>993.6769739598908</v>
          </cell>
          <cell r="G27">
            <v>1143.675580311105</v>
          </cell>
          <cell r="H27">
            <v>1343.3358792237705</v>
          </cell>
          <cell r="I27">
            <v>1763.7017870501986</v>
          </cell>
          <cell r="J27">
            <v>2035.8421277657467</v>
          </cell>
          <cell r="K27">
            <v>2058.9338556038297</v>
          </cell>
          <cell r="L27">
            <v>2184.1170340245426</v>
          </cell>
          <cell r="M27">
            <v>2313.4839660398425</v>
          </cell>
          <cell r="N27">
            <v>2359.753645360639</v>
          </cell>
          <cell r="O27">
            <v>2406.9487182678522</v>
          </cell>
          <cell r="P27">
            <v>2455.0876926332094</v>
          </cell>
          <cell r="Q27">
            <v>2504.1894464858738</v>
          </cell>
          <cell r="R27">
            <v>2554.273235415591</v>
          </cell>
        </row>
        <row r="29">
          <cell r="A29" t="str">
            <v>Second-line</v>
          </cell>
        </row>
        <row r="30">
          <cell r="A30" t="str">
            <v xml:space="preserve">    2003 Relapsed Patients Waiting for Therapy</v>
          </cell>
          <cell r="C30">
            <v>0</v>
          </cell>
          <cell r="D30">
            <v>0</v>
          </cell>
          <cell r="E30">
            <v>0</v>
          </cell>
          <cell r="F30">
            <v>0</v>
          </cell>
          <cell r="G30">
            <v>0</v>
          </cell>
          <cell r="H30">
            <v>0</v>
          </cell>
          <cell r="I30">
            <v>0</v>
          </cell>
          <cell r="J30">
            <v>0</v>
          </cell>
          <cell r="K30">
            <v>0</v>
          </cell>
        </row>
        <row r="31">
          <cell r="A31" t="str">
            <v xml:space="preserve">    New Patients Relapsing Per Year, FOLFOX as 1st line</v>
          </cell>
          <cell r="B31">
            <v>35803.452288240005</v>
          </cell>
          <cell r="C31">
            <v>36519.521334004807</v>
          </cell>
          <cell r="D31">
            <v>37249.911760684903</v>
          </cell>
          <cell r="E31">
            <v>37994.909995898604</v>
          </cell>
          <cell r="F31">
            <v>38754.808195816579</v>
          </cell>
          <cell r="G31">
            <v>39529.904359732907</v>
          </cell>
          <cell r="H31">
            <v>40320.502446927567</v>
          </cell>
          <cell r="I31">
            <v>41126.91249586612</v>
          </cell>
          <cell r="J31">
            <v>41949.450745783441</v>
          </cell>
          <cell r="K31">
            <v>42788.439760699112</v>
          </cell>
          <cell r="L31">
            <v>43644.208555913094</v>
          </cell>
          <cell r="M31">
            <v>44517.092727031355</v>
          </cell>
          <cell r="N31">
            <v>45407.434581571986</v>
          </cell>
          <cell r="O31">
            <v>46315.583273203425</v>
          </cell>
          <cell r="P31">
            <v>47241.894938667494</v>
          </cell>
          <cell r="Q31">
            <v>48186.732837440846</v>
          </cell>
          <cell r="R31">
            <v>49150.467494189666</v>
          </cell>
        </row>
        <row r="32">
          <cell r="A32" t="str">
            <v xml:space="preserve">        % Avastin-Naïve</v>
          </cell>
          <cell r="B32">
            <v>1</v>
          </cell>
          <cell r="C32">
            <v>1</v>
          </cell>
          <cell r="D32">
            <v>1</v>
          </cell>
          <cell r="E32">
            <v>1</v>
          </cell>
          <cell r="F32">
            <v>1</v>
          </cell>
          <cell r="G32">
            <v>1</v>
          </cell>
          <cell r="H32">
            <v>1</v>
          </cell>
          <cell r="I32">
            <v>1</v>
          </cell>
          <cell r="J32">
            <v>1</v>
          </cell>
          <cell r="K32">
            <v>1</v>
          </cell>
          <cell r="L32">
            <v>1</v>
          </cell>
          <cell r="M32">
            <v>1</v>
          </cell>
          <cell r="N32">
            <v>1</v>
          </cell>
          <cell r="O32">
            <v>1</v>
          </cell>
          <cell r="P32">
            <v>1</v>
          </cell>
          <cell r="Q32">
            <v>1</v>
          </cell>
          <cell r="R32">
            <v>1</v>
          </cell>
        </row>
        <row r="33">
          <cell r="A33" t="str">
            <v xml:space="preserve">     Eligible Patients</v>
          </cell>
          <cell r="B33">
            <v>35803.452288240005</v>
          </cell>
          <cell r="C33">
            <v>36519.521334004807</v>
          </cell>
          <cell r="D33">
            <v>37249.911760684903</v>
          </cell>
          <cell r="E33">
            <v>37994.909995898604</v>
          </cell>
          <cell r="F33">
            <v>38754.808195816579</v>
          </cell>
          <cell r="G33">
            <v>39529.904359732907</v>
          </cell>
          <cell r="H33">
            <v>40320.502446927567</v>
          </cell>
          <cell r="I33">
            <v>41126.91249586612</v>
          </cell>
          <cell r="J33">
            <v>41949.450745783441</v>
          </cell>
          <cell r="K33">
            <v>42788.439760699112</v>
          </cell>
          <cell r="L33">
            <v>43644.208555913094</v>
          </cell>
          <cell r="M33">
            <v>44517.092727031355</v>
          </cell>
          <cell r="N33">
            <v>45407.434581571986</v>
          </cell>
          <cell r="O33">
            <v>46315.583273203425</v>
          </cell>
          <cell r="P33">
            <v>47241.894938667494</v>
          </cell>
          <cell r="Q33">
            <v>48186.732837440846</v>
          </cell>
          <cell r="R33">
            <v>49150.467494189666</v>
          </cell>
        </row>
        <row r="34">
          <cell r="A34" t="str">
            <v xml:space="preserve">     Avastin Penetration</v>
          </cell>
          <cell r="B34">
            <v>0</v>
          </cell>
          <cell r="C34">
            <v>0</v>
          </cell>
          <cell r="D34">
            <v>0</v>
          </cell>
          <cell r="E34">
            <v>0.1</v>
          </cell>
          <cell r="F34">
            <v>0.11</v>
          </cell>
          <cell r="G34">
            <v>0.125</v>
          </cell>
          <cell r="H34">
            <v>0.15</v>
          </cell>
          <cell r="I34">
            <v>0.25</v>
          </cell>
          <cell r="J34">
            <v>0.25</v>
          </cell>
          <cell r="K34">
            <v>0.25</v>
          </cell>
          <cell r="L34">
            <v>0.25</v>
          </cell>
          <cell r="M34">
            <v>0.25</v>
          </cell>
          <cell r="N34">
            <v>0.25</v>
          </cell>
          <cell r="O34">
            <v>0.25</v>
          </cell>
          <cell r="P34">
            <v>0.25</v>
          </cell>
          <cell r="Q34">
            <v>0.25</v>
          </cell>
          <cell r="R34">
            <v>0.25</v>
          </cell>
        </row>
        <row r="35">
          <cell r="A35" t="str">
            <v xml:space="preserve">     Relapsed Patients Treated </v>
          </cell>
          <cell r="C35">
            <v>0</v>
          </cell>
          <cell r="D35">
            <v>0</v>
          </cell>
          <cell r="E35">
            <v>3799.4909995898606</v>
          </cell>
          <cell r="F35">
            <v>4263.0289015398239</v>
          </cell>
          <cell r="G35">
            <v>4941.2380449666134</v>
          </cell>
          <cell r="H35">
            <v>6048.075367039135</v>
          </cell>
          <cell r="I35">
            <v>10281.72812396653</v>
          </cell>
          <cell r="J35">
            <v>10487.36268644586</v>
          </cell>
          <cell r="K35">
            <v>10697.109940174778</v>
          </cell>
          <cell r="L35">
            <v>10911.052138978273</v>
          </cell>
          <cell r="M35">
            <v>11129.273181757839</v>
          </cell>
          <cell r="N35">
            <v>11351.858645392997</v>
          </cell>
          <cell r="O35">
            <v>11578.895818300856</v>
          </cell>
          <cell r="P35">
            <v>11810.473734666873</v>
          </cell>
          <cell r="Q35">
            <v>12046.683209360212</v>
          </cell>
          <cell r="R35">
            <v>12287.616873547417</v>
          </cell>
        </row>
        <row r="36">
          <cell r="A36" t="str">
            <v xml:space="preserve">     Average Cost Per month</v>
          </cell>
          <cell r="B36">
            <v>3299.8464027480459</v>
          </cell>
          <cell r="C36">
            <v>3288.7488288028089</v>
          </cell>
          <cell r="D36">
            <v>3271.1039299080644</v>
          </cell>
          <cell r="E36">
            <v>3416.3143336177473</v>
          </cell>
          <cell r="F36">
            <v>3792.8447243143937</v>
          </cell>
          <cell r="G36">
            <v>3701.4404600994276</v>
          </cell>
          <cell r="H36">
            <v>3846.5397943679968</v>
          </cell>
          <cell r="I36">
            <v>4613.6195500755575</v>
          </cell>
          <cell r="J36">
            <v>4785.9922178988336</v>
          </cell>
          <cell r="K36">
            <v>4555.5555555555557</v>
          </cell>
          <cell r="L36">
            <v>4555.5555555555557</v>
          </cell>
          <cell r="M36">
            <v>4555.5555555555557</v>
          </cell>
          <cell r="N36">
            <v>4555.5555555555557</v>
          </cell>
          <cell r="O36">
            <v>4555.5555555555557</v>
          </cell>
          <cell r="P36">
            <v>4555.5555555555557</v>
          </cell>
          <cell r="Q36">
            <v>4555.5555555555557</v>
          </cell>
          <cell r="R36">
            <v>4555.5555555555557</v>
          </cell>
        </row>
        <row r="37">
          <cell r="A37" t="str">
            <v xml:space="preserve">     Average Months on Therapy</v>
          </cell>
          <cell r="C37">
            <v>0</v>
          </cell>
          <cell r="D37">
            <v>0</v>
          </cell>
          <cell r="E37">
            <v>4.5</v>
          </cell>
          <cell r="F37">
            <v>5</v>
          </cell>
          <cell r="G37">
            <v>5</v>
          </cell>
          <cell r="H37">
            <v>5</v>
          </cell>
          <cell r="I37">
            <v>5</v>
          </cell>
          <cell r="J37">
            <v>5</v>
          </cell>
          <cell r="K37">
            <v>5</v>
          </cell>
          <cell r="L37">
            <v>5</v>
          </cell>
          <cell r="M37">
            <v>5</v>
          </cell>
          <cell r="N37">
            <v>5</v>
          </cell>
          <cell r="O37">
            <v>5</v>
          </cell>
          <cell r="P37">
            <v>5</v>
          </cell>
          <cell r="Q37">
            <v>5</v>
          </cell>
          <cell r="R37">
            <v>5</v>
          </cell>
        </row>
        <row r="38">
          <cell r="A38" t="str">
            <v xml:space="preserve">     Avg. Revenue per patient</v>
          </cell>
          <cell r="C38">
            <v>0</v>
          </cell>
          <cell r="D38">
            <v>0</v>
          </cell>
          <cell r="E38">
            <v>15373.414501279862</v>
          </cell>
          <cell r="F38">
            <v>18964.223621571968</v>
          </cell>
          <cell r="G38">
            <v>18507.202300497138</v>
          </cell>
          <cell r="H38">
            <v>19232.698971839985</v>
          </cell>
          <cell r="I38">
            <v>23068.097750377787</v>
          </cell>
          <cell r="J38">
            <v>23929.961089494169</v>
          </cell>
          <cell r="K38">
            <v>22777.777777777777</v>
          </cell>
          <cell r="L38">
            <v>22777.777777777777</v>
          </cell>
          <cell r="M38">
            <v>22777.777777777777</v>
          </cell>
          <cell r="N38">
            <v>22777.777777777777</v>
          </cell>
          <cell r="O38">
            <v>22777.777777777777</v>
          </cell>
          <cell r="P38">
            <v>22777.777777777777</v>
          </cell>
          <cell r="Q38">
            <v>22777.777777777777</v>
          </cell>
          <cell r="R38">
            <v>22777.777777777777</v>
          </cell>
        </row>
        <row r="39">
          <cell r="A39" t="str">
            <v>Sales - Relapse Setting</v>
          </cell>
          <cell r="C39">
            <v>0</v>
          </cell>
          <cell r="D39">
            <v>0</v>
          </cell>
          <cell r="E39">
            <v>58.411150030577076</v>
          </cell>
          <cell r="F39">
            <v>80.845033394025521</v>
          </cell>
          <cell r="G39">
            <v>91.448492113110092</v>
          </cell>
          <cell r="H39">
            <v>116.3208128932643</v>
          </cell>
          <cell r="I39">
            <v>237.17990940646834</v>
          </cell>
          <cell r="J39">
            <v>250.96218101806247</v>
          </cell>
          <cell r="K39">
            <v>243.65639308175884</v>
          </cell>
          <cell r="L39">
            <v>248.529520943394</v>
          </cell>
          <cell r="M39">
            <v>253.50011136226189</v>
          </cell>
          <cell r="N39">
            <v>258.57011358950712</v>
          </cell>
          <cell r="O39">
            <v>263.74151586129727</v>
          </cell>
          <cell r="P39">
            <v>269.01634617852324</v>
          </cell>
          <cell r="Q39">
            <v>274.3966731020937</v>
          </cell>
          <cell r="R39">
            <v>279.88460656413559</v>
          </cell>
        </row>
        <row r="41">
          <cell r="A41" t="str">
            <v xml:space="preserve">     Sales ($MM)</v>
          </cell>
          <cell r="B41">
            <v>10.74891136404797</v>
          </cell>
          <cell r="C41">
            <v>204.4502465729858</v>
          </cell>
          <cell r="D41">
            <v>615.69723401732597</v>
          </cell>
          <cell r="E41">
            <v>715.69940176671275</v>
          </cell>
          <cell r="F41">
            <v>1074.5220073539163</v>
          </cell>
          <cell r="G41">
            <v>1235.1240724242152</v>
          </cell>
          <cell r="H41">
            <v>1459.6566921170347</v>
          </cell>
          <cell r="I41">
            <v>2000.881696456667</v>
          </cell>
          <cell r="J41">
            <v>2286.8043087838091</v>
          </cell>
          <cell r="K41">
            <v>2302.5902486855884</v>
          </cell>
          <cell r="L41">
            <v>2432.6465549679365</v>
          </cell>
          <cell r="M41">
            <v>2566.9840774021045</v>
          </cell>
          <cell r="N41">
            <v>2618.3237589501459</v>
          </cell>
          <cell r="O41">
            <v>2670.6902341291493</v>
          </cell>
          <cell r="P41">
            <v>2724.1040388117326</v>
          </cell>
          <cell r="Q41">
            <v>2778.5861195879675</v>
          </cell>
          <cell r="R41">
            <v>2834.1578419797265</v>
          </cell>
        </row>
        <row r="42">
          <cell r="A42" t="str">
            <v>% of non-US Sales</v>
          </cell>
          <cell r="B42">
            <v>1</v>
          </cell>
          <cell r="C42">
            <v>1</v>
          </cell>
          <cell r="D42">
            <v>1</v>
          </cell>
          <cell r="E42">
            <v>0.65887695731220763</v>
          </cell>
          <cell r="F42">
            <v>0.5661818516039745</v>
          </cell>
          <cell r="G42">
            <v>0.52671527412182773</v>
          </cell>
          <cell r="H42">
            <v>0.50489808834884631</v>
          </cell>
          <cell r="I42">
            <v>0.63055498436668544</v>
          </cell>
          <cell r="J42">
            <v>0.66510218616684758</v>
          </cell>
          <cell r="K42">
            <v>0.65845004706872901</v>
          </cell>
          <cell r="L42">
            <v>0.65735416647830969</v>
          </cell>
          <cell r="M42">
            <v>0.6655387872677917</v>
          </cell>
          <cell r="N42">
            <v>0.6661133564539784</v>
          </cell>
          <cell r="O42">
            <v>0.66668327097137703</v>
          </cell>
          <cell r="P42">
            <v>0.66724855982883169</v>
          </cell>
          <cell r="Q42">
            <v>0.66780925201156116</v>
          </cell>
          <cell r="R42">
            <v>0.66836537647787198</v>
          </cell>
        </row>
        <row r="44">
          <cell r="A44" t="str">
            <v xml:space="preserve"> Non-Small Cell Lung Cancer </v>
          </cell>
        </row>
        <row r="45">
          <cell r="A45" t="str">
            <v xml:space="preserve">     New Diagnoses of NSCLC</v>
          </cell>
          <cell r="B45">
            <v>267314.63434799999</v>
          </cell>
          <cell r="C45">
            <v>269987.78069147997</v>
          </cell>
          <cell r="D45">
            <v>272687.65849839477</v>
          </cell>
          <cell r="E45">
            <v>275414.53508337872</v>
          </cell>
          <cell r="F45">
            <v>278168.6804342125</v>
          </cell>
          <cell r="G45">
            <v>280950.36723855464</v>
          </cell>
          <cell r="H45">
            <v>283759.87091094017</v>
          </cell>
          <cell r="I45">
            <v>286597.46962004958</v>
          </cell>
          <cell r="J45">
            <v>289463.4443162501</v>
          </cell>
          <cell r="K45">
            <v>292358.07875941257</v>
          </cell>
          <cell r="L45">
            <v>295281.65954700671</v>
          </cell>
          <cell r="M45">
            <v>298234.47614247678</v>
          </cell>
          <cell r="N45">
            <v>301216.82090390153</v>
          </cell>
          <cell r="O45">
            <v>304228.98911294056</v>
          </cell>
          <cell r="P45">
            <v>307271.27900406998</v>
          </cell>
          <cell r="Q45">
            <v>310343.99179411068</v>
          </cell>
          <cell r="R45">
            <v>313447.4317120518</v>
          </cell>
        </row>
        <row r="46">
          <cell r="A46" t="str">
            <v xml:space="preserve">     Eligible Stage (III/IV) Patients (50%)</v>
          </cell>
          <cell r="B46">
            <v>66828.658586999998</v>
          </cell>
          <cell r="C46">
            <v>67496.945172869993</v>
          </cell>
          <cell r="D46">
            <v>68171.914624598692</v>
          </cell>
          <cell r="E46">
            <v>68853.633770844681</v>
          </cell>
          <cell r="F46">
            <v>69542.170108553124</v>
          </cell>
          <cell r="G46">
            <v>70237.591809638659</v>
          </cell>
          <cell r="H46">
            <v>70939.967727735042</v>
          </cell>
          <cell r="I46">
            <v>71649.367405012395</v>
          </cell>
          <cell r="J46">
            <v>72365.861079062524</v>
          </cell>
          <cell r="K46">
            <v>73089.519689853143</v>
          </cell>
          <cell r="L46">
            <v>73820.414886751678</v>
          </cell>
          <cell r="M46">
            <v>74558.619035619195</v>
          </cell>
          <cell r="N46">
            <v>75304.205225975384</v>
          </cell>
          <cell r="O46">
            <v>76057.24727823514</v>
          </cell>
          <cell r="P46">
            <v>76817.819751017494</v>
          </cell>
          <cell r="Q46">
            <v>77585.997948527671</v>
          </cell>
          <cell r="R46">
            <v>78361.857928012949</v>
          </cell>
        </row>
        <row r="47">
          <cell r="A47" t="str">
            <v xml:space="preserve">     Avastin Penetration</v>
          </cell>
          <cell r="B47">
            <v>0</v>
          </cell>
          <cell r="C47">
            <v>0</v>
          </cell>
          <cell r="D47">
            <v>0</v>
          </cell>
          <cell r="E47">
            <v>0.15</v>
          </cell>
          <cell r="F47">
            <v>0.18</v>
          </cell>
          <cell r="G47">
            <v>0.25</v>
          </cell>
          <cell r="H47">
            <v>0.3</v>
          </cell>
          <cell r="I47">
            <v>0.15</v>
          </cell>
          <cell r="J47">
            <v>0.15</v>
          </cell>
          <cell r="K47">
            <v>0.15</v>
          </cell>
          <cell r="L47">
            <v>0.15</v>
          </cell>
          <cell r="M47">
            <v>0.15</v>
          </cell>
          <cell r="N47">
            <v>0.15</v>
          </cell>
          <cell r="O47">
            <v>0.15</v>
          </cell>
          <cell r="P47">
            <v>0.15</v>
          </cell>
          <cell r="Q47">
            <v>0.15</v>
          </cell>
          <cell r="R47">
            <v>0.15</v>
          </cell>
        </row>
        <row r="48">
          <cell r="A48" t="str">
            <v xml:space="preserve">     First-line Patients Treated </v>
          </cell>
          <cell r="B48">
            <v>0</v>
          </cell>
          <cell r="C48">
            <v>0</v>
          </cell>
          <cell r="D48">
            <v>0</v>
          </cell>
          <cell r="E48">
            <v>10328.045065626702</v>
          </cell>
          <cell r="F48">
            <v>12517.590619539562</v>
          </cell>
          <cell r="G48">
            <v>17559.397952409665</v>
          </cell>
          <cell r="H48">
            <v>21281.990318320513</v>
          </cell>
          <cell r="I48">
            <v>10747.405110751859</v>
          </cell>
          <cell r="J48">
            <v>10854.879161859379</v>
          </cell>
          <cell r="K48">
            <v>10963.427953477971</v>
          </cell>
          <cell r="L48">
            <v>11073.062233012752</v>
          </cell>
          <cell r="M48">
            <v>11183.792855342879</v>
          </cell>
          <cell r="N48">
            <v>11295.630783896308</v>
          </cell>
          <cell r="O48">
            <v>11408.587091735271</v>
          </cell>
          <cell r="P48">
            <v>11522.672962652623</v>
          </cell>
          <cell r="Q48">
            <v>11637.89969227915</v>
          </cell>
          <cell r="R48">
            <v>11754.278689201941</v>
          </cell>
        </row>
        <row r="49">
          <cell r="A49" t="str">
            <v xml:space="preserve">     Average Cost Per month</v>
          </cell>
          <cell r="B49">
            <v>4499.7905492018808</v>
          </cell>
          <cell r="C49">
            <v>4484.6574938220119</v>
          </cell>
          <cell r="D49">
            <v>4484.6574938220119</v>
          </cell>
          <cell r="E49">
            <v>4484.6574938220119</v>
          </cell>
          <cell r="F49">
            <v>3792.8447243143937</v>
          </cell>
          <cell r="G49">
            <v>3792.8447243143937</v>
          </cell>
          <cell r="H49">
            <v>3792.8447243143937</v>
          </cell>
          <cell r="I49">
            <v>3792.8447243143937</v>
          </cell>
          <cell r="J49">
            <v>3792.8447243143937</v>
          </cell>
          <cell r="K49">
            <v>3792.8447243143937</v>
          </cell>
          <cell r="L49">
            <v>3792.8447243143937</v>
          </cell>
          <cell r="M49">
            <v>3792.8447243143937</v>
          </cell>
          <cell r="N49">
            <v>3792.8447243143937</v>
          </cell>
          <cell r="O49">
            <v>3792.8447243143937</v>
          </cell>
          <cell r="P49">
            <v>3792.8447243143937</v>
          </cell>
          <cell r="Q49">
            <v>3792.8447243143937</v>
          </cell>
          <cell r="R49">
            <v>3792.8447243143937</v>
          </cell>
        </row>
        <row r="50">
          <cell r="A50" t="str">
            <v xml:space="preserve">     Average Months on Therapy</v>
          </cell>
          <cell r="E50">
            <v>8</v>
          </cell>
          <cell r="F50">
            <v>8</v>
          </cell>
          <cell r="G50">
            <v>8</v>
          </cell>
          <cell r="H50">
            <v>8</v>
          </cell>
          <cell r="I50">
            <v>8</v>
          </cell>
          <cell r="J50">
            <v>8</v>
          </cell>
          <cell r="K50">
            <v>8</v>
          </cell>
          <cell r="L50">
            <v>8</v>
          </cell>
          <cell r="M50">
            <v>8</v>
          </cell>
          <cell r="N50">
            <v>8</v>
          </cell>
          <cell r="O50">
            <v>8</v>
          </cell>
          <cell r="P50">
            <v>8</v>
          </cell>
          <cell r="Q50">
            <v>8</v>
          </cell>
          <cell r="R50">
            <v>8</v>
          </cell>
        </row>
        <row r="51">
          <cell r="A51" t="str">
            <v xml:space="preserve">     Avg. Revenue per patient</v>
          </cell>
          <cell r="B51">
            <v>0</v>
          </cell>
          <cell r="C51">
            <v>0</v>
          </cell>
          <cell r="D51">
            <v>0</v>
          </cell>
          <cell r="E51">
            <v>35877.259950576095</v>
          </cell>
          <cell r="F51">
            <v>30342.75779451515</v>
          </cell>
          <cell r="G51">
            <v>30342.75779451515</v>
          </cell>
          <cell r="H51">
            <v>30342.75779451515</v>
          </cell>
          <cell r="I51">
            <v>30342.75779451515</v>
          </cell>
          <cell r="J51">
            <v>30342.75779451515</v>
          </cell>
          <cell r="K51">
            <v>30342.75779451515</v>
          </cell>
          <cell r="L51">
            <v>30342.75779451515</v>
          </cell>
          <cell r="M51">
            <v>30342.75779451515</v>
          </cell>
          <cell r="N51">
            <v>30342.75779451515</v>
          </cell>
          <cell r="O51">
            <v>30342.75779451515</v>
          </cell>
          <cell r="P51">
            <v>30342.75779451515</v>
          </cell>
          <cell r="Q51">
            <v>30342.75779451515</v>
          </cell>
          <cell r="R51">
            <v>30342.75779451515</v>
          </cell>
        </row>
        <row r="52">
          <cell r="A52" t="str">
            <v xml:space="preserve"> Sales - First-line Setting</v>
          </cell>
          <cell r="B52">
            <v>0</v>
          </cell>
          <cell r="C52">
            <v>0</v>
          </cell>
          <cell r="D52">
            <v>0</v>
          </cell>
          <cell r="E52">
            <v>370.54195760075396</v>
          </cell>
          <cell r="F52">
            <v>379.81822033958377</v>
          </cell>
          <cell r="G52">
            <v>532.8005590874717</v>
          </cell>
          <cell r="H52">
            <v>645.75427761401568</v>
          </cell>
          <cell r="I52">
            <v>326.10591019507791</v>
          </cell>
          <cell r="J52">
            <v>329.36696929702873</v>
          </cell>
          <cell r="K52">
            <v>332.66063898999897</v>
          </cell>
          <cell r="L52">
            <v>335.98724537989904</v>
          </cell>
          <cell r="M52">
            <v>339.34711783369795</v>
          </cell>
          <cell r="N52">
            <v>342.74058901203495</v>
          </cell>
          <cell r="O52">
            <v>346.16799490215533</v>
          </cell>
          <cell r="P52">
            <v>349.62967485117684</v>
          </cell>
          <cell r="Q52">
            <v>353.12597159968863</v>
          </cell>
          <cell r="R52">
            <v>356.65723131568552</v>
          </cell>
        </row>
        <row r="54">
          <cell r="A54" t="str">
            <v>Second-line</v>
          </cell>
        </row>
        <row r="55">
          <cell r="A55" t="str">
            <v xml:space="preserve">     Relapsed patients</v>
          </cell>
          <cell r="B55">
            <v>65000</v>
          </cell>
          <cell r="C55">
            <v>65650</v>
          </cell>
          <cell r="D55">
            <v>66306.5</v>
          </cell>
          <cell r="E55">
            <v>66969.565000000002</v>
          </cell>
          <cell r="F55">
            <v>67639.260649999997</v>
          </cell>
          <cell r="G55">
            <v>68315.653256499994</v>
          </cell>
          <cell r="H55">
            <v>68998.809789064995</v>
          </cell>
          <cell r="I55">
            <v>69688.797886955639</v>
          </cell>
          <cell r="J55">
            <v>70385.685865825202</v>
          </cell>
          <cell r="K55">
            <v>71089.542724483457</v>
          </cell>
          <cell r="L55">
            <v>71800.438151728289</v>
          </cell>
          <cell r="M55">
            <v>72518.442533245572</v>
          </cell>
          <cell r="N55">
            <v>73243.626958578025</v>
          </cell>
          <cell r="O55">
            <v>73976.06322816381</v>
          </cell>
          <cell r="P55">
            <v>74715.823860445453</v>
          </cell>
          <cell r="Q55">
            <v>75462.982099049914</v>
          </cell>
          <cell r="R55">
            <v>76217.611920040406</v>
          </cell>
        </row>
        <row r="56">
          <cell r="A56" t="str">
            <v xml:space="preserve">        % Avastin-Naïve</v>
          </cell>
          <cell r="B56">
            <v>1</v>
          </cell>
          <cell r="C56">
            <v>1</v>
          </cell>
          <cell r="D56">
            <v>1</v>
          </cell>
          <cell r="E56">
            <v>1</v>
          </cell>
          <cell r="F56">
            <v>0.85</v>
          </cell>
          <cell r="G56">
            <v>0.82000000000000006</v>
          </cell>
          <cell r="H56">
            <v>0.75</v>
          </cell>
          <cell r="I56">
            <v>0.1</v>
          </cell>
          <cell r="J56">
            <v>0.1</v>
          </cell>
          <cell r="K56">
            <v>0.1</v>
          </cell>
          <cell r="L56">
            <v>0.1</v>
          </cell>
          <cell r="M56">
            <v>0.1</v>
          </cell>
          <cell r="N56">
            <v>0.1</v>
          </cell>
          <cell r="O56">
            <v>0.1</v>
          </cell>
          <cell r="P56">
            <v>0.1</v>
          </cell>
          <cell r="Q56">
            <v>0.1</v>
          </cell>
          <cell r="R56">
            <v>0.1</v>
          </cell>
        </row>
        <row r="57">
          <cell r="A57" t="str">
            <v xml:space="preserve">     Eligible Patients</v>
          </cell>
          <cell r="B57">
            <v>66828.658586999998</v>
          </cell>
          <cell r="C57">
            <v>67496.945172869993</v>
          </cell>
          <cell r="D57">
            <v>68171.914624598692</v>
          </cell>
          <cell r="E57">
            <v>58525.588705217975</v>
          </cell>
          <cell r="F57">
            <v>57024.579489013558</v>
          </cell>
          <cell r="G57">
            <v>52678.193857228995</v>
          </cell>
          <cell r="H57">
            <v>49657.977409414525</v>
          </cell>
          <cell r="I57">
            <v>60901.962294260535</v>
          </cell>
          <cell r="J57">
            <v>61510.981917203142</v>
          </cell>
          <cell r="K57">
            <v>62126.091736375172</v>
          </cell>
          <cell r="L57">
            <v>62747.352653738926</v>
          </cell>
          <cell r="M57">
            <v>63374.826180276315</v>
          </cell>
          <cell r="N57">
            <v>64008.574442079072</v>
          </cell>
          <cell r="O57">
            <v>64648.660186499867</v>
          </cell>
          <cell r="P57">
            <v>65295.146788364873</v>
          </cell>
          <cell r="Q57">
            <v>65948.098256248515</v>
          </cell>
          <cell r="R57">
            <v>66607.579238811013</v>
          </cell>
        </row>
        <row r="58">
          <cell r="A58" t="str">
            <v xml:space="preserve">     Avastin Penetration</v>
          </cell>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row>
        <row r="59">
          <cell r="A59" t="str">
            <v xml:space="preserve">     Relapsed Patients Treated </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row>
        <row r="60">
          <cell r="A60" t="str">
            <v xml:space="preserve">     Average Cost Per month</v>
          </cell>
          <cell r="B60">
            <v>6599.6928054960918</v>
          </cell>
          <cell r="C60">
            <v>6577.4976576056179</v>
          </cell>
          <cell r="D60">
            <v>6577.4976576056179</v>
          </cell>
          <cell r="E60">
            <v>6577.4976576056179</v>
          </cell>
          <cell r="F60">
            <v>3792.8447243143937</v>
          </cell>
          <cell r="G60">
            <v>3701.4404600994276</v>
          </cell>
          <cell r="H60">
            <v>3846.5397943679968</v>
          </cell>
          <cell r="I60">
            <v>4613.6195500755575</v>
          </cell>
          <cell r="J60">
            <v>4785.9922178988336</v>
          </cell>
          <cell r="K60">
            <v>4555.5555555555557</v>
          </cell>
          <cell r="L60">
            <v>4555.5555555555557</v>
          </cell>
          <cell r="M60">
            <v>4555.5555555555557</v>
          </cell>
          <cell r="N60">
            <v>4555.5555555555557</v>
          </cell>
          <cell r="O60">
            <v>4555.5555555555557</v>
          </cell>
          <cell r="P60">
            <v>4555.5555555555557</v>
          </cell>
          <cell r="Q60">
            <v>4555.5555555555557</v>
          </cell>
          <cell r="R60">
            <v>4555.5555555555557</v>
          </cell>
        </row>
        <row r="61">
          <cell r="A61" t="str">
            <v xml:space="preserve">     Average Months on Therapy</v>
          </cell>
          <cell r="B61">
            <v>3</v>
          </cell>
          <cell r="C61">
            <v>2.5</v>
          </cell>
          <cell r="D61">
            <v>3.5</v>
          </cell>
          <cell r="E61">
            <v>3.5</v>
          </cell>
          <cell r="F61">
            <v>3.5</v>
          </cell>
          <cell r="G61">
            <v>3.5</v>
          </cell>
          <cell r="H61">
            <v>3.5</v>
          </cell>
          <cell r="I61">
            <v>3.5</v>
          </cell>
          <cell r="J61">
            <v>3.5</v>
          </cell>
          <cell r="K61">
            <v>3.5</v>
          </cell>
          <cell r="L61">
            <v>3.5</v>
          </cell>
          <cell r="M61">
            <v>3.5</v>
          </cell>
          <cell r="N61">
            <v>3.5</v>
          </cell>
          <cell r="O61">
            <v>3.5</v>
          </cell>
          <cell r="P61">
            <v>3.5</v>
          </cell>
          <cell r="Q61">
            <v>3.5</v>
          </cell>
          <cell r="R61">
            <v>3.5</v>
          </cell>
        </row>
        <row r="62">
          <cell r="A62" t="str">
            <v xml:space="preserve">     Avg. Revenue per patient</v>
          </cell>
          <cell r="B62">
            <v>19799.078416488275</v>
          </cell>
          <cell r="C62">
            <v>16443.744144014046</v>
          </cell>
          <cell r="D62">
            <v>23021.241801619661</v>
          </cell>
          <cell r="E62">
            <v>23021.241801619661</v>
          </cell>
          <cell r="F62">
            <v>13274.956535100378</v>
          </cell>
          <cell r="G62">
            <v>12955.041610347997</v>
          </cell>
          <cell r="H62">
            <v>13462.889280287989</v>
          </cell>
          <cell r="I62">
            <v>16147.668425264452</v>
          </cell>
          <cell r="J62">
            <v>16750.972762645917</v>
          </cell>
          <cell r="K62">
            <v>15944.444444444445</v>
          </cell>
          <cell r="L62">
            <v>15944.444444444445</v>
          </cell>
          <cell r="M62">
            <v>15944.444444444445</v>
          </cell>
          <cell r="N62">
            <v>15944.444444444445</v>
          </cell>
          <cell r="O62">
            <v>15944.444444444445</v>
          </cell>
          <cell r="P62">
            <v>15944.444444444445</v>
          </cell>
          <cell r="Q62">
            <v>15944.444444444445</v>
          </cell>
          <cell r="R62">
            <v>15944.444444444445</v>
          </cell>
        </row>
        <row r="63">
          <cell r="A63" t="str">
            <v>Sales - Relapse Setting</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row>
        <row r="64">
          <cell r="A64" t="str">
            <v xml:space="preserve">     Sales ($MM)</v>
          </cell>
          <cell r="B64">
            <v>0</v>
          </cell>
          <cell r="C64">
            <v>0</v>
          </cell>
          <cell r="D64">
            <v>0</v>
          </cell>
          <cell r="E64">
            <v>370.54195760075396</v>
          </cell>
          <cell r="F64">
            <v>379.81822033958377</v>
          </cell>
          <cell r="G64">
            <v>532.8005590874717</v>
          </cell>
          <cell r="H64">
            <v>645.75427761401568</v>
          </cell>
          <cell r="I64">
            <v>326.10591019507791</v>
          </cell>
          <cell r="J64">
            <v>329.36696929702873</v>
          </cell>
          <cell r="K64">
            <v>332.66063898999897</v>
          </cell>
          <cell r="L64">
            <v>335.98724537989904</v>
          </cell>
          <cell r="M64">
            <v>339.34711783369795</v>
          </cell>
          <cell r="N64">
            <v>342.74058901203495</v>
          </cell>
          <cell r="O64">
            <v>346.16799490215533</v>
          </cell>
          <cell r="P64">
            <v>349.62967485117684</v>
          </cell>
          <cell r="Q64">
            <v>353.12597159968863</v>
          </cell>
          <cell r="R64">
            <v>356.65723131568552</v>
          </cell>
        </row>
        <row r="65">
          <cell r="A65" t="str">
            <v>% of non-US Sales</v>
          </cell>
          <cell r="B65">
            <v>0</v>
          </cell>
          <cell r="C65">
            <v>0</v>
          </cell>
          <cell r="D65">
            <v>0</v>
          </cell>
          <cell r="E65">
            <v>0.34112304268779237</v>
          </cell>
          <cell r="F65">
            <v>0.20013194871118348</v>
          </cell>
          <cell r="G65">
            <v>0.22721133754701384</v>
          </cell>
          <cell r="H65">
            <v>0.22336766040344019</v>
          </cell>
          <cell r="I65">
            <v>0.10276854822005932</v>
          </cell>
          <cell r="J65">
            <v>9.5794244609897064E-2</v>
          </cell>
          <cell r="K65">
            <v>9.5127829854189383E-2</v>
          </cell>
          <cell r="L65">
            <v>9.0791083144817111E-2</v>
          </cell>
          <cell r="M65">
            <v>8.7982107584565955E-2</v>
          </cell>
          <cell r="N65">
            <v>8.7194749449686818E-2</v>
          </cell>
          <cell r="O65">
            <v>8.641376981790827E-2</v>
          </cell>
          <cell r="P65">
            <v>8.5639128937099115E-2</v>
          </cell>
          <cell r="Q65">
            <v>8.4870787087503827E-2</v>
          </cell>
          <cell r="R65">
            <v>8.4108704586245406E-2</v>
          </cell>
        </row>
        <row r="67">
          <cell r="A67" t="str">
            <v xml:space="preserve">Renal Cell Carcinoma </v>
          </cell>
        </row>
        <row r="68">
          <cell r="A68" t="str">
            <v xml:space="preserve">     New Diagnoses of RCC</v>
          </cell>
          <cell r="B68">
            <v>66474.277199999997</v>
          </cell>
          <cell r="C68">
            <v>67803.762743999992</v>
          </cell>
          <cell r="D68">
            <v>69159.837998880001</v>
          </cell>
          <cell r="E68">
            <v>70543.034758857597</v>
          </cell>
          <cell r="F68">
            <v>71953.895454034748</v>
          </cell>
          <cell r="G68">
            <v>73392.973363115438</v>
          </cell>
          <cell r="H68">
            <v>74860.832830377753</v>
          </cell>
          <cell r="I68">
            <v>76358.049486985314</v>
          </cell>
          <cell r="J68">
            <v>77885.210476725028</v>
          </cell>
          <cell r="K68">
            <v>79442.914686259523</v>
          </cell>
          <cell r="L68">
            <v>81031.772979984715</v>
          </cell>
          <cell r="M68">
            <v>82652.408439584411</v>
          </cell>
          <cell r="N68">
            <v>84305.456608376102</v>
          </cell>
          <cell r="O68">
            <v>85991.565740543621</v>
          </cell>
          <cell r="P68">
            <v>87711.397055354493</v>
          </cell>
          <cell r="Q68">
            <v>89465.624996461585</v>
          </cell>
          <cell r="R68">
            <v>91254.937496390819</v>
          </cell>
        </row>
        <row r="69">
          <cell r="A69" t="str">
            <v xml:space="preserve">     Avastin Penetration</v>
          </cell>
          <cell r="B69">
            <v>0</v>
          </cell>
          <cell r="C69">
            <v>0</v>
          </cell>
          <cell r="D69">
            <v>0</v>
          </cell>
          <cell r="E69">
            <v>0</v>
          </cell>
          <cell r="F69">
            <v>0.02</v>
          </cell>
          <cell r="G69">
            <v>0.03</v>
          </cell>
          <cell r="H69">
            <v>0.04</v>
          </cell>
          <cell r="I69">
            <v>0.05</v>
          </cell>
          <cell r="J69">
            <v>0.05</v>
          </cell>
          <cell r="K69">
            <v>0.05</v>
          </cell>
          <cell r="L69">
            <v>0.05</v>
          </cell>
          <cell r="M69">
            <v>0.05</v>
          </cell>
          <cell r="N69">
            <v>0.05</v>
          </cell>
          <cell r="O69">
            <v>0.05</v>
          </cell>
          <cell r="P69">
            <v>0.05</v>
          </cell>
          <cell r="Q69">
            <v>0.05</v>
          </cell>
          <cell r="R69">
            <v>0.05</v>
          </cell>
        </row>
        <row r="70">
          <cell r="A70" t="str">
            <v xml:space="preserve">     Patients Treated </v>
          </cell>
          <cell r="B70">
            <v>0</v>
          </cell>
          <cell r="C70">
            <v>0</v>
          </cell>
          <cell r="D70">
            <v>0</v>
          </cell>
          <cell r="E70">
            <v>0</v>
          </cell>
          <cell r="F70">
            <v>1439.077909080695</v>
          </cell>
          <cell r="G70">
            <v>2201.7892008934632</v>
          </cell>
          <cell r="H70">
            <v>2994.43331321511</v>
          </cell>
          <cell r="I70">
            <v>3817.902474349266</v>
          </cell>
          <cell r="J70">
            <v>3894.2605238362517</v>
          </cell>
          <cell r="K70">
            <v>3972.1457343129764</v>
          </cell>
          <cell r="L70">
            <v>4051.5886489992358</v>
          </cell>
          <cell r="M70">
            <v>4132.6204219792207</v>
          </cell>
          <cell r="N70">
            <v>4215.2728304188049</v>
          </cell>
          <cell r="O70">
            <v>4299.5782870271814</v>
          </cell>
          <cell r="P70">
            <v>4385.569852767725</v>
          </cell>
          <cell r="Q70">
            <v>4473.2812498230796</v>
          </cell>
          <cell r="R70">
            <v>4562.7468748195415</v>
          </cell>
        </row>
        <row r="71">
          <cell r="A71" t="str">
            <v xml:space="preserve">     Average Cost Per month</v>
          </cell>
          <cell r="B71">
            <v>6599.6928054960918</v>
          </cell>
          <cell r="C71">
            <v>6577.4976576056179</v>
          </cell>
          <cell r="D71">
            <v>6577.4976576056179</v>
          </cell>
          <cell r="E71">
            <v>6832.6286672354945</v>
          </cell>
          <cell r="F71">
            <v>6832.6286672354945</v>
          </cell>
          <cell r="G71">
            <v>6832.6286672354945</v>
          </cell>
          <cell r="H71">
            <v>6832.6286672354945</v>
          </cell>
          <cell r="I71">
            <v>6832.6286672354945</v>
          </cell>
          <cell r="J71">
            <v>6832.6286672354945</v>
          </cell>
          <cell r="K71">
            <v>6832.6286672354945</v>
          </cell>
          <cell r="L71">
            <v>6832.6286672354945</v>
          </cell>
          <cell r="M71">
            <v>6832.6286672354945</v>
          </cell>
          <cell r="N71">
            <v>6832.6286672354945</v>
          </cell>
          <cell r="O71">
            <v>6832.6286672354945</v>
          </cell>
          <cell r="P71">
            <v>6832.6286672354945</v>
          </cell>
          <cell r="Q71">
            <v>6832.6286672354945</v>
          </cell>
          <cell r="R71">
            <v>6832.6286672354945</v>
          </cell>
        </row>
        <row r="72">
          <cell r="A72" t="str">
            <v xml:space="preserve">     Average Months on Therapy</v>
          </cell>
          <cell r="F72">
            <v>5</v>
          </cell>
          <cell r="G72">
            <v>5</v>
          </cell>
          <cell r="H72">
            <v>5</v>
          </cell>
          <cell r="I72">
            <v>5</v>
          </cell>
          <cell r="J72">
            <v>5</v>
          </cell>
          <cell r="K72">
            <v>5</v>
          </cell>
          <cell r="L72">
            <v>5</v>
          </cell>
          <cell r="M72">
            <v>5</v>
          </cell>
          <cell r="N72">
            <v>5</v>
          </cell>
          <cell r="O72">
            <v>5</v>
          </cell>
          <cell r="P72">
            <v>5</v>
          </cell>
          <cell r="Q72">
            <v>5</v>
          </cell>
          <cell r="R72">
            <v>5</v>
          </cell>
        </row>
        <row r="73">
          <cell r="A73" t="str">
            <v xml:space="preserve">     Avg. Revenue per patient</v>
          </cell>
          <cell r="B73">
            <v>0</v>
          </cell>
          <cell r="C73">
            <v>0</v>
          </cell>
          <cell r="D73">
            <v>0</v>
          </cell>
          <cell r="E73">
            <v>0</v>
          </cell>
          <cell r="F73">
            <v>34163.143336177469</v>
          </cell>
          <cell r="G73">
            <v>34163.143336177469</v>
          </cell>
          <cell r="H73">
            <v>34163.143336177469</v>
          </cell>
          <cell r="I73">
            <v>34163.143336177469</v>
          </cell>
          <cell r="J73">
            <v>34163.143336177469</v>
          </cell>
          <cell r="K73">
            <v>34163.143336177469</v>
          </cell>
          <cell r="L73">
            <v>34163.143336177469</v>
          </cell>
          <cell r="M73">
            <v>34163.143336177469</v>
          </cell>
          <cell r="N73">
            <v>34163.143336177469</v>
          </cell>
          <cell r="O73">
            <v>34163.143336177469</v>
          </cell>
          <cell r="P73">
            <v>34163.143336177469</v>
          </cell>
          <cell r="Q73">
            <v>34163.143336177469</v>
          </cell>
          <cell r="R73">
            <v>34163.143336177469</v>
          </cell>
        </row>
        <row r="74">
          <cell r="A74" t="str">
            <v xml:space="preserve">     Sales ($MM)</v>
          </cell>
          <cell r="B74">
            <v>0</v>
          </cell>
          <cell r="C74">
            <v>0</v>
          </cell>
          <cell r="D74">
            <v>0</v>
          </cell>
          <cell r="E74">
            <v>0</v>
          </cell>
          <cell r="F74">
            <v>49.163424879850353</v>
          </cell>
          <cell r="G74">
            <v>75.220040066171038</v>
          </cell>
          <cell r="H74">
            <v>102.29925448999261</v>
          </cell>
          <cell r="I74">
            <v>130.43154947474059</v>
          </cell>
          <cell r="J74">
            <v>133.04018046423542</v>
          </cell>
          <cell r="K74">
            <v>135.70098407352012</v>
          </cell>
          <cell r="L74">
            <v>138.41500375499052</v>
          </cell>
          <cell r="M74">
            <v>141.18330383009035</v>
          </cell>
          <cell r="N74">
            <v>144.00696990669215</v>
          </cell>
          <cell r="O74">
            <v>146.887109304826</v>
          </cell>
          <cell r="P74">
            <v>149.8248514909225</v>
          </cell>
          <cell r="Q74">
            <v>152.82134852074097</v>
          </cell>
          <cell r="R74">
            <v>155.8777754911558</v>
          </cell>
        </row>
        <row r="75">
          <cell r="A75" t="str">
            <v>% of non-US Sales</v>
          </cell>
          <cell r="B75">
            <v>0</v>
          </cell>
          <cell r="C75">
            <v>0</v>
          </cell>
          <cell r="D75">
            <v>0</v>
          </cell>
          <cell r="E75">
            <v>0</v>
          </cell>
          <cell r="F75">
            <v>2.5904950051431005E-2</v>
          </cell>
          <cell r="G75">
            <v>3.2077379841804615E-2</v>
          </cell>
          <cell r="H75">
            <v>3.5385511066028164E-2</v>
          </cell>
          <cell r="I75">
            <v>4.1104011189473523E-2</v>
          </cell>
          <cell r="J75">
            <v>3.8693872726632231E-2</v>
          </cell>
          <cell r="K75">
            <v>3.8805132351050334E-2</v>
          </cell>
          <cell r="L75">
            <v>3.7402753489050596E-2</v>
          </cell>
          <cell r="M75">
            <v>3.6604420588628256E-2</v>
          </cell>
          <cell r="N75">
            <v>3.6636021710231989E-2</v>
          </cell>
          <cell r="O75">
            <v>3.6667366826540024E-2</v>
          </cell>
          <cell r="P75">
            <v>3.6698457533029541E-2</v>
          </cell>
          <cell r="Q75">
            <v>3.672929542387831E-2</v>
          </cell>
          <cell r="R75">
            <v>3.6759882091783935E-2</v>
          </cell>
        </row>
        <row r="77">
          <cell r="A77" t="str">
            <v>Metastatic Breast Cancer</v>
          </cell>
          <cell r="T77" t="str">
            <v>AVADO will file in ROW in 2H08</v>
          </cell>
        </row>
        <row r="78">
          <cell r="A78" t="str">
            <v xml:space="preserve">     New Diagnoses </v>
          </cell>
          <cell r="B78">
            <v>310197.34080000001</v>
          </cell>
          <cell r="C78">
            <v>316401.28761599999</v>
          </cell>
          <cell r="D78">
            <v>322729.31336832</v>
          </cell>
          <cell r="E78">
            <v>329183.89963568642</v>
          </cell>
          <cell r="F78">
            <v>335767.57762840018</v>
          </cell>
          <cell r="G78">
            <v>342482.9291809682</v>
          </cell>
          <cell r="H78">
            <v>349332.5877645876</v>
          </cell>
          <cell r="I78">
            <v>356319.23951987934</v>
          </cell>
          <cell r="J78">
            <v>363445.62431027694</v>
          </cell>
          <cell r="K78">
            <v>370714.53679648245</v>
          </cell>
          <cell r="L78">
            <v>378128.82753241214</v>
          </cell>
          <cell r="M78">
            <v>385691.40408306039</v>
          </cell>
          <cell r="N78">
            <v>393405.23216472159</v>
          </cell>
          <cell r="O78">
            <v>401273.336808016</v>
          </cell>
          <cell r="P78">
            <v>409298.80354417633</v>
          </cell>
          <cell r="Q78">
            <v>417484.77961505984</v>
          </cell>
          <cell r="R78">
            <v>425834.47520736104</v>
          </cell>
        </row>
        <row r="79">
          <cell r="A79" t="str">
            <v>Metastatic and Her 2 (-) Breast Cancer</v>
          </cell>
          <cell r="B79">
            <v>69794.401679999995</v>
          </cell>
          <cell r="C79">
            <v>71190.289713599996</v>
          </cell>
          <cell r="D79">
            <v>72614.095507872</v>
          </cell>
          <cell r="E79">
            <v>74066.377418029442</v>
          </cell>
          <cell r="F79">
            <v>75547.704966390025</v>
          </cell>
          <cell r="G79">
            <v>77058.659065717831</v>
          </cell>
          <cell r="H79">
            <v>78599.832247032202</v>
          </cell>
          <cell r="I79">
            <v>80171.828891972837</v>
          </cell>
          <cell r="J79">
            <v>81775.265469812308</v>
          </cell>
          <cell r="K79">
            <v>83410.770779208542</v>
          </cell>
          <cell r="L79">
            <v>85078.986194792727</v>
          </cell>
          <cell r="M79">
            <v>86780.565918688575</v>
          </cell>
          <cell r="N79">
            <v>88516.177237062351</v>
          </cell>
          <cell r="O79">
            <v>90286.500781803596</v>
          </cell>
          <cell r="P79">
            <v>92092.230797439668</v>
          </cell>
          <cell r="Q79">
            <v>93934.075413388462</v>
          </cell>
          <cell r="R79">
            <v>95812.756921656226</v>
          </cell>
        </row>
        <row r="80">
          <cell r="A80" t="str">
            <v xml:space="preserve">     Avastin Penetration</v>
          </cell>
          <cell r="B80">
            <v>0</v>
          </cell>
          <cell r="C80">
            <v>0</v>
          </cell>
          <cell r="D80">
            <v>0</v>
          </cell>
          <cell r="E80">
            <v>0</v>
          </cell>
          <cell r="F80">
            <v>0.12</v>
          </cell>
          <cell r="G80">
            <v>0.28000000000000003</v>
          </cell>
          <cell r="H80">
            <v>0.35</v>
          </cell>
          <cell r="I80">
            <v>0.3</v>
          </cell>
          <cell r="J80">
            <v>0.25</v>
          </cell>
          <cell r="K80">
            <v>0.25</v>
          </cell>
          <cell r="L80">
            <v>0.25</v>
          </cell>
          <cell r="M80">
            <v>0.25</v>
          </cell>
          <cell r="N80">
            <v>0.25</v>
          </cell>
          <cell r="O80">
            <v>0.25</v>
          </cell>
          <cell r="P80">
            <v>0.25</v>
          </cell>
          <cell r="Q80">
            <v>0.25</v>
          </cell>
          <cell r="R80">
            <v>0.25</v>
          </cell>
        </row>
        <row r="81">
          <cell r="A81" t="str">
            <v xml:space="preserve">     Patients Treated </v>
          </cell>
          <cell r="B81">
            <v>0</v>
          </cell>
          <cell r="C81">
            <v>0</v>
          </cell>
          <cell r="D81">
            <v>0</v>
          </cell>
          <cell r="E81">
            <v>0</v>
          </cell>
          <cell r="F81">
            <v>9065.7245959668035</v>
          </cell>
          <cell r="G81">
            <v>21576.424538400996</v>
          </cell>
          <cell r="H81">
            <v>27509.941286461268</v>
          </cell>
          <cell r="I81">
            <v>24051.548667591851</v>
          </cell>
          <cell r="J81">
            <v>20443.816367453077</v>
          </cell>
          <cell r="K81">
            <v>20852.692694802136</v>
          </cell>
          <cell r="L81">
            <v>21269.746548698182</v>
          </cell>
          <cell r="M81">
            <v>21695.141479672144</v>
          </cell>
          <cell r="N81">
            <v>22129.044309265588</v>
          </cell>
          <cell r="O81">
            <v>22571.625195450899</v>
          </cell>
          <cell r="P81">
            <v>23023.057699359917</v>
          </cell>
          <cell r="Q81">
            <v>23483.518853347116</v>
          </cell>
          <cell r="R81">
            <v>23953.189230414057</v>
          </cell>
        </row>
        <row r="82">
          <cell r="A82" t="str">
            <v>Metastatic and Her 2 (+) Breast Cancer</v>
          </cell>
          <cell r="B82">
            <v>23264.80056</v>
          </cell>
          <cell r="C82">
            <v>23730.0965712</v>
          </cell>
          <cell r="D82">
            <v>24204.698502624</v>
          </cell>
          <cell r="E82">
            <v>24688.79247267648</v>
          </cell>
          <cell r="F82">
            <v>25182.568322130013</v>
          </cell>
          <cell r="G82">
            <v>25686.219688572615</v>
          </cell>
          <cell r="H82">
            <v>26199.944082344071</v>
          </cell>
          <cell r="I82">
            <v>26723.94296399095</v>
          </cell>
          <cell r="J82">
            <v>27258.421823270768</v>
          </cell>
          <cell r="K82">
            <v>27803.590259736182</v>
          </cell>
          <cell r="L82">
            <v>28359.662064930908</v>
          </cell>
          <cell r="M82">
            <v>28926.855306229529</v>
          </cell>
          <cell r="N82">
            <v>29505.392412354118</v>
          </cell>
          <cell r="O82">
            <v>30095.500260601199</v>
          </cell>
          <cell r="P82">
            <v>30697.410265813225</v>
          </cell>
          <cell r="Q82">
            <v>31311.358471129486</v>
          </cell>
          <cell r="R82">
            <v>31937.585640552075</v>
          </cell>
        </row>
        <row r="83">
          <cell r="A83" t="str">
            <v xml:space="preserve">     Avastin Penetration</v>
          </cell>
          <cell r="B83">
            <v>0</v>
          </cell>
          <cell r="C83">
            <v>0</v>
          </cell>
          <cell r="D83">
            <v>0</v>
          </cell>
          <cell r="E83">
            <v>0</v>
          </cell>
          <cell r="F83">
            <v>0.04</v>
          </cell>
          <cell r="G83">
            <v>7.0000000000000007E-2</v>
          </cell>
          <cell r="H83">
            <v>0.08</v>
          </cell>
          <cell r="I83">
            <v>0</v>
          </cell>
          <cell r="J83">
            <v>0</v>
          </cell>
          <cell r="K83">
            <v>0</v>
          </cell>
          <cell r="L83">
            <v>0</v>
          </cell>
          <cell r="M83">
            <v>0</v>
          </cell>
          <cell r="N83">
            <v>0</v>
          </cell>
          <cell r="O83">
            <v>0</v>
          </cell>
          <cell r="P83">
            <v>0</v>
          </cell>
          <cell r="Q83">
            <v>0</v>
          </cell>
          <cell r="R83">
            <v>0</v>
          </cell>
        </row>
        <row r="84">
          <cell r="A84" t="str">
            <v xml:space="preserve">     Patients Treated </v>
          </cell>
          <cell r="B84">
            <v>0</v>
          </cell>
          <cell r="C84">
            <v>0</v>
          </cell>
          <cell r="D84">
            <v>0</v>
          </cell>
          <cell r="E84">
            <v>0</v>
          </cell>
          <cell r="F84">
            <v>1007.3027328852005</v>
          </cell>
          <cell r="G84">
            <v>1798.0353782000832</v>
          </cell>
          <cell r="H84">
            <v>2095.9955265875255</v>
          </cell>
          <cell r="I84">
            <v>0</v>
          </cell>
          <cell r="J84">
            <v>0</v>
          </cell>
          <cell r="K84">
            <v>0</v>
          </cell>
          <cell r="L84">
            <v>0</v>
          </cell>
          <cell r="M84">
            <v>0</v>
          </cell>
          <cell r="N84">
            <v>0</v>
          </cell>
          <cell r="O84">
            <v>0</v>
          </cell>
          <cell r="P84">
            <v>0</v>
          </cell>
          <cell r="Q84">
            <v>0</v>
          </cell>
          <cell r="R84">
            <v>0</v>
          </cell>
        </row>
        <row r="85">
          <cell r="A85" t="str">
            <v>Average Cost Per month</v>
          </cell>
          <cell r="B85">
            <v>6599.6928054960918</v>
          </cell>
          <cell r="C85">
            <v>6577.4976576056179</v>
          </cell>
          <cell r="D85">
            <v>6542.2078598161288</v>
          </cell>
          <cell r="E85">
            <v>6832.6286672354945</v>
          </cell>
          <cell r="F85">
            <v>7117.7547937171748</v>
          </cell>
          <cell r="G85">
            <v>3701.4404600994276</v>
          </cell>
          <cell r="H85">
            <v>3846.5397943679968</v>
          </cell>
          <cell r="I85">
            <v>4613.6195500755575</v>
          </cell>
          <cell r="J85">
            <v>4785.9922178988336</v>
          </cell>
          <cell r="K85">
            <v>4555.5555555555557</v>
          </cell>
          <cell r="L85">
            <v>4555.5555555555557</v>
          </cell>
          <cell r="M85">
            <v>4555.5555555555557</v>
          </cell>
          <cell r="N85">
            <v>4555.5555555555557</v>
          </cell>
          <cell r="O85">
            <v>4555.5555555555557</v>
          </cell>
          <cell r="P85">
            <v>4555.5555555555557</v>
          </cell>
          <cell r="Q85">
            <v>4555.5555555555557</v>
          </cell>
          <cell r="R85">
            <v>4555.5555555555557</v>
          </cell>
        </row>
        <row r="86">
          <cell r="A86" t="str">
            <v>Average Months on Therapy</v>
          </cell>
          <cell r="E86">
            <v>4.9000000000000004</v>
          </cell>
          <cell r="F86">
            <v>5.5</v>
          </cell>
          <cell r="G86">
            <v>5.8</v>
          </cell>
          <cell r="H86">
            <v>6</v>
          </cell>
          <cell r="I86">
            <v>6</v>
          </cell>
          <cell r="J86">
            <v>6</v>
          </cell>
          <cell r="K86">
            <v>6</v>
          </cell>
          <cell r="L86">
            <v>6</v>
          </cell>
          <cell r="M86">
            <v>6</v>
          </cell>
          <cell r="N86">
            <v>6</v>
          </cell>
          <cell r="O86">
            <v>6</v>
          </cell>
          <cell r="P86">
            <v>6</v>
          </cell>
          <cell r="Q86">
            <v>6</v>
          </cell>
          <cell r="R86">
            <v>6</v>
          </cell>
        </row>
        <row r="87">
          <cell r="A87" t="str">
            <v>Avg. Revenue per patient</v>
          </cell>
          <cell r="B87">
            <v>0</v>
          </cell>
          <cell r="C87">
            <v>0</v>
          </cell>
          <cell r="D87">
            <v>0</v>
          </cell>
          <cell r="E87">
            <v>33479.880469453929</v>
          </cell>
          <cell r="F87">
            <v>39147.651365444464</v>
          </cell>
          <cell r="G87">
            <v>21468.354668576678</v>
          </cell>
          <cell r="H87">
            <v>23079.238766207982</v>
          </cell>
          <cell r="I87">
            <v>27681.717300453347</v>
          </cell>
          <cell r="J87">
            <v>28715.953307393</v>
          </cell>
          <cell r="K87">
            <v>27333.333333333336</v>
          </cell>
          <cell r="L87">
            <v>27333.333333333336</v>
          </cell>
          <cell r="M87">
            <v>27333.333333333336</v>
          </cell>
          <cell r="N87">
            <v>27333.333333333336</v>
          </cell>
          <cell r="O87">
            <v>27333.333333333336</v>
          </cell>
          <cell r="P87">
            <v>27333.333333333336</v>
          </cell>
          <cell r="Q87">
            <v>27333.333333333336</v>
          </cell>
          <cell r="R87">
            <v>27333.333333333336</v>
          </cell>
        </row>
        <row r="88">
          <cell r="A88" t="str">
            <v xml:space="preserve">     Sales ($MM)</v>
          </cell>
          <cell r="B88">
            <v>0</v>
          </cell>
          <cell r="C88">
            <v>0</v>
          </cell>
          <cell r="D88">
            <v>0</v>
          </cell>
          <cell r="E88">
            <v>0</v>
          </cell>
          <cell r="F88">
            <v>394.33536206449259</v>
          </cell>
          <cell r="G88">
            <v>501.81119567602116</v>
          </cell>
          <cell r="H88">
            <v>683.28248460561963</v>
          </cell>
          <cell r="I88">
            <v>665.78817085437299</v>
          </cell>
          <cell r="J88">
            <v>587.06367623269932</v>
          </cell>
          <cell r="K88">
            <v>569.97360032459176</v>
          </cell>
          <cell r="L88">
            <v>581.37307233108368</v>
          </cell>
          <cell r="M88">
            <v>593.0005337777053</v>
          </cell>
          <cell r="N88">
            <v>604.86054445325942</v>
          </cell>
          <cell r="O88">
            <v>616.95775534232462</v>
          </cell>
          <cell r="P88">
            <v>629.29691044917104</v>
          </cell>
          <cell r="Q88">
            <v>641.88284865815456</v>
          </cell>
          <cell r="R88">
            <v>654.72050563131756</v>
          </cell>
          <cell r="T88" t="str">
            <v>PIII Avastin in combo Herceptin started recruiting in May 2008</v>
          </cell>
        </row>
        <row r="89">
          <cell r="A89" t="str">
            <v>% of non-US Sales</v>
          </cell>
          <cell r="B89">
            <v>0</v>
          </cell>
          <cell r="C89">
            <v>0</v>
          </cell>
          <cell r="D89">
            <v>0</v>
          </cell>
          <cell r="E89">
            <v>0</v>
          </cell>
          <cell r="F89">
            <v>0.2077812496334111</v>
          </cell>
          <cell r="G89">
            <v>0.2139960084893538</v>
          </cell>
          <cell r="H89">
            <v>0.23634874018168536</v>
          </cell>
          <cell r="I89">
            <v>0.2098155280284934</v>
          </cell>
          <cell r="J89">
            <v>0.17074365873010428</v>
          </cell>
          <cell r="K89">
            <v>0.16298998233658649</v>
          </cell>
          <cell r="L89">
            <v>0.15709968659223111</v>
          </cell>
          <cell r="M89">
            <v>0.15374651505395567</v>
          </cell>
          <cell r="N89">
            <v>0.15387924662681601</v>
          </cell>
          <cell r="O89">
            <v>0.15401090292184336</v>
          </cell>
          <cell r="P89">
            <v>0.15414149064038829</v>
          </cell>
          <cell r="Q89">
            <v>0.15427101647834365</v>
          </cell>
          <cell r="R89">
            <v>0.15439948712538518</v>
          </cell>
        </row>
        <row r="91">
          <cell r="A91" t="str">
            <v>Pancreatic Cancer (failed trial)</v>
          </cell>
        </row>
        <row r="92">
          <cell r="A92" t="str">
            <v xml:space="preserve">     New Diagnoses of Pancreatic Cancer</v>
          </cell>
          <cell r="B92">
            <v>71477.560800000007</v>
          </cell>
          <cell r="C92">
            <v>72907.112016000014</v>
          </cell>
          <cell r="D92">
            <v>74365.254256320011</v>
          </cell>
          <cell r="E92">
            <v>75852.559341446409</v>
          </cell>
          <cell r="F92">
            <v>77369.610528275341</v>
          </cell>
          <cell r="G92">
            <v>78917.002738840849</v>
          </cell>
          <cell r="H92">
            <v>80495.342793617674</v>
          </cell>
          <cell r="I92">
            <v>82105.249649490026</v>
          </cell>
          <cell r="J92">
            <v>83747.354642479826</v>
          </cell>
          <cell r="K92">
            <v>85422.301735329427</v>
          </cell>
          <cell r="L92">
            <v>87130.747770036018</v>
          </cell>
          <cell r="M92">
            <v>88873.362725436746</v>
          </cell>
          <cell r="N92">
            <v>90650.829979945484</v>
          </cell>
          <cell r="O92">
            <v>92463.846579544392</v>
          </cell>
          <cell r="P92">
            <v>94313.123511135287</v>
          </cell>
          <cell r="Q92">
            <v>96199.385981357991</v>
          </cell>
          <cell r="R92">
            <v>98123.373700985147</v>
          </cell>
        </row>
        <row r="93">
          <cell r="A93" t="str">
            <v xml:space="preserve">     Avastin Penetration</v>
          </cell>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row>
        <row r="94">
          <cell r="A94" t="str">
            <v xml:space="preserve">     Patients Treated </v>
          </cell>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row>
        <row r="95">
          <cell r="A95" t="str">
            <v xml:space="preserve">     Average Cost Per month</v>
          </cell>
          <cell r="B95">
            <v>6599.6928054960918</v>
          </cell>
          <cell r="C95">
            <v>6577.4976576056179</v>
          </cell>
          <cell r="D95">
            <v>6577.4976576056179</v>
          </cell>
          <cell r="E95">
            <v>6832.6286672354945</v>
          </cell>
          <cell r="F95">
            <v>6832.6286672354945</v>
          </cell>
          <cell r="G95">
            <v>6832.6286672354945</v>
          </cell>
          <cell r="H95">
            <v>6832.6286672354945</v>
          </cell>
          <cell r="I95">
            <v>6832.6286672354945</v>
          </cell>
          <cell r="J95">
            <v>6832.6286672354945</v>
          </cell>
          <cell r="K95">
            <v>6832.6286672354945</v>
          </cell>
          <cell r="L95">
            <v>6832.6286672354945</v>
          </cell>
          <cell r="M95">
            <v>6832.6286672354945</v>
          </cell>
          <cell r="N95">
            <v>6832.6286672354945</v>
          </cell>
          <cell r="O95">
            <v>6832.6286672354945</v>
          </cell>
          <cell r="P95">
            <v>6832.6286672354945</v>
          </cell>
          <cell r="Q95">
            <v>6832.6286672354945</v>
          </cell>
          <cell r="R95">
            <v>6832.6286672354945</v>
          </cell>
        </row>
        <row r="96">
          <cell r="A96" t="str">
            <v xml:space="preserve">     Average Months on Therapy</v>
          </cell>
          <cell r="B96">
            <v>3</v>
          </cell>
          <cell r="C96">
            <v>3</v>
          </cell>
          <cell r="D96">
            <v>3.5</v>
          </cell>
          <cell r="E96">
            <v>4</v>
          </cell>
          <cell r="F96">
            <v>4</v>
          </cell>
          <cell r="G96">
            <v>4</v>
          </cell>
          <cell r="H96">
            <v>4</v>
          </cell>
          <cell r="I96">
            <v>4</v>
          </cell>
          <cell r="J96">
            <v>4</v>
          </cell>
          <cell r="K96">
            <v>4</v>
          </cell>
          <cell r="L96">
            <v>4</v>
          </cell>
          <cell r="M96">
            <v>4</v>
          </cell>
          <cell r="N96">
            <v>4</v>
          </cell>
          <cell r="O96">
            <v>4</v>
          </cell>
          <cell r="P96">
            <v>4</v>
          </cell>
          <cell r="Q96">
            <v>4</v>
          </cell>
          <cell r="R96">
            <v>4</v>
          </cell>
        </row>
        <row r="97">
          <cell r="A97" t="str">
            <v xml:space="preserve">     Avg. Revenue per patient</v>
          </cell>
          <cell r="B97">
            <v>19799.078416488275</v>
          </cell>
          <cell r="C97">
            <v>19732.492972816854</v>
          </cell>
          <cell r="D97">
            <v>23021.241801619661</v>
          </cell>
          <cell r="E97">
            <v>27330.514668941978</v>
          </cell>
          <cell r="F97">
            <v>27330.514668941978</v>
          </cell>
          <cell r="G97">
            <v>27330.514668941978</v>
          </cell>
          <cell r="H97">
            <v>27330.514668941978</v>
          </cell>
          <cell r="I97">
            <v>27330.514668941978</v>
          </cell>
          <cell r="J97">
            <v>27330.514668941978</v>
          </cell>
          <cell r="K97">
            <v>27330.514668941978</v>
          </cell>
          <cell r="L97">
            <v>27330.514668941978</v>
          </cell>
          <cell r="M97">
            <v>27330.514668941978</v>
          </cell>
          <cell r="N97">
            <v>27330.514668941978</v>
          </cell>
          <cell r="O97">
            <v>27330.514668941978</v>
          </cell>
          <cell r="P97">
            <v>27330.514668941978</v>
          </cell>
          <cell r="Q97">
            <v>27330.514668941978</v>
          </cell>
          <cell r="R97">
            <v>27330.514668941978</v>
          </cell>
        </row>
        <row r="98">
          <cell r="A98" t="str">
            <v xml:space="preserve">     Sales ($MM)</v>
          </cell>
          <cell r="B98">
            <v>0</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row>
        <row r="99">
          <cell r="A99" t="str">
            <v>% of non-US Sales</v>
          </cell>
          <cell r="B99">
            <v>0</v>
          </cell>
          <cell r="C99">
            <v>0</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row>
        <row r="101">
          <cell r="A101" t="str">
            <v>Ovarian Cancer</v>
          </cell>
        </row>
        <row r="102">
          <cell r="A102" t="str">
            <v xml:space="preserve">     New Diagnoses of Ovarian Cancer</v>
          </cell>
          <cell r="I102">
            <v>20000</v>
          </cell>
          <cell r="J102">
            <v>20400</v>
          </cell>
          <cell r="K102">
            <v>20808</v>
          </cell>
          <cell r="L102">
            <v>21224.16</v>
          </cell>
          <cell r="M102">
            <v>21648.643199999999</v>
          </cell>
          <cell r="N102">
            <v>22081.616063999998</v>
          </cell>
          <cell r="O102">
            <v>22523.24838528</v>
          </cell>
          <cell r="P102">
            <v>22973.7133529856</v>
          </cell>
          <cell r="Q102">
            <v>23433.187620045312</v>
          </cell>
          <cell r="R102">
            <v>23901.851372446217</v>
          </cell>
        </row>
        <row r="103">
          <cell r="A103" t="str">
            <v xml:space="preserve">     Avastin Penetration</v>
          </cell>
          <cell r="I103">
            <v>0.05</v>
          </cell>
          <cell r="J103">
            <v>0.1</v>
          </cell>
          <cell r="K103">
            <v>0.15</v>
          </cell>
          <cell r="L103">
            <v>0.2</v>
          </cell>
          <cell r="M103">
            <v>0.2</v>
          </cell>
          <cell r="N103">
            <v>0.2</v>
          </cell>
          <cell r="O103">
            <v>0.2</v>
          </cell>
          <cell r="P103">
            <v>0.2</v>
          </cell>
          <cell r="Q103">
            <v>0.2</v>
          </cell>
          <cell r="R103">
            <v>0.2</v>
          </cell>
        </row>
        <row r="104">
          <cell r="A104" t="str">
            <v xml:space="preserve">     Patients Treated </v>
          </cell>
          <cell r="I104">
            <v>1000</v>
          </cell>
          <cell r="J104">
            <v>2040</v>
          </cell>
          <cell r="K104">
            <v>3121.2</v>
          </cell>
          <cell r="L104">
            <v>4244.8320000000003</v>
          </cell>
          <cell r="M104">
            <v>4329.7286400000003</v>
          </cell>
          <cell r="N104">
            <v>4416.3232128</v>
          </cell>
          <cell r="O104">
            <v>4504.6496770559997</v>
          </cell>
          <cell r="P104">
            <v>4594.7426705971202</v>
          </cell>
          <cell r="Q104">
            <v>4686.6375240090629</v>
          </cell>
          <cell r="R104">
            <v>4780.3702744892435</v>
          </cell>
        </row>
        <row r="105">
          <cell r="A105" t="str">
            <v xml:space="preserve">     Average Cost Per treatment</v>
          </cell>
          <cell r="I105">
            <v>50000</v>
          </cell>
          <cell r="J105">
            <v>50000</v>
          </cell>
          <cell r="K105">
            <v>50000</v>
          </cell>
          <cell r="L105">
            <v>50000</v>
          </cell>
          <cell r="M105">
            <v>50000</v>
          </cell>
          <cell r="N105">
            <v>50000</v>
          </cell>
          <cell r="O105">
            <v>50000</v>
          </cell>
          <cell r="P105">
            <v>50000</v>
          </cell>
          <cell r="Q105">
            <v>50000</v>
          </cell>
          <cell r="R105">
            <v>50000</v>
          </cell>
        </row>
        <row r="106">
          <cell r="A106" t="str">
            <v xml:space="preserve">     Sales ($MM)</v>
          </cell>
          <cell r="I106">
            <v>50</v>
          </cell>
          <cell r="J106">
            <v>102</v>
          </cell>
          <cell r="K106">
            <v>156.06</v>
          </cell>
          <cell r="L106">
            <v>212.24160000000003</v>
          </cell>
          <cell r="M106">
            <v>216.48643200000001</v>
          </cell>
          <cell r="N106">
            <v>220.81616063999999</v>
          </cell>
          <cell r="O106">
            <v>225.23248385279999</v>
          </cell>
          <cell r="P106">
            <v>229.73713352985601</v>
          </cell>
          <cell r="Q106">
            <v>234.33187620045314</v>
          </cell>
          <cell r="R106">
            <v>239.01851372446217</v>
          </cell>
        </row>
        <row r="107">
          <cell r="A107" t="str">
            <v>% of non-US Sales</v>
          </cell>
          <cell r="I107">
            <v>1.5756928195288265E-2</v>
          </cell>
          <cell r="J107">
            <v>2.9666037766518823E-2</v>
          </cell>
          <cell r="K107">
            <v>4.462700838944493E-2</v>
          </cell>
          <cell r="L107">
            <v>5.735231029559152E-2</v>
          </cell>
          <cell r="M107">
            <v>5.6128169505058396E-2</v>
          </cell>
          <cell r="N107">
            <v>5.6176625759286752E-2</v>
          </cell>
          <cell r="O107">
            <v>5.6224689462331397E-2</v>
          </cell>
          <cell r="P107">
            <v>5.6272363060651323E-2</v>
          </cell>
          <cell r="Q107">
            <v>5.6319648998713015E-2</v>
          </cell>
          <cell r="R107">
            <v>5.6366549718713341E-2</v>
          </cell>
        </row>
        <row r="110">
          <cell r="A110" t="str">
            <v>NOTE THAT US AVASTIN DOES NOT DRIVE ESTIMATES - THESE ARE STEVE HARR'S NUMBERS</v>
          </cell>
        </row>
        <row r="111">
          <cell r="A111" t="str">
            <v>Avastin - US</v>
          </cell>
          <cell r="B111">
            <v>508.92796676000006</v>
          </cell>
          <cell r="C111">
            <v>1163.3299750641836</v>
          </cell>
          <cell r="D111">
            <v>1736.1588249681265</v>
          </cell>
          <cell r="E111">
            <v>2273.0503361194478</v>
          </cell>
          <cell r="F111">
            <v>2841.4626603976999</v>
          </cell>
          <cell r="G111">
            <v>3190.7808966979701</v>
          </cell>
          <cell r="H111">
            <v>3423.1295113710603</v>
          </cell>
          <cell r="I111">
            <v>2587.191933148556</v>
          </cell>
          <cell r="J111">
            <v>2402.0489698771125</v>
          </cell>
          <cell r="K111">
            <v>2442.4652858773416</v>
          </cell>
          <cell r="L111">
            <v>2484.244539707589</v>
          </cell>
          <cell r="M111">
            <v>2526.7886780955696</v>
          </cell>
          <cell r="N111">
            <v>2570.1122917272473</v>
          </cell>
          <cell r="O111">
            <v>2614.230256032256</v>
          </cell>
          <cell r="P111">
            <v>2659.1577368080689</v>
          </cell>
          <cell r="Q111">
            <v>2704.9101959559516</v>
          </cell>
          <cell r="R111">
            <v>2751.5033973309078</v>
          </cell>
        </row>
        <row r="113">
          <cell r="A113" t="str">
            <v xml:space="preserve"> Colorectal Cancer </v>
          </cell>
        </row>
        <row r="114">
          <cell r="A114" t="str">
            <v xml:space="preserve">     New Diagnoses of CRC</v>
          </cell>
          <cell r="B114">
            <v>160000</v>
          </cell>
          <cell r="C114">
            <v>163200</v>
          </cell>
          <cell r="D114">
            <v>166464</v>
          </cell>
          <cell r="E114">
            <v>169793.28</v>
          </cell>
          <cell r="F114">
            <v>173189.14559999999</v>
          </cell>
          <cell r="G114">
            <v>176652.92851199998</v>
          </cell>
          <cell r="H114">
            <v>180185.98708224</v>
          </cell>
          <cell r="I114">
            <v>183789.7068238848</v>
          </cell>
          <cell r="J114">
            <v>187465.50096036249</v>
          </cell>
          <cell r="K114">
            <v>191214.81097956974</v>
          </cell>
          <cell r="L114">
            <v>195039.10719916114</v>
          </cell>
          <cell r="M114">
            <v>198939.88934314437</v>
          </cell>
          <cell r="N114">
            <v>202918.68713000725</v>
          </cell>
          <cell r="O114">
            <v>206977.0608726074</v>
          </cell>
          <cell r="P114">
            <v>211116.60209005955</v>
          </cell>
          <cell r="Q114">
            <v>215338.93413186073</v>
          </cell>
          <cell r="R114">
            <v>219645.71281449797</v>
          </cell>
        </row>
        <row r="115">
          <cell r="A115" t="str">
            <v xml:space="preserve">     Eligible Stage (III/IV) Patients (22.5%)</v>
          </cell>
          <cell r="B115">
            <v>36000</v>
          </cell>
          <cell r="C115">
            <v>36720</v>
          </cell>
          <cell r="D115">
            <v>37454.400000000001</v>
          </cell>
          <cell r="E115">
            <v>38203.487999999998</v>
          </cell>
          <cell r="F115">
            <v>38967.557759999996</v>
          </cell>
          <cell r="G115">
            <v>39746.908915199994</v>
          </cell>
          <cell r="H115">
            <v>40541.847093504002</v>
          </cell>
          <cell r="I115">
            <v>41352.684035374084</v>
          </cell>
          <cell r="J115">
            <v>42179.737716081559</v>
          </cell>
          <cell r="K115">
            <v>43023.332470403191</v>
          </cell>
          <cell r="L115">
            <v>43883.799119811258</v>
          </cell>
          <cell r="M115">
            <v>44761.475102207485</v>
          </cell>
          <cell r="N115">
            <v>45656.70460425163</v>
          </cell>
          <cell r="O115">
            <v>46569.838696336665</v>
          </cell>
          <cell r="P115">
            <v>47501.235470263397</v>
          </cell>
          <cell r="Q115">
            <v>48451.260179668665</v>
          </cell>
          <cell r="R115">
            <v>49420.285383262046</v>
          </cell>
        </row>
        <row r="116">
          <cell r="A116" t="str">
            <v xml:space="preserve">     Avastin Penetration</v>
          </cell>
          <cell r="B116">
            <v>0.39954760002044926</v>
          </cell>
          <cell r="C116">
            <v>0.6</v>
          </cell>
          <cell r="D116">
            <v>0.70499999999999996</v>
          </cell>
          <cell r="E116">
            <v>0.72</v>
          </cell>
          <cell r="F116">
            <v>0.73</v>
          </cell>
          <cell r="G116">
            <v>0.73499999999999999</v>
          </cell>
          <cell r="H116">
            <v>0.74</v>
          </cell>
          <cell r="I116">
            <v>0.75</v>
          </cell>
          <cell r="J116">
            <v>0.75</v>
          </cell>
          <cell r="K116">
            <v>0.75</v>
          </cell>
          <cell r="L116">
            <v>0.75</v>
          </cell>
          <cell r="M116">
            <v>0.75</v>
          </cell>
          <cell r="N116">
            <v>0.75</v>
          </cell>
          <cell r="O116">
            <v>0.75</v>
          </cell>
          <cell r="P116">
            <v>0.75</v>
          </cell>
          <cell r="Q116">
            <v>0.75</v>
          </cell>
          <cell r="R116">
            <v>0.75</v>
          </cell>
        </row>
        <row r="117">
          <cell r="A117" t="str">
            <v xml:space="preserve">     First-line Patients Treated </v>
          </cell>
          <cell r="B117">
            <v>14383.713600736173</v>
          </cell>
          <cell r="C117">
            <v>22032</v>
          </cell>
          <cell r="D117">
            <v>26405.351999999999</v>
          </cell>
          <cell r="E117">
            <v>27506.511359999997</v>
          </cell>
          <cell r="F117">
            <v>28446.317164799995</v>
          </cell>
          <cell r="G117">
            <v>29213.978052671995</v>
          </cell>
          <cell r="H117">
            <v>30000.966849192962</v>
          </cell>
          <cell r="I117">
            <v>31014.513026530563</v>
          </cell>
          <cell r="J117">
            <v>31634.803287061171</v>
          </cell>
          <cell r="K117">
            <v>32267.499352802392</v>
          </cell>
          <cell r="L117">
            <v>32912.84933985844</v>
          </cell>
          <cell r="M117">
            <v>33571.106326655616</v>
          </cell>
          <cell r="N117">
            <v>34242.528453188723</v>
          </cell>
          <cell r="O117">
            <v>34927.379022252499</v>
          </cell>
          <cell r="P117">
            <v>35625.926602697546</v>
          </cell>
          <cell r="Q117">
            <v>36338.445134751499</v>
          </cell>
          <cell r="R117">
            <v>37065.214037446538</v>
          </cell>
        </row>
        <row r="118">
          <cell r="A118" t="str">
            <v xml:space="preserve">     Average Cost Per month</v>
          </cell>
          <cell r="B118">
            <v>4400</v>
          </cell>
          <cell r="C118">
            <v>4400</v>
          </cell>
          <cell r="D118">
            <v>4400</v>
          </cell>
          <cell r="E118">
            <v>4400</v>
          </cell>
          <cell r="F118">
            <v>4400</v>
          </cell>
          <cell r="G118">
            <v>4400</v>
          </cell>
          <cell r="H118">
            <v>4400</v>
          </cell>
          <cell r="I118">
            <v>4400</v>
          </cell>
          <cell r="J118">
            <v>4400</v>
          </cell>
          <cell r="K118">
            <v>4400</v>
          </cell>
          <cell r="L118">
            <v>4400</v>
          </cell>
          <cell r="M118">
            <v>4400</v>
          </cell>
          <cell r="N118">
            <v>4400</v>
          </cell>
          <cell r="O118">
            <v>4400</v>
          </cell>
          <cell r="P118">
            <v>4400</v>
          </cell>
          <cell r="Q118">
            <v>4400</v>
          </cell>
          <cell r="R118">
            <v>4400</v>
          </cell>
        </row>
        <row r="119">
          <cell r="A119" t="str">
            <v xml:space="preserve">     Average Months on Therapy</v>
          </cell>
          <cell r="B119">
            <v>0</v>
          </cell>
          <cell r="C119">
            <v>7</v>
          </cell>
          <cell r="D119">
            <v>8</v>
          </cell>
          <cell r="E119">
            <v>8.5</v>
          </cell>
          <cell r="F119">
            <v>9</v>
          </cell>
          <cell r="G119">
            <v>9.25</v>
          </cell>
          <cell r="H119">
            <v>9.5</v>
          </cell>
          <cell r="I119">
            <v>9.5</v>
          </cell>
          <cell r="J119">
            <v>9.5</v>
          </cell>
          <cell r="K119">
            <v>9.5</v>
          </cell>
          <cell r="L119">
            <v>9.5</v>
          </cell>
          <cell r="M119">
            <v>9.5</v>
          </cell>
          <cell r="N119">
            <v>9.5</v>
          </cell>
          <cell r="O119">
            <v>9.5</v>
          </cell>
          <cell r="P119">
            <v>9.5</v>
          </cell>
          <cell r="Q119">
            <v>9.5</v>
          </cell>
          <cell r="R119">
            <v>9.5</v>
          </cell>
        </row>
        <row r="120">
          <cell r="A120" t="str">
            <v xml:space="preserve">     Avg. Revenue per patient</v>
          </cell>
          <cell r="B120">
            <v>0</v>
          </cell>
          <cell r="C120">
            <v>30800</v>
          </cell>
          <cell r="D120">
            <v>35200</v>
          </cell>
          <cell r="E120">
            <v>37400</v>
          </cell>
          <cell r="F120">
            <v>39600</v>
          </cell>
          <cell r="G120">
            <v>40700</v>
          </cell>
          <cell r="H120">
            <v>41800</v>
          </cell>
          <cell r="I120">
            <v>41800</v>
          </cell>
          <cell r="J120">
            <v>41800</v>
          </cell>
          <cell r="K120">
            <v>41800</v>
          </cell>
          <cell r="L120">
            <v>41800</v>
          </cell>
          <cell r="M120">
            <v>41800</v>
          </cell>
          <cell r="N120">
            <v>41800</v>
          </cell>
          <cell r="O120">
            <v>41800</v>
          </cell>
          <cell r="P120">
            <v>41800</v>
          </cell>
          <cell r="Q120">
            <v>41800</v>
          </cell>
          <cell r="R120">
            <v>41800</v>
          </cell>
        </row>
        <row r="121">
          <cell r="A121" t="str">
            <v xml:space="preserve"> Sales - First-line Setting</v>
          </cell>
          <cell r="B121">
            <v>283.35000000000002</v>
          </cell>
          <cell r="C121">
            <v>678.5856</v>
          </cell>
          <cell r="D121">
            <v>929.46839039999998</v>
          </cell>
          <cell r="E121">
            <v>1028.7435248639999</v>
          </cell>
          <cell r="F121">
            <v>1126.4741597260797</v>
          </cell>
          <cell r="G121">
            <v>1189.00890674375</v>
          </cell>
          <cell r="H121">
            <v>1254.0404142962659</v>
          </cell>
          <cell r="I121">
            <v>1296.4066445089777</v>
          </cell>
          <cell r="J121">
            <v>1322.334777399157</v>
          </cell>
          <cell r="K121">
            <v>1348.7814729471399</v>
          </cell>
          <cell r="L121">
            <v>1375.7571024060828</v>
          </cell>
          <cell r="M121">
            <v>1403.2722444542048</v>
          </cell>
          <cell r="N121">
            <v>1431.3376893432887</v>
          </cell>
          <cell r="O121">
            <v>1459.9644431301545</v>
          </cell>
          <cell r="P121">
            <v>1489.1637319927572</v>
          </cell>
          <cell r="Q121">
            <v>1518.9470066326128</v>
          </cell>
          <cell r="R121">
            <v>1549.3259467652651</v>
          </cell>
        </row>
        <row r="123">
          <cell r="A123" t="str">
            <v>Second-line</v>
          </cell>
        </row>
        <row r="124">
          <cell r="A124" t="str">
            <v xml:space="preserve">    2003 Relapsed Patients Waiting for Therapy</v>
          </cell>
          <cell r="B124">
            <v>15000</v>
          </cell>
          <cell r="C124">
            <v>0</v>
          </cell>
          <cell r="D124">
            <v>0</v>
          </cell>
          <cell r="E124">
            <v>0</v>
          </cell>
          <cell r="F124">
            <v>0</v>
          </cell>
          <cell r="G124">
            <v>0</v>
          </cell>
          <cell r="H124">
            <v>0</v>
          </cell>
          <cell r="I124">
            <v>0</v>
          </cell>
          <cell r="J124">
            <v>0</v>
          </cell>
          <cell r="K124">
            <v>0</v>
          </cell>
        </row>
        <row r="125">
          <cell r="A125" t="str">
            <v xml:space="preserve">    New Patients Relapsing Per Year</v>
          </cell>
          <cell r="B125">
            <v>31300</v>
          </cell>
          <cell r="C125">
            <v>31926</v>
          </cell>
          <cell r="D125">
            <v>32564.52</v>
          </cell>
          <cell r="E125">
            <v>33215.810400000002</v>
          </cell>
          <cell r="F125">
            <v>33880.126608000006</v>
          </cell>
          <cell r="G125">
            <v>34557.729140160009</v>
          </cell>
          <cell r="H125">
            <v>35248.883722963212</v>
          </cell>
          <cell r="I125">
            <v>35953.861397422479</v>
          </cell>
          <cell r="J125">
            <v>36672.938625370931</v>
          </cell>
          <cell r="K125">
            <v>37406.397397878347</v>
          </cell>
          <cell r="L125">
            <v>38154.525345835915</v>
          </cell>
          <cell r="M125">
            <v>38917.615852752635</v>
          </cell>
          <cell r="N125">
            <v>39695.968169807689</v>
          </cell>
          <cell r="O125">
            <v>40489.887533203844</v>
          </cell>
          <cell r="P125">
            <v>41299.685283867919</v>
          </cell>
          <cell r="Q125">
            <v>42125.678989545275</v>
          </cell>
          <cell r="R125">
            <v>42968.192569336185</v>
          </cell>
        </row>
        <row r="126">
          <cell r="A126" t="str">
            <v xml:space="preserve">        % Avastin-Naïve</v>
          </cell>
          <cell r="B126">
            <v>1</v>
          </cell>
          <cell r="C126">
            <v>0.90011309999488764</v>
          </cell>
          <cell r="D126">
            <v>0.46614929199325178</v>
          </cell>
          <cell r="E126">
            <v>0.32965000000000005</v>
          </cell>
          <cell r="F126">
            <v>0.28495000000000004</v>
          </cell>
          <cell r="G126">
            <v>0.27330000000000004</v>
          </cell>
          <cell r="H126">
            <v>0.26665000000000005</v>
          </cell>
          <cell r="I126">
            <v>0.26165000000000005</v>
          </cell>
          <cell r="J126">
            <v>0.25330000000000003</v>
          </cell>
          <cell r="K126">
            <v>0.25</v>
          </cell>
          <cell r="L126">
            <v>0.25</v>
          </cell>
          <cell r="M126">
            <v>0.25</v>
          </cell>
          <cell r="N126">
            <v>0.25</v>
          </cell>
          <cell r="O126">
            <v>0.25</v>
          </cell>
          <cell r="P126">
            <v>0.25</v>
          </cell>
          <cell r="Q126">
            <v>0.25</v>
          </cell>
          <cell r="R126">
            <v>0.25</v>
          </cell>
        </row>
        <row r="127">
          <cell r="A127" t="str">
            <v xml:space="preserve">     Eligible Patients</v>
          </cell>
          <cell r="B127">
            <v>31300</v>
          </cell>
          <cell r="C127">
            <v>28737.010830436782</v>
          </cell>
          <cell r="D127">
            <v>15179.927942100088</v>
          </cell>
          <cell r="E127">
            <v>10949.591898360002</v>
          </cell>
          <cell r="F127">
            <v>9654.1420769496035</v>
          </cell>
          <cell r="G127">
            <v>9444.6273740057313</v>
          </cell>
          <cell r="H127">
            <v>9399.114844728143</v>
          </cell>
          <cell r="I127">
            <v>9407.3278346355928</v>
          </cell>
          <cell r="J127">
            <v>9289.2553538064585</v>
          </cell>
          <cell r="K127">
            <v>9351.5993494695867</v>
          </cell>
          <cell r="L127">
            <v>9538.6313364589787</v>
          </cell>
          <cell r="M127">
            <v>9729.4039631881587</v>
          </cell>
          <cell r="N127">
            <v>9923.9920424519223</v>
          </cell>
          <cell r="O127">
            <v>10122.471883300961</v>
          </cell>
          <cell r="P127">
            <v>10324.92132096698</v>
          </cell>
          <cell r="Q127">
            <v>10531.419747386319</v>
          </cell>
          <cell r="R127">
            <v>10742.048142334046</v>
          </cell>
        </row>
        <row r="128">
          <cell r="A128" t="str">
            <v xml:space="preserve">     Avastin Penetration</v>
          </cell>
          <cell r="B128">
            <v>0.2755502125590788</v>
          </cell>
          <cell r="C128">
            <v>0.45</v>
          </cell>
          <cell r="D128">
            <v>0.45</v>
          </cell>
          <cell r="E128">
            <v>0.34</v>
          </cell>
          <cell r="F128">
            <v>0.25</v>
          </cell>
          <cell r="G128">
            <v>0.2</v>
          </cell>
          <cell r="H128">
            <v>0.2</v>
          </cell>
          <cell r="I128">
            <v>0.2</v>
          </cell>
          <cell r="J128">
            <v>0.2</v>
          </cell>
          <cell r="K128">
            <v>0.2</v>
          </cell>
          <cell r="L128">
            <v>0.2</v>
          </cell>
          <cell r="M128">
            <v>0.2</v>
          </cell>
          <cell r="N128">
            <v>0.2</v>
          </cell>
          <cell r="O128">
            <v>0.2</v>
          </cell>
          <cell r="P128">
            <v>0.2</v>
          </cell>
          <cell r="Q128">
            <v>0.2</v>
          </cell>
          <cell r="R128">
            <v>0.2</v>
          </cell>
        </row>
        <row r="129">
          <cell r="A129" t="str">
            <v xml:space="preserve">     Relapsed Patients Treated </v>
          </cell>
          <cell r="B129">
            <v>12757.974841485349</v>
          </cell>
          <cell r="C129">
            <v>12931.654873696552</v>
          </cell>
          <cell r="D129">
            <v>6830.9675739450395</v>
          </cell>
          <cell r="E129">
            <v>3722.861245442401</v>
          </cell>
          <cell r="F129">
            <v>2413.5355192374009</v>
          </cell>
          <cell r="G129">
            <v>1888.9254748011463</v>
          </cell>
          <cell r="H129">
            <v>1879.8229689456286</v>
          </cell>
          <cell r="I129">
            <v>1881.4655669271187</v>
          </cell>
          <cell r="J129">
            <v>1857.8510707612918</v>
          </cell>
          <cell r="K129">
            <v>1870.3198698939175</v>
          </cell>
          <cell r="L129">
            <v>1907.7262672917959</v>
          </cell>
          <cell r="M129">
            <v>1945.8807926376319</v>
          </cell>
          <cell r="N129">
            <v>1984.7984084903846</v>
          </cell>
          <cell r="O129">
            <v>2024.4943766601923</v>
          </cell>
          <cell r="P129">
            <v>2064.984264193396</v>
          </cell>
          <cell r="Q129">
            <v>2106.2839494772638</v>
          </cell>
          <cell r="R129">
            <v>2148.4096284668094</v>
          </cell>
        </row>
        <row r="130">
          <cell r="A130" t="str">
            <v xml:space="preserve">     Average Cost Per month</v>
          </cell>
          <cell r="B130">
            <v>4400</v>
          </cell>
          <cell r="C130">
            <v>4400</v>
          </cell>
          <cell r="D130">
            <v>4400</v>
          </cell>
          <cell r="E130">
            <v>4400</v>
          </cell>
          <cell r="F130">
            <v>4400</v>
          </cell>
          <cell r="G130">
            <v>4400</v>
          </cell>
          <cell r="H130">
            <v>4400</v>
          </cell>
          <cell r="I130">
            <v>4400</v>
          </cell>
          <cell r="J130">
            <v>4400</v>
          </cell>
          <cell r="K130">
            <v>4400</v>
          </cell>
          <cell r="L130">
            <v>4400</v>
          </cell>
          <cell r="M130">
            <v>4400</v>
          </cell>
          <cell r="N130">
            <v>4400</v>
          </cell>
          <cell r="O130">
            <v>4400</v>
          </cell>
          <cell r="P130">
            <v>4400</v>
          </cell>
          <cell r="Q130">
            <v>4400</v>
          </cell>
          <cell r="R130">
            <v>4400</v>
          </cell>
        </row>
        <row r="131">
          <cell r="A131" t="str">
            <v xml:space="preserve">     Average Months on Therapy</v>
          </cell>
          <cell r="B131">
            <v>3.7641340314115421</v>
          </cell>
          <cell r="C131">
            <v>4.5</v>
          </cell>
          <cell r="D131">
            <v>5</v>
          </cell>
          <cell r="E131">
            <v>5</v>
          </cell>
          <cell r="F131">
            <v>5</v>
          </cell>
          <cell r="G131">
            <v>5</v>
          </cell>
          <cell r="H131">
            <v>5</v>
          </cell>
          <cell r="I131">
            <v>5</v>
          </cell>
          <cell r="J131">
            <v>5</v>
          </cell>
          <cell r="K131">
            <v>5</v>
          </cell>
          <cell r="L131">
            <v>5</v>
          </cell>
          <cell r="M131">
            <v>5</v>
          </cell>
          <cell r="N131">
            <v>5</v>
          </cell>
          <cell r="O131">
            <v>5</v>
          </cell>
          <cell r="P131">
            <v>5</v>
          </cell>
          <cell r="Q131">
            <v>5</v>
          </cell>
          <cell r="R131">
            <v>5</v>
          </cell>
        </row>
        <row r="132">
          <cell r="A132" t="str">
            <v xml:space="preserve">     Avg. Revenue per patient</v>
          </cell>
          <cell r="B132">
            <v>16562.189738210785</v>
          </cell>
          <cell r="C132">
            <v>19800</v>
          </cell>
          <cell r="D132">
            <v>22000</v>
          </cell>
          <cell r="E132">
            <v>22000</v>
          </cell>
          <cell r="F132">
            <v>22000</v>
          </cell>
          <cell r="G132">
            <v>22000</v>
          </cell>
          <cell r="H132">
            <v>22000</v>
          </cell>
          <cell r="I132">
            <v>22000</v>
          </cell>
          <cell r="J132">
            <v>22000</v>
          </cell>
          <cell r="K132">
            <v>22000</v>
          </cell>
          <cell r="L132">
            <v>22000</v>
          </cell>
          <cell r="M132">
            <v>22000</v>
          </cell>
          <cell r="N132">
            <v>22000</v>
          </cell>
          <cell r="O132">
            <v>22000</v>
          </cell>
          <cell r="P132">
            <v>22000</v>
          </cell>
          <cell r="Q132">
            <v>22000</v>
          </cell>
          <cell r="R132">
            <v>22000</v>
          </cell>
        </row>
        <row r="133">
          <cell r="A133" t="str">
            <v>Sales - Relapse Setting</v>
          </cell>
          <cell r="B133">
            <v>211.3</v>
          </cell>
          <cell r="C133">
            <v>256.04676649919173</v>
          </cell>
          <cell r="D133">
            <v>150.28128662679089</v>
          </cell>
          <cell r="E133">
            <v>81.902947399732824</v>
          </cell>
          <cell r="F133">
            <v>53.09778142322282</v>
          </cell>
          <cell r="G133">
            <v>41.556360445625216</v>
          </cell>
          <cell r="H133">
            <v>41.356105316803827</v>
          </cell>
          <cell r="I133">
            <v>41.39224247239661</v>
          </cell>
          <cell r="J133">
            <v>40.872723556748419</v>
          </cell>
          <cell r="K133">
            <v>41.147037137666189</v>
          </cell>
          <cell r="L133">
            <v>41.969977880419506</v>
          </cell>
          <cell r="M133">
            <v>42.809377438027902</v>
          </cell>
          <cell r="N133">
            <v>43.665564986788461</v>
          </cell>
          <cell r="O133">
            <v>44.538876286524228</v>
          </cell>
          <cell r="P133">
            <v>45.429653812254713</v>
          </cell>
          <cell r="Q133">
            <v>46.338246888499803</v>
          </cell>
          <cell r="R133">
            <v>47.265011826269806</v>
          </cell>
        </row>
        <row r="134">
          <cell r="A134" t="str">
            <v>Adjuvant</v>
          </cell>
        </row>
        <row r="135">
          <cell r="A135" t="str">
            <v xml:space="preserve">     New Diagnoses of CRC</v>
          </cell>
          <cell r="B135">
            <v>160000</v>
          </cell>
          <cell r="C135">
            <v>163200</v>
          </cell>
          <cell r="D135">
            <v>166464</v>
          </cell>
          <cell r="E135">
            <v>169793.28</v>
          </cell>
          <cell r="F135">
            <v>173189.14559999999</v>
          </cell>
          <cell r="G135">
            <v>176652.92851199998</v>
          </cell>
          <cell r="H135">
            <v>180185.98708224</v>
          </cell>
          <cell r="I135">
            <v>183789.7068238848</v>
          </cell>
          <cell r="J135">
            <v>187465.50096036249</v>
          </cell>
          <cell r="K135">
            <v>191214.81097956974</v>
          </cell>
          <cell r="L135">
            <v>195039.10719916114</v>
          </cell>
          <cell r="M135">
            <v>198939.88934314437</v>
          </cell>
          <cell r="N135">
            <v>202918.68713000725</v>
          </cell>
          <cell r="O135">
            <v>206977.0608726074</v>
          </cell>
          <cell r="P135">
            <v>211116.60209005955</v>
          </cell>
          <cell r="Q135">
            <v>215338.93413186073</v>
          </cell>
          <cell r="R135">
            <v>219645.71281449797</v>
          </cell>
        </row>
        <row r="136">
          <cell r="A136" t="str">
            <v xml:space="preserve">     Eligible Stage II Patients (31%)</v>
          </cell>
          <cell r="B136">
            <v>49600</v>
          </cell>
          <cell r="C136">
            <v>50592</v>
          </cell>
          <cell r="D136">
            <v>51603.839999999997</v>
          </cell>
          <cell r="E136">
            <v>52635.916799999999</v>
          </cell>
          <cell r="F136">
            <v>53688.635135999997</v>
          </cell>
          <cell r="G136">
            <v>54762.407838719992</v>
          </cell>
          <cell r="H136">
            <v>55857.655995494402</v>
          </cell>
          <cell r="I136">
            <v>56974.809115404285</v>
          </cell>
          <cell r="J136">
            <v>58114.305297712373</v>
          </cell>
          <cell r="K136">
            <v>59276.591403666622</v>
          </cell>
          <cell r="L136">
            <v>60462.123231739955</v>
          </cell>
          <cell r="M136">
            <v>61671.365696374756</v>
          </cell>
          <cell r="N136">
            <v>62904.793010302245</v>
          </cell>
          <cell r="O136">
            <v>64162.888870508294</v>
          </cell>
          <cell r="P136">
            <v>65446.14664791846</v>
          </cell>
          <cell r="Q136">
            <v>66755.069580876821</v>
          </cell>
          <cell r="R136">
            <v>68090.170972494365</v>
          </cell>
        </row>
        <row r="137">
          <cell r="A137" t="str">
            <v xml:space="preserve">     Eligible Stage III Patients (24%)</v>
          </cell>
          <cell r="B137">
            <v>38400</v>
          </cell>
          <cell r="C137">
            <v>39168</v>
          </cell>
          <cell r="D137">
            <v>39951.360000000001</v>
          </cell>
          <cell r="E137">
            <v>40750.387199999997</v>
          </cell>
          <cell r="F137">
            <v>41565.394943999992</v>
          </cell>
          <cell r="G137">
            <v>42396.702842879997</v>
          </cell>
          <cell r="H137">
            <v>43244.636899737598</v>
          </cell>
          <cell r="I137">
            <v>44109.529637732354</v>
          </cell>
          <cell r="J137">
            <v>44991.720230486993</v>
          </cell>
          <cell r="K137">
            <v>45891.554635096734</v>
          </cell>
          <cell r="L137">
            <v>46809.385727798668</v>
          </cell>
          <cell r="M137">
            <v>47745.573442354646</v>
          </cell>
          <cell r="N137">
            <v>48700.48491120174</v>
          </cell>
          <cell r="O137">
            <v>49674.494609425776</v>
          </cell>
          <cell r="P137">
            <v>50667.984501614286</v>
          </cell>
          <cell r="Q137">
            <v>51681.344191646574</v>
          </cell>
          <cell r="R137">
            <v>52714.971075479509</v>
          </cell>
        </row>
        <row r="138">
          <cell r="A138" t="str">
            <v xml:space="preserve">     Avastin Penetration (Stage II)</v>
          </cell>
          <cell r="B138">
            <v>0</v>
          </cell>
          <cell r="C138">
            <v>0</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row>
        <row r="139">
          <cell r="A139" t="str">
            <v xml:space="preserve">     Avastin Penetration (Stage III)</v>
          </cell>
          <cell r="B139">
            <v>0</v>
          </cell>
          <cell r="C139">
            <v>0</v>
          </cell>
          <cell r="D139">
            <v>0</v>
          </cell>
          <cell r="E139">
            <v>0</v>
          </cell>
          <cell r="F139">
            <v>0</v>
          </cell>
          <cell r="G139">
            <v>0</v>
          </cell>
          <cell r="H139">
            <v>0</v>
          </cell>
          <cell r="I139">
            <v>0</v>
          </cell>
          <cell r="J139">
            <v>0</v>
          </cell>
          <cell r="K139">
            <v>0</v>
          </cell>
          <cell r="L139">
            <v>0</v>
          </cell>
          <cell r="M139">
            <v>0</v>
          </cell>
          <cell r="N139">
            <v>0</v>
          </cell>
          <cell r="O139">
            <v>0</v>
          </cell>
          <cell r="P139">
            <v>0</v>
          </cell>
          <cell r="Q139">
            <v>0</v>
          </cell>
          <cell r="R139">
            <v>0</v>
          </cell>
        </row>
        <row r="140">
          <cell r="A140" t="str">
            <v xml:space="preserve">     Adjuvant Patients Treated </v>
          </cell>
          <cell r="B140">
            <v>0</v>
          </cell>
          <cell r="C140">
            <v>0</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row>
        <row r="141">
          <cell r="A141" t="str">
            <v xml:space="preserve">     Average Cost Per month</v>
          </cell>
          <cell r="B141">
            <v>4400</v>
          </cell>
          <cell r="C141">
            <v>4400</v>
          </cell>
          <cell r="D141">
            <v>4400</v>
          </cell>
          <cell r="E141">
            <v>4400</v>
          </cell>
          <cell r="F141">
            <v>4400</v>
          </cell>
          <cell r="G141">
            <v>4400</v>
          </cell>
          <cell r="H141">
            <v>4400</v>
          </cell>
          <cell r="I141">
            <v>4400</v>
          </cell>
          <cell r="J141">
            <v>4400</v>
          </cell>
          <cell r="K141">
            <v>4400</v>
          </cell>
          <cell r="L141">
            <v>4400</v>
          </cell>
          <cell r="M141">
            <v>4400</v>
          </cell>
          <cell r="N141">
            <v>4400</v>
          </cell>
          <cell r="O141">
            <v>4400</v>
          </cell>
          <cell r="P141">
            <v>4400</v>
          </cell>
          <cell r="Q141">
            <v>4400</v>
          </cell>
          <cell r="R141">
            <v>4400</v>
          </cell>
        </row>
        <row r="142">
          <cell r="A142" t="str">
            <v xml:space="preserve">     Average Months on Therapy</v>
          </cell>
          <cell r="B142">
            <v>0</v>
          </cell>
          <cell r="C142">
            <v>0</v>
          </cell>
          <cell r="D142">
            <v>0</v>
          </cell>
          <cell r="E142">
            <v>3</v>
          </cell>
          <cell r="F142">
            <v>4.5</v>
          </cell>
          <cell r="G142">
            <v>7</v>
          </cell>
          <cell r="H142">
            <v>10.5</v>
          </cell>
          <cell r="I142">
            <v>11</v>
          </cell>
          <cell r="J142">
            <v>11</v>
          </cell>
          <cell r="K142">
            <v>11</v>
          </cell>
          <cell r="L142">
            <v>11</v>
          </cell>
          <cell r="M142">
            <v>11</v>
          </cell>
          <cell r="N142">
            <v>11</v>
          </cell>
          <cell r="O142">
            <v>11</v>
          </cell>
          <cell r="P142">
            <v>11</v>
          </cell>
          <cell r="Q142">
            <v>11</v>
          </cell>
          <cell r="R142">
            <v>11</v>
          </cell>
        </row>
        <row r="143">
          <cell r="A143" t="str">
            <v xml:space="preserve">     Avg. Revenue per patient</v>
          </cell>
          <cell r="B143">
            <v>0</v>
          </cell>
          <cell r="C143">
            <v>0</v>
          </cell>
          <cell r="D143">
            <v>0</v>
          </cell>
          <cell r="E143">
            <v>13200</v>
          </cell>
          <cell r="F143">
            <v>19800</v>
          </cell>
          <cell r="G143">
            <v>30800</v>
          </cell>
          <cell r="H143">
            <v>46200</v>
          </cell>
          <cell r="I143">
            <v>48400</v>
          </cell>
          <cell r="J143">
            <v>48400</v>
          </cell>
          <cell r="K143">
            <v>48400</v>
          </cell>
          <cell r="L143">
            <v>48400</v>
          </cell>
          <cell r="M143">
            <v>48400</v>
          </cell>
          <cell r="N143">
            <v>48400</v>
          </cell>
          <cell r="O143">
            <v>48400</v>
          </cell>
          <cell r="P143">
            <v>48400</v>
          </cell>
          <cell r="Q143">
            <v>48400</v>
          </cell>
          <cell r="R143">
            <v>48400</v>
          </cell>
        </row>
        <row r="144">
          <cell r="A144" t="str">
            <v xml:space="preserve"> Sales - Adjuvant Setting</v>
          </cell>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row>
        <row r="146">
          <cell r="A146" t="str">
            <v xml:space="preserve">     Sales ($MM)</v>
          </cell>
          <cell r="B146">
            <v>494.65000000000003</v>
          </cell>
          <cell r="C146">
            <v>934.63236649919168</v>
          </cell>
          <cell r="D146">
            <v>1079.7496770267908</v>
          </cell>
          <cell r="E146">
            <v>1110.6464722637327</v>
          </cell>
          <cell r="F146">
            <v>1179.5719411493026</v>
          </cell>
          <cell r="G146">
            <v>1230.5652671893752</v>
          </cell>
          <cell r="H146">
            <v>1295.3965196130698</v>
          </cell>
          <cell r="I146">
            <v>1337.7988869813744</v>
          </cell>
          <cell r="J146">
            <v>1363.2075009559055</v>
          </cell>
          <cell r="K146">
            <v>1389.928510084806</v>
          </cell>
          <cell r="L146">
            <v>1417.7270802865023</v>
          </cell>
          <cell r="M146">
            <v>1446.0816218922328</v>
          </cell>
          <cell r="N146">
            <v>1475.0032543300772</v>
          </cell>
          <cell r="O146">
            <v>1504.5033194166788</v>
          </cell>
          <cell r="P146">
            <v>1534.5933858050118</v>
          </cell>
          <cell r="Q146">
            <v>1565.2852535211125</v>
          </cell>
          <cell r="R146">
            <v>1596.5909585915349</v>
          </cell>
        </row>
        <row r="147">
          <cell r="A147" t="str">
            <v>% of US Sales</v>
          </cell>
          <cell r="B147">
            <v>0.97194501443711534</v>
          </cell>
          <cell r="C147">
            <v>0.8034112302896913</v>
          </cell>
          <cell r="D147">
            <v>0.62191872166223816</v>
          </cell>
          <cell r="E147">
            <v>0.48861499220462884</v>
          </cell>
          <cell r="F147">
            <v>0.41512843282769235</v>
          </cell>
          <cell r="G147">
            <v>0.38566272866395973</v>
          </cell>
          <cell r="H147">
            <v>0.37842463024258371</v>
          </cell>
          <cell r="I147">
            <v>0.49970227028438491</v>
          </cell>
          <cell r="J147">
            <v>0.5180247514145877</v>
          </cell>
          <cell r="K147">
            <v>0.5103701785181598</v>
          </cell>
          <cell r="L147">
            <v>0.50300318437955838</v>
          </cell>
          <cell r="M147">
            <v>0.49583382311927077</v>
          </cell>
          <cell r="N147">
            <v>0.49703885589586</v>
          </cell>
          <cell r="O147">
            <v>0.49823785991415187</v>
          </cell>
          <cell r="P147">
            <v>0.49943082254882526</v>
          </cell>
          <cell r="Q147">
            <v>0.50061773188491809</v>
          </cell>
          <cell r="R147">
            <v>0.50179857671265926</v>
          </cell>
        </row>
        <row r="149">
          <cell r="A149" t="str">
            <v xml:space="preserve"> Non-Small Cell Lung Cancer </v>
          </cell>
        </row>
        <row r="150">
          <cell r="A150" t="str">
            <v xml:space="preserve">     New Diagnoses of NSCLC</v>
          </cell>
          <cell r="B150">
            <v>140000</v>
          </cell>
          <cell r="C150">
            <v>141400</v>
          </cell>
          <cell r="D150">
            <v>142814</v>
          </cell>
          <cell r="E150">
            <v>144242.14000000001</v>
          </cell>
          <cell r="F150">
            <v>145684.56140000001</v>
          </cell>
          <cell r="G150">
            <v>147141.407014</v>
          </cell>
          <cell r="H150">
            <v>148612.82108413999</v>
          </cell>
          <cell r="I150">
            <v>150098.94929498137</v>
          </cell>
          <cell r="J150">
            <v>151599.9387879312</v>
          </cell>
          <cell r="K150">
            <v>153115.9381758105</v>
          </cell>
          <cell r="L150">
            <v>154647.0975575686</v>
          </cell>
          <cell r="M150">
            <v>156193.56853314428</v>
          </cell>
          <cell r="N150">
            <v>157755.50421847572</v>
          </cell>
          <cell r="O150">
            <v>159333.05926066049</v>
          </cell>
          <cell r="P150">
            <v>160926.38985326709</v>
          </cell>
          <cell r="Q150">
            <v>162535.65375179975</v>
          </cell>
          <cell r="R150">
            <v>164161.01028931775</v>
          </cell>
        </row>
        <row r="151">
          <cell r="A151" t="str">
            <v xml:space="preserve">     Eligible Stage (III/IV) Patients (50%)</v>
          </cell>
          <cell r="B151">
            <v>35000</v>
          </cell>
          <cell r="C151">
            <v>35350</v>
          </cell>
          <cell r="D151">
            <v>35703.5</v>
          </cell>
          <cell r="E151">
            <v>36060.535000000003</v>
          </cell>
          <cell r="F151">
            <v>36421.140350000001</v>
          </cell>
          <cell r="G151">
            <v>36785.351753499999</v>
          </cell>
          <cell r="H151">
            <v>37153.205271034996</v>
          </cell>
          <cell r="I151">
            <v>37524.737323745343</v>
          </cell>
          <cell r="J151">
            <v>37899.9846969828</v>
          </cell>
          <cell r="K151">
            <v>38278.984543952625</v>
          </cell>
          <cell r="L151">
            <v>38661.774389392151</v>
          </cell>
          <cell r="M151">
            <v>39048.39213328607</v>
          </cell>
          <cell r="N151">
            <v>39438.87605461893</v>
          </cell>
          <cell r="O151">
            <v>39833.264815165123</v>
          </cell>
          <cell r="P151">
            <v>40231.597463316772</v>
          </cell>
          <cell r="Q151">
            <v>40633.913437949937</v>
          </cell>
          <cell r="R151">
            <v>41040.252572329438</v>
          </cell>
        </row>
        <row r="152">
          <cell r="A152" t="str">
            <v xml:space="preserve">     Avastin Penetration</v>
          </cell>
          <cell r="B152">
            <v>1E-3</v>
          </cell>
          <cell r="C152">
            <v>0.05</v>
          </cell>
          <cell r="D152">
            <v>0.18</v>
          </cell>
          <cell r="E152">
            <v>0.45</v>
          </cell>
          <cell r="F152">
            <v>0.5</v>
          </cell>
          <cell r="G152">
            <v>0.55000000000000004</v>
          </cell>
          <cell r="H152">
            <v>0.6</v>
          </cell>
          <cell r="I152">
            <v>0.55000000000000004</v>
          </cell>
          <cell r="J152">
            <v>0.55000000000000004</v>
          </cell>
          <cell r="K152">
            <v>0.55000000000000004</v>
          </cell>
          <cell r="L152">
            <v>0.55000000000000004</v>
          </cell>
          <cell r="M152">
            <v>0.55000000000000004</v>
          </cell>
          <cell r="N152">
            <v>0.55000000000000004</v>
          </cell>
          <cell r="O152">
            <v>0.55000000000000004</v>
          </cell>
          <cell r="P152">
            <v>0.55000000000000004</v>
          </cell>
          <cell r="Q152">
            <v>0.55000000000000004</v>
          </cell>
          <cell r="R152">
            <v>0.55000000000000004</v>
          </cell>
        </row>
        <row r="153">
          <cell r="A153" t="str">
            <v xml:space="preserve">     First-line Patients Treated </v>
          </cell>
          <cell r="B153">
            <v>35</v>
          </cell>
          <cell r="C153">
            <v>1767.5</v>
          </cell>
          <cell r="D153">
            <v>6426.63</v>
          </cell>
          <cell r="E153">
            <v>16227.240750000003</v>
          </cell>
          <cell r="F153">
            <v>18210.570175000001</v>
          </cell>
          <cell r="G153">
            <v>20231.943464425</v>
          </cell>
          <cell r="H153">
            <v>22291.923162620998</v>
          </cell>
          <cell r="I153">
            <v>20638.605528059939</v>
          </cell>
          <cell r="J153">
            <v>20844.991583340543</v>
          </cell>
          <cell r="K153">
            <v>21053.441499173947</v>
          </cell>
          <cell r="L153">
            <v>21263.975914165683</v>
          </cell>
          <cell r="M153">
            <v>21476.61567330734</v>
          </cell>
          <cell r="N153">
            <v>21691.381830040413</v>
          </cell>
          <cell r="O153">
            <v>21908.29564834082</v>
          </cell>
          <cell r="P153">
            <v>22127.378604824225</v>
          </cell>
          <cell r="Q153">
            <v>22348.652390872467</v>
          </cell>
          <cell r="R153">
            <v>22572.138914781193</v>
          </cell>
        </row>
        <row r="154">
          <cell r="A154" t="str">
            <v xml:space="preserve">     Average Cost Per month</v>
          </cell>
          <cell r="B154">
            <v>8800</v>
          </cell>
          <cell r="C154">
            <v>8800</v>
          </cell>
          <cell r="D154">
            <v>8800</v>
          </cell>
          <cell r="E154">
            <v>6600</v>
          </cell>
          <cell r="F154">
            <v>5300</v>
          </cell>
          <cell r="G154">
            <v>5300</v>
          </cell>
          <cell r="H154">
            <v>5300</v>
          </cell>
          <cell r="I154">
            <v>5300</v>
          </cell>
          <cell r="J154">
            <v>5300</v>
          </cell>
          <cell r="K154">
            <v>5300</v>
          </cell>
          <cell r="L154">
            <v>5300</v>
          </cell>
          <cell r="M154">
            <v>5300</v>
          </cell>
          <cell r="N154">
            <v>5300</v>
          </cell>
          <cell r="O154">
            <v>5300</v>
          </cell>
          <cell r="P154">
            <v>5300</v>
          </cell>
          <cell r="Q154">
            <v>5300</v>
          </cell>
          <cell r="R154">
            <v>5300</v>
          </cell>
        </row>
        <row r="155">
          <cell r="A155" t="str">
            <v xml:space="preserve">     Average Months on Therapy</v>
          </cell>
          <cell r="B155">
            <v>3</v>
          </cell>
          <cell r="C155">
            <v>4</v>
          </cell>
          <cell r="D155">
            <v>4.5</v>
          </cell>
          <cell r="E155">
            <v>4.5</v>
          </cell>
          <cell r="F155">
            <v>4.5</v>
          </cell>
          <cell r="G155">
            <v>4.5</v>
          </cell>
          <cell r="H155">
            <v>4.5</v>
          </cell>
          <cell r="I155">
            <v>4.5</v>
          </cell>
          <cell r="J155">
            <v>4.5</v>
          </cell>
          <cell r="K155">
            <v>4.5</v>
          </cell>
          <cell r="L155">
            <v>4.5</v>
          </cell>
          <cell r="M155">
            <v>4.5</v>
          </cell>
          <cell r="N155">
            <v>4.5</v>
          </cell>
          <cell r="O155">
            <v>4.5</v>
          </cell>
          <cell r="P155">
            <v>4.5</v>
          </cell>
          <cell r="Q155">
            <v>4.5</v>
          </cell>
          <cell r="R155">
            <v>4.5</v>
          </cell>
        </row>
        <row r="156">
          <cell r="A156" t="str">
            <v xml:space="preserve">     Avg. Revenue per patient</v>
          </cell>
          <cell r="B156">
            <v>26400</v>
          </cell>
          <cell r="C156">
            <v>35200</v>
          </cell>
          <cell r="D156">
            <v>39600</v>
          </cell>
          <cell r="E156">
            <v>29700</v>
          </cell>
          <cell r="F156">
            <v>23850</v>
          </cell>
          <cell r="G156">
            <v>23850</v>
          </cell>
          <cell r="H156">
            <v>23850</v>
          </cell>
          <cell r="I156">
            <v>23850</v>
          </cell>
          <cell r="J156">
            <v>23850</v>
          </cell>
          <cell r="K156">
            <v>23850</v>
          </cell>
          <cell r="L156">
            <v>23850</v>
          </cell>
          <cell r="M156">
            <v>23850</v>
          </cell>
          <cell r="N156">
            <v>23850</v>
          </cell>
          <cell r="O156">
            <v>23850</v>
          </cell>
          <cell r="P156">
            <v>23850</v>
          </cell>
          <cell r="Q156">
            <v>23850</v>
          </cell>
          <cell r="R156">
            <v>23850</v>
          </cell>
        </row>
        <row r="157">
          <cell r="A157" t="str">
            <v xml:space="preserve"> Sales - First-line Setting</v>
          </cell>
          <cell r="B157">
            <v>0.92400000000000004</v>
          </cell>
          <cell r="C157">
            <v>62.216000000000001</v>
          </cell>
          <cell r="D157">
            <v>254.49454800000001</v>
          </cell>
          <cell r="E157">
            <v>481.9490502750001</v>
          </cell>
          <cell r="F157">
            <v>434.32209867375002</v>
          </cell>
          <cell r="G157">
            <v>482.53185162653625</v>
          </cell>
          <cell r="H157">
            <v>531.66236742851083</v>
          </cell>
          <cell r="I157">
            <v>492.23074184422956</v>
          </cell>
          <cell r="J157">
            <v>497.15304926267197</v>
          </cell>
          <cell r="K157">
            <v>502.12457975529861</v>
          </cell>
          <cell r="L157">
            <v>507.14582555285153</v>
          </cell>
          <cell r="M157">
            <v>512.2172838083801</v>
          </cell>
          <cell r="N157">
            <v>517.33945664646387</v>
          </cell>
          <cell r="O157">
            <v>522.51285121292858</v>
          </cell>
          <cell r="P157">
            <v>527.73797972505781</v>
          </cell>
          <cell r="Q157">
            <v>533.01535952230836</v>
          </cell>
          <cell r="R157">
            <v>538.34551311753137</v>
          </cell>
        </row>
        <row r="158">
          <cell r="E158">
            <v>642.59873370000003</v>
          </cell>
          <cell r="F158">
            <v>721.13857893000011</v>
          </cell>
          <cell r="G158">
            <v>801.18496119122995</v>
          </cell>
          <cell r="H158">
            <v>882.76015723979151</v>
          </cell>
          <cell r="I158">
            <v>817.28877891117361</v>
          </cell>
          <cell r="J158">
            <v>825.4616667002856</v>
          </cell>
          <cell r="K158">
            <v>833.71628336728838</v>
          </cell>
          <cell r="L158">
            <v>842.05344620096116</v>
          </cell>
          <cell r="M158">
            <v>850.47398066297069</v>
          </cell>
          <cell r="N158">
            <v>858.97872046960038</v>
          </cell>
          <cell r="O158">
            <v>867.56850767429648</v>
          </cell>
          <cell r="P158">
            <v>876.24419275103935</v>
          </cell>
          <cell r="Q158">
            <v>885.00663467854963</v>
          </cell>
          <cell r="R158">
            <v>893.85670102533527</v>
          </cell>
        </row>
        <row r="160">
          <cell r="A160" t="str">
            <v>Second-line</v>
          </cell>
        </row>
        <row r="161">
          <cell r="A161" t="str">
            <v xml:space="preserve">     Relapsed patients</v>
          </cell>
          <cell r="B161">
            <v>65000</v>
          </cell>
          <cell r="C161">
            <v>66300</v>
          </cell>
          <cell r="D161">
            <v>67626</v>
          </cell>
          <cell r="E161">
            <v>68978.52</v>
          </cell>
          <cell r="F161">
            <v>70358.090400000001</v>
          </cell>
          <cell r="G161">
            <v>71765.252208000005</v>
          </cell>
          <cell r="H161">
            <v>73200.557252160012</v>
          </cell>
          <cell r="I161">
            <v>74664.568397203213</v>
          </cell>
          <cell r="J161">
            <v>76157.859765147281</v>
          </cell>
          <cell r="K161">
            <v>77681.01696045023</v>
          </cell>
          <cell r="L161">
            <v>79234.63729965924</v>
          </cell>
          <cell r="M161">
            <v>80819.33004565243</v>
          </cell>
          <cell r="N161">
            <v>82435.716646565474</v>
          </cell>
          <cell r="O161">
            <v>84084.430979496785</v>
          </cell>
          <cell r="P161">
            <v>85766.119599086727</v>
          </cell>
          <cell r="Q161">
            <v>87481.441991068466</v>
          </cell>
          <cell r="R161">
            <v>89231.070830889832</v>
          </cell>
        </row>
        <row r="162">
          <cell r="A162" t="str">
            <v xml:space="preserve">        % Avastin-Naïve</v>
          </cell>
          <cell r="B162">
            <v>1</v>
          </cell>
          <cell r="C162">
            <v>0.999</v>
          </cell>
          <cell r="D162">
            <v>0.95</v>
          </cell>
          <cell r="E162">
            <v>0.82000000000000006</v>
          </cell>
          <cell r="F162">
            <v>0.55000000000000004</v>
          </cell>
          <cell r="G162">
            <v>0.5</v>
          </cell>
          <cell r="H162">
            <v>0.44999999999999996</v>
          </cell>
          <cell r="I162">
            <v>0.4</v>
          </cell>
          <cell r="J162">
            <v>0.44999999999999996</v>
          </cell>
          <cell r="K162">
            <v>0.44999999999999996</v>
          </cell>
          <cell r="L162">
            <v>0.44999999999999996</v>
          </cell>
          <cell r="M162">
            <v>0.44999999999999996</v>
          </cell>
          <cell r="N162">
            <v>0.44999999999999996</v>
          </cell>
          <cell r="O162">
            <v>0.44999999999999996</v>
          </cell>
          <cell r="P162">
            <v>0.44999999999999996</v>
          </cell>
          <cell r="Q162">
            <v>0.44999999999999996</v>
          </cell>
          <cell r="R162">
            <v>0.44999999999999996</v>
          </cell>
        </row>
        <row r="163">
          <cell r="A163" t="str">
            <v xml:space="preserve">     Eligible Patients</v>
          </cell>
          <cell r="B163">
            <v>34965</v>
          </cell>
          <cell r="C163">
            <v>33582.5</v>
          </cell>
          <cell r="D163">
            <v>29276.87</v>
          </cell>
          <cell r="E163">
            <v>19833.294249999999</v>
          </cell>
          <cell r="F163">
            <v>18210.570175000001</v>
          </cell>
          <cell r="G163">
            <v>16553.408289075</v>
          </cell>
          <cell r="H163">
            <v>14861.282108413998</v>
          </cell>
          <cell r="I163">
            <v>16886.131795685404</v>
          </cell>
          <cell r="J163">
            <v>17054.993113642257</v>
          </cell>
          <cell r="K163">
            <v>17225.543044778678</v>
          </cell>
          <cell r="L163">
            <v>17397.798475226467</v>
          </cell>
          <cell r="M163">
            <v>17571.77645997873</v>
          </cell>
          <cell r="N163">
            <v>17747.494224578517</v>
          </cell>
          <cell r="O163">
            <v>17924.969166824303</v>
          </cell>
          <cell r="P163">
            <v>18104.218858492546</v>
          </cell>
          <cell r="Q163">
            <v>18285.261047077471</v>
          </cell>
          <cell r="R163">
            <v>18468.113657548245</v>
          </cell>
        </row>
        <row r="164">
          <cell r="A164" t="str">
            <v xml:space="preserve">     Avastin Penetration</v>
          </cell>
          <cell r="B164">
            <v>1E-3</v>
          </cell>
          <cell r="C164">
            <v>7.0000000000000007E-2</v>
          </cell>
          <cell r="D164">
            <v>0.1</v>
          </cell>
          <cell r="E164">
            <v>0.2</v>
          </cell>
          <cell r="F164">
            <v>0.25</v>
          </cell>
          <cell r="G164">
            <v>0.3</v>
          </cell>
          <cell r="H164">
            <v>0.37</v>
          </cell>
          <cell r="I164">
            <v>0.2</v>
          </cell>
          <cell r="J164">
            <v>0.2</v>
          </cell>
          <cell r="K164">
            <v>0.2</v>
          </cell>
          <cell r="L164">
            <v>0.2</v>
          </cell>
          <cell r="M164">
            <v>0.2</v>
          </cell>
          <cell r="N164">
            <v>0.2</v>
          </cell>
          <cell r="O164">
            <v>0.2</v>
          </cell>
          <cell r="P164">
            <v>0.2</v>
          </cell>
          <cell r="Q164">
            <v>0.2</v>
          </cell>
          <cell r="R164">
            <v>0.2</v>
          </cell>
        </row>
        <row r="165">
          <cell r="A165" t="str">
            <v xml:space="preserve">     Relapsed Patients Treated </v>
          </cell>
          <cell r="B165">
            <v>34.965000000000003</v>
          </cell>
          <cell r="C165">
            <v>2350.7750000000001</v>
          </cell>
          <cell r="D165">
            <v>2927.6869999999999</v>
          </cell>
          <cell r="E165">
            <v>3966.6588499999998</v>
          </cell>
          <cell r="F165">
            <v>4552.6425437500002</v>
          </cell>
          <cell r="G165">
            <v>4966.0224867224997</v>
          </cell>
          <cell r="H165">
            <v>5498.6743801131788</v>
          </cell>
          <cell r="I165">
            <v>3377.2263591370811</v>
          </cell>
          <cell r="J165">
            <v>3410.9986227284517</v>
          </cell>
          <cell r="K165">
            <v>3445.1086089557357</v>
          </cell>
          <cell r="L165">
            <v>3479.5596950452937</v>
          </cell>
          <cell r="M165">
            <v>3514.355291995746</v>
          </cell>
          <cell r="N165">
            <v>3549.4988449157036</v>
          </cell>
          <cell r="O165">
            <v>3584.9938333648606</v>
          </cell>
          <cell r="P165">
            <v>3620.8437716985095</v>
          </cell>
          <cell r="Q165">
            <v>3657.0522094154944</v>
          </cell>
          <cell r="R165">
            <v>3693.6227315096494</v>
          </cell>
        </row>
        <row r="166">
          <cell r="A166" t="str">
            <v xml:space="preserve">     Average Cost Per month</v>
          </cell>
          <cell r="B166">
            <v>8800</v>
          </cell>
          <cell r="C166">
            <v>8800</v>
          </cell>
          <cell r="D166">
            <v>8800</v>
          </cell>
          <cell r="E166">
            <v>6600</v>
          </cell>
          <cell r="F166">
            <v>5300</v>
          </cell>
          <cell r="G166">
            <v>5300</v>
          </cell>
          <cell r="H166">
            <v>5300</v>
          </cell>
          <cell r="I166">
            <v>5300</v>
          </cell>
          <cell r="J166">
            <v>5300</v>
          </cell>
          <cell r="K166">
            <v>5300</v>
          </cell>
          <cell r="L166">
            <v>5300</v>
          </cell>
          <cell r="M166">
            <v>5300</v>
          </cell>
          <cell r="N166">
            <v>5300</v>
          </cell>
          <cell r="O166">
            <v>5300</v>
          </cell>
          <cell r="P166">
            <v>5300</v>
          </cell>
          <cell r="Q166">
            <v>5300</v>
          </cell>
          <cell r="R166">
            <v>5300</v>
          </cell>
        </row>
        <row r="167">
          <cell r="A167" t="str">
            <v xml:space="preserve">     Average Months on Therapy</v>
          </cell>
          <cell r="B167">
            <v>3</v>
          </cell>
          <cell r="C167">
            <v>2.5</v>
          </cell>
          <cell r="D167">
            <v>3.5</v>
          </cell>
          <cell r="E167">
            <v>3.5</v>
          </cell>
          <cell r="F167">
            <v>3.5</v>
          </cell>
          <cell r="G167">
            <v>3.5</v>
          </cell>
          <cell r="H167">
            <v>3.5</v>
          </cell>
          <cell r="I167">
            <v>3.5</v>
          </cell>
          <cell r="J167">
            <v>3.5</v>
          </cell>
          <cell r="K167">
            <v>3.5</v>
          </cell>
          <cell r="L167">
            <v>3.5</v>
          </cell>
          <cell r="M167">
            <v>3.5</v>
          </cell>
          <cell r="N167">
            <v>3.5</v>
          </cell>
          <cell r="O167">
            <v>3.5</v>
          </cell>
          <cell r="P167">
            <v>3.5</v>
          </cell>
          <cell r="Q167">
            <v>3.5</v>
          </cell>
          <cell r="R167">
            <v>3.5</v>
          </cell>
        </row>
        <row r="168">
          <cell r="A168" t="str">
            <v xml:space="preserve">     Avg. Revenue per patient</v>
          </cell>
          <cell r="B168">
            <v>26400</v>
          </cell>
          <cell r="C168">
            <v>22000</v>
          </cell>
          <cell r="D168">
            <v>30800</v>
          </cell>
          <cell r="E168">
            <v>23100</v>
          </cell>
          <cell r="F168">
            <v>18550</v>
          </cell>
          <cell r="G168">
            <v>18550</v>
          </cell>
          <cell r="H168">
            <v>18550</v>
          </cell>
          <cell r="I168">
            <v>18550</v>
          </cell>
          <cell r="J168">
            <v>18550</v>
          </cell>
          <cell r="K168">
            <v>18550</v>
          </cell>
          <cell r="L168">
            <v>18550</v>
          </cell>
          <cell r="M168">
            <v>18550</v>
          </cell>
          <cell r="N168">
            <v>18550</v>
          </cell>
          <cell r="O168">
            <v>18550</v>
          </cell>
          <cell r="P168">
            <v>18550</v>
          </cell>
          <cell r="Q168">
            <v>18550</v>
          </cell>
          <cell r="R168">
            <v>18550</v>
          </cell>
        </row>
        <row r="169">
          <cell r="A169" t="str">
            <v>Sales - Relapse Setting</v>
          </cell>
          <cell r="B169">
            <v>0.92307600000000012</v>
          </cell>
          <cell r="C169">
            <v>51.71705</v>
          </cell>
          <cell r="D169">
            <v>90.172759599999992</v>
          </cell>
          <cell r="E169">
            <v>91.629819435000002</v>
          </cell>
          <cell r="F169">
            <v>84.451519186562507</v>
          </cell>
          <cell r="G169">
            <v>92.119717128702376</v>
          </cell>
          <cell r="H169">
            <v>102.00040975109947</v>
          </cell>
          <cell r="I169">
            <v>62.647548961992854</v>
          </cell>
          <cell r="J169">
            <v>63.274024451612775</v>
          </cell>
          <cell r="K169">
            <v>63.906764696128896</v>
          </cell>
          <cell r="L169">
            <v>64.545832343090197</v>
          </cell>
          <cell r="M169">
            <v>65.191290666521084</v>
          </cell>
          <cell r="N169">
            <v>65.843203573186301</v>
          </cell>
          <cell r="O169">
            <v>66.501635608918164</v>
          </cell>
          <cell r="P169">
            <v>67.166651965007347</v>
          </cell>
          <cell r="Q169">
            <v>67.838318484657421</v>
          </cell>
          <cell r="R169">
            <v>68.516701669504002</v>
          </cell>
        </row>
        <row r="170">
          <cell r="E170">
            <v>122.17309258</v>
          </cell>
          <cell r="F170">
            <v>140.22139034750001</v>
          </cell>
          <cell r="G170">
            <v>152.95349259105299</v>
          </cell>
          <cell r="H170">
            <v>169.35917090748589</v>
          </cell>
          <cell r="I170">
            <v>104.01857186142209</v>
          </cell>
          <cell r="J170">
            <v>105.05875758003631</v>
          </cell>
          <cell r="K170">
            <v>106.10934515583665</v>
          </cell>
          <cell r="L170">
            <v>107.17043860739504</v>
          </cell>
          <cell r="M170">
            <v>108.24214299346899</v>
          </cell>
          <cell r="N170">
            <v>109.32456442340367</v>
          </cell>
          <cell r="O170">
            <v>110.41781006763772</v>
          </cell>
          <cell r="P170">
            <v>111.5219881683141</v>
          </cell>
          <cell r="Q170">
            <v>112.63720804999723</v>
          </cell>
          <cell r="R170">
            <v>113.7635801304972</v>
          </cell>
        </row>
        <row r="171">
          <cell r="A171" t="str">
            <v xml:space="preserve">     Sales ($MM)</v>
          </cell>
          <cell r="B171">
            <v>1.8470760000000002</v>
          </cell>
          <cell r="C171">
            <v>113.93305000000001</v>
          </cell>
          <cell r="D171">
            <v>344.66730760000002</v>
          </cell>
          <cell r="E171">
            <v>573.57886971000016</v>
          </cell>
          <cell r="F171">
            <v>518.77361786031247</v>
          </cell>
          <cell r="G171">
            <v>574.6515687552386</v>
          </cell>
          <cell r="H171">
            <v>633.66277717961032</v>
          </cell>
          <cell r="I171">
            <v>554.87829080622237</v>
          </cell>
          <cell r="J171">
            <v>560.42707371428469</v>
          </cell>
          <cell r="K171">
            <v>566.03134445142746</v>
          </cell>
          <cell r="L171">
            <v>571.69165789594172</v>
          </cell>
          <cell r="M171">
            <v>577.40857447490123</v>
          </cell>
          <cell r="N171">
            <v>583.18266021965019</v>
          </cell>
          <cell r="O171">
            <v>589.01448682184673</v>
          </cell>
          <cell r="P171">
            <v>594.90463169006512</v>
          </cell>
          <cell r="Q171">
            <v>600.85367800696577</v>
          </cell>
          <cell r="R171">
            <v>606.86221478703533</v>
          </cell>
        </row>
        <row r="172">
          <cell r="A172" t="str">
            <v>% of US Sales</v>
          </cell>
          <cell r="B172">
            <v>3.629346627891336E-3</v>
          </cell>
          <cell r="C172">
            <v>9.7937001918749711E-2</v>
          </cell>
          <cell r="D172">
            <v>0.1985229131363184</v>
          </cell>
          <cell r="E172">
            <v>0.25233883323904488</v>
          </cell>
          <cell r="F172">
            <v>0.18257273800941073</v>
          </cell>
          <cell r="G172">
            <v>0.18009747060662357</v>
          </cell>
          <cell r="H172">
            <v>0.18511212476030756</v>
          </cell>
          <cell r="I172">
            <v>0.20726130388180597</v>
          </cell>
          <cell r="J172">
            <v>0.21296471398761596</v>
          </cell>
          <cell r="K172">
            <v>0.2078419977851399</v>
          </cell>
          <cell r="L172">
            <v>0.20283362602255964</v>
          </cell>
          <cell r="M172">
            <v>0.19798239369718959</v>
          </cell>
          <cell r="N172">
            <v>0.19651783232541462</v>
          </cell>
          <cell r="O172">
            <v>0.19506059812904389</v>
          </cell>
          <cell r="P172">
            <v>0.19361070645252146</v>
          </cell>
          <cell r="Q172">
            <v>0.19216817177694118</v>
          </cell>
          <cell r="R172">
            <v>0.19073300772632912</v>
          </cell>
        </row>
        <row r="174">
          <cell r="A174" t="str">
            <v xml:space="preserve">Renal Cell Carcinoma </v>
          </cell>
        </row>
        <row r="175">
          <cell r="A175" t="str">
            <v xml:space="preserve">     New Diagnoses of RCC</v>
          </cell>
          <cell r="B175">
            <v>28000</v>
          </cell>
          <cell r="C175">
            <v>28560</v>
          </cell>
          <cell r="D175">
            <v>29131.200000000001</v>
          </cell>
          <cell r="E175">
            <v>29713.824000000001</v>
          </cell>
          <cell r="F175">
            <v>30308.100480000001</v>
          </cell>
          <cell r="G175">
            <v>30914.262489600002</v>
          </cell>
          <cell r="H175">
            <v>31532.547739392001</v>
          </cell>
          <cell r="I175">
            <v>32163.198694179842</v>
          </cell>
          <cell r="J175">
            <v>32806.462668063439</v>
          </cell>
          <cell r="K175">
            <v>33462.591921424711</v>
          </cell>
          <cell r="L175">
            <v>34131.843759853204</v>
          </cell>
          <cell r="M175">
            <v>34814.480635050269</v>
          </cell>
          <cell r="N175">
            <v>35510.770247751272</v>
          </cell>
          <cell r="O175">
            <v>36220.985652706295</v>
          </cell>
          <cell r="P175">
            <v>36945.405365760424</v>
          </cell>
          <cell r="Q175">
            <v>37684.313473075636</v>
          </cell>
          <cell r="R175">
            <v>38437.999742537148</v>
          </cell>
        </row>
        <row r="176">
          <cell r="A176" t="str">
            <v xml:space="preserve">     Avastin Penetration</v>
          </cell>
          <cell r="B176">
            <v>0.01</v>
          </cell>
          <cell r="C176">
            <v>0.01</v>
          </cell>
          <cell r="D176">
            <v>0.02</v>
          </cell>
          <cell r="E176">
            <v>0.04</v>
          </cell>
          <cell r="F176">
            <v>0.05</v>
          </cell>
          <cell r="G176">
            <v>0.06</v>
          </cell>
          <cell r="H176">
            <v>0.08</v>
          </cell>
          <cell r="I176">
            <v>8.5000000000000006E-2</v>
          </cell>
          <cell r="J176">
            <v>0.09</v>
          </cell>
          <cell r="K176">
            <v>0.09</v>
          </cell>
          <cell r="L176">
            <v>0.09</v>
          </cell>
          <cell r="M176">
            <v>0.09</v>
          </cell>
          <cell r="N176">
            <v>0.09</v>
          </cell>
          <cell r="O176">
            <v>0.09</v>
          </cell>
          <cell r="P176">
            <v>0.09</v>
          </cell>
          <cell r="Q176">
            <v>0.09</v>
          </cell>
          <cell r="R176">
            <v>0.09</v>
          </cell>
        </row>
        <row r="177">
          <cell r="A177" t="str">
            <v xml:space="preserve">     Patients Treated </v>
          </cell>
          <cell r="B177">
            <v>280</v>
          </cell>
          <cell r="C177">
            <v>285.60000000000002</v>
          </cell>
          <cell r="D177">
            <v>582.62400000000002</v>
          </cell>
          <cell r="E177">
            <v>1188.55296</v>
          </cell>
          <cell r="F177">
            <v>1515.4050240000001</v>
          </cell>
          <cell r="G177">
            <v>1854.8557493759999</v>
          </cell>
          <cell r="H177">
            <v>2522.6038191513603</v>
          </cell>
          <cell r="I177">
            <v>2733.8718890052869</v>
          </cell>
          <cell r="J177">
            <v>2952.5816401257093</v>
          </cell>
          <cell r="K177">
            <v>3011.633272928224</v>
          </cell>
          <cell r="L177">
            <v>3071.865938386788</v>
          </cell>
          <cell r="M177">
            <v>3133.3032571545241</v>
          </cell>
          <cell r="N177">
            <v>3195.9693222976143</v>
          </cell>
          <cell r="O177">
            <v>3259.8887087435664</v>
          </cell>
          <cell r="P177">
            <v>3325.0864829184379</v>
          </cell>
          <cell r="Q177">
            <v>3391.5882125768071</v>
          </cell>
          <cell r="R177">
            <v>3459.4199768283434</v>
          </cell>
        </row>
        <row r="178">
          <cell r="A178" t="str">
            <v xml:space="preserve">     Average Cost Per month</v>
          </cell>
          <cell r="B178">
            <v>8800</v>
          </cell>
          <cell r="C178">
            <v>8800</v>
          </cell>
          <cell r="D178">
            <v>8800</v>
          </cell>
          <cell r="E178">
            <v>8800</v>
          </cell>
          <cell r="F178">
            <v>8800</v>
          </cell>
          <cell r="G178">
            <v>8800</v>
          </cell>
          <cell r="H178">
            <v>8800</v>
          </cell>
          <cell r="I178">
            <v>8800</v>
          </cell>
          <cell r="J178">
            <v>8800</v>
          </cell>
          <cell r="K178">
            <v>8800</v>
          </cell>
          <cell r="L178">
            <v>8800</v>
          </cell>
          <cell r="M178">
            <v>8800</v>
          </cell>
          <cell r="N178">
            <v>8800</v>
          </cell>
          <cell r="O178">
            <v>8800</v>
          </cell>
          <cell r="P178">
            <v>8800</v>
          </cell>
          <cell r="Q178">
            <v>8800</v>
          </cell>
          <cell r="R178">
            <v>8800</v>
          </cell>
        </row>
        <row r="179">
          <cell r="A179" t="str">
            <v xml:space="preserve">     Average Months on Therapy</v>
          </cell>
          <cell r="B179">
            <v>3</v>
          </cell>
          <cell r="C179">
            <v>5</v>
          </cell>
          <cell r="D179">
            <v>5</v>
          </cell>
          <cell r="E179">
            <v>5</v>
          </cell>
          <cell r="F179">
            <v>5</v>
          </cell>
          <cell r="G179">
            <v>5</v>
          </cell>
          <cell r="H179">
            <v>5</v>
          </cell>
          <cell r="I179">
            <v>5</v>
          </cell>
          <cell r="J179">
            <v>5</v>
          </cell>
          <cell r="K179">
            <v>5</v>
          </cell>
          <cell r="L179">
            <v>5</v>
          </cell>
          <cell r="M179">
            <v>5</v>
          </cell>
          <cell r="N179">
            <v>5</v>
          </cell>
          <cell r="O179">
            <v>5</v>
          </cell>
          <cell r="P179">
            <v>5</v>
          </cell>
          <cell r="Q179">
            <v>5</v>
          </cell>
          <cell r="R179">
            <v>5</v>
          </cell>
        </row>
        <row r="180">
          <cell r="A180" t="str">
            <v xml:space="preserve">     Avg. Revenue per patient</v>
          </cell>
          <cell r="B180">
            <v>26400</v>
          </cell>
          <cell r="C180">
            <v>44000</v>
          </cell>
          <cell r="D180">
            <v>44000</v>
          </cell>
          <cell r="E180">
            <v>44000</v>
          </cell>
          <cell r="F180">
            <v>44000</v>
          </cell>
          <cell r="G180">
            <v>44000</v>
          </cell>
          <cell r="H180">
            <v>44000</v>
          </cell>
          <cell r="I180">
            <v>44000</v>
          </cell>
          <cell r="J180">
            <v>44000</v>
          </cell>
          <cell r="K180">
            <v>44000</v>
          </cell>
          <cell r="L180">
            <v>44000</v>
          </cell>
          <cell r="M180">
            <v>44000</v>
          </cell>
          <cell r="N180">
            <v>44000</v>
          </cell>
          <cell r="O180">
            <v>44000</v>
          </cell>
          <cell r="P180">
            <v>44000</v>
          </cell>
          <cell r="Q180">
            <v>44000</v>
          </cell>
          <cell r="R180">
            <v>44000</v>
          </cell>
        </row>
        <row r="181">
          <cell r="A181" t="str">
            <v xml:space="preserve">     Sales ($MM)</v>
          </cell>
          <cell r="B181">
            <v>7.3920000000000003</v>
          </cell>
          <cell r="C181">
            <v>12.566400000000002</v>
          </cell>
          <cell r="D181">
            <v>25.635456000000001</v>
          </cell>
          <cell r="E181">
            <v>52.296330240000003</v>
          </cell>
          <cell r="F181">
            <v>66.677821056000013</v>
          </cell>
          <cell r="G181">
            <v>81.613652972544003</v>
          </cell>
          <cell r="H181">
            <v>110.99456804265985</v>
          </cell>
          <cell r="I181">
            <v>120.29036311623261</v>
          </cell>
          <cell r="J181">
            <v>129.91359216553121</v>
          </cell>
          <cell r="K181">
            <v>132.51186400884185</v>
          </cell>
          <cell r="L181">
            <v>135.16210128901866</v>
          </cell>
          <cell r="M181">
            <v>137.86534331479908</v>
          </cell>
          <cell r="N181">
            <v>140.62265018109503</v>
          </cell>
          <cell r="O181">
            <v>143.43510318471692</v>
          </cell>
          <cell r="P181">
            <v>146.30380524841127</v>
          </cell>
          <cell r="Q181">
            <v>149.22988135337951</v>
          </cell>
          <cell r="R181">
            <v>152.21447898044713</v>
          </cell>
        </row>
        <row r="182">
          <cell r="A182" t="str">
            <v>% of US Sales</v>
          </cell>
          <cell r="B182">
            <v>1.4524648835983336E-2</v>
          </cell>
          <cell r="C182">
            <v>1.0802094220349376E-2</v>
          </cell>
          <cell r="D182">
            <v>1.4765616849870076E-2</v>
          </cell>
          <cell r="E182">
            <v>2.300711489270419E-2</v>
          </cell>
          <cell r="F182">
            <v>2.3466020506026138E-2</v>
          </cell>
          <cell r="G182">
            <v>2.5577955871869233E-2</v>
          </cell>
          <cell r="H182">
            <v>3.2424881288877494E-2</v>
          </cell>
          <cell r="I182">
            <v>4.4931542496754483E-2</v>
          </cell>
          <cell r="J182">
            <v>4.9367727392737017E-2</v>
          </cell>
          <cell r="K182">
            <v>4.8657253376175665E-2</v>
          </cell>
          <cell r="L182">
            <v>4.7954904932809503E-2</v>
          </cell>
          <cell r="M182">
            <v>4.7271398250659694E-2</v>
          </cell>
          <cell r="N182">
            <v>4.7386282676915428E-2</v>
          </cell>
          <cell r="O182">
            <v>4.7500592338358558E-2</v>
          </cell>
          <cell r="P182">
            <v>4.7614326031326586E-2</v>
          </cell>
          <cell r="Q182">
            <v>4.7727482619880586E-2</v>
          </cell>
          <cell r="R182">
            <v>4.7840061035312645E-2</v>
          </cell>
        </row>
        <row r="184">
          <cell r="A184" t="str">
            <v>Metastatic Breast Cancer</v>
          </cell>
          <cell r="T184" t="str">
            <v>AVADO overall survival anticipated 1st half 2009</v>
          </cell>
        </row>
        <row r="185">
          <cell r="A185" t="str">
            <v xml:space="preserve">     New Diagnoses </v>
          </cell>
          <cell r="B185">
            <v>195000</v>
          </cell>
          <cell r="C185">
            <v>198900</v>
          </cell>
          <cell r="D185">
            <v>202878</v>
          </cell>
          <cell r="E185">
            <v>206935.56</v>
          </cell>
          <cell r="F185">
            <v>211074.27119999999</v>
          </cell>
          <cell r="G185">
            <v>215295.756624</v>
          </cell>
          <cell r="H185">
            <v>219601.67175648001</v>
          </cell>
          <cell r="I185">
            <v>223993.7051916096</v>
          </cell>
          <cell r="J185">
            <v>228473.5792954418</v>
          </cell>
          <cell r="K185">
            <v>233043.05088135065</v>
          </cell>
          <cell r="L185">
            <v>237703.91189897768</v>
          </cell>
          <cell r="M185">
            <v>242457.99013695723</v>
          </cell>
          <cell r="N185">
            <v>247307.14993969639</v>
          </cell>
          <cell r="O185">
            <v>252253.29293849031</v>
          </cell>
          <cell r="P185">
            <v>257298.35879726012</v>
          </cell>
          <cell r="Q185">
            <v>262444.32597320533</v>
          </cell>
          <cell r="R185">
            <v>267693.21249266947</v>
          </cell>
        </row>
        <row r="186">
          <cell r="A186" t="str">
            <v>Metastatic and Her 2 (-) Breast Cancer</v>
          </cell>
          <cell r="B186">
            <v>43874.999999999993</v>
          </cell>
          <cell r="C186">
            <v>44752.499999999993</v>
          </cell>
          <cell r="D186">
            <v>45647.549999999996</v>
          </cell>
          <cell r="E186">
            <v>46560.500999999997</v>
          </cell>
          <cell r="F186">
            <v>47491.711019999995</v>
          </cell>
          <cell r="G186">
            <v>48441.545240399995</v>
          </cell>
          <cell r="H186">
            <v>49410.376145208</v>
          </cell>
          <cell r="I186">
            <v>50398.583668112151</v>
          </cell>
          <cell r="J186">
            <v>51406.555341474399</v>
          </cell>
          <cell r="K186">
            <v>52434.686448303888</v>
          </cell>
          <cell r="L186">
            <v>53483.380177269974</v>
          </cell>
          <cell r="M186">
            <v>54553.047780815374</v>
          </cell>
          <cell r="N186">
            <v>55644.108736431685</v>
          </cell>
          <cell r="O186">
            <v>56756.990911160312</v>
          </cell>
          <cell r="P186">
            <v>57892.13072938352</v>
          </cell>
          <cell r="Q186">
            <v>59049.973343971193</v>
          </cell>
          <cell r="R186">
            <v>60230.972810850624</v>
          </cell>
        </row>
        <row r="187">
          <cell r="A187" t="str">
            <v xml:space="preserve">     Avastin Penetration</v>
          </cell>
          <cell r="B187">
            <v>0</v>
          </cell>
          <cell r="C187">
            <v>0.11</v>
          </cell>
          <cell r="D187">
            <v>0.12</v>
          </cell>
          <cell r="E187">
            <v>0.2</v>
          </cell>
          <cell r="F187">
            <v>0.4</v>
          </cell>
          <cell r="G187">
            <v>0.4</v>
          </cell>
          <cell r="H187">
            <v>0.4</v>
          </cell>
          <cell r="I187">
            <v>0.12</v>
          </cell>
          <cell r="J187">
            <v>0.05</v>
          </cell>
          <cell r="K187">
            <v>0.05</v>
          </cell>
          <cell r="L187">
            <v>0.05</v>
          </cell>
          <cell r="M187">
            <v>0.05</v>
          </cell>
          <cell r="N187">
            <v>0.05</v>
          </cell>
          <cell r="O187">
            <v>0.05</v>
          </cell>
          <cell r="P187">
            <v>0.05</v>
          </cell>
          <cell r="Q187">
            <v>0.05</v>
          </cell>
          <cell r="R187">
            <v>0.05</v>
          </cell>
        </row>
        <row r="188">
          <cell r="A188" t="str">
            <v xml:space="preserve">     Patients Treated </v>
          </cell>
          <cell r="B188">
            <v>0</v>
          </cell>
          <cell r="C188">
            <v>4922.7749999999996</v>
          </cell>
          <cell r="D188">
            <v>5477.7059999999992</v>
          </cell>
          <cell r="E188">
            <v>9312.1001999999989</v>
          </cell>
          <cell r="F188">
            <v>18996.684407999997</v>
          </cell>
          <cell r="G188">
            <v>19376.61809616</v>
          </cell>
          <cell r="H188">
            <v>19764.150458083201</v>
          </cell>
          <cell r="I188">
            <v>6047.8300401734577</v>
          </cell>
          <cell r="J188">
            <v>2570.3277670737202</v>
          </cell>
          <cell r="K188">
            <v>2621.7343224151946</v>
          </cell>
          <cell r="L188">
            <v>2674.1690088634987</v>
          </cell>
          <cell r="M188">
            <v>2727.6523890407689</v>
          </cell>
          <cell r="N188">
            <v>2782.2054368215845</v>
          </cell>
          <cell r="O188">
            <v>2837.849545558016</v>
          </cell>
          <cell r="P188">
            <v>2894.6065364691763</v>
          </cell>
          <cell r="Q188">
            <v>2952.4986671985598</v>
          </cell>
          <cell r="R188">
            <v>3011.5486405425313</v>
          </cell>
        </row>
        <row r="189">
          <cell r="A189" t="str">
            <v>Metastatic and Her 2 (+) Breast Cancer</v>
          </cell>
          <cell r="B189">
            <v>14625</v>
          </cell>
          <cell r="C189">
            <v>14917.5</v>
          </cell>
          <cell r="D189">
            <v>15215.849999999999</v>
          </cell>
          <cell r="E189">
            <v>15520.166999999999</v>
          </cell>
          <cell r="F189">
            <v>15830.570339999998</v>
          </cell>
          <cell r="G189">
            <v>16147.181746799999</v>
          </cell>
          <cell r="H189">
            <v>16470.125381736001</v>
          </cell>
          <cell r="I189">
            <v>16799.527889370718</v>
          </cell>
          <cell r="J189">
            <v>17135.518447158134</v>
          </cell>
          <cell r="K189">
            <v>17478.228816101298</v>
          </cell>
          <cell r="L189">
            <v>17827.793392423326</v>
          </cell>
          <cell r="M189">
            <v>18184.349260271792</v>
          </cell>
          <cell r="N189">
            <v>18548.036245477229</v>
          </cell>
          <cell r="O189">
            <v>18918.996970386772</v>
          </cell>
          <cell r="P189">
            <v>19297.376909794508</v>
          </cell>
          <cell r="Q189">
            <v>19683.324447990399</v>
          </cell>
          <cell r="R189">
            <v>20076.990936950209</v>
          </cell>
        </row>
        <row r="190">
          <cell r="A190" t="str">
            <v xml:space="preserve">     Avastin Penetration</v>
          </cell>
          <cell r="B190">
            <v>0</v>
          </cell>
          <cell r="C190">
            <v>0</v>
          </cell>
          <cell r="D190">
            <v>0.02</v>
          </cell>
          <cell r="E190">
            <v>0.04</v>
          </cell>
          <cell r="F190">
            <v>0.06</v>
          </cell>
          <cell r="G190">
            <v>0.1</v>
          </cell>
          <cell r="H190">
            <v>0.1</v>
          </cell>
          <cell r="I190">
            <v>0</v>
          </cell>
          <cell r="J190">
            <v>0</v>
          </cell>
          <cell r="K190">
            <v>0</v>
          </cell>
          <cell r="L190">
            <v>0</v>
          </cell>
          <cell r="M190">
            <v>0</v>
          </cell>
          <cell r="N190">
            <v>0</v>
          </cell>
          <cell r="O190">
            <v>0</v>
          </cell>
          <cell r="P190">
            <v>0</v>
          </cell>
          <cell r="Q190">
            <v>0</v>
          </cell>
          <cell r="R190">
            <v>0</v>
          </cell>
        </row>
        <row r="191">
          <cell r="A191" t="str">
            <v xml:space="preserve">     Patients Treated </v>
          </cell>
          <cell r="B191">
            <v>0</v>
          </cell>
          <cell r="C191">
            <v>0</v>
          </cell>
          <cell r="D191">
            <v>304.31699999999995</v>
          </cell>
          <cell r="E191">
            <v>620.80668000000003</v>
          </cell>
          <cell r="F191">
            <v>949.83422039999982</v>
          </cell>
          <cell r="G191">
            <v>1614.7181746799999</v>
          </cell>
          <cell r="H191">
            <v>1647.0125381736002</v>
          </cell>
          <cell r="I191">
            <v>0</v>
          </cell>
          <cell r="J191">
            <v>0</v>
          </cell>
          <cell r="K191">
            <v>0</v>
          </cell>
          <cell r="L191">
            <v>0</v>
          </cell>
          <cell r="M191">
            <v>0</v>
          </cell>
          <cell r="N191">
            <v>0</v>
          </cell>
          <cell r="O191">
            <v>0</v>
          </cell>
          <cell r="P191">
            <v>0</v>
          </cell>
          <cell r="Q191">
            <v>0</v>
          </cell>
          <cell r="R191">
            <v>0</v>
          </cell>
        </row>
        <row r="192">
          <cell r="A192" t="str">
            <v>Average Cost Per month</v>
          </cell>
          <cell r="B192">
            <v>8800</v>
          </cell>
          <cell r="C192">
            <v>8800</v>
          </cell>
          <cell r="D192">
            <v>8800</v>
          </cell>
          <cell r="E192">
            <v>8800</v>
          </cell>
          <cell r="F192">
            <v>8800</v>
          </cell>
          <cell r="G192">
            <v>8800</v>
          </cell>
          <cell r="H192">
            <v>8800</v>
          </cell>
          <cell r="I192">
            <v>8800</v>
          </cell>
          <cell r="J192">
            <v>8800</v>
          </cell>
          <cell r="K192">
            <v>8800</v>
          </cell>
          <cell r="L192">
            <v>8800</v>
          </cell>
          <cell r="M192">
            <v>8800</v>
          </cell>
          <cell r="N192">
            <v>8800</v>
          </cell>
          <cell r="O192">
            <v>8800</v>
          </cell>
          <cell r="P192">
            <v>8800</v>
          </cell>
          <cell r="Q192">
            <v>8800</v>
          </cell>
          <cell r="R192">
            <v>8800</v>
          </cell>
        </row>
        <row r="193">
          <cell r="A193" t="str">
            <v>Average Months on Therapy</v>
          </cell>
          <cell r="B193">
            <v>3</v>
          </cell>
          <cell r="C193">
            <v>2</v>
          </cell>
          <cell r="D193">
            <v>4.8499999999999996</v>
          </cell>
          <cell r="E193">
            <v>5.5</v>
          </cell>
          <cell r="F193">
            <v>5.75</v>
          </cell>
          <cell r="G193">
            <v>6.5</v>
          </cell>
          <cell r="H193">
            <v>6.5</v>
          </cell>
          <cell r="I193">
            <v>6.5</v>
          </cell>
          <cell r="J193">
            <v>6.5</v>
          </cell>
          <cell r="K193">
            <v>6.5</v>
          </cell>
          <cell r="L193">
            <v>6.5</v>
          </cell>
          <cell r="M193">
            <v>6.5</v>
          </cell>
          <cell r="N193">
            <v>6.5</v>
          </cell>
          <cell r="O193">
            <v>6.5</v>
          </cell>
          <cell r="P193">
            <v>6.5</v>
          </cell>
          <cell r="Q193">
            <v>6.5</v>
          </cell>
          <cell r="R193">
            <v>6.5</v>
          </cell>
        </row>
        <row r="194">
          <cell r="A194" t="str">
            <v>Avg. Revenue per patient</v>
          </cell>
          <cell r="B194">
            <v>26400</v>
          </cell>
          <cell r="C194">
            <v>17600</v>
          </cell>
          <cell r="D194">
            <v>42680</v>
          </cell>
          <cell r="E194">
            <v>48400</v>
          </cell>
          <cell r="F194">
            <v>50600</v>
          </cell>
          <cell r="G194">
            <v>57200</v>
          </cell>
          <cell r="H194">
            <v>57200</v>
          </cell>
          <cell r="I194">
            <v>57200</v>
          </cell>
          <cell r="J194">
            <v>57200</v>
          </cell>
          <cell r="K194">
            <v>57200</v>
          </cell>
          <cell r="L194">
            <v>57200</v>
          </cell>
          <cell r="M194">
            <v>57200</v>
          </cell>
          <cell r="N194">
            <v>57200</v>
          </cell>
          <cell r="O194">
            <v>57200</v>
          </cell>
          <cell r="P194">
            <v>57200</v>
          </cell>
          <cell r="Q194">
            <v>57200</v>
          </cell>
          <cell r="R194">
            <v>57200</v>
          </cell>
        </row>
        <row r="195">
          <cell r="A195" t="str">
            <v xml:space="preserve">     Sales ($MM)</v>
          </cell>
          <cell r="B195">
            <v>0</v>
          </cell>
          <cell r="C195">
            <v>86.640839999999997</v>
          </cell>
          <cell r="D195">
            <v>246.77674163999995</v>
          </cell>
          <cell r="E195">
            <v>480.75269299199994</v>
          </cell>
          <cell r="F195">
            <v>1009.2938425970398</v>
          </cell>
          <cell r="G195">
            <v>1200.7044346920482</v>
          </cell>
          <cell r="H195">
            <v>1224.7185233858891</v>
          </cell>
          <cell r="I195">
            <v>345.93587829792176</v>
          </cell>
          <cell r="J195">
            <v>147.0227482766168</v>
          </cell>
          <cell r="K195">
            <v>149.96320324214915</v>
          </cell>
          <cell r="L195">
            <v>152.96246730699212</v>
          </cell>
          <cell r="M195">
            <v>156.02171665313199</v>
          </cell>
          <cell r="N195">
            <v>159.14215098619465</v>
          </cell>
          <cell r="O195">
            <v>162.32499400591851</v>
          </cell>
          <cell r="P195">
            <v>165.57149388603688</v>
          </cell>
          <cell r="Q195">
            <v>168.88292376375762</v>
          </cell>
          <cell r="R195">
            <v>172.2605822390328</v>
          </cell>
          <cell r="T195" t="str">
            <v>RIBBON-1 (first line mbc) expected late 2008</v>
          </cell>
        </row>
        <row r="196">
          <cell r="A196" t="str">
            <v>% of US Sales</v>
          </cell>
          <cell r="B196">
            <v>0</v>
          </cell>
          <cell r="C196">
            <v>7.4476581758515958E-2</v>
          </cell>
          <cell r="D196">
            <v>0.14213949673903276</v>
          </cell>
          <cell r="E196">
            <v>0.21150112047793063</v>
          </cell>
          <cell r="F196">
            <v>0.35520221914715427</v>
          </cell>
          <cell r="G196">
            <v>0.37630425703457615</v>
          </cell>
          <cell r="H196">
            <v>0.35777744292688318</v>
          </cell>
          <cell r="I196">
            <v>0.12921594227690586</v>
          </cell>
          <cell r="J196">
            <v>5.5869280777048363E-2</v>
          </cell>
          <cell r="K196">
            <v>5.5065239869913081E-2</v>
          </cell>
          <cell r="L196">
            <v>5.4270394644942904E-2</v>
          </cell>
          <cell r="M196">
            <v>5.3496872573849254E-2</v>
          </cell>
          <cell r="N196">
            <v>5.3626886868741369E-2</v>
          </cell>
          <cell r="O196">
            <v>5.3756250704347752E-2</v>
          </cell>
          <cell r="P196">
            <v>5.3884962718487903E-2</v>
          </cell>
          <cell r="Q196">
            <v>5.401302162562379E-2</v>
          </cell>
          <cell r="R196">
            <v>5.4140426216302481E-2</v>
          </cell>
          <cell r="T196" t="str">
            <v>RIBBON-1 (first line mbc) and AVADO submitted by mid 2009 for full approval</v>
          </cell>
        </row>
        <row r="198">
          <cell r="A198" t="str">
            <v>Pancreatic Cancer</v>
          </cell>
        </row>
        <row r="199">
          <cell r="A199" t="str">
            <v xml:space="preserve">     New Diagnoses of Pancreatic Cancer</v>
          </cell>
          <cell r="B199">
            <v>30000</v>
          </cell>
          <cell r="C199">
            <v>30600</v>
          </cell>
          <cell r="D199">
            <v>31212</v>
          </cell>
          <cell r="E199">
            <v>31836.240000000002</v>
          </cell>
          <cell r="F199">
            <v>32472.964800000002</v>
          </cell>
          <cell r="G199">
            <v>33122.424096000002</v>
          </cell>
          <cell r="H199">
            <v>33784.872577920003</v>
          </cell>
          <cell r="I199">
            <v>34460.570029478404</v>
          </cell>
          <cell r="J199">
            <v>35149.781430067975</v>
          </cell>
          <cell r="K199">
            <v>35852.777058669337</v>
          </cell>
          <cell r="L199">
            <v>36569.832599842724</v>
          </cell>
          <cell r="M199">
            <v>37301.229251839577</v>
          </cell>
          <cell r="N199">
            <v>38047.253836876371</v>
          </cell>
          <cell r="O199">
            <v>38808.198913613902</v>
          </cell>
          <cell r="P199">
            <v>39584.36289188618</v>
          </cell>
          <cell r="Q199">
            <v>40376.050149723902</v>
          </cell>
          <cell r="R199">
            <v>41183.571152718381</v>
          </cell>
        </row>
        <row r="200">
          <cell r="A200" t="str">
            <v xml:space="preserve">     Avastin Penetration</v>
          </cell>
          <cell r="B200">
            <v>0</v>
          </cell>
          <cell r="C200">
            <v>5.0000000000000001E-3</v>
          </cell>
          <cell r="D200">
            <v>5.4999999999999997E-3</v>
          </cell>
          <cell r="E200">
            <v>0.01</v>
          </cell>
          <cell r="F200">
            <v>0.01</v>
          </cell>
          <cell r="G200">
            <v>0.01</v>
          </cell>
          <cell r="H200">
            <v>0.01</v>
          </cell>
          <cell r="I200">
            <v>0.01</v>
          </cell>
          <cell r="J200">
            <v>0.01</v>
          </cell>
          <cell r="K200">
            <v>0.01</v>
          </cell>
          <cell r="L200">
            <v>0.01</v>
          </cell>
          <cell r="M200">
            <v>0.01</v>
          </cell>
          <cell r="N200">
            <v>0.01</v>
          </cell>
          <cell r="O200">
            <v>0.01</v>
          </cell>
          <cell r="P200">
            <v>0.01</v>
          </cell>
          <cell r="Q200">
            <v>0.01</v>
          </cell>
          <cell r="R200">
            <v>0.01</v>
          </cell>
        </row>
        <row r="201">
          <cell r="A201" t="str">
            <v xml:space="preserve">     Patients Treated </v>
          </cell>
          <cell r="B201">
            <v>0</v>
          </cell>
          <cell r="C201">
            <v>153</v>
          </cell>
          <cell r="D201">
            <v>171.666</v>
          </cell>
          <cell r="E201">
            <v>318.36240000000004</v>
          </cell>
          <cell r="F201">
            <v>324.729648</v>
          </cell>
          <cell r="G201">
            <v>331.22424096000003</v>
          </cell>
          <cell r="H201">
            <v>337.84872577920004</v>
          </cell>
          <cell r="I201">
            <v>344.60570029478407</v>
          </cell>
          <cell r="J201">
            <v>351.49781430067975</v>
          </cell>
          <cell r="K201">
            <v>358.52777058669335</v>
          </cell>
          <cell r="L201">
            <v>365.69832599842726</v>
          </cell>
          <cell r="M201">
            <v>373.01229251839578</v>
          </cell>
          <cell r="N201">
            <v>380.47253836876371</v>
          </cell>
          <cell r="O201">
            <v>388.08198913613904</v>
          </cell>
          <cell r="P201">
            <v>395.84362891886178</v>
          </cell>
          <cell r="Q201">
            <v>403.76050149723903</v>
          </cell>
          <cell r="R201">
            <v>411.83571152718383</v>
          </cell>
        </row>
        <row r="202">
          <cell r="A202" t="str">
            <v xml:space="preserve">     Average Cost Per month</v>
          </cell>
          <cell r="B202">
            <v>8800</v>
          </cell>
          <cell r="C202">
            <v>8800</v>
          </cell>
          <cell r="D202">
            <v>8800</v>
          </cell>
          <cell r="E202">
            <v>8800</v>
          </cell>
          <cell r="F202">
            <v>8800</v>
          </cell>
          <cell r="G202">
            <v>8800</v>
          </cell>
          <cell r="H202">
            <v>8800</v>
          </cell>
          <cell r="I202">
            <v>8800</v>
          </cell>
          <cell r="J202">
            <v>8800</v>
          </cell>
          <cell r="K202">
            <v>8800</v>
          </cell>
          <cell r="L202">
            <v>8800</v>
          </cell>
          <cell r="M202">
            <v>8800</v>
          </cell>
          <cell r="N202">
            <v>8800</v>
          </cell>
          <cell r="O202">
            <v>8800</v>
          </cell>
          <cell r="P202">
            <v>8800</v>
          </cell>
          <cell r="Q202">
            <v>8800</v>
          </cell>
          <cell r="R202">
            <v>8800</v>
          </cell>
        </row>
        <row r="203">
          <cell r="A203" t="str">
            <v xml:space="preserve">     Average Months on Therapy</v>
          </cell>
          <cell r="B203">
            <v>3</v>
          </cell>
          <cell r="C203">
            <v>3</v>
          </cell>
          <cell r="D203">
            <v>3.5</v>
          </cell>
          <cell r="E203">
            <v>4</v>
          </cell>
          <cell r="F203">
            <v>4</v>
          </cell>
          <cell r="G203">
            <v>4</v>
          </cell>
          <cell r="H203">
            <v>4</v>
          </cell>
          <cell r="I203">
            <v>4</v>
          </cell>
          <cell r="J203">
            <v>4</v>
          </cell>
          <cell r="K203">
            <v>4</v>
          </cell>
          <cell r="L203">
            <v>4</v>
          </cell>
          <cell r="M203">
            <v>4</v>
          </cell>
          <cell r="N203">
            <v>4</v>
          </cell>
          <cell r="O203">
            <v>4</v>
          </cell>
          <cell r="P203">
            <v>4</v>
          </cell>
          <cell r="Q203">
            <v>4</v>
          </cell>
          <cell r="R203">
            <v>4</v>
          </cell>
        </row>
        <row r="204">
          <cell r="A204" t="str">
            <v xml:space="preserve">     Avg. Revenue per patient</v>
          </cell>
          <cell r="B204">
            <v>26400</v>
          </cell>
          <cell r="C204">
            <v>26400</v>
          </cell>
          <cell r="D204">
            <v>30800</v>
          </cell>
          <cell r="E204">
            <v>35200</v>
          </cell>
          <cell r="F204">
            <v>35200</v>
          </cell>
          <cell r="G204">
            <v>35200</v>
          </cell>
          <cell r="H204">
            <v>35200</v>
          </cell>
          <cell r="I204">
            <v>35200</v>
          </cell>
          <cell r="J204">
            <v>35200</v>
          </cell>
          <cell r="K204">
            <v>35200</v>
          </cell>
          <cell r="L204">
            <v>35200</v>
          </cell>
          <cell r="M204">
            <v>35200</v>
          </cell>
          <cell r="N204">
            <v>35200</v>
          </cell>
          <cell r="O204">
            <v>35200</v>
          </cell>
          <cell r="P204">
            <v>35200</v>
          </cell>
          <cell r="Q204">
            <v>35200</v>
          </cell>
          <cell r="R204">
            <v>35200</v>
          </cell>
        </row>
        <row r="205">
          <cell r="A205" t="str">
            <v xml:space="preserve">     Sales ($MM)</v>
          </cell>
          <cell r="B205">
            <v>0</v>
          </cell>
          <cell r="C205">
            <v>4.0392000000000001</v>
          </cell>
          <cell r="D205">
            <v>5.2873127999999996</v>
          </cell>
          <cell r="E205">
            <v>11.20635648</v>
          </cell>
          <cell r="F205">
            <v>11.4304836096</v>
          </cell>
          <cell r="G205">
            <v>11.659093281792002</v>
          </cell>
          <cell r="H205">
            <v>11.892275147427842</v>
          </cell>
          <cell r="I205">
            <v>12.1301206503764</v>
          </cell>
          <cell r="J205">
            <v>12.372723063383928</v>
          </cell>
          <cell r="K205">
            <v>12.620177524651606</v>
          </cell>
          <cell r="L205">
            <v>12.872581075144639</v>
          </cell>
          <cell r="M205">
            <v>13.130032696647532</v>
          </cell>
          <cell r="N205">
            <v>13.392633350580482</v>
          </cell>
          <cell r="O205">
            <v>13.660486017592095</v>
          </cell>
          <cell r="P205">
            <v>13.933695737943934</v>
          </cell>
          <cell r="Q205">
            <v>14.212369652702813</v>
          </cell>
          <cell r="R205">
            <v>14.496617045756871</v>
          </cell>
        </row>
        <row r="206">
          <cell r="A206" t="str">
            <v>% of US Sales</v>
          </cell>
          <cell r="B206">
            <v>0</v>
          </cell>
          <cell r="C206">
            <v>3.4721017136837276E-3</v>
          </cell>
          <cell r="D206">
            <v>3.045408475285703E-3</v>
          </cell>
          <cell r="E206">
            <v>4.9300960484366116E-3</v>
          </cell>
          <cell r="F206">
            <v>4.022746372461623E-3</v>
          </cell>
          <cell r="G206">
            <v>3.6539936959813189E-3</v>
          </cell>
          <cell r="H206">
            <v>3.4740944238083032E-3</v>
          </cell>
          <cell r="I206">
            <v>4.5309118484122175E-3</v>
          </cell>
          <cell r="J206">
            <v>4.7016883231178128E-3</v>
          </cell>
          <cell r="K206">
            <v>4.6340241310643491E-3</v>
          </cell>
          <cell r="L206">
            <v>4.5671338031247162E-3</v>
          </cell>
          <cell r="M206">
            <v>4.5020379286342567E-3</v>
          </cell>
          <cell r="N206">
            <v>4.5129793025633757E-3</v>
          </cell>
          <cell r="O206">
            <v>4.5238659369865319E-3</v>
          </cell>
          <cell r="P206">
            <v>4.5346977172691996E-3</v>
          </cell>
          <cell r="Q206">
            <v>4.5454745352267239E-3</v>
          </cell>
          <cell r="R206">
            <v>4.556196289077395E-3</v>
          </cell>
        </row>
        <row r="208">
          <cell r="A208" t="str">
            <v>Ovarian Cancer</v>
          </cell>
        </row>
        <row r="209">
          <cell r="A209" t="str">
            <v xml:space="preserve">     New Diagnoses of Ovarian Cancer</v>
          </cell>
          <cell r="I209">
            <v>18000</v>
          </cell>
          <cell r="J209">
            <v>18360</v>
          </cell>
          <cell r="K209">
            <v>18727.2</v>
          </cell>
          <cell r="L209">
            <v>19101.744000000002</v>
          </cell>
          <cell r="M209">
            <v>19483.778880000002</v>
          </cell>
          <cell r="N209">
            <v>19873.454457600001</v>
          </cell>
          <cell r="O209">
            <v>20270.923546752001</v>
          </cell>
          <cell r="P209">
            <v>20676.342017687042</v>
          </cell>
          <cell r="Q209">
            <v>21089.868858040783</v>
          </cell>
          <cell r="R209">
            <v>21511.666235201599</v>
          </cell>
        </row>
        <row r="210">
          <cell r="A210" t="str">
            <v xml:space="preserve">     Avastin Penetration</v>
          </cell>
          <cell r="I210">
            <v>0.1</v>
          </cell>
          <cell r="J210">
            <v>0.25</v>
          </cell>
          <cell r="K210">
            <v>0.3</v>
          </cell>
          <cell r="L210">
            <v>0.35</v>
          </cell>
          <cell r="M210">
            <v>0.4</v>
          </cell>
          <cell r="N210">
            <v>0.4</v>
          </cell>
          <cell r="O210">
            <v>0.4</v>
          </cell>
          <cell r="P210">
            <v>0.4</v>
          </cell>
          <cell r="Q210">
            <v>0.4</v>
          </cell>
          <cell r="R210">
            <v>0.4</v>
          </cell>
        </row>
        <row r="211">
          <cell r="A211" t="str">
            <v xml:space="preserve">     Patients Treated </v>
          </cell>
          <cell r="I211">
            <v>1800</v>
          </cell>
          <cell r="J211">
            <v>4590</v>
          </cell>
          <cell r="K211">
            <v>5618.16</v>
          </cell>
          <cell r="L211">
            <v>6685.6104000000005</v>
          </cell>
          <cell r="M211">
            <v>7793.5115520000008</v>
          </cell>
          <cell r="N211">
            <v>7949.3817830400003</v>
          </cell>
          <cell r="O211">
            <v>8108.3694187008005</v>
          </cell>
          <cell r="P211">
            <v>8270.5368070748173</v>
          </cell>
          <cell r="Q211">
            <v>8435.9475432163144</v>
          </cell>
          <cell r="R211">
            <v>8604.6664940806404</v>
          </cell>
        </row>
        <row r="212">
          <cell r="A212" t="str">
            <v xml:space="preserve">     Average Cost Per treatment</v>
          </cell>
          <cell r="I212">
            <v>50000</v>
          </cell>
          <cell r="J212">
            <v>50000</v>
          </cell>
          <cell r="K212">
            <v>50000</v>
          </cell>
          <cell r="L212">
            <v>50000</v>
          </cell>
          <cell r="M212">
            <v>50000</v>
          </cell>
          <cell r="N212">
            <v>50000</v>
          </cell>
          <cell r="O212">
            <v>50000</v>
          </cell>
          <cell r="P212">
            <v>50000</v>
          </cell>
          <cell r="Q212">
            <v>50000</v>
          </cell>
          <cell r="R212">
            <v>50000</v>
          </cell>
        </row>
        <row r="213">
          <cell r="A213" t="str">
            <v xml:space="preserve">     Sales ($MM)</v>
          </cell>
          <cell r="I213">
            <v>90</v>
          </cell>
          <cell r="J213">
            <v>229.5</v>
          </cell>
          <cell r="K213">
            <v>280.90800000000002</v>
          </cell>
          <cell r="L213">
            <v>334.28052000000002</v>
          </cell>
          <cell r="M213">
            <v>389.6755776</v>
          </cell>
          <cell r="N213">
            <v>397.46908915200004</v>
          </cell>
          <cell r="O213">
            <v>405.41847093503998</v>
          </cell>
          <cell r="P213">
            <v>413.52684035374085</v>
          </cell>
          <cell r="Q213">
            <v>421.7973771608157</v>
          </cell>
          <cell r="R213">
            <v>430.23332470403199</v>
          </cell>
        </row>
        <row r="214">
          <cell r="A214" t="str">
            <v>% of US Sales</v>
          </cell>
          <cell r="I214">
            <v>3.3617313307138956E-2</v>
          </cell>
          <cell r="J214">
            <v>8.7210993459383407E-2</v>
          </cell>
          <cell r="K214">
            <v>0.10314707919649173</v>
          </cell>
          <cell r="L214">
            <v>0.11860122330602244</v>
          </cell>
          <cell r="M214">
            <v>0.13361232761176542</v>
          </cell>
          <cell r="N214">
            <v>0.13393704776319776</v>
          </cell>
          <cell r="O214">
            <v>0.13426014334528613</v>
          </cell>
          <cell r="P214">
            <v>0.13458161095588572</v>
          </cell>
          <cell r="Q214">
            <v>0.13490144738427179</v>
          </cell>
          <cell r="R214">
            <v>0.13521964960974775</v>
          </cell>
        </row>
        <row r="216">
          <cell r="A216" t="str">
            <v>Other Off-Label Sales ($MM)</v>
          </cell>
          <cell r="B216">
            <v>5.0388907600000001</v>
          </cell>
          <cell r="C216">
            <v>11.518118564991918</v>
          </cell>
          <cell r="D216">
            <v>34.042329901335819</v>
          </cell>
          <cell r="E216">
            <v>44.569614433714662</v>
          </cell>
          <cell r="F216">
            <v>55.714954125445104</v>
          </cell>
          <cell r="G216">
            <v>91.586879806971709</v>
          </cell>
          <cell r="H216">
            <v>146.4648480024035</v>
          </cell>
          <cell r="I216">
            <v>216.15839329642847</v>
          </cell>
          <cell r="J216">
            <v>189.10533170139036</v>
          </cell>
          <cell r="K216">
            <v>191.41018656546507</v>
          </cell>
          <cell r="L216">
            <v>193.82865185398964</v>
          </cell>
          <cell r="M216">
            <v>196.28138906385692</v>
          </cell>
          <cell r="N216">
            <v>198.76894265964938</v>
          </cell>
          <cell r="O216">
            <v>201.29186658550287</v>
          </cell>
          <cell r="P216">
            <v>203.85072444060003</v>
          </cell>
          <cell r="Q216">
            <v>206.44608965803297</v>
          </cell>
          <cell r="R216">
            <v>209.0785456871009</v>
          </cell>
        </row>
        <row r="217">
          <cell r="A217" t="str">
            <v>% of Total Sales</v>
          </cell>
          <cell r="B217">
            <v>9.9009900990098994E-3</v>
          </cell>
          <cell r="C217">
            <v>9.9009900990099011E-3</v>
          </cell>
          <cell r="D217">
            <v>1.9607843137254905E-2</v>
          </cell>
          <cell r="E217">
            <v>1.9607843137254905E-2</v>
          </cell>
          <cell r="F217">
            <v>1.9607843137254905E-2</v>
          </cell>
          <cell r="G217">
            <v>2.8703594126989994E-2</v>
          </cell>
          <cell r="H217">
            <v>4.2786826357539762E-2</v>
          </cell>
          <cell r="I217">
            <v>8.074071590459779E-2</v>
          </cell>
          <cell r="J217">
            <v>7.1860844645509736E-2</v>
          </cell>
          <cell r="K217">
            <v>7.0284227123055529E-2</v>
          </cell>
          <cell r="L217">
            <v>6.8769532910982381E-2</v>
          </cell>
          <cell r="M217">
            <v>6.7301146818631002E-2</v>
          </cell>
          <cell r="N217">
            <v>6.6980115167307508E-2</v>
          </cell>
          <cell r="O217">
            <v>6.6660689631825157E-2</v>
          </cell>
          <cell r="P217">
            <v>6.6342873575684011E-2</v>
          </cell>
          <cell r="Q217">
            <v>6.6026670173137819E-2</v>
          </cell>
          <cell r="R217">
            <v>6.5712082410571276E-2</v>
          </cell>
        </row>
        <row r="219">
          <cell r="A219" t="str">
            <v>Avastin - Japan</v>
          </cell>
          <cell r="B219">
            <v>0</v>
          </cell>
          <cell r="C219">
            <v>0</v>
          </cell>
          <cell r="D219">
            <v>0</v>
          </cell>
          <cell r="E219">
            <v>30.891101625000005</v>
          </cell>
          <cell r="F219">
            <v>229.82979609</v>
          </cell>
          <cell r="G219">
            <v>378.94732185420003</v>
          </cell>
          <cell r="H219">
            <v>452.51855799955194</v>
          </cell>
          <cell r="I219">
            <v>576.9611614494288</v>
          </cell>
          <cell r="J219">
            <v>556.79148966402477</v>
          </cell>
          <cell r="K219">
            <v>659.77163734583087</v>
          </cell>
          <cell r="L219">
            <v>725.97845164149817</v>
          </cell>
          <cell r="M219">
            <v>760.99712769725124</v>
          </cell>
          <cell r="N219">
            <v>775.08613050364715</v>
          </cell>
          <cell r="O219">
            <v>789.44560396869542</v>
          </cell>
          <cell r="P219">
            <v>804.08084441159451</v>
          </cell>
          <cell r="Q219">
            <v>818.99725294698658</v>
          </cell>
          <cell r="R219">
            <v>805.4702543848955</v>
          </cell>
        </row>
        <row r="221">
          <cell r="A221" t="str">
            <v xml:space="preserve"> Colorectal Cancer </v>
          </cell>
        </row>
        <row r="222">
          <cell r="A222" t="str">
            <v xml:space="preserve">     New Diagnoses of CRC</v>
          </cell>
          <cell r="C222">
            <v>115000</v>
          </cell>
          <cell r="D222">
            <v>117300</v>
          </cell>
          <cell r="E222">
            <v>119646</v>
          </cell>
          <cell r="F222">
            <v>122038.92</v>
          </cell>
          <cell r="G222">
            <v>124479.69839999999</v>
          </cell>
          <cell r="H222">
            <v>126969.29236799999</v>
          </cell>
          <cell r="I222">
            <v>129508.67821535999</v>
          </cell>
          <cell r="J222">
            <v>132098.85177966719</v>
          </cell>
          <cell r="K222">
            <v>134740.82881526055</v>
          </cell>
          <cell r="L222">
            <v>137435.64539156578</v>
          </cell>
          <cell r="M222">
            <v>140184.35829939711</v>
          </cell>
          <cell r="N222">
            <v>142988.04546538505</v>
          </cell>
          <cell r="O222">
            <v>145847.80637469274</v>
          </cell>
          <cell r="P222">
            <v>148764.76250218658</v>
          </cell>
          <cell r="Q222">
            <v>151740.05775223032</v>
          </cell>
          <cell r="R222">
            <v>154774.85890727493</v>
          </cell>
        </row>
        <row r="223">
          <cell r="A223" t="str">
            <v xml:space="preserve">     Eligible Stage (III/IV) Patients (22.5%)</v>
          </cell>
          <cell r="B223">
            <v>0</v>
          </cell>
          <cell r="C223">
            <v>25875</v>
          </cell>
          <cell r="D223">
            <v>26392.5</v>
          </cell>
          <cell r="E223">
            <v>26920.350000000002</v>
          </cell>
          <cell r="F223">
            <v>27458.757000000001</v>
          </cell>
          <cell r="G223">
            <v>28007.932140000001</v>
          </cell>
          <cell r="H223">
            <v>28568.090782799998</v>
          </cell>
          <cell r="I223">
            <v>29139.452598455999</v>
          </cell>
          <cell r="J223">
            <v>29722.24165042512</v>
          </cell>
          <cell r="K223">
            <v>30316.686483433627</v>
          </cell>
          <cell r="L223">
            <v>30923.0202131023</v>
          </cell>
          <cell r="M223">
            <v>31541.480617364348</v>
          </cell>
          <cell r="N223">
            <v>32172.310229711635</v>
          </cell>
          <cell r="O223">
            <v>32815.756434305869</v>
          </cell>
          <cell r="P223">
            <v>33472.07156299198</v>
          </cell>
          <cell r="Q223">
            <v>34141.512994251825</v>
          </cell>
          <cell r="R223">
            <v>34824.34325413686</v>
          </cell>
        </row>
        <row r="224">
          <cell r="A224" t="str">
            <v xml:space="preserve">     Avastin Penetration</v>
          </cell>
          <cell r="C224">
            <v>0</v>
          </cell>
          <cell r="D224">
            <v>0</v>
          </cell>
          <cell r="E224">
            <v>4.4999999999999998E-2</v>
          </cell>
          <cell r="F224">
            <v>0.3</v>
          </cell>
          <cell r="G224">
            <v>0.41</v>
          </cell>
          <cell r="H224">
            <v>0.48</v>
          </cell>
          <cell r="I224">
            <v>0.6</v>
          </cell>
          <cell r="J224">
            <v>0.5</v>
          </cell>
          <cell r="K224">
            <v>0.5</v>
          </cell>
          <cell r="L224">
            <v>0.5</v>
          </cell>
          <cell r="M224">
            <v>0.5</v>
          </cell>
          <cell r="N224">
            <v>0.5</v>
          </cell>
          <cell r="O224">
            <v>0.5</v>
          </cell>
          <cell r="P224">
            <v>0.5</v>
          </cell>
          <cell r="Q224">
            <v>0.5</v>
          </cell>
          <cell r="R224">
            <v>0.5</v>
          </cell>
        </row>
        <row r="225">
          <cell r="A225" t="str">
            <v xml:space="preserve">     First-line Patients Treated </v>
          </cell>
          <cell r="E225">
            <v>1211.4157500000001</v>
          </cell>
          <cell r="F225">
            <v>8237.6270999999997</v>
          </cell>
          <cell r="G225">
            <v>11483.2521774</v>
          </cell>
          <cell r="H225">
            <v>13712.683575743999</v>
          </cell>
          <cell r="I225">
            <v>17483.671559073598</v>
          </cell>
          <cell r="J225">
            <v>14861.12082521256</v>
          </cell>
          <cell r="K225">
            <v>15158.343241716813</v>
          </cell>
          <cell r="L225">
            <v>15461.51010655115</v>
          </cell>
          <cell r="M225">
            <v>15770.740308682174</v>
          </cell>
          <cell r="N225">
            <v>16086.155114855817</v>
          </cell>
          <cell r="O225">
            <v>16407.878217152935</v>
          </cell>
          <cell r="P225">
            <v>16736.03578149599</v>
          </cell>
          <cell r="Q225">
            <v>17070.756497125913</v>
          </cell>
          <cell r="R225">
            <v>17412.17162706843</v>
          </cell>
        </row>
        <row r="226">
          <cell r="A226" t="str">
            <v xml:space="preserve">     Average Cost Per month</v>
          </cell>
          <cell r="E226">
            <v>3000</v>
          </cell>
          <cell r="F226">
            <v>3100</v>
          </cell>
          <cell r="G226">
            <v>3300</v>
          </cell>
          <cell r="H226">
            <v>3300</v>
          </cell>
          <cell r="I226">
            <v>3300</v>
          </cell>
          <cell r="J226">
            <v>3300</v>
          </cell>
          <cell r="K226">
            <v>3300</v>
          </cell>
          <cell r="L226">
            <v>3300</v>
          </cell>
          <cell r="M226">
            <v>3300</v>
          </cell>
          <cell r="N226">
            <v>3300</v>
          </cell>
          <cell r="O226">
            <v>3300</v>
          </cell>
          <cell r="P226">
            <v>3300</v>
          </cell>
          <cell r="Q226">
            <v>3300</v>
          </cell>
          <cell r="R226">
            <v>3300</v>
          </cell>
        </row>
        <row r="227">
          <cell r="A227" t="str">
            <v xml:space="preserve">     Average Months on Therapy</v>
          </cell>
          <cell r="E227">
            <v>8.5</v>
          </cell>
          <cell r="F227">
            <v>9</v>
          </cell>
          <cell r="G227">
            <v>10</v>
          </cell>
          <cell r="H227">
            <v>10</v>
          </cell>
          <cell r="I227">
            <v>10</v>
          </cell>
          <cell r="J227">
            <v>10</v>
          </cell>
          <cell r="K227">
            <v>10</v>
          </cell>
          <cell r="L227">
            <v>10</v>
          </cell>
          <cell r="M227">
            <v>10</v>
          </cell>
          <cell r="N227">
            <v>10</v>
          </cell>
          <cell r="O227">
            <v>10</v>
          </cell>
          <cell r="P227">
            <v>10</v>
          </cell>
          <cell r="Q227">
            <v>10</v>
          </cell>
          <cell r="R227">
            <v>9.5</v>
          </cell>
        </row>
        <row r="228">
          <cell r="A228" t="str">
            <v xml:space="preserve">     Avg. Revenue per patient</v>
          </cell>
          <cell r="E228">
            <v>25500</v>
          </cell>
          <cell r="F228">
            <v>27900</v>
          </cell>
          <cell r="G228">
            <v>33000</v>
          </cell>
          <cell r="H228">
            <v>33000</v>
          </cell>
          <cell r="I228">
            <v>33000</v>
          </cell>
          <cell r="J228">
            <v>33000</v>
          </cell>
          <cell r="K228">
            <v>33000</v>
          </cell>
          <cell r="L228">
            <v>33000</v>
          </cell>
          <cell r="M228">
            <v>33000</v>
          </cell>
          <cell r="N228">
            <v>33000</v>
          </cell>
          <cell r="O228">
            <v>33000</v>
          </cell>
          <cell r="P228">
            <v>33000</v>
          </cell>
          <cell r="Q228">
            <v>33000</v>
          </cell>
          <cell r="R228">
            <v>31350</v>
          </cell>
        </row>
        <row r="229">
          <cell r="A229" t="str">
            <v xml:space="preserve"> Sales - First-line Setting</v>
          </cell>
          <cell r="E229">
            <v>30.891101625000005</v>
          </cell>
          <cell r="F229">
            <v>229.82979609</v>
          </cell>
          <cell r="G229">
            <v>378.94732185420003</v>
          </cell>
          <cell r="H229">
            <v>452.51855799955194</v>
          </cell>
          <cell r="I229">
            <v>576.9611614494288</v>
          </cell>
          <cell r="J229">
            <v>490.41698723201449</v>
          </cell>
          <cell r="K229">
            <v>500.22532697665486</v>
          </cell>
          <cell r="L229">
            <v>510.22983351618797</v>
          </cell>
          <cell r="M229">
            <v>520.4344301865118</v>
          </cell>
          <cell r="N229">
            <v>530.84311879024199</v>
          </cell>
          <cell r="O229">
            <v>541.45998116604687</v>
          </cell>
          <cell r="P229">
            <v>552.28918078936772</v>
          </cell>
          <cell r="Q229">
            <v>563.33496440515501</v>
          </cell>
          <cell r="R229">
            <v>545.87158050859523</v>
          </cell>
        </row>
        <row r="231">
          <cell r="A231" t="str">
            <v>Second-line</v>
          </cell>
        </row>
        <row r="232">
          <cell r="A232" t="str">
            <v xml:space="preserve">    2003 Relapsed Patients Waiting for Therapy</v>
          </cell>
          <cell r="B232">
            <v>10000</v>
          </cell>
          <cell r="C232">
            <v>0</v>
          </cell>
          <cell r="D232">
            <v>0</v>
          </cell>
          <cell r="E232">
            <v>0</v>
          </cell>
          <cell r="F232">
            <v>0</v>
          </cell>
          <cell r="G232">
            <v>0</v>
          </cell>
          <cell r="H232">
            <v>0</v>
          </cell>
          <cell r="I232">
            <v>0</v>
          </cell>
          <cell r="J232">
            <v>0</v>
          </cell>
          <cell r="K232">
            <v>0</v>
          </cell>
        </row>
        <row r="233">
          <cell r="A233" t="str">
            <v xml:space="preserve">    New Patients Relapsing Per Year</v>
          </cell>
          <cell r="B233">
            <v>20000</v>
          </cell>
          <cell r="C233">
            <v>20400</v>
          </cell>
          <cell r="D233">
            <v>20808</v>
          </cell>
          <cell r="E233">
            <v>21224.16</v>
          </cell>
          <cell r="F233">
            <v>21648.643199999999</v>
          </cell>
          <cell r="G233">
            <v>22081.616063999998</v>
          </cell>
          <cell r="H233">
            <v>22523.24838528</v>
          </cell>
          <cell r="I233">
            <v>22973.7133529856</v>
          </cell>
          <cell r="J233">
            <v>23433.187620045312</v>
          </cell>
          <cell r="K233">
            <v>23901.851372446217</v>
          </cell>
          <cell r="L233">
            <v>24379.888399895142</v>
          </cell>
          <cell r="M233">
            <v>24867.486167893047</v>
          </cell>
          <cell r="N233">
            <v>25364.835891250907</v>
          </cell>
          <cell r="O233">
            <v>25872.132609075925</v>
          </cell>
          <cell r="P233">
            <v>26389.575261257443</v>
          </cell>
          <cell r="Q233">
            <v>26917.366766482592</v>
          </cell>
          <cell r="R233">
            <v>27455.714101812246</v>
          </cell>
        </row>
        <row r="234">
          <cell r="A234" t="str">
            <v xml:space="preserve">        % Avastin-Naïve</v>
          </cell>
          <cell r="B234">
            <v>1</v>
          </cell>
          <cell r="C234">
            <v>1</v>
          </cell>
          <cell r="D234">
            <v>1</v>
          </cell>
          <cell r="E234">
            <v>1</v>
          </cell>
          <cell r="F234">
            <v>0.9698500000000001</v>
          </cell>
          <cell r="G234">
            <v>0.7841499999999999</v>
          </cell>
          <cell r="H234">
            <v>0.62630000000000008</v>
          </cell>
          <cell r="I234">
            <v>0.54310000000000014</v>
          </cell>
          <cell r="J234">
            <v>0.43959999999999999</v>
          </cell>
          <cell r="K234">
            <v>0.46700000000000003</v>
          </cell>
          <cell r="L234">
            <v>0.5</v>
          </cell>
          <cell r="M234">
            <v>0.5</v>
          </cell>
          <cell r="N234">
            <v>0.5</v>
          </cell>
          <cell r="O234">
            <v>0.5</v>
          </cell>
          <cell r="P234">
            <v>0.5</v>
          </cell>
          <cell r="Q234">
            <v>0.5</v>
          </cell>
          <cell r="R234">
            <v>0.5</v>
          </cell>
        </row>
        <row r="235">
          <cell r="A235" t="str">
            <v xml:space="preserve">     Eligible Patients</v>
          </cell>
          <cell r="B235">
            <v>20000</v>
          </cell>
          <cell r="C235">
            <v>20400</v>
          </cell>
          <cell r="D235">
            <v>20808</v>
          </cell>
          <cell r="E235">
            <v>21224.16</v>
          </cell>
          <cell r="F235">
            <v>20995.936607520001</v>
          </cell>
          <cell r="G235">
            <v>17315.299236585597</v>
          </cell>
          <cell r="H235">
            <v>14106.310463700866</v>
          </cell>
          <cell r="I235">
            <v>12477.023722006483</v>
          </cell>
          <cell r="J235">
            <v>10301.229277771919</v>
          </cell>
          <cell r="K235">
            <v>11162.164590932383</v>
          </cell>
          <cell r="L235">
            <v>12189.944199947571</v>
          </cell>
          <cell r="M235">
            <v>12433.743083946523</v>
          </cell>
          <cell r="N235">
            <v>12682.417945625453</v>
          </cell>
          <cell r="O235">
            <v>12936.066304537962</v>
          </cell>
          <cell r="P235">
            <v>13194.787630628722</v>
          </cell>
          <cell r="Q235">
            <v>13458.683383241296</v>
          </cell>
          <cell r="R235">
            <v>13727.857050906123</v>
          </cell>
        </row>
        <row r="236">
          <cell r="A236" t="str">
            <v xml:space="preserve">     Avastin Penetration</v>
          </cell>
          <cell r="B236">
            <v>0</v>
          </cell>
          <cell r="C236">
            <v>0</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row>
        <row r="237">
          <cell r="A237" t="str">
            <v xml:space="preserve">     Relapsed Patients Treated </v>
          </cell>
          <cell r="C237">
            <v>0</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row>
        <row r="238">
          <cell r="A238" t="str">
            <v xml:space="preserve">     Average Cost Per month</v>
          </cell>
          <cell r="E238">
            <v>3000</v>
          </cell>
          <cell r="F238">
            <v>3100</v>
          </cell>
          <cell r="G238">
            <v>3300</v>
          </cell>
          <cell r="H238">
            <v>3300</v>
          </cell>
          <cell r="I238">
            <v>3300</v>
          </cell>
          <cell r="J238">
            <v>3300</v>
          </cell>
          <cell r="K238">
            <v>3300</v>
          </cell>
          <cell r="L238">
            <v>3300</v>
          </cell>
          <cell r="M238">
            <v>3300</v>
          </cell>
          <cell r="N238">
            <v>3300</v>
          </cell>
          <cell r="O238">
            <v>3300</v>
          </cell>
          <cell r="P238">
            <v>3300</v>
          </cell>
          <cell r="Q238">
            <v>3300</v>
          </cell>
          <cell r="R238">
            <v>3300</v>
          </cell>
        </row>
        <row r="239">
          <cell r="A239" t="str">
            <v xml:space="preserve">     Average Months on Therapy</v>
          </cell>
          <cell r="E239">
            <v>5</v>
          </cell>
          <cell r="F239">
            <v>5</v>
          </cell>
          <cell r="G239">
            <v>5</v>
          </cell>
          <cell r="H239">
            <v>5</v>
          </cell>
          <cell r="I239">
            <v>5</v>
          </cell>
          <cell r="J239">
            <v>5</v>
          </cell>
          <cell r="K239">
            <v>5</v>
          </cell>
          <cell r="L239">
            <v>5</v>
          </cell>
          <cell r="M239">
            <v>5</v>
          </cell>
          <cell r="N239">
            <v>5</v>
          </cell>
          <cell r="O239">
            <v>5</v>
          </cell>
          <cell r="P239">
            <v>5</v>
          </cell>
          <cell r="Q239">
            <v>5</v>
          </cell>
          <cell r="R239">
            <v>5</v>
          </cell>
        </row>
        <row r="240">
          <cell r="A240" t="str">
            <v xml:space="preserve">     Avg. Revenue per patient</v>
          </cell>
          <cell r="E240">
            <v>15000</v>
          </cell>
          <cell r="F240">
            <v>15500</v>
          </cell>
          <cell r="G240">
            <v>16500</v>
          </cell>
          <cell r="H240">
            <v>16500</v>
          </cell>
          <cell r="I240">
            <v>16500</v>
          </cell>
          <cell r="J240">
            <v>16500</v>
          </cell>
          <cell r="K240">
            <v>16500</v>
          </cell>
          <cell r="L240">
            <v>16500</v>
          </cell>
          <cell r="M240">
            <v>16500</v>
          </cell>
          <cell r="N240">
            <v>16500</v>
          </cell>
          <cell r="O240">
            <v>16500</v>
          </cell>
          <cell r="P240">
            <v>16500</v>
          </cell>
          <cell r="Q240">
            <v>16500</v>
          </cell>
          <cell r="R240">
            <v>16500</v>
          </cell>
        </row>
        <row r="241">
          <cell r="A241" t="str">
            <v>Sales - Relapse Setting</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row>
        <row r="242">
          <cell r="A242" t="str">
            <v>Adjuvant</v>
          </cell>
        </row>
        <row r="243">
          <cell r="A243" t="str">
            <v xml:space="preserve">     New Diagnoses of CRC</v>
          </cell>
          <cell r="C243">
            <v>115000</v>
          </cell>
          <cell r="D243">
            <v>117300</v>
          </cell>
          <cell r="E243">
            <v>119646</v>
          </cell>
          <cell r="F243">
            <v>122038.92</v>
          </cell>
          <cell r="G243">
            <v>124479.69839999999</v>
          </cell>
          <cell r="H243">
            <v>126969.29236799999</v>
          </cell>
          <cell r="I243">
            <v>129508.67821535999</v>
          </cell>
          <cell r="J243">
            <v>132098.85177966719</v>
          </cell>
          <cell r="K243">
            <v>134740.82881526055</v>
          </cell>
          <cell r="L243">
            <v>137435.64539156578</v>
          </cell>
          <cell r="M243">
            <v>140184.35829939711</v>
          </cell>
          <cell r="N243">
            <v>142988.04546538505</v>
          </cell>
          <cell r="O243">
            <v>145847.80637469274</v>
          </cell>
          <cell r="P243">
            <v>148764.76250218658</v>
          </cell>
          <cell r="Q243">
            <v>151740.05775223032</v>
          </cell>
          <cell r="R243">
            <v>154774.85890727493</v>
          </cell>
        </row>
        <row r="244">
          <cell r="A244" t="str">
            <v xml:space="preserve">     Eligible Stage II Patients (31%)</v>
          </cell>
          <cell r="C244">
            <v>35650</v>
          </cell>
          <cell r="D244">
            <v>36363</v>
          </cell>
          <cell r="E244">
            <v>37090.26</v>
          </cell>
          <cell r="F244">
            <v>37832.065199999997</v>
          </cell>
          <cell r="G244">
            <v>38588.706503999994</v>
          </cell>
          <cell r="H244">
            <v>39360.480634079999</v>
          </cell>
          <cell r="I244">
            <v>40147.690246761595</v>
          </cell>
          <cell r="J244">
            <v>40950.644051696829</v>
          </cell>
          <cell r="K244">
            <v>41769.656932730773</v>
          </cell>
          <cell r="L244">
            <v>42605.050071385391</v>
          </cell>
          <cell r="M244">
            <v>43457.151072813103</v>
          </cell>
          <cell r="N244">
            <v>44326.294094269368</v>
          </cell>
          <cell r="O244">
            <v>45212.819976154751</v>
          </cell>
          <cell r="P244">
            <v>46117.07637567784</v>
          </cell>
          <cell r="Q244">
            <v>47039.417903191403</v>
          </cell>
          <cell r="R244">
            <v>47980.206261255225</v>
          </cell>
        </row>
        <row r="245">
          <cell r="A245" t="str">
            <v xml:space="preserve">     Eligible Stage III Patients (24%)</v>
          </cell>
          <cell r="C245">
            <v>27600</v>
          </cell>
          <cell r="D245">
            <v>28152</v>
          </cell>
          <cell r="E245">
            <v>28715.039999999997</v>
          </cell>
          <cell r="F245">
            <v>29289.340799999998</v>
          </cell>
          <cell r="G245">
            <v>29875.127615999998</v>
          </cell>
          <cell r="H245">
            <v>30472.630168319996</v>
          </cell>
          <cell r="I245">
            <v>31082.082771686397</v>
          </cell>
          <cell r="J245">
            <v>31703.724427120127</v>
          </cell>
          <cell r="K245">
            <v>32337.79891566253</v>
          </cell>
          <cell r="L245">
            <v>32984.554893975786</v>
          </cell>
          <cell r="M245">
            <v>33644.245991855307</v>
          </cell>
          <cell r="N245">
            <v>34317.130911692409</v>
          </cell>
          <cell r="O245">
            <v>35003.473529926254</v>
          </cell>
          <cell r="P245">
            <v>35703.543000524776</v>
          </cell>
          <cell r="Q245">
            <v>36417.613860535275</v>
          </cell>
          <cell r="R245">
            <v>37145.966137745985</v>
          </cell>
        </row>
        <row r="246">
          <cell r="A246" t="str">
            <v xml:space="preserve">     Avastin Penetration (Stage II)</v>
          </cell>
          <cell r="C246">
            <v>0</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row>
        <row r="247">
          <cell r="A247" t="str">
            <v xml:space="preserve">     Avastin Penetration (Stage III)</v>
          </cell>
          <cell r="C247">
            <v>0</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row>
        <row r="248">
          <cell r="A248" t="str">
            <v xml:space="preserve">     Adjuvant Patients Treated </v>
          </cell>
          <cell r="C248">
            <v>0</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row>
        <row r="249">
          <cell r="A249" t="str">
            <v xml:space="preserve">     Average Cost Per month</v>
          </cell>
          <cell r="C249">
            <v>0</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row>
        <row r="250">
          <cell r="A250" t="str">
            <v xml:space="preserve">     Average Months on Therapy</v>
          </cell>
          <cell r="C250">
            <v>0</v>
          </cell>
          <cell r="D250">
            <v>0</v>
          </cell>
          <cell r="E250">
            <v>3</v>
          </cell>
          <cell r="F250">
            <v>4.5</v>
          </cell>
          <cell r="G250">
            <v>7</v>
          </cell>
          <cell r="H250">
            <v>10.5</v>
          </cell>
          <cell r="I250">
            <v>11</v>
          </cell>
          <cell r="J250">
            <v>11</v>
          </cell>
          <cell r="K250">
            <v>11</v>
          </cell>
          <cell r="L250">
            <v>11</v>
          </cell>
          <cell r="M250">
            <v>11</v>
          </cell>
          <cell r="N250">
            <v>11</v>
          </cell>
          <cell r="O250">
            <v>11</v>
          </cell>
          <cell r="P250">
            <v>11</v>
          </cell>
          <cell r="Q250">
            <v>11</v>
          </cell>
          <cell r="R250">
            <v>11</v>
          </cell>
        </row>
        <row r="251">
          <cell r="A251" t="str">
            <v xml:space="preserve">     Avg. Revenue per patient</v>
          </cell>
          <cell r="C251">
            <v>0</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row>
        <row r="252">
          <cell r="A252" t="str">
            <v xml:space="preserve"> Sales - Adjuvant Setting</v>
          </cell>
          <cell r="C252">
            <v>0</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row>
        <row r="254">
          <cell r="A254" t="str">
            <v xml:space="preserve">     Sales ($MM)</v>
          </cell>
          <cell r="D254">
            <v>0</v>
          </cell>
          <cell r="E254">
            <v>30.891101625000005</v>
          </cell>
          <cell r="F254">
            <v>229.82979609</v>
          </cell>
          <cell r="G254">
            <v>378.94732185420003</v>
          </cell>
          <cell r="H254">
            <v>452.51855799955194</v>
          </cell>
          <cell r="I254">
            <v>576.9611614494288</v>
          </cell>
          <cell r="J254">
            <v>490.41698723201449</v>
          </cell>
          <cell r="K254">
            <v>500.22532697665486</v>
          </cell>
          <cell r="L254">
            <v>510.22983351618797</v>
          </cell>
          <cell r="M254">
            <v>520.4344301865118</v>
          </cell>
          <cell r="N254">
            <v>530.84311879024199</v>
          </cell>
          <cell r="O254">
            <v>541.45998116604687</v>
          </cell>
          <cell r="P254">
            <v>552.28918078936772</v>
          </cell>
          <cell r="Q254">
            <v>563.33496440515501</v>
          </cell>
          <cell r="R254">
            <v>545.87158050859523</v>
          </cell>
        </row>
        <row r="255">
          <cell r="A255" t="str">
            <v>% of Japanese Sales</v>
          </cell>
          <cell r="E255">
            <v>1</v>
          </cell>
          <cell r="F255">
            <v>1</v>
          </cell>
          <cell r="G255">
            <v>1</v>
          </cell>
          <cell r="H255">
            <v>1</v>
          </cell>
          <cell r="I255">
            <v>1</v>
          </cell>
          <cell r="J255">
            <v>0.87978378650094968</v>
          </cell>
          <cell r="K255">
            <v>0.75668795993283366</v>
          </cell>
          <cell r="L255">
            <v>0.70025774808589614</v>
          </cell>
          <cell r="M255">
            <v>0.68025642734742386</v>
          </cell>
          <cell r="N255">
            <v>0.67883911907876771</v>
          </cell>
          <cell r="O255">
            <v>0.67622716783686565</v>
          </cell>
          <cell r="P255">
            <v>0.67480765282522481</v>
          </cell>
          <cell r="Q255">
            <v>0.67575085215413477</v>
          </cell>
          <cell r="R255">
            <v>0.6653652500134617</v>
          </cell>
        </row>
        <row r="257">
          <cell r="A257" t="str">
            <v xml:space="preserve"> Non-Small Cell Lung Cancer </v>
          </cell>
        </row>
        <row r="258">
          <cell r="A258" t="str">
            <v xml:space="preserve">     New Diagnoses of NSCLC</v>
          </cell>
          <cell r="C258">
            <v>85000</v>
          </cell>
          <cell r="D258">
            <v>85850</v>
          </cell>
          <cell r="E258">
            <v>86708.5</v>
          </cell>
          <cell r="F258">
            <v>87575.585000000006</v>
          </cell>
          <cell r="G258">
            <v>88451.340850000008</v>
          </cell>
          <cell r="H258">
            <v>89335.85425850001</v>
          </cell>
          <cell r="I258">
            <v>90229.212801085014</v>
          </cell>
          <cell r="J258">
            <v>91131.50492909587</v>
          </cell>
          <cell r="K258">
            <v>92042.819978386833</v>
          </cell>
          <cell r="L258">
            <v>92963.248178170703</v>
          </cell>
          <cell r="M258">
            <v>93892.88065995241</v>
          </cell>
          <cell r="N258">
            <v>94831.809466551931</v>
          </cell>
          <cell r="O258">
            <v>95780.12756121745</v>
          </cell>
          <cell r="P258">
            <v>96737.928836829626</v>
          </cell>
          <cell r="Q258">
            <v>97705.308125197917</v>
          </cell>
          <cell r="R258">
            <v>98682.361206449903</v>
          </cell>
        </row>
        <row r="259">
          <cell r="A259" t="str">
            <v xml:space="preserve">     Eligible Stage (III/IV) Patients (50%)</v>
          </cell>
          <cell r="C259">
            <v>21250</v>
          </cell>
          <cell r="D259">
            <v>21462.5</v>
          </cell>
          <cell r="E259">
            <v>21677.125</v>
          </cell>
          <cell r="F259">
            <v>21893.896250000002</v>
          </cell>
          <cell r="G259">
            <v>22112.835212500002</v>
          </cell>
          <cell r="H259">
            <v>22333.963564625003</v>
          </cell>
          <cell r="I259">
            <v>22557.303200271253</v>
          </cell>
          <cell r="J259">
            <v>22782.876232273968</v>
          </cell>
          <cell r="K259">
            <v>23010.704994596708</v>
          </cell>
          <cell r="L259">
            <v>23240.812044542676</v>
          </cell>
          <cell r="M259">
            <v>23473.220164988103</v>
          </cell>
          <cell r="N259">
            <v>23707.952366637983</v>
          </cell>
          <cell r="O259">
            <v>23945.031890304363</v>
          </cell>
          <cell r="P259">
            <v>24184.482209207406</v>
          </cell>
          <cell r="Q259">
            <v>24426.327031299479</v>
          </cell>
          <cell r="R259">
            <v>24670.590301612476</v>
          </cell>
        </row>
        <row r="260">
          <cell r="A260" t="str">
            <v xml:space="preserve">     Avastin Penetration</v>
          </cell>
          <cell r="C260">
            <v>0</v>
          </cell>
          <cell r="D260">
            <v>0</v>
          </cell>
          <cell r="E260">
            <v>0</v>
          </cell>
          <cell r="F260">
            <v>0</v>
          </cell>
          <cell r="G260">
            <v>0</v>
          </cell>
          <cell r="H260">
            <v>0</v>
          </cell>
          <cell r="I260">
            <v>0</v>
          </cell>
          <cell r="J260">
            <v>0.05</v>
          </cell>
          <cell r="K260">
            <v>0.12</v>
          </cell>
          <cell r="L260">
            <v>0.17</v>
          </cell>
          <cell r="M260">
            <v>0.2</v>
          </cell>
          <cell r="N260">
            <v>0.2</v>
          </cell>
          <cell r="O260">
            <v>0.2</v>
          </cell>
          <cell r="P260">
            <v>0.2</v>
          </cell>
          <cell r="Q260">
            <v>0.2</v>
          </cell>
          <cell r="R260">
            <v>0.2</v>
          </cell>
        </row>
        <row r="261">
          <cell r="A261" t="str">
            <v xml:space="preserve">     First-line Patients Treated </v>
          </cell>
          <cell r="C261">
            <v>0</v>
          </cell>
          <cell r="D261">
            <v>0</v>
          </cell>
          <cell r="E261">
            <v>0</v>
          </cell>
          <cell r="F261">
            <v>0</v>
          </cell>
          <cell r="G261">
            <v>0</v>
          </cell>
          <cell r="H261">
            <v>0</v>
          </cell>
          <cell r="I261">
            <v>0</v>
          </cell>
          <cell r="J261">
            <v>1139.1438116136985</v>
          </cell>
          <cell r="K261">
            <v>2761.2845993516048</v>
          </cell>
          <cell r="L261">
            <v>3950.9380475722551</v>
          </cell>
          <cell r="M261">
            <v>4694.6440329976203</v>
          </cell>
          <cell r="N261">
            <v>4741.5904733275966</v>
          </cell>
          <cell r="O261">
            <v>4789.0063780608725</v>
          </cell>
          <cell r="P261">
            <v>4836.8964418414816</v>
          </cell>
          <cell r="Q261">
            <v>4885.2654062598958</v>
          </cell>
          <cell r="R261">
            <v>4934.1180603224957</v>
          </cell>
        </row>
        <row r="262">
          <cell r="A262" t="str">
            <v xml:space="preserve">     Average Cost Per month</v>
          </cell>
          <cell r="J262">
            <v>3300</v>
          </cell>
          <cell r="K262">
            <v>3300</v>
          </cell>
          <cell r="L262">
            <v>3300</v>
          </cell>
          <cell r="M262">
            <v>3300</v>
          </cell>
          <cell r="N262">
            <v>3300</v>
          </cell>
          <cell r="O262">
            <v>3300</v>
          </cell>
          <cell r="P262">
            <v>3300</v>
          </cell>
          <cell r="Q262">
            <v>3300</v>
          </cell>
          <cell r="R262">
            <v>3300</v>
          </cell>
        </row>
        <row r="263">
          <cell r="A263" t="str">
            <v xml:space="preserve">     Average Months on Therapy</v>
          </cell>
          <cell r="J263">
            <v>4.5</v>
          </cell>
          <cell r="K263">
            <v>4.5</v>
          </cell>
          <cell r="L263">
            <v>4.5</v>
          </cell>
          <cell r="M263">
            <v>4.5</v>
          </cell>
          <cell r="N263">
            <v>4.5</v>
          </cell>
          <cell r="O263">
            <v>4.5</v>
          </cell>
          <cell r="P263">
            <v>4.5</v>
          </cell>
          <cell r="Q263">
            <v>4.5</v>
          </cell>
          <cell r="R263">
            <v>4.5</v>
          </cell>
        </row>
        <row r="264">
          <cell r="A264" t="str">
            <v xml:space="preserve">     Avg. Revenue per patient</v>
          </cell>
          <cell r="J264">
            <v>14850</v>
          </cell>
          <cell r="K264">
            <v>14850</v>
          </cell>
          <cell r="L264">
            <v>14850</v>
          </cell>
          <cell r="M264">
            <v>14850</v>
          </cell>
          <cell r="N264">
            <v>14850</v>
          </cell>
          <cell r="O264">
            <v>14850</v>
          </cell>
          <cell r="P264">
            <v>14850</v>
          </cell>
          <cell r="Q264">
            <v>14850</v>
          </cell>
          <cell r="R264">
            <v>14850</v>
          </cell>
        </row>
        <row r="265">
          <cell r="A265" t="str">
            <v xml:space="preserve"> Sales - First-line Setting</v>
          </cell>
          <cell r="C265">
            <v>0</v>
          </cell>
          <cell r="D265">
            <v>0</v>
          </cell>
          <cell r="E265">
            <v>0</v>
          </cell>
          <cell r="F265">
            <v>0</v>
          </cell>
          <cell r="G265">
            <v>0</v>
          </cell>
          <cell r="H265">
            <v>0</v>
          </cell>
          <cell r="I265">
            <v>0</v>
          </cell>
          <cell r="J265">
            <v>16.916285602463425</v>
          </cell>
          <cell r="K265">
            <v>41.005076300371336</v>
          </cell>
          <cell r="L265">
            <v>58.671430006447984</v>
          </cell>
          <cell r="M265">
            <v>69.715463890014661</v>
          </cell>
          <cell r="N265">
            <v>70.412618528914805</v>
          </cell>
          <cell r="O265">
            <v>71.116744714203961</v>
          </cell>
          <cell r="P265">
            <v>71.827912161346006</v>
          </cell>
          <cell r="Q265">
            <v>72.546191282959441</v>
          </cell>
          <cell r="R265">
            <v>73.271653195789057</v>
          </cell>
        </row>
        <row r="266">
          <cell r="E266">
            <v>0</v>
          </cell>
          <cell r="F266">
            <v>0</v>
          </cell>
          <cell r="G266">
            <v>0</v>
          </cell>
          <cell r="H266">
            <v>0</v>
          </cell>
          <cell r="I266">
            <v>0</v>
          </cell>
          <cell r="J266">
            <v>45.11009493990246</v>
          </cell>
          <cell r="K266">
            <v>109.34687013432355</v>
          </cell>
          <cell r="L266">
            <v>156.45714668386131</v>
          </cell>
          <cell r="M266">
            <v>185.90790370670578</v>
          </cell>
          <cell r="N266">
            <v>187.76698274377284</v>
          </cell>
          <cell r="O266">
            <v>189.64465257121057</v>
          </cell>
          <cell r="P266">
            <v>191.54109909692266</v>
          </cell>
          <cell r="Q266">
            <v>193.45651008789187</v>
          </cell>
          <cell r="R266">
            <v>195.39107518877083</v>
          </cell>
        </row>
        <row r="268">
          <cell r="A268" t="str">
            <v>Second-line</v>
          </cell>
        </row>
        <row r="269">
          <cell r="A269" t="str">
            <v xml:space="preserve">     Relapsed patients</v>
          </cell>
          <cell r="C269">
            <v>20000</v>
          </cell>
          <cell r="D269">
            <v>20400</v>
          </cell>
          <cell r="E269">
            <v>20808</v>
          </cell>
          <cell r="F269">
            <v>21224.16</v>
          </cell>
          <cell r="G269">
            <v>21648.643199999999</v>
          </cell>
          <cell r="H269">
            <v>22081.616063999998</v>
          </cell>
          <cell r="I269">
            <v>22523.24838528</v>
          </cell>
          <cell r="J269">
            <v>22973.7133529856</v>
          </cell>
          <cell r="K269">
            <v>23433.187620045312</v>
          </cell>
          <cell r="L269">
            <v>23901.851372446217</v>
          </cell>
          <cell r="M269">
            <v>24379.888399895142</v>
          </cell>
          <cell r="N269">
            <v>24867.486167893047</v>
          </cell>
          <cell r="O269">
            <v>25364.835891250907</v>
          </cell>
          <cell r="P269">
            <v>25872.132609075925</v>
          </cell>
          <cell r="Q269">
            <v>26389.575261257443</v>
          </cell>
          <cell r="R269">
            <v>26917.366766482592</v>
          </cell>
        </row>
        <row r="270">
          <cell r="A270" t="str">
            <v xml:space="preserve">        % Avastin-Naïve</v>
          </cell>
          <cell r="C270">
            <v>1</v>
          </cell>
          <cell r="D270">
            <v>1</v>
          </cell>
          <cell r="E270">
            <v>1</v>
          </cell>
          <cell r="F270">
            <v>1</v>
          </cell>
          <cell r="G270">
            <v>1</v>
          </cell>
          <cell r="H270">
            <v>1</v>
          </cell>
          <cell r="I270">
            <v>1</v>
          </cell>
          <cell r="J270">
            <v>1</v>
          </cell>
          <cell r="K270">
            <v>0.95</v>
          </cell>
          <cell r="L270">
            <v>0.88</v>
          </cell>
          <cell r="M270">
            <v>0.83</v>
          </cell>
          <cell r="N270">
            <v>0.8</v>
          </cell>
          <cell r="O270">
            <v>0.8</v>
          </cell>
          <cell r="P270">
            <v>0.8</v>
          </cell>
          <cell r="Q270">
            <v>0.8</v>
          </cell>
          <cell r="R270">
            <v>0.8</v>
          </cell>
        </row>
        <row r="271">
          <cell r="A271" t="str">
            <v xml:space="preserve">     Eligible Patients</v>
          </cell>
          <cell r="C271">
            <v>21250</v>
          </cell>
          <cell r="D271">
            <v>21462.5</v>
          </cell>
          <cell r="E271">
            <v>21677.125</v>
          </cell>
          <cell r="F271">
            <v>21893.896250000002</v>
          </cell>
          <cell r="G271">
            <v>22112.835212500002</v>
          </cell>
          <cell r="H271">
            <v>22333.963564625003</v>
          </cell>
          <cell r="I271">
            <v>22557.303200271253</v>
          </cell>
          <cell r="J271">
            <v>21643.732420660268</v>
          </cell>
          <cell r="K271">
            <v>20249.420395245103</v>
          </cell>
          <cell r="L271">
            <v>19289.873996970422</v>
          </cell>
          <cell r="M271">
            <v>18778.576131990481</v>
          </cell>
          <cell r="N271">
            <v>18966.361893310386</v>
          </cell>
          <cell r="O271">
            <v>19156.02551224349</v>
          </cell>
          <cell r="P271">
            <v>19347.585767365927</v>
          </cell>
          <cell r="Q271">
            <v>19541.061625039583</v>
          </cell>
          <cell r="R271">
            <v>19736.472241289979</v>
          </cell>
        </row>
        <row r="272">
          <cell r="A272" t="str">
            <v xml:space="preserve">     Avastin Penetration</v>
          </cell>
          <cell r="C272">
            <v>0</v>
          </cell>
          <cell r="D272">
            <v>0</v>
          </cell>
          <cell r="E272">
            <v>0</v>
          </cell>
          <cell r="F272">
            <v>0</v>
          </cell>
          <cell r="G272">
            <v>0</v>
          </cell>
          <cell r="H272">
            <v>0</v>
          </cell>
          <cell r="I272">
            <v>0</v>
          </cell>
          <cell r="J272">
            <v>0.05</v>
          </cell>
          <cell r="K272">
            <v>0.12</v>
          </cell>
          <cell r="L272">
            <v>0.17</v>
          </cell>
          <cell r="M272">
            <v>0.2</v>
          </cell>
          <cell r="N272">
            <v>0.2</v>
          </cell>
          <cell r="O272">
            <v>0.2</v>
          </cell>
          <cell r="P272">
            <v>0.2</v>
          </cell>
          <cell r="Q272">
            <v>0.2</v>
          </cell>
          <cell r="R272">
            <v>0.2</v>
          </cell>
        </row>
        <row r="273">
          <cell r="A273" t="str">
            <v xml:space="preserve">     Relapsed Patients Treated </v>
          </cell>
          <cell r="C273">
            <v>0</v>
          </cell>
          <cell r="D273">
            <v>0</v>
          </cell>
          <cell r="E273">
            <v>0</v>
          </cell>
          <cell r="F273">
            <v>0</v>
          </cell>
          <cell r="G273">
            <v>0</v>
          </cell>
          <cell r="H273">
            <v>0</v>
          </cell>
          <cell r="I273">
            <v>0</v>
          </cell>
          <cell r="J273">
            <v>1082.1866210330134</v>
          </cell>
          <cell r="K273">
            <v>2429.9304474294122</v>
          </cell>
          <cell r="L273">
            <v>3279.2785794849719</v>
          </cell>
          <cell r="M273">
            <v>3755.7152263980965</v>
          </cell>
          <cell r="N273">
            <v>3793.2723786620772</v>
          </cell>
          <cell r="O273">
            <v>3831.2051024486982</v>
          </cell>
          <cell r="P273">
            <v>3869.5171534731853</v>
          </cell>
          <cell r="Q273">
            <v>3908.2123250079167</v>
          </cell>
          <cell r="R273">
            <v>3947.294448257996</v>
          </cell>
        </row>
        <row r="274">
          <cell r="A274" t="str">
            <v xml:space="preserve">     Average Cost Per month</v>
          </cell>
          <cell r="J274">
            <v>3300</v>
          </cell>
          <cell r="K274">
            <v>3300</v>
          </cell>
          <cell r="L274">
            <v>3300</v>
          </cell>
          <cell r="M274">
            <v>3300</v>
          </cell>
          <cell r="N274">
            <v>3300</v>
          </cell>
          <cell r="O274">
            <v>3300</v>
          </cell>
          <cell r="P274">
            <v>3300</v>
          </cell>
          <cell r="Q274">
            <v>3300</v>
          </cell>
          <cell r="R274">
            <v>3300</v>
          </cell>
        </row>
        <row r="275">
          <cell r="A275" t="str">
            <v xml:space="preserve">     Average Months on Therapy</v>
          </cell>
          <cell r="J275">
            <v>3.5</v>
          </cell>
          <cell r="K275">
            <v>3.5</v>
          </cell>
          <cell r="L275">
            <v>3.5</v>
          </cell>
          <cell r="M275">
            <v>3.5</v>
          </cell>
          <cell r="N275">
            <v>3.5</v>
          </cell>
          <cell r="O275">
            <v>3.5</v>
          </cell>
          <cell r="P275">
            <v>3.5</v>
          </cell>
          <cell r="Q275">
            <v>3.5</v>
          </cell>
          <cell r="R275">
            <v>3.5</v>
          </cell>
        </row>
        <row r="276">
          <cell r="A276" t="str">
            <v xml:space="preserve">     Avg. Revenue per patient</v>
          </cell>
          <cell r="J276">
            <v>11550</v>
          </cell>
          <cell r="K276">
            <v>11550</v>
          </cell>
          <cell r="L276">
            <v>11550</v>
          </cell>
          <cell r="M276">
            <v>11550</v>
          </cell>
          <cell r="N276">
            <v>11550</v>
          </cell>
          <cell r="O276">
            <v>11550</v>
          </cell>
          <cell r="P276">
            <v>11550</v>
          </cell>
          <cell r="Q276">
            <v>11550</v>
          </cell>
          <cell r="R276">
            <v>11550</v>
          </cell>
        </row>
        <row r="277">
          <cell r="A277" t="str">
            <v>Sales - Relapse Setting</v>
          </cell>
          <cell r="C277">
            <v>0</v>
          </cell>
          <cell r="D277">
            <v>0</v>
          </cell>
          <cell r="E277">
            <v>0</v>
          </cell>
          <cell r="F277">
            <v>0</v>
          </cell>
          <cell r="G277">
            <v>0</v>
          </cell>
          <cell r="H277">
            <v>0</v>
          </cell>
          <cell r="I277">
            <v>0</v>
          </cell>
          <cell r="J277">
            <v>12.499255472931305</v>
          </cell>
          <cell r="K277">
            <v>28.065696667809711</v>
          </cell>
          <cell r="L277">
            <v>37.875667593051425</v>
          </cell>
          <cell r="M277">
            <v>43.378510864898018</v>
          </cell>
          <cell r="N277">
            <v>43.812295973546988</v>
          </cell>
          <cell r="O277">
            <v>44.250418933282468</v>
          </cell>
          <cell r="P277">
            <v>44.692923122615291</v>
          </cell>
          <cell r="Q277">
            <v>45.139852353841441</v>
          </cell>
          <cell r="R277">
            <v>45.591250877379856</v>
          </cell>
        </row>
        <row r="278">
          <cell r="E278">
            <v>0</v>
          </cell>
          <cell r="F278">
            <v>0</v>
          </cell>
          <cell r="G278">
            <v>0</v>
          </cell>
          <cell r="H278">
            <v>0</v>
          </cell>
          <cell r="I278">
            <v>0</v>
          </cell>
          <cell r="J278">
            <v>33.331347927816815</v>
          </cell>
          <cell r="K278">
            <v>74.841857780825904</v>
          </cell>
          <cell r="L278">
            <v>101.00178024813714</v>
          </cell>
          <cell r="M278">
            <v>115.67602897306136</v>
          </cell>
          <cell r="N278">
            <v>116.83278926279198</v>
          </cell>
          <cell r="O278">
            <v>118.00111715541991</v>
          </cell>
          <cell r="P278">
            <v>119.1811283269741</v>
          </cell>
          <cell r="Q278">
            <v>120.37293961024383</v>
          </cell>
          <cell r="R278">
            <v>121.57666900634626</v>
          </cell>
        </row>
        <row r="279">
          <cell r="A279" t="str">
            <v xml:space="preserve">     Sales ($MM)</v>
          </cell>
          <cell r="I279">
            <v>0</v>
          </cell>
          <cell r="J279">
            <v>29.415541075394728</v>
          </cell>
          <cell r="K279">
            <v>69.070772968181046</v>
          </cell>
          <cell r="L279">
            <v>96.547097599499409</v>
          </cell>
          <cell r="M279">
            <v>113.09397475491268</v>
          </cell>
          <cell r="N279">
            <v>114.22491450246179</v>
          </cell>
          <cell r="O279">
            <v>115.36716364748642</v>
          </cell>
          <cell r="P279">
            <v>116.5208352839613</v>
          </cell>
          <cell r="Q279">
            <v>117.68604363680089</v>
          </cell>
          <cell r="R279">
            <v>118.86290407316892</v>
          </cell>
        </row>
        <row r="280">
          <cell r="A280" t="str">
            <v>% of Japanese Sales</v>
          </cell>
          <cell r="J280">
            <v>5.2770023843080258E-2</v>
          </cell>
          <cell r="K280">
            <v>0.10448295891806375</v>
          </cell>
          <cell r="L280">
            <v>0.13250470417094828</v>
          </cell>
          <cell r="M280">
            <v>0.14782439200597403</v>
          </cell>
          <cell r="N280">
            <v>0.14607016196123679</v>
          </cell>
          <cell r="O280">
            <v>0.14408158136951518</v>
          </cell>
          <cell r="P280">
            <v>0.14236953048912285</v>
          </cell>
          <cell r="Q280">
            <v>0.14117079410860223</v>
          </cell>
          <cell r="R280">
            <v>0.14488251213276865</v>
          </cell>
        </row>
        <row r="282">
          <cell r="A282" t="str">
            <v xml:space="preserve">Renal Cell Carcinoma </v>
          </cell>
        </row>
        <row r="283">
          <cell r="A283" t="str">
            <v xml:space="preserve">     New Diagnoses of RCC</v>
          </cell>
          <cell r="C283">
            <v>7400</v>
          </cell>
          <cell r="D283">
            <v>7548</v>
          </cell>
          <cell r="E283">
            <v>7698.96</v>
          </cell>
          <cell r="F283">
            <v>7852.9391999999998</v>
          </cell>
          <cell r="G283">
            <v>8009.9979839999996</v>
          </cell>
          <cell r="H283">
            <v>8170.1979436800002</v>
          </cell>
          <cell r="I283">
            <v>8333.6019025536007</v>
          </cell>
          <cell r="J283">
            <v>8500.273940604673</v>
          </cell>
          <cell r="K283">
            <v>8670.2794194167673</v>
          </cell>
          <cell r="L283">
            <v>8843.6850078051029</v>
          </cell>
          <cell r="M283">
            <v>9020.5587079612051</v>
          </cell>
          <cell r="N283">
            <v>9200.9698821204292</v>
          </cell>
          <cell r="O283">
            <v>9384.9892797628381</v>
          </cell>
          <cell r="P283">
            <v>9572.6890653580958</v>
          </cell>
          <cell r="Q283">
            <v>9764.1428466652578</v>
          </cell>
          <cell r="R283">
            <v>9959.4257035985629</v>
          </cell>
        </row>
        <row r="284">
          <cell r="A284" t="str">
            <v xml:space="preserve">     Avastin Penetration</v>
          </cell>
          <cell r="C284">
            <v>0</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row>
        <row r="285">
          <cell r="A285" t="str">
            <v xml:space="preserve">     Patients Treated </v>
          </cell>
          <cell r="C285">
            <v>0</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row>
        <row r="286">
          <cell r="A286" t="str">
            <v xml:space="preserve">     Average Cost Per month</v>
          </cell>
          <cell r="C286">
            <v>0</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row>
        <row r="287">
          <cell r="A287" t="str">
            <v xml:space="preserve">     Average Months on Therapy</v>
          </cell>
          <cell r="C287">
            <v>5</v>
          </cell>
          <cell r="D287">
            <v>5</v>
          </cell>
          <cell r="E287">
            <v>5</v>
          </cell>
          <cell r="F287">
            <v>5</v>
          </cell>
          <cell r="G287">
            <v>5</v>
          </cell>
          <cell r="H287">
            <v>5</v>
          </cell>
          <cell r="I287">
            <v>5</v>
          </cell>
          <cell r="J287">
            <v>5</v>
          </cell>
          <cell r="K287">
            <v>5</v>
          </cell>
          <cell r="L287">
            <v>5</v>
          </cell>
          <cell r="M287">
            <v>5</v>
          </cell>
          <cell r="N287">
            <v>5</v>
          </cell>
          <cell r="O287">
            <v>5</v>
          </cell>
          <cell r="P287">
            <v>5</v>
          </cell>
          <cell r="Q287">
            <v>5</v>
          </cell>
          <cell r="R287">
            <v>5</v>
          </cell>
        </row>
        <row r="288">
          <cell r="A288" t="str">
            <v xml:space="preserve">     Avg. Revenue per patient</v>
          </cell>
          <cell r="C288">
            <v>0</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row>
        <row r="289">
          <cell r="A289" t="str">
            <v xml:space="preserve">     Sales ($MM)</v>
          </cell>
          <cell r="K289">
            <v>0</v>
          </cell>
          <cell r="L289">
            <v>0</v>
          </cell>
          <cell r="M289">
            <v>0</v>
          </cell>
          <cell r="N289">
            <v>0</v>
          </cell>
          <cell r="O289">
            <v>0</v>
          </cell>
          <cell r="P289">
            <v>0</v>
          </cell>
          <cell r="Q289">
            <v>0</v>
          </cell>
          <cell r="R289">
            <v>0</v>
          </cell>
        </row>
        <row r="290">
          <cell r="A290" t="str">
            <v>% of Japanese Sales</v>
          </cell>
          <cell r="K290">
            <v>0</v>
          </cell>
          <cell r="L290">
            <v>0</v>
          </cell>
          <cell r="M290">
            <v>0</v>
          </cell>
          <cell r="N290">
            <v>0</v>
          </cell>
          <cell r="O290">
            <v>0</v>
          </cell>
          <cell r="P290">
            <v>0</v>
          </cell>
          <cell r="Q290">
            <v>0</v>
          </cell>
          <cell r="R290">
            <v>0</v>
          </cell>
        </row>
        <row r="292">
          <cell r="A292" t="str">
            <v>Metastatic Breast Cancer</v>
          </cell>
        </row>
        <row r="293">
          <cell r="A293" t="str">
            <v xml:space="preserve">     New Diagnoses </v>
          </cell>
          <cell r="C293">
            <v>100000</v>
          </cell>
          <cell r="D293">
            <v>102000</v>
          </cell>
          <cell r="E293">
            <v>104040</v>
          </cell>
          <cell r="F293">
            <v>106120.8</v>
          </cell>
          <cell r="G293">
            <v>108243.216</v>
          </cell>
          <cell r="H293">
            <v>110408.08032000001</v>
          </cell>
          <cell r="I293">
            <v>112616.24192640001</v>
          </cell>
          <cell r="J293">
            <v>114868.56676492801</v>
          </cell>
          <cell r="K293">
            <v>117165.93810022657</v>
          </cell>
          <cell r="L293">
            <v>119509.25686223111</v>
          </cell>
          <cell r="M293">
            <v>121899.44199947573</v>
          </cell>
          <cell r="N293">
            <v>124337.43083946525</v>
          </cell>
          <cell r="O293">
            <v>126824.17945625455</v>
          </cell>
          <cell r="P293">
            <v>129360.66304537965</v>
          </cell>
          <cell r="Q293">
            <v>131947.87630628725</v>
          </cell>
          <cell r="R293">
            <v>134586.83383241299</v>
          </cell>
        </row>
        <row r="294">
          <cell r="A294" t="str">
            <v>Metastatic and Her 2 (-) Breast Cancer</v>
          </cell>
          <cell r="C294">
            <v>22499.999999999996</v>
          </cell>
          <cell r="D294">
            <v>22949.999999999996</v>
          </cell>
          <cell r="E294">
            <v>23408.999999999996</v>
          </cell>
          <cell r="F294">
            <v>23877.179999999997</v>
          </cell>
          <cell r="G294">
            <v>24354.723599999998</v>
          </cell>
          <cell r="H294">
            <v>24841.818071999998</v>
          </cell>
          <cell r="I294">
            <v>25338.654433439999</v>
          </cell>
          <cell r="J294">
            <v>25845.427522108799</v>
          </cell>
          <cell r="K294">
            <v>26362.336072550977</v>
          </cell>
          <cell r="L294">
            <v>26889.582794001995</v>
          </cell>
          <cell r="M294">
            <v>27427.374449882038</v>
          </cell>
          <cell r="N294">
            <v>27975.921938879677</v>
          </cell>
          <cell r="O294">
            <v>28535.440377657273</v>
          </cell>
          <cell r="P294">
            <v>29106.149185210419</v>
          </cell>
          <cell r="Q294">
            <v>29688.272168914627</v>
          </cell>
          <cell r="R294">
            <v>30282.037612292919</v>
          </cell>
        </row>
        <row r="295">
          <cell r="A295" t="str">
            <v xml:space="preserve">     Avastin Penetration</v>
          </cell>
          <cell r="I295">
            <v>0</v>
          </cell>
          <cell r="J295">
            <v>0.05</v>
          </cell>
          <cell r="K295">
            <v>0.12</v>
          </cell>
          <cell r="L295">
            <v>0.15</v>
          </cell>
          <cell r="M295">
            <v>0.15</v>
          </cell>
          <cell r="N295">
            <v>0.15</v>
          </cell>
          <cell r="O295">
            <v>0.15</v>
          </cell>
          <cell r="P295">
            <v>0.15</v>
          </cell>
          <cell r="Q295">
            <v>0.15</v>
          </cell>
          <cell r="R295">
            <v>0.15</v>
          </cell>
        </row>
        <row r="296">
          <cell r="A296" t="str">
            <v xml:space="preserve">     Patients Treated </v>
          </cell>
          <cell r="I296">
            <v>0</v>
          </cell>
          <cell r="J296">
            <v>1292.2713761054401</v>
          </cell>
          <cell r="K296">
            <v>3163.4803287061172</v>
          </cell>
          <cell r="L296">
            <v>4033.4374191002989</v>
          </cell>
          <cell r="M296">
            <v>4114.1061674823059</v>
          </cell>
          <cell r="N296">
            <v>4196.3882908319511</v>
          </cell>
          <cell r="O296">
            <v>4280.3160566485903</v>
          </cell>
          <cell r="P296">
            <v>4365.9223777815623</v>
          </cell>
          <cell r="Q296">
            <v>4453.2408253371941</v>
          </cell>
          <cell r="R296">
            <v>4542.3056418439373</v>
          </cell>
        </row>
        <row r="297">
          <cell r="A297" t="str">
            <v>Metastatic and Her 2 (+) Breast Cancer</v>
          </cell>
          <cell r="I297">
            <v>8446.2181444800008</v>
          </cell>
          <cell r="J297">
            <v>8615.1425073696009</v>
          </cell>
          <cell r="K297">
            <v>8787.4453575169919</v>
          </cell>
          <cell r="L297">
            <v>8963.1942646673324</v>
          </cell>
          <cell r="M297">
            <v>9142.4581499606793</v>
          </cell>
          <cell r="N297">
            <v>9325.3073129598924</v>
          </cell>
          <cell r="O297">
            <v>9511.8134592190909</v>
          </cell>
          <cell r="P297">
            <v>9702.0497284034736</v>
          </cell>
          <cell r="Q297">
            <v>9896.0907229715431</v>
          </cell>
          <cell r="R297">
            <v>10094.012537430974</v>
          </cell>
        </row>
        <row r="298">
          <cell r="A298" t="str">
            <v xml:space="preserve">     Avastin Penetration</v>
          </cell>
          <cell r="I298">
            <v>0</v>
          </cell>
          <cell r="J298">
            <v>0.05</v>
          </cell>
          <cell r="K298">
            <v>0.12</v>
          </cell>
          <cell r="L298">
            <v>0.17</v>
          </cell>
          <cell r="M298">
            <v>0.2</v>
          </cell>
          <cell r="N298">
            <v>0.2</v>
          </cell>
          <cell r="O298">
            <v>0.2</v>
          </cell>
          <cell r="P298">
            <v>0.2</v>
          </cell>
          <cell r="Q298">
            <v>0.2</v>
          </cell>
          <cell r="R298">
            <v>0.2</v>
          </cell>
        </row>
        <row r="299">
          <cell r="A299" t="str">
            <v xml:space="preserve">     Patients Treated </v>
          </cell>
          <cell r="I299">
            <v>0</v>
          </cell>
          <cell r="J299">
            <v>430.75712536848005</v>
          </cell>
          <cell r="K299">
            <v>1054.4934429020391</v>
          </cell>
          <cell r="L299">
            <v>1523.7430249934466</v>
          </cell>
          <cell r="M299">
            <v>1828.491629992136</v>
          </cell>
          <cell r="N299">
            <v>1865.0614625919786</v>
          </cell>
          <cell r="O299">
            <v>1902.3626918438183</v>
          </cell>
          <cell r="P299">
            <v>1940.4099456806948</v>
          </cell>
          <cell r="Q299">
            <v>1979.2181445943088</v>
          </cell>
          <cell r="R299">
            <v>2018.8025074861948</v>
          </cell>
        </row>
        <row r="300">
          <cell r="A300" t="str">
            <v>Average Cost Per month</v>
          </cell>
          <cell r="I300">
            <v>3300</v>
          </cell>
          <cell r="J300">
            <v>3300</v>
          </cell>
          <cell r="K300">
            <v>3300</v>
          </cell>
          <cell r="L300">
            <v>3300</v>
          </cell>
          <cell r="M300">
            <v>3300</v>
          </cell>
          <cell r="N300">
            <v>3300</v>
          </cell>
          <cell r="O300">
            <v>3300</v>
          </cell>
          <cell r="P300">
            <v>3300</v>
          </cell>
          <cell r="Q300">
            <v>3300</v>
          </cell>
          <cell r="R300">
            <v>3300</v>
          </cell>
        </row>
        <row r="301">
          <cell r="A301" t="str">
            <v>Average Months on Therapy</v>
          </cell>
          <cell r="I301">
            <v>6.5</v>
          </cell>
          <cell r="J301">
            <v>6.5</v>
          </cell>
          <cell r="K301">
            <v>6.5</v>
          </cell>
          <cell r="L301">
            <v>6.5</v>
          </cell>
          <cell r="M301">
            <v>6.5</v>
          </cell>
          <cell r="N301">
            <v>6.5</v>
          </cell>
          <cell r="O301">
            <v>6.5</v>
          </cell>
          <cell r="P301">
            <v>6.5</v>
          </cell>
          <cell r="Q301">
            <v>6.5</v>
          </cell>
          <cell r="R301">
            <v>6.5</v>
          </cell>
        </row>
        <row r="302">
          <cell r="A302" t="str">
            <v>Avg. Revenue per patient</v>
          </cell>
          <cell r="I302">
            <v>21450</v>
          </cell>
          <cell r="J302">
            <v>21450</v>
          </cell>
          <cell r="K302">
            <v>21450</v>
          </cell>
          <cell r="L302">
            <v>21450</v>
          </cell>
          <cell r="M302">
            <v>21450</v>
          </cell>
          <cell r="N302">
            <v>21450</v>
          </cell>
          <cell r="O302">
            <v>21450</v>
          </cell>
          <cell r="P302">
            <v>21450</v>
          </cell>
          <cell r="Q302">
            <v>21450</v>
          </cell>
          <cell r="R302">
            <v>21450</v>
          </cell>
        </row>
        <row r="303">
          <cell r="A303" t="str">
            <v xml:space="preserve">     Sales ($MM)</v>
          </cell>
          <cell r="I303">
            <v>0</v>
          </cell>
          <cell r="J303">
            <v>36.958961356615589</v>
          </cell>
          <cell r="K303">
            <v>90.475537400994952</v>
          </cell>
          <cell r="L303">
            <v>119.20152052581085</v>
          </cell>
          <cell r="M303">
            <v>127.46872275582679</v>
          </cell>
          <cell r="N303">
            <v>130.0180972109433</v>
          </cell>
          <cell r="O303">
            <v>132.61845915516216</v>
          </cell>
          <cell r="P303">
            <v>135.27082833826543</v>
          </cell>
          <cell r="Q303">
            <v>137.97624490503074</v>
          </cell>
          <cell r="R303">
            <v>140.73576980313132</v>
          </cell>
        </row>
        <row r="304">
          <cell r="A304" t="str">
            <v>% of Japanese Sales</v>
          </cell>
          <cell r="J304">
            <v>6.6302546229057083E-2</v>
          </cell>
          <cell r="K304">
            <v>0.13686182231828642</v>
          </cell>
          <cell r="L304">
            <v>0.16359644781369048</v>
          </cell>
          <cell r="M304">
            <v>0.16661353075610816</v>
          </cell>
          <cell r="N304">
            <v>0.16626639293378509</v>
          </cell>
          <cell r="O304">
            <v>0.1656266541513482</v>
          </cell>
          <cell r="P304">
            <v>0.1652789758369029</v>
          </cell>
          <cell r="Q304">
            <v>0.16550999132470839</v>
          </cell>
          <cell r="R304">
            <v>0.17154344355800916</v>
          </cell>
        </row>
        <row r="306">
          <cell r="A306" t="str">
            <v>Pancreatic Cancer</v>
          </cell>
        </row>
        <row r="307">
          <cell r="A307" t="str">
            <v xml:space="preserve">     New Diagnoses of Pancreatic Cancer</v>
          </cell>
          <cell r="C307">
            <v>10000</v>
          </cell>
          <cell r="D307">
            <v>10200</v>
          </cell>
          <cell r="E307">
            <v>10404</v>
          </cell>
          <cell r="F307">
            <v>10612.08</v>
          </cell>
          <cell r="G307">
            <v>10824.321599999999</v>
          </cell>
          <cell r="H307">
            <v>11040.808031999999</v>
          </cell>
          <cell r="I307">
            <v>11261.62419264</v>
          </cell>
          <cell r="J307">
            <v>11486.8566764928</v>
          </cell>
          <cell r="K307">
            <v>11716.593810022656</v>
          </cell>
          <cell r="L307">
            <v>11950.925686223109</v>
          </cell>
          <cell r="M307">
            <v>12189.944199947571</v>
          </cell>
          <cell r="N307">
            <v>12433.743083946523</v>
          </cell>
          <cell r="O307">
            <v>12682.417945625453</v>
          </cell>
          <cell r="P307">
            <v>12936.066304537962</v>
          </cell>
          <cell r="Q307">
            <v>13194.787630628722</v>
          </cell>
          <cell r="R307">
            <v>13458.683383241296</v>
          </cell>
        </row>
        <row r="308">
          <cell r="A308" t="str">
            <v xml:space="preserve">     Avastin Penetration</v>
          </cell>
          <cell r="C308">
            <v>5.0000000000000001E-3</v>
          </cell>
          <cell r="D308">
            <v>5.4999999999999997E-3</v>
          </cell>
          <cell r="E308">
            <v>0.01</v>
          </cell>
          <cell r="F308">
            <v>0.01</v>
          </cell>
          <cell r="G308">
            <v>0.01</v>
          </cell>
          <cell r="H308">
            <v>0.01</v>
          </cell>
          <cell r="I308">
            <v>0.01</v>
          </cell>
          <cell r="J308">
            <v>0.01</v>
          </cell>
          <cell r="K308">
            <v>0.01</v>
          </cell>
          <cell r="L308">
            <v>0.01</v>
          </cell>
          <cell r="M308">
            <v>0.01</v>
          </cell>
          <cell r="N308">
            <v>0.01</v>
          </cell>
          <cell r="O308">
            <v>0.01</v>
          </cell>
          <cell r="P308">
            <v>0.01</v>
          </cell>
          <cell r="Q308">
            <v>0.01</v>
          </cell>
          <cell r="R308">
            <v>0.01</v>
          </cell>
        </row>
        <row r="309">
          <cell r="A309" t="str">
            <v xml:space="preserve">     Patients Treated </v>
          </cell>
          <cell r="C309">
            <v>50</v>
          </cell>
          <cell r="D309">
            <v>56.099999999999994</v>
          </cell>
          <cell r="E309">
            <v>104.04</v>
          </cell>
          <cell r="F309">
            <v>106.1208</v>
          </cell>
          <cell r="G309">
            <v>108.24321599999999</v>
          </cell>
          <cell r="H309">
            <v>110.40808032</v>
          </cell>
          <cell r="I309">
            <v>112.61624192639999</v>
          </cell>
          <cell r="J309">
            <v>114.868566764928</v>
          </cell>
          <cell r="K309">
            <v>117.16593810022655</v>
          </cell>
          <cell r="L309">
            <v>119.50925686223108</v>
          </cell>
          <cell r="M309">
            <v>121.89944199947571</v>
          </cell>
          <cell r="N309">
            <v>124.33743083946524</v>
          </cell>
          <cell r="O309">
            <v>126.82417945625454</v>
          </cell>
          <cell r="P309">
            <v>129.36066304537962</v>
          </cell>
          <cell r="Q309">
            <v>131.94787630628721</v>
          </cell>
          <cell r="R309">
            <v>134.58683383241296</v>
          </cell>
        </row>
        <row r="310">
          <cell r="A310" t="str">
            <v xml:space="preserve">     Average Cost Per month</v>
          </cell>
          <cell r="C310">
            <v>0</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row>
        <row r="311">
          <cell r="A311" t="str">
            <v xml:space="preserve">     Average Months on Therapy</v>
          </cell>
          <cell r="C311">
            <v>3</v>
          </cell>
          <cell r="D311">
            <v>3.5</v>
          </cell>
          <cell r="E311">
            <v>4</v>
          </cell>
          <cell r="F311">
            <v>4</v>
          </cell>
          <cell r="G311">
            <v>4</v>
          </cell>
          <cell r="H311">
            <v>4</v>
          </cell>
          <cell r="I311">
            <v>4</v>
          </cell>
          <cell r="J311">
            <v>4</v>
          </cell>
          <cell r="K311">
            <v>4</v>
          </cell>
          <cell r="L311">
            <v>4</v>
          </cell>
          <cell r="M311">
            <v>4</v>
          </cell>
          <cell r="N311">
            <v>4</v>
          </cell>
          <cell r="O311">
            <v>4</v>
          </cell>
          <cell r="P311">
            <v>4</v>
          </cell>
          <cell r="Q311">
            <v>4</v>
          </cell>
          <cell r="R311">
            <v>4</v>
          </cell>
        </row>
        <row r="312">
          <cell r="A312" t="str">
            <v xml:space="preserve">     Avg. Revenue per patient</v>
          </cell>
          <cell r="C312">
            <v>0</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row>
        <row r="313">
          <cell r="A313" t="str">
            <v xml:space="preserve">     Sales ($MM)</v>
          </cell>
          <cell r="K313">
            <v>0</v>
          </cell>
          <cell r="L313">
            <v>0</v>
          </cell>
          <cell r="M313">
            <v>0</v>
          </cell>
          <cell r="N313">
            <v>0</v>
          </cell>
          <cell r="O313">
            <v>0</v>
          </cell>
          <cell r="P313">
            <v>0</v>
          </cell>
          <cell r="Q313">
            <v>0</v>
          </cell>
          <cell r="R313">
            <v>0</v>
          </cell>
        </row>
        <row r="314">
          <cell r="A314" t="str">
            <v>% of Japanese Sales</v>
          </cell>
          <cell r="K314">
            <v>0</v>
          </cell>
          <cell r="L314">
            <v>0</v>
          </cell>
          <cell r="M314">
            <v>0</v>
          </cell>
          <cell r="N314">
            <v>0</v>
          </cell>
          <cell r="O314">
            <v>0</v>
          </cell>
          <cell r="P314">
            <v>0</v>
          </cell>
          <cell r="Q314">
            <v>0</v>
          </cell>
          <cell r="R314">
            <v>0</v>
          </cell>
        </row>
        <row r="316">
          <cell r="A316" t="str">
            <v>Ovarian Cancer</v>
          </cell>
        </row>
        <row r="317">
          <cell r="A317" t="str">
            <v xml:space="preserve">     New Diagnoses of Ovarian Cancer</v>
          </cell>
          <cell r="I317">
            <v>2500</v>
          </cell>
          <cell r="J317">
            <v>2550</v>
          </cell>
          <cell r="K317">
            <v>2601</v>
          </cell>
          <cell r="L317">
            <v>2653.02</v>
          </cell>
          <cell r="M317">
            <v>2706.0803999999998</v>
          </cell>
          <cell r="N317">
            <v>2760.2020079999998</v>
          </cell>
          <cell r="O317">
            <v>2815.40604816</v>
          </cell>
          <cell r="P317">
            <v>2871.7141691232</v>
          </cell>
          <cell r="Q317">
            <v>2929.148452505664</v>
          </cell>
          <cell r="R317">
            <v>2987.7314215557772</v>
          </cell>
        </row>
        <row r="318">
          <cell r="A318" t="str">
            <v xml:space="preserve">     Avastin Penetration</v>
          </cell>
          <cell r="I318">
            <v>0</v>
          </cell>
          <cell r="J318">
            <v>5.0000000000000001E-3</v>
          </cell>
          <cell r="K318">
            <v>0.01</v>
          </cell>
          <cell r="L318">
            <v>0.02</v>
          </cell>
          <cell r="M318">
            <v>0.03</v>
          </cell>
          <cell r="N318">
            <v>0.05</v>
          </cell>
          <cell r="O318">
            <v>0.08</v>
          </cell>
          <cell r="P318">
            <v>0.1</v>
          </cell>
          <cell r="Q318">
            <v>0.1</v>
          </cell>
          <cell r="R318">
            <v>0.1</v>
          </cell>
        </row>
        <row r="319">
          <cell r="A319" t="str">
            <v xml:space="preserve">     Patients Treated </v>
          </cell>
          <cell r="I319">
            <v>0</v>
          </cell>
          <cell r="J319">
            <v>12.75</v>
          </cell>
          <cell r="K319">
            <v>26.01</v>
          </cell>
          <cell r="L319">
            <v>53.060400000000001</v>
          </cell>
          <cell r="M319">
            <v>81.182411999999985</v>
          </cell>
          <cell r="N319">
            <v>138.0101004</v>
          </cell>
          <cell r="O319">
            <v>225.23248385279999</v>
          </cell>
          <cell r="P319">
            <v>287.17141691232001</v>
          </cell>
          <cell r="Q319">
            <v>292.91484525056643</v>
          </cell>
          <cell r="R319">
            <v>298.77314215557772</v>
          </cell>
        </row>
        <row r="320">
          <cell r="A320" t="str">
            <v xml:space="preserve">     Average Cost Per treatment</v>
          </cell>
          <cell r="I320">
            <v>50000</v>
          </cell>
          <cell r="J320">
            <v>50000</v>
          </cell>
          <cell r="K320">
            <v>50000</v>
          </cell>
          <cell r="L320">
            <v>50000</v>
          </cell>
          <cell r="M320">
            <v>50000</v>
          </cell>
          <cell r="N320">
            <v>50000</v>
          </cell>
          <cell r="O320">
            <v>50000</v>
          </cell>
          <cell r="P320">
            <v>50000</v>
          </cell>
          <cell r="Q320">
            <v>50000</v>
          </cell>
          <cell r="R320">
            <v>50000</v>
          </cell>
        </row>
        <row r="321">
          <cell r="A321" t="str">
            <v xml:space="preserve">     Sales ($MM)</v>
          </cell>
          <cell r="I321">
            <v>0</v>
          </cell>
          <cell r="J321">
            <v>0.63749999999999996</v>
          </cell>
          <cell r="K321">
            <v>1.3005</v>
          </cell>
          <cell r="L321">
            <v>2.6530200000000002</v>
          </cell>
          <cell r="M321">
            <v>4.0591205999999991</v>
          </cell>
          <cell r="N321">
            <v>6.9005050199999998</v>
          </cell>
          <cell r="O321">
            <v>11.261624192639999</v>
          </cell>
          <cell r="P321">
            <v>14.358570845616001</v>
          </cell>
          <cell r="Q321">
            <v>14.645742262528321</v>
          </cell>
          <cell r="R321">
            <v>14.938657107778885</v>
          </cell>
        </row>
        <row r="322">
          <cell r="A322" t="str">
            <v>% of Japanese Sales</v>
          </cell>
          <cell r="J322">
            <v>1.334992327135763E-3</v>
          </cell>
          <cell r="K322">
            <v>2.185843145351122E-3</v>
          </cell>
          <cell r="L322">
            <v>4.0456665882946915E-3</v>
          </cell>
          <cell r="M322">
            <v>5.8951665449932418E-3</v>
          </cell>
          <cell r="N322">
            <v>9.8048066957892969E-3</v>
          </cell>
          <cell r="O322">
            <v>1.562732960252328E-2</v>
          </cell>
          <cell r="P322">
            <v>1.9493156498610414E-2</v>
          </cell>
          <cell r="Q322">
            <v>1.9520402680616281E-2</v>
          </cell>
          <cell r="R322">
            <v>2.0231993661956101E-2</v>
          </cell>
        </row>
        <row r="324">
          <cell r="A324" t="str">
            <v>Japan</v>
          </cell>
          <cell r="E324">
            <v>30.891101625000005</v>
          </cell>
          <cell r="F324">
            <v>229.82979609</v>
          </cell>
          <cell r="G324">
            <v>378.94732185420003</v>
          </cell>
          <cell r="H324">
            <v>452.51855799955194</v>
          </cell>
          <cell r="I324">
            <v>576.9611614494288</v>
          </cell>
          <cell r="J324">
            <v>557.42898966402481</v>
          </cell>
          <cell r="K324">
            <v>661.07213734583092</v>
          </cell>
          <cell r="L324">
            <v>728.63147164149814</v>
          </cell>
          <cell r="M324">
            <v>765.05624829725127</v>
          </cell>
          <cell r="N324">
            <v>781.98663552364712</v>
          </cell>
          <cell r="O324">
            <v>800.70722816133548</v>
          </cell>
          <cell r="P324">
            <v>818.4394152572105</v>
          </cell>
          <cell r="Q324">
            <v>833.64299520951488</v>
          </cell>
          <cell r="R324">
            <v>820.40891149267441</v>
          </cell>
        </row>
        <row r="325">
          <cell r="A325" t="str">
            <v>Total non-US / ex Japan Sales</v>
          </cell>
          <cell r="B325">
            <v>10.74891136404797</v>
          </cell>
          <cell r="C325">
            <v>204.4502465729858</v>
          </cell>
          <cell r="D325">
            <v>615.69723401732597</v>
          </cell>
          <cell r="E325">
            <v>1086.2413593674667</v>
          </cell>
          <cell r="F325">
            <v>1897.8390146378429</v>
          </cell>
          <cell r="G325">
            <v>2344.9558672538792</v>
          </cell>
          <cell r="H325">
            <v>2890.9927088266627</v>
          </cell>
          <cell r="I325">
            <v>3173.2073269808589</v>
          </cell>
          <cell r="J325">
            <v>3438.2751347777726</v>
          </cell>
          <cell r="K325">
            <v>3496.9854720736989</v>
          </cell>
          <cell r="L325">
            <v>3700.6634764339096</v>
          </cell>
          <cell r="M325">
            <v>3857.0014648435981</v>
          </cell>
          <cell r="N325">
            <v>3930.7480229621324</v>
          </cell>
          <cell r="O325">
            <v>4005.9355775312551</v>
          </cell>
          <cell r="P325">
            <v>4082.5926091328593</v>
          </cell>
          <cell r="Q325">
            <v>4160.748164567005</v>
          </cell>
          <cell r="R325">
            <v>4240.4318681423483</v>
          </cell>
        </row>
        <row r="326">
          <cell r="A326" t="str">
            <v>Total US Sales</v>
          </cell>
          <cell r="B326">
            <v>508.92796676000006</v>
          </cell>
          <cell r="C326">
            <v>1163.3299750641836</v>
          </cell>
          <cell r="D326">
            <v>1736.1588249681265</v>
          </cell>
          <cell r="E326">
            <v>2273.0503361194474</v>
          </cell>
          <cell r="F326">
            <v>2841.4626603976999</v>
          </cell>
          <cell r="G326">
            <v>3190.7808966979696</v>
          </cell>
          <cell r="H326">
            <v>3423.1295113710603</v>
          </cell>
          <cell r="I326">
            <v>2677.1919331485556</v>
          </cell>
          <cell r="J326">
            <v>2631.5489698771125</v>
          </cell>
          <cell r="K326">
            <v>2723.373285877341</v>
          </cell>
          <cell r="L326">
            <v>2818.5250597075892</v>
          </cell>
          <cell r="M326">
            <v>2916.4642556955696</v>
          </cell>
          <cell r="N326">
            <v>2967.5813808792468</v>
          </cell>
          <cell r="O326">
            <v>3019.6487269672962</v>
          </cell>
          <cell r="P326">
            <v>3072.6845771618096</v>
          </cell>
          <cell r="Q326">
            <v>3126.707573116767</v>
          </cell>
          <cell r="R326">
            <v>3181.7367220349402</v>
          </cell>
        </row>
        <row r="327">
          <cell r="A327" t="str">
            <v>Worldwide Avastin Sales</v>
          </cell>
          <cell r="B327">
            <v>519.67687812404802</v>
          </cell>
          <cell r="C327">
            <v>1367.7802216371695</v>
          </cell>
          <cell r="D327">
            <v>2351.8560589854524</v>
          </cell>
          <cell r="E327">
            <v>3390.1827971119137</v>
          </cell>
          <cell r="F327">
            <v>4969.1314711255427</v>
          </cell>
          <cell r="G327">
            <v>5914.6840858060496</v>
          </cell>
          <cell r="H327">
            <v>6766.6407781972748</v>
          </cell>
          <cell r="I327">
            <v>6427.3604215788437</v>
          </cell>
          <cell r="J327">
            <v>6627.2530943189104</v>
          </cell>
          <cell r="K327">
            <v>6881.4308952968704</v>
          </cell>
          <cell r="L327">
            <v>7247.820007782997</v>
          </cell>
          <cell r="M327">
            <v>7538.5219688364186</v>
          </cell>
          <cell r="N327">
            <v>7680.3160393650269</v>
          </cell>
          <cell r="O327">
            <v>7826.2915326598868</v>
          </cell>
          <cell r="P327">
            <v>7973.7166015518796</v>
          </cell>
          <cell r="Q327">
            <v>8121.098732893287</v>
          </cell>
          <cell r="R327">
            <v>8242.5775016699627</v>
          </cell>
        </row>
        <row r="329">
          <cell r="A329" t="str">
            <v>In CHF:</v>
          </cell>
        </row>
        <row r="330">
          <cell r="A330" t="str">
            <v>Japan</v>
          </cell>
          <cell r="B330">
            <v>0</v>
          </cell>
          <cell r="C330">
            <v>0</v>
          </cell>
          <cell r="D330">
            <v>0</v>
          </cell>
          <cell r="E330">
            <v>37.07314500196437</v>
          </cell>
          <cell r="F330">
            <v>248.4420619510949</v>
          </cell>
          <cell r="G330">
            <v>419.75118507255019</v>
          </cell>
          <cell r="H330">
            <v>482.33638204255237</v>
          </cell>
          <cell r="I330">
            <v>512.72991547469871</v>
          </cell>
          <cell r="J330">
            <v>477.53083447884785</v>
          </cell>
          <cell r="K330">
            <v>594.96492361124785</v>
          </cell>
          <cell r="L330">
            <v>655.7683244773483</v>
          </cell>
          <cell r="M330">
            <v>688.55062346752618</v>
          </cell>
          <cell r="N330">
            <v>703.78797197128245</v>
          </cell>
          <cell r="O330">
            <v>720.63650534520195</v>
          </cell>
          <cell r="P330">
            <v>736.59547373148951</v>
          </cell>
          <cell r="Q330">
            <v>750.2786956885634</v>
          </cell>
          <cell r="R330">
            <v>738.36802034340701</v>
          </cell>
        </row>
        <row r="331">
          <cell r="A331" t="str">
            <v>Total non-US / ex Japan Sales</v>
          </cell>
          <cell r="B331">
            <v>13.355329677131524</v>
          </cell>
          <cell r="C331">
            <v>254.88295232761374</v>
          </cell>
          <cell r="D331">
            <v>771.71459958534081</v>
          </cell>
          <cell r="E331">
            <v>1303.6240633895159</v>
          </cell>
          <cell r="F331">
            <v>2051.5313769987511</v>
          </cell>
          <cell r="G331">
            <v>2597.4533858860577</v>
          </cell>
          <cell r="H331">
            <v>3081.489010862249</v>
          </cell>
          <cell r="I331">
            <v>2819.944275727818</v>
          </cell>
          <cell r="J331">
            <v>2945.4556987929582</v>
          </cell>
          <cell r="K331">
            <v>3147.2869248663292</v>
          </cell>
          <cell r="L331">
            <v>3330.5971287905186</v>
          </cell>
          <cell r="M331">
            <v>3471.3013183592384</v>
          </cell>
          <cell r="N331">
            <v>3537.6732206659194</v>
          </cell>
          <cell r="O331">
            <v>3605.3420197781297</v>
          </cell>
          <cell r="P331">
            <v>3674.3333482195735</v>
          </cell>
          <cell r="Q331">
            <v>3744.6733481103047</v>
          </cell>
          <cell r="R331">
            <v>3816.3886813281138</v>
          </cell>
        </row>
        <row r="332">
          <cell r="A332" t="str">
            <v>Total US Sales</v>
          </cell>
          <cell r="B332">
            <v>632.33387529138258</v>
          </cell>
          <cell r="C332">
            <v>1450.2940619820554</v>
          </cell>
          <cell r="D332">
            <v>2176.1005871095572</v>
          </cell>
          <cell r="E332">
            <v>2727.9417137885935</v>
          </cell>
          <cell r="F332">
            <v>3071.5723301160078</v>
          </cell>
          <cell r="G332">
            <v>3534.354210876666</v>
          </cell>
          <cell r="H332">
            <v>3648.689925727736</v>
          </cell>
          <cell r="I332">
            <v>2379.1486937255836</v>
          </cell>
          <cell r="J332">
            <v>2254.3602841947263</v>
          </cell>
          <cell r="K332">
            <v>2451.0359572896068</v>
          </cell>
          <cell r="L332">
            <v>2536.6725537368302</v>
          </cell>
          <cell r="M332">
            <v>2624.8178301260127</v>
          </cell>
          <cell r="N332">
            <v>2670.8232427913222</v>
          </cell>
          <cell r="O332">
            <v>2717.6838542705668</v>
          </cell>
          <cell r="P332">
            <v>2765.4161194456287</v>
          </cell>
          <cell r="Q332">
            <v>2814.0368158050906</v>
          </cell>
          <cell r="R332">
            <v>2863.5630498314463</v>
          </cell>
        </row>
        <row r="333">
          <cell r="A333" t="str">
            <v>Worldwide Avastin Sales</v>
          </cell>
          <cell r="B333">
            <v>645.6892049685141</v>
          </cell>
          <cell r="C333">
            <v>1705.1770143096692</v>
          </cell>
          <cell r="D333">
            <v>2947.8151866948979</v>
          </cell>
          <cell r="E333">
            <v>4068.6389221800737</v>
          </cell>
          <cell r="F333">
            <v>5371.5457690658532</v>
          </cell>
          <cell r="G333">
            <v>6551.5587818352742</v>
          </cell>
          <cell r="H333">
            <v>7212.5153186325369</v>
          </cell>
          <cell r="I333">
            <v>5711.8228849281004</v>
          </cell>
          <cell r="J333">
            <v>5677.3468174665322</v>
          </cell>
          <cell r="K333">
            <v>6193.2878057671842</v>
          </cell>
          <cell r="L333">
            <v>6523.0380070046976</v>
          </cell>
          <cell r="M333">
            <v>6784.6697719527765</v>
          </cell>
          <cell r="N333">
            <v>6912.2844354285244</v>
          </cell>
          <cell r="O333">
            <v>7043.6623793938979</v>
          </cell>
          <cell r="P333">
            <v>7176.3449413966919</v>
          </cell>
          <cell r="Q333">
            <v>7308.9888596039591</v>
          </cell>
          <cell r="R333">
            <v>7418.3197515029678</v>
          </cell>
        </row>
        <row r="334">
          <cell r="A334" t="str">
            <v>Exchange Rate</v>
          </cell>
          <cell r="B334">
            <v>1.242482073282442</v>
          </cell>
          <cell r="C334">
            <v>1.2466747123076918</v>
          </cell>
          <cell r="D334">
            <v>1.2533994907692316</v>
          </cell>
          <cell r="E334">
            <v>1.2001237590038314</v>
          </cell>
          <cell r="F334">
            <v>1.0809828237144954</v>
          </cell>
          <cell r="G334">
            <v>1.1076768745024921</v>
          </cell>
          <cell r="H334">
            <v>1.0658930413258985</v>
          </cell>
          <cell r="I334">
            <v>0.88867318934714801</v>
          </cell>
          <cell r="J334">
            <v>0.85666666666666658</v>
          </cell>
          <cell r="K334">
            <v>0.9</v>
          </cell>
          <cell r="L334">
            <v>0.9</v>
          </cell>
          <cell r="M334">
            <v>0.9</v>
          </cell>
          <cell r="N334">
            <v>0.9</v>
          </cell>
          <cell r="O334">
            <v>0.9</v>
          </cell>
          <cell r="P334">
            <v>0.9</v>
          </cell>
          <cell r="Q334">
            <v>0.9</v>
          </cell>
          <cell r="R334">
            <v>0.9</v>
          </cell>
        </row>
        <row r="335">
          <cell r="A335" t="str">
            <v>% change</v>
          </cell>
          <cell r="D335">
            <v>0.72874438369573236</v>
          </cell>
          <cell r="E335">
            <v>0.38022184719858498</v>
          </cell>
          <cell r="F335">
            <v>0.32023162335271849</v>
          </cell>
          <cell r="G335">
            <v>0.21967848055302586</v>
          </cell>
          <cell r="H335">
            <v>0.10088538602901931</v>
          </cell>
          <cell r="I335">
            <v>-0.20806783312163024</v>
          </cell>
          <cell r="J335">
            <v>-6.0359132550382721E-3</v>
          </cell>
          <cell r="K335">
            <v>9.0877130619067215E-2</v>
          </cell>
          <cell r="L335">
            <v>5.3243158008973834E-2</v>
          </cell>
          <cell r="M335">
            <v>4.0108882497254861E-2</v>
          </cell>
          <cell r="N335">
            <v>1.8809266738861075E-2</v>
          </cell>
          <cell r="O335">
            <v>1.9006443556055519E-2</v>
          </cell>
          <cell r="P335">
            <v>1.8837155283159879E-2</v>
          </cell>
          <cell r="Q335">
            <v>1.8483492542577196E-2</v>
          </cell>
          <cell r="R335">
            <v>1.4958415452412277E-2</v>
          </cell>
        </row>
        <row r="337">
          <cell r="A337" t="str">
            <v>From model</v>
          </cell>
        </row>
        <row r="338">
          <cell r="A338" t="str">
            <v>Japan</v>
          </cell>
          <cell r="E338">
            <v>36</v>
          </cell>
          <cell r="F338">
            <v>210</v>
          </cell>
          <cell r="G338">
            <v>404</v>
          </cell>
          <cell r="H338">
            <v>625</v>
          </cell>
          <cell r="I338">
            <v>512.72991547469871</v>
          </cell>
          <cell r="J338">
            <v>477.53083447884785</v>
          </cell>
          <cell r="K338">
            <v>594.96492361124785</v>
          </cell>
          <cell r="L338">
            <v>655.7683244773483</v>
          </cell>
          <cell r="M338">
            <v>688.55062346752618</v>
          </cell>
          <cell r="N338">
            <v>703.78797197128245</v>
          </cell>
          <cell r="O338">
            <v>720.63650534520195</v>
          </cell>
          <cell r="P338">
            <v>736.59547373148951</v>
          </cell>
          <cell r="Q338">
            <v>750.2786956885634</v>
          </cell>
          <cell r="R338">
            <v>738.36802034340701</v>
          </cell>
        </row>
        <row r="339">
          <cell r="A339" t="str">
            <v>ROW</v>
          </cell>
          <cell r="B339">
            <v>13</v>
          </cell>
          <cell r="C339">
            <v>254</v>
          </cell>
          <cell r="D339">
            <v>774</v>
          </cell>
          <cell r="E339">
            <v>1313</v>
          </cell>
          <cell r="F339">
            <v>2089</v>
          </cell>
          <cell r="G339">
            <v>2503</v>
          </cell>
          <cell r="H339">
            <v>2646</v>
          </cell>
          <cell r="I339">
            <v>2819.944275727818</v>
          </cell>
          <cell r="J339">
            <v>2945.4556987929582</v>
          </cell>
          <cell r="K339">
            <v>3147.2869248663292</v>
          </cell>
          <cell r="L339">
            <v>3330.5971287905186</v>
          </cell>
          <cell r="M339">
            <v>3471.3013183592384</v>
          </cell>
          <cell r="N339">
            <v>3537.6732206659194</v>
          </cell>
          <cell r="O339">
            <v>3605.3420197781297</v>
          </cell>
          <cell r="P339">
            <v>3674.3333482195735</v>
          </cell>
          <cell r="Q339">
            <v>3744.6733481103047</v>
          </cell>
          <cell r="R339">
            <v>3816.3886813281138</v>
          </cell>
        </row>
        <row r="340">
          <cell r="A340" t="str">
            <v>US</v>
          </cell>
          <cell r="B340">
            <v>677</v>
          </cell>
          <cell r="C340">
            <v>1411</v>
          </cell>
          <cell r="D340">
            <v>2188</v>
          </cell>
          <cell r="E340">
            <v>2757</v>
          </cell>
          <cell r="F340">
            <v>2908</v>
          </cell>
          <cell r="G340">
            <v>3315</v>
          </cell>
          <cell r="H340">
            <v>3190</v>
          </cell>
          <cell r="I340">
            <v>2232.5818680941966</v>
          </cell>
          <cell r="J340">
            <v>2278.6388524623044</v>
          </cell>
          <cell r="K340">
            <v>2513.5957769379902</v>
          </cell>
          <cell r="L340">
            <v>2639.2755657848897</v>
          </cell>
          <cell r="M340">
            <v>2744.8465884162856</v>
          </cell>
          <cell r="N340">
            <v>2854.6404519529374</v>
          </cell>
          <cell r="O340">
            <v>2940.2796655115258</v>
          </cell>
          <cell r="P340">
            <v>3028.4880554768715</v>
          </cell>
          <cell r="Q340">
            <v>3119.3426971411777</v>
          </cell>
          <cell r="R340">
            <v>3212.9229780554133</v>
          </cell>
        </row>
        <row r="341">
          <cell r="A341" t="str">
            <v>Total</v>
          </cell>
          <cell r="B341">
            <v>690</v>
          </cell>
          <cell r="C341">
            <v>1665</v>
          </cell>
          <cell r="D341">
            <v>2962</v>
          </cell>
          <cell r="E341">
            <v>4070</v>
          </cell>
          <cell r="F341">
            <v>4997</v>
          </cell>
          <cell r="G341">
            <v>5818</v>
          </cell>
          <cell r="H341">
            <v>5836</v>
          </cell>
          <cell r="I341">
            <v>5052.526143822015</v>
          </cell>
          <cell r="J341">
            <v>5224.0945512552626</v>
          </cell>
          <cell r="K341">
            <v>5660.8827018043194</v>
          </cell>
          <cell r="L341">
            <v>5969.8726945754079</v>
          </cell>
          <cell r="M341">
            <v>6216.1479067755245</v>
          </cell>
          <cell r="N341">
            <v>6392.3136726188568</v>
          </cell>
          <cell r="O341">
            <v>6545.6216852896559</v>
          </cell>
          <cell r="P341">
            <v>6702.8214036964455</v>
          </cell>
          <cell r="Q341">
            <v>6864.0160452514829</v>
          </cell>
          <cell r="R341">
            <v>7029.3116593835275</v>
          </cell>
        </row>
      </sheetData>
      <sheetData sheetId="24"/>
      <sheetData sheetId="25"/>
      <sheetData sheetId="26"/>
      <sheetData sheetId="27"/>
      <sheetData sheetId="28" refreshError="1">
        <row r="1">
          <cell r="A1" t="str">
            <v>$ per SFr</v>
          </cell>
          <cell r="B1">
            <v>0.85</v>
          </cell>
        </row>
        <row r="2">
          <cell r="A2" t="str">
            <v>€ per SFr</v>
          </cell>
          <cell r="B2">
            <v>0.67</v>
          </cell>
        </row>
        <row r="3">
          <cell r="A3" t="str">
            <v>£ per SFr</v>
          </cell>
          <cell r="B3">
            <v>0.6</v>
          </cell>
        </row>
        <row r="5">
          <cell r="B5" t="str">
            <v>USD</v>
          </cell>
          <cell r="C5" t="str">
            <v>EUR</v>
          </cell>
          <cell r="D5" t="str">
            <v>GBP</v>
          </cell>
          <cell r="E5" t="str">
            <v>CHF</v>
          </cell>
          <cell r="I5" t="str">
            <v>Rate</v>
          </cell>
          <cell r="K5" t="str">
            <v>Debt</v>
          </cell>
          <cell r="Z5" t="str">
            <v>Interest</v>
          </cell>
        </row>
        <row r="6">
          <cell r="A6" t="str">
            <v>Dollar bonds</v>
          </cell>
          <cell r="L6">
            <v>2008</v>
          </cell>
          <cell r="M6">
            <v>2009</v>
          </cell>
          <cell r="N6">
            <v>2010</v>
          </cell>
          <cell r="O6">
            <v>2011</v>
          </cell>
          <cell r="P6">
            <v>2012</v>
          </cell>
          <cell r="Q6">
            <v>2013</v>
          </cell>
          <cell r="R6">
            <v>2014</v>
          </cell>
          <cell r="S6" t="str">
            <v>2015e</v>
          </cell>
          <cell r="T6">
            <v>2016</v>
          </cell>
          <cell r="U6">
            <v>2017</v>
          </cell>
          <cell r="V6">
            <v>2018</v>
          </cell>
          <cell r="W6">
            <v>2019</v>
          </cell>
          <cell r="X6">
            <v>2020</v>
          </cell>
          <cell r="Z6">
            <v>2008</v>
          </cell>
          <cell r="AA6">
            <v>2009</v>
          </cell>
          <cell r="AB6">
            <v>2010</v>
          </cell>
          <cell r="AC6">
            <v>2011</v>
          </cell>
          <cell r="AD6">
            <v>2012</v>
          </cell>
          <cell r="AE6">
            <v>2013</v>
          </cell>
          <cell r="AF6">
            <v>2014</v>
          </cell>
          <cell r="AG6" t="str">
            <v>2015e</v>
          </cell>
          <cell r="AH6">
            <v>2016</v>
          </cell>
          <cell r="AI6">
            <v>2017</v>
          </cell>
          <cell r="AJ6">
            <v>2018</v>
          </cell>
          <cell r="AK6">
            <v>2019</v>
          </cell>
          <cell r="AL6">
            <v>2020</v>
          </cell>
        </row>
        <row r="7">
          <cell r="B7" t="str">
            <v>USD</v>
          </cell>
          <cell r="C7" t="str">
            <v>EUR</v>
          </cell>
          <cell r="D7" t="str">
            <v>GBP</v>
          </cell>
          <cell r="E7" t="str">
            <v>CHF</v>
          </cell>
          <cell r="F7" t="str">
            <v>Spread</v>
          </cell>
          <cell r="G7" t="str">
            <v>Over</v>
          </cell>
        </row>
        <row r="8">
          <cell r="A8" t="str">
            <v>1yr debt</v>
          </cell>
          <cell r="B8">
            <v>3000</v>
          </cell>
          <cell r="C8">
            <v>2364.7058823529414</v>
          </cell>
          <cell r="E8">
            <v>3529.4117647058824</v>
          </cell>
          <cell r="F8">
            <v>0.01</v>
          </cell>
          <cell r="G8">
            <v>1.2500000000000001E-2</v>
          </cell>
          <cell r="H8" t="str">
            <v>LIBOR</v>
          </cell>
          <cell r="I8">
            <v>2.2499999999999999E-2</v>
          </cell>
          <cell r="M8">
            <v>3529.4117647058824</v>
          </cell>
          <cell r="AA8">
            <v>79.411764705882348</v>
          </cell>
          <cell r="AB8">
            <v>0</v>
          </cell>
          <cell r="AC8">
            <v>0</v>
          </cell>
          <cell r="AD8">
            <v>0</v>
          </cell>
          <cell r="AE8">
            <v>0</v>
          </cell>
          <cell r="AF8">
            <v>0</v>
          </cell>
          <cell r="AG8">
            <v>0</v>
          </cell>
          <cell r="AH8">
            <v>0</v>
          </cell>
          <cell r="AI8">
            <v>0</v>
          </cell>
          <cell r="AJ8">
            <v>0</v>
          </cell>
          <cell r="AK8">
            <v>0</v>
          </cell>
          <cell r="AL8">
            <v>0</v>
          </cell>
        </row>
        <row r="9">
          <cell r="A9" t="str">
            <v>2yr debt</v>
          </cell>
          <cell r="B9">
            <v>1250</v>
          </cell>
          <cell r="C9">
            <v>985.2941176470589</v>
          </cell>
          <cell r="E9">
            <v>1470.5882352941178</v>
          </cell>
          <cell r="F9">
            <v>0.02</v>
          </cell>
          <cell r="G9">
            <v>1.2500000000000001E-2</v>
          </cell>
          <cell r="H9" t="str">
            <v>LIBOR</v>
          </cell>
          <cell r="I9">
            <v>3.2500000000000001E-2</v>
          </cell>
          <cell r="M9">
            <v>1470.5882352941178</v>
          </cell>
          <cell r="AA9">
            <v>47.794117647058833</v>
          </cell>
          <cell r="AB9">
            <v>0</v>
          </cell>
          <cell r="AC9">
            <v>0</v>
          </cell>
          <cell r="AD9">
            <v>0</v>
          </cell>
          <cell r="AE9">
            <v>0</v>
          </cell>
          <cell r="AF9">
            <v>0</v>
          </cell>
          <cell r="AG9">
            <v>0</v>
          </cell>
          <cell r="AH9">
            <v>0</v>
          </cell>
          <cell r="AI9">
            <v>0</v>
          </cell>
          <cell r="AJ9">
            <v>0</v>
          </cell>
          <cell r="AK9">
            <v>0</v>
          </cell>
          <cell r="AL9">
            <v>0</v>
          </cell>
        </row>
        <row r="10">
          <cell r="A10" t="str">
            <v>3yr debt</v>
          </cell>
          <cell r="B10">
            <v>2500</v>
          </cell>
          <cell r="C10">
            <v>1970.5882352941178</v>
          </cell>
          <cell r="E10">
            <v>2941.1764705882356</v>
          </cell>
          <cell r="F10">
            <v>3.3500000000000002E-2</v>
          </cell>
          <cell r="G10">
            <v>1.375E-2</v>
          </cell>
          <cell r="H10" t="str">
            <v>TREASURY</v>
          </cell>
          <cell r="I10">
            <v>4.4999999999999998E-2</v>
          </cell>
          <cell r="M10">
            <v>2941.1764705882356</v>
          </cell>
          <cell r="N10">
            <v>2941.1764705882356</v>
          </cell>
          <cell r="AA10">
            <v>132.35294117647061</v>
          </cell>
          <cell r="AB10">
            <v>132.35294117647061</v>
          </cell>
          <cell r="AC10">
            <v>0</v>
          </cell>
          <cell r="AD10">
            <v>0</v>
          </cell>
          <cell r="AE10">
            <v>0</v>
          </cell>
          <cell r="AF10">
            <v>0</v>
          </cell>
          <cell r="AG10">
            <v>0</v>
          </cell>
          <cell r="AH10">
            <v>0</v>
          </cell>
          <cell r="AI10">
            <v>0</v>
          </cell>
          <cell r="AJ10">
            <v>0</v>
          </cell>
          <cell r="AK10">
            <v>0</v>
          </cell>
          <cell r="AL10">
            <v>0</v>
          </cell>
        </row>
        <row r="11">
          <cell r="A11" t="str">
            <v>5yr debt</v>
          </cell>
          <cell r="B11">
            <v>2750</v>
          </cell>
          <cell r="C11">
            <v>2167.6470588235293</v>
          </cell>
          <cell r="E11">
            <v>3235.294117647059</v>
          </cell>
          <cell r="F11">
            <v>3.3500000000000002E-2</v>
          </cell>
          <cell r="G11">
            <v>1.8749999999999999E-2</v>
          </cell>
          <cell r="H11" t="str">
            <v>TREASURY</v>
          </cell>
          <cell r="I11">
            <v>0.05</v>
          </cell>
          <cell r="M11">
            <v>3235.294117647059</v>
          </cell>
          <cell r="N11">
            <v>3235.294117647059</v>
          </cell>
          <cell r="O11">
            <v>3235.294117647059</v>
          </cell>
          <cell r="AA11">
            <v>161.76470588235296</v>
          </cell>
          <cell r="AB11">
            <v>161.76470588235296</v>
          </cell>
          <cell r="AC11">
            <v>161.76470588235296</v>
          </cell>
          <cell r="AD11">
            <v>0</v>
          </cell>
          <cell r="AE11">
            <v>0</v>
          </cell>
          <cell r="AF11">
            <v>0</v>
          </cell>
          <cell r="AG11">
            <v>0</v>
          </cell>
          <cell r="AH11">
            <v>0</v>
          </cell>
          <cell r="AI11">
            <v>0</v>
          </cell>
          <cell r="AJ11">
            <v>0</v>
          </cell>
          <cell r="AK11">
            <v>0</v>
          </cell>
          <cell r="AL11">
            <v>0</v>
          </cell>
        </row>
        <row r="12">
          <cell r="A12" t="str">
            <v>10yr debt</v>
          </cell>
          <cell r="B12">
            <v>4500</v>
          </cell>
          <cell r="C12">
            <v>3547.0588235294117</v>
          </cell>
          <cell r="E12">
            <v>5294.1176470588234</v>
          </cell>
          <cell r="F12">
            <v>3.4500000000000003E-2</v>
          </cell>
          <cell r="G12">
            <v>2.75E-2</v>
          </cell>
          <cell r="H12" t="str">
            <v>TREASURY</v>
          </cell>
          <cell r="I12">
            <v>0.06</v>
          </cell>
          <cell r="M12">
            <v>5294.1176470588234</v>
          </cell>
          <cell r="N12">
            <v>5294.1176470588234</v>
          </cell>
          <cell r="O12">
            <v>4294.1176470588234</v>
          </cell>
          <cell r="P12">
            <v>4294.1176470588234</v>
          </cell>
          <cell r="Q12">
            <v>4294.1176470588234</v>
          </cell>
          <cell r="R12">
            <v>4294.1176470588234</v>
          </cell>
          <cell r="AA12">
            <v>317.64705882352939</v>
          </cell>
          <cell r="AB12">
            <v>317.64705882352939</v>
          </cell>
          <cell r="AC12">
            <v>257.64705882352939</v>
          </cell>
          <cell r="AD12">
            <v>257.64705882352939</v>
          </cell>
          <cell r="AE12">
            <v>257.64705882352939</v>
          </cell>
          <cell r="AF12">
            <v>257.64705882352939</v>
          </cell>
          <cell r="AG12">
            <v>0</v>
          </cell>
          <cell r="AH12">
            <v>0</v>
          </cell>
          <cell r="AI12">
            <v>0</v>
          </cell>
          <cell r="AJ12">
            <v>0</v>
          </cell>
          <cell r="AK12">
            <v>0</v>
          </cell>
          <cell r="AL12">
            <v>0</v>
          </cell>
        </row>
        <row r="13">
          <cell r="A13" t="str">
            <v>30yr debt</v>
          </cell>
          <cell r="B13">
            <v>2500</v>
          </cell>
          <cell r="C13">
            <v>1970.5882352941178</v>
          </cell>
          <cell r="E13">
            <v>2941.1764705882356</v>
          </cell>
          <cell r="F13">
            <v>3.6499999999999998E-2</v>
          </cell>
          <cell r="G13">
            <v>3.5000000000000003E-2</v>
          </cell>
          <cell r="H13" t="str">
            <v>TREASURY</v>
          </cell>
          <cell r="I13">
            <v>7.0000000000000007E-2</v>
          </cell>
          <cell r="M13">
            <v>2941.1764705882356</v>
          </cell>
          <cell r="N13">
            <v>2941.1764705882356</v>
          </cell>
          <cell r="O13">
            <v>2941.1764705882356</v>
          </cell>
          <cell r="P13">
            <v>2941.1764705882356</v>
          </cell>
          <cell r="Q13">
            <v>2941.1764705882356</v>
          </cell>
          <cell r="R13">
            <v>2941.1764705882356</v>
          </cell>
          <cell r="S13">
            <v>2941.1764705882356</v>
          </cell>
          <cell r="T13">
            <v>2941.1764705882356</v>
          </cell>
          <cell r="U13">
            <v>2941.1764705882356</v>
          </cell>
          <cell r="V13">
            <v>2941.1764705882356</v>
          </cell>
          <cell r="W13">
            <v>2941.1764705882356</v>
          </cell>
          <cell r="X13">
            <v>2941.1764705882356</v>
          </cell>
          <cell r="AA13">
            <v>205.88235294117652</v>
          </cell>
          <cell r="AB13">
            <v>205.88235294117652</v>
          </cell>
          <cell r="AC13">
            <v>205.88235294117652</v>
          </cell>
          <cell r="AD13">
            <v>205.88235294117652</v>
          </cell>
          <cell r="AE13">
            <v>205.88235294117652</v>
          </cell>
          <cell r="AF13">
            <v>205.88235294117652</v>
          </cell>
          <cell r="AG13">
            <v>205.88235294117652</v>
          </cell>
          <cell r="AH13">
            <v>205.88235294117652</v>
          </cell>
          <cell r="AI13">
            <v>205.88235294117652</v>
          </cell>
          <cell r="AJ13">
            <v>205.88235294117652</v>
          </cell>
          <cell r="AK13">
            <v>205.88235294117652</v>
          </cell>
          <cell r="AL13">
            <v>205.88235294117652</v>
          </cell>
        </row>
        <row r="14">
          <cell r="A14" t="str">
            <v>Total</v>
          </cell>
          <cell r="B14">
            <v>16500</v>
          </cell>
          <cell r="C14">
            <v>13005.882352941177</v>
          </cell>
          <cell r="E14">
            <v>19411.764705882353</v>
          </cell>
          <cell r="I14">
            <v>4.8674242424242425E-2</v>
          </cell>
          <cell r="AA14">
            <v>0</v>
          </cell>
          <cell r="AB14">
            <v>0</v>
          </cell>
          <cell r="AC14">
            <v>0</v>
          </cell>
          <cell r="AD14">
            <v>0</v>
          </cell>
          <cell r="AE14">
            <v>0</v>
          </cell>
          <cell r="AF14">
            <v>0</v>
          </cell>
          <cell r="AG14">
            <v>0</v>
          </cell>
          <cell r="AH14">
            <v>0</v>
          </cell>
          <cell r="AI14">
            <v>0</v>
          </cell>
          <cell r="AJ14">
            <v>0</v>
          </cell>
          <cell r="AK14">
            <v>0</v>
          </cell>
          <cell r="AL14">
            <v>0</v>
          </cell>
        </row>
        <row r="15">
          <cell r="AA15">
            <v>0</v>
          </cell>
          <cell r="AB15">
            <v>0</v>
          </cell>
          <cell r="AC15">
            <v>0</v>
          </cell>
          <cell r="AD15">
            <v>0</v>
          </cell>
          <cell r="AE15">
            <v>0</v>
          </cell>
          <cell r="AF15">
            <v>0</v>
          </cell>
          <cell r="AG15">
            <v>0</v>
          </cell>
          <cell r="AH15">
            <v>0</v>
          </cell>
          <cell r="AI15">
            <v>0</v>
          </cell>
          <cell r="AJ15">
            <v>0</v>
          </cell>
          <cell r="AK15">
            <v>0</v>
          </cell>
          <cell r="AL15">
            <v>0</v>
          </cell>
        </row>
        <row r="16">
          <cell r="A16" t="str">
            <v>Euro bonds</v>
          </cell>
          <cell r="AA16">
            <v>0</v>
          </cell>
          <cell r="AB16">
            <v>0</v>
          </cell>
          <cell r="AC16">
            <v>0</v>
          </cell>
          <cell r="AD16">
            <v>0</v>
          </cell>
          <cell r="AE16">
            <v>0</v>
          </cell>
          <cell r="AF16">
            <v>0</v>
          </cell>
          <cell r="AG16">
            <v>0</v>
          </cell>
          <cell r="AH16">
            <v>0</v>
          </cell>
          <cell r="AI16">
            <v>0</v>
          </cell>
          <cell r="AJ16">
            <v>0</v>
          </cell>
          <cell r="AK16">
            <v>0</v>
          </cell>
          <cell r="AL16">
            <v>0</v>
          </cell>
        </row>
        <row r="17">
          <cell r="B17" t="str">
            <v>USD</v>
          </cell>
          <cell r="C17" t="str">
            <v>EUR</v>
          </cell>
          <cell r="D17" t="str">
            <v>GBP</v>
          </cell>
          <cell r="E17" t="str">
            <v>CHF</v>
          </cell>
          <cell r="AA17">
            <v>0</v>
          </cell>
          <cell r="AB17">
            <v>0</v>
          </cell>
          <cell r="AC17">
            <v>0</v>
          </cell>
          <cell r="AD17">
            <v>0</v>
          </cell>
          <cell r="AE17">
            <v>0</v>
          </cell>
          <cell r="AF17">
            <v>0</v>
          </cell>
          <cell r="AG17">
            <v>0</v>
          </cell>
          <cell r="AH17">
            <v>0</v>
          </cell>
          <cell r="AI17">
            <v>0</v>
          </cell>
          <cell r="AJ17">
            <v>0</v>
          </cell>
          <cell r="AK17">
            <v>0</v>
          </cell>
          <cell r="AL17">
            <v>0</v>
          </cell>
        </row>
        <row r="18">
          <cell r="A18" t="str">
            <v>1yr</v>
          </cell>
          <cell r="B18">
            <v>1902.9850746268655</v>
          </cell>
          <cell r="C18">
            <v>1500</v>
          </cell>
          <cell r="E18">
            <v>2238.8059701492534</v>
          </cell>
          <cell r="F18">
            <v>9.4999999999999998E-3</v>
          </cell>
          <cell r="G18">
            <v>2.0500000000000001E-2</v>
          </cell>
          <cell r="H18" t="str">
            <v>EURIBOR</v>
          </cell>
          <cell r="I18">
            <v>0.03</v>
          </cell>
          <cell r="M18">
            <v>2238.8059701492534</v>
          </cell>
          <cell r="AA18">
            <v>67.164179104477597</v>
          </cell>
          <cell r="AB18">
            <v>0</v>
          </cell>
          <cell r="AC18">
            <v>0</v>
          </cell>
          <cell r="AD18">
            <v>0</v>
          </cell>
          <cell r="AE18">
            <v>0</v>
          </cell>
          <cell r="AF18">
            <v>0</v>
          </cell>
          <cell r="AG18">
            <v>0</v>
          </cell>
          <cell r="AH18">
            <v>0</v>
          </cell>
          <cell r="AI18">
            <v>0</v>
          </cell>
          <cell r="AJ18">
            <v>0</v>
          </cell>
          <cell r="AK18">
            <v>0</v>
          </cell>
          <cell r="AL18">
            <v>0</v>
          </cell>
        </row>
        <row r="19">
          <cell r="A19" t="str">
            <v>4yr</v>
          </cell>
          <cell r="B19">
            <v>6660.4477611940292</v>
          </cell>
          <cell r="C19">
            <v>5250</v>
          </cell>
          <cell r="E19">
            <v>7835.8208955223872</v>
          </cell>
          <cell r="G19">
            <v>3.5000000000000003E-2</v>
          </cell>
          <cell r="I19">
            <v>4.6249999999999999E-2</v>
          </cell>
          <cell r="M19">
            <v>7835.8208955223872</v>
          </cell>
          <cell r="N19">
            <v>7835.8208955223872</v>
          </cell>
          <cell r="O19">
            <v>7835.8208955223872</v>
          </cell>
          <cell r="P19">
            <v>7835.8208955223872</v>
          </cell>
          <cell r="Q19">
            <v>3917.9104477611936</v>
          </cell>
          <cell r="AA19">
            <v>362.40671641791039</v>
          </cell>
          <cell r="AB19">
            <v>362.40671641791039</v>
          </cell>
          <cell r="AC19">
            <v>362.40671641791039</v>
          </cell>
          <cell r="AD19">
            <v>362.40671641791039</v>
          </cell>
          <cell r="AE19">
            <v>181.20335820895519</v>
          </cell>
          <cell r="AF19">
            <v>0</v>
          </cell>
          <cell r="AG19">
            <v>0</v>
          </cell>
          <cell r="AH19">
            <v>0</v>
          </cell>
          <cell r="AI19">
            <v>0</v>
          </cell>
          <cell r="AJ19">
            <v>0</v>
          </cell>
          <cell r="AK19">
            <v>0</v>
          </cell>
          <cell r="AL19">
            <v>0</v>
          </cell>
        </row>
        <row r="20">
          <cell r="A20" t="str">
            <v>7yr</v>
          </cell>
          <cell r="B20">
            <v>3488.8059701492534</v>
          </cell>
          <cell r="C20">
            <v>2750</v>
          </cell>
          <cell r="E20">
            <v>4104.4776119402986</v>
          </cell>
          <cell r="F20">
            <v>2.6499999999999999E-2</v>
          </cell>
          <cell r="G20">
            <v>3.5000000000000003E-2</v>
          </cell>
          <cell r="I20">
            <v>5.6250000000000001E-2</v>
          </cell>
          <cell r="M20">
            <v>4104.4776119402986</v>
          </cell>
          <cell r="N20">
            <v>4104.4776119402986</v>
          </cell>
          <cell r="O20">
            <v>4104.4776119402986</v>
          </cell>
          <cell r="P20">
            <v>4104.4776119402986</v>
          </cell>
          <cell r="Q20">
            <v>4104.4776119402986</v>
          </cell>
          <cell r="R20">
            <v>4104.4776119402986</v>
          </cell>
          <cell r="S20">
            <v>4104.4776119402986</v>
          </cell>
          <cell r="AA20">
            <v>230.87686567164181</v>
          </cell>
          <cell r="AB20">
            <v>230.87686567164181</v>
          </cell>
          <cell r="AC20">
            <v>230.87686567164181</v>
          </cell>
          <cell r="AD20">
            <v>230.87686567164181</v>
          </cell>
          <cell r="AE20">
            <v>230.87686567164181</v>
          </cell>
          <cell r="AF20">
            <v>230.87686567164181</v>
          </cell>
          <cell r="AG20">
            <v>230.87686567164181</v>
          </cell>
          <cell r="AH20">
            <v>0</v>
          </cell>
          <cell r="AI20">
            <v>0</v>
          </cell>
          <cell r="AJ20">
            <v>0</v>
          </cell>
          <cell r="AK20">
            <v>0</v>
          </cell>
          <cell r="AL20">
            <v>0</v>
          </cell>
        </row>
        <row r="21">
          <cell r="A21" t="str">
            <v>12yr</v>
          </cell>
          <cell r="B21">
            <v>2220.1492537313434</v>
          </cell>
          <cell r="C21">
            <v>1750</v>
          </cell>
          <cell r="E21">
            <v>2611.9402985074626</v>
          </cell>
          <cell r="F21">
            <v>3.1E-2</v>
          </cell>
          <cell r="G21">
            <v>0.04</v>
          </cell>
          <cell r="I21">
            <v>6.5000000000000002E-2</v>
          </cell>
          <cell r="M21">
            <v>2611.9402985074626</v>
          </cell>
          <cell r="N21">
            <v>2611.9402985074626</v>
          </cell>
          <cell r="O21">
            <v>2611.9402985074626</v>
          </cell>
          <cell r="P21">
            <v>2611.9402985074626</v>
          </cell>
          <cell r="Q21">
            <v>2611.9402985074626</v>
          </cell>
          <cell r="R21">
            <v>2611.9402985074626</v>
          </cell>
          <cell r="S21">
            <v>2611.9402985074626</v>
          </cell>
          <cell r="AA21">
            <v>169.77611940298507</v>
          </cell>
          <cell r="AB21">
            <v>169.77611940298507</v>
          </cell>
          <cell r="AC21">
            <v>169.77611940298507</v>
          </cell>
          <cell r="AD21">
            <v>169.77611940298507</v>
          </cell>
          <cell r="AE21">
            <v>169.77611940298507</v>
          </cell>
          <cell r="AF21">
            <v>169.77611940298507</v>
          </cell>
          <cell r="AG21">
            <v>169.77611940298507</v>
          </cell>
          <cell r="AH21">
            <v>0</v>
          </cell>
          <cell r="AI21">
            <v>0</v>
          </cell>
          <cell r="AJ21">
            <v>0</v>
          </cell>
          <cell r="AK21">
            <v>0</v>
          </cell>
          <cell r="AL21">
            <v>0</v>
          </cell>
        </row>
        <row r="22">
          <cell r="B22">
            <v>14272.38805970149</v>
          </cell>
          <cell r="C22">
            <v>11250</v>
          </cell>
          <cell r="E22">
            <v>16791.044776119401</v>
          </cell>
          <cell r="I22">
            <v>4.9444444444444444E-2</v>
          </cell>
          <cell r="AA22">
            <v>0</v>
          </cell>
          <cell r="AB22">
            <v>0</v>
          </cell>
          <cell r="AC22">
            <v>0</v>
          </cell>
          <cell r="AD22">
            <v>0</v>
          </cell>
          <cell r="AE22">
            <v>0</v>
          </cell>
          <cell r="AF22">
            <v>0</v>
          </cell>
          <cell r="AG22">
            <v>0</v>
          </cell>
          <cell r="AH22">
            <v>0</v>
          </cell>
          <cell r="AI22">
            <v>0</v>
          </cell>
          <cell r="AJ22">
            <v>0</v>
          </cell>
          <cell r="AK22">
            <v>0</v>
          </cell>
          <cell r="AL22">
            <v>0</v>
          </cell>
        </row>
        <row r="23">
          <cell r="AA23">
            <v>0</v>
          </cell>
          <cell r="AB23">
            <v>0</v>
          </cell>
          <cell r="AC23">
            <v>0</v>
          </cell>
          <cell r="AD23">
            <v>0</v>
          </cell>
          <cell r="AE23">
            <v>0</v>
          </cell>
          <cell r="AF23">
            <v>0</v>
          </cell>
          <cell r="AG23">
            <v>0</v>
          </cell>
          <cell r="AH23">
            <v>0</v>
          </cell>
          <cell r="AI23">
            <v>0</v>
          </cell>
          <cell r="AJ23">
            <v>0</v>
          </cell>
          <cell r="AK23">
            <v>0</v>
          </cell>
          <cell r="AL23">
            <v>0</v>
          </cell>
        </row>
        <row r="24">
          <cell r="A24" t="str">
            <v>Sterling bonds</v>
          </cell>
          <cell r="AA24">
            <v>0</v>
          </cell>
          <cell r="AB24">
            <v>0</v>
          </cell>
          <cell r="AC24">
            <v>0</v>
          </cell>
          <cell r="AD24">
            <v>0</v>
          </cell>
          <cell r="AE24">
            <v>0</v>
          </cell>
          <cell r="AF24">
            <v>0</v>
          </cell>
          <cell r="AG24">
            <v>0</v>
          </cell>
          <cell r="AH24">
            <v>0</v>
          </cell>
          <cell r="AI24">
            <v>0</v>
          </cell>
          <cell r="AJ24">
            <v>0</v>
          </cell>
          <cell r="AK24">
            <v>0</v>
          </cell>
          <cell r="AL24">
            <v>0</v>
          </cell>
        </row>
        <row r="25">
          <cell r="B25" t="str">
            <v>USD</v>
          </cell>
          <cell r="C25" t="str">
            <v>EUR</v>
          </cell>
          <cell r="D25" t="str">
            <v>GBP</v>
          </cell>
          <cell r="E25" t="str">
            <v>CHF</v>
          </cell>
          <cell r="AA25">
            <v>0</v>
          </cell>
          <cell r="AB25">
            <v>0</v>
          </cell>
          <cell r="AC25">
            <v>0</v>
          </cell>
          <cell r="AD25">
            <v>0</v>
          </cell>
          <cell r="AE25">
            <v>0</v>
          </cell>
          <cell r="AF25">
            <v>0</v>
          </cell>
          <cell r="AG25">
            <v>0</v>
          </cell>
          <cell r="AH25">
            <v>0</v>
          </cell>
          <cell r="AI25">
            <v>0</v>
          </cell>
          <cell r="AJ25">
            <v>0</v>
          </cell>
          <cell r="AK25">
            <v>0</v>
          </cell>
          <cell r="AL25">
            <v>0</v>
          </cell>
        </row>
        <row r="26">
          <cell r="A26" t="str">
            <v>6yr</v>
          </cell>
          <cell r="B26">
            <v>1770.8333333333335</v>
          </cell>
          <cell r="C26">
            <v>1395.8333333333335</v>
          </cell>
          <cell r="D26">
            <v>1250</v>
          </cell>
          <cell r="E26">
            <v>2083.3333333333335</v>
          </cell>
          <cell r="F26">
            <v>2.7E-2</v>
          </cell>
          <cell r="G26">
            <v>0.05</v>
          </cell>
          <cell r="H26" t="str">
            <v>GILT</v>
          </cell>
          <cell r="I26">
            <v>5.5E-2</v>
          </cell>
          <cell r="M26">
            <v>2083.3333333333335</v>
          </cell>
          <cell r="N26">
            <v>2083.3333333333335</v>
          </cell>
          <cell r="O26">
            <v>2083.3333333333335</v>
          </cell>
          <cell r="P26">
            <v>2083.3333333333335</v>
          </cell>
          <cell r="Q26">
            <v>2083.3333333333335</v>
          </cell>
          <cell r="AA26">
            <v>114.58333333333334</v>
          </cell>
          <cell r="AB26">
            <v>114.58333333333334</v>
          </cell>
          <cell r="AC26">
            <v>114.58333333333334</v>
          </cell>
          <cell r="AD26">
            <v>114.58333333333334</v>
          </cell>
          <cell r="AE26">
            <v>114.58333333333334</v>
          </cell>
          <cell r="AF26">
            <v>0</v>
          </cell>
          <cell r="AG26">
            <v>0</v>
          </cell>
          <cell r="AH26">
            <v>0</v>
          </cell>
          <cell r="AI26">
            <v>0</v>
          </cell>
          <cell r="AJ26">
            <v>0</v>
          </cell>
          <cell r="AK26">
            <v>0</v>
          </cell>
          <cell r="AL26">
            <v>0</v>
          </cell>
        </row>
        <row r="27">
          <cell r="AA27">
            <v>0</v>
          </cell>
          <cell r="AB27">
            <v>0</v>
          </cell>
          <cell r="AC27">
            <v>0</v>
          </cell>
          <cell r="AD27">
            <v>0</v>
          </cell>
          <cell r="AE27">
            <v>0</v>
          </cell>
          <cell r="AF27">
            <v>0</v>
          </cell>
          <cell r="AG27">
            <v>0</v>
          </cell>
          <cell r="AH27">
            <v>0</v>
          </cell>
          <cell r="AI27">
            <v>0</v>
          </cell>
          <cell r="AJ27">
            <v>0</v>
          </cell>
          <cell r="AK27">
            <v>0</v>
          </cell>
          <cell r="AL27">
            <v>0</v>
          </cell>
        </row>
        <row r="28">
          <cell r="A28" t="str">
            <v>Swiss Franc Bonds</v>
          </cell>
          <cell r="AA28">
            <v>0</v>
          </cell>
          <cell r="AB28">
            <v>0</v>
          </cell>
          <cell r="AC28">
            <v>0</v>
          </cell>
          <cell r="AD28">
            <v>0</v>
          </cell>
          <cell r="AE28">
            <v>0</v>
          </cell>
          <cell r="AF28">
            <v>0</v>
          </cell>
          <cell r="AG28">
            <v>0</v>
          </cell>
          <cell r="AH28">
            <v>0</v>
          </cell>
          <cell r="AI28">
            <v>0</v>
          </cell>
          <cell r="AJ28">
            <v>0</v>
          </cell>
          <cell r="AK28">
            <v>0</v>
          </cell>
          <cell r="AL28">
            <v>0</v>
          </cell>
        </row>
        <row r="29">
          <cell r="A29" t="str">
            <v>3yr</v>
          </cell>
          <cell r="B29">
            <v>2125</v>
          </cell>
          <cell r="C29">
            <v>1675</v>
          </cell>
          <cell r="E29">
            <v>2500</v>
          </cell>
          <cell r="F29">
            <v>25</v>
          </cell>
          <cell r="G29">
            <v>25</v>
          </cell>
          <cell r="H29">
            <v>25</v>
          </cell>
          <cell r="I29">
            <v>2.5000000000000001E-2</v>
          </cell>
          <cell r="M29">
            <v>2500</v>
          </cell>
          <cell r="N29">
            <v>2500</v>
          </cell>
          <cell r="O29">
            <v>2500</v>
          </cell>
          <cell r="AA29">
            <v>62.5</v>
          </cell>
          <cell r="AB29">
            <v>62.5</v>
          </cell>
          <cell r="AC29">
            <v>62.5</v>
          </cell>
          <cell r="AD29">
            <v>0</v>
          </cell>
          <cell r="AE29">
            <v>0</v>
          </cell>
          <cell r="AF29">
            <v>0</v>
          </cell>
          <cell r="AG29">
            <v>0</v>
          </cell>
          <cell r="AH29">
            <v>0</v>
          </cell>
          <cell r="AI29">
            <v>0</v>
          </cell>
          <cell r="AJ29">
            <v>0</v>
          </cell>
          <cell r="AK29">
            <v>0</v>
          </cell>
          <cell r="AL29">
            <v>0</v>
          </cell>
        </row>
        <row r="30">
          <cell r="A30" t="str">
            <v>8yr</v>
          </cell>
          <cell r="B30">
            <v>1005.0000000000001</v>
          </cell>
          <cell r="C30">
            <v>792.17647058823547</v>
          </cell>
          <cell r="E30">
            <v>1500</v>
          </cell>
          <cell r="I30">
            <v>4.4999999999999998E-2</v>
          </cell>
          <cell r="M30">
            <v>1500</v>
          </cell>
          <cell r="N30">
            <v>1500</v>
          </cell>
          <cell r="O30">
            <v>1500</v>
          </cell>
          <cell r="P30">
            <v>1500</v>
          </cell>
          <cell r="Q30">
            <v>1500</v>
          </cell>
          <cell r="R30">
            <v>1500</v>
          </cell>
          <cell r="AA30">
            <v>67.5</v>
          </cell>
          <cell r="AB30">
            <v>67.5</v>
          </cell>
          <cell r="AC30">
            <v>67.5</v>
          </cell>
          <cell r="AD30">
            <v>67.5</v>
          </cell>
          <cell r="AE30">
            <v>67.5</v>
          </cell>
          <cell r="AF30">
            <v>67.5</v>
          </cell>
          <cell r="AG30">
            <v>0</v>
          </cell>
          <cell r="AH30">
            <v>0</v>
          </cell>
          <cell r="AI30">
            <v>0</v>
          </cell>
          <cell r="AJ30">
            <v>0</v>
          </cell>
          <cell r="AK30">
            <v>0</v>
          </cell>
          <cell r="AL30">
            <v>0</v>
          </cell>
        </row>
        <row r="31">
          <cell r="B31">
            <v>3130</v>
          </cell>
          <cell r="C31">
            <v>2467.1764705882356</v>
          </cell>
          <cell r="E31">
            <v>4000</v>
          </cell>
        </row>
        <row r="33">
          <cell r="B33" t="str">
            <v>USD</v>
          </cell>
          <cell r="C33" t="str">
            <v>EUR</v>
          </cell>
          <cell r="E33" t="str">
            <v>CHF</v>
          </cell>
        </row>
        <row r="34">
          <cell r="A34" t="str">
            <v>Total</v>
          </cell>
          <cell r="B34">
            <v>35673.221393034823</v>
          </cell>
          <cell r="C34">
            <v>28118.892156862741</v>
          </cell>
          <cell r="E34">
            <v>42286.142815335093</v>
          </cell>
          <cell r="I34">
            <v>4.778265223262429E-2</v>
          </cell>
          <cell r="L34" t="str">
            <v>Total Debt</v>
          </cell>
          <cell r="M34">
            <v>42286.142815335086</v>
          </cell>
          <cell r="N34">
            <v>35047.336845185841</v>
          </cell>
          <cell r="O34">
            <v>31106.160374597603</v>
          </cell>
          <cell r="P34">
            <v>25370.86625695054</v>
          </cell>
          <cell r="Q34">
            <v>21452.955809189349</v>
          </cell>
          <cell r="R34">
            <v>15451.712028094822</v>
          </cell>
          <cell r="S34">
            <v>9657.5943810359968</v>
          </cell>
          <cell r="T34">
            <v>2941.1764705882356</v>
          </cell>
          <cell r="U34">
            <v>2941.1764705882356</v>
          </cell>
          <cell r="V34">
            <v>2941.1764705882356</v>
          </cell>
          <cell r="W34">
            <v>2941.1764705882356</v>
          </cell>
          <cell r="X34">
            <v>2941.1764705882356</v>
          </cell>
          <cell r="AA34">
            <v>1514.7451163301143</v>
          </cell>
          <cell r="AB34">
            <v>1825.2900936494</v>
          </cell>
          <cell r="AC34">
            <v>1632.9371524729295</v>
          </cell>
          <cell r="AD34">
            <v>1408.6724465905766</v>
          </cell>
          <cell r="AE34">
            <v>1227.4690883816213</v>
          </cell>
          <cell r="AF34">
            <v>931.6823968393328</v>
          </cell>
          <cell r="AG34">
            <v>606.5353380158034</v>
          </cell>
          <cell r="AH34">
            <v>205.88235294117652</v>
          </cell>
          <cell r="AI34">
            <v>205.88235294117652</v>
          </cell>
          <cell r="AJ34">
            <v>205.88235294117652</v>
          </cell>
          <cell r="AK34">
            <v>205.88235294117652</v>
          </cell>
          <cell r="AL34">
            <v>205.88235294117652</v>
          </cell>
        </row>
        <row r="35">
          <cell r="L35" t="str">
            <v>Current Portion</v>
          </cell>
          <cell r="M35">
            <v>7238.8059701492457</v>
          </cell>
          <cell r="N35">
            <v>3941.1764705882379</v>
          </cell>
          <cell r="O35">
            <v>5735.2941176470631</v>
          </cell>
          <cell r="P35">
            <v>3917.9104477611909</v>
          </cell>
          <cell r="Q35">
            <v>6001.2437810945266</v>
          </cell>
          <cell r="R35">
            <v>5794.1176470588252</v>
          </cell>
          <cell r="S35">
            <v>6716.4179104477607</v>
          </cell>
          <cell r="T35">
            <v>0</v>
          </cell>
          <cell r="U35">
            <v>0</v>
          </cell>
          <cell r="V35">
            <v>0</v>
          </cell>
          <cell r="W35">
            <v>0</v>
          </cell>
          <cell r="X35">
            <v>2941.1764705882356</v>
          </cell>
        </row>
      </sheetData>
      <sheetData sheetId="29"/>
      <sheetData sheetId="30"/>
      <sheetData sheetId="31"/>
      <sheetData sheetId="32"/>
      <sheetData sheetId="33"/>
      <sheetData sheetId="3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stment Summary"/>
      <sheetName val="General Surgery"/>
      <sheetName val="Laparoscopy"/>
      <sheetName val="Urology &amp; Gynaecology"/>
      <sheetName val="Residual Income Table"/>
      <sheetName val="MWare_Cached"/>
      <sheetName val="MedTech comps"/>
      <sheetName val="Waterfall Charts"/>
    </sheetNames>
    <sheetDataSet>
      <sheetData sheetId="0" refreshError="1">
        <row r="1">
          <cell r="A1" t="str">
            <v>Exhibit for Investment Summary</v>
          </cell>
        </row>
        <row r="3">
          <cell r="A3" t="str">
            <v>Scenario</v>
          </cell>
          <cell r="C3" t="str">
            <v>2006E</v>
          </cell>
          <cell r="D3" t="str">
            <v>2007E</v>
          </cell>
          <cell r="E3" t="str">
            <v>2008E</v>
          </cell>
          <cell r="F3" t="str">
            <v>2009E</v>
          </cell>
          <cell r="G3" t="str">
            <v>2010E</v>
          </cell>
          <cell r="H3" t="str">
            <v>2011E</v>
          </cell>
          <cell r="I3" t="str">
            <v>CAGR 2006-11</v>
          </cell>
          <cell r="J3" t="str">
            <v>Fair Value</v>
          </cell>
          <cell r="K3" t="str">
            <v>2007E multiple</v>
          </cell>
          <cell r="L3" t="str">
            <v xml:space="preserve">2006-11 </v>
          </cell>
        </row>
        <row r="4">
          <cell r="B4" t="str">
            <v>Revenues (£m)</v>
          </cell>
        </row>
        <row r="5">
          <cell r="A5">
            <v>1</v>
          </cell>
          <cell r="B5" t="str">
            <v>Worst Case</v>
          </cell>
          <cell r="C5">
            <v>228.05629690901222</v>
          </cell>
          <cell r="D5">
            <v>246.82759187644965</v>
          </cell>
          <cell r="E5">
            <v>265.20236495864896</v>
          </cell>
          <cell r="F5">
            <v>284.21075756624265</v>
          </cell>
          <cell r="G5">
            <v>303.87855187725506</v>
          </cell>
          <cell r="H5">
            <v>324.57353635777724</v>
          </cell>
          <cell r="I5">
            <v>7.3134625273332254E-2</v>
          </cell>
        </row>
        <row r="6">
          <cell r="A6">
            <v>2</v>
          </cell>
          <cell r="B6" t="str">
            <v>Base Case Scenario</v>
          </cell>
          <cell r="C6">
            <v>230.97259922471443</v>
          </cell>
          <cell r="D6">
            <v>255.74787835562179</v>
          </cell>
          <cell r="E6">
            <v>279.30722692481601</v>
          </cell>
          <cell r="F6">
            <v>303.02661772888854</v>
          </cell>
          <cell r="G6">
            <v>327.9802070491163</v>
          </cell>
          <cell r="H6">
            <v>354.68270758097918</v>
          </cell>
          <cell r="I6">
            <v>8.957194117292544E-2</v>
          </cell>
        </row>
        <row r="7">
          <cell r="A7">
            <v>3</v>
          </cell>
          <cell r="B7" t="str">
            <v>Upside to Urology &amp; Gynaecology</v>
          </cell>
          <cell r="C7">
            <v>231.82178051185349</v>
          </cell>
          <cell r="D7">
            <v>257.49719180712816</v>
          </cell>
          <cell r="E7">
            <v>282.91081263491918</v>
          </cell>
          <cell r="F7">
            <v>308.22298832285736</v>
          </cell>
          <cell r="G7">
            <v>333.90592537288148</v>
          </cell>
          <cell r="H7">
            <v>361.3768577647939</v>
          </cell>
          <cell r="I7">
            <v>9.2851669453238861E-2</v>
          </cell>
        </row>
        <row r="8">
          <cell r="A8">
            <v>4</v>
          </cell>
          <cell r="B8" t="str">
            <v>Upside to Laparoscopic Hysterectomies</v>
          </cell>
          <cell r="C8">
            <v>231.51443643695882</v>
          </cell>
          <cell r="D8">
            <v>257.21694201178178</v>
          </cell>
          <cell r="E8">
            <v>281.81947979249236</v>
          </cell>
          <cell r="F8">
            <v>306.90629243198237</v>
          </cell>
          <cell r="G8">
            <v>333.37282685402272</v>
          </cell>
          <cell r="H8">
            <v>361.74387116895002</v>
          </cell>
          <cell r="I8">
            <v>9.3363624018212077E-2</v>
          </cell>
        </row>
        <row r="9">
          <cell r="A9">
            <v>5</v>
          </cell>
          <cell r="B9" t="str">
            <v>Upside to ENT</v>
          </cell>
          <cell r="C9">
            <v>230.97259922471443</v>
          </cell>
          <cell r="D9">
            <v>256.53746604394252</v>
          </cell>
          <cell r="E9">
            <v>282.01258112456304</v>
          </cell>
          <cell r="F9">
            <v>308.16128126567634</v>
          </cell>
          <cell r="G9">
            <v>336.01440703020205</v>
          </cell>
          <cell r="H9">
            <v>365.83969651817426</v>
          </cell>
          <cell r="I9">
            <v>9.6342053975261521E-2</v>
          </cell>
        </row>
        <row r="10">
          <cell r="A10">
            <v>6</v>
          </cell>
          <cell r="B10" t="str">
            <v>Upside to General Surgery</v>
          </cell>
          <cell r="C10">
            <v>231.27623745112899</v>
          </cell>
          <cell r="D10">
            <v>258.81462444240884</v>
          </cell>
          <cell r="E10">
            <v>285.50205402012585</v>
          </cell>
          <cell r="F10">
            <v>312.411780778283</v>
          </cell>
          <cell r="G10">
            <v>340.61889328896746</v>
          </cell>
          <cell r="H10">
            <v>370.63904895879125</v>
          </cell>
          <cell r="I10">
            <v>9.8914823954060482E-2</v>
          </cell>
        </row>
        <row r="11">
          <cell r="A11">
            <v>7</v>
          </cell>
          <cell r="B11" t="str">
            <v>General Surgery Best Case</v>
          </cell>
          <cell r="C11">
            <v>231.57987567754353</v>
          </cell>
          <cell r="D11">
            <v>261.88137052919592</v>
          </cell>
          <cell r="E11">
            <v>291.6968811154357</v>
          </cell>
          <cell r="F11">
            <v>323.36113766924313</v>
          </cell>
          <cell r="G11">
            <v>357.99708686876284</v>
          </cell>
          <cell r="H11">
            <v>394.57356102550943</v>
          </cell>
          <cell r="I11">
            <v>0.11246263503443843</v>
          </cell>
        </row>
        <row r="12">
          <cell r="A12">
            <v>8</v>
          </cell>
          <cell r="B12" t="str">
            <v>Blue Sky</v>
          </cell>
          <cell r="C12">
            <v>232.970894176927</v>
          </cell>
          <cell r="D12">
            <v>265.88933532518303</v>
          </cell>
          <cell r="E12">
            <v>300.51807389296226</v>
          </cell>
          <cell r="F12">
            <v>337.57184650309358</v>
          </cell>
          <cell r="G12">
            <v>377.34962497852018</v>
          </cell>
          <cell r="H12">
            <v>419.48586373449007</v>
          </cell>
          <cell r="I12">
            <v>0.12482026660612333</v>
          </cell>
        </row>
        <row r="14">
          <cell r="B14" t="str">
            <v>EBITA margin</v>
          </cell>
        </row>
        <row r="15">
          <cell r="A15">
            <v>1</v>
          </cell>
          <cell r="B15" t="str">
            <v>Worst Case</v>
          </cell>
          <cell r="C15">
            <v>0.1580531309465317</v>
          </cell>
          <cell r="D15">
            <v>0.17426656367085985</v>
          </cell>
          <cell r="E15">
            <v>0.18373512190110555</v>
          </cell>
          <cell r="F15">
            <v>0.18937067219484791</v>
          </cell>
          <cell r="G15">
            <v>0.19102923499614377</v>
          </cell>
          <cell r="H15">
            <v>0.1921324663579988</v>
          </cell>
        </row>
        <row r="16">
          <cell r="A16">
            <v>2</v>
          </cell>
          <cell r="B16" t="str">
            <v>Base Case Scenario</v>
          </cell>
          <cell r="C16">
            <v>0.15925493025046805</v>
          </cell>
          <cell r="D16">
            <v>0.18588200424407411</v>
          </cell>
          <cell r="E16">
            <v>0.20027563310259761</v>
          </cell>
          <cell r="F16">
            <v>0.20715338772039843</v>
          </cell>
          <cell r="G16">
            <v>0.21034111723641435</v>
          </cell>
          <cell r="H16">
            <v>0.21270630066221952</v>
          </cell>
        </row>
        <row r="17">
          <cell r="A17">
            <v>3</v>
          </cell>
          <cell r="B17" t="str">
            <v>Upside to Urology &amp; Gynaecology</v>
          </cell>
          <cell r="C17">
            <v>0.15963187988022051</v>
          </cell>
          <cell r="D17">
            <v>0.18649002819833063</v>
          </cell>
          <cell r="E17">
            <v>0.20127052215766453</v>
          </cell>
          <cell r="F17">
            <v>0.20840482615491379</v>
          </cell>
          <cell r="G17">
            <v>0.21165510563693343</v>
          </cell>
          <cell r="H17">
            <v>0.21407108007295539</v>
          </cell>
        </row>
        <row r="18">
          <cell r="A18">
            <v>4</v>
          </cell>
          <cell r="B18" t="str">
            <v>Upside to Laparoscopic Hysterectomies</v>
          </cell>
          <cell r="C18">
            <v>0.15940110563576301</v>
          </cell>
          <cell r="D18">
            <v>0.18616089245083961</v>
          </cell>
          <cell r="E18">
            <v>0.20060935844883984</v>
          </cell>
          <cell r="F18">
            <v>0.20756497224272824</v>
          </cell>
          <cell r="G18">
            <v>0.21084857524423958</v>
          </cell>
          <cell r="H18">
            <v>0.21329201085455807</v>
          </cell>
        </row>
        <row r="19">
          <cell r="A19">
            <v>5</v>
          </cell>
          <cell r="B19" t="str">
            <v>Upside to ENT</v>
          </cell>
          <cell r="C19">
            <v>0.15925493025046805</v>
          </cell>
          <cell r="D19">
            <v>0.19090228357195607</v>
          </cell>
          <cell r="E19">
            <v>0.2008560812550543</v>
          </cell>
          <cell r="F19">
            <v>0.2066937760302176</v>
          </cell>
          <cell r="G19">
            <v>0.20882361326395604</v>
          </cell>
          <cell r="H19">
            <v>0.21019711953030587</v>
          </cell>
        </row>
        <row r="20">
          <cell r="A20">
            <v>6</v>
          </cell>
          <cell r="B20" t="str">
            <v>Upside to General Surgery</v>
          </cell>
          <cell r="C20">
            <v>0.15939972855123583</v>
          </cell>
          <cell r="D20">
            <v>0.18702738823202486</v>
          </cell>
          <cell r="E20">
            <v>0.2021258178129933</v>
          </cell>
          <cell r="F20">
            <v>0.2095684447052738</v>
          </cell>
          <cell r="G20">
            <v>0.21327999774728573</v>
          </cell>
          <cell r="H20">
            <v>0.21605734376586602</v>
          </cell>
        </row>
        <row r="21">
          <cell r="A21">
            <v>7</v>
          </cell>
          <cell r="B21" t="str">
            <v>General Surgery Best Case</v>
          </cell>
          <cell r="C21">
            <v>0.15954414714457776</v>
          </cell>
          <cell r="D21">
            <v>0.18814594631895168</v>
          </cell>
          <cell r="E21">
            <v>0.20389741701139141</v>
          </cell>
          <cell r="F21">
            <v>0.21220882891324713</v>
          </cell>
          <cell r="G21">
            <v>0.21698213716819167</v>
          </cell>
          <cell r="H21">
            <v>0.22057572953200619</v>
          </cell>
        </row>
        <row r="22">
          <cell r="A22">
            <v>8</v>
          </cell>
          <cell r="B22" t="str">
            <v>Blue Sky</v>
          </cell>
          <cell r="C22">
            <v>0.16006277218852111</v>
          </cell>
          <cell r="D22">
            <v>0.19381415098051891</v>
          </cell>
          <cell r="E22">
            <v>0.20558537007050806</v>
          </cell>
          <cell r="F22">
            <v>0.21309327483699023</v>
          </cell>
          <cell r="G22">
            <v>0.21690130347077466</v>
          </cell>
          <cell r="H22">
            <v>0.21960090075716887</v>
          </cell>
        </row>
        <row r="24">
          <cell r="B24" t="str">
            <v>Modelware EPS (p)</v>
          </cell>
        </row>
        <row r="25">
          <cell r="A25">
            <v>1</v>
          </cell>
          <cell r="B25" t="str">
            <v>Worst Case</v>
          </cell>
          <cell r="C25">
            <v>16.458870473415253</v>
          </cell>
          <cell r="D25">
            <v>19.127329164489662</v>
          </cell>
          <cell r="E25">
            <v>21.221275042126312</v>
          </cell>
          <cell r="F25">
            <v>23.994776123692965</v>
          </cell>
          <cell r="G25">
            <v>26.762398421993417</v>
          </cell>
          <cell r="H25">
            <v>29.446046811268246</v>
          </cell>
          <cell r="J25">
            <v>3.0760777000844648</v>
          </cell>
          <cell r="K25">
            <v>16.082107823999159</v>
          </cell>
          <cell r="L25">
            <v>0.12337665401646203</v>
          </cell>
        </row>
        <row r="26">
          <cell r="A26">
            <v>2</v>
          </cell>
          <cell r="B26" t="str">
            <v>Base Case Scenario</v>
          </cell>
          <cell r="C26">
            <v>16.865367216233523</v>
          </cell>
          <cell r="D26">
            <v>21.422724209222029</v>
          </cell>
          <cell r="E26">
            <v>24.692356571198314</v>
          </cell>
          <cell r="F26">
            <v>28.321624487634878</v>
          </cell>
          <cell r="G26">
            <v>32.098884153306948</v>
          </cell>
          <cell r="H26">
            <v>35.882380275953395</v>
          </cell>
          <cell r="I26">
            <v>0.16299296737782321</v>
          </cell>
          <cell r="J26">
            <v>4.2580409720454044</v>
          </cell>
          <cell r="K26">
            <v>19.876281515179137</v>
          </cell>
        </row>
        <row r="27">
          <cell r="A27">
            <v>3</v>
          </cell>
          <cell r="B27" t="str">
            <v>Upside to Urology &amp; Gynaecology</v>
          </cell>
          <cell r="C27">
            <v>16.987842540249506</v>
          </cell>
          <cell r="D27">
            <v>21.666117075778054</v>
          </cell>
          <cell r="E27">
            <v>25.170468006079457</v>
          </cell>
          <cell r="F27">
            <v>29.017621095406117</v>
          </cell>
          <cell r="G27">
            <v>32.910047660392571</v>
          </cell>
          <cell r="H27">
            <v>36.816212172529092</v>
          </cell>
          <cell r="I27">
            <v>0.16729379101220032</v>
          </cell>
          <cell r="J27">
            <v>4.4101987464039354</v>
          </cell>
          <cell r="K27">
            <v>20.355279771539593</v>
          </cell>
        </row>
        <row r="28">
          <cell r="A28">
            <v>4</v>
          </cell>
          <cell r="B28" t="str">
            <v>Upside to Laparoscopic Hysterectomies</v>
          </cell>
          <cell r="C28">
            <v>16.931445826169597</v>
          </cell>
          <cell r="D28">
            <v>21.596700698350478</v>
          </cell>
          <cell r="E28">
            <v>24.977057743085059</v>
          </cell>
          <cell r="F28">
            <v>28.764196974784301</v>
          </cell>
          <cell r="G28">
            <v>32.722511829026367</v>
          </cell>
          <cell r="H28">
            <v>36.707188568740861</v>
          </cell>
          <cell r="I28">
            <v>0.16737776077597211</v>
          </cell>
          <cell r="J28">
            <v>4.4497660133572232</v>
          </cell>
          <cell r="K28">
            <v>20.603915734670942</v>
          </cell>
        </row>
        <row r="29">
          <cell r="A29">
            <v>5</v>
          </cell>
          <cell r="B29" t="str">
            <v>Upside to ENT</v>
          </cell>
          <cell r="C29">
            <v>16.865367216233523</v>
          </cell>
          <cell r="D29">
            <v>22.1528543717756</v>
          </cell>
          <cell r="E29">
            <v>25.039839271549173</v>
          </cell>
          <cell r="F29">
            <v>28.768084679158278</v>
          </cell>
          <cell r="G29">
            <v>32.667180913112674</v>
          </cell>
          <cell r="H29">
            <v>36.58157770626778</v>
          </cell>
          <cell r="I29">
            <v>0.16749042125835834</v>
          </cell>
          <cell r="J29">
            <v>4.455958480837654</v>
          </cell>
          <cell r="K29">
            <v>20.114601965310978</v>
          </cell>
        </row>
        <row r="30">
          <cell r="A30">
            <v>6</v>
          </cell>
          <cell r="B30" t="str">
            <v>Upside to General Surgery</v>
          </cell>
          <cell r="C30">
            <v>16.910531043513892</v>
          </cell>
          <cell r="D30">
            <v>21.860147794279232</v>
          </cell>
          <cell r="E30">
            <v>25.535170482561011</v>
          </cell>
          <cell r="F30">
            <v>29.607068312518116</v>
          </cell>
          <cell r="G30">
            <v>33.854795942917512</v>
          </cell>
          <cell r="H30">
            <v>38.124178570017769</v>
          </cell>
          <cell r="I30">
            <v>0.17654529060074831</v>
          </cell>
          <cell r="J30">
            <v>4.7253942451892383</v>
          </cell>
          <cell r="K30">
            <v>21.616478944510462</v>
          </cell>
        </row>
        <row r="31">
          <cell r="A31">
            <v>7</v>
          </cell>
          <cell r="B31" t="str">
            <v>General Surgery Best Case</v>
          </cell>
          <cell r="C31">
            <v>16.955694870794265</v>
          </cell>
          <cell r="D31">
            <v>22.297571379336436</v>
          </cell>
          <cell r="E31">
            <v>26.377984393923715</v>
          </cell>
          <cell r="F31">
            <v>31.103454096821086</v>
          </cell>
          <cell r="G31">
            <v>36.255528742040063</v>
          </cell>
          <cell r="H31">
            <v>41.460954601268121</v>
          </cell>
          <cell r="I31">
            <v>0.19581704889956453</v>
          </cell>
          <cell r="J31">
            <v>5.5336302948126228</v>
          </cell>
          <cell r="K31">
            <v>24.817188386447945</v>
          </cell>
        </row>
        <row r="32">
          <cell r="A32">
            <v>8</v>
          </cell>
          <cell r="B32" t="str">
            <v>Blue Sky</v>
          </cell>
          <cell r="C32">
            <v>17.144248804746358</v>
          </cell>
          <cell r="D32">
            <v>23.445070897574471</v>
          </cell>
          <cell r="E32">
            <v>27.48827970104249</v>
          </cell>
          <cell r="F32">
            <v>32.688483383265186</v>
          </cell>
          <cell r="G32">
            <v>38.258616684650853</v>
          </cell>
          <cell r="H32">
            <v>43.918792220945676</v>
          </cell>
          <cell r="J32">
            <v>6.105077373139542</v>
          </cell>
          <cell r="K32">
            <v>26.039918581654398</v>
          </cell>
          <cell r="L32">
            <v>0.20699754158838601</v>
          </cell>
        </row>
        <row r="42">
          <cell r="I42" t="str">
            <v>Current price</v>
          </cell>
          <cell r="J42">
            <v>3.37</v>
          </cell>
        </row>
      </sheetData>
      <sheetData sheetId="1" refreshError="1">
        <row r="1">
          <cell r="B1" t="str">
            <v>2006E</v>
          </cell>
          <cell r="C1" t="str">
            <v>2007E</v>
          </cell>
          <cell r="D1" t="str">
            <v>2008E</v>
          </cell>
          <cell r="E1" t="str">
            <v>2009E</v>
          </cell>
          <cell r="F1" t="str">
            <v>2010E</v>
          </cell>
          <cell r="G1" t="str">
            <v>2011E</v>
          </cell>
          <cell r="H1" t="str">
            <v>Fair Value</v>
          </cell>
          <cell r="I1" t="str">
            <v>2007E multiple</v>
          </cell>
        </row>
        <row r="2">
          <cell r="A2" t="str">
            <v>Total Group Revenue (£m)</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228.05629690901222</v>
          </cell>
          <cell r="C5">
            <v>246.82759187644965</v>
          </cell>
          <cell r="D5">
            <v>265.20236495864896</v>
          </cell>
          <cell r="E5">
            <v>284.21075756624265</v>
          </cell>
          <cell r="F5">
            <v>303.87855187725506</v>
          </cell>
          <cell r="G5">
            <v>324.57353635777724</v>
          </cell>
          <cell r="K5" t="str">
            <v>Couldn't find a bad Gen ??</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0.1580531309465317</v>
          </cell>
          <cell r="C10">
            <v>0.17426656367085985</v>
          </cell>
          <cell r="D10">
            <v>0.18373512190110555</v>
          </cell>
          <cell r="E10">
            <v>0.18937067219484791</v>
          </cell>
          <cell r="F10">
            <v>0.19102923499614377</v>
          </cell>
          <cell r="G10">
            <v>0.1921324663579988</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16.458870473415253</v>
          </cell>
          <cell r="C15">
            <v>19.127329164489662</v>
          </cell>
          <cell r="D15">
            <v>21.221275042126312</v>
          </cell>
          <cell r="E15">
            <v>23.994776123692965</v>
          </cell>
          <cell r="F15">
            <v>26.762398421993417</v>
          </cell>
          <cell r="G15">
            <v>29.446046811268246</v>
          </cell>
          <cell r="H15">
            <v>3.0760777000844648</v>
          </cell>
          <cell r="I15">
            <v>16.082107823999159</v>
          </cell>
        </row>
        <row r="24">
          <cell r="H24" t="str">
            <v>Current price</v>
          </cell>
          <cell r="I24">
            <v>3.37</v>
          </cell>
        </row>
      </sheetData>
      <sheetData sheetId="2" refreshError="1">
        <row r="1">
          <cell r="B1" t="str">
            <v>2006E</v>
          </cell>
          <cell r="C1" t="str">
            <v>2007E</v>
          </cell>
          <cell r="D1" t="str">
            <v>2008E</v>
          </cell>
          <cell r="E1" t="str">
            <v>2009E</v>
          </cell>
          <cell r="F1" t="str">
            <v>2010E</v>
          </cell>
          <cell r="G1" t="str">
            <v>2011E</v>
          </cell>
          <cell r="H1" t="str">
            <v>Fair Value</v>
          </cell>
          <cell r="I1" t="str">
            <v>2007E multiple</v>
          </cell>
        </row>
        <row r="2">
          <cell r="A2" t="str">
            <v>Revenue</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230.97259922471443</v>
          </cell>
          <cell r="C5">
            <v>255.74787835562179</v>
          </cell>
          <cell r="D5">
            <v>279.30722692481601</v>
          </cell>
          <cell r="E5">
            <v>303.02661772888854</v>
          </cell>
          <cell r="F5">
            <v>327.9802070491163</v>
          </cell>
          <cell r="G5">
            <v>354.68270758097918</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0.15925493025046805</v>
          </cell>
          <cell r="C10">
            <v>0.18588200424407411</v>
          </cell>
          <cell r="D10">
            <v>0.20027563310259761</v>
          </cell>
          <cell r="E10">
            <v>0.20715338772039843</v>
          </cell>
          <cell r="F10">
            <v>0.21034111723641435</v>
          </cell>
          <cell r="G10">
            <v>0.21270630066221952</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16.865367216233523</v>
          </cell>
          <cell r="C15">
            <v>21.422724209222029</v>
          </cell>
          <cell r="D15">
            <v>24.692356571198314</v>
          </cell>
          <cell r="E15">
            <v>28.321624487634878</v>
          </cell>
          <cell r="F15">
            <v>32.098884153306948</v>
          </cell>
          <cell r="G15">
            <v>35.882380275953395</v>
          </cell>
          <cell r="H15">
            <v>4.2580409720454044</v>
          </cell>
          <cell r="I15">
            <v>19.876281515179137</v>
          </cell>
        </row>
        <row r="24">
          <cell r="H24" t="str">
            <v>Current price</v>
          </cell>
          <cell r="I24">
            <v>3.37</v>
          </cell>
        </row>
      </sheetData>
      <sheetData sheetId="3" refreshError="1">
        <row r="1">
          <cell r="B1" t="str">
            <v>2006E</v>
          </cell>
          <cell r="C1" t="str">
            <v>2007E</v>
          </cell>
          <cell r="D1" t="str">
            <v>2008E</v>
          </cell>
          <cell r="E1" t="str">
            <v>2009E</v>
          </cell>
          <cell r="F1" t="str">
            <v>2010E</v>
          </cell>
          <cell r="G1" t="str">
            <v>2011E</v>
          </cell>
          <cell r="H1" t="str">
            <v>Fair Value</v>
          </cell>
          <cell r="I1" t="str">
            <v>2007E multiple</v>
          </cell>
        </row>
        <row r="2">
          <cell r="A2" t="str">
            <v>Revenue</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230.97259922471443</v>
          </cell>
          <cell r="C5">
            <v>255.74787835562179</v>
          </cell>
          <cell r="D5">
            <v>279.30722692481601</v>
          </cell>
          <cell r="E5">
            <v>303.02661772888854</v>
          </cell>
          <cell r="F5">
            <v>327.9802070491163</v>
          </cell>
          <cell r="G5">
            <v>354.68270758097918</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0.15925493025046805</v>
          </cell>
          <cell r="C10">
            <v>0.18588200424407411</v>
          </cell>
          <cell r="D10">
            <v>0.20027563310259761</v>
          </cell>
          <cell r="E10">
            <v>0.20715338772039843</v>
          </cell>
          <cell r="F10">
            <v>0.21034111723641435</v>
          </cell>
          <cell r="G10">
            <v>0.21270630066221952</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16.865367216233523</v>
          </cell>
          <cell r="C15">
            <v>21.422724209222029</v>
          </cell>
          <cell r="D15">
            <v>24.692356571198314</v>
          </cell>
          <cell r="E15">
            <v>28.321624487634878</v>
          </cell>
          <cell r="F15">
            <v>32.098884153306948</v>
          </cell>
          <cell r="G15">
            <v>35.882380275953395</v>
          </cell>
          <cell r="H15">
            <v>4.2580409720454044</v>
          </cell>
          <cell r="I15">
            <v>19.876281515179137</v>
          </cell>
        </row>
        <row r="24">
          <cell r="H24" t="str">
            <v>Current price</v>
          </cell>
          <cell r="I24">
            <v>3.37</v>
          </cell>
        </row>
      </sheetData>
      <sheetData sheetId="4" refreshError="1">
        <row r="1">
          <cell r="A1" t="str">
            <v>Gyrus: Residual Income Model</v>
          </cell>
        </row>
        <row r="2">
          <cell r="A2" t="str">
            <v>£m</v>
          </cell>
          <cell r="B2" t="str">
            <v>2006e</v>
          </cell>
          <cell r="C2" t="str">
            <v>2007e</v>
          </cell>
          <cell r="D2" t="str">
            <v>2008e</v>
          </cell>
          <cell r="E2" t="str">
            <v>2009e</v>
          </cell>
          <cell r="F2" t="str">
            <v>2010e</v>
          </cell>
          <cell r="G2" t="str">
            <v>2011e</v>
          </cell>
          <cell r="H2" t="str">
            <v>2012e</v>
          </cell>
          <cell r="I2" t="str">
            <v>2021e</v>
          </cell>
          <cell r="J2" t="str">
            <v>2031e</v>
          </cell>
        </row>
        <row r="3">
          <cell r="A3" t="str">
            <v>NOPAT</v>
          </cell>
          <cell r="B3">
            <v>20.932570647026978</v>
          </cell>
          <cell r="C3">
            <v>27.212196157434491</v>
          </cell>
          <cell r="D3">
            <v>31.977702191748882</v>
          </cell>
          <cell r="E3">
            <v>37.461893302395382</v>
          </cell>
          <cell r="F3">
            <v>41.812206227499161</v>
          </cell>
          <cell r="G3">
            <v>46.401072646886888</v>
          </cell>
          <cell r="H3">
            <v>51.30471508093607</v>
          </cell>
          <cell r="I3">
            <v>84.135061701961575</v>
          </cell>
          <cell r="J3">
            <v>113.07048749839451</v>
          </cell>
        </row>
        <row r="4">
          <cell r="A4" t="str">
            <v>% growth</v>
          </cell>
          <cell r="C4">
            <v>0.299993040333983</v>
          </cell>
          <cell r="D4">
            <v>0.1751239042502799</v>
          </cell>
          <cell r="E4">
            <v>0.17150047485468067</v>
          </cell>
          <cell r="F4">
            <v>0.11612634978130187</v>
          </cell>
          <cell r="G4">
            <v>0.1097494448013534</v>
          </cell>
          <cell r="H4">
            <v>0.10567950597534681</v>
          </cell>
          <cell r="I4">
            <v>3.0000000000000027E-2</v>
          </cell>
          <cell r="J4">
            <v>3.0000000000000027E-2</v>
          </cell>
        </row>
        <row r="5">
          <cell r="A5" t="str">
            <v>NOA (BOP)</v>
          </cell>
          <cell r="B5">
            <v>429.22463294706637</v>
          </cell>
          <cell r="C5">
            <v>426.32850229260697</v>
          </cell>
          <cell r="D5">
            <v>424.0978613662939</v>
          </cell>
          <cell r="E5">
            <v>423.48162067919884</v>
          </cell>
          <cell r="F5">
            <v>420.77553644426109</v>
          </cell>
          <cell r="G5">
            <v>418.27120323055578</v>
          </cell>
          <cell r="H5">
            <v>415.83875652637522</v>
          </cell>
          <cell r="I5">
            <v>681.93770072049301</v>
          </cell>
          <cell r="J5">
            <v>916.46724569054049</v>
          </cell>
        </row>
        <row r="7">
          <cell r="A7" t="str">
            <v>RNOA %</v>
          </cell>
          <cell r="B7">
            <v>4.8768334900314222E-2</v>
          </cell>
          <cell r="C7">
            <v>6.3829174008069561E-2</v>
          </cell>
          <cell r="D7">
            <v>7.5401705843854042E-2</v>
          </cell>
          <cell r="E7">
            <v>8.8461674540473129E-2</v>
          </cell>
          <cell r="F7">
            <v>9.9369384876389799E-2</v>
          </cell>
          <cell r="G7">
            <v>0.11093537467677424</v>
          </cell>
          <cell r="H7">
            <v>0.12337646329432977</v>
          </cell>
          <cell r="I7">
            <v>0.12337646329432982</v>
          </cell>
          <cell r="J7">
            <v>0.12337646329432982</v>
          </cell>
        </row>
        <row r="9">
          <cell r="A9" t="str">
            <v>Net Financial Income</v>
          </cell>
          <cell r="B9">
            <v>-7.1400718311341436</v>
          </cell>
          <cell r="C9">
            <v>-6.5888580485681354</v>
          </cell>
          <cell r="D9">
            <v>-5.6639832121487164</v>
          </cell>
          <cell r="E9">
            <v>-4.4076819554633389</v>
          </cell>
          <cell r="F9">
            <v>-3.0218208150717087</v>
          </cell>
          <cell r="G9">
            <v>-1.7432126365893537</v>
          </cell>
          <cell r="H9">
            <v>-0.67067836274644854</v>
          </cell>
          <cell r="I9">
            <v>3.6618633004225938</v>
          </cell>
          <cell r="J9">
            <v>3.9967387555002603</v>
          </cell>
        </row>
        <row r="10">
          <cell r="A10" t="str">
            <v>Net Financial Obligations (BOP)</v>
          </cell>
          <cell r="B10">
            <v>108.15614248317351</v>
          </cell>
          <cell r="C10">
            <v>82.026577687847706</v>
          </cell>
          <cell r="D10">
            <v>46.984965173934441</v>
          </cell>
          <cell r="E10">
            <v>12.530103955907315</v>
          </cell>
          <cell r="F10">
            <v>-29.837931451457969</v>
          </cell>
          <cell r="G10">
            <v>-77.958847011460733</v>
          </cell>
          <cell r="H10">
            <v>-131.98405276983095</v>
          </cell>
          <cell r="I10">
            <v>-314.91219437531527</v>
          </cell>
          <cell r="J10">
            <v>-387.50191807911659</v>
          </cell>
        </row>
        <row r="12">
          <cell r="A12" t="str">
            <v>Net Income</v>
          </cell>
          <cell r="B12">
            <v>13.792498815892834</v>
          </cell>
          <cell r="C12">
            <v>20.623338108866356</v>
          </cell>
          <cell r="D12">
            <v>26.313718979600168</v>
          </cell>
          <cell r="E12">
            <v>33.054211346932043</v>
          </cell>
          <cell r="F12">
            <v>38.790385412427455</v>
          </cell>
          <cell r="G12">
            <v>44.657860010297533</v>
          </cell>
          <cell r="H12">
            <v>50.63403671818962</v>
          </cell>
          <cell r="I12">
            <v>87.796925002384171</v>
          </cell>
          <cell r="J12">
            <v>117.06722625389477</v>
          </cell>
        </row>
        <row r="13">
          <cell r="A13" t="str">
            <v>Return of Capital Ratio (%)</v>
          </cell>
          <cell r="B13">
            <v>0</v>
          </cell>
          <cell r="C13">
            <v>0</v>
          </cell>
          <cell r="D13">
            <v>0</v>
          </cell>
          <cell r="E13">
            <v>0</v>
          </cell>
          <cell r="F13">
            <v>0</v>
          </cell>
          <cell r="G13">
            <v>0</v>
          </cell>
          <cell r="H13">
            <v>0</v>
          </cell>
          <cell r="I13">
            <v>0.63</v>
          </cell>
          <cell r="J13">
            <v>0.73786402181912858</v>
          </cell>
        </row>
        <row r="15">
          <cell r="A15" t="str">
            <v>Shareholders' Equity, BOP</v>
          </cell>
          <cell r="B15">
            <v>301.50500000000005</v>
          </cell>
          <cell r="C15">
            <v>317.84949046389289</v>
          </cell>
          <cell r="D15">
            <v>341.08292460475923</v>
          </cell>
          <cell r="E15">
            <v>373.89389619235942</v>
          </cell>
          <cell r="F15">
            <v>407.7325167232915</v>
          </cell>
          <cell r="G15">
            <v>447.39446789571895</v>
          </cell>
          <cell r="H15">
            <v>493.01105024201649</v>
          </cell>
          <cell r="I15">
            <v>920.38200600559469</v>
          </cell>
          <cell r="J15">
            <v>1227.5012746794437</v>
          </cell>
        </row>
        <row r="17">
          <cell r="A17" t="str">
            <v>ROE (%)</v>
          </cell>
          <cell r="B17">
            <v>4.5745506097387548E-2</v>
          </cell>
          <cell r="C17">
            <v>6.4883974106005771E-2</v>
          </cell>
          <cell r="D17">
            <v>7.7147570521426817E-2</v>
          </cell>
          <cell r="E17">
            <v>8.8405324835595725E-2</v>
          </cell>
          <cell r="F17">
            <v>9.5136845410719664E-2</v>
          </cell>
          <cell r="G17">
            <v>9.981764016962906E-2</v>
          </cell>
          <cell r="H17">
            <v>0.10270365480314009</v>
          </cell>
          <cell r="I17">
            <v>9.5391831249958703E-2</v>
          </cell>
          <cell r="J17">
            <v>9.537035005072915E-2</v>
          </cell>
        </row>
        <row r="19">
          <cell r="A19" t="str">
            <v>Residual Income</v>
          </cell>
          <cell r="B19">
            <v>-7.6143561841071667</v>
          </cell>
          <cell r="C19">
            <v>-1.9439757140700389</v>
          </cell>
          <cell r="D19">
            <v>2.0968313326622656</v>
          </cell>
          <cell r="E19">
            <v>6.5077447172745257</v>
          </cell>
          <cell r="F19">
            <v>9.8413767250737596</v>
          </cell>
          <cell r="G19">
            <v>12.892852789701491</v>
          </cell>
          <cell r="H19">
            <v>15.630252151006449</v>
          </cell>
          <cell r="I19">
            <v>22.449802575986951</v>
          </cell>
          <cell r="J19">
            <v>29.914635751654284</v>
          </cell>
        </row>
        <row r="23">
          <cell r="A23" t="str">
            <v>Gyrus:  Residual Income Valuation</v>
          </cell>
        </row>
        <row r="24">
          <cell r="B24" t="str">
            <v>Value</v>
          </cell>
        </row>
        <row r="25">
          <cell r="A25" t="str">
            <v>Beginning Shareholders' Equity</v>
          </cell>
          <cell r="B25">
            <v>317.84949046389289</v>
          </cell>
        </row>
        <row r="26">
          <cell r="A26" t="str">
            <v>PV of Residual Income Stream Explicit Period</v>
          </cell>
          <cell r="B26">
            <v>108.67220997361535</v>
          </cell>
        </row>
        <row r="27">
          <cell r="A27" t="str">
            <v>PV of Residual Income Stream Terminal Period</v>
          </cell>
          <cell r="B27">
            <v>192.41964519462039</v>
          </cell>
        </row>
        <row r="28">
          <cell r="A28" t="str">
            <v>Total Intrinsic Value of Equity</v>
          </cell>
          <cell r="B28">
            <v>618.94134563212856</v>
          </cell>
        </row>
        <row r="29">
          <cell r="A29" t="str">
            <v>Average Shares in Issue (basic)</v>
          </cell>
          <cell r="B29">
            <v>145.35824096000002</v>
          </cell>
        </row>
      </sheetData>
      <sheetData sheetId="5"/>
      <sheetData sheetId="6" refreshError="1">
        <row r="1">
          <cell r="A1" t="str">
            <v>European Medical Technology Peer Group Comparison</v>
          </cell>
        </row>
        <row r="2">
          <cell r="F2" t="str">
            <v>EPS</v>
          </cell>
          <cell r="I2" t="str">
            <v>P/E</v>
          </cell>
          <cell r="L2" t="str">
            <v xml:space="preserve">EPS CAGR  </v>
          </cell>
        </row>
        <row r="3">
          <cell r="B3" t="str">
            <v>Rating</v>
          </cell>
          <cell r="C3" t="str">
            <v>Price Target (lc)</v>
          </cell>
          <cell r="D3" t="str">
            <v>Share Price (lc)</v>
          </cell>
          <cell r="E3" t="str">
            <v>Market Cap (US$mn)</v>
          </cell>
          <cell r="F3">
            <v>2006</v>
          </cell>
          <cell r="G3">
            <v>2007</v>
          </cell>
          <cell r="H3">
            <v>2008</v>
          </cell>
          <cell r="I3">
            <v>2006</v>
          </cell>
          <cell r="J3">
            <v>2007</v>
          </cell>
          <cell r="K3">
            <v>2008</v>
          </cell>
          <cell r="L3" t="str">
            <v>2006-08</v>
          </cell>
        </row>
        <row r="4">
          <cell r="A4" t="str">
            <v>Gyrus</v>
          </cell>
          <cell r="D4">
            <v>3.4725000000000001</v>
          </cell>
          <cell r="E4">
            <v>918.16532929500011</v>
          </cell>
          <cell r="F4">
            <v>16.865367216233523</v>
          </cell>
          <cell r="G4">
            <v>21.422724209222029</v>
          </cell>
          <cell r="H4">
            <v>24.692356571198314</v>
          </cell>
          <cell r="I4">
            <v>20.589530933293844</v>
          </cell>
          <cell r="J4">
            <v>16.209423069103238</v>
          </cell>
          <cell r="K4">
            <v>14.063056274063356</v>
          </cell>
          <cell r="L4">
            <v>20.999442422792235</v>
          </cell>
        </row>
        <row r="5">
          <cell r="A5" t="str">
            <v>Coloplast*</v>
          </cell>
          <cell r="B5" t="str">
            <v>-</v>
          </cell>
          <cell r="C5" t="str">
            <v>N/A</v>
          </cell>
          <cell r="D5">
            <v>430</v>
          </cell>
          <cell r="E5">
            <v>2825.4816999999998</v>
          </cell>
          <cell r="F5">
            <v>11.76</v>
          </cell>
          <cell r="G5">
            <v>17.48</v>
          </cell>
          <cell r="H5">
            <v>21.83</v>
          </cell>
          <cell r="I5">
            <v>36.564625850340136</v>
          </cell>
          <cell r="J5">
            <v>24.59954233409611</v>
          </cell>
          <cell r="K5">
            <v>19.697663765460376</v>
          </cell>
          <cell r="L5">
            <v>36.245826248248882</v>
          </cell>
        </row>
        <row r="6">
          <cell r="A6" t="str">
            <v>Fresenius Medical Care</v>
          </cell>
          <cell r="B6" t="str">
            <v>NAV</v>
          </cell>
          <cell r="C6" t="str">
            <v>N/A</v>
          </cell>
          <cell r="D6">
            <v>85.43</v>
          </cell>
          <cell r="E6">
            <v>10292.165595296001</v>
          </cell>
          <cell r="F6">
            <v>5.2974667114607028</v>
          </cell>
          <cell r="G6">
            <v>6.5221152122795063</v>
          </cell>
          <cell r="H6">
            <v>7.3091624359600722</v>
          </cell>
          <cell r="I6">
            <v>16.126576088751651</v>
          </cell>
          <cell r="J6">
            <v>13.098511329446735</v>
          </cell>
          <cell r="K6">
            <v>11.688069699983158</v>
          </cell>
          <cell r="L6">
            <v>17.462621373528609</v>
          </cell>
        </row>
        <row r="7">
          <cell r="A7" t="str">
            <v>Nobel Biocare*</v>
          </cell>
          <cell r="B7" t="str">
            <v>-</v>
          </cell>
          <cell r="C7" t="str">
            <v>N/A</v>
          </cell>
          <cell r="D7">
            <v>286</v>
          </cell>
          <cell r="E7">
            <v>5818.2507926289536</v>
          </cell>
          <cell r="F7">
            <v>9.67</v>
          </cell>
          <cell r="G7">
            <v>11.89</v>
          </cell>
          <cell r="H7">
            <v>14.98</v>
          </cell>
          <cell r="I7">
            <v>29.576008273009307</v>
          </cell>
          <cell r="J7">
            <v>24.053826745164002</v>
          </cell>
          <cell r="K7">
            <v>19.092122830440587</v>
          </cell>
          <cell r="L7">
            <v>24.463689193319226</v>
          </cell>
        </row>
        <row r="8">
          <cell r="A8" t="str">
            <v>Phonak*</v>
          </cell>
          <cell r="B8" t="str">
            <v>-</v>
          </cell>
          <cell r="C8" t="str">
            <v>N/A</v>
          </cell>
          <cell r="D8">
            <v>75.400000000000006</v>
          </cell>
          <cell r="E8">
            <v>4024.3037466806149</v>
          </cell>
          <cell r="F8">
            <v>2.57</v>
          </cell>
          <cell r="G8">
            <v>3.08</v>
          </cell>
          <cell r="H8">
            <v>3.6</v>
          </cell>
          <cell r="I8">
            <v>29.338521400778212</v>
          </cell>
          <cell r="J8">
            <v>24.480519480519483</v>
          </cell>
          <cell r="K8">
            <v>20.944444444444446</v>
          </cell>
          <cell r="L8">
            <v>18.354476472870761</v>
          </cell>
        </row>
        <row r="9">
          <cell r="A9" t="str">
            <v>Qiagen</v>
          </cell>
          <cell r="B9" t="str">
            <v>#Refresh</v>
          </cell>
          <cell r="C9" t="str">
            <v>#Refresh</v>
          </cell>
          <cell r="D9" t="str">
            <v>#Refresh</v>
          </cell>
          <cell r="E9" t="e">
            <v>#VALUE!</v>
          </cell>
          <cell r="F9">
            <v>0.55501879196906134</v>
          </cell>
          <cell r="G9">
            <v>0.66871085193094404</v>
          </cell>
          <cell r="H9">
            <v>0.803416717030768</v>
          </cell>
          <cell r="I9" t="e">
            <v>#VALUE!</v>
          </cell>
          <cell r="J9" t="e">
            <v>#VALUE!</v>
          </cell>
          <cell r="K9" t="e">
            <v>#VALUE!</v>
          </cell>
          <cell r="L9">
            <v>20.314117010795375</v>
          </cell>
        </row>
        <row r="10">
          <cell r="A10" t="str">
            <v>Smith &amp; Nephew</v>
          </cell>
          <cell r="B10" t="str">
            <v>E</v>
          </cell>
          <cell r="C10" t="str">
            <v>NA</v>
          </cell>
          <cell r="D10">
            <v>7.5931850000000001</v>
          </cell>
          <cell r="E10">
            <v>7033.9533199699999</v>
          </cell>
          <cell r="F10">
            <v>0.4416676541571814</v>
          </cell>
          <cell r="G10">
            <v>0.50808802731879921</v>
          </cell>
          <cell r="H10">
            <v>0.57045621452687112</v>
          </cell>
          <cell r="I10">
            <v>17.192078542608705</v>
          </cell>
          <cell r="J10">
            <v>14.944624930584451</v>
          </cell>
          <cell r="K10">
            <v>13.310723604435948</v>
          </cell>
          <cell r="L10">
            <v>13.648409073822831</v>
          </cell>
        </row>
        <row r="11">
          <cell r="A11" t="str">
            <v>Straumann*</v>
          </cell>
          <cell r="B11" t="str">
            <v>-</v>
          </cell>
          <cell r="C11" t="str">
            <v>N/A</v>
          </cell>
          <cell r="D11">
            <v>313</v>
          </cell>
          <cell r="E11">
            <v>3601.4539</v>
          </cell>
          <cell r="F11">
            <v>9.99</v>
          </cell>
          <cell r="G11">
            <v>12.12</v>
          </cell>
          <cell r="H11">
            <v>14.3</v>
          </cell>
          <cell r="I11">
            <v>31.331331331331331</v>
          </cell>
          <cell r="J11">
            <v>25.825082508250826</v>
          </cell>
          <cell r="K11">
            <v>21.888111888111887</v>
          </cell>
          <cell r="L11">
            <v>19.642443615609562</v>
          </cell>
        </row>
        <row r="12">
          <cell r="A12" t="str">
            <v>Synthes</v>
          </cell>
          <cell r="B12" t="str">
            <v>U</v>
          </cell>
          <cell r="C12">
            <v>136</v>
          </cell>
          <cell r="D12">
            <v>148.80000000000001</v>
          </cell>
          <cell r="E12">
            <v>13581.956481049276</v>
          </cell>
          <cell r="F12">
            <v>4.5793393172629129</v>
          </cell>
          <cell r="G12">
            <v>5.2570255451865755</v>
          </cell>
          <cell r="H12">
            <v>6.1265643201628182</v>
          </cell>
          <cell r="I12">
            <v>32.493770321640696</v>
          </cell>
          <cell r="J12">
            <v>28.30497944531464</v>
          </cell>
          <cell r="K12">
            <v>24.287674498134631</v>
          </cell>
          <cell r="L12">
            <v>15.666364696275048</v>
          </cell>
        </row>
        <row r="13">
          <cell r="A13" t="str">
            <v>William Demant*</v>
          </cell>
          <cell r="B13" t="str">
            <v>-</v>
          </cell>
          <cell r="C13" t="str">
            <v>N/A</v>
          </cell>
          <cell r="D13">
            <v>429</v>
          </cell>
          <cell r="E13">
            <v>4590.0899827813228</v>
          </cell>
          <cell r="F13">
            <v>14.93</v>
          </cell>
          <cell r="G13">
            <v>17.57</v>
          </cell>
          <cell r="H13">
            <v>20.37</v>
          </cell>
          <cell r="I13">
            <v>28.734092431346284</v>
          </cell>
          <cell r="J13">
            <v>24.41661923733637</v>
          </cell>
          <cell r="K13">
            <v>21.060382916053019</v>
          </cell>
          <cell r="L13">
            <v>16.80612339323968</v>
          </cell>
        </row>
        <row r="15">
          <cell r="A15" t="str">
            <v>* Not covered</v>
          </cell>
          <cell r="I15" t="e">
            <v>#VALUE!</v>
          </cell>
          <cell r="J15" t="e">
            <v>#VALUE!</v>
          </cell>
          <cell r="K15" t="e">
            <v>#VALUE!</v>
          </cell>
        </row>
        <row r="16">
          <cell r="I16" t="e">
            <v>#VALUE!</v>
          </cell>
          <cell r="J16" t="e">
            <v>#VALUE!</v>
          </cell>
          <cell r="K16" t="e">
            <v>#VALUE!</v>
          </cell>
        </row>
        <row r="18">
          <cell r="B18" t="str">
            <v>e=Morgan Stanley Estimates.  All other values are actual.</v>
          </cell>
        </row>
        <row r="20">
          <cell r="B20" t="str">
            <v>ND = Not Disclosed, NA = Not Available, and NM = Non Meaningful</v>
          </cell>
        </row>
        <row r="22">
          <cell r="B22" t="str">
            <v>Consensus EPS provided by Thomson Financial/First Call</v>
          </cell>
        </row>
        <row r="24">
          <cell r="B24" t="str">
            <v xml:space="preserve">Although the information provided to you on this site is obtained or compiled from sources we believe to be reliable, </v>
          </cell>
        </row>
        <row r="25">
          <cell r="B25" t="str">
            <v xml:space="preserve">Morgan Stanley cannot and does not guarantee the accuracy, validity, timeliness or completeness of any information or </v>
          </cell>
        </row>
        <row r="26">
          <cell r="B26" t="str">
            <v>data made available to you for any particular purpose.</v>
          </cell>
        </row>
      </sheetData>
      <sheetData sheetId="7" refreshError="1">
        <row r="3">
          <cell r="B3" t="str">
            <v xml:space="preserve">Upside </v>
          </cell>
          <cell r="C3" t="str">
            <v>Share Price (£)</v>
          </cell>
        </row>
        <row r="4">
          <cell r="B4" t="str">
            <v>Base</v>
          </cell>
          <cell r="C4" t="str">
            <v>Gen Surg</v>
          </cell>
          <cell r="D4" t="str">
            <v>Lap Hys</v>
          </cell>
          <cell r="E4" t="str">
            <v>Uro &amp; Gyn</v>
          </cell>
          <cell r="F4" t="str">
            <v>ENT</v>
          </cell>
          <cell r="G4" t="str">
            <v>Gen Surg Best</v>
          </cell>
          <cell r="H4" t="str">
            <v>Blue Sky</v>
          </cell>
        </row>
        <row r="5">
          <cell r="B5">
            <v>426</v>
          </cell>
          <cell r="C5">
            <v>426</v>
          </cell>
          <cell r="D5">
            <v>426</v>
          </cell>
          <cell r="E5">
            <v>426</v>
          </cell>
          <cell r="F5">
            <v>426</v>
          </cell>
          <cell r="G5">
            <v>426</v>
          </cell>
        </row>
        <row r="6">
          <cell r="C6">
            <v>47</v>
          </cell>
          <cell r="D6">
            <v>47</v>
          </cell>
          <cell r="E6">
            <v>47</v>
          </cell>
          <cell r="F6">
            <v>47</v>
          </cell>
          <cell r="G6">
            <v>47</v>
          </cell>
        </row>
        <row r="7">
          <cell r="D7">
            <v>19</v>
          </cell>
          <cell r="E7">
            <v>19</v>
          </cell>
          <cell r="F7">
            <v>19</v>
          </cell>
          <cell r="G7">
            <v>19</v>
          </cell>
        </row>
        <row r="8">
          <cell r="E8">
            <v>15</v>
          </cell>
          <cell r="F8">
            <v>15</v>
          </cell>
          <cell r="G8">
            <v>15</v>
          </cell>
        </row>
        <row r="9">
          <cell r="F9">
            <v>20</v>
          </cell>
          <cell r="G9">
            <v>20</v>
          </cell>
        </row>
        <row r="10">
          <cell r="G10">
            <v>80</v>
          </cell>
        </row>
        <row r="11">
          <cell r="H11">
            <v>611</v>
          </cell>
        </row>
        <row r="17">
          <cell r="B17" t="str">
            <v xml:space="preserve"> </v>
          </cell>
        </row>
        <row r="31">
          <cell r="B31" t="str">
            <v>Downside</v>
          </cell>
          <cell r="C31" t="str">
            <v>Share Price (£)</v>
          </cell>
        </row>
        <row r="33">
          <cell r="B33" t="str">
            <v>Base</v>
          </cell>
          <cell r="C33" t="str">
            <v>ENT</v>
          </cell>
          <cell r="D33" t="str">
            <v>Uro &amp; Gyn</v>
          </cell>
          <cell r="E33" t="str">
            <v>Gen Surg</v>
          </cell>
          <cell r="F33" t="str">
            <v>Lap Hys</v>
          </cell>
          <cell r="G33" t="str">
            <v>Worst Case</v>
          </cell>
        </row>
        <row r="34">
          <cell r="B34">
            <v>426</v>
          </cell>
          <cell r="C34">
            <v>406</v>
          </cell>
          <cell r="D34">
            <v>374</v>
          </cell>
          <cell r="E34">
            <v>335</v>
          </cell>
          <cell r="F34">
            <v>305</v>
          </cell>
          <cell r="G34">
            <v>308</v>
          </cell>
        </row>
        <row r="35">
          <cell r="C35">
            <v>20</v>
          </cell>
          <cell r="D35">
            <v>32</v>
          </cell>
          <cell r="E35">
            <v>39</v>
          </cell>
          <cell r="F35">
            <v>30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Contents"/>
      <sheetName val="mwareTaxoPres"/>
      <sheetName val="Summary"/>
      <sheetName val="__FDSCACHE__"/>
      <sheetName val="MW Valuation"/>
      <sheetName val="Page 3"/>
      <sheetName val="Tables"/>
      <sheetName val="Scenarios"/>
      <sheetName val="DCF 2020"/>
      <sheetName val="Changes"/>
      <sheetName val="Pipeline"/>
      <sheetName val="MWA RR_GSK.L"/>
      <sheetName val="Primary Care"/>
      <sheetName val="Gross Margin"/>
      <sheetName val="IFRS Qtrly Sales"/>
      <sheetName val="Yrly Sales"/>
      <sheetName val="Qrtly Margins"/>
      <sheetName val="mwareValPrintout"/>
      <sheetName val="Sheet1"/>
      <sheetName val=" Qrtly P&amp;L"/>
      <sheetName val="Yrly P&amp;L"/>
      <sheetName val="Balance Sheet"/>
      <sheetName val="Cash flow"/>
      <sheetName val="QPreview"/>
      <sheetName val="MW-Cache"/>
      <sheetName val="HGSI"/>
      <sheetName val="Pipeline Value"/>
      <sheetName val="Drivers"/>
      <sheetName val="Chart Data"/>
      <sheetName val="mwareDates"/>
      <sheetName val="mwareSettings"/>
      <sheetName val="GE3"/>
      <sheetName val="FutureProducts New"/>
      <sheetName val="Bull_Bear"/>
      <sheetName val="Sales Charts"/>
      <sheetName val="Patent Expiry"/>
      <sheetName val="RI GW"/>
      <sheetName val="Product concentration"/>
      <sheetName val="GVAT options"/>
      <sheetName val="GVAT pension"/>
      <sheetName val="GVAT Reported"/>
      <sheetName val="Profit Map"/>
      <sheetName val="GVAT Adjusted"/>
      <sheetName val="GVAT RI valuation"/>
      <sheetName val="GSKFeed"/>
      <sheetName val="RI Valuation"/>
      <sheetName val="Convergence Valuation"/>
      <sheetName val="Report"/>
      <sheetName val="Qtrly Sales"/>
      <sheetName val="Qtr"/>
      <sheetName val="FutureProducts"/>
      <sheetName val="xbrlPreview"/>
      <sheetName val="BalanceSheet"/>
      <sheetName val="CashFlow"/>
      <sheetName val="Milestones"/>
      <sheetName val="Guidance"/>
      <sheetName val="Vardenafil"/>
      <sheetName val="GE Upload"/>
      <sheetName val="Disclaimer"/>
      <sheetName val="xbrldates"/>
      <sheetName val="xbrlSettings"/>
      <sheetName val="Valuation"/>
      <sheetName val="GroupP&amp;L"/>
      <sheetName val="Glance"/>
      <sheetName val="Fx Impact"/>
      <sheetName val="ProdConcentration"/>
      <sheetName val="Charts"/>
      <sheetName val="mwarePreview"/>
      <sheetName val="IFRS adjustments"/>
      <sheetName val="mwareDates_38426_7553083"/>
      <sheetName val="GSK"/>
      <sheetName val="MWare_Cached"/>
    </sheetNames>
    <sheetDataSet>
      <sheetData sheetId="0"/>
      <sheetData sheetId="1" refreshError="1">
        <row r="2">
          <cell r="A2" t="str">
            <v xml:space="preserve">  GlaxoSmithKline</v>
          </cell>
        </row>
        <row r="3">
          <cell r="D3" t="str">
            <v>Morgan Stanley Equity Research - Pharmaceuticals</v>
          </cell>
        </row>
        <row r="5">
          <cell r="C5" t="str">
            <v>Andrew Baum  +44 20 7425 6647</v>
          </cell>
          <cell r="D5" t="str">
            <v>andrew.baum@morganstanley.com</v>
          </cell>
        </row>
        <row r="6">
          <cell r="C6" t="str">
            <v>Duncan Moore  +44 20 7425 6620</v>
          </cell>
          <cell r="D6" t="str">
            <v>duncan.moore@morganstanley.com</v>
          </cell>
        </row>
        <row r="7">
          <cell r="C7" t="str">
            <v>Andrew Swift  +44 20 7425 3479</v>
          </cell>
          <cell r="D7" t="str">
            <v>andrew.swift@morganstanley.com</v>
          </cell>
        </row>
        <row r="8">
          <cell r="C8" t="str">
            <v>Nick Nieland  +44 20 7425 2272</v>
          </cell>
          <cell r="D8" t="str">
            <v>nick.nieland@morganstanley.com</v>
          </cell>
        </row>
        <row r="9">
          <cell r="C9" t="str">
            <v>Caius Christoe +44 20 7425 6620</v>
          </cell>
          <cell r="D9" t="str">
            <v>caius.christoe@morganstanley.com</v>
          </cell>
        </row>
        <row r="11">
          <cell r="B11" t="str">
            <v>GlaxoSmithKline Financial Model</v>
          </cell>
        </row>
        <row r="12">
          <cell r="B12" t="str">
            <v>Contents</v>
          </cell>
          <cell r="C12" t="str">
            <v>Notes</v>
          </cell>
        </row>
        <row r="14">
          <cell r="B14" t="str">
            <v>Valuation Summary</v>
          </cell>
          <cell r="C14" t="str">
            <v>A summary of earnings estimates and valuation measures. GlaxoSmithKline reports in GBP</v>
          </cell>
        </row>
        <row r="15">
          <cell r="B15" t="str">
            <v>Annual Profit and Loss</v>
          </cell>
          <cell r="C15" t="str">
            <v>Annual P&amp;L</v>
          </cell>
        </row>
        <row r="16">
          <cell r="B16" t="str">
            <v>Quarterly Profit and Loss</v>
          </cell>
          <cell r="C16" t="str">
            <v>Quarterly P&amp;L. GlaxoSmithKline report quarterly</v>
          </cell>
        </row>
        <row r="17">
          <cell r="B17" t="str">
            <v>Balance Sheet</v>
          </cell>
          <cell r="C17" t="str">
            <v>Consolidated balance sheet</v>
          </cell>
        </row>
        <row r="18">
          <cell r="B18" t="str">
            <v>Cash Flow Statement</v>
          </cell>
          <cell r="C18" t="str">
            <v>Statement of cash flows</v>
          </cell>
        </row>
        <row r="20">
          <cell r="B20" t="str">
            <v>Detailed analysis of P&amp;L Drivers</v>
          </cell>
        </row>
        <row r="22">
          <cell r="B22" t="str">
            <v>Annual Sales Model</v>
          </cell>
          <cell r="C22" t="str">
            <v>A summary of our product sales assumptions</v>
          </cell>
        </row>
        <row r="23">
          <cell r="B23" t="str">
            <v>Quarterly sales model</v>
          </cell>
          <cell r="C23" t="str">
            <v>GSK reports sales quarterly</v>
          </cell>
        </row>
        <row r="24">
          <cell r="B24" t="str">
            <v>Future Products</v>
          </cell>
          <cell r="C24" t="str">
            <v>Contribution of Pipeline products to future revenues</v>
          </cell>
        </row>
        <row r="26">
          <cell r="B26" t="str">
            <v>Additional information and analysis</v>
          </cell>
        </row>
        <row r="34">
          <cell r="B34" t="str">
            <v>Link to website:</v>
          </cell>
          <cell r="C34" t="str">
            <v>http://www.gsk.com/</v>
          </cell>
        </row>
        <row r="35">
          <cell r="A35" t="str">
            <v>Notes:</v>
          </cell>
        </row>
        <row r="36">
          <cell r="A36" t="str">
            <v>E= Morgan Stanley Research Estimates</v>
          </cell>
        </row>
        <row r="37">
          <cell r="A37" t="str">
            <v>Source: Morgan Stanley Research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1">
          <cell r="A1" t="str">
            <v>Return to Contents</v>
          </cell>
          <cell r="B1">
            <v>2</v>
          </cell>
          <cell r="C1">
            <v>9</v>
          </cell>
          <cell r="D1">
            <v>16</v>
          </cell>
          <cell r="E1">
            <v>23</v>
          </cell>
          <cell r="F1">
            <v>24</v>
          </cell>
          <cell r="G1">
            <v>25</v>
          </cell>
          <cell r="H1">
            <v>26</v>
          </cell>
          <cell r="I1">
            <v>27</v>
          </cell>
          <cell r="J1">
            <v>28</v>
          </cell>
          <cell r="K1">
            <v>29</v>
          </cell>
        </row>
        <row r="2">
          <cell r="A2" t="str">
            <v>GlaxoSmithKline</v>
          </cell>
        </row>
        <row r="3">
          <cell r="A3" t="str">
            <v>Annual Sales Model</v>
          </cell>
          <cell r="K3" t="str">
            <v>Morgan Stanley Equity Research- Pharmaceuticals</v>
          </cell>
        </row>
        <row r="4">
          <cell r="A4" t="str">
            <v>£ mlns</v>
          </cell>
          <cell r="B4" t="str">
            <v>FY03A</v>
          </cell>
          <cell r="C4" t="str">
            <v>FY04</v>
          </cell>
          <cell r="D4" t="str">
            <v>FY05</v>
          </cell>
          <cell r="E4" t="str">
            <v>FY06E</v>
          </cell>
          <cell r="F4" t="str">
            <v>FY07E</v>
          </cell>
          <cell r="G4" t="str">
            <v>FY08E</v>
          </cell>
          <cell r="H4" t="str">
            <v>FY09E</v>
          </cell>
          <cell r="I4" t="str">
            <v>FY10E</v>
          </cell>
          <cell r="J4" t="str">
            <v>FY11E</v>
          </cell>
          <cell r="K4" t="str">
            <v>FY12E</v>
          </cell>
          <cell r="L4" t="str">
            <v>Sales Cont. (07-12)</v>
          </cell>
          <cell r="M4" t="str">
            <v>CAGR(07-12)</v>
          </cell>
        </row>
        <row r="6">
          <cell r="A6" t="str">
            <v>CNS</v>
          </cell>
        </row>
        <row r="7">
          <cell r="A7" t="str">
            <v>Seroxat / Paxil</v>
          </cell>
          <cell r="B7">
            <v>1877</v>
          </cell>
          <cell r="C7">
            <v>1063</v>
          </cell>
          <cell r="D7">
            <v>615</v>
          </cell>
          <cell r="E7">
            <v>619.931894857099</v>
          </cell>
          <cell r="F7">
            <v>502.85582488388746</v>
          </cell>
          <cell r="G7">
            <v>445.33366629799843</v>
          </cell>
          <cell r="H7">
            <v>404.18829966819862</v>
          </cell>
          <cell r="I7">
            <v>367.49626970137876</v>
          </cell>
          <cell r="J7">
            <v>334.84612273124088</v>
          </cell>
          <cell r="K7">
            <v>305.87093845811683</v>
          </cell>
          <cell r="L7">
            <v>-1.7483224470129791E-2</v>
          </cell>
          <cell r="M7">
            <v>-9.4644913140685127E-2</v>
          </cell>
          <cell r="O7" t="str">
            <v>y</v>
          </cell>
        </row>
        <row r="8">
          <cell r="A8" t="str">
            <v>Wellbutrin</v>
          </cell>
          <cell r="B8">
            <v>953</v>
          </cell>
          <cell r="C8">
            <v>751</v>
          </cell>
          <cell r="D8">
            <v>739</v>
          </cell>
          <cell r="E8">
            <v>955.21331923890057</v>
          </cell>
          <cell r="F8">
            <v>411.16399577167022</v>
          </cell>
          <cell r="G8">
            <v>395.92519661733621</v>
          </cell>
          <cell r="H8">
            <v>405.58835695560253</v>
          </cell>
          <cell r="I8">
            <v>410.71348286004235</v>
          </cell>
          <cell r="J8">
            <v>414.54849156603819</v>
          </cell>
          <cell r="K8">
            <v>418.5297990404743</v>
          </cell>
          <cell r="L8">
            <v>6.5374554509208351E-4</v>
          </cell>
          <cell r="M8">
            <v>3.5575010201915891E-3</v>
          </cell>
          <cell r="O8" t="str">
            <v>y</v>
          </cell>
        </row>
        <row r="9">
          <cell r="A9" t="str">
            <v>Imitrex / Imigran</v>
          </cell>
          <cell r="B9">
            <v>759</v>
          </cell>
          <cell r="C9">
            <v>682</v>
          </cell>
          <cell r="D9">
            <v>697</v>
          </cell>
          <cell r="E9">
            <v>659.08718457556415</v>
          </cell>
          <cell r="F9">
            <v>455.61375386080346</v>
          </cell>
          <cell r="G9">
            <v>239.36121847885218</v>
          </cell>
          <cell r="H9">
            <v>139.04309996272076</v>
          </cell>
          <cell r="I9">
            <v>55.075751488496664</v>
          </cell>
          <cell r="J9">
            <v>50.432570896782295</v>
          </cell>
          <cell r="K9">
            <v>46.253708364239372</v>
          </cell>
          <cell r="L9">
            <v>-3.63323993752988E-2</v>
          </cell>
          <cell r="M9">
            <v>-0.3671366491622895</v>
          </cell>
        </row>
        <row r="10">
          <cell r="A10" t="str">
            <v>Trexima</v>
          </cell>
          <cell r="B10">
            <v>0</v>
          </cell>
          <cell r="C10">
            <v>0</v>
          </cell>
          <cell r="D10">
            <v>0</v>
          </cell>
          <cell r="E10">
            <v>0</v>
          </cell>
          <cell r="F10">
            <v>0</v>
          </cell>
          <cell r="G10">
            <v>60</v>
          </cell>
          <cell r="H10">
            <v>120</v>
          </cell>
          <cell r="I10">
            <v>216</v>
          </cell>
          <cell r="J10">
            <v>324</v>
          </cell>
          <cell r="K10">
            <v>388.8</v>
          </cell>
          <cell r="L10">
            <v>3.4507610189413902E-2</v>
          </cell>
        </row>
        <row r="11">
          <cell r="A11" t="str">
            <v>Naramig / Amerge</v>
          </cell>
          <cell r="B11">
            <v>89</v>
          </cell>
          <cell r="C11">
            <v>0</v>
          </cell>
          <cell r="D11">
            <v>0</v>
          </cell>
          <cell r="E11">
            <v>0</v>
          </cell>
          <cell r="F11">
            <v>0</v>
          </cell>
          <cell r="G11">
            <v>0</v>
          </cell>
          <cell r="H11">
            <v>0</v>
          </cell>
          <cell r="I11">
            <v>0</v>
          </cell>
          <cell r="J11">
            <v>0</v>
          </cell>
          <cell r="K11">
            <v>0</v>
          </cell>
          <cell r="L11">
            <v>0</v>
          </cell>
        </row>
        <row r="12">
          <cell r="A12" t="str">
            <v>Lamictal</v>
          </cell>
          <cell r="B12">
            <v>549</v>
          </cell>
          <cell r="C12">
            <v>677</v>
          </cell>
          <cell r="D12">
            <v>849</v>
          </cell>
          <cell r="E12">
            <v>1003.5806632653062</v>
          </cell>
          <cell r="F12">
            <v>1053.3543367346938</v>
          </cell>
          <cell r="G12">
            <v>1120.9382510204082</v>
          </cell>
          <cell r="H12">
            <v>307.78858346938773</v>
          </cell>
          <cell r="I12">
            <v>260.33878646938774</v>
          </cell>
          <cell r="J12">
            <v>253.98046768469385</v>
          </cell>
          <cell r="K12">
            <v>249.01656783229592</v>
          </cell>
          <cell r="L12">
            <v>-7.1388308101612202E-2</v>
          </cell>
          <cell r="M12">
            <v>-0.25057055741545675</v>
          </cell>
        </row>
        <row r="13">
          <cell r="A13" t="str">
            <v>Lamictal extension</v>
          </cell>
          <cell r="B13">
            <v>0</v>
          </cell>
          <cell r="C13">
            <v>0</v>
          </cell>
          <cell r="D13">
            <v>0</v>
          </cell>
          <cell r="E13">
            <v>0</v>
          </cell>
          <cell r="F13">
            <v>150</v>
          </cell>
          <cell r="G13">
            <v>165</v>
          </cell>
          <cell r="H13">
            <v>181.50000000000003</v>
          </cell>
          <cell r="I13">
            <v>199.65000000000003</v>
          </cell>
          <cell r="J13">
            <v>219.61500000000007</v>
          </cell>
          <cell r="K13">
            <v>21.961500000000001</v>
          </cell>
          <cell r="L13">
            <v>-1.1363947137955945E-2</v>
          </cell>
        </row>
        <row r="14">
          <cell r="A14" t="str">
            <v>Requip</v>
          </cell>
          <cell r="B14">
            <v>0</v>
          </cell>
          <cell r="C14">
            <v>116</v>
          </cell>
          <cell r="D14">
            <v>156</v>
          </cell>
          <cell r="E14">
            <v>197.62960465116279</v>
          </cell>
          <cell r="F14">
            <v>257.51108488372097</v>
          </cell>
          <cell r="G14">
            <v>261.57219927325588</v>
          </cell>
          <cell r="H14">
            <v>215.75554244186048</v>
          </cell>
          <cell r="I14">
            <v>226.95554244186053</v>
          </cell>
          <cell r="J14">
            <v>239.27554244186052</v>
          </cell>
          <cell r="K14">
            <v>117.30754244186051</v>
          </cell>
          <cell r="L14">
            <v>-1.2443645035387521E-2</v>
          </cell>
          <cell r="M14">
            <v>-0.1455119340520884</v>
          </cell>
        </row>
        <row r="15">
          <cell r="A15" t="str">
            <v>Other CNS</v>
          </cell>
          <cell r="B15">
            <v>121</v>
          </cell>
          <cell r="C15">
            <v>173</v>
          </cell>
          <cell r="D15">
            <v>163</v>
          </cell>
          <cell r="E15">
            <v>156.60926527947703</v>
          </cell>
          <cell r="F15">
            <v>156.60926527947703</v>
          </cell>
          <cell r="G15">
            <v>156.60926527947703</v>
          </cell>
          <cell r="H15">
            <v>156.60926527947703</v>
          </cell>
          <cell r="I15">
            <v>156.60926527947703</v>
          </cell>
          <cell r="J15">
            <v>156.60926527947703</v>
          </cell>
          <cell r="K15">
            <v>156.60926527947703</v>
          </cell>
          <cell r="L15">
            <v>0</v>
          </cell>
          <cell r="M15">
            <v>0</v>
          </cell>
        </row>
        <row r="16">
          <cell r="A16" t="str">
            <v>Total</v>
          </cell>
          <cell r="B16">
            <v>4348</v>
          </cell>
          <cell r="C16">
            <v>3462</v>
          </cell>
          <cell r="D16">
            <v>3219</v>
          </cell>
          <cell r="E16">
            <v>3592.0519318675097</v>
          </cell>
          <cell r="F16">
            <v>2987.1082614142524</v>
          </cell>
          <cell r="G16">
            <v>2844.7397969673279</v>
          </cell>
          <cell r="H16">
            <v>1930.4731477772473</v>
          </cell>
          <cell r="I16">
            <v>1892.8390982406429</v>
          </cell>
          <cell r="J16">
            <v>1993.3074606000928</v>
          </cell>
          <cell r="K16">
            <v>1704.3493214164641</v>
          </cell>
          <cell r="L16">
            <v>-0.11385016838587822</v>
          </cell>
          <cell r="M16">
            <v>-0.10615641047965485</v>
          </cell>
        </row>
        <row r="18">
          <cell r="A18" t="str">
            <v>Respiratory</v>
          </cell>
        </row>
        <row r="19">
          <cell r="A19" t="str">
            <v>Advair / Seretide</v>
          </cell>
          <cell r="B19">
            <v>2192</v>
          </cell>
          <cell r="C19">
            <v>2442</v>
          </cell>
          <cell r="D19">
            <v>3003</v>
          </cell>
          <cell r="E19">
            <v>3376.9437768673924</v>
          </cell>
          <cell r="F19">
            <v>3634.537552662272</v>
          </cell>
          <cell r="G19">
            <v>4648.9089107126601</v>
          </cell>
          <cell r="H19">
            <v>5089.7886927418422</v>
          </cell>
          <cell r="I19">
            <v>5512.5799955760831</v>
          </cell>
          <cell r="J19">
            <v>5975.0059122532421</v>
          </cell>
          <cell r="K19">
            <v>6476.5590733719346</v>
          </cell>
          <cell r="L19">
            <v>0.25224118000662121</v>
          </cell>
          <cell r="M19">
            <v>0.12248109205001656</v>
          </cell>
        </row>
        <row r="20">
          <cell r="A20" t="str">
            <v>Flixotide / Flovent</v>
          </cell>
          <cell r="B20">
            <v>704</v>
          </cell>
          <cell r="C20">
            <v>618</v>
          </cell>
          <cell r="D20">
            <v>638</v>
          </cell>
          <cell r="E20">
            <v>532.21179067184312</v>
          </cell>
          <cell r="F20">
            <v>392.35120113825099</v>
          </cell>
          <cell r="G20">
            <v>359.14364108133839</v>
          </cell>
          <cell r="H20">
            <v>334.39145902727148</v>
          </cell>
          <cell r="I20">
            <v>314.27438607590784</v>
          </cell>
          <cell r="J20">
            <v>296.86191677211241</v>
          </cell>
          <cell r="K20">
            <v>281.16944593350684</v>
          </cell>
          <cell r="L20">
            <v>-9.8678412262863963E-3</v>
          </cell>
          <cell r="M20">
            <v>-6.44680419486795E-2</v>
          </cell>
        </row>
        <row r="21">
          <cell r="A21" t="str">
            <v>Serevent</v>
          </cell>
          <cell r="B21">
            <v>432</v>
          </cell>
          <cell r="C21">
            <v>349</v>
          </cell>
          <cell r="D21">
            <v>330</v>
          </cell>
          <cell r="E21">
            <v>306.93242368438962</v>
          </cell>
          <cell r="F21">
            <v>298.40401296429371</v>
          </cell>
          <cell r="G21">
            <v>290.64293330340877</v>
          </cell>
          <cell r="H21">
            <v>283.62786367493453</v>
          </cell>
          <cell r="I21">
            <v>277.33940137971882</v>
          </cell>
          <cell r="J21">
            <v>271.76000874369049</v>
          </cell>
          <cell r="K21">
            <v>266.87396461111143</v>
          </cell>
          <cell r="L21">
            <v>-2.7984223709490376E-3</v>
          </cell>
          <cell r="M21">
            <v>-2.2086797066538377E-2</v>
          </cell>
        </row>
        <row r="22">
          <cell r="A22" t="str">
            <v>Flonase / Flixonase</v>
          </cell>
          <cell r="B22">
            <v>594</v>
          </cell>
          <cell r="C22">
            <v>586</v>
          </cell>
          <cell r="D22">
            <v>656</v>
          </cell>
          <cell r="E22">
            <v>514.12661646833544</v>
          </cell>
          <cell r="F22">
            <v>469.52198014964449</v>
          </cell>
          <cell r="G22">
            <v>429.03740619641542</v>
          </cell>
          <cell r="H22">
            <v>392.27790843542255</v>
          </cell>
          <cell r="I22">
            <v>358.88714830759648</v>
          </cell>
          <cell r="J22">
            <v>328.54361265676732</v>
          </cell>
          <cell r="K22">
            <v>300.95717161202447</v>
          </cell>
          <cell r="L22">
            <v>-1.4960824857688734E-2</v>
          </cell>
          <cell r="M22">
            <v>-8.5108160785153042E-2</v>
          </cell>
        </row>
        <row r="23">
          <cell r="A23" t="str">
            <v>Other Respiratory</v>
          </cell>
          <cell r="B23">
            <v>468</v>
          </cell>
          <cell r="C23">
            <v>399</v>
          </cell>
          <cell r="D23">
            <v>427</v>
          </cell>
          <cell r="E23">
            <v>429.41290306995558</v>
          </cell>
          <cell r="F23">
            <v>429.41290306995558</v>
          </cell>
          <cell r="G23">
            <v>429.41290306995558</v>
          </cell>
          <cell r="H23">
            <v>429.41290306995558</v>
          </cell>
          <cell r="I23">
            <v>429.41290306995558</v>
          </cell>
          <cell r="J23">
            <v>429.41290306995558</v>
          </cell>
          <cell r="K23">
            <v>429.41290306995558</v>
          </cell>
          <cell r="L23">
            <v>0</v>
          </cell>
          <cell r="M23">
            <v>0</v>
          </cell>
        </row>
        <row r="24">
          <cell r="A24" t="str">
            <v>Total</v>
          </cell>
          <cell r="B24">
            <v>4390</v>
          </cell>
          <cell r="C24">
            <v>4394</v>
          </cell>
          <cell r="D24">
            <v>5054</v>
          </cell>
          <cell r="E24">
            <v>5159.6275107619167</v>
          </cell>
          <cell r="F24">
            <v>5224.2276499844165</v>
          </cell>
          <cell r="G24">
            <v>6157.1457943637788</v>
          </cell>
          <cell r="H24">
            <v>6529.498826949427</v>
          </cell>
          <cell r="I24">
            <v>6892.4938344092616</v>
          </cell>
          <cell r="J24">
            <v>7301.5843534957685</v>
          </cell>
          <cell r="K24">
            <v>7754.9725585985334</v>
          </cell>
          <cell r="L24">
            <v>0.22461409155169712</v>
          </cell>
          <cell r="M24">
            <v>8.2210228614618019E-2</v>
          </cell>
        </row>
        <row r="26">
          <cell r="A26" t="str">
            <v>Anti-virals</v>
          </cell>
        </row>
        <row r="27">
          <cell r="A27" t="str">
            <v>Combivir</v>
          </cell>
          <cell r="B27">
            <v>588</v>
          </cell>
          <cell r="C27">
            <v>570</v>
          </cell>
          <cell r="D27">
            <v>583</v>
          </cell>
          <cell r="E27">
            <v>581.27158608650427</v>
          </cell>
          <cell r="F27">
            <v>546.9523299617033</v>
          </cell>
          <cell r="G27">
            <v>511.82073789508308</v>
          </cell>
          <cell r="H27">
            <v>479.65166428886232</v>
          </cell>
          <cell r="I27">
            <v>348.21992890961923</v>
          </cell>
          <cell r="J27">
            <v>272.20030401061103</v>
          </cell>
          <cell r="K27">
            <v>257.80884043070006</v>
          </cell>
          <cell r="L27">
            <v>-2.5662682164461777E-2</v>
          </cell>
          <cell r="M27">
            <v>-0.13966089021106498</v>
          </cell>
          <cell r="O27" t="str">
            <v>y</v>
          </cell>
        </row>
        <row r="28">
          <cell r="A28" t="str">
            <v>Trizivir</v>
          </cell>
          <cell r="B28">
            <v>375</v>
          </cell>
          <cell r="C28">
            <v>322</v>
          </cell>
          <cell r="D28">
            <v>303</v>
          </cell>
          <cell r="E28">
            <v>276.09721809094754</v>
          </cell>
          <cell r="F28">
            <v>248.4874962818528</v>
          </cell>
          <cell r="G28">
            <v>223.63874665366751</v>
          </cell>
          <cell r="H28">
            <v>201.27487198830076</v>
          </cell>
          <cell r="I28">
            <v>181.14738478947069</v>
          </cell>
          <cell r="J28">
            <v>163.03264631052363</v>
          </cell>
          <cell r="K28">
            <v>146.72938167947126</v>
          </cell>
          <cell r="L28">
            <v>-9.0314540954441573E-3</v>
          </cell>
          <cell r="M28">
            <v>-9.9999999999999978E-2</v>
          </cell>
          <cell r="O28" t="str">
            <v>y</v>
          </cell>
        </row>
        <row r="29">
          <cell r="A29" t="str">
            <v>Epivir</v>
          </cell>
          <cell r="B29">
            <v>293</v>
          </cell>
          <cell r="C29">
            <v>294</v>
          </cell>
          <cell r="D29">
            <v>261</v>
          </cell>
          <cell r="E29">
            <v>214.60572801029778</v>
          </cell>
          <cell r="F29">
            <v>193.14515520926801</v>
          </cell>
          <cell r="G29">
            <v>173.83063968834122</v>
          </cell>
          <cell r="H29">
            <v>156.44757571950711</v>
          </cell>
          <cell r="I29">
            <v>109.51330300365497</v>
          </cell>
          <cell r="J29">
            <v>76.659312102558474</v>
          </cell>
          <cell r="K29">
            <v>68.993380892302625</v>
          </cell>
          <cell r="L29">
            <v>-1.1018984136969983E-2</v>
          </cell>
          <cell r="M29">
            <v>-0.18607437503031843</v>
          </cell>
          <cell r="O29" t="str">
            <v>y</v>
          </cell>
        </row>
        <row r="30">
          <cell r="A30" t="str">
            <v>Retrovir</v>
          </cell>
          <cell r="B30">
            <v>45</v>
          </cell>
          <cell r="C30">
            <v>0</v>
          </cell>
          <cell r="D30">
            <v>41</v>
          </cell>
          <cell r="E30">
            <v>20</v>
          </cell>
          <cell r="F30">
            <v>20</v>
          </cell>
          <cell r="G30">
            <v>20</v>
          </cell>
          <cell r="H30">
            <v>20</v>
          </cell>
          <cell r="I30">
            <v>20</v>
          </cell>
          <cell r="J30">
            <v>20</v>
          </cell>
          <cell r="K30">
            <v>20</v>
          </cell>
          <cell r="L30">
            <v>0</v>
          </cell>
          <cell r="M30">
            <v>0</v>
          </cell>
          <cell r="O30" t="str">
            <v>y</v>
          </cell>
        </row>
        <row r="31">
          <cell r="A31" t="str">
            <v>Ziagen</v>
          </cell>
          <cell r="B31">
            <v>167</v>
          </cell>
          <cell r="C31">
            <v>155</v>
          </cell>
          <cell r="D31">
            <v>136</v>
          </cell>
          <cell r="E31">
            <v>134.06124961797258</v>
          </cell>
          <cell r="F31">
            <v>134.06124961797258</v>
          </cell>
          <cell r="G31">
            <v>134.06124961797258</v>
          </cell>
          <cell r="H31">
            <v>26.812249923594511</v>
          </cell>
          <cell r="I31">
            <v>26.812249923594511</v>
          </cell>
          <cell r="J31">
            <v>26.812249923594511</v>
          </cell>
          <cell r="K31">
            <v>26.812249923594511</v>
          </cell>
          <cell r="L31">
            <v>-9.5187928874952907E-3</v>
          </cell>
          <cell r="M31">
            <v>-0.27522033632230447</v>
          </cell>
          <cell r="O31" t="str">
            <v>y</v>
          </cell>
        </row>
        <row r="32">
          <cell r="A32" t="str">
            <v>Epzicom</v>
          </cell>
          <cell r="B32">
            <v>0</v>
          </cell>
          <cell r="C32">
            <v>25</v>
          </cell>
          <cell r="D32">
            <v>118</v>
          </cell>
          <cell r="E32">
            <v>221</v>
          </cell>
          <cell r="F32">
            <v>287.3</v>
          </cell>
          <cell r="G32">
            <v>344.76</v>
          </cell>
          <cell r="H32">
            <v>386.13120000000004</v>
          </cell>
          <cell r="I32">
            <v>413.16038400000008</v>
          </cell>
          <cell r="J32">
            <v>392.50236480000007</v>
          </cell>
          <cell r="K32">
            <v>372.87724656000006</v>
          </cell>
          <cell r="L32">
            <v>7.5953350446909549E-3</v>
          </cell>
          <cell r="M32">
            <v>5.3527924544145122E-2</v>
          </cell>
        </row>
        <row r="33">
          <cell r="A33" t="str">
            <v>Agenerase / Lexiva</v>
          </cell>
          <cell r="B33">
            <v>31</v>
          </cell>
          <cell r="C33">
            <v>63</v>
          </cell>
          <cell r="D33">
            <v>112</v>
          </cell>
          <cell r="E33">
            <v>180.73304824294792</v>
          </cell>
          <cell r="F33">
            <v>271.09957236442187</v>
          </cell>
          <cell r="G33">
            <v>301.2217470715799</v>
          </cell>
          <cell r="H33">
            <v>316.28283442515891</v>
          </cell>
          <cell r="I33">
            <v>332.09697614641686</v>
          </cell>
          <cell r="J33">
            <v>348.70182495373774</v>
          </cell>
          <cell r="K33">
            <v>366.13691620142464</v>
          </cell>
          <cell r="L33">
            <v>8.4349578563904029E-3</v>
          </cell>
          <cell r="M33">
            <v>6.1947232280481712E-2</v>
          </cell>
        </row>
        <row r="34">
          <cell r="A34" t="str">
            <v>Valtrex</v>
          </cell>
          <cell r="B34">
            <v>498</v>
          </cell>
          <cell r="C34">
            <v>571</v>
          </cell>
          <cell r="D34">
            <v>695</v>
          </cell>
          <cell r="E34">
            <v>808.19061832139744</v>
          </cell>
          <cell r="F34">
            <v>872.84586778710934</v>
          </cell>
          <cell r="G34">
            <v>925.21661985433593</v>
          </cell>
          <cell r="H34">
            <v>878.95578886161911</v>
          </cell>
          <cell r="I34">
            <v>263.68673665848576</v>
          </cell>
          <cell r="J34">
            <v>237.31806299263718</v>
          </cell>
          <cell r="K34">
            <v>213.58625669337346</v>
          </cell>
          <cell r="L34">
            <v>-5.8512020764524802E-2</v>
          </cell>
          <cell r="M34">
            <v>-0.24538201987809716</v>
          </cell>
        </row>
        <row r="35">
          <cell r="A35" t="str">
            <v>Zovirax</v>
          </cell>
          <cell r="B35">
            <v>170</v>
          </cell>
          <cell r="C35">
            <v>147</v>
          </cell>
          <cell r="D35">
            <v>131</v>
          </cell>
          <cell r="E35">
            <v>109.64130101399657</v>
          </cell>
          <cell r="F35">
            <v>87.71304081119726</v>
          </cell>
          <cell r="G35">
            <v>70.170432648957814</v>
          </cell>
          <cell r="H35">
            <v>56.136346119166255</v>
          </cell>
          <cell r="I35">
            <v>44.909076895333008</v>
          </cell>
          <cell r="J35">
            <v>35.927261516266405</v>
          </cell>
          <cell r="K35">
            <v>28.741809213013127</v>
          </cell>
          <cell r="L35">
            <v>-5.2339410297833995E-3</v>
          </cell>
          <cell r="M35">
            <v>-0.19999999999999996</v>
          </cell>
        </row>
        <row r="36">
          <cell r="A36" t="str">
            <v>Zeffix</v>
          </cell>
          <cell r="B36">
            <v>129</v>
          </cell>
          <cell r="C36">
            <v>130</v>
          </cell>
          <cell r="D36">
            <v>145</v>
          </cell>
          <cell r="E36">
            <v>160.83814578658098</v>
          </cell>
          <cell r="F36">
            <v>170.48843453377586</v>
          </cell>
          <cell r="G36">
            <v>179.01285626046467</v>
          </cell>
          <cell r="H36">
            <v>171.85234201004607</v>
          </cell>
          <cell r="I36">
            <v>103.11140520602764</v>
          </cell>
          <cell r="J36">
            <v>51.55570260301382</v>
          </cell>
          <cell r="K36">
            <v>46.400132342712439</v>
          </cell>
          <cell r="L36">
            <v>-1.1013350722930583E-2</v>
          </cell>
          <cell r="M36">
            <v>-0.22915890572593645</v>
          </cell>
          <cell r="O36" t="str">
            <v>y</v>
          </cell>
        </row>
        <row r="37">
          <cell r="A37" t="str">
            <v>Other Anti-Viral</v>
          </cell>
          <cell r="B37">
            <v>49</v>
          </cell>
          <cell r="C37">
            <v>82</v>
          </cell>
          <cell r="D37">
            <v>73</v>
          </cell>
          <cell r="E37">
            <v>84.389129944956437</v>
          </cell>
          <cell r="F37">
            <v>81.172974643448029</v>
          </cell>
          <cell r="G37">
            <v>81.172974643448029</v>
          </cell>
          <cell r="H37">
            <v>81.172974643448029</v>
          </cell>
          <cell r="I37">
            <v>81.172974643448029</v>
          </cell>
          <cell r="J37">
            <v>81.172974643448029</v>
          </cell>
          <cell r="K37">
            <v>81.172974643448029</v>
          </cell>
          <cell r="L37">
            <v>0</v>
          </cell>
          <cell r="M37">
            <v>0</v>
          </cell>
        </row>
        <row r="38">
          <cell r="A38" t="str">
            <v>Total</v>
          </cell>
          <cell r="B38">
            <v>2345</v>
          </cell>
          <cell r="C38">
            <v>2359</v>
          </cell>
          <cell r="D38">
            <v>2598</v>
          </cell>
          <cell r="E38">
            <v>2790.8280251156016</v>
          </cell>
          <cell r="F38">
            <v>2913.2661212107491</v>
          </cell>
          <cell r="G38">
            <v>2964.9060043338509</v>
          </cell>
          <cell r="H38">
            <v>2774.717847979703</v>
          </cell>
          <cell r="I38">
            <v>1923.8304201760511</v>
          </cell>
          <cell r="J38">
            <v>1705.8827038563907</v>
          </cell>
          <cell r="K38">
            <v>1629.25918858004</v>
          </cell>
          <cell r="L38">
            <v>-0.11396093290052865</v>
          </cell>
          <cell r="M38">
            <v>-0.10972945637430742</v>
          </cell>
        </row>
        <row r="40">
          <cell r="A40" t="str">
            <v>Anti-bacterial</v>
          </cell>
        </row>
        <row r="41">
          <cell r="A41" t="str">
            <v>Augmentin</v>
          </cell>
          <cell r="B41">
            <v>825</v>
          </cell>
          <cell r="C41">
            <v>708</v>
          </cell>
          <cell r="D41">
            <v>666</v>
          </cell>
          <cell r="E41">
            <v>632.42976822894173</v>
          </cell>
          <cell r="F41">
            <v>645.07836359352052</v>
          </cell>
          <cell r="G41">
            <v>664.43071450132618</v>
          </cell>
          <cell r="H41">
            <v>671.07502164633945</v>
          </cell>
          <cell r="I41">
            <v>697.91802251219303</v>
          </cell>
          <cell r="J41">
            <v>725.83474341268072</v>
          </cell>
          <cell r="K41">
            <v>754.868133149188</v>
          </cell>
          <cell r="L41">
            <v>9.7442967351145954E-3</v>
          </cell>
          <cell r="M41">
            <v>3.1933528390815535E-2</v>
          </cell>
        </row>
        <row r="42">
          <cell r="A42" t="str">
            <v>Zinnat / Ceftin</v>
          </cell>
          <cell r="B42">
            <v>232</v>
          </cell>
          <cell r="C42">
            <v>209</v>
          </cell>
          <cell r="D42">
            <v>197</v>
          </cell>
          <cell r="E42">
            <v>156.76278453515499</v>
          </cell>
          <cell r="F42">
            <v>141.0865060816395</v>
          </cell>
          <cell r="G42">
            <v>126.97785547347556</v>
          </cell>
          <cell r="H42">
            <v>126.97785547347556</v>
          </cell>
          <cell r="I42">
            <v>126.97785547347556</v>
          </cell>
          <cell r="J42">
            <v>126.97785547347556</v>
          </cell>
          <cell r="K42">
            <v>126.97785547347556</v>
          </cell>
          <cell r="L42">
            <v>-1.2522011715153257E-3</v>
          </cell>
          <cell r="M42">
            <v>-2.0851637639023202E-2</v>
          </cell>
        </row>
        <row r="43">
          <cell r="A43" t="str">
            <v>Other Anti-Bacterial</v>
          </cell>
          <cell r="B43">
            <v>743</v>
          </cell>
          <cell r="C43">
            <v>634</v>
          </cell>
          <cell r="D43">
            <v>656</v>
          </cell>
          <cell r="E43">
            <v>632.13288551555559</v>
          </cell>
          <cell r="F43">
            <v>625.99449103604513</v>
          </cell>
          <cell r="G43">
            <v>638.51438085676602</v>
          </cell>
          <cell r="H43">
            <v>651.28466847390132</v>
          </cell>
          <cell r="I43">
            <v>664.31036184337938</v>
          </cell>
          <cell r="J43">
            <v>677.59656908024704</v>
          </cell>
          <cell r="K43">
            <v>691.148500461852</v>
          </cell>
          <cell r="L43">
            <v>5.7826881675492334E-3</v>
          </cell>
          <cell r="M43">
            <v>2.0000000000000018E-2</v>
          </cell>
        </row>
        <row r="44">
          <cell r="A44" t="str">
            <v>Total</v>
          </cell>
          <cell r="B44">
            <v>1800</v>
          </cell>
          <cell r="C44">
            <v>1551</v>
          </cell>
          <cell r="D44">
            <v>1519</v>
          </cell>
          <cell r="E44">
            <v>1421.3254382796522</v>
          </cell>
          <cell r="F44">
            <v>1412.1593607112052</v>
          </cell>
          <cell r="G44">
            <v>1429.9229508315677</v>
          </cell>
          <cell r="H44">
            <v>1449.3375455937162</v>
          </cell>
          <cell r="I44">
            <v>1489.2062398290479</v>
          </cell>
          <cell r="J44">
            <v>1530.4091679664034</v>
          </cell>
          <cell r="K44">
            <v>1572.9944890845154</v>
          </cell>
          <cell r="L44">
            <v>1.4274783731148488E-2</v>
          </cell>
          <cell r="M44">
            <v>2.1806587904725339E-2</v>
          </cell>
        </row>
        <row r="46">
          <cell r="A46" t="str">
            <v>Metabolic / GI</v>
          </cell>
        </row>
        <row r="47">
          <cell r="A47" t="str">
            <v>Avandia / Avandamet / Avandaryl</v>
          </cell>
          <cell r="B47">
            <v>929</v>
          </cell>
          <cell r="C47">
            <v>1114</v>
          </cell>
          <cell r="D47">
            <v>1329</v>
          </cell>
          <cell r="E47">
            <v>1803.6182862753708</v>
          </cell>
          <cell r="F47">
            <v>2225.0677015125634</v>
          </cell>
          <cell r="G47">
            <v>2611.6362443432749</v>
          </cell>
          <cell r="H47">
            <v>2967.4441988610242</v>
          </cell>
          <cell r="I47">
            <v>3288.6967598096417</v>
          </cell>
          <cell r="J47">
            <v>3555.0002254538549</v>
          </cell>
          <cell r="K47">
            <v>3795.979946957525</v>
          </cell>
          <cell r="L47">
            <v>0.13942496761211837</v>
          </cell>
          <cell r="M47">
            <v>0.11274624128952926</v>
          </cell>
        </row>
        <row r="48">
          <cell r="A48" t="str">
            <v>Boniva</v>
          </cell>
          <cell r="B48">
            <v>0</v>
          </cell>
          <cell r="C48">
            <v>0</v>
          </cell>
          <cell r="D48">
            <v>18</v>
          </cell>
          <cell r="E48">
            <v>48</v>
          </cell>
          <cell r="F48">
            <v>74.400000000000006</v>
          </cell>
          <cell r="G48">
            <v>100.44000000000001</v>
          </cell>
          <cell r="H48">
            <v>120.52800000000001</v>
          </cell>
          <cell r="I48">
            <v>134.99136000000001</v>
          </cell>
          <cell r="J48">
            <v>145.79066880000002</v>
          </cell>
          <cell r="K48">
            <v>151.62229555200003</v>
          </cell>
          <cell r="L48">
            <v>6.8537985412554714E-3</v>
          </cell>
          <cell r="M48">
            <v>0.15302314841521425</v>
          </cell>
          <cell r="O48" t="str">
            <v>y</v>
          </cell>
        </row>
        <row r="49">
          <cell r="A49" t="str">
            <v>Entereg</v>
          </cell>
          <cell r="B49">
            <v>0</v>
          </cell>
          <cell r="C49">
            <v>0</v>
          </cell>
          <cell r="D49">
            <v>0</v>
          </cell>
          <cell r="E49">
            <v>0</v>
          </cell>
          <cell r="F49">
            <v>70</v>
          </cell>
          <cell r="G49">
            <v>168</v>
          </cell>
          <cell r="H49">
            <v>361.2</v>
          </cell>
          <cell r="I49">
            <v>541.79999999999995</v>
          </cell>
          <cell r="J49">
            <v>677.25</v>
          </cell>
          <cell r="K49">
            <v>744.97500000000002</v>
          </cell>
          <cell r="L49">
            <v>5.990682661419662E-2</v>
          </cell>
          <cell r="M49">
            <v>0.60475497879961515</v>
          </cell>
        </row>
        <row r="50">
          <cell r="A50" t="str">
            <v>Other Metabolic</v>
          </cell>
          <cell r="B50">
            <v>148</v>
          </cell>
          <cell r="C50">
            <v>137</v>
          </cell>
          <cell r="D50">
            <v>148</v>
          </cell>
          <cell r="E50">
            <v>152.11439457654794</v>
          </cell>
          <cell r="F50">
            <v>155.15668246807891</v>
          </cell>
          <cell r="G50">
            <v>158.25981611744049</v>
          </cell>
          <cell r="H50">
            <v>161.4250124397893</v>
          </cell>
          <cell r="I50">
            <v>164.6535126885851</v>
          </cell>
          <cell r="J50">
            <v>167.9465829423568</v>
          </cell>
          <cell r="K50">
            <v>171.30551460120392</v>
          </cell>
          <cell r="L50">
            <v>1.4332757311320968E-3</v>
          </cell>
          <cell r="M50">
            <v>2.0000000000000018E-2</v>
          </cell>
        </row>
        <row r="51">
          <cell r="A51" t="str">
            <v>Total Metabolic</v>
          </cell>
          <cell r="B51">
            <v>1077</v>
          </cell>
          <cell r="C51">
            <v>1251</v>
          </cell>
          <cell r="D51">
            <v>1495</v>
          </cell>
          <cell r="E51">
            <v>2003.7326808519188</v>
          </cell>
          <cell r="F51">
            <v>2524.6243839806425</v>
          </cell>
          <cell r="G51">
            <v>3038.3360604607155</v>
          </cell>
          <cell r="H51">
            <v>3610.5972113008133</v>
          </cell>
          <cell r="I51">
            <v>4130.1416324982265</v>
          </cell>
          <cell r="J51">
            <v>4545.9874771962113</v>
          </cell>
          <cell r="K51">
            <v>4863.8827571107295</v>
          </cell>
          <cell r="L51">
            <v>0.20761886849870259</v>
          </cell>
          <cell r="M51">
            <v>0.14013759154798677</v>
          </cell>
        </row>
        <row r="53">
          <cell r="A53" t="str">
            <v>Vaccines</v>
          </cell>
        </row>
        <row r="54">
          <cell r="A54" t="str">
            <v>Hepatitis</v>
          </cell>
          <cell r="B54">
            <v>417</v>
          </cell>
          <cell r="C54">
            <v>405</v>
          </cell>
          <cell r="D54">
            <v>444</v>
          </cell>
          <cell r="E54">
            <v>486.97481340279501</v>
          </cell>
          <cell r="F54">
            <v>521.06305034099069</v>
          </cell>
          <cell r="G54">
            <v>557.53746386486011</v>
          </cell>
          <cell r="H54">
            <v>585.41433705810311</v>
          </cell>
          <cell r="I54">
            <v>614.68505391100825</v>
          </cell>
          <cell r="J54">
            <v>645.41930660655873</v>
          </cell>
          <cell r="K54">
            <v>677.69027193688669</v>
          </cell>
          <cell r="L54">
            <v>1.3901314577886136E-2</v>
          </cell>
          <cell r="M54">
            <v>5.3969867531071358E-2</v>
          </cell>
        </row>
        <row r="55">
          <cell r="A55" t="str">
            <v>Infanrix</v>
          </cell>
          <cell r="B55">
            <v>336</v>
          </cell>
          <cell r="C55">
            <v>356</v>
          </cell>
          <cell r="D55">
            <v>431</v>
          </cell>
          <cell r="E55">
            <v>529.94023511587488</v>
          </cell>
          <cell r="F55">
            <v>556.43724687166866</v>
          </cell>
          <cell r="G55">
            <v>589.82348168396879</v>
          </cell>
          <cell r="H55">
            <v>625.2128905850069</v>
          </cell>
          <cell r="I55">
            <v>662.72566402010739</v>
          </cell>
          <cell r="J55">
            <v>702.48920386131385</v>
          </cell>
          <cell r="K55">
            <v>744.63855609299276</v>
          </cell>
          <cell r="L55">
            <v>1.6703645616632713E-2</v>
          </cell>
          <cell r="M55">
            <v>6.0000000000000053E-2</v>
          </cell>
        </row>
        <row r="56">
          <cell r="A56" t="str">
            <v>Pandemic Flu</v>
          </cell>
          <cell r="B56">
            <v>0</v>
          </cell>
          <cell r="C56">
            <v>0</v>
          </cell>
          <cell r="D56">
            <v>0</v>
          </cell>
          <cell r="E56">
            <v>0</v>
          </cell>
          <cell r="F56">
            <v>0</v>
          </cell>
          <cell r="G56">
            <v>0</v>
          </cell>
          <cell r="H56">
            <v>0</v>
          </cell>
          <cell r="I56">
            <v>0</v>
          </cell>
          <cell r="J56">
            <v>0</v>
          </cell>
          <cell r="K56">
            <v>0</v>
          </cell>
        </row>
        <row r="57">
          <cell r="A57" t="str">
            <v>Other Vaccines</v>
          </cell>
          <cell r="B57">
            <v>370</v>
          </cell>
          <cell r="C57">
            <v>433</v>
          </cell>
          <cell r="D57">
            <v>514</v>
          </cell>
          <cell r="E57">
            <v>743.68297374393865</v>
          </cell>
          <cell r="F57">
            <v>780.86712243113561</v>
          </cell>
          <cell r="G57">
            <v>835.52782100131515</v>
          </cell>
          <cell r="H57">
            <v>894.01476847140725</v>
          </cell>
          <cell r="I57">
            <v>956.59580226440585</v>
          </cell>
          <cell r="J57">
            <v>1023.5575084229143</v>
          </cell>
          <cell r="K57">
            <v>1095.2065340125184</v>
          </cell>
          <cell r="L57">
            <v>2.7898924593673085E-2</v>
          </cell>
          <cell r="M57">
            <v>7.0000000000000062E-2</v>
          </cell>
        </row>
        <row r="58">
          <cell r="A58" t="str">
            <v>Vaccines, Total</v>
          </cell>
          <cell r="B58">
            <v>1123</v>
          </cell>
          <cell r="C58">
            <v>1194</v>
          </cell>
          <cell r="D58">
            <v>1389</v>
          </cell>
          <cell r="E58">
            <v>1760.5980222626085</v>
          </cell>
          <cell r="F58">
            <v>1858.3674196437951</v>
          </cell>
          <cell r="G58">
            <v>1982.8887665501443</v>
          </cell>
          <cell r="H58">
            <v>2104.6419961145175</v>
          </cell>
          <cell r="I58">
            <v>2234.0065201955213</v>
          </cell>
          <cell r="J58">
            <v>2371.4660188907869</v>
          </cell>
          <cell r="K58">
            <v>2517.5353620423975</v>
          </cell>
          <cell r="L58">
            <v>5.8503884788191893E-2</v>
          </cell>
          <cell r="M58">
            <v>6.259752327585999E-2</v>
          </cell>
        </row>
        <row r="60">
          <cell r="A60" t="str">
            <v>Oncology &amp; Emesis</v>
          </cell>
        </row>
        <row r="61">
          <cell r="A61" t="str">
            <v>Zofran</v>
          </cell>
          <cell r="B61">
            <v>774</v>
          </cell>
          <cell r="C61">
            <v>754</v>
          </cell>
          <cell r="D61">
            <v>837</v>
          </cell>
          <cell r="E61">
            <v>932.15482616089423</v>
          </cell>
          <cell r="F61">
            <v>452.66660708391538</v>
          </cell>
          <cell r="G61">
            <v>226.08603033416802</v>
          </cell>
          <cell r="H61">
            <v>180.51388758138199</v>
          </cell>
          <cell r="I61">
            <v>167.20595214799837</v>
          </cell>
          <cell r="J61">
            <v>161.00801722891282</v>
          </cell>
          <cell r="K61">
            <v>159.80402537107949</v>
          </cell>
          <cell r="L61">
            <v>-2.5992766997973035E-2</v>
          </cell>
          <cell r="M61">
            <v>-0.18798911436065813</v>
          </cell>
        </row>
        <row r="62">
          <cell r="A62" t="str">
            <v>Hycamtin</v>
          </cell>
          <cell r="B62">
            <v>110</v>
          </cell>
          <cell r="C62">
            <v>99</v>
          </cell>
          <cell r="D62">
            <v>99</v>
          </cell>
          <cell r="E62">
            <v>102.25065571575476</v>
          </cell>
          <cell r="F62">
            <v>102.25065571575476</v>
          </cell>
          <cell r="G62">
            <v>97.138122929967011</v>
          </cell>
          <cell r="H62">
            <v>92.281216783468651</v>
          </cell>
          <cell r="I62">
            <v>87.667155944295217</v>
          </cell>
          <cell r="J62">
            <v>83.283798147080446</v>
          </cell>
          <cell r="K62">
            <v>79.119608239726418</v>
          </cell>
          <cell r="L62">
            <v>-2.0529762591965338E-3</v>
          </cell>
          <cell r="M62">
            <v>-5.0000000000000044E-2</v>
          </cell>
        </row>
        <row r="63">
          <cell r="A63" t="str">
            <v>Arranon (nelarabine)</v>
          </cell>
          <cell r="B63">
            <v>0</v>
          </cell>
          <cell r="C63">
            <v>0</v>
          </cell>
          <cell r="D63">
            <v>0</v>
          </cell>
          <cell r="E63">
            <v>19</v>
          </cell>
          <cell r="F63">
            <v>57.034883720930232</v>
          </cell>
          <cell r="G63">
            <v>114.06976744186046</v>
          </cell>
          <cell r="H63">
            <v>171.1046511627907</v>
          </cell>
          <cell r="I63">
            <v>190.11627906976744</v>
          </cell>
          <cell r="J63">
            <v>199.62209302325584</v>
          </cell>
          <cell r="K63">
            <v>200.62209302325601</v>
          </cell>
          <cell r="L63">
            <v>1.2743959482485709E-2</v>
          </cell>
          <cell r="M63">
            <v>0.28601975294516468</v>
          </cell>
        </row>
        <row r="64">
          <cell r="A64" t="str">
            <v>Other Oncology and Emesis</v>
          </cell>
          <cell r="B64">
            <v>116</v>
          </cell>
          <cell r="C64">
            <v>81</v>
          </cell>
          <cell r="D64">
            <v>80</v>
          </cell>
          <cell r="E64">
            <v>87.510639908950495</v>
          </cell>
          <cell r="F64">
            <v>87.510639908950495</v>
          </cell>
          <cell r="G64">
            <v>87.510639908950495</v>
          </cell>
          <cell r="H64">
            <v>87.510639908950495</v>
          </cell>
          <cell r="I64">
            <v>87.510639908950495</v>
          </cell>
          <cell r="J64">
            <v>87.510639908950495</v>
          </cell>
          <cell r="K64">
            <v>87.510639908950495</v>
          </cell>
          <cell r="L64">
            <v>0</v>
          </cell>
          <cell r="M64">
            <v>0</v>
          </cell>
        </row>
        <row r="65">
          <cell r="A65" t="str">
            <v>Oncology &amp; Emesis, Total</v>
          </cell>
          <cell r="B65">
            <v>1000</v>
          </cell>
          <cell r="C65">
            <v>934</v>
          </cell>
          <cell r="D65">
            <v>1016</v>
          </cell>
          <cell r="E65">
            <v>1140.9161217855994</v>
          </cell>
          <cell r="F65">
            <v>699.46278642955087</v>
          </cell>
          <cell r="G65">
            <v>524.8045606149459</v>
          </cell>
          <cell r="H65">
            <v>531.41039543659178</v>
          </cell>
          <cell r="I65">
            <v>532.50002707101146</v>
          </cell>
          <cell r="J65">
            <v>531.42454830819963</v>
          </cell>
          <cell r="K65">
            <v>527.05636654301236</v>
          </cell>
          <cell r="L65">
            <v>-1.5301783774683867E-2</v>
          </cell>
          <cell r="M65">
            <v>-5.5028979832034586E-2</v>
          </cell>
        </row>
        <row r="67">
          <cell r="A67" t="str">
            <v>Cardiovascular / Urogenital</v>
          </cell>
        </row>
        <row r="68">
          <cell r="A68" t="str">
            <v>Coreg</v>
          </cell>
          <cell r="B68">
            <v>361</v>
          </cell>
          <cell r="C68">
            <v>432</v>
          </cell>
          <cell r="D68">
            <v>573</v>
          </cell>
          <cell r="E68">
            <v>859.31035821208604</v>
          </cell>
          <cell r="F68">
            <v>515.5862149272516</v>
          </cell>
          <cell r="G68">
            <v>77.337932239087749</v>
          </cell>
          <cell r="H68">
            <v>61.870345791270204</v>
          </cell>
          <cell r="I68">
            <v>55.683311212143181</v>
          </cell>
          <cell r="J68">
            <v>50.114980090928867</v>
          </cell>
          <cell r="K68">
            <v>45.103482081835985</v>
          </cell>
          <cell r="L68">
            <v>-4.1757291013065231E-2</v>
          </cell>
          <cell r="M68">
            <v>-0.3856982466762342</v>
          </cell>
        </row>
        <row r="69">
          <cell r="A69" t="str">
            <v>Coreg extension</v>
          </cell>
          <cell r="B69">
            <v>0</v>
          </cell>
          <cell r="C69">
            <v>0</v>
          </cell>
          <cell r="D69">
            <v>0</v>
          </cell>
          <cell r="E69">
            <v>0</v>
          </cell>
          <cell r="F69">
            <v>573</v>
          </cell>
          <cell r="G69">
            <v>630.30000000000007</v>
          </cell>
          <cell r="H69">
            <v>693.33000000000015</v>
          </cell>
          <cell r="I69">
            <v>762.66300000000024</v>
          </cell>
          <cell r="J69">
            <v>838.92930000000035</v>
          </cell>
          <cell r="K69">
            <v>922.82223000000045</v>
          </cell>
          <cell r="L69">
            <v>3.1048171678064576E-2</v>
          </cell>
        </row>
        <row r="70">
          <cell r="A70" t="str">
            <v>Avodart</v>
          </cell>
          <cell r="B70">
            <v>19</v>
          </cell>
          <cell r="C70">
            <v>64</v>
          </cell>
          <cell r="D70">
            <v>129</v>
          </cell>
          <cell r="E70">
            <v>199.69630134177413</v>
          </cell>
          <cell r="F70">
            <v>279.57482187848376</v>
          </cell>
          <cell r="G70">
            <v>335.4897862541805</v>
          </cell>
          <cell r="H70">
            <v>369.0387648795986</v>
          </cell>
          <cell r="I70">
            <v>405.94264136755851</v>
          </cell>
          <cell r="J70">
            <v>446.5369055043144</v>
          </cell>
          <cell r="K70">
            <v>491.19059605474587</v>
          </cell>
          <cell r="L70">
            <v>1.8781776350837172E-2</v>
          </cell>
          <cell r="M70">
            <v>0.1193100348931464</v>
          </cell>
        </row>
        <row r="71">
          <cell r="A71" t="str">
            <v>Levitra</v>
          </cell>
          <cell r="B71">
            <v>37</v>
          </cell>
          <cell r="C71">
            <v>49</v>
          </cell>
          <cell r="D71">
            <v>40</v>
          </cell>
          <cell r="E71">
            <v>40.736828877121162</v>
          </cell>
          <cell r="F71">
            <v>33.254554185405034</v>
          </cell>
          <cell r="G71">
            <v>27.146574845228599</v>
          </cell>
          <cell r="H71">
            <v>22.160469261411102</v>
          </cell>
          <cell r="I71">
            <v>18.090178988907024</v>
          </cell>
          <cell r="J71">
            <v>14.767493052169</v>
          </cell>
          <cell r="K71">
            <v>12.055096369117551</v>
          </cell>
          <cell r="L71">
            <v>-1.8815396773440641E-3</v>
          </cell>
          <cell r="M71">
            <v>-0.18367346938775508</v>
          </cell>
          <cell r="O71" t="str">
            <v>y</v>
          </cell>
          <cell r="P71">
            <v>192</v>
          </cell>
        </row>
        <row r="72">
          <cell r="A72" t="str">
            <v>Fraxiparine</v>
          </cell>
          <cell r="B72">
            <v>0</v>
          </cell>
          <cell r="C72">
            <v>35</v>
          </cell>
          <cell r="D72">
            <v>211</v>
          </cell>
          <cell r="E72">
            <v>208.49741223097618</v>
          </cell>
          <cell r="F72">
            <v>208.49741223097618</v>
          </cell>
          <cell r="G72">
            <v>198.07254161942737</v>
          </cell>
          <cell r="H72">
            <v>188.16891453845599</v>
          </cell>
          <cell r="I72">
            <v>178.76046881153317</v>
          </cell>
          <cell r="J72">
            <v>169.8224453709565</v>
          </cell>
          <cell r="K72">
            <v>161.33132310240867</v>
          </cell>
          <cell r="L72">
            <v>-4.1861857453903296E-3</v>
          </cell>
          <cell r="M72">
            <v>-5.0000000000000044E-2</v>
          </cell>
        </row>
        <row r="73">
          <cell r="A73" t="str">
            <v>Arixtra</v>
          </cell>
          <cell r="B73">
            <v>0</v>
          </cell>
          <cell r="C73">
            <v>10</v>
          </cell>
          <cell r="D73">
            <v>24</v>
          </cell>
          <cell r="E73">
            <v>42.599422651649803</v>
          </cell>
          <cell r="F73">
            <v>59.639191712309717</v>
          </cell>
          <cell r="G73">
            <v>77.530949226002633</v>
          </cell>
          <cell r="H73">
            <v>93.037139071203157</v>
          </cell>
          <cell r="I73">
            <v>102.39695857881019</v>
          </cell>
          <cell r="J73">
            <v>107.5168065077507</v>
          </cell>
          <cell r="K73">
            <v>112.89264683313824</v>
          </cell>
          <cell r="L73">
            <v>4.7264646876260244E-3</v>
          </cell>
          <cell r="M73">
            <v>0.13612673936641051</v>
          </cell>
        </row>
        <row r="74">
          <cell r="A74" t="str">
            <v>Vesicare</v>
          </cell>
          <cell r="B74">
            <v>0</v>
          </cell>
          <cell r="C74">
            <v>0</v>
          </cell>
          <cell r="D74">
            <v>13</v>
          </cell>
          <cell r="E74">
            <v>32.560927905831683</v>
          </cell>
          <cell r="F74">
            <v>47.864564021572576</v>
          </cell>
          <cell r="G74">
            <v>57.437476825887089</v>
          </cell>
          <cell r="H74">
            <v>67.848019500579113</v>
          </cell>
          <cell r="I74">
            <v>79.156022750675646</v>
          </cell>
          <cell r="J74">
            <v>83.113823888209438</v>
          </cell>
          <cell r="K74">
            <v>85.607238604855723</v>
          </cell>
          <cell r="L74">
            <v>3.3498186780499856E-3</v>
          </cell>
          <cell r="M74">
            <v>0.12330909753819075</v>
          </cell>
        </row>
        <row r="75">
          <cell r="A75" t="str">
            <v>Other Cardiovascular</v>
          </cell>
          <cell r="B75">
            <v>353</v>
          </cell>
          <cell r="C75">
            <v>342</v>
          </cell>
          <cell r="D75">
            <v>341</v>
          </cell>
          <cell r="E75">
            <v>331.46269018992746</v>
          </cell>
          <cell r="F75">
            <v>331.46269018992746</v>
          </cell>
          <cell r="G75">
            <v>331.46269018992746</v>
          </cell>
          <cell r="H75">
            <v>331.46269018992746</v>
          </cell>
          <cell r="I75">
            <v>331.46269018992746</v>
          </cell>
          <cell r="J75">
            <v>331.46269018992746</v>
          </cell>
          <cell r="K75">
            <v>331.46269018992746</v>
          </cell>
          <cell r="L75">
            <v>0</v>
          </cell>
          <cell r="M75">
            <v>0</v>
          </cell>
        </row>
        <row r="76">
          <cell r="A76" t="str">
            <v>Cardiovascular, Total</v>
          </cell>
          <cell r="B76">
            <v>770</v>
          </cell>
          <cell r="C76">
            <v>932</v>
          </cell>
          <cell r="D76">
            <v>1331</v>
          </cell>
          <cell r="E76">
            <v>1714.8639414093664</v>
          </cell>
          <cell r="F76">
            <v>2048.8794491459262</v>
          </cell>
          <cell r="G76">
            <v>1734.7779511997414</v>
          </cell>
          <cell r="H76">
            <v>1826.9163432324458</v>
          </cell>
          <cell r="I76">
            <v>1934.1552718995554</v>
          </cell>
          <cell r="J76">
            <v>2042.2644446042568</v>
          </cell>
          <cell r="K76">
            <v>2162.4653032360302</v>
          </cell>
          <cell r="L76">
            <v>1.0081214958778173E-2</v>
          </cell>
          <cell r="M76">
            <v>1.0849611030260498E-2</v>
          </cell>
        </row>
        <row r="78">
          <cell r="A78" t="str">
            <v>Zantac</v>
          </cell>
          <cell r="B78">
            <v>328</v>
          </cell>
          <cell r="C78">
            <v>273</v>
          </cell>
          <cell r="D78">
            <v>244</v>
          </cell>
          <cell r="E78">
            <v>223.9486318747272</v>
          </cell>
          <cell r="F78">
            <v>190.35633709351811</v>
          </cell>
          <cell r="G78">
            <v>167.51357664229593</v>
          </cell>
          <cell r="H78">
            <v>150.76221897806633</v>
          </cell>
          <cell r="I78">
            <v>135.68599708025971</v>
          </cell>
          <cell r="J78">
            <v>122.11739737223374</v>
          </cell>
          <cell r="K78">
            <v>109.90565763501037</v>
          </cell>
          <cell r="L78">
            <v>-7.1403309830958663E-3</v>
          </cell>
          <cell r="M78">
            <v>-0.1040360371309178</v>
          </cell>
        </row>
        <row r="79">
          <cell r="A79" t="str">
            <v>Other Pharma</v>
          </cell>
          <cell r="B79">
            <v>835</v>
          </cell>
          <cell r="C79">
            <v>750</v>
          </cell>
          <cell r="D79">
            <v>796</v>
          </cell>
          <cell r="E79">
            <v>794.23015988393445</v>
          </cell>
          <cell r="F79">
            <v>810.11476308161321</v>
          </cell>
          <cell r="G79">
            <v>826.31705834324544</v>
          </cell>
          <cell r="H79">
            <v>842.84339951011032</v>
          </cell>
          <cell r="I79">
            <v>859.70026750031252</v>
          </cell>
          <cell r="J79">
            <v>876.89427285031877</v>
          </cell>
          <cell r="K79">
            <v>894.43215830732515</v>
          </cell>
          <cell r="L79">
            <v>7.4835180211821409E-3</v>
          </cell>
          <cell r="M79">
            <v>2.0000000000000018E-2</v>
          </cell>
        </row>
        <row r="80">
          <cell r="A80" t="str">
            <v>Future Pipeline Products</v>
          </cell>
          <cell r="B80">
            <v>0</v>
          </cell>
          <cell r="C80">
            <v>0</v>
          </cell>
          <cell r="D80">
            <v>0</v>
          </cell>
          <cell r="E80">
            <v>91.76136363636364</v>
          </cell>
          <cell r="F80">
            <v>349.71590909090907</v>
          </cell>
          <cell r="G80">
            <v>1091.3068181818182</v>
          </cell>
          <cell r="H80">
            <v>2548.068181818182</v>
          </cell>
          <cell r="I80">
            <v>4567.727272727273</v>
          </cell>
          <cell r="J80">
            <v>6617.7840909090901</v>
          </cell>
          <cell r="K80">
            <v>7910.681818181818</v>
          </cell>
          <cell r="L80">
            <v>0.67106703767067022</v>
          </cell>
          <cell r="M80">
            <v>0.86594872501573872</v>
          </cell>
        </row>
        <row r="82">
          <cell r="A82" t="str">
            <v>Prescription Pharma</v>
          </cell>
          <cell r="B82">
            <v>18114</v>
          </cell>
          <cell r="C82">
            <v>17100</v>
          </cell>
          <cell r="D82">
            <v>18661</v>
          </cell>
          <cell r="E82">
            <v>20693.883827729194</v>
          </cell>
          <cell r="F82">
            <v>21018.282441786578</v>
          </cell>
          <cell r="G82">
            <v>22762.659338489433</v>
          </cell>
          <cell r="H82">
            <v>24299.267114690825</v>
          </cell>
          <cell r="I82">
            <v>26592.286581627162</v>
          </cell>
          <cell r="J82">
            <v>29639.121936049749</v>
          </cell>
          <cell r="K82">
            <v>31647.53498073588</v>
          </cell>
          <cell r="L82">
            <v>0.94339018317618439</v>
          </cell>
          <cell r="M82">
            <v>8.529682616618528E-2</v>
          </cell>
        </row>
        <row r="83">
          <cell r="A83" t="str">
            <v>YOY Growth</v>
          </cell>
          <cell r="C83">
            <v>-5.5978800927459438E-2</v>
          </cell>
          <cell r="D83">
            <v>9.1286549707602305E-2</v>
          </cell>
          <cell r="E83">
            <v>0.10893756110225583</v>
          </cell>
          <cell r="F83">
            <v>1.5676062393986223E-2</v>
          </cell>
          <cell r="G83">
            <v>8.2993313156495052E-2</v>
          </cell>
          <cell r="H83">
            <v>6.7505635143567666E-2</v>
          </cell>
          <cell r="I83">
            <v>9.4365787087875797E-2</v>
          </cell>
          <cell r="J83">
            <v>0.11457590700484066</v>
          </cell>
          <cell r="K83">
            <v>6.7762231587681354E-2</v>
          </cell>
          <cell r="L83">
            <v>4.6228632273556852E-6</v>
          </cell>
          <cell r="M83">
            <v>0.34013991754496486</v>
          </cell>
        </row>
        <row r="86">
          <cell r="A86" t="str">
            <v>OTC</v>
          </cell>
          <cell r="B86">
            <v>1472</v>
          </cell>
          <cell r="C86">
            <v>1400</v>
          </cell>
          <cell r="D86">
            <v>1437</v>
          </cell>
          <cell r="E86">
            <v>1456.5945095100165</v>
          </cell>
          <cell r="F86">
            <v>1496.0715717274945</v>
          </cell>
          <cell r="G86">
            <v>1539.1901202187478</v>
          </cell>
          <cell r="H86">
            <v>1586.0488476393195</v>
          </cell>
          <cell r="I86">
            <v>1636.7555503604383</v>
          </cell>
          <cell r="J86">
            <v>1691.4273752006554</v>
          </cell>
          <cell r="K86">
            <v>1750.1910889167737</v>
          </cell>
          <cell r="L86">
            <v>2.2554159569675176E-2</v>
          </cell>
          <cell r="M86">
            <v>3.1873880768711338E-2</v>
          </cell>
        </row>
        <row r="87">
          <cell r="A87" t="str">
            <v>Oral Care</v>
          </cell>
          <cell r="B87">
            <v>915</v>
          </cell>
          <cell r="C87">
            <v>913</v>
          </cell>
          <cell r="D87">
            <v>943</v>
          </cell>
          <cell r="E87">
            <v>958.82208564794746</v>
          </cell>
          <cell r="F87">
            <v>987.58674821738589</v>
          </cell>
          <cell r="G87">
            <v>1017.2143506639075</v>
          </cell>
          <cell r="H87">
            <v>1047.7307811838248</v>
          </cell>
          <cell r="I87">
            <v>1079.1627046193396</v>
          </cell>
          <cell r="J87">
            <v>1111.5375857579197</v>
          </cell>
          <cell r="K87">
            <v>1144.8837133306574</v>
          </cell>
          <cell r="L87">
            <v>1.3960757088751573E-2</v>
          </cell>
          <cell r="M87">
            <v>3.0000000000000027E-2</v>
          </cell>
        </row>
        <row r="88">
          <cell r="A88" t="str">
            <v>Nutritional Healthcare</v>
          </cell>
          <cell r="B88">
            <v>569</v>
          </cell>
          <cell r="C88">
            <v>573</v>
          </cell>
          <cell r="D88">
            <v>619</v>
          </cell>
          <cell r="E88">
            <v>631.51680713611609</v>
          </cell>
          <cell r="F88">
            <v>669.40781556428306</v>
          </cell>
          <cell r="G88">
            <v>709.57228449814011</v>
          </cell>
          <cell r="H88">
            <v>752.14662156802854</v>
          </cell>
          <cell r="I88">
            <v>797.27541886211031</v>
          </cell>
          <cell r="J88">
            <v>845.11194399383703</v>
          </cell>
          <cell r="K88">
            <v>895.81866063346729</v>
          </cell>
          <cell r="L88">
            <v>2.0094900165388872E-2</v>
          </cell>
          <cell r="M88">
            <v>6.0000000000000053E-2</v>
          </cell>
        </row>
        <row r="89">
          <cell r="A89" t="str">
            <v>Total Consumer Healthcare</v>
          </cell>
          <cell r="B89">
            <v>2956</v>
          </cell>
          <cell r="C89">
            <v>2886</v>
          </cell>
          <cell r="D89">
            <v>2999</v>
          </cell>
          <cell r="E89">
            <v>3046.9334022940802</v>
          </cell>
          <cell r="F89">
            <v>3153.0661355091634</v>
          </cell>
          <cell r="G89">
            <v>3265.9767553807951</v>
          </cell>
          <cell r="H89">
            <v>3385.9262503911727</v>
          </cell>
          <cell r="I89">
            <v>3513.1936738418881</v>
          </cell>
          <cell r="J89">
            <v>3648.076904952412</v>
          </cell>
          <cell r="K89">
            <v>3790.8934628808984</v>
          </cell>
          <cell r="L89">
            <v>5.6609816823815627E-2</v>
          </cell>
          <cell r="M89">
            <v>3.7532476772530243E-2</v>
          </cell>
        </row>
        <row r="91">
          <cell r="A91" t="str">
            <v>Total Sales</v>
          </cell>
          <cell r="B91">
            <v>21070</v>
          </cell>
          <cell r="C91">
            <v>19986</v>
          </cell>
          <cell r="D91">
            <v>21660</v>
          </cell>
          <cell r="E91">
            <v>23741.81723002328</v>
          </cell>
          <cell r="F91">
            <v>24171.348577295743</v>
          </cell>
          <cell r="G91">
            <v>26028.636093870227</v>
          </cell>
          <cell r="H91">
            <v>27685.193365081999</v>
          </cell>
          <cell r="I91">
            <v>30105.48025546905</v>
          </cell>
          <cell r="J91">
            <v>33287.198841002159</v>
          </cell>
          <cell r="K91">
            <v>35438.42844361678</v>
          </cell>
          <cell r="L91">
            <v>1</v>
          </cell>
          <cell r="M91">
            <v>7.9529996933826785E-2</v>
          </cell>
        </row>
        <row r="92">
          <cell r="A92" t="str">
            <v>YOY Growth</v>
          </cell>
          <cell r="C92">
            <v>-5.1447555766492625E-2</v>
          </cell>
          <cell r="D92">
            <v>8.3758631041729315E-2</v>
          </cell>
          <cell r="E92">
            <v>9.6113445522773677E-2</v>
          </cell>
          <cell r="F92">
            <v>1.8091763705824881E-2</v>
          </cell>
          <cell r="G92">
            <v>7.6838390321301464E-2</v>
          </cell>
          <cell r="H92">
            <v>6.3643644839381119E-2</v>
          </cell>
          <cell r="I92">
            <v>8.7421708003659448E-2</v>
          </cell>
          <cell r="J92">
            <v>0.10568569438300557</v>
          </cell>
          <cell r="K92">
            <v>6.462633317060007E-2</v>
          </cell>
        </row>
        <row r="94">
          <cell r="A94" t="str">
            <v>Notes:</v>
          </cell>
        </row>
        <row r="95">
          <cell r="A95" t="str">
            <v>E= Morgan Stanley Research Estimates</v>
          </cell>
        </row>
        <row r="96">
          <cell r="A96" t="str">
            <v>Source: Morgan Stanley Research</v>
          </cell>
        </row>
      </sheetData>
      <sheetData sheetId="17"/>
      <sheetData sheetId="18"/>
      <sheetData sheetId="19"/>
      <sheetData sheetId="20"/>
      <sheetData sheetId="21" refreshError="1">
        <row r="1">
          <cell r="A1" t="str">
            <v>Return to Contents</v>
          </cell>
        </row>
        <row r="2">
          <cell r="A2" t="str">
            <v>GLAXOSMITHKLINE</v>
          </cell>
        </row>
        <row r="3">
          <cell r="A3" t="str">
            <v>Annual Income Statement</v>
          </cell>
          <cell r="K3" t="str">
            <v>Morgan Stanley Equity Research: Pharmaceuticals</v>
          </cell>
        </row>
        <row r="4">
          <cell r="A4" t="str">
            <v>All figures in £ mlns except per share data</v>
          </cell>
          <cell r="B4">
            <v>2003</v>
          </cell>
          <cell r="C4">
            <v>2004</v>
          </cell>
          <cell r="D4">
            <v>2005</v>
          </cell>
          <cell r="E4" t="str">
            <v>2006E</v>
          </cell>
          <cell r="F4" t="str">
            <v>2007E</v>
          </cell>
          <cell r="G4" t="str">
            <v>2008E</v>
          </cell>
          <cell r="H4" t="str">
            <v>2009E</v>
          </cell>
          <cell r="I4" t="str">
            <v>2010E</v>
          </cell>
          <cell r="J4" t="str">
            <v>2011E</v>
          </cell>
          <cell r="K4" t="str">
            <v>2012E</v>
          </cell>
        </row>
        <row r="6">
          <cell r="A6" t="str">
            <v>Total Sales</v>
          </cell>
          <cell r="B6">
            <v>21070</v>
          </cell>
          <cell r="C6">
            <v>19986</v>
          </cell>
          <cell r="D6">
            <v>21660</v>
          </cell>
          <cell r="E6">
            <v>23741.81723002328</v>
          </cell>
          <cell r="F6">
            <v>24171.348577295743</v>
          </cell>
          <cell r="G6">
            <v>26028.636093870227</v>
          </cell>
          <cell r="H6">
            <v>27685.193365081999</v>
          </cell>
          <cell r="I6">
            <v>30105.48025546905</v>
          </cell>
          <cell r="J6">
            <v>33287.198841002159</v>
          </cell>
          <cell r="K6">
            <v>35438.42844361678</v>
          </cell>
        </row>
        <row r="7">
          <cell r="A7" t="str">
            <v>YoY growth</v>
          </cell>
          <cell r="C7">
            <v>-5.1447555766492625E-2</v>
          </cell>
          <cell r="D7">
            <v>8.3758631041729315E-2</v>
          </cell>
          <cell r="E7">
            <v>9.6113445522773677E-2</v>
          </cell>
          <cell r="F7">
            <v>1.8091763705824881E-2</v>
          </cell>
          <cell r="G7">
            <v>7.6838390321301464E-2</v>
          </cell>
          <cell r="H7">
            <v>6.3643644839381119E-2</v>
          </cell>
          <cell r="I7">
            <v>8.7421708003659448E-2</v>
          </cell>
          <cell r="J7">
            <v>0.10568569438300557</v>
          </cell>
          <cell r="K7">
            <v>6.462633317060007E-2</v>
          </cell>
        </row>
        <row r="9">
          <cell r="A9" t="str">
            <v>Cost of Goods (pre-exceptionals)</v>
          </cell>
          <cell r="B9">
            <v>-4221</v>
          </cell>
          <cell r="C9">
            <v>-4360</v>
          </cell>
          <cell r="D9">
            <v>-4764</v>
          </cell>
          <cell r="E9">
            <v>-5030.8941437357762</v>
          </cell>
          <cell r="F9">
            <v>-5196.8399441185848</v>
          </cell>
          <cell r="G9">
            <v>-5466.0135797127477</v>
          </cell>
          <cell r="H9">
            <v>-5592.4090597465638</v>
          </cell>
          <cell r="I9">
            <v>-5959.8232988870795</v>
          </cell>
          <cell r="J9">
            <v>-6473.186166686467</v>
          </cell>
          <cell r="K9">
            <v>-6767.489953017408</v>
          </cell>
        </row>
        <row r="10">
          <cell r="A10" t="str">
            <v>% of Sales</v>
          </cell>
          <cell r="C10">
            <v>0.21815270689482638</v>
          </cell>
          <cell r="D10">
            <v>0.21994459833795013</v>
          </cell>
          <cell r="E10">
            <v>0.21190012942117334</v>
          </cell>
          <cell r="F10">
            <v>0.215</v>
          </cell>
          <cell r="G10">
            <v>0.21</v>
          </cell>
          <cell r="H10">
            <v>0.20199999999999999</v>
          </cell>
          <cell r="I10">
            <v>0.19796473094975459</v>
          </cell>
          <cell r="J10">
            <v>0.19446473094975458</v>
          </cell>
          <cell r="K10">
            <v>0.19096473094975458</v>
          </cell>
        </row>
        <row r="12">
          <cell r="A12" t="str">
            <v>Gross Profit</v>
          </cell>
          <cell r="B12">
            <v>16849</v>
          </cell>
          <cell r="C12">
            <v>15626</v>
          </cell>
          <cell r="D12">
            <v>16896</v>
          </cell>
          <cell r="E12">
            <v>18710.923086287505</v>
          </cell>
          <cell r="F12">
            <v>18974.50863317716</v>
          </cell>
          <cell r="G12">
            <v>20562.62251415748</v>
          </cell>
          <cell r="H12">
            <v>22092.784305335437</v>
          </cell>
          <cell r="I12">
            <v>24145.65695658197</v>
          </cell>
          <cell r="J12">
            <v>26814.012674315691</v>
          </cell>
          <cell r="K12">
            <v>28670.938490599372</v>
          </cell>
        </row>
        <row r="13">
          <cell r="A13" t="str">
            <v>Gross Margin</v>
          </cell>
          <cell r="C13">
            <v>0.78184729310517365</v>
          </cell>
          <cell r="D13">
            <v>0.7800554016620499</v>
          </cell>
          <cell r="E13">
            <v>0.78809987057882669</v>
          </cell>
          <cell r="F13">
            <v>0.78500000000000003</v>
          </cell>
          <cell r="G13">
            <v>0.79</v>
          </cell>
          <cell r="H13">
            <v>0.79800000000000004</v>
          </cell>
          <cell r="I13">
            <v>0.80203526905024536</v>
          </cell>
          <cell r="J13">
            <v>0.80553526905024542</v>
          </cell>
          <cell r="K13">
            <v>0.80903526905024548</v>
          </cell>
        </row>
        <row r="15">
          <cell r="A15" t="str">
            <v>SG&amp;A</v>
          </cell>
          <cell r="B15">
            <v>-7434</v>
          </cell>
          <cell r="C15">
            <v>-7201</v>
          </cell>
          <cell r="D15">
            <v>-7250</v>
          </cell>
          <cell r="E15">
            <v>-7793.296137597752</v>
          </cell>
          <cell r="F15">
            <v>-7952.3736819302994</v>
          </cell>
          <cell r="G15">
            <v>-8459.3067305078239</v>
          </cell>
          <cell r="H15">
            <v>-8997.6878436516508</v>
          </cell>
          <cell r="I15">
            <v>-9784.2810830274411</v>
          </cell>
          <cell r="J15">
            <v>-10818.339623325703</v>
          </cell>
          <cell r="K15">
            <v>-11517.489244175455</v>
          </cell>
        </row>
        <row r="16">
          <cell r="A16" t="str">
            <v>% of Sales</v>
          </cell>
          <cell r="C16">
            <v>0.36030221154808367</v>
          </cell>
          <cell r="D16">
            <v>0.33471837488457989</v>
          </cell>
          <cell r="E16">
            <v>0.3282518798831689</v>
          </cell>
          <cell r="F16">
            <v>0.32900000000000001</v>
          </cell>
          <cell r="G16">
            <v>0.32500000000000001</v>
          </cell>
          <cell r="H16">
            <v>0.32500000000000007</v>
          </cell>
          <cell r="I16">
            <v>0.32500000000000001</v>
          </cell>
          <cell r="J16">
            <v>0.32500000000000001</v>
          </cell>
          <cell r="K16">
            <v>0.32500000000000001</v>
          </cell>
        </row>
        <row r="18">
          <cell r="A18" t="str">
            <v>R&amp;D</v>
          </cell>
          <cell r="B18">
            <v>-2844</v>
          </cell>
          <cell r="C18">
            <v>-2904</v>
          </cell>
          <cell r="D18">
            <v>-3136</v>
          </cell>
          <cell r="E18">
            <v>-3296.0689185060701</v>
          </cell>
          <cell r="F18">
            <v>-3504.8455437078824</v>
          </cell>
          <cell r="G18">
            <v>-3774.1522336111825</v>
          </cell>
          <cell r="H18">
            <v>-4152.7790047622993</v>
          </cell>
          <cell r="I18">
            <v>-4666.3494395977032</v>
          </cell>
          <cell r="J18">
            <v>-5159.5158203553347</v>
          </cell>
          <cell r="K18">
            <v>-5492.9564087606004</v>
          </cell>
        </row>
        <row r="19">
          <cell r="A19" t="str">
            <v>% of Sales</v>
          </cell>
          <cell r="C19">
            <v>0.1453017111978385</v>
          </cell>
          <cell r="D19">
            <v>0.14478301015697137</v>
          </cell>
          <cell r="E19">
            <v>0.13882968125699946</v>
          </cell>
          <cell r="F19">
            <v>0.14499999999999999</v>
          </cell>
          <cell r="G19">
            <v>0.14499999999999999</v>
          </cell>
          <cell r="H19">
            <v>0.14999999999999997</v>
          </cell>
          <cell r="I19">
            <v>0.155</v>
          </cell>
          <cell r="J19">
            <v>0.155</v>
          </cell>
          <cell r="K19">
            <v>0.155</v>
          </cell>
        </row>
        <row r="21">
          <cell r="A21" t="str">
            <v>Other operating income/(expense)</v>
          </cell>
          <cell r="B21">
            <v>-126</v>
          </cell>
          <cell r="C21">
            <v>235</v>
          </cell>
          <cell r="D21">
            <v>364</v>
          </cell>
          <cell r="E21">
            <v>248.81775213366961</v>
          </cell>
          <cell r="F21">
            <v>253.31930411108647</v>
          </cell>
          <cell r="G21">
            <v>272.78395167629458</v>
          </cell>
          <cell r="H21">
            <v>290.14491661466354</v>
          </cell>
          <cell r="I21">
            <v>315.50988079369677</v>
          </cell>
          <cell r="J21">
            <v>348.85476163007792</v>
          </cell>
          <cell r="K21">
            <v>371.39996568333362</v>
          </cell>
        </row>
        <row r="23">
          <cell r="A23" t="str">
            <v>Operating Profit</v>
          </cell>
          <cell r="B23">
            <v>6445</v>
          </cell>
          <cell r="C23">
            <v>5756</v>
          </cell>
          <cell r="D23">
            <v>6874</v>
          </cell>
          <cell r="E23">
            <v>7870.3757823173519</v>
          </cell>
          <cell r="F23">
            <v>7770.6087116500639</v>
          </cell>
          <cell r="G23">
            <v>8601.947501714767</v>
          </cell>
          <cell r="H23">
            <v>9232.4623735361492</v>
          </cell>
          <cell r="I23">
            <v>10010.536314750523</v>
          </cell>
          <cell r="J23">
            <v>11185.011992264732</v>
          </cell>
          <cell r="K23">
            <v>12031.892803346647</v>
          </cell>
        </row>
        <row r="24">
          <cell r="A24" t="str">
            <v>Operating Margin</v>
          </cell>
          <cell r="C24">
            <v>0.28800160112078454</v>
          </cell>
          <cell r="D24">
            <v>0.31735918744228991</v>
          </cell>
          <cell r="E24">
            <v>0.33149845717642373</v>
          </cell>
          <cell r="F24">
            <v>0.32148014773776551</v>
          </cell>
          <cell r="G24">
            <v>0.33048014773776546</v>
          </cell>
          <cell r="H24">
            <v>0.33348014773776546</v>
          </cell>
          <cell r="I24">
            <v>0.33251541678801089</v>
          </cell>
          <cell r="J24">
            <v>0.33601541678801083</v>
          </cell>
          <cell r="K24">
            <v>0.33951541678801078</v>
          </cell>
        </row>
        <row r="26">
          <cell r="A26" t="str">
            <v>Share of Profits/Losses of JV and Associates</v>
          </cell>
          <cell r="B26">
            <v>57</v>
          </cell>
          <cell r="C26">
            <v>60</v>
          </cell>
          <cell r="D26">
            <v>52</v>
          </cell>
          <cell r="E26">
            <v>52</v>
          </cell>
          <cell r="F26">
            <v>52</v>
          </cell>
          <cell r="G26">
            <v>52</v>
          </cell>
          <cell r="H26">
            <v>52</v>
          </cell>
          <cell r="I26">
            <v>52</v>
          </cell>
          <cell r="J26">
            <v>52</v>
          </cell>
          <cell r="K26">
            <v>52</v>
          </cell>
        </row>
        <row r="27">
          <cell r="A27" t="str">
            <v>Profit on disposal of interest in associate</v>
          </cell>
          <cell r="C27">
            <v>149</v>
          </cell>
          <cell r="D27">
            <v>0</v>
          </cell>
          <cell r="E27">
            <v>0</v>
          </cell>
          <cell r="F27">
            <v>0</v>
          </cell>
          <cell r="G27">
            <v>0</v>
          </cell>
          <cell r="H27">
            <v>0</v>
          </cell>
          <cell r="I27">
            <v>0</v>
          </cell>
          <cell r="J27">
            <v>0</v>
          </cell>
          <cell r="K27">
            <v>0</v>
          </cell>
        </row>
        <row r="28">
          <cell r="A28" t="str">
            <v>Gain/(loss) on business disposal</v>
          </cell>
          <cell r="C28">
            <v>0</v>
          </cell>
          <cell r="D28">
            <v>0</v>
          </cell>
          <cell r="E28">
            <v>0</v>
          </cell>
          <cell r="F28">
            <v>0</v>
          </cell>
          <cell r="G28">
            <v>0</v>
          </cell>
          <cell r="H28">
            <v>0</v>
          </cell>
          <cell r="I28">
            <v>0</v>
          </cell>
          <cell r="J28">
            <v>0</v>
          </cell>
          <cell r="K28">
            <v>0</v>
          </cell>
        </row>
        <row r="29">
          <cell r="A29" t="str">
            <v>Net Interest Paid</v>
          </cell>
          <cell r="B29">
            <v>-153</v>
          </cell>
          <cell r="C29">
            <v>-186</v>
          </cell>
          <cell r="D29">
            <v>-194</v>
          </cell>
          <cell r="E29">
            <v>-159.40548061811921</v>
          </cell>
          <cell r="F29">
            <v>-115.12224191577855</v>
          </cell>
          <cell r="G29">
            <v>-71.756678135849995</v>
          </cell>
          <cell r="H29">
            <v>-14.049018165150699</v>
          </cell>
          <cell r="I29">
            <v>55.861305880043517</v>
          </cell>
          <cell r="J29">
            <v>143.04047264352937</v>
          </cell>
          <cell r="K29">
            <v>249.65080386330703</v>
          </cell>
        </row>
        <row r="31">
          <cell r="A31" t="str">
            <v>Profit before Taxes</v>
          </cell>
          <cell r="B31">
            <v>6349</v>
          </cell>
          <cell r="C31">
            <v>5779</v>
          </cell>
          <cell r="D31">
            <v>6732</v>
          </cell>
          <cell r="E31">
            <v>7762.9703016992326</v>
          </cell>
          <cell r="F31">
            <v>7707.4864697342855</v>
          </cell>
          <cell r="G31">
            <v>8582.1908235789178</v>
          </cell>
          <cell r="H31">
            <v>9270.413355370998</v>
          </cell>
          <cell r="I31">
            <v>0</v>
          </cell>
          <cell r="J31">
            <v>0</v>
          </cell>
          <cell r="K31">
            <v>0</v>
          </cell>
          <cell r="L31">
            <v>0</v>
          </cell>
          <cell r="M31">
            <v>0</v>
          </cell>
          <cell r="N31">
            <v>0</v>
          </cell>
          <cell r="O31">
            <v>0</v>
          </cell>
          <cell r="P31">
            <v>0</v>
          </cell>
          <cell r="S31">
            <v>0</v>
          </cell>
        </row>
        <row r="33">
          <cell r="A33" t="str">
            <v>Tax</v>
          </cell>
          <cell r="B33">
            <v>-1760</v>
          </cell>
          <cell r="C33">
            <v>-1757</v>
          </cell>
          <cell r="D33">
            <v>-1916</v>
          </cell>
          <cell r="E33">
            <v>-2289.9262390012727</v>
          </cell>
          <cell r="F33">
            <v>-2273.5595806580018</v>
          </cell>
          <cell r="G33">
            <v>-2531.5804635665763</v>
          </cell>
          <cell r="H33">
            <v>-2734.5928122648065</v>
          </cell>
          <cell r="I33">
            <v>-2984.7317853397208</v>
          </cell>
          <cell r="J33">
            <v>-3356.8955860748806</v>
          </cell>
          <cell r="K33">
            <v>-3638.1570492205037</v>
          </cell>
        </row>
        <row r="34">
          <cell r="A34" t="str">
            <v>Tax Rate</v>
          </cell>
          <cell r="B34">
            <v>0.27720900929280201</v>
          </cell>
          <cell r="C34">
            <v>0.30403183941858453</v>
          </cell>
          <cell r="D34">
            <v>0.28461081402257871</v>
          </cell>
          <cell r="E34">
            <v>0.2949806774991825</v>
          </cell>
          <cell r="F34">
            <v>0.2949806774991825</v>
          </cell>
          <cell r="G34">
            <v>0.2949806774991825</v>
          </cell>
          <cell r="H34">
            <v>0.2949806774991825</v>
          </cell>
          <cell r="I34">
            <v>0.2949806774991825</v>
          </cell>
          <cell r="J34">
            <v>0.2949806774991825</v>
          </cell>
          <cell r="K34">
            <v>0.2949806774991825</v>
          </cell>
        </row>
        <row r="36">
          <cell r="A36" t="str">
            <v>Minority Interests</v>
          </cell>
          <cell r="B36">
            <v>-95</v>
          </cell>
          <cell r="C36">
            <v>-112</v>
          </cell>
          <cell r="D36">
            <v>-127</v>
          </cell>
          <cell r="E36">
            <v>-145.40845568145238</v>
          </cell>
          <cell r="F36">
            <v>-143.56521768687199</v>
          </cell>
          <cell r="G36">
            <v>-158.92454651116893</v>
          </cell>
          <cell r="H36">
            <v>-170.57357018316711</v>
          </cell>
          <cell r="I36">
            <v>-184.94880884104106</v>
          </cell>
          <cell r="J36">
            <v>-206.64773392749794</v>
          </cell>
          <cell r="K36">
            <v>-222.29420803389934</v>
          </cell>
        </row>
        <row r="37">
          <cell r="A37" t="str">
            <v>Preference share dividends</v>
          </cell>
          <cell r="B37">
            <v>-12</v>
          </cell>
          <cell r="C37">
            <v>-2</v>
          </cell>
          <cell r="D37">
            <v>0</v>
          </cell>
          <cell r="E37">
            <v>0</v>
          </cell>
          <cell r="F37">
            <v>0</v>
          </cell>
          <cell r="G37">
            <v>0</v>
          </cell>
          <cell r="H37">
            <v>0</v>
          </cell>
          <cell r="I37">
            <v>0</v>
          </cell>
          <cell r="J37">
            <v>0</v>
          </cell>
          <cell r="K37">
            <v>0</v>
          </cell>
        </row>
        <row r="38">
          <cell r="I38">
            <v>81</v>
          </cell>
          <cell r="J38">
            <v>15</v>
          </cell>
          <cell r="K38">
            <v>11.5</v>
          </cell>
          <cell r="L38">
            <v>4</v>
          </cell>
          <cell r="M38">
            <v>5</v>
          </cell>
          <cell r="N38">
            <v>6</v>
          </cell>
          <cell r="O38">
            <v>12</v>
          </cell>
          <cell r="P38">
            <v>12</v>
          </cell>
          <cell r="S38">
            <v>12</v>
          </cell>
        </row>
        <row r="39">
          <cell r="A39" t="str">
            <v>Net Income</v>
          </cell>
          <cell r="B39">
            <v>4482</v>
          </cell>
          <cell r="C39">
            <v>3908</v>
          </cell>
          <cell r="D39">
            <v>4689</v>
          </cell>
          <cell r="E39">
            <v>5327.6356070165075</v>
          </cell>
          <cell r="F39">
            <v>5290.3616713894116</v>
          </cell>
          <cell r="G39">
            <v>5891.6858135011726</v>
          </cell>
          <cell r="H39">
            <v>6365.2469729230243</v>
          </cell>
          <cell r="I39">
            <v>6948.7170264498054</v>
          </cell>
          <cell r="J39">
            <v>7816.5091449058827</v>
          </cell>
          <cell r="K39">
            <v>8473.092349955552</v>
          </cell>
        </row>
        <row r="41">
          <cell r="A41" t="str">
            <v>Shares Outstanding</v>
          </cell>
          <cell r="B41">
            <v>5806</v>
          </cell>
          <cell r="C41">
            <v>5731.420454545455</v>
          </cell>
          <cell r="D41">
            <v>5674</v>
          </cell>
          <cell r="E41">
            <v>5590.2561327830099</v>
          </cell>
          <cell r="F41">
            <v>5517.4502085844015</v>
          </cell>
          <cell r="G41">
            <v>5436.8754763933193</v>
          </cell>
          <cell r="H41">
            <v>5355.4909578820252</v>
          </cell>
          <cell r="I41">
            <v>5275.1065883367828</v>
          </cell>
          <cell r="J41">
            <v>5194.226633431068</v>
          </cell>
          <cell r="K41">
            <v>5112.7053165746929</v>
          </cell>
        </row>
        <row r="43">
          <cell r="A43" t="str">
            <v>EPS (Pre-exceptionals) p</v>
          </cell>
          <cell r="B43">
            <v>77.196004133654839</v>
          </cell>
          <cell r="C43">
            <v>68.185540233759284</v>
          </cell>
          <cell r="D43">
            <v>82.640501636963151</v>
          </cell>
          <cell r="E43">
            <v>95.30217364770796</v>
          </cell>
          <cell r="F43">
            <v>95.884176048536489</v>
          </cell>
          <cell r="G43">
            <v>108.36528883331282</v>
          </cell>
          <cell r="H43">
            <v>118.85459284652278</v>
          </cell>
          <cell r="I43">
            <v>131.72657101969014</v>
          </cell>
          <cell r="J43">
            <v>150.4845609661559</v>
          </cell>
          <cell r="K43">
            <v>165.72620218276501</v>
          </cell>
        </row>
        <row r="45">
          <cell r="A45" t="str">
            <v>EPS (Post-Exceptionals) p</v>
          </cell>
          <cell r="B45">
            <v>72.356183258697911</v>
          </cell>
          <cell r="C45">
            <v>68.185540233759284</v>
          </cell>
          <cell r="D45">
            <v>82.640112795206193</v>
          </cell>
          <cell r="E45">
            <v>95.302173647707988</v>
          </cell>
          <cell r="F45">
            <v>95.884176048536489</v>
          </cell>
          <cell r="G45">
            <v>108.36528883331282</v>
          </cell>
          <cell r="H45">
            <v>118.85459284652278</v>
          </cell>
          <cell r="I45">
            <v>131.72657101969014</v>
          </cell>
          <cell r="J45">
            <v>150.4845609661559</v>
          </cell>
          <cell r="K45">
            <v>165.72620218276501</v>
          </cell>
        </row>
        <row r="47">
          <cell r="A47" t="str">
            <v>Dividends</v>
          </cell>
          <cell r="B47">
            <v>-2374</v>
          </cell>
          <cell r="C47">
            <v>-2407.1965909090914</v>
          </cell>
          <cell r="D47">
            <v>-2390</v>
          </cell>
          <cell r="E47">
            <v>-2533.50407937726</v>
          </cell>
          <cell r="F47">
            <v>-2575.5236875663641</v>
          </cell>
          <cell r="G47">
            <v>-2614.0490766248508</v>
          </cell>
          <cell r="H47">
            <v>-2652.1669921874854</v>
          </cell>
          <cell r="I47">
            <v>-2690.7294950923006</v>
          </cell>
          <cell r="J47">
            <v>-2728.9584257498041</v>
          </cell>
          <cell r="K47">
            <v>-2766.7123662085605</v>
          </cell>
        </row>
        <row r="48">
          <cell r="A48" t="str">
            <v>DPS</v>
          </cell>
          <cell r="B48">
            <v>40.888735790561483</v>
          </cell>
          <cell r="C48">
            <v>42</v>
          </cell>
          <cell r="D48">
            <v>44</v>
          </cell>
          <cell r="E48">
            <v>45.32</v>
          </cell>
          <cell r="F48">
            <v>46.679600000000001</v>
          </cell>
          <cell r="G48">
            <v>48.079988</v>
          </cell>
          <cell r="H48">
            <v>49.522387639999998</v>
          </cell>
          <cell r="I48">
            <v>51.008059269199997</v>
          </cell>
          <cell r="J48">
            <v>52.538301047276001</v>
          </cell>
          <cell r="K48">
            <v>54.114450078694283</v>
          </cell>
        </row>
        <row r="50">
          <cell r="A50" t="str">
            <v>Notes:</v>
          </cell>
        </row>
        <row r="51">
          <cell r="A51" t="str">
            <v>E= Morgan Stanley Research Estimate</v>
          </cell>
        </row>
        <row r="52">
          <cell r="A52" t="str">
            <v>Source: Morgan Stanley Research</v>
          </cell>
        </row>
        <row r="55">
          <cell r="E55">
            <v>0.33149845717642373</v>
          </cell>
          <cell r="F55">
            <v>0.32148014773776551</v>
          </cell>
          <cell r="G55">
            <v>0.33048014773776546</v>
          </cell>
          <cell r="H55">
            <v>0.33348014773776546</v>
          </cell>
          <cell r="I55">
            <v>0.33251541678801089</v>
          </cell>
          <cell r="J55">
            <v>0.33601541678801083</v>
          </cell>
          <cell r="K55">
            <v>0.33951541678801078</v>
          </cell>
          <cell r="L55" t="str">
            <v>Diff in EBIT margin</v>
          </cell>
        </row>
      </sheetData>
      <sheetData sheetId="22" refreshError="1">
        <row r="1">
          <cell r="R1" t="str">
            <v>ElementName</v>
          </cell>
          <cell r="S1" t="str">
            <v>ScaleOverride</v>
          </cell>
          <cell r="T1" t="str">
            <v>UnitOverride</v>
          </cell>
          <cell r="U1" t="str">
            <v>ReverseSign</v>
          </cell>
          <cell r="V1" t="str">
            <v>IsDrivingAssumption</v>
          </cell>
          <cell r="W1" t="str">
            <v>SegmentID</v>
          </cell>
        </row>
        <row r="2">
          <cell r="A2" t="str">
            <v>GLAXOSMITHKLINE</v>
          </cell>
        </row>
        <row r="3">
          <cell r="A3" t="str">
            <v>Balance Sheet</v>
          </cell>
          <cell r="K3" t="str">
            <v>Morgan Stanley Equity Research: Pharmaceuticals</v>
          </cell>
        </row>
        <row r="4">
          <cell r="A4" t="str">
            <v>in £ millions</v>
          </cell>
          <cell r="B4">
            <v>2003</v>
          </cell>
          <cell r="C4">
            <v>2004</v>
          </cell>
          <cell r="D4">
            <v>2005</v>
          </cell>
          <cell r="E4">
            <v>2006</v>
          </cell>
          <cell r="F4">
            <v>2007</v>
          </cell>
          <cell r="G4">
            <v>2008</v>
          </cell>
          <cell r="H4">
            <v>2009</v>
          </cell>
          <cell r="I4">
            <v>2010</v>
          </cell>
          <cell r="J4">
            <v>2011</v>
          </cell>
          <cell r="K4">
            <v>2012</v>
          </cell>
        </row>
        <row r="6">
          <cell r="A6" t="str">
            <v>ASSETS</v>
          </cell>
        </row>
        <row r="7">
          <cell r="A7" t="str">
            <v>Non-current assets</v>
          </cell>
        </row>
        <row r="8">
          <cell r="A8" t="str">
            <v>Property, plant and equipment</v>
          </cell>
          <cell r="B8">
            <v>6156</v>
          </cell>
          <cell r="C8">
            <v>6197</v>
          </cell>
          <cell r="D8">
            <v>6652</v>
          </cell>
          <cell r="E8">
            <v>6932.1750000000011</v>
          </cell>
          <cell r="F8">
            <v>7201.5413000000008</v>
          </cell>
          <cell r="G8">
            <v>7460.1068660000001</v>
          </cell>
          <cell r="H8">
            <v>7707.8711763600004</v>
          </cell>
          <cell r="I8">
            <v>7944.8250584200014</v>
          </cell>
          <cell r="J8">
            <v>8170.9505150622917</v>
          </cell>
          <cell r="K8">
            <v>8386.2205408841619</v>
          </cell>
          <cell r="R8" t="str">
            <v>mstag:propertyPlantAndEquipmentNet</v>
          </cell>
          <cell r="S8">
            <v>6</v>
          </cell>
          <cell r="T8" t="str">
            <v>ISO4217:GBP</v>
          </cell>
          <cell r="U8" t="b">
            <v>0</v>
          </cell>
          <cell r="V8" t="b">
            <v>0</v>
          </cell>
        </row>
        <row r="9">
          <cell r="A9" t="str">
            <v>Goodwill</v>
          </cell>
          <cell r="B9">
            <v>155</v>
          </cell>
          <cell r="C9">
            <v>165</v>
          </cell>
          <cell r="D9">
            <v>696</v>
          </cell>
          <cell r="E9">
            <v>696</v>
          </cell>
          <cell r="F9">
            <v>696</v>
          </cell>
          <cell r="G9">
            <v>696</v>
          </cell>
          <cell r="H9">
            <v>696</v>
          </cell>
          <cell r="I9">
            <v>696</v>
          </cell>
          <cell r="J9">
            <v>696</v>
          </cell>
          <cell r="K9">
            <v>696</v>
          </cell>
          <cell r="R9" t="str">
            <v>mstag:goodwill</v>
          </cell>
          <cell r="S9">
            <v>6</v>
          </cell>
          <cell r="T9" t="str">
            <v>ISO4217:GBP</v>
          </cell>
          <cell r="U9" t="b">
            <v>0</v>
          </cell>
          <cell r="V9" t="b">
            <v>0</v>
          </cell>
        </row>
        <row r="10">
          <cell r="A10" t="str">
            <v>Computer software</v>
          </cell>
          <cell r="B10">
            <v>0</v>
          </cell>
          <cell r="C10">
            <v>272</v>
          </cell>
          <cell r="D10">
            <v>263</v>
          </cell>
          <cell r="E10">
            <v>247.71857142857147</v>
          </cell>
          <cell r="F10">
            <v>238.99590000000012</v>
          </cell>
          <cell r="G10">
            <v>235.87543357142874</v>
          </cell>
          <cell r="H10">
            <v>237.56957132714297</v>
          </cell>
          <cell r="I10">
            <v>243.43119555147155</v>
          </cell>
          <cell r="J10">
            <v>252.93005314023344</v>
          </cell>
          <cell r="K10">
            <v>265.63316280077765</v>
          </cell>
          <cell r="R10" t="str">
            <v>mstag:otherIntangibleAssets</v>
          </cell>
          <cell r="S10">
            <v>6</v>
          </cell>
          <cell r="T10" t="str">
            <v>ISO4217:GBP</v>
          </cell>
          <cell r="U10" t="b">
            <v>0</v>
          </cell>
          <cell r="V10" t="b">
            <v>0</v>
          </cell>
        </row>
        <row r="11">
          <cell r="A11" t="str">
            <v>Other intangible assets</v>
          </cell>
          <cell r="B11">
            <v>2230</v>
          </cell>
          <cell r="C11">
            <v>2241</v>
          </cell>
          <cell r="D11">
            <v>3120</v>
          </cell>
          <cell r="E11">
            <v>3230.4663999999998</v>
          </cell>
          <cell r="F11">
            <v>3334.2604727999997</v>
          </cell>
          <cell r="G11">
            <v>3458.42520496</v>
          </cell>
          <cell r="H11">
            <v>3576.0033141091199</v>
          </cell>
          <cell r="I11">
            <v>3687.0372661402243</v>
          </cell>
          <cell r="J11">
            <v>3791.5692922969724</v>
          </cell>
          <cell r="K11">
            <v>3889.6908104698678</v>
          </cell>
          <cell r="R11" t="str">
            <v>mstag:otherIntangibleAssets</v>
          </cell>
          <cell r="S11">
            <v>6</v>
          </cell>
          <cell r="T11" t="str">
            <v>ISO4217:GBP</v>
          </cell>
          <cell r="U11" t="b">
            <v>0</v>
          </cell>
          <cell r="V11" t="b">
            <v>0</v>
          </cell>
        </row>
        <row r="12">
          <cell r="A12" t="str">
            <v>Investments in associates and joint ventures</v>
          </cell>
          <cell r="B12">
            <v>210</v>
          </cell>
          <cell r="C12">
            <v>209</v>
          </cell>
          <cell r="D12">
            <v>276</v>
          </cell>
          <cell r="E12">
            <v>328</v>
          </cell>
          <cell r="F12">
            <v>380</v>
          </cell>
          <cell r="G12">
            <v>432</v>
          </cell>
          <cell r="H12">
            <v>484</v>
          </cell>
          <cell r="I12">
            <v>536</v>
          </cell>
          <cell r="J12">
            <v>588</v>
          </cell>
          <cell r="K12">
            <v>640</v>
          </cell>
          <cell r="R12" t="str">
            <v>mstag:investmentsUnderTheEquityMethodOperating</v>
          </cell>
          <cell r="S12">
            <v>6</v>
          </cell>
          <cell r="T12" t="str">
            <v>ISO4217:GBP</v>
          </cell>
          <cell r="U12" t="b">
            <v>0</v>
          </cell>
          <cell r="V12" t="b">
            <v>0</v>
          </cell>
        </row>
        <row r="13">
          <cell r="A13" t="str">
            <v>Other investments</v>
          </cell>
          <cell r="B13">
            <v>262</v>
          </cell>
          <cell r="C13">
            <v>298</v>
          </cell>
          <cell r="D13">
            <v>362</v>
          </cell>
          <cell r="E13">
            <v>362</v>
          </cell>
          <cell r="F13">
            <v>362</v>
          </cell>
          <cell r="G13">
            <v>362</v>
          </cell>
          <cell r="H13">
            <v>362</v>
          </cell>
          <cell r="I13">
            <v>362</v>
          </cell>
          <cell r="J13">
            <v>362</v>
          </cell>
          <cell r="K13">
            <v>362</v>
          </cell>
          <cell r="R13" t="str">
            <v>mstag:otherAssets</v>
          </cell>
          <cell r="S13">
            <v>6</v>
          </cell>
          <cell r="T13" t="str">
            <v>ISO4217:GBP</v>
          </cell>
          <cell r="U13" t="b">
            <v>0</v>
          </cell>
          <cell r="V13" t="b">
            <v>0</v>
          </cell>
        </row>
        <row r="14">
          <cell r="A14" t="str">
            <v>Deferred tax assets</v>
          </cell>
          <cell r="B14">
            <v>1939</v>
          </cell>
          <cell r="C14">
            <v>2032</v>
          </cell>
          <cell r="D14">
            <v>2214</v>
          </cell>
          <cell r="E14">
            <v>2302.56</v>
          </cell>
          <cell r="F14">
            <v>2394.6624000000002</v>
          </cell>
          <cell r="G14">
            <v>2490.4488960000003</v>
          </cell>
          <cell r="H14">
            <v>2590.0668518400003</v>
          </cell>
          <cell r="I14">
            <v>2693.6695259136004</v>
          </cell>
          <cell r="J14">
            <v>2801.4163069501446</v>
          </cell>
          <cell r="K14">
            <v>2913.4729592281506</v>
          </cell>
          <cell r="R14" t="str">
            <v>mstag:deferredTaxAssets</v>
          </cell>
          <cell r="S14">
            <v>6</v>
          </cell>
          <cell r="T14" t="str">
            <v>ISO4217:GBP</v>
          </cell>
          <cell r="U14" t="b">
            <v>0</v>
          </cell>
          <cell r="V14" t="b">
            <v>0</v>
          </cell>
        </row>
        <row r="15">
          <cell r="A15" t="str">
            <v>Other non-current assets</v>
          </cell>
          <cell r="B15">
            <v>531</v>
          </cell>
          <cell r="C15">
            <v>248</v>
          </cell>
          <cell r="D15">
            <v>438</v>
          </cell>
          <cell r="E15">
            <v>438</v>
          </cell>
          <cell r="F15">
            <v>438</v>
          </cell>
          <cell r="G15">
            <v>438</v>
          </cell>
          <cell r="H15">
            <v>438</v>
          </cell>
          <cell r="I15">
            <v>438</v>
          </cell>
          <cell r="J15">
            <v>438</v>
          </cell>
          <cell r="K15">
            <v>438</v>
          </cell>
          <cell r="R15" t="str">
            <v>mstag:otherAssets</v>
          </cell>
          <cell r="S15">
            <v>6</v>
          </cell>
          <cell r="T15" t="str">
            <v>ISO4217:GBP</v>
          </cell>
          <cell r="U15" t="b">
            <v>0</v>
          </cell>
          <cell r="V15" t="b">
            <v>0</v>
          </cell>
        </row>
        <row r="17">
          <cell r="A17" t="str">
            <v>Total non-current assets</v>
          </cell>
          <cell r="B17">
            <v>11483</v>
          </cell>
          <cell r="C17">
            <v>11662</v>
          </cell>
          <cell r="D17">
            <v>14021</v>
          </cell>
          <cell r="E17">
            <v>14536.919971428571</v>
          </cell>
          <cell r="F17">
            <v>15045.4600728</v>
          </cell>
          <cell r="G17">
            <v>15572.856400531429</v>
          </cell>
          <cell r="H17">
            <v>16091.510913636264</v>
          </cell>
          <cell r="I17">
            <v>16600.963046025296</v>
          </cell>
          <cell r="J17">
            <v>17100.86616744964</v>
          </cell>
          <cell r="K17">
            <v>17591.017473382959</v>
          </cell>
        </row>
        <row r="19">
          <cell r="A19" t="str">
            <v>Current assets</v>
          </cell>
        </row>
        <row r="20">
          <cell r="A20" t="str">
            <v>Inventories</v>
          </cell>
          <cell r="B20">
            <v>2109</v>
          </cell>
          <cell r="C20">
            <v>2193</v>
          </cell>
          <cell r="D20">
            <v>2177</v>
          </cell>
          <cell r="E20">
            <v>2301.8063616544509</v>
          </cell>
          <cell r="F20">
            <v>2377.7322484049414</v>
          </cell>
          <cell r="G20">
            <v>2500.8884049644626</v>
          </cell>
          <cell r="H20">
            <v>2558.7186656922636</v>
          </cell>
          <cell r="I20">
            <v>2726.8232627784719</v>
          </cell>
          <cell r="J20">
            <v>2961.7043557168217</v>
          </cell>
          <cell r="K20">
            <v>3096.3584168600196</v>
          </cell>
          <cell r="R20" t="str">
            <v>mstag:inventories</v>
          </cell>
          <cell r="S20">
            <v>6</v>
          </cell>
          <cell r="T20" t="str">
            <v>ISO4217:GBP</v>
          </cell>
          <cell r="U20" t="b">
            <v>0</v>
          </cell>
          <cell r="V20" t="b">
            <v>0</v>
          </cell>
        </row>
        <row r="21">
          <cell r="A21" t="str">
            <v>Trade receivables</v>
          </cell>
          <cell r="B21">
            <v>3715</v>
          </cell>
          <cell r="C21">
            <v>3786</v>
          </cell>
          <cell r="D21">
            <v>4411</v>
          </cell>
          <cell r="E21">
            <v>4813.4095206074599</v>
          </cell>
          <cell r="F21">
            <v>4900.492588273657</v>
          </cell>
          <cell r="G21">
            <v>5277.0385505380737</v>
          </cell>
          <cell r="H21">
            <v>5612.8885178522405</v>
          </cell>
          <cell r="I21">
            <v>6103.576818917013</v>
          </cell>
          <cell r="J21">
            <v>6748.637573244273</v>
          </cell>
          <cell r="K21">
            <v>7184.7772735003882</v>
          </cell>
          <cell r="R21" t="str">
            <v>mstag:tradeReceivables</v>
          </cell>
          <cell r="S21">
            <v>6</v>
          </cell>
          <cell r="T21" t="str">
            <v>ISO4217:GBP</v>
          </cell>
          <cell r="U21" t="b">
            <v>0</v>
          </cell>
          <cell r="V21" t="b">
            <v>0</v>
          </cell>
        </row>
        <row r="22">
          <cell r="A22" t="str">
            <v>Other receivables</v>
          </cell>
          <cell r="B22">
            <v>780</v>
          </cell>
          <cell r="C22">
            <v>1028</v>
          </cell>
          <cell r="D22">
            <v>1353</v>
          </cell>
          <cell r="E22">
            <v>1483.0414917923129</v>
          </cell>
          <cell r="F22">
            <v>1509.8723280277534</v>
          </cell>
          <cell r="G22">
            <v>1625.888487304082</v>
          </cell>
          <cell r="H22">
            <v>1729.3659567385016</v>
          </cell>
          <cell r="I22">
            <v>1880.5500824399639</v>
          </cell>
          <cell r="J22">
            <v>2079.2973237246497</v>
          </cell>
          <cell r="K22">
            <v>2213.6746853284158</v>
          </cell>
          <cell r="R22" t="str">
            <v>mstag:otherReceivables</v>
          </cell>
          <cell r="S22">
            <v>6</v>
          </cell>
          <cell r="T22" t="str">
            <v>ISO4217:GBP</v>
          </cell>
          <cell r="U22" t="b">
            <v>0</v>
          </cell>
          <cell r="V22" t="b">
            <v>0</v>
          </cell>
        </row>
        <row r="23">
          <cell r="A23" t="str">
            <v>Liquid investments</v>
          </cell>
          <cell r="B23">
            <v>1469</v>
          </cell>
          <cell r="C23">
            <v>1512</v>
          </cell>
          <cell r="D23">
            <v>1025</v>
          </cell>
          <cell r="E23">
            <v>1025</v>
          </cell>
          <cell r="F23">
            <v>1025</v>
          </cell>
          <cell r="G23">
            <v>1025</v>
          </cell>
          <cell r="H23">
            <v>1025</v>
          </cell>
          <cell r="I23">
            <v>1025</v>
          </cell>
          <cell r="J23">
            <v>1025</v>
          </cell>
          <cell r="K23">
            <v>1025</v>
          </cell>
          <cell r="R23" t="str">
            <v>mstag:shortTermInvestments</v>
          </cell>
          <cell r="S23">
            <v>6</v>
          </cell>
          <cell r="T23" t="str">
            <v>ISO4217:GBP</v>
          </cell>
          <cell r="U23" t="b">
            <v>0</v>
          </cell>
          <cell r="V23" t="b">
            <v>0</v>
          </cell>
        </row>
        <row r="24">
          <cell r="A24" t="str">
            <v>Cash and cash equivalents</v>
          </cell>
          <cell r="B24">
            <v>1986</v>
          </cell>
          <cell r="C24">
            <v>2467</v>
          </cell>
          <cell r="D24">
            <v>4209</v>
          </cell>
          <cell r="E24">
            <v>5956.3012921328154</v>
          </cell>
          <cell r="F24">
            <v>7091.8825802361971</v>
          </cell>
          <cell r="G24">
            <v>8778.0055445688813</v>
          </cell>
          <cell r="H24">
            <v>10869.726579954651</v>
          </cell>
          <cell r="I24">
            <v>13369.36048589472</v>
          </cell>
          <cell r="J24">
            <v>16612.337710044365</v>
          </cell>
          <cell r="K24">
            <v>20407.382595022071</v>
          </cell>
          <cell r="R24" t="str">
            <v>mstag:cashAndCashEquivalents</v>
          </cell>
          <cell r="S24">
            <v>6</v>
          </cell>
          <cell r="T24" t="str">
            <v>ISO4217:GBP</v>
          </cell>
          <cell r="U24" t="b">
            <v>0</v>
          </cell>
          <cell r="V24" t="b">
            <v>0</v>
          </cell>
        </row>
        <row r="25">
          <cell r="A25" t="str">
            <v>Assets held for sale</v>
          </cell>
          <cell r="C25">
            <v>2</v>
          </cell>
          <cell r="D25">
            <v>2</v>
          </cell>
          <cell r="R25" t="str">
            <v>mstag:otherAssetsNonOperating</v>
          </cell>
          <cell r="S25">
            <v>6</v>
          </cell>
          <cell r="T25" t="str">
            <v>ISO4217:GBP</v>
          </cell>
          <cell r="U25" t="b">
            <v>0</v>
          </cell>
          <cell r="V25" t="b">
            <v>0</v>
          </cell>
        </row>
        <row r="27">
          <cell r="A27" t="str">
            <v>Total current assets</v>
          </cell>
          <cell r="B27">
            <v>10059</v>
          </cell>
          <cell r="C27">
            <v>10988</v>
          </cell>
          <cell r="D27">
            <v>13177</v>
          </cell>
          <cell r="E27">
            <v>15579.55866618704</v>
          </cell>
          <cell r="F27">
            <v>16904.97974494255</v>
          </cell>
          <cell r="G27">
            <v>19206.8209873755</v>
          </cell>
          <cell r="H27">
            <v>21795.699720237659</v>
          </cell>
          <cell r="I27">
            <v>25105.310650030169</v>
          </cell>
          <cell r="J27">
            <v>29426.976962730107</v>
          </cell>
          <cell r="K27">
            <v>33927.192970710894</v>
          </cell>
        </row>
        <row r="29">
          <cell r="A29" t="str">
            <v>TOTAL ASSETS</v>
          </cell>
          <cell r="B29">
            <v>21542</v>
          </cell>
          <cell r="C29">
            <v>22650</v>
          </cell>
          <cell r="D29">
            <v>27198</v>
          </cell>
          <cell r="E29">
            <v>30116.478637615612</v>
          </cell>
          <cell r="F29">
            <v>31950.43981774255</v>
          </cell>
          <cell r="G29">
            <v>34779.67738790693</v>
          </cell>
          <cell r="H29">
            <v>37887.210633873925</v>
          </cell>
          <cell r="I29">
            <v>41706.273696055461</v>
          </cell>
          <cell r="J29">
            <v>46527.843130179746</v>
          </cell>
          <cell r="K29">
            <v>51518.210444093856</v>
          </cell>
        </row>
        <row r="31">
          <cell r="A31" t="str">
            <v>LIABILITIES</v>
          </cell>
        </row>
        <row r="32">
          <cell r="A32" t="str">
            <v>Current liabilities</v>
          </cell>
        </row>
        <row r="34">
          <cell r="A34" t="str">
            <v>Short-term borrowings</v>
          </cell>
          <cell r="B34">
            <v>1452</v>
          </cell>
          <cell r="C34">
            <v>1582</v>
          </cell>
          <cell r="D34">
            <v>1200</v>
          </cell>
          <cell r="E34">
            <v>1200</v>
          </cell>
          <cell r="F34">
            <v>1200</v>
          </cell>
          <cell r="G34">
            <v>1200</v>
          </cell>
          <cell r="H34">
            <v>1200</v>
          </cell>
          <cell r="I34">
            <v>1200</v>
          </cell>
          <cell r="J34">
            <v>1200</v>
          </cell>
          <cell r="K34">
            <v>1200</v>
          </cell>
          <cell r="R34" t="str">
            <v>mstag:shortTermBorrowings</v>
          </cell>
          <cell r="S34">
            <v>6</v>
          </cell>
          <cell r="T34" t="str">
            <v>ISO4217:GBP</v>
          </cell>
          <cell r="U34" t="b">
            <v>0</v>
          </cell>
          <cell r="V34" t="b">
            <v>0</v>
          </cell>
        </row>
        <row r="35">
          <cell r="A35" t="str">
            <v>Trade payables</v>
          </cell>
          <cell r="B35">
            <v>686</v>
          </cell>
          <cell r="C35">
            <v>707</v>
          </cell>
          <cell r="D35">
            <v>819</v>
          </cell>
          <cell r="E35">
            <v>868.34611248042165</v>
          </cell>
          <cell r="F35">
            <v>896.98881227252286</v>
          </cell>
          <cell r="G35">
            <v>943.44891923809075</v>
          </cell>
          <cell r="H35">
            <v>965.26512538091379</v>
          </cell>
          <cell r="I35">
            <v>1028.6818296709207</v>
          </cell>
          <cell r="J35">
            <v>1117.2896671267054</v>
          </cell>
          <cell r="K35">
            <v>1168.0873069591692</v>
          </cell>
          <cell r="R35" t="str">
            <v>mstag:tradePayablesCurrent</v>
          </cell>
          <cell r="S35">
            <v>6</v>
          </cell>
          <cell r="T35" t="str">
            <v>ISO4217:GBP</v>
          </cell>
          <cell r="U35" t="b">
            <v>0</v>
          </cell>
          <cell r="V35" t="b">
            <v>0</v>
          </cell>
        </row>
        <row r="36">
          <cell r="A36" t="str">
            <v>Other payables</v>
          </cell>
          <cell r="B36">
            <v>4031</v>
          </cell>
          <cell r="C36">
            <v>4131</v>
          </cell>
          <cell r="D36">
            <v>4328</v>
          </cell>
          <cell r="E36">
            <v>4652.3290597962859</v>
          </cell>
          <cell r="F36">
            <v>4747.2928683302534</v>
          </cell>
          <cell r="G36">
            <v>5049.9144178810839</v>
          </cell>
          <cell r="H36">
            <v>5371.3093775619773</v>
          </cell>
          <cell r="I36">
            <v>5840.8784175645178</v>
          </cell>
          <cell r="J36">
            <v>6458.1757089315342</v>
          </cell>
          <cell r="K36">
            <v>6875.5439239712196</v>
          </cell>
          <cell r="R36" t="str">
            <v>mstag:otherPayablesCurrent</v>
          </cell>
          <cell r="S36">
            <v>6</v>
          </cell>
          <cell r="T36" t="str">
            <v>ISO4217:GBP</v>
          </cell>
          <cell r="U36" t="b">
            <v>0</v>
          </cell>
          <cell r="V36" t="b">
            <v>0</v>
          </cell>
        </row>
        <row r="37">
          <cell r="A37" t="str">
            <v>Current tax payable</v>
          </cell>
          <cell r="B37">
            <v>1458</v>
          </cell>
          <cell r="C37">
            <v>1598</v>
          </cell>
          <cell r="D37">
            <v>2269</v>
          </cell>
          <cell r="E37">
            <v>2711.8176598611117</v>
          </cell>
          <cell r="F37">
            <v>2692.4356411863287</v>
          </cell>
          <cell r="G37">
            <v>2997.9937744428821</v>
          </cell>
          <cell r="H37">
            <v>3238.4087113929263</v>
          </cell>
          <cell r="I37">
            <v>3534.6327875447951</v>
          </cell>
          <cell r="J37">
            <v>3975.3633010458798</v>
          </cell>
          <cell r="K37">
            <v>4308.4438124641565</v>
          </cell>
          <cell r="R37" t="str">
            <v>mstag:incomeTaxPayable</v>
          </cell>
          <cell r="S37">
            <v>6</v>
          </cell>
          <cell r="T37" t="str">
            <v>ISO4217:GBP</v>
          </cell>
          <cell r="U37" t="b">
            <v>0</v>
          </cell>
          <cell r="V37" t="b">
            <v>0</v>
          </cell>
        </row>
        <row r="38">
          <cell r="A38" t="str">
            <v>Short-term provisions</v>
          </cell>
          <cell r="B38">
            <v>968</v>
          </cell>
          <cell r="C38">
            <v>962</v>
          </cell>
          <cell r="D38">
            <v>895</v>
          </cell>
          <cell r="E38">
            <v>895</v>
          </cell>
          <cell r="F38">
            <v>895</v>
          </cell>
          <cell r="G38">
            <v>895</v>
          </cell>
          <cell r="H38">
            <v>895</v>
          </cell>
          <cell r="I38">
            <v>895</v>
          </cell>
          <cell r="J38">
            <v>895</v>
          </cell>
          <cell r="K38">
            <v>895</v>
          </cell>
          <cell r="R38" t="str">
            <v>mstag:provisionsAndReserves</v>
          </cell>
          <cell r="S38">
            <v>6</v>
          </cell>
          <cell r="T38" t="str">
            <v>ISO4217:GBP</v>
          </cell>
          <cell r="U38" t="b">
            <v>0</v>
          </cell>
          <cell r="V38" t="b">
            <v>0</v>
          </cell>
        </row>
        <row r="40">
          <cell r="A40" t="str">
            <v>Total current liabilities</v>
          </cell>
          <cell r="B40">
            <v>8595</v>
          </cell>
          <cell r="C40">
            <v>8980</v>
          </cell>
          <cell r="D40">
            <v>9511</v>
          </cell>
          <cell r="E40">
            <v>10327.492832137819</v>
          </cell>
          <cell r="F40">
            <v>10431.717321789105</v>
          </cell>
          <cell r="G40">
            <v>11086.357111562056</v>
          </cell>
          <cell r="H40">
            <v>11669.983214335818</v>
          </cell>
          <cell r="I40">
            <v>12499.193034780234</v>
          </cell>
          <cell r="J40">
            <v>13645.82867710412</v>
          </cell>
          <cell r="K40">
            <v>14447.075043394545</v>
          </cell>
        </row>
        <row r="42">
          <cell r="A42" t="str">
            <v>Non-current liabilities</v>
          </cell>
        </row>
        <row r="43">
          <cell r="A43" t="str">
            <v>Long-term borrowings</v>
          </cell>
          <cell r="B43">
            <v>3651</v>
          </cell>
          <cell r="C43">
            <v>4381</v>
          </cell>
          <cell r="D43">
            <v>5271</v>
          </cell>
          <cell r="E43">
            <v>5271</v>
          </cell>
          <cell r="F43">
            <v>5271</v>
          </cell>
          <cell r="G43">
            <v>5271</v>
          </cell>
          <cell r="H43">
            <v>5271</v>
          </cell>
          <cell r="I43">
            <v>5271</v>
          </cell>
          <cell r="J43">
            <v>5271</v>
          </cell>
          <cell r="K43">
            <v>5271</v>
          </cell>
          <cell r="R43" t="str">
            <v>mstag:longTermDebt</v>
          </cell>
          <cell r="S43">
            <v>6</v>
          </cell>
          <cell r="T43" t="str">
            <v>ISO4217:GBP</v>
          </cell>
          <cell r="U43" t="b">
            <v>0</v>
          </cell>
          <cell r="V43" t="b">
            <v>0</v>
          </cell>
        </row>
        <row r="44">
          <cell r="A44" t="str">
            <v>Deferred tax provision</v>
          </cell>
          <cell r="B44">
            <v>169</v>
          </cell>
          <cell r="C44">
            <v>377</v>
          </cell>
          <cell r="D44">
            <v>569</v>
          </cell>
          <cell r="E44">
            <v>591.76</v>
          </cell>
          <cell r="F44">
            <v>615.43039999999996</v>
          </cell>
          <cell r="G44">
            <v>640.04761599999995</v>
          </cell>
          <cell r="H44">
            <v>665.64952063999999</v>
          </cell>
          <cell r="I44">
            <v>692.27550146559997</v>
          </cell>
          <cell r="J44">
            <v>719.96652152422405</v>
          </cell>
          <cell r="K44">
            <v>748.76518238519304</v>
          </cell>
          <cell r="R44" t="str">
            <v>mstag:deferredTaxLiabilities</v>
          </cell>
          <cell r="S44">
            <v>6</v>
          </cell>
          <cell r="T44" t="str">
            <v>ISO4217:GBP</v>
          </cell>
          <cell r="U44" t="b">
            <v>0</v>
          </cell>
          <cell r="V44" t="b">
            <v>0</v>
          </cell>
        </row>
        <row r="45">
          <cell r="A45" t="str">
            <v>Pensions and other post-employment benefits</v>
          </cell>
          <cell r="B45">
            <v>2944</v>
          </cell>
          <cell r="C45">
            <v>2519</v>
          </cell>
          <cell r="D45">
            <v>3069</v>
          </cell>
          <cell r="E45">
            <v>3069</v>
          </cell>
          <cell r="F45">
            <v>3069</v>
          </cell>
          <cell r="G45">
            <v>3069</v>
          </cell>
          <cell r="H45">
            <v>3069</v>
          </cell>
          <cell r="I45">
            <v>3069</v>
          </cell>
          <cell r="J45">
            <v>3069</v>
          </cell>
          <cell r="K45">
            <v>3069</v>
          </cell>
          <cell r="R45" t="str">
            <v>mstag:pensionAndOtherPostRetirementObligations</v>
          </cell>
          <cell r="S45">
            <v>6</v>
          </cell>
          <cell r="T45" t="str">
            <v>ISO4217:GBP</v>
          </cell>
          <cell r="U45" t="b">
            <v>0</v>
          </cell>
          <cell r="V45" t="b">
            <v>0</v>
          </cell>
        </row>
        <row r="46">
          <cell r="A46" t="str">
            <v>Other provisions</v>
          </cell>
          <cell r="B46">
            <v>655</v>
          </cell>
          <cell r="C46">
            <v>569</v>
          </cell>
          <cell r="D46">
            <v>741</v>
          </cell>
          <cell r="E46">
            <v>741</v>
          </cell>
          <cell r="F46">
            <v>741</v>
          </cell>
          <cell r="G46">
            <v>741</v>
          </cell>
          <cell r="H46">
            <v>741</v>
          </cell>
          <cell r="I46">
            <v>741</v>
          </cell>
          <cell r="J46">
            <v>741</v>
          </cell>
          <cell r="K46">
            <v>741</v>
          </cell>
          <cell r="R46" t="str">
            <v>mstag:provisionsAndReserves</v>
          </cell>
          <cell r="S46">
            <v>6</v>
          </cell>
          <cell r="T46" t="str">
            <v>ISO4217:GBP</v>
          </cell>
          <cell r="U46" t="b">
            <v>0</v>
          </cell>
          <cell r="V46" t="b">
            <v>0</v>
          </cell>
        </row>
        <row r="47">
          <cell r="A47" t="str">
            <v>Other non-current liabilities</v>
          </cell>
          <cell r="B47">
            <v>232</v>
          </cell>
          <cell r="C47">
            <v>244</v>
          </cell>
          <cell r="D47">
            <v>467</v>
          </cell>
          <cell r="E47">
            <v>467</v>
          </cell>
          <cell r="F47">
            <v>467</v>
          </cell>
          <cell r="G47">
            <v>467</v>
          </cell>
          <cell r="H47">
            <v>467</v>
          </cell>
          <cell r="I47">
            <v>467</v>
          </cell>
          <cell r="J47">
            <v>467</v>
          </cell>
          <cell r="K47">
            <v>467</v>
          </cell>
          <cell r="R47" t="str">
            <v>mstag:otherLiabilitiesOperating</v>
          </cell>
          <cell r="S47">
            <v>6</v>
          </cell>
          <cell r="T47" t="str">
            <v>ISO4217:GBP</v>
          </cell>
          <cell r="U47" t="b">
            <v>0</v>
          </cell>
          <cell r="V47" t="b">
            <v>0</v>
          </cell>
        </row>
        <row r="49">
          <cell r="A49" t="str">
            <v>Total non-current liabilities</v>
          </cell>
          <cell r="B49">
            <v>7651</v>
          </cell>
          <cell r="C49">
            <v>8090</v>
          </cell>
          <cell r="D49">
            <v>10117</v>
          </cell>
          <cell r="E49">
            <v>10139.76</v>
          </cell>
          <cell r="F49">
            <v>10163.430400000001</v>
          </cell>
          <cell r="G49">
            <v>10188.047616</v>
          </cell>
          <cell r="H49">
            <v>10213.64952064</v>
          </cell>
          <cell r="I49">
            <v>10240.2755014656</v>
          </cell>
          <cell r="J49">
            <v>10267.966521524224</v>
          </cell>
          <cell r="K49">
            <v>10296.765182385192</v>
          </cell>
        </row>
        <row r="51">
          <cell r="A51" t="str">
            <v>TOTAL LIABILITIES</v>
          </cell>
          <cell r="B51">
            <v>16246</v>
          </cell>
          <cell r="C51">
            <v>17070</v>
          </cell>
          <cell r="D51">
            <v>19628</v>
          </cell>
          <cell r="E51">
            <v>20467.252832137819</v>
          </cell>
          <cell r="F51">
            <v>20595.147721789108</v>
          </cell>
          <cell r="G51">
            <v>21274.404727562054</v>
          </cell>
          <cell r="H51">
            <v>21883.632734975818</v>
          </cell>
          <cell r="I51">
            <v>22739.468536245833</v>
          </cell>
          <cell r="J51">
            <v>23913.795198628344</v>
          </cell>
          <cell r="K51">
            <v>24743.840225779735</v>
          </cell>
        </row>
        <row r="53">
          <cell r="A53" t="str">
            <v>NET ASSETS</v>
          </cell>
          <cell r="B53">
            <v>5296</v>
          </cell>
          <cell r="C53">
            <v>5580</v>
          </cell>
          <cell r="D53">
            <v>7570</v>
          </cell>
          <cell r="E53">
            <v>9649.2258054777922</v>
          </cell>
          <cell r="F53">
            <v>11355.292095953442</v>
          </cell>
          <cell r="G53">
            <v>13505.272660344875</v>
          </cell>
          <cell r="H53">
            <v>16003.577898898107</v>
          </cell>
          <cell r="I53">
            <v>18966.805159809628</v>
          </cell>
          <cell r="J53">
            <v>22614.047931551402</v>
          </cell>
          <cell r="K53">
            <v>26774.370218314121</v>
          </cell>
        </row>
        <row r="55">
          <cell r="A55" t="str">
            <v>EQUITY</v>
          </cell>
        </row>
        <row r="56">
          <cell r="A56" t="str">
            <v>Share capital</v>
          </cell>
          <cell r="B56">
            <v>1487</v>
          </cell>
          <cell r="C56">
            <v>1484</v>
          </cell>
          <cell r="D56">
            <v>1491</v>
          </cell>
          <cell r="E56">
            <v>1491</v>
          </cell>
          <cell r="F56">
            <v>1491</v>
          </cell>
          <cell r="G56">
            <v>1491</v>
          </cell>
          <cell r="H56">
            <v>1491</v>
          </cell>
          <cell r="I56">
            <v>1491</v>
          </cell>
          <cell r="J56">
            <v>1491</v>
          </cell>
          <cell r="K56">
            <v>1491</v>
          </cell>
          <cell r="R56" t="str">
            <v>mstag:commonStock</v>
          </cell>
          <cell r="S56">
            <v>6</v>
          </cell>
          <cell r="T56" t="str">
            <v>ISO4217:GBP</v>
          </cell>
          <cell r="U56" t="b">
            <v>0</v>
          </cell>
          <cell r="V56" t="b">
            <v>0</v>
          </cell>
        </row>
        <row r="57">
          <cell r="A57" t="str">
            <v>Share premium account</v>
          </cell>
          <cell r="B57">
            <v>264</v>
          </cell>
          <cell r="C57">
            <v>304</v>
          </cell>
          <cell r="D57">
            <v>549</v>
          </cell>
          <cell r="E57">
            <v>549</v>
          </cell>
          <cell r="F57">
            <v>549</v>
          </cell>
          <cell r="G57">
            <v>549</v>
          </cell>
          <cell r="H57">
            <v>549</v>
          </cell>
          <cell r="I57">
            <v>549</v>
          </cell>
          <cell r="J57">
            <v>549</v>
          </cell>
          <cell r="K57">
            <v>549</v>
          </cell>
          <cell r="R57" t="str">
            <v>mstag:additionalPaidInCapital</v>
          </cell>
          <cell r="S57">
            <v>6</v>
          </cell>
          <cell r="T57" t="str">
            <v>ISO4217:GBP</v>
          </cell>
          <cell r="U57" t="b">
            <v>0</v>
          </cell>
          <cell r="V57" t="b">
            <v>0</v>
          </cell>
        </row>
        <row r="58">
          <cell r="A58" t="str">
            <v>Shares held by ESOP trusts</v>
          </cell>
          <cell r="B58">
            <v>-2718</v>
          </cell>
          <cell r="C58">
            <v>-2536</v>
          </cell>
          <cell r="D58">
            <v>-2313</v>
          </cell>
          <cell r="E58">
            <v>-2313</v>
          </cell>
          <cell r="F58">
            <v>-2313</v>
          </cell>
          <cell r="G58">
            <v>-2313</v>
          </cell>
          <cell r="H58">
            <v>-2313</v>
          </cell>
          <cell r="I58">
            <v>-2313</v>
          </cell>
          <cell r="J58">
            <v>-2313</v>
          </cell>
          <cell r="K58">
            <v>-2313</v>
          </cell>
          <cell r="R58" t="str">
            <v>mstag:accumulatedOtherComprehensiveIncomeLossAndReserves</v>
          </cell>
          <cell r="S58">
            <v>6</v>
          </cell>
          <cell r="T58" t="str">
            <v>ISO4217:GBP</v>
          </cell>
          <cell r="U58" t="b">
            <v>0</v>
          </cell>
          <cell r="V58" t="b">
            <v>0</v>
          </cell>
        </row>
        <row r="59">
          <cell r="A59" t="str">
            <v>Other reserves</v>
          </cell>
          <cell r="B59">
            <v>1925</v>
          </cell>
          <cell r="C59">
            <v>1930</v>
          </cell>
          <cell r="D59">
            <v>2005</v>
          </cell>
          <cell r="E59">
            <v>2275.2078389041162</v>
          </cell>
          <cell r="F59">
            <v>2541.9904481490121</v>
          </cell>
          <cell r="G59">
            <v>2837.3148022957512</v>
          </cell>
          <cell r="H59">
            <v>3154.2861610613218</v>
          </cell>
          <cell r="I59">
            <v>3497.9705617423115</v>
          </cell>
          <cell r="J59">
            <v>3881.977374394985</v>
          </cell>
          <cell r="K59">
            <v>4295.0595247571919</v>
          </cell>
          <cell r="R59" t="str">
            <v>mstag:accumulatedOtherComprehensiveIncomeLossAndReserves</v>
          </cell>
          <cell r="S59">
            <v>6</v>
          </cell>
          <cell r="T59" t="str">
            <v>ISO4217:GBP</v>
          </cell>
          <cell r="U59" t="b">
            <v>0</v>
          </cell>
          <cell r="V59" t="b">
            <v>0</v>
          </cell>
        </row>
        <row r="60">
          <cell r="A60" t="str">
            <v>Retained earnings</v>
          </cell>
          <cell r="B60">
            <v>3598</v>
          </cell>
          <cell r="C60">
            <v>4126</v>
          </cell>
          <cell r="D60">
            <v>5579</v>
          </cell>
          <cell r="E60">
            <v>7340.3225973079661</v>
          </cell>
          <cell r="F60">
            <v>8733.0705135580756</v>
          </cell>
          <cell r="G60">
            <v>10536.86039438716</v>
          </cell>
          <cell r="H60">
            <v>12664.364410468808</v>
          </cell>
          <cell r="I60">
            <v>15226.403474499526</v>
          </cell>
          <cell r="J60">
            <v>18426.352711915744</v>
          </cell>
          <cell r="K60">
            <v>22106.701912215845</v>
          </cell>
          <cell r="R60" t="str">
            <v>mstag:retainedEarnings</v>
          </cell>
          <cell r="S60">
            <v>6</v>
          </cell>
          <cell r="T60" t="str">
            <v>ISO4217:GBP</v>
          </cell>
          <cell r="U60" t="b">
            <v>0</v>
          </cell>
          <cell r="V60" t="b">
            <v>0</v>
          </cell>
        </row>
        <row r="61">
          <cell r="B61">
            <v>4556</v>
          </cell>
          <cell r="C61">
            <v>5308</v>
          </cell>
          <cell r="D61">
            <v>7311</v>
          </cell>
          <cell r="E61">
            <v>9342.5304362120823</v>
          </cell>
          <cell r="F61">
            <v>11002.060961707088</v>
          </cell>
          <cell r="G61">
            <v>13101.175196682911</v>
          </cell>
          <cell r="H61">
            <v>15545.65057153013</v>
          </cell>
          <cell r="I61">
            <v>18451.374036241839</v>
          </cell>
          <cell r="J61">
            <v>22035.330086310729</v>
          </cell>
          <cell r="K61">
            <v>26128.761436973036</v>
          </cell>
        </row>
        <row r="63">
          <cell r="A63" t="str">
            <v>Non equity minority interests</v>
          </cell>
          <cell r="B63">
            <v>503</v>
          </cell>
          <cell r="C63">
            <v>0</v>
          </cell>
          <cell r="D63">
            <v>0</v>
          </cell>
          <cell r="E63">
            <v>0</v>
          </cell>
          <cell r="F63">
            <v>0</v>
          </cell>
          <cell r="G63">
            <v>0</v>
          </cell>
          <cell r="H63">
            <v>0</v>
          </cell>
          <cell r="I63">
            <v>0</v>
          </cell>
          <cell r="J63">
            <v>0</v>
          </cell>
          <cell r="K63">
            <v>0</v>
          </cell>
          <cell r="R63" t="str">
            <v>mstag:minorityInterestsInShareholdersEquity</v>
          </cell>
          <cell r="S63">
            <v>6</v>
          </cell>
          <cell r="T63" t="str">
            <v>ISO4217:GBP</v>
          </cell>
          <cell r="U63" t="b">
            <v>0</v>
          </cell>
          <cell r="V63" t="b">
            <v>0</v>
          </cell>
        </row>
        <row r="64">
          <cell r="A64" t="str">
            <v>Equity minority interests</v>
          </cell>
          <cell r="B64">
            <v>237</v>
          </cell>
          <cell r="C64">
            <v>272</v>
          </cell>
          <cell r="D64">
            <v>259</v>
          </cell>
          <cell r="E64">
            <v>306.69536926570919</v>
          </cell>
          <cell r="F64">
            <v>353.23113424635613</v>
          </cell>
          <cell r="G64">
            <v>404.09746366196077</v>
          </cell>
          <cell r="H64">
            <v>457.92732736797285</v>
          </cell>
          <cell r="I64">
            <v>515.43112356779329</v>
          </cell>
          <cell r="J64">
            <v>578.71784524067277</v>
          </cell>
          <cell r="K64">
            <v>645.60878134107293</v>
          </cell>
          <cell r="R64" t="str">
            <v>mstag:minorityInterestsInShareholdersEquity</v>
          </cell>
          <cell r="S64">
            <v>6</v>
          </cell>
          <cell r="T64" t="str">
            <v>ISO4217:GBP</v>
          </cell>
          <cell r="U64" t="b">
            <v>0</v>
          </cell>
          <cell r="V64" t="b">
            <v>0</v>
          </cell>
        </row>
        <row r="66">
          <cell r="A66" t="str">
            <v>TOTAL EQUITY</v>
          </cell>
          <cell r="B66">
            <v>5296</v>
          </cell>
          <cell r="C66">
            <v>5580</v>
          </cell>
          <cell r="D66">
            <v>7570</v>
          </cell>
          <cell r="E66">
            <v>9649.2258054777922</v>
          </cell>
          <cell r="F66">
            <v>11355.292095953444</v>
          </cell>
          <cell r="G66">
            <v>13505.272660344872</v>
          </cell>
          <cell r="H66">
            <v>16003.577898898104</v>
          </cell>
          <cell r="I66">
            <v>18966.805159809632</v>
          </cell>
          <cell r="J66">
            <v>22614.047931551402</v>
          </cell>
          <cell r="K66">
            <v>26774.37021831411</v>
          </cell>
        </row>
        <row r="67">
          <cell r="B67">
            <v>0</v>
          </cell>
          <cell r="C67">
            <v>0</v>
          </cell>
          <cell r="D67">
            <v>0</v>
          </cell>
          <cell r="E67">
            <v>0</v>
          </cell>
          <cell r="F67">
            <v>0</v>
          </cell>
          <cell r="G67">
            <v>0</v>
          </cell>
          <cell r="H67">
            <v>0</v>
          </cell>
          <cell r="I67">
            <v>0</v>
          </cell>
          <cell r="J67">
            <v>0</v>
          </cell>
          <cell r="K67">
            <v>0</v>
          </cell>
        </row>
        <row r="68">
          <cell r="E68">
            <v>0</v>
          </cell>
          <cell r="F68">
            <v>0</v>
          </cell>
          <cell r="G68">
            <v>0</v>
          </cell>
          <cell r="H68">
            <v>0</v>
          </cell>
          <cell r="I68">
            <v>0</v>
          </cell>
          <cell r="J68">
            <v>0</v>
          </cell>
          <cell r="K68">
            <v>0</v>
          </cell>
        </row>
        <row r="69">
          <cell r="A69" t="str">
            <v>FIGURES FOR WORKINGS</v>
          </cell>
        </row>
        <row r="70">
          <cell r="A70" t="str">
            <v>Sales</v>
          </cell>
          <cell r="B70">
            <v>21070</v>
          </cell>
          <cell r="C70">
            <v>19986</v>
          </cell>
          <cell r="D70">
            <v>21660</v>
          </cell>
          <cell r="E70">
            <v>23741.81723002328</v>
          </cell>
          <cell r="F70">
            <v>24171.348577295743</v>
          </cell>
          <cell r="G70">
            <v>26028.636093870227</v>
          </cell>
          <cell r="H70">
            <v>27685.193365081999</v>
          </cell>
          <cell r="I70">
            <v>30105.48025546905</v>
          </cell>
          <cell r="J70">
            <v>33287.198841002159</v>
          </cell>
          <cell r="K70">
            <v>35438.42844361678</v>
          </cell>
        </row>
        <row r="71">
          <cell r="A71" t="str">
            <v>Sales Growth</v>
          </cell>
          <cell r="C71">
            <v>-5.1447555766492625E-2</v>
          </cell>
          <cell r="D71">
            <v>8.3758631041729315E-2</v>
          </cell>
          <cell r="E71">
            <v>9.6113445522773677E-2</v>
          </cell>
          <cell r="F71">
            <v>1.8091763705824881E-2</v>
          </cell>
          <cell r="G71">
            <v>7.6838390321301464E-2</v>
          </cell>
          <cell r="H71">
            <v>6.3643644839381119E-2</v>
          </cell>
          <cell r="I71">
            <v>8.7421708003659448E-2</v>
          </cell>
          <cell r="J71">
            <v>0.10568569438300557</v>
          </cell>
          <cell r="K71">
            <v>6.462633317060007E-2</v>
          </cell>
        </row>
        <row r="72">
          <cell r="A72" t="str">
            <v>Cost of Goods Sold</v>
          </cell>
          <cell r="B72">
            <v>4221</v>
          </cell>
          <cell r="C72">
            <v>4360</v>
          </cell>
          <cell r="D72">
            <v>4764</v>
          </cell>
          <cell r="E72">
            <v>5030.8941437357762</v>
          </cell>
          <cell r="F72">
            <v>5196.8399441185848</v>
          </cell>
          <cell r="G72">
            <v>5466.0135797127477</v>
          </cell>
          <cell r="H72">
            <v>5592.4090597465638</v>
          </cell>
          <cell r="I72">
            <v>5959.8232988870795</v>
          </cell>
          <cell r="J72">
            <v>6473.186166686467</v>
          </cell>
          <cell r="K72">
            <v>6767.489953017408</v>
          </cell>
        </row>
        <row r="73">
          <cell r="A73" t="str">
            <v>Cost of Goods Sold Growth</v>
          </cell>
          <cell r="C73">
            <v>3.2930585169391069E-2</v>
          </cell>
          <cell r="D73">
            <v>9.2660550458715685E-2</v>
          </cell>
          <cell r="E73">
            <v>5.6023120011707839E-2</v>
          </cell>
          <cell r="F73">
            <v>3.2985349252366181E-2</v>
          </cell>
          <cell r="G73">
            <v>5.1795637058015265E-2</v>
          </cell>
          <cell r="H73">
            <v>2.312388694073797E-2</v>
          </cell>
          <cell r="I73">
            <v>6.5698741850827025E-2</v>
          </cell>
          <cell r="J73">
            <v>8.61372631459143E-2</v>
          </cell>
          <cell r="K73">
            <v>4.5465058280811155E-2</v>
          </cell>
        </row>
        <row r="74">
          <cell r="A74" t="str">
            <v>SG&amp;A</v>
          </cell>
          <cell r="B74">
            <v>7434</v>
          </cell>
          <cell r="C74">
            <v>7201</v>
          </cell>
          <cell r="D74">
            <v>7250</v>
          </cell>
          <cell r="E74">
            <v>7793.296137597752</v>
          </cell>
          <cell r="F74">
            <v>7952.3736819302994</v>
          </cell>
          <cell r="G74">
            <v>8459.3067305078239</v>
          </cell>
          <cell r="H74">
            <v>8997.6878436516508</v>
          </cell>
          <cell r="I74">
            <v>9784.2810830274411</v>
          </cell>
          <cell r="J74">
            <v>10818.339623325703</v>
          </cell>
          <cell r="K74">
            <v>11517.489244175455</v>
          </cell>
        </row>
        <row r="75">
          <cell r="A75" t="str">
            <v>SG&amp;A Growth</v>
          </cell>
          <cell r="C75">
            <v>-3.1342480495022862E-2</v>
          </cell>
          <cell r="D75">
            <v>6.8046104707679689E-3</v>
          </cell>
          <cell r="E75">
            <v>7.4937398289345092E-2</v>
          </cell>
          <cell r="F75">
            <v>2.0412100544350942E-2</v>
          </cell>
          <cell r="G75">
            <v>6.3746130256604694E-2</v>
          </cell>
          <cell r="H75">
            <v>6.3643644839381119E-2</v>
          </cell>
          <cell r="I75">
            <v>8.7421708003659448E-2</v>
          </cell>
          <cell r="J75">
            <v>0.10568569438300557</v>
          </cell>
          <cell r="K75">
            <v>6.462633317060007E-2</v>
          </cell>
        </row>
        <row r="76">
          <cell r="A76" t="str">
            <v>EBIT</v>
          </cell>
          <cell r="B76">
            <v>6445</v>
          </cell>
          <cell r="C76">
            <v>5756</v>
          </cell>
          <cell r="D76">
            <v>6874</v>
          </cell>
          <cell r="E76">
            <v>7870.3757823173519</v>
          </cell>
          <cell r="F76">
            <v>7770.6087116500639</v>
          </cell>
          <cell r="G76">
            <v>8601.947501714767</v>
          </cell>
          <cell r="H76">
            <v>9232.4623735361492</v>
          </cell>
          <cell r="I76">
            <v>10010.536314750523</v>
          </cell>
          <cell r="J76">
            <v>11185.011992264732</v>
          </cell>
          <cell r="K76">
            <v>12031.892803346647</v>
          </cell>
        </row>
        <row r="77">
          <cell r="A77" t="str">
            <v>EBIT Growth</v>
          </cell>
          <cell r="C77">
            <v>-0.10690457719162139</v>
          </cell>
          <cell r="D77">
            <v>0.19423210562890891</v>
          </cell>
          <cell r="E77">
            <v>0.14494846993269594</v>
          </cell>
          <cell r="F77">
            <v>-1.2676277909301148E-2</v>
          </cell>
          <cell r="G77">
            <v>0.10698502793202302</v>
          </cell>
          <cell r="H77">
            <v>7.3299083922064412E-2</v>
          </cell>
          <cell r="I77">
            <v>8.4275885428424679E-2</v>
          </cell>
          <cell r="J77">
            <v>0.11732395154329733</v>
          </cell>
          <cell r="K77">
            <v>7.5715681991900929E-2</v>
          </cell>
        </row>
        <row r="78">
          <cell r="A78" t="str">
            <v>Net Income</v>
          </cell>
          <cell r="B78">
            <v>4201</v>
          </cell>
          <cell r="C78">
            <v>3908</v>
          </cell>
          <cell r="D78">
            <v>4689</v>
          </cell>
          <cell r="E78">
            <v>5327.6356070165093</v>
          </cell>
          <cell r="F78">
            <v>5290.3616713894116</v>
          </cell>
          <cell r="G78">
            <v>5891.6858135011726</v>
          </cell>
          <cell r="H78">
            <v>6365.2469729230243</v>
          </cell>
          <cell r="I78">
            <v>6948.7170264498054</v>
          </cell>
          <cell r="J78">
            <v>7816.5091449058827</v>
          </cell>
          <cell r="K78">
            <v>8473.092349955552</v>
          </cell>
        </row>
        <row r="79">
          <cell r="A79" t="str">
            <v>Dividends</v>
          </cell>
          <cell r="D79">
            <v>-2390</v>
          </cell>
          <cell r="E79">
            <v>-2533.50407937726</v>
          </cell>
          <cell r="F79">
            <v>-2575.5236875663641</v>
          </cell>
          <cell r="G79">
            <v>-2614.0490766248508</v>
          </cell>
          <cell r="H79">
            <v>-2652.1669921874854</v>
          </cell>
          <cell r="I79">
            <v>-2690.7294950923006</v>
          </cell>
          <cell r="J79">
            <v>-2728.9584257498041</v>
          </cell>
          <cell r="K79">
            <v>-2766.7123662085605</v>
          </cell>
        </row>
        <row r="80">
          <cell r="A80" t="str">
            <v>Share Repurchases</v>
          </cell>
          <cell r="D80">
            <v>-999</v>
          </cell>
          <cell r="E80">
            <v>-1032.8089303312829</v>
          </cell>
          <cell r="F80">
            <v>-1322.0900675729376</v>
          </cell>
          <cell r="G80">
            <v>-1473.8468560472377</v>
          </cell>
          <cell r="H80">
            <v>-1585.5759646538907</v>
          </cell>
          <cell r="I80">
            <v>-1695.9484673267864</v>
          </cell>
          <cell r="J80">
            <v>-1887.6014817398589</v>
          </cell>
          <cell r="K80">
            <v>-2026.0307834468899</v>
          </cell>
        </row>
        <row r="81">
          <cell r="A81" t="str">
            <v>Retained Earnings</v>
          </cell>
          <cell r="B81">
            <v>4201</v>
          </cell>
          <cell r="C81">
            <v>3908</v>
          </cell>
          <cell r="D81">
            <v>1300</v>
          </cell>
          <cell r="E81">
            <v>1761.3225973079664</v>
          </cell>
          <cell r="F81">
            <v>1392.7479162501099</v>
          </cell>
          <cell r="G81">
            <v>1803.789880829084</v>
          </cell>
          <cell r="H81">
            <v>2127.5040160816479</v>
          </cell>
          <cell r="I81">
            <v>2562.0390640307187</v>
          </cell>
          <cell r="J81">
            <v>3199.9492374162201</v>
          </cell>
          <cell r="K81">
            <v>3680.3492003001015</v>
          </cell>
        </row>
        <row r="82">
          <cell r="A82" t="str">
            <v>Growth in Capex on Tangibles</v>
          </cell>
          <cell r="D82">
            <v>0.12345679012345689</v>
          </cell>
          <cell r="E82">
            <v>4.0000000000000036E-2</v>
          </cell>
          <cell r="F82">
            <v>4.0000000000000036E-2</v>
          </cell>
          <cell r="G82">
            <v>4.0000000000000036E-2</v>
          </cell>
          <cell r="H82">
            <v>4.0000000000000036E-2</v>
          </cell>
          <cell r="I82">
            <v>4.0000000000000036E-2</v>
          </cell>
          <cell r="J82">
            <v>4.0000000000000036E-2</v>
          </cell>
          <cell r="K82">
            <v>4.0000000000000036E-2</v>
          </cell>
        </row>
        <row r="83">
          <cell r="A83" t="str">
            <v>Unrecorded Goodwill from Pooling etc</v>
          </cell>
          <cell r="B83">
            <v>16490.099999999999</v>
          </cell>
          <cell r="C83">
            <v>16508.099999999999</v>
          </cell>
          <cell r="D83">
            <v>16428.099999999999</v>
          </cell>
          <cell r="E83">
            <v>16428.099999999999</v>
          </cell>
          <cell r="F83">
            <v>16428.099999999999</v>
          </cell>
          <cell r="G83">
            <v>16428.099999999999</v>
          </cell>
          <cell r="H83">
            <v>16428.099999999999</v>
          </cell>
          <cell r="I83">
            <v>16428.099999999999</v>
          </cell>
          <cell r="J83">
            <v>16428.099999999999</v>
          </cell>
          <cell r="K83">
            <v>16428.099999999999</v>
          </cell>
          <cell r="R83" t="str">
            <v>mstag:unrecordedGoodwillFromPoolingAndAmortizedOrWrittenOffGoodwill</v>
          </cell>
          <cell r="S83">
            <v>6</v>
          </cell>
          <cell r="T83" t="str">
            <v>ISO4217:GBP</v>
          </cell>
          <cell r="U83" t="b">
            <v>0</v>
          </cell>
          <cell r="V83" t="b">
            <v>0</v>
          </cell>
        </row>
        <row r="84">
          <cell r="A84" t="str">
            <v>STRGL (modelware)</v>
          </cell>
          <cell r="D84">
            <v>383</v>
          </cell>
          <cell r="R84" t="str">
            <v>mstag:changeInAccumulatedOtherComprehensiveIncomeLossOrOtherReserves</v>
          </cell>
          <cell r="S84">
            <v>6</v>
          </cell>
          <cell r="T84" t="str">
            <v>ISO4217:GBP</v>
          </cell>
          <cell r="U84" t="b">
            <v>0</v>
          </cell>
          <cell r="V84" t="b">
            <v>0</v>
          </cell>
        </row>
        <row r="85">
          <cell r="A85" t="str">
            <v>Tax charge</v>
          </cell>
          <cell r="B85">
            <v>-1651</v>
          </cell>
          <cell r="C85">
            <v>-1757.0000000000002</v>
          </cell>
          <cell r="D85">
            <v>-1916</v>
          </cell>
          <cell r="E85">
            <v>-2289.9262390012736</v>
          </cell>
          <cell r="F85">
            <v>-2273.5595806580018</v>
          </cell>
          <cell r="G85">
            <v>-2531.5804635665763</v>
          </cell>
          <cell r="H85">
            <v>-2734.5928122648065</v>
          </cell>
          <cell r="I85">
            <v>-2984.7317853397208</v>
          </cell>
          <cell r="J85">
            <v>-3356.8955860748806</v>
          </cell>
          <cell r="K85">
            <v>-3638.1570492205037</v>
          </cell>
        </row>
        <row r="86">
          <cell r="A86" t="str">
            <v>Growth in tax charge</v>
          </cell>
          <cell r="C86">
            <v>6.4203513022410785E-2</v>
          </cell>
          <cell r="D86">
            <v>9.0495162208309443E-2</v>
          </cell>
          <cell r="E86">
            <v>0.19515983246413038</v>
          </cell>
          <cell r="F86">
            <v>-7.1472425899665737E-3</v>
          </cell>
          <cell r="G86">
            <v>0.11348762755269415</v>
          </cell>
          <cell r="H86">
            <v>8.019194002319785E-2</v>
          </cell>
          <cell r="I86">
            <v>9.1472109468373697E-2</v>
          </cell>
          <cell r="J86">
            <v>0.12468919403851908</v>
          </cell>
          <cell r="K86">
            <v>8.3786181587641728E-2</v>
          </cell>
        </row>
        <row r="88">
          <cell r="A88" t="str">
            <v>INPUTS</v>
          </cell>
        </row>
        <row r="89">
          <cell r="A89" t="str">
            <v>1) WORKING CAPITAL</v>
          </cell>
        </row>
        <row r="90">
          <cell r="A90" t="str">
            <v>Inventories</v>
          </cell>
          <cell r="B90">
            <v>2109</v>
          </cell>
          <cell r="C90">
            <v>2193</v>
          </cell>
          <cell r="D90">
            <v>2177</v>
          </cell>
          <cell r="E90">
            <v>2301.8063616544509</v>
          </cell>
          <cell r="F90">
            <v>2377.7322484049414</v>
          </cell>
          <cell r="G90">
            <v>2500.8884049644626</v>
          </cell>
          <cell r="H90">
            <v>2558.7186656922636</v>
          </cell>
          <cell r="I90">
            <v>2726.8232627784719</v>
          </cell>
          <cell r="J90">
            <v>2961.7043557168217</v>
          </cell>
          <cell r="K90">
            <v>3096.3584168600196</v>
          </cell>
        </row>
        <row r="91">
          <cell r="A91" t="str">
            <v>Change in Inventories</v>
          </cell>
          <cell r="C91">
            <v>84</v>
          </cell>
          <cell r="D91">
            <v>-16</v>
          </cell>
          <cell r="E91">
            <v>124.80636165445094</v>
          </cell>
          <cell r="F91">
            <v>75.925886750490463</v>
          </cell>
          <cell r="G91">
            <v>123.15615655952115</v>
          </cell>
          <cell r="H91">
            <v>57.830260727801033</v>
          </cell>
          <cell r="I91">
            <v>168.10459708620829</v>
          </cell>
          <cell r="J91">
            <v>234.88109293834987</v>
          </cell>
          <cell r="K91">
            <v>134.65406114319785</v>
          </cell>
        </row>
        <row r="92">
          <cell r="A92" t="str">
            <v>Inventory Days</v>
          </cell>
          <cell r="B92">
            <v>182.37029140014215</v>
          </cell>
          <cell r="C92">
            <v>183.58830275229357</v>
          </cell>
          <cell r="D92">
            <v>166.79366078925273</v>
          </cell>
          <cell r="E92">
            <v>167</v>
          </cell>
          <cell r="F92">
            <v>167</v>
          </cell>
          <cell r="G92">
            <v>167</v>
          </cell>
          <cell r="H92">
            <v>167</v>
          </cell>
          <cell r="I92">
            <v>167</v>
          </cell>
          <cell r="J92">
            <v>167</v>
          </cell>
          <cell r="K92">
            <v>167</v>
          </cell>
        </row>
        <row r="94">
          <cell r="A94" t="str">
            <v>Trade Receivables</v>
          </cell>
          <cell r="B94">
            <v>3715</v>
          </cell>
          <cell r="C94">
            <v>3786</v>
          </cell>
          <cell r="D94">
            <v>4411</v>
          </cell>
          <cell r="E94">
            <v>4813.4095206074599</v>
          </cell>
          <cell r="F94">
            <v>4900.492588273657</v>
          </cell>
          <cell r="G94">
            <v>5277.0385505380737</v>
          </cell>
          <cell r="H94">
            <v>5612.8885178522405</v>
          </cell>
          <cell r="I94">
            <v>6103.576818917013</v>
          </cell>
          <cell r="J94">
            <v>6748.637573244273</v>
          </cell>
          <cell r="K94">
            <v>7184.7772735003882</v>
          </cell>
        </row>
        <row r="95">
          <cell r="A95" t="str">
            <v>Change in Trade Receivables</v>
          </cell>
          <cell r="D95">
            <v>625</v>
          </cell>
          <cell r="E95">
            <v>402.40952060745985</v>
          </cell>
          <cell r="F95">
            <v>87.083067666197167</v>
          </cell>
          <cell r="G95">
            <v>376.54596226441663</v>
          </cell>
          <cell r="H95">
            <v>335.84996731416686</v>
          </cell>
          <cell r="I95">
            <v>490.68830106477253</v>
          </cell>
          <cell r="J95">
            <v>645.06075432725993</v>
          </cell>
          <cell r="K95">
            <v>436.13970025611525</v>
          </cell>
        </row>
        <row r="96">
          <cell r="A96" t="str">
            <v>Trade Receivable Days</v>
          </cell>
          <cell r="B96">
            <v>64.355719031798756</v>
          </cell>
          <cell r="C96">
            <v>69.142900030021011</v>
          </cell>
          <cell r="D96">
            <v>74.331255771006454</v>
          </cell>
          <cell r="E96">
            <v>74</v>
          </cell>
          <cell r="F96">
            <v>74</v>
          </cell>
          <cell r="G96">
            <v>74</v>
          </cell>
          <cell r="H96">
            <v>74</v>
          </cell>
          <cell r="I96">
            <v>74</v>
          </cell>
          <cell r="J96">
            <v>74</v>
          </cell>
          <cell r="K96">
            <v>74</v>
          </cell>
        </row>
        <row r="98">
          <cell r="A98" t="str">
            <v>Other Receivables</v>
          </cell>
          <cell r="B98">
            <v>780</v>
          </cell>
          <cell r="C98">
            <v>1028</v>
          </cell>
          <cell r="D98">
            <v>1353</v>
          </cell>
          <cell r="E98">
            <v>1483.0414917923129</v>
          </cell>
          <cell r="F98">
            <v>1509.8723280277534</v>
          </cell>
          <cell r="G98">
            <v>1625.888487304082</v>
          </cell>
          <cell r="H98">
            <v>1729.3659567385016</v>
          </cell>
          <cell r="I98">
            <v>1880.5500824399639</v>
          </cell>
          <cell r="J98">
            <v>2079.2973237246497</v>
          </cell>
          <cell r="K98">
            <v>2213.6746853284158</v>
          </cell>
        </row>
        <row r="99">
          <cell r="A99" t="str">
            <v>Change in Other Receivables</v>
          </cell>
          <cell r="D99">
            <v>325</v>
          </cell>
          <cell r="E99">
            <v>130.04149179231285</v>
          </cell>
          <cell r="F99">
            <v>26.830836235440529</v>
          </cell>
          <cell r="G99">
            <v>116.01615927632861</v>
          </cell>
          <cell r="H99">
            <v>103.47746943441962</v>
          </cell>
          <cell r="I99">
            <v>151.18412570146234</v>
          </cell>
          <cell r="J99">
            <v>198.74724128468574</v>
          </cell>
          <cell r="K99">
            <v>134.37736160376608</v>
          </cell>
        </row>
        <row r="101">
          <cell r="A101" t="str">
            <v>Trade Creditors</v>
          </cell>
          <cell r="B101">
            <v>686</v>
          </cell>
          <cell r="C101">
            <v>707</v>
          </cell>
          <cell r="D101">
            <v>819</v>
          </cell>
          <cell r="E101">
            <v>868.34611248042165</v>
          </cell>
          <cell r="F101">
            <v>896.98881227252286</v>
          </cell>
          <cell r="G101">
            <v>943.44891923809075</v>
          </cell>
          <cell r="H101">
            <v>965.26512538091379</v>
          </cell>
          <cell r="I101">
            <v>1028.6818296709207</v>
          </cell>
          <cell r="J101">
            <v>1117.2896671267054</v>
          </cell>
          <cell r="K101">
            <v>1168.0873069591692</v>
          </cell>
        </row>
        <row r="102">
          <cell r="A102" t="str">
            <v>Change in Trade Creditors</v>
          </cell>
          <cell r="D102">
            <v>112</v>
          </cell>
          <cell r="E102">
            <v>49.346112480421652</v>
          </cell>
          <cell r="F102">
            <v>28.642699792101212</v>
          </cell>
          <cell r="G102">
            <v>46.460106965567888</v>
          </cell>
          <cell r="H102">
            <v>21.816206142823034</v>
          </cell>
          <cell r="I102">
            <v>63.416704290006919</v>
          </cell>
          <cell r="J102">
            <v>88.607837455784647</v>
          </cell>
          <cell r="K102">
            <v>50.797639832463801</v>
          </cell>
        </row>
        <row r="103">
          <cell r="A103" t="str">
            <v>Trade Creditor Days</v>
          </cell>
          <cell r="B103">
            <v>59.320066334991715</v>
          </cell>
          <cell r="C103">
            <v>59.186926605504581</v>
          </cell>
          <cell r="D103">
            <v>62.748740554156171</v>
          </cell>
          <cell r="E103">
            <v>63</v>
          </cell>
          <cell r="F103">
            <v>63</v>
          </cell>
          <cell r="G103">
            <v>63</v>
          </cell>
          <cell r="H103">
            <v>63</v>
          </cell>
          <cell r="I103">
            <v>63</v>
          </cell>
          <cell r="J103">
            <v>63</v>
          </cell>
          <cell r="K103">
            <v>63</v>
          </cell>
        </row>
        <row r="105">
          <cell r="A105" t="str">
            <v>Other Creditors (Current)</v>
          </cell>
          <cell r="B105">
            <v>4031</v>
          </cell>
          <cell r="C105">
            <v>4131</v>
          </cell>
          <cell r="D105">
            <v>4328</v>
          </cell>
          <cell r="E105">
            <v>4652.3290597962859</v>
          </cell>
          <cell r="F105">
            <v>4747.2928683302534</v>
          </cell>
          <cell r="G105">
            <v>5049.9144178810839</v>
          </cell>
          <cell r="H105">
            <v>5371.3093775619773</v>
          </cell>
          <cell r="I105">
            <v>5840.8784175645178</v>
          </cell>
          <cell r="J105">
            <v>6458.1757089315342</v>
          </cell>
          <cell r="K105">
            <v>6875.5439239712196</v>
          </cell>
        </row>
        <row r="106">
          <cell r="A106" t="str">
            <v>Change in Other Creditors</v>
          </cell>
          <cell r="D106">
            <v>197</v>
          </cell>
          <cell r="E106">
            <v>324.32905979628595</v>
          </cell>
          <cell r="F106">
            <v>94.963808533967494</v>
          </cell>
          <cell r="G106">
            <v>302.62154955083042</v>
          </cell>
          <cell r="H106">
            <v>321.39495968089341</v>
          </cell>
          <cell r="I106">
            <v>469.56904000254053</v>
          </cell>
          <cell r="J106">
            <v>617.29729136701644</v>
          </cell>
          <cell r="K106">
            <v>417.36821503968531</v>
          </cell>
        </row>
        <row r="108">
          <cell r="A108" t="str">
            <v>Other Creditors (Long-term)</v>
          </cell>
          <cell r="B108">
            <v>232</v>
          </cell>
          <cell r="C108">
            <v>244</v>
          </cell>
          <cell r="D108">
            <v>467</v>
          </cell>
          <cell r="E108">
            <v>467</v>
          </cell>
          <cell r="F108">
            <v>467</v>
          </cell>
          <cell r="G108">
            <v>467</v>
          </cell>
          <cell r="H108">
            <v>467</v>
          </cell>
          <cell r="I108">
            <v>467</v>
          </cell>
          <cell r="J108">
            <v>467</v>
          </cell>
          <cell r="K108">
            <v>467</v>
          </cell>
        </row>
        <row r="109">
          <cell r="A109" t="str">
            <v>Change in Other Creditors</v>
          </cell>
          <cell r="C109">
            <v>12</v>
          </cell>
          <cell r="D109">
            <v>223</v>
          </cell>
          <cell r="E109">
            <v>0</v>
          </cell>
          <cell r="F109">
            <v>0</v>
          </cell>
          <cell r="G109">
            <v>0</v>
          </cell>
          <cell r="H109">
            <v>0</v>
          </cell>
          <cell r="I109">
            <v>0</v>
          </cell>
          <cell r="J109">
            <v>0</v>
          </cell>
          <cell r="K109">
            <v>0</v>
          </cell>
        </row>
        <row r="111">
          <cell r="A111" t="str">
            <v>2) TANGIBLE FIXED ASSETS</v>
          </cell>
        </row>
        <row r="112">
          <cell r="A112" t="str">
            <v>Cost</v>
          </cell>
        </row>
        <row r="113">
          <cell r="A113" t="str">
            <v>Cost at start of year</v>
          </cell>
          <cell r="D113">
            <v>12190</v>
          </cell>
          <cell r="E113">
            <v>13190</v>
          </cell>
          <cell r="F113">
            <v>13881.04</v>
          </cell>
          <cell r="G113">
            <v>14613.721600000001</v>
          </cell>
          <cell r="H113">
            <v>15389.710464</v>
          </cell>
          <cell r="I113">
            <v>16210.738882559999</v>
          </cell>
          <cell r="J113">
            <v>17078.6084378624</v>
          </cell>
          <cell r="K113">
            <v>17995.192775376898</v>
          </cell>
        </row>
        <row r="114">
          <cell r="A114" t="str">
            <v>Exchange adjustments</v>
          </cell>
        </row>
        <row r="115">
          <cell r="A115" t="str">
            <v>Acquisition</v>
          </cell>
          <cell r="I115">
            <v>1146</v>
          </cell>
          <cell r="J115">
            <v>893</v>
          </cell>
          <cell r="K115">
            <v>927.46433729821581</v>
          </cell>
          <cell r="L115">
            <v>963.33236134239598</v>
          </cell>
          <cell r="M115">
            <v>1000.6597173372983</v>
          </cell>
          <cell r="N115">
            <v>1039.5042863411725</v>
          </cell>
          <cell r="O115">
            <v>1079.926274498994</v>
          </cell>
          <cell r="P115">
            <v>1121.988305849045</v>
          </cell>
          <cell r="Q115">
            <v>1165.7555188456961</v>
          </cell>
          <cell r="R115">
            <v>1211.2956667469596</v>
          </cell>
          <cell r="S115">
            <v>1258.6792220213249</v>
          </cell>
        </row>
        <row r="116">
          <cell r="A116" t="str">
            <v>CAPEX</v>
          </cell>
          <cell r="C116">
            <v>891</v>
          </cell>
          <cell r="D116">
            <v>1001</v>
          </cell>
          <cell r="E116">
            <v>1041.04</v>
          </cell>
          <cell r="F116">
            <v>1082.6815999999999</v>
          </cell>
          <cell r="G116">
            <v>1125.9888639999999</v>
          </cell>
          <cell r="H116">
            <v>1171.0284185599999</v>
          </cell>
          <cell r="I116">
            <v>1217.8695553023999</v>
          </cell>
          <cell r="J116">
            <v>1266.5843375144959</v>
          </cell>
          <cell r="K116">
            <v>1317.2477110150758</v>
          </cell>
        </row>
        <row r="117">
          <cell r="A117" t="str">
            <v>Disposals</v>
          </cell>
          <cell r="D117">
            <v>-1</v>
          </cell>
          <cell r="E117">
            <v>-350</v>
          </cell>
          <cell r="F117">
            <v>-350</v>
          </cell>
          <cell r="G117">
            <v>-350</v>
          </cell>
          <cell r="H117">
            <v>-350</v>
          </cell>
          <cell r="I117">
            <v>-350</v>
          </cell>
          <cell r="J117">
            <v>-350</v>
          </cell>
          <cell r="K117">
            <v>-350</v>
          </cell>
        </row>
        <row r="118">
          <cell r="A118" t="str">
            <v>Cost at end of year</v>
          </cell>
          <cell r="C118">
            <v>12190</v>
          </cell>
          <cell r="D118">
            <v>13190</v>
          </cell>
          <cell r="E118">
            <v>13881.04</v>
          </cell>
          <cell r="F118">
            <v>14613.721600000001</v>
          </cell>
          <cell r="G118">
            <v>15389.710464</v>
          </cell>
          <cell r="H118">
            <v>16210.738882559999</v>
          </cell>
          <cell r="I118">
            <v>17078.6084378624</v>
          </cell>
          <cell r="J118">
            <v>17995.192775376898</v>
          </cell>
          <cell r="K118">
            <v>18962.440486391974</v>
          </cell>
        </row>
        <row r="119">
          <cell r="A119" t="str">
            <v>Depreciation</v>
          </cell>
        </row>
        <row r="120">
          <cell r="A120" t="str">
            <v>At start of year</v>
          </cell>
          <cell r="D120">
            <v>5686</v>
          </cell>
          <cell r="E120">
            <v>6205</v>
          </cell>
          <cell r="F120">
            <v>6615.8649999999998</v>
          </cell>
          <cell r="G120">
            <v>7079.1803</v>
          </cell>
          <cell r="H120">
            <v>7596.6035979999997</v>
          </cell>
          <cell r="I120">
            <v>8169.8677061999988</v>
          </cell>
          <cell r="J120">
            <v>8800.7833794423987</v>
          </cell>
          <cell r="K120">
            <v>9491.242260314606</v>
          </cell>
        </row>
        <row r="121">
          <cell r="A121" t="str">
            <v>Exchange adjustments</v>
          </cell>
          <cell r="D121">
            <v>-157</v>
          </cell>
        </row>
        <row r="122">
          <cell r="A122" t="str">
            <v>Depreciation charge (P&amp;L)</v>
          </cell>
          <cell r="C122">
            <v>683</v>
          </cell>
          <cell r="D122">
            <v>710</v>
          </cell>
          <cell r="E122">
            <v>760.86500000000001</v>
          </cell>
          <cell r="F122">
            <v>813.31529999999998</v>
          </cell>
          <cell r="G122">
            <v>867.42329799999993</v>
          </cell>
          <cell r="H122">
            <v>923.2641081999999</v>
          </cell>
          <cell r="I122">
            <v>980.91567324239986</v>
          </cell>
          <cell r="J122">
            <v>1040.4588808722078</v>
          </cell>
          <cell r="K122">
            <v>1101.9776851932058</v>
          </cell>
        </row>
        <row r="123">
          <cell r="A123" t="str">
            <v>Disposals</v>
          </cell>
          <cell r="D123">
            <v>-34</v>
          </cell>
          <cell r="E123">
            <v>-350</v>
          </cell>
          <cell r="F123">
            <v>-350</v>
          </cell>
          <cell r="G123">
            <v>-350</v>
          </cell>
          <cell r="H123">
            <v>-350</v>
          </cell>
          <cell r="I123">
            <v>-350</v>
          </cell>
          <cell r="J123">
            <v>-350</v>
          </cell>
          <cell r="K123">
            <v>-350</v>
          </cell>
        </row>
        <row r="124">
          <cell r="A124" t="str">
            <v>At end of year</v>
          </cell>
          <cell r="C124">
            <v>5686</v>
          </cell>
          <cell r="D124">
            <v>6205</v>
          </cell>
          <cell r="E124">
            <v>6615.8649999999998</v>
          </cell>
          <cell r="F124">
            <v>7079.1803</v>
          </cell>
          <cell r="G124">
            <v>7596.6035979999997</v>
          </cell>
          <cell r="H124">
            <v>8169.8677061999988</v>
          </cell>
          <cell r="I124">
            <v>8800.7833794423987</v>
          </cell>
          <cell r="J124">
            <v>9491.242260314606</v>
          </cell>
          <cell r="K124">
            <v>10243.219945507812</v>
          </cell>
        </row>
        <row r="126">
          <cell r="A126" t="str">
            <v>Impairment bf</v>
          </cell>
          <cell r="D126">
            <v>307</v>
          </cell>
          <cell r="E126">
            <v>333</v>
          </cell>
          <cell r="F126">
            <v>333</v>
          </cell>
          <cell r="G126">
            <v>333</v>
          </cell>
          <cell r="H126">
            <v>333</v>
          </cell>
          <cell r="I126">
            <v>333</v>
          </cell>
          <cell r="J126">
            <v>333</v>
          </cell>
          <cell r="K126">
            <v>333</v>
          </cell>
        </row>
        <row r="127">
          <cell r="A127" t="str">
            <v>Impairment cf</v>
          </cell>
          <cell r="C127">
            <v>307</v>
          </cell>
          <cell r="D127">
            <v>333</v>
          </cell>
          <cell r="E127">
            <v>333</v>
          </cell>
          <cell r="F127">
            <v>333</v>
          </cell>
          <cell r="G127">
            <v>333</v>
          </cell>
          <cell r="H127">
            <v>333</v>
          </cell>
          <cell r="I127">
            <v>333</v>
          </cell>
          <cell r="J127">
            <v>333</v>
          </cell>
          <cell r="K127">
            <v>333</v>
          </cell>
        </row>
        <row r="129">
          <cell r="A129" t="str">
            <v>Net book value (at start)</v>
          </cell>
          <cell r="C129">
            <v>6156</v>
          </cell>
          <cell r="D129">
            <v>6197</v>
          </cell>
          <cell r="E129">
            <v>6652</v>
          </cell>
          <cell r="F129">
            <v>6932.1750000000011</v>
          </cell>
          <cell r="G129">
            <v>7201.5413000000008</v>
          </cell>
          <cell r="H129">
            <v>7460.1068660000001</v>
          </cell>
          <cell r="I129">
            <v>7707.8711763600004</v>
          </cell>
          <cell r="J129">
            <v>7944.8250584200014</v>
          </cell>
          <cell r="K129">
            <v>8170.9505150622917</v>
          </cell>
        </row>
        <row r="130">
          <cell r="A130" t="str">
            <v>Net book value (at end)</v>
          </cell>
          <cell r="B130">
            <v>6156</v>
          </cell>
          <cell r="C130">
            <v>6197</v>
          </cell>
          <cell r="D130">
            <v>6652</v>
          </cell>
          <cell r="E130">
            <v>6932.1750000000011</v>
          </cell>
          <cell r="F130">
            <v>7201.5413000000008</v>
          </cell>
          <cell r="G130">
            <v>7460.1068660000001</v>
          </cell>
          <cell r="H130">
            <v>7707.8711763600004</v>
          </cell>
          <cell r="I130">
            <v>7944.8250584200014</v>
          </cell>
          <cell r="J130">
            <v>8170.9505150622917</v>
          </cell>
          <cell r="K130">
            <v>8386.2205408841619</v>
          </cell>
        </row>
        <row r="132">
          <cell r="A132" t="str">
            <v>CAPEX / Depreciation (Tangible Fixed)</v>
          </cell>
        </row>
        <row r="133">
          <cell r="A133" t="str">
            <v>Average Useful Life</v>
          </cell>
          <cell r="D133">
            <v>16</v>
          </cell>
          <cell r="E133">
            <v>16</v>
          </cell>
          <cell r="F133">
            <v>16</v>
          </cell>
          <cell r="G133">
            <v>16</v>
          </cell>
          <cell r="H133">
            <v>16</v>
          </cell>
          <cell r="I133">
            <v>16</v>
          </cell>
          <cell r="J133">
            <v>16</v>
          </cell>
          <cell r="K133">
            <v>16</v>
          </cell>
        </row>
        <row r="136">
          <cell r="A136" t="str">
            <v>3) GOODWILL</v>
          </cell>
        </row>
        <row r="137">
          <cell r="A137" t="str">
            <v>Cost</v>
          </cell>
        </row>
        <row r="138">
          <cell r="A138" t="str">
            <v>Cost at start of year</v>
          </cell>
          <cell r="C138">
            <v>231.47482014388487</v>
          </cell>
          <cell r="D138">
            <v>245</v>
          </cell>
          <cell r="E138">
            <v>696</v>
          </cell>
          <cell r="F138">
            <v>696</v>
          </cell>
          <cell r="G138">
            <v>696</v>
          </cell>
          <cell r="H138">
            <v>696</v>
          </cell>
          <cell r="I138">
            <v>696</v>
          </cell>
          <cell r="J138">
            <v>696</v>
          </cell>
          <cell r="K138">
            <v>696</v>
          </cell>
        </row>
        <row r="139">
          <cell r="A139" t="str">
            <v>Exchange Adjustments</v>
          </cell>
          <cell r="D139">
            <v>10</v>
          </cell>
        </row>
        <row r="140">
          <cell r="A140" t="str">
            <v>Additions</v>
          </cell>
          <cell r="D140">
            <v>383</v>
          </cell>
        </row>
        <row r="141">
          <cell r="A141" t="str">
            <v>Disposals/ Other movements</v>
          </cell>
          <cell r="D141">
            <v>58</v>
          </cell>
        </row>
        <row r="142">
          <cell r="A142" t="str">
            <v>Cost at end of year</v>
          </cell>
          <cell r="C142">
            <v>245</v>
          </cell>
          <cell r="D142">
            <v>696</v>
          </cell>
          <cell r="E142">
            <v>696</v>
          </cell>
          <cell r="F142">
            <v>696</v>
          </cell>
          <cell r="G142">
            <v>696</v>
          </cell>
          <cell r="H142">
            <v>696</v>
          </cell>
          <cell r="I142">
            <v>696</v>
          </cell>
          <cell r="J142">
            <v>696</v>
          </cell>
          <cell r="K142">
            <v>696</v>
          </cell>
        </row>
        <row r="143">
          <cell r="A143" t="str">
            <v>Amortization</v>
          </cell>
        </row>
        <row r="144">
          <cell r="A144" t="str">
            <v>At start of year</v>
          </cell>
          <cell r="C144">
            <v>61.726618705035968</v>
          </cell>
          <cell r="D144">
            <v>80</v>
          </cell>
          <cell r="E144">
            <v>0</v>
          </cell>
          <cell r="F144">
            <v>0</v>
          </cell>
          <cell r="G144">
            <v>0</v>
          </cell>
          <cell r="H144">
            <v>0</v>
          </cell>
          <cell r="I144">
            <v>0</v>
          </cell>
          <cell r="J144">
            <v>0</v>
          </cell>
          <cell r="K144">
            <v>0</v>
          </cell>
        </row>
        <row r="145">
          <cell r="A145" t="str">
            <v>Exchange adjustment</v>
          </cell>
        </row>
        <row r="146">
          <cell r="A146" t="str">
            <v>Amortization charge/impairment</v>
          </cell>
        </row>
        <row r="147">
          <cell r="A147" t="str">
            <v>Disposals / Other</v>
          </cell>
          <cell r="D147">
            <v>-80</v>
          </cell>
        </row>
        <row r="148">
          <cell r="A148" t="str">
            <v>At end of Year</v>
          </cell>
          <cell r="C148">
            <v>80</v>
          </cell>
          <cell r="D148">
            <v>0</v>
          </cell>
          <cell r="E148">
            <v>0</v>
          </cell>
          <cell r="F148">
            <v>0</v>
          </cell>
          <cell r="G148">
            <v>0</v>
          </cell>
          <cell r="H148">
            <v>0</v>
          </cell>
          <cell r="I148">
            <v>0</v>
          </cell>
          <cell r="J148">
            <v>0</v>
          </cell>
          <cell r="K148">
            <v>0</v>
          </cell>
        </row>
        <row r="150">
          <cell r="A150" t="str">
            <v>Net book value (at start)</v>
          </cell>
          <cell r="C150">
            <v>155</v>
          </cell>
          <cell r="D150">
            <v>165</v>
          </cell>
          <cell r="E150">
            <v>696</v>
          </cell>
          <cell r="F150">
            <v>696</v>
          </cell>
          <cell r="G150">
            <v>696</v>
          </cell>
          <cell r="H150">
            <v>696</v>
          </cell>
          <cell r="I150">
            <v>696</v>
          </cell>
          <cell r="J150">
            <v>696</v>
          </cell>
          <cell r="K150">
            <v>696</v>
          </cell>
        </row>
        <row r="151">
          <cell r="A151" t="str">
            <v>Net book value of Goodwill (at end)</v>
          </cell>
          <cell r="B151">
            <v>155</v>
          </cell>
          <cell r="C151">
            <v>165</v>
          </cell>
          <cell r="D151">
            <v>696</v>
          </cell>
          <cell r="E151">
            <v>696</v>
          </cell>
          <cell r="F151">
            <v>696</v>
          </cell>
          <cell r="G151">
            <v>696</v>
          </cell>
          <cell r="H151">
            <v>696</v>
          </cell>
          <cell r="I151">
            <v>696</v>
          </cell>
          <cell r="J151">
            <v>696</v>
          </cell>
          <cell r="K151">
            <v>696</v>
          </cell>
        </row>
        <row r="153">
          <cell r="A153" t="str">
            <v>CAPEX/ Goodwill Charge</v>
          </cell>
        </row>
        <row r="154">
          <cell r="A154" t="str">
            <v>Average Useful Life</v>
          </cell>
          <cell r="C154">
            <v>20</v>
          </cell>
          <cell r="D154">
            <v>20</v>
          </cell>
          <cell r="E154">
            <v>20</v>
          </cell>
          <cell r="F154">
            <v>20</v>
          </cell>
          <cell r="G154">
            <v>20</v>
          </cell>
          <cell r="H154">
            <v>20</v>
          </cell>
          <cell r="I154">
            <v>20</v>
          </cell>
          <cell r="J154">
            <v>20</v>
          </cell>
          <cell r="K154">
            <v>20</v>
          </cell>
        </row>
        <row r="156">
          <cell r="A156" t="str">
            <v>4) OTHER INTANGIBLE ASSETS / SOFTWARE</v>
          </cell>
        </row>
        <row r="158">
          <cell r="A158" t="str">
            <v>Cost - other</v>
          </cell>
        </row>
        <row r="159">
          <cell r="A159" t="str">
            <v>Cost at start of year</v>
          </cell>
          <cell r="D159">
            <v>2684</v>
          </cell>
          <cell r="E159">
            <v>3656</v>
          </cell>
          <cell r="F159">
            <v>3848.14</v>
          </cell>
          <cell r="G159">
            <v>4044.5027999999998</v>
          </cell>
          <cell r="H159">
            <v>4245.1728560000001</v>
          </cell>
          <cell r="I159">
            <v>4450.23631312</v>
          </cell>
          <cell r="J159">
            <v>4659.7810393824002</v>
          </cell>
          <cell r="K159">
            <v>4873.8966601700486</v>
          </cell>
        </row>
        <row r="160">
          <cell r="A160" t="str">
            <v>Exchange Adjustments</v>
          </cell>
          <cell r="D160">
            <v>113</v>
          </cell>
        </row>
        <row r="161">
          <cell r="A161" t="str">
            <v>Additions</v>
          </cell>
          <cell r="C161">
            <v>197</v>
          </cell>
          <cell r="D161">
            <v>207</v>
          </cell>
          <cell r="E161">
            <v>211.14000000000001</v>
          </cell>
          <cell r="F161">
            <v>215.36280000000002</v>
          </cell>
          <cell r="G161">
            <v>219.67005600000002</v>
          </cell>
          <cell r="H161">
            <v>224.06345712000001</v>
          </cell>
          <cell r="I161">
            <v>228.54472626240002</v>
          </cell>
          <cell r="J161">
            <v>233.11562078764803</v>
          </cell>
          <cell r="K161">
            <v>237.77793320340101</v>
          </cell>
        </row>
        <row r="162">
          <cell r="A162" t="str">
            <v>Acquisitions</v>
          </cell>
          <cell r="D162">
            <v>816</v>
          </cell>
        </row>
        <row r="163">
          <cell r="A163" t="str">
            <v>Disposals / Other</v>
          </cell>
          <cell r="D163">
            <v>-121</v>
          </cell>
        </row>
        <row r="164">
          <cell r="A164" t="str">
            <v>Write-offs</v>
          </cell>
          <cell r="D164">
            <v>-43</v>
          </cell>
          <cell r="E164">
            <v>-19</v>
          </cell>
          <cell r="F164">
            <v>-19</v>
          </cell>
          <cell r="G164">
            <v>-19</v>
          </cell>
          <cell r="H164">
            <v>-19</v>
          </cell>
          <cell r="I164">
            <v>-19</v>
          </cell>
          <cell r="J164">
            <v>-19</v>
          </cell>
          <cell r="K164">
            <v>-19</v>
          </cell>
        </row>
        <row r="165">
          <cell r="A165" t="str">
            <v>Cost at end of year</v>
          </cell>
          <cell r="C165">
            <v>2684</v>
          </cell>
          <cell r="D165">
            <v>3656</v>
          </cell>
          <cell r="E165">
            <v>3848.14</v>
          </cell>
          <cell r="F165">
            <v>4044.5027999999998</v>
          </cell>
          <cell r="G165">
            <v>4245.1728560000001</v>
          </cell>
          <cell r="H165">
            <v>4450.23631312</v>
          </cell>
          <cell r="I165">
            <v>4659.7810393824002</v>
          </cell>
          <cell r="J165">
            <v>4873.8966601700486</v>
          </cell>
          <cell r="K165">
            <v>5092.6745933734492</v>
          </cell>
        </row>
        <row r="166">
          <cell r="A166" t="str">
            <v>Amortization</v>
          </cell>
        </row>
        <row r="167">
          <cell r="A167" t="str">
            <v>At start of year</v>
          </cell>
          <cell r="D167">
            <v>351</v>
          </cell>
          <cell r="E167">
            <v>385</v>
          </cell>
          <cell r="F167">
            <v>466.67359999999996</v>
          </cell>
          <cell r="G167">
            <v>559.24232719999998</v>
          </cell>
          <cell r="H167">
            <v>635.74765103999994</v>
          </cell>
          <cell r="I167">
            <v>723.23299901087989</v>
          </cell>
          <cell r="J167">
            <v>821.74377324217585</v>
          </cell>
          <cell r="K167">
            <v>931.32736787307613</v>
          </cell>
        </row>
        <row r="168">
          <cell r="A168" t="str">
            <v>Exchange adjustment</v>
          </cell>
          <cell r="D168">
            <v>21</v>
          </cell>
        </row>
        <row r="169">
          <cell r="A169" t="str">
            <v>Amortization charge</v>
          </cell>
          <cell r="C169">
            <v>94</v>
          </cell>
          <cell r="D169">
            <v>109</v>
          </cell>
          <cell r="E169">
            <v>100.67359999999999</v>
          </cell>
          <cell r="F169">
            <v>111.5687272</v>
          </cell>
          <cell r="G169">
            <v>95.505323839999988</v>
          </cell>
          <cell r="H169">
            <v>106.48534797088</v>
          </cell>
          <cell r="I169">
            <v>117.510774231296</v>
          </cell>
          <cell r="J169">
            <v>128.58359463090034</v>
          </cell>
          <cell r="K169">
            <v>139.656415030505</v>
          </cell>
        </row>
        <row r="170">
          <cell r="A170" t="str">
            <v>Disposals / Other</v>
          </cell>
          <cell r="D170">
            <v>-96</v>
          </cell>
          <cell r="E170">
            <v>-19</v>
          </cell>
          <cell r="F170">
            <v>-19</v>
          </cell>
          <cell r="G170">
            <v>-19</v>
          </cell>
          <cell r="H170">
            <v>-19</v>
          </cell>
          <cell r="I170">
            <v>-19</v>
          </cell>
          <cell r="J170">
            <v>-19</v>
          </cell>
          <cell r="K170">
            <v>-19</v>
          </cell>
        </row>
        <row r="171">
          <cell r="A171" t="str">
            <v>At end of Year</v>
          </cell>
          <cell r="C171">
            <v>351</v>
          </cell>
          <cell r="D171">
            <v>385</v>
          </cell>
          <cell r="E171">
            <v>466.67359999999996</v>
          </cell>
          <cell r="F171">
            <v>559.24232719999998</v>
          </cell>
          <cell r="G171">
            <v>635.74765103999994</v>
          </cell>
          <cell r="H171">
            <v>723.23299901087989</v>
          </cell>
          <cell r="I171">
            <v>821.74377324217585</v>
          </cell>
          <cell r="J171">
            <v>931.32736787307613</v>
          </cell>
          <cell r="K171">
            <v>1051.9837829035812</v>
          </cell>
        </row>
        <row r="173">
          <cell r="A173" t="str">
            <v>Impairment bf</v>
          </cell>
          <cell r="D173">
            <v>92</v>
          </cell>
          <cell r="E173">
            <v>151</v>
          </cell>
          <cell r="F173">
            <v>151</v>
          </cell>
          <cell r="G173">
            <v>151</v>
          </cell>
          <cell r="H173">
            <v>151</v>
          </cell>
          <cell r="I173">
            <v>151</v>
          </cell>
          <cell r="J173">
            <v>151</v>
          </cell>
          <cell r="K173">
            <v>151</v>
          </cell>
        </row>
        <row r="174">
          <cell r="A174" t="str">
            <v>Impairment cf</v>
          </cell>
          <cell r="C174">
            <v>92</v>
          </cell>
          <cell r="D174">
            <v>151</v>
          </cell>
          <cell r="E174">
            <v>151</v>
          </cell>
          <cell r="F174">
            <v>151</v>
          </cell>
          <cell r="G174">
            <v>151</v>
          </cell>
          <cell r="H174">
            <v>151</v>
          </cell>
          <cell r="I174">
            <v>151</v>
          </cell>
          <cell r="J174">
            <v>151</v>
          </cell>
          <cell r="K174">
            <v>151</v>
          </cell>
        </row>
        <row r="176">
          <cell r="A176" t="str">
            <v>Net book value (at start)</v>
          </cell>
          <cell r="C176">
            <v>2230</v>
          </cell>
          <cell r="D176">
            <v>2333</v>
          </cell>
          <cell r="E176">
            <v>3120</v>
          </cell>
          <cell r="F176">
            <v>3230.4663999999998</v>
          </cell>
          <cell r="G176">
            <v>3334.2604727999997</v>
          </cell>
          <cell r="H176">
            <v>3458.42520496</v>
          </cell>
          <cell r="I176">
            <v>3576.0033141091199</v>
          </cell>
          <cell r="J176">
            <v>3687.0372661402243</v>
          </cell>
          <cell r="K176">
            <v>3791.5692922969724</v>
          </cell>
        </row>
        <row r="177">
          <cell r="A177" t="str">
            <v>Net book value (at end)</v>
          </cell>
          <cell r="B177">
            <v>2230</v>
          </cell>
          <cell r="C177">
            <v>2241</v>
          </cell>
          <cell r="D177">
            <v>3120</v>
          </cell>
          <cell r="E177">
            <v>3230.4663999999998</v>
          </cell>
          <cell r="F177">
            <v>3334.2604727999997</v>
          </cell>
          <cell r="G177">
            <v>3458.42520496</v>
          </cell>
          <cell r="H177">
            <v>3576.0033141091199</v>
          </cell>
          <cell r="I177">
            <v>3687.0372661402243</v>
          </cell>
          <cell r="J177">
            <v>3791.5692922969724</v>
          </cell>
          <cell r="K177">
            <v>3889.6908104698678</v>
          </cell>
        </row>
        <row r="179">
          <cell r="A179" t="str">
            <v>CAPEX/ Amortization Charge</v>
          </cell>
        </row>
        <row r="180">
          <cell r="A180" t="str">
            <v>Average Useful Life</v>
          </cell>
          <cell r="D180">
            <v>30</v>
          </cell>
          <cell r="E180">
            <v>30</v>
          </cell>
          <cell r="F180">
            <v>30</v>
          </cell>
          <cell r="G180">
            <v>30</v>
          </cell>
          <cell r="H180">
            <v>30</v>
          </cell>
          <cell r="I180">
            <v>30</v>
          </cell>
          <cell r="J180">
            <v>30</v>
          </cell>
          <cell r="K180">
            <v>30</v>
          </cell>
        </row>
        <row r="182">
          <cell r="A182" t="str">
            <v>Cost - software</v>
          </cell>
        </row>
        <row r="183">
          <cell r="A183" t="str">
            <v>Cost at start of year</v>
          </cell>
          <cell r="D183">
            <v>716</v>
          </cell>
          <cell r="E183">
            <v>685</v>
          </cell>
          <cell r="F183">
            <v>732.48</v>
          </cell>
          <cell r="G183">
            <v>782.53920000000005</v>
          </cell>
          <cell r="H183">
            <v>835.28076800000008</v>
          </cell>
          <cell r="I183">
            <v>890.81199872000002</v>
          </cell>
          <cell r="J183">
            <v>949.24447866879996</v>
          </cell>
          <cell r="K183">
            <v>1010.694257815552</v>
          </cell>
        </row>
        <row r="184">
          <cell r="A184" t="str">
            <v>Exchange Adjustments</v>
          </cell>
          <cell r="D184">
            <v>13</v>
          </cell>
        </row>
        <row r="185">
          <cell r="A185" t="str">
            <v>Additions</v>
          </cell>
          <cell r="C185">
            <v>10.4</v>
          </cell>
          <cell r="D185">
            <v>62</v>
          </cell>
          <cell r="E185">
            <v>64.48</v>
          </cell>
          <cell r="F185">
            <v>67.059200000000004</v>
          </cell>
          <cell r="G185">
            <v>69.741568000000001</v>
          </cell>
          <cell r="H185">
            <v>72.531230719999996</v>
          </cell>
          <cell r="I185">
            <v>106</v>
          </cell>
          <cell r="J185">
            <v>89</v>
          </cell>
          <cell r="K185">
            <v>86.274948453608232</v>
          </cell>
          <cell r="L185">
            <v>84.509353608247409</v>
          </cell>
          <cell r="M185">
            <v>83.559955742268016</v>
          </cell>
          <cell r="N185">
            <v>83.308643203402028</v>
          </cell>
          <cell r="O185">
            <v>83.658208993636052</v>
          </cell>
          <cell r="P185">
            <v>84.528830004922796</v>
          </cell>
          <cell r="Q185">
            <v>85.855146105898982</v>
          </cell>
          <cell r="R185">
            <v>87.583837157781744</v>
          </cell>
          <cell r="S185">
            <v>89.671613366439857</v>
          </cell>
        </row>
        <row r="186">
          <cell r="A186" t="str">
            <v>Acquisitions</v>
          </cell>
          <cell r="D186">
            <v>0</v>
          </cell>
        </row>
        <row r="187">
          <cell r="A187" t="str">
            <v>Disposals / Other</v>
          </cell>
          <cell r="C187">
            <v>-17</v>
          </cell>
          <cell r="D187">
            <v>-96</v>
          </cell>
          <cell r="E187">
            <v>-17</v>
          </cell>
          <cell r="F187">
            <v>-17</v>
          </cell>
          <cell r="G187">
            <v>-17</v>
          </cell>
          <cell r="H187">
            <v>-17</v>
          </cell>
          <cell r="I187">
            <v>-17</v>
          </cell>
          <cell r="J187">
            <v>-17</v>
          </cell>
          <cell r="K187">
            <v>-17</v>
          </cell>
        </row>
        <row r="188">
          <cell r="A188" t="str">
            <v>Write-offs</v>
          </cell>
          <cell r="D188">
            <v>-10</v>
          </cell>
        </row>
        <row r="189">
          <cell r="A189" t="str">
            <v>Cost at end of year</v>
          </cell>
          <cell r="C189">
            <v>716</v>
          </cell>
          <cell r="D189">
            <v>685</v>
          </cell>
          <cell r="E189">
            <v>732.48</v>
          </cell>
          <cell r="F189">
            <v>782.53920000000005</v>
          </cell>
          <cell r="G189">
            <v>835.28076800000008</v>
          </cell>
          <cell r="H189">
            <v>890.81199872000002</v>
          </cell>
          <cell r="I189">
            <v>949.24447866879996</v>
          </cell>
          <cell r="J189">
            <v>1010.694257815552</v>
          </cell>
          <cell r="K189">
            <v>1075.282028128174</v>
          </cell>
        </row>
        <row r="190">
          <cell r="A190" t="str">
            <v>Amortization</v>
          </cell>
        </row>
        <row r="191">
          <cell r="A191" t="str">
            <v>At start of year</v>
          </cell>
          <cell r="D191">
            <v>413</v>
          </cell>
          <cell r="E191">
            <v>399</v>
          </cell>
          <cell r="F191">
            <v>461.76142857142855</v>
          </cell>
          <cell r="G191">
            <v>520.54329999999993</v>
          </cell>
          <cell r="H191">
            <v>576.40533442857134</v>
          </cell>
          <cell r="I191">
            <v>630.24242739285705</v>
          </cell>
          <cell r="J191">
            <v>682.81328311732841</v>
          </cell>
          <cell r="K191">
            <v>734.76420467531852</v>
          </cell>
        </row>
        <row r="192">
          <cell r="A192" t="str">
            <v>Exchange adjustment</v>
          </cell>
          <cell r="D192">
            <v>6</v>
          </cell>
        </row>
        <row r="193">
          <cell r="A193" t="str">
            <v>Amortization charge</v>
          </cell>
          <cell r="C193">
            <v>121</v>
          </cell>
          <cell r="D193">
            <v>85</v>
          </cell>
          <cell r="E193">
            <v>79.761428571428567</v>
          </cell>
          <cell r="F193">
            <v>75.781871428571421</v>
          </cell>
          <cell r="G193">
            <v>72.86203442857142</v>
          </cell>
          <cell r="H193">
            <v>70.837092964285702</v>
          </cell>
          <cell r="I193">
            <v>69.570855724471414</v>
          </cell>
          <cell r="J193">
            <v>68.950921557990128</v>
          </cell>
          <cell r="K193">
            <v>68.884660652077812</v>
          </cell>
        </row>
        <row r="194">
          <cell r="A194" t="str">
            <v>Disposals / Other</v>
          </cell>
          <cell r="C194">
            <v>-17</v>
          </cell>
          <cell r="D194">
            <v>-105</v>
          </cell>
          <cell r="E194">
            <v>-17</v>
          </cell>
          <cell r="F194">
            <v>-17</v>
          </cell>
          <cell r="G194">
            <v>-17</v>
          </cell>
          <cell r="H194">
            <v>-17</v>
          </cell>
          <cell r="I194">
            <v>-17</v>
          </cell>
          <cell r="J194">
            <v>-17</v>
          </cell>
          <cell r="K194">
            <v>-17</v>
          </cell>
        </row>
        <row r="195">
          <cell r="A195" t="str">
            <v>At end of Year</v>
          </cell>
          <cell r="C195">
            <v>413</v>
          </cell>
          <cell r="D195">
            <v>399</v>
          </cell>
          <cell r="E195">
            <v>461.76142857142855</v>
          </cell>
          <cell r="F195">
            <v>520.54329999999993</v>
          </cell>
          <cell r="G195">
            <v>576.40533442857134</v>
          </cell>
          <cell r="H195">
            <v>630.24242739285705</v>
          </cell>
          <cell r="I195">
            <v>682.81328311732841</v>
          </cell>
          <cell r="J195">
            <v>734.76420467531852</v>
          </cell>
          <cell r="K195">
            <v>786.64886532739638</v>
          </cell>
        </row>
        <row r="197">
          <cell r="A197" t="str">
            <v>Impairment bf</v>
          </cell>
          <cell r="C197">
            <v>0</v>
          </cell>
          <cell r="D197">
            <v>31</v>
          </cell>
          <cell r="E197">
            <v>23</v>
          </cell>
          <cell r="F197">
            <v>23</v>
          </cell>
          <cell r="G197">
            <v>23</v>
          </cell>
          <cell r="H197">
            <v>23</v>
          </cell>
          <cell r="I197">
            <v>23</v>
          </cell>
          <cell r="J197">
            <v>23</v>
          </cell>
          <cell r="K197">
            <v>23</v>
          </cell>
        </row>
        <row r="198">
          <cell r="A198" t="str">
            <v>Impairment cf</v>
          </cell>
          <cell r="C198">
            <v>31</v>
          </cell>
          <cell r="D198">
            <v>23</v>
          </cell>
          <cell r="E198">
            <v>23</v>
          </cell>
          <cell r="F198">
            <v>23</v>
          </cell>
          <cell r="G198">
            <v>23</v>
          </cell>
          <cell r="H198">
            <v>23</v>
          </cell>
          <cell r="I198">
            <v>23</v>
          </cell>
          <cell r="J198">
            <v>23</v>
          </cell>
          <cell r="K198">
            <v>23</v>
          </cell>
        </row>
        <row r="200">
          <cell r="A200" t="str">
            <v>Net book value (at start)</v>
          </cell>
          <cell r="D200">
            <v>272</v>
          </cell>
          <cell r="E200">
            <v>263</v>
          </cell>
          <cell r="F200">
            <v>247.71857142857147</v>
          </cell>
          <cell r="G200">
            <v>238.99590000000012</v>
          </cell>
          <cell r="H200">
            <v>235.87543357142874</v>
          </cell>
          <cell r="I200">
            <v>237.56957132714297</v>
          </cell>
          <cell r="J200">
            <v>243.43119555147155</v>
          </cell>
          <cell r="K200">
            <v>252.93005314023344</v>
          </cell>
        </row>
        <row r="201">
          <cell r="A201" t="str">
            <v>Net book value (at end)</v>
          </cell>
          <cell r="B201">
            <v>0</v>
          </cell>
          <cell r="C201">
            <v>272</v>
          </cell>
          <cell r="D201">
            <v>263</v>
          </cell>
          <cell r="E201">
            <v>247.71857142857147</v>
          </cell>
          <cell r="F201">
            <v>238.99590000000012</v>
          </cell>
          <cell r="G201">
            <v>235.87543357142874</v>
          </cell>
          <cell r="H201">
            <v>237.56957132714297</v>
          </cell>
          <cell r="I201">
            <v>243.43119555147155</v>
          </cell>
          <cell r="J201">
            <v>252.93005314023344</v>
          </cell>
          <cell r="K201">
            <v>265.63316280077765</v>
          </cell>
        </row>
        <row r="203">
          <cell r="A203" t="str">
            <v>CAPEX/ Amortization Charge</v>
          </cell>
        </row>
        <row r="204">
          <cell r="A204" t="str">
            <v>Average Useful Life</v>
          </cell>
          <cell r="D204">
            <v>7</v>
          </cell>
          <cell r="E204">
            <v>7</v>
          </cell>
          <cell r="F204">
            <v>7</v>
          </cell>
          <cell r="G204">
            <v>7</v>
          </cell>
          <cell r="H204">
            <v>7</v>
          </cell>
          <cell r="I204">
            <v>7</v>
          </cell>
          <cell r="J204">
            <v>7</v>
          </cell>
          <cell r="K204">
            <v>7</v>
          </cell>
        </row>
        <row r="206">
          <cell r="A206" t="str">
            <v>5) CASH AND DEBT</v>
          </cell>
        </row>
        <row r="207">
          <cell r="A207" t="str">
            <v>Short Term Debt</v>
          </cell>
        </row>
        <row r="208">
          <cell r="A208" t="str">
            <v>Beginning</v>
          </cell>
          <cell r="C208">
            <v>1452</v>
          </cell>
          <cell r="D208">
            <v>1582</v>
          </cell>
          <cell r="E208">
            <v>1200</v>
          </cell>
          <cell r="F208">
            <v>1200</v>
          </cell>
          <cell r="G208">
            <v>1200</v>
          </cell>
          <cell r="H208">
            <v>1200</v>
          </cell>
          <cell r="I208">
            <v>1200</v>
          </cell>
          <cell r="J208">
            <v>1200</v>
          </cell>
          <cell r="K208">
            <v>1200</v>
          </cell>
        </row>
        <row r="209">
          <cell r="A209" t="str">
            <v>New Debt</v>
          </cell>
          <cell r="C209">
            <v>130</v>
          </cell>
          <cell r="D209">
            <v>-382</v>
          </cell>
        </row>
        <row r="210">
          <cell r="A210" t="str">
            <v>Repayments</v>
          </cell>
        </row>
        <row r="211">
          <cell r="A211" t="str">
            <v xml:space="preserve">End </v>
          </cell>
          <cell r="B211">
            <v>1452</v>
          </cell>
          <cell r="C211">
            <v>1582</v>
          </cell>
          <cell r="D211">
            <v>1200</v>
          </cell>
          <cell r="E211">
            <v>1200</v>
          </cell>
          <cell r="F211">
            <v>1200</v>
          </cell>
          <cell r="G211">
            <v>1200</v>
          </cell>
          <cell r="H211">
            <v>1200</v>
          </cell>
          <cell r="I211">
            <v>1200</v>
          </cell>
          <cell r="J211">
            <v>1200</v>
          </cell>
          <cell r="K211">
            <v>1200</v>
          </cell>
        </row>
        <row r="212">
          <cell r="A212" t="str">
            <v>Long Term Debt</v>
          </cell>
        </row>
        <row r="213">
          <cell r="A213" t="str">
            <v>Beginning</v>
          </cell>
          <cell r="C213">
            <v>3651</v>
          </cell>
          <cell r="D213">
            <v>4381</v>
          </cell>
          <cell r="E213">
            <v>5271</v>
          </cell>
          <cell r="F213">
            <v>5271</v>
          </cell>
          <cell r="G213">
            <v>5271</v>
          </cell>
          <cell r="H213">
            <v>5271</v>
          </cell>
          <cell r="I213">
            <v>5271</v>
          </cell>
          <cell r="J213">
            <v>5271</v>
          </cell>
          <cell r="K213">
            <v>5271</v>
          </cell>
        </row>
        <row r="214">
          <cell r="A214" t="str">
            <v>New Debt</v>
          </cell>
        </row>
        <row r="215">
          <cell r="A215" t="str">
            <v>Repayments</v>
          </cell>
        </row>
        <row r="216">
          <cell r="A216" t="str">
            <v xml:space="preserve">End </v>
          </cell>
          <cell r="B216">
            <v>3651</v>
          </cell>
          <cell r="C216">
            <v>4381</v>
          </cell>
          <cell r="D216">
            <v>5271</v>
          </cell>
          <cell r="E216">
            <v>5271</v>
          </cell>
          <cell r="F216">
            <v>5271</v>
          </cell>
          <cell r="G216">
            <v>5271</v>
          </cell>
          <cell r="H216">
            <v>5271</v>
          </cell>
          <cell r="I216">
            <v>5271</v>
          </cell>
          <cell r="J216">
            <v>5271</v>
          </cell>
          <cell r="K216">
            <v>5271</v>
          </cell>
        </row>
        <row r="218">
          <cell r="A218" t="str">
            <v>Cash</v>
          </cell>
        </row>
        <row r="219">
          <cell r="A219" t="str">
            <v>Beginning</v>
          </cell>
          <cell r="C219">
            <v>1986</v>
          </cell>
          <cell r="D219">
            <v>2467</v>
          </cell>
          <cell r="E219">
            <v>4209</v>
          </cell>
          <cell r="F219">
            <v>5956.3012921328154</v>
          </cell>
          <cell r="G219">
            <v>7091.8825802361971</v>
          </cell>
          <cell r="H219">
            <v>8778.0055445688813</v>
          </cell>
          <cell r="I219">
            <v>10869.726579954651</v>
          </cell>
          <cell r="J219">
            <v>13369.36048589472</v>
          </cell>
          <cell r="K219">
            <v>16612.337710044365</v>
          </cell>
        </row>
        <row r="220">
          <cell r="A220" t="str">
            <v>Exchange</v>
          </cell>
          <cell r="C220">
            <v>-93</v>
          </cell>
          <cell r="D220">
            <v>233</v>
          </cell>
          <cell r="E220">
            <v>0</v>
          </cell>
          <cell r="F220">
            <v>0</v>
          </cell>
          <cell r="G220">
            <v>0</v>
          </cell>
          <cell r="H220">
            <v>0</v>
          </cell>
          <cell r="I220">
            <v>0</v>
          </cell>
          <cell r="J220">
            <v>0</v>
          </cell>
          <cell r="K220">
            <v>0</v>
          </cell>
        </row>
        <row r="221">
          <cell r="A221" t="str">
            <v>Cashflow</v>
          </cell>
          <cell r="C221">
            <v>617</v>
          </cell>
          <cell r="D221">
            <v>1384</v>
          </cell>
          <cell r="E221">
            <v>1747.3012921328154</v>
          </cell>
          <cell r="F221">
            <v>1135.5812881033817</v>
          </cell>
          <cell r="G221">
            <v>1686.1229643326851</v>
          </cell>
          <cell r="H221">
            <v>2091.7210353857708</v>
          </cell>
          <cell r="I221">
            <v>2499.6339059400689</v>
          </cell>
          <cell r="J221">
            <v>3242.9772241496457</v>
          </cell>
          <cell r="K221">
            <v>3795.0448849777076</v>
          </cell>
        </row>
        <row r="222">
          <cell r="A222" t="str">
            <v>Overdrafts</v>
          </cell>
          <cell r="C222">
            <v>-43</v>
          </cell>
          <cell r="D222">
            <v>125</v>
          </cell>
          <cell r="E222">
            <v>0</v>
          </cell>
          <cell r="F222">
            <v>0</v>
          </cell>
          <cell r="G222">
            <v>0</v>
          </cell>
          <cell r="H222">
            <v>0</v>
          </cell>
          <cell r="I222">
            <v>0</v>
          </cell>
          <cell r="J222">
            <v>0</v>
          </cell>
          <cell r="K222">
            <v>0</v>
          </cell>
        </row>
        <row r="223">
          <cell r="A223" t="str">
            <v>Exchange</v>
          </cell>
        </row>
        <row r="224">
          <cell r="A224" t="str">
            <v>End</v>
          </cell>
          <cell r="B224">
            <v>1986</v>
          </cell>
          <cell r="C224">
            <v>2467</v>
          </cell>
          <cell r="D224">
            <v>4209</v>
          </cell>
          <cell r="E224">
            <v>5956.3012921328154</v>
          </cell>
          <cell r="F224">
            <v>7091.8825802361971</v>
          </cell>
          <cell r="G224">
            <v>8778.0055445688813</v>
          </cell>
          <cell r="H224">
            <v>10869.726579954651</v>
          </cell>
          <cell r="I224">
            <v>13369.36048589472</v>
          </cell>
          <cell r="J224">
            <v>16612.337710044365</v>
          </cell>
          <cell r="K224">
            <v>20407.382595022071</v>
          </cell>
        </row>
        <row r="225">
          <cell r="A225" t="str">
            <v>Short Term Investments</v>
          </cell>
        </row>
        <row r="226">
          <cell r="A226" t="str">
            <v>Beginning</v>
          </cell>
          <cell r="C226">
            <v>1469</v>
          </cell>
          <cell r="D226">
            <v>1512</v>
          </cell>
          <cell r="E226">
            <v>1025</v>
          </cell>
          <cell r="F226">
            <v>1025</v>
          </cell>
          <cell r="G226">
            <v>1025</v>
          </cell>
          <cell r="H226">
            <v>1025</v>
          </cell>
          <cell r="I226">
            <v>1025</v>
          </cell>
          <cell r="J226">
            <v>1025</v>
          </cell>
          <cell r="K226">
            <v>1025</v>
          </cell>
        </row>
        <row r="227">
          <cell r="A227" t="str">
            <v>Additions</v>
          </cell>
        </row>
        <row r="228">
          <cell r="A228" t="str">
            <v>Disposals</v>
          </cell>
        </row>
        <row r="229">
          <cell r="A229" t="str">
            <v>End</v>
          </cell>
          <cell r="B229">
            <v>1469</v>
          </cell>
          <cell r="C229">
            <v>1512</v>
          </cell>
          <cell r="D229">
            <v>1025</v>
          </cell>
          <cell r="E229">
            <v>1025</v>
          </cell>
          <cell r="F229">
            <v>1025</v>
          </cell>
          <cell r="G229">
            <v>1025</v>
          </cell>
          <cell r="H229">
            <v>1025</v>
          </cell>
          <cell r="I229">
            <v>1025</v>
          </cell>
          <cell r="J229">
            <v>1025</v>
          </cell>
          <cell r="K229">
            <v>1025</v>
          </cell>
        </row>
        <row r="231">
          <cell r="A231" t="str">
            <v>Investments in associates and joint ventures</v>
          </cell>
        </row>
        <row r="232">
          <cell r="A232" t="str">
            <v>Beginning</v>
          </cell>
          <cell r="C232">
            <v>210</v>
          </cell>
          <cell r="D232">
            <v>209</v>
          </cell>
          <cell r="E232">
            <v>276</v>
          </cell>
          <cell r="F232">
            <v>328</v>
          </cell>
          <cell r="G232">
            <v>380</v>
          </cell>
          <cell r="H232">
            <v>432</v>
          </cell>
          <cell r="I232">
            <v>484</v>
          </cell>
          <cell r="J232">
            <v>536</v>
          </cell>
          <cell r="K232">
            <v>588</v>
          </cell>
        </row>
        <row r="233">
          <cell r="D233">
            <v>67</v>
          </cell>
          <cell r="E233">
            <v>52</v>
          </cell>
          <cell r="F233">
            <v>52</v>
          </cell>
          <cell r="G233">
            <v>52</v>
          </cell>
          <cell r="H233">
            <v>52</v>
          </cell>
          <cell r="I233">
            <v>52</v>
          </cell>
          <cell r="J233">
            <v>52</v>
          </cell>
          <cell r="K233">
            <v>52</v>
          </cell>
        </row>
        <row r="234">
          <cell r="A234" t="str">
            <v>End</v>
          </cell>
          <cell r="B234">
            <v>210</v>
          </cell>
          <cell r="C234">
            <v>209</v>
          </cell>
          <cell r="D234">
            <v>276</v>
          </cell>
          <cell r="E234">
            <v>328</v>
          </cell>
          <cell r="F234">
            <v>380</v>
          </cell>
          <cell r="G234">
            <v>432</v>
          </cell>
          <cell r="H234">
            <v>484</v>
          </cell>
          <cell r="I234">
            <v>536</v>
          </cell>
          <cell r="J234">
            <v>588</v>
          </cell>
          <cell r="K234">
            <v>640</v>
          </cell>
        </row>
        <row r="236">
          <cell r="A236" t="str">
            <v>Other investments</v>
          </cell>
        </row>
        <row r="237">
          <cell r="A237" t="str">
            <v>Beginning</v>
          </cell>
          <cell r="C237">
            <v>262</v>
          </cell>
          <cell r="D237">
            <v>298</v>
          </cell>
          <cell r="E237">
            <v>362</v>
          </cell>
          <cell r="F237">
            <v>362</v>
          </cell>
          <cell r="G237">
            <v>362</v>
          </cell>
          <cell r="H237">
            <v>362</v>
          </cell>
          <cell r="I237">
            <v>362</v>
          </cell>
          <cell r="J237">
            <v>362</v>
          </cell>
          <cell r="K237">
            <v>362</v>
          </cell>
        </row>
        <row r="238">
          <cell r="D238">
            <v>64</v>
          </cell>
        </row>
        <row r="239">
          <cell r="A239" t="str">
            <v>End</v>
          </cell>
          <cell r="B239">
            <v>262</v>
          </cell>
          <cell r="C239">
            <v>298</v>
          </cell>
          <cell r="D239">
            <v>362</v>
          </cell>
          <cell r="E239">
            <v>362</v>
          </cell>
          <cell r="F239">
            <v>362</v>
          </cell>
          <cell r="G239">
            <v>362</v>
          </cell>
          <cell r="H239">
            <v>362</v>
          </cell>
          <cell r="I239">
            <v>362</v>
          </cell>
          <cell r="J239">
            <v>362</v>
          </cell>
          <cell r="K239">
            <v>362</v>
          </cell>
        </row>
        <row r="241">
          <cell r="A241" t="str">
            <v>Short Term Debt Interest Rate</v>
          </cell>
          <cell r="C241">
            <v>0.04</v>
          </cell>
          <cell r="D241">
            <v>0.04</v>
          </cell>
          <cell r="E241">
            <v>0.04</v>
          </cell>
          <cell r="F241">
            <v>0.04</v>
          </cell>
          <cell r="G241">
            <v>0.04</v>
          </cell>
          <cell r="H241">
            <v>0.04</v>
          </cell>
          <cell r="I241">
            <v>0.04</v>
          </cell>
          <cell r="J241">
            <v>0.04</v>
          </cell>
          <cell r="K241">
            <v>0.04</v>
          </cell>
        </row>
        <row r="242">
          <cell r="A242" t="str">
            <v>Long Term Debt Interest Rate</v>
          </cell>
          <cell r="C242">
            <v>5.5E-2</v>
          </cell>
          <cell r="D242">
            <v>5.5E-2</v>
          </cell>
          <cell r="E242">
            <v>5.5E-2</v>
          </cell>
          <cell r="F242">
            <v>5.5E-2</v>
          </cell>
          <cell r="G242">
            <v>5.5E-2</v>
          </cell>
          <cell r="H242">
            <v>5.5E-2</v>
          </cell>
          <cell r="I242">
            <v>5.5E-2</v>
          </cell>
          <cell r="J242">
            <v>5.5E-2</v>
          </cell>
          <cell r="K242">
            <v>5.5E-2</v>
          </cell>
        </row>
        <row r="243">
          <cell r="A243" t="str">
            <v>Cash Interest Received</v>
          </cell>
          <cell r="C243">
            <v>0.03</v>
          </cell>
          <cell r="D243">
            <v>0.03</v>
          </cell>
          <cell r="E243">
            <v>0.03</v>
          </cell>
          <cell r="F243">
            <v>0.03</v>
          </cell>
          <cell r="G243">
            <v>0.03</v>
          </cell>
          <cell r="H243">
            <v>0.03</v>
          </cell>
          <cell r="I243">
            <v>0.03</v>
          </cell>
          <cell r="J243">
            <v>0.03</v>
          </cell>
          <cell r="K243">
            <v>0.03</v>
          </cell>
        </row>
        <row r="244">
          <cell r="A244" t="str">
            <v>Return on Short-Term Investments</v>
          </cell>
          <cell r="C244">
            <v>0.04</v>
          </cell>
          <cell r="D244">
            <v>0.04</v>
          </cell>
          <cell r="E244">
            <v>0.04</v>
          </cell>
          <cell r="F244">
            <v>0.04</v>
          </cell>
          <cell r="G244">
            <v>0.04</v>
          </cell>
          <cell r="H244">
            <v>0.04</v>
          </cell>
          <cell r="I244">
            <v>0.04</v>
          </cell>
          <cell r="J244">
            <v>0.04</v>
          </cell>
          <cell r="K244">
            <v>0.04</v>
          </cell>
        </row>
        <row r="246">
          <cell r="A246" t="str">
            <v>Interest Paid</v>
          </cell>
          <cell r="C246">
            <v>-281.56</v>
          </cell>
          <cell r="D246">
            <v>-451</v>
          </cell>
          <cell r="E246">
            <v>-337.90500000000003</v>
          </cell>
          <cell r="F246">
            <v>-337.90500000000003</v>
          </cell>
          <cell r="G246">
            <v>-337.90500000000003</v>
          </cell>
          <cell r="H246">
            <v>-337.90500000000003</v>
          </cell>
          <cell r="I246">
            <v>-337.90500000000003</v>
          </cell>
          <cell r="J246">
            <v>-337.90500000000003</v>
          </cell>
          <cell r="K246">
            <v>-337.90500000000003</v>
          </cell>
        </row>
        <row r="247">
          <cell r="A247" t="str">
            <v>Interest Received</v>
          </cell>
          <cell r="C247">
            <v>100.375</v>
          </cell>
          <cell r="D247">
            <v>257</v>
          </cell>
          <cell r="E247">
            <v>178.49951938199223</v>
          </cell>
          <cell r="F247">
            <v>222.78275808553519</v>
          </cell>
          <cell r="G247">
            <v>266.14832187207617</v>
          </cell>
          <cell r="H247">
            <v>323.85598186785296</v>
          </cell>
          <cell r="I247">
            <v>393.76630598774057</v>
          </cell>
          <cell r="J247">
            <v>480.94547293908624</v>
          </cell>
          <cell r="K247">
            <v>587.5558045759966</v>
          </cell>
        </row>
        <row r="248">
          <cell r="A248" t="str">
            <v>Net Interest Income (Expense)</v>
          </cell>
          <cell r="C248">
            <v>-181.185</v>
          </cell>
          <cell r="D248">
            <v>-194</v>
          </cell>
          <cell r="E248">
            <v>-159.4054806180078</v>
          </cell>
          <cell r="F248">
            <v>-115.12224191446484</v>
          </cell>
          <cell r="G248">
            <v>-71.756678127923863</v>
          </cell>
          <cell r="H248">
            <v>-14.049018132147069</v>
          </cell>
          <cell r="I248">
            <v>55.861305987740536</v>
          </cell>
          <cell r="J248">
            <v>143.04047293908621</v>
          </cell>
          <cell r="K248">
            <v>249.65080457599657</v>
          </cell>
        </row>
        <row r="249">
          <cell r="A249" t="str">
            <v>Interest Paid</v>
          </cell>
          <cell r="C249">
            <v>-281.56</v>
          </cell>
          <cell r="D249">
            <v>-451</v>
          </cell>
          <cell r="E249">
            <v>-337.90499999999997</v>
          </cell>
          <cell r="F249">
            <v>-337.90499999999997</v>
          </cell>
          <cell r="G249">
            <v>-337.90499999999997</v>
          </cell>
          <cell r="H249">
            <v>-337.90499999999997</v>
          </cell>
          <cell r="I249">
            <v>-337.90499999999997</v>
          </cell>
          <cell r="J249">
            <v>-337.90499999999997</v>
          </cell>
          <cell r="K249">
            <v>-337.90499999999997</v>
          </cell>
        </row>
        <row r="250">
          <cell r="A250" t="str">
            <v>Interest Received</v>
          </cell>
          <cell r="C250">
            <v>100.375</v>
          </cell>
          <cell r="D250">
            <v>257</v>
          </cell>
          <cell r="E250">
            <v>178.49951938188076</v>
          </cell>
          <cell r="F250">
            <v>222.78275808422143</v>
          </cell>
          <cell r="G250">
            <v>266.14832186414998</v>
          </cell>
          <cell r="H250">
            <v>323.85598183484927</v>
          </cell>
          <cell r="I250">
            <v>393.76630588004349</v>
          </cell>
          <cell r="J250">
            <v>480.94547264352934</v>
          </cell>
          <cell r="K250">
            <v>587.55580386330701</v>
          </cell>
        </row>
        <row r="251">
          <cell r="A251" t="str">
            <v>Net Interest Income (Expense)</v>
          </cell>
          <cell r="C251">
            <v>-181.185</v>
          </cell>
          <cell r="D251">
            <v>-194</v>
          </cell>
          <cell r="E251">
            <v>-159.40548061811927</v>
          </cell>
          <cell r="F251">
            <v>-115.1222419157786</v>
          </cell>
          <cell r="G251">
            <v>-71.756678135850052</v>
          </cell>
          <cell r="H251">
            <v>-14.049018165150756</v>
          </cell>
          <cell r="I251">
            <v>55.86130588004346</v>
          </cell>
          <cell r="J251">
            <v>143.04047264352931</v>
          </cell>
          <cell r="K251">
            <v>249.65080386330698</v>
          </cell>
        </row>
        <row r="253">
          <cell r="A253" t="str">
            <v>6) PENSIONS</v>
          </cell>
        </row>
        <row r="255">
          <cell r="A255" t="str">
            <v>7) SHARE REPURCHASE</v>
          </cell>
        </row>
        <row r="256">
          <cell r="A256" t="str">
            <v>Operating cashflow</v>
          </cell>
          <cell r="B256">
            <v>5088</v>
          </cell>
          <cell r="C256">
            <v>4944</v>
          </cell>
          <cell r="D256">
            <v>5958</v>
          </cell>
          <cell r="E256">
            <v>6885.3928688752203</v>
          </cell>
          <cell r="F256">
            <v>6610.4503378646878</v>
          </cell>
          <cell r="G256">
            <v>7369.2342802361882</v>
          </cell>
          <cell r="H256">
            <v>7927.8798232694526</v>
          </cell>
          <cell r="I256">
            <v>8479.7423366339317</v>
          </cell>
          <cell r="J256">
            <v>9438.0074086992936</v>
          </cell>
          <cell r="K256">
            <v>10130.153917234449</v>
          </cell>
        </row>
        <row r="257">
          <cell r="A257" t="str">
            <v>Cash used in Share repurchase</v>
          </cell>
          <cell r="D257">
            <v>999</v>
          </cell>
          <cell r="E257">
            <v>1032.8089303312829</v>
          </cell>
          <cell r="F257">
            <v>1322.0900675729376</v>
          </cell>
          <cell r="G257">
            <v>1473.8468560472377</v>
          </cell>
          <cell r="H257">
            <v>1585.5759646538907</v>
          </cell>
          <cell r="I257">
            <v>1695.9484673267864</v>
          </cell>
          <cell r="J257">
            <v>1887.6014817398589</v>
          </cell>
          <cell r="K257">
            <v>2026.0307834468899</v>
          </cell>
        </row>
        <row r="258">
          <cell r="A258" t="str">
            <v>% of Operating Cashflow used for repurchase</v>
          </cell>
          <cell r="E258">
            <v>0.15</v>
          </cell>
          <cell r="F258">
            <v>0.2</v>
          </cell>
          <cell r="G258">
            <v>0.2</v>
          </cell>
          <cell r="H258">
            <v>0.2</v>
          </cell>
          <cell r="I258">
            <v>0.2</v>
          </cell>
          <cell r="J258">
            <v>0.2</v>
          </cell>
          <cell r="K258">
            <v>0.2</v>
          </cell>
        </row>
        <row r="259">
          <cell r="A259" t="str">
            <v>Average Stock Repurchase Price (£)</v>
          </cell>
          <cell r="C259">
            <v>11</v>
          </cell>
          <cell r="D259">
            <v>13</v>
          </cell>
          <cell r="E259">
            <v>14.105</v>
          </cell>
          <cell r="F259">
            <v>15.303925</v>
          </cell>
          <cell r="G259">
            <v>16.604758624999999</v>
          </cell>
          <cell r="H259">
            <v>18.016163108124999</v>
          </cell>
          <cell r="I259">
            <v>19.547536972315623</v>
          </cell>
          <cell r="J259">
            <v>21.20907761496245</v>
          </cell>
          <cell r="K259">
            <v>23.011849212234257</v>
          </cell>
        </row>
        <row r="260">
          <cell r="A260" t="str">
            <v>Theoretical Cost of equity (%)</v>
          </cell>
          <cell r="D260">
            <v>8.5000000000000006E-2</v>
          </cell>
          <cell r="E260">
            <v>8.5000000000000006E-2</v>
          </cell>
          <cell r="F260">
            <v>8.5000000000000006E-2</v>
          </cell>
          <cell r="G260">
            <v>8.5000000000000006E-2</v>
          </cell>
          <cell r="H260">
            <v>8.5000000000000006E-2</v>
          </cell>
          <cell r="I260">
            <v>8.5000000000000006E-2</v>
          </cell>
          <cell r="J260">
            <v>8.5000000000000006E-2</v>
          </cell>
          <cell r="K260">
            <v>8.5000000000000006E-2</v>
          </cell>
        </row>
        <row r="261">
          <cell r="A261" t="str">
            <v>No. Shares Repurchase</v>
          </cell>
          <cell r="D261">
            <v>76.84615384615384</v>
          </cell>
          <cell r="E261">
            <v>73.222894741671951</v>
          </cell>
          <cell r="F261">
            <v>86.38895365554508</v>
          </cell>
          <cell r="G261">
            <v>88.760510726619358</v>
          </cell>
          <cell r="H261">
            <v>88.008526295969276</v>
          </cell>
          <cell r="I261">
            <v>86.760212794516718</v>
          </cell>
          <cell r="J261">
            <v>88.99969701691343</v>
          </cell>
          <cell r="K261">
            <v>88.042936695837113</v>
          </cell>
        </row>
        <row r="263">
          <cell r="A263" t="str">
            <v>Opening Share Count</v>
          </cell>
          <cell r="D263">
            <v>5693.2137339999999</v>
          </cell>
          <cell r="E263">
            <v>5623.3675801538457</v>
          </cell>
          <cell r="F263">
            <v>5557.1446854121741</v>
          </cell>
          <cell r="G263">
            <v>5477.7557317566288</v>
          </cell>
          <cell r="H263">
            <v>5395.9952210300098</v>
          </cell>
          <cell r="I263">
            <v>5314.9866947340406</v>
          </cell>
          <cell r="J263">
            <v>5235.2264819395241</v>
          </cell>
          <cell r="K263">
            <v>5153.2267849226109</v>
          </cell>
        </row>
        <row r="264">
          <cell r="A264" t="str">
            <v>Issued shares (mn)</v>
          </cell>
          <cell r="D264">
            <v>7</v>
          </cell>
          <cell r="E264">
            <v>7</v>
          </cell>
          <cell r="F264">
            <v>7</v>
          </cell>
          <cell r="G264">
            <v>7</v>
          </cell>
          <cell r="H264">
            <v>7</v>
          </cell>
          <cell r="I264">
            <v>7</v>
          </cell>
          <cell r="J264">
            <v>7</v>
          </cell>
          <cell r="K264">
            <v>7</v>
          </cell>
        </row>
        <row r="265">
          <cell r="A265" t="str">
            <v>Repurchased shares (mn)</v>
          </cell>
          <cell r="D265">
            <v>-76.84615384615384</v>
          </cell>
          <cell r="E265">
            <v>-73.222894741671951</v>
          </cell>
          <cell r="F265">
            <v>-86.38895365554508</v>
          </cell>
          <cell r="G265">
            <v>-88.760510726619358</v>
          </cell>
          <cell r="H265">
            <v>-88.008526295969276</v>
          </cell>
          <cell r="I265">
            <v>-86.760212794516718</v>
          </cell>
          <cell r="J265">
            <v>-88.99969701691343</v>
          </cell>
          <cell r="K265">
            <v>-88.042936695837113</v>
          </cell>
        </row>
        <row r="266">
          <cell r="A266" t="str">
            <v>Closing Share Count</v>
          </cell>
          <cell r="B266">
            <v>5767.793279454545</v>
          </cell>
          <cell r="C266">
            <v>5693.2137339999999</v>
          </cell>
          <cell r="D266">
            <v>5623.3675801538457</v>
          </cell>
          <cell r="E266">
            <v>5557.1446854121741</v>
          </cell>
          <cell r="F266">
            <v>5477.7557317566288</v>
          </cell>
          <cell r="G266">
            <v>5395.9952210300098</v>
          </cell>
          <cell r="H266">
            <v>5314.9866947340406</v>
          </cell>
          <cell r="I266">
            <v>5235.2264819395241</v>
          </cell>
          <cell r="J266">
            <v>5153.2267849226109</v>
          </cell>
          <cell r="K266">
            <v>5072.183848226774</v>
          </cell>
          <cell r="R266" t="str">
            <v>mstag:periodEndBasicSharesOutstanding~GSK.L</v>
          </cell>
          <cell r="S266">
            <v>6</v>
          </cell>
          <cell r="T266" t="str">
            <v>ms_eqr_gcim_Decimal:ms_eqr_gcim_decimal</v>
          </cell>
          <cell r="U266" t="b">
            <v>0</v>
          </cell>
          <cell r="V266" t="b">
            <v>0</v>
          </cell>
        </row>
        <row r="267">
          <cell r="A267" t="str">
            <v>Average share count</v>
          </cell>
          <cell r="B267">
            <v>5806</v>
          </cell>
          <cell r="C267">
            <v>5731.420454545455</v>
          </cell>
          <cell r="D267">
            <v>5674</v>
          </cell>
          <cell r="E267">
            <v>5590.2561327830099</v>
          </cell>
          <cell r="F267">
            <v>5517.4502085844015</v>
          </cell>
          <cell r="G267">
            <v>5436.8754763933193</v>
          </cell>
          <cell r="H267">
            <v>5355.4909578820252</v>
          </cell>
          <cell r="I267">
            <v>5275.1065883367828</v>
          </cell>
          <cell r="J267">
            <v>5194.226633431068</v>
          </cell>
          <cell r="K267">
            <v>5112.7053165746929</v>
          </cell>
        </row>
        <row r="268">
          <cell r="A268" t="str">
            <v>Dilution</v>
          </cell>
          <cell r="B268">
            <v>18</v>
          </cell>
          <cell r="C268">
            <v>16.579545454545041</v>
          </cell>
          <cell r="D268">
            <v>46</v>
          </cell>
          <cell r="E268">
            <v>46</v>
          </cell>
          <cell r="F268">
            <v>46</v>
          </cell>
          <cell r="G268">
            <v>46</v>
          </cell>
          <cell r="H268">
            <v>46</v>
          </cell>
          <cell r="I268">
            <v>46</v>
          </cell>
          <cell r="J268">
            <v>46</v>
          </cell>
          <cell r="K268">
            <v>46</v>
          </cell>
        </row>
        <row r="269">
          <cell r="A269" t="str">
            <v>Average diluted share count</v>
          </cell>
          <cell r="B269">
            <v>5824</v>
          </cell>
          <cell r="C269">
            <v>5748</v>
          </cell>
          <cell r="D269">
            <v>5720</v>
          </cell>
          <cell r="E269">
            <v>5636.2561327830099</v>
          </cell>
          <cell r="F269">
            <v>5563.4502085844015</v>
          </cell>
          <cell r="G269">
            <v>5482.8754763933193</v>
          </cell>
          <cell r="H269">
            <v>5401.4909578820252</v>
          </cell>
          <cell r="I269">
            <v>5321.1065883367828</v>
          </cell>
          <cell r="J269">
            <v>5240.226633431068</v>
          </cell>
          <cell r="K269">
            <v>5158.7053165746929</v>
          </cell>
          <cell r="R269" t="str">
            <v>mstag:averageDilutedSharesOutstanding~GSK.L</v>
          </cell>
          <cell r="S269">
            <v>6</v>
          </cell>
          <cell r="T269" t="str">
            <v>ms_eqr_gcim_Decimal:ms_eqr_gcim_decimal</v>
          </cell>
          <cell r="U269" t="b">
            <v>0</v>
          </cell>
          <cell r="V269" t="b">
            <v>0</v>
          </cell>
        </row>
        <row r="276">
          <cell r="B276" t="str">
            <v>2003-FY</v>
          </cell>
          <cell r="C276" t="str">
            <v>2004-FY</v>
          </cell>
          <cell r="D276" t="str">
            <v>2005-FY</v>
          </cell>
          <cell r="E276" t="str">
            <v>2006-FY</v>
          </cell>
          <cell r="F276" t="str">
            <v>2007-FY</v>
          </cell>
          <cell r="G276" t="str">
            <v>2008-FY</v>
          </cell>
          <cell r="H276" t="str">
            <v>2009-FY</v>
          </cell>
          <cell r="I276" t="str">
            <v>2010-FY</v>
          </cell>
          <cell r="J276" t="str">
            <v>2011-FY</v>
          </cell>
          <cell r="K276" t="str">
            <v>2012-FY</v>
          </cell>
        </row>
      </sheetData>
      <sheetData sheetId="23" refreshError="1">
        <row r="1">
          <cell r="M1" t="str">
            <v>ElementName</v>
          </cell>
          <cell r="N1" t="str">
            <v>ScaleOverride</v>
          </cell>
          <cell r="O1" t="str">
            <v>UnitOverride</v>
          </cell>
          <cell r="P1" t="str">
            <v>ReverseSign</v>
          </cell>
          <cell r="Q1" t="str">
            <v>IsDrivingAssumption</v>
          </cell>
          <cell r="R1" t="str">
            <v>SegmentID</v>
          </cell>
        </row>
        <row r="2">
          <cell r="A2" t="str">
            <v>GLAXOSMITHKLINE</v>
          </cell>
        </row>
        <row r="3">
          <cell r="A3" t="str">
            <v>Cash flow</v>
          </cell>
          <cell r="K3" t="str">
            <v>Morgan Stanley Equity Research: Pharmaceuticals</v>
          </cell>
        </row>
        <row r="4">
          <cell r="A4" t="str">
            <v>in £ millions</v>
          </cell>
          <cell r="B4">
            <v>2003</v>
          </cell>
          <cell r="C4">
            <v>2004</v>
          </cell>
          <cell r="D4">
            <v>2005</v>
          </cell>
          <cell r="E4">
            <v>2006</v>
          </cell>
          <cell r="F4">
            <v>2007</v>
          </cell>
          <cell r="G4">
            <v>2008</v>
          </cell>
          <cell r="H4">
            <v>2009</v>
          </cell>
          <cell r="I4">
            <v>2010</v>
          </cell>
          <cell r="J4">
            <v>2011</v>
          </cell>
          <cell r="K4">
            <v>2012</v>
          </cell>
        </row>
        <row r="6">
          <cell r="A6" t="str">
            <v>Cash flows from operating activities</v>
          </cell>
        </row>
        <row r="7">
          <cell r="A7" t="str">
            <v>IFRS operating profit</v>
          </cell>
          <cell r="B7">
            <v>6050</v>
          </cell>
          <cell r="C7">
            <v>5756</v>
          </cell>
          <cell r="D7">
            <v>6874</v>
          </cell>
          <cell r="E7">
            <v>7870.3757823173546</v>
          </cell>
          <cell r="F7">
            <v>7770.6087116500639</v>
          </cell>
          <cell r="G7">
            <v>8601.947501714767</v>
          </cell>
          <cell r="H7">
            <v>9232.4623735361492</v>
          </cell>
          <cell r="I7">
            <v>10010.536314750523</v>
          </cell>
          <cell r="J7">
            <v>11185.011992264732</v>
          </cell>
          <cell r="K7">
            <v>12031.892803346647</v>
          </cell>
        </row>
        <row r="8">
          <cell r="A8" t="str">
            <v>Stock option charge</v>
          </cell>
          <cell r="B8">
            <v>327</v>
          </cell>
          <cell r="C8">
            <v>273</v>
          </cell>
          <cell r="D8">
            <v>236</v>
          </cell>
          <cell r="E8">
            <v>270.20783890411633</v>
          </cell>
          <cell r="F8">
            <v>266.78260924489598</v>
          </cell>
          <cell r="G8">
            <v>295.32435414673915</v>
          </cell>
          <cell r="H8">
            <v>316.97135876557041</v>
          </cell>
          <cell r="I8">
            <v>343.68440068098971</v>
          </cell>
          <cell r="J8">
            <v>384.00681265267332</v>
          </cell>
          <cell r="K8">
            <v>413.08215036220668</v>
          </cell>
          <cell r="M8" t="str">
            <v>mstag:stockBasedCompensationChargePreTax</v>
          </cell>
          <cell r="N8">
            <v>6</v>
          </cell>
          <cell r="O8" t="str">
            <v>ISO4217:GBP</v>
          </cell>
          <cell r="P8" t="b">
            <v>0</v>
          </cell>
          <cell r="Q8" t="b">
            <v>0</v>
          </cell>
        </row>
        <row r="9">
          <cell r="A9" t="str">
            <v>Pension charge</v>
          </cell>
          <cell r="B9">
            <v>-23</v>
          </cell>
          <cell r="C9">
            <v>20</v>
          </cell>
          <cell r="M9" t="str">
            <v>mstag:netPensionAndOpebExpenseCashFlowStatement</v>
          </cell>
          <cell r="N9">
            <v>6</v>
          </cell>
          <cell r="O9" t="str">
            <v>ISO4217:GBP</v>
          </cell>
          <cell r="P9" t="b">
            <v>0</v>
          </cell>
          <cell r="Q9" t="b">
            <v>0</v>
          </cell>
        </row>
        <row r="10">
          <cell r="A10" t="str">
            <v>Other IFRS non-cash items</v>
          </cell>
          <cell r="B10">
            <v>22</v>
          </cell>
          <cell r="C10">
            <v>41</v>
          </cell>
          <cell r="M10" t="str">
            <v>mstag:otherCashFlow</v>
          </cell>
          <cell r="N10">
            <v>6</v>
          </cell>
          <cell r="O10" t="str">
            <v>ISO4217:GBP</v>
          </cell>
          <cell r="P10" t="b">
            <v>0</v>
          </cell>
          <cell r="Q10" t="b">
            <v>0</v>
          </cell>
        </row>
        <row r="11">
          <cell r="A11" t="str">
            <v>Operating profit - as in reported cash flow</v>
          </cell>
          <cell r="B11">
            <v>6376</v>
          </cell>
          <cell r="C11">
            <v>6090</v>
          </cell>
          <cell r="D11">
            <v>7110</v>
          </cell>
          <cell r="E11">
            <v>8140.5836212214708</v>
          </cell>
          <cell r="F11">
            <v>8037.3913208949598</v>
          </cell>
          <cell r="G11">
            <v>8897.271855861507</v>
          </cell>
          <cell r="H11">
            <v>9549.4337323017189</v>
          </cell>
          <cell r="I11">
            <v>10354.220715431513</v>
          </cell>
          <cell r="J11">
            <v>11569.018804917405</v>
          </cell>
          <cell r="K11">
            <v>12444.974953708854</v>
          </cell>
        </row>
        <row r="12">
          <cell r="A12" t="str">
            <v>Depreciation</v>
          </cell>
          <cell r="B12">
            <v>773</v>
          </cell>
          <cell r="C12">
            <v>785</v>
          </cell>
          <cell r="D12">
            <v>710</v>
          </cell>
          <cell r="E12">
            <v>760.86500000000001</v>
          </cell>
          <cell r="F12">
            <v>813.31529999999998</v>
          </cell>
          <cell r="G12">
            <v>867.42329799999993</v>
          </cell>
          <cell r="H12">
            <v>923.2641081999999</v>
          </cell>
          <cell r="I12">
            <v>980.91567324239986</v>
          </cell>
          <cell r="J12">
            <v>1040.4588808722078</v>
          </cell>
          <cell r="K12">
            <v>1101.9776851932058</v>
          </cell>
          <cell r="M12" t="str">
            <v>mstag:depreciation</v>
          </cell>
          <cell r="N12">
            <v>6</v>
          </cell>
          <cell r="O12" t="str">
            <v>ISO4217:GBP</v>
          </cell>
          <cell r="P12" t="b">
            <v>0</v>
          </cell>
          <cell r="Q12" t="b">
            <v>0</v>
          </cell>
        </row>
        <row r="13">
          <cell r="A13" t="str">
            <v>Impairment and assets written off</v>
          </cell>
          <cell r="B13">
            <v>250</v>
          </cell>
          <cell r="C13">
            <v>88</v>
          </cell>
          <cell r="D13">
            <v>193</v>
          </cell>
          <cell r="M13" t="str">
            <v>mstag:indefiniteLifeIntangibleImpairmentCashFlowStatement</v>
          </cell>
          <cell r="N13">
            <v>6</v>
          </cell>
          <cell r="O13" t="str">
            <v>ISO4217:GBP</v>
          </cell>
          <cell r="P13" t="b">
            <v>0</v>
          </cell>
          <cell r="Q13" t="b">
            <v>0</v>
          </cell>
        </row>
        <row r="14">
          <cell r="A14" t="str">
            <v>Goodwill impairment</v>
          </cell>
          <cell r="D14">
            <v>0</v>
          </cell>
          <cell r="E14">
            <v>0</v>
          </cell>
          <cell r="F14">
            <v>0</v>
          </cell>
          <cell r="G14">
            <v>0</v>
          </cell>
          <cell r="H14">
            <v>0</v>
          </cell>
          <cell r="I14">
            <v>0</v>
          </cell>
          <cell r="J14">
            <v>0</v>
          </cell>
          <cell r="K14">
            <v>0</v>
          </cell>
          <cell r="M14" t="str">
            <v>mstag:goodwillImpairmentCashFlowStatement</v>
          </cell>
          <cell r="N14">
            <v>6</v>
          </cell>
          <cell r="O14" t="str">
            <v>ISO4217:GBP</v>
          </cell>
          <cell r="P14" t="b">
            <v>0</v>
          </cell>
          <cell r="Q14" t="b">
            <v>0</v>
          </cell>
        </row>
        <row r="15">
          <cell r="A15" t="str">
            <v>Amortisation of goodwill and intangible fixed assets</v>
          </cell>
          <cell r="B15">
            <v>87</v>
          </cell>
          <cell r="C15">
            <v>106</v>
          </cell>
          <cell r="D15">
            <v>194</v>
          </cell>
          <cell r="E15">
            <v>180.43502857142857</v>
          </cell>
          <cell r="F15">
            <v>187.35059862857142</v>
          </cell>
          <cell r="G15">
            <v>168.36735826857142</v>
          </cell>
          <cell r="H15">
            <v>177.3224409351657</v>
          </cell>
          <cell r="I15">
            <v>187.08162995576743</v>
          </cell>
          <cell r="J15">
            <v>197.53451618889045</v>
          </cell>
          <cell r="K15">
            <v>208.5410756825828</v>
          </cell>
          <cell r="M15" t="str">
            <v>mstag:amortizationOfOtherIntangibles</v>
          </cell>
          <cell r="N15">
            <v>6</v>
          </cell>
          <cell r="O15" t="str">
            <v>ISO4217:GBP</v>
          </cell>
          <cell r="P15" t="b">
            <v>0</v>
          </cell>
          <cell r="Q15" t="b">
            <v>0</v>
          </cell>
        </row>
        <row r="16">
          <cell r="A16" t="str">
            <v>Profit/Loss on sale of tangible fixed assets</v>
          </cell>
          <cell r="C16">
            <v>2</v>
          </cell>
          <cell r="D16">
            <v>-19</v>
          </cell>
          <cell r="M16" t="str">
            <v>mstag:gainsLossesFromSaleOfOperatingAssetsRecurring</v>
          </cell>
          <cell r="N16">
            <v>6</v>
          </cell>
          <cell r="O16" t="str">
            <v>ISO4217:GBP</v>
          </cell>
          <cell r="P16" t="b">
            <v>1</v>
          </cell>
          <cell r="Q16" t="b">
            <v>0</v>
          </cell>
        </row>
        <row r="17">
          <cell r="A17" t="str">
            <v>Profit/Loss on sale of intangible fixed assets</v>
          </cell>
          <cell r="D17">
            <v>-203</v>
          </cell>
          <cell r="M17" t="str">
            <v>mstag:gainsLossesFromSaleOfOperatingAssetsRecurring</v>
          </cell>
          <cell r="N17">
            <v>6</v>
          </cell>
          <cell r="O17" t="str">
            <v>ISO4217:GBP</v>
          </cell>
          <cell r="P17" t="b">
            <v>1</v>
          </cell>
          <cell r="Q17" t="b">
            <v>0</v>
          </cell>
        </row>
        <row r="18">
          <cell r="A18" t="str">
            <v>Profit on sale of equity investments</v>
          </cell>
          <cell r="B18">
            <v>-89</v>
          </cell>
          <cell r="C18">
            <v>-33</v>
          </cell>
          <cell r="D18">
            <v>-15</v>
          </cell>
          <cell r="M18" t="str">
            <v>mstag:gainsLossesFromSaleOfOperatingAssetsRecurring</v>
          </cell>
          <cell r="N18">
            <v>6</v>
          </cell>
          <cell r="O18" t="str">
            <v>ISO4217:GBP</v>
          </cell>
          <cell r="P18" t="b">
            <v>1</v>
          </cell>
          <cell r="Q18" t="b">
            <v>0</v>
          </cell>
        </row>
        <row r="19">
          <cell r="A19" t="str">
            <v>Increase in stocks</v>
          </cell>
          <cell r="B19">
            <v>-76</v>
          </cell>
          <cell r="C19">
            <v>-33</v>
          </cell>
          <cell r="D19">
            <v>47</v>
          </cell>
          <cell r="E19">
            <v>-124.80636165445094</v>
          </cell>
          <cell r="F19">
            <v>-75.925886750490463</v>
          </cell>
          <cell r="G19">
            <v>-123.15615655952115</v>
          </cell>
          <cell r="H19">
            <v>-57.830260727801033</v>
          </cell>
          <cell r="I19">
            <v>-168.10459708620829</v>
          </cell>
          <cell r="J19">
            <v>-234.88109293834987</v>
          </cell>
          <cell r="K19">
            <v>-134.65406114319785</v>
          </cell>
          <cell r="M19" t="str">
            <v>mstag:netDecreaseInInventories</v>
          </cell>
          <cell r="N19">
            <v>6</v>
          </cell>
          <cell r="O19" t="str">
            <v>ISO4217:GBP</v>
          </cell>
          <cell r="P19" t="b">
            <v>0</v>
          </cell>
          <cell r="Q19" t="b">
            <v>0</v>
          </cell>
        </row>
        <row r="20">
          <cell r="A20" t="str">
            <v>Increase in trade and other debtors</v>
          </cell>
          <cell r="B20">
            <v>-552</v>
          </cell>
          <cell r="C20">
            <v>-447</v>
          </cell>
          <cell r="D20">
            <v>-397</v>
          </cell>
          <cell r="E20">
            <v>-532.45101239977271</v>
          </cell>
          <cell r="F20">
            <v>-113.9139039016377</v>
          </cell>
          <cell r="G20">
            <v>-492.56212154074524</v>
          </cell>
          <cell r="H20">
            <v>-439.32743674858648</v>
          </cell>
          <cell r="I20">
            <v>-641.87242676623487</v>
          </cell>
          <cell r="J20">
            <v>-843.80799561194567</v>
          </cell>
          <cell r="K20">
            <v>-570.51706185988132</v>
          </cell>
          <cell r="M20" t="str">
            <v>mstag:netDecreaseInTradeReceivables</v>
          </cell>
          <cell r="N20">
            <v>6</v>
          </cell>
          <cell r="O20" t="str">
            <v>ISO4217:GBP</v>
          </cell>
          <cell r="P20" t="b">
            <v>0</v>
          </cell>
          <cell r="Q20" t="b">
            <v>0</v>
          </cell>
        </row>
        <row r="21">
          <cell r="A21" t="str">
            <v>Increase/(decrease) in trade and other creditors</v>
          </cell>
          <cell r="B21">
            <v>-69</v>
          </cell>
          <cell r="C21">
            <v>163</v>
          </cell>
          <cell r="D21">
            <v>491</v>
          </cell>
          <cell r="E21">
            <v>373.6751722767076</v>
          </cell>
          <cell r="F21">
            <v>123.60650832606871</v>
          </cell>
          <cell r="G21">
            <v>349.08165651639831</v>
          </cell>
          <cell r="H21">
            <v>343.21116582371644</v>
          </cell>
          <cell r="I21">
            <v>532.98574429254745</v>
          </cell>
          <cell r="J21">
            <v>705.90512882280109</v>
          </cell>
          <cell r="K21">
            <v>468.16585487214911</v>
          </cell>
          <cell r="M21" t="str">
            <v>mstag:netIncreaseInTradeAndOtherPayables</v>
          </cell>
          <cell r="N21">
            <v>6</v>
          </cell>
          <cell r="O21" t="str">
            <v>ISO4217:GBP</v>
          </cell>
          <cell r="P21" t="b">
            <v>0</v>
          </cell>
          <cell r="Q21" t="b">
            <v>0</v>
          </cell>
        </row>
        <row r="22">
          <cell r="A22" t="str">
            <v>(Decrease)/increase in provisions</v>
          </cell>
          <cell r="B22">
            <v>260</v>
          </cell>
          <cell r="C22">
            <v>-176</v>
          </cell>
          <cell r="D22">
            <v>-453</v>
          </cell>
          <cell r="E22">
            <v>0</v>
          </cell>
          <cell r="F22">
            <v>0</v>
          </cell>
          <cell r="G22">
            <v>0</v>
          </cell>
          <cell r="H22">
            <v>0</v>
          </cell>
          <cell r="I22">
            <v>0</v>
          </cell>
          <cell r="J22">
            <v>0</v>
          </cell>
          <cell r="K22">
            <v>0</v>
          </cell>
          <cell r="M22" t="str">
            <v>mstag:otherProvisionsRecurringCashFlowStatement</v>
          </cell>
          <cell r="N22">
            <v>6</v>
          </cell>
          <cell r="O22" t="str">
            <v>ISO4217:GBP</v>
          </cell>
          <cell r="P22" t="b">
            <v>0</v>
          </cell>
          <cell r="Q22" t="b">
            <v>0</v>
          </cell>
        </row>
        <row r="23">
          <cell r="A23" t="str">
            <v>Other</v>
          </cell>
          <cell r="B23">
            <v>45</v>
          </cell>
          <cell r="C23">
            <v>-18</v>
          </cell>
          <cell r="D23">
            <v>7</v>
          </cell>
          <cell r="E23">
            <v>377.01765986111172</v>
          </cell>
          <cell r="F23">
            <v>-87.814018674783256</v>
          </cell>
          <cell r="G23">
            <v>234.38885325655326</v>
          </cell>
          <cell r="H23">
            <v>166.39888575004431</v>
          </cell>
          <cell r="I23">
            <v>219.24738290386858</v>
          </cell>
          <cell r="J23">
            <v>360.67475252316456</v>
          </cell>
          <cell r="K23">
            <v>249.82252000123981</v>
          </cell>
          <cell r="M23" t="str">
            <v>mstag:otherCashFlow</v>
          </cell>
          <cell r="N23">
            <v>6</v>
          </cell>
          <cell r="O23" t="str">
            <v>ISO4217:GBP</v>
          </cell>
          <cell r="P23" t="b">
            <v>0</v>
          </cell>
          <cell r="Q23" t="b">
            <v>0</v>
          </cell>
        </row>
        <row r="24">
          <cell r="A24" t="str">
            <v>Cash generated from operations</v>
          </cell>
          <cell r="B24">
            <v>7005</v>
          </cell>
          <cell r="C24">
            <v>6527</v>
          </cell>
          <cell r="D24">
            <v>7665</v>
          </cell>
          <cell r="E24">
            <v>9175.3191078764939</v>
          </cell>
          <cell r="F24">
            <v>8884.00991852269</v>
          </cell>
          <cell r="G24">
            <v>9900.8147438027645</v>
          </cell>
          <cell r="H24">
            <v>10662.472635534259</v>
          </cell>
          <cell r="I24">
            <v>11464.474121973653</v>
          </cell>
          <cell r="J24">
            <v>12794.902994774175</v>
          </cell>
          <cell r="K24">
            <v>13768.310966454954</v>
          </cell>
        </row>
        <row r="25">
          <cell r="A25" t="str">
            <v>Taxation paid</v>
          </cell>
          <cell r="B25">
            <v>-1917</v>
          </cell>
          <cell r="C25">
            <v>-1583</v>
          </cell>
          <cell r="D25">
            <v>-1707</v>
          </cell>
          <cell r="E25">
            <v>-2289.9262390012736</v>
          </cell>
          <cell r="F25">
            <v>-2273.5595806580018</v>
          </cell>
          <cell r="G25">
            <v>-2531.5804635665763</v>
          </cell>
          <cell r="H25">
            <v>-2734.5928122648065</v>
          </cell>
          <cell r="I25">
            <v>-2984.7317853397208</v>
          </cell>
          <cell r="J25">
            <v>-3356.8955860748806</v>
          </cell>
          <cell r="K25">
            <v>-3638.1570492205037</v>
          </cell>
        </row>
        <row r="26">
          <cell r="A26" t="str">
            <v>Net cash inflow from operating activities</v>
          </cell>
          <cell r="B26">
            <v>5088</v>
          </cell>
          <cell r="C26">
            <v>4944</v>
          </cell>
          <cell r="D26">
            <v>5958</v>
          </cell>
          <cell r="E26">
            <v>6885.3928688752203</v>
          </cell>
          <cell r="F26">
            <v>6610.4503378646878</v>
          </cell>
          <cell r="G26">
            <v>7369.2342802361882</v>
          </cell>
          <cell r="H26">
            <v>7927.8798232694526</v>
          </cell>
          <cell r="I26">
            <v>8479.7423366339317</v>
          </cell>
          <cell r="J26">
            <v>9438.0074086992936</v>
          </cell>
          <cell r="K26">
            <v>10130.153917234449</v>
          </cell>
        </row>
        <row r="28">
          <cell r="A28" t="str">
            <v>Cash flow from investing activities</v>
          </cell>
        </row>
        <row r="29">
          <cell r="A29" t="str">
            <v>Purchase of tangible fixed assets</v>
          </cell>
          <cell r="B29">
            <v>-746</v>
          </cell>
          <cell r="C29">
            <v>-788</v>
          </cell>
          <cell r="D29">
            <v>-903</v>
          </cell>
          <cell r="E29">
            <v>-1041.04</v>
          </cell>
          <cell r="F29">
            <v>-1082.6815999999999</v>
          </cell>
          <cell r="G29">
            <v>-1125.9888639999999</v>
          </cell>
          <cell r="H29">
            <v>-1171.0284185599999</v>
          </cell>
          <cell r="I29">
            <v>-1217.8695553023999</v>
          </cell>
          <cell r="J29">
            <v>-1266.5843375144959</v>
          </cell>
          <cell r="K29">
            <v>-1317.2477110150758</v>
          </cell>
          <cell r="M29" t="str">
            <v>mstag:capitalExpenditures</v>
          </cell>
          <cell r="N29">
            <v>6</v>
          </cell>
          <cell r="O29" t="str">
            <v>ISO4217:GBP</v>
          </cell>
          <cell r="P29" t="b">
            <v>1</v>
          </cell>
          <cell r="Q29" t="b">
            <v>0</v>
          </cell>
        </row>
        <row r="30">
          <cell r="A30" t="str">
            <v>Proceeds from sale of tangible fixed assets</v>
          </cell>
          <cell r="B30">
            <v>46</v>
          </cell>
          <cell r="C30">
            <v>53</v>
          </cell>
          <cell r="D30">
            <v>54</v>
          </cell>
          <cell r="E30">
            <v>2</v>
          </cell>
          <cell r="F30">
            <v>0</v>
          </cell>
          <cell r="G30">
            <v>0</v>
          </cell>
          <cell r="H30">
            <v>0</v>
          </cell>
          <cell r="I30">
            <v>0</v>
          </cell>
          <cell r="J30">
            <v>0</v>
          </cell>
          <cell r="K30">
            <v>0</v>
          </cell>
          <cell r="M30" t="str">
            <v>mstag:proceedsFromSaleOfPpeAndIntangibleAssets</v>
          </cell>
          <cell r="N30">
            <v>6</v>
          </cell>
          <cell r="O30" t="str">
            <v>ISO4217:GBP</v>
          </cell>
          <cell r="P30" t="b">
            <v>0</v>
          </cell>
          <cell r="Q30" t="b">
            <v>0</v>
          </cell>
        </row>
        <row r="31">
          <cell r="A31" t="str">
            <v>Purchase of intangible assets</v>
          </cell>
          <cell r="B31">
            <v>-316</v>
          </cell>
          <cell r="C31">
            <v>-255</v>
          </cell>
          <cell r="D31">
            <v>-278</v>
          </cell>
          <cell r="E31">
            <v>-275.62</v>
          </cell>
          <cell r="F31">
            <v>-282.42200000000003</v>
          </cell>
          <cell r="G31">
            <v>-289.41162400000002</v>
          </cell>
          <cell r="H31">
            <v>-296.59468784000001</v>
          </cell>
          <cell r="I31">
            <v>-303.97720621120004</v>
          </cell>
          <cell r="J31">
            <v>-311.56539993440003</v>
          </cell>
          <cell r="K31">
            <v>-319.36570351602307</v>
          </cell>
          <cell r="M31" t="str">
            <v>mstag:investmentInIntangibleAssets</v>
          </cell>
          <cell r="N31">
            <v>6</v>
          </cell>
          <cell r="O31" t="str">
            <v>ISO4217:GBP</v>
          </cell>
          <cell r="P31" t="b">
            <v>1</v>
          </cell>
          <cell r="Q31" t="b">
            <v>0</v>
          </cell>
        </row>
        <row r="32">
          <cell r="A32" t="str">
            <v>Proceeds from sale of intangible assets</v>
          </cell>
          <cell r="D32">
            <v>221</v>
          </cell>
          <cell r="M32" t="str">
            <v>mstag:proceedsFromSaleOfPpeAndIntangibleAssets</v>
          </cell>
          <cell r="N32">
            <v>6</v>
          </cell>
          <cell r="O32" t="str">
            <v>ISO4217:GBP</v>
          </cell>
          <cell r="P32" t="b">
            <v>0</v>
          </cell>
          <cell r="Q32" t="b">
            <v>0</v>
          </cell>
        </row>
        <row r="33">
          <cell r="A33" t="str">
            <v>Purchase of equity investments</v>
          </cell>
          <cell r="B33">
            <v>-63</v>
          </cell>
          <cell r="C33">
            <v>-103</v>
          </cell>
          <cell r="D33">
            <v>-23</v>
          </cell>
          <cell r="E33">
            <v>0</v>
          </cell>
          <cell r="F33">
            <v>0</v>
          </cell>
          <cell r="G33">
            <v>0</v>
          </cell>
          <cell r="H33">
            <v>0</v>
          </cell>
          <cell r="I33">
            <v>0</v>
          </cell>
          <cell r="J33">
            <v>0</v>
          </cell>
          <cell r="K33">
            <v>0</v>
          </cell>
          <cell r="M33" t="str">
            <v>mstag:netDisposalsAcquisitions</v>
          </cell>
          <cell r="N33">
            <v>6</v>
          </cell>
          <cell r="O33" t="str">
            <v>ISO4217:GBP</v>
          </cell>
          <cell r="P33" t="b">
            <v>0</v>
          </cell>
          <cell r="Q33" t="b">
            <v>0</v>
          </cell>
        </row>
        <row r="34">
          <cell r="A34" t="str">
            <v>Proceeds from sale of equity investments</v>
          </cell>
          <cell r="B34">
            <v>125</v>
          </cell>
          <cell r="C34">
            <v>58</v>
          </cell>
          <cell r="D34">
            <v>35</v>
          </cell>
          <cell r="M34" t="str">
            <v>mstag:netDisposalsAcquisitions</v>
          </cell>
          <cell r="N34">
            <v>6</v>
          </cell>
          <cell r="O34" t="str">
            <v>ISO4217:GBP</v>
          </cell>
          <cell r="P34" t="b">
            <v>0</v>
          </cell>
          <cell r="Q34" t="b">
            <v>0</v>
          </cell>
        </row>
        <row r="35">
          <cell r="A35" t="str">
            <v>Share transactions with minority shareholders</v>
          </cell>
          <cell r="D35">
            <v>-36</v>
          </cell>
          <cell r="M35" t="str">
            <v>mstag:otherCashFlow</v>
          </cell>
          <cell r="N35">
            <v>6</v>
          </cell>
          <cell r="O35" t="str">
            <v>ISO4217:GBP</v>
          </cell>
          <cell r="P35" t="b">
            <v>0</v>
          </cell>
          <cell r="Q35" t="b">
            <v>0</v>
          </cell>
        </row>
        <row r="36">
          <cell r="A36" t="str">
            <v>Purchase of businesses, net of cash acquired</v>
          </cell>
          <cell r="B36">
            <v>-12</v>
          </cell>
          <cell r="C36">
            <v>-297</v>
          </cell>
          <cell r="D36">
            <v>-1026</v>
          </cell>
          <cell r="M36" t="str">
            <v>mstag:netDisposalsAcquisitions</v>
          </cell>
          <cell r="N36">
            <v>6</v>
          </cell>
          <cell r="O36" t="str">
            <v>ISO4217:GBP</v>
          </cell>
          <cell r="P36" t="b">
            <v>0</v>
          </cell>
          <cell r="Q36" t="b">
            <v>0</v>
          </cell>
        </row>
        <row r="37">
          <cell r="A37" t="str">
            <v>Disposal of businesses</v>
          </cell>
          <cell r="B37">
            <v>3</v>
          </cell>
          <cell r="C37">
            <v>230</v>
          </cell>
          <cell r="D37">
            <v>-2</v>
          </cell>
          <cell r="M37" t="str">
            <v>mstag:netDisposalsAcquisitions</v>
          </cell>
          <cell r="N37">
            <v>6</v>
          </cell>
          <cell r="O37" t="str">
            <v>ISO4217:GBP</v>
          </cell>
          <cell r="P37" t="b">
            <v>0</v>
          </cell>
          <cell r="Q37" t="b">
            <v>0</v>
          </cell>
        </row>
        <row r="38">
          <cell r="A38" t="str">
            <v>Investment in joint ventures and associated undertakings</v>
          </cell>
          <cell r="B38">
            <v>-3</v>
          </cell>
          <cell r="C38">
            <v>-2</v>
          </cell>
          <cell r="D38">
            <v>-2</v>
          </cell>
          <cell r="M38" t="str">
            <v>mstag:otherCashFlow</v>
          </cell>
          <cell r="N38">
            <v>6</v>
          </cell>
          <cell r="O38" t="str">
            <v>ISO4217:GBP</v>
          </cell>
          <cell r="P38" t="b">
            <v>0</v>
          </cell>
          <cell r="Q38" t="b">
            <v>0</v>
          </cell>
        </row>
        <row r="39">
          <cell r="A39" t="str">
            <v>Interest received</v>
          </cell>
          <cell r="B39">
            <v>195</v>
          </cell>
          <cell r="C39">
            <v>317</v>
          </cell>
          <cell r="D39">
            <v>290</v>
          </cell>
          <cell r="E39">
            <v>178.49951938188076</v>
          </cell>
          <cell r="F39">
            <v>222.78275808422143</v>
          </cell>
          <cell r="G39">
            <v>266.14832186414998</v>
          </cell>
          <cell r="H39">
            <v>323.85598183484927</v>
          </cell>
          <cell r="I39">
            <v>393.76630588004349</v>
          </cell>
          <cell r="J39">
            <v>480.94547264352934</v>
          </cell>
          <cell r="K39">
            <v>587.55580386330701</v>
          </cell>
        </row>
        <row r="40">
          <cell r="A40" t="str">
            <v>Dividends from joint ventures and associated undertakings</v>
          </cell>
          <cell r="B40">
            <v>1</v>
          </cell>
          <cell r="C40">
            <v>11</v>
          </cell>
          <cell r="D40">
            <v>10</v>
          </cell>
        </row>
        <row r="41">
          <cell r="A41" t="str">
            <v>Net cash outflow from investing activities</v>
          </cell>
          <cell r="B41">
            <v>-770</v>
          </cell>
          <cell r="C41">
            <v>-776</v>
          </cell>
          <cell r="D41">
            <v>-1660</v>
          </cell>
          <cell r="E41">
            <v>-1136.160480618119</v>
          </cell>
          <cell r="F41">
            <v>-1142.3208419157786</v>
          </cell>
          <cell r="G41">
            <v>-1149.2521661358501</v>
          </cell>
          <cell r="H41">
            <v>-1143.7671245651507</v>
          </cell>
          <cell r="I41">
            <v>-1128.0804556335565</v>
          </cell>
          <cell r="J41">
            <v>-1097.2042648053666</v>
          </cell>
          <cell r="K41">
            <v>-1049.0576106677918</v>
          </cell>
        </row>
        <row r="43">
          <cell r="A43" t="str">
            <v>Cash flow from financing activities</v>
          </cell>
        </row>
        <row r="44">
          <cell r="A44" t="str">
            <v>Increase in liquid investments</v>
          </cell>
          <cell r="B44">
            <v>-373</v>
          </cell>
          <cell r="C44">
            <v>-53</v>
          </cell>
          <cell r="D44">
            <v>550</v>
          </cell>
          <cell r="E44">
            <v>0</v>
          </cell>
          <cell r="F44">
            <v>0</v>
          </cell>
          <cell r="G44">
            <v>0</v>
          </cell>
          <cell r="H44">
            <v>0</v>
          </cell>
          <cell r="I44">
            <v>0</v>
          </cell>
          <cell r="J44">
            <v>0</v>
          </cell>
          <cell r="K44">
            <v>0</v>
          </cell>
          <cell r="M44" t="str">
            <v>mstag:netDecreaseInOtherAssetsNonOperating</v>
          </cell>
          <cell r="N44">
            <v>6</v>
          </cell>
          <cell r="O44" t="str">
            <v>ISO4217:GBP</v>
          </cell>
          <cell r="P44" t="b">
            <v>0</v>
          </cell>
          <cell r="Q44" t="b">
            <v>0</v>
          </cell>
        </row>
        <row r="45">
          <cell r="A45" t="str">
            <v>Proceeds from own shares for employee share options</v>
          </cell>
          <cell r="B45">
            <v>26</v>
          </cell>
          <cell r="C45">
            <v>23</v>
          </cell>
          <cell r="D45">
            <v>68</v>
          </cell>
          <cell r="M45" t="str">
            <v>mstag:proceedsFromIssuanceOfCommonStock</v>
          </cell>
          <cell r="N45">
            <v>6</v>
          </cell>
          <cell r="O45" t="str">
            <v>ISO4217:GBP</v>
          </cell>
          <cell r="P45" t="b">
            <v>0</v>
          </cell>
          <cell r="Q45" t="b">
            <v>0</v>
          </cell>
        </row>
        <row r="46">
          <cell r="A46" t="str">
            <v>Issue of share capital</v>
          </cell>
          <cell r="B46">
            <v>41</v>
          </cell>
          <cell r="C46">
            <v>42</v>
          </cell>
          <cell r="D46">
            <v>252</v>
          </cell>
          <cell r="M46" t="str">
            <v>mstag:proceedsFromIssuanceOfCommonStock</v>
          </cell>
          <cell r="N46">
            <v>6</v>
          </cell>
          <cell r="O46" t="str">
            <v>ISO4217:GBP</v>
          </cell>
          <cell r="P46" t="b">
            <v>0</v>
          </cell>
          <cell r="Q46" t="b">
            <v>0</v>
          </cell>
        </row>
        <row r="47">
          <cell r="A47" t="str">
            <v>Share capital purchased for cancellation</v>
          </cell>
          <cell r="B47">
            <v>-980</v>
          </cell>
          <cell r="C47">
            <v>-201</v>
          </cell>
          <cell r="D47">
            <v>-999</v>
          </cell>
          <cell r="E47">
            <v>-1032.8089303312829</v>
          </cell>
          <cell r="F47">
            <v>-1322.0900675729376</v>
          </cell>
          <cell r="G47">
            <v>-1473.8468560472377</v>
          </cell>
          <cell r="H47">
            <v>-1585.5759646538907</v>
          </cell>
          <cell r="I47">
            <v>-1695.9484673267864</v>
          </cell>
          <cell r="J47">
            <v>-1887.6014817398589</v>
          </cell>
          <cell r="K47">
            <v>-2026.0307834468899</v>
          </cell>
          <cell r="M47" t="str">
            <v>mstag:fundsUsedToRepurchaseCommonStock</v>
          </cell>
          <cell r="N47">
            <v>6</v>
          </cell>
          <cell r="O47" t="str">
            <v>ISO4217:GBP</v>
          </cell>
          <cell r="P47" t="b">
            <v>1</v>
          </cell>
          <cell r="Q47" t="b">
            <v>0</v>
          </cell>
        </row>
        <row r="48">
          <cell r="A48" t="str">
            <v>Other financing cash flows</v>
          </cell>
          <cell r="B48">
            <v>82</v>
          </cell>
          <cell r="C48">
            <v>49</v>
          </cell>
          <cell r="D48">
            <v>53</v>
          </cell>
          <cell r="M48" t="str">
            <v>mstag:otherCashFlow</v>
          </cell>
          <cell r="N48">
            <v>6</v>
          </cell>
          <cell r="O48" t="str">
            <v>ISO4217:GBP</v>
          </cell>
          <cell r="P48" t="b">
            <v>0</v>
          </cell>
          <cell r="Q48" t="b">
            <v>0</v>
          </cell>
        </row>
        <row r="49">
          <cell r="A49" t="str">
            <v>Purchase of treasury shares</v>
          </cell>
          <cell r="C49">
            <v>-799</v>
          </cell>
          <cell r="M49" t="str">
            <v>mstag:fundsUsedToRepurchaseCommonStock</v>
          </cell>
          <cell r="N49">
            <v>6</v>
          </cell>
          <cell r="O49" t="str">
            <v>ISO4217:GBP</v>
          </cell>
          <cell r="P49" t="b">
            <v>1</v>
          </cell>
          <cell r="Q49" t="b">
            <v>0</v>
          </cell>
        </row>
        <row r="50">
          <cell r="A50" t="str">
            <v>Redemption of preference shares issued by subsidiary</v>
          </cell>
          <cell r="C50">
            <v>-489</v>
          </cell>
          <cell r="M50" t="str">
            <v>mstag:otherCashFlow</v>
          </cell>
          <cell r="N50">
            <v>6</v>
          </cell>
          <cell r="O50" t="str">
            <v>ISO4217:GBP</v>
          </cell>
          <cell r="P50" t="b">
            <v>0</v>
          </cell>
          <cell r="Q50" t="b">
            <v>0</v>
          </cell>
        </row>
        <row r="51">
          <cell r="A51" t="str">
            <v>Increase in long-term loans</v>
          </cell>
          <cell r="B51">
            <v>1046</v>
          </cell>
          <cell r="C51">
            <v>1365</v>
          </cell>
          <cell r="D51">
            <v>982</v>
          </cell>
          <cell r="E51">
            <v>0</v>
          </cell>
          <cell r="F51">
            <v>0</v>
          </cell>
          <cell r="G51">
            <v>0</v>
          </cell>
          <cell r="H51">
            <v>0</v>
          </cell>
          <cell r="I51">
            <v>0</v>
          </cell>
          <cell r="J51">
            <v>0</v>
          </cell>
          <cell r="K51">
            <v>0</v>
          </cell>
          <cell r="M51" t="str">
            <v>mstag:proceedsFromIssuanceAndCashUsedToRepayLongTermDebt</v>
          </cell>
          <cell r="N51">
            <v>6</v>
          </cell>
          <cell r="O51" t="str">
            <v>ISO4217:GBP</v>
          </cell>
          <cell r="P51" t="b">
            <v>0</v>
          </cell>
          <cell r="Q51" t="b">
            <v>0</v>
          </cell>
        </row>
        <row r="52">
          <cell r="A52" t="str">
            <v>Repayment of long-term loans</v>
          </cell>
          <cell r="B52">
            <v>-23</v>
          </cell>
          <cell r="C52">
            <v>-15</v>
          </cell>
          <cell r="D52">
            <v>-70</v>
          </cell>
          <cell r="E52">
            <v>0</v>
          </cell>
          <cell r="F52">
            <v>0</v>
          </cell>
          <cell r="G52">
            <v>0</v>
          </cell>
          <cell r="H52">
            <v>0</v>
          </cell>
          <cell r="I52">
            <v>0</v>
          </cell>
          <cell r="J52">
            <v>0</v>
          </cell>
          <cell r="K52">
            <v>0</v>
          </cell>
          <cell r="M52" t="str">
            <v>mstag:proceedsFromIssuanceAndCashUsedToRepayLongTermDebt</v>
          </cell>
          <cell r="N52">
            <v>6</v>
          </cell>
          <cell r="O52" t="str">
            <v>ISO4217:GBP</v>
          </cell>
          <cell r="P52" t="b">
            <v>0</v>
          </cell>
          <cell r="Q52" t="b">
            <v>0</v>
          </cell>
        </row>
        <row r="53">
          <cell r="A53" t="str">
            <v>Net repayment of short-term loans</v>
          </cell>
          <cell r="B53">
            <v>-442</v>
          </cell>
          <cell r="C53">
            <v>-407</v>
          </cell>
          <cell r="D53">
            <v>-857</v>
          </cell>
          <cell r="M53" t="str">
            <v>mstag:proceedsFromIssuanceAndCashUsedToRepayShortTermBorrowings</v>
          </cell>
          <cell r="N53">
            <v>6</v>
          </cell>
          <cell r="O53" t="str">
            <v>ISO4217:GBP</v>
          </cell>
          <cell r="P53" t="b">
            <v>0</v>
          </cell>
          <cell r="Q53" t="b">
            <v>0</v>
          </cell>
        </row>
        <row r="54">
          <cell r="A54" t="str">
            <v>Net repayment of obligations under finance leases</v>
          </cell>
          <cell r="C54">
            <v>-22</v>
          </cell>
          <cell r="D54">
            <v>-36</v>
          </cell>
          <cell r="M54" t="str">
            <v>mstag:proceedsFromIssuanceAndCashUsedToRepayLongTermDebt</v>
          </cell>
          <cell r="N54">
            <v>6</v>
          </cell>
          <cell r="O54" t="str">
            <v>ISO4217:GBP</v>
          </cell>
          <cell r="P54" t="b">
            <v>0</v>
          </cell>
          <cell r="Q54" t="b">
            <v>0</v>
          </cell>
        </row>
        <row r="55">
          <cell r="A55" t="str">
            <v>Interest paid</v>
          </cell>
          <cell r="B55">
            <v>-327</v>
          </cell>
          <cell r="C55">
            <v>-494</v>
          </cell>
          <cell r="D55">
            <v>-381</v>
          </cell>
          <cell r="E55">
            <v>-337.90499999999997</v>
          </cell>
          <cell r="F55">
            <v>-337.90499999999997</v>
          </cell>
          <cell r="G55">
            <v>-337.90499999999997</v>
          </cell>
          <cell r="H55">
            <v>-337.90499999999997</v>
          </cell>
          <cell r="I55">
            <v>-337.90499999999997</v>
          </cell>
          <cell r="J55">
            <v>-337.90499999999997</v>
          </cell>
          <cell r="K55">
            <v>-337.90499999999997</v>
          </cell>
        </row>
        <row r="56">
          <cell r="A56" t="str">
            <v>Dividends paid to GSK shareholders</v>
          </cell>
          <cell r="B56">
            <v>-2333</v>
          </cell>
          <cell r="C56">
            <v>-2475</v>
          </cell>
          <cell r="D56">
            <v>-2390</v>
          </cell>
          <cell r="E56">
            <v>-2533.50407937726</v>
          </cell>
          <cell r="F56">
            <v>-2575.5236875663641</v>
          </cell>
          <cell r="G56">
            <v>-2614.0490766248508</v>
          </cell>
          <cell r="H56">
            <v>-2652.1669921874854</v>
          </cell>
          <cell r="I56">
            <v>-2690.7294950923006</v>
          </cell>
          <cell r="J56">
            <v>-2728.9584257498041</v>
          </cell>
          <cell r="K56">
            <v>-2766.7123662085605</v>
          </cell>
          <cell r="M56" t="str">
            <v>mstag:cashDividendsPaid</v>
          </cell>
          <cell r="N56">
            <v>6</v>
          </cell>
          <cell r="O56" t="str">
            <v>ISO4217:GBP</v>
          </cell>
          <cell r="P56" t="b">
            <v>1</v>
          </cell>
          <cell r="Q56" t="b">
            <v>0</v>
          </cell>
        </row>
        <row r="57">
          <cell r="A57" t="str">
            <v>Dividends paid to minority interests</v>
          </cell>
          <cell r="B57">
            <v>-84</v>
          </cell>
          <cell r="C57">
            <v>-73</v>
          </cell>
          <cell r="D57">
            <v>-86</v>
          </cell>
          <cell r="E57">
            <v>-97.713086415743192</v>
          </cell>
          <cell r="F57">
            <v>-97.029452706225086</v>
          </cell>
          <cell r="G57">
            <v>-108.05821709556426</v>
          </cell>
          <cell r="H57">
            <v>-116.74370647715504</v>
          </cell>
          <cell r="I57">
            <v>-127.44501264122056</v>
          </cell>
          <cell r="J57">
            <v>-143.36101225461846</v>
          </cell>
          <cell r="K57">
            <v>-155.40327193349916</v>
          </cell>
        </row>
        <row r="58">
          <cell r="A58" t="str">
            <v>Dividends paid on preference shares</v>
          </cell>
          <cell r="B58">
            <v>-15</v>
          </cell>
          <cell r="C58">
            <v>-2</v>
          </cell>
          <cell r="D58">
            <v>0</v>
          </cell>
        </row>
        <row r="59">
          <cell r="A59" t="str">
            <v>Net cash outflow from financing activities</v>
          </cell>
          <cell r="B59">
            <v>-3382</v>
          </cell>
          <cell r="C59">
            <v>-3551</v>
          </cell>
          <cell r="D59">
            <v>-2914</v>
          </cell>
          <cell r="E59">
            <v>-4001.9310961242863</v>
          </cell>
          <cell r="F59">
            <v>-4332.548207845527</v>
          </cell>
          <cell r="G59">
            <v>-4533.8591497676525</v>
          </cell>
          <cell r="H59">
            <v>-4692.3916633185308</v>
          </cell>
          <cell r="I59">
            <v>-4852.0279750603067</v>
          </cell>
          <cell r="J59">
            <v>-5097.8259197442812</v>
          </cell>
          <cell r="K59">
            <v>-5286.0514215889498</v>
          </cell>
        </row>
        <row r="61">
          <cell r="A61" t="str">
            <v>Exchange adjustments</v>
          </cell>
          <cell r="B61">
            <v>-110</v>
          </cell>
          <cell r="C61">
            <v>-93</v>
          </cell>
          <cell r="D61">
            <v>233</v>
          </cell>
          <cell r="M61" t="str">
            <v>mstag:effectOfForeignExchangeRatesOnCash</v>
          </cell>
          <cell r="N61">
            <v>6</v>
          </cell>
          <cell r="O61" t="str">
            <v>ISO4217:GBP</v>
          </cell>
          <cell r="P61" t="b">
            <v>0</v>
          </cell>
          <cell r="Q61" t="b">
            <v>0</v>
          </cell>
        </row>
        <row r="63">
          <cell r="A63" t="str">
            <v>Increase in cash and cash equivalents in the year</v>
          </cell>
          <cell r="B63">
            <v>826</v>
          </cell>
          <cell r="C63">
            <v>524</v>
          </cell>
          <cell r="D63">
            <v>1617</v>
          </cell>
          <cell r="E63">
            <v>1747.3012921328154</v>
          </cell>
          <cell r="F63">
            <v>1135.5812881033817</v>
          </cell>
          <cell r="G63">
            <v>1686.1229643326851</v>
          </cell>
          <cell r="H63">
            <v>2091.7210353857708</v>
          </cell>
          <cell r="I63">
            <v>2499.6339059400689</v>
          </cell>
          <cell r="J63">
            <v>3242.9772241496457</v>
          </cell>
          <cell r="K63">
            <v>3795.0448849777076</v>
          </cell>
        </row>
        <row r="65">
          <cell r="A65" t="str">
            <v>Cash and cash equivalents at beginning of year</v>
          </cell>
          <cell r="B65">
            <v>1005</v>
          </cell>
          <cell r="C65">
            <v>1831</v>
          </cell>
          <cell r="D65">
            <v>2355</v>
          </cell>
          <cell r="E65">
            <v>3972</v>
          </cell>
          <cell r="F65">
            <v>5719.3012921328154</v>
          </cell>
          <cell r="G65">
            <v>6854.8825802361971</v>
          </cell>
          <cell r="H65">
            <v>8541.0055445688813</v>
          </cell>
          <cell r="I65">
            <v>10632.726579954651</v>
          </cell>
          <cell r="J65">
            <v>13132.36048589472</v>
          </cell>
          <cell r="K65">
            <v>16375.337710044365</v>
          </cell>
        </row>
        <row r="67">
          <cell r="A67" t="str">
            <v>Cash and cash equivalents at end of year (net of overdrafts)</v>
          </cell>
          <cell r="B67">
            <v>1831</v>
          </cell>
          <cell r="C67">
            <v>2355</v>
          </cell>
          <cell r="D67">
            <v>3972</v>
          </cell>
          <cell r="E67">
            <v>5719.3012921328154</v>
          </cell>
          <cell r="F67">
            <v>6854.8825802361971</v>
          </cell>
          <cell r="G67">
            <v>8541.0055445688813</v>
          </cell>
          <cell r="H67">
            <v>10632.726579954651</v>
          </cell>
          <cell r="I67">
            <v>13132.36048589472</v>
          </cell>
          <cell r="J67">
            <v>16375.337710044365</v>
          </cell>
          <cell r="K67">
            <v>20170.382595022071</v>
          </cell>
        </row>
        <row r="68">
          <cell r="A68" t="str">
            <v>Overdrafts</v>
          </cell>
          <cell r="B68">
            <v>155</v>
          </cell>
          <cell r="C68">
            <v>112</v>
          </cell>
          <cell r="D68">
            <v>237</v>
          </cell>
          <cell r="E68">
            <v>237</v>
          </cell>
          <cell r="F68">
            <v>237</v>
          </cell>
          <cell r="G68">
            <v>237</v>
          </cell>
          <cell r="H68">
            <v>237</v>
          </cell>
          <cell r="I68">
            <v>237</v>
          </cell>
          <cell r="J68">
            <v>237</v>
          </cell>
          <cell r="K68">
            <v>237</v>
          </cell>
        </row>
        <row r="69">
          <cell r="A69" t="str">
            <v>Cash and cash equivalents (balance sheet)</v>
          </cell>
          <cell r="B69">
            <v>1986</v>
          </cell>
          <cell r="C69">
            <v>2467</v>
          </cell>
          <cell r="D69">
            <v>4209</v>
          </cell>
          <cell r="E69">
            <v>5956.3012921328154</v>
          </cell>
          <cell r="F69">
            <v>7091.8825802361971</v>
          </cell>
          <cell r="G69">
            <v>8778.0055445688813</v>
          </cell>
          <cell r="H69">
            <v>10869.726579954651</v>
          </cell>
          <cell r="I69">
            <v>13369.36048589472</v>
          </cell>
          <cell r="J69">
            <v>16612.337710044365</v>
          </cell>
          <cell r="K69">
            <v>20407.382595022071</v>
          </cell>
        </row>
        <row r="71">
          <cell r="A71" t="str">
            <v>Free cash flow to equity</v>
          </cell>
        </row>
        <row r="72">
          <cell r="A72" t="str">
            <v>Cash flow from operations</v>
          </cell>
          <cell r="B72">
            <v>5088</v>
          </cell>
          <cell r="C72">
            <v>4944</v>
          </cell>
          <cell r="D72">
            <v>5958</v>
          </cell>
          <cell r="E72">
            <v>6885.3928688752203</v>
          </cell>
          <cell r="F72">
            <v>6610.4503378646878</v>
          </cell>
          <cell r="G72">
            <v>7369.2342802361882</v>
          </cell>
          <cell r="H72">
            <v>7927.8798232694526</v>
          </cell>
          <cell r="I72">
            <v>8479.7423366339317</v>
          </cell>
          <cell r="J72">
            <v>9438.0074086992936</v>
          </cell>
          <cell r="K72">
            <v>10130.153917234449</v>
          </cell>
        </row>
        <row r="73">
          <cell r="A73" t="str">
            <v>Cash flow from investing</v>
          </cell>
          <cell r="B73">
            <v>-770</v>
          </cell>
          <cell r="C73">
            <v>-776</v>
          </cell>
          <cell r="D73">
            <v>-1660</v>
          </cell>
          <cell r="E73">
            <v>-1136.160480618119</v>
          </cell>
          <cell r="F73">
            <v>-1142.3208419157786</v>
          </cell>
          <cell r="G73">
            <v>-1149.2521661358501</v>
          </cell>
          <cell r="H73">
            <v>-1143.7671245651507</v>
          </cell>
          <cell r="I73">
            <v>-1128.0804556335565</v>
          </cell>
          <cell r="J73">
            <v>-1097.2042648053666</v>
          </cell>
          <cell r="K73">
            <v>-1049.0576106677918</v>
          </cell>
        </row>
        <row r="74">
          <cell r="A74" t="str">
            <v>Interest paid</v>
          </cell>
          <cell r="B74">
            <v>-327</v>
          </cell>
          <cell r="C74">
            <v>-494</v>
          </cell>
          <cell r="D74">
            <v>-381</v>
          </cell>
          <cell r="E74">
            <v>-337.90499999999997</v>
          </cell>
          <cell r="F74">
            <v>-337.90499999999997</v>
          </cell>
          <cell r="G74">
            <v>-337.90499999999997</v>
          </cell>
          <cell r="H74">
            <v>-337.90499999999997</v>
          </cell>
          <cell r="I74">
            <v>-337.90499999999997</v>
          </cell>
          <cell r="J74">
            <v>-337.90499999999997</v>
          </cell>
          <cell r="K74">
            <v>-337.90499999999997</v>
          </cell>
        </row>
        <row r="75">
          <cell r="A75" t="str">
            <v>Changes in debt</v>
          </cell>
          <cell r="B75">
            <v>581</v>
          </cell>
          <cell r="C75">
            <v>921</v>
          </cell>
          <cell r="D75">
            <v>19</v>
          </cell>
          <cell r="E75">
            <v>0</v>
          </cell>
          <cell r="F75">
            <v>0</v>
          </cell>
          <cell r="G75">
            <v>0</v>
          </cell>
          <cell r="H75">
            <v>0</v>
          </cell>
          <cell r="I75">
            <v>0</v>
          </cell>
          <cell r="J75">
            <v>0</v>
          </cell>
          <cell r="K75">
            <v>0</v>
          </cell>
        </row>
        <row r="76">
          <cell r="A76" t="str">
            <v>Preference dividends</v>
          </cell>
          <cell r="B76">
            <v>-15</v>
          </cell>
          <cell r="C76">
            <v>-2</v>
          </cell>
          <cell r="D76">
            <v>0</v>
          </cell>
          <cell r="E76">
            <v>0</v>
          </cell>
          <cell r="F76">
            <v>0</v>
          </cell>
          <cell r="G76">
            <v>0</v>
          </cell>
          <cell r="H76">
            <v>0</v>
          </cell>
          <cell r="I76">
            <v>0</v>
          </cell>
          <cell r="J76">
            <v>0</v>
          </cell>
          <cell r="K76">
            <v>0</v>
          </cell>
        </row>
        <row r="77">
          <cell r="A77" t="str">
            <v>Dividends to minority interests</v>
          </cell>
          <cell r="B77">
            <v>-84</v>
          </cell>
          <cell r="C77">
            <v>-73</v>
          </cell>
          <cell r="D77">
            <v>-86</v>
          </cell>
          <cell r="E77">
            <v>-97.713086415743192</v>
          </cell>
          <cell r="F77">
            <v>-97.029452706225086</v>
          </cell>
          <cell r="G77">
            <v>-108.05821709556426</v>
          </cell>
          <cell r="H77">
            <v>-116.74370647715504</v>
          </cell>
          <cell r="I77">
            <v>-127.44501264122056</v>
          </cell>
          <cell r="J77">
            <v>-143.36101225461846</v>
          </cell>
          <cell r="K77">
            <v>-155.40327193349916</v>
          </cell>
        </row>
        <row r="78">
          <cell r="A78" t="str">
            <v>FCF to equity</v>
          </cell>
          <cell r="B78">
            <v>4473</v>
          </cell>
          <cell r="C78">
            <v>4520</v>
          </cell>
          <cell r="D78">
            <v>3850</v>
          </cell>
          <cell r="E78">
            <v>5313.6143018413586</v>
          </cell>
          <cell r="F78">
            <v>5033.1950432426847</v>
          </cell>
          <cell r="G78">
            <v>5774.0188970047739</v>
          </cell>
          <cell r="H78">
            <v>6329.4639922271472</v>
          </cell>
          <cell r="I78">
            <v>6886.3118683591547</v>
          </cell>
          <cell r="J78">
            <v>7859.5371316393084</v>
          </cell>
          <cell r="K78">
            <v>8587.7880346331585</v>
          </cell>
        </row>
        <row r="79">
          <cell r="A79" t="str">
            <v>Stock option charge</v>
          </cell>
          <cell r="B79">
            <v>-327</v>
          </cell>
          <cell r="C79">
            <v>-273</v>
          </cell>
          <cell r="D79">
            <v>-236</v>
          </cell>
          <cell r="E79">
            <v>-270.20783890411633</v>
          </cell>
          <cell r="F79">
            <v>-266.78260924489598</v>
          </cell>
          <cell r="G79">
            <v>-295.32435414673915</v>
          </cell>
          <cell r="H79">
            <v>-316.97135876557041</v>
          </cell>
          <cell r="I79">
            <v>-343.68440068098971</v>
          </cell>
          <cell r="J79">
            <v>-384.00681265267332</v>
          </cell>
          <cell r="K79">
            <v>-413.08215036220668</v>
          </cell>
        </row>
        <row r="80">
          <cell r="A80" t="str">
            <v>Pension charge</v>
          </cell>
          <cell r="B80">
            <v>23</v>
          </cell>
          <cell r="C80">
            <v>-20</v>
          </cell>
          <cell r="D80">
            <v>0</v>
          </cell>
          <cell r="E80">
            <v>0</v>
          </cell>
          <cell r="F80">
            <v>0</v>
          </cell>
          <cell r="G80">
            <v>0</v>
          </cell>
          <cell r="H80">
            <v>0</v>
          </cell>
          <cell r="I80">
            <v>0</v>
          </cell>
          <cell r="J80">
            <v>0</v>
          </cell>
          <cell r="K80">
            <v>0</v>
          </cell>
        </row>
        <row r="81">
          <cell r="A81" t="str">
            <v>FCF to equity for DCF</v>
          </cell>
          <cell r="B81">
            <v>4169</v>
          </cell>
          <cell r="C81">
            <v>4227</v>
          </cell>
          <cell r="D81">
            <v>3614</v>
          </cell>
          <cell r="E81">
            <v>5043.4064629372424</v>
          </cell>
          <cell r="F81">
            <v>4766.4124339977889</v>
          </cell>
          <cell r="G81">
            <v>5478.6945428580348</v>
          </cell>
          <cell r="H81">
            <v>6012.4926334615766</v>
          </cell>
          <cell r="I81">
            <v>6542.627467678165</v>
          </cell>
          <cell r="J81">
            <v>7475.5303189866354</v>
          </cell>
          <cell r="K81">
            <v>8174.7058842709521</v>
          </cell>
        </row>
        <row r="83">
          <cell r="A83" t="str">
            <v>Free cashflow to firm calculation</v>
          </cell>
        </row>
        <row r="84">
          <cell r="A84" t="str">
            <v>EBIT</v>
          </cell>
        </row>
        <row r="86">
          <cell r="A86" t="str">
            <v>EBITDA</v>
          </cell>
          <cell r="C86">
            <v>6735</v>
          </cell>
          <cell r="D86">
            <v>7971</v>
          </cell>
          <cell r="E86">
            <v>8811.6758108887807</v>
          </cell>
          <cell r="F86">
            <v>8771.274610278635</v>
          </cell>
          <cell r="G86">
            <v>9637.7381579833382</v>
          </cell>
          <cell r="H86">
            <v>10333.048922671314</v>
          </cell>
          <cell r="I86">
            <v>11178.533617948691</v>
          </cell>
          <cell r="J86">
            <v>12423.00538932583</v>
          </cell>
          <cell r="K86">
            <v>13342.411564222435</v>
          </cell>
        </row>
        <row r="88">
          <cell r="A88" t="str">
            <v>Tax rate</v>
          </cell>
          <cell r="C88">
            <v>0.30403183941858453</v>
          </cell>
          <cell r="D88">
            <v>0.28461081402257871</v>
          </cell>
          <cell r="E88">
            <v>0.2949806774991825</v>
          </cell>
          <cell r="F88">
            <v>0.2949806774991825</v>
          </cell>
          <cell r="G88">
            <v>0.2949806774991825</v>
          </cell>
          <cell r="H88">
            <v>0.2949806774991825</v>
          </cell>
          <cell r="I88">
            <v>0.2949806774991825</v>
          </cell>
          <cell r="J88">
            <v>0.2949806774991825</v>
          </cell>
          <cell r="K88">
            <v>0.2949806774991825</v>
          </cell>
        </row>
        <row r="89">
          <cell r="A89" t="str">
            <v>NOPLAT</v>
          </cell>
          <cell r="C89">
            <v>4687.3455615158327</v>
          </cell>
          <cell r="D89">
            <v>5702.3672014260255</v>
          </cell>
          <cell r="E89">
            <v>6212.4017102896496</v>
          </cell>
          <cell r="F89">
            <v>6183.9180832072652</v>
          </cell>
          <cell r="G89">
            <v>6794.7916265816893</v>
          </cell>
          <cell r="H89">
            <v>7284.9991508295316</v>
          </cell>
          <cell r="I89">
            <v>7881.0821978787981</v>
          </cell>
          <cell r="J89">
            <v>8758.4588430065014</v>
          </cell>
          <cell r="K89">
            <v>9406.6579615351729</v>
          </cell>
        </row>
        <row r="91">
          <cell r="A91" t="str">
            <v>Increase in working capital</v>
          </cell>
          <cell r="C91">
            <v>-511</v>
          </cell>
          <cell r="D91">
            <v>-305</v>
          </cell>
          <cell r="E91">
            <v>93.435458083595677</v>
          </cell>
          <cell r="F91">
            <v>-154.04730100084271</v>
          </cell>
          <cell r="G91">
            <v>-32.247768327314816</v>
          </cell>
          <cell r="H91">
            <v>12.452354097373245</v>
          </cell>
          <cell r="I91">
            <v>-57.743896656027118</v>
          </cell>
          <cell r="J91">
            <v>-12.109207204329891</v>
          </cell>
          <cell r="K91">
            <v>12.817251870309747</v>
          </cell>
        </row>
        <row r="92">
          <cell r="A92" t="str">
            <v>CAPEX</v>
          </cell>
          <cell r="C92">
            <v>-990</v>
          </cell>
          <cell r="D92">
            <v>-1127</v>
          </cell>
          <cell r="E92">
            <v>-1314.6599999999999</v>
          </cell>
          <cell r="F92">
            <v>-1365.1035999999999</v>
          </cell>
          <cell r="G92">
            <v>-1415.400488</v>
          </cell>
          <cell r="H92">
            <v>-1467.6231063999999</v>
          </cell>
          <cell r="I92">
            <v>-1521.8467615136001</v>
          </cell>
          <cell r="J92">
            <v>-1578.1497374488958</v>
          </cell>
          <cell r="K92">
            <v>-1636.6134145310989</v>
          </cell>
        </row>
        <row r="94">
          <cell r="A94" t="str">
            <v>Free Cash flow to firm</v>
          </cell>
          <cell r="C94">
            <v>3186.3455615158327</v>
          </cell>
          <cell r="D94">
            <v>4270.3672014260255</v>
          </cell>
          <cell r="E94">
            <v>4991.1771683732459</v>
          </cell>
          <cell r="F94">
            <v>4664.7671822064221</v>
          </cell>
          <cell r="G94">
            <v>5347.1433702543745</v>
          </cell>
          <cell r="H94">
            <v>5829.8283985269045</v>
          </cell>
          <cell r="I94">
            <v>6301.4915397091718</v>
          </cell>
          <cell r="J94">
            <v>7168.1998983532758</v>
          </cell>
          <cell r="K94">
            <v>7782.8617988743845</v>
          </cell>
        </row>
        <row r="96">
          <cell r="A96" t="str">
            <v>Reverse non cash tax</v>
          </cell>
          <cell r="B96">
            <v>-266</v>
          </cell>
          <cell r="C96">
            <v>174.00000000000023</v>
          </cell>
          <cell r="D96">
            <v>209</v>
          </cell>
          <cell r="E96">
            <v>0</v>
          </cell>
          <cell r="F96">
            <v>0</v>
          </cell>
          <cell r="G96">
            <v>0</v>
          </cell>
          <cell r="H96">
            <v>0</v>
          </cell>
          <cell r="I96">
            <v>0</v>
          </cell>
          <cell r="J96">
            <v>0</v>
          </cell>
          <cell r="K96">
            <v>0</v>
          </cell>
          <cell r="M96" t="str">
            <v>mstag:otherCashFlow</v>
          </cell>
          <cell r="N96">
            <v>6</v>
          </cell>
          <cell r="O96" t="str">
            <v>ISO4217:GBP</v>
          </cell>
          <cell r="P96" t="b">
            <v>0</v>
          </cell>
          <cell r="Q96" t="b">
            <v>0</v>
          </cell>
        </row>
        <row r="97">
          <cell r="A97" t="str">
            <v>Reverse net interest</v>
          </cell>
          <cell r="B97">
            <v>21</v>
          </cell>
          <cell r="C97">
            <v>9</v>
          </cell>
          <cell r="D97">
            <v>103</v>
          </cell>
          <cell r="E97">
            <v>0</v>
          </cell>
          <cell r="F97">
            <v>0</v>
          </cell>
          <cell r="G97">
            <v>0</v>
          </cell>
          <cell r="H97">
            <v>0</v>
          </cell>
          <cell r="I97">
            <v>0</v>
          </cell>
          <cell r="J97">
            <v>0</v>
          </cell>
          <cell r="K97">
            <v>0</v>
          </cell>
          <cell r="M97" t="str">
            <v>mstag:otherCashFlow</v>
          </cell>
          <cell r="N97">
            <v>6</v>
          </cell>
          <cell r="O97" t="str">
            <v>ISO4217:GBP</v>
          </cell>
          <cell r="P97" t="b">
            <v>0</v>
          </cell>
          <cell r="Q97" t="b">
            <v>0</v>
          </cell>
        </row>
        <row r="98">
          <cell r="A98" t="str">
            <v>Reverse Minority Divs</v>
          </cell>
          <cell r="B98">
            <v>11</v>
          </cell>
          <cell r="C98">
            <v>39</v>
          </cell>
          <cell r="D98">
            <v>41</v>
          </cell>
          <cell r="E98">
            <v>47.695369265709189</v>
          </cell>
          <cell r="F98">
            <v>46.535764980646903</v>
          </cell>
          <cell r="G98">
            <v>50.866329415604667</v>
          </cell>
          <cell r="H98">
            <v>53.829863706012063</v>
          </cell>
          <cell r="I98">
            <v>57.503796199820499</v>
          </cell>
          <cell r="J98">
            <v>63.28672167287948</v>
          </cell>
          <cell r="K98">
            <v>66.890936100400182</v>
          </cell>
          <cell r="M98" t="str">
            <v>mstag:otherCashFlow</v>
          </cell>
          <cell r="N98">
            <v>6</v>
          </cell>
          <cell r="O98" t="str">
            <v>ISO4217:GBP</v>
          </cell>
          <cell r="P98" t="b">
            <v>0</v>
          </cell>
          <cell r="Q98" t="b">
            <v>0</v>
          </cell>
        </row>
        <row r="99">
          <cell r="A99" t="str">
            <v>Reverse pref share divs</v>
          </cell>
          <cell r="B99">
            <v>-3</v>
          </cell>
          <cell r="C99">
            <v>0</v>
          </cell>
          <cell r="D99">
            <v>0</v>
          </cell>
          <cell r="E99">
            <v>0</v>
          </cell>
          <cell r="F99">
            <v>0</v>
          </cell>
          <cell r="G99">
            <v>0</v>
          </cell>
          <cell r="H99">
            <v>0</v>
          </cell>
          <cell r="I99">
            <v>0</v>
          </cell>
          <cell r="J99">
            <v>0</v>
          </cell>
          <cell r="K99">
            <v>0</v>
          </cell>
          <cell r="M99" t="str">
            <v>mstag:otherCashFlow</v>
          </cell>
          <cell r="N99">
            <v>6</v>
          </cell>
          <cell r="O99" t="str">
            <v>ISO4217:GBP</v>
          </cell>
          <cell r="P99" t="b">
            <v>0</v>
          </cell>
          <cell r="Q99" t="b">
            <v>0</v>
          </cell>
        </row>
        <row r="100">
          <cell r="A100" t="str">
            <v>Rev Non cash JVs</v>
          </cell>
          <cell r="B100">
            <v>56</v>
          </cell>
          <cell r="C100">
            <v>198</v>
          </cell>
          <cell r="D100">
            <v>42</v>
          </cell>
          <cell r="E100">
            <v>52</v>
          </cell>
          <cell r="F100">
            <v>52</v>
          </cell>
          <cell r="G100">
            <v>52</v>
          </cell>
          <cell r="H100">
            <v>52</v>
          </cell>
          <cell r="I100">
            <v>52</v>
          </cell>
          <cell r="J100">
            <v>52</v>
          </cell>
          <cell r="K100">
            <v>52</v>
          </cell>
          <cell r="M100" t="str">
            <v>mstag:incomeLossFromEquityinvestmentsNetOfDividendsReceivedOperating</v>
          </cell>
          <cell r="N100">
            <v>6</v>
          </cell>
          <cell r="O100" t="str">
            <v>ISO4217:GBP</v>
          </cell>
          <cell r="P100" t="b">
            <v>0</v>
          </cell>
          <cell r="Q100" t="b">
            <v>0</v>
          </cell>
        </row>
        <row r="101">
          <cell r="A101" t="str">
            <v>Product Divestments</v>
          </cell>
          <cell r="M101" t="str">
            <v>mstag:otherCashFlow</v>
          </cell>
          <cell r="N101">
            <v>6</v>
          </cell>
          <cell r="O101" t="str">
            <v>ISO4217:GBP</v>
          </cell>
          <cell r="P101" t="b">
            <v>0</v>
          </cell>
          <cell r="Q101" t="b">
            <v>0</v>
          </cell>
        </row>
        <row r="102">
          <cell r="A102" t="str">
            <v>Business Disposal</v>
          </cell>
          <cell r="B102">
            <v>5</v>
          </cell>
          <cell r="C102">
            <v>0</v>
          </cell>
          <cell r="D102">
            <v>0</v>
          </cell>
          <cell r="E102">
            <v>0</v>
          </cell>
          <cell r="F102">
            <v>0</v>
          </cell>
          <cell r="G102">
            <v>0</v>
          </cell>
          <cell r="H102">
            <v>0</v>
          </cell>
          <cell r="I102">
            <v>0</v>
          </cell>
          <cell r="J102">
            <v>0</v>
          </cell>
          <cell r="K102">
            <v>0</v>
          </cell>
          <cell r="M102" t="str">
            <v>mstag:otherCashFlow</v>
          </cell>
          <cell r="N102">
            <v>6</v>
          </cell>
          <cell r="O102" t="str">
            <v>ISO4217:GBP</v>
          </cell>
          <cell r="P102" t="b">
            <v>0</v>
          </cell>
          <cell r="Q102" t="b">
            <v>0</v>
          </cell>
        </row>
        <row r="103">
          <cell r="A103" t="str">
            <v>Accrual Issuances/Repurchases of Common Stock</v>
          </cell>
          <cell r="B103">
            <v>-913</v>
          </cell>
          <cell r="C103">
            <v>-935</v>
          </cell>
          <cell r="D103">
            <v>-679</v>
          </cell>
          <cell r="E103">
            <v>-1032.8089303312829</v>
          </cell>
          <cell r="F103">
            <v>-1322.0900675729376</v>
          </cell>
          <cell r="G103">
            <v>-1473.8468560472377</v>
          </cell>
          <cell r="H103">
            <v>-1585.5759646538907</v>
          </cell>
          <cell r="I103">
            <v>-1695.9484673267864</v>
          </cell>
          <cell r="J103">
            <v>-1887.6014817398589</v>
          </cell>
          <cell r="K103">
            <v>-2026.0307834468899</v>
          </cell>
          <cell r="M103" t="str">
            <v>mstag:netIssuanceRepurchaseOfCommonStock</v>
          </cell>
          <cell r="N103">
            <v>6</v>
          </cell>
          <cell r="O103" t="str">
            <v>ISO4217:GBP</v>
          </cell>
          <cell r="P103" t="b">
            <v>0</v>
          </cell>
          <cell r="Q103" t="b">
            <v>0</v>
          </cell>
        </row>
        <row r="104">
          <cell r="A104" t="str">
            <v>Movement in overdrafts</v>
          </cell>
          <cell r="C104">
            <v>-43</v>
          </cell>
          <cell r="D104">
            <v>125</v>
          </cell>
          <cell r="E104">
            <v>0</v>
          </cell>
          <cell r="F104">
            <v>0</v>
          </cell>
          <cell r="G104">
            <v>0</v>
          </cell>
          <cell r="H104">
            <v>0</v>
          </cell>
          <cell r="I104">
            <v>0</v>
          </cell>
          <cell r="J104">
            <v>0</v>
          </cell>
          <cell r="K104">
            <v>0</v>
          </cell>
          <cell r="M104" t="str">
            <v>mstag:otherCashFlow</v>
          </cell>
          <cell r="N104">
            <v>6</v>
          </cell>
          <cell r="O104" t="str">
            <v>ISO4217:GBP</v>
          </cell>
          <cell r="P104" t="b">
            <v>0</v>
          </cell>
          <cell r="Q104" t="b">
            <v>0</v>
          </cell>
        </row>
        <row r="105">
          <cell r="A105" t="str">
            <v>EBITDA</v>
          </cell>
          <cell r="B105">
            <v>7555</v>
          </cell>
          <cell r="C105">
            <v>6735</v>
          </cell>
          <cell r="D105">
            <v>7971</v>
          </cell>
          <cell r="E105">
            <v>8811.6758108887807</v>
          </cell>
          <cell r="F105">
            <v>8771.274610278635</v>
          </cell>
          <cell r="G105">
            <v>9637.7381579833382</v>
          </cell>
          <cell r="H105">
            <v>10333.048922671314</v>
          </cell>
          <cell r="I105">
            <v>11178.533617948691</v>
          </cell>
          <cell r="J105">
            <v>12423.00538932583</v>
          </cell>
          <cell r="K105">
            <v>13342.411564222435</v>
          </cell>
        </row>
        <row r="106">
          <cell r="A106" t="str">
            <v>Depreciation and amortisation</v>
          </cell>
          <cell r="B106">
            <v>1110</v>
          </cell>
          <cell r="C106">
            <v>979</v>
          </cell>
          <cell r="D106">
            <v>1097</v>
          </cell>
          <cell r="E106">
            <v>941.30002857142858</v>
          </cell>
          <cell r="F106">
            <v>1000.6658986285714</v>
          </cell>
          <cell r="G106">
            <v>1035.7906562685714</v>
          </cell>
          <cell r="H106">
            <v>1100.5865491351656</v>
          </cell>
          <cell r="I106">
            <v>1167.9973031981672</v>
          </cell>
          <cell r="J106">
            <v>1237.9933970610982</v>
          </cell>
          <cell r="K106">
            <v>1310.5187608757888</v>
          </cell>
        </row>
        <row r="108">
          <cell r="B108" t="str">
            <v>2003-FY</v>
          </cell>
          <cell r="C108" t="str">
            <v>2004-FY</v>
          </cell>
          <cell r="D108" t="str">
            <v>2005-FY</v>
          </cell>
          <cell r="E108" t="str">
            <v>2006-FY</v>
          </cell>
          <cell r="F108" t="str">
            <v>2007-FY</v>
          </cell>
          <cell r="G108" t="str">
            <v>2008-FY</v>
          </cell>
          <cell r="H108" t="str">
            <v>2009-FY</v>
          </cell>
          <cell r="I108" t="str">
            <v>2010-FY</v>
          </cell>
          <cell r="J108" t="str">
            <v>2011-FY</v>
          </cell>
          <cell r="K108" t="str">
            <v>2012-FY</v>
          </cell>
        </row>
      </sheetData>
      <sheetData sheetId="24" refreshError="1">
        <row r="1">
          <cell r="B1" t="str">
            <v>PRIOR</v>
          </cell>
        </row>
        <row r="2">
          <cell r="A2" t="str">
            <v>On Preview</v>
          </cell>
          <cell r="B2" t="str">
            <v>Show /Linked</v>
          </cell>
          <cell r="C2" t="str">
            <v>Show /Linked</v>
          </cell>
          <cell r="D2" t="str">
            <v>Show</v>
          </cell>
          <cell r="H2" t="str">
            <v>Hide</v>
          </cell>
          <cell r="I2" t="str">
            <v>Hide</v>
          </cell>
          <cell r="K2" t="str">
            <v>Show</v>
          </cell>
        </row>
        <row r="3">
          <cell r="A3" t="str">
            <v>On Earnings Note</v>
          </cell>
          <cell r="B3" t="str">
            <v>Show/Linked</v>
          </cell>
          <cell r="C3" t="str">
            <v>Show/HardCoded</v>
          </cell>
          <cell r="D3" t="str">
            <v>Show</v>
          </cell>
          <cell r="H3" t="str">
            <v>Show/HardCoded</v>
          </cell>
          <cell r="I3" t="str">
            <v>Show</v>
          </cell>
          <cell r="K3" t="str">
            <v>Show</v>
          </cell>
        </row>
        <row r="4">
          <cell r="A4" t="str">
            <v>P&amp;L Analysis</v>
          </cell>
        </row>
        <row r="5">
          <cell r="A5" t="str">
            <v>(millions)</v>
          </cell>
          <cell r="B5" t="str">
            <v>2Q:05A</v>
          </cell>
          <cell r="C5" t="str">
            <v>2Q:06E</v>
          </cell>
          <cell r="D5" t="str">
            <v>Y/Y Chg.</v>
          </cell>
          <cell r="E5" t="str">
            <v>1H:05A</v>
          </cell>
          <cell r="F5" t="str">
            <v>1H:06E</v>
          </cell>
          <cell r="G5" t="str">
            <v>Y/Y Chg.</v>
          </cell>
          <cell r="H5" t="str">
            <v>Estimate</v>
          </cell>
          <cell r="I5" t="str">
            <v>Variance</v>
          </cell>
          <cell r="K5" t="str">
            <v>Comments</v>
          </cell>
        </row>
        <row r="6">
          <cell r="A6" t="str">
            <v>Sales</v>
          </cell>
          <cell r="B6">
            <v>5246</v>
          </cell>
          <cell r="C6">
            <v>5660.9579847305058</v>
          </cell>
          <cell r="D6">
            <v>7.9099882716451742E-2</v>
          </cell>
          <cell r="E6">
            <v>10282</v>
          </cell>
          <cell r="F6">
            <v>11473.957984730507</v>
          </cell>
          <cell r="G6">
            <v>0.11592666647836092</v>
          </cell>
          <cell r="K6" t="str">
            <v>Decline in US Flonase revenues due to generic entry in March</v>
          </cell>
        </row>
        <row r="7">
          <cell r="A7" t="str">
            <v>COGS</v>
          </cell>
          <cell r="B7">
            <v>1155</v>
          </cell>
          <cell r="C7">
            <v>1228.4278826865198</v>
          </cell>
          <cell r="D7">
            <v>6.3573924403913296E-2</v>
          </cell>
          <cell r="E7">
            <v>2282</v>
          </cell>
          <cell r="F7">
            <v>2362.4278826865198</v>
          </cell>
          <cell r="G7">
            <v>3.524447094063099E-2</v>
          </cell>
        </row>
        <row r="8">
          <cell r="A8" t="str">
            <v>SG&amp;A</v>
          </cell>
          <cell r="B8">
            <v>1681</v>
          </cell>
          <cell r="C8">
            <v>1885.0990089152585</v>
          </cell>
          <cell r="D8">
            <v>0.12141523433388368</v>
          </cell>
          <cell r="E8">
            <v>3326</v>
          </cell>
          <cell r="F8">
            <v>3708.0990089152583</v>
          </cell>
          <cell r="G8">
            <v>0.11488244405149084</v>
          </cell>
        </row>
        <row r="9">
          <cell r="A9" t="str">
            <v>R&amp;D</v>
          </cell>
          <cell r="B9">
            <v>702</v>
          </cell>
          <cell r="C9">
            <v>764.22932793861833</v>
          </cell>
          <cell r="D9">
            <v>8.8645766294328077E-2</v>
          </cell>
          <cell r="E9">
            <v>1365</v>
          </cell>
          <cell r="F9">
            <v>1517.2293279386183</v>
          </cell>
          <cell r="G9">
            <v>0.11152331717114894</v>
          </cell>
          <cell r="K9" t="str">
            <v>We assume R&amp;D hike in anticipation of product migration into phase III</v>
          </cell>
        </row>
        <row r="10">
          <cell r="A10" t="str">
            <v>Operating Profit</v>
          </cell>
          <cell r="B10">
            <v>1711</v>
          </cell>
          <cell r="C10">
            <v>1845.4062032235263</v>
          </cell>
          <cell r="D10">
            <v>7.8554180726783329E-2</v>
          </cell>
          <cell r="E10">
            <v>3458</v>
          </cell>
          <cell r="F10">
            <v>4019.4062032235279</v>
          </cell>
          <cell r="G10">
            <v>0.16234997201374424</v>
          </cell>
        </row>
        <row r="11">
          <cell r="A11" t="str">
            <v>Net Income</v>
          </cell>
          <cell r="B11">
            <v>1158</v>
          </cell>
          <cell r="C11">
            <v>1242.0992593522228</v>
          </cell>
          <cell r="D11">
            <v>7.2624576297256382E-2</v>
          </cell>
          <cell r="E11">
            <v>2360</v>
          </cell>
          <cell r="F11">
            <v>2744.0992593522246</v>
          </cell>
          <cell r="G11">
            <v>0.16275392345433248</v>
          </cell>
        </row>
        <row r="12">
          <cell r="A12" t="str">
            <v>EPS (p)</v>
          </cell>
          <cell r="B12">
            <v>20.387323943661972</v>
          </cell>
          <cell r="C12">
            <v>22.180343917003977</v>
          </cell>
          <cell r="D12">
            <v>8.7947784530074236E-2</v>
          </cell>
          <cell r="E12">
            <v>41.512752858399296</v>
          </cell>
          <cell r="F12">
            <v>48.749320649355532</v>
          </cell>
          <cell r="G12">
            <v>0.17432155886265344</v>
          </cell>
          <cell r="K12" t="str">
            <v>Guidance of 10% growth in 2006</v>
          </cell>
        </row>
        <row r="13">
          <cell r="A13" t="str">
            <v>Share Count</v>
          </cell>
          <cell r="B13">
            <v>5680</v>
          </cell>
          <cell r="C13">
            <v>5600</v>
          </cell>
          <cell r="E13">
            <v>5685</v>
          </cell>
          <cell r="F13">
            <v>5629</v>
          </cell>
        </row>
        <row r="15">
          <cell r="A15" t="str">
            <v>Product Analysis</v>
          </cell>
        </row>
        <row r="16">
          <cell r="A16" t="str">
            <v>(millions)</v>
          </cell>
          <cell r="B16" t="str">
            <v>2Q:05A</v>
          </cell>
          <cell r="C16" t="str">
            <v>2Q:06E</v>
          </cell>
          <cell r="D16" t="str">
            <v>Y/Y Chg.</v>
          </cell>
          <cell r="E16" t="str">
            <v>1H:05A</v>
          </cell>
          <cell r="F16" t="str">
            <v>1H:06E</v>
          </cell>
          <cell r="G16" t="str">
            <v>Y/Y Chg.</v>
          </cell>
          <cell r="H16" t="str">
            <v>Estimate</v>
          </cell>
          <cell r="I16" t="str">
            <v>Variance</v>
          </cell>
          <cell r="K16" t="str">
            <v>Comments</v>
          </cell>
        </row>
        <row r="17">
          <cell r="A17" t="str">
            <v>Advair / Seretide</v>
          </cell>
          <cell r="B17">
            <v>725</v>
          </cell>
          <cell r="C17">
            <v>796.05433230822757</v>
          </cell>
          <cell r="D17">
            <v>9.8005975597555306E-2</v>
          </cell>
          <cell r="E17">
            <v>1415</v>
          </cell>
          <cell r="F17">
            <v>1612.0543323082275</v>
          </cell>
          <cell r="G17">
            <v>0.13926101223196286</v>
          </cell>
          <cell r="K17" t="str">
            <v>Expect recovery after 1Q06 slowdown to occur in fits and starts</v>
          </cell>
        </row>
        <row r="18">
          <cell r="A18" t="str">
            <v>Avandia / Avandamet / Avandaryl</v>
          </cell>
          <cell r="B18">
            <v>352</v>
          </cell>
          <cell r="C18">
            <v>395.53221596050389</v>
          </cell>
          <cell r="D18">
            <v>0.12367106806961337</v>
          </cell>
          <cell r="E18">
            <v>639</v>
          </cell>
          <cell r="F18">
            <v>779.53221596050389</v>
          </cell>
          <cell r="G18">
            <v>0.21992522059546782</v>
          </cell>
          <cell r="K18" t="str">
            <v>Avandia weak relative to 1Q06 with 2H06 relaunch of Avandamet expected</v>
          </cell>
        </row>
        <row r="19">
          <cell r="A19" t="str">
            <v>Seroxat / Paxil</v>
          </cell>
          <cell r="B19">
            <v>152</v>
          </cell>
          <cell r="C19">
            <v>146.96606751745628</v>
          </cell>
          <cell r="D19">
            <v>-3.3117976858840215E-2</v>
          </cell>
          <cell r="E19">
            <v>315</v>
          </cell>
          <cell r="F19">
            <v>307.96606751745628</v>
          </cell>
          <cell r="G19">
            <v>-2.2329944389027689E-2</v>
          </cell>
        </row>
        <row r="20">
          <cell r="A20" t="str">
            <v>Imitrex / Imigran</v>
          </cell>
          <cell r="B20">
            <v>162</v>
          </cell>
          <cell r="C20">
            <v>166.78239774080731</v>
          </cell>
          <cell r="D20">
            <v>2.9520973708687004E-2</v>
          </cell>
          <cell r="E20">
            <v>329</v>
          </cell>
          <cell r="F20">
            <v>348.78239774080731</v>
          </cell>
          <cell r="G20">
            <v>6.0128868513092071E-2</v>
          </cell>
        </row>
        <row r="21">
          <cell r="A21" t="str">
            <v>Augmentin</v>
          </cell>
          <cell r="B21">
            <v>155</v>
          </cell>
          <cell r="C21">
            <v>154.97132887954086</v>
          </cell>
          <cell r="D21">
            <v>-1.849749707041326E-4</v>
          </cell>
          <cell r="E21">
            <v>347</v>
          </cell>
          <cell r="F21">
            <v>324.97132887954086</v>
          </cell>
          <cell r="G21">
            <v>-6.3483202076251133E-2</v>
          </cell>
        </row>
        <row r="22">
          <cell r="A22" t="str">
            <v>Combivir</v>
          </cell>
          <cell r="B22">
            <v>148</v>
          </cell>
          <cell r="C22">
            <v>146.75752366602399</v>
          </cell>
          <cell r="D22">
            <v>-8.3951103647027514E-3</v>
          </cell>
          <cell r="E22">
            <v>288</v>
          </cell>
          <cell r="F22">
            <v>289.75752366602399</v>
          </cell>
          <cell r="G22">
            <v>6.1025127292499981E-3</v>
          </cell>
          <cell r="K22" t="str">
            <v>Slow market share erosion over the past year</v>
          </cell>
        </row>
        <row r="23">
          <cell r="A23" t="str">
            <v>Lamictal</v>
          </cell>
          <cell r="B23">
            <v>216</v>
          </cell>
          <cell r="C23">
            <v>242.40443877551019</v>
          </cell>
          <cell r="D23">
            <v>0.12224277210884349</v>
          </cell>
          <cell r="E23">
            <v>411</v>
          </cell>
          <cell r="F23">
            <v>479.40443877551019</v>
          </cell>
          <cell r="G23">
            <v>0.16643415760464775</v>
          </cell>
          <cell r="K23" t="str">
            <v>Presciptions growing at around 30% in the US</v>
          </cell>
        </row>
        <row r="24">
          <cell r="A24" t="str">
            <v>Wellbutrin</v>
          </cell>
          <cell r="B24">
            <v>167</v>
          </cell>
          <cell r="C24">
            <v>219.0860465116279</v>
          </cell>
          <cell r="D24">
            <v>0.31189249408160413</v>
          </cell>
          <cell r="E24">
            <v>330</v>
          </cell>
          <cell r="F24">
            <v>436.0860465116279</v>
          </cell>
          <cell r="G24">
            <v>0.32147286821705423</v>
          </cell>
          <cell r="K24" t="str">
            <v>Awaiting outcome of summary judement application by generic companies in US</v>
          </cell>
        </row>
        <row r="25">
          <cell r="A25" t="str">
            <v>Trizivir</v>
          </cell>
          <cell r="B25">
            <v>75</v>
          </cell>
          <cell r="C25">
            <v>68.249473894956566</v>
          </cell>
          <cell r="D25">
            <v>-9.0007014733912483E-2</v>
          </cell>
          <cell r="E25">
            <v>149</v>
          </cell>
          <cell r="F25">
            <v>140.24947389495657</v>
          </cell>
          <cell r="G25">
            <v>-5.872836312109686E-2</v>
          </cell>
          <cell r="K25" t="str">
            <v>Slow market share erosion over the past year</v>
          </cell>
        </row>
        <row r="26">
          <cell r="A26" t="str">
            <v>Epivir</v>
          </cell>
          <cell r="B26">
            <v>68</v>
          </cell>
          <cell r="C26">
            <v>55.004020442750189</v>
          </cell>
          <cell r="D26">
            <v>-0.19111734643014433</v>
          </cell>
          <cell r="E26">
            <v>134</v>
          </cell>
          <cell r="F26">
            <v>115.00402044275019</v>
          </cell>
          <cell r="G26">
            <v>-0.14176104147201352</v>
          </cell>
          <cell r="K26" t="str">
            <v>Market share has fallen since launch of Gilead's Truvada</v>
          </cell>
        </row>
        <row r="28">
          <cell r="A28" t="str">
            <v>Margin Analysis</v>
          </cell>
        </row>
        <row r="29">
          <cell r="A29" t="str">
            <v>(as a % of sales)</v>
          </cell>
          <cell r="B29" t="str">
            <v>2Q:05A</v>
          </cell>
          <cell r="C29" t="str">
            <v>2Q:06E</v>
          </cell>
          <cell r="D29" t="str">
            <v>Y/Y Chg.</v>
          </cell>
          <cell r="E29" t="str">
            <v>1H:05A</v>
          </cell>
          <cell r="F29" t="str">
            <v>1H:06E</v>
          </cell>
          <cell r="G29" t="str">
            <v>Y/Y Chg.</v>
          </cell>
          <cell r="H29" t="str">
            <v>Estimate</v>
          </cell>
          <cell r="I29" t="str">
            <v>Variance</v>
          </cell>
          <cell r="K29" t="str">
            <v>Comments</v>
          </cell>
        </row>
        <row r="30">
          <cell r="A30" t="str">
            <v>COGS</v>
          </cell>
          <cell r="B30">
            <v>0.22016774685474647</v>
          </cell>
          <cell r="C30">
            <v>0.217</v>
          </cell>
          <cell r="D30">
            <v>-3.1677468547464671E-3</v>
          </cell>
          <cell r="E30">
            <v>0.22194125656487065</v>
          </cell>
          <cell r="F30">
            <v>0.20589476498261788</v>
          </cell>
          <cell r="G30">
            <v>-1.604649158225277E-2</v>
          </cell>
        </row>
        <row r="31">
          <cell r="A31" t="str">
            <v>SG&amp;A</v>
          </cell>
          <cell r="B31">
            <v>0.32043461685093405</v>
          </cell>
          <cell r="C31">
            <v>0.33300000000000002</v>
          </cell>
          <cell r="D31">
            <v>1.2565383149065967E-2</v>
          </cell>
          <cell r="E31">
            <v>0.32347792258315505</v>
          </cell>
          <cell r="F31">
            <v>0.32317522984222014</v>
          </cell>
          <cell r="G31">
            <v>-3.0269274093491783E-4</v>
          </cell>
          <cell r="K31" t="str">
            <v>Entry of generic Flonase during Q1 negatively impacts R&amp;D and SGA margin</v>
          </cell>
        </row>
        <row r="32">
          <cell r="A32" t="str">
            <v>R&amp;D</v>
          </cell>
          <cell r="B32">
            <v>0.13381624094548228</v>
          </cell>
          <cell r="C32">
            <v>0.13500000000000001</v>
          </cell>
          <cell r="D32">
            <v>1.1837590545177301E-3</v>
          </cell>
          <cell r="E32">
            <v>0.13275627309861895</v>
          </cell>
          <cell r="F32">
            <v>0.13223242842249733</v>
          </cell>
          <cell r="G32">
            <v>-5.2384467612162644E-4</v>
          </cell>
        </row>
        <row r="33">
          <cell r="A33" t="str">
            <v>Pretax Margin</v>
          </cell>
          <cell r="B33">
            <v>0.32615325962638203</v>
          </cell>
          <cell r="C33">
            <v>0.32598832356664775</v>
          </cell>
          <cell r="D33">
            <v>-1.649360597342775E-4</v>
          </cell>
          <cell r="E33">
            <v>0.33631589184983468</v>
          </cell>
          <cell r="F33">
            <v>0.35030686085590834</v>
          </cell>
          <cell r="G33">
            <v>1.3990969006073661E-2</v>
          </cell>
        </row>
        <row r="34">
          <cell r="A34" t="str">
            <v>Net Margin</v>
          </cell>
          <cell r="B34">
            <v>0.22073961113229126</v>
          </cell>
          <cell r="C34">
            <v>0.21941502881713296</v>
          </cell>
          <cell r="D34">
            <v>-1.3245823151583069E-3</v>
          </cell>
          <cell r="E34">
            <v>0.22952732931336317</v>
          </cell>
          <cell r="F34">
            <v>0.23915890776348145</v>
          </cell>
          <cell r="G34">
            <v>9.6315784501182777E-3</v>
          </cell>
          <cell r="K34" t="str">
            <v>Effective Tax rate increased 100 basis points since last year</v>
          </cell>
        </row>
      </sheetData>
      <sheetData sheetId="25"/>
      <sheetData sheetId="26"/>
      <sheetData sheetId="27"/>
      <sheetData sheetId="28" refreshError="1"/>
      <sheetData sheetId="29"/>
      <sheetData sheetId="30"/>
      <sheetData sheetId="31"/>
      <sheetData sheetId="32" refreshError="1"/>
      <sheetData sheetId="33" refreshError="1">
        <row r="1">
          <cell r="A1" t="str">
            <v>Return to Contents</v>
          </cell>
        </row>
        <row r="2">
          <cell r="A2" t="str">
            <v>GLAXOSMITHKLINE: FUTURE PRODUCTS FORECAST in $ million</v>
          </cell>
        </row>
        <row r="3">
          <cell r="A3" t="str">
            <v>Product</v>
          </cell>
          <cell r="B3" t="str">
            <v>Indication</v>
          </cell>
          <cell r="C3" t="str">
            <v>Preclin.</v>
          </cell>
          <cell r="D3" t="str">
            <v>I</v>
          </cell>
          <cell r="E3" t="str">
            <v>II</v>
          </cell>
          <cell r="F3" t="str">
            <v>III</v>
          </cell>
          <cell r="G3" t="str">
            <v>Filed</v>
          </cell>
          <cell r="H3" t="str">
            <v>Year</v>
          </cell>
          <cell r="I3" t="str">
            <v>Specialty or Primary Care Mkt</v>
          </cell>
          <cell r="K3" t="str">
            <v>Launch</v>
          </cell>
          <cell r="L3" t="str">
            <v>Peak Sales</v>
          </cell>
          <cell r="M3" t="str">
            <v>Success Probability</v>
          </cell>
          <cell r="N3" t="str">
            <v>Risk Adj Peak Sales</v>
          </cell>
          <cell r="O3">
            <v>2005</v>
          </cell>
          <cell r="P3" t="str">
            <v>2006E</v>
          </cell>
          <cell r="Q3" t="str">
            <v>2007E</v>
          </cell>
          <cell r="R3" t="str">
            <v>2008E</v>
          </cell>
          <cell r="S3" t="str">
            <v>2009E</v>
          </cell>
          <cell r="T3" t="str">
            <v>2010E</v>
          </cell>
          <cell r="U3" t="str">
            <v>2011E</v>
          </cell>
          <cell r="V3" t="str">
            <v>2012E</v>
          </cell>
        </row>
        <row r="4">
          <cell r="O4">
            <v>2005</v>
          </cell>
          <cell r="P4">
            <v>2006</v>
          </cell>
          <cell r="Q4">
            <v>2007</v>
          </cell>
          <cell r="R4">
            <v>2008</v>
          </cell>
          <cell r="S4">
            <v>2009</v>
          </cell>
          <cell r="T4">
            <v>2010</v>
          </cell>
          <cell r="U4">
            <v>2011</v>
          </cell>
          <cell r="V4">
            <v>2012</v>
          </cell>
        </row>
        <row r="5">
          <cell r="A5" t="str">
            <v>CV, Metabolic</v>
          </cell>
          <cell r="L5">
            <v>9000</v>
          </cell>
          <cell r="N5">
            <v>2250</v>
          </cell>
          <cell r="O5">
            <v>0</v>
          </cell>
          <cell r="P5">
            <v>0</v>
          </cell>
          <cell r="Q5">
            <v>0</v>
          </cell>
          <cell r="R5">
            <v>37.5</v>
          </cell>
          <cell r="S5">
            <v>300</v>
          </cell>
          <cell r="T5">
            <v>787.5</v>
          </cell>
          <cell r="U5">
            <v>1462.5</v>
          </cell>
          <cell r="V5">
            <v>2062.5</v>
          </cell>
        </row>
        <row r="6">
          <cell r="A6" t="str">
            <v>424323 (Odiparcil)</v>
          </cell>
          <cell r="B6" t="str">
            <v>Indirect Thrombin Inhibitor</v>
          </cell>
          <cell r="C6">
            <v>1</v>
          </cell>
          <cell r="D6">
            <v>1</v>
          </cell>
          <cell r="E6">
            <v>1</v>
          </cell>
          <cell r="H6">
            <v>2008</v>
          </cell>
          <cell r="I6" t="str">
            <v>PC</v>
          </cell>
          <cell r="J6">
            <v>4</v>
          </cell>
          <cell r="K6">
            <v>4</v>
          </cell>
          <cell r="L6">
            <v>1500</v>
          </cell>
          <cell r="M6">
            <v>0.25</v>
          </cell>
          <cell r="N6">
            <v>375</v>
          </cell>
          <cell r="O6">
            <v>0</v>
          </cell>
          <cell r="P6">
            <v>0</v>
          </cell>
          <cell r="Q6">
            <v>0</v>
          </cell>
          <cell r="R6">
            <v>37.5</v>
          </cell>
          <cell r="S6">
            <v>112.5</v>
          </cell>
          <cell r="T6">
            <v>225</v>
          </cell>
          <cell r="U6">
            <v>337.5</v>
          </cell>
          <cell r="V6">
            <v>375</v>
          </cell>
        </row>
        <row r="7">
          <cell r="A7" t="str">
            <v>darapladib (480848)</v>
          </cell>
          <cell r="B7" t="str">
            <v>Lp-PLA2 inhibitor (Atherosclerosis)</v>
          </cell>
          <cell r="C7">
            <v>1</v>
          </cell>
          <cell r="D7">
            <v>1</v>
          </cell>
          <cell r="E7">
            <v>1</v>
          </cell>
          <cell r="H7">
            <v>2009</v>
          </cell>
          <cell r="I7" t="str">
            <v>PC</v>
          </cell>
          <cell r="J7">
            <v>4</v>
          </cell>
          <cell r="K7">
            <v>4</v>
          </cell>
          <cell r="L7">
            <v>2000</v>
          </cell>
          <cell r="M7">
            <v>0.25</v>
          </cell>
          <cell r="N7">
            <v>500</v>
          </cell>
          <cell r="O7">
            <v>0</v>
          </cell>
          <cell r="P7">
            <v>0</v>
          </cell>
          <cell r="Q7">
            <v>0</v>
          </cell>
          <cell r="R7">
            <v>0</v>
          </cell>
          <cell r="S7">
            <v>50</v>
          </cell>
          <cell r="T7">
            <v>150</v>
          </cell>
          <cell r="U7">
            <v>300</v>
          </cell>
          <cell r="V7">
            <v>450</v>
          </cell>
        </row>
        <row r="8">
          <cell r="A8" t="str">
            <v>493838 - terminated</v>
          </cell>
          <cell r="B8" t="str">
            <v>Adenosine A1A agonist (Dyslipidaemia/Neur. Pain)</v>
          </cell>
          <cell r="C8">
            <v>1</v>
          </cell>
          <cell r="D8">
            <v>1</v>
          </cell>
          <cell r="E8">
            <v>1</v>
          </cell>
          <cell r="H8">
            <v>2009</v>
          </cell>
          <cell r="I8" t="str">
            <v>PC</v>
          </cell>
          <cell r="J8">
            <v>4</v>
          </cell>
          <cell r="K8">
            <v>4</v>
          </cell>
          <cell r="L8">
            <v>0</v>
          </cell>
          <cell r="M8">
            <v>0.25</v>
          </cell>
          <cell r="N8">
            <v>0</v>
          </cell>
          <cell r="O8">
            <v>0</v>
          </cell>
          <cell r="P8">
            <v>0</v>
          </cell>
          <cell r="Q8">
            <v>0</v>
          </cell>
          <cell r="R8">
            <v>0</v>
          </cell>
          <cell r="S8">
            <v>0</v>
          </cell>
          <cell r="T8">
            <v>0</v>
          </cell>
          <cell r="U8">
            <v>0</v>
          </cell>
          <cell r="V8">
            <v>0</v>
          </cell>
        </row>
        <row r="9">
          <cell r="A9">
            <v>501516</v>
          </cell>
          <cell r="B9" t="str">
            <v>PPAR delta agonist (Dyslipidaemia)</v>
          </cell>
          <cell r="C9">
            <v>1</v>
          </cell>
          <cell r="D9">
            <v>1</v>
          </cell>
          <cell r="E9">
            <v>1</v>
          </cell>
          <cell r="H9">
            <v>2009</v>
          </cell>
          <cell r="I9" t="str">
            <v>PC</v>
          </cell>
          <cell r="J9">
            <v>4</v>
          </cell>
          <cell r="K9">
            <v>4</v>
          </cell>
          <cell r="L9">
            <v>1000</v>
          </cell>
          <cell r="M9">
            <v>0.25</v>
          </cell>
          <cell r="N9">
            <v>250</v>
          </cell>
          <cell r="O9">
            <v>0</v>
          </cell>
          <cell r="P9">
            <v>0</v>
          </cell>
          <cell r="Q9">
            <v>0</v>
          </cell>
          <cell r="R9">
            <v>0</v>
          </cell>
          <cell r="S9">
            <v>25</v>
          </cell>
          <cell r="T9">
            <v>75</v>
          </cell>
          <cell r="U9">
            <v>150</v>
          </cell>
          <cell r="V9">
            <v>225</v>
          </cell>
        </row>
        <row r="10">
          <cell r="A10">
            <v>590735</v>
          </cell>
          <cell r="B10" t="str">
            <v>PPAR alpha agonist (Dyslipidaemia)</v>
          </cell>
          <cell r="C10">
            <v>1</v>
          </cell>
          <cell r="D10">
            <v>1</v>
          </cell>
          <cell r="E10">
            <v>1</v>
          </cell>
          <cell r="H10">
            <v>2009</v>
          </cell>
          <cell r="I10" t="str">
            <v>PC</v>
          </cell>
          <cell r="J10">
            <v>4</v>
          </cell>
          <cell r="K10">
            <v>4</v>
          </cell>
          <cell r="L10">
            <v>1000</v>
          </cell>
          <cell r="M10">
            <v>0.25</v>
          </cell>
          <cell r="N10">
            <v>250</v>
          </cell>
          <cell r="O10">
            <v>0</v>
          </cell>
          <cell r="P10">
            <v>0</v>
          </cell>
          <cell r="Q10">
            <v>0</v>
          </cell>
          <cell r="R10">
            <v>0</v>
          </cell>
          <cell r="S10">
            <v>25</v>
          </cell>
          <cell r="T10">
            <v>75</v>
          </cell>
          <cell r="U10">
            <v>150</v>
          </cell>
          <cell r="V10">
            <v>225</v>
          </cell>
        </row>
        <row r="11">
          <cell r="A11" t="str">
            <v>207266 (Piboserod) - terminated</v>
          </cell>
          <cell r="B11" t="str">
            <v>5HT4 Antagonist (Atrial Fibrillation)</v>
          </cell>
          <cell r="C11">
            <v>1</v>
          </cell>
          <cell r="D11">
            <v>1</v>
          </cell>
          <cell r="E11">
            <v>1</v>
          </cell>
          <cell r="H11">
            <v>2009</v>
          </cell>
          <cell r="I11" t="str">
            <v>PC</v>
          </cell>
          <cell r="J11">
            <v>4</v>
          </cell>
          <cell r="K11">
            <v>4</v>
          </cell>
          <cell r="L11">
            <v>0</v>
          </cell>
          <cell r="M11">
            <v>0.25</v>
          </cell>
          <cell r="N11">
            <v>0</v>
          </cell>
          <cell r="O11">
            <v>0</v>
          </cell>
          <cell r="P11">
            <v>0</v>
          </cell>
          <cell r="Q11">
            <v>0</v>
          </cell>
          <cell r="R11">
            <v>0</v>
          </cell>
          <cell r="S11">
            <v>0</v>
          </cell>
          <cell r="T11">
            <v>0</v>
          </cell>
          <cell r="U11">
            <v>0</v>
          </cell>
          <cell r="V11">
            <v>0</v>
          </cell>
        </row>
        <row r="12">
          <cell r="A12" t="str">
            <v>181771 - terminated</v>
          </cell>
          <cell r="B12" t="str">
            <v>CCK-A Agonist (Obesity)</v>
          </cell>
          <cell r="C12">
            <v>1</v>
          </cell>
          <cell r="D12">
            <v>1</v>
          </cell>
          <cell r="E12">
            <v>1</v>
          </cell>
          <cell r="H12">
            <v>2009</v>
          </cell>
          <cell r="I12" t="str">
            <v>PC</v>
          </cell>
          <cell r="J12">
            <v>4</v>
          </cell>
          <cell r="K12">
            <v>4</v>
          </cell>
          <cell r="L12">
            <v>0</v>
          </cell>
          <cell r="M12">
            <v>0.25</v>
          </cell>
          <cell r="N12">
            <v>0</v>
          </cell>
          <cell r="O12">
            <v>0</v>
          </cell>
          <cell r="P12">
            <v>0</v>
          </cell>
          <cell r="Q12">
            <v>0</v>
          </cell>
          <cell r="R12">
            <v>0</v>
          </cell>
          <cell r="S12">
            <v>0</v>
          </cell>
          <cell r="T12">
            <v>0</v>
          </cell>
          <cell r="U12">
            <v>0</v>
          </cell>
          <cell r="V12">
            <v>0</v>
          </cell>
        </row>
        <row r="13">
          <cell r="A13">
            <v>677954</v>
          </cell>
          <cell r="B13" t="str">
            <v>PPAR pan agonist (type 2 diabetes)</v>
          </cell>
          <cell r="C13">
            <v>1</v>
          </cell>
          <cell r="D13">
            <v>1</v>
          </cell>
          <cell r="E13">
            <v>1</v>
          </cell>
          <cell r="H13">
            <v>2009</v>
          </cell>
          <cell r="I13" t="str">
            <v>PC</v>
          </cell>
          <cell r="J13">
            <v>4</v>
          </cell>
          <cell r="K13">
            <v>4</v>
          </cell>
          <cell r="L13">
            <v>500</v>
          </cell>
          <cell r="M13">
            <v>0.25</v>
          </cell>
          <cell r="N13">
            <v>125</v>
          </cell>
          <cell r="O13">
            <v>0</v>
          </cell>
          <cell r="P13">
            <v>0</v>
          </cell>
          <cell r="Q13">
            <v>0</v>
          </cell>
          <cell r="R13">
            <v>0</v>
          </cell>
          <cell r="S13">
            <v>12.5</v>
          </cell>
          <cell r="T13">
            <v>37.5</v>
          </cell>
          <cell r="U13">
            <v>75</v>
          </cell>
          <cell r="V13">
            <v>112.5</v>
          </cell>
        </row>
        <row r="14">
          <cell r="A14" t="str">
            <v>solabegron (427353)</v>
          </cell>
          <cell r="B14" t="str">
            <v>Beta 3 Agonist (type 2 diab/overactive bladder)</v>
          </cell>
          <cell r="C14">
            <v>1</v>
          </cell>
          <cell r="D14">
            <v>1</v>
          </cell>
          <cell r="E14">
            <v>1</v>
          </cell>
          <cell r="H14">
            <v>2009</v>
          </cell>
          <cell r="I14" t="str">
            <v>PC</v>
          </cell>
          <cell r="J14">
            <v>4</v>
          </cell>
          <cell r="K14">
            <v>4</v>
          </cell>
          <cell r="L14">
            <v>1000</v>
          </cell>
          <cell r="M14">
            <v>0.25</v>
          </cell>
          <cell r="N14">
            <v>250</v>
          </cell>
          <cell r="O14">
            <v>0</v>
          </cell>
          <cell r="P14">
            <v>0</v>
          </cell>
          <cell r="Q14">
            <v>0</v>
          </cell>
          <cell r="R14">
            <v>0</v>
          </cell>
          <cell r="S14">
            <v>25</v>
          </cell>
          <cell r="T14">
            <v>75</v>
          </cell>
          <cell r="U14">
            <v>150</v>
          </cell>
          <cell r="V14">
            <v>225</v>
          </cell>
        </row>
        <row r="15">
          <cell r="A15" t="str">
            <v>denagliptin (823093)</v>
          </cell>
          <cell r="B15" t="str">
            <v>DPP IV (type 2 diabetes)</v>
          </cell>
          <cell r="C15">
            <v>1</v>
          </cell>
          <cell r="D15">
            <v>1</v>
          </cell>
          <cell r="E15">
            <v>1</v>
          </cell>
          <cell r="H15">
            <v>2009</v>
          </cell>
          <cell r="I15" t="str">
            <v>PC</v>
          </cell>
          <cell r="J15">
            <v>4</v>
          </cell>
          <cell r="K15">
            <v>4</v>
          </cell>
          <cell r="L15">
            <v>2000</v>
          </cell>
          <cell r="M15">
            <v>0.25</v>
          </cell>
          <cell r="N15">
            <v>500</v>
          </cell>
          <cell r="O15">
            <v>0</v>
          </cell>
          <cell r="P15">
            <v>0</v>
          </cell>
          <cell r="Q15">
            <v>0</v>
          </cell>
          <cell r="R15">
            <v>0</v>
          </cell>
          <cell r="S15">
            <v>50</v>
          </cell>
          <cell r="T15">
            <v>150</v>
          </cell>
          <cell r="U15">
            <v>300</v>
          </cell>
          <cell r="V15">
            <v>450</v>
          </cell>
        </row>
        <row r="16">
          <cell r="A16" t="str">
            <v>Noratak - terminated</v>
          </cell>
          <cell r="B16" t="str">
            <v>Acute Heart Failure</v>
          </cell>
          <cell r="C16">
            <v>1</v>
          </cell>
          <cell r="D16">
            <v>1</v>
          </cell>
          <cell r="E16">
            <v>1</v>
          </cell>
          <cell r="F16">
            <v>1</v>
          </cell>
          <cell r="H16">
            <v>2008</v>
          </cell>
          <cell r="I16" t="str">
            <v>S</v>
          </cell>
          <cell r="J16">
            <v>0</v>
          </cell>
          <cell r="K16">
            <v>2</v>
          </cell>
          <cell r="L16">
            <v>0</v>
          </cell>
          <cell r="M16">
            <v>0.65</v>
          </cell>
          <cell r="N16">
            <v>0</v>
          </cell>
          <cell r="O16">
            <v>0</v>
          </cell>
          <cell r="P16">
            <v>0</v>
          </cell>
          <cell r="Q16">
            <v>0</v>
          </cell>
          <cell r="R16">
            <v>0</v>
          </cell>
          <cell r="S16">
            <v>0</v>
          </cell>
          <cell r="T16">
            <v>0</v>
          </cell>
          <cell r="U16">
            <v>0</v>
          </cell>
          <cell r="V16">
            <v>0</v>
          </cell>
        </row>
        <row r="17">
          <cell r="A17" t="str">
            <v>Infectious Disease</v>
          </cell>
          <cell r="L17">
            <v>2900</v>
          </cell>
          <cell r="N17">
            <v>1385</v>
          </cell>
          <cell r="O17">
            <v>0</v>
          </cell>
          <cell r="P17">
            <v>42.5</v>
          </cell>
          <cell r="Q17">
            <v>134</v>
          </cell>
          <cell r="R17">
            <v>351.5</v>
          </cell>
          <cell r="S17">
            <v>665</v>
          </cell>
          <cell r="T17">
            <v>983</v>
          </cell>
          <cell r="U17">
            <v>1258</v>
          </cell>
          <cell r="V17">
            <v>1372.5</v>
          </cell>
        </row>
        <row r="18">
          <cell r="A18">
            <v>270773</v>
          </cell>
          <cell r="B18" t="str">
            <v>Phospholipid anti-endotoxin emulsion (Sepsis)</v>
          </cell>
          <cell r="C18">
            <v>1</v>
          </cell>
          <cell r="D18">
            <v>1</v>
          </cell>
          <cell r="E18">
            <v>1</v>
          </cell>
          <cell r="H18">
            <v>2008</v>
          </cell>
          <cell r="I18" t="str">
            <v>S</v>
          </cell>
          <cell r="J18">
            <v>0</v>
          </cell>
          <cell r="K18">
            <v>3</v>
          </cell>
          <cell r="L18">
            <v>500</v>
          </cell>
          <cell r="M18">
            <v>0.25</v>
          </cell>
          <cell r="N18">
            <v>125</v>
          </cell>
          <cell r="O18">
            <v>0</v>
          </cell>
          <cell r="P18">
            <v>0</v>
          </cell>
          <cell r="Q18">
            <v>0</v>
          </cell>
          <cell r="R18">
            <v>12.5</v>
          </cell>
          <cell r="S18">
            <v>37.5</v>
          </cell>
          <cell r="T18">
            <v>75</v>
          </cell>
          <cell r="U18">
            <v>112.5</v>
          </cell>
          <cell r="V18">
            <v>125</v>
          </cell>
          <cell r="Y18" t="str">
            <v xml:space="preserve"> </v>
          </cell>
        </row>
        <row r="19">
          <cell r="A19" t="str">
            <v>farglitazar (262570)</v>
          </cell>
          <cell r="B19" t="str">
            <v>PPAR gamma agonist (hepatic fibrosis)</v>
          </cell>
          <cell r="C19">
            <v>1</v>
          </cell>
          <cell r="D19">
            <v>1</v>
          </cell>
          <cell r="E19">
            <v>1</v>
          </cell>
          <cell r="H19">
            <v>2008</v>
          </cell>
          <cell r="I19" t="str">
            <v>S</v>
          </cell>
          <cell r="J19">
            <v>0</v>
          </cell>
          <cell r="K19">
            <v>3</v>
          </cell>
          <cell r="L19">
            <v>500</v>
          </cell>
          <cell r="M19">
            <v>0.25</v>
          </cell>
          <cell r="N19">
            <v>125</v>
          </cell>
          <cell r="O19">
            <v>0</v>
          </cell>
          <cell r="P19">
            <v>0</v>
          </cell>
          <cell r="Q19">
            <v>0</v>
          </cell>
          <cell r="R19">
            <v>12.5</v>
          </cell>
          <cell r="S19">
            <v>37.5</v>
          </cell>
          <cell r="T19">
            <v>75</v>
          </cell>
          <cell r="U19">
            <v>112.5</v>
          </cell>
          <cell r="V19">
            <v>125</v>
          </cell>
        </row>
        <row r="20">
          <cell r="A20" t="str">
            <v>CDA</v>
          </cell>
          <cell r="B20" t="str">
            <v>Antifolate Artemisinin (Malaria)</v>
          </cell>
          <cell r="C20">
            <v>1</v>
          </cell>
          <cell r="D20">
            <v>1</v>
          </cell>
          <cell r="E20">
            <v>1</v>
          </cell>
          <cell r="F20">
            <v>1</v>
          </cell>
          <cell r="H20">
            <v>2008</v>
          </cell>
          <cell r="I20" t="str">
            <v>PC</v>
          </cell>
          <cell r="J20">
            <v>4</v>
          </cell>
          <cell r="K20">
            <v>2</v>
          </cell>
          <cell r="L20">
            <v>500</v>
          </cell>
          <cell r="M20">
            <v>0.65</v>
          </cell>
          <cell r="N20">
            <v>325</v>
          </cell>
          <cell r="O20">
            <v>0</v>
          </cell>
          <cell r="P20">
            <v>0</v>
          </cell>
          <cell r="Q20">
            <v>0</v>
          </cell>
          <cell r="R20">
            <v>32.5</v>
          </cell>
          <cell r="S20">
            <v>97.5</v>
          </cell>
          <cell r="T20">
            <v>195</v>
          </cell>
          <cell r="U20">
            <v>292.5</v>
          </cell>
          <cell r="V20">
            <v>325</v>
          </cell>
        </row>
        <row r="21">
          <cell r="A21" t="str">
            <v>Brecanavir (640385)</v>
          </cell>
          <cell r="B21" t="str">
            <v>Aspartyl protease inhib (HIV)</v>
          </cell>
          <cell r="C21">
            <v>1</v>
          </cell>
          <cell r="D21">
            <v>1</v>
          </cell>
          <cell r="E21">
            <v>1</v>
          </cell>
          <cell r="H21">
            <v>2009</v>
          </cell>
          <cell r="I21" t="str">
            <v>PC</v>
          </cell>
          <cell r="J21">
            <v>4</v>
          </cell>
          <cell r="K21">
            <v>4</v>
          </cell>
          <cell r="L21">
            <v>500</v>
          </cell>
          <cell r="M21">
            <v>0.25</v>
          </cell>
          <cell r="N21">
            <v>125</v>
          </cell>
          <cell r="O21">
            <v>0</v>
          </cell>
          <cell r="P21">
            <v>0</v>
          </cell>
          <cell r="Q21">
            <v>0</v>
          </cell>
          <cell r="R21">
            <v>0</v>
          </cell>
          <cell r="S21">
            <v>12.5</v>
          </cell>
          <cell r="T21">
            <v>37.5</v>
          </cell>
          <cell r="U21">
            <v>75</v>
          </cell>
          <cell r="V21">
            <v>112.5</v>
          </cell>
        </row>
        <row r="22">
          <cell r="A22" t="str">
            <v>695634 - terminated</v>
          </cell>
          <cell r="B22" t="str">
            <v>NNRTI (HIV)</v>
          </cell>
          <cell r="C22">
            <v>1</v>
          </cell>
          <cell r="D22">
            <v>1</v>
          </cell>
          <cell r="E22">
            <v>1</v>
          </cell>
          <cell r="H22">
            <v>2008</v>
          </cell>
          <cell r="I22" t="str">
            <v>PC</v>
          </cell>
          <cell r="J22">
            <v>4</v>
          </cell>
          <cell r="K22">
            <v>4</v>
          </cell>
          <cell r="L22">
            <v>0</v>
          </cell>
          <cell r="M22">
            <v>0.25</v>
          </cell>
          <cell r="N22">
            <v>0</v>
          </cell>
          <cell r="O22">
            <v>0</v>
          </cell>
          <cell r="P22">
            <v>0</v>
          </cell>
          <cell r="Q22">
            <v>0</v>
          </cell>
          <cell r="R22">
            <v>0</v>
          </cell>
          <cell r="S22">
            <v>0</v>
          </cell>
          <cell r="T22">
            <v>0</v>
          </cell>
          <cell r="U22">
            <v>0</v>
          </cell>
          <cell r="V22">
            <v>0</v>
          </cell>
        </row>
        <row r="23">
          <cell r="A23" t="str">
            <v>873140 - terminated</v>
          </cell>
          <cell r="B23" t="str">
            <v>CCR5 antagonist (HIV)</v>
          </cell>
          <cell r="C23">
            <v>1</v>
          </cell>
          <cell r="D23">
            <v>1</v>
          </cell>
          <cell r="E23">
            <v>1</v>
          </cell>
          <cell r="F23">
            <v>1</v>
          </cell>
          <cell r="H23">
            <v>2008</v>
          </cell>
          <cell r="I23" t="str">
            <v>PC</v>
          </cell>
          <cell r="J23">
            <v>4</v>
          </cell>
          <cell r="K23">
            <v>2</v>
          </cell>
          <cell r="L23">
            <v>0</v>
          </cell>
          <cell r="M23">
            <v>0.65</v>
          </cell>
          <cell r="N23">
            <v>0</v>
          </cell>
          <cell r="O23">
            <v>0</v>
          </cell>
          <cell r="P23">
            <v>0</v>
          </cell>
          <cell r="Q23">
            <v>0</v>
          </cell>
          <cell r="R23">
            <v>0</v>
          </cell>
          <cell r="S23">
            <v>0</v>
          </cell>
          <cell r="T23">
            <v>0</v>
          </cell>
          <cell r="U23">
            <v>0</v>
          </cell>
          <cell r="V23">
            <v>0</v>
          </cell>
        </row>
        <row r="24">
          <cell r="A24" t="str">
            <v>Retapamulin (275833)</v>
          </cell>
          <cell r="B24" t="str">
            <v>Topical pleuromutilin (bacterial skin infection)</v>
          </cell>
          <cell r="C24">
            <v>1</v>
          </cell>
          <cell r="D24">
            <v>1</v>
          </cell>
          <cell r="E24">
            <v>1</v>
          </cell>
          <cell r="F24">
            <v>1</v>
          </cell>
          <cell r="G24">
            <v>1</v>
          </cell>
          <cell r="H24">
            <v>2006</v>
          </cell>
          <cell r="I24" t="str">
            <v>S</v>
          </cell>
          <cell r="J24">
            <v>0</v>
          </cell>
          <cell r="K24">
            <v>2</v>
          </cell>
          <cell r="L24">
            <v>500</v>
          </cell>
          <cell r="M24">
            <v>0.85</v>
          </cell>
          <cell r="N24">
            <v>425</v>
          </cell>
          <cell r="O24">
            <v>0</v>
          </cell>
          <cell r="P24">
            <v>42.5</v>
          </cell>
          <cell r="Q24">
            <v>127.5</v>
          </cell>
          <cell r="R24">
            <v>255</v>
          </cell>
          <cell r="S24">
            <v>382.5</v>
          </cell>
          <cell r="T24">
            <v>425</v>
          </cell>
          <cell r="U24">
            <v>425</v>
          </cell>
          <cell r="V24">
            <v>425</v>
          </cell>
        </row>
        <row r="25">
          <cell r="A25" t="str">
            <v>Sitamaquine</v>
          </cell>
          <cell r="B25" t="str">
            <v>8-Aminoquinoline (Visceral Leishmaniasis)</v>
          </cell>
          <cell r="C25">
            <v>1</v>
          </cell>
          <cell r="D25">
            <v>1</v>
          </cell>
          <cell r="E25">
            <v>1</v>
          </cell>
          <cell r="F25">
            <v>1</v>
          </cell>
          <cell r="H25">
            <v>2007</v>
          </cell>
          <cell r="I25" t="str">
            <v>PC</v>
          </cell>
          <cell r="J25">
            <v>4</v>
          </cell>
          <cell r="K25">
            <v>2</v>
          </cell>
          <cell r="L25">
            <v>100</v>
          </cell>
          <cell r="M25">
            <v>0.65</v>
          </cell>
          <cell r="N25">
            <v>65</v>
          </cell>
          <cell r="O25">
            <v>0</v>
          </cell>
          <cell r="P25">
            <v>0</v>
          </cell>
          <cell r="Q25">
            <v>6.5</v>
          </cell>
          <cell r="R25">
            <v>19.5</v>
          </cell>
          <cell r="S25">
            <v>39</v>
          </cell>
          <cell r="T25">
            <v>58.5</v>
          </cell>
          <cell r="U25">
            <v>65</v>
          </cell>
          <cell r="V25">
            <v>65</v>
          </cell>
          <cell r="Y25" t="str">
            <v xml:space="preserve"> </v>
          </cell>
        </row>
        <row r="26">
          <cell r="A26" t="str">
            <v>Etaquine</v>
          </cell>
          <cell r="B26" t="str">
            <v>8-Aminoquinoline (Malaria Prophylaxis)</v>
          </cell>
          <cell r="C26">
            <v>1</v>
          </cell>
          <cell r="D26">
            <v>1</v>
          </cell>
          <cell r="E26">
            <v>1</v>
          </cell>
          <cell r="F26">
            <v>1</v>
          </cell>
          <cell r="H26">
            <v>2008</v>
          </cell>
          <cell r="I26" t="str">
            <v>PC</v>
          </cell>
          <cell r="J26">
            <v>4</v>
          </cell>
          <cell r="K26">
            <v>2</v>
          </cell>
          <cell r="L26">
            <v>300</v>
          </cell>
          <cell r="M26">
            <v>0.65</v>
          </cell>
          <cell r="N26">
            <v>195</v>
          </cell>
          <cell r="O26">
            <v>0</v>
          </cell>
          <cell r="P26">
            <v>0</v>
          </cell>
          <cell r="Q26">
            <v>0</v>
          </cell>
          <cell r="R26">
            <v>19.5</v>
          </cell>
          <cell r="S26">
            <v>58.5</v>
          </cell>
          <cell r="T26">
            <v>117</v>
          </cell>
          <cell r="U26">
            <v>175.5</v>
          </cell>
          <cell r="V26">
            <v>195</v>
          </cell>
        </row>
        <row r="27">
          <cell r="A27" t="str">
            <v>Musculoskel/Inflamm/GI/Urology</v>
          </cell>
          <cell r="L27">
            <v>4750</v>
          </cell>
          <cell r="N27">
            <v>1267.5</v>
          </cell>
          <cell r="O27">
            <v>0</v>
          </cell>
          <cell r="P27">
            <v>0</v>
          </cell>
          <cell r="Q27">
            <v>13</v>
          </cell>
          <cell r="R27">
            <v>90.25</v>
          </cell>
          <cell r="S27">
            <v>231.75</v>
          </cell>
          <cell r="T27">
            <v>474.5</v>
          </cell>
          <cell r="U27">
            <v>741.25</v>
          </cell>
          <cell r="V27">
            <v>942.5</v>
          </cell>
        </row>
        <row r="28">
          <cell r="A28">
            <v>270384</v>
          </cell>
          <cell r="B28" t="str">
            <v>IBD</v>
          </cell>
          <cell r="C28">
            <v>1</v>
          </cell>
          <cell r="D28">
            <v>1</v>
          </cell>
          <cell r="E28">
            <v>1</v>
          </cell>
          <cell r="H28">
            <v>2008</v>
          </cell>
          <cell r="I28" t="str">
            <v>S</v>
          </cell>
          <cell r="J28">
            <v>0</v>
          </cell>
          <cell r="K28">
            <v>3</v>
          </cell>
          <cell r="L28">
            <v>750</v>
          </cell>
          <cell r="M28">
            <v>0.25</v>
          </cell>
          <cell r="N28">
            <v>187.5</v>
          </cell>
          <cell r="O28">
            <v>0</v>
          </cell>
          <cell r="P28">
            <v>0</v>
          </cell>
          <cell r="Q28">
            <v>0</v>
          </cell>
          <cell r="R28">
            <v>18.75</v>
          </cell>
          <cell r="S28">
            <v>56.25</v>
          </cell>
          <cell r="T28">
            <v>112.5</v>
          </cell>
          <cell r="U28">
            <v>168.75</v>
          </cell>
          <cell r="V28">
            <v>187.5</v>
          </cell>
        </row>
        <row r="29">
          <cell r="A29">
            <v>274150</v>
          </cell>
          <cell r="B29" t="str">
            <v>Rheumatoid Arthritis</v>
          </cell>
          <cell r="C29">
            <v>1</v>
          </cell>
          <cell r="D29">
            <v>1</v>
          </cell>
          <cell r="E29">
            <v>1</v>
          </cell>
          <cell r="H29">
            <v>2008</v>
          </cell>
          <cell r="I29" t="str">
            <v>S</v>
          </cell>
          <cell r="J29">
            <v>0</v>
          </cell>
          <cell r="K29">
            <v>3</v>
          </cell>
          <cell r="L29">
            <v>1000</v>
          </cell>
          <cell r="M29">
            <v>0.25</v>
          </cell>
          <cell r="N29">
            <v>250</v>
          </cell>
          <cell r="O29">
            <v>0</v>
          </cell>
          <cell r="P29">
            <v>0</v>
          </cell>
          <cell r="Q29">
            <v>0</v>
          </cell>
          <cell r="R29">
            <v>25</v>
          </cell>
          <cell r="S29">
            <v>75</v>
          </cell>
          <cell r="T29">
            <v>150</v>
          </cell>
          <cell r="U29">
            <v>225</v>
          </cell>
          <cell r="V29">
            <v>250</v>
          </cell>
        </row>
        <row r="30">
          <cell r="A30">
            <v>683699</v>
          </cell>
          <cell r="B30" t="str">
            <v>VLA4 (IBD/MS)</v>
          </cell>
          <cell r="C30">
            <v>1</v>
          </cell>
          <cell r="D30">
            <v>1</v>
          </cell>
          <cell r="E30">
            <v>1</v>
          </cell>
          <cell r="H30">
            <v>2010</v>
          </cell>
          <cell r="I30" t="str">
            <v>S</v>
          </cell>
          <cell r="J30">
            <v>0</v>
          </cell>
          <cell r="K30">
            <v>3</v>
          </cell>
          <cell r="L30">
            <v>2000</v>
          </cell>
          <cell r="M30">
            <v>0.25</v>
          </cell>
          <cell r="N30">
            <v>500</v>
          </cell>
          <cell r="O30">
            <v>0</v>
          </cell>
          <cell r="P30">
            <v>0</v>
          </cell>
          <cell r="Q30">
            <v>0</v>
          </cell>
          <cell r="R30">
            <v>0</v>
          </cell>
          <cell r="S30">
            <v>0</v>
          </cell>
          <cell r="T30">
            <v>50</v>
          </cell>
          <cell r="U30">
            <v>150</v>
          </cell>
          <cell r="V30">
            <v>300</v>
          </cell>
        </row>
        <row r="31">
          <cell r="A31">
            <v>856553</v>
          </cell>
          <cell r="B31" t="str">
            <v>p38 kinase inhibitor - oral (rheumatoid arthritis)</v>
          </cell>
          <cell r="C31">
            <v>1</v>
          </cell>
          <cell r="D31">
            <v>1</v>
          </cell>
          <cell r="E31">
            <v>1</v>
          </cell>
          <cell r="H31">
            <v>2008</v>
          </cell>
          <cell r="I31" t="str">
            <v>S</v>
          </cell>
          <cell r="J31">
            <v>0</v>
          </cell>
          <cell r="K31">
            <v>3</v>
          </cell>
          <cell r="L31">
            <v>500</v>
          </cell>
          <cell r="M31">
            <v>0.25</v>
          </cell>
          <cell r="N31">
            <v>125</v>
          </cell>
        </row>
        <row r="32">
          <cell r="A32" t="str">
            <v>Lymphostat-B</v>
          </cell>
          <cell r="B32" t="str">
            <v>Lupus, Rheumatoid arthritis</v>
          </cell>
          <cell r="C32">
            <v>1</v>
          </cell>
          <cell r="D32">
            <v>1</v>
          </cell>
          <cell r="E32">
            <v>1</v>
          </cell>
          <cell r="H32">
            <v>2008</v>
          </cell>
          <cell r="I32" t="str">
            <v>S</v>
          </cell>
          <cell r="J32">
            <v>0</v>
          </cell>
          <cell r="K32">
            <v>3</v>
          </cell>
          <cell r="L32">
            <v>300</v>
          </cell>
          <cell r="M32">
            <v>0.25</v>
          </cell>
          <cell r="N32">
            <v>75</v>
          </cell>
          <cell r="O32">
            <v>0</v>
          </cell>
          <cell r="P32">
            <v>0</v>
          </cell>
          <cell r="Q32">
            <v>0</v>
          </cell>
          <cell r="R32">
            <v>7.5</v>
          </cell>
          <cell r="S32">
            <v>22.5</v>
          </cell>
          <cell r="T32">
            <v>45</v>
          </cell>
          <cell r="U32">
            <v>67.5</v>
          </cell>
          <cell r="V32">
            <v>75</v>
          </cell>
        </row>
        <row r="33">
          <cell r="A33" t="str">
            <v>Talnetant - terminated in these indications</v>
          </cell>
          <cell r="B33" t="str">
            <v>NK3 Antagonist (Overactive Bladder/IBS)</v>
          </cell>
          <cell r="C33">
            <v>1</v>
          </cell>
          <cell r="D33">
            <v>1</v>
          </cell>
          <cell r="E33">
            <v>1</v>
          </cell>
          <cell r="H33">
            <v>2008</v>
          </cell>
          <cell r="I33" t="str">
            <v>PC</v>
          </cell>
          <cell r="J33">
            <v>4</v>
          </cell>
          <cell r="K33">
            <v>4</v>
          </cell>
          <cell r="L33">
            <v>0</v>
          </cell>
          <cell r="M33">
            <v>0.25</v>
          </cell>
          <cell r="N33">
            <v>0</v>
          </cell>
          <cell r="O33">
            <v>0</v>
          </cell>
          <cell r="P33">
            <v>0</v>
          </cell>
          <cell r="Q33">
            <v>0</v>
          </cell>
          <cell r="R33">
            <v>0</v>
          </cell>
          <cell r="S33">
            <v>0</v>
          </cell>
          <cell r="T33">
            <v>0</v>
          </cell>
          <cell r="U33">
            <v>0</v>
          </cell>
          <cell r="V33">
            <v>0</v>
          </cell>
        </row>
        <row r="34">
          <cell r="A34" t="str">
            <v>Mepolizumab</v>
          </cell>
          <cell r="B34" t="str">
            <v>anti-IL5 monoclonal antibody (Hypereosin. /Asthma)</v>
          </cell>
          <cell r="C34">
            <v>1</v>
          </cell>
          <cell r="D34">
            <v>1</v>
          </cell>
          <cell r="E34">
            <v>1</v>
          </cell>
          <cell r="F34">
            <v>1</v>
          </cell>
          <cell r="H34">
            <v>2007</v>
          </cell>
          <cell r="I34" t="str">
            <v>S</v>
          </cell>
          <cell r="J34">
            <v>0</v>
          </cell>
          <cell r="K34">
            <v>2</v>
          </cell>
          <cell r="L34">
            <v>200</v>
          </cell>
          <cell r="M34">
            <v>0.65</v>
          </cell>
          <cell r="N34">
            <v>130</v>
          </cell>
          <cell r="O34">
            <v>0</v>
          </cell>
          <cell r="P34">
            <v>0</v>
          </cell>
          <cell r="Q34">
            <v>13</v>
          </cell>
          <cell r="R34">
            <v>39</v>
          </cell>
          <cell r="S34">
            <v>78</v>
          </cell>
          <cell r="T34">
            <v>117</v>
          </cell>
          <cell r="U34">
            <v>130</v>
          </cell>
          <cell r="V34">
            <v>130</v>
          </cell>
        </row>
        <row r="35">
          <cell r="A35" t="str">
            <v>Neuroscience</v>
          </cell>
          <cell r="L35">
            <v>9750</v>
          </cell>
          <cell r="N35">
            <v>2987.5</v>
          </cell>
          <cell r="O35">
            <v>0</v>
          </cell>
          <cell r="P35">
            <v>0</v>
          </cell>
          <cell r="Q35">
            <v>25</v>
          </cell>
          <cell r="R35">
            <v>168.95</v>
          </cell>
          <cell r="S35">
            <v>619.35</v>
          </cell>
          <cell r="T35">
            <v>1351.2</v>
          </cell>
          <cell r="U35">
            <v>2220.5500000000002</v>
          </cell>
          <cell r="V35">
            <v>2845.3</v>
          </cell>
        </row>
        <row r="36">
          <cell r="A36">
            <v>406381</v>
          </cell>
          <cell r="B36" t="str">
            <v xml:space="preserve">(COX-2 inhibitor; dual action)         </v>
          </cell>
          <cell r="C36">
            <v>1</v>
          </cell>
          <cell r="D36">
            <v>1</v>
          </cell>
          <cell r="E36">
            <v>1</v>
          </cell>
          <cell r="F36">
            <v>1</v>
          </cell>
          <cell r="H36">
            <v>2008</v>
          </cell>
          <cell r="I36" t="str">
            <v>PC</v>
          </cell>
          <cell r="J36">
            <v>4</v>
          </cell>
          <cell r="K36">
            <v>2</v>
          </cell>
          <cell r="L36">
            <v>750</v>
          </cell>
          <cell r="M36">
            <v>0.65</v>
          </cell>
          <cell r="N36">
            <v>487.5</v>
          </cell>
          <cell r="O36">
            <v>0</v>
          </cell>
          <cell r="P36">
            <v>0</v>
          </cell>
          <cell r="Q36">
            <v>0</v>
          </cell>
          <cell r="R36">
            <v>48.75</v>
          </cell>
          <cell r="S36">
            <v>146.25</v>
          </cell>
          <cell r="T36">
            <v>292.5</v>
          </cell>
          <cell r="U36">
            <v>438.75</v>
          </cell>
          <cell r="V36">
            <v>487.5</v>
          </cell>
        </row>
        <row r="37">
          <cell r="A37" t="str">
            <v>radafaxine (353162)</v>
          </cell>
          <cell r="B37" t="str">
            <v>Noradrenaline/Dopamine RI (Depression &amp; Obesity)</v>
          </cell>
          <cell r="C37">
            <v>1</v>
          </cell>
          <cell r="D37">
            <v>1</v>
          </cell>
          <cell r="E37">
            <v>1</v>
          </cell>
          <cell r="F37">
            <v>0</v>
          </cell>
          <cell r="H37">
            <v>2008</v>
          </cell>
          <cell r="I37" t="str">
            <v>PC</v>
          </cell>
          <cell r="J37">
            <v>4</v>
          </cell>
          <cell r="K37">
            <v>4</v>
          </cell>
          <cell r="L37">
            <v>1000</v>
          </cell>
          <cell r="M37">
            <v>0.25</v>
          </cell>
          <cell r="N37">
            <v>250</v>
          </cell>
          <cell r="O37">
            <v>0</v>
          </cell>
          <cell r="P37">
            <v>0</v>
          </cell>
          <cell r="Q37">
            <v>0</v>
          </cell>
          <cell r="R37">
            <v>32.700000000000003</v>
          </cell>
          <cell r="S37">
            <v>98.1</v>
          </cell>
          <cell r="T37">
            <v>196.2</v>
          </cell>
          <cell r="U37">
            <v>294.3</v>
          </cell>
          <cell r="V37">
            <v>295.3</v>
          </cell>
        </row>
        <row r="38">
          <cell r="A38">
            <v>372475</v>
          </cell>
          <cell r="B38" t="str">
            <v>5HT/Noradrenaline/Dopamine RI (Depression)</v>
          </cell>
          <cell r="C38">
            <v>1</v>
          </cell>
          <cell r="D38">
            <v>1</v>
          </cell>
          <cell r="E38">
            <v>1</v>
          </cell>
          <cell r="H38">
            <v>2009</v>
          </cell>
          <cell r="I38" t="str">
            <v>PC</v>
          </cell>
          <cell r="J38">
            <v>4</v>
          </cell>
          <cell r="K38">
            <v>4</v>
          </cell>
          <cell r="L38">
            <v>1000</v>
          </cell>
          <cell r="M38">
            <v>0.25</v>
          </cell>
          <cell r="N38">
            <v>250</v>
          </cell>
          <cell r="O38">
            <v>0</v>
          </cell>
          <cell r="P38">
            <v>0</v>
          </cell>
          <cell r="Q38">
            <v>0</v>
          </cell>
          <cell r="R38">
            <v>0</v>
          </cell>
          <cell r="S38">
            <v>25</v>
          </cell>
          <cell r="T38">
            <v>75</v>
          </cell>
          <cell r="U38">
            <v>150</v>
          </cell>
          <cell r="V38">
            <v>225</v>
          </cell>
        </row>
        <row r="39">
          <cell r="A39">
            <v>468816</v>
          </cell>
          <cell r="B39" t="str">
            <v>Glycine antagonist (smoking cess)</v>
          </cell>
          <cell r="C39">
            <v>1</v>
          </cell>
          <cell r="D39">
            <v>1</v>
          </cell>
          <cell r="E39">
            <v>1</v>
          </cell>
          <cell r="H39">
            <v>2009</v>
          </cell>
          <cell r="I39" t="str">
            <v>PC</v>
          </cell>
          <cell r="J39">
            <v>4</v>
          </cell>
          <cell r="K39">
            <v>4</v>
          </cell>
          <cell r="L39">
            <v>1500</v>
          </cell>
          <cell r="M39">
            <v>0.25</v>
          </cell>
          <cell r="N39">
            <v>375</v>
          </cell>
          <cell r="O39">
            <v>0</v>
          </cell>
          <cell r="P39">
            <v>0</v>
          </cell>
          <cell r="Q39">
            <v>0</v>
          </cell>
          <cell r="R39">
            <v>0</v>
          </cell>
          <cell r="S39">
            <v>37.5</v>
          </cell>
          <cell r="T39">
            <v>112.5</v>
          </cell>
          <cell r="U39">
            <v>225</v>
          </cell>
          <cell r="V39">
            <v>337.5</v>
          </cell>
        </row>
        <row r="40">
          <cell r="A40" t="str">
            <v>Casopitant (679769)</v>
          </cell>
          <cell r="B40" t="str">
            <v>NK1 antagonist (Depression/Anxiety/Overactive Bladder)</v>
          </cell>
          <cell r="C40">
            <v>1</v>
          </cell>
          <cell r="D40">
            <v>1</v>
          </cell>
          <cell r="E40">
            <v>1</v>
          </cell>
          <cell r="H40">
            <v>2009</v>
          </cell>
          <cell r="I40" t="str">
            <v>PC</v>
          </cell>
          <cell r="J40">
            <v>4</v>
          </cell>
          <cell r="K40">
            <v>4</v>
          </cell>
          <cell r="L40">
            <v>1000</v>
          </cell>
          <cell r="M40">
            <v>0.5</v>
          </cell>
          <cell r="N40">
            <v>500</v>
          </cell>
          <cell r="O40">
            <v>0</v>
          </cell>
          <cell r="P40">
            <v>0</v>
          </cell>
          <cell r="Q40">
            <v>0</v>
          </cell>
          <cell r="R40">
            <v>0</v>
          </cell>
          <cell r="S40">
            <v>50</v>
          </cell>
          <cell r="T40">
            <v>150</v>
          </cell>
          <cell r="U40">
            <v>300</v>
          </cell>
          <cell r="V40">
            <v>450</v>
          </cell>
        </row>
        <row r="41">
          <cell r="A41">
            <v>705498</v>
          </cell>
          <cell r="B41" t="str">
            <v>Vanilloid 1 antagonist (migrane)</v>
          </cell>
          <cell r="C41">
            <v>1</v>
          </cell>
          <cell r="D41">
            <v>1</v>
          </cell>
          <cell r="E41">
            <v>1</v>
          </cell>
          <cell r="H41">
            <v>2009</v>
          </cell>
          <cell r="I41" t="str">
            <v>PC</v>
          </cell>
          <cell r="J41">
            <v>4</v>
          </cell>
          <cell r="K41">
            <v>4</v>
          </cell>
          <cell r="L41">
            <v>1000</v>
          </cell>
          <cell r="M41">
            <v>0.25</v>
          </cell>
          <cell r="N41">
            <v>250</v>
          </cell>
          <cell r="O41">
            <v>0</v>
          </cell>
          <cell r="P41">
            <v>0</v>
          </cell>
          <cell r="Q41">
            <v>0</v>
          </cell>
          <cell r="R41">
            <v>0</v>
          </cell>
          <cell r="S41">
            <v>25</v>
          </cell>
          <cell r="T41">
            <v>75</v>
          </cell>
          <cell r="U41">
            <v>150</v>
          </cell>
          <cell r="V41">
            <v>225</v>
          </cell>
        </row>
        <row r="42">
          <cell r="A42">
            <v>742457</v>
          </cell>
          <cell r="B42" t="str">
            <v>5HT6 antagonist (dementia)</v>
          </cell>
          <cell r="C42">
            <v>1</v>
          </cell>
          <cell r="D42">
            <v>1</v>
          </cell>
          <cell r="E42">
            <v>1</v>
          </cell>
          <cell r="H42">
            <v>2009</v>
          </cell>
          <cell r="I42" t="str">
            <v>PC</v>
          </cell>
          <cell r="J42">
            <v>4</v>
          </cell>
          <cell r="K42">
            <v>4</v>
          </cell>
          <cell r="L42">
            <v>1000</v>
          </cell>
          <cell r="M42">
            <v>0.25</v>
          </cell>
          <cell r="N42">
            <v>250</v>
          </cell>
          <cell r="O42">
            <v>0</v>
          </cell>
          <cell r="P42">
            <v>0</v>
          </cell>
          <cell r="Q42">
            <v>0</v>
          </cell>
          <cell r="R42">
            <v>0</v>
          </cell>
          <cell r="S42">
            <v>25</v>
          </cell>
          <cell r="T42">
            <v>75</v>
          </cell>
          <cell r="U42">
            <v>150</v>
          </cell>
          <cell r="V42">
            <v>225</v>
          </cell>
        </row>
        <row r="43">
          <cell r="A43">
            <v>773812</v>
          </cell>
          <cell r="B43" t="str">
            <v>mixed 5HT / dopamine re-uptake inhibitor (schizophrenia)</v>
          </cell>
          <cell r="C43">
            <v>1</v>
          </cell>
          <cell r="D43">
            <v>1</v>
          </cell>
          <cell r="E43">
            <v>1</v>
          </cell>
          <cell r="H43">
            <v>2009</v>
          </cell>
          <cell r="I43" t="str">
            <v>PC</v>
          </cell>
          <cell r="J43">
            <v>4</v>
          </cell>
          <cell r="K43">
            <v>4</v>
          </cell>
          <cell r="L43">
            <v>1000</v>
          </cell>
          <cell r="M43">
            <v>0.25</v>
          </cell>
          <cell r="N43">
            <v>250</v>
          </cell>
          <cell r="O43">
            <v>0</v>
          </cell>
          <cell r="P43">
            <v>0</v>
          </cell>
          <cell r="Q43">
            <v>0</v>
          </cell>
          <cell r="R43">
            <v>0</v>
          </cell>
          <cell r="S43">
            <v>25</v>
          </cell>
          <cell r="T43">
            <v>75</v>
          </cell>
          <cell r="U43">
            <v>150</v>
          </cell>
          <cell r="V43">
            <v>225</v>
          </cell>
        </row>
        <row r="44">
          <cell r="A44" t="str">
            <v>Talnetant</v>
          </cell>
          <cell r="B44" t="str">
            <v>NK3 Antagonist (Schizophrenia)</v>
          </cell>
          <cell r="C44">
            <v>1</v>
          </cell>
          <cell r="D44">
            <v>1</v>
          </cell>
          <cell r="E44">
            <v>1</v>
          </cell>
          <cell r="H44">
            <v>2008</v>
          </cell>
          <cell r="I44" t="str">
            <v>PC</v>
          </cell>
          <cell r="J44">
            <v>4</v>
          </cell>
          <cell r="K44">
            <v>4</v>
          </cell>
          <cell r="L44">
            <v>500</v>
          </cell>
          <cell r="M44">
            <v>0.25</v>
          </cell>
          <cell r="N44">
            <v>125</v>
          </cell>
          <cell r="O44">
            <v>0</v>
          </cell>
          <cell r="P44">
            <v>0</v>
          </cell>
          <cell r="Q44">
            <v>0</v>
          </cell>
          <cell r="R44">
            <v>12.5</v>
          </cell>
          <cell r="S44">
            <v>37.5</v>
          </cell>
          <cell r="T44">
            <v>75</v>
          </cell>
          <cell r="U44">
            <v>112.5</v>
          </cell>
          <cell r="V44">
            <v>125</v>
          </cell>
        </row>
        <row r="45">
          <cell r="A45" t="str">
            <v>vestipitant (597599) with paroxetine</v>
          </cell>
          <cell r="B45" t="str">
            <v>NK1 antagonist (Dyspepsia/Chemotherapy complic)</v>
          </cell>
          <cell r="C45">
            <v>1</v>
          </cell>
          <cell r="D45">
            <v>1</v>
          </cell>
          <cell r="E45">
            <v>1</v>
          </cell>
          <cell r="H45">
            <v>2007</v>
          </cell>
          <cell r="I45" t="str">
            <v>S</v>
          </cell>
          <cell r="J45">
            <v>0</v>
          </cell>
          <cell r="K45">
            <v>3</v>
          </cell>
          <cell r="L45">
            <v>1000</v>
          </cell>
          <cell r="M45">
            <v>0.25</v>
          </cell>
          <cell r="N45">
            <v>250</v>
          </cell>
          <cell r="O45">
            <v>0</v>
          </cell>
          <cell r="P45">
            <v>0</v>
          </cell>
          <cell r="Q45">
            <v>25</v>
          </cell>
          <cell r="R45">
            <v>75</v>
          </cell>
          <cell r="S45">
            <v>150</v>
          </cell>
          <cell r="T45">
            <v>225</v>
          </cell>
          <cell r="U45">
            <v>250</v>
          </cell>
          <cell r="V45">
            <v>250</v>
          </cell>
        </row>
        <row r="46">
          <cell r="A46" t="str">
            <v>Oncology</v>
          </cell>
          <cell r="L46">
            <v>6400</v>
          </cell>
          <cell r="N46">
            <v>3175</v>
          </cell>
          <cell r="O46">
            <v>0</v>
          </cell>
          <cell r="P46">
            <v>0</v>
          </cell>
          <cell r="Q46">
            <v>0</v>
          </cell>
          <cell r="R46">
            <v>292.5</v>
          </cell>
          <cell r="S46">
            <v>902.5</v>
          </cell>
          <cell r="T46">
            <v>1830</v>
          </cell>
          <cell r="U46">
            <v>2782.5</v>
          </cell>
          <cell r="V46">
            <v>3150</v>
          </cell>
        </row>
        <row r="47">
          <cell r="A47" t="str">
            <v>Ethynylcytidine</v>
          </cell>
          <cell r="B47" t="str">
            <v>Selective RNA polymerase inhib (Solid Tumours)</v>
          </cell>
          <cell r="C47">
            <v>1</v>
          </cell>
          <cell r="D47">
            <v>1</v>
          </cell>
          <cell r="E47">
            <v>1</v>
          </cell>
          <cell r="H47">
            <v>2008</v>
          </cell>
          <cell r="I47" t="str">
            <v>S</v>
          </cell>
          <cell r="J47">
            <v>0</v>
          </cell>
          <cell r="K47">
            <v>3</v>
          </cell>
          <cell r="L47">
            <v>500</v>
          </cell>
          <cell r="M47">
            <v>0.25</v>
          </cell>
          <cell r="N47">
            <v>125</v>
          </cell>
          <cell r="O47">
            <v>0</v>
          </cell>
          <cell r="P47">
            <v>0</v>
          </cell>
          <cell r="Q47">
            <v>0</v>
          </cell>
          <cell r="R47">
            <v>12.5</v>
          </cell>
          <cell r="S47">
            <v>37.5</v>
          </cell>
          <cell r="T47">
            <v>75</v>
          </cell>
          <cell r="U47">
            <v>112.5</v>
          </cell>
          <cell r="V47">
            <v>125</v>
          </cell>
        </row>
        <row r="48">
          <cell r="A48" t="str">
            <v>iboctadekin (485232)</v>
          </cell>
          <cell r="B48" t="str">
            <v>Recombinant IL18</v>
          </cell>
          <cell r="C48">
            <v>1</v>
          </cell>
          <cell r="D48">
            <v>1</v>
          </cell>
          <cell r="E48">
            <v>1</v>
          </cell>
          <cell r="H48">
            <v>2008</v>
          </cell>
          <cell r="I48" t="str">
            <v>S</v>
          </cell>
          <cell r="J48">
            <v>0</v>
          </cell>
          <cell r="K48">
            <v>3</v>
          </cell>
          <cell r="L48">
            <v>500</v>
          </cell>
          <cell r="M48">
            <v>0.25</v>
          </cell>
          <cell r="N48">
            <v>125</v>
          </cell>
          <cell r="O48">
            <v>0</v>
          </cell>
          <cell r="P48">
            <v>0</v>
          </cell>
          <cell r="Q48">
            <v>0</v>
          </cell>
          <cell r="R48">
            <v>12.5</v>
          </cell>
          <cell r="S48">
            <v>37.5</v>
          </cell>
          <cell r="T48">
            <v>75</v>
          </cell>
          <cell r="U48">
            <v>112.5</v>
          </cell>
          <cell r="V48">
            <v>125</v>
          </cell>
        </row>
        <row r="49">
          <cell r="A49" t="str">
            <v>eltrombopag (497115)</v>
          </cell>
          <cell r="B49" t="str">
            <v>Thombopoietin agonist (thrombocytopaenia)</v>
          </cell>
          <cell r="C49">
            <v>1</v>
          </cell>
          <cell r="D49">
            <v>1</v>
          </cell>
          <cell r="E49">
            <v>1</v>
          </cell>
          <cell r="H49">
            <v>2008</v>
          </cell>
          <cell r="I49" t="str">
            <v>S</v>
          </cell>
          <cell r="J49">
            <v>0</v>
          </cell>
          <cell r="K49">
            <v>3</v>
          </cell>
          <cell r="L49">
            <v>1500</v>
          </cell>
          <cell r="M49">
            <v>0.35</v>
          </cell>
          <cell r="N49">
            <v>525</v>
          </cell>
          <cell r="O49">
            <v>0</v>
          </cell>
          <cell r="P49">
            <v>0</v>
          </cell>
          <cell r="Q49">
            <v>0</v>
          </cell>
          <cell r="R49">
            <v>52.5</v>
          </cell>
          <cell r="S49">
            <v>157.5</v>
          </cell>
          <cell r="T49">
            <v>315</v>
          </cell>
          <cell r="U49">
            <v>472.5</v>
          </cell>
          <cell r="V49">
            <v>525</v>
          </cell>
        </row>
        <row r="50">
          <cell r="A50" t="str">
            <v>Ispenesib (715992)</v>
          </cell>
          <cell r="B50" t="str">
            <v>Kinesin spindle protein inhib (NSCLC)</v>
          </cell>
          <cell r="C50">
            <v>1</v>
          </cell>
          <cell r="D50">
            <v>1</v>
          </cell>
          <cell r="E50">
            <v>1</v>
          </cell>
          <cell r="H50">
            <v>2008</v>
          </cell>
          <cell r="I50" t="str">
            <v>S</v>
          </cell>
          <cell r="J50">
            <v>0</v>
          </cell>
          <cell r="K50">
            <v>3</v>
          </cell>
          <cell r="L50">
            <v>1000</v>
          </cell>
          <cell r="M50">
            <v>0.25</v>
          </cell>
          <cell r="N50">
            <v>250</v>
          </cell>
          <cell r="O50">
            <v>0</v>
          </cell>
          <cell r="P50">
            <v>0</v>
          </cell>
          <cell r="Q50">
            <v>0</v>
          </cell>
          <cell r="R50">
            <v>25</v>
          </cell>
          <cell r="S50">
            <v>75</v>
          </cell>
          <cell r="T50">
            <v>150</v>
          </cell>
          <cell r="U50">
            <v>225</v>
          </cell>
          <cell r="V50">
            <v>250</v>
          </cell>
        </row>
        <row r="51">
          <cell r="A51" t="str">
            <v>Pazopanib (786034)</v>
          </cell>
          <cell r="B51" t="str">
            <v>VEGF (Solid Tumours)</v>
          </cell>
          <cell r="C51">
            <v>1</v>
          </cell>
          <cell r="D51">
            <v>1</v>
          </cell>
          <cell r="E51">
            <v>1</v>
          </cell>
          <cell r="H51">
            <v>2009</v>
          </cell>
          <cell r="I51" t="str">
            <v>S</v>
          </cell>
          <cell r="J51">
            <v>0</v>
          </cell>
          <cell r="K51">
            <v>3</v>
          </cell>
          <cell r="L51">
            <v>1000</v>
          </cell>
          <cell r="M51">
            <v>0.25</v>
          </cell>
          <cell r="N51">
            <v>250</v>
          </cell>
          <cell r="O51">
            <v>0</v>
          </cell>
          <cell r="P51">
            <v>0</v>
          </cell>
          <cell r="Q51">
            <v>0</v>
          </cell>
          <cell r="R51">
            <v>0</v>
          </cell>
          <cell r="S51">
            <v>25</v>
          </cell>
          <cell r="T51">
            <v>75</v>
          </cell>
          <cell r="U51">
            <v>150</v>
          </cell>
          <cell r="V51">
            <v>225</v>
          </cell>
        </row>
        <row r="52">
          <cell r="A52" t="str">
            <v>Tykerb (Lapatinib / 572016)</v>
          </cell>
          <cell r="B52" t="str">
            <v>ErbB-2 and EGFR dual kinase inhibitor (Breast et al)</v>
          </cell>
          <cell r="C52">
            <v>1</v>
          </cell>
          <cell r="D52">
            <v>1</v>
          </cell>
          <cell r="E52">
            <v>1</v>
          </cell>
          <cell r="F52">
            <v>1</v>
          </cell>
          <cell r="H52">
            <v>2008</v>
          </cell>
          <cell r="I52" t="str">
            <v>S</v>
          </cell>
          <cell r="J52">
            <v>0</v>
          </cell>
          <cell r="K52">
            <v>3</v>
          </cell>
          <cell r="L52">
            <v>1900</v>
          </cell>
          <cell r="M52">
            <v>1</v>
          </cell>
          <cell r="N52">
            <v>1900</v>
          </cell>
          <cell r="O52">
            <v>0</v>
          </cell>
          <cell r="P52">
            <v>0</v>
          </cell>
          <cell r="Q52">
            <v>0</v>
          </cell>
          <cell r="R52">
            <v>190</v>
          </cell>
          <cell r="S52">
            <v>570</v>
          </cell>
          <cell r="T52">
            <v>1140</v>
          </cell>
          <cell r="U52">
            <v>1710</v>
          </cell>
          <cell r="V52">
            <v>1900</v>
          </cell>
        </row>
        <row r="53">
          <cell r="A53" t="str">
            <v>Navelbine - rights handed back</v>
          </cell>
          <cell r="B53" t="str">
            <v>Vinca alkaloid (advanced breast cancer, oral)</v>
          </cell>
          <cell r="C53">
            <v>1</v>
          </cell>
          <cell r="D53">
            <v>1</v>
          </cell>
          <cell r="E53">
            <v>1</v>
          </cell>
          <cell r="F53">
            <v>1</v>
          </cell>
          <cell r="H53">
            <v>2008</v>
          </cell>
          <cell r="I53" t="str">
            <v>S</v>
          </cell>
          <cell r="J53">
            <v>0</v>
          </cell>
          <cell r="K53">
            <v>3</v>
          </cell>
          <cell r="L53">
            <v>0</v>
          </cell>
          <cell r="M53">
            <v>0.65</v>
          </cell>
          <cell r="N53">
            <v>0</v>
          </cell>
          <cell r="O53">
            <v>0</v>
          </cell>
          <cell r="P53">
            <v>0</v>
          </cell>
          <cell r="Q53">
            <v>0</v>
          </cell>
          <cell r="R53">
            <v>0</v>
          </cell>
          <cell r="S53">
            <v>0</v>
          </cell>
          <cell r="T53">
            <v>0</v>
          </cell>
          <cell r="U53">
            <v>0</v>
          </cell>
          <cell r="V53">
            <v>0</v>
          </cell>
        </row>
        <row r="54">
          <cell r="A54" t="str">
            <v>Respiratory</v>
          </cell>
          <cell r="L54">
            <v>5000</v>
          </cell>
          <cell r="N54">
            <v>1650</v>
          </cell>
          <cell r="O54">
            <v>0</v>
          </cell>
          <cell r="P54">
            <v>0</v>
          </cell>
          <cell r="Q54">
            <v>65</v>
          </cell>
          <cell r="R54">
            <v>195</v>
          </cell>
          <cell r="S54">
            <v>490</v>
          </cell>
          <cell r="T54">
            <v>885</v>
          </cell>
          <cell r="U54">
            <v>1250</v>
          </cell>
          <cell r="V54">
            <v>1550</v>
          </cell>
        </row>
        <row r="55">
          <cell r="A55">
            <v>159797</v>
          </cell>
          <cell r="B55" t="str">
            <v>Long Acting Beta 2 (COPD, Asthma)</v>
          </cell>
          <cell r="C55">
            <v>1</v>
          </cell>
          <cell r="D55">
            <v>1</v>
          </cell>
          <cell r="E55">
            <v>1</v>
          </cell>
          <cell r="F55">
            <v>0</v>
          </cell>
          <cell r="H55">
            <v>2009</v>
          </cell>
          <cell r="I55" t="str">
            <v>PC</v>
          </cell>
          <cell r="J55">
            <v>4</v>
          </cell>
          <cell r="K55">
            <v>4</v>
          </cell>
          <cell r="L55">
            <v>1000</v>
          </cell>
          <cell r="M55">
            <v>0.25</v>
          </cell>
          <cell r="N55">
            <v>250</v>
          </cell>
          <cell r="O55">
            <v>0</v>
          </cell>
          <cell r="P55">
            <v>0</v>
          </cell>
          <cell r="Q55">
            <v>0</v>
          </cell>
          <cell r="R55">
            <v>0</v>
          </cell>
          <cell r="S55">
            <v>25</v>
          </cell>
          <cell r="T55">
            <v>75</v>
          </cell>
          <cell r="U55">
            <v>150</v>
          </cell>
          <cell r="V55">
            <v>225</v>
          </cell>
        </row>
        <row r="56">
          <cell r="A56">
            <v>642444</v>
          </cell>
          <cell r="B56" t="str">
            <v>Long Acting Beta 2 (COPD, Asthma)</v>
          </cell>
          <cell r="C56">
            <v>1</v>
          </cell>
          <cell r="D56">
            <v>1</v>
          </cell>
          <cell r="E56">
            <v>1</v>
          </cell>
          <cell r="F56">
            <v>0</v>
          </cell>
          <cell r="H56">
            <v>2009</v>
          </cell>
          <cell r="I56" t="str">
            <v>PC</v>
          </cell>
          <cell r="J56">
            <v>4</v>
          </cell>
          <cell r="K56">
            <v>4</v>
          </cell>
          <cell r="L56">
            <v>0</v>
          </cell>
          <cell r="M56">
            <v>0.25</v>
          </cell>
          <cell r="N56">
            <v>0</v>
          </cell>
          <cell r="O56">
            <v>0</v>
          </cell>
          <cell r="P56">
            <v>0</v>
          </cell>
          <cell r="Q56">
            <v>0</v>
          </cell>
          <cell r="R56">
            <v>0</v>
          </cell>
          <cell r="S56">
            <v>0</v>
          </cell>
          <cell r="T56">
            <v>0</v>
          </cell>
          <cell r="U56">
            <v>0</v>
          </cell>
          <cell r="V56">
            <v>0</v>
          </cell>
        </row>
        <row r="57">
          <cell r="A57">
            <v>159802</v>
          </cell>
          <cell r="B57" t="str">
            <v>Long Acting Beta 2 (COPD, Asthma)</v>
          </cell>
          <cell r="C57">
            <v>1</v>
          </cell>
          <cell r="D57">
            <v>1</v>
          </cell>
          <cell r="E57">
            <v>1</v>
          </cell>
          <cell r="H57">
            <v>2009</v>
          </cell>
          <cell r="I57" t="str">
            <v>PC</v>
          </cell>
          <cell r="J57">
            <v>4</v>
          </cell>
          <cell r="K57">
            <v>4</v>
          </cell>
          <cell r="L57">
            <v>0</v>
          </cell>
          <cell r="M57">
            <v>0.25</v>
          </cell>
          <cell r="N57">
            <v>0</v>
          </cell>
          <cell r="O57">
            <v>0</v>
          </cell>
          <cell r="P57">
            <v>0</v>
          </cell>
          <cell r="Q57">
            <v>0</v>
          </cell>
          <cell r="R57">
            <v>0</v>
          </cell>
          <cell r="S57">
            <v>0</v>
          </cell>
          <cell r="T57">
            <v>0</v>
          </cell>
          <cell r="U57">
            <v>0</v>
          </cell>
          <cell r="V57">
            <v>0</v>
          </cell>
        </row>
        <row r="58">
          <cell r="A58">
            <v>681323</v>
          </cell>
          <cell r="B58" t="str">
            <v>p38 kinase inhibitor - oral (oral - COPD &amp; atherosclerosis)</v>
          </cell>
          <cell r="C58">
            <v>1</v>
          </cell>
          <cell r="D58">
            <v>1</v>
          </cell>
          <cell r="E58">
            <v>1</v>
          </cell>
          <cell r="H58">
            <v>2009</v>
          </cell>
          <cell r="I58" t="str">
            <v>PC</v>
          </cell>
          <cell r="J58">
            <v>4</v>
          </cell>
          <cell r="K58">
            <v>4</v>
          </cell>
          <cell r="L58">
            <v>1000</v>
          </cell>
          <cell r="M58">
            <v>0.25</v>
          </cell>
          <cell r="N58">
            <v>250</v>
          </cell>
          <cell r="O58">
            <v>0</v>
          </cell>
          <cell r="P58">
            <v>0</v>
          </cell>
          <cell r="Q58">
            <v>0</v>
          </cell>
          <cell r="R58">
            <v>0</v>
          </cell>
          <cell r="S58">
            <v>25</v>
          </cell>
          <cell r="T58">
            <v>75</v>
          </cell>
          <cell r="U58">
            <v>150</v>
          </cell>
          <cell r="V58">
            <v>225</v>
          </cell>
        </row>
        <row r="59">
          <cell r="A59" t="str">
            <v>202405 - terminated</v>
          </cell>
          <cell r="B59" t="str">
            <v>Muscarinic antagonist</v>
          </cell>
          <cell r="C59">
            <v>1</v>
          </cell>
          <cell r="D59">
            <v>1</v>
          </cell>
          <cell r="E59">
            <v>1</v>
          </cell>
          <cell r="H59">
            <v>2009</v>
          </cell>
          <cell r="I59" t="str">
            <v>PC</v>
          </cell>
          <cell r="J59">
            <v>4</v>
          </cell>
          <cell r="K59">
            <v>4</v>
          </cell>
          <cell r="L59">
            <v>0</v>
          </cell>
          <cell r="M59">
            <v>0.25</v>
          </cell>
          <cell r="N59">
            <v>0</v>
          </cell>
          <cell r="O59">
            <v>0</v>
          </cell>
          <cell r="P59">
            <v>0</v>
          </cell>
          <cell r="Q59">
            <v>0</v>
          </cell>
          <cell r="R59">
            <v>0</v>
          </cell>
          <cell r="S59">
            <v>0</v>
          </cell>
          <cell r="T59">
            <v>0</v>
          </cell>
          <cell r="U59">
            <v>0</v>
          </cell>
          <cell r="V59">
            <v>0</v>
          </cell>
        </row>
        <row r="60">
          <cell r="A60">
            <v>678007</v>
          </cell>
          <cell r="B60" t="str">
            <v>Long Acting Beta 2 (COPD Asthma)</v>
          </cell>
          <cell r="C60">
            <v>1</v>
          </cell>
          <cell r="D60">
            <v>1</v>
          </cell>
          <cell r="E60">
            <v>1</v>
          </cell>
          <cell r="H60">
            <v>2009</v>
          </cell>
          <cell r="I60" t="str">
            <v>PC</v>
          </cell>
          <cell r="J60">
            <v>4</v>
          </cell>
          <cell r="K60">
            <v>4</v>
          </cell>
          <cell r="L60">
            <v>500</v>
          </cell>
          <cell r="M60">
            <v>0.25</v>
          </cell>
          <cell r="N60">
            <v>125</v>
          </cell>
          <cell r="O60">
            <v>0</v>
          </cell>
          <cell r="P60">
            <v>0</v>
          </cell>
          <cell r="Q60">
            <v>0</v>
          </cell>
          <cell r="R60">
            <v>0</v>
          </cell>
          <cell r="S60">
            <v>12.5</v>
          </cell>
          <cell r="T60">
            <v>37.5</v>
          </cell>
          <cell r="U60">
            <v>75</v>
          </cell>
          <cell r="V60">
            <v>112.5</v>
          </cell>
        </row>
        <row r="61">
          <cell r="A61">
            <v>597901</v>
          </cell>
          <cell r="B61" t="str">
            <v>Long Acting Beta 2 (COPD)</v>
          </cell>
          <cell r="C61">
            <v>1</v>
          </cell>
          <cell r="D61">
            <v>1</v>
          </cell>
          <cell r="E61">
            <v>1</v>
          </cell>
          <cell r="H61">
            <v>2009</v>
          </cell>
          <cell r="I61" t="str">
            <v>PC</v>
          </cell>
          <cell r="J61">
            <v>4</v>
          </cell>
          <cell r="K61">
            <v>4</v>
          </cell>
          <cell r="L61">
            <v>0</v>
          </cell>
          <cell r="M61">
            <v>0.25</v>
          </cell>
          <cell r="N61">
            <v>0</v>
          </cell>
          <cell r="O61">
            <v>0</v>
          </cell>
          <cell r="P61">
            <v>0</v>
          </cell>
          <cell r="Q61">
            <v>0</v>
          </cell>
          <cell r="R61">
            <v>0</v>
          </cell>
          <cell r="S61">
            <v>0</v>
          </cell>
          <cell r="T61">
            <v>0</v>
          </cell>
          <cell r="U61">
            <v>0</v>
          </cell>
          <cell r="V61">
            <v>0</v>
          </cell>
        </row>
        <row r="62">
          <cell r="A62" t="str">
            <v>685698 (Allermist)</v>
          </cell>
          <cell r="B62" t="str">
            <v>Glucocorticoid agonist (Asthma, COPD, All. rhinitis)</v>
          </cell>
          <cell r="C62">
            <v>1</v>
          </cell>
          <cell r="D62">
            <v>1</v>
          </cell>
          <cell r="E62">
            <v>1</v>
          </cell>
          <cell r="F62">
            <v>1</v>
          </cell>
          <cell r="H62">
            <v>2007</v>
          </cell>
          <cell r="I62" t="str">
            <v>PC</v>
          </cell>
          <cell r="J62">
            <v>4</v>
          </cell>
          <cell r="K62">
            <v>2</v>
          </cell>
          <cell r="L62">
            <v>1000</v>
          </cell>
          <cell r="M62">
            <v>0.65</v>
          </cell>
          <cell r="N62">
            <v>650</v>
          </cell>
          <cell r="O62">
            <v>0</v>
          </cell>
          <cell r="P62">
            <v>0</v>
          </cell>
          <cell r="Q62">
            <v>65</v>
          </cell>
          <cell r="R62">
            <v>195</v>
          </cell>
          <cell r="S62">
            <v>390</v>
          </cell>
          <cell r="T62">
            <v>585</v>
          </cell>
          <cell r="U62">
            <v>650</v>
          </cell>
          <cell r="V62">
            <v>650</v>
          </cell>
        </row>
        <row r="63">
          <cell r="A63" t="str">
            <v>766994 - terminated</v>
          </cell>
          <cell r="B63" t="str">
            <v>Chemokine 3 antagonist (Asthma, Allergic rhinitis)</v>
          </cell>
          <cell r="C63">
            <v>1</v>
          </cell>
          <cell r="D63">
            <v>1</v>
          </cell>
          <cell r="E63">
            <v>1</v>
          </cell>
          <cell r="H63">
            <v>2009</v>
          </cell>
          <cell r="I63" t="str">
            <v>PC</v>
          </cell>
          <cell r="J63">
            <v>4</v>
          </cell>
          <cell r="K63">
            <v>4</v>
          </cell>
          <cell r="L63">
            <v>0</v>
          </cell>
          <cell r="M63">
            <v>0.25</v>
          </cell>
          <cell r="N63">
            <v>0</v>
          </cell>
          <cell r="O63">
            <v>0</v>
          </cell>
          <cell r="P63">
            <v>0</v>
          </cell>
          <cell r="Q63">
            <v>0</v>
          </cell>
          <cell r="R63">
            <v>0</v>
          </cell>
          <cell r="S63">
            <v>0</v>
          </cell>
          <cell r="T63">
            <v>0</v>
          </cell>
          <cell r="U63">
            <v>0</v>
          </cell>
          <cell r="V63">
            <v>0</v>
          </cell>
        </row>
        <row r="64">
          <cell r="A64">
            <v>799943</v>
          </cell>
          <cell r="B64" t="str">
            <v>Glucocorticoid agonist (Asthma, COPD)</v>
          </cell>
          <cell r="C64">
            <v>1</v>
          </cell>
          <cell r="D64">
            <v>1</v>
          </cell>
          <cell r="E64">
            <v>1</v>
          </cell>
          <cell r="H64">
            <v>2009</v>
          </cell>
          <cell r="I64" t="str">
            <v>PC</v>
          </cell>
          <cell r="J64">
            <v>4</v>
          </cell>
          <cell r="K64">
            <v>4</v>
          </cell>
          <cell r="L64">
            <v>1000</v>
          </cell>
          <cell r="M64">
            <v>0.25</v>
          </cell>
          <cell r="N64">
            <v>250</v>
          </cell>
          <cell r="O64">
            <v>0</v>
          </cell>
          <cell r="P64">
            <v>0</v>
          </cell>
          <cell r="Q64">
            <v>0</v>
          </cell>
          <cell r="R64">
            <v>0</v>
          </cell>
          <cell r="S64">
            <v>25</v>
          </cell>
          <cell r="T64">
            <v>75</v>
          </cell>
          <cell r="U64">
            <v>150</v>
          </cell>
          <cell r="V64">
            <v>225</v>
          </cell>
        </row>
        <row r="65">
          <cell r="A65">
            <v>842470</v>
          </cell>
          <cell r="B65" t="str">
            <v>PDE IV inhibitor (Asthma, COPD, All. rhinitis)</v>
          </cell>
          <cell r="C65">
            <v>1</v>
          </cell>
          <cell r="D65">
            <v>1</v>
          </cell>
          <cell r="E65">
            <v>1</v>
          </cell>
          <cell r="H65">
            <v>2009</v>
          </cell>
          <cell r="I65" t="str">
            <v>PC</v>
          </cell>
          <cell r="J65">
            <v>4</v>
          </cell>
          <cell r="K65">
            <v>4</v>
          </cell>
          <cell r="L65">
            <v>500</v>
          </cell>
          <cell r="M65">
            <v>0.25</v>
          </cell>
          <cell r="N65">
            <v>125</v>
          </cell>
          <cell r="O65">
            <v>0</v>
          </cell>
          <cell r="P65">
            <v>0</v>
          </cell>
          <cell r="Q65">
            <v>0</v>
          </cell>
          <cell r="R65">
            <v>0</v>
          </cell>
          <cell r="S65">
            <v>12.5</v>
          </cell>
          <cell r="T65">
            <v>37.5</v>
          </cell>
          <cell r="U65">
            <v>75</v>
          </cell>
          <cell r="V65">
            <v>112.5</v>
          </cell>
        </row>
        <row r="66">
          <cell r="A66" t="str">
            <v>Ariflo</v>
          </cell>
          <cell r="B66" t="str">
            <v>PDE IV Inhibitor (COPD)</v>
          </cell>
          <cell r="C66">
            <v>1</v>
          </cell>
          <cell r="D66">
            <v>1</v>
          </cell>
          <cell r="E66">
            <v>1</v>
          </cell>
          <cell r="F66">
            <v>1</v>
          </cell>
          <cell r="G66">
            <v>1</v>
          </cell>
          <cell r="H66">
            <v>2006</v>
          </cell>
          <cell r="I66" t="str">
            <v>PC</v>
          </cell>
          <cell r="J66">
            <v>4</v>
          </cell>
          <cell r="K66">
            <v>2</v>
          </cell>
          <cell r="L66">
            <v>0</v>
          </cell>
          <cell r="M66">
            <v>0.85</v>
          </cell>
          <cell r="N66">
            <v>0</v>
          </cell>
          <cell r="O66">
            <v>0</v>
          </cell>
          <cell r="P66">
            <v>0</v>
          </cell>
          <cell r="Q66">
            <v>0</v>
          </cell>
          <cell r="R66">
            <v>0</v>
          </cell>
          <cell r="S66">
            <v>0</v>
          </cell>
          <cell r="T66">
            <v>0</v>
          </cell>
          <cell r="U66">
            <v>0</v>
          </cell>
          <cell r="V66">
            <v>0</v>
          </cell>
        </row>
        <row r="67">
          <cell r="A67" t="str">
            <v>Vaccines</v>
          </cell>
          <cell r="L67">
            <v>3000</v>
          </cell>
          <cell r="M67" t="str">
            <v xml:space="preserve"> </v>
          </cell>
          <cell r="N67">
            <v>2035</v>
          </cell>
          <cell r="O67">
            <v>34</v>
          </cell>
          <cell r="P67">
            <v>119</v>
          </cell>
          <cell r="Q67">
            <v>378.5</v>
          </cell>
          <cell r="R67">
            <v>785</v>
          </cell>
          <cell r="S67">
            <v>1276</v>
          </cell>
          <cell r="T67">
            <v>1728</v>
          </cell>
          <cell r="U67">
            <v>1932.5</v>
          </cell>
          <cell r="V67">
            <v>2000</v>
          </cell>
        </row>
        <row r="68">
          <cell r="A68" t="str">
            <v>Hepatitis E</v>
          </cell>
          <cell r="B68" t="str">
            <v>Hepatitis E (Recombinant)</v>
          </cell>
          <cell r="C68">
            <v>1</v>
          </cell>
          <cell r="D68">
            <v>1</v>
          </cell>
          <cell r="E68">
            <v>1</v>
          </cell>
          <cell r="H68">
            <v>2009</v>
          </cell>
          <cell r="I68" t="str">
            <v>PC</v>
          </cell>
          <cell r="J68">
            <v>4</v>
          </cell>
          <cell r="K68">
            <v>4</v>
          </cell>
          <cell r="L68">
            <v>100</v>
          </cell>
          <cell r="M68">
            <v>0.25</v>
          </cell>
          <cell r="N68">
            <v>25</v>
          </cell>
          <cell r="O68">
            <v>0</v>
          </cell>
          <cell r="P68">
            <v>0</v>
          </cell>
          <cell r="Q68">
            <v>0</v>
          </cell>
          <cell r="R68">
            <v>0</v>
          </cell>
          <cell r="S68">
            <v>2.5</v>
          </cell>
          <cell r="T68">
            <v>7.5</v>
          </cell>
          <cell r="U68">
            <v>9</v>
          </cell>
          <cell r="V68">
            <v>10</v>
          </cell>
        </row>
        <row r="69">
          <cell r="A69" t="str">
            <v>N.Meningitidis</v>
          </cell>
          <cell r="B69" t="str">
            <v>Meningitis Prophylaxis - Pediatric</v>
          </cell>
          <cell r="C69">
            <v>1</v>
          </cell>
          <cell r="D69">
            <v>1</v>
          </cell>
          <cell r="E69">
            <v>1</v>
          </cell>
          <cell r="F69">
            <v>1</v>
          </cell>
          <cell r="G69">
            <v>1</v>
          </cell>
          <cell r="H69">
            <v>2006</v>
          </cell>
          <cell r="I69" t="str">
            <v>PC</v>
          </cell>
          <cell r="J69">
            <v>4</v>
          </cell>
          <cell r="K69">
            <v>2</v>
          </cell>
          <cell r="L69">
            <v>100</v>
          </cell>
          <cell r="M69">
            <v>0.85</v>
          </cell>
          <cell r="N69">
            <v>85</v>
          </cell>
          <cell r="O69">
            <v>0</v>
          </cell>
          <cell r="P69">
            <v>8.5</v>
          </cell>
          <cell r="Q69">
            <v>25.5</v>
          </cell>
          <cell r="R69">
            <v>51</v>
          </cell>
          <cell r="S69">
            <v>76.5</v>
          </cell>
          <cell r="T69">
            <v>85</v>
          </cell>
          <cell r="U69">
            <v>85</v>
          </cell>
          <cell r="V69">
            <v>85</v>
          </cell>
        </row>
        <row r="70">
          <cell r="A70" t="str">
            <v>Priorix Tetra</v>
          </cell>
          <cell r="B70" t="str">
            <v>MMR (Live attenuated) - Pediatric</v>
          </cell>
          <cell r="C70">
            <v>1</v>
          </cell>
          <cell r="D70">
            <v>1</v>
          </cell>
          <cell r="E70">
            <v>1</v>
          </cell>
          <cell r="F70">
            <v>1</v>
          </cell>
          <cell r="G70">
            <v>1</v>
          </cell>
          <cell r="H70">
            <v>2005</v>
          </cell>
          <cell r="I70" t="str">
            <v>PC</v>
          </cell>
          <cell r="J70">
            <v>4</v>
          </cell>
          <cell r="K70">
            <v>2</v>
          </cell>
          <cell r="L70">
            <v>100</v>
          </cell>
          <cell r="M70">
            <v>0.85</v>
          </cell>
          <cell r="N70">
            <v>85</v>
          </cell>
          <cell r="O70">
            <v>8.5</v>
          </cell>
          <cell r="P70">
            <v>25.5</v>
          </cell>
          <cell r="Q70">
            <v>51</v>
          </cell>
          <cell r="R70">
            <v>76.5</v>
          </cell>
          <cell r="S70">
            <v>85</v>
          </cell>
          <cell r="T70">
            <v>85</v>
          </cell>
          <cell r="U70">
            <v>85</v>
          </cell>
          <cell r="V70">
            <v>85</v>
          </cell>
        </row>
        <row r="71">
          <cell r="A71" t="str">
            <v>Rotarix</v>
          </cell>
          <cell r="B71" t="str">
            <v>Rotavirus - Pediatric</v>
          </cell>
          <cell r="C71">
            <v>1</v>
          </cell>
          <cell r="D71">
            <v>1</v>
          </cell>
          <cell r="E71">
            <v>1</v>
          </cell>
          <cell r="F71">
            <v>1</v>
          </cell>
          <cell r="G71">
            <v>1</v>
          </cell>
          <cell r="H71">
            <v>2006</v>
          </cell>
          <cell r="I71" t="str">
            <v>PC</v>
          </cell>
          <cell r="J71">
            <v>4</v>
          </cell>
          <cell r="K71">
            <v>2</v>
          </cell>
          <cell r="L71">
            <v>100</v>
          </cell>
          <cell r="M71">
            <v>0.85</v>
          </cell>
          <cell r="N71">
            <v>85</v>
          </cell>
          <cell r="O71">
            <v>0</v>
          </cell>
          <cell r="P71">
            <v>8.5</v>
          </cell>
          <cell r="Q71">
            <v>25.5</v>
          </cell>
          <cell r="R71">
            <v>51</v>
          </cell>
          <cell r="S71">
            <v>76.5</v>
          </cell>
          <cell r="T71">
            <v>85</v>
          </cell>
          <cell r="U71">
            <v>85</v>
          </cell>
          <cell r="V71">
            <v>85</v>
          </cell>
        </row>
        <row r="72">
          <cell r="A72" t="str">
            <v>Streptorix</v>
          </cell>
          <cell r="B72" t="str">
            <v>S. Pneumoniae - Pediatric</v>
          </cell>
          <cell r="C72">
            <v>1</v>
          </cell>
          <cell r="D72">
            <v>1</v>
          </cell>
          <cell r="E72">
            <v>1</v>
          </cell>
          <cell r="F72">
            <v>1</v>
          </cell>
          <cell r="H72">
            <v>2008</v>
          </cell>
          <cell r="I72" t="str">
            <v>PC</v>
          </cell>
          <cell r="J72">
            <v>4</v>
          </cell>
          <cell r="K72">
            <v>2</v>
          </cell>
          <cell r="L72">
            <v>100</v>
          </cell>
          <cell r="M72">
            <v>0.65</v>
          </cell>
          <cell r="N72">
            <v>65</v>
          </cell>
          <cell r="O72">
            <v>0</v>
          </cell>
          <cell r="P72">
            <v>0</v>
          </cell>
          <cell r="Q72">
            <v>0</v>
          </cell>
          <cell r="R72">
            <v>6.5</v>
          </cell>
          <cell r="S72">
            <v>19.5</v>
          </cell>
          <cell r="T72">
            <v>39</v>
          </cell>
          <cell r="U72">
            <v>58.5</v>
          </cell>
          <cell r="V72">
            <v>65</v>
          </cell>
        </row>
        <row r="73">
          <cell r="A73" t="str">
            <v>Dengue Fever</v>
          </cell>
          <cell r="B73" t="str">
            <v>Prophylaxis</v>
          </cell>
          <cell r="C73">
            <v>1</v>
          </cell>
          <cell r="D73">
            <v>1</v>
          </cell>
          <cell r="E73">
            <v>1</v>
          </cell>
          <cell r="H73">
            <v>2009</v>
          </cell>
          <cell r="I73" t="str">
            <v>PC</v>
          </cell>
          <cell r="J73">
            <v>4</v>
          </cell>
          <cell r="K73">
            <v>4</v>
          </cell>
          <cell r="L73">
            <v>100</v>
          </cell>
          <cell r="M73">
            <v>0.25</v>
          </cell>
          <cell r="N73">
            <v>25</v>
          </cell>
          <cell r="O73">
            <v>0</v>
          </cell>
          <cell r="P73">
            <v>0</v>
          </cell>
          <cell r="Q73">
            <v>0</v>
          </cell>
          <cell r="R73">
            <v>0</v>
          </cell>
          <cell r="S73">
            <v>2.5</v>
          </cell>
          <cell r="T73">
            <v>7.5</v>
          </cell>
          <cell r="U73">
            <v>15</v>
          </cell>
          <cell r="V73">
            <v>22.5</v>
          </cell>
        </row>
        <row r="74">
          <cell r="A74" t="str">
            <v>Cervarix</v>
          </cell>
          <cell r="B74" t="str">
            <v>HPV Infections</v>
          </cell>
          <cell r="C74">
            <v>1</v>
          </cell>
          <cell r="D74">
            <v>1</v>
          </cell>
          <cell r="E74">
            <v>1</v>
          </cell>
          <cell r="F74">
            <v>1</v>
          </cell>
          <cell r="H74">
            <v>2007</v>
          </cell>
          <cell r="I74" t="str">
            <v>PC</v>
          </cell>
          <cell r="J74">
            <v>4</v>
          </cell>
          <cell r="K74">
            <v>2</v>
          </cell>
          <cell r="L74">
            <v>1300</v>
          </cell>
          <cell r="M74">
            <v>0.9</v>
          </cell>
          <cell r="N74">
            <v>1170</v>
          </cell>
          <cell r="O74">
            <v>0</v>
          </cell>
          <cell r="P74">
            <v>0</v>
          </cell>
          <cell r="Q74">
            <v>117</v>
          </cell>
          <cell r="R74">
            <v>351</v>
          </cell>
          <cell r="S74">
            <v>702</v>
          </cell>
          <cell r="T74">
            <v>1053</v>
          </cell>
          <cell r="U74">
            <v>1170</v>
          </cell>
          <cell r="V74">
            <v>1170</v>
          </cell>
        </row>
        <row r="75">
          <cell r="A75" t="str">
            <v>Epstein-Barr virus</v>
          </cell>
          <cell r="B75" t="str">
            <v>Epstein-Barr virus</v>
          </cell>
          <cell r="C75">
            <v>1</v>
          </cell>
          <cell r="D75">
            <v>1</v>
          </cell>
          <cell r="E75">
            <v>1</v>
          </cell>
          <cell r="H75">
            <v>2009</v>
          </cell>
          <cell r="I75" t="str">
            <v>PC</v>
          </cell>
          <cell r="J75">
            <v>4</v>
          </cell>
          <cell r="K75">
            <v>4</v>
          </cell>
          <cell r="L75">
            <v>100</v>
          </cell>
          <cell r="M75">
            <v>0.25</v>
          </cell>
          <cell r="N75">
            <v>25</v>
          </cell>
          <cell r="O75">
            <v>0</v>
          </cell>
          <cell r="P75">
            <v>0</v>
          </cell>
          <cell r="Q75">
            <v>0</v>
          </cell>
          <cell r="R75">
            <v>0</v>
          </cell>
          <cell r="S75">
            <v>2.5</v>
          </cell>
          <cell r="T75">
            <v>7.5</v>
          </cell>
          <cell r="U75">
            <v>15</v>
          </cell>
          <cell r="V75">
            <v>22.5</v>
          </cell>
        </row>
        <row r="76">
          <cell r="A76" t="str">
            <v>Flu-improved</v>
          </cell>
          <cell r="B76" t="str">
            <v>subunit</v>
          </cell>
          <cell r="C76">
            <v>1</v>
          </cell>
          <cell r="D76">
            <v>1</v>
          </cell>
          <cell r="E76">
            <v>1</v>
          </cell>
          <cell r="H76">
            <v>2009</v>
          </cell>
          <cell r="I76" t="str">
            <v>PC</v>
          </cell>
          <cell r="J76">
            <v>4</v>
          </cell>
          <cell r="K76">
            <v>4</v>
          </cell>
          <cell r="L76">
            <v>0</v>
          </cell>
          <cell r="M76">
            <v>0.25</v>
          </cell>
          <cell r="N76">
            <v>0</v>
          </cell>
          <cell r="O76">
            <v>0</v>
          </cell>
          <cell r="P76">
            <v>0</v>
          </cell>
          <cell r="Q76">
            <v>0</v>
          </cell>
          <cell r="R76">
            <v>0</v>
          </cell>
          <cell r="S76">
            <v>0</v>
          </cell>
          <cell r="T76">
            <v>0</v>
          </cell>
          <cell r="U76">
            <v>0</v>
          </cell>
          <cell r="V76">
            <v>0</v>
          </cell>
        </row>
        <row r="77">
          <cell r="A77" t="str">
            <v>Mosquirix</v>
          </cell>
          <cell r="B77" t="str">
            <v>Malaria Prophylaxis</v>
          </cell>
          <cell r="C77">
            <v>1</v>
          </cell>
          <cell r="D77">
            <v>1</v>
          </cell>
          <cell r="E77">
            <v>1</v>
          </cell>
          <cell r="H77">
            <v>2009</v>
          </cell>
          <cell r="I77" t="str">
            <v>PC</v>
          </cell>
          <cell r="J77">
            <v>4</v>
          </cell>
          <cell r="K77">
            <v>4</v>
          </cell>
          <cell r="L77">
            <v>500</v>
          </cell>
          <cell r="M77">
            <v>0.25</v>
          </cell>
          <cell r="N77">
            <v>125</v>
          </cell>
          <cell r="O77">
            <v>0</v>
          </cell>
          <cell r="P77">
            <v>0</v>
          </cell>
          <cell r="Q77">
            <v>0</v>
          </cell>
          <cell r="R77">
            <v>0</v>
          </cell>
          <cell r="S77">
            <v>12.5</v>
          </cell>
          <cell r="T77">
            <v>37.5</v>
          </cell>
          <cell r="U77">
            <v>75</v>
          </cell>
          <cell r="V77">
            <v>112.5</v>
          </cell>
        </row>
        <row r="78">
          <cell r="A78" t="str">
            <v>Staphylococcal Antibodies - terminated</v>
          </cell>
          <cell r="B78" t="str">
            <v>Staphylococcal Infections</v>
          </cell>
          <cell r="C78">
            <v>1</v>
          </cell>
          <cell r="D78">
            <v>1</v>
          </cell>
          <cell r="E78">
            <v>1</v>
          </cell>
          <cell r="H78">
            <v>2009</v>
          </cell>
          <cell r="I78" t="str">
            <v>PC</v>
          </cell>
          <cell r="J78">
            <v>4</v>
          </cell>
          <cell r="K78">
            <v>4</v>
          </cell>
          <cell r="L78">
            <v>0</v>
          </cell>
          <cell r="M78">
            <v>0.25</v>
          </cell>
          <cell r="N78">
            <v>0</v>
          </cell>
          <cell r="O78">
            <v>0</v>
          </cell>
          <cell r="P78">
            <v>0</v>
          </cell>
          <cell r="Q78">
            <v>0</v>
          </cell>
          <cell r="R78">
            <v>0</v>
          </cell>
          <cell r="S78">
            <v>0</v>
          </cell>
          <cell r="T78">
            <v>0</v>
          </cell>
          <cell r="U78">
            <v>0</v>
          </cell>
          <cell r="V78">
            <v>0</v>
          </cell>
        </row>
        <row r="79">
          <cell r="A79" t="str">
            <v>Simplirix</v>
          </cell>
          <cell r="B79" t="str">
            <v>Genital Herpes</v>
          </cell>
          <cell r="C79">
            <v>1</v>
          </cell>
          <cell r="D79">
            <v>1</v>
          </cell>
          <cell r="E79">
            <v>1</v>
          </cell>
          <cell r="F79">
            <v>1</v>
          </cell>
          <cell r="H79">
            <v>2007</v>
          </cell>
          <cell r="I79" t="str">
            <v>PC</v>
          </cell>
          <cell r="J79">
            <v>4</v>
          </cell>
          <cell r="K79">
            <v>2</v>
          </cell>
          <cell r="L79">
            <v>100</v>
          </cell>
          <cell r="M79">
            <v>0.65</v>
          </cell>
          <cell r="N79">
            <v>65</v>
          </cell>
          <cell r="O79">
            <v>0</v>
          </cell>
          <cell r="P79">
            <v>0</v>
          </cell>
          <cell r="Q79">
            <v>6.5</v>
          </cell>
          <cell r="R79">
            <v>19.5</v>
          </cell>
          <cell r="S79">
            <v>39</v>
          </cell>
          <cell r="T79">
            <v>58.5</v>
          </cell>
          <cell r="U79">
            <v>65</v>
          </cell>
          <cell r="V79">
            <v>65</v>
          </cell>
        </row>
        <row r="80">
          <cell r="A80" t="str">
            <v>Boostrix and Boostrix Polio</v>
          </cell>
          <cell r="B80" t="str">
            <v>Diptheria/Tetanus/Pertussis/Polio</v>
          </cell>
          <cell r="C80">
            <v>1</v>
          </cell>
          <cell r="D80">
            <v>1</v>
          </cell>
          <cell r="E80">
            <v>1</v>
          </cell>
          <cell r="F80">
            <v>1</v>
          </cell>
          <cell r="G80">
            <v>1</v>
          </cell>
          <cell r="H80">
            <v>2005</v>
          </cell>
          <cell r="I80" t="str">
            <v>PC</v>
          </cell>
          <cell r="J80">
            <v>4</v>
          </cell>
          <cell r="K80">
            <v>2</v>
          </cell>
          <cell r="L80">
            <v>300</v>
          </cell>
          <cell r="M80">
            <v>0.85</v>
          </cell>
          <cell r="N80">
            <v>255</v>
          </cell>
          <cell r="O80">
            <v>25.5</v>
          </cell>
          <cell r="P80">
            <v>76.5</v>
          </cell>
          <cell r="Q80">
            <v>153</v>
          </cell>
          <cell r="R80">
            <v>229.5</v>
          </cell>
          <cell r="S80">
            <v>255</v>
          </cell>
          <cell r="T80">
            <v>255</v>
          </cell>
          <cell r="U80">
            <v>255</v>
          </cell>
          <cell r="V80">
            <v>255</v>
          </cell>
        </row>
        <row r="81">
          <cell r="A81" t="str">
            <v>249553 (mage 3)</v>
          </cell>
          <cell r="B81" t="str">
            <v>Lung Cancer / Melanoma</v>
          </cell>
          <cell r="C81">
            <v>1</v>
          </cell>
          <cell r="D81">
            <v>1</v>
          </cell>
          <cell r="E81">
            <v>1</v>
          </cell>
          <cell r="H81">
            <v>2009</v>
          </cell>
          <cell r="I81" t="str">
            <v>PC</v>
          </cell>
          <cell r="J81">
            <v>4</v>
          </cell>
          <cell r="K81">
            <v>4</v>
          </cell>
          <cell r="L81">
            <v>100</v>
          </cell>
          <cell r="M81">
            <v>0.25</v>
          </cell>
          <cell r="N81">
            <v>25</v>
          </cell>
          <cell r="O81">
            <v>0</v>
          </cell>
          <cell r="P81">
            <v>0</v>
          </cell>
          <cell r="Q81">
            <v>0</v>
          </cell>
          <cell r="R81">
            <v>0</v>
          </cell>
          <cell r="S81">
            <v>2.5</v>
          </cell>
          <cell r="T81">
            <v>7.5</v>
          </cell>
          <cell r="U81">
            <v>15</v>
          </cell>
          <cell r="V81">
            <v>22.5</v>
          </cell>
        </row>
        <row r="83">
          <cell r="A83" t="str">
            <v>TOTAL ($)</v>
          </cell>
          <cell r="L83">
            <v>40800</v>
          </cell>
          <cell r="N83">
            <v>14750</v>
          </cell>
          <cell r="O83">
            <v>34</v>
          </cell>
          <cell r="P83">
            <v>161.5</v>
          </cell>
          <cell r="Q83">
            <v>615.5</v>
          </cell>
          <cell r="R83">
            <v>1920.7</v>
          </cell>
          <cell r="S83">
            <v>4484.6000000000004</v>
          </cell>
          <cell r="T83">
            <v>8039.2</v>
          </cell>
          <cell r="U83">
            <v>11647.3</v>
          </cell>
          <cell r="V83">
            <v>13922.8</v>
          </cell>
        </row>
        <row r="84">
          <cell r="A84" t="str">
            <v>Exchange Rate</v>
          </cell>
          <cell r="B84">
            <v>1.76</v>
          </cell>
        </row>
        <row r="85">
          <cell r="A85" t="str">
            <v>TOTAL (£)</v>
          </cell>
          <cell r="L85">
            <v>23181.81818181818</v>
          </cell>
          <cell r="N85">
            <v>8380.681818181818</v>
          </cell>
          <cell r="O85">
            <v>19.318181818181817</v>
          </cell>
          <cell r="P85">
            <v>91.76136363636364</v>
          </cell>
          <cell r="Q85">
            <v>349.71590909090907</v>
          </cell>
          <cell r="R85">
            <v>1091.3068181818182</v>
          </cell>
          <cell r="S85">
            <v>2548.068181818182</v>
          </cell>
          <cell r="T85">
            <v>4567.727272727273</v>
          </cell>
          <cell r="U85">
            <v>6617.7840909090901</v>
          </cell>
          <cell r="V85">
            <v>7910.681818181818</v>
          </cell>
        </row>
        <row r="87">
          <cell r="A87" t="str">
            <v>ASSUMPTIONS:</v>
          </cell>
        </row>
        <row r="88">
          <cell r="A88" t="str">
            <v>Clinical success probabilities:</v>
          </cell>
        </row>
        <row r="89">
          <cell r="A89" t="str">
            <v>Phase I</v>
          </cell>
          <cell r="B89">
            <v>0.2</v>
          </cell>
        </row>
        <row r="90">
          <cell r="A90" t="str">
            <v>Phase II</v>
          </cell>
          <cell r="B90">
            <v>0.25</v>
          </cell>
        </row>
        <row r="91">
          <cell r="A91" t="str">
            <v>Phase III</v>
          </cell>
          <cell r="B91">
            <v>0.65</v>
          </cell>
        </row>
        <row r="92">
          <cell r="A92" t="str">
            <v>Filed</v>
          </cell>
          <cell r="B92">
            <v>0.85</v>
          </cell>
        </row>
        <row r="93">
          <cell r="A93" t="str">
            <v>Estimated years to market (Specialty Products):</v>
          </cell>
        </row>
        <row r="94">
          <cell r="A94" t="str">
            <v>Phase I</v>
          </cell>
          <cell r="B94">
            <v>5</v>
          </cell>
        </row>
        <row r="95">
          <cell r="A95" t="str">
            <v>Phase II</v>
          </cell>
          <cell r="B95">
            <v>3</v>
          </cell>
        </row>
        <row r="96">
          <cell r="A96" t="str">
            <v>Phase III</v>
          </cell>
          <cell r="B96">
            <v>2</v>
          </cell>
        </row>
        <row r="97">
          <cell r="A97" t="str">
            <v>Estimated years to market (Primary Care Products):</v>
          </cell>
        </row>
        <row r="98">
          <cell r="A98" t="str">
            <v>Phase I</v>
          </cell>
          <cell r="B98">
            <v>6</v>
          </cell>
        </row>
        <row r="99">
          <cell r="A99" t="str">
            <v>Phase II</v>
          </cell>
          <cell r="B99">
            <v>4</v>
          </cell>
        </row>
        <row r="100">
          <cell r="A100" t="str">
            <v>Phase III</v>
          </cell>
          <cell r="B100">
            <v>2</v>
          </cell>
        </row>
        <row r="101">
          <cell r="A101" t="str">
            <v>Estimated years to peak sales for all products:</v>
          </cell>
          <cell r="B101">
            <v>5</v>
          </cell>
        </row>
        <row r="102">
          <cell r="A102" t="str">
            <v>Estimated sales ramp curve (% of peak sales):</v>
          </cell>
        </row>
        <row r="103">
          <cell r="A103" t="str">
            <v>Year 1</v>
          </cell>
          <cell r="B103">
            <v>0.1</v>
          </cell>
        </row>
        <row r="104">
          <cell r="A104" t="str">
            <v>Year 2</v>
          </cell>
          <cell r="B104">
            <v>0.3</v>
          </cell>
        </row>
        <row r="105">
          <cell r="A105" t="str">
            <v>Year 3</v>
          </cell>
          <cell r="B105">
            <v>0.6</v>
          </cell>
        </row>
        <row r="106">
          <cell r="A106" t="str">
            <v>Year 4</v>
          </cell>
          <cell r="B106">
            <v>0.9</v>
          </cell>
        </row>
        <row r="107">
          <cell r="A107" t="str">
            <v>Year 5</v>
          </cell>
          <cell r="B107">
            <v>1</v>
          </cell>
        </row>
        <row r="108">
          <cell r="A108" t="str">
            <v>Year 6</v>
          </cell>
          <cell r="B108">
            <v>1</v>
          </cell>
        </row>
        <row r="109">
          <cell r="A109" t="str">
            <v>Year 7</v>
          </cell>
          <cell r="B109">
            <v>1</v>
          </cell>
        </row>
        <row r="110">
          <cell r="A110" t="str">
            <v>Year 8</v>
          </cell>
          <cell r="B110">
            <v>1</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row r="1">
          <cell r="B1" t="str">
            <v>GlaxoSmithKline Valuation</v>
          </cell>
        </row>
        <row r="5">
          <cell r="C5">
            <v>5773</v>
          </cell>
        </row>
        <row r="6">
          <cell r="C6" t="e">
            <v>#REF!</v>
          </cell>
        </row>
        <row r="7">
          <cell r="C7" t="e">
            <v>#REF!</v>
          </cell>
        </row>
        <row r="10">
          <cell r="C10">
            <v>29</v>
          </cell>
        </row>
        <row r="11">
          <cell r="C11">
            <v>7</v>
          </cell>
        </row>
        <row r="102">
          <cell r="C102" t="e">
            <v>#REF!</v>
          </cell>
        </row>
        <row r="103">
          <cell r="C103">
            <v>10.87</v>
          </cell>
        </row>
        <row r="154">
          <cell r="C154" t="e">
            <v>#REF!</v>
          </cell>
        </row>
        <row r="155">
          <cell r="C155">
            <v>18</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 sheetId="67"/>
      <sheetData sheetId="68"/>
      <sheetData sheetId="69"/>
      <sheetData sheetId="70"/>
      <sheetData sheetId="71" refreshError="1"/>
      <sheetData sheetId="7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FX"/>
      <sheetName val="Page 3"/>
      <sheetName val="Tables"/>
      <sheetName val="Summary ($)"/>
      <sheetName val="MW-Cache"/>
      <sheetName val="Summary (£)"/>
      <sheetName val="EM growth "/>
      <sheetName val="Quart Sales"/>
      <sheetName val="Brilinta"/>
      <sheetName val="Pipeline"/>
      <sheetName val="Pipeline- China"/>
      <sheetName val="Ann Sales ($)"/>
      <sheetName val="Quart P&amp;L ($)"/>
      <sheetName val="Buyback flex"/>
      <sheetName val="Changes to model"/>
      <sheetName val="Margin Drivers"/>
      <sheetName val="Gross Margins"/>
      <sheetName val="Royalty Payments"/>
      <sheetName val="AFOSHEET"/>
      <sheetName val="Balance Sheet"/>
      <sheetName val="Cash Flow"/>
      <sheetName val="Merger - Onyx"/>
      <sheetName val="Merger - Amylin"/>
      <sheetName val="Primary Care"/>
      <sheetName val="PPI"/>
      <sheetName val="__FDSCACHE__"/>
      <sheetName val="Ph III"/>
      <sheetName val="MW Valuation"/>
      <sheetName val="MWA RR_AZN.L"/>
      <sheetName val="DCF flex"/>
      <sheetName val="R&amp;D"/>
      <sheetName val="Strategy"/>
      <sheetName val="Ann P&amp;L ($)"/>
      <sheetName val="Gross margin"/>
      <sheetName val="Sales Data"/>
      <sheetName val="Sales by geog"/>
      <sheetName val="Sales by thera"/>
      <sheetName val="sales by business"/>
      <sheetName val="gross profit margin"/>
      <sheetName val="EBIT-reported"/>
      <sheetName val="Pre R&amp;D margin"/>
      <sheetName val="Charts"/>
      <sheetName val="pre r&amp;D cashflow"/>
      <sheetName val="Sheet1"/>
      <sheetName val="SOTP Analysis"/>
      <sheetName val="Other product DCF"/>
      <sheetName val="Crestor value"/>
      <sheetName val="Crestor value (2)"/>
      <sheetName val="Nexium Value"/>
      <sheetName val="Seroquel Value"/>
      <sheetName val="Nexium Value Bear"/>
      <sheetName val="EBIT"/>
      <sheetName val="Toprol P&amp;L"/>
      <sheetName val="Medi BS"/>
      <sheetName val="mwareTaxoPres"/>
      <sheetName val="Drivers"/>
      <sheetName val="Chart Data"/>
      <sheetName val="mwareDates"/>
      <sheetName val="Scenarios"/>
      <sheetName val="mwareSettings"/>
      <sheetName val="GE3"/>
      <sheetName val="Historic Sales"/>
      <sheetName val="Ann P&amp;L (£)"/>
      <sheetName val="RImodel"/>
      <sheetName val="Quart P&amp;L"/>
      <sheetName val="Driver of revgr"/>
      <sheetName val="Ann Sales (£)"/>
      <sheetName val="PPI Summary"/>
      <sheetName val="Chart2"/>
      <sheetName val="Chart5"/>
      <sheetName val="Residual income(1)"/>
      <sheetName val="Residual income(2)"/>
      <sheetName val="DCF"/>
      <sheetName val="US PPI Market Model"/>
      <sheetName val="US PPI Vol and Value model"/>
      <sheetName val="Global PPI"/>
      <sheetName val="Switching Model"/>
      <sheetName val="Report Summary"/>
      <sheetName val="AZNfeed"/>
      <sheetName val="GE Upload1"/>
      <sheetName val=""/>
      <sheetName val="Gross margin computatation II"/>
      <sheetName val="GM comp1"/>
      <sheetName val="Chart3"/>
      <sheetName val="Chart4"/>
      <sheetName val="Chart6"/>
      <sheetName val="Pauls GM Comp"/>
      <sheetName val="Chart1"/>
      <sheetName val="Summary"/>
      <sheetName val="CHART RP"/>
      <sheetName val="CHART-GM"/>
      <sheetName val="xbrlPreview"/>
      <sheetName val="Pipeline (2)"/>
      <sheetName val="xbrldates"/>
      <sheetName val="xbrlSettings"/>
      <sheetName val="RI Valuation"/>
      <sheetName val="Convergence Valuation"/>
      <sheetName val="Quart P&amp;L IFRS"/>
      <sheetName val="mwarePreview"/>
      <sheetName val="mwareValPrintout"/>
      <sheetName val="GVAT Analysis"/>
      <sheetName val="Profit Map"/>
      <sheetName val="GVAT Adjusted"/>
      <sheetName val="GVAT Stock Adj"/>
      <sheetName val="GVAT Pension"/>
      <sheetName val="IFRS adjustments"/>
      <sheetName val="IFRS-OptionsAdj"/>
      <sheetName val="Model_Template"/>
      <sheetName val="IFRS Quart P&amp;L"/>
      <sheetName val="IFRS Ann P&amp;L ($)"/>
      <sheetName val="IFRS Ann P&amp;L(£)"/>
      <sheetName val="IFRS Margin Drivers"/>
      <sheetName val="IFRS Balance Sheet"/>
      <sheetName val="IFRS Cash Flow"/>
      <sheetName val="DCF NEW"/>
      <sheetName val="CHART - Drivers RevGr"/>
      <sheetName val="MWare_Cached"/>
      <sheetName val="ModelWare Summary"/>
      <sheetName val="QPreview"/>
      <sheetName val="RI GW"/>
      <sheetName val="Simple RI Valuation"/>
      <sheetName val="Drivers Chart"/>
      <sheetName val="Sheet2"/>
      <sheetName val="DCF 2020"/>
      <sheetName val="Pipeline for report"/>
      <sheetName val="Quart P&amp;L PF"/>
      <sheetName val="IFRS Quart P&amp;L (ex US Toprol)"/>
      <sheetName val="Ann P&amp;L(£)"/>
      <sheetName val="RI New"/>
      <sheetName val="MW IV (Ext.)"/>
      <sheetName val="DCF 2013"/>
      <sheetName val="MW Valuation 2020"/>
      <sheetName val="cons"/>
      <sheetName val="#REF"/>
      <sheetName val="RI Old"/>
      <sheetName val="Other Margin Drivers"/>
      <sheetName val="P&amp;L Ex US Toprol"/>
      <sheetName val="Team Contacts"/>
      <sheetName val="Residual Income"/>
      <sheetName val="Quast P&amp;L ($)"/>
      <sheetName val="flex"/>
      <sheetName val="LT Guidance - EPS"/>
      <sheetName val="LT Guidance - PE"/>
      <sheetName val="IMS monthly"/>
      <sheetName val="Model Account (S)"/>
      <sheetName val="P&amp;L_BS_CFS"/>
      <sheetName val="Sales"/>
      <sheetName val="BMS royalties"/>
      <sheetName val="Output"/>
      <sheetName val="Guidance &amp; LT targets"/>
      <sheetName val="Consensus"/>
      <sheetName val="Bull bear"/>
      <sheetName val="Patent expiries"/>
      <sheetName val="Valuation"/>
      <sheetName val="Bull bear_old"/>
      <sheetName val="Patent expiries_old"/>
      <sheetName val="Snapshot"/>
      <sheetName val="Shares"/>
      <sheetName val="Newsflow"/>
      <sheetName val="Bull bear_waterfall"/>
      <sheetName val="R&amp;D sortie"/>
      <sheetName val="Lien R&amp;D - CA Nx Pdts"/>
      <sheetName val="LiensData"/>
      <sheetName val="Old_Grille"/>
      <sheetName val="Old_MOP"/>
      <sheetName val="Old_CA"/>
      <sheetName val="Modeles (S)"/>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row r="1">
          <cell r="J1" t="str">
            <v>Return to contents</v>
          </cell>
          <cell r="L1" t="str">
            <v>Return to contents</v>
          </cell>
          <cell r="M1" t="str">
            <v>Return to contents</v>
          </cell>
        </row>
        <row r="2">
          <cell r="A2" t="str">
            <v>AstraZeneca</v>
          </cell>
        </row>
        <row r="3">
          <cell r="A3" t="str">
            <v xml:space="preserve"> Annual Sales Model</v>
          </cell>
          <cell r="M3" t="str">
            <v>Morgan Stanley Equity Research- Pharmaceuticals</v>
          </cell>
          <cell r="O3" t="str">
            <v>Morgan Stanley Equity Research- Pharmaceuticals</v>
          </cell>
          <cell r="P3" t="str">
            <v>Morgan Stanley Equity Research- Pharmaceuticals</v>
          </cell>
        </row>
        <row r="4">
          <cell r="Y4" t="str">
            <v>CAGR</v>
          </cell>
        </row>
        <row r="5">
          <cell r="A5" t="str">
            <v>$ mlns</v>
          </cell>
          <cell r="B5" t="str">
            <v>FY02A</v>
          </cell>
          <cell r="C5" t="str">
            <v>FY03A</v>
          </cell>
          <cell r="D5" t="str">
            <v>FY04A</v>
          </cell>
          <cell r="E5" t="str">
            <v>FY05A</v>
          </cell>
          <cell r="F5" t="str">
            <v>FY06A</v>
          </cell>
          <cell r="G5" t="str">
            <v>FY07A</v>
          </cell>
          <cell r="H5" t="str">
            <v>FY08E</v>
          </cell>
          <cell r="I5" t="str">
            <v>FY09E</v>
          </cell>
          <cell r="J5" t="str">
            <v>FY10E</v>
          </cell>
          <cell r="K5" t="str">
            <v>FY11E</v>
          </cell>
          <cell r="L5" t="str">
            <v>FY12E</v>
          </cell>
          <cell r="M5" t="str">
            <v>FY13E</v>
          </cell>
          <cell r="N5" t="str">
            <v>FY14E</v>
          </cell>
          <cell r="O5" t="str">
            <v>FY15E</v>
          </cell>
          <cell r="P5" t="str">
            <v>FY16E</v>
          </cell>
          <cell r="Q5" t="str">
            <v>FY17E</v>
          </cell>
          <cell r="R5" t="str">
            <v>FY18E</v>
          </cell>
          <cell r="S5" t="str">
            <v>FY19E</v>
          </cell>
          <cell r="T5" t="str">
            <v>FY20E</v>
          </cell>
          <cell r="U5" t="str">
            <v>FY21E</v>
          </cell>
          <cell r="V5" t="str">
            <v>FY22E</v>
          </cell>
          <cell r="W5" t="str">
            <v>FY23E</v>
          </cell>
          <cell r="Y5" t="str">
            <v>14-17e</v>
          </cell>
          <cell r="Z5" t="str">
            <v>14-19e</v>
          </cell>
        </row>
        <row r="6">
          <cell r="A6" t="str">
            <v>Losec</v>
          </cell>
          <cell r="B6">
            <v>4623</v>
          </cell>
          <cell r="C6">
            <v>2565</v>
          </cell>
          <cell r="D6">
            <v>1947</v>
          </cell>
          <cell r="E6">
            <v>1652</v>
          </cell>
          <cell r="F6">
            <v>1371</v>
          </cell>
          <cell r="G6">
            <v>1143</v>
          </cell>
          <cell r="H6">
            <v>1055</v>
          </cell>
          <cell r="I6">
            <v>964.63284392564094</v>
          </cell>
          <cell r="J6">
            <v>964.54688916266048</v>
          </cell>
          <cell r="K6">
            <v>916.3195447045274</v>
          </cell>
          <cell r="L6">
            <v>870.50356746930106</v>
          </cell>
          <cell r="M6">
            <v>826.97838909583595</v>
          </cell>
          <cell r="N6">
            <v>785.62946964104412</v>
          </cell>
          <cell r="O6">
            <v>746.34799615899192</v>
          </cell>
          <cell r="P6">
            <v>709.03059635104228</v>
          </cell>
          <cell r="Q6">
            <v>673.57906653349005</v>
          </cell>
          <cell r="R6">
            <v>639.9001132068156</v>
          </cell>
          <cell r="S6">
            <v>607.90510754647471</v>
          </cell>
          <cell r="T6">
            <v>577.50985216915103</v>
          </cell>
          <cell r="U6">
            <v>23990.470335101367</v>
          </cell>
          <cell r="V6">
            <v>23176.656158870264</v>
          </cell>
          <cell r="W6">
            <v>20387.097151865066</v>
          </cell>
          <cell r="Y6">
            <v>-7.2731008070187064E-3</v>
          </cell>
          <cell r="Z6">
            <v>3.8784401047462502E-3</v>
          </cell>
          <cell r="AV6">
            <v>7701</v>
          </cell>
          <cell r="AW6">
            <v>7958</v>
          </cell>
          <cell r="AX6">
            <v>15659</v>
          </cell>
          <cell r="AY6">
            <v>8200</v>
          </cell>
          <cell r="AZ6">
            <v>23859</v>
          </cell>
          <cell r="BA6">
            <v>8945</v>
          </cell>
          <cell r="BB6">
            <v>32804</v>
          </cell>
          <cell r="BC6">
            <v>8576</v>
          </cell>
          <cell r="BD6">
            <v>8178</v>
          </cell>
          <cell r="BE6">
            <v>16754</v>
          </cell>
          <cell r="BF6">
            <v>7898</v>
          </cell>
          <cell r="BG6">
            <v>24652</v>
          </cell>
          <cell r="BH6" t="e">
            <v>#REF!</v>
          </cell>
          <cell r="BI6" t="e">
            <v>#REF!</v>
          </cell>
          <cell r="BJ6" t="e">
            <v>#REF!</v>
          </cell>
          <cell r="BK6" t="e">
            <v>#REF!</v>
          </cell>
          <cell r="BL6" t="e">
            <v>#REF!</v>
          </cell>
          <cell r="BM6" t="e">
            <v>#REF!</v>
          </cell>
          <cell r="BN6" t="e">
            <v>#REF!</v>
          </cell>
          <cell r="BO6" t="e">
            <v>#REF!</v>
          </cell>
          <cell r="BP6" t="e">
            <v>#REF!</v>
          </cell>
          <cell r="BQ6" t="e">
            <v>#REF!</v>
          </cell>
          <cell r="BR6" t="e">
            <v>#REF!</v>
          </cell>
          <cell r="BS6" t="e">
            <v>#REF!</v>
          </cell>
          <cell r="BT6" t="e">
            <v>#REF!</v>
          </cell>
          <cell r="BU6" t="e">
            <v>#REF!</v>
          </cell>
          <cell r="BV6" t="e">
            <v>#REF!</v>
          </cell>
          <cell r="BW6" t="e">
            <v>#REF!</v>
          </cell>
          <cell r="BX6" t="e">
            <v>#REF!</v>
          </cell>
          <cell r="BY6" t="e">
            <v>#REF!</v>
          </cell>
        </row>
        <row r="7">
          <cell r="A7" t="str">
            <v>Nexium</v>
          </cell>
          <cell r="B7">
            <v>1978</v>
          </cell>
          <cell r="C7">
            <v>3302</v>
          </cell>
          <cell r="D7">
            <v>3883</v>
          </cell>
          <cell r="E7">
            <v>4633</v>
          </cell>
          <cell r="F7">
            <v>5182</v>
          </cell>
          <cell r="G7">
            <v>5216</v>
          </cell>
          <cell r="H7">
            <v>5200</v>
          </cell>
          <cell r="I7">
            <v>4981.3762526243045</v>
          </cell>
          <cell r="J7">
            <v>4603.1078509316412</v>
          </cell>
          <cell r="K7">
            <v>3912.6416732918951</v>
          </cell>
          <cell r="L7">
            <v>3426.9020862981106</v>
          </cell>
          <cell r="M7">
            <v>3003.907770953394</v>
          </cell>
          <cell r="N7">
            <v>2075.3786254027154</v>
          </cell>
          <cell r="O7">
            <v>1168.6815132821723</v>
          </cell>
          <cell r="P7">
            <v>934.9452106257379</v>
          </cell>
          <cell r="Q7">
            <v>747.95616850059037</v>
          </cell>
          <cell r="R7">
            <v>598.36493480047238</v>
          </cell>
          <cell r="S7">
            <v>478.69194784037791</v>
          </cell>
          <cell r="T7">
            <v>382.9535582723023</v>
          </cell>
          <cell r="U7">
            <v>6599.1028773939361</v>
          </cell>
          <cell r="V7">
            <v>6540.6295497615938</v>
          </cell>
          <cell r="W7">
            <v>5839.0522591928329</v>
          </cell>
          <cell r="Y7">
            <v>-9.719392054015763E-2</v>
          </cell>
          <cell r="Z7">
            <v>-4.9703034652234357E-2</v>
          </cell>
          <cell r="AV7">
            <v>3624</v>
          </cell>
          <cell r="AW7">
            <v>3548</v>
          </cell>
          <cell r="AX7">
            <v>7172</v>
          </cell>
          <cell r="AY7">
            <v>3659</v>
          </cell>
          <cell r="AZ7">
            <v>10831</v>
          </cell>
          <cell r="BA7">
            <v>3947</v>
          </cell>
          <cell r="BB7">
            <v>14778</v>
          </cell>
          <cell r="BC7">
            <v>3698</v>
          </cell>
          <cell r="BD7">
            <v>3396</v>
          </cell>
          <cell r="BE7">
            <v>7094</v>
          </cell>
          <cell r="BF7">
            <v>3179</v>
          </cell>
          <cell r="BG7">
            <v>10273</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row>
        <row r="8">
          <cell r="A8" t="str">
            <v>Others</v>
          </cell>
          <cell r="B8">
            <v>63</v>
          </cell>
          <cell r="C8">
            <v>76</v>
          </cell>
          <cell r="D8">
            <v>88</v>
          </cell>
          <cell r="E8">
            <v>70</v>
          </cell>
          <cell r="F8">
            <v>78</v>
          </cell>
          <cell r="G8">
            <v>84</v>
          </cell>
          <cell r="H8">
            <v>89</v>
          </cell>
          <cell r="I8">
            <v>101</v>
          </cell>
          <cell r="J8">
            <v>104.77634700024684</v>
          </cell>
          <cell r="K8">
            <v>104.77634700024684</v>
          </cell>
          <cell r="L8">
            <v>104.77634700024684</v>
          </cell>
          <cell r="M8">
            <v>104.77634700024684</v>
          </cell>
          <cell r="N8">
            <v>104.77634700024684</v>
          </cell>
          <cell r="O8">
            <v>104.77634700024684</v>
          </cell>
          <cell r="P8">
            <v>104.77634700024684</v>
          </cell>
          <cell r="Q8">
            <v>104.77634700024684</v>
          </cell>
          <cell r="R8">
            <v>104.77634700024684</v>
          </cell>
          <cell r="S8">
            <v>104.77634700024684</v>
          </cell>
          <cell r="T8">
            <v>104.77634700024684</v>
          </cell>
          <cell r="U8">
            <v>4878.2723997596531</v>
          </cell>
          <cell r="V8">
            <v>4519.083010348877</v>
          </cell>
          <cell r="W8">
            <v>3874.3736555014411</v>
          </cell>
          <cell r="Y8">
            <v>-3.351437920413769E-2</v>
          </cell>
          <cell r="Z8">
            <v>-3.8101658983039965E-2</v>
          </cell>
          <cell r="AV8">
            <v>2176</v>
          </cell>
          <cell r="AW8">
            <v>2247</v>
          </cell>
          <cell r="AX8">
            <v>4423</v>
          </cell>
          <cell r="AY8">
            <v>2292</v>
          </cell>
          <cell r="AZ8">
            <v>6715</v>
          </cell>
          <cell r="BA8">
            <v>2562</v>
          </cell>
          <cell r="BB8">
            <v>9277</v>
          </cell>
          <cell r="BC8">
            <v>2465</v>
          </cell>
          <cell r="BD8">
            <v>2213</v>
          </cell>
          <cell r="BE8">
            <v>4678</v>
          </cell>
          <cell r="BF8">
            <v>2150</v>
          </cell>
          <cell r="BG8">
            <v>6828</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row>
        <row r="9">
          <cell r="A9" t="str">
            <v>Gastro-Intestinal</v>
          </cell>
          <cell r="B9">
            <v>6664</v>
          </cell>
          <cell r="C9">
            <v>5943</v>
          </cell>
          <cell r="D9">
            <v>5918</v>
          </cell>
          <cell r="E9">
            <v>6355</v>
          </cell>
          <cell r="F9">
            <v>6631</v>
          </cell>
          <cell r="G9">
            <v>6443</v>
          </cell>
          <cell r="H9">
            <v>6344</v>
          </cell>
          <cell r="I9">
            <v>6047.0090965499458</v>
          </cell>
          <cell r="J9">
            <v>5672.4310870945483</v>
          </cell>
          <cell r="K9">
            <v>4933.7375649966689</v>
          </cell>
          <cell r="L9">
            <v>4402.1820007676579</v>
          </cell>
          <cell r="M9">
            <v>3935.662507049477</v>
          </cell>
          <cell r="N9">
            <v>2965.7844420440065</v>
          </cell>
          <cell r="O9">
            <v>2019.8058564414112</v>
          </cell>
          <cell r="P9">
            <v>1748.7521539770271</v>
          </cell>
          <cell r="Q9">
            <v>1526.3115820343273</v>
          </cell>
          <cell r="R9">
            <v>1343.0413950075349</v>
          </cell>
          <cell r="S9">
            <v>1191.3734023870995</v>
          </cell>
          <cell r="T9">
            <v>1065.2397574417002</v>
          </cell>
          <cell r="AV9">
            <v>267</v>
          </cell>
          <cell r="BC9">
            <v>352</v>
          </cell>
          <cell r="BD9">
            <v>371</v>
          </cell>
          <cell r="BE9">
            <v>723</v>
          </cell>
          <cell r="BF9">
            <v>379</v>
          </cell>
          <cell r="BG9">
            <v>1102</v>
          </cell>
        </row>
        <row r="10">
          <cell r="A10" t="str">
            <v>Gastro-Intestinal</v>
          </cell>
          <cell r="B10">
            <v>6664</v>
          </cell>
          <cell r="C10">
            <v>5943</v>
          </cell>
          <cell r="D10">
            <v>5918</v>
          </cell>
          <cell r="E10">
            <v>6355</v>
          </cell>
          <cell r="F10">
            <v>6631</v>
          </cell>
          <cell r="G10">
            <v>6443</v>
          </cell>
          <cell r="H10">
            <v>6319.4397193824725</v>
          </cell>
          <cell r="I10">
            <v>6083.3496436665528</v>
          </cell>
          <cell r="J10">
            <v>5849.5244772963833</v>
          </cell>
          <cell r="K10">
            <v>5200.9235294699856</v>
          </cell>
          <cell r="L10">
            <v>4653.0878823605544</v>
          </cell>
          <cell r="M10">
            <v>4187.6863800407746</v>
          </cell>
          <cell r="AV10">
            <v>497</v>
          </cell>
          <cell r="BC10">
            <v>572</v>
          </cell>
          <cell r="BD10">
            <v>644</v>
          </cell>
          <cell r="BE10">
            <v>1216</v>
          </cell>
          <cell r="BF10">
            <v>632</v>
          </cell>
          <cell r="BG10">
            <v>1848</v>
          </cell>
        </row>
        <row r="11">
          <cell r="A11" t="str">
            <v>Zestril</v>
          </cell>
          <cell r="B11">
            <v>877</v>
          </cell>
          <cell r="C11">
            <v>478</v>
          </cell>
          <cell r="D11">
            <v>440</v>
          </cell>
          <cell r="E11">
            <v>332</v>
          </cell>
          <cell r="F11">
            <v>307</v>
          </cell>
          <cell r="G11">
            <v>295</v>
          </cell>
          <cell r="H11">
            <v>236</v>
          </cell>
          <cell r="I11">
            <v>188.46975960032705</v>
          </cell>
          <cell r="J11">
            <v>185.74073548901112</v>
          </cell>
          <cell r="K11">
            <v>176.45369871456055</v>
          </cell>
          <cell r="L11">
            <v>167.63101377883251</v>
          </cell>
          <cell r="M11">
            <v>159.24946308989087</v>
          </cell>
          <cell r="N11">
            <v>151.28698993539632</v>
          </cell>
          <cell r="O11">
            <v>143.72264043862648</v>
          </cell>
          <cell r="P11">
            <v>136.53650841669514</v>
          </cell>
          <cell r="Q11">
            <v>129.70968299586039</v>
          </cell>
          <cell r="R11">
            <v>123.22419884606737</v>
          </cell>
          <cell r="S11">
            <v>117.06298890376399</v>
          </cell>
          <cell r="T11">
            <v>111.20983945857579</v>
          </cell>
          <cell r="AV11">
            <v>161</v>
          </cell>
          <cell r="BC11">
            <v>232</v>
          </cell>
          <cell r="BD11">
            <v>262</v>
          </cell>
          <cell r="BE11">
            <v>494</v>
          </cell>
          <cell r="BF11">
            <v>251</v>
          </cell>
          <cell r="BG11">
            <v>745</v>
          </cell>
        </row>
        <row r="12">
          <cell r="A12" t="str">
            <v>Tenormin</v>
          </cell>
          <cell r="B12">
            <v>370</v>
          </cell>
          <cell r="C12">
            <v>342</v>
          </cell>
          <cell r="D12">
            <v>368</v>
          </cell>
          <cell r="E12">
            <v>352</v>
          </cell>
          <cell r="F12">
            <v>320</v>
          </cell>
          <cell r="G12">
            <v>308</v>
          </cell>
          <cell r="H12">
            <v>313</v>
          </cell>
          <cell r="I12">
            <v>295.56137816207973</v>
          </cell>
          <cell r="J12">
            <v>275.95106303329823</v>
          </cell>
          <cell r="K12">
            <v>248.3559567299684</v>
          </cell>
          <cell r="L12">
            <v>211.10256322047314</v>
          </cell>
          <cell r="M12">
            <v>179.43717873740218</v>
          </cell>
          <cell r="N12">
            <v>170.46531980053206</v>
          </cell>
          <cell r="O12">
            <v>161.94205381050546</v>
          </cell>
          <cell r="P12">
            <v>153.84495111998018</v>
          </cell>
          <cell r="Q12">
            <v>146.15270356398116</v>
          </cell>
          <cell r="R12">
            <v>138.8450683857821</v>
          </cell>
          <cell r="S12">
            <v>131.902814966493</v>
          </cell>
          <cell r="T12">
            <v>125.30767421816834</v>
          </cell>
          <cell r="U12">
            <v>3528.6131617286483</v>
          </cell>
          <cell r="V12">
            <v>3134.1658738470596</v>
          </cell>
          <cell r="W12">
            <v>2633.9839398005774</v>
          </cell>
          <cell r="Y12">
            <v>4.2822763173235856E-2</v>
          </cell>
          <cell r="Z12">
            <v>3.9544826324747318E-2</v>
          </cell>
          <cell r="AV12">
            <v>925</v>
          </cell>
          <cell r="AW12">
            <v>1099</v>
          </cell>
          <cell r="AX12">
            <v>2024</v>
          </cell>
          <cell r="AY12">
            <v>1102</v>
          </cell>
          <cell r="AZ12">
            <v>3126</v>
          </cell>
          <cell r="BA12">
            <v>1271</v>
          </cell>
          <cell r="BB12">
            <v>4397</v>
          </cell>
          <cell r="BC12">
            <v>1156</v>
          </cell>
          <cell r="BD12">
            <v>1277</v>
          </cell>
          <cell r="BE12">
            <v>2433</v>
          </cell>
          <cell r="BF12">
            <v>1262</v>
          </cell>
          <cell r="BG12">
            <v>3695</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row>
        <row r="13">
          <cell r="A13" t="str">
            <v>Seloken</v>
          </cell>
          <cell r="B13">
            <v>901</v>
          </cell>
          <cell r="C13">
            <v>1280</v>
          </cell>
          <cell r="D13">
            <v>1387</v>
          </cell>
          <cell r="E13">
            <v>1735</v>
          </cell>
          <cell r="F13">
            <v>1794</v>
          </cell>
          <cell r="G13">
            <v>1438</v>
          </cell>
          <cell r="H13">
            <v>807</v>
          </cell>
          <cell r="I13">
            <v>1342.2868463697955</v>
          </cell>
          <cell r="J13">
            <v>860.58888258091201</v>
          </cell>
          <cell r="K13">
            <v>780.09173140672112</v>
          </cell>
          <cell r="L13">
            <v>702.08255826604898</v>
          </cell>
          <cell r="M13">
            <v>631.87430243944414</v>
          </cell>
          <cell r="N13">
            <v>589.50614019549971</v>
          </cell>
          <cell r="O13">
            <v>551.37479417594977</v>
          </cell>
          <cell r="P13">
            <v>517.05658275835481</v>
          </cell>
          <cell r="Q13">
            <v>486.17019248251927</v>
          </cell>
          <cell r="R13">
            <v>458.3724412342674</v>
          </cell>
          <cell r="S13">
            <v>433.35446511084064</v>
          </cell>
          <cell r="T13">
            <v>410.83828659975654</v>
          </cell>
          <cell r="AV13">
            <v>264</v>
          </cell>
          <cell r="BC13">
            <v>310</v>
          </cell>
          <cell r="BD13">
            <v>286</v>
          </cell>
          <cell r="BE13">
            <v>596</v>
          </cell>
          <cell r="BF13">
            <v>236</v>
          </cell>
          <cell r="BG13">
            <v>832</v>
          </cell>
        </row>
        <row r="14">
          <cell r="A14" t="str">
            <v>Plendil</v>
          </cell>
          <cell r="B14">
            <v>489</v>
          </cell>
          <cell r="C14">
            <v>540</v>
          </cell>
          <cell r="D14">
            <v>455</v>
          </cell>
          <cell r="E14">
            <v>360</v>
          </cell>
          <cell r="F14">
            <v>275</v>
          </cell>
          <cell r="G14">
            <v>271</v>
          </cell>
          <cell r="H14">
            <v>268</v>
          </cell>
          <cell r="I14">
            <v>247.9194733189226</v>
          </cell>
          <cell r="J14">
            <v>244.32962303319584</v>
          </cell>
          <cell r="K14">
            <v>244.32962303319584</v>
          </cell>
          <cell r="L14">
            <v>244.32962303319584</v>
          </cell>
          <cell r="M14">
            <v>244.32962303319584</v>
          </cell>
          <cell r="N14">
            <v>244.32962303319584</v>
          </cell>
          <cell r="O14">
            <v>244.32962303319584</v>
          </cell>
          <cell r="P14">
            <v>244.32962303319584</v>
          </cell>
          <cell r="Q14">
            <v>244.32962303319584</v>
          </cell>
          <cell r="R14">
            <v>244.32962303319584</v>
          </cell>
          <cell r="S14">
            <v>244.32962303319584</v>
          </cell>
          <cell r="T14">
            <v>244.32962303319584</v>
          </cell>
          <cell r="AV14">
            <v>190</v>
          </cell>
          <cell r="BC14">
            <v>259</v>
          </cell>
          <cell r="BD14">
            <v>252</v>
          </cell>
          <cell r="BE14">
            <v>511</v>
          </cell>
          <cell r="BF14">
            <v>269</v>
          </cell>
          <cell r="BG14">
            <v>780</v>
          </cell>
        </row>
        <row r="15">
          <cell r="A15" t="str">
            <v>Atacand</v>
          </cell>
          <cell r="B15">
            <v>569</v>
          </cell>
          <cell r="C15">
            <v>750</v>
          </cell>
          <cell r="D15">
            <v>879</v>
          </cell>
          <cell r="E15">
            <v>974</v>
          </cell>
          <cell r="F15">
            <v>1110</v>
          </cell>
          <cell r="G15">
            <v>1287</v>
          </cell>
          <cell r="H15">
            <v>1471</v>
          </cell>
          <cell r="I15">
            <v>1440.1438040294033</v>
          </cell>
          <cell r="J15">
            <v>1543.2017780933127</v>
          </cell>
          <cell r="K15">
            <v>1448.560231436112</v>
          </cell>
          <cell r="L15">
            <v>954.16016200527827</v>
          </cell>
          <cell r="M15">
            <v>769.97612960422271</v>
          </cell>
          <cell r="N15">
            <v>622.62890368337821</v>
          </cell>
          <cell r="O15">
            <v>504.75112294670259</v>
          </cell>
          <cell r="P15">
            <v>410.44889835736211</v>
          </cell>
          <cell r="Q15">
            <v>335.00711868588968</v>
          </cell>
          <cell r="R15">
            <v>274.65369494871175</v>
          </cell>
          <cell r="S15">
            <v>226.3709559589694</v>
          </cell>
          <cell r="T15">
            <v>187.74476476717552</v>
          </cell>
          <cell r="AV15">
            <v>184</v>
          </cell>
          <cell r="BC15">
            <v>219</v>
          </cell>
          <cell r="BD15">
            <v>210</v>
          </cell>
          <cell r="BE15">
            <v>429</v>
          </cell>
          <cell r="BF15">
            <v>222</v>
          </cell>
          <cell r="BG15">
            <v>651</v>
          </cell>
        </row>
        <row r="16">
          <cell r="A16" t="str">
            <v>Others</v>
          </cell>
          <cell r="B16">
            <v>363</v>
          </cell>
          <cell r="C16">
            <v>391</v>
          </cell>
          <cell r="D16">
            <v>335</v>
          </cell>
          <cell r="E16">
            <v>294</v>
          </cell>
          <cell r="F16">
            <v>284</v>
          </cell>
          <cell r="G16">
            <v>290</v>
          </cell>
          <cell r="H16">
            <v>271</v>
          </cell>
          <cell r="I16">
            <v>247.92788655425906</v>
          </cell>
          <cell r="J16">
            <v>249.48187053928191</v>
          </cell>
          <cell r="K16">
            <v>241.99741442310344</v>
          </cell>
          <cell r="L16">
            <v>234.73749199041032</v>
          </cell>
          <cell r="M16">
            <v>227.695367230698</v>
          </cell>
          <cell r="N16">
            <v>220.86450621377705</v>
          </cell>
          <cell r="O16">
            <v>214.23857102736372</v>
          </cell>
          <cell r="P16">
            <v>207.8114138965428</v>
          </cell>
          <cell r="Q16">
            <v>201.57707147964652</v>
          </cell>
          <cell r="R16">
            <v>195.52975933525713</v>
          </cell>
          <cell r="S16">
            <v>189.66386655519941</v>
          </cell>
          <cell r="T16">
            <v>183.97395055854341</v>
          </cell>
          <cell r="AV16">
            <v>338</v>
          </cell>
          <cell r="BC16">
            <v>469</v>
          </cell>
          <cell r="BD16">
            <v>544</v>
          </cell>
          <cell r="BE16">
            <v>1013</v>
          </cell>
          <cell r="BF16">
            <v>553</v>
          </cell>
          <cell r="BG16">
            <v>1566</v>
          </cell>
        </row>
        <row r="17">
          <cell r="A17" t="str">
            <v>Crestor</v>
          </cell>
          <cell r="B17">
            <v>0</v>
          </cell>
          <cell r="C17">
            <v>129</v>
          </cell>
          <cell r="D17">
            <v>908</v>
          </cell>
          <cell r="E17">
            <v>1268</v>
          </cell>
          <cell r="F17">
            <v>2028</v>
          </cell>
          <cell r="G17">
            <v>2796</v>
          </cell>
          <cell r="H17">
            <v>3597</v>
          </cell>
          <cell r="I17">
            <v>4495.5793424989279</v>
          </cell>
          <cell r="J17">
            <v>5446.0364910845065</v>
          </cell>
          <cell r="K17">
            <v>6018.5533905357988</v>
          </cell>
          <cell r="L17">
            <v>6196.0946333112497</v>
          </cell>
          <cell r="M17">
            <v>6406.0015785003516</v>
          </cell>
          <cell r="N17">
            <v>6554.3358197673169</v>
          </cell>
          <cell r="O17">
            <v>6631.4696252261383</v>
          </cell>
          <cell r="P17">
            <v>4226.1174814504175</v>
          </cell>
          <cell r="Q17">
            <v>2679.5061429855141</v>
          </cell>
          <cell r="R17">
            <v>2127.4190411074537</v>
          </cell>
          <cell r="S17">
            <v>1690.605121589293</v>
          </cell>
          <cell r="T17">
            <v>1344.5530193637653</v>
          </cell>
          <cell r="U17">
            <v>8984.4818962191293</v>
          </cell>
          <cell r="V17">
            <v>8982.7777249127339</v>
          </cell>
          <cell r="W17">
            <v>8039.6872973702129</v>
          </cell>
          <cell r="Y17">
            <v>8.7712634839936632E-2</v>
          </cell>
          <cell r="Z17">
            <v>7.3723169814472689E-2</v>
          </cell>
          <cell r="AV17">
            <v>976</v>
          </cell>
          <cell r="AW17">
            <v>1064</v>
          </cell>
          <cell r="AX17">
            <v>2040</v>
          </cell>
          <cell r="AY17">
            <v>1147</v>
          </cell>
          <cell r="AZ17">
            <v>3187</v>
          </cell>
          <cell r="BA17">
            <v>1165</v>
          </cell>
          <cell r="BB17">
            <v>4352</v>
          </cell>
          <cell r="BC17">
            <v>1257</v>
          </cell>
          <cell r="BD17">
            <v>1292</v>
          </cell>
          <cell r="BE17">
            <v>2549</v>
          </cell>
          <cell r="BF17">
            <v>1307</v>
          </cell>
          <cell r="BG17">
            <v>3856</v>
          </cell>
          <cell r="BH17" t="e">
            <v>#REF!</v>
          </cell>
          <cell r="BI17" t="e">
            <v>#REF!</v>
          </cell>
          <cell r="BJ17" t="e">
            <v>#REF!</v>
          </cell>
          <cell r="BK17" t="e">
            <v>#REF!</v>
          </cell>
          <cell r="BL17" t="e">
            <v>#REF!</v>
          </cell>
          <cell r="BM17" t="e">
            <v>#REF!</v>
          </cell>
          <cell r="BN17" t="e">
            <v>#REF!</v>
          </cell>
          <cell r="BO17" t="e">
            <v>#REF!</v>
          </cell>
          <cell r="BP17" t="e">
            <v>#REF!</v>
          </cell>
          <cell r="BQ17" t="e">
            <v>#REF!</v>
          </cell>
          <cell r="BR17" t="e">
            <v>#REF!</v>
          </cell>
          <cell r="BS17" t="e">
            <v>#REF!</v>
          </cell>
          <cell r="BT17" t="e">
            <v>#REF!</v>
          </cell>
          <cell r="BU17" t="e">
            <v>#REF!</v>
          </cell>
          <cell r="BV17" t="e">
            <v>#REF!</v>
          </cell>
          <cell r="BW17" t="e">
            <v>#REF!</v>
          </cell>
          <cell r="BX17" t="e">
            <v>#REF!</v>
          </cell>
          <cell r="BY17" t="e">
            <v>#REF!</v>
          </cell>
        </row>
        <row r="18">
          <cell r="A18" t="str">
            <v>Cardiovascular</v>
          </cell>
          <cell r="B18">
            <v>3569</v>
          </cell>
          <cell r="C18">
            <v>3910</v>
          </cell>
          <cell r="D18">
            <v>4777</v>
          </cell>
          <cell r="E18">
            <v>5332</v>
          </cell>
          <cell r="F18">
            <v>6118</v>
          </cell>
          <cell r="G18">
            <v>6685</v>
          </cell>
          <cell r="H18">
            <v>6963</v>
          </cell>
          <cell r="I18">
            <v>8257.8884905337145</v>
          </cell>
          <cell r="J18">
            <v>8805.3304438535179</v>
          </cell>
          <cell r="K18">
            <v>9158.3420462794602</v>
          </cell>
          <cell r="L18">
            <v>8710.1380456054885</v>
          </cell>
          <cell r="M18">
            <v>8618.5636426352048</v>
          </cell>
          <cell r="N18">
            <v>8553.4173026290955</v>
          </cell>
          <cell r="O18">
            <v>8451.8284306584828</v>
          </cell>
          <cell r="P18">
            <v>5896.1454590325484</v>
          </cell>
          <cell r="Q18">
            <v>4222.4525352266064</v>
          </cell>
          <cell r="R18">
            <v>3562.3738268907355</v>
          </cell>
          <cell r="S18">
            <v>3033.2898361177549</v>
          </cell>
          <cell r="T18">
            <v>2607.9571579991807</v>
          </cell>
        </row>
        <row r="19">
          <cell r="A19" t="str">
            <v>Cardiovascular</v>
          </cell>
          <cell r="B19">
            <v>3569</v>
          </cell>
          <cell r="C19">
            <v>3910</v>
          </cell>
          <cell r="D19">
            <v>4777</v>
          </cell>
          <cell r="E19">
            <v>5332</v>
          </cell>
          <cell r="F19">
            <v>6118</v>
          </cell>
          <cell r="G19">
            <v>6685</v>
          </cell>
          <cell r="H19">
            <v>0.28648068669527893</v>
          </cell>
          <cell r="I19">
            <v>0.24981355087543178</v>
          </cell>
          <cell r="J19">
            <v>0.21142039238423371</v>
          </cell>
          <cell r="K19">
            <v>0.10512542477240783</v>
          </cell>
          <cell r="L19">
            <v>2.9498989417396482E-2</v>
          </cell>
          <cell r="M19">
            <v>3.3877298138832002E-2</v>
          </cell>
          <cell r="N19">
            <v>2.3155511195126932E-2</v>
          </cell>
          <cell r="O19">
            <v>1.1768363352117506E-2</v>
          </cell>
          <cell r="P19">
            <v>-0.36271781063819564</v>
          </cell>
          <cell r="Q19">
            <v>-0.36596506018902752</v>
          </cell>
          <cell r="R19">
            <v>-0.20604061809051244</v>
          </cell>
          <cell r="S19">
            <v>-0.20532575438958744</v>
          </cell>
          <cell r="T19">
            <v>-0.20469126575235574</v>
          </cell>
        </row>
        <row r="20">
          <cell r="A20" t="str">
            <v>Pulmicort</v>
          </cell>
          <cell r="B20">
            <v>812</v>
          </cell>
          <cell r="C20">
            <v>968</v>
          </cell>
          <cell r="D20">
            <v>1050</v>
          </cell>
          <cell r="E20">
            <v>1162</v>
          </cell>
          <cell r="F20">
            <v>1292</v>
          </cell>
          <cell r="G20">
            <v>1454</v>
          </cell>
          <cell r="H20">
            <v>1495</v>
          </cell>
          <cell r="I20">
            <v>1208.2462061046281</v>
          </cell>
          <cell r="J20">
            <v>814.12653255723797</v>
          </cell>
          <cell r="K20">
            <v>771.88653255723796</v>
          </cell>
          <cell r="L20">
            <v>682.72987930151419</v>
          </cell>
          <cell r="M20">
            <v>604.28409137136282</v>
          </cell>
          <cell r="N20">
            <v>535.2088022342266</v>
          </cell>
          <cell r="O20">
            <v>474.33807401080389</v>
          </cell>
          <cell r="P20">
            <v>420.65689580972355</v>
          </cell>
          <cell r="Q20">
            <v>373.28094104875117</v>
          </cell>
          <cell r="R20">
            <v>331.43912154087604</v>
          </cell>
          <cell r="S20">
            <v>294.45854279423844</v>
          </cell>
          <cell r="T20">
            <v>261.75152191114705</v>
          </cell>
          <cell r="U20">
            <v>0.27507184249483174</v>
          </cell>
          <cell r="V20">
            <v>0.28220764483569982</v>
          </cell>
          <cell r="W20">
            <v>0.28640920361036593</v>
          </cell>
          <cell r="AV20">
            <v>3.9178378378378378</v>
          </cell>
          <cell r="AW20">
            <v>3.2283894449499546</v>
          </cell>
          <cell r="AX20">
            <v>3.5434782608695654</v>
          </cell>
          <cell r="AY20">
            <v>3.3203266787658801</v>
          </cell>
          <cell r="AZ20">
            <v>3.4648112603966732</v>
          </cell>
          <cell r="BA20">
            <v>3.1054287962234461</v>
          </cell>
          <cell r="BB20">
            <v>3.3609279053900387</v>
          </cell>
          <cell r="BC20">
            <v>3.198961937716263</v>
          </cell>
          <cell r="BD20">
            <v>2.6593578700078306</v>
          </cell>
          <cell r="BE20">
            <v>2.9157418824496508</v>
          </cell>
          <cell r="BF20">
            <v>2.5190174326465926</v>
          </cell>
          <cell r="BG20">
            <v>2.7802435723951286</v>
          </cell>
          <cell r="BH20" t="e">
            <v>#DIV/0!</v>
          </cell>
          <cell r="BI20" t="e">
            <v>#DIV/0!</v>
          </cell>
          <cell r="BP20" t="e">
            <v>#DIV/0!</v>
          </cell>
          <cell r="BQ20" t="e">
            <v>#DIV/0!</v>
          </cell>
          <cell r="BR20" t="e">
            <v>#DIV/0!</v>
          </cell>
          <cell r="BS20" t="e">
            <v>#DIV/0!</v>
          </cell>
          <cell r="BT20" t="e">
            <v>#DIV/0!</v>
          </cell>
          <cell r="BU20" t="e">
            <v>#DIV/0!</v>
          </cell>
          <cell r="BV20" t="e">
            <v>#DIV/0!</v>
          </cell>
          <cell r="BW20" t="e">
            <v>#DIV/0!</v>
          </cell>
          <cell r="BX20" t="e">
            <v>#DIV/0!</v>
          </cell>
          <cell r="BY20" t="e">
            <v>#DIV/0!</v>
          </cell>
        </row>
        <row r="21">
          <cell r="A21" t="str">
            <v>Accolate</v>
          </cell>
          <cell r="B21">
            <v>144</v>
          </cell>
          <cell r="C21">
            <v>107</v>
          </cell>
          <cell r="D21">
            <v>116</v>
          </cell>
          <cell r="E21">
            <v>72</v>
          </cell>
          <cell r="F21">
            <v>81</v>
          </cell>
          <cell r="G21">
            <v>76</v>
          </cell>
          <cell r="H21">
            <v>73</v>
          </cell>
          <cell r="I21">
            <v>67.364997492434227</v>
          </cell>
          <cell r="J21">
            <v>66.389558765258855</v>
          </cell>
          <cell r="K21">
            <v>63.070080826995905</v>
          </cell>
          <cell r="L21">
            <v>59.916576785646107</v>
          </cell>
          <cell r="M21">
            <v>56.920747946363797</v>
          </cell>
          <cell r="N21">
            <v>54.074710549045605</v>
          </cell>
          <cell r="O21">
            <v>51.370975021593324</v>
          </cell>
          <cell r="P21">
            <v>48.802426270513656</v>
          </cell>
          <cell r="Q21">
            <v>46.36230495698797</v>
          </cell>
          <cell r="R21">
            <v>44.044189709138571</v>
          </cell>
          <cell r="S21">
            <v>41.841980223681638</v>
          </cell>
          <cell r="T21">
            <v>39.749881212497556</v>
          </cell>
          <cell r="U21">
            <v>0.20334209090607397</v>
          </cell>
          <cell r="V21">
            <v>0.19498425395672597</v>
          </cell>
          <cell r="W21">
            <v>0.19004047641706573</v>
          </cell>
          <cell r="AV21">
            <v>2.3524324324324324</v>
          </cell>
          <cell r="AW21">
            <v>2.0445859872611467</v>
          </cell>
          <cell r="AX21">
            <v>2.1852766798418974</v>
          </cell>
          <cell r="AY21">
            <v>2.0798548094373865</v>
          </cell>
          <cell r="AZ21">
            <v>2.1481126039667306</v>
          </cell>
          <cell r="BA21">
            <v>2.0157356412273799</v>
          </cell>
          <cell r="BB21">
            <v>2.1098476233795771</v>
          </cell>
          <cell r="BC21">
            <v>2.1323529411764706</v>
          </cell>
          <cell r="BD21">
            <v>1.7329678935003916</v>
          </cell>
          <cell r="BE21">
            <v>1.9227291409782161</v>
          </cell>
          <cell r="BF21">
            <v>1.7036450079239303</v>
          </cell>
          <cell r="BG21">
            <v>1.8479025710419485</v>
          </cell>
          <cell r="BH21" t="e">
            <v>#DIV/0!</v>
          </cell>
          <cell r="BI21" t="e">
            <v>#DIV/0!</v>
          </cell>
          <cell r="BP21" t="e">
            <v>#DIV/0!</v>
          </cell>
          <cell r="BQ21" t="e">
            <v>#DIV/0!</v>
          </cell>
          <cell r="BR21" t="e">
            <v>#DIV/0!</v>
          </cell>
          <cell r="BS21" t="e">
            <v>#DIV/0!</v>
          </cell>
          <cell r="BT21" t="e">
            <v>#DIV/0!</v>
          </cell>
          <cell r="BU21" t="e">
            <v>#DIV/0!</v>
          </cell>
          <cell r="BV21" t="e">
            <v>#DIV/0!</v>
          </cell>
          <cell r="BW21" t="e">
            <v>#DIV/0!</v>
          </cell>
          <cell r="BX21" t="e">
            <v>#DIV/0!</v>
          </cell>
          <cell r="BY21" t="e">
            <v>#DIV/0!</v>
          </cell>
        </row>
        <row r="22">
          <cell r="A22" t="str">
            <v>Rhinocort</v>
          </cell>
          <cell r="B22">
            <v>299</v>
          </cell>
          <cell r="C22">
            <v>364</v>
          </cell>
          <cell r="D22">
            <v>361</v>
          </cell>
          <cell r="E22">
            <v>387</v>
          </cell>
          <cell r="F22">
            <v>360</v>
          </cell>
          <cell r="G22">
            <v>354</v>
          </cell>
          <cell r="H22">
            <v>322</v>
          </cell>
          <cell r="I22">
            <v>270.20463940049058</v>
          </cell>
          <cell r="J22">
            <v>252.27672824764491</v>
          </cell>
          <cell r="K22">
            <v>227.04905542288043</v>
          </cell>
          <cell r="L22">
            <v>204.3441498805924</v>
          </cell>
          <cell r="M22">
            <v>183.90973489253315</v>
          </cell>
          <cell r="N22">
            <v>165.51876140327985</v>
          </cell>
          <cell r="O22">
            <v>148.96688526295188</v>
          </cell>
          <cell r="P22">
            <v>134.0701967366567</v>
          </cell>
          <cell r="Q22">
            <v>120.66317706299102</v>
          </cell>
          <cell r="R22">
            <v>108.59685935669192</v>
          </cell>
          <cell r="S22">
            <v>97.737173421022732</v>
          </cell>
          <cell r="T22">
            <v>87.963456078920458</v>
          </cell>
          <cell r="AV22">
            <v>0.28864864864864864</v>
          </cell>
          <cell r="AW22">
            <v>0</v>
          </cell>
          <cell r="AX22">
            <v>0</v>
          </cell>
          <cell r="AY22">
            <v>0</v>
          </cell>
          <cell r="AZ22">
            <v>0</v>
          </cell>
          <cell r="BA22">
            <v>0</v>
          </cell>
          <cell r="BB22">
            <v>0</v>
          </cell>
          <cell r="BC22">
            <v>0.30449826989619377</v>
          </cell>
          <cell r="BD22">
            <v>0.29052466718872355</v>
          </cell>
          <cell r="BE22">
            <v>0.29716399506781749</v>
          </cell>
          <cell r="BF22">
            <v>0.30031695721077656</v>
          </cell>
          <cell r="BG22">
            <v>0.29824086603518268</v>
          </cell>
        </row>
        <row r="23">
          <cell r="A23" t="str">
            <v>Oxis</v>
          </cell>
          <cell r="B23">
            <v>120</v>
          </cell>
          <cell r="C23">
            <v>120</v>
          </cell>
          <cell r="D23">
            <v>101</v>
          </cell>
          <cell r="E23">
            <v>91</v>
          </cell>
          <cell r="F23">
            <v>88</v>
          </cell>
          <cell r="G23">
            <v>86</v>
          </cell>
          <cell r="H23">
            <v>71</v>
          </cell>
          <cell r="I23">
            <v>56.887717538550334</v>
          </cell>
          <cell r="J23">
            <v>53.113252570139217</v>
          </cell>
          <cell r="K23">
            <v>47.801927313125297</v>
          </cell>
          <cell r="L23">
            <v>43.021734581812765</v>
          </cell>
          <cell r="M23">
            <v>38.719561123631493</v>
          </cell>
          <cell r="N23">
            <v>34.847605011268342</v>
          </cell>
          <cell r="O23">
            <v>31.36284451014151</v>
          </cell>
          <cell r="P23">
            <v>31.36284451014151</v>
          </cell>
          <cell r="Q23">
            <v>31.36284451014151</v>
          </cell>
          <cell r="R23">
            <v>31.36284451014151</v>
          </cell>
          <cell r="S23">
            <v>31.36284451014151</v>
          </cell>
          <cell r="T23">
            <v>31.36284451014151</v>
          </cell>
          <cell r="AV23">
            <v>0.53729729729729725</v>
          </cell>
          <cell r="AW23">
            <v>0</v>
          </cell>
          <cell r="AX23">
            <v>0</v>
          </cell>
          <cell r="AY23">
            <v>0</v>
          </cell>
          <cell r="AZ23">
            <v>0</v>
          </cell>
          <cell r="BA23">
            <v>0</v>
          </cell>
          <cell r="BB23">
            <v>0</v>
          </cell>
          <cell r="BC23">
            <v>0.49480968858131485</v>
          </cell>
          <cell r="BD23">
            <v>0.50430696945967113</v>
          </cell>
          <cell r="BE23">
            <v>0.49979449239621865</v>
          </cell>
          <cell r="BF23">
            <v>0.50079239302694134</v>
          </cell>
          <cell r="BG23">
            <v>0.5001353179972936</v>
          </cell>
        </row>
        <row r="24">
          <cell r="A24" t="str">
            <v>Symbicort</v>
          </cell>
          <cell r="B24">
            <v>299</v>
          </cell>
          <cell r="C24">
            <v>549</v>
          </cell>
          <cell r="D24">
            <v>797</v>
          </cell>
          <cell r="E24">
            <v>1006</v>
          </cell>
          <cell r="F24">
            <v>1184</v>
          </cell>
          <cell r="G24">
            <v>1575</v>
          </cell>
          <cell r="H24">
            <v>2004</v>
          </cell>
          <cell r="I24">
            <v>2271.7329519066211</v>
          </cell>
          <cell r="J24">
            <v>2607.7819939092715</v>
          </cell>
          <cell r="K24">
            <v>2438.7255951274174</v>
          </cell>
          <cell r="L24">
            <v>2393.6917558583045</v>
          </cell>
          <cell r="M24">
            <v>2364.5779924795588</v>
          </cell>
          <cell r="N24">
            <v>1875.1661932316028</v>
          </cell>
          <cell r="O24">
            <v>1599.1156739084427</v>
          </cell>
          <cell r="P24">
            <v>1368.3769865175987</v>
          </cell>
          <cell r="Q24">
            <v>1174.8775918658387</v>
          </cell>
          <cell r="R24">
            <v>1012.0604758792549</v>
          </cell>
          <cell r="S24">
            <v>874.59094285132937</v>
          </cell>
          <cell r="T24">
            <v>758.12106021419652</v>
          </cell>
          <cell r="AV24">
            <v>0.17405405405405405</v>
          </cell>
          <cell r="AW24">
            <v>0</v>
          </cell>
          <cell r="AX24">
            <v>0</v>
          </cell>
          <cell r="AY24">
            <v>0</v>
          </cell>
          <cell r="AZ24">
            <v>0</v>
          </cell>
          <cell r="BA24">
            <v>0</v>
          </cell>
          <cell r="BB24">
            <v>0</v>
          </cell>
          <cell r="BC24">
            <v>0.20069204152249134</v>
          </cell>
          <cell r="BD24">
            <v>0.20516836335160532</v>
          </cell>
          <cell r="BE24">
            <v>0.20304151253596384</v>
          </cell>
          <cell r="BF24">
            <v>0.1988906497622821</v>
          </cell>
          <cell r="BG24">
            <v>0.20162381596752368</v>
          </cell>
        </row>
        <row r="25">
          <cell r="A25" t="str">
            <v>Others</v>
          </cell>
          <cell r="B25">
            <v>144</v>
          </cell>
          <cell r="C25">
            <v>153</v>
          </cell>
          <cell r="D25">
            <v>158</v>
          </cell>
          <cell r="E25">
            <v>155</v>
          </cell>
          <cell r="F25">
            <v>146</v>
          </cell>
          <cell r="G25">
            <v>166</v>
          </cell>
          <cell r="H25">
            <v>153</v>
          </cell>
          <cell r="I25">
            <v>135.75027262333703</v>
          </cell>
          <cell r="J25">
            <v>136.6011399967133</v>
          </cell>
          <cell r="K25">
            <v>132.50310579681189</v>
          </cell>
          <cell r="L25">
            <v>128.52801262290754</v>
          </cell>
          <cell r="M25">
            <v>124.67217224422031</v>
          </cell>
          <cell r="N25">
            <v>120.9320070768937</v>
          </cell>
          <cell r="O25">
            <v>117.30404686458688</v>
          </cell>
          <cell r="P25">
            <v>113.78492545864927</v>
          </cell>
          <cell r="Q25">
            <v>110.37137769488979</v>
          </cell>
          <cell r="R25">
            <v>107.06023636404309</v>
          </cell>
          <cell r="S25">
            <v>103.84842927312179</v>
          </cell>
          <cell r="T25">
            <v>100.73297639492814</v>
          </cell>
          <cell r="U25">
            <v>0.1470839509372103</v>
          </cell>
          <cell r="V25">
            <v>0.13522942448484049</v>
          </cell>
          <cell r="W25">
            <v>0.12919857693225412</v>
          </cell>
          <cell r="AV25">
            <v>1</v>
          </cell>
          <cell r="AW25">
            <v>1</v>
          </cell>
          <cell r="AX25">
            <v>1</v>
          </cell>
          <cell r="AY25">
            <v>1</v>
          </cell>
          <cell r="AZ25">
            <v>1</v>
          </cell>
          <cell r="BA25">
            <v>1</v>
          </cell>
          <cell r="BB25">
            <v>1</v>
          </cell>
          <cell r="BC25">
            <v>1</v>
          </cell>
          <cell r="BD25">
            <v>1</v>
          </cell>
          <cell r="BE25">
            <v>1</v>
          </cell>
          <cell r="BF25">
            <v>1</v>
          </cell>
          <cell r="BG25">
            <v>1</v>
          </cell>
          <cell r="BH25" t="e">
            <v>#DIV/0!</v>
          </cell>
          <cell r="BI25" t="e">
            <v>#DIV/0!</v>
          </cell>
          <cell r="BP25" t="e">
            <v>#DIV/0!</v>
          </cell>
          <cell r="BQ25" t="e">
            <v>#DIV/0!</v>
          </cell>
          <cell r="BR25" t="e">
            <v>#DIV/0!</v>
          </cell>
          <cell r="BS25" t="e">
            <v>#DIV/0!</v>
          </cell>
          <cell r="BT25" t="e">
            <v>#DIV/0!</v>
          </cell>
          <cell r="BU25" t="e">
            <v>#DIV/0!</v>
          </cell>
          <cell r="BV25" t="e">
            <v>#DIV/0!</v>
          </cell>
          <cell r="BW25" t="e">
            <v>#DIV/0!</v>
          </cell>
          <cell r="BX25" t="e">
            <v>#DIV/0!</v>
          </cell>
          <cell r="BY25" t="e">
            <v>#DIV/0!</v>
          </cell>
        </row>
        <row r="26">
          <cell r="A26" t="str">
            <v>Respiratory</v>
          </cell>
          <cell r="B26">
            <v>1818</v>
          </cell>
          <cell r="C26">
            <v>2261</v>
          </cell>
          <cell r="D26">
            <v>2583</v>
          </cell>
          <cell r="E26">
            <v>2873</v>
          </cell>
          <cell r="F26">
            <v>3151</v>
          </cell>
          <cell r="G26">
            <v>3711</v>
          </cell>
          <cell r="H26">
            <v>4118</v>
          </cell>
          <cell r="I26">
            <v>4010.186785066061</v>
          </cell>
          <cell r="J26">
            <v>3930.2892060462659</v>
          </cell>
          <cell r="K26">
            <v>3681.0362970444685</v>
          </cell>
          <cell r="L26">
            <v>3512.2321090307778</v>
          </cell>
          <cell r="M26">
            <v>3373.0843000576701</v>
          </cell>
          <cell r="N26">
            <v>2785.7480795063166</v>
          </cell>
          <cell r="O26">
            <v>2422.4584995785199</v>
          </cell>
          <cell r="P26">
            <v>2117.0542753032832</v>
          </cell>
          <cell r="Q26">
            <v>1856.9182371396</v>
          </cell>
          <cell r="R26">
            <v>1634.563727360146</v>
          </cell>
          <cell r="S26">
            <v>1443.8399130735356</v>
          </cell>
          <cell r="T26">
            <v>1279.6817403218311</v>
          </cell>
          <cell r="AV26">
            <v>0.28540540540540543</v>
          </cell>
          <cell r="AW26">
            <v>0</v>
          </cell>
          <cell r="AX26">
            <v>0</v>
          </cell>
          <cell r="AY26">
            <v>0</v>
          </cell>
          <cell r="AZ26">
            <v>0</v>
          </cell>
          <cell r="BA26">
            <v>0</v>
          </cell>
          <cell r="BB26">
            <v>0</v>
          </cell>
          <cell r="BC26">
            <v>0.26816608996539792</v>
          </cell>
          <cell r="BD26">
            <v>0.22396241190289742</v>
          </cell>
          <cell r="BE26">
            <v>0.24496506370735718</v>
          </cell>
          <cell r="BF26">
            <v>0.18700475435816163</v>
          </cell>
          <cell r="BG26">
            <v>0.22516914749661704</v>
          </cell>
        </row>
        <row r="27">
          <cell r="A27" t="str">
            <v>Respiratory</v>
          </cell>
          <cell r="B27">
            <v>1818</v>
          </cell>
          <cell r="C27">
            <v>2261</v>
          </cell>
          <cell r="D27">
            <v>2583</v>
          </cell>
          <cell r="E27">
            <v>2873</v>
          </cell>
          <cell r="F27">
            <v>3151</v>
          </cell>
          <cell r="G27">
            <v>3711</v>
          </cell>
          <cell r="H27">
            <v>4236.7296198824133</v>
          </cell>
          <cell r="I27">
            <v>3836.6631294390254</v>
          </cell>
          <cell r="J27">
            <v>3470.0351205080715</v>
          </cell>
          <cell r="K27">
            <v>3115.2221497685605</v>
          </cell>
          <cell r="L27">
            <v>2905.8767518842542</v>
          </cell>
          <cell r="M27">
            <v>2714.7294942300468</v>
          </cell>
          <cell r="AV27">
            <v>0.20540540540540542</v>
          </cell>
          <cell r="AW27">
            <v>0</v>
          </cell>
          <cell r="AX27">
            <v>0</v>
          </cell>
          <cell r="AY27">
            <v>0</v>
          </cell>
          <cell r="AZ27">
            <v>0</v>
          </cell>
          <cell r="BA27">
            <v>0</v>
          </cell>
          <cell r="BB27">
            <v>0</v>
          </cell>
          <cell r="BC27">
            <v>0.22404844290657439</v>
          </cell>
          <cell r="BD27">
            <v>0.19733750978856696</v>
          </cell>
          <cell r="BE27">
            <v>0.21002877106452938</v>
          </cell>
          <cell r="BF27">
            <v>0.21315372424722662</v>
          </cell>
          <cell r="BG27">
            <v>0.21109607577807848</v>
          </cell>
        </row>
        <row r="28">
          <cell r="A28" t="str">
            <v>Zoladex</v>
          </cell>
          <cell r="B28">
            <v>794</v>
          </cell>
          <cell r="C28">
            <v>869</v>
          </cell>
          <cell r="D28">
            <v>917</v>
          </cell>
          <cell r="E28">
            <v>1004</v>
          </cell>
          <cell r="F28">
            <v>1008</v>
          </cell>
          <cell r="G28">
            <v>1104</v>
          </cell>
          <cell r="H28">
            <v>1138</v>
          </cell>
          <cell r="I28">
            <v>1089.5617846952046</v>
          </cell>
          <cell r="J28">
            <v>1027.9881636084224</v>
          </cell>
          <cell r="K28">
            <v>921.14134724758014</v>
          </cell>
          <cell r="L28">
            <v>825.78881252282213</v>
          </cell>
          <cell r="M28">
            <v>700.62513064439884</v>
          </cell>
          <cell r="N28">
            <v>598.64022504773902</v>
          </cell>
          <cell r="O28">
            <v>511.95305529057816</v>
          </cell>
          <cell r="P28">
            <v>438.26896099699138</v>
          </cell>
          <cell r="Q28">
            <v>375.6374808474427</v>
          </cell>
          <cell r="R28">
            <v>322.40072272032626</v>
          </cell>
          <cell r="S28">
            <v>277.14947831227732</v>
          </cell>
          <cell r="T28">
            <v>238.68592056543574</v>
          </cell>
          <cell r="AV28">
            <v>0.19891891891891891</v>
          </cell>
          <cell r="AW28">
            <v>0</v>
          </cell>
          <cell r="AX28">
            <v>0</v>
          </cell>
          <cell r="AY28">
            <v>0</v>
          </cell>
          <cell r="AZ28">
            <v>0</v>
          </cell>
          <cell r="BA28">
            <v>0</v>
          </cell>
          <cell r="BB28">
            <v>0</v>
          </cell>
          <cell r="BC28">
            <v>0.18944636678200691</v>
          </cell>
          <cell r="BD28">
            <v>0.1644479248238058</v>
          </cell>
          <cell r="BE28">
            <v>0.17632552404438964</v>
          </cell>
          <cell r="BF28">
            <v>0.17591125198098256</v>
          </cell>
          <cell r="BG28">
            <v>0.17618403247631936</v>
          </cell>
        </row>
        <row r="29">
          <cell r="A29" t="str">
            <v>Nolvadex</v>
          </cell>
          <cell r="B29">
            <v>480</v>
          </cell>
          <cell r="C29">
            <v>178</v>
          </cell>
          <cell r="D29">
            <v>134</v>
          </cell>
          <cell r="E29">
            <v>114</v>
          </cell>
          <cell r="F29">
            <v>89</v>
          </cell>
          <cell r="G29">
            <v>77</v>
          </cell>
          <cell r="H29">
            <v>64.661777805968796</v>
          </cell>
          <cell r="I29">
            <v>42</v>
          </cell>
          <cell r="J29">
            <v>34.856289695131629</v>
          </cell>
          <cell r="K29">
            <v>27.885031756105306</v>
          </cell>
          <cell r="L29">
            <v>22.308025404884248</v>
          </cell>
          <cell r="M29">
            <v>17.846420323907399</v>
          </cell>
          <cell r="N29">
            <v>14.277136259125919</v>
          </cell>
          <cell r="O29">
            <v>11.421709007300736</v>
          </cell>
          <cell r="P29">
            <v>9.1373672058405884</v>
          </cell>
          <cell r="Q29">
            <v>7.3098937646724709</v>
          </cell>
          <cell r="R29">
            <v>5.8479150117379772</v>
          </cell>
          <cell r="S29">
            <v>4.678332009390382</v>
          </cell>
          <cell r="T29">
            <v>3.7426656075123059</v>
          </cell>
          <cell r="AV29">
            <v>0.36540540540540539</v>
          </cell>
          <cell r="AW29">
            <v>0</v>
          </cell>
          <cell r="AX29">
            <v>0</v>
          </cell>
          <cell r="AY29">
            <v>0</v>
          </cell>
          <cell r="AZ29">
            <v>0</v>
          </cell>
          <cell r="BA29">
            <v>0</v>
          </cell>
          <cell r="BB29">
            <v>0</v>
          </cell>
          <cell r="BC29">
            <v>0.40570934256055363</v>
          </cell>
          <cell r="BD29">
            <v>0.42599843382928737</v>
          </cell>
          <cell r="BE29">
            <v>0.41635840526099466</v>
          </cell>
          <cell r="BF29">
            <v>0.43819334389857367</v>
          </cell>
          <cell r="BG29">
            <v>0.42381596752368067</v>
          </cell>
        </row>
        <row r="30">
          <cell r="A30" t="str">
            <v>Casodex</v>
          </cell>
          <cell r="B30">
            <v>644</v>
          </cell>
          <cell r="C30">
            <v>854</v>
          </cell>
          <cell r="D30">
            <v>1012</v>
          </cell>
          <cell r="E30">
            <v>1123</v>
          </cell>
          <cell r="F30">
            <v>1206</v>
          </cell>
          <cell r="G30">
            <v>1335</v>
          </cell>
          <cell r="H30">
            <v>1258</v>
          </cell>
          <cell r="I30">
            <v>850.52575304799188</v>
          </cell>
          <cell r="J30">
            <v>641.45556431883563</v>
          </cell>
          <cell r="K30">
            <v>520.38350145506854</v>
          </cell>
          <cell r="L30">
            <v>423.30927966405488</v>
          </cell>
          <cell r="M30">
            <v>345.4398278762439</v>
          </cell>
          <cell r="N30">
            <v>282.94049432164513</v>
          </cell>
          <cell r="O30">
            <v>232.7433685173466</v>
          </cell>
          <cell r="P30">
            <v>192.39393868210686</v>
          </cell>
          <cell r="Q30">
            <v>159.92841749786822</v>
          </cell>
          <cell r="R30">
            <v>133.77560255391177</v>
          </cell>
          <cell r="S30">
            <v>112.67836454207813</v>
          </cell>
          <cell r="T30">
            <v>95.630837657642743</v>
          </cell>
          <cell r="U30">
            <v>0.37450211566188402</v>
          </cell>
          <cell r="V30">
            <v>0.38757867672273372</v>
          </cell>
          <cell r="W30">
            <v>0.39435174304031417</v>
          </cell>
          <cell r="AV30">
            <v>1.0551351351351352</v>
          </cell>
          <cell r="AW30">
            <v>0.96815286624203822</v>
          </cell>
          <cell r="AX30">
            <v>1.0079051383399209</v>
          </cell>
          <cell r="AY30">
            <v>1.0408348457350272</v>
          </cell>
          <cell r="AZ30">
            <v>1.0195137555982086</v>
          </cell>
          <cell r="BA30">
            <v>0.91660110149488594</v>
          </cell>
          <cell r="BB30">
            <v>0.98976574937457362</v>
          </cell>
          <cell r="BC30">
            <v>1.0873702422145328</v>
          </cell>
          <cell r="BD30">
            <v>1.0117462803445576</v>
          </cell>
          <cell r="BE30">
            <v>1.0476777640772708</v>
          </cell>
          <cell r="BF30">
            <v>1.0356576862123614</v>
          </cell>
          <cell r="BG30">
            <v>1.043572395128552</v>
          </cell>
          <cell r="BH30" t="e">
            <v>#REF!</v>
          </cell>
          <cell r="BI30" t="e">
            <v>#REF!</v>
          </cell>
          <cell r="BP30" t="e">
            <v>#REF!</v>
          </cell>
          <cell r="BQ30" t="e">
            <v>#REF!</v>
          </cell>
          <cell r="BR30" t="e">
            <v>#REF!</v>
          </cell>
          <cell r="BS30" t="e">
            <v>#REF!</v>
          </cell>
          <cell r="BT30" t="e">
            <v>#REF!</v>
          </cell>
          <cell r="BU30" t="e">
            <v>#REF!</v>
          </cell>
          <cell r="BV30" t="e">
            <v>#REF!</v>
          </cell>
          <cell r="BW30" t="e">
            <v>#REF!</v>
          </cell>
          <cell r="BX30" t="e">
            <v>#REF!</v>
          </cell>
          <cell r="BY30" t="e">
            <v>#REF!</v>
          </cell>
        </row>
        <row r="31">
          <cell r="A31" t="str">
            <v>Arimidex</v>
          </cell>
          <cell r="B31">
            <v>331</v>
          </cell>
          <cell r="C31">
            <v>519</v>
          </cell>
          <cell r="D31">
            <v>811</v>
          </cell>
          <cell r="E31">
            <v>1181</v>
          </cell>
          <cell r="F31">
            <v>1508</v>
          </cell>
          <cell r="G31">
            <v>1730</v>
          </cell>
          <cell r="H31">
            <v>1857</v>
          </cell>
          <cell r="I31">
            <v>1888.1841094105816</v>
          </cell>
          <cell r="J31">
            <v>1502.026140851488</v>
          </cell>
          <cell r="K31">
            <v>951.12091268119048</v>
          </cell>
          <cell r="L31">
            <v>775.92673014495233</v>
          </cell>
          <cell r="M31">
            <v>634.26838411596191</v>
          </cell>
          <cell r="N31">
            <v>519.58900729276957</v>
          </cell>
          <cell r="O31">
            <v>426.62807583421562</v>
          </cell>
          <cell r="P31">
            <v>351.16364366737253</v>
          </cell>
          <cell r="Q31">
            <v>289.805979633898</v>
          </cell>
          <cell r="R31">
            <v>239.83234193711843</v>
          </cell>
          <cell r="S31">
            <v>199.05467595669478</v>
          </cell>
          <cell r="T31">
            <v>165.71366293165582</v>
          </cell>
        </row>
        <row r="32">
          <cell r="A32" t="str">
            <v>Faslodex</v>
          </cell>
          <cell r="B32">
            <v>35</v>
          </cell>
          <cell r="C32">
            <v>77</v>
          </cell>
          <cell r="D32">
            <v>99</v>
          </cell>
          <cell r="E32">
            <v>140</v>
          </cell>
          <cell r="F32">
            <v>186</v>
          </cell>
          <cell r="G32">
            <v>232</v>
          </cell>
          <cell r="H32">
            <v>274</v>
          </cell>
          <cell r="I32">
            <v>243.76078063121543</v>
          </cell>
          <cell r="J32">
            <v>240.23114781825657</v>
          </cell>
          <cell r="K32">
            <v>235.42652486189144</v>
          </cell>
          <cell r="L32">
            <v>230.71799436465361</v>
          </cell>
          <cell r="M32">
            <v>226.10363447736054</v>
          </cell>
          <cell r="N32">
            <v>221.58156178781334</v>
          </cell>
          <cell r="O32">
            <v>221.58156178781334</v>
          </cell>
          <cell r="P32">
            <v>221.58156178781334</v>
          </cell>
          <cell r="Q32">
            <v>221.58156178781334</v>
          </cell>
          <cell r="R32">
            <v>221.58156178781334</v>
          </cell>
          <cell r="S32">
            <v>221.58156178781334</v>
          </cell>
          <cell r="T32">
            <v>221.58156178781334</v>
          </cell>
        </row>
        <row r="33">
          <cell r="A33" t="str">
            <v>Iressa</v>
          </cell>
          <cell r="B33">
            <v>67</v>
          </cell>
          <cell r="C33">
            <v>228</v>
          </cell>
          <cell r="D33">
            <v>389</v>
          </cell>
          <cell r="E33">
            <v>273</v>
          </cell>
          <cell r="F33">
            <v>237</v>
          </cell>
          <cell r="G33">
            <v>238</v>
          </cell>
          <cell r="H33">
            <v>265</v>
          </cell>
          <cell r="I33">
            <v>304.24030986213268</v>
          </cell>
          <cell r="J33">
            <v>315.61572552056867</v>
          </cell>
          <cell r="K33">
            <v>315.61572552056867</v>
          </cell>
          <cell r="L33">
            <v>315.61572552056867</v>
          </cell>
          <cell r="M33">
            <v>315.61572552056867</v>
          </cell>
          <cell r="N33">
            <v>315.61572552056867</v>
          </cell>
          <cell r="O33">
            <v>315.61572552056867</v>
          </cell>
          <cell r="P33">
            <v>315.61572552056867</v>
          </cell>
          <cell r="Q33">
            <v>315.61572552056867</v>
          </cell>
          <cell r="R33">
            <v>315.61572552056867</v>
          </cell>
          <cell r="S33">
            <v>315.61572552056867</v>
          </cell>
          <cell r="T33">
            <v>315.61572552056867</v>
          </cell>
          <cell r="U33">
            <v>-1.1849049505345821E-2</v>
          </cell>
          <cell r="V33">
            <v>-3.3922393553092678E-2</v>
          </cell>
          <cell r="W33">
            <v>-0.1203607193325672</v>
          </cell>
          <cell r="AV33">
            <v>0</v>
          </cell>
          <cell r="AW33">
            <v>0</v>
          </cell>
          <cell r="AX33">
            <v>0</v>
          </cell>
          <cell r="AY33">
            <v>0.05</v>
          </cell>
          <cell r="AZ33">
            <v>0.02</v>
          </cell>
          <cell r="BA33">
            <v>0.09</v>
          </cell>
          <cell r="BB33">
            <v>0.04</v>
          </cell>
          <cell r="BC33">
            <v>0.11362160758343065</v>
          </cell>
          <cell r="BD33">
            <v>0.03</v>
          </cell>
          <cell r="BE33">
            <v>7.0000000000000007E-2</v>
          </cell>
          <cell r="BF33">
            <v>-0.04</v>
          </cell>
          <cell r="BG33">
            <v>0.03</v>
          </cell>
          <cell r="BH33" t="e">
            <v>#REF!</v>
          </cell>
          <cell r="BI33" t="e">
            <v>#REF!</v>
          </cell>
          <cell r="BP33" t="e">
            <v>#REF!</v>
          </cell>
          <cell r="BQ33" t="e">
            <v>#REF!</v>
          </cell>
          <cell r="BR33" t="e">
            <v>#REF!</v>
          </cell>
          <cell r="BS33" t="e">
            <v>#REF!</v>
          </cell>
          <cell r="BT33" t="e">
            <v>#REF!</v>
          </cell>
          <cell r="BU33" t="e">
            <v>#REF!</v>
          </cell>
          <cell r="BV33" t="e">
            <v>#REF!</v>
          </cell>
          <cell r="BW33" t="e">
            <v>#REF!</v>
          </cell>
          <cell r="BX33" t="e">
            <v>#REF!</v>
          </cell>
          <cell r="BY33" t="e">
            <v>#REF!</v>
          </cell>
        </row>
        <row r="34">
          <cell r="A34" t="str">
            <v>Ethyol</v>
          </cell>
          <cell r="B34">
            <v>67</v>
          </cell>
          <cell r="C34">
            <v>228</v>
          </cell>
          <cell r="D34">
            <v>389</v>
          </cell>
          <cell r="E34">
            <v>273</v>
          </cell>
          <cell r="F34">
            <v>237</v>
          </cell>
          <cell r="G34">
            <v>238</v>
          </cell>
          <cell r="H34">
            <v>32</v>
          </cell>
          <cell r="I34">
            <v>16</v>
          </cell>
          <cell r="J34">
            <v>16.598233188157916</v>
          </cell>
          <cell r="K34">
            <v>16.598233188157916</v>
          </cell>
          <cell r="L34">
            <v>16.598233188157916</v>
          </cell>
          <cell r="M34">
            <v>16.598233188157916</v>
          </cell>
          <cell r="N34">
            <v>16.598233188157916</v>
          </cell>
          <cell r="O34">
            <v>16.598233188157916</v>
          </cell>
          <cell r="P34">
            <v>16.598233188157916</v>
          </cell>
          <cell r="Q34">
            <v>16.598233188157916</v>
          </cell>
          <cell r="R34">
            <v>16.598233188157916</v>
          </cell>
          <cell r="S34">
            <v>16.598233188157916</v>
          </cell>
          <cell r="T34">
            <v>16.598233188157916</v>
          </cell>
          <cell r="U34">
            <v>1.8431835548192055E-2</v>
          </cell>
          <cell r="V34">
            <v>-8.8607995236216208E-3</v>
          </cell>
          <cell r="W34">
            <v>-0.1072644896383611</v>
          </cell>
          <cell r="AV34">
            <v>7.0000000000000007E-2</v>
          </cell>
          <cell r="AW34">
            <v>0.13</v>
          </cell>
          <cell r="AX34">
            <v>0.1</v>
          </cell>
          <cell r="AY34">
            <v>0.14000000000000001</v>
          </cell>
          <cell r="AZ34">
            <v>0.11</v>
          </cell>
          <cell r="BA34">
            <v>0.04</v>
          </cell>
          <cell r="BB34">
            <v>0.09</v>
          </cell>
          <cell r="BC34">
            <v>2.0419426048565059E-2</v>
          </cell>
          <cell r="BD34">
            <v>-0.04</v>
          </cell>
          <cell r="BE34">
            <v>-0.01</v>
          </cell>
          <cell r="BF34">
            <v>-0.13</v>
          </cell>
          <cell r="BG34">
            <v>-0.05</v>
          </cell>
          <cell r="BH34">
            <v>-1</v>
          </cell>
          <cell r="BI34">
            <v>-1</v>
          </cell>
          <cell r="BP34" t="e">
            <v>#DIV/0!</v>
          </cell>
          <cell r="BQ34" t="e">
            <v>#DIV/0!</v>
          </cell>
          <cell r="BR34" t="e">
            <v>#DIV/0!</v>
          </cell>
          <cell r="BS34" t="e">
            <v>#DIV/0!</v>
          </cell>
          <cell r="BT34" t="e">
            <v>#DIV/0!</v>
          </cell>
          <cell r="BU34" t="e">
            <v>#DIV/0!</v>
          </cell>
          <cell r="BV34" t="e">
            <v>#DIV/0!</v>
          </cell>
          <cell r="BW34" t="e">
            <v>#DIV/0!</v>
          </cell>
          <cell r="BX34" t="e">
            <v>#DIV/0!</v>
          </cell>
          <cell r="BY34" t="e">
            <v>#DIV/0!</v>
          </cell>
        </row>
        <row r="35">
          <cell r="A35" t="str">
            <v>Others</v>
          </cell>
          <cell r="B35">
            <v>18</v>
          </cell>
          <cell r="C35">
            <v>18</v>
          </cell>
          <cell r="D35">
            <v>14</v>
          </cell>
          <cell r="E35">
            <v>10</v>
          </cell>
          <cell r="F35">
            <v>28</v>
          </cell>
          <cell r="G35">
            <v>60</v>
          </cell>
          <cell r="H35">
            <v>74.980109491861015</v>
          </cell>
          <cell r="I35">
            <v>66.782756935233081</v>
          </cell>
          <cell r="J35">
            <v>69.279735784941806</v>
          </cell>
          <cell r="K35">
            <v>69.279735784941806</v>
          </cell>
          <cell r="L35">
            <v>69.279735784941806</v>
          </cell>
          <cell r="M35">
            <v>69.279735784941806</v>
          </cell>
          <cell r="N35">
            <v>69.279735784941806</v>
          </cell>
          <cell r="O35">
            <v>69.279735784941806</v>
          </cell>
          <cell r="P35">
            <v>69.279735784941806</v>
          </cell>
          <cell r="Q35">
            <v>69.279735784941806</v>
          </cell>
          <cell r="R35">
            <v>69.279735784941806</v>
          </cell>
          <cell r="S35">
            <v>69.279735784941806</v>
          </cell>
          <cell r="T35">
            <v>69.279735784941806</v>
          </cell>
          <cell r="U35">
            <v>-3.2416967799956398E-3</v>
          </cell>
          <cell r="V35">
            <v>-7.3630449465772574E-2</v>
          </cell>
          <cell r="W35">
            <v>-0.14266375575996859</v>
          </cell>
          <cell r="AV35">
            <v>-0.1</v>
          </cell>
          <cell r="AW35">
            <v>-0.14000000000000001</v>
          </cell>
          <cell r="AX35">
            <v>-0.12</v>
          </cell>
          <cell r="AY35">
            <v>-0.06</v>
          </cell>
          <cell r="AZ35">
            <v>-0.1</v>
          </cell>
          <cell r="BA35">
            <v>0.11</v>
          </cell>
          <cell r="BB35">
            <v>-0.05</v>
          </cell>
          <cell r="BC35">
            <v>0.1328125</v>
          </cell>
          <cell r="BD35">
            <v>-0.01</v>
          </cell>
          <cell r="BE35">
            <v>0.06</v>
          </cell>
          <cell r="BF35">
            <v>-0.06</v>
          </cell>
          <cell r="BG35">
            <v>0.02</v>
          </cell>
          <cell r="BH35">
            <v>-1</v>
          </cell>
          <cell r="BI35">
            <v>-1</v>
          </cell>
          <cell r="BP35" t="e">
            <v>#DIV/0!</v>
          </cell>
          <cell r="BQ35" t="e">
            <v>#DIV/0!</v>
          </cell>
          <cell r="BR35" t="e">
            <v>#DIV/0!</v>
          </cell>
          <cell r="BS35" t="e">
            <v>#DIV/0!</v>
          </cell>
          <cell r="BT35" t="e">
            <v>#DIV/0!</v>
          </cell>
          <cell r="BU35" t="e">
            <v>#DIV/0!</v>
          </cell>
          <cell r="BV35" t="e">
            <v>#DIV/0!</v>
          </cell>
          <cell r="BW35" t="e">
            <v>#DIV/0!</v>
          </cell>
          <cell r="BX35" t="e">
            <v>#DIV/0!</v>
          </cell>
          <cell r="BY35" t="e">
            <v>#DIV/0!</v>
          </cell>
        </row>
        <row r="36">
          <cell r="A36" t="str">
            <v>Oncology</v>
          </cell>
          <cell r="B36">
            <v>2369</v>
          </cell>
          <cell r="C36">
            <v>2743</v>
          </cell>
          <cell r="D36">
            <v>3376</v>
          </cell>
          <cell r="E36">
            <v>3845</v>
          </cell>
          <cell r="F36">
            <v>4262</v>
          </cell>
          <cell r="G36">
            <v>4819</v>
          </cell>
          <cell r="H36">
            <v>4963.6418872978302</v>
          </cell>
          <cell r="I36">
            <v>4501.0554945823587</v>
          </cell>
          <cell r="J36">
            <v>3848.051000785802</v>
          </cell>
          <cell r="K36">
            <v>3057.4510124955036</v>
          </cell>
          <cell r="L36">
            <v>2679.5445365950354</v>
          </cell>
          <cell r="M36">
            <v>2325.7770919315408</v>
          </cell>
          <cell r="N36">
            <v>2038.5221192027616</v>
          </cell>
          <cell r="O36">
            <v>1805.821464930923</v>
          </cell>
          <cell r="P36">
            <v>1614.0391668337932</v>
          </cell>
          <cell r="Q36">
            <v>1455.7570280253633</v>
          </cell>
          <cell r="R36">
            <v>1324.9318385045763</v>
          </cell>
          <cell r="S36">
            <v>1216.6361071019226</v>
          </cell>
          <cell r="T36">
            <v>1126.8483430437284</v>
          </cell>
          <cell r="BC36">
            <v>0.31835205992509352</v>
          </cell>
          <cell r="BD36">
            <v>0.26</v>
          </cell>
          <cell r="BE36">
            <v>0.28999999999999998</v>
          </cell>
          <cell r="BF36">
            <v>0.26</v>
          </cell>
          <cell r="BG36">
            <v>0.28000000000000003</v>
          </cell>
        </row>
        <row r="37">
          <cell r="A37" t="str">
            <v>Japan</v>
          </cell>
          <cell r="BC37">
            <v>0.15090543259557343</v>
          </cell>
          <cell r="BD37">
            <v>0.05</v>
          </cell>
          <cell r="BE37">
            <v>0.09</v>
          </cell>
          <cell r="BF37">
            <v>0.1</v>
          </cell>
          <cell r="BG37">
            <v>0.09</v>
          </cell>
        </row>
        <row r="38">
          <cell r="A38" t="str">
            <v>Zomig</v>
          </cell>
          <cell r="B38">
            <v>328</v>
          </cell>
          <cell r="C38">
            <v>349</v>
          </cell>
          <cell r="D38">
            <v>356</v>
          </cell>
          <cell r="E38">
            <v>352</v>
          </cell>
          <cell r="F38">
            <v>398</v>
          </cell>
          <cell r="G38">
            <v>434</v>
          </cell>
          <cell r="H38">
            <v>448</v>
          </cell>
          <cell r="I38">
            <v>445.29963187779327</v>
          </cell>
          <cell r="J38">
            <v>485.04665530836974</v>
          </cell>
          <cell r="K38">
            <v>509.29898807378822</v>
          </cell>
          <cell r="L38">
            <v>509.29898807378822</v>
          </cell>
          <cell r="M38">
            <v>292.84691814242819</v>
          </cell>
          <cell r="N38">
            <v>234.27753451394256</v>
          </cell>
          <cell r="O38">
            <v>187.42202761115405</v>
          </cell>
          <cell r="P38">
            <v>149.93762208892323</v>
          </cell>
          <cell r="Q38">
            <v>119.95009767113859</v>
          </cell>
          <cell r="R38">
            <v>95.96007813691088</v>
          </cell>
          <cell r="S38">
            <v>76.768062509528704</v>
          </cell>
          <cell r="T38">
            <v>61.414450007622968</v>
          </cell>
          <cell r="BC38">
            <v>0.44099378881987583</v>
          </cell>
          <cell r="BD38">
            <v>0.34</v>
          </cell>
          <cell r="BE38">
            <v>0.39</v>
          </cell>
          <cell r="BF38">
            <v>7.0000000000000007E-2</v>
          </cell>
          <cell r="BG38">
            <v>0.26</v>
          </cell>
        </row>
        <row r="39">
          <cell r="A39" t="str">
            <v>Seroquel</v>
          </cell>
          <cell r="B39">
            <v>1145</v>
          </cell>
          <cell r="C39">
            <v>1487</v>
          </cell>
          <cell r="D39">
            <v>2027</v>
          </cell>
          <cell r="E39">
            <v>2761</v>
          </cell>
          <cell r="F39">
            <v>3416</v>
          </cell>
          <cell r="G39">
            <v>4027</v>
          </cell>
          <cell r="H39">
            <v>4452</v>
          </cell>
          <cell r="I39">
            <v>4877.9903360023109</v>
          </cell>
          <cell r="J39">
            <v>5286.1351999939134</v>
          </cell>
          <cell r="K39">
            <v>5620.7755616838613</v>
          </cell>
          <cell r="L39">
            <v>2781.3879829280713</v>
          </cell>
          <cell r="M39">
            <v>2055.0664444261101</v>
          </cell>
          <cell r="N39">
            <v>1898.7326905038474</v>
          </cell>
          <cell r="O39">
            <v>1549.9297310191623</v>
          </cell>
          <cell r="P39">
            <v>1267.7930055698057</v>
          </cell>
          <cell r="Q39">
            <v>1049.1966620111025</v>
          </cell>
          <cell r="R39">
            <v>870.32846346480278</v>
          </cell>
          <cell r="S39">
            <v>723.71612798993124</v>
          </cell>
          <cell r="T39">
            <v>603.3233601238212</v>
          </cell>
          <cell r="U39">
            <v>-0.10420718714714006</v>
          </cell>
          <cell r="V39">
            <v>-0.11178535866718553</v>
          </cell>
          <cell r="W39">
            <v>-0.15959012834012176</v>
          </cell>
          <cell r="AV39">
            <v>0.04</v>
          </cell>
          <cell r="AW39">
            <v>0.03</v>
          </cell>
          <cell r="AX39">
            <v>0.03</v>
          </cell>
          <cell r="AY39">
            <v>7.0000000000000007E-2</v>
          </cell>
          <cell r="AZ39">
            <v>0.05</v>
          </cell>
          <cell r="BA39">
            <v>0.17</v>
          </cell>
          <cell r="BB39">
            <v>0.08</v>
          </cell>
          <cell r="BC39">
            <v>0.24972972972972962</v>
          </cell>
          <cell r="BD39">
            <v>0.15</v>
          </cell>
          <cell r="BE39">
            <v>0.2</v>
          </cell>
          <cell r="BF39">
            <v>0.14000000000000001</v>
          </cell>
          <cell r="BG39">
            <v>0.18</v>
          </cell>
          <cell r="BH39">
            <v>-1</v>
          </cell>
          <cell r="BI39">
            <v>-1</v>
          </cell>
          <cell r="BP39" t="e">
            <v>#DIV/0!</v>
          </cell>
          <cell r="BQ39" t="e">
            <v>#DIV/0!</v>
          </cell>
          <cell r="BR39" t="e">
            <v>#DIV/0!</v>
          </cell>
          <cell r="BS39" t="e">
            <v>#DIV/0!</v>
          </cell>
          <cell r="BT39" t="e">
            <v>#DIV/0!</v>
          </cell>
          <cell r="BU39" t="e">
            <v>#DIV/0!</v>
          </cell>
          <cell r="BV39" t="e">
            <v>#DIV/0!</v>
          </cell>
          <cell r="BW39" t="e">
            <v>#DIV/0!</v>
          </cell>
          <cell r="BX39" t="e">
            <v>#DIV/0!</v>
          </cell>
          <cell r="BY39" t="e">
            <v>#DIV/0!</v>
          </cell>
        </row>
        <row r="40">
          <cell r="A40" t="str">
            <v>Diprivan</v>
          </cell>
          <cell r="B40">
            <v>443</v>
          </cell>
          <cell r="C40">
            <v>458</v>
          </cell>
          <cell r="D40">
            <v>500</v>
          </cell>
          <cell r="E40">
            <v>369</v>
          </cell>
          <cell r="F40">
            <v>304</v>
          </cell>
          <cell r="G40">
            <v>263</v>
          </cell>
          <cell r="H40">
            <v>278</v>
          </cell>
          <cell r="I40">
            <v>282.10305807753355</v>
          </cell>
          <cell r="J40">
            <v>270.31122443129448</v>
          </cell>
          <cell r="K40">
            <v>247.68010198816503</v>
          </cell>
          <cell r="L40">
            <v>227.31209178934853</v>
          </cell>
          <cell r="M40">
            <v>208.98088261041369</v>
          </cell>
          <cell r="N40">
            <v>192.48279434937231</v>
          </cell>
          <cell r="O40">
            <v>177.63451491443507</v>
          </cell>
          <cell r="P40">
            <v>164.27106342299157</v>
          </cell>
          <cell r="Q40">
            <v>152.24395708069244</v>
          </cell>
          <cell r="R40">
            <v>141.41956137262318</v>
          </cell>
          <cell r="S40">
            <v>131.67760523536086</v>
          </cell>
          <cell r="T40">
            <v>122.90984471182477</v>
          </cell>
          <cell r="BC40">
            <v>0.17424242424242431</v>
          </cell>
          <cell r="BD40">
            <v>0.1</v>
          </cell>
          <cell r="BE40">
            <v>0.14000000000000001</v>
          </cell>
          <cell r="BF40">
            <v>0.01</v>
          </cell>
          <cell r="BG40">
            <v>0.1</v>
          </cell>
        </row>
        <row r="41">
          <cell r="A41" t="str">
            <v>Local Anaesthetics</v>
          </cell>
          <cell r="B41">
            <v>432</v>
          </cell>
          <cell r="C41">
            <v>466</v>
          </cell>
          <cell r="D41">
            <v>542</v>
          </cell>
          <cell r="E41">
            <v>511</v>
          </cell>
          <cell r="F41">
            <v>529</v>
          </cell>
          <cell r="G41">
            <v>557</v>
          </cell>
          <cell r="H41">
            <v>605</v>
          </cell>
          <cell r="I41">
            <v>603.14529684392767</v>
          </cell>
          <cell r="J41">
            <v>640.80952100896968</v>
          </cell>
          <cell r="K41">
            <v>640.80952100896968</v>
          </cell>
          <cell r="L41">
            <v>640.80952100896968</v>
          </cell>
          <cell r="M41">
            <v>640.80952100896968</v>
          </cell>
          <cell r="N41">
            <v>640.80952100896968</v>
          </cell>
          <cell r="O41">
            <v>580.52856890807277</v>
          </cell>
          <cell r="P41">
            <v>526.2757120172655</v>
          </cell>
          <cell r="Q41">
            <v>477.44814081553898</v>
          </cell>
          <cell r="R41">
            <v>433.50332673398509</v>
          </cell>
          <cell r="S41">
            <v>393.9529940605866</v>
          </cell>
          <cell r="T41">
            <v>358.35769465452796</v>
          </cell>
          <cell r="BC41">
            <v>0.36315789473684212</v>
          </cell>
          <cell r="BD41">
            <v>0.27</v>
          </cell>
          <cell r="BE41">
            <v>0.32</v>
          </cell>
          <cell r="BF41">
            <v>0.27</v>
          </cell>
          <cell r="BG41">
            <v>0.3</v>
          </cell>
        </row>
        <row r="42">
          <cell r="A42" t="str">
            <v>Others</v>
          </cell>
          <cell r="B42">
            <v>70</v>
          </cell>
          <cell r="C42">
            <v>73</v>
          </cell>
          <cell r="D42">
            <v>71</v>
          </cell>
          <cell r="E42">
            <v>66</v>
          </cell>
          <cell r="F42">
            <v>57</v>
          </cell>
          <cell r="G42">
            <v>59</v>
          </cell>
          <cell r="H42">
            <v>54</v>
          </cell>
          <cell r="I42">
            <v>44.813741077004472</v>
          </cell>
          <cell r="J42">
            <v>42.573054023154249</v>
          </cell>
          <cell r="K42">
            <v>40.444401321996537</v>
          </cell>
          <cell r="L42">
            <v>38.42218125589671</v>
          </cell>
          <cell r="M42">
            <v>36.501072193101876</v>
          </cell>
          <cell r="N42">
            <v>34.676018583446783</v>
          </cell>
          <cell r="O42">
            <v>32.942217654274444</v>
          </cell>
          <cell r="P42">
            <v>31.295106771560722</v>
          </cell>
          <cell r="Q42">
            <v>29.730351432982683</v>
          </cell>
          <cell r="R42">
            <v>28.243833861333549</v>
          </cell>
          <cell r="S42">
            <v>26.831642168266871</v>
          </cell>
          <cell r="T42">
            <v>25.490060059853526</v>
          </cell>
          <cell r="BC42">
            <v>0.19021739130434789</v>
          </cell>
          <cell r="BD42">
            <v>0.09</v>
          </cell>
          <cell r="BE42">
            <v>0.14000000000000001</v>
          </cell>
          <cell r="BF42">
            <v>0.1</v>
          </cell>
          <cell r="BG42">
            <v>0.13</v>
          </cell>
        </row>
        <row r="43">
          <cell r="A43" t="str">
            <v>Neuroscience</v>
          </cell>
          <cell r="B43">
            <v>2418</v>
          </cell>
          <cell r="C43">
            <v>2833</v>
          </cell>
          <cell r="D43">
            <v>3496</v>
          </cell>
          <cell r="E43">
            <v>4059</v>
          </cell>
          <cell r="F43">
            <v>4704</v>
          </cell>
          <cell r="G43">
            <v>5340</v>
          </cell>
          <cell r="H43">
            <v>5837</v>
          </cell>
          <cell r="I43">
            <v>6253.3520638785694</v>
          </cell>
          <cell r="J43">
            <v>6724.8756547657013</v>
          </cell>
          <cell r="K43">
            <v>7059.0085740767809</v>
          </cell>
          <cell r="L43">
            <v>4197.2307650560751</v>
          </cell>
          <cell r="M43">
            <v>3234.2048383810229</v>
          </cell>
          <cell r="N43">
            <v>3000.9785589595785</v>
          </cell>
          <cell r="O43">
            <v>2528.4570601070986</v>
          </cell>
          <cell r="P43">
            <v>2139.5725098705466</v>
          </cell>
          <cell r="Q43">
            <v>1828.5692090114551</v>
          </cell>
          <cell r="R43">
            <v>1569.4552635696552</v>
          </cell>
          <cell r="S43">
            <v>1352.9464319636743</v>
          </cell>
          <cell r="T43">
            <v>1171.4954095576504</v>
          </cell>
          <cell r="BC43">
            <v>0.38757396449704151</v>
          </cell>
          <cell r="BD43">
            <v>0.31</v>
          </cell>
          <cell r="BE43">
            <v>0.35</v>
          </cell>
          <cell r="BF43">
            <v>0.17</v>
          </cell>
          <cell r="BG43">
            <v>0.28000000000000003</v>
          </cell>
        </row>
        <row r="44">
          <cell r="A44" t="str">
            <v>Emerging ROW</v>
          </cell>
          <cell r="I44">
            <v>0.02</v>
          </cell>
          <cell r="J44">
            <v>0.19439338235294112</v>
          </cell>
          <cell r="K44">
            <v>-3.0338591766063683E-2</v>
          </cell>
          <cell r="L44">
            <v>1.085252861932795E-2</v>
          </cell>
          <cell r="M44">
            <v>8.9092199319740439E-2</v>
          </cell>
          <cell r="N44">
            <v>0.11160111581151377</v>
          </cell>
          <cell r="O44">
            <v>0.10210728185029994</v>
          </cell>
          <cell r="P44">
            <v>8.8107142376972369E-2</v>
          </cell>
          <cell r="Q44">
            <v>7.3119489688591388E-2</v>
          </cell>
          <cell r="R44">
            <v>6.3299122827294774E-2</v>
          </cell>
          <cell r="S44">
            <v>4.2947753931145582E-2</v>
          </cell>
          <cell r="T44">
            <v>1.8456470599098385E-2</v>
          </cell>
          <cell r="U44">
            <v>2.1463112730706335E-3</v>
          </cell>
          <cell r="V44">
            <v>-1.8967941903391683E-4</v>
          </cell>
          <cell r="W44">
            <v>-0.10498873025956823</v>
          </cell>
          <cell r="AV44">
            <v>-0.01</v>
          </cell>
          <cell r="AW44">
            <v>-0.08</v>
          </cell>
          <cell r="AX44">
            <v>-0.04</v>
          </cell>
          <cell r="AY44">
            <v>0.03</v>
          </cell>
          <cell r="AZ44">
            <v>-0.02</v>
          </cell>
          <cell r="BA44">
            <v>0.14000000000000001</v>
          </cell>
          <cell r="BB44">
            <v>0.02</v>
          </cell>
          <cell r="BC44">
            <v>0.28790983606557385</v>
          </cell>
          <cell r="BD44">
            <v>0.22</v>
          </cell>
          <cell r="BE44">
            <v>0.25</v>
          </cell>
          <cell r="BF44">
            <v>0.14000000000000001</v>
          </cell>
          <cell r="BG44">
            <v>0.21</v>
          </cell>
          <cell r="BH44" t="e">
            <v>#REF!</v>
          </cell>
          <cell r="BI44" t="e">
            <v>#REF!</v>
          </cell>
          <cell r="BP44" t="e">
            <v>#REF!</v>
          </cell>
          <cell r="BQ44" t="e">
            <v>#REF!</v>
          </cell>
          <cell r="BR44" t="e">
            <v>#REF!</v>
          </cell>
          <cell r="BS44" t="e">
            <v>#REF!</v>
          </cell>
          <cell r="BT44" t="e">
            <v>#REF!</v>
          </cell>
          <cell r="BU44" t="e">
            <v>#REF!</v>
          </cell>
          <cell r="BV44" t="e">
            <v>#REF!</v>
          </cell>
          <cell r="BW44" t="e">
            <v>#REF!</v>
          </cell>
          <cell r="BX44" t="e">
            <v>#REF!</v>
          </cell>
          <cell r="BY44" t="e">
            <v>#REF!</v>
          </cell>
        </row>
        <row r="45">
          <cell r="A45" t="str">
            <v>Merrem</v>
          </cell>
          <cell r="B45">
            <v>285</v>
          </cell>
          <cell r="C45">
            <v>346</v>
          </cell>
          <cell r="D45">
            <v>423</v>
          </cell>
          <cell r="E45">
            <v>505</v>
          </cell>
          <cell r="F45">
            <v>604</v>
          </cell>
          <cell r="G45">
            <v>773</v>
          </cell>
          <cell r="H45">
            <v>897</v>
          </cell>
          <cell r="I45">
            <v>873.71394999856091</v>
          </cell>
          <cell r="J45">
            <v>924.50937746619456</v>
          </cell>
          <cell r="K45">
            <v>924.50937746619456</v>
          </cell>
          <cell r="L45">
            <v>924.50937746619456</v>
          </cell>
          <cell r="M45">
            <v>924.50937746619456</v>
          </cell>
          <cell r="N45">
            <v>924.50937746619456</v>
          </cell>
          <cell r="O45">
            <v>785.83297084626531</v>
          </cell>
          <cell r="P45">
            <v>667.95802521932546</v>
          </cell>
          <cell r="Q45">
            <v>567.7643214364266</v>
          </cell>
          <cell r="R45">
            <v>482.59967322096259</v>
          </cell>
          <cell r="S45">
            <v>410.2097222378182</v>
          </cell>
          <cell r="T45">
            <v>348.67826390214543</v>
          </cell>
        </row>
        <row r="46">
          <cell r="A46" t="str">
            <v>Synagis</v>
          </cell>
          <cell r="B46">
            <v>220</v>
          </cell>
          <cell r="C46">
            <v>282</v>
          </cell>
          <cell r="D46">
            <v>293</v>
          </cell>
          <cell r="E46">
            <v>334</v>
          </cell>
          <cell r="F46">
            <v>271</v>
          </cell>
          <cell r="G46">
            <v>271</v>
          </cell>
          <cell r="H46">
            <v>1230</v>
          </cell>
          <cell r="I46">
            <v>1288.1999999999998</v>
          </cell>
          <cell r="J46">
            <v>749.1</v>
          </cell>
          <cell r="K46">
            <v>0</v>
          </cell>
          <cell r="L46">
            <v>0</v>
          </cell>
          <cell r="M46">
            <v>0</v>
          </cell>
          <cell r="N46">
            <v>0</v>
          </cell>
          <cell r="O46">
            <v>0</v>
          </cell>
          <cell r="P46">
            <v>0</v>
          </cell>
          <cell r="Q46">
            <v>0</v>
          </cell>
          <cell r="R46">
            <v>0</v>
          </cell>
          <cell r="S46">
            <v>0</v>
          </cell>
          <cell r="T46">
            <v>0</v>
          </cell>
          <cell r="BB46">
            <v>4.4000000000000004</v>
          </cell>
          <cell r="BI46">
            <v>4.4000000000000004</v>
          </cell>
          <cell r="BP46">
            <v>4.4000000000000004</v>
          </cell>
          <cell r="BQ46">
            <v>4.4000000000000004</v>
          </cell>
          <cell r="BR46">
            <v>4.4000000000000004</v>
          </cell>
          <cell r="BS46">
            <v>4.4000000000000004</v>
          </cell>
        </row>
        <row r="47">
          <cell r="A47" t="str">
            <v>Motavizumab</v>
          </cell>
          <cell r="B47">
            <v>505</v>
          </cell>
          <cell r="C47">
            <v>628</v>
          </cell>
          <cell r="D47">
            <v>716</v>
          </cell>
          <cell r="E47">
            <v>839</v>
          </cell>
          <cell r="F47">
            <v>875</v>
          </cell>
          <cell r="G47">
            <v>1044</v>
          </cell>
          <cell r="H47">
            <v>1156.5171575962572</v>
          </cell>
          <cell r="I47">
            <v>1237.1562317676025</v>
          </cell>
          <cell r="J47">
            <v>732.32999999999959</v>
          </cell>
          <cell r="K47">
            <v>1554.6629999999996</v>
          </cell>
          <cell r="L47">
            <v>1632.3961499999996</v>
          </cell>
          <cell r="M47">
            <v>1714.0159574999996</v>
          </cell>
          <cell r="N47">
            <v>1799.7167553749996</v>
          </cell>
          <cell r="O47">
            <v>1889.7025931437497</v>
          </cell>
          <cell r="P47">
            <v>1946.3936709380623</v>
          </cell>
          <cell r="Q47">
            <v>2004.7854810662043</v>
          </cell>
          <cell r="R47">
            <v>2064.9290454981906</v>
          </cell>
          <cell r="S47">
            <v>2126.8769168631366</v>
          </cell>
          <cell r="T47">
            <v>2190.6832243690305</v>
          </cell>
          <cell r="AV47">
            <v>7.0000000000000007E-2</v>
          </cell>
          <cell r="AW47">
            <v>0.09</v>
          </cell>
          <cell r="AX47">
            <v>0.08</v>
          </cell>
          <cell r="AY47">
            <v>0.1</v>
          </cell>
          <cell r="AZ47">
            <v>0.08</v>
          </cell>
          <cell r="BA47">
            <v>0.04</v>
          </cell>
          <cell r="BB47">
            <v>7.0000000000000007E-2</v>
          </cell>
          <cell r="BC47">
            <v>7.0000000000000007E-2</v>
          </cell>
          <cell r="BD47">
            <v>0.01</v>
          </cell>
          <cell r="BE47">
            <v>0.04</v>
          </cell>
          <cell r="BF47">
            <v>-0.02</v>
          </cell>
          <cell r="BG47">
            <v>0.02</v>
          </cell>
          <cell r="BI47">
            <v>0.14000000000000001</v>
          </cell>
        </row>
        <row r="48">
          <cell r="A48" t="str">
            <v>FluMist</v>
          </cell>
          <cell r="H48">
            <v>104</v>
          </cell>
          <cell r="I48">
            <v>136.9</v>
          </cell>
          <cell r="J48">
            <v>177.97000000000003</v>
          </cell>
          <cell r="K48">
            <v>195.76700000000005</v>
          </cell>
          <cell r="L48">
            <v>215.34370000000007</v>
          </cell>
          <cell r="M48">
            <v>236.87807000000009</v>
          </cell>
          <cell r="N48">
            <v>260.56587700000011</v>
          </cell>
          <cell r="O48">
            <v>286.62246470000014</v>
          </cell>
          <cell r="P48">
            <v>315.28471117000015</v>
          </cell>
          <cell r="Q48">
            <v>346.81318228700019</v>
          </cell>
          <cell r="R48">
            <v>381.49450051570022</v>
          </cell>
          <cell r="S48">
            <v>419.64395056727028</v>
          </cell>
          <cell r="T48">
            <v>461.60834562399737</v>
          </cell>
          <cell r="AV48">
            <v>7.0000000000000007E-2</v>
          </cell>
          <cell r="AW48">
            <v>0.13</v>
          </cell>
          <cell r="AX48">
            <v>0.1</v>
          </cell>
          <cell r="AY48">
            <v>0.14000000000000001</v>
          </cell>
          <cell r="AZ48">
            <v>0.11</v>
          </cell>
          <cell r="BA48">
            <v>0.04</v>
          </cell>
          <cell r="BB48">
            <v>0.09</v>
          </cell>
          <cell r="BC48">
            <v>0.02</v>
          </cell>
          <cell r="BD48">
            <v>-0.04</v>
          </cell>
          <cell r="BE48">
            <v>-0.01</v>
          </cell>
          <cell r="BF48">
            <v>-0.13</v>
          </cell>
          <cell r="BG48">
            <v>-0.05</v>
          </cell>
        </row>
        <row r="49">
          <cell r="A49" t="str">
            <v>Other</v>
          </cell>
          <cell r="B49">
            <v>220</v>
          </cell>
          <cell r="C49">
            <v>282</v>
          </cell>
          <cell r="D49">
            <v>293</v>
          </cell>
          <cell r="E49">
            <v>334</v>
          </cell>
          <cell r="F49">
            <v>271</v>
          </cell>
          <cell r="G49">
            <v>271</v>
          </cell>
          <cell r="H49">
            <v>220</v>
          </cell>
          <cell r="I49">
            <v>152.46863496181038</v>
          </cell>
          <cell r="J49">
            <v>137.22177146562936</v>
          </cell>
          <cell r="K49">
            <v>123.49959431906643</v>
          </cell>
          <cell r="L49">
            <v>111.14963488715979</v>
          </cell>
          <cell r="M49">
            <v>100.03467139844382</v>
          </cell>
          <cell r="N49">
            <v>90.031204258599445</v>
          </cell>
          <cell r="O49">
            <v>81.028083832739497</v>
          </cell>
          <cell r="P49">
            <v>72.925275449465545</v>
          </cell>
          <cell r="Q49">
            <v>65.632747904518993</v>
          </cell>
          <cell r="R49">
            <v>59.069473114067094</v>
          </cell>
          <cell r="S49">
            <v>53.162525802660383</v>
          </cell>
          <cell r="T49">
            <v>47.846273222394345</v>
          </cell>
          <cell r="AV49">
            <v>0.02</v>
          </cell>
          <cell r="AW49">
            <v>0.02</v>
          </cell>
          <cell r="AX49">
            <v>0.02</v>
          </cell>
          <cell r="AY49">
            <v>0.03</v>
          </cell>
          <cell r="AZ49">
            <v>0.03</v>
          </cell>
          <cell r="BA49">
            <v>0.02</v>
          </cell>
          <cell r="BB49">
            <v>0.03</v>
          </cell>
          <cell r="BC49">
            <v>7.0000000000000007E-2</v>
          </cell>
          <cell r="BD49">
            <v>0.01</v>
          </cell>
          <cell r="BE49">
            <v>0.04</v>
          </cell>
          <cell r="BF49">
            <v>0.03</v>
          </cell>
          <cell r="BG49">
            <v>0.04</v>
          </cell>
        </row>
        <row r="50">
          <cell r="A50" t="str">
            <v>Infection and Other</v>
          </cell>
          <cell r="B50">
            <v>505</v>
          </cell>
          <cell r="C50">
            <v>628</v>
          </cell>
          <cell r="D50">
            <v>716</v>
          </cell>
          <cell r="E50">
            <v>839</v>
          </cell>
          <cell r="F50">
            <v>875</v>
          </cell>
          <cell r="G50">
            <v>1715</v>
          </cell>
          <cell r="H50">
            <v>2451</v>
          </cell>
          <cell r="I50">
            <v>2904.2825849603714</v>
          </cell>
          <cell r="J50">
            <v>2821.1311489318236</v>
          </cell>
          <cell r="K50">
            <v>2798.4389717852605</v>
          </cell>
          <cell r="L50">
            <v>2883.3988623533537</v>
          </cell>
          <cell r="M50">
            <v>2975.4380763646382</v>
          </cell>
          <cell r="N50">
            <v>3074.8232140997934</v>
          </cell>
          <cell r="O50">
            <v>3043.1861125227547</v>
          </cell>
          <cell r="P50">
            <v>3002.5616827768536</v>
          </cell>
          <cell r="Q50">
            <v>2984.9957326941499</v>
          </cell>
          <cell r="R50">
            <v>2988.0926923489205</v>
          </cell>
          <cell r="S50">
            <v>3009.8931154708853</v>
          </cell>
          <cell r="T50">
            <v>3048.8161071175673</v>
          </cell>
          <cell r="BC50">
            <v>0.12</v>
          </cell>
          <cell r="BD50">
            <v>0.08</v>
          </cell>
          <cell r="BE50">
            <v>0.1</v>
          </cell>
          <cell r="BF50">
            <v>0.19</v>
          </cell>
          <cell r="BG50">
            <v>0.13</v>
          </cell>
        </row>
        <row r="51">
          <cell r="A51" t="str">
            <v>Ethyol</v>
          </cell>
          <cell r="B51">
            <v>81.2</v>
          </cell>
          <cell r="C51">
            <v>100.2</v>
          </cell>
          <cell r="D51">
            <v>92.4</v>
          </cell>
          <cell r="E51">
            <v>96</v>
          </cell>
          <cell r="F51">
            <v>87.300000000000011</v>
          </cell>
          <cell r="G51">
            <v>72</v>
          </cell>
          <cell r="H51">
            <v>44</v>
          </cell>
          <cell r="I51">
            <v>40</v>
          </cell>
          <cell r="J51">
            <v>28</v>
          </cell>
          <cell r="K51">
            <v>19.599999999999998</v>
          </cell>
          <cell r="L51">
            <v>13.719999999999997</v>
          </cell>
          <cell r="M51">
            <v>9.6039999999999974</v>
          </cell>
          <cell r="BC51">
            <v>0.14000000000000001</v>
          </cell>
          <cell r="BD51">
            <v>-0.01</v>
          </cell>
          <cell r="BE51">
            <v>0.06</v>
          </cell>
          <cell r="BF51">
            <v>0.01</v>
          </cell>
          <cell r="BG51">
            <v>0.04</v>
          </cell>
        </row>
        <row r="52">
          <cell r="A52" t="str">
            <v>Aptium Oncology</v>
          </cell>
          <cell r="B52">
            <v>233</v>
          </cell>
          <cell r="C52">
            <v>281</v>
          </cell>
          <cell r="D52">
            <v>304</v>
          </cell>
          <cell r="E52">
            <v>335</v>
          </cell>
          <cell r="F52">
            <v>374</v>
          </cell>
          <cell r="G52">
            <v>402</v>
          </cell>
          <cell r="H52">
            <v>395</v>
          </cell>
          <cell r="I52">
            <v>438.14935242542253</v>
          </cell>
          <cell r="J52">
            <v>463.62220157834366</v>
          </cell>
          <cell r="K52">
            <v>472.89464560991053</v>
          </cell>
          <cell r="L52">
            <v>482.35253852210877</v>
          </cell>
          <cell r="M52">
            <v>491.99958929255098</v>
          </cell>
          <cell r="N52">
            <v>501.83958107840203</v>
          </cell>
          <cell r="O52">
            <v>511.87637269997009</v>
          </cell>
          <cell r="P52">
            <v>522.11390015396955</v>
          </cell>
          <cell r="Q52">
            <v>532.55617815704898</v>
          </cell>
          <cell r="R52">
            <v>543.20730172019</v>
          </cell>
          <cell r="S52">
            <v>554.07144775459381</v>
          </cell>
          <cell r="T52">
            <v>565.15287670968564</v>
          </cell>
          <cell r="BC52">
            <v>7.0000000000000007E-2</v>
          </cell>
          <cell r="BD52">
            <v>0.11</v>
          </cell>
          <cell r="BE52">
            <v>0.09</v>
          </cell>
          <cell r="BF52">
            <v>-0.01</v>
          </cell>
          <cell r="BG52">
            <v>0.05</v>
          </cell>
        </row>
        <row r="53">
          <cell r="A53" t="str">
            <v>Astra Tech</v>
          </cell>
          <cell r="B53">
            <v>151</v>
          </cell>
          <cell r="C53">
            <v>201</v>
          </cell>
          <cell r="D53">
            <v>256</v>
          </cell>
          <cell r="E53">
            <v>312</v>
          </cell>
          <cell r="F53">
            <v>360</v>
          </cell>
          <cell r="G53">
            <v>444</v>
          </cell>
          <cell r="H53">
            <v>529</v>
          </cell>
          <cell r="I53">
            <v>503.83173529327109</v>
          </cell>
          <cell r="J53">
            <v>574.93676831194773</v>
          </cell>
          <cell r="K53">
            <v>632.43044514314261</v>
          </cell>
          <cell r="L53">
            <v>695.67348965745691</v>
          </cell>
          <cell r="M53">
            <v>730.45716414032984</v>
          </cell>
          <cell r="N53">
            <v>766.98002234734633</v>
          </cell>
          <cell r="O53">
            <v>805.32902346471371</v>
          </cell>
          <cell r="P53">
            <v>845.59547463794945</v>
          </cell>
          <cell r="Q53">
            <v>887.87524836984699</v>
          </cell>
          <cell r="R53">
            <v>932.26901078833941</v>
          </cell>
          <cell r="S53">
            <v>978.88246132775646</v>
          </cell>
          <cell r="T53">
            <v>1027.8265843941442</v>
          </cell>
          <cell r="AV53">
            <v>0.08</v>
          </cell>
          <cell r="AW53">
            <v>0.1</v>
          </cell>
          <cell r="AX53">
            <v>0.09</v>
          </cell>
          <cell r="AY53">
            <v>0.06</v>
          </cell>
          <cell r="AZ53">
            <v>0.08</v>
          </cell>
          <cell r="BA53">
            <v>0.03</v>
          </cell>
          <cell r="BB53">
            <v>7.0000000000000007E-2</v>
          </cell>
          <cell r="BC53">
            <v>0.12</v>
          </cell>
          <cell r="BD53">
            <v>0.04</v>
          </cell>
          <cell r="BE53">
            <v>0.08</v>
          </cell>
          <cell r="BF53">
            <v>0.05</v>
          </cell>
          <cell r="BG53">
            <v>7.0000000000000007E-2</v>
          </cell>
        </row>
        <row r="54">
          <cell r="A54" t="str">
            <v>Pipeline Products</v>
          </cell>
          <cell r="B54">
            <v>0</v>
          </cell>
          <cell r="C54">
            <v>0</v>
          </cell>
          <cell r="D54">
            <v>0</v>
          </cell>
          <cell r="E54">
            <v>0</v>
          </cell>
          <cell r="F54">
            <v>0</v>
          </cell>
          <cell r="G54">
            <v>0</v>
          </cell>
          <cell r="H54">
            <v>0</v>
          </cell>
          <cell r="I54">
            <v>0</v>
          </cell>
          <cell r="J54">
            <v>343</v>
          </cell>
          <cell r="K54">
            <v>837.5</v>
          </cell>
          <cell r="L54">
            <v>2449</v>
          </cell>
          <cell r="M54">
            <v>3726</v>
          </cell>
          <cell r="N54">
            <v>4946.5</v>
          </cell>
          <cell r="O54">
            <v>5918.4</v>
          </cell>
          <cell r="P54">
            <v>6423.027</v>
          </cell>
          <cell r="Q54">
            <v>6730.0828099999999</v>
          </cell>
          <cell r="R54">
            <v>6943.1252943</v>
          </cell>
          <cell r="S54">
            <v>7155.0690531290011</v>
          </cell>
          <cell r="T54">
            <v>7369.7211247228715</v>
          </cell>
          <cell r="BC54">
            <v>0.08</v>
          </cell>
          <cell r="BD54">
            <v>0.06</v>
          </cell>
          <cell r="BE54">
            <v>7.0000000000000007E-2</v>
          </cell>
          <cell r="BF54">
            <v>7.0000000000000007E-2</v>
          </cell>
          <cell r="BG54">
            <v>7.0000000000000007E-2</v>
          </cell>
        </row>
        <row r="55">
          <cell r="A55" t="str">
            <v>Other/Phase 1</v>
          </cell>
          <cell r="B55">
            <v>0</v>
          </cell>
          <cell r="C55">
            <v>0</v>
          </cell>
          <cell r="D55">
            <v>0</v>
          </cell>
          <cell r="E55">
            <v>0</v>
          </cell>
          <cell r="F55">
            <v>21</v>
          </cell>
          <cell r="G55">
            <v>113</v>
          </cell>
          <cell r="H55">
            <v>124.34915386382745</v>
          </cell>
          <cell r="I55">
            <v>210.07781540935844</v>
          </cell>
          <cell r="J55">
            <v>262.26601926169803</v>
          </cell>
          <cell r="K55">
            <v>293.52512118786785</v>
          </cell>
          <cell r="L55">
            <v>319.80637724726125</v>
          </cell>
          <cell r="M55">
            <v>342.0699961096243</v>
          </cell>
          <cell r="O55">
            <v>500</v>
          </cell>
          <cell r="P55">
            <v>1500</v>
          </cell>
          <cell r="Q55">
            <v>2500</v>
          </cell>
          <cell r="R55">
            <v>4000</v>
          </cell>
          <cell r="S55">
            <v>4500</v>
          </cell>
          <cell r="T55">
            <v>5000</v>
          </cell>
          <cell r="BC55">
            <v>0.36</v>
          </cell>
          <cell r="BD55">
            <v>0.27</v>
          </cell>
          <cell r="BE55">
            <v>0.32</v>
          </cell>
          <cell r="BF55">
            <v>0.27</v>
          </cell>
          <cell r="BG55">
            <v>0.3</v>
          </cell>
        </row>
        <row r="56">
          <cell r="A56" t="str">
            <v>Partner Rev/Royalty</v>
          </cell>
          <cell r="B56">
            <v>61.757999999999996</v>
          </cell>
          <cell r="C56">
            <v>61.822000000000003</v>
          </cell>
          <cell r="D56">
            <v>17</v>
          </cell>
          <cell r="E56">
            <v>23</v>
          </cell>
          <cell r="F56">
            <v>42</v>
          </cell>
          <cell r="G56">
            <v>104</v>
          </cell>
          <cell r="H56">
            <v>65</v>
          </cell>
          <cell r="I56">
            <v>85</v>
          </cell>
          <cell r="J56">
            <v>75</v>
          </cell>
          <cell r="K56">
            <v>75</v>
          </cell>
          <cell r="L56">
            <v>75</v>
          </cell>
          <cell r="M56">
            <v>75</v>
          </cell>
          <cell r="BC56">
            <v>0.1</v>
          </cell>
          <cell r="BD56">
            <v>0.01</v>
          </cell>
          <cell r="BE56">
            <v>0.05</v>
          </cell>
          <cell r="BF56">
            <v>0.05</v>
          </cell>
          <cell r="BG56">
            <v>0.05</v>
          </cell>
        </row>
        <row r="57">
          <cell r="A57" t="str">
            <v>Reported Revenues</v>
          </cell>
          <cell r="B57">
            <v>17841</v>
          </cell>
          <cell r="C57">
            <v>18849</v>
          </cell>
          <cell r="D57">
            <v>21426</v>
          </cell>
          <cell r="E57">
            <v>23950</v>
          </cell>
          <cell r="F57">
            <v>26475</v>
          </cell>
          <cell r="G57">
            <v>29559</v>
          </cell>
          <cell r="H57">
            <v>31600.641887297832</v>
          </cell>
          <cell r="I57">
            <v>32915.755603289719</v>
          </cell>
          <cell r="J57">
            <v>33183.667511367952</v>
          </cell>
          <cell r="K57">
            <v>32630.839557431194</v>
          </cell>
          <cell r="L57">
            <v>30011.752347587957</v>
          </cell>
          <cell r="M57">
            <v>29411.187209852433</v>
          </cell>
          <cell r="N57">
            <v>28634.593319867301</v>
          </cell>
          <cell r="O57">
            <v>28007.162820403875</v>
          </cell>
          <cell r="P57">
            <v>25808.86162258597</v>
          </cell>
          <cell r="Q57">
            <v>24525.518560658398</v>
          </cell>
          <cell r="R57">
            <v>24841.060350490101</v>
          </cell>
          <cell r="S57">
            <v>24436.001768326223</v>
          </cell>
          <cell r="T57">
            <v>24262.739101308362</v>
          </cell>
          <cell r="BC57">
            <v>0.23</v>
          </cell>
          <cell r="BD57">
            <v>0.24</v>
          </cell>
          <cell r="BE57">
            <v>0.23</v>
          </cell>
          <cell r="BF57">
            <v>0.17</v>
          </cell>
          <cell r="BG57">
            <v>0.21</v>
          </cell>
        </row>
        <row r="58">
          <cell r="A58" t="str">
            <v>Emerging ROW</v>
          </cell>
          <cell r="I58">
            <v>0.12</v>
          </cell>
          <cell r="J58">
            <v>0.16</v>
          </cell>
          <cell r="K58">
            <v>0.11</v>
          </cell>
          <cell r="AV58">
            <v>0.15</v>
          </cell>
          <cell r="AW58">
            <v>0.08</v>
          </cell>
          <cell r="AX58">
            <v>0.11</v>
          </cell>
          <cell r="AY58">
            <v>0.15</v>
          </cell>
          <cell r="AZ58">
            <v>0.13</v>
          </cell>
          <cell r="BA58">
            <v>0.1</v>
          </cell>
          <cell r="BB58">
            <v>0.12</v>
          </cell>
          <cell r="BC58">
            <v>0.19</v>
          </cell>
          <cell r="BD58">
            <v>0.16</v>
          </cell>
          <cell r="BE58">
            <v>0.18</v>
          </cell>
          <cell r="BF58">
            <v>0.14000000000000001</v>
          </cell>
          <cell r="BG58">
            <v>0.16</v>
          </cell>
        </row>
        <row r="59">
          <cell r="A59" t="str">
            <v>Aptium Oncology</v>
          </cell>
          <cell r="B59">
            <v>233</v>
          </cell>
          <cell r="C59">
            <v>281</v>
          </cell>
          <cell r="D59">
            <v>304</v>
          </cell>
          <cell r="E59">
            <v>335</v>
          </cell>
          <cell r="F59">
            <v>374</v>
          </cell>
          <cell r="G59">
            <v>402</v>
          </cell>
          <cell r="H59">
            <v>406.50750092268356</v>
          </cell>
          <cell r="I59">
            <v>411.20286834200874</v>
          </cell>
          <cell r="J59">
            <v>419.4269257088489</v>
          </cell>
          <cell r="K59">
            <v>427.81546422302586</v>
          </cell>
          <cell r="L59">
            <v>436.37177350748635</v>
          </cell>
          <cell r="M59">
            <v>445.09920897763607</v>
          </cell>
        </row>
        <row r="60">
          <cell r="A60" t="str">
            <v>Notes:</v>
          </cell>
          <cell r="B60">
            <v>151</v>
          </cell>
          <cell r="C60">
            <v>201</v>
          </cell>
          <cell r="D60">
            <v>256</v>
          </cell>
          <cell r="E60">
            <v>312</v>
          </cell>
          <cell r="F60">
            <v>360</v>
          </cell>
          <cell r="G60">
            <v>444</v>
          </cell>
          <cell r="H60">
            <v>568.62010241639564</v>
          </cell>
          <cell r="I60">
            <v>620.30073303236077</v>
          </cell>
          <cell r="J60">
            <v>682.33080633559689</v>
          </cell>
          <cell r="K60">
            <v>750.56388696915667</v>
          </cell>
          <cell r="L60">
            <v>825.62027566607242</v>
          </cell>
          <cell r="M60">
            <v>908.18230323267971</v>
          </cell>
          <cell r="N60" t="str">
            <v>FY14E</v>
          </cell>
          <cell r="O60" t="str">
            <v>FY15E</v>
          </cell>
          <cell r="P60" t="str">
            <v>FY16E</v>
          </cell>
          <cell r="Q60" t="str">
            <v>FY17E</v>
          </cell>
          <cell r="R60" t="str">
            <v>FY18E</v>
          </cell>
          <cell r="S60" t="str">
            <v>FY19E</v>
          </cell>
          <cell r="T60" t="str">
            <v>FY20E</v>
          </cell>
          <cell r="U60" t="str">
            <v>FY21E</v>
          </cell>
          <cell r="V60" t="str">
            <v>FY22E</v>
          </cell>
          <cell r="W60" t="str">
            <v>FY23E</v>
          </cell>
        </row>
        <row r="61">
          <cell r="A61" t="str">
            <v>E= Morgan Stanley Research Estimates</v>
          </cell>
          <cell r="I61">
            <v>0.18323984879892696</v>
          </cell>
          <cell r="J61">
            <v>0.18299317683128438</v>
          </cell>
          <cell r="K61">
            <v>0.16479512247401076</v>
          </cell>
          <cell r="L61">
            <v>0.17345284800039498</v>
          </cell>
          <cell r="M61">
            <v>0.17471060639277561</v>
          </cell>
          <cell r="N61">
            <v>0.14440857703746027</v>
          </cell>
          <cell r="O61">
            <v>0.10972722068317775</v>
          </cell>
          <cell r="P61">
            <v>0.11057976828373509</v>
          </cell>
          <cell r="Q61">
            <v>0.11553062113627828</v>
          </cell>
          <cell r="R61">
            <v>0.11918077371375671</v>
          </cell>
          <cell r="S61">
            <v>0.11986782091508337</v>
          </cell>
          <cell r="T61">
            <v>0.12508967442225466</v>
          </cell>
          <cell r="U61">
            <v>0.12422837432462965</v>
          </cell>
          <cell r="V61">
            <v>0.12318404343030957</v>
          </cell>
          <cell r="W61">
            <v>0.10489493203065643</v>
          </cell>
          <cell r="AU61" t="e">
            <v>#DIV/0!</v>
          </cell>
          <cell r="BB61" t="e">
            <v>#DIV/0!</v>
          </cell>
          <cell r="BI61" t="e">
            <v>#DIV/0!</v>
          </cell>
          <cell r="BP61" t="e">
            <v>#DIV/0!</v>
          </cell>
          <cell r="BQ61" t="e">
            <v>#DIV/0!</v>
          </cell>
          <cell r="BR61" t="e">
            <v>#DIV/0!</v>
          </cell>
          <cell r="BS61" t="e">
            <v>#DIV/0!</v>
          </cell>
          <cell r="BT61" t="e">
            <v>#DIV/0!</v>
          </cell>
          <cell r="BU61" t="e">
            <v>#DIV/0!</v>
          </cell>
          <cell r="BV61" t="e">
            <v>#DIV/0!</v>
          </cell>
          <cell r="BW61" t="e">
            <v>#DIV/0!</v>
          </cell>
          <cell r="BX61" t="e">
            <v>#DIV/0!</v>
          </cell>
          <cell r="BY61" t="e">
            <v>#DIV/0!</v>
          </cell>
        </row>
        <row r="62">
          <cell r="A62" t="str">
            <v>Source: Morgan Stanley Research</v>
          </cell>
          <cell r="B62">
            <v>0</v>
          </cell>
          <cell r="C62">
            <v>0</v>
          </cell>
          <cell r="D62">
            <v>0</v>
          </cell>
          <cell r="E62">
            <v>0</v>
          </cell>
          <cell r="F62">
            <v>0</v>
          </cell>
          <cell r="G62">
            <v>0</v>
          </cell>
          <cell r="H62">
            <v>0</v>
          </cell>
          <cell r="I62">
            <v>0</v>
          </cell>
          <cell r="J62">
            <v>180</v>
          </cell>
          <cell r="K62">
            <v>630</v>
          </cell>
          <cell r="L62">
            <v>1820</v>
          </cell>
          <cell r="M62">
            <v>3155</v>
          </cell>
          <cell r="N62">
            <v>0.35293214903152648</v>
          </cell>
          <cell r="O62">
            <v>0.36698082022468764</v>
          </cell>
          <cell r="P62">
            <v>0.34556258679813906</v>
          </cell>
          <cell r="Q62">
            <v>0.31316621630210989</v>
          </cell>
          <cell r="R62">
            <v>0.32229790986628964</v>
          </cell>
          <cell r="S62">
            <v>0.32992592883562583</v>
          </cell>
          <cell r="T62">
            <v>0.33867826102702747</v>
          </cell>
          <cell r="U62">
            <v>0.33701411341829307</v>
          </cell>
          <cell r="V62">
            <v>0.32190751102780885</v>
          </cell>
          <cell r="W62">
            <v>0.28356008915066044</v>
          </cell>
          <cell r="AU62" t="e">
            <v>#DIV/0!</v>
          </cell>
          <cell r="BB62" t="e">
            <v>#DIV/0!</v>
          </cell>
          <cell r="BI62" t="e">
            <v>#DIV/0!</v>
          </cell>
          <cell r="BP62" t="e">
            <v>#DIV/0!</v>
          </cell>
          <cell r="BQ62" t="e">
            <v>#DIV/0!</v>
          </cell>
          <cell r="BR62" t="e">
            <v>#DIV/0!</v>
          </cell>
          <cell r="BS62" t="e">
            <v>#DIV/0!</v>
          </cell>
          <cell r="BT62" t="e">
            <v>#DIV/0!</v>
          </cell>
          <cell r="BU62" t="e">
            <v>#DIV/0!</v>
          </cell>
          <cell r="BV62" t="e">
            <v>#DIV/0!</v>
          </cell>
          <cell r="BW62" t="e">
            <v>#DIV/0!</v>
          </cell>
          <cell r="BX62" t="e">
            <v>#DIV/0!</v>
          </cell>
          <cell r="BY62" t="e">
            <v>#DIV/0!</v>
          </cell>
        </row>
        <row r="63">
          <cell r="A63" t="str">
            <v>Respiratory</v>
          </cell>
          <cell r="I63">
            <v>0.12596024875015241</v>
          </cell>
          <cell r="J63">
            <v>0.12320779103670083</v>
          </cell>
          <cell r="K63">
            <v>0.13303642664062781</v>
          </cell>
          <cell r="L63">
            <v>0.15954659122542514</v>
          </cell>
          <cell r="M63">
            <v>0.18771294735765376</v>
          </cell>
          <cell r="N63">
            <v>0.21160061355045839</v>
          </cell>
          <cell r="O63">
            <v>0.23694910495152535</v>
          </cell>
          <cell r="P63">
            <v>0.26505577386856849</v>
          </cell>
          <cell r="Q63">
            <v>0.29603404629150215</v>
          </cell>
          <cell r="R63">
            <v>0.32654595224032273</v>
          </cell>
          <cell r="S63">
            <v>0.32586101295876652</v>
          </cell>
          <cell r="T63">
            <v>0.29099343474564687</v>
          </cell>
          <cell r="U63">
            <v>0.2653016739984177</v>
          </cell>
          <cell r="V63">
            <v>0.10047778429588257</v>
          </cell>
          <cell r="W63">
            <v>9.9094106604121296E-2</v>
          </cell>
          <cell r="AU63" t="e">
            <v>#DIV/0!</v>
          </cell>
          <cell r="BB63" t="e">
            <v>#DIV/0!</v>
          </cell>
          <cell r="BI63" t="e">
            <v>#DIV/0!</v>
          </cell>
          <cell r="BP63" t="e">
            <v>#DIV/0!</v>
          </cell>
          <cell r="BQ63" t="e">
            <v>#DIV/0!</v>
          </cell>
          <cell r="BR63" t="e">
            <v>#DIV/0!</v>
          </cell>
          <cell r="BS63" t="e">
            <v>#DIV/0!</v>
          </cell>
          <cell r="BT63" t="e">
            <v>#DIV/0!</v>
          </cell>
          <cell r="BU63" t="e">
            <v>#DIV/0!</v>
          </cell>
          <cell r="BV63" t="e">
            <v>#DIV/0!</v>
          </cell>
          <cell r="BW63" t="e">
            <v>#DIV/0!</v>
          </cell>
          <cell r="BX63" t="e">
            <v>#DIV/0!</v>
          </cell>
          <cell r="BY63" t="e">
            <v>#DIV/0!</v>
          </cell>
        </row>
        <row r="64">
          <cell r="A64" t="str">
            <v>AstraZeneca Standalone</v>
          </cell>
          <cell r="B64">
            <v>17841</v>
          </cell>
          <cell r="E64">
            <v>23950</v>
          </cell>
          <cell r="F64">
            <v>26475</v>
          </cell>
          <cell r="G64">
            <v>28845</v>
          </cell>
          <cell r="H64">
            <v>30599.139927384142</v>
          </cell>
          <cell r="I64">
            <v>30431.067345983371</v>
          </cell>
          <cell r="J64">
            <v>30250.879079994113</v>
          </cell>
          <cell r="K64">
            <v>28237.333992948741</v>
          </cell>
          <cell r="L64">
            <v>25692.344285302304</v>
          </cell>
          <cell r="M64">
            <v>24924.291770780299</v>
          </cell>
          <cell r="N64">
            <v>0.1293877136055776</v>
          </cell>
          <cell r="O64">
            <v>0.13207961652748915</v>
          </cell>
          <cell r="P64">
            <v>0.13303129962874977</v>
          </cell>
          <cell r="Q64">
            <v>0.13475649134583059</v>
          </cell>
          <cell r="R64">
            <v>0.1337162732479594</v>
          </cell>
          <cell r="S64">
            <v>0.12919743863261324</v>
          </cell>
          <cell r="T64">
            <v>0.12249507983313754</v>
          </cell>
          <cell r="U64">
            <v>0.1005987723431358</v>
          </cell>
          <cell r="V64">
            <v>9.368684662764136E-2</v>
          </cell>
          <cell r="W64">
            <v>9.1750899285057461E-2</v>
          </cell>
          <cell r="AU64" t="e">
            <v>#DIV/0!</v>
          </cell>
          <cell r="BB64" t="e">
            <v>#DIV/0!</v>
          </cell>
          <cell r="BI64" t="e">
            <v>#DIV/0!</v>
          </cell>
          <cell r="BP64" t="e">
            <v>#DIV/0!</v>
          </cell>
          <cell r="BQ64" t="e">
            <v>#DIV/0!</v>
          </cell>
          <cell r="BR64" t="e">
            <v>#DIV/0!</v>
          </cell>
          <cell r="BS64" t="e">
            <v>#DIV/0!</v>
          </cell>
          <cell r="BT64" t="e">
            <v>#DIV/0!</v>
          </cell>
          <cell r="BU64" t="e">
            <v>#DIV/0!</v>
          </cell>
          <cell r="BV64" t="e">
            <v>#DIV/0!</v>
          </cell>
          <cell r="BW64" t="e">
            <v>#DIV/0!</v>
          </cell>
          <cell r="BX64" t="e">
            <v>#DIV/0!</v>
          </cell>
          <cell r="BY64" t="e">
            <v>#DIV/0!</v>
          </cell>
        </row>
        <row r="65">
          <cell r="A65" t="str">
            <v>Reported Revenues</v>
          </cell>
          <cell r="B65">
            <v>17841</v>
          </cell>
          <cell r="C65">
            <v>18849</v>
          </cell>
          <cell r="D65">
            <v>21426</v>
          </cell>
          <cell r="E65">
            <v>23950</v>
          </cell>
          <cell r="F65">
            <v>27689.7</v>
          </cell>
          <cell r="G65">
            <v>30155</v>
          </cell>
          <cell r="H65">
            <v>32188.380797178394</v>
          </cell>
          <cell r="I65">
            <v>32224.067345983371</v>
          </cell>
          <cell r="J65">
            <v>32258.879079994113</v>
          </cell>
          <cell r="K65">
            <v>30260.553992948742</v>
          </cell>
          <cell r="L65">
            <v>27796.921385302303</v>
          </cell>
          <cell r="M65">
            <v>27096.004683780298</v>
          </cell>
          <cell r="N65">
            <v>0.11700142207456192</v>
          </cell>
          <cell r="O65">
            <v>0.11958849655589278</v>
          </cell>
          <cell r="P65">
            <v>0.12230357072111843</v>
          </cell>
          <cell r="Q65">
            <v>0.1334019674363246</v>
          </cell>
          <cell r="R65">
            <v>0.11633302858416582</v>
          </cell>
          <cell r="S65">
            <v>0.10503564466410491</v>
          </cell>
          <cell r="T65">
            <v>0.10294910668554007</v>
          </cell>
          <cell r="U65">
            <v>0.10191667279885423</v>
          </cell>
          <cell r="V65">
            <v>6.0048096226455586E-2</v>
          </cell>
          <cell r="W65">
            <v>6.3380067371538243E-2</v>
          </cell>
          <cell r="AU65" t="e">
            <v>#DIV/0!</v>
          </cell>
          <cell r="BB65" t="e">
            <v>#DIV/0!</v>
          </cell>
          <cell r="BI65" t="e">
            <v>#DIV/0!</v>
          </cell>
          <cell r="BP65" t="e">
            <v>#DIV/0!</v>
          </cell>
          <cell r="BQ65" t="e">
            <v>#DIV/0!</v>
          </cell>
          <cell r="BR65" t="e">
            <v>#DIV/0!</v>
          </cell>
          <cell r="BS65" t="e">
            <v>#DIV/0!</v>
          </cell>
          <cell r="BT65" t="e">
            <v>#DIV/0!</v>
          </cell>
          <cell r="BU65" t="e">
            <v>#DIV/0!</v>
          </cell>
          <cell r="BV65" t="e">
            <v>#DIV/0!</v>
          </cell>
          <cell r="BW65" t="e">
            <v>#DIV/0!</v>
          </cell>
          <cell r="BX65" t="e">
            <v>#DIV/0!</v>
          </cell>
          <cell r="BY65" t="e">
            <v>#DIV/0!</v>
          </cell>
        </row>
        <row r="66">
          <cell r="A66" t="str">
            <v>Infection</v>
          </cell>
          <cell r="I66">
            <v>8.020363370320692E-2</v>
          </cell>
          <cell r="J66">
            <v>6.5586582103459676E-2</v>
          </cell>
          <cell r="K66">
            <v>5.5265132119508925E-2</v>
          </cell>
          <cell r="L66">
            <v>6.1846024304541392E-2</v>
          </cell>
          <cell r="M66">
            <v>7.149967117100467E-2</v>
          </cell>
          <cell r="N66">
            <v>7.9187525902374212E-2</v>
          </cell>
          <cell r="O66">
            <v>8.3746542665923768E-2</v>
          </cell>
          <cell r="P66">
            <v>8.654742086320541E-2</v>
          </cell>
          <cell r="Q66">
            <v>8.8559433530569817E-2</v>
          </cell>
          <cell r="R66">
            <v>8.760789160348928E-2</v>
          </cell>
          <cell r="S66">
            <v>8.4743294127287927E-2</v>
          </cell>
          <cell r="T66">
            <v>8.5848436794414035E-2</v>
          </cell>
          <cell r="U66">
            <v>8.6371348049545313E-2</v>
          </cell>
          <cell r="V66">
            <v>7.2722746562753321E-2</v>
          </cell>
          <cell r="W66">
            <v>8.1041940377782368E-2</v>
          </cell>
          <cell r="AU66" t="e">
            <v>#DIV/0!</v>
          </cell>
          <cell r="BB66" t="e">
            <v>#DIV/0!</v>
          </cell>
          <cell r="BI66" t="e">
            <v>#DIV/0!</v>
          </cell>
          <cell r="BP66" t="e">
            <v>#DIV/0!</v>
          </cell>
          <cell r="BQ66" t="e">
            <v>#DIV/0!</v>
          </cell>
          <cell r="BR66" t="e">
            <v>#DIV/0!</v>
          </cell>
          <cell r="BS66" t="e">
            <v>#DIV/0!</v>
          </cell>
          <cell r="BT66" t="e">
            <v>#DIV/0!</v>
          </cell>
          <cell r="BU66" t="e">
            <v>#DIV/0!</v>
          </cell>
          <cell r="BV66" t="e">
            <v>#DIV/0!</v>
          </cell>
          <cell r="BW66" t="e">
            <v>#DIV/0!</v>
          </cell>
          <cell r="BX66" t="e">
            <v>#DIV/0!</v>
          </cell>
          <cell r="BY66" t="e">
            <v>#DIV/0!</v>
          </cell>
        </row>
        <row r="67">
          <cell r="A67" t="str">
            <v>Other/ in-licensed</v>
          </cell>
          <cell r="I67">
            <v>2.7405194488477017E-2</v>
          </cell>
          <cell r="J67">
            <v>2.2483392948390191E-2</v>
          </cell>
          <cell r="K67">
            <v>1.707610417138028E-2</v>
          </cell>
          <cell r="L67">
            <v>-3.7536168672798187E-3</v>
          </cell>
          <cell r="M67">
            <v>-1.7029133235097582E-2</v>
          </cell>
          <cell r="N67">
            <v>-3.4518001201958803E-2</v>
          </cell>
          <cell r="O67">
            <v>-4.9071801608696397E-2</v>
          </cell>
          <cell r="P67">
            <v>-6.3080420163516226E-2</v>
          </cell>
          <cell r="Q67">
            <v>-8.1448776042615245E-2</v>
          </cell>
          <cell r="R67">
            <v>-0.10568182925598357</v>
          </cell>
          <cell r="S67">
            <v>-9.4631140133481617E-2</v>
          </cell>
          <cell r="T67">
            <v>-6.6053993508020659E-2</v>
          </cell>
          <cell r="U67">
            <v>-1.5430954932875718E-2</v>
          </cell>
          <cell r="V67">
            <v>0.22797297182914866</v>
          </cell>
          <cell r="W67">
            <v>0.27627796518018388</v>
          </cell>
          <cell r="AU67" t="e">
            <v>#DIV/0!</v>
          </cell>
          <cell r="BB67" t="e">
            <v>#DIV/0!</v>
          </cell>
          <cell r="BI67" t="e">
            <v>#DIV/0!</v>
          </cell>
          <cell r="BP67" t="e">
            <v>#DIV/0!</v>
          </cell>
          <cell r="BQ67" t="e">
            <v>#DIV/0!</v>
          </cell>
          <cell r="BR67" t="e">
            <v>#DIV/0!</v>
          </cell>
          <cell r="BS67" t="e">
            <v>#DIV/0!</v>
          </cell>
          <cell r="BT67" t="e">
            <v>#DIV/0!</v>
          </cell>
          <cell r="BU67" t="e">
            <v>#DIV/0!</v>
          </cell>
          <cell r="BV67" t="e">
            <v>#DIV/0!</v>
          </cell>
          <cell r="BW67" t="e">
            <v>#DIV/0!</v>
          </cell>
          <cell r="BX67" t="e">
            <v>#DIV/0!</v>
          </cell>
          <cell r="BY67" t="e">
            <v>#DIV/0!</v>
          </cell>
        </row>
        <row r="68">
          <cell r="A68" t="str">
            <v>Notes:</v>
          </cell>
          <cell r="L68">
            <v>27973.020079721904</v>
          </cell>
          <cell r="M68">
            <v>3.6070470657955177E-2</v>
          </cell>
        </row>
        <row r="69">
          <cell r="A69" t="str">
            <v>E= Morgan Stanley Research Estimates</v>
          </cell>
          <cell r="F69" t="str">
            <v>FY06A</v>
          </cell>
          <cell r="G69" t="str">
            <v>FY07A</v>
          </cell>
          <cell r="H69" t="str">
            <v>FY08A</v>
          </cell>
          <cell r="I69" t="str">
            <v>FY09A</v>
          </cell>
          <cell r="J69" t="str">
            <v>FY10A</v>
          </cell>
          <cell r="K69" t="str">
            <v>FY11A</v>
          </cell>
          <cell r="L69" t="str">
            <v>FY12A</v>
          </cell>
          <cell r="M69" t="str">
            <v>FY13E</v>
          </cell>
          <cell r="N69" t="str">
            <v>FY14E</v>
          </cell>
          <cell r="O69" t="str">
            <v>FY15E</v>
          </cell>
          <cell r="P69" t="str">
            <v>FY16E</v>
          </cell>
          <cell r="Q69" t="str">
            <v>FY17E</v>
          </cell>
          <cell r="R69" t="str">
            <v>FY18E</v>
          </cell>
          <cell r="S69" t="str">
            <v>FY19E</v>
          </cell>
          <cell r="T69" t="str">
            <v>FY20E</v>
          </cell>
          <cell r="U69" t="str">
            <v>FY21E</v>
          </cell>
          <cell r="V69" t="str">
            <v>FY22E</v>
          </cell>
          <cell r="W69" t="str">
            <v>FY23E</v>
          </cell>
          <cell r="Y69" t="str">
            <v>14-17e</v>
          </cell>
          <cell r="Z69" t="str">
            <v>14-19e</v>
          </cell>
        </row>
        <row r="70">
          <cell r="A70" t="str">
            <v>Source: Morgan Stanley Research</v>
          </cell>
          <cell r="B70">
            <v>1978</v>
          </cell>
          <cell r="C70">
            <v>3302</v>
          </cell>
          <cell r="D70">
            <v>3883</v>
          </cell>
          <cell r="E70">
            <v>4633</v>
          </cell>
          <cell r="F70">
            <v>5182</v>
          </cell>
          <cell r="G70">
            <v>5216</v>
          </cell>
          <cell r="H70">
            <v>5200</v>
          </cell>
          <cell r="I70">
            <v>4959</v>
          </cell>
          <cell r="J70">
            <v>4969</v>
          </cell>
          <cell r="K70">
            <v>4428.8999999999996</v>
          </cell>
          <cell r="L70">
            <v>3944</v>
          </cell>
          <cell r="M70">
            <v>3810.9089224795475</v>
          </cell>
          <cell r="N70">
            <v>2864.1866637874728</v>
          </cell>
          <cell r="O70">
            <v>2005.7942587165473</v>
          </cell>
          <cell r="P70">
            <v>2041.1663659673281</v>
          </cell>
          <cell r="Q70">
            <v>2144.069304940439</v>
          </cell>
          <cell r="R70">
            <v>2262.8256964876691</v>
          </cell>
          <cell r="S70">
            <v>2376.552706693185</v>
          </cell>
          <cell r="T70">
            <v>2473.7493598824553</v>
          </cell>
          <cell r="U70">
            <v>2452.2230572286799</v>
          </cell>
          <cell r="V70">
            <v>2445.8722950786359</v>
          </cell>
          <cell r="W70">
            <v>1788.7937325190094</v>
          </cell>
          <cell r="Y70">
            <v>-0.20178943568864571</v>
          </cell>
          <cell r="Z70">
            <v>-0.11476131856384653</v>
          </cell>
        </row>
        <row r="71">
          <cell r="A71" t="str">
            <v>Losec</v>
          </cell>
          <cell r="B71">
            <v>4623</v>
          </cell>
          <cell r="C71">
            <v>2565</v>
          </cell>
          <cell r="D71">
            <v>1947</v>
          </cell>
          <cell r="E71">
            <v>1652</v>
          </cell>
          <cell r="F71">
            <v>1371</v>
          </cell>
          <cell r="G71">
            <v>1143</v>
          </cell>
          <cell r="H71">
            <v>1055</v>
          </cell>
          <cell r="I71">
            <v>946</v>
          </cell>
          <cell r="J71">
            <v>986</v>
          </cell>
          <cell r="K71">
            <v>946.09999999999991</v>
          </cell>
          <cell r="L71">
            <v>710</v>
          </cell>
          <cell r="M71">
            <v>482.65107713043517</v>
          </cell>
          <cell r="N71">
            <v>430.15273679794518</v>
          </cell>
          <cell r="O71">
            <v>403.51482413771731</v>
          </cell>
          <cell r="P71">
            <v>378.95168641792395</v>
          </cell>
          <cell r="Q71">
            <v>356.23083134002383</v>
          </cell>
          <cell r="R71">
            <v>335.15575436900895</v>
          </cell>
          <cell r="S71">
            <v>315.55936384482578</v>
          </cell>
          <cell r="T71">
            <v>286.31030512181968</v>
          </cell>
          <cell r="U71">
            <v>260.47149639031215</v>
          </cell>
          <cell r="V71">
            <v>237.57906872528457</v>
          </cell>
          <cell r="W71">
            <v>191.0308348992148</v>
          </cell>
          <cell r="Y71">
            <v>-0.17167417857917355</v>
          </cell>
          <cell r="Z71">
            <v>-0.12884660966905859</v>
          </cell>
        </row>
        <row r="72">
          <cell r="A72" t="str">
            <v>Others</v>
          </cell>
          <cell r="B72">
            <v>63</v>
          </cell>
          <cell r="C72">
            <v>76</v>
          </cell>
          <cell r="D72">
            <v>88</v>
          </cell>
          <cell r="E72">
            <v>70</v>
          </cell>
          <cell r="F72">
            <v>78</v>
          </cell>
          <cell r="G72">
            <v>84</v>
          </cell>
          <cell r="H72">
            <v>89</v>
          </cell>
          <cell r="I72">
            <v>106</v>
          </cell>
          <cell r="J72">
            <v>133</v>
          </cell>
          <cell r="K72">
            <v>160.6</v>
          </cell>
          <cell r="L72">
            <v>198</v>
          </cell>
          <cell r="M72">
            <v>215.49577261032331</v>
          </cell>
          <cell r="N72">
            <v>215.67832684758312</v>
          </cell>
          <cell r="O72">
            <v>219.17293094278529</v>
          </cell>
          <cell r="P72">
            <v>222.93885468673008</v>
          </cell>
          <cell r="Q72">
            <v>226.97846781513064</v>
          </cell>
          <cell r="R72">
            <v>216.37681109944944</v>
          </cell>
          <cell r="S72">
            <v>206.35380393680447</v>
          </cell>
          <cell r="T72">
            <v>196.88537052126907</v>
          </cell>
          <cell r="U72">
            <v>185.20257539390371</v>
          </cell>
          <cell r="V72">
            <v>171.54285503970536</v>
          </cell>
          <cell r="W72">
            <v>158.67860262905123</v>
          </cell>
          <cell r="Y72">
            <v>3.4444261254944264E-2</v>
          </cell>
          <cell r="Z72">
            <v>2.7694172670464257E-2</v>
          </cell>
        </row>
        <row r="73">
          <cell r="A73" t="str">
            <v>Gastro-Intestinal</v>
          </cell>
          <cell r="B73">
            <v>6664</v>
          </cell>
          <cell r="C73">
            <v>5943</v>
          </cell>
          <cell r="D73">
            <v>5918</v>
          </cell>
          <cell r="E73">
            <v>6355</v>
          </cell>
          <cell r="F73">
            <v>6631</v>
          </cell>
          <cell r="G73">
            <v>6443</v>
          </cell>
          <cell r="H73">
            <v>6344</v>
          </cell>
          <cell r="I73">
            <v>6011</v>
          </cell>
          <cell r="J73">
            <v>6088</v>
          </cell>
          <cell r="K73">
            <v>5535.6</v>
          </cell>
          <cell r="L73">
            <v>4852</v>
          </cell>
          <cell r="M73">
            <v>4509.0557722203057</v>
          </cell>
          <cell r="N73">
            <v>3510.0177274330013</v>
          </cell>
          <cell r="O73">
            <v>2628.4820137970496</v>
          </cell>
          <cell r="P73">
            <v>2643.0569070719821</v>
          </cell>
          <cell r="Q73">
            <v>2727.2786040955934</v>
          </cell>
          <cell r="R73">
            <v>2814.3582619561271</v>
          </cell>
          <cell r="S73">
            <v>2898.4658744748153</v>
          </cell>
          <cell r="T73">
            <v>2956.945035525544</v>
          </cell>
          <cell r="U73">
            <v>2897.8971290128957</v>
          </cell>
          <cell r="V73">
            <v>2854.9942188436262</v>
          </cell>
          <cell r="W73">
            <v>2138.5031700472755</v>
          </cell>
          <cell r="Y73">
            <v>-0.18480352478816398</v>
          </cell>
          <cell r="Z73">
            <v>-0.10882756944082683</v>
          </cell>
        </row>
        <row r="74">
          <cell r="A74" t="str">
            <v xml:space="preserve">   growth </v>
          </cell>
          <cell r="C74">
            <v>-0.10819327731092432</v>
          </cell>
          <cell r="D74">
            <v>-4.2066296483257437E-3</v>
          </cell>
          <cell r="E74">
            <v>7.384251436296041E-2</v>
          </cell>
          <cell r="F74">
            <v>4.3430369787568868E-2</v>
          </cell>
          <cell r="G74">
            <v>-2.8351681496003645E-2</v>
          </cell>
          <cell r="H74">
            <v>-1.5365512959801375E-2</v>
          </cell>
          <cell r="I74">
            <v>-5.2490542244640559E-2</v>
          </cell>
          <cell r="J74">
            <v>1.2809848610880081E-2</v>
          </cell>
          <cell r="K74">
            <v>-9.0735873850197102E-2</v>
          </cell>
          <cell r="L74">
            <v>-0.12349158176168806</v>
          </cell>
          <cell r="M74">
            <v>-7.0681003252204055E-2</v>
          </cell>
          <cell r="N74">
            <v>-0.22156258322246647</v>
          </cell>
          <cell r="O74">
            <v>-0.25114850752638496</v>
          </cell>
          <cell r="P74">
            <v>5.5449849755213609E-3</v>
          </cell>
          <cell r="Q74">
            <v>3.1865260561836806E-2</v>
          </cell>
          <cell r="R74">
            <v>3.1929139080167701E-2</v>
          </cell>
          <cell r="S74">
            <v>2.9885183295828455E-2</v>
          </cell>
          <cell r="T74">
            <v>2.0175901177834188E-2</v>
          </cell>
          <cell r="U74">
            <v>-1.996922695661596E-2</v>
          </cell>
          <cell r="V74">
            <v>-1.4804842359564141E-2</v>
          </cell>
          <cell r="W74">
            <v>-0.25096059532006865</v>
          </cell>
        </row>
        <row r="75">
          <cell r="A75" t="str">
            <v xml:space="preserve">% of group </v>
          </cell>
          <cell r="C75">
            <v>0.35866022933011465</v>
          </cell>
          <cell r="D75">
            <v>0.31376915327925348</v>
          </cell>
          <cell r="E75">
            <v>0.26461525649566953</v>
          </cell>
          <cell r="F75">
            <v>0.25047216136586842</v>
          </cell>
          <cell r="G75">
            <v>0.21761010537692516</v>
          </cell>
          <cell r="H75">
            <v>0.20075314072339484</v>
          </cell>
          <cell r="I75">
            <v>0.18323984879892696</v>
          </cell>
          <cell r="J75">
            <v>0.18296018031555222</v>
          </cell>
          <cell r="K75">
            <v>0.16479512247401076</v>
          </cell>
          <cell r="L75">
            <v>0.17345284800039498</v>
          </cell>
          <cell r="M75">
            <v>0.17471060639277561</v>
          </cell>
          <cell r="N75">
            <v>0.14440857703746027</v>
          </cell>
          <cell r="O75">
            <v>0.10972722068317775</v>
          </cell>
          <cell r="P75">
            <v>0.11024607565574585</v>
          </cell>
          <cell r="Q75">
            <v>0.11468956613032405</v>
          </cell>
          <cell r="R75">
            <v>0.11685558545540251</v>
          </cell>
          <cell r="S75">
            <v>0.11696239009359249</v>
          </cell>
          <cell r="T75">
            <v>0.12179452951949266</v>
          </cell>
          <cell r="U75">
            <v>0.12079367717826159</v>
          </cell>
          <cell r="V75">
            <v>0.12318404343030957</v>
          </cell>
          <cell r="W75">
            <v>0.10489493203065643</v>
          </cell>
        </row>
        <row r="77">
          <cell r="A77" t="str">
            <v>Crestor</v>
          </cell>
          <cell r="B77">
            <v>0</v>
          </cell>
          <cell r="C77">
            <v>129</v>
          </cell>
          <cell r="D77">
            <v>908</v>
          </cell>
          <cell r="E77">
            <v>1268</v>
          </cell>
          <cell r="F77">
            <v>2028</v>
          </cell>
          <cell r="G77">
            <v>2796</v>
          </cell>
          <cell r="H77">
            <v>3597</v>
          </cell>
          <cell r="I77">
            <v>4502</v>
          </cell>
          <cell r="J77">
            <v>5691</v>
          </cell>
          <cell r="K77">
            <v>6622</v>
          </cell>
          <cell r="L77">
            <v>6253</v>
          </cell>
          <cell r="M77">
            <v>5426.0863629332371</v>
          </cell>
          <cell r="N77">
            <v>4874.4490531132942</v>
          </cell>
          <cell r="O77">
            <v>4613.6442168572721</v>
          </cell>
          <cell r="P77">
            <v>3603.6489612629771</v>
          </cell>
          <cell r="Q77">
            <v>2306.3635048189617</v>
          </cell>
          <cell r="R77">
            <v>2104.385769066681</v>
          </cell>
          <cell r="S77">
            <v>2021.0331439348349</v>
          </cell>
          <cell r="T77">
            <v>1819.6144099537173</v>
          </cell>
          <cell r="U77">
            <v>1606.9641537992397</v>
          </cell>
          <cell r="V77">
            <v>1464.47675206077</v>
          </cell>
          <cell r="W77">
            <v>1340.4886612100429</v>
          </cell>
          <cell r="Y77">
            <v>-9.6380354826450354E-2</v>
          </cell>
          <cell r="Z77">
            <v>-0.18084164400950475</v>
          </cell>
        </row>
        <row r="78">
          <cell r="A78" t="str">
            <v>Toprol-XL</v>
          </cell>
          <cell r="B78">
            <v>901</v>
          </cell>
          <cell r="C78">
            <v>1280</v>
          </cell>
          <cell r="D78">
            <v>1387</v>
          </cell>
          <cell r="E78">
            <v>1735</v>
          </cell>
          <cell r="F78">
            <v>1794</v>
          </cell>
          <cell r="G78">
            <v>1438</v>
          </cell>
          <cell r="H78">
            <v>807</v>
          </cell>
          <cell r="I78">
            <v>1443</v>
          </cell>
          <cell r="J78">
            <v>1210</v>
          </cell>
          <cell r="K78">
            <v>986</v>
          </cell>
          <cell r="L78">
            <v>918</v>
          </cell>
          <cell r="M78">
            <v>892.58083670240615</v>
          </cell>
          <cell r="N78">
            <v>930.95414118869121</v>
          </cell>
          <cell r="O78">
            <v>956.4767615643716</v>
          </cell>
          <cell r="P78">
            <v>993.00862302115343</v>
          </cell>
          <cell r="Q78">
            <v>1025.4576573769614</v>
          </cell>
          <cell r="R78">
            <v>1066.2762074332666</v>
          </cell>
          <cell r="S78">
            <v>1105.91449169404</v>
          </cell>
          <cell r="T78">
            <v>1034.3854140646597</v>
          </cell>
          <cell r="U78">
            <v>970.13555802021892</v>
          </cell>
          <cell r="V78">
            <v>901.9394519441272</v>
          </cell>
          <cell r="W78">
            <v>654.11752896892062</v>
          </cell>
          <cell r="Y78">
            <v>1.3780315887018224E-2</v>
          </cell>
          <cell r="Z78">
            <v>2.238627398342885E-2</v>
          </cell>
        </row>
        <row r="79">
          <cell r="A79" t="str">
            <v>Atacand</v>
          </cell>
          <cell r="B79">
            <v>569</v>
          </cell>
          <cell r="C79">
            <v>750</v>
          </cell>
          <cell r="D79">
            <v>879</v>
          </cell>
          <cell r="E79">
            <v>974</v>
          </cell>
          <cell r="F79">
            <v>1110</v>
          </cell>
          <cell r="G79">
            <v>1287</v>
          </cell>
          <cell r="H79">
            <v>1471</v>
          </cell>
          <cell r="I79">
            <v>1436</v>
          </cell>
          <cell r="J79">
            <v>1483</v>
          </cell>
          <cell r="K79">
            <v>1450</v>
          </cell>
          <cell r="L79">
            <v>1009</v>
          </cell>
          <cell r="M79">
            <v>648.47135069127262</v>
          </cell>
          <cell r="N79">
            <v>496.17098576628672</v>
          </cell>
          <cell r="O79">
            <v>467.49429746709995</v>
          </cell>
          <cell r="P79">
            <v>448.60346207965574</v>
          </cell>
          <cell r="Q79">
            <v>436.19301080328074</v>
          </cell>
          <cell r="R79">
            <v>429.20479608461193</v>
          </cell>
          <cell r="S79">
            <v>426.79391450268429</v>
          </cell>
          <cell r="T79">
            <v>412.56653443435169</v>
          </cell>
          <cell r="U79">
            <v>360.82945937534487</v>
          </cell>
          <cell r="V79">
            <v>319.50630263002461</v>
          </cell>
          <cell r="W79">
            <v>281.7637118254159</v>
          </cell>
          <cell r="Y79">
            <v>-0.22619862423518367</v>
          </cell>
          <cell r="Z79">
            <v>-0.15441453869889232</v>
          </cell>
        </row>
        <row r="80">
          <cell r="A80" t="str">
            <v>Tenormin</v>
          </cell>
          <cell r="B80">
            <v>370</v>
          </cell>
          <cell r="C80">
            <v>342</v>
          </cell>
          <cell r="D80">
            <v>368</v>
          </cell>
          <cell r="E80">
            <v>352</v>
          </cell>
          <cell r="F80">
            <v>320</v>
          </cell>
          <cell r="G80">
            <v>308</v>
          </cell>
          <cell r="H80">
            <v>313</v>
          </cell>
          <cell r="I80">
            <v>296</v>
          </cell>
          <cell r="J80">
            <v>205.78520431451318</v>
          </cell>
          <cell r="K80">
            <v>270</v>
          </cell>
          <cell r="L80">
            <v>229</v>
          </cell>
          <cell r="M80">
            <v>186.25363409547361</v>
          </cell>
          <cell r="N80">
            <v>177.27569253140481</v>
          </cell>
          <cell r="O80">
            <v>172.79189889560541</v>
          </cell>
          <cell r="P80">
            <v>168.85648894007895</v>
          </cell>
          <cell r="Q80">
            <v>165.45088956930982</v>
          </cell>
          <cell r="R80">
            <v>162.55841409978296</v>
          </cell>
          <cell r="S80">
            <v>160.16417974554895</v>
          </cell>
          <cell r="T80">
            <v>152.15597075827148</v>
          </cell>
          <cell r="U80">
            <v>144.54817222035791</v>
          </cell>
          <cell r="V80">
            <v>137.32076360934002</v>
          </cell>
          <cell r="W80">
            <v>130.45472542887302</v>
          </cell>
          <cell r="Y80">
            <v>-8.9605330832780772E-2</v>
          </cell>
          <cell r="Z80">
            <v>-6.2941456063460355E-2</v>
          </cell>
        </row>
        <row r="81">
          <cell r="A81" t="str">
            <v>Plendil</v>
          </cell>
          <cell r="B81">
            <v>489</v>
          </cell>
          <cell r="C81">
            <v>540</v>
          </cell>
          <cell r="D81">
            <v>455</v>
          </cell>
          <cell r="E81">
            <v>360</v>
          </cell>
          <cell r="F81">
            <v>275</v>
          </cell>
          <cell r="G81">
            <v>271</v>
          </cell>
          <cell r="H81">
            <v>268</v>
          </cell>
          <cell r="I81">
            <v>241</v>
          </cell>
          <cell r="J81">
            <v>255</v>
          </cell>
          <cell r="K81">
            <v>256</v>
          </cell>
          <cell r="L81">
            <v>252</v>
          </cell>
          <cell r="M81">
            <v>241.2726763604056</v>
          </cell>
          <cell r="N81">
            <v>252.54271474864856</v>
          </cell>
          <cell r="O81">
            <v>262.41825570126542</v>
          </cell>
          <cell r="P81">
            <v>273.02380938538693</v>
          </cell>
          <cell r="Q81">
            <v>284.37225286920096</v>
          </cell>
          <cell r="R81">
            <v>283.22414744557409</v>
          </cell>
          <cell r="S81">
            <v>282.19085256430992</v>
          </cell>
          <cell r="T81">
            <v>241.49492121446377</v>
          </cell>
          <cell r="U81">
            <v>206.8568812974377</v>
          </cell>
          <cell r="V81">
            <v>177.37269892527431</v>
          </cell>
          <cell r="W81">
            <v>152.27348031051335</v>
          </cell>
          <cell r="Y81">
            <v>1.359496039028163E-2</v>
          </cell>
          <cell r="Z81">
            <v>2.4465495097917733E-2</v>
          </cell>
        </row>
        <row r="82">
          <cell r="A82" t="str">
            <v>Brilinta</v>
          </cell>
          <cell r="B82">
            <v>0</v>
          </cell>
          <cell r="C82">
            <v>0</v>
          </cell>
          <cell r="D82">
            <v>0</v>
          </cell>
          <cell r="E82">
            <v>0</v>
          </cell>
          <cell r="F82">
            <v>0</v>
          </cell>
          <cell r="G82">
            <v>0</v>
          </cell>
          <cell r="H82">
            <v>0</v>
          </cell>
          <cell r="I82">
            <v>0</v>
          </cell>
          <cell r="J82">
            <v>0</v>
          </cell>
          <cell r="K82">
            <v>21.4</v>
          </cell>
          <cell r="L82">
            <v>89</v>
          </cell>
          <cell r="M82">
            <v>288</v>
          </cell>
          <cell r="N82">
            <v>415.36154164676208</v>
          </cell>
          <cell r="O82">
            <v>535.8569016862765</v>
          </cell>
          <cell r="P82">
            <v>768.56658749156634</v>
          </cell>
          <cell r="Q82">
            <v>947.83404713610093</v>
          </cell>
          <cell r="R82">
            <v>1169.1969440923965</v>
          </cell>
          <cell r="S82">
            <v>1418.9507262102165</v>
          </cell>
          <cell r="T82">
            <v>1639.2015509565581</v>
          </cell>
          <cell r="U82">
            <v>1771.4004210080691</v>
          </cell>
          <cell r="V82">
            <v>1878.0847587522751</v>
          </cell>
          <cell r="W82">
            <v>679.22321515782505</v>
          </cell>
          <cell r="Y82">
            <v>0.81921352087737853</v>
          </cell>
          <cell r="Z82">
            <v>0.60497569359068337</v>
          </cell>
        </row>
        <row r="83">
          <cell r="A83" t="str">
            <v>Byetta</v>
          </cell>
          <cell r="B83">
            <v>0</v>
          </cell>
          <cell r="C83">
            <v>0</v>
          </cell>
          <cell r="D83">
            <v>0</v>
          </cell>
          <cell r="E83">
            <v>0</v>
          </cell>
          <cell r="F83">
            <v>0</v>
          </cell>
          <cell r="G83">
            <v>0</v>
          </cell>
          <cell r="H83">
            <v>0</v>
          </cell>
          <cell r="I83">
            <v>0</v>
          </cell>
          <cell r="J83">
            <v>0</v>
          </cell>
          <cell r="K83">
            <v>0</v>
          </cell>
          <cell r="L83">
            <v>74</v>
          </cell>
          <cell r="M83">
            <v>180.06</v>
          </cell>
          <cell r="N83">
            <v>163.42274354393467</v>
          </cell>
          <cell r="O83">
            <v>141.1759948144279</v>
          </cell>
          <cell r="P83">
            <v>122.12967845787176</v>
          </cell>
          <cell r="Q83">
            <v>105.81738761197127</v>
          </cell>
          <cell r="R83">
            <v>91.841310644410825</v>
          </cell>
          <cell r="S83">
            <v>88.011702664043924</v>
          </cell>
          <cell r="T83">
            <v>84.422437057938083</v>
          </cell>
          <cell r="U83">
            <v>81.05375814138047</v>
          </cell>
          <cell r="V83">
            <v>77.887757441548132</v>
          </cell>
          <cell r="W83">
            <v>74.908192827016464</v>
          </cell>
          <cell r="Y83">
            <v>0.24024869070446453</v>
          </cell>
          <cell r="Z83">
            <v>7.4150322498745203E-2</v>
          </cell>
        </row>
        <row r="84">
          <cell r="A84" t="str">
            <v>Bydureon</v>
          </cell>
          <cell r="B84">
            <v>0</v>
          </cell>
          <cell r="C84">
            <v>0</v>
          </cell>
          <cell r="D84">
            <v>0</v>
          </cell>
          <cell r="E84">
            <v>0</v>
          </cell>
          <cell r="F84">
            <v>0</v>
          </cell>
          <cell r="G84">
            <v>0</v>
          </cell>
          <cell r="H84">
            <v>0</v>
          </cell>
          <cell r="I84">
            <v>0</v>
          </cell>
          <cell r="J84">
            <v>0</v>
          </cell>
          <cell r="K84">
            <v>0</v>
          </cell>
          <cell r="L84">
            <v>37</v>
          </cell>
          <cell r="M84">
            <v>163</v>
          </cell>
          <cell r="N84">
            <v>217.77685451568107</v>
          </cell>
          <cell r="O84">
            <v>263.52783037922882</v>
          </cell>
          <cell r="P84">
            <v>300.15654880759251</v>
          </cell>
          <cell r="Q84">
            <v>342.21422834253519</v>
          </cell>
          <cell r="R84">
            <v>386.84360361268551</v>
          </cell>
          <cell r="S84">
            <v>409.15433526719329</v>
          </cell>
          <cell r="T84">
            <v>432.18578190058491</v>
          </cell>
          <cell r="U84">
            <v>456.71285512990482</v>
          </cell>
          <cell r="V84">
            <v>482.85774390296365</v>
          </cell>
          <cell r="W84">
            <v>510.75543770550206</v>
          </cell>
          <cell r="Y84">
            <v>0.92400152557628457</v>
          </cell>
          <cell r="Z84">
            <v>0.56034009231436577</v>
          </cell>
        </row>
        <row r="85">
          <cell r="A85" t="str">
            <v>Symlin</v>
          </cell>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Y85" t="e">
            <v>#DIV/0!</v>
          </cell>
          <cell r="Z85" t="e">
            <v>#DIV/0!</v>
          </cell>
        </row>
        <row r="86">
          <cell r="A86" t="str">
            <v>Onglyza/Kombiglyze</v>
          </cell>
          <cell r="B86">
            <v>0</v>
          </cell>
          <cell r="C86">
            <v>0</v>
          </cell>
          <cell r="D86">
            <v>0</v>
          </cell>
          <cell r="E86">
            <v>0</v>
          </cell>
          <cell r="F86">
            <v>0</v>
          </cell>
          <cell r="G86">
            <v>0</v>
          </cell>
          <cell r="H86">
            <v>0</v>
          </cell>
          <cell r="I86">
            <v>11</v>
          </cell>
          <cell r="J86">
            <v>69</v>
          </cell>
          <cell r="K86">
            <v>211</v>
          </cell>
          <cell r="L86">
            <v>323</v>
          </cell>
          <cell r="M86">
            <v>387.73930268559297</v>
          </cell>
          <cell r="N86">
            <v>459.99924554214869</v>
          </cell>
          <cell r="O86">
            <v>528.90541054946675</v>
          </cell>
          <cell r="P86">
            <v>601.3852476638267</v>
          </cell>
          <cell r="Q86">
            <v>659.49350782556871</v>
          </cell>
          <cell r="R86">
            <v>715.48273574617383</v>
          </cell>
          <cell r="S86">
            <v>765.56254815789976</v>
          </cell>
          <cell r="T86">
            <v>807.15950294001959</v>
          </cell>
          <cell r="U86">
            <v>783.57646777958519</v>
          </cell>
          <cell r="V86">
            <v>580.55102044478303</v>
          </cell>
          <cell r="W86">
            <v>497.10095905542579</v>
          </cell>
          <cell r="Y86">
            <v>0.17866697497362627</v>
          </cell>
          <cell r="Z86">
            <v>0.15345750852853524</v>
          </cell>
        </row>
        <row r="87">
          <cell r="A87" t="str">
            <v>Forxiga</v>
          </cell>
          <cell r="B87">
            <v>0</v>
          </cell>
          <cell r="C87">
            <v>0</v>
          </cell>
          <cell r="D87">
            <v>0</v>
          </cell>
          <cell r="E87">
            <v>125</v>
          </cell>
          <cell r="F87">
            <v>160</v>
          </cell>
          <cell r="G87">
            <v>219</v>
          </cell>
          <cell r="H87">
            <v>275</v>
          </cell>
          <cell r="I87">
            <v>0</v>
          </cell>
          <cell r="J87">
            <v>0</v>
          </cell>
          <cell r="K87">
            <v>0</v>
          </cell>
          <cell r="L87">
            <v>0</v>
          </cell>
          <cell r="M87">
            <v>47</v>
          </cell>
          <cell r="N87">
            <v>126.68737723270641</v>
          </cell>
          <cell r="O87">
            <v>377.26264425003285</v>
          </cell>
          <cell r="P87">
            <v>526.19780030649281</v>
          </cell>
          <cell r="Q87">
            <v>680.98203763595973</v>
          </cell>
          <cell r="R87">
            <v>811.13410135161348</v>
          </cell>
          <cell r="S87">
            <v>936.09487145671199</v>
          </cell>
          <cell r="T87">
            <v>1028.5526544441993</v>
          </cell>
          <cell r="U87">
            <v>1131.3982897942076</v>
          </cell>
          <cell r="V87">
            <v>1225.5856187736283</v>
          </cell>
          <cell r="W87">
            <v>1260.8446210791976</v>
          </cell>
          <cell r="Y87" t="e">
            <v>#DIV/0!</v>
          </cell>
          <cell r="Z87" t="e">
            <v>#DIV/0!</v>
          </cell>
        </row>
        <row r="88">
          <cell r="A88" t="str">
            <v>Others</v>
          </cell>
          <cell r="B88">
            <v>1240</v>
          </cell>
          <cell r="C88">
            <v>869</v>
          </cell>
          <cell r="D88">
            <v>780</v>
          </cell>
          <cell r="E88">
            <v>535</v>
          </cell>
          <cell r="F88">
            <v>430</v>
          </cell>
          <cell r="G88">
            <v>366.80000000000018</v>
          </cell>
          <cell r="H88">
            <v>232</v>
          </cell>
          <cell r="I88">
            <v>447</v>
          </cell>
          <cell r="J88">
            <v>489.21479568548602</v>
          </cell>
          <cell r="K88">
            <v>396</v>
          </cell>
          <cell r="L88">
            <v>347</v>
          </cell>
          <cell r="M88">
            <v>324.3628464250487</v>
          </cell>
          <cell r="N88">
            <v>301.78431922824711</v>
          </cell>
          <cell r="O88">
            <v>291.3591032668337</v>
          </cell>
          <cell r="P88">
            <v>281.59506810349194</v>
          </cell>
          <cell r="Q88">
            <v>271.84484759831776</v>
          </cell>
          <cell r="R88">
            <v>261.40697918840215</v>
          </cell>
          <cell r="S88">
            <v>251.49100419898241</v>
          </cell>
          <cell r="T88">
            <v>242.07082795903261</v>
          </cell>
          <cell r="U88">
            <v>233.12166053108103</v>
          </cell>
          <cell r="V88">
            <v>215.15682956452838</v>
          </cell>
          <cell r="W88">
            <v>199.03655233730024</v>
          </cell>
          <cell r="Y88">
            <v>-5.6591122452186227E-2</v>
          </cell>
          <cell r="Z88">
            <v>-4.7646184145331283E-2</v>
          </cell>
        </row>
        <row r="89">
          <cell r="A89" t="str">
            <v>Cardiovascular</v>
          </cell>
          <cell r="B89">
            <v>3569</v>
          </cell>
          <cell r="C89">
            <v>3910</v>
          </cell>
          <cell r="D89">
            <v>4777</v>
          </cell>
          <cell r="E89">
            <v>5349</v>
          </cell>
          <cell r="F89">
            <v>6117</v>
          </cell>
          <cell r="G89">
            <v>6685.8</v>
          </cell>
          <cell r="H89">
            <v>6963</v>
          </cell>
          <cell r="I89">
            <v>8376</v>
          </cell>
          <cell r="J89">
            <v>9403</v>
          </cell>
          <cell r="K89">
            <v>10212.4</v>
          </cell>
          <cell r="L89">
            <v>9531</v>
          </cell>
          <cell r="M89">
            <v>8784.8270098934372</v>
          </cell>
          <cell r="N89">
            <v>8416.4246690578057</v>
          </cell>
          <cell r="O89">
            <v>8610.9133154318824</v>
          </cell>
          <cell r="P89">
            <v>8087.1722755200935</v>
          </cell>
          <cell r="Q89">
            <v>7226.0233715881668</v>
          </cell>
          <cell r="R89">
            <v>7481.5550087655984</v>
          </cell>
          <cell r="S89">
            <v>7865.3617703964665</v>
          </cell>
          <cell r="T89">
            <v>7893.8100056837957</v>
          </cell>
          <cell r="U89">
            <v>7746.5976770968273</v>
          </cell>
          <cell r="V89">
            <v>7460.7396980492622</v>
          </cell>
          <cell r="W89">
            <v>5780.9670859060334</v>
          </cell>
          <cell r="Y89">
            <v>-3.3273264346231346E-2</v>
          </cell>
          <cell r="Z89">
            <v>-5.3867026043255661E-2</v>
          </cell>
        </row>
        <row r="90">
          <cell r="A90" t="str">
            <v xml:space="preserve">   growth </v>
          </cell>
          <cell r="C90">
            <v>9.5544970579994448E-2</v>
          </cell>
          <cell r="D90">
            <v>0.22173913043478266</v>
          </cell>
          <cell r="E90">
            <v>0.11974042285953534</v>
          </cell>
          <cell r="F90">
            <v>0.14357823892316324</v>
          </cell>
          <cell r="G90">
            <v>9.2986758214811172E-2</v>
          </cell>
          <cell r="H90">
            <v>4.1461006910167741E-2</v>
          </cell>
          <cell r="I90">
            <v>0.2029297716501508</v>
          </cell>
          <cell r="J90">
            <v>0.12261222540592165</v>
          </cell>
          <cell r="K90">
            <v>8.6078910985855517E-2</v>
          </cell>
          <cell r="L90">
            <v>-6.6722807567271114E-2</v>
          </cell>
          <cell r="M90">
            <v>-7.8289055724117373E-2</v>
          </cell>
          <cell r="N90">
            <v>-4.1936208922581875E-2</v>
          </cell>
          <cell r="O90">
            <v>2.3108226357576367E-2</v>
          </cell>
          <cell r="P90">
            <v>-6.0822937210757488E-2</v>
          </cell>
          <cell r="Q90">
            <v>-0.10648331389435439</v>
          </cell>
          <cell r="R90">
            <v>3.5362691765176146E-2</v>
          </cell>
          <cell r="S90">
            <v>5.1300399606925229E-2</v>
          </cell>
          <cell r="T90">
            <v>3.616901055257582E-3</v>
          </cell>
          <cell r="U90">
            <v>-1.8649084343424938E-2</v>
          </cell>
          <cell r="V90">
            <v>-3.6901100452488622E-2</v>
          </cell>
          <cell r="W90">
            <v>-0.22514826681092148</v>
          </cell>
        </row>
        <row r="91">
          <cell r="A91" t="str">
            <v xml:space="preserve">% of group </v>
          </cell>
          <cell r="C91">
            <v>0.23596861798430899</v>
          </cell>
          <cell r="D91">
            <v>0.25327395154021526</v>
          </cell>
          <cell r="E91">
            <v>0.22272651565622917</v>
          </cell>
          <cell r="F91">
            <v>0.23105688600135982</v>
          </cell>
          <cell r="G91">
            <v>0.22581059173196433</v>
          </cell>
          <cell r="H91">
            <v>0.22034112844530238</v>
          </cell>
          <cell r="I91">
            <v>0.25533471527862456</v>
          </cell>
          <cell r="J91">
            <v>0.28258452291510144</v>
          </cell>
          <cell r="K91">
            <v>0.30402372078068995</v>
          </cell>
          <cell r="L91">
            <v>0.34072116535279567</v>
          </cell>
          <cell r="M91">
            <v>0.34038222889364783</v>
          </cell>
          <cell r="N91">
            <v>0.34626717144545099</v>
          </cell>
          <cell r="O91">
            <v>0.35946663537605694</v>
          </cell>
          <cell r="P91">
            <v>0.33732872120250451</v>
          </cell>
          <cell r="Q91">
            <v>0.30387415649082683</v>
          </cell>
          <cell r="R91">
            <v>0.31064328322522988</v>
          </cell>
          <cell r="S91">
            <v>0.31739256263730564</v>
          </cell>
          <cell r="T91">
            <v>0.3251405975450084</v>
          </cell>
          <cell r="U91">
            <v>0.32290311815031347</v>
          </cell>
          <cell r="V91">
            <v>0.32190751102780885</v>
          </cell>
          <cell r="W91">
            <v>0.28356008915066044</v>
          </cell>
        </row>
        <row r="93">
          <cell r="A93" t="str">
            <v>Symbicort</v>
          </cell>
          <cell r="B93">
            <v>299</v>
          </cell>
          <cell r="C93">
            <v>549</v>
          </cell>
          <cell r="D93">
            <v>797</v>
          </cell>
          <cell r="E93">
            <v>1006</v>
          </cell>
          <cell r="F93">
            <v>1184</v>
          </cell>
          <cell r="G93">
            <v>1575</v>
          </cell>
          <cell r="H93">
            <v>2004</v>
          </cell>
          <cell r="I93">
            <v>2294</v>
          </cell>
          <cell r="J93">
            <v>2746</v>
          </cell>
          <cell r="K93">
            <v>3148</v>
          </cell>
          <cell r="L93">
            <v>3194</v>
          </cell>
          <cell r="M93">
            <v>3521.0396711085014</v>
          </cell>
          <cell r="N93">
            <v>3668.1809887031427</v>
          </cell>
          <cell r="O93">
            <v>3837.876633839227</v>
          </cell>
          <cell r="P93">
            <v>4009.7603649239441</v>
          </cell>
          <cell r="Q93">
            <v>4129.4920559956154</v>
          </cell>
          <cell r="R93">
            <v>4080.4077687793078</v>
          </cell>
          <cell r="S93">
            <v>3870.4267872574965</v>
          </cell>
          <cell r="T93">
            <v>2625.1748743449234</v>
          </cell>
          <cell r="U93">
            <v>1967.5772992401189</v>
          </cell>
          <cell r="V93">
            <v>1361.5195011872952</v>
          </cell>
          <cell r="W93">
            <v>1157.291576009201</v>
          </cell>
          <cell r="Y93">
            <v>6.3126883495713937E-2</v>
          </cell>
          <cell r="Z93">
            <v>5.2718717041355445E-2</v>
          </cell>
        </row>
        <row r="94">
          <cell r="A94" t="str">
            <v>Pulmicort</v>
          </cell>
          <cell r="B94">
            <v>812</v>
          </cell>
          <cell r="C94">
            <v>968</v>
          </cell>
          <cell r="D94">
            <v>1050</v>
          </cell>
          <cell r="E94">
            <v>1162</v>
          </cell>
          <cell r="F94">
            <v>1292</v>
          </cell>
          <cell r="G94">
            <v>1454</v>
          </cell>
          <cell r="H94">
            <v>1495</v>
          </cell>
          <cell r="I94">
            <v>1310</v>
          </cell>
          <cell r="J94">
            <v>872</v>
          </cell>
          <cell r="K94">
            <v>892</v>
          </cell>
          <cell r="L94">
            <v>866</v>
          </cell>
          <cell r="M94">
            <v>862.64160453910165</v>
          </cell>
          <cell r="N94">
            <v>762.25647114172239</v>
          </cell>
          <cell r="O94">
            <v>810.52603555119981</v>
          </cell>
          <cell r="P94">
            <v>868.38610134788303</v>
          </cell>
          <cell r="Q94">
            <v>882.59141539318341</v>
          </cell>
          <cell r="R94">
            <v>911.77190912205788</v>
          </cell>
          <cell r="S94">
            <v>945.01578363940052</v>
          </cell>
          <cell r="T94">
            <v>982.42471568023143</v>
          </cell>
          <cell r="U94">
            <v>857.85306853366319</v>
          </cell>
          <cell r="V94">
            <v>751.03855230830516</v>
          </cell>
          <cell r="W94">
            <v>659.35769856772936</v>
          </cell>
          <cell r="Y94">
            <v>-2.1825234114270509E-2</v>
          </cell>
          <cell r="Z94">
            <v>3.8027043481667633E-3</v>
          </cell>
        </row>
        <row r="95">
          <cell r="A95" t="str">
            <v>Rhinocort</v>
          </cell>
          <cell r="B95">
            <v>299</v>
          </cell>
          <cell r="C95">
            <v>364</v>
          </cell>
          <cell r="D95">
            <v>361</v>
          </cell>
          <cell r="E95">
            <v>387</v>
          </cell>
          <cell r="F95">
            <v>360</v>
          </cell>
          <cell r="G95">
            <v>354</v>
          </cell>
          <cell r="H95">
            <v>322</v>
          </cell>
          <cell r="I95">
            <v>264</v>
          </cell>
          <cell r="J95">
            <v>227</v>
          </cell>
          <cell r="K95">
            <v>212</v>
          </cell>
          <cell r="L95">
            <v>177</v>
          </cell>
          <cell r="M95">
            <v>0</v>
          </cell>
          <cell r="N95">
            <v>0</v>
          </cell>
          <cell r="O95">
            <v>0</v>
          </cell>
          <cell r="P95">
            <v>0</v>
          </cell>
          <cell r="Q95">
            <v>0</v>
          </cell>
          <cell r="R95">
            <v>0</v>
          </cell>
          <cell r="S95">
            <v>0</v>
          </cell>
          <cell r="T95">
            <v>0</v>
          </cell>
          <cell r="U95">
            <v>0</v>
          </cell>
          <cell r="V95">
            <v>0</v>
          </cell>
          <cell r="W95">
            <v>0</v>
          </cell>
          <cell r="Y95">
            <v>-1</v>
          </cell>
          <cell r="Z95">
            <v>-1</v>
          </cell>
        </row>
        <row r="96">
          <cell r="A96" t="str">
            <v>Others</v>
          </cell>
          <cell r="B96">
            <v>0</v>
          </cell>
          <cell r="C96">
            <v>0</v>
          </cell>
          <cell r="D96">
            <v>0</v>
          </cell>
          <cell r="E96">
            <v>318</v>
          </cell>
          <cell r="F96">
            <v>315</v>
          </cell>
          <cell r="G96">
            <v>328</v>
          </cell>
          <cell r="H96">
            <v>307</v>
          </cell>
          <cell r="I96">
            <v>264</v>
          </cell>
          <cell r="J96">
            <v>254</v>
          </cell>
          <cell r="K96">
            <v>216.8</v>
          </cell>
          <cell r="L96">
            <v>178</v>
          </cell>
          <cell r="M96">
            <v>310.9481734693141</v>
          </cell>
          <cell r="N96">
            <v>276.76054081920279</v>
          </cell>
          <cell r="O96">
            <v>273.14067402652393</v>
          </cell>
          <cell r="P96">
            <v>269.84270457347901</v>
          </cell>
          <cell r="Q96">
            <v>266.85476471308635</v>
          </cell>
          <cell r="R96">
            <v>258.64434665103204</v>
          </cell>
          <cell r="S96">
            <v>250.99841909728843</v>
          </cell>
          <cell r="T96">
            <v>243.89337661459626</v>
          </cell>
          <cell r="U96">
            <v>229.59562347398992</v>
          </cell>
          <cell r="V96">
            <v>216.181004735204</v>
          </cell>
          <cell r="W96">
            <v>203.59190393856429</v>
          </cell>
          <cell r="Y96">
            <v>0.15342184291915184</v>
          </cell>
          <cell r="Z96">
            <v>8.4353765317694673E-2</v>
          </cell>
        </row>
        <row r="97">
          <cell r="A97" t="str">
            <v>Respiratory</v>
          </cell>
          <cell r="B97">
            <v>0</v>
          </cell>
          <cell r="C97">
            <v>0</v>
          </cell>
          <cell r="D97">
            <v>0</v>
          </cell>
          <cell r="E97">
            <v>2873</v>
          </cell>
          <cell r="F97">
            <v>3151</v>
          </cell>
          <cell r="G97">
            <v>3711</v>
          </cell>
          <cell r="H97">
            <v>4128</v>
          </cell>
          <cell r="I97">
            <v>4132</v>
          </cell>
          <cell r="J97">
            <v>4099</v>
          </cell>
          <cell r="K97">
            <v>4468.8</v>
          </cell>
          <cell r="L97">
            <v>4415</v>
          </cell>
          <cell r="M97">
            <v>4694.6294491169174</v>
          </cell>
          <cell r="N97">
            <v>4707.1980006640679</v>
          </cell>
          <cell r="O97">
            <v>4921.5433434169508</v>
          </cell>
          <cell r="P97">
            <v>5147.989170845306</v>
          </cell>
          <cell r="Q97">
            <v>5278.9382361018852</v>
          </cell>
          <cell r="R97">
            <v>5250.8240245523975</v>
          </cell>
          <cell r="S97">
            <v>5066.4409899941857</v>
          </cell>
          <cell r="T97">
            <v>3851.4929666397511</v>
          </cell>
          <cell r="U97">
            <v>3055.0259912477723</v>
          </cell>
          <cell r="V97">
            <v>2328.7390582308044</v>
          </cell>
          <cell r="W97">
            <v>2020.2411785154945</v>
          </cell>
          <cell r="Y97">
            <v>3.6867777469773211E-2</v>
          </cell>
          <cell r="Z97">
            <v>3.6389906189746801E-2</v>
          </cell>
        </row>
        <row r="98">
          <cell r="A98" t="str">
            <v xml:space="preserve">   growth </v>
          </cell>
          <cell r="C98" t="e">
            <v>#DIV/0!</v>
          </cell>
          <cell r="D98" t="e">
            <v>#DIV/0!</v>
          </cell>
          <cell r="E98" t="e">
            <v>#DIV/0!</v>
          </cell>
          <cell r="F98">
            <v>9.6762965541246082E-2</v>
          </cell>
          <cell r="G98">
            <v>0.17772135829895275</v>
          </cell>
          <cell r="H98">
            <v>0.11236863379143092</v>
          </cell>
          <cell r="I98">
            <v>9.6899224806201723E-4</v>
          </cell>
          <cell r="J98">
            <v>-7.986447241045469E-3</v>
          </cell>
          <cell r="K98">
            <v>9.0217126128323999E-2</v>
          </cell>
          <cell r="L98">
            <v>-1.2039026136770548E-2</v>
          </cell>
          <cell r="M98">
            <v>6.333622856555321E-2</v>
          </cell>
          <cell r="N98">
            <v>2.6772190826509501E-3</v>
          </cell>
          <cell r="O98">
            <v>4.5535654697899774E-2</v>
          </cell>
          <cell r="P98">
            <v>4.6011141552019241E-2</v>
          </cell>
          <cell r="Q98">
            <v>2.5436934871228001E-2</v>
          </cell>
          <cell r="R98">
            <v>-5.3257322385813488E-3</v>
          </cell>
          <cell r="S98">
            <v>-3.5115066453579979E-2</v>
          </cell>
          <cell r="T98">
            <v>-0.23980305420587344</v>
          </cell>
          <cell r="U98">
            <v>-0.20679434761810289</v>
          </cell>
          <cell r="V98">
            <v>-0.23773510768735839</v>
          </cell>
          <cell r="W98">
            <v>-0.13247421544502402</v>
          </cell>
        </row>
        <row r="99">
          <cell r="A99" t="str">
            <v xml:space="preserve">% of group </v>
          </cell>
          <cell r="C99">
            <v>0</v>
          </cell>
          <cell r="D99">
            <v>0</v>
          </cell>
          <cell r="E99">
            <v>0.11962858094603597</v>
          </cell>
          <cell r="F99">
            <v>0.11902243710810606</v>
          </cell>
          <cell r="G99">
            <v>0.12533774655498514</v>
          </cell>
          <cell r="H99">
            <v>0.13062877757033006</v>
          </cell>
          <cell r="I99">
            <v>0.12596024875015241</v>
          </cell>
          <cell r="J99">
            <v>0.12318557475582269</v>
          </cell>
          <cell r="K99">
            <v>0.13303642664062781</v>
          </cell>
          <cell r="L99">
            <v>0.15783065208609726</v>
          </cell>
          <cell r="M99">
            <v>0.18190095649243279</v>
          </cell>
          <cell r="N99">
            <v>0.1936627726397861</v>
          </cell>
          <cell r="O99">
            <v>0.20545214679434851</v>
          </cell>
          <cell r="P99">
            <v>0.21473075440994097</v>
          </cell>
          <cell r="Q99">
            <v>0.22199387147983587</v>
          </cell>
          <cell r="R99">
            <v>0.2180206137245253</v>
          </cell>
          <cell r="S99">
            <v>0.20444713621658195</v>
          </cell>
          <cell r="T99">
            <v>0.15864034271308361</v>
          </cell>
          <cell r="U99">
            <v>0.12734331376479302</v>
          </cell>
          <cell r="V99">
            <v>0.10047778429588257</v>
          </cell>
          <cell r="W99">
            <v>9.9094106604121296E-2</v>
          </cell>
        </row>
        <row r="101">
          <cell r="A101" t="str">
            <v>Arimidex</v>
          </cell>
          <cell r="B101">
            <v>331</v>
          </cell>
          <cell r="C101">
            <v>519</v>
          </cell>
          <cell r="D101">
            <v>811</v>
          </cell>
          <cell r="E101">
            <v>1181</v>
          </cell>
          <cell r="F101">
            <v>1508</v>
          </cell>
          <cell r="G101">
            <v>1730</v>
          </cell>
          <cell r="H101">
            <v>1857</v>
          </cell>
          <cell r="I101">
            <v>1921</v>
          </cell>
          <cell r="J101">
            <v>1512</v>
          </cell>
          <cell r="K101">
            <v>756</v>
          </cell>
          <cell r="L101">
            <v>543</v>
          </cell>
          <cell r="M101">
            <v>357.18396940092765</v>
          </cell>
          <cell r="N101">
            <v>314.32897141082441</v>
          </cell>
          <cell r="O101">
            <v>282.8334656732755</v>
          </cell>
          <cell r="P101">
            <v>258.09006431328152</v>
          </cell>
          <cell r="Q101">
            <v>219.19339529152583</v>
          </cell>
          <cell r="R101">
            <v>187.49061788207626</v>
          </cell>
          <cell r="S101">
            <v>161.55956962207384</v>
          </cell>
          <cell r="T101">
            <v>140.26485381075125</v>
          </cell>
          <cell r="U101">
            <v>122.69957867791356</v>
          </cell>
          <cell r="V101">
            <v>108.13899185658404</v>
          </cell>
          <cell r="W101">
            <v>96.003569503612454</v>
          </cell>
          <cell r="Y101">
            <v>-0.19540388221516214</v>
          </cell>
          <cell r="Z101">
            <v>-0.16592418815065679</v>
          </cell>
        </row>
        <row r="102">
          <cell r="A102" t="str">
            <v>Casodex</v>
          </cell>
          <cell r="B102">
            <v>644</v>
          </cell>
          <cell r="C102">
            <v>854</v>
          </cell>
          <cell r="D102">
            <v>1012</v>
          </cell>
          <cell r="E102">
            <v>1123</v>
          </cell>
          <cell r="F102">
            <v>1206</v>
          </cell>
          <cell r="G102">
            <v>1335</v>
          </cell>
          <cell r="H102">
            <v>1258</v>
          </cell>
          <cell r="I102">
            <v>844</v>
          </cell>
          <cell r="J102">
            <v>579</v>
          </cell>
          <cell r="K102">
            <v>550</v>
          </cell>
          <cell r="L102">
            <v>454</v>
          </cell>
          <cell r="M102">
            <v>363.3305059341655</v>
          </cell>
          <cell r="N102">
            <v>328.52187022901876</v>
          </cell>
          <cell r="O102">
            <v>301.17298938964524</v>
          </cell>
          <cell r="P102">
            <v>276.39389744870323</v>
          </cell>
          <cell r="Q102">
            <v>250.522910088966</v>
          </cell>
          <cell r="R102">
            <v>227.76561132214982</v>
          </cell>
          <cell r="S102">
            <v>202.80686881204767</v>
          </cell>
          <cell r="T102">
            <v>123.32760268580174</v>
          </cell>
          <cell r="U102">
            <v>80.299344380712071</v>
          </cell>
          <cell r="V102">
            <v>55.98988377249556</v>
          </cell>
          <cell r="W102">
            <v>41.459121731066375</v>
          </cell>
          <cell r="Y102">
            <v>-0.12785776911253988</v>
          </cell>
          <cell r="Z102">
            <v>-0.11211172899951394</v>
          </cell>
        </row>
        <row r="103">
          <cell r="A103" t="str">
            <v>Zoladex</v>
          </cell>
          <cell r="B103">
            <v>794</v>
          </cell>
          <cell r="C103">
            <v>869</v>
          </cell>
          <cell r="D103">
            <v>917</v>
          </cell>
          <cell r="E103">
            <v>1004</v>
          </cell>
          <cell r="F103">
            <v>1008</v>
          </cell>
          <cell r="G103">
            <v>1104</v>
          </cell>
          <cell r="H103">
            <v>1138</v>
          </cell>
          <cell r="I103">
            <v>1086</v>
          </cell>
          <cell r="J103">
            <v>1115</v>
          </cell>
          <cell r="K103">
            <v>1179</v>
          </cell>
          <cell r="L103">
            <v>1093</v>
          </cell>
          <cell r="M103">
            <v>959.25182192978571</v>
          </cell>
          <cell r="N103">
            <v>871.72552447806856</v>
          </cell>
          <cell r="O103">
            <v>815.49106227416701</v>
          </cell>
          <cell r="P103">
            <v>764.0297826837932</v>
          </cell>
          <cell r="Q103">
            <v>716.84130539877742</v>
          </cell>
          <cell r="R103">
            <v>673.48734370092279</v>
          </cell>
          <cell r="S103">
            <v>633.58277821134516</v>
          </cell>
          <cell r="T103">
            <v>596.78817994087478</v>
          </cell>
          <cell r="U103">
            <v>562.80352577106805</v>
          </cell>
          <cell r="V103">
            <v>531.36289759896317</v>
          </cell>
          <cell r="W103">
            <v>497.37256763572259</v>
          </cell>
          <cell r="Y103">
            <v>-9.3014998776325686E-2</v>
          </cell>
          <cell r="Z103">
            <v>-8.0904643348825189E-2</v>
          </cell>
        </row>
        <row r="104">
          <cell r="A104" t="str">
            <v>Iressa</v>
          </cell>
          <cell r="B104">
            <v>67</v>
          </cell>
          <cell r="C104">
            <v>228</v>
          </cell>
          <cell r="D104">
            <v>389</v>
          </cell>
          <cell r="E104">
            <v>273</v>
          </cell>
          <cell r="F104">
            <v>237</v>
          </cell>
          <cell r="G104">
            <v>238</v>
          </cell>
          <cell r="H104">
            <v>265</v>
          </cell>
          <cell r="I104">
            <v>297</v>
          </cell>
          <cell r="J104">
            <v>393</v>
          </cell>
          <cell r="K104">
            <v>554</v>
          </cell>
          <cell r="L104">
            <v>611</v>
          </cell>
          <cell r="M104">
            <v>704.63582138701736</v>
          </cell>
          <cell r="N104">
            <v>783.42859102300076</v>
          </cell>
          <cell r="O104">
            <v>875.55288549306943</v>
          </cell>
          <cell r="P104">
            <v>951.87607545017818</v>
          </cell>
          <cell r="Q104">
            <v>1034.9968226936226</v>
          </cell>
          <cell r="R104">
            <v>1101.7878330862163</v>
          </cell>
          <cell r="S104">
            <v>1131.6009192889612</v>
          </cell>
          <cell r="T104">
            <v>1085.8975544448001</v>
          </cell>
          <cell r="U104">
            <v>1020.7169347757992</v>
          </cell>
          <cell r="V104">
            <v>976.88302748226192</v>
          </cell>
          <cell r="W104">
            <v>888.51063249840433</v>
          </cell>
          <cell r="Y104">
            <v>0.12740477612511913</v>
          </cell>
          <cell r="Z104">
            <v>0.11116757885100093</v>
          </cell>
        </row>
        <row r="105">
          <cell r="A105" t="str">
            <v>Caprelsa</v>
          </cell>
          <cell r="B105">
            <v>0</v>
          </cell>
          <cell r="C105">
            <v>0</v>
          </cell>
          <cell r="D105">
            <v>0</v>
          </cell>
          <cell r="E105">
            <v>0</v>
          </cell>
          <cell r="F105">
            <v>0</v>
          </cell>
          <cell r="G105">
            <v>0</v>
          </cell>
          <cell r="H105">
            <v>0</v>
          </cell>
          <cell r="I105">
            <v>0</v>
          </cell>
          <cell r="J105">
            <v>0</v>
          </cell>
          <cell r="K105">
            <v>0</v>
          </cell>
          <cell r="L105">
            <v>0</v>
          </cell>
          <cell r="M105">
            <v>24</v>
          </cell>
          <cell r="N105">
            <v>36.80456779859081</v>
          </cell>
          <cell r="O105">
            <v>39.844796188520348</v>
          </cell>
          <cell r="P105">
            <v>48.15703599794638</v>
          </cell>
          <cell r="Q105">
            <v>52.016887797843701</v>
          </cell>
          <cell r="R105">
            <v>56.21493218773589</v>
          </cell>
          <cell r="S105">
            <v>60.782598797122681</v>
          </cell>
          <cell r="T105">
            <v>65.754340736978818</v>
          </cell>
          <cell r="U105">
            <v>69.042057773827764</v>
          </cell>
          <cell r="V105">
            <v>70.261993802519157</v>
          </cell>
          <cell r="W105">
            <v>59.722694732141278</v>
          </cell>
          <cell r="Y105" t="e">
            <v>#DIV/0!</v>
          </cell>
          <cell r="Z105" t="e">
            <v>#DIV/0!</v>
          </cell>
        </row>
        <row r="106">
          <cell r="A106" t="str">
            <v>Others</v>
          </cell>
          <cell r="B106">
            <v>533</v>
          </cell>
          <cell r="C106">
            <v>273</v>
          </cell>
          <cell r="D106">
            <v>247</v>
          </cell>
          <cell r="E106">
            <v>264</v>
          </cell>
          <cell r="F106">
            <v>303</v>
          </cell>
          <cell r="G106">
            <v>412</v>
          </cell>
          <cell r="H106">
            <v>436</v>
          </cell>
          <cell r="I106">
            <v>370</v>
          </cell>
          <cell r="J106">
            <v>446</v>
          </cell>
          <cell r="K106">
            <v>665.5</v>
          </cell>
          <cell r="L106">
            <v>788</v>
          </cell>
          <cell r="M106">
            <v>790.84234785449962</v>
          </cell>
          <cell r="N106">
            <v>810.10871873096767</v>
          </cell>
          <cell r="O106">
            <v>849.0316212378857</v>
          </cell>
          <cell r="P106">
            <v>890.76662532663431</v>
          </cell>
          <cell r="Q106">
            <v>930.8918919988846</v>
          </cell>
          <cell r="R106">
            <v>973.68593218935985</v>
          </cell>
          <cell r="S106">
            <v>1011.3320623586233</v>
          </cell>
          <cell r="T106">
            <v>961.92056477935512</v>
          </cell>
          <cell r="U106">
            <v>557.85042226629434</v>
          </cell>
          <cell r="V106">
            <v>428.71103638483396</v>
          </cell>
          <cell r="W106">
            <v>287.46591139450652</v>
          </cell>
          <cell r="Y106">
            <v>2.5177599121512628E-2</v>
          </cell>
          <cell r="Z106">
            <v>3.3890645795301211E-2</v>
          </cell>
        </row>
        <row r="107">
          <cell r="A107" t="str">
            <v>Oncology</v>
          </cell>
          <cell r="B107">
            <v>2369</v>
          </cell>
          <cell r="C107">
            <v>2743</v>
          </cell>
          <cell r="D107">
            <v>3376</v>
          </cell>
          <cell r="E107">
            <v>3845</v>
          </cell>
          <cell r="F107">
            <v>4262</v>
          </cell>
          <cell r="G107">
            <v>4819</v>
          </cell>
          <cell r="H107">
            <v>4954</v>
          </cell>
          <cell r="I107">
            <v>4518</v>
          </cell>
          <cell r="J107">
            <v>4045</v>
          </cell>
          <cell r="K107">
            <v>3704.5</v>
          </cell>
          <cell r="L107">
            <v>3489</v>
          </cell>
          <cell r="M107">
            <v>3199.2444665063958</v>
          </cell>
          <cell r="N107">
            <v>3144.9182436704709</v>
          </cell>
          <cell r="O107">
            <v>3163.9268202565631</v>
          </cell>
          <cell r="P107">
            <v>3189.3134812205367</v>
          </cell>
          <cell r="Q107">
            <v>3204.4632132696202</v>
          </cell>
          <cell r="R107">
            <v>3220.4322703684611</v>
          </cell>
          <cell r="S107">
            <v>3201.664797090174</v>
          </cell>
          <cell r="T107">
            <v>2973.9530963985617</v>
          </cell>
          <cell r="U107">
            <v>2413.4118636456151</v>
          </cell>
          <cell r="V107">
            <v>2171.3478308976578</v>
          </cell>
          <cell r="W107">
            <v>1870.5344974954535</v>
          </cell>
          <cell r="Y107">
            <v>-3.2074432565305511E-2</v>
          </cell>
          <cell r="Z107">
            <v>-1.687019136072776E-2</v>
          </cell>
        </row>
        <row r="108">
          <cell r="A108" t="str">
            <v xml:space="preserve">   growth </v>
          </cell>
          <cell r="C108">
            <v>0.15787252005065433</v>
          </cell>
          <cell r="D108">
            <v>0.23076923076923084</v>
          </cell>
          <cell r="E108">
            <v>0.13892180094786721</v>
          </cell>
          <cell r="F108">
            <v>0.10845253576072822</v>
          </cell>
          <cell r="G108">
            <v>0.13068981698732984</v>
          </cell>
          <cell r="H108">
            <v>2.8014110811371618E-2</v>
          </cell>
          <cell r="I108">
            <v>-8.8009689140088776E-2</v>
          </cell>
          <cell r="J108">
            <v>-0.10469234174413455</v>
          </cell>
          <cell r="K108">
            <v>-8.4177997527812076E-2</v>
          </cell>
          <cell r="L108">
            <v>-5.8172492914023488E-2</v>
          </cell>
          <cell r="M108">
            <v>-8.3048304240069926E-2</v>
          </cell>
          <cell r="N108">
            <v>-1.6980953911049368E-2</v>
          </cell>
          <cell r="O108">
            <v>6.0442196309393736E-3</v>
          </cell>
          <cell r="P108">
            <v>8.0237825987121703E-3</v>
          </cell>
          <cell r="Q108">
            <v>4.7501545828871894E-3</v>
          </cell>
          <cell r="R108">
            <v>4.9833797538112456E-3</v>
          </cell>
          <cell r="S108">
            <v>-5.8276255181544112E-3</v>
          </cell>
          <cell r="T108">
            <v>-7.1122904839559631E-2</v>
          </cell>
          <cell r="U108">
            <v>-0.18848354852393556</v>
          </cell>
          <cell r="V108">
            <v>-0.10029951223588662</v>
          </cell>
          <cell r="W108">
            <v>-0.13853760743521448</v>
          </cell>
        </row>
        <row r="109">
          <cell r="A109" t="str">
            <v xml:space="preserve">% of group </v>
          </cell>
          <cell r="C109">
            <v>0.16554013277006638</v>
          </cell>
          <cell r="D109">
            <v>0.1789936906844812</v>
          </cell>
          <cell r="E109">
            <v>0.16010159893404396</v>
          </cell>
          <cell r="F109">
            <v>0.16098813930648939</v>
          </cell>
          <cell r="G109">
            <v>0.16276006484733857</v>
          </cell>
          <cell r="H109">
            <v>0.15676719091168001</v>
          </cell>
          <cell r="I109">
            <v>0.13772710645043287</v>
          </cell>
          <cell r="J109">
            <v>0.12156273478587529</v>
          </cell>
          <cell r="K109">
            <v>0.11028317277349751</v>
          </cell>
          <cell r="L109">
            <v>0.12472732618989656</v>
          </cell>
          <cell r="M109">
            <v>0.12395986409962623</v>
          </cell>
          <cell r="N109">
            <v>0.1293877136055776</v>
          </cell>
          <cell r="O109">
            <v>0.13207961652748915</v>
          </cell>
          <cell r="P109">
            <v>0.13303129962874977</v>
          </cell>
          <cell r="Q109">
            <v>0.13475649134583059</v>
          </cell>
          <cell r="R109">
            <v>0.1337162732479594</v>
          </cell>
          <cell r="S109">
            <v>0.12919743863261324</v>
          </cell>
          <cell r="T109">
            <v>0.12249507983313754</v>
          </cell>
          <cell r="U109">
            <v>0.1005987723431358</v>
          </cell>
          <cell r="V109">
            <v>9.368684662764136E-2</v>
          </cell>
          <cell r="W109">
            <v>9.1750899285057461E-2</v>
          </cell>
        </row>
        <row r="111">
          <cell r="A111" t="str">
            <v>Seroquel</v>
          </cell>
          <cell r="B111">
            <v>1145</v>
          </cell>
          <cell r="C111">
            <v>1487</v>
          </cell>
          <cell r="D111">
            <v>2027</v>
          </cell>
          <cell r="E111">
            <v>2761</v>
          </cell>
          <cell r="F111">
            <v>3416</v>
          </cell>
          <cell r="G111">
            <v>4027</v>
          </cell>
          <cell r="H111">
            <v>4452</v>
          </cell>
          <cell r="I111">
            <v>4866</v>
          </cell>
          <cell r="J111">
            <v>5302</v>
          </cell>
          <cell r="K111">
            <v>5828</v>
          </cell>
          <cell r="L111">
            <v>2803</v>
          </cell>
          <cell r="M111">
            <v>1780.1950793736637</v>
          </cell>
          <cell r="N111">
            <v>1684.4247579410567</v>
          </cell>
          <cell r="O111">
            <v>1638.9201508168944</v>
          </cell>
          <cell r="P111">
            <v>1608.4306070957552</v>
          </cell>
          <cell r="Q111">
            <v>1591.4948893376441</v>
          </cell>
          <cell r="R111">
            <v>1040.2522210861807</v>
          </cell>
          <cell r="S111">
            <v>769.06574965936704</v>
          </cell>
          <cell r="T111">
            <v>644.7918791376818</v>
          </cell>
          <cell r="U111">
            <v>588.61025371119331</v>
          </cell>
          <cell r="V111">
            <v>469.78039992808812</v>
          </cell>
          <cell r="W111">
            <v>399.59067556717196</v>
          </cell>
          <cell r="Y111">
            <v>-0.16379580369657643</v>
          </cell>
          <cell r="Z111">
            <v>-0.10703090175589525</v>
          </cell>
        </row>
        <row r="112">
          <cell r="A112" t="str">
            <v>Local Anaesthetics</v>
          </cell>
          <cell r="B112">
            <v>432</v>
          </cell>
          <cell r="C112">
            <v>466</v>
          </cell>
          <cell r="D112">
            <v>542</v>
          </cell>
          <cell r="E112">
            <v>511</v>
          </cell>
          <cell r="F112">
            <v>529</v>
          </cell>
          <cell r="G112">
            <v>557</v>
          </cell>
          <cell r="H112">
            <v>605</v>
          </cell>
          <cell r="I112">
            <v>599</v>
          </cell>
          <cell r="J112">
            <v>605</v>
          </cell>
          <cell r="K112">
            <v>602</v>
          </cell>
          <cell r="L112">
            <v>540</v>
          </cell>
          <cell r="M112">
            <v>504.68521568962041</v>
          </cell>
          <cell r="N112">
            <v>471.46031826429652</v>
          </cell>
          <cell r="O112">
            <v>459.84008283656431</v>
          </cell>
          <cell r="P112">
            <v>449.27897039963801</v>
          </cell>
          <cell r="Q112">
            <v>439.74314925275405</v>
          </cell>
          <cell r="R112">
            <v>431.20124425813822</v>
          </cell>
          <cell r="S112">
            <v>416.69488491113714</v>
          </cell>
          <cell r="T112">
            <v>397.70281975116728</v>
          </cell>
          <cell r="U112">
            <v>380.28400022227123</v>
          </cell>
          <cell r="V112">
            <v>364.29739980558782</v>
          </cell>
          <cell r="W112">
            <v>349.61527973192955</v>
          </cell>
          <cell r="Y112">
            <v>-5.2153696082771872E-2</v>
          </cell>
          <cell r="Z112">
            <v>-4.0243494655690326E-2</v>
          </cell>
        </row>
        <row r="113">
          <cell r="A113" t="str">
            <v>Zomig</v>
          </cell>
          <cell r="B113">
            <v>328</v>
          </cell>
          <cell r="C113">
            <v>349</v>
          </cell>
          <cell r="D113">
            <v>356</v>
          </cell>
          <cell r="E113">
            <v>352</v>
          </cell>
          <cell r="F113">
            <v>398</v>
          </cell>
          <cell r="G113">
            <v>434</v>
          </cell>
          <cell r="H113">
            <v>448</v>
          </cell>
          <cell r="I113">
            <v>434</v>
          </cell>
          <cell r="J113">
            <v>428</v>
          </cell>
          <cell r="K113">
            <v>413</v>
          </cell>
          <cell r="L113">
            <v>182</v>
          </cell>
          <cell r="M113">
            <v>0</v>
          </cell>
          <cell r="N113">
            <v>0</v>
          </cell>
          <cell r="O113">
            <v>0</v>
          </cell>
          <cell r="P113">
            <v>0</v>
          </cell>
          <cell r="Q113">
            <v>0</v>
          </cell>
          <cell r="R113">
            <v>0</v>
          </cell>
          <cell r="S113">
            <v>0</v>
          </cell>
          <cell r="T113">
            <v>0</v>
          </cell>
          <cell r="U113">
            <v>0</v>
          </cell>
          <cell r="V113">
            <v>0</v>
          </cell>
          <cell r="W113">
            <v>0</v>
          </cell>
          <cell r="Y113">
            <v>-1</v>
          </cell>
          <cell r="Z113">
            <v>-1</v>
          </cell>
        </row>
        <row r="114">
          <cell r="A114" t="str">
            <v>Diprivan</v>
          </cell>
          <cell r="B114">
            <v>443</v>
          </cell>
          <cell r="C114">
            <v>458</v>
          </cell>
          <cell r="D114">
            <v>500</v>
          </cell>
          <cell r="E114">
            <v>369</v>
          </cell>
          <cell r="F114">
            <v>304</v>
          </cell>
          <cell r="G114">
            <v>263</v>
          </cell>
          <cell r="H114">
            <v>278</v>
          </cell>
          <cell r="I114">
            <v>290</v>
          </cell>
          <cell r="J114">
            <v>322</v>
          </cell>
          <cell r="K114">
            <v>294</v>
          </cell>
          <cell r="L114">
            <v>291</v>
          </cell>
          <cell r="M114">
            <v>0</v>
          </cell>
          <cell r="N114">
            <v>0</v>
          </cell>
          <cell r="O114">
            <v>0</v>
          </cell>
          <cell r="P114">
            <v>0</v>
          </cell>
          <cell r="Q114">
            <v>0</v>
          </cell>
          <cell r="R114">
            <v>0</v>
          </cell>
          <cell r="S114">
            <v>0</v>
          </cell>
          <cell r="T114">
            <v>0</v>
          </cell>
          <cell r="U114">
            <v>0</v>
          </cell>
          <cell r="V114">
            <v>0</v>
          </cell>
          <cell r="W114">
            <v>0</v>
          </cell>
          <cell r="Y114">
            <v>-1</v>
          </cell>
          <cell r="Z114">
            <v>-1</v>
          </cell>
        </row>
        <row r="115">
          <cell r="A115" t="str">
            <v>Vimovo</v>
          </cell>
          <cell r="B115">
            <v>0</v>
          </cell>
          <cell r="C115">
            <v>0</v>
          </cell>
          <cell r="D115">
            <v>0</v>
          </cell>
          <cell r="E115">
            <v>0</v>
          </cell>
          <cell r="F115">
            <v>0</v>
          </cell>
          <cell r="G115">
            <v>0</v>
          </cell>
          <cell r="H115">
            <v>0</v>
          </cell>
          <cell r="I115">
            <v>0</v>
          </cell>
          <cell r="J115">
            <v>4.5</v>
          </cell>
          <cell r="K115">
            <v>34</v>
          </cell>
          <cell r="L115">
            <v>65</v>
          </cell>
          <cell r="M115">
            <v>76.074344257754831</v>
          </cell>
          <cell r="N115">
            <v>78.188557148592793</v>
          </cell>
          <cell r="O115">
            <v>85.12638074295127</v>
          </cell>
          <cell r="P115">
            <v>92.865354877567</v>
          </cell>
          <cell r="Q115">
            <v>99.511149302489557</v>
          </cell>
          <cell r="R115">
            <v>103.36541225981091</v>
          </cell>
          <cell r="S115">
            <v>94.969809277135766</v>
          </cell>
          <cell r="T115">
            <v>89.969179083851998</v>
          </cell>
          <cell r="U115">
            <v>74.432815289242953</v>
          </cell>
          <cell r="V115">
            <v>62.247399529840884</v>
          </cell>
          <cell r="W115">
            <v>37.571962088234216</v>
          </cell>
          <cell r="Y115">
            <v>9.4082018477516183E-2</v>
          </cell>
          <cell r="Z115">
            <v>8.890922507647625E-2</v>
          </cell>
        </row>
        <row r="116">
          <cell r="A116" t="str">
            <v>Others</v>
          </cell>
          <cell r="B116">
            <v>70</v>
          </cell>
          <cell r="C116">
            <v>73</v>
          </cell>
          <cell r="D116">
            <v>71</v>
          </cell>
          <cell r="E116">
            <v>66</v>
          </cell>
          <cell r="F116">
            <v>57</v>
          </cell>
          <cell r="G116">
            <v>59</v>
          </cell>
          <cell r="H116">
            <v>54</v>
          </cell>
          <cell r="I116">
            <v>48</v>
          </cell>
          <cell r="J116">
            <v>42.5</v>
          </cell>
          <cell r="K116">
            <v>32.5</v>
          </cell>
          <cell r="L116">
            <v>42</v>
          </cell>
          <cell r="M116">
            <v>452.18649926212879</v>
          </cell>
          <cell r="N116">
            <v>447.78144812124663</v>
          </cell>
          <cell r="O116">
            <v>450.81924707616969</v>
          </cell>
          <cell r="P116">
            <v>454.6502741823731</v>
          </cell>
          <cell r="Q116">
            <v>459.29191070131486</v>
          </cell>
          <cell r="R116">
            <v>464.763227361909</v>
          </cell>
          <cell r="S116">
            <v>471.08503662176702</v>
          </cell>
          <cell r="T116">
            <v>478.27994888786503</v>
          </cell>
          <cell r="U116">
            <v>486.37243283521769</v>
          </cell>
          <cell r="V116">
            <v>495.38887997179921</v>
          </cell>
          <cell r="W116">
            <v>505.35767360796763</v>
          </cell>
          <cell r="Y116">
            <v>1.2058752629667504</v>
          </cell>
          <cell r="Z116">
            <v>0.61349603018521837</v>
          </cell>
        </row>
        <row r="117">
          <cell r="A117" t="str">
            <v>Neuroscience</v>
          </cell>
          <cell r="B117">
            <v>2418</v>
          </cell>
          <cell r="C117">
            <v>2833</v>
          </cell>
          <cell r="D117">
            <v>3496</v>
          </cell>
          <cell r="E117">
            <v>4059</v>
          </cell>
          <cell r="F117">
            <v>4704</v>
          </cell>
          <cell r="G117">
            <v>5340</v>
          </cell>
          <cell r="H117">
            <v>5837</v>
          </cell>
          <cell r="I117">
            <v>6237</v>
          </cell>
          <cell r="J117">
            <v>6704</v>
          </cell>
          <cell r="K117">
            <v>7203.5</v>
          </cell>
          <cell r="L117">
            <v>3923</v>
          </cell>
          <cell r="M117">
            <v>2813.141138583168</v>
          </cell>
          <cell r="N117">
            <v>2681.8550814751925</v>
          </cell>
          <cell r="O117">
            <v>2634.7058614725797</v>
          </cell>
          <cell r="P117">
            <v>2605.2252065553334</v>
          </cell>
          <cell r="Q117">
            <v>2590.0410985942026</v>
          </cell>
          <cell r="R117">
            <v>2039.5821049660387</v>
          </cell>
          <cell r="S117">
            <v>1751.815480469407</v>
          </cell>
          <cell r="T117">
            <v>1610.7438268605661</v>
          </cell>
          <cell r="U117">
            <v>1529.6995020579252</v>
          </cell>
          <cell r="V117">
            <v>1391.7140792353159</v>
          </cell>
          <cell r="W117">
            <v>1292.1355909953033</v>
          </cell>
          <cell r="Y117">
            <v>-0.12426672299439934</v>
          </cell>
          <cell r="Z117">
            <v>-7.9682522926993515E-2</v>
          </cell>
        </row>
        <row r="118">
          <cell r="A118" t="str">
            <v xml:space="preserve">   growth </v>
          </cell>
          <cell r="C118">
            <v>0.17162944582299411</v>
          </cell>
          <cell r="D118">
            <v>0.23402753265090004</v>
          </cell>
          <cell r="E118">
            <v>0.16104118993135019</v>
          </cell>
          <cell r="F118">
            <v>0.15890613451589064</v>
          </cell>
          <cell r="G118">
            <v>0.13520408163265296</v>
          </cell>
          <cell r="H118">
            <v>9.3071161048689177E-2</v>
          </cell>
          <cell r="I118">
            <v>6.8528353606304604E-2</v>
          </cell>
          <cell r="J118">
            <v>7.487574154240817E-2</v>
          </cell>
          <cell r="K118">
            <v>7.450775656324593E-2</v>
          </cell>
          <cell r="L118">
            <v>-0.45540362323870343</v>
          </cell>
          <cell r="M118">
            <v>-0.28291074723855014</v>
          </cell>
          <cell r="N118">
            <v>-4.6668848323087486E-2</v>
          </cell>
          <cell r="O118">
            <v>-1.7580823187760664E-2</v>
          </cell>
          <cell r="P118">
            <v>-1.1189353372740074E-2</v>
          </cell>
          <cell r="Q118">
            <v>-5.8283283621408666E-3</v>
          </cell>
          <cell r="R118">
            <v>-0.21252905752226736</v>
          </cell>
          <cell r="S118">
            <v>-0.14109097338909204</v>
          </cell>
          <cell r="T118">
            <v>-8.0528831478895335E-2</v>
          </cell>
          <cell r="U118">
            <v>-5.0314844267074443E-2</v>
          </cell>
          <cell r="V118">
            <v>-9.0204267332881782E-2</v>
          </cell>
          <cell r="W118">
            <v>-7.155096705979036E-2</v>
          </cell>
        </row>
        <row r="119">
          <cell r="A119" t="str">
            <v xml:space="preserve">% of group </v>
          </cell>
          <cell r="C119">
            <v>0.17097163548581773</v>
          </cell>
          <cell r="D119">
            <v>0.18535602566141773</v>
          </cell>
          <cell r="E119">
            <v>0.16901232511658895</v>
          </cell>
          <cell r="F119">
            <v>0.17768376520359599</v>
          </cell>
          <cell r="G119">
            <v>0.1803566603620643</v>
          </cell>
          <cell r="H119">
            <v>0.18470934464099237</v>
          </cell>
          <cell r="I119">
            <v>0.19012925253017926</v>
          </cell>
          <cell r="J119">
            <v>0.20147257700976709</v>
          </cell>
          <cell r="K119">
            <v>0.21444859902116059</v>
          </cell>
          <cell r="L119">
            <v>0.1402422759079863</v>
          </cell>
          <cell r="M119">
            <v>0.10899967066681809</v>
          </cell>
          <cell r="N119">
            <v>0.11033644448848644</v>
          </cell>
          <cell r="O119">
            <v>0.10998703813819805</v>
          </cell>
          <cell r="P119">
            <v>0.10866805570990805</v>
          </cell>
          <cell r="Q119">
            <v>0.1089183515799932</v>
          </cell>
          <cell r="R119">
            <v>8.4685935043149835E-2</v>
          </cell>
          <cell r="S119">
            <v>7.0691370701676096E-2</v>
          </cell>
          <cell r="T119">
            <v>6.6345428884186999E-2</v>
          </cell>
          <cell r="U119">
            <v>6.3762797506298319E-2</v>
          </cell>
          <cell r="V119">
            <v>6.0048096226455586E-2</v>
          </cell>
          <cell r="W119">
            <v>6.3380067371538243E-2</v>
          </cell>
        </row>
        <row r="121">
          <cell r="A121" t="str">
            <v>Synagis</v>
          </cell>
          <cell r="H121">
            <v>1230</v>
          </cell>
          <cell r="I121">
            <v>1082</v>
          </cell>
          <cell r="J121">
            <v>1038</v>
          </cell>
          <cell r="K121">
            <v>975</v>
          </cell>
          <cell r="L121">
            <v>1038</v>
          </cell>
          <cell r="M121">
            <v>1101.7059276040704</v>
          </cell>
          <cell r="N121">
            <v>1068.3591776046342</v>
          </cell>
          <cell r="O121">
            <v>1068.3591776046342</v>
          </cell>
          <cell r="P121">
            <v>1014.9412187244023</v>
          </cell>
          <cell r="Q121">
            <v>964.19415778818222</v>
          </cell>
          <cell r="R121">
            <v>915.98444989877316</v>
          </cell>
          <cell r="S121">
            <v>870.18522740383446</v>
          </cell>
          <cell r="T121">
            <v>826.67596603364268</v>
          </cell>
          <cell r="U121">
            <v>785.34216773196044</v>
          </cell>
          <cell r="V121">
            <v>746.07505934536243</v>
          </cell>
          <cell r="W121">
            <v>708.77130637809432</v>
          </cell>
          <cell r="Y121">
            <v>9.655624157789866E-3</v>
          </cell>
          <cell r="Z121">
            <v>-1.4643403261381915E-2</v>
          </cell>
        </row>
        <row r="122">
          <cell r="A122" t="str">
            <v>Motavizumab</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Y122" t="e">
            <v>#DIV/0!</v>
          </cell>
          <cell r="Z122" t="e">
            <v>#DIV/0!</v>
          </cell>
        </row>
        <row r="123">
          <cell r="A123" t="str">
            <v>Pandemic Flu</v>
          </cell>
          <cell r="J123">
            <v>39</v>
          </cell>
          <cell r="K123">
            <v>0</v>
          </cell>
          <cell r="L123">
            <v>0</v>
          </cell>
          <cell r="M123">
            <v>0</v>
          </cell>
          <cell r="N123">
            <v>0</v>
          </cell>
          <cell r="O123">
            <v>0</v>
          </cell>
          <cell r="P123">
            <v>0</v>
          </cell>
          <cell r="Q123">
            <v>0</v>
          </cell>
          <cell r="R123">
            <v>0</v>
          </cell>
          <cell r="S123">
            <v>0</v>
          </cell>
          <cell r="T123">
            <v>0</v>
          </cell>
          <cell r="U123">
            <v>0</v>
          </cell>
          <cell r="V123">
            <v>0</v>
          </cell>
          <cell r="W123">
            <v>0</v>
          </cell>
        </row>
        <row r="124">
          <cell r="A124" t="str">
            <v>Merrem</v>
          </cell>
          <cell r="B124">
            <v>285</v>
          </cell>
          <cell r="C124">
            <v>346</v>
          </cell>
          <cell r="D124">
            <v>423</v>
          </cell>
          <cell r="E124">
            <v>505</v>
          </cell>
          <cell r="F124">
            <v>604</v>
          </cell>
          <cell r="G124">
            <v>773</v>
          </cell>
          <cell r="H124">
            <v>897</v>
          </cell>
          <cell r="I124">
            <v>872</v>
          </cell>
          <cell r="J124">
            <v>817</v>
          </cell>
          <cell r="K124">
            <v>583</v>
          </cell>
          <cell r="L124">
            <v>396</v>
          </cell>
          <cell r="M124">
            <v>306.33897391173548</v>
          </cell>
          <cell r="N124">
            <v>288.76772648259538</v>
          </cell>
          <cell r="O124">
            <v>273.16999376473797</v>
          </cell>
          <cell r="P124">
            <v>259.06883996168028</v>
          </cell>
          <cell r="Q124">
            <v>242.07931017077794</v>
          </cell>
          <cell r="R124">
            <v>226.41761233928057</v>
          </cell>
          <cell r="S124">
            <v>212.06630636284868</v>
          </cell>
          <cell r="T124">
            <v>198.88141189270073</v>
          </cell>
          <cell r="U124">
            <v>186.73785318204895</v>
          </cell>
          <cell r="V124">
            <v>175.52676437120144</v>
          </cell>
          <cell r="W124">
            <v>165.15319129584029</v>
          </cell>
          <cell r="Y124">
            <v>-0.1164187870708987</v>
          </cell>
          <cell r="Z124">
            <v>-9.3740655924213434E-2</v>
          </cell>
        </row>
        <row r="125">
          <cell r="A125" t="str">
            <v>FluMist</v>
          </cell>
          <cell r="H125">
            <v>104</v>
          </cell>
          <cell r="I125">
            <v>145</v>
          </cell>
          <cell r="J125">
            <v>174</v>
          </cell>
          <cell r="K125">
            <v>161</v>
          </cell>
          <cell r="L125">
            <v>181</v>
          </cell>
          <cell r="M125">
            <v>203.55</v>
          </cell>
          <cell r="N125">
            <v>234.27750000000003</v>
          </cell>
          <cell r="O125">
            <v>269.49137500000006</v>
          </cell>
          <cell r="P125">
            <v>325.21594375000006</v>
          </cell>
          <cell r="Q125">
            <v>366.47674093750004</v>
          </cell>
          <cell r="R125">
            <v>384.80057798437508</v>
          </cell>
          <cell r="S125">
            <v>404.0406068835938</v>
          </cell>
          <cell r="T125">
            <v>424.24263722777357</v>
          </cell>
          <cell r="U125">
            <v>445.4547690891622</v>
          </cell>
          <cell r="V125">
            <v>467.72750754362039</v>
          </cell>
          <cell r="W125">
            <v>491.11388292080142</v>
          </cell>
          <cell r="Y125">
            <v>0.14188277620153511</v>
          </cell>
          <cell r="Z125">
            <v>0.15152552305018174</v>
          </cell>
        </row>
        <row r="126">
          <cell r="A126" t="str">
            <v>Zinforo</v>
          </cell>
          <cell r="H126">
            <v>0</v>
          </cell>
          <cell r="I126">
            <v>0</v>
          </cell>
          <cell r="J126">
            <v>0</v>
          </cell>
          <cell r="K126">
            <v>0</v>
          </cell>
          <cell r="L126">
            <v>0</v>
          </cell>
          <cell r="M126">
            <v>28</v>
          </cell>
          <cell r="N126">
            <v>52.730153705407744</v>
          </cell>
          <cell r="O126">
            <v>66.882372118991867</v>
          </cell>
          <cell r="P126">
            <v>79.725780786471759</v>
          </cell>
          <cell r="Q126">
            <v>91.362751316298642</v>
          </cell>
          <cell r="R126">
            <v>104.71307776678518</v>
          </cell>
          <cell r="S126">
            <v>120.03054456014884</v>
          </cell>
          <cell r="T126">
            <v>130.55145894659856</v>
          </cell>
          <cell r="U126">
            <v>142.25490490819612</v>
          </cell>
          <cell r="V126">
            <v>142.25490490819612</v>
          </cell>
          <cell r="W126">
            <v>135.14215966278633</v>
          </cell>
        </row>
        <row r="127">
          <cell r="A127" t="str">
            <v>Other</v>
          </cell>
          <cell r="B127">
            <v>220</v>
          </cell>
          <cell r="C127">
            <v>282</v>
          </cell>
          <cell r="D127">
            <v>293</v>
          </cell>
          <cell r="E127">
            <v>334</v>
          </cell>
          <cell r="F127">
            <v>271</v>
          </cell>
          <cell r="G127">
            <v>270.2</v>
          </cell>
          <cell r="H127">
            <v>220</v>
          </cell>
          <cell r="I127">
            <v>143</v>
          </cell>
          <cell r="J127">
            <v>114</v>
          </cell>
          <cell r="K127">
            <v>137.4</v>
          </cell>
          <cell r="L127">
            <v>100.02007972190518</v>
          </cell>
          <cell r="M127">
            <v>168.21953967317305</v>
          </cell>
          <cell r="N127">
            <v>165.6099789310507</v>
          </cell>
          <cell r="O127">
            <v>164.21989902701068</v>
          </cell>
          <cell r="P127">
            <v>162.94981432776871</v>
          </cell>
          <cell r="Q127">
            <v>161.80003961756461</v>
          </cell>
          <cell r="R127">
            <v>161.90399736271598</v>
          </cell>
          <cell r="S127">
            <v>159.8069688719566</v>
          </cell>
          <cell r="T127">
            <v>157.77285123591997</v>
          </cell>
          <cell r="U127">
            <v>155.79975712896442</v>
          </cell>
          <cell r="V127">
            <v>153.88585584521758</v>
          </cell>
          <cell r="W127">
            <v>152.02937159998314</v>
          </cell>
          <cell r="Y127">
            <v>0.1797196419385183</v>
          </cell>
          <cell r="Z127">
            <v>0.10097709893760198</v>
          </cell>
        </row>
        <row r="128">
          <cell r="A128" t="str">
            <v>Infection and Other</v>
          </cell>
          <cell r="B128">
            <v>505</v>
          </cell>
          <cell r="C128">
            <v>628</v>
          </cell>
          <cell r="D128">
            <v>716</v>
          </cell>
          <cell r="E128">
            <v>839</v>
          </cell>
          <cell r="F128">
            <v>875</v>
          </cell>
          <cell r="G128">
            <v>1714.2</v>
          </cell>
          <cell r="H128">
            <v>2451</v>
          </cell>
          <cell r="I128">
            <v>2631</v>
          </cell>
          <cell r="J128">
            <v>2182</v>
          </cell>
          <cell r="K128">
            <v>1856.4</v>
          </cell>
          <cell r="L128">
            <v>1715.0200797219052</v>
          </cell>
          <cell r="M128">
            <v>1807.8144411889791</v>
          </cell>
          <cell r="N128">
            <v>1809.7445367236878</v>
          </cell>
          <cell r="O128">
            <v>1842.1228175153747</v>
          </cell>
          <cell r="P128">
            <v>1841.901597550323</v>
          </cell>
          <cell r="Q128">
            <v>1825.9129998303235</v>
          </cell>
          <cell r="R128">
            <v>1793.8197153519297</v>
          </cell>
          <cell r="S128">
            <v>1766.1296540823823</v>
          </cell>
          <cell r="T128">
            <v>1738.1243253366354</v>
          </cell>
          <cell r="U128">
            <v>1715.5894520403319</v>
          </cell>
          <cell r="V128">
            <v>1685.4700920135979</v>
          </cell>
          <cell r="W128">
            <v>1652.2099118575054</v>
          </cell>
          <cell r="Y128">
            <v>2.4117264323607168E-2</v>
          </cell>
          <cell r="Z128">
            <v>1.2609912229609721E-2</v>
          </cell>
        </row>
        <row r="129">
          <cell r="A129" t="str">
            <v xml:space="preserve">   growth </v>
          </cell>
          <cell r="C129">
            <v>0.24356435643564356</v>
          </cell>
          <cell r="D129">
            <v>0.14012738853503182</v>
          </cell>
          <cell r="E129">
            <v>0.17178770949720668</v>
          </cell>
          <cell r="F129">
            <v>4.2908224076281254E-2</v>
          </cell>
          <cell r="G129">
            <v>0.95908571428571432</v>
          </cell>
          <cell r="H129">
            <v>0.4298214910745537</v>
          </cell>
          <cell r="I129">
            <v>7.3439412484700206E-2</v>
          </cell>
          <cell r="J129">
            <v>-0.17065754465982519</v>
          </cell>
          <cell r="K129">
            <v>-0.1492208982584784</v>
          </cell>
          <cell r="L129">
            <v>-7.6158112625562824E-2</v>
          </cell>
          <cell r="M129">
            <v>5.4106865898690071E-2</v>
          </cell>
          <cell r="N129">
            <v>1.0676402902498605E-3</v>
          </cell>
          <cell r="O129">
            <v>1.7891078069119937E-2</v>
          </cell>
          <cell r="P129">
            <v>-1.2008969377519385E-4</v>
          </cell>
          <cell r="Q129">
            <v>-8.6804842024480466E-3</v>
          </cell>
          <cell r="R129">
            <v>-1.7576568260029957E-2</v>
          </cell>
          <cell r="S129">
            <v>-1.5436368009878243E-2</v>
          </cell>
          <cell r="T129">
            <v>-1.5856892884966278E-2</v>
          </cell>
          <cell r="U129">
            <v>-1.2965052595957927E-2</v>
          </cell>
          <cell r="V129">
            <v>-1.7556274894855228E-2</v>
          </cell>
          <cell r="W129">
            <v>-1.9733473951090486E-2</v>
          </cell>
        </row>
        <row r="130">
          <cell r="A130" t="str">
            <v xml:space="preserve">% of group </v>
          </cell>
          <cell r="C130">
            <v>3.7899818949909472E-2</v>
          </cell>
          <cell r="D130">
            <v>3.7961932029054665E-2</v>
          </cell>
          <cell r="E130">
            <v>3.4935043304463689E-2</v>
          </cell>
          <cell r="F130">
            <v>3.3051295610787942E-2</v>
          </cell>
          <cell r="G130">
            <v>5.7896514455552557E-2</v>
          </cell>
          <cell r="H130">
            <v>7.7560836682383463E-2</v>
          </cell>
          <cell r="I130">
            <v>8.020363370320692E-2</v>
          </cell>
          <cell r="J130">
            <v>6.5574755822689706E-2</v>
          </cell>
          <cell r="K130">
            <v>5.5265132119508925E-2</v>
          </cell>
          <cell r="L130">
            <v>6.1309793323501421E-2</v>
          </cell>
          <cell r="M130">
            <v>7.0046673454699435E-2</v>
          </cell>
          <cell r="N130">
            <v>7.4456214652999647E-2</v>
          </cell>
          <cell r="O130">
            <v>7.6900285359393611E-2</v>
          </cell>
          <cell r="P130">
            <v>7.6828623073018742E-2</v>
          </cell>
          <cell r="Q130">
            <v>7.6784663447210522E-2</v>
          </cell>
          <cell r="R130">
            <v>7.4481581066796296E-2</v>
          </cell>
          <cell r="S130">
            <v>7.1268993496110961E-2</v>
          </cell>
          <cell r="T130">
            <v>7.1592143887495782E-2</v>
          </cell>
          <cell r="U130">
            <v>7.1511288777452095E-2</v>
          </cell>
          <cell r="V130">
            <v>7.2722746562753321E-2</v>
          </cell>
          <cell r="W130">
            <v>8.1041940377782368E-2</v>
          </cell>
        </row>
        <row r="132">
          <cell r="A132" t="str">
            <v>Aptium Oncology</v>
          </cell>
          <cell r="B132">
            <v>233</v>
          </cell>
          <cell r="C132">
            <v>281</v>
          </cell>
          <cell r="D132">
            <v>304</v>
          </cell>
          <cell r="E132">
            <v>335</v>
          </cell>
          <cell r="F132">
            <v>374</v>
          </cell>
          <cell r="G132">
            <v>402</v>
          </cell>
          <cell r="H132">
            <v>395</v>
          </cell>
          <cell r="I132">
            <v>393</v>
          </cell>
          <cell r="J132">
            <v>219</v>
          </cell>
          <cell r="K132">
            <v>224</v>
          </cell>
          <cell r="L132">
            <v>48</v>
          </cell>
          <cell r="M132">
            <v>0</v>
          </cell>
          <cell r="N132">
            <v>0</v>
          </cell>
          <cell r="O132">
            <v>0</v>
          </cell>
          <cell r="P132">
            <v>0</v>
          </cell>
          <cell r="Q132">
            <v>0</v>
          </cell>
          <cell r="R132">
            <v>0</v>
          </cell>
          <cell r="S132">
            <v>0</v>
          </cell>
          <cell r="T132">
            <v>0</v>
          </cell>
          <cell r="U132">
            <v>0</v>
          </cell>
          <cell r="V132">
            <v>0</v>
          </cell>
          <cell r="W132">
            <v>0</v>
          </cell>
        </row>
        <row r="133">
          <cell r="A133" t="str">
            <v>Astra Tech</v>
          </cell>
          <cell r="B133">
            <v>151</v>
          </cell>
          <cell r="C133">
            <v>201</v>
          </cell>
          <cell r="D133">
            <v>256</v>
          </cell>
          <cell r="E133">
            <v>312</v>
          </cell>
          <cell r="F133">
            <v>360</v>
          </cell>
          <cell r="G133">
            <v>444</v>
          </cell>
          <cell r="H133">
            <v>529</v>
          </cell>
          <cell r="I133">
            <v>506</v>
          </cell>
          <cell r="J133">
            <v>535</v>
          </cell>
          <cell r="K133">
            <v>385.6</v>
          </cell>
          <cell r="L133">
            <v>0</v>
          </cell>
          <cell r="M133">
            <v>0</v>
          </cell>
          <cell r="N133">
            <v>0</v>
          </cell>
          <cell r="O133">
            <v>0</v>
          </cell>
          <cell r="P133">
            <v>0</v>
          </cell>
          <cell r="Q133">
            <v>0</v>
          </cell>
          <cell r="R133">
            <v>0</v>
          </cell>
          <cell r="S133">
            <v>0</v>
          </cell>
          <cell r="T133">
            <v>0</v>
          </cell>
          <cell r="U133">
            <v>0</v>
          </cell>
          <cell r="V133">
            <v>0</v>
          </cell>
          <cell r="W133">
            <v>0</v>
          </cell>
        </row>
        <row r="134">
          <cell r="A134" t="str">
            <v>Pipeline Products</v>
          </cell>
          <cell r="B134">
            <v>0</v>
          </cell>
          <cell r="C134">
            <v>0</v>
          </cell>
          <cell r="D134">
            <v>0</v>
          </cell>
          <cell r="E134">
            <v>0</v>
          </cell>
          <cell r="F134">
            <v>0</v>
          </cell>
          <cell r="G134">
            <v>0</v>
          </cell>
          <cell r="H134">
            <v>0</v>
          </cell>
          <cell r="I134">
            <v>0</v>
          </cell>
          <cell r="J134">
            <v>0</v>
          </cell>
          <cell r="K134">
            <v>0</v>
          </cell>
          <cell r="L134">
            <v>0</v>
          </cell>
          <cell r="M134">
            <v>0</v>
          </cell>
          <cell r="N134">
            <v>36</v>
          </cell>
          <cell r="O134">
            <v>153</v>
          </cell>
          <cell r="P134">
            <v>459.5</v>
          </cell>
          <cell r="Q134">
            <v>927</v>
          </cell>
          <cell r="R134">
            <v>1483.5</v>
          </cell>
          <cell r="S134">
            <v>2231.3000000000002</v>
          </cell>
          <cell r="T134">
            <v>3253.0740000000001</v>
          </cell>
          <cell r="U134">
            <v>4632.2487199999996</v>
          </cell>
          <cell r="V134">
            <v>5283.6511816000002</v>
          </cell>
          <cell r="W134">
            <v>5632.5057170480004</v>
          </cell>
        </row>
        <row r="135">
          <cell r="A135" t="str">
            <v>Other/Phase I/in-licensed</v>
          </cell>
          <cell r="O135">
            <v>0</v>
          </cell>
          <cell r="P135">
            <v>0</v>
          </cell>
          <cell r="Q135">
            <v>0</v>
          </cell>
          <cell r="R135">
            <v>0</v>
          </cell>
          <cell r="S135">
            <v>0</v>
          </cell>
          <cell r="T135">
            <v>0</v>
          </cell>
          <cell r="U135">
            <v>0</v>
          </cell>
          <cell r="V135">
            <v>0</v>
          </cell>
          <cell r="W135">
            <v>0</v>
          </cell>
        </row>
        <row r="137">
          <cell r="A137" t="str">
            <v>Reported Revenues</v>
          </cell>
          <cell r="B137">
            <v>16023</v>
          </cell>
          <cell r="C137">
            <v>16570</v>
          </cell>
          <cell r="D137">
            <v>18861</v>
          </cell>
          <cell r="E137">
            <v>24016</v>
          </cell>
          <cell r="F137">
            <v>26474</v>
          </cell>
          <cell r="G137">
            <v>29608</v>
          </cell>
          <cell r="H137">
            <v>31601</v>
          </cell>
          <cell r="I137">
            <v>32804</v>
          </cell>
          <cell r="J137">
            <v>33275</v>
          </cell>
          <cell r="K137">
            <v>33590.799999999996</v>
          </cell>
          <cell r="L137">
            <v>27973.020079721904</v>
          </cell>
          <cell r="M137">
            <v>25808.712277509203</v>
          </cell>
          <cell r="N137">
            <v>24306.158259024225</v>
          </cell>
          <cell r="O137">
            <v>23954.694171890398</v>
          </cell>
          <cell r="P137">
            <v>23974.158638763576</v>
          </cell>
          <cell r="Q137">
            <v>23779.657523479793</v>
          </cell>
          <cell r="R137">
            <v>24084.071385960549</v>
          </cell>
          <cell r="S137">
            <v>24781.178566507431</v>
          </cell>
          <cell r="T137">
            <v>24278.143256444851</v>
          </cell>
          <cell r="U137">
            <v>23990.470335101367</v>
          </cell>
          <cell r="V137">
            <v>23176.656158870261</v>
          </cell>
          <cell r="W137">
            <v>20387.097151865066</v>
          </cell>
          <cell r="Y137">
            <v>-5.0378258900780404E-2</v>
          </cell>
          <cell r="Z137">
            <v>-3.19601232411999E-2</v>
          </cell>
        </row>
        <row r="138">
          <cell r="A138" t="str">
            <v xml:space="preserve">   growth </v>
          </cell>
          <cell r="C138">
            <v>3.4138426012606971E-2</v>
          </cell>
          <cell r="D138">
            <v>0.13826191913095953</v>
          </cell>
          <cell r="E138">
            <v>0.27331530671756532</v>
          </cell>
          <cell r="F138">
            <v>0.10234843437708196</v>
          </cell>
          <cell r="G138">
            <v>0.11838029765052505</v>
          </cell>
          <cell r="H138">
            <v>6.7312888408538329E-2</v>
          </cell>
          <cell r="I138">
            <v>3.806841555646967E-2</v>
          </cell>
          <cell r="J138">
            <v>1.4358005121326567E-2</v>
          </cell>
          <cell r="K138">
            <v>9.4906085649886229E-3</v>
          </cell>
          <cell r="L138">
            <v>-0.16724162330989711</v>
          </cell>
          <cell r="M138">
            <v>-7.7371259736864872E-2</v>
          </cell>
          <cell r="N138">
            <v>-5.8218868199571783E-2</v>
          </cell>
          <cell r="O138">
            <v>-1.4459878167021212E-2</v>
          </cell>
          <cell r="P138">
            <v>8.1255334480623276E-4</v>
          </cell>
          <cell r="Q138">
            <v>-8.1129485382355204E-3</v>
          </cell>
          <cell r="R138">
            <v>1.2801440146065213E-2</v>
          </cell>
          <cell r="S138">
            <v>2.8944739839678935E-2</v>
          </cell>
          <cell r="T138">
            <v>-2.029908741880615E-2</v>
          </cell>
          <cell r="U138">
            <v>-1.1849049505345488E-2</v>
          </cell>
          <cell r="V138">
            <v>-3.3922393553092789E-2</v>
          </cell>
          <cell r="W138">
            <v>-0.12036071933256709</v>
          </cell>
        </row>
        <row r="140">
          <cell r="A140" t="str">
            <v>Notes:</v>
          </cell>
        </row>
        <row r="141">
          <cell r="A141" t="str">
            <v>E= Morgan Stanley Research Estimates</v>
          </cell>
        </row>
        <row r="142">
          <cell r="A142" t="str">
            <v>Source: Morgan Stanley Research</v>
          </cell>
        </row>
        <row r="145">
          <cell r="Z145">
            <v>0.15443143522217975</v>
          </cell>
        </row>
        <row r="146">
          <cell r="F146">
            <v>26474</v>
          </cell>
          <cell r="G146">
            <v>29559</v>
          </cell>
          <cell r="H146">
            <v>31601</v>
          </cell>
          <cell r="I146">
            <v>32804</v>
          </cell>
          <cell r="J146">
            <v>33269</v>
          </cell>
          <cell r="K146">
            <v>33590.799999999996</v>
          </cell>
          <cell r="L146">
            <v>27973.020079721904</v>
          </cell>
          <cell r="M146">
            <v>25808.712277509203</v>
          </cell>
          <cell r="N146">
            <v>24306.158259024225</v>
          </cell>
          <cell r="O146">
            <v>23954.694171890398</v>
          </cell>
          <cell r="P146">
            <v>23974.158638763576</v>
          </cell>
          <cell r="Q146">
            <v>23779.657523479793</v>
          </cell>
          <cell r="R146">
            <v>24084.071385960549</v>
          </cell>
          <cell r="S146">
            <v>24781.178566507431</v>
          </cell>
          <cell r="T146">
            <v>24278.143256444851</v>
          </cell>
          <cell r="U146">
            <v>23990.470335101367</v>
          </cell>
          <cell r="V146">
            <v>23176.656158870261</v>
          </cell>
          <cell r="W146">
            <v>20387.097151865066</v>
          </cell>
        </row>
      </sheetData>
      <sheetData sheetId="13"/>
      <sheetData sheetId="14"/>
      <sheetData sheetId="15"/>
      <sheetData sheetId="16"/>
      <sheetData sheetId="17"/>
      <sheetData sheetId="18"/>
      <sheetData sheetId="19"/>
      <sheetData sheetId="20"/>
      <sheetData sheetId="2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1">
          <cell r="A1" t="str">
            <v>GSK</v>
          </cell>
        </row>
        <row r="8">
          <cell r="A8" t="str">
            <v xml:space="preserve"> Date </v>
          </cell>
          <cell r="B8" t="str">
            <v xml:space="preserve"> Price Close </v>
          </cell>
        </row>
        <row r="9">
          <cell r="A9">
            <v>38707</v>
          </cell>
          <cell r="B9">
            <v>14.69</v>
          </cell>
        </row>
        <row r="10">
          <cell r="A10">
            <v>38708</v>
          </cell>
          <cell r="B10">
            <v>14.68</v>
          </cell>
        </row>
        <row r="11">
          <cell r="A11">
            <v>38709</v>
          </cell>
          <cell r="B11">
            <v>14.61</v>
          </cell>
        </row>
        <row r="12">
          <cell r="A12">
            <v>38712</v>
          </cell>
          <cell r="B12">
            <v>14.61</v>
          </cell>
        </row>
        <row r="13">
          <cell r="A13">
            <v>38713</v>
          </cell>
          <cell r="B13">
            <v>14.61</v>
          </cell>
        </row>
        <row r="14">
          <cell r="A14">
            <v>38714</v>
          </cell>
          <cell r="B14">
            <v>14.730000499999999</v>
          </cell>
        </row>
        <row r="15">
          <cell r="A15">
            <v>38715</v>
          </cell>
          <cell r="B15">
            <v>14.77</v>
          </cell>
        </row>
        <row r="16">
          <cell r="A16">
            <v>38716</v>
          </cell>
          <cell r="B16">
            <v>14.69</v>
          </cell>
        </row>
        <row r="17">
          <cell r="A17">
            <v>38719</v>
          </cell>
          <cell r="B17">
            <v>14.69</v>
          </cell>
        </row>
        <row r="18">
          <cell r="A18">
            <v>38720</v>
          </cell>
          <cell r="B18">
            <v>14.56</v>
          </cell>
        </row>
        <row r="19">
          <cell r="A19">
            <v>38721</v>
          </cell>
          <cell r="B19">
            <v>14.83</v>
          </cell>
        </row>
        <row r="20">
          <cell r="A20">
            <v>38722</v>
          </cell>
          <cell r="B20">
            <v>14.96</v>
          </cell>
        </row>
        <row r="21">
          <cell r="A21">
            <v>38723</v>
          </cell>
          <cell r="B21">
            <v>14.78</v>
          </cell>
        </row>
        <row r="22">
          <cell r="A22">
            <v>38726</v>
          </cell>
          <cell r="B22">
            <v>14.91</v>
          </cell>
        </row>
        <row r="23">
          <cell r="A23">
            <v>38727</v>
          </cell>
          <cell r="B23">
            <v>14.730000499999999</v>
          </cell>
        </row>
        <row r="24">
          <cell r="A24">
            <v>38728</v>
          </cell>
          <cell r="B24">
            <v>14.74</v>
          </cell>
        </row>
        <row r="25">
          <cell r="A25">
            <v>38729</v>
          </cell>
          <cell r="B25">
            <v>14.57</v>
          </cell>
        </row>
        <row r="26">
          <cell r="A26">
            <v>38730</v>
          </cell>
          <cell r="B26">
            <v>14.56</v>
          </cell>
        </row>
        <row r="27">
          <cell r="A27">
            <v>38733</v>
          </cell>
          <cell r="B27">
            <v>14.66</v>
          </cell>
        </row>
        <row r="28">
          <cell r="A28">
            <v>38734</v>
          </cell>
          <cell r="B28">
            <v>14.54</v>
          </cell>
        </row>
        <row r="29">
          <cell r="A29">
            <v>38735</v>
          </cell>
          <cell r="B29">
            <v>14.42</v>
          </cell>
        </row>
        <row r="30">
          <cell r="A30">
            <v>38736</v>
          </cell>
          <cell r="B30">
            <v>14.35</v>
          </cell>
        </row>
        <row r="31">
          <cell r="A31">
            <v>38737</v>
          </cell>
          <cell r="B31">
            <v>14.24</v>
          </cell>
        </row>
        <row r="32">
          <cell r="A32">
            <v>38740</v>
          </cell>
          <cell r="B32">
            <v>14.26</v>
          </cell>
        </row>
        <row r="33">
          <cell r="A33">
            <v>38741</v>
          </cell>
          <cell r="B33">
            <v>14.28</v>
          </cell>
        </row>
        <row r="34">
          <cell r="A34">
            <v>38742</v>
          </cell>
          <cell r="B34">
            <v>14.37</v>
          </cell>
        </row>
        <row r="35">
          <cell r="A35">
            <v>38743</v>
          </cell>
          <cell r="B35">
            <v>14.4</v>
          </cell>
        </row>
        <row r="36">
          <cell r="A36">
            <v>38744</v>
          </cell>
          <cell r="B36">
            <v>14.69</v>
          </cell>
          <cell r="G36" t="str">
            <v>Current price</v>
          </cell>
          <cell r="I36">
            <v>1700</v>
          </cell>
          <cell r="K36">
            <v>1987</v>
          </cell>
        </row>
        <row r="37">
          <cell r="A37">
            <v>38747</v>
          </cell>
          <cell r="B37">
            <v>14.48</v>
          </cell>
          <cell r="G37" t="str">
            <v>EPS</v>
          </cell>
          <cell r="I37">
            <v>108.9</v>
          </cell>
          <cell r="K37">
            <v>2120</v>
          </cell>
        </row>
        <row r="38">
          <cell r="A38">
            <v>38748</v>
          </cell>
          <cell r="B38">
            <v>14.38</v>
          </cell>
          <cell r="G38" t="str">
            <v>PE</v>
          </cell>
          <cell r="I38">
            <v>15.610651974288338</v>
          </cell>
          <cell r="K38">
            <v>-6.2735849056603787E-2</v>
          </cell>
          <cell r="M38">
            <v>16.308396226415091</v>
          </cell>
        </row>
        <row r="39">
          <cell r="A39">
            <v>38749</v>
          </cell>
          <cell r="B39">
            <v>14.45</v>
          </cell>
        </row>
        <row r="40">
          <cell r="A40">
            <v>38750</v>
          </cell>
          <cell r="B40">
            <v>14.34</v>
          </cell>
        </row>
        <row r="41">
          <cell r="A41">
            <v>38751</v>
          </cell>
          <cell r="B41">
            <v>14.48</v>
          </cell>
        </row>
        <row r="42">
          <cell r="A42">
            <v>38754</v>
          </cell>
          <cell r="B42">
            <v>14.43</v>
          </cell>
        </row>
        <row r="43">
          <cell r="A43">
            <v>38755</v>
          </cell>
          <cell r="B43">
            <v>14.44</v>
          </cell>
        </row>
        <row r="44">
          <cell r="A44">
            <v>38756</v>
          </cell>
          <cell r="B44">
            <v>14.57</v>
          </cell>
        </row>
        <row r="45">
          <cell r="A45">
            <v>38757</v>
          </cell>
          <cell r="B45">
            <v>15</v>
          </cell>
        </row>
        <row r="46">
          <cell r="A46">
            <v>38758</v>
          </cell>
          <cell r="B46">
            <v>14.730000499999999</v>
          </cell>
        </row>
        <row r="47">
          <cell r="A47">
            <v>38761</v>
          </cell>
          <cell r="B47">
            <v>14.97</v>
          </cell>
        </row>
        <row r="48">
          <cell r="A48">
            <v>38762</v>
          </cell>
          <cell r="B48">
            <v>14.87</v>
          </cell>
        </row>
        <row r="49">
          <cell r="A49">
            <v>38763</v>
          </cell>
          <cell r="B49">
            <v>14.66</v>
          </cell>
        </row>
        <row r="50">
          <cell r="A50">
            <v>38764</v>
          </cell>
          <cell r="B50">
            <v>14.71</v>
          </cell>
        </row>
        <row r="51">
          <cell r="A51">
            <v>38765</v>
          </cell>
          <cell r="B51">
            <v>14.71</v>
          </cell>
        </row>
        <row r="52">
          <cell r="A52">
            <v>38768</v>
          </cell>
          <cell r="B52">
            <v>14.75</v>
          </cell>
        </row>
        <row r="53">
          <cell r="A53">
            <v>38769</v>
          </cell>
          <cell r="B53">
            <v>14.68</v>
          </cell>
        </row>
        <row r="54">
          <cell r="A54">
            <v>38770</v>
          </cell>
          <cell r="B54">
            <v>14.84</v>
          </cell>
        </row>
        <row r="55">
          <cell r="A55">
            <v>38771</v>
          </cell>
          <cell r="B55">
            <v>14.74</v>
          </cell>
        </row>
        <row r="56">
          <cell r="A56">
            <v>38772</v>
          </cell>
          <cell r="B56">
            <v>14.61</v>
          </cell>
        </row>
        <row r="57">
          <cell r="A57">
            <v>38775</v>
          </cell>
          <cell r="B57">
            <v>14.68</v>
          </cell>
        </row>
        <row r="58">
          <cell r="A58">
            <v>38776</v>
          </cell>
          <cell r="B58">
            <v>14.46</v>
          </cell>
        </row>
        <row r="59">
          <cell r="A59">
            <v>38777</v>
          </cell>
          <cell r="B59">
            <v>14.68</v>
          </cell>
        </row>
        <row r="60">
          <cell r="A60">
            <v>38778</v>
          </cell>
          <cell r="B60">
            <v>14.69</v>
          </cell>
        </row>
        <row r="61">
          <cell r="A61">
            <v>38779</v>
          </cell>
          <cell r="B61">
            <v>14.78</v>
          </cell>
        </row>
        <row r="62">
          <cell r="A62">
            <v>38782</v>
          </cell>
          <cell r="B62">
            <v>14.91</v>
          </cell>
        </row>
        <row r="63">
          <cell r="A63">
            <v>38783</v>
          </cell>
          <cell r="B63">
            <v>15.07</v>
          </cell>
        </row>
        <row r="64">
          <cell r="A64">
            <v>38784</v>
          </cell>
          <cell r="B64">
            <v>15.36</v>
          </cell>
        </row>
        <row r="65">
          <cell r="A65">
            <v>38785</v>
          </cell>
          <cell r="B65">
            <v>15.59</v>
          </cell>
        </row>
        <row r="66">
          <cell r="A66">
            <v>38786</v>
          </cell>
          <cell r="B66">
            <v>15.77</v>
          </cell>
        </row>
        <row r="67">
          <cell r="A67">
            <v>38789</v>
          </cell>
          <cell r="B67">
            <v>15.7</v>
          </cell>
        </row>
        <row r="68">
          <cell r="A68">
            <v>38790</v>
          </cell>
          <cell r="B68">
            <v>15.74</v>
          </cell>
        </row>
        <row r="69">
          <cell r="A69">
            <v>38791</v>
          </cell>
          <cell r="B69">
            <v>15.61</v>
          </cell>
        </row>
        <row r="70">
          <cell r="A70">
            <v>38792</v>
          </cell>
          <cell r="B70">
            <v>15.56</v>
          </cell>
        </row>
        <row r="71">
          <cell r="A71">
            <v>38793</v>
          </cell>
          <cell r="B71">
            <v>15.47</v>
          </cell>
        </row>
        <row r="72">
          <cell r="A72">
            <v>38796</v>
          </cell>
          <cell r="B72">
            <v>15.46</v>
          </cell>
        </row>
        <row r="73">
          <cell r="A73">
            <v>38797</v>
          </cell>
          <cell r="B73">
            <v>15.36</v>
          </cell>
        </row>
        <row r="74">
          <cell r="A74">
            <v>38798</v>
          </cell>
          <cell r="B74">
            <v>15.4</v>
          </cell>
        </row>
        <row r="75">
          <cell r="A75">
            <v>38799</v>
          </cell>
          <cell r="B75">
            <v>15.3</v>
          </cell>
        </row>
        <row r="76">
          <cell r="A76">
            <v>38800</v>
          </cell>
          <cell r="B76">
            <v>15.36</v>
          </cell>
        </row>
        <row r="77">
          <cell r="A77">
            <v>38803</v>
          </cell>
          <cell r="B77">
            <v>15.28</v>
          </cell>
        </row>
        <row r="78">
          <cell r="A78">
            <v>38804</v>
          </cell>
          <cell r="B78">
            <v>15.12</v>
          </cell>
        </row>
        <row r="79">
          <cell r="A79">
            <v>38805</v>
          </cell>
          <cell r="B79">
            <v>15.03</v>
          </cell>
        </row>
        <row r="80">
          <cell r="A80">
            <v>38806</v>
          </cell>
          <cell r="B80">
            <v>15.09</v>
          </cell>
        </row>
        <row r="81">
          <cell r="A81">
            <v>38807</v>
          </cell>
          <cell r="B81">
            <v>15.05</v>
          </cell>
        </row>
        <row r="82">
          <cell r="A82">
            <v>38810</v>
          </cell>
          <cell r="B82">
            <v>15.23</v>
          </cell>
        </row>
        <row r="83">
          <cell r="A83">
            <v>38811</v>
          </cell>
          <cell r="B83">
            <v>15</v>
          </cell>
        </row>
        <row r="84">
          <cell r="A84">
            <v>38812</v>
          </cell>
          <cell r="B84">
            <v>14.95</v>
          </cell>
        </row>
        <row r="85">
          <cell r="A85">
            <v>38813</v>
          </cell>
          <cell r="B85">
            <v>14.79</v>
          </cell>
        </row>
        <row r="86">
          <cell r="A86">
            <v>38814</v>
          </cell>
          <cell r="B86">
            <v>14.77</v>
          </cell>
        </row>
        <row r="87">
          <cell r="A87">
            <v>38817</v>
          </cell>
          <cell r="B87">
            <v>14.94</v>
          </cell>
        </row>
        <row r="88">
          <cell r="A88">
            <v>38818</v>
          </cell>
          <cell r="B88">
            <v>14.86</v>
          </cell>
        </row>
        <row r="89">
          <cell r="A89">
            <v>38819</v>
          </cell>
          <cell r="B89">
            <v>14.85</v>
          </cell>
        </row>
        <row r="90">
          <cell r="A90">
            <v>38820</v>
          </cell>
          <cell r="B90">
            <v>14.98</v>
          </cell>
        </row>
        <row r="91">
          <cell r="A91">
            <v>38821</v>
          </cell>
          <cell r="B91">
            <v>14.98</v>
          </cell>
        </row>
        <row r="92">
          <cell r="A92">
            <v>38824</v>
          </cell>
          <cell r="B92">
            <v>14.98</v>
          </cell>
        </row>
        <row r="93">
          <cell r="A93">
            <v>38825</v>
          </cell>
          <cell r="B93">
            <v>14.8</v>
          </cell>
        </row>
        <row r="94">
          <cell r="A94">
            <v>38826</v>
          </cell>
          <cell r="B94">
            <v>14.84</v>
          </cell>
        </row>
        <row r="95">
          <cell r="A95">
            <v>38827</v>
          </cell>
          <cell r="B95">
            <v>14.95</v>
          </cell>
        </row>
        <row r="96">
          <cell r="A96">
            <v>38828</v>
          </cell>
          <cell r="B96">
            <v>14.92</v>
          </cell>
        </row>
        <row r="97">
          <cell r="A97">
            <v>38831</v>
          </cell>
          <cell r="B97">
            <v>14.77</v>
          </cell>
        </row>
        <row r="98">
          <cell r="A98">
            <v>38832</v>
          </cell>
          <cell r="B98">
            <v>14.83</v>
          </cell>
        </row>
        <row r="99">
          <cell r="A99">
            <v>38833</v>
          </cell>
          <cell r="B99">
            <v>14.86</v>
          </cell>
        </row>
        <row r="100">
          <cell r="A100">
            <v>38834</v>
          </cell>
          <cell r="B100">
            <v>15.32</v>
          </cell>
        </row>
        <row r="101">
          <cell r="A101">
            <v>38835</v>
          </cell>
          <cell r="B101">
            <v>15.56</v>
          </cell>
        </row>
        <row r="102">
          <cell r="A102">
            <v>38838</v>
          </cell>
          <cell r="B102">
            <v>15.56</v>
          </cell>
        </row>
        <row r="103">
          <cell r="A103">
            <v>38839</v>
          </cell>
          <cell r="B103">
            <v>15.5</v>
          </cell>
        </row>
        <row r="104">
          <cell r="A104">
            <v>38840</v>
          </cell>
          <cell r="B104">
            <v>15.48</v>
          </cell>
        </row>
        <row r="105">
          <cell r="A105">
            <v>38841</v>
          </cell>
          <cell r="B105">
            <v>15.39</v>
          </cell>
        </row>
        <row r="106">
          <cell r="A106">
            <v>38842</v>
          </cell>
          <cell r="B106">
            <v>15.41</v>
          </cell>
        </row>
        <row r="107">
          <cell r="A107">
            <v>38845</v>
          </cell>
          <cell r="B107">
            <v>15.39</v>
          </cell>
        </row>
        <row r="108">
          <cell r="A108">
            <v>38846</v>
          </cell>
          <cell r="B108">
            <v>15.57</v>
          </cell>
        </row>
        <row r="109">
          <cell r="A109">
            <v>38847</v>
          </cell>
          <cell r="B109">
            <v>15.4</v>
          </cell>
        </row>
        <row r="110">
          <cell r="A110">
            <v>38848</v>
          </cell>
          <cell r="B110">
            <v>15.2</v>
          </cell>
        </row>
        <row r="111">
          <cell r="A111">
            <v>38849</v>
          </cell>
          <cell r="B111">
            <v>15.15</v>
          </cell>
        </row>
        <row r="112">
          <cell r="A112">
            <v>38852</v>
          </cell>
          <cell r="B112">
            <v>15.14</v>
          </cell>
        </row>
        <row r="113">
          <cell r="A113">
            <v>38853</v>
          </cell>
          <cell r="B113">
            <v>15.36</v>
          </cell>
        </row>
        <row r="114">
          <cell r="A114">
            <v>38854</v>
          </cell>
          <cell r="B114">
            <v>15.12</v>
          </cell>
        </row>
        <row r="115">
          <cell r="A115">
            <v>38855</v>
          </cell>
          <cell r="B115">
            <v>15.05</v>
          </cell>
        </row>
        <row r="116">
          <cell r="A116">
            <v>38856</v>
          </cell>
          <cell r="B116">
            <v>15.05</v>
          </cell>
        </row>
        <row r="117">
          <cell r="A117">
            <v>38859</v>
          </cell>
          <cell r="B117">
            <v>14.74</v>
          </cell>
        </row>
        <row r="118">
          <cell r="A118">
            <v>38860</v>
          </cell>
          <cell r="B118">
            <v>14.85</v>
          </cell>
        </row>
        <row r="119">
          <cell r="A119">
            <v>38861</v>
          </cell>
          <cell r="B119">
            <v>14.6</v>
          </cell>
        </row>
        <row r="120">
          <cell r="A120">
            <v>38862</v>
          </cell>
          <cell r="B120">
            <v>14.78</v>
          </cell>
        </row>
        <row r="121">
          <cell r="A121">
            <v>38863</v>
          </cell>
          <cell r="B121">
            <v>15.05</v>
          </cell>
        </row>
        <row r="122">
          <cell r="A122">
            <v>38866</v>
          </cell>
          <cell r="B122">
            <v>15.05</v>
          </cell>
        </row>
        <row r="123">
          <cell r="A123">
            <v>38867</v>
          </cell>
          <cell r="B123">
            <v>14.64</v>
          </cell>
        </row>
        <row r="124">
          <cell r="A124">
            <v>38868</v>
          </cell>
          <cell r="B124">
            <v>14.8</v>
          </cell>
        </row>
        <row r="125">
          <cell r="A125">
            <v>38869</v>
          </cell>
          <cell r="B125">
            <v>14.96</v>
          </cell>
        </row>
        <row r="126">
          <cell r="A126">
            <v>38870</v>
          </cell>
          <cell r="B126">
            <v>14.83</v>
          </cell>
        </row>
        <row r="127">
          <cell r="A127">
            <v>38873</v>
          </cell>
          <cell r="B127">
            <v>14.94</v>
          </cell>
        </row>
        <row r="128">
          <cell r="A128">
            <v>38874</v>
          </cell>
          <cell r="B128">
            <v>14.88</v>
          </cell>
        </row>
        <row r="129">
          <cell r="A129">
            <v>38875</v>
          </cell>
          <cell r="B129">
            <v>15.17</v>
          </cell>
        </row>
        <row r="130">
          <cell r="A130">
            <v>38876</v>
          </cell>
          <cell r="B130">
            <v>14.89</v>
          </cell>
        </row>
        <row r="131">
          <cell r="A131">
            <v>38877</v>
          </cell>
          <cell r="B131">
            <v>14.9</v>
          </cell>
        </row>
        <row r="132">
          <cell r="A132">
            <v>38880</v>
          </cell>
          <cell r="B132">
            <v>14.8</v>
          </cell>
        </row>
        <row r="133">
          <cell r="A133">
            <v>38881</v>
          </cell>
          <cell r="B133">
            <v>14.79</v>
          </cell>
        </row>
        <row r="134">
          <cell r="A134">
            <v>38882</v>
          </cell>
          <cell r="B134">
            <v>14.74</v>
          </cell>
        </row>
        <row r="135">
          <cell r="A135">
            <v>38883</v>
          </cell>
          <cell r="B135">
            <v>14.58</v>
          </cell>
        </row>
        <row r="136">
          <cell r="A136">
            <v>38884</v>
          </cell>
          <cell r="B136">
            <v>14.55</v>
          </cell>
        </row>
        <row r="137">
          <cell r="A137">
            <v>38887</v>
          </cell>
          <cell r="B137">
            <v>14.65</v>
          </cell>
        </row>
        <row r="138">
          <cell r="A138">
            <v>38888</v>
          </cell>
          <cell r="B138">
            <v>14.82</v>
          </cell>
        </row>
        <row r="139">
          <cell r="A139">
            <v>38889</v>
          </cell>
          <cell r="B139">
            <v>14.92</v>
          </cell>
        </row>
        <row r="140">
          <cell r="A140">
            <v>38890</v>
          </cell>
          <cell r="B140">
            <v>14.87</v>
          </cell>
        </row>
        <row r="141">
          <cell r="A141">
            <v>38891</v>
          </cell>
          <cell r="B141">
            <v>14.86</v>
          </cell>
        </row>
        <row r="142">
          <cell r="A142">
            <v>38894</v>
          </cell>
          <cell r="B142">
            <v>14.74</v>
          </cell>
        </row>
        <row r="143">
          <cell r="A143">
            <v>38895</v>
          </cell>
          <cell r="B143">
            <v>14.64</v>
          </cell>
        </row>
        <row r="144">
          <cell r="A144">
            <v>38896</v>
          </cell>
          <cell r="B144">
            <v>14.67</v>
          </cell>
        </row>
        <row r="145">
          <cell r="A145">
            <v>38897</v>
          </cell>
          <cell r="B145">
            <v>15</v>
          </cell>
        </row>
        <row r="146">
          <cell r="A146">
            <v>38898</v>
          </cell>
          <cell r="B146">
            <v>15.11</v>
          </cell>
        </row>
        <row r="147">
          <cell r="A147">
            <v>38901</v>
          </cell>
          <cell r="B147">
            <v>15.21</v>
          </cell>
        </row>
        <row r="148">
          <cell r="A148">
            <v>38902</v>
          </cell>
          <cell r="B148">
            <v>15.06</v>
          </cell>
        </row>
        <row r="149">
          <cell r="A149">
            <v>38903</v>
          </cell>
          <cell r="B149">
            <v>15.1</v>
          </cell>
        </row>
        <row r="150">
          <cell r="A150">
            <v>38904</v>
          </cell>
          <cell r="B150">
            <v>15.37</v>
          </cell>
        </row>
        <row r="151">
          <cell r="A151">
            <v>38905</v>
          </cell>
        </row>
        <row r="152">
          <cell r="A152">
            <v>38906</v>
          </cell>
        </row>
        <row r="153">
          <cell r="A153">
            <v>38907</v>
          </cell>
        </row>
        <row r="154">
          <cell r="A154">
            <v>38908</v>
          </cell>
        </row>
        <row r="155">
          <cell r="A155">
            <v>38909</v>
          </cell>
        </row>
        <row r="156">
          <cell r="A156">
            <v>38910</v>
          </cell>
        </row>
        <row r="157">
          <cell r="A157">
            <v>38911</v>
          </cell>
        </row>
        <row r="158">
          <cell r="A158">
            <v>38912</v>
          </cell>
        </row>
        <row r="159">
          <cell r="A159">
            <v>38913</v>
          </cell>
        </row>
        <row r="160">
          <cell r="A160">
            <v>38914</v>
          </cell>
        </row>
        <row r="161">
          <cell r="A161">
            <v>38915</v>
          </cell>
        </row>
        <row r="162">
          <cell r="A162">
            <v>38916</v>
          </cell>
        </row>
        <row r="163">
          <cell r="A163">
            <v>38917</v>
          </cell>
        </row>
        <row r="164">
          <cell r="A164">
            <v>38918</v>
          </cell>
        </row>
        <row r="165">
          <cell r="A165">
            <v>38919</v>
          </cell>
        </row>
        <row r="166">
          <cell r="A166">
            <v>38920</v>
          </cell>
        </row>
        <row r="167">
          <cell r="A167">
            <v>38921</v>
          </cell>
        </row>
        <row r="168">
          <cell r="A168">
            <v>38922</v>
          </cell>
        </row>
        <row r="169">
          <cell r="A169">
            <v>38923</v>
          </cell>
        </row>
        <row r="170">
          <cell r="A170">
            <v>38924</v>
          </cell>
        </row>
        <row r="171">
          <cell r="A171">
            <v>38925</v>
          </cell>
        </row>
        <row r="172">
          <cell r="A172">
            <v>38926</v>
          </cell>
        </row>
        <row r="173">
          <cell r="A173">
            <v>38927</v>
          </cell>
        </row>
        <row r="174">
          <cell r="A174">
            <v>38928</v>
          </cell>
        </row>
        <row r="175">
          <cell r="A175">
            <v>38929</v>
          </cell>
        </row>
        <row r="176">
          <cell r="A176">
            <v>38930</v>
          </cell>
        </row>
        <row r="177">
          <cell r="A177">
            <v>38931</v>
          </cell>
        </row>
        <row r="178">
          <cell r="A178">
            <v>38932</v>
          </cell>
        </row>
        <row r="179">
          <cell r="A179">
            <v>38933</v>
          </cell>
        </row>
        <row r="180">
          <cell r="A180">
            <v>38934</v>
          </cell>
        </row>
        <row r="181">
          <cell r="A181">
            <v>38935</v>
          </cell>
        </row>
        <row r="182">
          <cell r="A182">
            <v>38936</v>
          </cell>
        </row>
        <row r="183">
          <cell r="A183">
            <v>38937</v>
          </cell>
        </row>
        <row r="184">
          <cell r="A184">
            <v>38938</v>
          </cell>
        </row>
        <row r="185">
          <cell r="A185">
            <v>38939</v>
          </cell>
        </row>
        <row r="186">
          <cell r="A186">
            <v>38940</v>
          </cell>
        </row>
        <row r="187">
          <cell r="A187">
            <v>38941</v>
          </cell>
        </row>
        <row r="188">
          <cell r="A188">
            <v>38942</v>
          </cell>
        </row>
        <row r="189">
          <cell r="A189">
            <v>38943</v>
          </cell>
        </row>
        <row r="190">
          <cell r="A190">
            <v>38944</v>
          </cell>
        </row>
        <row r="191">
          <cell r="A191">
            <v>38945</v>
          </cell>
        </row>
        <row r="192">
          <cell r="A192">
            <v>38946</v>
          </cell>
        </row>
        <row r="193">
          <cell r="A193">
            <v>38947</v>
          </cell>
        </row>
        <row r="194">
          <cell r="A194">
            <v>38948</v>
          </cell>
        </row>
        <row r="195">
          <cell r="A195">
            <v>38949</v>
          </cell>
        </row>
        <row r="196">
          <cell r="A196">
            <v>38950</v>
          </cell>
        </row>
        <row r="197">
          <cell r="A197">
            <v>38951</v>
          </cell>
        </row>
        <row r="198">
          <cell r="A198">
            <v>38952</v>
          </cell>
        </row>
        <row r="199">
          <cell r="A199">
            <v>38953</v>
          </cell>
        </row>
        <row r="200">
          <cell r="A200">
            <v>38954</v>
          </cell>
        </row>
        <row r="201">
          <cell r="A201">
            <v>38955</v>
          </cell>
        </row>
        <row r="202">
          <cell r="A202">
            <v>38956</v>
          </cell>
        </row>
        <row r="203">
          <cell r="A203">
            <v>38957</v>
          </cell>
        </row>
        <row r="204">
          <cell r="A204">
            <v>38958</v>
          </cell>
        </row>
        <row r="205">
          <cell r="A205">
            <v>38959</v>
          </cell>
        </row>
        <row r="206">
          <cell r="A206">
            <v>38960</v>
          </cell>
        </row>
        <row r="207">
          <cell r="A207">
            <v>38961</v>
          </cell>
        </row>
        <row r="208">
          <cell r="A208">
            <v>38962</v>
          </cell>
        </row>
        <row r="209">
          <cell r="A209">
            <v>38963</v>
          </cell>
        </row>
        <row r="210">
          <cell r="A210">
            <v>38964</v>
          </cell>
        </row>
        <row r="211">
          <cell r="A211">
            <v>38965</v>
          </cell>
        </row>
        <row r="212">
          <cell r="A212">
            <v>38966</v>
          </cell>
        </row>
        <row r="213">
          <cell r="A213">
            <v>38967</v>
          </cell>
        </row>
        <row r="214">
          <cell r="A214">
            <v>38968</v>
          </cell>
        </row>
        <row r="215">
          <cell r="A215">
            <v>38969</v>
          </cell>
        </row>
        <row r="216">
          <cell r="A216">
            <v>38970</v>
          </cell>
        </row>
        <row r="217">
          <cell r="A217">
            <v>38971</v>
          </cell>
        </row>
        <row r="218">
          <cell r="A218">
            <v>38972</v>
          </cell>
        </row>
        <row r="219">
          <cell r="A219">
            <v>38973</v>
          </cell>
        </row>
        <row r="220">
          <cell r="A220">
            <v>38974</v>
          </cell>
        </row>
        <row r="221">
          <cell r="A221">
            <v>38975</v>
          </cell>
        </row>
        <row r="222">
          <cell r="A222">
            <v>38976</v>
          </cell>
        </row>
        <row r="223">
          <cell r="A223">
            <v>38977</v>
          </cell>
        </row>
        <row r="224">
          <cell r="A224">
            <v>38978</v>
          </cell>
        </row>
        <row r="225">
          <cell r="A225">
            <v>38979</v>
          </cell>
        </row>
      </sheetData>
      <sheetData sheetId="1" refreshError="1"/>
      <sheetData sheetId="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Changes to model"/>
      <sheetName val="MW-Cache"/>
      <sheetName val="__FDSCACHE__"/>
      <sheetName val="Tables"/>
      <sheetName val="Scenarios"/>
      <sheetName val="MW Valuation"/>
      <sheetName val="DCF new"/>
      <sheetName val="SOTP"/>
      <sheetName val="Yrly Sales"/>
      <sheetName val="NOVN Snapshot"/>
      <sheetName val="Qrtly Sales"/>
      <sheetName val="BullBear"/>
      <sheetName val="R3020"/>
      <sheetName val="Pipeline_Patents Chart"/>
      <sheetName val="Guidance"/>
      <sheetName val="Pipeline_new"/>
      <sheetName val="PPC - hard coded"/>
      <sheetName val="Pipeline"/>
      <sheetName val=" Qrtly P&amp;L"/>
      <sheetName val="FX"/>
      <sheetName val="Annual P&amp;L"/>
      <sheetName val="Div P&amp;L"/>
      <sheetName val="Div SOP"/>
      <sheetName val="BalanceSheet"/>
      <sheetName val="CashFlow"/>
      <sheetName val="Pensions"/>
      <sheetName val="Page 3"/>
      <sheetName val="Gross Margin"/>
      <sheetName val="Trial data summary"/>
      <sheetName val="MWA RR_NOVN.VX"/>
      <sheetName val="Galvus"/>
      <sheetName val="Telbivudine"/>
      <sheetName val="mwareTaxoPres"/>
      <sheetName val="mwareDates"/>
      <sheetName val="mwareSettings"/>
      <sheetName val="DCF"/>
      <sheetName val="SNAPSHOT"/>
      <sheetName val="Alcon"/>
      <sheetName val="Alcon P&amp;L Pro Form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row r="2">
          <cell r="A2" t="str">
            <v>NOVARTIS</v>
          </cell>
        </row>
        <row r="3">
          <cell r="A3" t="str">
            <v>Annual Income Statement</v>
          </cell>
          <cell r="L3" t="str">
            <v>Morgan Stanley Equity Research: Pharmaceuticals</v>
          </cell>
        </row>
        <row r="4">
          <cell r="A4" t="str">
            <v>USD mlns except per share data</v>
          </cell>
          <cell r="B4">
            <v>2005</v>
          </cell>
          <cell r="C4">
            <v>2006</v>
          </cell>
          <cell r="D4">
            <v>2007</v>
          </cell>
          <cell r="E4">
            <v>2008</v>
          </cell>
          <cell r="F4">
            <v>2009</v>
          </cell>
          <cell r="G4">
            <v>2010</v>
          </cell>
          <cell r="H4">
            <v>2011</v>
          </cell>
          <cell r="I4">
            <v>2012</v>
          </cell>
          <cell r="J4">
            <v>2013</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cell r="V4" t="str">
            <v>2015-18 CAGR</v>
          </cell>
          <cell r="W4" t="str">
            <v>2015-20 CAGR</v>
          </cell>
        </row>
        <row r="6">
          <cell r="A6" t="str">
            <v>Total Sales</v>
          </cell>
          <cell r="B6">
            <v>31005</v>
          </cell>
          <cell r="C6">
            <v>34393</v>
          </cell>
          <cell r="D6">
            <v>38072</v>
          </cell>
          <cell r="E6">
            <v>41459</v>
          </cell>
          <cell r="F6">
            <v>44267</v>
          </cell>
          <cell r="G6">
            <v>50624</v>
          </cell>
          <cell r="H6">
            <v>58566</v>
          </cell>
          <cell r="I6">
            <v>56673</v>
          </cell>
          <cell r="J6">
            <v>57920</v>
          </cell>
          <cell r="K6">
            <v>58559.887181436243</v>
          </cell>
          <cell r="L6">
            <v>59719.95781922061</v>
          </cell>
          <cell r="M6">
            <v>61575.994240764929</v>
          </cell>
          <cell r="N6">
            <v>63603.692398794992</v>
          </cell>
          <cell r="O6">
            <v>65871.87057688988</v>
          </cell>
          <cell r="P6">
            <v>66027.478310696941</v>
          </cell>
          <cell r="Q6">
            <v>66217.437311121044</v>
          </cell>
          <cell r="R6">
            <v>66852.823493613934</v>
          </cell>
          <cell r="S6">
            <v>67178.845389415088</v>
          </cell>
          <cell r="T6">
            <v>68174.832077876126</v>
          </cell>
          <cell r="U6">
            <v>67162.221267745888</v>
          </cell>
          <cell r="V6">
            <v>3.3221658571338075E-2</v>
          </cell>
          <cell r="W6">
            <v>2.0870314583752325E-2</v>
          </cell>
        </row>
        <row r="7">
          <cell r="A7" t="str">
            <v>Other revenue</v>
          </cell>
          <cell r="B7">
            <v>314</v>
          </cell>
          <cell r="C7">
            <v>712</v>
          </cell>
          <cell r="D7">
            <v>875</v>
          </cell>
          <cell r="E7">
            <v>1125</v>
          </cell>
          <cell r="F7">
            <v>836</v>
          </cell>
          <cell r="G7">
            <v>937</v>
          </cell>
          <cell r="H7">
            <v>809</v>
          </cell>
          <cell r="I7">
            <v>832</v>
          </cell>
          <cell r="J7">
            <v>911</v>
          </cell>
          <cell r="K7">
            <v>848.40174944148839</v>
          </cell>
          <cell r="L7">
            <v>849.47763930808674</v>
          </cell>
          <cell r="M7">
            <v>862.22202241923537</v>
          </cell>
          <cell r="N7">
            <v>878.92814273548606</v>
          </cell>
          <cell r="O7">
            <v>899.74657130271589</v>
          </cell>
          <cell r="P7">
            <v>886.71585511616365</v>
          </cell>
          <cell r="Q7">
            <v>873.32909046493683</v>
          </cell>
          <cell r="R7">
            <v>866.47450940693534</v>
          </cell>
          <cell r="S7">
            <v>854.5948478124883</v>
          </cell>
          <cell r="T7">
            <v>852.14157247700291</v>
          </cell>
          <cell r="U7">
            <v>822.97193846858568</v>
          </cell>
        </row>
        <row r="9">
          <cell r="A9" t="str">
            <v>Core COGS</v>
          </cell>
          <cell r="B9">
            <v>-8259</v>
          </cell>
          <cell r="C9">
            <v>-9411</v>
          </cell>
          <cell r="D9">
            <v>-11032</v>
          </cell>
          <cell r="E9">
            <v>-11439</v>
          </cell>
          <cell r="F9">
            <v>-12179</v>
          </cell>
          <cell r="G9">
            <v>-14488</v>
          </cell>
          <cell r="H9">
            <v>-15609</v>
          </cell>
          <cell r="I9">
            <v>-15658</v>
          </cell>
          <cell r="J9">
            <v>-16673</v>
          </cell>
          <cell r="K9">
            <v>-16648.991820842533</v>
          </cell>
          <cell r="L9">
            <v>-17014.592294472925</v>
          </cell>
          <cell r="M9">
            <v>-17538.062920815337</v>
          </cell>
          <cell r="N9">
            <v>-18076.713623976404</v>
          </cell>
          <cell r="O9">
            <v>-18648.718805107561</v>
          </cell>
          <cell r="P9">
            <v>-19081.518078436788</v>
          </cell>
          <cell r="Q9">
            <v>-19518.897755052159</v>
          </cell>
          <cell r="R9">
            <v>-20071.905747729525</v>
          </cell>
          <cell r="S9">
            <v>-20578.476807958188</v>
          </cell>
          <cell r="T9">
            <v>-21760.791358031129</v>
          </cell>
          <cell r="U9">
            <v>-22136.673594004187</v>
          </cell>
        </row>
        <row r="11">
          <cell r="A11" t="str">
            <v>Core Gross Profit</v>
          </cell>
          <cell r="B11">
            <v>23060</v>
          </cell>
          <cell r="C11">
            <v>25694</v>
          </cell>
          <cell r="D11">
            <v>27915</v>
          </cell>
          <cell r="E11">
            <v>31145</v>
          </cell>
          <cell r="F11">
            <v>32924</v>
          </cell>
          <cell r="G11">
            <v>37073</v>
          </cell>
          <cell r="H11">
            <v>43766</v>
          </cell>
          <cell r="I11">
            <v>41847</v>
          </cell>
          <cell r="J11">
            <v>42158</v>
          </cell>
          <cell r="K11">
            <v>42759.297110035201</v>
          </cell>
          <cell r="L11">
            <v>43554.843164055776</v>
          </cell>
          <cell r="M11">
            <v>44900.153342368831</v>
          </cell>
          <cell r="N11">
            <v>46405.906917554079</v>
          </cell>
          <cell r="O11">
            <v>48122.898343085035</v>
          </cell>
          <cell r="P11">
            <v>47832.67608737632</v>
          </cell>
          <cell r="Q11">
            <v>47571.868646533825</v>
          </cell>
          <cell r="R11">
            <v>47647.392255291343</v>
          </cell>
          <cell r="S11">
            <v>47454.963429269395</v>
          </cell>
          <cell r="T11">
            <v>47266.182292322002</v>
          </cell>
          <cell r="U11">
            <v>45848.519612210293</v>
          </cell>
          <cell r="V11">
            <v>3.380455325418219E-2</v>
          </cell>
          <cell r="W11">
            <v>1.780071438475006E-2</v>
          </cell>
        </row>
        <row r="12">
          <cell r="A12" t="str">
            <v>Gross Margin %</v>
          </cell>
          <cell r="B12">
            <v>0.74375100790195126</v>
          </cell>
          <cell r="C12">
            <v>0.74707062483644926</v>
          </cell>
          <cell r="D12">
            <v>0.73321601176717799</v>
          </cell>
          <cell r="E12">
            <v>0.75122410091898018</v>
          </cell>
          <cell r="F12">
            <v>0.74375945964262313</v>
          </cell>
          <cell r="G12">
            <v>0.73232063843236406</v>
          </cell>
          <cell r="H12">
            <v>0.74729365160673433</v>
          </cell>
          <cell r="I12">
            <v>0.73839394420623572</v>
          </cell>
          <cell r="J12">
            <v>0.72786602209944751</v>
          </cell>
          <cell r="K12">
            <v>0.73018066065520182</v>
          </cell>
          <cell r="L12">
            <v>0.72931804968619451</v>
          </cell>
          <cell r="M12">
            <v>0.72918275857320625</v>
          </cell>
          <cell r="N12">
            <v>0.72961026580955646</v>
          </cell>
          <cell r="O12">
            <v>0.73055308619045356</v>
          </cell>
          <cell r="P12">
            <v>0.7244359062494603</v>
          </cell>
          <cell r="Q12">
            <v>0.71841905362508274</v>
          </cell>
          <cell r="R12">
            <v>0.7127207164233359</v>
          </cell>
          <cell r="S12">
            <v>0.70639742547207507</v>
          </cell>
          <cell r="T12">
            <v>0.69330837864521366</v>
          </cell>
          <cell r="U12">
            <v>0.68265341358250564</v>
          </cell>
        </row>
        <row r="14">
          <cell r="A14" t="str">
            <v>Core Marketing, &amp; Distribution</v>
          </cell>
          <cell r="B14">
            <v>-9397</v>
          </cell>
          <cell r="C14">
            <v>-10092</v>
          </cell>
          <cell r="D14">
            <v>-11126</v>
          </cell>
          <cell r="E14">
            <v>-11852</v>
          </cell>
          <cell r="F14">
            <v>-12050</v>
          </cell>
          <cell r="G14">
            <v>-13316</v>
          </cell>
          <cell r="H14">
            <v>-15079</v>
          </cell>
          <cell r="I14">
            <v>-14352</v>
          </cell>
          <cell r="J14">
            <v>-14522</v>
          </cell>
          <cell r="K14">
            <v>-14849.202901260007</v>
          </cell>
          <cell r="L14">
            <v>-14985.17007006723</v>
          </cell>
          <cell r="M14">
            <v>-15352.903300880045</v>
          </cell>
          <cell r="N14">
            <v>-15745.60299925071</v>
          </cell>
          <cell r="O14">
            <v>-16251.725985724774</v>
          </cell>
          <cell r="P14">
            <v>-16192.693051773567</v>
          </cell>
          <cell r="Q14">
            <v>-16309.113877387299</v>
          </cell>
          <cell r="R14">
            <v>-16219.18229836874</v>
          </cell>
          <cell r="S14">
            <v>-16088.492999540906</v>
          </cell>
          <cell r="T14">
            <v>-16131.747504031347</v>
          </cell>
          <cell r="U14">
            <v>-15635.123150576392</v>
          </cell>
        </row>
        <row r="15">
          <cell r="A15" t="str">
            <v>M&amp;D (% of Sales)</v>
          </cell>
          <cell r="B15">
            <v>0.30308014836316721</v>
          </cell>
          <cell r="C15">
            <v>0.29343180298316518</v>
          </cell>
          <cell r="D15">
            <v>0.2922357638159277</v>
          </cell>
          <cell r="E15">
            <v>0.28587278998528665</v>
          </cell>
          <cell r="F15">
            <v>0.27221180563399372</v>
          </cell>
          <cell r="G15">
            <v>0.26303729456384323</v>
          </cell>
          <cell r="H15">
            <v>0.25747020455554415</v>
          </cell>
          <cell r="I15">
            <v>0.25324228468582921</v>
          </cell>
          <cell r="J15">
            <v>0.25072513812154695</v>
          </cell>
          <cell r="K15">
            <v>0.25357294243502698</v>
          </cell>
          <cell r="L15">
            <v>0.25092398952171258</v>
          </cell>
          <cell r="M15">
            <v>0.24933260908219357</v>
          </cell>
          <cell r="N15">
            <v>0.24755800182992238</v>
          </cell>
          <cell r="O15">
            <v>0.24671723822924863</v>
          </cell>
          <cell r="P15">
            <v>0.24524173065610216</v>
          </cell>
          <cell r="Q15">
            <v>0.24629636149703768</v>
          </cell>
          <cell r="R15">
            <v>0.2426102810738886</v>
          </cell>
          <cell r="S15">
            <v>0.23948748904928127</v>
          </cell>
          <cell r="T15">
            <v>0.23662320848262669</v>
          </cell>
          <cell r="U15">
            <v>0.23279639737116664</v>
          </cell>
        </row>
        <row r="16">
          <cell r="A16" t="str">
            <v>Core R&amp;D</v>
          </cell>
          <cell r="B16">
            <v>-4825</v>
          </cell>
          <cell r="C16">
            <v>-5321</v>
          </cell>
          <cell r="D16">
            <v>-6430</v>
          </cell>
          <cell r="E16">
            <v>-7217</v>
          </cell>
          <cell r="F16">
            <v>-7469</v>
          </cell>
          <cell r="G16">
            <v>-9070</v>
          </cell>
          <cell r="H16">
            <v>-9243</v>
          </cell>
          <cell r="I16">
            <v>-9116</v>
          </cell>
          <cell r="J16">
            <v>-9642</v>
          </cell>
          <cell r="K16">
            <v>-10039.196046906174</v>
          </cell>
          <cell r="L16">
            <v>-10172.899934296271</v>
          </cell>
          <cell r="M16">
            <v>-10596.876308969533</v>
          </cell>
          <cell r="N16">
            <v>-10949.90996475961</v>
          </cell>
          <cell r="O16">
            <v>-11286.100887263237</v>
          </cell>
          <cell r="P16">
            <v>-11473.170728853012</v>
          </cell>
          <cell r="Q16">
            <v>-11657.031293434142</v>
          </cell>
          <cell r="R16">
            <v>-11396.418424511694</v>
          </cell>
          <cell r="S16">
            <v>-11124.160514853811</v>
          </cell>
          <cell r="T16">
            <v>-11038.693949345905</v>
          </cell>
          <cell r="U16">
            <v>-9674.4693811335092</v>
          </cell>
        </row>
        <row r="17">
          <cell r="A17" t="str">
            <v>R&amp;D (% of Sales)</v>
          </cell>
          <cell r="B17">
            <v>0.15562006128043865</v>
          </cell>
          <cell r="C17">
            <v>0.1547117145930858</v>
          </cell>
          <cell r="D17">
            <v>0.1688905232191637</v>
          </cell>
          <cell r="E17">
            <v>0.17407559275428736</v>
          </cell>
          <cell r="F17">
            <v>0.16872613911039827</v>
          </cell>
          <cell r="G17">
            <v>0.17916403286978508</v>
          </cell>
          <cell r="H17">
            <v>0.15782194447290238</v>
          </cell>
          <cell r="I17">
            <v>0.16085261059058106</v>
          </cell>
          <cell r="J17">
            <v>0.16647099447513813</v>
          </cell>
          <cell r="K17">
            <v>0.17143468900139286</v>
          </cell>
          <cell r="L17">
            <v>0.17034338780162644</v>
          </cell>
          <cell r="M17">
            <v>0.17209427861668405</v>
          </cell>
          <cell r="N17">
            <v>0.17215840074352448</v>
          </cell>
          <cell r="O17">
            <v>0.17133414898381208</v>
          </cell>
          <cell r="P17">
            <v>0.17376357574743656</v>
          </cell>
          <cell r="Q17">
            <v>0.17604171600093582</v>
          </cell>
          <cell r="R17">
            <v>0.17047026331805309</v>
          </cell>
          <cell r="S17">
            <v>0.16559023082892355</v>
          </cell>
          <cell r="T17">
            <v>0.1619174351135387</v>
          </cell>
          <cell r="U17">
            <v>0.14404629862621288</v>
          </cell>
        </row>
        <row r="18">
          <cell r="A18" t="str">
            <v>Core General &amp; Administrative</v>
          </cell>
          <cell r="B18">
            <v>-1681</v>
          </cell>
          <cell r="C18">
            <v>-1882</v>
          </cell>
          <cell r="D18">
            <v>-2133</v>
          </cell>
          <cell r="E18">
            <v>-2245</v>
          </cell>
          <cell r="F18">
            <v>-2281</v>
          </cell>
          <cell r="G18">
            <v>-2481</v>
          </cell>
          <cell r="H18">
            <v>-2957</v>
          </cell>
          <cell r="I18">
            <v>-2923</v>
          </cell>
          <cell r="J18">
            <v>-3035</v>
          </cell>
          <cell r="K18">
            <v>-3055.9240891450081</v>
          </cell>
          <cell r="L18">
            <v>-3099.1383201232552</v>
          </cell>
          <cell r="M18">
            <v>-3162.2367505521875</v>
          </cell>
          <cell r="N18">
            <v>-3232.3398276125267</v>
          </cell>
          <cell r="O18">
            <v>-3301.9292244935114</v>
          </cell>
          <cell r="P18">
            <v>-3290.3660918810765</v>
          </cell>
          <cell r="Q18">
            <v>-3316.5000499124494</v>
          </cell>
          <cell r="R18">
            <v>-3330.9654424297232</v>
          </cell>
          <cell r="S18">
            <v>-3342.2814687199043</v>
          </cell>
          <cell r="T18">
            <v>-3378.4743262429247</v>
          </cell>
          <cell r="U18">
            <v>-3314.7183490732232</v>
          </cell>
        </row>
        <row r="19">
          <cell r="A19" t="str">
            <v>G&amp;A (% of Sales)</v>
          </cell>
          <cell r="B19">
            <v>5.4217061764231578E-2</v>
          </cell>
          <cell r="C19">
            <v>5.472043729828744E-2</v>
          </cell>
          <cell r="D19">
            <v>5.6025425509560835E-2</v>
          </cell>
          <cell r="E19">
            <v>5.4149883016956508E-2</v>
          </cell>
          <cell r="F19">
            <v>5.1528226444077979E-2</v>
          </cell>
          <cell r="G19">
            <v>4.9008375474083439E-2</v>
          </cell>
          <cell r="H19">
            <v>5.04900454188437E-2</v>
          </cell>
          <cell r="I19">
            <v>5.1576588498932471E-2</v>
          </cell>
          <cell r="J19">
            <v>5.2399861878453038E-2</v>
          </cell>
          <cell r="K19">
            <v>5.2184596593856658E-2</v>
          </cell>
          <cell r="L19">
            <v>5.1894516226965767E-2</v>
          </cell>
          <cell r="M19">
            <v>5.135502543714842E-2</v>
          </cell>
          <cell r="N19">
            <v>5.0820002828542786E-2</v>
          </cell>
          <cell r="O19">
            <v>5.0126544085905188E-2</v>
          </cell>
          <cell r="P19">
            <v>4.9833284203252885E-2</v>
          </cell>
          <cell r="Q19">
            <v>5.0084995502467929E-2</v>
          </cell>
          <cell r="R19">
            <v>4.982535169584739E-2</v>
          </cell>
          <cell r="S19">
            <v>4.9751993344716292E-2</v>
          </cell>
          <cell r="T19">
            <v>4.9556034437806797E-2</v>
          </cell>
          <cell r="U19">
            <v>4.9353911864512587E-2</v>
          </cell>
        </row>
        <row r="20">
          <cell r="A20" t="str">
            <v>Core Other income and expense</v>
          </cell>
          <cell r="B20">
            <v>-355</v>
          </cell>
          <cell r="C20">
            <v>-757</v>
          </cell>
          <cell r="D20">
            <v>-1445</v>
          </cell>
          <cell r="E20">
            <v>-867</v>
          </cell>
          <cell r="F20">
            <v>-1142</v>
          </cell>
          <cell r="G20">
            <v>-680</v>
          </cell>
          <cell r="H20">
            <v>-578</v>
          </cell>
          <cell r="I20">
            <v>-614</v>
          </cell>
          <cell r="J20">
            <v>-474</v>
          </cell>
          <cell r="K20">
            <v>-362.57093231182193</v>
          </cell>
          <cell r="L20">
            <v>-397.4330445601455</v>
          </cell>
          <cell r="M20">
            <v>-439.99658877949639</v>
          </cell>
          <cell r="N20">
            <v>-485.53298174760539</v>
          </cell>
          <cell r="O20">
            <v>-536.18234103027521</v>
          </cell>
          <cell r="P20">
            <v>-586.98938382636038</v>
          </cell>
          <cell r="Q20">
            <v>-643.49517100017056</v>
          </cell>
          <cell r="R20">
            <v>-707.14285373002986</v>
          </cell>
          <cell r="S20">
            <v>-776.60143685689002</v>
          </cell>
          <cell r="T20">
            <v>-854.94368905892702</v>
          </cell>
          <cell r="U20">
            <v>-937.45927506260045</v>
          </cell>
        </row>
        <row r="21">
          <cell r="F21">
            <v>0.32374003207807167</v>
          </cell>
          <cell r="G21">
            <v>0.31204567003792666</v>
          </cell>
          <cell r="H21">
            <v>0.30796024997438787</v>
          </cell>
          <cell r="I21">
            <v>0.3048188731847617</v>
          </cell>
          <cell r="J21">
            <v>0.30312499999999998</v>
          </cell>
          <cell r="K21">
            <v>0.30575753902888364</v>
          </cell>
          <cell r="L21">
            <v>0.30281850574867836</v>
          </cell>
          <cell r="M21">
            <v>0.300687634519342</v>
          </cell>
          <cell r="N21">
            <v>0.29837800465846515</v>
          </cell>
          <cell r="O21">
            <v>0.29684378231515379</v>
          </cell>
          <cell r="P21">
            <v>0.29507501485935506</v>
          </cell>
          <cell r="Q21">
            <v>0.29638135699950563</v>
          </cell>
          <cell r="R21">
            <v>0.292435632769736</v>
          </cell>
          <cell r="S21">
            <v>0.28923948239399755</v>
          </cell>
          <cell r="T21">
            <v>0.28617924292043351</v>
          </cell>
          <cell r="U21">
            <v>0.28215030923567924</v>
          </cell>
        </row>
        <row r="22">
          <cell r="A22" t="str">
            <v>Core operating profit</v>
          </cell>
          <cell r="B22">
            <v>6802</v>
          </cell>
          <cell r="C22">
            <v>7642</v>
          </cell>
          <cell r="D22">
            <v>6781</v>
          </cell>
          <cell r="E22">
            <v>8964</v>
          </cell>
          <cell r="F22">
            <v>9982</v>
          </cell>
          <cell r="G22">
            <v>11526</v>
          </cell>
          <cell r="H22">
            <v>15909</v>
          </cell>
          <cell r="I22">
            <v>14842</v>
          </cell>
          <cell r="J22">
            <v>14485</v>
          </cell>
          <cell r="K22">
            <v>14452.403140412192</v>
          </cell>
          <cell r="L22">
            <v>14900.201795008874</v>
          </cell>
          <cell r="M22">
            <v>15348.140393187568</v>
          </cell>
          <cell r="N22">
            <v>15992.521144183629</v>
          </cell>
          <cell r="O22">
            <v>16746.959904573239</v>
          </cell>
          <cell r="P22">
            <v>16289.456831042306</v>
          </cell>
          <cell r="Q22">
            <v>15645.728254799764</v>
          </cell>
          <cell r="R22">
            <v>15993.683236251156</v>
          </cell>
          <cell r="S22">
            <v>16123.42700929788</v>
          </cell>
          <cell r="T22">
            <v>15862.322823642899</v>
          </cell>
          <cell r="U22">
            <v>16286.749456364567</v>
          </cell>
        </row>
        <row r="23">
          <cell r="A23" t="str">
            <v>Operating Margin %</v>
          </cell>
          <cell r="B23">
            <v>0.21938397032736656</v>
          </cell>
          <cell r="C23">
            <v>0.22219637716977292</v>
          </cell>
          <cell r="D23">
            <v>0.17810989703719268</v>
          </cell>
          <cell r="E23">
            <v>0.21621360862538894</v>
          </cell>
          <cell r="F23">
            <v>0.22549528994510584</v>
          </cell>
          <cell r="G23">
            <v>0.22767857142857142</v>
          </cell>
          <cell r="H23">
            <v>0.27164224976949081</v>
          </cell>
          <cell r="I23">
            <v>0.26188837718137387</v>
          </cell>
          <cell r="J23">
            <v>0.25008632596685082</v>
          </cell>
          <cell r="K23">
            <v>0.24679697718054469</v>
          </cell>
          <cell r="L23">
            <v>0.24950121097060302</v>
          </cell>
          <cell r="M23">
            <v>0.24925525900849679</v>
          </cell>
          <cell r="N23">
            <v>0.25144013721578556</v>
          </cell>
          <cell r="O23">
            <v>0.25423537783134775</v>
          </cell>
          <cell r="P23">
            <v>0.24670723837719685</v>
          </cell>
          <cell r="Q23">
            <v>0.23627806949533073</v>
          </cell>
          <cell r="R23">
            <v>0.23923721393426173</v>
          </cell>
          <cell r="S23">
            <v>0.24000750408607557</v>
          </cell>
          <cell r="T23">
            <v>0.23267124157377261</v>
          </cell>
          <cell r="U23">
            <v>0.24249867185655674</v>
          </cell>
        </row>
        <row r="25">
          <cell r="A25" t="str">
            <v>Reported Operating Profit</v>
          </cell>
          <cell r="F25">
            <v>11437</v>
          </cell>
          <cell r="G25">
            <v>14006</v>
          </cell>
          <cell r="H25">
            <v>10998</v>
          </cell>
          <cell r="I25">
            <v>11193</v>
          </cell>
          <cell r="J25">
            <v>10910</v>
          </cell>
          <cell r="K25">
            <v>12550.203140412192</v>
          </cell>
          <cell r="L25">
            <v>12056.791795008874</v>
          </cell>
          <cell r="M25">
            <v>12504.509893187569</v>
          </cell>
          <cell r="N25">
            <v>13148.659119183629</v>
          </cell>
          <cell r="O25">
            <v>13902.854778323239</v>
          </cell>
          <cell r="P25">
            <v>13445.096448479806</v>
          </cell>
          <cell r="Q25">
            <v>12801.099853109139</v>
          </cell>
          <cell r="R25">
            <v>13148.773414476</v>
          </cell>
          <cell r="S25">
            <v>13278.221696433966</v>
          </cell>
          <cell r="T25">
            <v>13655.807245135789</v>
          </cell>
          <cell r="U25">
            <v>16279.908098932101</v>
          </cell>
          <cell r="V25">
            <v>4.8634338619278683E-2</v>
          </cell>
          <cell r="W25">
            <v>1.2052646284728352E-2</v>
          </cell>
        </row>
        <row r="26">
          <cell r="A26" t="str">
            <v>Operating Margin %</v>
          </cell>
          <cell r="H26">
            <v>0.18778813646142814</v>
          </cell>
          <cell r="I26">
            <v>0.19750145571965486</v>
          </cell>
          <cell r="J26">
            <v>0.18836325966850828</v>
          </cell>
          <cell r="K26">
            <v>0.21431399110329338</v>
          </cell>
          <cell r="L26">
            <v>0.20188881967241523</v>
          </cell>
          <cell r="M26">
            <v>0.2030744293676261</v>
          </cell>
          <cell r="N26">
            <v>0.20672792134050283</v>
          </cell>
          <cell r="O26">
            <v>0.21105905535345218</v>
          </cell>
          <cell r="P26">
            <v>0.2036288041353474</v>
          </cell>
          <cell r="Q26">
            <v>0.19331916747190742</v>
          </cell>
          <cell r="R26">
            <v>0.19668239465954682</v>
          </cell>
          <cell r="S26">
            <v>0.1976548066502811</v>
          </cell>
          <cell r="T26">
            <v>0.2003056968227917</v>
          </cell>
          <cell r="U26">
            <v>0.2423968086765825</v>
          </cell>
        </row>
        <row r="28">
          <cell r="A28" t="str">
            <v>Core Income from Associated Companies</v>
          </cell>
          <cell r="B28">
            <v>193</v>
          </cell>
          <cell r="C28">
            <v>264</v>
          </cell>
          <cell r="D28">
            <v>412</v>
          </cell>
          <cell r="E28">
            <v>441</v>
          </cell>
          <cell r="F28">
            <v>293</v>
          </cell>
          <cell r="G28">
            <v>804</v>
          </cell>
          <cell r="H28">
            <v>779</v>
          </cell>
          <cell r="I28">
            <v>755</v>
          </cell>
          <cell r="J28">
            <v>877</v>
          </cell>
          <cell r="K28">
            <v>1125.2770086622054</v>
          </cell>
          <cell r="L28">
            <v>1246.7971532649872</v>
          </cell>
          <cell r="M28">
            <v>1374.2573678247456</v>
          </cell>
          <cell r="N28">
            <v>1505.2539066969152</v>
          </cell>
          <cell r="O28">
            <v>1603.0094252734984</v>
          </cell>
          <cell r="P28">
            <v>1628.2185086640839</v>
          </cell>
          <cell r="Q28">
            <v>1656.54458864601</v>
          </cell>
          <cell r="R28">
            <v>1656.54458864601</v>
          </cell>
          <cell r="S28">
            <v>1656.54458864601</v>
          </cell>
          <cell r="T28">
            <v>1656.54458864601</v>
          </cell>
          <cell r="U28">
            <v>1656.54458864601</v>
          </cell>
        </row>
        <row r="29">
          <cell r="A29" t="str">
            <v>Core Net Financial Income</v>
          </cell>
          <cell r="B29">
            <v>167</v>
          </cell>
          <cell r="C29">
            <v>88</v>
          </cell>
          <cell r="D29">
            <v>294</v>
          </cell>
          <cell r="E29">
            <v>-6</v>
          </cell>
          <cell r="F29">
            <v>-353</v>
          </cell>
          <cell r="G29">
            <v>-628</v>
          </cell>
          <cell r="H29">
            <v>-753</v>
          </cell>
          <cell r="I29">
            <v>-820</v>
          </cell>
          <cell r="J29">
            <v>-731</v>
          </cell>
          <cell r="K29">
            <v>-692.69643709106344</v>
          </cell>
          <cell r="L29">
            <v>-701.05913728240967</v>
          </cell>
          <cell r="M29">
            <v>-706.64539555553608</v>
          </cell>
          <cell r="N29">
            <v>-706.68042929526598</v>
          </cell>
          <cell r="O29">
            <v>-699.99997755133074</v>
          </cell>
          <cell r="P29">
            <v>-690.26267232862824</v>
          </cell>
          <cell r="Q29">
            <v>-685.4478676996124</v>
          </cell>
          <cell r="R29">
            <v>-684.47525543094434</v>
          </cell>
          <cell r="S29">
            <v>-688.46916187439967</v>
          </cell>
          <cell r="T29">
            <v>-698.38765369536998</v>
          </cell>
          <cell r="U29">
            <v>-711.90662665797606</v>
          </cell>
        </row>
        <row r="31">
          <cell r="A31" t="str">
            <v>Core Profit Before Taxes</v>
          </cell>
          <cell r="B31">
            <v>7162</v>
          </cell>
          <cell r="C31">
            <v>7994</v>
          </cell>
          <cell r="D31">
            <v>7487</v>
          </cell>
          <cell r="E31">
            <v>9399</v>
          </cell>
          <cell r="F31">
            <v>9922</v>
          </cell>
          <cell r="G31">
            <v>11702</v>
          </cell>
          <cell r="H31">
            <v>15935</v>
          </cell>
          <cell r="I31">
            <v>14777</v>
          </cell>
          <cell r="J31">
            <v>14631</v>
          </cell>
          <cell r="K31">
            <v>14884.983711983336</v>
          </cell>
          <cell r="L31">
            <v>15445.939810991451</v>
          </cell>
          <cell r="M31">
            <v>16015.752365456779</v>
          </cell>
          <cell r="N31">
            <v>16791.094621585278</v>
          </cell>
          <cell r="O31">
            <v>17649.969352295408</v>
          </cell>
          <cell r="P31">
            <v>17227.412667377761</v>
          </cell>
          <cell r="Q31">
            <v>16616.824975746164</v>
          </cell>
          <cell r="R31">
            <v>16965.752569466222</v>
          </cell>
          <cell r="S31">
            <v>17091.502436069492</v>
          </cell>
          <cell r="T31">
            <v>16820.479758593541</v>
          </cell>
          <cell r="U31">
            <v>17231.387418352602</v>
          </cell>
        </row>
        <row r="33">
          <cell r="A33" t="str">
            <v>Core Tax</v>
          </cell>
          <cell r="B33">
            <v>-1090</v>
          </cell>
          <cell r="C33">
            <v>-1169</v>
          </cell>
          <cell r="D33">
            <v>-947</v>
          </cell>
          <cell r="E33">
            <v>-1336</v>
          </cell>
          <cell r="F33">
            <v>-1468</v>
          </cell>
          <cell r="G33">
            <v>-1733</v>
          </cell>
          <cell r="H33">
            <v>-2445</v>
          </cell>
          <cell r="I33">
            <v>-2201</v>
          </cell>
          <cell r="J33">
            <v>-2098</v>
          </cell>
          <cell r="K33">
            <v>-2314.3120041977686</v>
          </cell>
          <cell r="L33">
            <v>-2253.6454876326566</v>
          </cell>
          <cell r="M33">
            <v>-2330.4363752418817</v>
          </cell>
          <cell r="N33">
            <v>-2436.8673880154338</v>
          </cell>
          <cell r="O33">
            <v>-2556.9332770941464</v>
          </cell>
          <cell r="P33">
            <v>-2494.5144091610978</v>
          </cell>
          <cell r="Q33">
            <v>-2404.6886115676857</v>
          </cell>
          <cell r="R33">
            <v>-2455.290148159208</v>
          </cell>
          <cell r="S33">
            <v>-2473.5312660939007</v>
          </cell>
          <cell r="T33">
            <v>-2418.2657345009679</v>
          </cell>
          <cell r="U33">
            <v>-2422.8554896391656</v>
          </cell>
        </row>
        <row r="34">
          <cell r="A34" t="str">
            <v>Tax Rate (core)</v>
          </cell>
          <cell r="B34">
            <v>0.15219212510471936</v>
          </cell>
          <cell r="C34">
            <v>0.14623467600700527</v>
          </cell>
          <cell r="D34">
            <v>0.1264859089087752</v>
          </cell>
          <cell r="E34">
            <v>0.14214278114693052</v>
          </cell>
          <cell r="F34">
            <v>0.1479540415238863</v>
          </cell>
          <cell r="G34">
            <v>0.14809434284737652</v>
          </cell>
          <cell r="H34">
            <v>0.15343583307185441</v>
          </cell>
          <cell r="I34">
            <v>0.14894768897611152</v>
          </cell>
          <cell r="J34">
            <v>0.1433941630783952</v>
          </cell>
          <cell r="K34">
            <v>0.15547964639925027</v>
          </cell>
          <cell r="L34">
            <v>0.14590536511277513</v>
          </cell>
          <cell r="M34">
            <v>0.14550901650229256</v>
          </cell>
          <cell r="N34">
            <v>0.14512856028354421</v>
          </cell>
          <cell r="O34">
            <v>0.14486899246437576</v>
          </cell>
          <cell r="P34">
            <v>0.14479913248289278</v>
          </cell>
          <cell r="Q34">
            <v>0.14471408437397382</v>
          </cell>
          <cell r="R34">
            <v>0.14472037937050125</v>
          </cell>
          <cell r="S34">
            <v>0.14472286888447095</v>
          </cell>
          <cell r="T34">
            <v>0.14376912960912913</v>
          </cell>
          <cell r="U34">
            <v>0.14060710439709917</v>
          </cell>
        </row>
        <row r="36">
          <cell r="A36" t="str">
            <v>Core Net income before minority interests</v>
          </cell>
          <cell r="B36">
            <v>6072</v>
          </cell>
          <cell r="C36">
            <v>6825</v>
          </cell>
          <cell r="D36">
            <v>6540</v>
          </cell>
          <cell r="E36">
            <v>8063</v>
          </cell>
          <cell r="F36">
            <v>8454</v>
          </cell>
          <cell r="G36">
            <v>9969</v>
          </cell>
          <cell r="H36">
            <v>13490</v>
          </cell>
          <cell r="I36">
            <v>12576</v>
          </cell>
          <cell r="J36">
            <v>12533</v>
          </cell>
          <cell r="K36">
            <v>12570.671707785566</v>
          </cell>
          <cell r="L36">
            <v>13192.294323358794</v>
          </cell>
          <cell r="M36">
            <v>13685.315990214898</v>
          </cell>
          <cell r="N36">
            <v>14354.227233569844</v>
          </cell>
          <cell r="O36">
            <v>15093.03607520126</v>
          </cell>
          <cell r="P36">
            <v>14732.898258216663</v>
          </cell>
          <cell r="Q36">
            <v>14212.136364178477</v>
          </cell>
          <cell r="R36">
            <v>14510.462421307013</v>
          </cell>
          <cell r="S36">
            <v>14617.97116997559</v>
          </cell>
          <cell r="T36">
            <v>14402.214024092573</v>
          </cell>
          <cell r="U36">
            <v>14808.531928713437</v>
          </cell>
        </row>
        <row r="38">
          <cell r="A38" t="str">
            <v>Minority Interests</v>
          </cell>
          <cell r="B38">
            <v>-11</v>
          </cell>
          <cell r="C38">
            <v>-27</v>
          </cell>
          <cell r="D38">
            <v>-22</v>
          </cell>
          <cell r="E38">
            <v>-38</v>
          </cell>
          <cell r="F38">
            <v>-54</v>
          </cell>
          <cell r="G38">
            <v>-175</v>
          </cell>
          <cell r="H38">
            <v>-132</v>
          </cell>
          <cell r="I38">
            <v>-113</v>
          </cell>
          <cell r="J38">
            <v>-117</v>
          </cell>
          <cell r="K38">
            <v>-120.51</v>
          </cell>
          <cell r="L38">
            <v>-124.12530000000001</v>
          </cell>
          <cell r="M38">
            <v>-127.84905900000001</v>
          </cell>
          <cell r="N38">
            <v>-131.68453077000001</v>
          </cell>
          <cell r="O38">
            <v>-135.63506669310001</v>
          </cell>
          <cell r="P38">
            <v>-139.70411869389301</v>
          </cell>
          <cell r="Q38">
            <v>-143.89524225470981</v>
          </cell>
          <cell r="R38">
            <v>-148.21209952235111</v>
          </cell>
          <cell r="S38">
            <v>-152.65846250802164</v>
          </cell>
          <cell r="T38">
            <v>-157.23821638326228</v>
          </cell>
          <cell r="U38">
            <v>-161.95536287476017</v>
          </cell>
        </row>
        <row r="40">
          <cell r="A40" t="str">
            <v>Core Net Income</v>
          </cell>
          <cell r="B40">
            <v>6061</v>
          </cell>
          <cell r="C40">
            <v>6798</v>
          </cell>
          <cell r="D40">
            <v>6518</v>
          </cell>
          <cell r="E40">
            <v>8025</v>
          </cell>
          <cell r="F40">
            <v>8400</v>
          </cell>
          <cell r="G40">
            <v>9794</v>
          </cell>
          <cell r="H40">
            <v>13358</v>
          </cell>
          <cell r="I40">
            <v>12463</v>
          </cell>
          <cell r="J40">
            <v>12416</v>
          </cell>
          <cell r="K40">
            <v>12450.161707785566</v>
          </cell>
          <cell r="L40">
            <v>13068.169023358794</v>
          </cell>
          <cell r="M40">
            <v>13557.466931214898</v>
          </cell>
          <cell r="N40">
            <v>14222.542702799843</v>
          </cell>
          <cell r="O40">
            <v>14957.401008508161</v>
          </cell>
          <cell r="P40">
            <v>14593.19413952277</v>
          </cell>
          <cell r="Q40">
            <v>14068.241121923767</v>
          </cell>
          <cell r="R40">
            <v>14362.250321784662</v>
          </cell>
          <cell r="S40">
            <v>14465.312707467569</v>
          </cell>
          <cell r="T40">
            <v>14244.97580770931</v>
          </cell>
          <cell r="U40">
            <v>14646.576565838677</v>
          </cell>
          <cell r="V40">
            <v>4.6037204563403655E-2</v>
          </cell>
          <cell r="W40">
            <v>1.4857374902213616E-2</v>
          </cell>
        </row>
        <row r="42">
          <cell r="A42" t="str">
            <v>Add back Net Income (disc)</v>
          </cell>
          <cell r="B42">
            <v>69</v>
          </cell>
          <cell r="C42">
            <v>377</v>
          </cell>
          <cell r="D42">
            <v>5428</v>
          </cell>
          <cell r="E42">
            <v>70</v>
          </cell>
          <cell r="F42">
            <v>0</v>
          </cell>
          <cell r="G42">
            <v>0</v>
          </cell>
          <cell r="H42">
            <v>0</v>
          </cell>
          <cell r="I42">
            <v>0</v>
          </cell>
          <cell r="J42">
            <v>0</v>
          </cell>
          <cell r="K42">
            <v>0</v>
          </cell>
          <cell r="L42">
            <v>0</v>
          </cell>
          <cell r="M42">
            <v>0</v>
          </cell>
          <cell r="N42">
            <v>0</v>
          </cell>
          <cell r="O42">
            <v>0</v>
          </cell>
          <cell r="P42">
            <v>0</v>
          </cell>
          <cell r="Q42">
            <v>0</v>
          </cell>
        </row>
        <row r="43">
          <cell r="A43" t="str">
            <v>Reported Net Income</v>
          </cell>
          <cell r="B43">
            <v>6130</v>
          </cell>
          <cell r="C43">
            <v>7175</v>
          </cell>
          <cell r="D43">
            <v>11946</v>
          </cell>
          <cell r="E43">
            <v>8095</v>
          </cell>
          <cell r="F43">
            <v>8400</v>
          </cell>
          <cell r="G43">
            <v>9794</v>
          </cell>
          <cell r="H43">
            <v>9113</v>
          </cell>
          <cell r="I43">
            <v>9270</v>
          </cell>
          <cell r="J43">
            <v>9175</v>
          </cell>
          <cell r="K43">
            <v>10675.887541993741</v>
          </cell>
          <cell r="L43">
            <v>10314.338482247735</v>
          </cell>
          <cell r="M43">
            <v>10763.195131736615</v>
          </cell>
          <cell r="N43">
            <v>11386.703547984798</v>
          </cell>
          <cell r="O43">
            <v>12090.484049272816</v>
          </cell>
          <cell r="P43">
            <v>11718.10304149424</v>
          </cell>
          <cell r="Q43">
            <v>11183.980790191077</v>
          </cell>
          <cell r="R43">
            <v>11477.756411381815</v>
          </cell>
          <cell r="S43">
            <v>11580.573539461049</v>
          </cell>
          <cell r="T43">
            <v>11890.349119218938</v>
          </cell>
          <cell r="U43">
            <v>14117.679480840261</v>
          </cell>
          <cell r="V43">
            <v>5.438876502361234E-2</v>
          </cell>
          <cell r="W43">
            <v>1.6321250898469364E-2</v>
          </cell>
        </row>
        <row r="45">
          <cell r="A45" t="str">
            <v>Basic Shares Outstanding (average)</v>
          </cell>
          <cell r="B45">
            <v>2332.848144</v>
          </cell>
          <cell r="C45">
            <v>2345.1999999999998</v>
          </cell>
          <cell r="D45">
            <v>2317.5</v>
          </cell>
          <cell r="E45">
            <v>2265.5</v>
          </cell>
          <cell r="F45">
            <v>2267.9</v>
          </cell>
          <cell r="G45">
            <v>2285.6999999999998</v>
          </cell>
          <cell r="H45">
            <v>2382.5</v>
          </cell>
          <cell r="I45">
            <v>2418</v>
          </cell>
          <cell r="J45">
            <v>2441</v>
          </cell>
          <cell r="K45">
            <v>2410.779299847793</v>
          </cell>
          <cell r="L45">
            <v>2381.2339947761056</v>
          </cell>
          <cell r="M45">
            <v>2362.5596241524045</v>
          </cell>
          <cell r="N45">
            <v>2354.1822976109438</v>
          </cell>
          <cell r="O45">
            <v>2350.154736773703</v>
          </cell>
          <cell r="P45">
            <v>2350.154736773703</v>
          </cell>
          <cell r="Q45">
            <v>2350.154736773703</v>
          </cell>
          <cell r="R45">
            <v>2350.154736773703</v>
          </cell>
          <cell r="S45">
            <v>2350.154736773703</v>
          </cell>
          <cell r="T45">
            <v>2350.154736773703</v>
          </cell>
          <cell r="U45">
            <v>2350.154736773703</v>
          </cell>
        </row>
        <row r="47">
          <cell r="A47" t="str">
            <v>EPS, basic (Continuing)</v>
          </cell>
          <cell r="B47">
            <v>2.5981116754593176</v>
          </cell>
          <cell r="C47">
            <v>2.8986866791744843</v>
          </cell>
          <cell r="D47">
            <v>2.8125134843581447</v>
          </cell>
          <cell r="E47">
            <v>3.5918208000983278</v>
          </cell>
          <cell r="F47">
            <v>3.703867013536752</v>
          </cell>
          <cell r="G47">
            <v>4.2849017806361296</v>
          </cell>
          <cell r="H47">
            <v>3.8249737670514166</v>
          </cell>
          <cell r="I47">
            <v>3.8337468982630272</v>
          </cell>
          <cell r="J47">
            <v>3.7587054485866447</v>
          </cell>
          <cell r="K47">
            <v>4.4283968850519724</v>
          </cell>
          <cell r="L47">
            <v>4.3315098410635349</v>
          </cell>
          <cell r="M47">
            <v>4.5557348147765939</v>
          </cell>
          <cell r="N47">
            <v>4.8367977108400568</v>
          </cell>
          <cell r="O47">
            <v>5.1445480844681128</v>
          </cell>
          <cell r="P47">
            <v>4.9860985143390488</v>
          </cell>
          <cell r="Q47">
            <v>4.7588274147192822</v>
          </cell>
          <cell r="R47">
            <v>4.8838300864982624</v>
          </cell>
          <cell r="S47">
            <v>4.9275791752158771</v>
          </cell>
          <cell r="T47">
            <v>5.0593898917234839</v>
          </cell>
          <cell r="U47">
            <v>6.0071276413999186</v>
          </cell>
          <cell r="V47">
            <v>5.9016292975460516E-2</v>
          </cell>
          <cell r="W47">
            <v>1.8995180330211303E-2</v>
          </cell>
        </row>
        <row r="48">
          <cell r="A48" t="str">
            <v>growth (%)</v>
          </cell>
          <cell r="B48">
            <v>0.14069935723102023</v>
          </cell>
          <cell r="C48">
            <v>0.11568979368911392</v>
          </cell>
          <cell r="D48">
            <v>-2.9728357823371465E-2</v>
          </cell>
          <cell r="E48">
            <v>0.27708571712609298</v>
          </cell>
          <cell r="F48">
            <v>3.1194822813921164E-2</v>
          </cell>
          <cell r="G48">
            <v>0.15687247003627136</v>
          </cell>
          <cell r="H48">
            <v>-0.10733688591490487</v>
          </cell>
          <cell r="I48">
            <v>2.2936448054056147E-3</v>
          </cell>
          <cell r="J48">
            <v>-1.9573918588726258E-2</v>
          </cell>
          <cell r="K48">
            <v>0.17817076800129317</v>
          </cell>
          <cell r="L48">
            <v>-2.1878581911995987E-2</v>
          </cell>
          <cell r="M48">
            <v>5.1766008145096132E-2</v>
          </cell>
          <cell r="N48">
            <v>6.1694305636893265E-2</v>
          </cell>
          <cell r="O48">
            <v>6.3626885395338562E-2</v>
          </cell>
          <cell r="P48">
            <v>-3.0799511935254098E-2</v>
          </cell>
          <cell r="Q48">
            <v>-4.5580948504362562E-2</v>
          </cell>
          <cell r="R48">
            <v>2.6267536282644111E-2</v>
          </cell>
          <cell r="S48">
            <v>8.957946517951676E-3</v>
          </cell>
          <cell r="T48">
            <v>2.6749588757613907E-2</v>
          </cell>
          <cell r="U48">
            <v>0.18732253689853251</v>
          </cell>
        </row>
        <row r="50">
          <cell r="A50" t="str">
            <v>Core EPS</v>
          </cell>
          <cell r="F50">
            <v>3.6897127295089169</v>
          </cell>
          <cell r="G50">
            <v>4.2567802503477052</v>
          </cell>
          <cell r="H50">
            <v>5.6067156348373555</v>
          </cell>
          <cell r="I50">
            <v>5.1542597187758474</v>
          </cell>
          <cell r="J50">
            <v>5.086439983613273</v>
          </cell>
          <cell r="K50">
            <v>5.1643722461743469</v>
          </cell>
          <cell r="L50">
            <v>5.4879818833543581</v>
          </cell>
          <cell r="M50">
            <v>5.7384655153745783</v>
          </cell>
          <cell r="N50">
            <v>6.0413939554439233</v>
          </cell>
          <cell r="O50">
            <v>6.3644324241567647</v>
          </cell>
          <cell r="P50">
            <v>6.2094609819421231</v>
          </cell>
          <cell r="Q50">
            <v>5.9860914269996863</v>
          </cell>
          <cell r="R50">
            <v>6.1111934874131686</v>
          </cell>
          <cell r="S50">
            <v>6.1550469341970127</v>
          </cell>
          <cell r="T50">
            <v>6.06129272460793</v>
          </cell>
          <cell r="U50">
            <v>6.2321754123924311</v>
          </cell>
          <cell r="V50">
            <v>5.0628078976487911E-2</v>
          </cell>
          <cell r="W50">
            <v>1.7527452893175921E-2</v>
          </cell>
        </row>
        <row r="51">
          <cell r="A51" t="str">
            <v>YoY growth (%)</v>
          </cell>
          <cell r="H51">
            <v>8.9085572070004559E-2</v>
          </cell>
          <cell r="I51">
            <v>-8.0698923492779073E-2</v>
          </cell>
          <cell r="J51">
            <v>-1.3157997241683761E-2</v>
          </cell>
          <cell r="K51">
            <v>1.532157320486327E-2</v>
          </cell>
          <cell r="L51">
            <v>6.2661950330891392E-2</v>
          </cell>
          <cell r="M51">
            <v>4.5642211899416862E-2</v>
          </cell>
          <cell r="N51">
            <v>5.2789101765573943E-2</v>
          </cell>
          <cell r="O51">
            <v>5.3470849789848618E-2</v>
          </cell>
          <cell r="P51">
            <v>-2.4349609185327137E-2</v>
          </cell>
          <cell r="Q51">
            <v>-3.5972454870402237E-2</v>
          </cell>
          <cell r="R51">
            <v>2.0898788790498779E-2</v>
          </cell>
          <cell r="S51">
            <v>7.1759218349356502E-3</v>
          </cell>
          <cell r="T51">
            <v>-1.523208686975086E-2</v>
          </cell>
          <cell r="U51">
            <v>2.8192449292333777E-2</v>
          </cell>
        </row>
        <row r="53">
          <cell r="A53" t="str">
            <v>EPS (Including Disc)</v>
          </cell>
          <cell r="B53">
            <v>2.6276892543417949</v>
          </cell>
          <cell r="C53">
            <v>3.0594405594405596</v>
          </cell>
          <cell r="D53">
            <v>5.1546925566343038</v>
          </cell>
          <cell r="E53">
            <v>3.5731626572500552</v>
          </cell>
          <cell r="F53">
            <v>3.703867013536752</v>
          </cell>
          <cell r="G53">
            <v>4.2849017806361296</v>
          </cell>
          <cell r="H53">
            <v>3.8249737670514166</v>
          </cell>
          <cell r="I53">
            <v>3.8337468982630272</v>
          </cell>
          <cell r="J53">
            <v>3.7587054485866447</v>
          </cell>
          <cell r="K53">
            <v>4.4283968850519724</v>
          </cell>
          <cell r="L53">
            <v>4.3315098410635349</v>
          </cell>
          <cell r="M53">
            <v>4.5557348147765939</v>
          </cell>
          <cell r="N53">
            <v>4.8367977108400568</v>
          </cell>
          <cell r="O53">
            <v>5.1445480844681128</v>
          </cell>
          <cell r="P53">
            <v>4.9860985143390488</v>
          </cell>
          <cell r="Q53">
            <v>4.7588274147192822</v>
          </cell>
          <cell r="R53">
            <v>4.8838300864982624</v>
          </cell>
          <cell r="S53">
            <v>4.9275791752158771</v>
          </cell>
          <cell r="T53">
            <v>5.0593898917234839</v>
          </cell>
          <cell r="U53">
            <v>6.0071276413999186</v>
          </cell>
        </row>
        <row r="55">
          <cell r="A55" t="str">
            <v>D&amp;A</v>
          </cell>
          <cell r="B55">
            <v>1679</v>
          </cell>
          <cell r="C55">
            <v>1923</v>
          </cell>
          <cell r="D55">
            <v>2858</v>
          </cell>
          <cell r="E55">
            <v>2670</v>
          </cell>
          <cell r="F55">
            <v>2301</v>
          </cell>
          <cell r="G55">
            <v>3419</v>
          </cell>
          <cell r="H55">
            <v>5788</v>
          </cell>
          <cell r="I55">
            <v>4920</v>
          </cell>
          <cell r="J55">
            <v>4925</v>
          </cell>
          <cell r="K55">
            <v>4748.2040804767839</v>
          </cell>
          <cell r="L55">
            <v>4884.3924444306194</v>
          </cell>
          <cell r="M55">
            <v>5024.8173796218853</v>
          </cell>
          <cell r="N55">
            <v>5169.8702733842656</v>
          </cell>
          <cell r="O55">
            <v>5320.0992339468039</v>
          </cell>
          <cell r="P55">
            <v>5621.7353688757576</v>
          </cell>
          <cell r="Q55">
            <v>5621.7353688757576</v>
          </cell>
          <cell r="R55">
            <v>5579.8387249862335</v>
          </cell>
          <cell r="S55">
            <v>5541.6509467083251</v>
          </cell>
          <cell r="T55">
            <v>4869.4395671532166</v>
          </cell>
          <cell r="U55">
            <v>2636.2845687143194</v>
          </cell>
        </row>
        <row r="56">
          <cell r="A56" t="str">
            <v>Core EBITDA</v>
          </cell>
          <cell r="B56">
            <v>8481</v>
          </cell>
          <cell r="C56">
            <v>9565</v>
          </cell>
          <cell r="D56">
            <v>9639</v>
          </cell>
          <cell r="E56">
            <v>11634</v>
          </cell>
          <cell r="F56">
            <v>12283</v>
          </cell>
          <cell r="G56">
            <v>14945</v>
          </cell>
          <cell r="H56">
            <v>21697</v>
          </cell>
          <cell r="I56">
            <v>19762</v>
          </cell>
          <cell r="J56">
            <v>19410</v>
          </cell>
          <cell r="K56">
            <v>19200.607220888975</v>
          </cell>
          <cell r="L56">
            <v>19784.594239439495</v>
          </cell>
          <cell r="M56">
            <v>20372.957772809452</v>
          </cell>
          <cell r="N56">
            <v>21162.391417567895</v>
          </cell>
          <cell r="O56">
            <v>22067.059138520042</v>
          </cell>
          <cell r="P56">
            <v>21911.192199918063</v>
          </cell>
          <cell r="Q56">
            <v>21267.463623675521</v>
          </cell>
          <cell r="R56">
            <v>21573.521961237391</v>
          </cell>
          <cell r="S56">
            <v>21665.077956006207</v>
          </cell>
          <cell r="T56">
            <v>20731.762390796117</v>
          </cell>
          <cell r="U56">
            <v>18923.034025078887</v>
          </cell>
        </row>
        <row r="58">
          <cell r="A58" t="str">
            <v>Notes:</v>
          </cell>
        </row>
        <row r="59">
          <cell r="A59" t="str">
            <v>E= Morgan Stanley Research Estimate</v>
          </cell>
        </row>
        <row r="60">
          <cell r="A60" t="str">
            <v>Source: Morgan Stanley Research</v>
          </cell>
        </row>
      </sheetData>
      <sheetData sheetId="23"/>
      <sheetData sheetId="24"/>
      <sheetData sheetId="25"/>
      <sheetData sheetId="26"/>
      <sheetData sheetId="27" refreshError="1">
        <row r="1">
          <cell r="A1" t="str">
            <v>Novartis: Pension Fund Statement 2005-2024e</v>
          </cell>
        </row>
        <row r="2">
          <cell r="A2" t="str">
            <v>$m</v>
          </cell>
          <cell r="B2">
            <v>2005</v>
          </cell>
          <cell r="C2">
            <v>2006</v>
          </cell>
          <cell r="D2">
            <v>2007</v>
          </cell>
          <cell r="E2">
            <v>2008</v>
          </cell>
          <cell r="F2">
            <v>2009</v>
          </cell>
          <cell r="G2">
            <v>2010</v>
          </cell>
          <cell r="H2">
            <v>2011</v>
          </cell>
          <cell r="I2">
            <v>2012</v>
          </cell>
          <cell r="J2">
            <v>2013</v>
          </cell>
          <cell r="K2" t="str">
            <v>2014e</v>
          </cell>
          <cell r="L2" t="str">
            <v>2015e</v>
          </cell>
          <cell r="M2" t="str">
            <v>2016e</v>
          </cell>
          <cell r="N2" t="str">
            <v>2017e</v>
          </cell>
          <cell r="O2" t="str">
            <v>2018e</v>
          </cell>
          <cell r="P2" t="str">
            <v>2019e</v>
          </cell>
          <cell r="Q2" t="str">
            <v>2020e</v>
          </cell>
          <cell r="R2" t="str">
            <v>2021e</v>
          </cell>
          <cell r="S2" t="str">
            <v>2022e</v>
          </cell>
          <cell r="T2" t="str">
            <v>2023e</v>
          </cell>
          <cell r="U2" t="str">
            <v>2024e</v>
          </cell>
        </row>
        <row r="3">
          <cell r="A3" t="str">
            <v>Income Statement Items</v>
          </cell>
        </row>
        <row r="4">
          <cell r="A4" t="str">
            <v>Current Service Cost</v>
          </cell>
          <cell r="B4">
            <v>363</v>
          </cell>
          <cell r="C4">
            <v>417</v>
          </cell>
          <cell r="D4">
            <v>424</v>
          </cell>
          <cell r="E4">
            <v>415</v>
          </cell>
          <cell r="F4">
            <v>411</v>
          </cell>
          <cell r="G4">
            <v>350</v>
          </cell>
          <cell r="H4">
            <v>423</v>
          </cell>
          <cell r="I4">
            <v>395</v>
          </cell>
          <cell r="J4">
            <v>408.82499999999999</v>
          </cell>
          <cell r="K4">
            <v>423.13387499999993</v>
          </cell>
          <cell r="L4">
            <v>437.94356062499992</v>
          </cell>
          <cell r="M4">
            <v>453.27158524687491</v>
          </cell>
          <cell r="N4">
            <v>469.13609073051549</v>
          </cell>
          <cell r="O4">
            <v>485.55585390608348</v>
          </cell>
          <cell r="P4">
            <v>502.55030879279639</v>
          </cell>
          <cell r="Q4">
            <v>520.13956960054418</v>
          </cell>
          <cell r="R4">
            <v>538.34445453656315</v>
          </cell>
          <cell r="S4">
            <v>557.18651044534283</v>
          </cell>
          <cell r="T4">
            <v>576.68803831092976</v>
          </cell>
          <cell r="U4">
            <v>596.87211965181223</v>
          </cell>
        </row>
        <row r="5">
          <cell r="A5" t="str">
            <v>Net interest expense</v>
          </cell>
          <cell r="B5">
            <v>567</v>
          </cell>
          <cell r="C5">
            <v>559</v>
          </cell>
          <cell r="D5">
            <v>615</v>
          </cell>
          <cell r="E5">
            <v>694</v>
          </cell>
          <cell r="F5">
            <v>705</v>
          </cell>
          <cell r="G5">
            <v>667</v>
          </cell>
          <cell r="H5">
            <v>732</v>
          </cell>
          <cell r="I5">
            <v>665</v>
          </cell>
          <cell r="J5">
            <v>739.58699999999999</v>
          </cell>
          <cell r="K5">
            <v>744.03</v>
          </cell>
          <cell r="L5">
            <v>745.14491624999994</v>
          </cell>
          <cell r="M5">
            <v>746.61757055624992</v>
          </cell>
          <cell r="N5">
            <v>747.93424523034366</v>
          </cell>
          <cell r="O5">
            <v>749.4063553091695</v>
          </cell>
          <cell r="P5">
            <v>751.02522158562704</v>
          </cell>
          <cell r="Q5">
            <v>752.83595154926741</v>
          </cell>
          <cell r="R5">
            <v>754.85895107528495</v>
          </cell>
          <cell r="S5">
            <v>757.11583492506793</v>
          </cell>
          <cell r="T5">
            <v>759.62948462931968</v>
          </cell>
          <cell r="U5">
            <v>762.42410887062852</v>
          </cell>
        </row>
        <row r="6">
          <cell r="A6" t="str">
            <v>Expected return on plan assets</v>
          </cell>
          <cell r="B6">
            <v>-716</v>
          </cell>
          <cell r="C6">
            <v>-758</v>
          </cell>
          <cell r="D6">
            <v>-804</v>
          </cell>
          <cell r="E6">
            <v>-843</v>
          </cell>
          <cell r="F6">
            <v>-698</v>
          </cell>
          <cell r="G6">
            <v>-778</v>
          </cell>
          <cell r="H6">
            <v>-909</v>
          </cell>
          <cell r="I6">
            <v>-829</v>
          </cell>
          <cell r="J6">
            <v>-588.178</v>
          </cell>
          <cell r="K6">
            <v>-644.42999999999995</v>
          </cell>
          <cell r="L6">
            <v>-643.99289999999996</v>
          </cell>
          <cell r="M6">
            <v>-643.917237</v>
          </cell>
          <cell r="N6">
            <v>-643.69116336000013</v>
          </cell>
          <cell r="O6">
            <v>-643.62808183455013</v>
          </cell>
          <cell r="P6">
            <v>-643.72142428841789</v>
          </cell>
          <cell r="Q6">
            <v>-644.01853856814841</v>
          </cell>
          <cell r="R6">
            <v>-644.54220637796402</v>
          </cell>
          <cell r="S6">
            <v>-645.316560233622</v>
          </cell>
          <cell r="T6">
            <v>-646.3671480760629</v>
          </cell>
          <cell r="U6">
            <v>-647.72100067296924</v>
          </cell>
        </row>
        <row r="7">
          <cell r="A7" t="str">
            <v>Recognized past service cost</v>
          </cell>
          <cell r="B7">
            <v>4</v>
          </cell>
          <cell r="C7">
            <v>-11</v>
          </cell>
          <cell r="D7">
            <v>-20</v>
          </cell>
          <cell r="E7">
            <v>-2</v>
          </cell>
          <cell r="F7">
            <v>0</v>
          </cell>
          <cell r="G7">
            <v>2</v>
          </cell>
          <cell r="H7">
            <v>3</v>
          </cell>
          <cell r="I7">
            <v>1</v>
          </cell>
          <cell r="J7">
            <v>0</v>
          </cell>
          <cell r="K7">
            <v>0</v>
          </cell>
          <cell r="L7">
            <v>0</v>
          </cell>
          <cell r="M7">
            <v>0</v>
          </cell>
          <cell r="N7">
            <v>0</v>
          </cell>
          <cell r="O7">
            <v>0</v>
          </cell>
          <cell r="P7">
            <v>0</v>
          </cell>
          <cell r="Q7">
            <v>0</v>
          </cell>
          <cell r="R7">
            <v>0</v>
          </cell>
          <cell r="S7">
            <v>0</v>
          </cell>
          <cell r="T7">
            <v>0</v>
          </cell>
          <cell r="U7">
            <v>0</v>
          </cell>
        </row>
        <row r="8">
          <cell r="A8" t="str">
            <v>Curtailment and settlement (gains)/losses</v>
          </cell>
          <cell r="B8">
            <v>0</v>
          </cell>
          <cell r="C8">
            <v>-8</v>
          </cell>
          <cell r="D8">
            <v>-29</v>
          </cell>
          <cell r="E8">
            <v>6</v>
          </cell>
          <cell r="F8">
            <v>-1</v>
          </cell>
          <cell r="G8">
            <v>-270</v>
          </cell>
          <cell r="H8">
            <v>18</v>
          </cell>
          <cell r="I8">
            <v>-4</v>
          </cell>
          <cell r="J8">
            <v>0</v>
          </cell>
          <cell r="K8">
            <v>0</v>
          </cell>
          <cell r="L8">
            <v>0</v>
          </cell>
          <cell r="M8">
            <v>0</v>
          </cell>
          <cell r="N8">
            <v>0</v>
          </cell>
          <cell r="O8">
            <v>0</v>
          </cell>
          <cell r="P8">
            <v>0</v>
          </cell>
          <cell r="Q8">
            <v>0</v>
          </cell>
          <cell r="R8">
            <v>0</v>
          </cell>
          <cell r="S8">
            <v>0</v>
          </cell>
          <cell r="T8">
            <v>0</v>
          </cell>
          <cell r="U8">
            <v>0</v>
          </cell>
        </row>
        <row r="9">
          <cell r="A9" t="str">
            <v>Net P&amp;L Expense</v>
          </cell>
          <cell r="B9">
            <v>218</v>
          </cell>
          <cell r="C9">
            <v>199</v>
          </cell>
          <cell r="D9">
            <v>186</v>
          </cell>
          <cell r="E9">
            <v>270</v>
          </cell>
          <cell r="F9">
            <v>417</v>
          </cell>
          <cell r="G9">
            <v>-29</v>
          </cell>
          <cell r="H9">
            <v>267</v>
          </cell>
          <cell r="I9">
            <v>228</v>
          </cell>
          <cell r="J9">
            <v>560.23400000000004</v>
          </cell>
          <cell r="K9">
            <v>522.73387500000001</v>
          </cell>
          <cell r="L9">
            <v>539.09557687499978</v>
          </cell>
          <cell r="M9">
            <v>555.97191880312482</v>
          </cell>
          <cell r="N9">
            <v>573.37917260085908</v>
          </cell>
          <cell r="O9">
            <v>591.33412738070297</v>
          </cell>
          <cell r="P9">
            <v>609.85410609000564</v>
          </cell>
          <cell r="Q9">
            <v>628.95698258166317</v>
          </cell>
          <cell r="R9">
            <v>648.66119923388419</v>
          </cell>
          <cell r="S9">
            <v>668.98578513678888</v>
          </cell>
          <cell r="T9">
            <v>689.95037486418664</v>
          </cell>
          <cell r="U9">
            <v>711.5752278494715</v>
          </cell>
        </row>
        <row r="12">
          <cell r="A12" t="str">
            <v>Balance Sheet Items</v>
          </cell>
        </row>
        <row r="13">
          <cell r="A13" t="str">
            <v>Defined Benefit Obligation - Opening</v>
          </cell>
          <cell r="B13">
            <v>16488</v>
          </cell>
          <cell r="C13">
            <v>15632</v>
          </cell>
          <cell r="D13">
            <v>16767</v>
          </cell>
          <cell r="E13">
            <v>17105</v>
          </cell>
          <cell r="F13">
            <v>17643</v>
          </cell>
          <cell r="G13">
            <v>18009</v>
          </cell>
          <cell r="H13">
            <v>20568</v>
          </cell>
          <cell r="I13">
            <v>21730</v>
          </cell>
          <cell r="J13">
            <v>25503</v>
          </cell>
          <cell r="K13">
            <v>24801</v>
          </cell>
          <cell r="L13">
            <v>24838.163874999998</v>
          </cell>
          <cell r="M13">
            <v>24887.252351874999</v>
          </cell>
          <cell r="N13">
            <v>24931.141507678123</v>
          </cell>
          <cell r="O13">
            <v>24980.211843638983</v>
          </cell>
          <cell r="P13">
            <v>25034.174052854236</v>
          </cell>
          <cell r="Q13">
            <v>25094.531718308914</v>
          </cell>
          <cell r="R13">
            <v>25161.965035842833</v>
          </cell>
          <cell r="S13">
            <v>25237.194497502267</v>
          </cell>
          <cell r="T13">
            <v>25320.982820977322</v>
          </cell>
          <cell r="U13">
            <v>25414.136962354285</v>
          </cell>
        </row>
        <row r="14">
          <cell r="A14" t="str">
            <v>Current Service Cost</v>
          </cell>
          <cell r="B14">
            <v>363</v>
          </cell>
          <cell r="C14">
            <v>417</v>
          </cell>
          <cell r="D14">
            <v>424</v>
          </cell>
          <cell r="E14">
            <v>415</v>
          </cell>
          <cell r="F14">
            <v>411</v>
          </cell>
          <cell r="G14">
            <v>350</v>
          </cell>
          <cell r="H14">
            <v>423</v>
          </cell>
          <cell r="I14">
            <v>395</v>
          </cell>
          <cell r="J14">
            <v>478</v>
          </cell>
          <cell r="K14">
            <v>423.13387499999993</v>
          </cell>
          <cell r="L14">
            <v>437.94356062499992</v>
          </cell>
          <cell r="M14">
            <v>453.27158524687491</v>
          </cell>
          <cell r="N14">
            <v>469.13609073051549</v>
          </cell>
          <cell r="O14">
            <v>485.55585390608348</v>
          </cell>
          <cell r="P14">
            <v>502.55030879279639</v>
          </cell>
          <cell r="Q14">
            <v>520.13956960054418</v>
          </cell>
          <cell r="R14">
            <v>538.34445453656315</v>
          </cell>
          <cell r="S14">
            <v>557.18651044534283</v>
          </cell>
          <cell r="T14">
            <v>576.68803831092976</v>
          </cell>
          <cell r="U14">
            <v>596.87211965181223</v>
          </cell>
        </row>
        <row r="15">
          <cell r="A15" t="str">
            <v>Interest cost</v>
          </cell>
          <cell r="B15">
            <v>567</v>
          </cell>
          <cell r="C15">
            <v>559</v>
          </cell>
          <cell r="D15">
            <v>615</v>
          </cell>
          <cell r="E15">
            <v>694</v>
          </cell>
          <cell r="F15">
            <v>705</v>
          </cell>
          <cell r="G15">
            <v>667</v>
          </cell>
          <cell r="H15">
            <v>732</v>
          </cell>
          <cell r="I15">
            <v>665</v>
          </cell>
          <cell r="J15">
            <v>580</v>
          </cell>
          <cell r="K15">
            <v>744.03</v>
          </cell>
          <cell r="L15">
            <v>745.14491624999994</v>
          </cell>
          <cell r="M15">
            <v>746.61757055624992</v>
          </cell>
          <cell r="N15">
            <v>747.93424523034366</v>
          </cell>
          <cell r="O15">
            <v>749.4063553091695</v>
          </cell>
          <cell r="P15">
            <v>751.02522158562704</v>
          </cell>
          <cell r="Q15">
            <v>752.83595154926741</v>
          </cell>
          <cell r="R15">
            <v>754.85895107528495</v>
          </cell>
          <cell r="S15">
            <v>757.11583492506793</v>
          </cell>
          <cell r="T15">
            <v>759.62948462931968</v>
          </cell>
          <cell r="U15">
            <v>762.42410887062852</v>
          </cell>
        </row>
        <row r="16">
          <cell r="A16" t="str">
            <v>Past service costs and settlements</v>
          </cell>
          <cell r="B16">
            <v>0</v>
          </cell>
          <cell r="C16">
            <v>0</v>
          </cell>
          <cell r="D16">
            <v>0</v>
          </cell>
          <cell r="E16">
            <v>0</v>
          </cell>
          <cell r="F16">
            <v>0</v>
          </cell>
          <cell r="G16">
            <v>0</v>
          </cell>
          <cell r="H16">
            <v>0</v>
          </cell>
          <cell r="I16">
            <v>-6</v>
          </cell>
          <cell r="J16">
            <v>-66</v>
          </cell>
          <cell r="K16">
            <v>0</v>
          </cell>
          <cell r="L16">
            <v>0</v>
          </cell>
          <cell r="M16">
            <v>0</v>
          </cell>
          <cell r="N16">
            <v>0</v>
          </cell>
          <cell r="O16">
            <v>0</v>
          </cell>
          <cell r="P16">
            <v>0</v>
          </cell>
          <cell r="Q16">
            <v>0</v>
          </cell>
          <cell r="R16">
            <v>0</v>
          </cell>
          <cell r="S16">
            <v>0</v>
          </cell>
          <cell r="T16">
            <v>0</v>
          </cell>
          <cell r="U16">
            <v>0</v>
          </cell>
        </row>
        <row r="17">
          <cell r="A17" t="str">
            <v>Administrative expenses</v>
          </cell>
          <cell r="B17">
            <v>0</v>
          </cell>
          <cell r="C17">
            <v>0</v>
          </cell>
          <cell r="D17">
            <v>0</v>
          </cell>
          <cell r="E17">
            <v>0</v>
          </cell>
          <cell r="F17">
            <v>0</v>
          </cell>
          <cell r="G17">
            <v>0</v>
          </cell>
          <cell r="H17">
            <v>0</v>
          </cell>
          <cell r="I17">
            <v>15</v>
          </cell>
          <cell r="J17">
            <v>18</v>
          </cell>
          <cell r="K17">
            <v>0</v>
          </cell>
          <cell r="L17">
            <v>0</v>
          </cell>
          <cell r="M17">
            <v>0</v>
          </cell>
          <cell r="N17">
            <v>0</v>
          </cell>
          <cell r="O17">
            <v>0</v>
          </cell>
          <cell r="P17">
            <v>0</v>
          </cell>
          <cell r="Q17">
            <v>0</v>
          </cell>
          <cell r="R17">
            <v>0</v>
          </cell>
          <cell r="S17">
            <v>0</v>
          </cell>
          <cell r="T17">
            <v>0</v>
          </cell>
          <cell r="U17">
            <v>0</v>
          </cell>
        </row>
        <row r="18">
          <cell r="A18" t="str">
            <v>Remeasurement (gains)/losses arising from changes in financial assumptions</v>
          </cell>
          <cell r="B18">
            <v>0</v>
          </cell>
          <cell r="C18">
            <v>0</v>
          </cell>
          <cell r="D18">
            <v>0</v>
          </cell>
          <cell r="E18">
            <v>0</v>
          </cell>
          <cell r="F18">
            <v>0</v>
          </cell>
          <cell r="G18">
            <v>0</v>
          </cell>
          <cell r="H18">
            <v>0</v>
          </cell>
          <cell r="I18">
            <v>2175</v>
          </cell>
          <cell r="J18">
            <v>-1248</v>
          </cell>
          <cell r="K18">
            <v>0</v>
          </cell>
          <cell r="L18">
            <v>0</v>
          </cell>
          <cell r="M18">
            <v>0</v>
          </cell>
          <cell r="N18">
            <v>0</v>
          </cell>
          <cell r="O18">
            <v>0</v>
          </cell>
          <cell r="P18">
            <v>0</v>
          </cell>
          <cell r="Q18">
            <v>0</v>
          </cell>
          <cell r="R18">
            <v>0</v>
          </cell>
          <cell r="S18">
            <v>0</v>
          </cell>
          <cell r="T18">
            <v>0</v>
          </cell>
          <cell r="U18">
            <v>0</v>
          </cell>
        </row>
        <row r="19">
          <cell r="A19" t="str">
            <v>Remeasurement (gains)/losses arising from changes in demographic assumptions</v>
          </cell>
          <cell r="B19">
            <v>0</v>
          </cell>
          <cell r="C19">
            <v>0</v>
          </cell>
          <cell r="D19">
            <v>0</v>
          </cell>
          <cell r="E19">
            <v>0</v>
          </cell>
          <cell r="F19">
            <v>0</v>
          </cell>
          <cell r="G19">
            <v>0</v>
          </cell>
          <cell r="H19">
            <v>0</v>
          </cell>
          <cell r="I19">
            <v>889</v>
          </cell>
          <cell r="J19">
            <v>-60</v>
          </cell>
          <cell r="K19">
            <v>0</v>
          </cell>
          <cell r="L19">
            <v>0</v>
          </cell>
          <cell r="M19">
            <v>0</v>
          </cell>
          <cell r="N19">
            <v>0</v>
          </cell>
          <cell r="O19">
            <v>0</v>
          </cell>
          <cell r="P19">
            <v>0</v>
          </cell>
          <cell r="Q19">
            <v>0</v>
          </cell>
          <cell r="R19">
            <v>0</v>
          </cell>
          <cell r="S19">
            <v>0</v>
          </cell>
          <cell r="T19">
            <v>0</v>
          </cell>
          <cell r="U19">
            <v>0</v>
          </cell>
        </row>
        <row r="20">
          <cell r="A20" t="str">
            <v>Experience related remeasurement losses/(gains)</v>
          </cell>
          <cell r="B20">
            <v>0</v>
          </cell>
          <cell r="C20">
            <v>0</v>
          </cell>
          <cell r="D20">
            <v>0</v>
          </cell>
          <cell r="E20">
            <v>0</v>
          </cell>
          <cell r="F20">
            <v>0</v>
          </cell>
          <cell r="G20">
            <v>0</v>
          </cell>
          <cell r="H20">
            <v>0</v>
          </cell>
          <cell r="I20">
            <v>16</v>
          </cell>
          <cell r="J20">
            <v>160</v>
          </cell>
          <cell r="K20">
            <v>0</v>
          </cell>
          <cell r="L20">
            <v>0</v>
          </cell>
          <cell r="M20">
            <v>0</v>
          </cell>
          <cell r="N20">
            <v>0</v>
          </cell>
          <cell r="O20">
            <v>0</v>
          </cell>
          <cell r="P20">
            <v>0</v>
          </cell>
          <cell r="Q20">
            <v>0</v>
          </cell>
          <cell r="R20">
            <v>0</v>
          </cell>
          <cell r="S20">
            <v>0</v>
          </cell>
          <cell r="T20">
            <v>0</v>
          </cell>
          <cell r="U20">
            <v>0</v>
          </cell>
        </row>
        <row r="21">
          <cell r="A21" t="str">
            <v>Currency translation effects</v>
          </cell>
          <cell r="B21">
            <v>-1921</v>
          </cell>
          <cell r="C21">
            <v>1076</v>
          </cell>
          <cell r="D21">
            <v>1056</v>
          </cell>
          <cell r="E21">
            <v>564</v>
          </cell>
          <cell r="F21">
            <v>329</v>
          </cell>
          <cell r="G21">
            <v>1193</v>
          </cell>
          <cell r="H21">
            <v>-92</v>
          </cell>
          <cell r="I21">
            <v>488</v>
          </cell>
          <cell r="J21">
            <v>442</v>
          </cell>
          <cell r="K21">
            <v>0</v>
          </cell>
          <cell r="L21">
            <v>0</v>
          </cell>
          <cell r="M21">
            <v>0</v>
          </cell>
          <cell r="N21">
            <v>0</v>
          </cell>
          <cell r="O21">
            <v>0</v>
          </cell>
          <cell r="P21">
            <v>0</v>
          </cell>
          <cell r="Q21">
            <v>0</v>
          </cell>
          <cell r="R21">
            <v>0</v>
          </cell>
          <cell r="S21">
            <v>0</v>
          </cell>
          <cell r="T21">
            <v>0</v>
          </cell>
          <cell r="U21">
            <v>0</v>
          </cell>
        </row>
        <row r="22">
          <cell r="A22" t="str">
            <v>Benefit payments</v>
          </cell>
          <cell r="B22">
            <v>-855</v>
          </cell>
          <cell r="C22">
            <v>-865</v>
          </cell>
          <cell r="D22">
            <v>-996</v>
          </cell>
          <cell r="E22">
            <v>-1131</v>
          </cell>
          <cell r="F22">
            <v>-1013</v>
          </cell>
          <cell r="G22">
            <v>-1078</v>
          </cell>
          <cell r="H22">
            <v>-1231</v>
          </cell>
          <cell r="I22">
            <v>-1238</v>
          </cell>
          <cell r="J22">
            <v>-1240</v>
          </cell>
          <cell r="K22">
            <v>-1351</v>
          </cell>
          <cell r="L22">
            <v>-1355</v>
          </cell>
          <cell r="M22">
            <v>-1377</v>
          </cell>
          <cell r="N22">
            <v>-1389</v>
          </cell>
          <cell r="O22">
            <v>-1402</v>
          </cell>
          <cell r="P22">
            <v>-1414.2178649237471</v>
          </cell>
          <cell r="Q22">
            <v>-1426.542203615893</v>
          </cell>
          <cell r="R22">
            <v>-1438.9739439524149</v>
          </cell>
          <cell r="S22">
            <v>-1451.5140218953552</v>
          </cell>
          <cell r="T22">
            <v>-1464.1633815632883</v>
          </cell>
          <cell r="U22">
            <v>-1476.9229753024017</v>
          </cell>
        </row>
        <row r="23">
          <cell r="A23" t="str">
            <v>Contributions of associates</v>
          </cell>
          <cell r="B23">
            <v>63</v>
          </cell>
          <cell r="C23">
            <v>63</v>
          </cell>
          <cell r="D23">
            <v>116</v>
          </cell>
          <cell r="E23">
            <v>112</v>
          </cell>
          <cell r="F23">
            <v>124</v>
          </cell>
          <cell r="G23">
            <v>133</v>
          </cell>
          <cell r="H23">
            <v>187</v>
          </cell>
          <cell r="I23">
            <v>189</v>
          </cell>
          <cell r="J23">
            <v>221</v>
          </cell>
          <cell r="K23">
            <v>221</v>
          </cell>
          <cell r="L23">
            <v>221</v>
          </cell>
          <cell r="M23">
            <v>221</v>
          </cell>
          <cell r="N23">
            <v>221</v>
          </cell>
          <cell r="O23">
            <v>221</v>
          </cell>
          <cell r="P23">
            <v>221</v>
          </cell>
          <cell r="Q23">
            <v>221</v>
          </cell>
          <cell r="R23">
            <v>221</v>
          </cell>
          <cell r="S23">
            <v>221</v>
          </cell>
          <cell r="T23">
            <v>221</v>
          </cell>
          <cell r="U23">
            <v>221</v>
          </cell>
        </row>
        <row r="24">
          <cell r="A24" t="str">
            <v>Plan amendments</v>
          </cell>
          <cell r="B24">
            <v>55</v>
          </cell>
          <cell r="C24">
            <v>-7</v>
          </cell>
          <cell r="D24">
            <v>-94</v>
          </cell>
          <cell r="E24">
            <v>6</v>
          </cell>
          <cell r="F24">
            <v>-4</v>
          </cell>
          <cell r="G24">
            <v>-290</v>
          </cell>
          <cell r="H24">
            <v>18</v>
          </cell>
          <cell r="I24">
            <v>0</v>
          </cell>
          <cell r="J24">
            <v>0</v>
          </cell>
          <cell r="K24">
            <v>0</v>
          </cell>
          <cell r="L24">
            <v>0</v>
          </cell>
          <cell r="M24">
            <v>0</v>
          </cell>
          <cell r="N24">
            <v>0</v>
          </cell>
          <cell r="O24">
            <v>0</v>
          </cell>
          <cell r="P24">
            <v>0</v>
          </cell>
          <cell r="Q24">
            <v>0</v>
          </cell>
          <cell r="R24">
            <v>0</v>
          </cell>
          <cell r="S24">
            <v>0</v>
          </cell>
          <cell r="T24">
            <v>0</v>
          </cell>
          <cell r="U24">
            <v>0</v>
          </cell>
        </row>
        <row r="25">
          <cell r="A25" t="str">
            <v>Actuarial losses/(gains)</v>
          </cell>
          <cell r="B25">
            <v>869</v>
          </cell>
          <cell r="C25">
            <v>-144</v>
          </cell>
          <cell r="D25">
            <v>-586</v>
          </cell>
          <cell r="E25">
            <v>-127</v>
          </cell>
          <cell r="F25">
            <v>-310</v>
          </cell>
          <cell r="G25">
            <v>668</v>
          </cell>
          <cell r="H25">
            <v>822</v>
          </cell>
          <cell r="I25">
            <v>0</v>
          </cell>
          <cell r="J25">
            <v>0</v>
          </cell>
          <cell r="K25">
            <v>0</v>
          </cell>
          <cell r="L25">
            <v>0</v>
          </cell>
          <cell r="M25">
            <v>0</v>
          </cell>
          <cell r="N25">
            <v>0</v>
          </cell>
          <cell r="O25">
            <v>0</v>
          </cell>
          <cell r="P25">
            <v>0</v>
          </cell>
          <cell r="Q25">
            <v>0</v>
          </cell>
          <cell r="R25">
            <v>0</v>
          </cell>
          <cell r="S25">
            <v>0</v>
          </cell>
          <cell r="T25">
            <v>0</v>
          </cell>
          <cell r="U25">
            <v>0</v>
          </cell>
        </row>
        <row r="26">
          <cell r="A26" t="str">
            <v>Transfer of benefit obligations related to discontinued operations</v>
          </cell>
          <cell r="B26">
            <v>0</v>
          </cell>
          <cell r="C26">
            <v>-49</v>
          </cell>
          <cell r="D26">
            <v>-197</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row>
        <row r="27">
          <cell r="A27" t="str">
            <v>Effect of acquisitions, divestments or transfers</v>
          </cell>
          <cell r="B27">
            <v>3</v>
          </cell>
          <cell r="C27">
            <v>85</v>
          </cell>
          <cell r="D27">
            <v>0</v>
          </cell>
          <cell r="E27">
            <v>5</v>
          </cell>
          <cell r="F27">
            <v>124</v>
          </cell>
          <cell r="G27">
            <v>916</v>
          </cell>
          <cell r="H27">
            <v>303</v>
          </cell>
          <cell r="I27">
            <v>185</v>
          </cell>
          <cell r="J27">
            <v>13</v>
          </cell>
          <cell r="K27">
            <v>0</v>
          </cell>
          <cell r="L27">
            <v>0</v>
          </cell>
          <cell r="M27">
            <v>0</v>
          </cell>
          <cell r="N27">
            <v>0</v>
          </cell>
          <cell r="O27">
            <v>0</v>
          </cell>
          <cell r="P27">
            <v>0</v>
          </cell>
          <cell r="Q27">
            <v>0</v>
          </cell>
          <cell r="R27">
            <v>0</v>
          </cell>
          <cell r="S27">
            <v>0</v>
          </cell>
          <cell r="T27">
            <v>0</v>
          </cell>
          <cell r="U27">
            <v>0</v>
          </cell>
        </row>
        <row r="28">
          <cell r="A28" t="str">
            <v>Defined Benefit Obligation - Closing</v>
          </cell>
          <cell r="B28">
            <v>15632</v>
          </cell>
          <cell r="C28">
            <v>16767</v>
          </cell>
          <cell r="D28">
            <v>17105</v>
          </cell>
          <cell r="E28">
            <v>17643</v>
          </cell>
          <cell r="F28">
            <v>18009</v>
          </cell>
          <cell r="G28">
            <v>20568</v>
          </cell>
          <cell r="H28">
            <v>21730</v>
          </cell>
          <cell r="I28">
            <v>25503</v>
          </cell>
          <cell r="J28">
            <v>24801</v>
          </cell>
          <cell r="K28">
            <v>24838.163874999998</v>
          </cell>
          <cell r="L28">
            <v>24887.252351874999</v>
          </cell>
          <cell r="M28">
            <v>24931.141507678123</v>
          </cell>
          <cell r="N28">
            <v>24980.211843638983</v>
          </cell>
          <cell r="O28">
            <v>25034.174052854236</v>
          </cell>
          <cell r="P28">
            <v>25094.531718308914</v>
          </cell>
          <cell r="Q28">
            <v>25161.965035842833</v>
          </cell>
          <cell r="R28">
            <v>25237.194497502267</v>
          </cell>
          <cell r="S28">
            <v>25320.982820977322</v>
          </cell>
          <cell r="T28">
            <v>25414.136962354285</v>
          </cell>
          <cell r="U28">
            <v>25517.510215574326</v>
          </cell>
        </row>
        <row r="29">
          <cell r="A29" t="str">
            <v xml:space="preserve">     Funded Plans</v>
          </cell>
          <cell r="B29">
            <v>14549</v>
          </cell>
          <cell r="C29">
            <v>15996</v>
          </cell>
          <cell r="D29">
            <v>16778</v>
          </cell>
          <cell r="E29">
            <v>17397</v>
          </cell>
          <cell r="F29">
            <v>17730</v>
          </cell>
          <cell r="G29">
            <v>19661</v>
          </cell>
          <cell r="H29">
            <v>20860</v>
          </cell>
          <cell r="I29">
            <v>24221</v>
          </cell>
          <cell r="J29">
            <v>23594</v>
          </cell>
          <cell r="K29">
            <v>23629.355206110638</v>
          </cell>
          <cell r="L29">
            <v>23676.054674817093</v>
          </cell>
          <cell r="M29">
            <v>23717.807859850716</v>
          </cell>
          <cell r="N29">
            <v>23764.490070514017</v>
          </cell>
          <cell r="O29">
            <v>23815.826079716255</v>
          </cell>
          <cell r="P29">
            <v>23873.246294979253</v>
          </cell>
          <cell r="Q29">
            <v>23937.397808784961</v>
          </cell>
          <cell r="R29">
            <v>24008.966048710474</v>
          </cell>
          <cell r="S29">
            <v>24088.676612964759</v>
          </cell>
          <cell r="T29">
            <v>24177.297185185558</v>
          </cell>
          <cell r="U29">
            <v>24275.63953172294</v>
          </cell>
        </row>
        <row r="30">
          <cell r="A30" t="str">
            <v xml:space="preserve">     Unfunded Plans</v>
          </cell>
          <cell r="B30">
            <v>1083</v>
          </cell>
          <cell r="C30">
            <v>771</v>
          </cell>
          <cell r="D30">
            <v>327</v>
          </cell>
          <cell r="E30">
            <v>246</v>
          </cell>
          <cell r="F30">
            <v>279</v>
          </cell>
          <cell r="G30">
            <v>907</v>
          </cell>
          <cell r="H30">
            <v>870</v>
          </cell>
          <cell r="I30">
            <v>1282</v>
          </cell>
          <cell r="J30">
            <v>1207</v>
          </cell>
          <cell r="K30">
            <v>1208.8086688893593</v>
          </cell>
          <cell r="L30">
            <v>1211.197677057906</v>
          </cell>
          <cell r="M30">
            <v>1213.3336478274061</v>
          </cell>
          <cell r="N30">
            <v>1215.721773124965</v>
          </cell>
          <cell r="O30">
            <v>1218.3479731379809</v>
          </cell>
          <cell r="P30">
            <v>1221.2854233296587</v>
          </cell>
          <cell r="Q30">
            <v>1224.567227057873</v>
          </cell>
          <cell r="R30">
            <v>1228.2284487917925</v>
          </cell>
          <cell r="S30">
            <v>1232.3062080125655</v>
          </cell>
          <cell r="T30">
            <v>1236.8397771687285</v>
          </cell>
          <cell r="U30">
            <v>1241.870683851386</v>
          </cell>
        </row>
        <row r="32">
          <cell r="A32" t="str">
            <v>Plan Assets - Opening</v>
          </cell>
          <cell r="B32">
            <v>17663</v>
          </cell>
          <cell r="C32">
            <v>16059</v>
          </cell>
          <cell r="D32">
            <v>17515</v>
          </cell>
          <cell r="E32">
            <v>18355</v>
          </cell>
          <cell r="F32">
            <v>16065</v>
          </cell>
          <cell r="G32">
            <v>17611</v>
          </cell>
          <cell r="H32">
            <v>19265</v>
          </cell>
          <cell r="I32">
            <v>18826</v>
          </cell>
          <cell r="J32">
            <v>20282</v>
          </cell>
          <cell r="K32">
            <v>21481</v>
          </cell>
          <cell r="L32">
            <v>21466.43</v>
          </cell>
          <cell r="M32">
            <v>21463.907900000002</v>
          </cell>
          <cell r="N32">
            <v>21456.372112000005</v>
          </cell>
          <cell r="O32">
            <v>21454.269394485003</v>
          </cell>
          <cell r="P32">
            <v>21457.380809613929</v>
          </cell>
          <cell r="Q32">
            <v>21467.28461893828</v>
          </cell>
          <cell r="R32">
            <v>21484.740212598801</v>
          </cell>
          <cell r="S32">
            <v>21510.552007787403</v>
          </cell>
          <cell r="T32">
            <v>21545.57160253543</v>
          </cell>
          <cell r="U32">
            <v>21590.700022432309</v>
          </cell>
        </row>
        <row r="33">
          <cell r="A33" t="str">
            <v>Interest income</v>
          </cell>
          <cell r="B33">
            <v>0</v>
          </cell>
          <cell r="C33">
            <v>0</v>
          </cell>
          <cell r="D33">
            <v>0</v>
          </cell>
          <cell r="E33">
            <v>0</v>
          </cell>
          <cell r="F33">
            <v>0</v>
          </cell>
          <cell r="G33">
            <v>0</v>
          </cell>
          <cell r="H33">
            <v>0</v>
          </cell>
          <cell r="I33">
            <v>539</v>
          </cell>
          <cell r="J33">
            <v>438</v>
          </cell>
          <cell r="K33">
            <v>0</v>
          </cell>
          <cell r="L33">
            <v>0</v>
          </cell>
          <cell r="M33">
            <v>0</v>
          </cell>
          <cell r="N33">
            <v>0</v>
          </cell>
          <cell r="O33">
            <v>0</v>
          </cell>
          <cell r="P33">
            <v>0</v>
          </cell>
          <cell r="Q33">
            <v>0</v>
          </cell>
          <cell r="R33">
            <v>0</v>
          </cell>
          <cell r="S33">
            <v>0</v>
          </cell>
          <cell r="T33">
            <v>0</v>
          </cell>
          <cell r="U33">
            <v>0</v>
          </cell>
        </row>
        <row r="34">
          <cell r="A34" t="str">
            <v>Return on plan assets excluding interest income</v>
          </cell>
          <cell r="B34">
            <v>716</v>
          </cell>
          <cell r="C34">
            <v>758</v>
          </cell>
          <cell r="D34">
            <v>804</v>
          </cell>
          <cell r="E34">
            <v>843</v>
          </cell>
          <cell r="F34">
            <v>698</v>
          </cell>
          <cell r="G34">
            <v>778</v>
          </cell>
          <cell r="H34">
            <v>909</v>
          </cell>
          <cell r="I34">
            <v>984</v>
          </cell>
          <cell r="J34">
            <v>850</v>
          </cell>
          <cell r="K34">
            <v>644.42999999999995</v>
          </cell>
          <cell r="L34">
            <v>643.99289999999996</v>
          </cell>
          <cell r="M34">
            <v>643.917237</v>
          </cell>
          <cell r="N34">
            <v>643.69116336000013</v>
          </cell>
          <cell r="O34">
            <v>643.62808183455013</v>
          </cell>
          <cell r="P34">
            <v>643.72142428841789</v>
          </cell>
          <cell r="Q34">
            <v>644.01853856814841</v>
          </cell>
          <cell r="R34">
            <v>644.54220637796402</v>
          </cell>
          <cell r="S34">
            <v>645.316560233622</v>
          </cell>
          <cell r="T34">
            <v>646.3671480760629</v>
          </cell>
          <cell r="U34">
            <v>647.72100067296924</v>
          </cell>
        </row>
        <row r="35">
          <cell r="A35" t="str">
            <v>Currency translation effects</v>
          </cell>
          <cell r="B35">
            <v>-2119</v>
          </cell>
          <cell r="C35">
            <v>1094</v>
          </cell>
          <cell r="D35">
            <v>1088</v>
          </cell>
          <cell r="E35">
            <v>698</v>
          </cell>
          <cell r="F35">
            <v>373</v>
          </cell>
          <cell r="G35">
            <v>1340</v>
          </cell>
          <cell r="H35">
            <v>-2</v>
          </cell>
          <cell r="I35">
            <v>408</v>
          </cell>
          <cell r="J35">
            <v>383</v>
          </cell>
          <cell r="K35">
            <v>0</v>
          </cell>
          <cell r="L35">
            <v>0</v>
          </cell>
          <cell r="M35">
            <v>0</v>
          </cell>
          <cell r="N35">
            <v>0</v>
          </cell>
          <cell r="O35">
            <v>0</v>
          </cell>
          <cell r="P35">
            <v>0</v>
          </cell>
          <cell r="Q35">
            <v>0</v>
          </cell>
          <cell r="R35">
            <v>0</v>
          </cell>
          <cell r="S35">
            <v>0</v>
          </cell>
          <cell r="T35">
            <v>0</v>
          </cell>
          <cell r="U35">
            <v>0</v>
          </cell>
        </row>
        <row r="36">
          <cell r="A36" t="str">
            <v>Novartis Group contributions</v>
          </cell>
          <cell r="B36">
            <v>224</v>
          </cell>
          <cell r="C36">
            <v>388</v>
          </cell>
          <cell r="D36">
            <v>59</v>
          </cell>
          <cell r="E36">
            <v>200</v>
          </cell>
          <cell r="F36">
            <v>268</v>
          </cell>
          <cell r="G36">
            <v>381</v>
          </cell>
          <cell r="H36">
            <v>367</v>
          </cell>
          <cell r="I36">
            <v>497</v>
          </cell>
          <cell r="J36">
            <v>560</v>
          </cell>
          <cell r="K36">
            <v>471</v>
          </cell>
          <cell r="L36">
            <v>487.48499999999996</v>
          </cell>
          <cell r="M36">
            <v>504.54697499999992</v>
          </cell>
          <cell r="N36">
            <v>522.20611912499987</v>
          </cell>
          <cell r="O36">
            <v>540.4833332943748</v>
          </cell>
          <cell r="P36">
            <v>559.40024995967792</v>
          </cell>
          <cell r="Q36">
            <v>578.97925870826657</v>
          </cell>
          <cell r="R36">
            <v>599.2435327630559</v>
          </cell>
          <cell r="S36">
            <v>620.21705640976279</v>
          </cell>
          <cell r="T36">
            <v>641.92465338410443</v>
          </cell>
          <cell r="U36">
            <v>664.39201625254805</v>
          </cell>
        </row>
        <row r="37">
          <cell r="A37" t="str">
            <v>Contributions of associates</v>
          </cell>
          <cell r="B37">
            <v>63</v>
          </cell>
          <cell r="C37">
            <v>63</v>
          </cell>
          <cell r="D37">
            <v>116</v>
          </cell>
          <cell r="E37">
            <v>112</v>
          </cell>
          <cell r="F37">
            <v>124</v>
          </cell>
          <cell r="G37">
            <v>133</v>
          </cell>
          <cell r="H37">
            <v>187</v>
          </cell>
          <cell r="I37">
            <v>189</v>
          </cell>
          <cell r="J37">
            <v>221</v>
          </cell>
          <cell r="K37">
            <v>221</v>
          </cell>
          <cell r="L37">
            <v>221</v>
          </cell>
          <cell r="M37">
            <v>221</v>
          </cell>
          <cell r="N37">
            <v>221</v>
          </cell>
          <cell r="O37">
            <v>221</v>
          </cell>
          <cell r="P37">
            <v>221</v>
          </cell>
          <cell r="Q37">
            <v>221</v>
          </cell>
          <cell r="R37">
            <v>221</v>
          </cell>
          <cell r="S37">
            <v>221</v>
          </cell>
          <cell r="T37">
            <v>221</v>
          </cell>
          <cell r="U37">
            <v>221</v>
          </cell>
        </row>
        <row r="38">
          <cell r="A38" t="str">
            <v>Settlements</v>
          </cell>
          <cell r="B38">
            <v>0</v>
          </cell>
          <cell r="C38">
            <v>0</v>
          </cell>
          <cell r="D38">
            <v>0</v>
          </cell>
          <cell r="E38">
            <v>0</v>
          </cell>
          <cell r="F38">
            <v>0</v>
          </cell>
          <cell r="G38">
            <v>0</v>
          </cell>
          <cell r="H38">
            <v>0</v>
          </cell>
          <cell r="I38">
            <v>-2</v>
          </cell>
          <cell r="J38">
            <v>-14</v>
          </cell>
          <cell r="K38">
            <v>0</v>
          </cell>
          <cell r="L38">
            <v>0</v>
          </cell>
          <cell r="M38">
            <v>0</v>
          </cell>
          <cell r="N38">
            <v>0</v>
          </cell>
          <cell r="O38">
            <v>0</v>
          </cell>
          <cell r="P38">
            <v>0</v>
          </cell>
          <cell r="Q38">
            <v>0</v>
          </cell>
          <cell r="R38">
            <v>0</v>
          </cell>
          <cell r="S38">
            <v>0</v>
          </cell>
          <cell r="T38">
            <v>0</v>
          </cell>
          <cell r="U38">
            <v>0</v>
          </cell>
        </row>
        <row r="39">
          <cell r="A39" t="str">
            <v>Benefit payments</v>
          </cell>
          <cell r="B39">
            <v>-855</v>
          </cell>
          <cell r="C39">
            <v>-865</v>
          </cell>
          <cell r="D39">
            <v>-996</v>
          </cell>
          <cell r="E39">
            <v>-1131</v>
          </cell>
          <cell r="F39">
            <v>-1013</v>
          </cell>
          <cell r="G39">
            <v>-1078</v>
          </cell>
          <cell r="H39">
            <v>-1231</v>
          </cell>
          <cell r="I39">
            <v>-1238</v>
          </cell>
          <cell r="J39">
            <v>-1240</v>
          </cell>
          <cell r="K39">
            <v>-1351</v>
          </cell>
          <cell r="L39">
            <v>-1355</v>
          </cell>
          <cell r="M39">
            <v>-1377</v>
          </cell>
          <cell r="N39">
            <v>-1389</v>
          </cell>
          <cell r="O39">
            <v>-1402</v>
          </cell>
          <cell r="P39">
            <v>-1414.2178649237471</v>
          </cell>
          <cell r="Q39">
            <v>-1426.542203615893</v>
          </cell>
          <cell r="R39">
            <v>-1438.9739439524149</v>
          </cell>
          <cell r="S39">
            <v>-1451.5140218953552</v>
          </cell>
          <cell r="T39">
            <v>-1464.1633815632883</v>
          </cell>
          <cell r="U39">
            <v>-1476.9229753024017</v>
          </cell>
        </row>
        <row r="40">
          <cell r="A40" t="str">
            <v>Effect of acquisitions, divestments or transfers</v>
          </cell>
          <cell r="B40">
            <v>0</v>
          </cell>
          <cell r="C40">
            <v>26</v>
          </cell>
          <cell r="D40">
            <v>0</v>
          </cell>
          <cell r="E40">
            <v>3</v>
          </cell>
          <cell r="F40">
            <v>117</v>
          </cell>
          <cell r="G40">
            <v>285</v>
          </cell>
          <cell r="H40">
            <v>371</v>
          </cell>
          <cell r="I40">
            <v>79</v>
          </cell>
          <cell r="J40">
            <v>1</v>
          </cell>
          <cell r="K40">
            <v>0</v>
          </cell>
          <cell r="L40">
            <v>0</v>
          </cell>
          <cell r="M40">
            <v>0</v>
          </cell>
          <cell r="N40">
            <v>0</v>
          </cell>
          <cell r="O40">
            <v>0</v>
          </cell>
          <cell r="P40">
            <v>0</v>
          </cell>
          <cell r="Q40">
            <v>0</v>
          </cell>
          <cell r="R40">
            <v>0</v>
          </cell>
          <cell r="S40">
            <v>0</v>
          </cell>
          <cell r="T40">
            <v>0</v>
          </cell>
          <cell r="U40">
            <v>0</v>
          </cell>
        </row>
        <row r="41">
          <cell r="A41" t="str">
            <v>Actuarial gains/(losses)</v>
          </cell>
          <cell r="B41">
            <v>367</v>
          </cell>
          <cell r="C41">
            <v>13</v>
          </cell>
          <cell r="D41">
            <v>4</v>
          </cell>
          <cell r="E41">
            <v>-3006</v>
          </cell>
          <cell r="F41">
            <v>981</v>
          </cell>
          <cell r="G41">
            <v>-164</v>
          </cell>
          <cell r="H41">
            <v>-1038</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Transfer of plan assets related to discontinued operations</v>
          </cell>
          <cell r="B42">
            <v>0</v>
          </cell>
          <cell r="C42">
            <v>-21</v>
          </cell>
          <cell r="D42">
            <v>-199</v>
          </cell>
          <cell r="E42">
            <v>-9</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Plan amendments</v>
          </cell>
          <cell r="B43">
            <v>0</v>
          </cell>
          <cell r="C43">
            <v>0</v>
          </cell>
          <cell r="D43">
            <v>-36</v>
          </cell>
          <cell r="E43">
            <v>0</v>
          </cell>
          <cell r="F43">
            <v>-2</v>
          </cell>
          <cell r="G43">
            <v>-21</v>
          </cell>
          <cell r="H43">
            <v>-2</v>
          </cell>
          <cell r="I43">
            <v>0</v>
          </cell>
          <cell r="J43">
            <v>0</v>
          </cell>
          <cell r="K43">
            <v>0</v>
          </cell>
          <cell r="L43">
            <v>0</v>
          </cell>
          <cell r="M43">
            <v>0</v>
          </cell>
          <cell r="N43">
            <v>0</v>
          </cell>
          <cell r="O43">
            <v>0</v>
          </cell>
          <cell r="P43">
            <v>0</v>
          </cell>
          <cell r="Q43">
            <v>0</v>
          </cell>
          <cell r="R43">
            <v>0</v>
          </cell>
          <cell r="S43">
            <v>0</v>
          </cell>
          <cell r="T43">
            <v>0</v>
          </cell>
          <cell r="U43">
            <v>0</v>
          </cell>
        </row>
        <row r="44">
          <cell r="A44" t="str">
            <v>Plan Assets - Closing</v>
          </cell>
          <cell r="B44">
            <v>16059</v>
          </cell>
          <cell r="C44">
            <v>17515</v>
          </cell>
          <cell r="D44">
            <v>18355</v>
          </cell>
          <cell r="E44">
            <v>16065</v>
          </cell>
          <cell r="F44">
            <v>17611</v>
          </cell>
          <cell r="G44">
            <v>19265</v>
          </cell>
          <cell r="H44">
            <v>18826</v>
          </cell>
          <cell r="I44">
            <v>20282</v>
          </cell>
          <cell r="J44">
            <v>21481</v>
          </cell>
          <cell r="K44">
            <v>21466.43</v>
          </cell>
          <cell r="L44">
            <v>21463.907900000002</v>
          </cell>
          <cell r="M44">
            <v>21456.372112000005</v>
          </cell>
          <cell r="N44">
            <v>21454.269394485003</v>
          </cell>
          <cell r="O44">
            <v>21457.380809613929</v>
          </cell>
          <cell r="P44">
            <v>21467.28461893828</v>
          </cell>
          <cell r="Q44">
            <v>21484.740212598801</v>
          </cell>
          <cell r="R44">
            <v>21510.552007787403</v>
          </cell>
          <cell r="S44">
            <v>21545.57160253543</v>
          </cell>
          <cell r="T44">
            <v>21590.700022432309</v>
          </cell>
          <cell r="U44">
            <v>21646.890064055424</v>
          </cell>
        </row>
        <row r="45">
          <cell r="A45" t="str">
            <v>Actual return on plan assets</v>
          </cell>
          <cell r="B45">
            <v>716</v>
          </cell>
          <cell r="C45">
            <v>758</v>
          </cell>
          <cell r="D45">
            <v>804</v>
          </cell>
          <cell r="E45">
            <v>843</v>
          </cell>
          <cell r="F45">
            <v>698</v>
          </cell>
          <cell r="G45">
            <v>778</v>
          </cell>
          <cell r="H45">
            <v>909</v>
          </cell>
          <cell r="I45">
            <v>984</v>
          </cell>
          <cell r="J45">
            <v>850</v>
          </cell>
          <cell r="K45">
            <v>644.42999999999995</v>
          </cell>
          <cell r="L45">
            <v>643.99289999999996</v>
          </cell>
          <cell r="M45">
            <v>643.917237</v>
          </cell>
          <cell r="N45">
            <v>643.69116336000013</v>
          </cell>
          <cell r="O45">
            <v>643.62808183455013</v>
          </cell>
          <cell r="P45">
            <v>643.72142428841789</v>
          </cell>
          <cell r="Q45">
            <v>644.01853856814841</v>
          </cell>
          <cell r="R45">
            <v>644.54220637796402</v>
          </cell>
          <cell r="S45">
            <v>645.316560233622</v>
          </cell>
          <cell r="T45">
            <v>646.3671480760629</v>
          </cell>
          <cell r="U45">
            <v>647.72100067296924</v>
          </cell>
        </row>
        <row r="47">
          <cell r="A47" t="str">
            <v>Summary</v>
          </cell>
        </row>
        <row r="48">
          <cell r="A48" t="str">
            <v>Benefit obligation - funded plans</v>
          </cell>
          <cell r="B48">
            <v>14549</v>
          </cell>
          <cell r="C48">
            <v>15996</v>
          </cell>
          <cell r="D48">
            <v>16778</v>
          </cell>
          <cell r="E48">
            <v>17397</v>
          </cell>
          <cell r="F48">
            <v>17730</v>
          </cell>
          <cell r="G48">
            <v>19661</v>
          </cell>
          <cell r="H48">
            <v>20860</v>
          </cell>
          <cell r="I48">
            <v>24221</v>
          </cell>
          <cell r="J48">
            <v>23594</v>
          </cell>
          <cell r="K48">
            <v>23629.355206110638</v>
          </cell>
          <cell r="L48">
            <v>23676.054674817093</v>
          </cell>
          <cell r="M48">
            <v>23717.807859850716</v>
          </cell>
          <cell r="N48">
            <v>23764.490070514017</v>
          </cell>
          <cell r="O48">
            <v>23815.826079716255</v>
          </cell>
          <cell r="P48">
            <v>23873.246294979253</v>
          </cell>
          <cell r="Q48">
            <v>23937.397808784961</v>
          </cell>
          <cell r="R48">
            <v>24008.966048710474</v>
          </cell>
          <cell r="S48">
            <v>24088.676612964759</v>
          </cell>
          <cell r="T48">
            <v>24177.297185185558</v>
          </cell>
          <cell r="U48">
            <v>24275.63953172294</v>
          </cell>
        </row>
        <row r="49">
          <cell r="A49" t="str">
            <v>Plan assets at period end</v>
          </cell>
          <cell r="B49">
            <v>-16059</v>
          </cell>
          <cell r="C49">
            <v>-17515</v>
          </cell>
          <cell r="D49">
            <v>-18355</v>
          </cell>
          <cell r="E49">
            <v>-16065</v>
          </cell>
          <cell r="F49">
            <v>-17611</v>
          </cell>
          <cell r="G49">
            <v>-19265</v>
          </cell>
          <cell r="H49">
            <v>-18826</v>
          </cell>
          <cell r="I49">
            <v>-20282</v>
          </cell>
          <cell r="J49">
            <v>-21481</v>
          </cell>
          <cell r="K49">
            <v>-21466.43</v>
          </cell>
          <cell r="L49">
            <v>-21463.907900000002</v>
          </cell>
          <cell r="M49">
            <v>-21456.372112000005</v>
          </cell>
          <cell r="N49">
            <v>-21454.269394485003</v>
          </cell>
          <cell r="O49">
            <v>-21457.380809613929</v>
          </cell>
          <cell r="P49">
            <v>-21467.28461893828</v>
          </cell>
          <cell r="Q49">
            <v>-21484.740212598801</v>
          </cell>
          <cell r="R49">
            <v>-21510.552007787403</v>
          </cell>
          <cell r="S49">
            <v>-21545.57160253543</v>
          </cell>
          <cell r="T49">
            <v>-21590.700022432309</v>
          </cell>
          <cell r="U49">
            <v>-21646.890064055424</v>
          </cell>
        </row>
        <row r="50">
          <cell r="A50" t="str">
            <v>Deficit for funded plans</v>
          </cell>
          <cell r="B50">
            <v>-1510</v>
          </cell>
          <cell r="C50">
            <v>-1519</v>
          </cell>
          <cell r="D50">
            <v>-1577</v>
          </cell>
          <cell r="E50">
            <v>1332</v>
          </cell>
          <cell r="F50">
            <v>119</v>
          </cell>
          <cell r="G50">
            <v>396</v>
          </cell>
          <cell r="H50">
            <v>2034</v>
          </cell>
          <cell r="I50">
            <v>3939</v>
          </cell>
          <cell r="J50">
            <v>2113</v>
          </cell>
          <cell r="K50">
            <v>2162.9252061106381</v>
          </cell>
          <cell r="L50">
            <v>2212.1467748170908</v>
          </cell>
          <cell r="M50">
            <v>2261.4357478507118</v>
          </cell>
          <cell r="N50">
            <v>2310.2206760290137</v>
          </cell>
          <cell r="O50">
            <v>2358.4452701023256</v>
          </cell>
          <cell r="P50">
            <v>2405.9616760409735</v>
          </cell>
          <cell r="Q50">
            <v>2452.6575961861599</v>
          </cell>
          <cell r="R50">
            <v>2498.4140409230713</v>
          </cell>
          <cell r="S50">
            <v>2543.1050104293281</v>
          </cell>
          <cell r="T50">
            <v>2586.597162753249</v>
          </cell>
          <cell r="U50">
            <v>2628.749467667516</v>
          </cell>
        </row>
        <row r="51">
          <cell r="A51" t="str">
            <v>Benefit obligation - unfunded plans</v>
          </cell>
          <cell r="B51">
            <v>1083</v>
          </cell>
          <cell r="C51">
            <v>771</v>
          </cell>
          <cell r="D51">
            <v>327</v>
          </cell>
          <cell r="E51">
            <v>246</v>
          </cell>
          <cell r="F51">
            <v>279</v>
          </cell>
          <cell r="G51">
            <v>907</v>
          </cell>
          <cell r="H51">
            <v>870</v>
          </cell>
          <cell r="I51">
            <v>1282</v>
          </cell>
          <cell r="J51">
            <v>1207</v>
          </cell>
          <cell r="K51">
            <v>1208.8086688893593</v>
          </cell>
          <cell r="L51">
            <v>1211.197677057906</v>
          </cell>
          <cell r="M51">
            <v>1213.3336478274061</v>
          </cell>
          <cell r="N51">
            <v>1215.721773124965</v>
          </cell>
          <cell r="O51">
            <v>1218.3479731379809</v>
          </cell>
          <cell r="P51">
            <v>1221.2854233296587</v>
          </cell>
          <cell r="Q51">
            <v>1224.567227057873</v>
          </cell>
          <cell r="R51">
            <v>1228.2284487917925</v>
          </cell>
          <cell r="S51">
            <v>1232.3062080125655</v>
          </cell>
          <cell r="T51">
            <v>1236.8397771687285</v>
          </cell>
          <cell r="U51">
            <v>1241.870683851386</v>
          </cell>
        </row>
        <row r="52">
          <cell r="A52" t="str">
            <v>Funded status</v>
          </cell>
          <cell r="B52">
            <v>-427</v>
          </cell>
          <cell r="C52">
            <v>-748</v>
          </cell>
          <cell r="D52">
            <v>-1250</v>
          </cell>
          <cell r="E52">
            <v>1578</v>
          </cell>
          <cell r="F52">
            <v>398</v>
          </cell>
          <cell r="G52">
            <v>1303</v>
          </cell>
          <cell r="H52">
            <v>2904</v>
          </cell>
          <cell r="I52">
            <v>5221</v>
          </cell>
          <cell r="J52">
            <v>3320</v>
          </cell>
          <cell r="K52">
            <v>3371.7338749999972</v>
          </cell>
          <cell r="L52">
            <v>3423.3444518749966</v>
          </cell>
          <cell r="M52">
            <v>3474.7693956781177</v>
          </cell>
          <cell r="N52">
            <v>3525.9424491539785</v>
          </cell>
          <cell r="O52">
            <v>3576.7932432403068</v>
          </cell>
          <cell r="P52">
            <v>3627.247099370632</v>
          </cell>
          <cell r="Q52">
            <v>3677.2248232440329</v>
          </cell>
          <cell r="R52">
            <v>3726.6424897148636</v>
          </cell>
          <cell r="S52">
            <v>3775.4112184418937</v>
          </cell>
          <cell r="T52">
            <v>3823.4369399219777</v>
          </cell>
          <cell r="U52">
            <v>3870.6201515189023</v>
          </cell>
        </row>
        <row r="53">
          <cell r="A53" t="str">
            <v>Limitation on recognition of fund surplus at January 1</v>
          </cell>
          <cell r="I53">
            <v>-51</v>
          </cell>
          <cell r="J53">
            <v>-21</v>
          </cell>
          <cell r="K53">
            <v>-45</v>
          </cell>
          <cell r="L53">
            <v>-69</v>
          </cell>
          <cell r="M53">
            <v>-93</v>
          </cell>
          <cell r="N53">
            <v>-117</v>
          </cell>
          <cell r="O53">
            <v>-141</v>
          </cell>
          <cell r="P53">
            <v>-165</v>
          </cell>
          <cell r="Q53">
            <v>-189</v>
          </cell>
          <cell r="R53">
            <v>-213</v>
          </cell>
          <cell r="S53">
            <v>-237</v>
          </cell>
          <cell r="T53">
            <v>-261</v>
          </cell>
          <cell r="U53">
            <v>-285</v>
          </cell>
        </row>
        <row r="54">
          <cell r="A54" t="str">
            <v>Unrecognized past service cost</v>
          </cell>
          <cell r="B54">
            <v>-12</v>
          </cell>
          <cell r="C54">
            <v>-11</v>
          </cell>
          <cell r="D54">
            <v>-3</v>
          </cell>
          <cell r="E54">
            <v>-6</v>
          </cell>
          <cell r="F54">
            <v>-5</v>
          </cell>
          <cell r="G54">
            <v>-3</v>
          </cell>
          <cell r="H54">
            <v>-2</v>
          </cell>
          <cell r="I54">
            <v>30</v>
          </cell>
          <cell r="J54">
            <v>-21</v>
          </cell>
          <cell r="K54">
            <v>-21</v>
          </cell>
          <cell r="L54">
            <v>-21</v>
          </cell>
          <cell r="M54">
            <v>-21</v>
          </cell>
          <cell r="N54">
            <v>-21</v>
          </cell>
          <cell r="O54">
            <v>-21</v>
          </cell>
          <cell r="P54">
            <v>-21</v>
          </cell>
          <cell r="Q54">
            <v>-21</v>
          </cell>
          <cell r="R54">
            <v>-21</v>
          </cell>
          <cell r="S54">
            <v>-21</v>
          </cell>
          <cell r="T54">
            <v>-21</v>
          </cell>
          <cell r="U54">
            <v>-21</v>
          </cell>
        </row>
        <row r="55">
          <cell r="A55" t="str">
            <v>amounts not recognised as assets (ceiling)</v>
          </cell>
          <cell r="D55">
            <v>52</v>
          </cell>
          <cell r="F55">
            <v>35</v>
          </cell>
          <cell r="G55">
            <v>35</v>
          </cell>
          <cell r="H55">
            <v>51</v>
          </cell>
          <cell r="I55">
            <v>0</v>
          </cell>
          <cell r="J55">
            <v>-3</v>
          </cell>
          <cell r="K55">
            <v>-3</v>
          </cell>
          <cell r="L55">
            <v>-3</v>
          </cell>
          <cell r="M55">
            <v>-3</v>
          </cell>
          <cell r="N55">
            <v>-3</v>
          </cell>
          <cell r="O55">
            <v>-3</v>
          </cell>
          <cell r="P55">
            <v>-3</v>
          </cell>
          <cell r="Q55">
            <v>-3</v>
          </cell>
          <cell r="R55">
            <v>-3</v>
          </cell>
          <cell r="S55">
            <v>-3</v>
          </cell>
          <cell r="T55">
            <v>-3</v>
          </cell>
          <cell r="U55">
            <v>-3</v>
          </cell>
        </row>
        <row r="56">
          <cell r="A56" t="str">
            <v>Limitation on recognition of fund surplus at December 31</v>
          </cell>
          <cell r="I56">
            <v>-21</v>
          </cell>
          <cell r="J56">
            <v>-45</v>
          </cell>
          <cell r="K56">
            <v>-69</v>
          </cell>
          <cell r="L56">
            <v>-93</v>
          </cell>
          <cell r="M56">
            <v>-117</v>
          </cell>
          <cell r="N56">
            <v>-141</v>
          </cell>
          <cell r="O56">
            <v>-165</v>
          </cell>
          <cell r="P56">
            <v>-189</v>
          </cell>
          <cell r="Q56">
            <v>-213</v>
          </cell>
          <cell r="R56">
            <v>-237</v>
          </cell>
          <cell r="S56">
            <v>-261</v>
          </cell>
          <cell r="T56">
            <v>-285</v>
          </cell>
          <cell r="U56">
            <v>-309</v>
          </cell>
        </row>
        <row r="57">
          <cell r="A57" t="str">
            <v>Net liability/(asset) in the balance sheet</v>
          </cell>
          <cell r="B57">
            <v>-439</v>
          </cell>
          <cell r="C57">
            <v>-759</v>
          </cell>
          <cell r="D57">
            <v>-1201</v>
          </cell>
          <cell r="E57">
            <v>1572</v>
          </cell>
          <cell r="F57">
            <v>428</v>
          </cell>
          <cell r="G57">
            <v>1335</v>
          </cell>
          <cell r="H57">
            <v>2953</v>
          </cell>
          <cell r="I57">
            <v>5242</v>
          </cell>
          <cell r="J57">
            <v>3365</v>
          </cell>
          <cell r="K57">
            <v>3440.7338749999972</v>
          </cell>
          <cell r="L57">
            <v>3516.3444518749966</v>
          </cell>
          <cell r="M57">
            <v>3591.7693956781177</v>
          </cell>
          <cell r="N57">
            <v>3666.9424491539785</v>
          </cell>
          <cell r="O57">
            <v>3741.7932432403068</v>
          </cell>
          <cell r="P57">
            <v>3816.247099370632</v>
          </cell>
          <cell r="Q57">
            <v>3890.2248232440329</v>
          </cell>
          <cell r="R57">
            <v>3963.6424897148636</v>
          </cell>
          <cell r="S57">
            <v>4036.4112184418937</v>
          </cell>
          <cell r="T57">
            <v>4108.4369399219777</v>
          </cell>
          <cell r="U57">
            <v>4179.6201515189023</v>
          </cell>
        </row>
        <row r="58">
          <cell r="A58" t="str">
            <v>Prepaid benefit cost</v>
          </cell>
          <cell r="B58">
            <v>1919</v>
          </cell>
          <cell r="C58">
            <v>2102</v>
          </cell>
          <cell r="D58">
            <v>2309</v>
          </cell>
          <cell r="E58">
            <v>182</v>
          </cell>
          <cell r="F58">
            <v>1585</v>
          </cell>
          <cell r="G58">
            <v>982</v>
          </cell>
          <cell r="H58">
            <v>38</v>
          </cell>
          <cell r="I58">
            <v>55</v>
          </cell>
          <cell r="J58">
            <v>42</v>
          </cell>
          <cell r="K58">
            <v>42</v>
          </cell>
          <cell r="L58">
            <v>42</v>
          </cell>
          <cell r="M58">
            <v>42</v>
          </cell>
          <cell r="N58">
            <v>42</v>
          </cell>
          <cell r="O58">
            <v>42</v>
          </cell>
          <cell r="P58">
            <v>42</v>
          </cell>
          <cell r="Q58">
            <v>42</v>
          </cell>
          <cell r="R58">
            <v>42</v>
          </cell>
          <cell r="S58">
            <v>42</v>
          </cell>
          <cell r="T58">
            <v>42</v>
          </cell>
          <cell r="U58">
            <v>42</v>
          </cell>
        </row>
        <row r="59">
          <cell r="A59" t="str">
            <v>Gross liability</v>
          </cell>
          <cell r="B59">
            <v>1480</v>
          </cell>
          <cell r="C59">
            <v>1343</v>
          </cell>
          <cell r="D59">
            <v>1108</v>
          </cell>
          <cell r="E59">
            <v>1754</v>
          </cell>
          <cell r="F59">
            <v>2013</v>
          </cell>
          <cell r="G59">
            <v>2317</v>
          </cell>
          <cell r="H59">
            <v>2991</v>
          </cell>
          <cell r="I59">
            <v>5297</v>
          </cell>
          <cell r="J59">
            <v>3407</v>
          </cell>
          <cell r="K59">
            <v>3482.7338749999972</v>
          </cell>
          <cell r="L59">
            <v>3558.3444518749966</v>
          </cell>
          <cell r="M59">
            <v>3633.7693956781177</v>
          </cell>
          <cell r="N59">
            <v>3708.9424491539785</v>
          </cell>
          <cell r="O59">
            <v>3783.7932432403068</v>
          </cell>
          <cell r="P59">
            <v>3858.247099370632</v>
          </cell>
          <cell r="Q59">
            <v>3932.2248232440329</v>
          </cell>
          <cell r="R59">
            <v>4005.6424897148636</v>
          </cell>
          <cell r="S59">
            <v>4078.4112184418937</v>
          </cell>
          <cell r="T59">
            <v>4150.4369399219777</v>
          </cell>
          <cell r="U59">
            <v>4221.6201515189023</v>
          </cell>
        </row>
        <row r="62">
          <cell r="A62" t="str">
            <v>Asset Split</v>
          </cell>
        </row>
        <row r="64">
          <cell r="A64" t="str">
            <v>Equity securities</v>
          </cell>
          <cell r="B64">
            <v>0.22</v>
          </cell>
          <cell r="C64">
            <v>0.3</v>
          </cell>
          <cell r="D64">
            <v>0.42</v>
          </cell>
          <cell r="E64">
            <v>0.27</v>
          </cell>
          <cell r="F64">
            <v>0.28999999999999998</v>
          </cell>
          <cell r="G64">
            <v>0.31</v>
          </cell>
          <cell r="H64">
            <v>0.25</v>
          </cell>
          <cell r="I64">
            <v>0.28999999999999998</v>
          </cell>
          <cell r="J64">
            <v>0.39</v>
          </cell>
          <cell r="K64">
            <v>0.39</v>
          </cell>
          <cell r="L64">
            <v>0.39</v>
          </cell>
          <cell r="M64">
            <v>0.39</v>
          </cell>
          <cell r="N64">
            <v>0.39</v>
          </cell>
          <cell r="O64">
            <v>0.39</v>
          </cell>
          <cell r="P64">
            <v>0.39</v>
          </cell>
          <cell r="Q64">
            <v>0.39</v>
          </cell>
          <cell r="R64">
            <v>0.39</v>
          </cell>
          <cell r="S64">
            <v>0.39</v>
          </cell>
          <cell r="T64">
            <v>0.39</v>
          </cell>
          <cell r="U64">
            <v>0.39</v>
          </cell>
        </row>
        <row r="65">
          <cell r="A65" t="str">
            <v>Debt securities</v>
          </cell>
          <cell r="B65">
            <v>0.61</v>
          </cell>
          <cell r="C65">
            <v>0.54</v>
          </cell>
          <cell r="D65">
            <v>0.39</v>
          </cell>
          <cell r="E65">
            <v>0.47</v>
          </cell>
          <cell r="F65">
            <v>0.49</v>
          </cell>
          <cell r="G65">
            <v>0.43</v>
          </cell>
          <cell r="H65">
            <v>0.49</v>
          </cell>
          <cell r="I65">
            <v>0.43</v>
          </cell>
          <cell r="J65">
            <v>0.32</v>
          </cell>
          <cell r="K65">
            <v>0.32</v>
          </cell>
          <cell r="L65">
            <v>0.32</v>
          </cell>
          <cell r="M65">
            <v>0.32</v>
          </cell>
          <cell r="N65">
            <v>0.32</v>
          </cell>
          <cell r="O65">
            <v>0.32</v>
          </cell>
          <cell r="P65">
            <v>0.32</v>
          </cell>
          <cell r="Q65">
            <v>0.32</v>
          </cell>
          <cell r="R65">
            <v>0.32</v>
          </cell>
          <cell r="S65">
            <v>0.32</v>
          </cell>
          <cell r="T65">
            <v>0.32</v>
          </cell>
          <cell r="U65">
            <v>0.32</v>
          </cell>
        </row>
        <row r="66">
          <cell r="A66" t="str">
            <v>Real estate</v>
          </cell>
          <cell r="B66">
            <v>0.08</v>
          </cell>
          <cell r="C66">
            <v>0.08</v>
          </cell>
          <cell r="D66">
            <v>0.09</v>
          </cell>
          <cell r="E66">
            <v>0.12</v>
          </cell>
          <cell r="F66">
            <v>0.12</v>
          </cell>
          <cell r="G66">
            <v>0.12</v>
          </cell>
          <cell r="H66">
            <v>0.13</v>
          </cell>
          <cell r="I66">
            <v>0.13</v>
          </cell>
          <cell r="J66">
            <v>0.13</v>
          </cell>
          <cell r="K66">
            <v>0.13</v>
          </cell>
          <cell r="L66">
            <v>0.13</v>
          </cell>
          <cell r="M66">
            <v>0.13</v>
          </cell>
          <cell r="N66">
            <v>0.13</v>
          </cell>
          <cell r="O66">
            <v>0.13</v>
          </cell>
          <cell r="P66">
            <v>0.13</v>
          </cell>
          <cell r="Q66">
            <v>0.13</v>
          </cell>
          <cell r="R66">
            <v>0.13</v>
          </cell>
          <cell r="S66">
            <v>0.13</v>
          </cell>
          <cell r="T66">
            <v>0.13</v>
          </cell>
          <cell r="U66">
            <v>0.13</v>
          </cell>
        </row>
        <row r="67">
          <cell r="A67" t="str">
            <v>Alternative investments</v>
          </cell>
          <cell r="B67">
            <v>0</v>
          </cell>
          <cell r="C67">
            <v>0</v>
          </cell>
          <cell r="D67">
            <v>0</v>
          </cell>
          <cell r="E67">
            <v>0</v>
          </cell>
          <cell r="F67">
            <v>0</v>
          </cell>
          <cell r="G67">
            <v>0</v>
          </cell>
          <cell r="H67">
            <v>0.09</v>
          </cell>
          <cell r="I67">
            <v>0.09</v>
          </cell>
          <cell r="J67">
            <v>0.1</v>
          </cell>
          <cell r="K67">
            <v>0.1</v>
          </cell>
          <cell r="L67">
            <v>0.1</v>
          </cell>
          <cell r="M67">
            <v>0.1</v>
          </cell>
          <cell r="N67">
            <v>0.1</v>
          </cell>
          <cell r="O67">
            <v>0.1</v>
          </cell>
          <cell r="P67">
            <v>0.1</v>
          </cell>
          <cell r="Q67">
            <v>0.1</v>
          </cell>
          <cell r="R67">
            <v>0.1</v>
          </cell>
          <cell r="S67">
            <v>0.1</v>
          </cell>
          <cell r="T67">
            <v>0.1</v>
          </cell>
          <cell r="U67">
            <v>0.1</v>
          </cell>
        </row>
        <row r="68">
          <cell r="A68" t="str">
            <v>Cash and other investments</v>
          </cell>
          <cell r="B68">
            <v>0.09</v>
          </cell>
          <cell r="C68">
            <v>0.08</v>
          </cell>
          <cell r="D68">
            <v>0.1</v>
          </cell>
          <cell r="E68">
            <v>0.14000000000000001</v>
          </cell>
          <cell r="F68">
            <v>0.1</v>
          </cell>
          <cell r="G68">
            <v>0.14000000000000001</v>
          </cell>
          <cell r="H68">
            <v>0.04</v>
          </cell>
          <cell r="I68">
            <v>0.06</v>
          </cell>
          <cell r="J68">
            <v>0.06</v>
          </cell>
          <cell r="K68">
            <v>0.06</v>
          </cell>
          <cell r="L68">
            <v>0.06</v>
          </cell>
          <cell r="M68">
            <v>0.06</v>
          </cell>
          <cell r="N68">
            <v>0.06</v>
          </cell>
          <cell r="O68">
            <v>0.06</v>
          </cell>
          <cell r="P68">
            <v>0.06</v>
          </cell>
          <cell r="Q68">
            <v>0.06</v>
          </cell>
          <cell r="R68">
            <v>0.06</v>
          </cell>
          <cell r="S68">
            <v>0.06</v>
          </cell>
          <cell r="T68">
            <v>0.06</v>
          </cell>
          <cell r="U68">
            <v>0.06</v>
          </cell>
        </row>
        <row r="69">
          <cell r="A69" t="str">
            <v>Total</v>
          </cell>
          <cell r="B69">
            <v>0.99999999999999989</v>
          </cell>
          <cell r="C69">
            <v>1</v>
          </cell>
          <cell r="D69">
            <v>1</v>
          </cell>
          <cell r="E69">
            <v>1</v>
          </cell>
          <cell r="F69">
            <v>1</v>
          </cell>
          <cell r="G69">
            <v>1</v>
          </cell>
          <cell r="H69">
            <v>1</v>
          </cell>
          <cell r="I69">
            <v>1</v>
          </cell>
          <cell r="J69">
            <v>1</v>
          </cell>
          <cell r="K69">
            <v>1</v>
          </cell>
          <cell r="L69">
            <v>1</v>
          </cell>
          <cell r="M69">
            <v>1</v>
          </cell>
          <cell r="N69">
            <v>1</v>
          </cell>
          <cell r="O69">
            <v>1</v>
          </cell>
          <cell r="P69">
            <v>1</v>
          </cell>
          <cell r="Q69">
            <v>1</v>
          </cell>
          <cell r="R69">
            <v>1</v>
          </cell>
          <cell r="S69">
            <v>1</v>
          </cell>
          <cell r="T69">
            <v>1</v>
          </cell>
          <cell r="U69">
            <v>1</v>
          </cell>
        </row>
        <row r="71">
          <cell r="A71" t="str">
            <v>Equity securities</v>
          </cell>
          <cell r="B71">
            <v>3532.98</v>
          </cell>
          <cell r="C71">
            <v>5254.5</v>
          </cell>
          <cell r="D71">
            <v>7709.0999999999995</v>
          </cell>
          <cell r="E71">
            <v>4337.55</v>
          </cell>
          <cell r="F71">
            <v>5107.1899999999996</v>
          </cell>
          <cell r="G71">
            <v>5972.15</v>
          </cell>
          <cell r="H71">
            <v>4706.5</v>
          </cell>
          <cell r="I71">
            <v>5881.78</v>
          </cell>
          <cell r="J71">
            <v>8377.59</v>
          </cell>
          <cell r="K71">
            <v>8371.9076999999997</v>
          </cell>
          <cell r="L71">
            <v>8370.924081000001</v>
          </cell>
          <cell r="M71">
            <v>8367.9851236800023</v>
          </cell>
          <cell r="N71">
            <v>8367.1650638491519</v>
          </cell>
          <cell r="O71">
            <v>8368.3785157494331</v>
          </cell>
          <cell r="P71">
            <v>8372.2410013859298</v>
          </cell>
          <cell r="Q71">
            <v>8379.0486829135334</v>
          </cell>
          <cell r="R71">
            <v>8389.1152830370866</v>
          </cell>
          <cell r="S71">
            <v>8402.772924988818</v>
          </cell>
          <cell r="T71">
            <v>8420.3730087486001</v>
          </cell>
          <cell r="U71">
            <v>8442.2871249816162</v>
          </cell>
        </row>
        <row r="72">
          <cell r="A72" t="str">
            <v>Debt securities</v>
          </cell>
          <cell r="B72">
            <v>9795.99</v>
          </cell>
          <cell r="C72">
            <v>9458.1</v>
          </cell>
          <cell r="D72">
            <v>7158.45</v>
          </cell>
          <cell r="E72">
            <v>7550.5499999999993</v>
          </cell>
          <cell r="F72">
            <v>8629.39</v>
          </cell>
          <cell r="G72">
            <v>8283.9500000000007</v>
          </cell>
          <cell r="H72">
            <v>9224.74</v>
          </cell>
          <cell r="I72">
            <v>8721.26</v>
          </cell>
          <cell r="J72">
            <v>6873.92</v>
          </cell>
          <cell r="K72">
            <v>6869.2575999999999</v>
          </cell>
          <cell r="L72">
            <v>6868.4505280000012</v>
          </cell>
          <cell r="M72">
            <v>6866.0390758400017</v>
          </cell>
          <cell r="N72">
            <v>6865.3662062352014</v>
          </cell>
          <cell r="O72">
            <v>6866.3618590764572</v>
          </cell>
          <cell r="P72">
            <v>6869.5310780602495</v>
          </cell>
          <cell r="Q72">
            <v>6875.1168680316168</v>
          </cell>
          <cell r="R72">
            <v>6883.3766424919686</v>
          </cell>
          <cell r="S72">
            <v>6894.5829128113382</v>
          </cell>
          <cell r="T72">
            <v>6909.0240071783392</v>
          </cell>
          <cell r="U72">
            <v>6927.0048204977356</v>
          </cell>
        </row>
        <row r="73">
          <cell r="A73" t="str">
            <v>Real estate</v>
          </cell>
          <cell r="B73">
            <v>1284.72</v>
          </cell>
          <cell r="C73">
            <v>1401.2</v>
          </cell>
          <cell r="D73">
            <v>1651.95</v>
          </cell>
          <cell r="E73">
            <v>1927.8</v>
          </cell>
          <cell r="F73">
            <v>2113.3199999999997</v>
          </cell>
          <cell r="G73">
            <v>2311.7999999999997</v>
          </cell>
          <cell r="H73">
            <v>2447.38</v>
          </cell>
          <cell r="I73">
            <v>2636.6600000000003</v>
          </cell>
          <cell r="J73">
            <v>2792.53</v>
          </cell>
          <cell r="K73">
            <v>2790.6359000000002</v>
          </cell>
          <cell r="L73">
            <v>2790.3080270000005</v>
          </cell>
          <cell r="M73">
            <v>2789.3283745600006</v>
          </cell>
          <cell r="N73">
            <v>2789.0550212830503</v>
          </cell>
          <cell r="O73">
            <v>2789.4595052498107</v>
          </cell>
          <cell r="P73">
            <v>2790.7470004619763</v>
          </cell>
          <cell r="Q73">
            <v>2793.0162276378442</v>
          </cell>
          <cell r="R73">
            <v>2796.3717610123626</v>
          </cell>
          <cell r="S73">
            <v>2800.924308329606</v>
          </cell>
          <cell r="T73">
            <v>2806.7910029162003</v>
          </cell>
          <cell r="U73">
            <v>2814.0957083272051</v>
          </cell>
        </row>
        <row r="74">
          <cell r="A74" t="str">
            <v>Cash and other investments</v>
          </cell>
          <cell r="B74">
            <v>1445.31</v>
          </cell>
          <cell r="C74">
            <v>1401.2</v>
          </cell>
          <cell r="D74">
            <v>1835.5</v>
          </cell>
          <cell r="E74">
            <v>2249.1000000000004</v>
          </cell>
          <cell r="F74">
            <v>1761.1000000000001</v>
          </cell>
          <cell r="G74">
            <v>2697.1000000000004</v>
          </cell>
          <cell r="H74">
            <v>753.04</v>
          </cell>
          <cell r="I74">
            <v>1216.9199999999998</v>
          </cell>
          <cell r="J74">
            <v>1288.8599999999999</v>
          </cell>
          <cell r="K74">
            <v>1287.9857999999999</v>
          </cell>
          <cell r="L74">
            <v>1287.834474</v>
          </cell>
          <cell r="M74">
            <v>1287.3823267200003</v>
          </cell>
          <cell r="N74">
            <v>1287.2561636691003</v>
          </cell>
          <cell r="O74">
            <v>1287.4428485768358</v>
          </cell>
          <cell r="P74">
            <v>1288.0370771362968</v>
          </cell>
          <cell r="Q74">
            <v>1289.084412755928</v>
          </cell>
          <cell r="R74">
            <v>1290.633120467244</v>
          </cell>
          <cell r="S74">
            <v>1292.7342961521258</v>
          </cell>
          <cell r="T74">
            <v>1295.4420013459385</v>
          </cell>
          <cell r="U74">
            <v>1298.8134038433254</v>
          </cell>
        </row>
        <row r="75">
          <cell r="A75" t="str">
            <v>Total</v>
          </cell>
          <cell r="B75">
            <v>16059</v>
          </cell>
          <cell r="C75">
            <v>17515</v>
          </cell>
          <cell r="D75">
            <v>18355</v>
          </cell>
          <cell r="E75">
            <v>16065</v>
          </cell>
          <cell r="F75">
            <v>17611</v>
          </cell>
          <cell r="G75">
            <v>19265</v>
          </cell>
          <cell r="H75">
            <v>18826</v>
          </cell>
          <cell r="I75">
            <v>20282</v>
          </cell>
          <cell r="J75">
            <v>21481</v>
          </cell>
          <cell r="K75">
            <v>21466.43</v>
          </cell>
          <cell r="L75">
            <v>21463.907900000002</v>
          </cell>
          <cell r="M75">
            <v>21456.372112000005</v>
          </cell>
          <cell r="N75">
            <v>21454.269394485003</v>
          </cell>
          <cell r="O75">
            <v>21457.380809613929</v>
          </cell>
          <cell r="P75">
            <v>21467.28461893828</v>
          </cell>
          <cell r="Q75">
            <v>21484.740212598801</v>
          </cell>
          <cell r="R75">
            <v>21510.552007787403</v>
          </cell>
          <cell r="S75">
            <v>21545.57160253543</v>
          </cell>
          <cell r="T75">
            <v>21590.700022432309</v>
          </cell>
          <cell r="U75">
            <v>21646.890064055424</v>
          </cell>
        </row>
        <row r="78">
          <cell r="A78" t="str">
            <v>Total Plan Assets</v>
          </cell>
          <cell r="B78">
            <v>16059</v>
          </cell>
          <cell r="C78">
            <v>17515</v>
          </cell>
          <cell r="D78">
            <v>18355</v>
          </cell>
          <cell r="E78">
            <v>16065</v>
          </cell>
          <cell r="F78">
            <v>17611</v>
          </cell>
          <cell r="G78">
            <v>19265</v>
          </cell>
          <cell r="H78">
            <v>18826</v>
          </cell>
          <cell r="I78">
            <v>20282</v>
          </cell>
          <cell r="J78">
            <v>21481</v>
          </cell>
          <cell r="K78">
            <v>21466.43</v>
          </cell>
          <cell r="L78">
            <v>21463.907900000002</v>
          </cell>
          <cell r="M78">
            <v>21456.372112000005</v>
          </cell>
          <cell r="N78">
            <v>21454.269394485003</v>
          </cell>
          <cell r="O78">
            <v>21457.380809613929</v>
          </cell>
          <cell r="P78">
            <v>21467.28461893828</v>
          </cell>
          <cell r="Q78">
            <v>21484.740212598801</v>
          </cell>
          <cell r="R78">
            <v>21510.552007787403</v>
          </cell>
          <cell r="S78">
            <v>21545.57160253543</v>
          </cell>
          <cell r="T78">
            <v>21590.700022432309</v>
          </cell>
          <cell r="U78">
            <v>21646.890064055424</v>
          </cell>
        </row>
        <row r="79">
          <cell r="A79" t="str">
            <v>Check</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1">
          <cell r="A81" t="str">
            <v>ERPA %</v>
          </cell>
          <cell r="B81">
            <v>4.4999999999999998E-2</v>
          </cell>
          <cell r="C81">
            <v>4.4999999999999998E-2</v>
          </cell>
          <cell r="D81">
            <v>4.5999999999999999E-2</v>
          </cell>
          <cell r="E81">
            <v>4.7E-2</v>
          </cell>
          <cell r="F81">
            <v>4.5999999999999999E-2</v>
          </cell>
          <cell r="G81">
            <v>4.5999999999999999E-2</v>
          </cell>
        </row>
        <row r="83">
          <cell r="A83" t="str">
            <v>Pension Assumptions</v>
          </cell>
        </row>
        <row r="84">
          <cell r="A84" t="str">
            <v>Discount Rates (Total)</v>
          </cell>
          <cell r="B84">
            <v>3.6000000000000004E-2</v>
          </cell>
          <cell r="C84">
            <v>3.5000000000000003E-2</v>
          </cell>
          <cell r="D84">
            <v>3.85E-2</v>
          </cell>
          <cell r="E84">
            <v>4.0999999999999995E-2</v>
          </cell>
          <cell r="F84">
            <v>3.9999999999999994E-2</v>
          </cell>
          <cell r="G84">
            <v>3.5000000000000003E-2</v>
          </cell>
          <cell r="H84">
            <v>3.2000000000000001E-2</v>
          </cell>
          <cell r="I84">
            <v>2.4E-2</v>
          </cell>
          <cell r="J84">
            <v>2.9000000000000001E-2</v>
          </cell>
          <cell r="K84">
            <v>0.03</v>
          </cell>
          <cell r="L84">
            <v>0.03</v>
          </cell>
          <cell r="M84">
            <v>0.03</v>
          </cell>
          <cell r="N84">
            <v>0.03</v>
          </cell>
          <cell r="O84">
            <v>0.03</v>
          </cell>
          <cell r="P84">
            <v>0.03</v>
          </cell>
          <cell r="Q84">
            <v>0.03</v>
          </cell>
          <cell r="R84">
            <v>0.03</v>
          </cell>
          <cell r="S84">
            <v>0.03</v>
          </cell>
          <cell r="T84">
            <v>0.03</v>
          </cell>
          <cell r="U84">
            <v>0.03</v>
          </cell>
        </row>
        <row r="85">
          <cell r="A85" t="str">
            <v>Projected future salary increases</v>
          </cell>
          <cell r="B85">
            <v>2.75E-2</v>
          </cell>
          <cell r="C85">
            <v>3.2000000000000001E-2</v>
          </cell>
          <cell r="D85">
            <v>3.7000000000000005E-2</v>
          </cell>
          <cell r="E85">
            <v>3.7000000000000005E-2</v>
          </cell>
          <cell r="F85">
            <v>3.6500000000000005E-2</v>
          </cell>
          <cell r="G85">
            <v>3.5000000000000003E-2</v>
          </cell>
          <cell r="H85">
            <v>3.3000000000000002E-2</v>
          </cell>
          <cell r="I85">
            <v>3.3000000000000002E-2</v>
          </cell>
          <cell r="J85">
            <v>3.5000000000000003E-2</v>
          </cell>
          <cell r="K85">
            <v>3.5000000000000003E-2</v>
          </cell>
          <cell r="L85">
            <v>3.5000000000000003E-2</v>
          </cell>
          <cell r="M85">
            <v>3.5000000000000003E-2</v>
          </cell>
          <cell r="N85">
            <v>3.5000000000000003E-2</v>
          </cell>
          <cell r="O85">
            <v>3.5000000000000003E-2</v>
          </cell>
          <cell r="P85">
            <v>3.5000000000000003E-2</v>
          </cell>
          <cell r="Q85">
            <v>3.5000000000000003E-2</v>
          </cell>
          <cell r="R85">
            <v>3.5000000000000003E-2</v>
          </cell>
          <cell r="S85">
            <v>3.5000000000000003E-2</v>
          </cell>
          <cell r="T85">
            <v>3.5000000000000003E-2</v>
          </cell>
          <cell r="U85">
            <v>3.5000000000000003E-2</v>
          </cell>
        </row>
        <row r="86">
          <cell r="A86" t="str">
            <v>Expected rate of pension increase</v>
          </cell>
          <cell r="H86">
            <v>8.9999999999999993E-3</v>
          </cell>
          <cell r="I86">
            <v>8.9999999999999993E-3</v>
          </cell>
          <cell r="J86">
            <v>1.0999999999999999E-2</v>
          </cell>
          <cell r="K86">
            <v>8.951612903225814E-2</v>
          </cell>
          <cell r="L86">
            <v>2.9607698001481442E-3</v>
          </cell>
          <cell r="M86">
            <v>1.6236162361623618E-2</v>
          </cell>
          <cell r="N86">
            <v>8.7145969498909626E-3</v>
          </cell>
          <cell r="O86">
            <v>8.7145969498909626E-3</v>
          </cell>
          <cell r="P86">
            <v>8.7145969498909626E-3</v>
          </cell>
          <cell r="Q86">
            <v>8.7145969498909626E-3</v>
          </cell>
          <cell r="R86">
            <v>8.7145969498909626E-3</v>
          </cell>
          <cell r="S86">
            <v>8.7145969498909626E-3</v>
          </cell>
          <cell r="T86">
            <v>8.7145969498909626E-3</v>
          </cell>
          <cell r="U86">
            <v>8.7145969498909626E-3</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ARTIS"/>
      <sheetName val="NOVARTIS$"/>
      <sheetName val="Tableau"/>
      <sheetName val="Bilan$"/>
      <sheetName val="fraisfi"/>
      <sheetName val="fraisfi$"/>
      <sheetName val="CAtrimLikeNOVA (2)"/>
      <sheetName val="trimestriels (2)"/>
      <sheetName val="sem (2)"/>
      <sheetName val="Glivec"/>
      <sheetName val="produits"/>
      <sheetName val="trim.CA"/>
      <sheetName val="Bilan"/>
      <sheetName val="CAtrimLikeNOVA"/>
      <sheetName val="trimestriels"/>
      <sheetName val="sem"/>
      <sheetName val="RopSem"/>
      <sheetName val="Feuil1"/>
      <sheetName val="Continuing"/>
      <sheetName val="Oncologie"/>
      <sheetName val="Feuil2"/>
      <sheetName val="Chiron"/>
      <sheetName val="Feuil7"/>
      <sheetName val="CFD1"/>
      <sheetName val="CFD2"/>
      <sheetName val="CFD3"/>
      <sheetName val="EVA"/>
      <sheetName val="CFAgro1"/>
      <sheetName val="CFAgro2"/>
      <sheetName val="Feuil13"/>
      <sheetName val="semestres"/>
      <sheetName val="fusion"/>
      <sheetName val="CFNovaNew1"/>
      <sheetName val="CFNovaNew2"/>
      <sheetName val="CFNovaNew3"/>
      <sheetName val="+AHP"/>
      <sheetName val="valosnew"/>
      <sheetName val="graphs"/>
      <sheetName val="Feuil3"/>
      <sheetName val="NOVARTISnew"/>
      <sheetName val="trimestres"/>
    </sheetNames>
    <sheetDataSet>
      <sheetData sheetId="0" refreshError="1">
        <row r="4">
          <cell r="P4">
            <v>37848.574721842699</v>
          </cell>
          <cell r="Q4">
            <v>41498.601155245335</v>
          </cell>
        </row>
        <row r="27">
          <cell r="L27">
            <v>6827.546702730051</v>
          </cell>
          <cell r="M27">
            <v>7329.9800000000032</v>
          </cell>
          <cell r="N27">
            <v>7804</v>
          </cell>
          <cell r="O27">
            <v>8300.8674850545358</v>
          </cell>
        </row>
        <row r="34">
          <cell r="P34">
            <v>895.44876452914605</v>
          </cell>
          <cell r="Q34">
            <v>980.48505950994058</v>
          </cell>
        </row>
        <row r="58">
          <cell r="L58">
            <v>6718.6521051094642</v>
          </cell>
          <cell r="M58">
            <v>7207.2213414287053</v>
          </cell>
          <cell r="N58">
            <v>7385.0120099705418</v>
          </cell>
          <cell r="O58">
            <v>7462.7082670405025</v>
          </cell>
          <cell r="P58">
            <v>8250.3571554943646</v>
          </cell>
        </row>
        <row r="62">
          <cell r="L62">
            <v>126</v>
          </cell>
          <cell r="M62">
            <v>136</v>
          </cell>
          <cell r="N62">
            <v>141</v>
          </cell>
          <cell r="O62">
            <v>141</v>
          </cell>
        </row>
        <row r="67">
          <cell r="L67">
            <v>2.5317404397501782</v>
          </cell>
        </row>
      </sheetData>
      <sheetData sheetId="1" refreshError="1"/>
      <sheetData sheetId="2" refreshError="1">
        <row r="4">
          <cell r="A4" t="str">
            <v>en MCHF</v>
          </cell>
          <cell r="B4">
            <v>1996</v>
          </cell>
          <cell r="C4">
            <v>1997</v>
          </cell>
          <cell r="D4">
            <v>1998</v>
          </cell>
          <cell r="E4">
            <v>1999</v>
          </cell>
          <cell r="F4">
            <v>2000</v>
          </cell>
          <cell r="G4">
            <v>2001</v>
          </cell>
          <cell r="H4">
            <v>2002</v>
          </cell>
        </row>
        <row r="5">
          <cell r="A5" t="str">
            <v>Chiffre d'affaires</v>
          </cell>
          <cell r="B5" t="e">
            <v>#REF!</v>
          </cell>
          <cell r="C5" t="e">
            <v>#REF!</v>
          </cell>
          <cell r="D5">
            <v>23188</v>
          </cell>
          <cell r="E5">
            <v>25227</v>
          </cell>
          <cell r="F5">
            <v>29112.000000000004</v>
          </cell>
          <cell r="G5" t="e">
            <v>#REF!</v>
          </cell>
          <cell r="H5" t="e">
            <v>#REF!</v>
          </cell>
        </row>
        <row r="6">
          <cell r="A6" t="str">
            <v>Variation (%)</v>
          </cell>
          <cell r="B6" t="e">
            <v>#REF!</v>
          </cell>
          <cell r="C6" t="e">
            <v>#REF!</v>
          </cell>
          <cell r="E6">
            <v>8.7933413834742069E-2</v>
          </cell>
          <cell r="F6">
            <v>0.15400166488286371</v>
          </cell>
          <cell r="G6" t="e">
            <v>#REF!</v>
          </cell>
          <cell r="H6" t="e">
            <v>#REF!</v>
          </cell>
        </row>
        <row r="7">
          <cell r="A7" t="str">
            <v>Budget de R&amp;D</v>
          </cell>
          <cell r="B7">
            <v>3656</v>
          </cell>
          <cell r="C7">
            <v>3739</v>
          </cell>
          <cell r="D7">
            <v>3238</v>
          </cell>
          <cell r="E7">
            <v>3573</v>
          </cell>
          <cell r="F7">
            <v>4011.4532972699521</v>
          </cell>
          <cell r="G7">
            <v>4189</v>
          </cell>
          <cell r="H7">
            <v>4339</v>
          </cell>
        </row>
        <row r="8">
          <cell r="A8" t="str">
            <v>EBITDA</v>
          </cell>
          <cell r="D8">
            <v>7130</v>
          </cell>
          <cell r="E8">
            <v>7740</v>
          </cell>
          <cell r="F8">
            <v>8332.546702730051</v>
          </cell>
          <cell r="G8">
            <v>9109.9800000000032</v>
          </cell>
          <cell r="H8">
            <v>9963</v>
          </cell>
        </row>
        <row r="9">
          <cell r="A9" t="str">
            <v>EBIT</v>
          </cell>
          <cell r="B9">
            <v>5781</v>
          </cell>
          <cell r="C9">
            <v>6688</v>
          </cell>
          <cell r="D9">
            <v>5742</v>
          </cell>
          <cell r="E9">
            <v>6231</v>
          </cell>
          <cell r="F9">
            <v>6827.546702730051</v>
          </cell>
          <cell r="G9">
            <v>7329.9800000000032</v>
          </cell>
          <cell r="H9">
            <v>7887</v>
          </cell>
        </row>
        <row r="10">
          <cell r="A10" t="str">
            <v>Variation (%)</v>
          </cell>
          <cell r="C10">
            <v>0.1568932710603701</v>
          </cell>
          <cell r="E10">
            <v>8.5161964472309393E-2</v>
          </cell>
          <cell r="F10">
            <v>9.5738517530099765E-2</v>
          </cell>
          <cell r="G10">
            <v>7.3589141040814932E-2</v>
          </cell>
          <cell r="H10">
            <v>7.5992021806334575E-2</v>
          </cell>
        </row>
        <row r="11">
          <cell r="A11" t="str">
            <v>Frais fin. nets</v>
          </cell>
        </row>
        <row r="12">
          <cell r="A12" t="str">
            <v>Résultat financier</v>
          </cell>
          <cell r="B12" t="e">
            <v>#REF!</v>
          </cell>
          <cell r="C12" t="e">
            <v>#REF!</v>
          </cell>
          <cell r="D12" t="e">
            <v>#REF!</v>
          </cell>
          <cell r="E12" t="e">
            <v>#REF!</v>
          </cell>
          <cell r="F12">
            <v>1216</v>
          </cell>
          <cell r="G12" t="e">
            <v>#REF!</v>
          </cell>
          <cell r="H12" t="e">
            <v>#REF!</v>
          </cell>
        </row>
        <row r="13">
          <cell r="A13" t="str">
            <v>Résultat des sociétés M.E.</v>
          </cell>
          <cell r="B13">
            <v>0</v>
          </cell>
          <cell r="C13">
            <v>45</v>
          </cell>
          <cell r="D13">
            <v>109</v>
          </cell>
          <cell r="E13">
            <v>175</v>
          </cell>
          <cell r="F13">
            <v>97</v>
          </cell>
          <cell r="G13">
            <v>139</v>
          </cell>
          <cell r="H13">
            <v>-10</v>
          </cell>
        </row>
        <row r="14">
          <cell r="A14" t="str">
            <v>Résultat exceptionnel</v>
          </cell>
          <cell r="B14">
            <v>-2939</v>
          </cell>
          <cell r="C14">
            <v>0</v>
          </cell>
          <cell r="D14">
            <v>17</v>
          </cell>
          <cell r="E14">
            <v>390</v>
          </cell>
          <cell r="F14">
            <v>-101</v>
          </cell>
          <cell r="G14">
            <v>-34</v>
          </cell>
          <cell r="H14">
            <v>83</v>
          </cell>
          <cell r="I14">
            <v>178</v>
          </cell>
          <cell r="J14">
            <v>0</v>
          </cell>
          <cell r="K14">
            <v>0</v>
          </cell>
          <cell r="L14">
            <v>0</v>
          </cell>
        </row>
        <row r="15">
          <cell r="A15" t="str">
            <v>IS</v>
          </cell>
          <cell r="F15">
            <v>1504</v>
          </cell>
          <cell r="G15">
            <v>1440</v>
          </cell>
          <cell r="H15">
            <v>1490</v>
          </cell>
        </row>
        <row r="16">
          <cell r="A16" t="str">
            <v>Goodwill</v>
          </cell>
          <cell r="B16">
            <v>114</v>
          </cell>
          <cell r="C16">
            <v>110</v>
          </cell>
          <cell r="D16">
            <v>77</v>
          </cell>
          <cell r="E16">
            <v>62</v>
          </cell>
          <cell r="F16">
            <v>126</v>
          </cell>
          <cell r="G16">
            <v>136</v>
          </cell>
          <cell r="H16">
            <v>141</v>
          </cell>
        </row>
        <row r="17">
          <cell r="A17" t="str">
            <v>SME</v>
          </cell>
          <cell r="D17">
            <v>109</v>
          </cell>
          <cell r="E17">
            <v>175</v>
          </cell>
          <cell r="F17">
            <v>97</v>
          </cell>
          <cell r="G17">
            <v>139</v>
          </cell>
          <cell r="H17">
            <v>-10</v>
          </cell>
        </row>
        <row r="18">
          <cell r="A18" t="str">
            <v>Intérêts minoritaires</v>
          </cell>
          <cell r="F18">
            <v>-25</v>
          </cell>
          <cell r="G18">
            <v>-19</v>
          </cell>
          <cell r="H18">
            <v>-23</v>
          </cell>
        </row>
        <row r="19">
          <cell r="A19" t="str">
            <v>RNPG publié</v>
          </cell>
          <cell r="B19">
            <v>2304</v>
          </cell>
          <cell r="C19">
            <v>5208</v>
          </cell>
          <cell r="D19">
            <v>6010.5132495795178</v>
          </cell>
          <cell r="E19">
            <v>6659.3603443454376</v>
          </cell>
          <cell r="F19">
            <v>6510.546702730051</v>
          </cell>
          <cell r="G19">
            <v>7042.9800000000032</v>
          </cell>
          <cell r="H19">
            <v>7313</v>
          </cell>
        </row>
        <row r="20">
          <cell r="A20" t="str">
            <v>RNPG corrigé</v>
          </cell>
          <cell r="B20">
            <v>4289</v>
          </cell>
          <cell r="C20">
            <v>5318</v>
          </cell>
          <cell r="D20">
            <v>6074.5623473902069</v>
          </cell>
          <cell r="E20">
            <v>6329.7836546169856</v>
          </cell>
          <cell r="F20">
            <v>6718.6521051094642</v>
          </cell>
          <cell r="G20">
            <v>7207.2213414287053</v>
          </cell>
          <cell r="H20">
            <v>7385.0120099705418</v>
          </cell>
        </row>
        <row r="21">
          <cell r="A21" t="str">
            <v>Variation (%)</v>
          </cell>
          <cell r="C21">
            <v>0.23991606435066459</v>
          </cell>
          <cell r="E21">
            <v>4.2014764625212697E-2</v>
          </cell>
          <cell r="F21">
            <v>6.1434714314261729E-2</v>
          </cell>
          <cell r="G21">
            <v>7.2718341220211258E-2</v>
          </cell>
          <cell r="H21">
            <v>2.4668406882393912E-2</v>
          </cell>
        </row>
        <row r="24">
          <cell r="A24" t="str">
            <v>en MCHF</v>
          </cell>
          <cell r="B24">
            <v>1996</v>
          </cell>
          <cell r="C24">
            <v>1997</v>
          </cell>
          <cell r="D24">
            <v>1998</v>
          </cell>
          <cell r="E24">
            <v>1999</v>
          </cell>
          <cell r="F24">
            <v>2000</v>
          </cell>
          <cell r="G24">
            <v>2001</v>
          </cell>
          <cell r="H24">
            <v>2002</v>
          </cell>
          <cell r="I24" t="str">
            <v>2003e</v>
          </cell>
        </row>
        <row r="25">
          <cell r="A25" t="str">
            <v>Endettement n-1</v>
          </cell>
          <cell r="B25" t="e">
            <v>#REF!</v>
          </cell>
          <cell r="C25" t="e">
            <v>#REF!</v>
          </cell>
          <cell r="D25" t="e">
            <v>#REF!</v>
          </cell>
          <cell r="E25">
            <v>-10764</v>
          </cell>
          <cell r="F25">
            <v>-12678</v>
          </cell>
          <cell r="G25">
            <v>-14461</v>
          </cell>
          <cell r="H25">
            <v>-14278</v>
          </cell>
          <cell r="I25">
            <v>-9786</v>
          </cell>
        </row>
        <row r="26">
          <cell r="A26" t="str">
            <v>-CAF</v>
          </cell>
          <cell r="D26">
            <v>6426</v>
          </cell>
          <cell r="E26">
            <v>7387</v>
          </cell>
          <cell r="F26">
            <v>7651.546702730051</v>
          </cell>
          <cell r="G26">
            <v>7566.9800000000032</v>
          </cell>
          <cell r="H26">
            <v>9399</v>
          </cell>
          <cell r="I26">
            <v>9305.5082670405027</v>
          </cell>
        </row>
        <row r="27">
          <cell r="A27" t="str">
            <v>+Variation BFR</v>
          </cell>
          <cell r="D27">
            <v>573</v>
          </cell>
          <cell r="E27">
            <v>494</v>
          </cell>
          <cell r="F27">
            <v>40</v>
          </cell>
          <cell r="G27">
            <v>205</v>
          </cell>
          <cell r="H27">
            <v>-173</v>
          </cell>
          <cell r="I27">
            <v>372.41983127109143</v>
          </cell>
        </row>
        <row r="28">
          <cell r="A28" t="str">
            <v>+Investissements industriels nets</v>
          </cell>
          <cell r="B28" t="e">
            <v>#REF!</v>
          </cell>
          <cell r="C28" t="e">
            <v>#REF!</v>
          </cell>
          <cell r="D28">
            <v>1577</v>
          </cell>
          <cell r="E28">
            <v>1371</v>
          </cell>
          <cell r="F28">
            <v>1353</v>
          </cell>
          <cell r="G28">
            <v>1351</v>
          </cell>
          <cell r="H28">
            <v>1661</v>
          </cell>
          <cell r="I28">
            <v>1800</v>
          </cell>
        </row>
        <row r="29">
          <cell r="A29" t="str">
            <v>+Investissements financiers nets</v>
          </cell>
          <cell r="D29">
            <v>-244</v>
          </cell>
          <cell r="E29">
            <v>-109</v>
          </cell>
          <cell r="F29">
            <v>3702</v>
          </cell>
          <cell r="G29">
            <v>5897</v>
          </cell>
          <cell r="H29">
            <v>3462</v>
          </cell>
          <cell r="I29">
            <v>459.35</v>
          </cell>
        </row>
        <row r="35">
          <cell r="A35" t="str">
            <v>en MCHF</v>
          </cell>
          <cell r="B35">
            <v>1996</v>
          </cell>
          <cell r="C35">
            <v>1997</v>
          </cell>
          <cell r="D35">
            <v>1998</v>
          </cell>
          <cell r="E35">
            <v>1999</v>
          </cell>
          <cell r="F35">
            <v>2000</v>
          </cell>
          <cell r="G35">
            <v>2001</v>
          </cell>
          <cell r="H35">
            <v>2002</v>
          </cell>
          <cell r="I35" t="str">
            <v>2003e</v>
          </cell>
        </row>
        <row r="36">
          <cell r="A36" t="str">
            <v>Capitaux propres 100%</v>
          </cell>
          <cell r="C36">
            <v>27029</v>
          </cell>
          <cell r="D36">
            <v>31590</v>
          </cell>
          <cell r="E36">
            <v>37437</v>
          </cell>
          <cell r="F36">
            <v>36940</v>
          </cell>
          <cell r="G36">
            <v>42349</v>
          </cell>
          <cell r="H36">
            <v>39774</v>
          </cell>
          <cell r="I36" t="e">
            <v>#REF!</v>
          </cell>
        </row>
        <row r="37">
          <cell r="A37" t="str">
            <v>+Provisions</v>
          </cell>
          <cell r="C37">
            <v>0</v>
          </cell>
          <cell r="D37">
            <v>1973</v>
          </cell>
          <cell r="E37">
            <v>1442</v>
          </cell>
          <cell r="F37">
            <v>961</v>
          </cell>
          <cell r="G37">
            <v>787</v>
          </cell>
          <cell r="H37">
            <v>716</v>
          </cell>
          <cell r="I37">
            <v>516</v>
          </cell>
        </row>
        <row r="38">
          <cell r="A38" t="str">
            <v>+Endettement net</v>
          </cell>
          <cell r="C38">
            <v>1383</v>
          </cell>
          <cell r="D38">
            <v>-10764</v>
          </cell>
          <cell r="E38">
            <v>-12678</v>
          </cell>
          <cell r="F38">
            <v>-14461</v>
          </cell>
          <cell r="G38">
            <v>-14278</v>
          </cell>
          <cell r="H38">
            <v>-9786</v>
          </cell>
          <cell r="I38" t="e">
            <v>#REF!</v>
          </cell>
        </row>
        <row r="39">
          <cell r="A39" t="str">
            <v>=Capitaux investis</v>
          </cell>
          <cell r="C39">
            <v>28412</v>
          </cell>
          <cell r="D39">
            <v>22799</v>
          </cell>
          <cell r="E39">
            <v>26201</v>
          </cell>
          <cell r="F39">
            <v>23440</v>
          </cell>
          <cell r="G39">
            <v>28858</v>
          </cell>
          <cell r="H39">
            <v>30704</v>
          </cell>
          <cell r="I39" t="e">
            <v>#REF!</v>
          </cell>
        </row>
        <row r="40">
          <cell r="A40" t="str">
            <v>Actif immobilisé</v>
          </cell>
          <cell r="C40">
            <v>0</v>
          </cell>
          <cell r="D40">
            <v>26272</v>
          </cell>
          <cell r="E40">
            <v>30848</v>
          </cell>
          <cell r="F40">
            <v>25257</v>
          </cell>
          <cell r="G40">
            <v>32585</v>
          </cell>
          <cell r="H40">
            <v>33984</v>
          </cell>
          <cell r="I40">
            <v>33989.550000000003</v>
          </cell>
        </row>
        <row r="41">
          <cell r="A41" t="str">
            <v>+ BFR</v>
          </cell>
          <cell r="C41">
            <v>0</v>
          </cell>
          <cell r="D41">
            <v>7091</v>
          </cell>
          <cell r="E41">
            <v>8229</v>
          </cell>
          <cell r="F41">
            <v>4332</v>
          </cell>
          <cell r="G41">
            <v>2551</v>
          </cell>
          <cell r="H41">
            <v>3087</v>
          </cell>
          <cell r="I41">
            <v>3459.4198312710914</v>
          </cell>
        </row>
        <row r="42">
          <cell r="A42" t="str">
            <v>+ Autres / Divers</v>
          </cell>
          <cell r="C42">
            <v>5694</v>
          </cell>
          <cell r="D42">
            <v>-10564</v>
          </cell>
          <cell r="E42">
            <v>-12876</v>
          </cell>
          <cell r="F42">
            <v>-6149</v>
          </cell>
          <cell r="G42">
            <v>-6278</v>
          </cell>
          <cell r="H42">
            <v>-6367</v>
          </cell>
          <cell r="I42" t="e">
            <v>#REF!</v>
          </cell>
        </row>
        <row r="43">
          <cell r="A43" t="str">
            <v>=Capitaux employés</v>
          </cell>
          <cell r="C43">
            <v>5694</v>
          </cell>
          <cell r="D43">
            <v>22799</v>
          </cell>
          <cell r="E43">
            <v>26201</v>
          </cell>
          <cell r="F43">
            <v>23440</v>
          </cell>
          <cell r="G43">
            <v>28858</v>
          </cell>
          <cell r="H43">
            <v>30704</v>
          </cell>
          <cell r="I43" t="e">
            <v>#REF!</v>
          </cell>
        </row>
        <row r="46">
          <cell r="A46" t="str">
            <v>en %</v>
          </cell>
          <cell r="B46">
            <v>1996</v>
          </cell>
          <cell r="C46">
            <v>1997</v>
          </cell>
          <cell r="D46">
            <v>1998</v>
          </cell>
          <cell r="E46">
            <v>1999</v>
          </cell>
          <cell r="F46">
            <v>2000</v>
          </cell>
          <cell r="G46">
            <v>2001</v>
          </cell>
          <cell r="H46">
            <v>2002</v>
          </cell>
          <cell r="I46" t="str">
            <v>2003e</v>
          </cell>
        </row>
        <row r="47">
          <cell r="A47" t="str">
            <v>Marge opérationnelle</v>
          </cell>
          <cell r="D47">
            <v>0.24762808349146109</v>
          </cell>
          <cell r="E47">
            <v>0.24699726483529552</v>
          </cell>
          <cell r="F47">
            <v>0.23452688591405779</v>
          </cell>
          <cell r="G47" t="e">
            <v>#REF!</v>
          </cell>
          <cell r="H47" t="e">
            <v>#REF!</v>
          </cell>
          <cell r="I47" t="e">
            <v>#REF!</v>
          </cell>
        </row>
        <row r="48">
          <cell r="A48" t="str">
            <v>Frais fin nets/Ebit</v>
          </cell>
          <cell r="D48" t="e">
            <v>#REF!</v>
          </cell>
          <cell r="E48" t="e">
            <v>#REF!</v>
          </cell>
          <cell r="F48">
            <v>0.17810204059296619</v>
          </cell>
          <cell r="G48" t="e">
            <v>#REF!</v>
          </cell>
          <cell r="H48" t="e">
            <v>#REF!</v>
          </cell>
          <cell r="I48" t="e">
            <v>#REF!</v>
          </cell>
        </row>
        <row r="49">
          <cell r="A49" t="str">
            <v>Taux IS</v>
          </cell>
          <cell r="F49">
            <v>0.18707522396620635</v>
          </cell>
          <cell r="G49">
            <v>0.16937231092051491</v>
          </cell>
          <cell r="H49">
            <v>0.16881939723544073</v>
          </cell>
          <cell r="I49">
            <v>0.17</v>
          </cell>
        </row>
        <row r="50">
          <cell r="A50" t="str">
            <v>Marge nette</v>
          </cell>
          <cell r="D50">
            <v>0.26197008570770258</v>
          </cell>
          <cell r="E50">
            <v>0.25091305563947303</v>
          </cell>
          <cell r="F50">
            <v>0.2307863460122789</v>
          </cell>
          <cell r="G50" t="e">
            <v>#REF!</v>
          </cell>
          <cell r="H50" t="e">
            <v>#REF!</v>
          </cell>
          <cell r="I50" t="e">
            <v>#REF!</v>
          </cell>
        </row>
        <row r="51">
          <cell r="A51" t="str">
            <v>ROE(après IS)</v>
          </cell>
          <cell r="D51">
            <v>0.20725574804722724</v>
          </cell>
          <cell r="E51">
            <v>0.18340022468358716</v>
          </cell>
          <cell r="F51">
            <v>0.1806647782273946</v>
          </cell>
          <cell r="G51">
            <v>0.18179624768703617</v>
          </cell>
          <cell r="H51">
            <v>0.17985246544745179</v>
          </cell>
          <cell r="I51" t="e">
            <v>#REF!</v>
          </cell>
        </row>
        <row r="52">
          <cell r="A52" t="str">
            <v>ROCE (après IS)</v>
          </cell>
          <cell r="D52">
            <v>0.31185268902002278</v>
          </cell>
          <cell r="E52">
            <v>0.32865300691888694</v>
          </cell>
          <cell r="F52">
            <v>0.37350483675485152</v>
          </cell>
          <cell r="G52">
            <v>0.39008741340330894</v>
          </cell>
          <cell r="H52">
            <v>0.43578550914073516</v>
          </cell>
          <cell r="I52">
            <v>0.44906549600258527</v>
          </cell>
        </row>
        <row r="53">
          <cell r="A53" t="str">
            <v>Gearing</v>
          </cell>
          <cell r="D53" t="e">
            <v>#REF!</v>
          </cell>
          <cell r="E53">
            <v>-0.33960624103611631</v>
          </cell>
          <cell r="F53">
            <v>-0.36487821104279616</v>
          </cell>
          <cell r="G53">
            <v>-0.36245860081474107</v>
          </cell>
          <cell r="H53">
            <v>-0.29302387881592246</v>
          </cell>
          <cell r="I53" t="e">
            <v>#REF!</v>
          </cell>
        </row>
        <row r="54">
          <cell r="A54" t="str">
            <v>Taux de distribution</v>
          </cell>
          <cell r="D54">
            <v>0.32193590125358568</v>
          </cell>
          <cell r="E54">
            <v>0.30993967787800719</v>
          </cell>
          <cell r="F54">
            <v>0.30429961364391245</v>
          </cell>
          <cell r="G54">
            <v>0.32571439930256779</v>
          </cell>
          <cell r="H54" t="e">
            <v>#REF!</v>
          </cell>
          <cell r="I54" t="e">
            <v>#REF!</v>
          </cell>
        </row>
        <row r="55">
          <cell r="A55" t="str">
            <v>Nombres d'actions diluées</v>
          </cell>
          <cell r="D55">
            <v>2654.34548</v>
          </cell>
          <cell r="E55">
            <v>2624.7343999999998</v>
          </cell>
          <cell r="F55">
            <v>2604</v>
          </cell>
          <cell r="G55">
            <v>2548</v>
          </cell>
          <cell r="H55">
            <v>2510</v>
          </cell>
          <cell r="I55">
            <v>2510</v>
          </cell>
        </row>
        <row r="58">
          <cell r="A58" t="str">
            <v>en CHF</v>
          </cell>
          <cell r="B58">
            <v>1996</v>
          </cell>
          <cell r="C58">
            <v>1997</v>
          </cell>
          <cell r="D58">
            <v>1998</v>
          </cell>
          <cell r="E58">
            <v>1999</v>
          </cell>
          <cell r="F58">
            <v>2000</v>
          </cell>
          <cell r="G58">
            <v>2001</v>
          </cell>
          <cell r="H58">
            <v>2002</v>
          </cell>
          <cell r="I58" t="str">
            <v>2003e</v>
          </cell>
        </row>
        <row r="59">
          <cell r="A59" t="str">
            <v>BNPA publié</v>
          </cell>
          <cell r="F59">
            <v>2.73</v>
          </cell>
          <cell r="G59">
            <v>2.4900000000000002</v>
          </cell>
          <cell r="H59">
            <v>2.9135458167330679</v>
          </cell>
          <cell r="I59">
            <v>2.9879315804942239</v>
          </cell>
        </row>
        <row r="60">
          <cell r="A60" t="str">
            <v>BNPA corrigé</v>
          </cell>
          <cell r="D60">
            <v>2.2595258953970858</v>
          </cell>
          <cell r="E60">
            <v>2.3879687234704532</v>
          </cell>
          <cell r="F60">
            <v>2.5317404397501782</v>
          </cell>
          <cell r="G60">
            <v>2.775204608096038</v>
          </cell>
          <cell r="H60">
            <v>2.8860605617412518</v>
          </cell>
          <cell r="I60">
            <v>2.9170152458328693</v>
          </cell>
        </row>
        <row r="61">
          <cell r="A61" t="str">
            <v>BNPA corrigé avant goodwill</v>
          </cell>
          <cell r="D61">
            <v>2.2885349300461848</v>
          </cell>
          <cell r="E61">
            <v>2.4115901611290598</v>
          </cell>
          <cell r="F61">
            <v>2.5801275365243717</v>
          </cell>
          <cell r="G61">
            <v>2.8285798043283772</v>
          </cell>
          <cell r="H61">
            <v>2.9422358605460328</v>
          </cell>
          <cell r="I61">
            <v>2.9731905446376503</v>
          </cell>
        </row>
        <row r="62">
          <cell r="A62" t="str">
            <v>Goodwill par action</v>
          </cell>
          <cell r="D62">
            <v>2.9009034649098986E-2</v>
          </cell>
          <cell r="E62">
            <v>2.3621437658606581E-2</v>
          </cell>
          <cell r="F62">
            <v>4.8387096774193505E-2</v>
          </cell>
          <cell r="G62">
            <v>5.3375196232339217E-2</v>
          </cell>
          <cell r="H62">
            <v>5.6175298804781004E-2</v>
          </cell>
          <cell r="I62">
            <v>5.6175298804781004E-2</v>
          </cell>
        </row>
        <row r="63">
          <cell r="A63" t="str">
            <v>ANPA</v>
          </cell>
          <cell r="D63">
            <v>11.828151322637925</v>
          </cell>
          <cell r="E63">
            <v>14.178958450043556</v>
          </cell>
          <cell r="F63">
            <v>14.155913978494624</v>
          </cell>
          <cell r="G63">
            <v>16.579670329670328</v>
          </cell>
          <cell r="H63">
            <v>15.809561752988047</v>
          </cell>
          <cell r="I63" t="e">
            <v>#REF!</v>
          </cell>
        </row>
        <row r="64">
          <cell r="A64" t="str">
            <v>CF par action</v>
          </cell>
          <cell r="D64">
            <v>2.4209358007157382</v>
          </cell>
          <cell r="E64">
            <v>2.8143799997439745</v>
          </cell>
          <cell r="F64">
            <v>2.9383819902957184</v>
          </cell>
          <cell r="G64">
            <v>2.9697723704866577</v>
          </cell>
          <cell r="H64">
            <v>3.7446215139442232</v>
          </cell>
          <cell r="I64">
            <v>3.7073738115699215</v>
          </cell>
        </row>
        <row r="65">
          <cell r="A65" t="str">
            <v>Dividende net par action</v>
          </cell>
          <cell r="D65" t="e">
            <v>#REF!</v>
          </cell>
          <cell r="E65" t="e">
            <v>#REF!</v>
          </cell>
          <cell r="F65" t="e">
            <v>#REF!</v>
          </cell>
          <cell r="G65" t="e">
            <v>#REF!</v>
          </cell>
          <cell r="H65" t="e">
            <v>#REF!</v>
          </cell>
          <cell r="I65" t="e">
            <v>#REF!</v>
          </cell>
        </row>
      </sheetData>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row r="68">
          <cell r="H68">
            <v>-14461</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C2">
            <v>2.7099999999999999E-2</v>
          </cell>
        </row>
        <row r="5">
          <cell r="C5">
            <v>6.8000000000000005E-2</v>
          </cell>
        </row>
        <row r="6">
          <cell r="C6">
            <v>1.0200000000000001E-2</v>
          </cell>
        </row>
        <row r="8">
          <cell r="C8">
            <v>3.5999999999999997E-2</v>
          </cell>
        </row>
        <row r="10">
          <cell r="C10">
            <v>37437</v>
          </cell>
        </row>
        <row r="11">
          <cell r="C11">
            <v>0</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row r="38">
          <cell r="I38">
            <v>7232</v>
          </cell>
          <cell r="K38">
            <v>8477</v>
          </cell>
        </row>
        <row r="39">
          <cell r="I39">
            <v>858</v>
          </cell>
          <cell r="K39">
            <v>994</v>
          </cell>
        </row>
        <row r="40">
          <cell r="I40">
            <v>768</v>
          </cell>
          <cell r="K40">
            <v>883</v>
          </cell>
        </row>
        <row r="41">
          <cell r="I41">
            <v>463</v>
          </cell>
          <cell r="K41">
            <v>514</v>
          </cell>
        </row>
        <row r="42">
          <cell r="I42">
            <v>2670</v>
          </cell>
          <cell r="K42">
            <v>3102</v>
          </cell>
        </row>
        <row r="48">
          <cell r="I48">
            <v>11991</v>
          </cell>
          <cell r="K48">
            <v>13970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s"/>
      <sheetName val="P&amp;L"/>
      <sheetName val="P&amp;L 2-12-00"/>
      <sheetName val="Glance"/>
      <sheetName val="P&amp;L 4Q99E"/>
      <sheetName val="P&amp;L 3Q99E"/>
      <sheetName val="P&amp;L 9-10-99"/>
      <sheetName val="P&amp;L 2Q99E"/>
      <sheetName val="P&amp;L 1Q99E"/>
      <sheetName val="Qrtrly Var."/>
      <sheetName val="Valuation"/>
      <sheetName val="MS_Model"/>
      <sheetName val="Tables"/>
      <sheetName val="Market"/>
      <sheetName val="IMS"/>
      <sheetName val="Compare"/>
      <sheetName val="Patents"/>
      <sheetName val="IS-Comps"/>
      <sheetName val="Sheet16"/>
      <sheetName val="Disclaimer"/>
      <sheetName val="P&amp;L 2Q98E"/>
      <sheetName val="P&amp;L 6-18-98"/>
      <sheetName val="P&amp;L 1Q98E"/>
      <sheetName val="P&amp;L 4Q97"/>
      <sheetName val="P&amp;L 1-6-98"/>
      <sheetName val="P&amp;L 10-8-97"/>
      <sheetName val="P&amp;L 9-9-97"/>
      <sheetName val="P&amp;L 2Q97E"/>
      <sheetName val="Sheet14"/>
      <sheetName val="Sheet15"/>
      <sheetName val="IndexInformation"/>
      <sheetName val="MainCode"/>
      <sheetName val="P&amp;L 9-2-98"/>
      <sheetName val="P&amp;L 9-10-98"/>
      <sheetName val="P&amp;L 9-21-98"/>
      <sheetName val="P&amp;L 9-11-98"/>
      <sheetName val="Pipeline"/>
      <sheetName val="P&amp;L 1Q00E"/>
      <sheetName val="P&amp;L 2Q00E"/>
      <sheetName val="BGEN"/>
      <sheetName val="P&amp;L3Q00E"/>
      <sheetName val="P&amp;L8-17-00E"/>
      <sheetName val="NY UPLOAD"/>
      <sheetName val="mStartup"/>
      <sheetName val="NY UPLOAD Shadow"/>
      <sheetName val="RED P&amp;L"/>
      <sheetName val="P&amp;L1Q01E"/>
      <sheetName val="P&amp;L3-27-01E"/>
      <sheetName val="P&amp;L4Q00E"/>
      <sheetName val="guidance"/>
      <sheetName val="P&amp;L RED"/>
      <sheetName val="Annual"/>
    </sheetNames>
    <sheetDataSet>
      <sheetData sheetId="0" refreshError="1"/>
      <sheetData sheetId="1" refreshError="1">
        <row r="7">
          <cell r="A7" t="str">
            <v>Revenues:</v>
          </cell>
        </row>
        <row r="8">
          <cell r="A8" t="str">
            <v>Product sales</v>
          </cell>
          <cell r="G8">
            <v>0</v>
          </cell>
          <cell r="H8">
            <v>0</v>
          </cell>
          <cell r="I8">
            <v>0</v>
          </cell>
          <cell r="J8">
            <v>0</v>
          </cell>
          <cell r="K8">
            <v>0</v>
          </cell>
          <cell r="L8">
            <v>0</v>
          </cell>
          <cell r="M8">
            <v>0</v>
          </cell>
          <cell r="N8">
            <v>0</v>
          </cell>
          <cell r="O8">
            <v>0</v>
          </cell>
          <cell r="P8">
            <v>0</v>
          </cell>
          <cell r="Q8">
            <v>0</v>
          </cell>
          <cell r="R8">
            <v>0</v>
          </cell>
          <cell r="S8">
            <v>6125</v>
          </cell>
          <cell r="T8">
            <v>27517</v>
          </cell>
          <cell r="U8">
            <v>44560</v>
          </cell>
          <cell r="V8">
            <v>78202</v>
          </cell>
          <cell r="W8">
            <v>52616</v>
          </cell>
          <cell r="X8">
            <v>56440</v>
          </cell>
          <cell r="Y8">
            <v>60413</v>
          </cell>
          <cell r="Z8">
            <v>70519</v>
          </cell>
          <cell r="AA8">
            <v>239988</v>
          </cell>
          <cell r="AB8">
            <v>76100</v>
          </cell>
          <cell r="AC8">
            <v>87073.031249999985</v>
          </cell>
          <cell r="AD8">
            <v>107492</v>
          </cell>
          <cell r="AE8">
            <v>118628.125</v>
          </cell>
          <cell r="AF8">
            <v>389293.15625</v>
          </cell>
          <cell r="AG8">
            <v>0</v>
          </cell>
          <cell r="AH8">
            <v>0</v>
          </cell>
          <cell r="AI8">
            <v>0</v>
          </cell>
          <cell r="AJ8">
            <v>0</v>
          </cell>
          <cell r="AK8">
            <v>496856.84375</v>
          </cell>
          <cell r="AL8">
            <v>0</v>
          </cell>
          <cell r="AM8">
            <v>0</v>
          </cell>
          <cell r="AN8">
            <v>0</v>
          </cell>
          <cell r="AO8">
            <v>0</v>
          </cell>
          <cell r="AP8">
            <v>571081.84375</v>
          </cell>
          <cell r="AQ8">
            <v>0</v>
          </cell>
          <cell r="AR8">
            <v>0</v>
          </cell>
          <cell r="AS8">
            <v>0</v>
          </cell>
          <cell r="AT8">
            <v>0</v>
          </cell>
          <cell r="AU8">
            <v>641456.84375</v>
          </cell>
          <cell r="AV8">
            <v>0</v>
          </cell>
          <cell r="AW8">
            <v>0</v>
          </cell>
          <cell r="AX8">
            <v>0</v>
          </cell>
          <cell r="AY8">
            <v>0</v>
          </cell>
          <cell r="AZ8">
            <v>709706.84375</v>
          </cell>
          <cell r="BA8">
            <v>0</v>
          </cell>
          <cell r="BB8">
            <v>0</v>
          </cell>
          <cell r="BC8">
            <v>0</v>
          </cell>
          <cell r="BD8">
            <v>0</v>
          </cell>
          <cell r="BE8">
            <v>821981.84375</v>
          </cell>
        </row>
        <row r="9">
          <cell r="B9" t="str">
            <v>Avonex, U.S.</v>
          </cell>
          <cell r="L9">
            <v>0</v>
          </cell>
          <cell r="Q9">
            <v>0</v>
          </cell>
          <cell r="R9">
            <v>0</v>
          </cell>
          <cell r="S9">
            <v>6125</v>
          </cell>
          <cell r="T9">
            <v>27517</v>
          </cell>
          <cell r="U9">
            <v>42860</v>
          </cell>
          <cell r="V9">
            <v>76502</v>
          </cell>
          <cell r="W9">
            <v>50016</v>
          </cell>
          <cell r="X9">
            <v>55000</v>
          </cell>
          <cell r="Y9">
            <v>56800</v>
          </cell>
          <cell r="Z9">
            <v>60419</v>
          </cell>
          <cell r="AA9">
            <v>222235</v>
          </cell>
          <cell r="AB9">
            <v>63000</v>
          </cell>
          <cell r="AC9">
            <v>68332.031249999985</v>
          </cell>
          <cell r="AD9">
            <v>83592</v>
          </cell>
          <cell r="AE9">
            <v>85903.125</v>
          </cell>
          <cell r="AF9">
            <v>300827.15625</v>
          </cell>
          <cell r="AG9">
            <v>0</v>
          </cell>
          <cell r="AH9">
            <v>0</v>
          </cell>
          <cell r="AI9">
            <v>0</v>
          </cell>
          <cell r="AJ9">
            <v>0</v>
          </cell>
          <cell r="AK9">
            <v>346706.84375</v>
          </cell>
          <cell r="AL9">
            <v>0</v>
          </cell>
          <cell r="AM9">
            <v>0</v>
          </cell>
          <cell r="AN9">
            <v>0</v>
          </cell>
          <cell r="AO9">
            <v>0</v>
          </cell>
          <cell r="AP9">
            <v>378581.84375</v>
          </cell>
          <cell r="AQ9">
            <v>0</v>
          </cell>
          <cell r="AR9">
            <v>0</v>
          </cell>
          <cell r="AS9">
            <v>0</v>
          </cell>
          <cell r="AT9">
            <v>0</v>
          </cell>
          <cell r="AU9">
            <v>410456.84375</v>
          </cell>
          <cell r="AV9">
            <v>0</v>
          </cell>
          <cell r="AW9">
            <v>0</v>
          </cell>
          <cell r="AX9">
            <v>0</v>
          </cell>
          <cell r="AY9">
            <v>0</v>
          </cell>
          <cell r="AZ9">
            <v>440206.84375</v>
          </cell>
          <cell r="BA9">
            <v>0</v>
          </cell>
          <cell r="BB9">
            <v>0</v>
          </cell>
          <cell r="BC9">
            <v>0</v>
          </cell>
          <cell r="BD9">
            <v>0</v>
          </cell>
          <cell r="BE9">
            <v>467831.84375</v>
          </cell>
        </row>
        <row r="10">
          <cell r="C10" t="str">
            <v>Gross margin</v>
          </cell>
          <cell r="Q10">
            <v>0</v>
          </cell>
          <cell r="R10">
            <v>0</v>
          </cell>
          <cell r="S10">
            <v>0.85</v>
          </cell>
          <cell r="T10">
            <v>0.85</v>
          </cell>
          <cell r="U10">
            <v>0.85</v>
          </cell>
          <cell r="V10">
            <v>0.85</v>
          </cell>
          <cell r="W10">
            <v>0.85</v>
          </cell>
          <cell r="X10">
            <v>0.85</v>
          </cell>
          <cell r="Y10">
            <v>0.85</v>
          </cell>
          <cell r="Z10">
            <v>0.85</v>
          </cell>
          <cell r="AA10">
            <v>0.85</v>
          </cell>
          <cell r="AB10">
            <v>0.85</v>
          </cell>
          <cell r="AC10">
            <v>0.85</v>
          </cell>
          <cell r="AD10">
            <v>0.85411999999999999</v>
          </cell>
          <cell r="AE10">
            <v>0.85</v>
          </cell>
          <cell r="AF10">
            <v>0.85</v>
          </cell>
          <cell r="AG10">
            <v>0.85</v>
          </cell>
          <cell r="AH10">
            <v>0.85</v>
          </cell>
          <cell r="AI10">
            <v>0.85</v>
          </cell>
          <cell r="AJ10">
            <v>0.85</v>
          </cell>
          <cell r="AK10">
            <v>0.85</v>
          </cell>
          <cell r="AL10">
            <v>0.85</v>
          </cell>
          <cell r="AM10">
            <v>0.85</v>
          </cell>
          <cell r="AN10">
            <v>0.85</v>
          </cell>
          <cell r="AO10">
            <v>0.85</v>
          </cell>
          <cell r="AP10">
            <v>0.85</v>
          </cell>
          <cell r="AQ10">
            <v>0.85</v>
          </cell>
          <cell r="AR10">
            <v>0.85</v>
          </cell>
          <cell r="AS10">
            <v>0.85</v>
          </cell>
          <cell r="AT10">
            <v>0.85</v>
          </cell>
          <cell r="AU10">
            <v>0.85</v>
          </cell>
          <cell r="AV10">
            <v>0.85</v>
          </cell>
          <cell r="AW10">
            <v>0.85</v>
          </cell>
          <cell r="AX10">
            <v>0.85</v>
          </cell>
          <cell r="AY10">
            <v>0.85</v>
          </cell>
          <cell r="AZ10">
            <v>0.85</v>
          </cell>
          <cell r="BA10">
            <v>0.85</v>
          </cell>
          <cell r="BB10">
            <v>0.85</v>
          </cell>
          <cell r="BC10">
            <v>0.85</v>
          </cell>
          <cell r="BD10">
            <v>0.85</v>
          </cell>
          <cell r="BE10">
            <v>0.85</v>
          </cell>
        </row>
        <row r="11">
          <cell r="B11" t="str">
            <v>Avonex, Europe</v>
          </cell>
          <cell r="G11">
            <v>0</v>
          </cell>
          <cell r="L11">
            <v>0</v>
          </cell>
          <cell r="Q11">
            <v>0</v>
          </cell>
          <cell r="R11">
            <v>0</v>
          </cell>
          <cell r="S11">
            <v>0</v>
          </cell>
          <cell r="T11">
            <v>0</v>
          </cell>
          <cell r="U11">
            <v>0</v>
          </cell>
          <cell r="V11">
            <v>0</v>
          </cell>
          <cell r="W11">
            <v>2600</v>
          </cell>
          <cell r="X11">
            <v>1440</v>
          </cell>
          <cell r="Y11">
            <v>3613</v>
          </cell>
          <cell r="Z11">
            <v>10100</v>
          </cell>
          <cell r="AA11">
            <v>17753</v>
          </cell>
          <cell r="AB11">
            <v>13100</v>
          </cell>
          <cell r="AC11">
            <v>18741</v>
          </cell>
          <cell r="AD11">
            <v>23900</v>
          </cell>
          <cell r="AE11">
            <v>32725</v>
          </cell>
          <cell r="AF11">
            <v>88466</v>
          </cell>
          <cell r="AG11">
            <v>0</v>
          </cell>
          <cell r="AH11">
            <v>0</v>
          </cell>
          <cell r="AI11">
            <v>0</v>
          </cell>
          <cell r="AJ11">
            <v>0</v>
          </cell>
          <cell r="AK11">
            <v>150150</v>
          </cell>
          <cell r="AL11">
            <v>0</v>
          </cell>
          <cell r="AM11">
            <v>0</v>
          </cell>
          <cell r="AN11">
            <v>0</v>
          </cell>
          <cell r="AO11">
            <v>0</v>
          </cell>
          <cell r="AP11">
            <v>192500</v>
          </cell>
          <cell r="AQ11">
            <v>0</v>
          </cell>
          <cell r="AR11">
            <v>0</v>
          </cell>
          <cell r="AS11">
            <v>0</v>
          </cell>
          <cell r="AT11">
            <v>0</v>
          </cell>
          <cell r="AU11">
            <v>231000</v>
          </cell>
          <cell r="AV11">
            <v>0</v>
          </cell>
          <cell r="AW11">
            <v>0</v>
          </cell>
          <cell r="AX11">
            <v>0</v>
          </cell>
          <cell r="AY11">
            <v>0</v>
          </cell>
          <cell r="AZ11">
            <v>269500</v>
          </cell>
          <cell r="BA11">
            <v>0</v>
          </cell>
          <cell r="BB11">
            <v>0</v>
          </cell>
          <cell r="BC11">
            <v>0</v>
          </cell>
          <cell r="BD11">
            <v>0</v>
          </cell>
          <cell r="BE11">
            <v>304150</v>
          </cell>
        </row>
        <row r="12">
          <cell r="C12" t="str">
            <v>Gross margin</v>
          </cell>
          <cell r="G12">
            <v>0</v>
          </cell>
          <cell r="Q12">
            <v>0</v>
          </cell>
          <cell r="V12">
            <v>0</v>
          </cell>
          <cell r="W12">
            <v>0</v>
          </cell>
          <cell r="X12">
            <v>0.85</v>
          </cell>
          <cell r="Y12">
            <v>0.85</v>
          </cell>
          <cell r="Z12">
            <v>0.85</v>
          </cell>
          <cell r="AA12">
            <v>0.85</v>
          </cell>
          <cell r="AB12">
            <v>0.85</v>
          </cell>
          <cell r="AC12">
            <v>0.85</v>
          </cell>
          <cell r="AD12">
            <v>0.85450000000000004</v>
          </cell>
          <cell r="AE12">
            <v>0.85</v>
          </cell>
          <cell r="AF12">
            <v>0.85</v>
          </cell>
          <cell r="AG12">
            <v>0.85</v>
          </cell>
          <cell r="AH12">
            <v>0.85</v>
          </cell>
          <cell r="AI12">
            <v>0.85</v>
          </cell>
          <cell r="AJ12">
            <v>0.85</v>
          </cell>
          <cell r="AK12">
            <v>0.85</v>
          </cell>
          <cell r="AL12">
            <v>0.85</v>
          </cell>
          <cell r="AM12">
            <v>0.85</v>
          </cell>
          <cell r="AN12">
            <v>0.85</v>
          </cell>
          <cell r="AO12">
            <v>0.85</v>
          </cell>
          <cell r="AP12">
            <v>0.85</v>
          </cell>
          <cell r="AQ12">
            <v>0.85</v>
          </cell>
          <cell r="AR12">
            <v>0.85</v>
          </cell>
          <cell r="AS12">
            <v>0.85</v>
          </cell>
          <cell r="AT12">
            <v>0.85</v>
          </cell>
          <cell r="AU12">
            <v>0.85</v>
          </cell>
          <cell r="AV12">
            <v>0.85</v>
          </cell>
          <cell r="AW12">
            <v>0.85</v>
          </cell>
          <cell r="AX12">
            <v>0.85</v>
          </cell>
          <cell r="AY12">
            <v>0.85</v>
          </cell>
          <cell r="AZ12">
            <v>0.85</v>
          </cell>
          <cell r="BA12">
            <v>0.85</v>
          </cell>
          <cell r="BB12">
            <v>0.85</v>
          </cell>
          <cell r="BC12">
            <v>0.85</v>
          </cell>
          <cell r="BD12">
            <v>0.85</v>
          </cell>
          <cell r="BE12">
            <v>0.85</v>
          </cell>
        </row>
        <row r="13">
          <cell r="B13" t="str">
            <v>Other</v>
          </cell>
          <cell r="G13">
            <v>0</v>
          </cell>
          <cell r="L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50000</v>
          </cell>
        </row>
        <row r="14">
          <cell r="C14" t="str">
            <v>Gross margin</v>
          </cell>
          <cell r="G14">
            <v>0</v>
          </cell>
          <cell r="Q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0.85</v>
          </cell>
          <cell r="AM14">
            <v>0.85</v>
          </cell>
          <cell r="AN14">
            <v>0.85</v>
          </cell>
          <cell r="AO14">
            <v>0.85</v>
          </cell>
          <cell r="AP14">
            <v>0</v>
          </cell>
          <cell r="AQ14">
            <v>0</v>
          </cell>
          <cell r="AR14">
            <v>0</v>
          </cell>
          <cell r="AS14">
            <v>0</v>
          </cell>
          <cell r="AT14">
            <v>0</v>
          </cell>
          <cell r="AU14">
            <v>0</v>
          </cell>
          <cell r="AV14">
            <v>0.85</v>
          </cell>
          <cell r="AW14">
            <v>0.85</v>
          </cell>
          <cell r="AX14">
            <v>0.85</v>
          </cell>
          <cell r="AY14">
            <v>0.85</v>
          </cell>
          <cell r="AZ14">
            <v>0.8</v>
          </cell>
          <cell r="BA14">
            <v>0.85</v>
          </cell>
          <cell r="BB14">
            <v>0.85</v>
          </cell>
          <cell r="BC14">
            <v>0.85</v>
          </cell>
          <cell r="BD14">
            <v>0.85</v>
          </cell>
          <cell r="BE14">
            <v>0.7</v>
          </cell>
        </row>
        <row r="15">
          <cell r="A15" t="str">
            <v>Equity in earnings of unconsolidated JV</v>
          </cell>
          <cell r="G15">
            <v>0</v>
          </cell>
          <cell r="L15">
            <v>0</v>
          </cell>
          <cell r="Q15">
            <v>0</v>
          </cell>
          <cell r="R15">
            <v>0</v>
          </cell>
          <cell r="S15">
            <v>0</v>
          </cell>
          <cell r="T15">
            <v>0</v>
          </cell>
          <cell r="U15">
            <v>0</v>
          </cell>
          <cell r="V15">
            <v>0</v>
          </cell>
          <cell r="AA15">
            <v>0</v>
          </cell>
          <cell r="AF15">
            <v>0</v>
          </cell>
          <cell r="AK15">
            <v>0</v>
          </cell>
          <cell r="AP15">
            <v>0</v>
          </cell>
          <cell r="AU15">
            <v>0</v>
          </cell>
          <cell r="AZ15">
            <v>0</v>
          </cell>
          <cell r="BE15">
            <v>0</v>
          </cell>
        </row>
        <row r="16">
          <cell r="B16" t="str">
            <v>Other</v>
          </cell>
          <cell r="Q16">
            <v>0</v>
          </cell>
          <cell r="R16">
            <v>0</v>
          </cell>
          <cell r="S16">
            <v>0</v>
          </cell>
          <cell r="T16">
            <v>0</v>
          </cell>
          <cell r="U16">
            <v>1700</v>
          </cell>
          <cell r="V16">
            <v>1700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row>
        <row r="17">
          <cell r="A17" t="str">
            <v>Collaborative R&amp;D</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15000</v>
          </cell>
          <cell r="AA17">
            <v>15000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row>
        <row r="18">
          <cell r="B18" t="str">
            <v>Merck (VLA-4)</v>
          </cell>
          <cell r="L18">
            <v>0</v>
          </cell>
          <cell r="Q18">
            <v>0</v>
          </cell>
          <cell r="V18">
            <v>0</v>
          </cell>
          <cell r="W18">
            <v>0</v>
          </cell>
          <cell r="X18">
            <v>0</v>
          </cell>
          <cell r="Y18">
            <v>0</v>
          </cell>
          <cell r="Z18">
            <v>15000</v>
          </cell>
          <cell r="AA18">
            <v>15000</v>
          </cell>
          <cell r="AB18">
            <v>0</v>
          </cell>
          <cell r="AC18">
            <v>0</v>
          </cell>
          <cell r="AD18">
            <v>0</v>
          </cell>
          <cell r="AE18">
            <v>0</v>
          </cell>
          <cell r="AF18">
            <v>0</v>
          </cell>
          <cell r="AK18">
            <v>0</v>
          </cell>
          <cell r="AP18">
            <v>0</v>
          </cell>
          <cell r="AU18">
            <v>0</v>
          </cell>
          <cell r="AZ18">
            <v>0</v>
          </cell>
          <cell r="BE18">
            <v>0</v>
          </cell>
        </row>
        <row r="19">
          <cell r="B19" t="str">
            <v>Collaboration 2</v>
          </cell>
          <cell r="L19">
            <v>0</v>
          </cell>
          <cell r="Q19">
            <v>0</v>
          </cell>
          <cell r="V19">
            <v>0</v>
          </cell>
          <cell r="W19">
            <v>0</v>
          </cell>
          <cell r="X19">
            <v>0</v>
          </cell>
          <cell r="Y19">
            <v>0</v>
          </cell>
          <cell r="Z19">
            <v>0</v>
          </cell>
          <cell r="AA19">
            <v>0</v>
          </cell>
          <cell r="AB19">
            <v>0</v>
          </cell>
          <cell r="AC19">
            <v>0</v>
          </cell>
          <cell r="AD19">
            <v>0</v>
          </cell>
          <cell r="AE19">
            <v>0</v>
          </cell>
          <cell r="AF19">
            <v>0</v>
          </cell>
          <cell r="AK19">
            <v>0</v>
          </cell>
          <cell r="AP19">
            <v>0</v>
          </cell>
          <cell r="AU19">
            <v>0</v>
          </cell>
          <cell r="AZ19">
            <v>0</v>
          </cell>
          <cell r="BE19">
            <v>0</v>
          </cell>
        </row>
        <row r="20">
          <cell r="B20" t="str">
            <v>Collaboration 3</v>
          </cell>
          <cell r="L20">
            <v>0</v>
          </cell>
          <cell r="Q20">
            <v>0</v>
          </cell>
          <cell r="V20">
            <v>0</v>
          </cell>
          <cell r="W20">
            <v>0</v>
          </cell>
          <cell r="X20">
            <v>0</v>
          </cell>
          <cell r="Y20">
            <v>0</v>
          </cell>
          <cell r="Z20">
            <v>0</v>
          </cell>
          <cell r="AA20">
            <v>0</v>
          </cell>
          <cell r="AB20">
            <v>0</v>
          </cell>
          <cell r="AC20">
            <v>0</v>
          </cell>
          <cell r="AD20">
            <v>0</v>
          </cell>
          <cell r="AE20">
            <v>0</v>
          </cell>
          <cell r="AF20">
            <v>0</v>
          </cell>
          <cell r="AK20">
            <v>0</v>
          </cell>
          <cell r="AP20">
            <v>0</v>
          </cell>
          <cell r="AU20">
            <v>0</v>
          </cell>
          <cell r="AZ20">
            <v>0</v>
          </cell>
          <cell r="BE20">
            <v>0</v>
          </cell>
        </row>
        <row r="21">
          <cell r="B21" t="str">
            <v>Collaboration 4</v>
          </cell>
          <cell r="L21">
            <v>0</v>
          </cell>
          <cell r="Q21">
            <v>0</v>
          </cell>
          <cell r="V21">
            <v>0</v>
          </cell>
          <cell r="W21">
            <v>0</v>
          </cell>
          <cell r="X21">
            <v>0</v>
          </cell>
          <cell r="Y21">
            <v>0</v>
          </cell>
          <cell r="Z21">
            <v>0</v>
          </cell>
          <cell r="AA21">
            <v>0</v>
          </cell>
          <cell r="AB21">
            <v>0</v>
          </cell>
          <cell r="AC21">
            <v>0</v>
          </cell>
          <cell r="AD21">
            <v>0</v>
          </cell>
          <cell r="AE21">
            <v>0</v>
          </cell>
          <cell r="AF21">
            <v>0</v>
          </cell>
          <cell r="AK21">
            <v>0</v>
          </cell>
          <cell r="AP21">
            <v>0</v>
          </cell>
          <cell r="AU21">
            <v>0</v>
          </cell>
          <cell r="AZ21">
            <v>0</v>
          </cell>
          <cell r="BE21">
            <v>0</v>
          </cell>
        </row>
        <row r="22">
          <cell r="A22" t="str">
            <v>Technology license fee</v>
          </cell>
          <cell r="G22">
            <v>0</v>
          </cell>
          <cell r="L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K22">
            <v>0</v>
          </cell>
          <cell r="AP22">
            <v>0</v>
          </cell>
          <cell r="AU22">
            <v>0</v>
          </cell>
          <cell r="AZ22">
            <v>0</v>
          </cell>
          <cell r="BE22">
            <v>0</v>
          </cell>
        </row>
        <row r="23">
          <cell r="A23" t="str">
            <v>Royalty revenues</v>
          </cell>
          <cell r="G23">
            <v>136418</v>
          </cell>
          <cell r="H23">
            <v>41167</v>
          </cell>
          <cell r="I23">
            <v>32793</v>
          </cell>
          <cell r="J23">
            <v>27733</v>
          </cell>
          <cell r="K23">
            <v>38740</v>
          </cell>
          <cell r="L23">
            <v>140433</v>
          </cell>
          <cell r="M23">
            <v>31953</v>
          </cell>
          <cell r="N23">
            <v>32717</v>
          </cell>
          <cell r="O23">
            <v>33884</v>
          </cell>
          <cell r="P23">
            <v>36099</v>
          </cell>
          <cell r="Q23">
            <v>134653</v>
          </cell>
          <cell r="R23">
            <v>34378</v>
          </cell>
          <cell r="S23">
            <v>35032</v>
          </cell>
          <cell r="T23">
            <v>69236</v>
          </cell>
          <cell r="U23">
            <v>42856</v>
          </cell>
          <cell r="V23">
            <v>181502</v>
          </cell>
          <cell r="W23">
            <v>42215</v>
          </cell>
          <cell r="X23">
            <v>36007</v>
          </cell>
          <cell r="Y23">
            <v>40200</v>
          </cell>
          <cell r="Z23">
            <v>38499</v>
          </cell>
          <cell r="AA23">
            <v>156921</v>
          </cell>
          <cell r="AB23">
            <v>38372</v>
          </cell>
          <cell r="AC23">
            <v>41739.482758620688</v>
          </cell>
          <cell r="AD23">
            <v>38411.875</v>
          </cell>
          <cell r="AE23">
            <v>39875</v>
          </cell>
          <cell r="AF23">
            <v>158398.3577586207</v>
          </cell>
          <cell r="AG23">
            <v>1300</v>
          </cell>
          <cell r="AH23">
            <v>1340</v>
          </cell>
          <cell r="AI23">
            <v>0</v>
          </cell>
          <cell r="AJ23">
            <v>0</v>
          </cell>
          <cell r="AK23">
            <v>175645</v>
          </cell>
          <cell r="AL23">
            <v>1300</v>
          </cell>
          <cell r="AM23">
            <v>1340</v>
          </cell>
          <cell r="AN23">
            <v>0</v>
          </cell>
          <cell r="AO23">
            <v>0</v>
          </cell>
          <cell r="AP23">
            <v>181452</v>
          </cell>
          <cell r="AQ23">
            <v>1300</v>
          </cell>
          <cell r="AR23">
            <v>1340</v>
          </cell>
          <cell r="AS23">
            <v>0</v>
          </cell>
          <cell r="AT23">
            <v>0</v>
          </cell>
          <cell r="AU23">
            <v>177900</v>
          </cell>
          <cell r="AV23">
            <v>1300</v>
          </cell>
          <cell r="AW23">
            <v>1340</v>
          </cell>
          <cell r="AX23">
            <v>0</v>
          </cell>
          <cell r="AY23">
            <v>0</v>
          </cell>
          <cell r="AZ23">
            <v>176725</v>
          </cell>
          <cell r="BA23">
            <v>1300</v>
          </cell>
          <cell r="BB23">
            <v>1340</v>
          </cell>
          <cell r="BC23">
            <v>0</v>
          </cell>
          <cell r="BD23">
            <v>0</v>
          </cell>
          <cell r="BE23">
            <v>176255</v>
          </cell>
        </row>
        <row r="24">
          <cell r="B24" t="str">
            <v>Alpha interferon</v>
          </cell>
          <cell r="G24">
            <v>77758</v>
          </cell>
          <cell r="L24">
            <v>57510</v>
          </cell>
          <cell r="Q24">
            <v>53861</v>
          </cell>
          <cell r="R24">
            <v>0</v>
          </cell>
          <cell r="S24">
            <v>0</v>
          </cell>
          <cell r="T24">
            <v>0</v>
          </cell>
          <cell r="U24">
            <v>0</v>
          </cell>
          <cell r="V24">
            <v>70120</v>
          </cell>
          <cell r="W24">
            <v>19296</v>
          </cell>
          <cell r="X24">
            <v>19430</v>
          </cell>
          <cell r="Y24">
            <v>20540</v>
          </cell>
          <cell r="Z24">
            <v>20930</v>
          </cell>
          <cell r="AA24">
            <v>80196</v>
          </cell>
          <cell r="AB24">
            <v>21450</v>
          </cell>
          <cell r="AC24">
            <v>22100</v>
          </cell>
          <cell r="AD24">
            <v>22100</v>
          </cell>
          <cell r="AE24">
            <v>22750</v>
          </cell>
          <cell r="AF24">
            <v>88400</v>
          </cell>
          <cell r="AG24">
            <v>0</v>
          </cell>
          <cell r="AH24">
            <v>0</v>
          </cell>
          <cell r="AI24">
            <v>0</v>
          </cell>
          <cell r="AJ24">
            <v>0</v>
          </cell>
          <cell r="AK24">
            <v>102700</v>
          </cell>
          <cell r="AL24">
            <v>0</v>
          </cell>
          <cell r="AM24">
            <v>0</v>
          </cell>
          <cell r="AN24">
            <v>0</v>
          </cell>
          <cell r="AO24">
            <v>0</v>
          </cell>
          <cell r="AP24">
            <v>114270</v>
          </cell>
          <cell r="AQ24">
            <v>0</v>
          </cell>
          <cell r="AR24">
            <v>0</v>
          </cell>
          <cell r="AS24">
            <v>0</v>
          </cell>
          <cell r="AT24">
            <v>0</v>
          </cell>
          <cell r="AU24">
            <v>67480</v>
          </cell>
          <cell r="AV24">
            <v>0</v>
          </cell>
          <cell r="AW24">
            <v>0</v>
          </cell>
          <cell r="AX24">
            <v>0</v>
          </cell>
          <cell r="AY24">
            <v>0</v>
          </cell>
          <cell r="AZ24">
            <v>62280</v>
          </cell>
          <cell r="BA24">
            <v>0</v>
          </cell>
          <cell r="BB24">
            <v>0</v>
          </cell>
          <cell r="BC24">
            <v>0</v>
          </cell>
          <cell r="BD24">
            <v>0</v>
          </cell>
          <cell r="BE24">
            <v>63360</v>
          </cell>
        </row>
        <row r="25">
          <cell r="C25" t="str">
            <v>AGR</v>
          </cell>
          <cell r="G25">
            <v>0</v>
          </cell>
          <cell r="L25">
            <v>-0.2603976439723244</v>
          </cell>
          <cell r="Q25">
            <v>-6.3449834811337161E-2</v>
          </cell>
          <cell r="R25">
            <v>0</v>
          </cell>
          <cell r="S25">
            <v>0</v>
          </cell>
          <cell r="T25">
            <v>0</v>
          </cell>
          <cell r="U25">
            <v>0</v>
          </cell>
          <cell r="V25">
            <v>0.30186962737416678</v>
          </cell>
          <cell r="W25">
            <v>0</v>
          </cell>
          <cell r="X25">
            <v>0</v>
          </cell>
          <cell r="Y25">
            <v>0</v>
          </cell>
          <cell r="Z25">
            <v>0</v>
          </cell>
          <cell r="AA25">
            <v>0.14369652025099833</v>
          </cell>
          <cell r="AB25">
            <v>-0.01</v>
          </cell>
          <cell r="AC25">
            <v>-0.01</v>
          </cell>
          <cell r="AD25">
            <v>-0.01</v>
          </cell>
          <cell r="AE25">
            <v>-0.01</v>
          </cell>
          <cell r="AF25">
            <v>-0.04</v>
          </cell>
          <cell r="AG25">
            <v>-1</v>
          </cell>
          <cell r="AH25">
            <v>-1</v>
          </cell>
          <cell r="AI25">
            <v>-1</v>
          </cell>
          <cell r="AJ25">
            <v>-1</v>
          </cell>
          <cell r="AK25">
            <v>0.16176470588235303</v>
          </cell>
          <cell r="AL25" t="e">
            <v>#DIV/0!</v>
          </cell>
          <cell r="AM25" t="e">
            <v>#DIV/0!</v>
          </cell>
          <cell r="AN25" t="e">
            <v>#DIV/0!</v>
          </cell>
          <cell r="AO25" t="e">
            <v>#DIV/0!</v>
          </cell>
          <cell r="AP25">
            <v>0.1126582278481012</v>
          </cell>
          <cell r="AQ25" t="e">
            <v>#DIV/0!</v>
          </cell>
          <cell r="AR25" t="e">
            <v>#DIV/0!</v>
          </cell>
          <cell r="AS25" t="e">
            <v>#DIV/0!</v>
          </cell>
          <cell r="AT25" t="e">
            <v>#DIV/0!</v>
          </cell>
          <cell r="AU25">
            <v>-0.40946880196026958</v>
          </cell>
          <cell r="AV25" t="e">
            <v>#DIV/0!</v>
          </cell>
          <cell r="AW25" t="e">
            <v>#DIV/0!</v>
          </cell>
          <cell r="AX25" t="e">
            <v>#DIV/0!</v>
          </cell>
          <cell r="AY25" t="e">
            <v>#DIV/0!</v>
          </cell>
          <cell r="AZ25">
            <v>-7.7059869590989871E-2</v>
          </cell>
          <cell r="BA25" t="e">
            <v>#DIV/0!</v>
          </cell>
          <cell r="BB25" t="e">
            <v>#DIV/0!</v>
          </cell>
          <cell r="BC25" t="e">
            <v>#DIV/0!</v>
          </cell>
          <cell r="BD25" t="e">
            <v>#DIV/0!</v>
          </cell>
          <cell r="BE25">
            <v>1.7341040462427681E-2</v>
          </cell>
        </row>
        <row r="26">
          <cell r="B26" t="str">
            <v>Hepatitis B vaccines</v>
          </cell>
          <cell r="G26">
            <v>58659</v>
          </cell>
          <cell r="L26">
            <v>70778</v>
          </cell>
          <cell r="Q26">
            <v>64633.440000000002</v>
          </cell>
          <cell r="R26">
            <v>0</v>
          </cell>
          <cell r="S26">
            <v>0</v>
          </cell>
          <cell r="T26">
            <v>0</v>
          </cell>
          <cell r="U26">
            <v>0</v>
          </cell>
          <cell r="V26">
            <v>59732</v>
          </cell>
          <cell r="W26">
            <v>12505.909090909092</v>
          </cell>
          <cell r="X26">
            <v>12297.477272727272</v>
          </cell>
          <cell r="Y26">
            <v>16304</v>
          </cell>
          <cell r="Z26">
            <v>20750.545454545456</v>
          </cell>
          <cell r="AA26">
            <v>61857.931818181823</v>
          </cell>
          <cell r="AB26">
            <v>14250</v>
          </cell>
          <cell r="AC26">
            <v>15449.48275862069</v>
          </cell>
          <cell r="AD26">
            <v>13500</v>
          </cell>
          <cell r="AE26">
            <v>14250</v>
          </cell>
          <cell r="AF26">
            <v>57449.482758620688</v>
          </cell>
          <cell r="AG26">
            <v>0</v>
          </cell>
          <cell r="AH26">
            <v>0</v>
          </cell>
          <cell r="AI26">
            <v>0</v>
          </cell>
          <cell r="AJ26">
            <v>0</v>
          </cell>
          <cell r="AK26">
            <v>60870</v>
          </cell>
          <cell r="AL26">
            <v>0</v>
          </cell>
          <cell r="AM26">
            <v>0</v>
          </cell>
          <cell r="AN26">
            <v>0</v>
          </cell>
          <cell r="AO26">
            <v>0</v>
          </cell>
          <cell r="AP26">
            <v>54432.000000000007</v>
          </cell>
          <cell r="AQ26">
            <v>0</v>
          </cell>
          <cell r="AR26">
            <v>0</v>
          </cell>
          <cell r="AS26">
            <v>0</v>
          </cell>
          <cell r="AT26">
            <v>0</v>
          </cell>
          <cell r="AU26">
            <v>46920</v>
          </cell>
          <cell r="AV26">
            <v>0</v>
          </cell>
          <cell r="AW26">
            <v>0</v>
          </cell>
          <cell r="AX26">
            <v>0</v>
          </cell>
          <cell r="AY26">
            <v>0</v>
          </cell>
          <cell r="AZ26">
            <v>43560</v>
          </cell>
          <cell r="BA26">
            <v>0</v>
          </cell>
          <cell r="BB26">
            <v>0</v>
          </cell>
          <cell r="BC26">
            <v>0</v>
          </cell>
          <cell r="BD26">
            <v>0</v>
          </cell>
          <cell r="BE26">
            <v>40050</v>
          </cell>
        </row>
        <row r="27">
          <cell r="C27" t="str">
            <v>AGR</v>
          </cell>
          <cell r="G27">
            <v>0</v>
          </cell>
          <cell r="L27">
            <v>0.20660086261272781</v>
          </cell>
          <cell r="Q27">
            <v>-8.6814546893102348E-2</v>
          </cell>
          <cell r="R27">
            <v>0</v>
          </cell>
          <cell r="S27">
            <v>0</v>
          </cell>
          <cell r="T27">
            <v>0</v>
          </cell>
          <cell r="U27">
            <v>0</v>
          </cell>
          <cell r="V27">
            <v>-7.5834428741530679E-2</v>
          </cell>
          <cell r="W27">
            <v>0</v>
          </cell>
          <cell r="X27">
            <v>0</v>
          </cell>
          <cell r="Y27">
            <v>0</v>
          </cell>
          <cell r="Z27">
            <v>0</v>
          </cell>
          <cell r="AA27">
            <v>3.5591170866232869E-2</v>
          </cell>
          <cell r="AB27">
            <v>0.13946134554574185</v>
          </cell>
          <cell r="AC27">
            <v>0.25631317838527568</v>
          </cell>
          <cell r="AD27">
            <v>-0.17198233562316001</v>
          </cell>
          <cell r="AE27">
            <v>-0.31327106406841443</v>
          </cell>
          <cell r="AF27">
            <v>-8.9478875760556909E-2</v>
          </cell>
          <cell r="AG27">
            <v>-1</v>
          </cell>
          <cell r="AH27">
            <v>-1</v>
          </cell>
          <cell r="AI27">
            <v>-1</v>
          </cell>
          <cell r="AJ27">
            <v>-1</v>
          </cell>
          <cell r="AK27">
            <v>5.9539565495322799E-2</v>
          </cell>
          <cell r="AL27" t="e">
            <v>#DIV/0!</v>
          </cell>
          <cell r="AM27" t="e">
            <v>#DIV/0!</v>
          </cell>
          <cell r="AN27" t="e">
            <v>#DIV/0!</v>
          </cell>
          <cell r="AO27" t="e">
            <v>#DIV/0!</v>
          </cell>
          <cell r="AP27">
            <v>-0.10576638738294719</v>
          </cell>
          <cell r="AQ27" t="e">
            <v>#DIV/0!</v>
          </cell>
          <cell r="AR27" t="e">
            <v>#DIV/0!</v>
          </cell>
          <cell r="AS27" t="e">
            <v>#DIV/0!</v>
          </cell>
          <cell r="AT27" t="e">
            <v>#DIV/0!</v>
          </cell>
          <cell r="AU27">
            <v>-0.13800705467372143</v>
          </cell>
          <cell r="AV27" t="e">
            <v>#DIV/0!</v>
          </cell>
          <cell r="AW27" t="e">
            <v>#DIV/0!</v>
          </cell>
          <cell r="AX27" t="e">
            <v>#DIV/0!</v>
          </cell>
          <cell r="AY27" t="e">
            <v>#DIV/0!</v>
          </cell>
          <cell r="AZ27">
            <v>-7.1611253196930957E-2</v>
          </cell>
          <cell r="BA27" t="e">
            <v>#DIV/0!</v>
          </cell>
          <cell r="BB27" t="e">
            <v>#DIV/0!</v>
          </cell>
          <cell r="BC27" t="e">
            <v>#DIV/0!</v>
          </cell>
          <cell r="BD27" t="e">
            <v>#DIV/0!</v>
          </cell>
          <cell r="BE27">
            <v>-8.0578512396694224E-2</v>
          </cell>
        </row>
        <row r="28">
          <cell r="B28" t="str">
            <v>Genotropin</v>
          </cell>
          <cell r="G28">
            <v>58659</v>
          </cell>
          <cell r="L28">
            <v>70778</v>
          </cell>
          <cell r="Q28">
            <v>0</v>
          </cell>
          <cell r="R28">
            <v>0</v>
          </cell>
          <cell r="S28">
            <v>0</v>
          </cell>
          <cell r="T28">
            <v>0</v>
          </cell>
          <cell r="U28">
            <v>0</v>
          </cell>
          <cell r="V28">
            <v>0</v>
          </cell>
          <cell r="W28">
            <v>2325</v>
          </cell>
          <cell r="X28">
            <v>2825</v>
          </cell>
          <cell r="Y28">
            <v>2475</v>
          </cell>
          <cell r="Z28">
            <v>2625</v>
          </cell>
          <cell r="AA28">
            <v>10250</v>
          </cell>
          <cell r="AB28">
            <v>2650</v>
          </cell>
          <cell r="AC28">
            <v>2850</v>
          </cell>
          <cell r="AD28">
            <v>2811.875</v>
          </cell>
          <cell r="AE28">
            <v>2875</v>
          </cell>
          <cell r="AF28">
            <v>11186.875</v>
          </cell>
          <cell r="AG28">
            <v>0</v>
          </cell>
          <cell r="AH28">
            <v>0</v>
          </cell>
          <cell r="AI28">
            <v>0</v>
          </cell>
          <cell r="AJ28">
            <v>0</v>
          </cell>
          <cell r="AK28">
            <v>12075</v>
          </cell>
          <cell r="AL28">
            <v>0</v>
          </cell>
          <cell r="AM28">
            <v>0</v>
          </cell>
          <cell r="AN28">
            <v>0</v>
          </cell>
          <cell r="AO28">
            <v>0</v>
          </cell>
          <cell r="AP28">
            <v>12750</v>
          </cell>
          <cell r="AQ28">
            <v>0</v>
          </cell>
          <cell r="AR28">
            <v>0</v>
          </cell>
          <cell r="AS28">
            <v>0</v>
          </cell>
          <cell r="AT28">
            <v>0</v>
          </cell>
          <cell r="AU28">
            <v>13500</v>
          </cell>
          <cell r="AV28">
            <v>0</v>
          </cell>
          <cell r="AW28">
            <v>0</v>
          </cell>
          <cell r="AX28">
            <v>0</v>
          </cell>
          <cell r="AY28">
            <v>0</v>
          </cell>
          <cell r="AZ28">
            <v>15885</v>
          </cell>
          <cell r="BA28">
            <v>0</v>
          </cell>
          <cell r="BB28">
            <v>0</v>
          </cell>
          <cell r="BC28">
            <v>0</v>
          </cell>
          <cell r="BD28">
            <v>0</v>
          </cell>
          <cell r="BE28">
            <v>16745</v>
          </cell>
        </row>
        <row r="29">
          <cell r="C29" t="str">
            <v>AGR</v>
          </cell>
          <cell r="G29">
            <v>0</v>
          </cell>
          <cell r="L29">
            <v>0.20660086261272781</v>
          </cell>
          <cell r="Q29">
            <v>0</v>
          </cell>
          <cell r="R29">
            <v>0</v>
          </cell>
          <cell r="S29">
            <v>0</v>
          </cell>
          <cell r="T29">
            <v>0</v>
          </cell>
          <cell r="U29">
            <v>0</v>
          </cell>
          <cell r="V29">
            <v>0</v>
          </cell>
          <cell r="W29">
            <v>0</v>
          </cell>
          <cell r="X29">
            <v>0</v>
          </cell>
          <cell r="Y29">
            <v>0</v>
          </cell>
          <cell r="Z29">
            <v>0</v>
          </cell>
          <cell r="AA29">
            <v>0</v>
          </cell>
          <cell r="AB29">
            <v>0.13978494623655924</v>
          </cell>
          <cell r="AC29">
            <v>8.8495575221239076E-3</v>
          </cell>
          <cell r="AD29">
            <v>0.13611111111111107</v>
          </cell>
          <cell r="AE29">
            <v>9.5238095238095344E-2</v>
          </cell>
          <cell r="AF29">
            <v>0.37998371010788956</v>
          </cell>
          <cell r="AG29">
            <v>-1</v>
          </cell>
          <cell r="AH29">
            <v>-1</v>
          </cell>
          <cell r="AI29">
            <v>-1</v>
          </cell>
          <cell r="AJ29">
            <v>-1</v>
          </cell>
          <cell r="AK29">
            <v>7.938991005084084E-2</v>
          </cell>
          <cell r="AL29" t="e">
            <v>#DIV/0!</v>
          </cell>
          <cell r="AM29" t="e">
            <v>#DIV/0!</v>
          </cell>
          <cell r="AN29" t="e">
            <v>#DIV/0!</v>
          </cell>
          <cell r="AO29" t="e">
            <v>#DIV/0!</v>
          </cell>
          <cell r="AP29">
            <v>5.5900621118012417E-2</v>
          </cell>
          <cell r="AQ29" t="e">
            <v>#DIV/0!</v>
          </cell>
          <cell r="AR29" t="e">
            <v>#DIV/0!</v>
          </cell>
          <cell r="AS29" t="e">
            <v>#DIV/0!</v>
          </cell>
          <cell r="AT29" t="e">
            <v>#DIV/0!</v>
          </cell>
          <cell r="AU29">
            <v>5.8823529411764719E-2</v>
          </cell>
          <cell r="AV29" t="e">
            <v>#DIV/0!</v>
          </cell>
          <cell r="AW29" t="e">
            <v>#DIV/0!</v>
          </cell>
          <cell r="AX29" t="e">
            <v>#DIV/0!</v>
          </cell>
          <cell r="AY29" t="e">
            <v>#DIV/0!</v>
          </cell>
          <cell r="AZ29">
            <v>0.17666666666666675</v>
          </cell>
          <cell r="BA29" t="e">
            <v>#DIV/0!</v>
          </cell>
          <cell r="BB29" t="e">
            <v>#DIV/0!</v>
          </cell>
          <cell r="BC29" t="e">
            <v>#DIV/0!</v>
          </cell>
          <cell r="BD29" t="e">
            <v>#DIV/0!</v>
          </cell>
          <cell r="BE29">
            <v>5.413912496065465E-2</v>
          </cell>
        </row>
        <row r="30">
          <cell r="B30" t="str">
            <v>Other</v>
          </cell>
          <cell r="G30">
            <v>0</v>
          </cell>
          <cell r="L30">
            <v>12145</v>
          </cell>
          <cell r="Q30">
            <v>16159</v>
          </cell>
          <cell r="R30">
            <v>0</v>
          </cell>
          <cell r="S30">
            <v>0</v>
          </cell>
          <cell r="T30">
            <v>0</v>
          </cell>
          <cell r="U30">
            <v>0</v>
          </cell>
          <cell r="V30">
            <v>51650</v>
          </cell>
          <cell r="W30">
            <v>8088.0909090909081</v>
          </cell>
          <cell r="X30">
            <v>1454.5227272727279</v>
          </cell>
          <cell r="Y30">
            <v>0</v>
          </cell>
          <cell r="Z30">
            <v>0</v>
          </cell>
          <cell r="AA30">
            <v>9542.613636363636</v>
          </cell>
          <cell r="AB30">
            <v>1300</v>
          </cell>
          <cell r="AC30">
            <v>1340</v>
          </cell>
          <cell r="AD30">
            <v>0</v>
          </cell>
          <cell r="AE30">
            <v>0</v>
          </cell>
          <cell r="AF30">
            <v>2640</v>
          </cell>
          <cell r="AG30">
            <v>1300</v>
          </cell>
          <cell r="AH30">
            <v>1340</v>
          </cell>
          <cell r="AI30">
            <v>0</v>
          </cell>
          <cell r="AJ30">
            <v>0</v>
          </cell>
          <cell r="AL30">
            <v>1300</v>
          </cell>
          <cell r="AM30">
            <v>1340</v>
          </cell>
          <cell r="AN30">
            <v>0</v>
          </cell>
          <cell r="AO30">
            <v>0</v>
          </cell>
          <cell r="AP30">
            <v>0</v>
          </cell>
          <cell r="AQ30">
            <v>1300</v>
          </cell>
          <cell r="AR30">
            <v>1340</v>
          </cell>
          <cell r="AS30">
            <v>0</v>
          </cell>
          <cell r="AT30">
            <v>0</v>
          </cell>
          <cell r="AU30">
            <v>50000</v>
          </cell>
          <cell r="AV30">
            <v>1300</v>
          </cell>
          <cell r="AW30">
            <v>1340</v>
          </cell>
          <cell r="AX30">
            <v>0</v>
          </cell>
          <cell r="AY30">
            <v>0</v>
          </cell>
          <cell r="AZ30">
            <v>55000.000000000007</v>
          </cell>
          <cell r="BA30">
            <v>1300</v>
          </cell>
          <cell r="BB30">
            <v>1340</v>
          </cell>
          <cell r="BC30">
            <v>0</v>
          </cell>
          <cell r="BD30">
            <v>0</v>
          </cell>
          <cell r="BE30">
            <v>56100.000000000007</v>
          </cell>
        </row>
        <row r="31">
          <cell r="C31" t="str">
            <v>AGR</v>
          </cell>
          <cell r="G31">
            <v>0</v>
          </cell>
          <cell r="L31">
            <v>0</v>
          </cell>
          <cell r="Q31">
            <v>0.33050638122684234</v>
          </cell>
          <cell r="V31">
            <v>0.05</v>
          </cell>
          <cell r="W31">
            <v>0</v>
          </cell>
          <cell r="X31">
            <v>0</v>
          </cell>
          <cell r="Y31">
            <v>0</v>
          </cell>
          <cell r="Z31">
            <v>0</v>
          </cell>
          <cell r="AA31">
            <v>-0.15</v>
          </cell>
          <cell r="AB31">
            <v>0</v>
          </cell>
          <cell r="AC31">
            <v>0</v>
          </cell>
          <cell r="AD31">
            <v>0</v>
          </cell>
          <cell r="AE31">
            <v>0</v>
          </cell>
          <cell r="AF31">
            <v>-0.255</v>
          </cell>
          <cell r="AG31">
            <v>0</v>
          </cell>
          <cell r="AH31">
            <v>0</v>
          </cell>
          <cell r="AI31">
            <v>0</v>
          </cell>
          <cell r="AJ31">
            <v>0</v>
          </cell>
          <cell r="AK31">
            <v>0.28849999999999998</v>
          </cell>
          <cell r="AL31">
            <v>0</v>
          </cell>
          <cell r="AM31">
            <v>0</v>
          </cell>
          <cell r="AN31">
            <v>0</v>
          </cell>
          <cell r="AO31">
            <v>0</v>
          </cell>
          <cell r="AP31">
            <v>-0.18</v>
          </cell>
          <cell r="AQ31">
            <v>0</v>
          </cell>
          <cell r="AR31">
            <v>0</v>
          </cell>
          <cell r="AS31">
            <v>0</v>
          </cell>
          <cell r="AT31">
            <v>0</v>
          </cell>
          <cell r="AV31">
            <v>0</v>
          </cell>
          <cell r="AW31">
            <v>0</v>
          </cell>
          <cell r="AX31">
            <v>0</v>
          </cell>
          <cell r="AY31">
            <v>0</v>
          </cell>
          <cell r="AZ31">
            <v>0.1</v>
          </cell>
          <cell r="BA31">
            <v>0</v>
          </cell>
          <cell r="BB31">
            <v>0</v>
          </cell>
          <cell r="BC31">
            <v>0</v>
          </cell>
          <cell r="BD31">
            <v>0</v>
          </cell>
          <cell r="BE31">
            <v>0.02</v>
          </cell>
        </row>
        <row r="32">
          <cell r="A32" t="str">
            <v>Total revenues</v>
          </cell>
          <cell r="G32">
            <v>136418</v>
          </cell>
          <cell r="H32">
            <v>41167</v>
          </cell>
          <cell r="I32">
            <v>32793</v>
          </cell>
          <cell r="J32">
            <v>27733</v>
          </cell>
          <cell r="K32">
            <v>38740</v>
          </cell>
          <cell r="L32">
            <v>140433</v>
          </cell>
          <cell r="M32">
            <v>31953</v>
          </cell>
          <cell r="N32">
            <v>32717</v>
          </cell>
          <cell r="O32">
            <v>33884</v>
          </cell>
          <cell r="P32">
            <v>36099</v>
          </cell>
          <cell r="Q32">
            <v>134653</v>
          </cell>
          <cell r="R32">
            <v>34378</v>
          </cell>
          <cell r="S32">
            <v>41157</v>
          </cell>
          <cell r="T32">
            <v>96753</v>
          </cell>
          <cell r="U32">
            <v>87416</v>
          </cell>
          <cell r="V32">
            <v>259704</v>
          </cell>
          <cell r="W32">
            <v>94831</v>
          </cell>
          <cell r="X32">
            <v>92447</v>
          </cell>
          <cell r="Y32">
            <v>100613</v>
          </cell>
          <cell r="Z32">
            <v>124018</v>
          </cell>
          <cell r="AA32">
            <v>411909</v>
          </cell>
          <cell r="AB32">
            <v>114472</v>
          </cell>
          <cell r="AC32">
            <v>128812.51400862067</v>
          </cell>
          <cell r="AD32">
            <v>145903.875</v>
          </cell>
          <cell r="AE32">
            <v>158503.125</v>
          </cell>
          <cell r="AF32">
            <v>547691.51400862064</v>
          </cell>
          <cell r="AG32">
            <v>1300</v>
          </cell>
          <cell r="AH32">
            <v>1340</v>
          </cell>
          <cell r="AI32">
            <v>0</v>
          </cell>
          <cell r="AJ32">
            <v>0</v>
          </cell>
          <cell r="AK32">
            <v>672501.84375</v>
          </cell>
          <cell r="AL32">
            <v>1300</v>
          </cell>
          <cell r="AM32">
            <v>1340</v>
          </cell>
          <cell r="AN32">
            <v>0</v>
          </cell>
          <cell r="AO32">
            <v>0</v>
          </cell>
          <cell r="AP32">
            <v>752533.84375</v>
          </cell>
          <cell r="AQ32">
            <v>1300</v>
          </cell>
          <cell r="AR32">
            <v>1340</v>
          </cell>
          <cell r="AS32">
            <v>0</v>
          </cell>
          <cell r="AT32">
            <v>0</v>
          </cell>
          <cell r="AU32">
            <v>819356.84375</v>
          </cell>
          <cell r="AV32">
            <v>1300</v>
          </cell>
          <cell r="AW32">
            <v>1340</v>
          </cell>
          <cell r="AX32">
            <v>0</v>
          </cell>
          <cell r="AY32">
            <v>0</v>
          </cell>
          <cell r="AZ32">
            <v>886431.84375</v>
          </cell>
          <cell r="BA32">
            <v>1300</v>
          </cell>
          <cell r="BB32">
            <v>1340</v>
          </cell>
          <cell r="BC32">
            <v>0</v>
          </cell>
          <cell r="BD32">
            <v>0</v>
          </cell>
          <cell r="BE32">
            <v>998236.84375</v>
          </cell>
        </row>
        <row r="33">
          <cell r="A33" t="str">
            <v>Income statement:</v>
          </cell>
        </row>
        <row r="34">
          <cell r="A34" t="str">
            <v>Total revenues</v>
          </cell>
          <cell r="G34">
            <v>136418</v>
          </cell>
          <cell r="H34">
            <v>41167</v>
          </cell>
          <cell r="I34">
            <v>32793</v>
          </cell>
          <cell r="J34">
            <v>27733</v>
          </cell>
          <cell r="K34">
            <v>38740</v>
          </cell>
          <cell r="L34">
            <v>140433</v>
          </cell>
          <cell r="M34">
            <v>31953</v>
          </cell>
          <cell r="N34">
            <v>32717</v>
          </cell>
          <cell r="O34">
            <v>33884</v>
          </cell>
          <cell r="P34">
            <v>36099</v>
          </cell>
          <cell r="Q34">
            <v>134653</v>
          </cell>
          <cell r="R34">
            <v>34378</v>
          </cell>
          <cell r="S34">
            <v>41157</v>
          </cell>
          <cell r="T34">
            <v>96753</v>
          </cell>
          <cell r="U34">
            <v>87416</v>
          </cell>
          <cell r="V34">
            <v>259704</v>
          </cell>
          <cell r="W34">
            <v>94831</v>
          </cell>
          <cell r="X34">
            <v>92447</v>
          </cell>
          <cell r="Y34">
            <v>100613</v>
          </cell>
          <cell r="Z34">
            <v>124018</v>
          </cell>
          <cell r="AA34">
            <v>411909</v>
          </cell>
          <cell r="AB34">
            <v>114472</v>
          </cell>
          <cell r="AC34">
            <v>128812.51400862067</v>
          </cell>
          <cell r="AD34">
            <v>145903.875</v>
          </cell>
          <cell r="AE34">
            <v>158503.125</v>
          </cell>
          <cell r="AF34">
            <v>547691.51400862064</v>
          </cell>
          <cell r="AG34">
            <v>1300</v>
          </cell>
          <cell r="AH34">
            <v>1340</v>
          </cell>
          <cell r="AI34">
            <v>0</v>
          </cell>
          <cell r="AJ34">
            <v>0</v>
          </cell>
          <cell r="AK34">
            <v>672501.84375</v>
          </cell>
          <cell r="AL34">
            <v>1300</v>
          </cell>
          <cell r="AM34">
            <v>1340</v>
          </cell>
          <cell r="AN34">
            <v>0</v>
          </cell>
          <cell r="AO34">
            <v>0</v>
          </cell>
          <cell r="AP34">
            <v>752533.84375</v>
          </cell>
          <cell r="AQ34">
            <v>1300</v>
          </cell>
          <cell r="AR34">
            <v>1340</v>
          </cell>
          <cell r="AS34">
            <v>0</v>
          </cell>
          <cell r="AT34">
            <v>0</v>
          </cell>
          <cell r="AU34">
            <v>819356.84375</v>
          </cell>
          <cell r="AV34">
            <v>1300</v>
          </cell>
          <cell r="AW34">
            <v>1340</v>
          </cell>
          <cell r="AX34">
            <v>0</v>
          </cell>
          <cell r="AY34">
            <v>0</v>
          </cell>
          <cell r="AZ34">
            <v>886431.84375</v>
          </cell>
          <cell r="BA34">
            <v>1300</v>
          </cell>
          <cell r="BB34">
            <v>1340</v>
          </cell>
          <cell r="BC34">
            <v>0</v>
          </cell>
          <cell r="BD34">
            <v>0</v>
          </cell>
          <cell r="BE34">
            <v>998236.84375</v>
          </cell>
        </row>
        <row r="35">
          <cell r="A35" t="str">
            <v>Cost of sales</v>
          </cell>
          <cell r="G35">
            <v>0</v>
          </cell>
          <cell r="H35">
            <v>2471</v>
          </cell>
          <cell r="I35">
            <v>2146</v>
          </cell>
          <cell r="J35">
            <v>2200</v>
          </cell>
          <cell r="K35">
            <v>3131</v>
          </cell>
          <cell r="L35">
            <v>9948</v>
          </cell>
          <cell r="M35">
            <v>2504</v>
          </cell>
          <cell r="N35">
            <v>2648</v>
          </cell>
          <cell r="O35">
            <v>2601</v>
          </cell>
          <cell r="P35">
            <v>2751</v>
          </cell>
          <cell r="Q35">
            <v>10504</v>
          </cell>
          <cell r="R35">
            <v>4153</v>
          </cell>
          <cell r="S35">
            <v>3836</v>
          </cell>
          <cell r="T35">
            <v>10424</v>
          </cell>
          <cell r="U35">
            <v>10112</v>
          </cell>
          <cell r="V35">
            <v>28525</v>
          </cell>
          <cell r="W35">
            <v>11744</v>
          </cell>
          <cell r="X35">
            <v>11444</v>
          </cell>
          <cell r="Y35">
            <v>12498</v>
          </cell>
          <cell r="Z35">
            <v>14502</v>
          </cell>
          <cell r="AA35">
            <v>50188</v>
          </cell>
          <cell r="AB35">
            <v>14873</v>
          </cell>
          <cell r="AC35">
            <v>17171</v>
          </cell>
          <cell r="AD35">
            <v>19513.03846</v>
          </cell>
          <cell r="AE35">
            <v>21781.718750000004</v>
          </cell>
          <cell r="AF35">
            <v>73338.757209999996</v>
          </cell>
          <cell r="AG35">
            <v>129.99999999999997</v>
          </cell>
          <cell r="AH35">
            <v>133.99999999999997</v>
          </cell>
          <cell r="AI35">
            <v>0</v>
          </cell>
          <cell r="AJ35">
            <v>0</v>
          </cell>
          <cell r="AK35">
            <v>92971.251562500023</v>
          </cell>
          <cell r="AL35">
            <v>136.49999999999997</v>
          </cell>
          <cell r="AM35">
            <v>140.69999999999999</v>
          </cell>
          <cell r="AN35">
            <v>0</v>
          </cell>
          <cell r="AO35">
            <v>0</v>
          </cell>
          <cell r="AP35">
            <v>104714.73656250001</v>
          </cell>
          <cell r="AQ35">
            <v>136.49999999999997</v>
          </cell>
          <cell r="AR35">
            <v>140.69999999999999</v>
          </cell>
          <cell r="AS35">
            <v>0</v>
          </cell>
          <cell r="AT35">
            <v>0</v>
          </cell>
          <cell r="AU35">
            <v>114898.02656250002</v>
          </cell>
          <cell r="AV35">
            <v>136.49999999999997</v>
          </cell>
          <cell r="AW35">
            <v>140.69999999999999</v>
          </cell>
          <cell r="AX35">
            <v>0</v>
          </cell>
          <cell r="AY35">
            <v>0</v>
          </cell>
          <cell r="AZ35">
            <v>125012.15156250002</v>
          </cell>
          <cell r="BA35">
            <v>136.49999999999997</v>
          </cell>
          <cell r="BB35">
            <v>140.69999999999999</v>
          </cell>
          <cell r="BC35">
            <v>0</v>
          </cell>
          <cell r="BD35">
            <v>0</v>
          </cell>
          <cell r="BE35">
            <v>149304.05156250001</v>
          </cell>
        </row>
        <row r="36">
          <cell r="A36" t="str">
            <v>Selling, general and administrative</v>
          </cell>
          <cell r="G36">
            <v>0</v>
          </cell>
          <cell r="H36">
            <v>5963</v>
          </cell>
          <cell r="I36">
            <v>5607</v>
          </cell>
          <cell r="J36">
            <v>5558</v>
          </cell>
          <cell r="K36">
            <v>7558</v>
          </cell>
          <cell r="L36">
            <v>24686</v>
          </cell>
          <cell r="M36">
            <v>7521</v>
          </cell>
          <cell r="N36">
            <v>10003</v>
          </cell>
          <cell r="O36">
            <v>10272</v>
          </cell>
          <cell r="P36">
            <v>12497</v>
          </cell>
          <cell r="Q36">
            <v>40293</v>
          </cell>
          <cell r="R36">
            <v>13246</v>
          </cell>
          <cell r="S36">
            <v>19747</v>
          </cell>
          <cell r="T36">
            <v>18880</v>
          </cell>
          <cell r="U36">
            <v>21759</v>
          </cell>
          <cell r="V36">
            <v>73632</v>
          </cell>
          <cell r="W36">
            <v>21164</v>
          </cell>
          <cell r="X36">
            <v>20960</v>
          </cell>
          <cell r="Y36">
            <v>22649</v>
          </cell>
          <cell r="Z36">
            <v>25325</v>
          </cell>
          <cell r="AA36">
            <v>90098</v>
          </cell>
          <cell r="AB36">
            <v>26003</v>
          </cell>
          <cell r="AC36">
            <v>28481</v>
          </cell>
          <cell r="AD36">
            <v>27011</v>
          </cell>
          <cell r="AE36">
            <v>30390</v>
          </cell>
          <cell r="AF36">
            <v>111885</v>
          </cell>
          <cell r="AG36">
            <v>26003</v>
          </cell>
          <cell r="AH36">
            <v>28481</v>
          </cell>
          <cell r="AI36">
            <v>27011</v>
          </cell>
          <cell r="AJ36">
            <v>30390</v>
          </cell>
          <cell r="AK36">
            <v>121954.65000000001</v>
          </cell>
          <cell r="AL36">
            <v>26003</v>
          </cell>
          <cell r="AM36">
            <v>28481</v>
          </cell>
          <cell r="AN36">
            <v>27011</v>
          </cell>
          <cell r="AO36">
            <v>30390</v>
          </cell>
          <cell r="AP36">
            <v>133784.25105000002</v>
          </cell>
          <cell r="AQ36">
            <v>26003</v>
          </cell>
          <cell r="AR36">
            <v>28481</v>
          </cell>
          <cell r="AS36">
            <v>27011</v>
          </cell>
          <cell r="AT36">
            <v>30390</v>
          </cell>
          <cell r="AU36">
            <v>140473.46360250004</v>
          </cell>
          <cell r="AV36">
            <v>26003</v>
          </cell>
          <cell r="AW36">
            <v>28481</v>
          </cell>
          <cell r="AX36">
            <v>27011</v>
          </cell>
          <cell r="AY36">
            <v>30390</v>
          </cell>
          <cell r="AZ36">
            <v>147497.13678262505</v>
          </cell>
          <cell r="BA36">
            <v>26003</v>
          </cell>
          <cell r="BB36">
            <v>28481</v>
          </cell>
          <cell r="BC36">
            <v>27011</v>
          </cell>
          <cell r="BD36">
            <v>30390</v>
          </cell>
          <cell r="BE36">
            <v>154871.99362175632</v>
          </cell>
        </row>
        <row r="37">
          <cell r="B37" t="str">
            <v>AGR</v>
          </cell>
          <cell r="G37">
            <v>0</v>
          </cell>
          <cell r="H37">
            <v>0</v>
          </cell>
          <cell r="I37">
            <v>0</v>
          </cell>
          <cell r="J37">
            <v>0</v>
          </cell>
          <cell r="K37">
            <v>0</v>
          </cell>
          <cell r="L37">
            <v>0</v>
          </cell>
          <cell r="M37">
            <v>0.2612778802616133</v>
          </cell>
          <cell r="N37">
            <v>0.78401997503121101</v>
          </cell>
          <cell r="O37">
            <v>0.8481468154012235</v>
          </cell>
          <cell r="P37">
            <v>0.65347975654935164</v>
          </cell>
          <cell r="Q37">
            <v>0.63222069189014019</v>
          </cell>
          <cell r="R37">
            <v>0.76120196782342775</v>
          </cell>
          <cell r="S37">
            <v>0.97410776766969909</v>
          </cell>
          <cell r="T37">
            <v>0.838006230529595</v>
          </cell>
          <cell r="U37">
            <v>0.74113787308954149</v>
          </cell>
          <cell r="V37">
            <v>0.82741419105055469</v>
          </cell>
          <cell r="W37">
            <v>0.5977653631284916</v>
          </cell>
          <cell r="X37">
            <v>6.1427052210462296E-2</v>
          </cell>
          <cell r="Y37">
            <v>0.19962923728813564</v>
          </cell>
          <cell r="Z37">
            <v>0.1</v>
          </cell>
          <cell r="AA37">
            <v>0.22362559756627554</v>
          </cell>
          <cell r="AB37">
            <v>0.22864297864297867</v>
          </cell>
          <cell r="AC37">
            <v>0.3588263358778625</v>
          </cell>
          <cell r="AD37">
            <v>0.19259128438341655</v>
          </cell>
          <cell r="AE37">
            <v>0.2</v>
          </cell>
          <cell r="AF37">
            <v>0.24181446868964906</v>
          </cell>
          <cell r="AG37">
            <v>0</v>
          </cell>
          <cell r="AH37">
            <v>0</v>
          </cell>
          <cell r="AI37">
            <v>0</v>
          </cell>
          <cell r="AJ37">
            <v>0</v>
          </cell>
          <cell r="AK37">
            <v>0.09</v>
          </cell>
          <cell r="AL37">
            <v>0</v>
          </cell>
          <cell r="AM37">
            <v>0</v>
          </cell>
          <cell r="AN37">
            <v>0</v>
          </cell>
          <cell r="AO37">
            <v>0</v>
          </cell>
          <cell r="AP37">
            <v>9.7000000000000003E-2</v>
          </cell>
          <cell r="AQ37">
            <v>0</v>
          </cell>
          <cell r="AR37">
            <v>0</v>
          </cell>
          <cell r="AS37">
            <v>0</v>
          </cell>
          <cell r="AT37">
            <v>0</v>
          </cell>
          <cell r="AU37">
            <v>0.05</v>
          </cell>
          <cell r="AV37">
            <v>0</v>
          </cell>
          <cell r="AW37">
            <v>0</v>
          </cell>
          <cell r="AX37">
            <v>0</v>
          </cell>
          <cell r="AY37">
            <v>0</v>
          </cell>
          <cell r="AZ37">
            <v>0.05</v>
          </cell>
          <cell r="BA37">
            <v>0</v>
          </cell>
          <cell r="BB37">
            <v>0</v>
          </cell>
          <cell r="BC37">
            <v>0</v>
          </cell>
          <cell r="BD37">
            <v>0</v>
          </cell>
          <cell r="BE37">
            <v>0.05</v>
          </cell>
        </row>
        <row r="38">
          <cell r="A38" t="str">
            <v>Research and development</v>
          </cell>
          <cell r="G38">
            <v>0</v>
          </cell>
          <cell r="H38">
            <v>23334</v>
          </cell>
          <cell r="I38">
            <v>26268</v>
          </cell>
          <cell r="J38">
            <v>22864</v>
          </cell>
          <cell r="K38">
            <v>18747</v>
          </cell>
          <cell r="L38">
            <v>91213</v>
          </cell>
          <cell r="M38">
            <v>20435</v>
          </cell>
          <cell r="N38">
            <v>21270</v>
          </cell>
          <cell r="O38">
            <v>22465</v>
          </cell>
          <cell r="P38">
            <v>23278</v>
          </cell>
          <cell r="Q38">
            <v>87448</v>
          </cell>
          <cell r="R38">
            <v>24411</v>
          </cell>
          <cell r="S38">
            <v>29302</v>
          </cell>
          <cell r="T38">
            <v>30338</v>
          </cell>
          <cell r="U38">
            <v>48333</v>
          </cell>
          <cell r="V38">
            <v>132384</v>
          </cell>
          <cell r="W38">
            <v>37908</v>
          </cell>
          <cell r="X38">
            <v>32014</v>
          </cell>
          <cell r="Y38">
            <v>37040</v>
          </cell>
          <cell r="Z38">
            <v>38539</v>
          </cell>
          <cell r="AA38">
            <v>145501</v>
          </cell>
          <cell r="AB38">
            <v>37120</v>
          </cell>
          <cell r="AC38">
            <v>42135</v>
          </cell>
          <cell r="AD38">
            <v>49083</v>
          </cell>
          <cell r="AE38">
            <v>50871.48</v>
          </cell>
          <cell r="AF38">
            <v>179209.48</v>
          </cell>
          <cell r="AG38">
            <v>37120</v>
          </cell>
          <cell r="AH38">
            <v>42135</v>
          </cell>
          <cell r="AI38">
            <v>49083</v>
          </cell>
          <cell r="AJ38">
            <v>50871.48</v>
          </cell>
          <cell r="AK38">
            <v>205194.85460000002</v>
          </cell>
          <cell r="AL38">
            <v>37120</v>
          </cell>
          <cell r="AM38">
            <v>42135</v>
          </cell>
          <cell r="AN38">
            <v>49083</v>
          </cell>
          <cell r="AO38">
            <v>50871.48</v>
          </cell>
          <cell r="AP38">
            <v>216480.57160300002</v>
          </cell>
          <cell r="AQ38">
            <v>37120</v>
          </cell>
          <cell r="AR38">
            <v>42135</v>
          </cell>
          <cell r="AS38">
            <v>49083</v>
          </cell>
          <cell r="AT38">
            <v>50871.48</v>
          </cell>
          <cell r="AU38">
            <v>227304.60018315003</v>
          </cell>
          <cell r="AV38">
            <v>37120</v>
          </cell>
          <cell r="AW38">
            <v>42135</v>
          </cell>
          <cell r="AX38">
            <v>49083</v>
          </cell>
          <cell r="AY38">
            <v>50871.48</v>
          </cell>
          <cell r="AZ38">
            <v>238669.83019230753</v>
          </cell>
          <cell r="BA38">
            <v>37120</v>
          </cell>
          <cell r="BB38">
            <v>42135</v>
          </cell>
          <cell r="BC38">
            <v>49083</v>
          </cell>
          <cell r="BD38">
            <v>50871.48</v>
          </cell>
          <cell r="BE38">
            <v>250603.32170192292</v>
          </cell>
        </row>
        <row r="39">
          <cell r="B39" t="str">
            <v>AGR</v>
          </cell>
          <cell r="G39">
            <v>0</v>
          </cell>
          <cell r="H39">
            <v>0</v>
          </cell>
          <cell r="I39">
            <v>0</v>
          </cell>
          <cell r="J39">
            <v>0</v>
          </cell>
          <cell r="K39">
            <v>0</v>
          </cell>
          <cell r="L39">
            <v>0</v>
          </cell>
          <cell r="M39">
            <v>-0.12423930744835862</v>
          </cell>
          <cell r="N39">
            <v>-0.19026952946550937</v>
          </cell>
          <cell r="O39">
            <v>-1.7451014695591321E-2</v>
          </cell>
          <cell r="P39">
            <v>0.24169200405398197</v>
          </cell>
          <cell r="Q39">
            <v>-4.1277010952386173E-2</v>
          </cell>
          <cell r="R39">
            <v>0.1945681428920969</v>
          </cell>
          <cell r="S39">
            <v>0.3776210625293841</v>
          </cell>
          <cell r="T39">
            <v>0.35045626530158025</v>
          </cell>
          <cell r="U39">
            <v>1.076338173382593</v>
          </cell>
          <cell r="V39">
            <v>0.5138596651724453</v>
          </cell>
          <cell r="W39">
            <v>0.55290647658842329</v>
          </cell>
          <cell r="X39">
            <v>9.255340932359557E-2</v>
          </cell>
          <cell r="Y39">
            <v>0.22091106862680476</v>
          </cell>
          <cell r="Z39">
            <v>-0.2</v>
          </cell>
          <cell r="AA39">
            <v>9.9082970751752431E-2</v>
          </cell>
          <cell r="AB39">
            <v>-2.0787168935317069E-2</v>
          </cell>
          <cell r="AC39">
            <v>0.31614293746485922</v>
          </cell>
          <cell r="AD39">
            <v>0.32513498920086392</v>
          </cell>
          <cell r="AE39">
            <v>0.32</v>
          </cell>
          <cell r="AF39">
            <v>0.16500000000000001</v>
          </cell>
          <cell r="AG39">
            <v>0</v>
          </cell>
          <cell r="AH39">
            <v>0</v>
          </cell>
          <cell r="AI39">
            <v>0</v>
          </cell>
          <cell r="AJ39">
            <v>0</v>
          </cell>
          <cell r="AK39">
            <v>0.14499999999999999</v>
          </cell>
          <cell r="AL39">
            <v>0</v>
          </cell>
          <cell r="AM39">
            <v>0</v>
          </cell>
          <cell r="AN39">
            <v>0</v>
          </cell>
          <cell r="AO39">
            <v>0</v>
          </cell>
          <cell r="AP39">
            <v>5.5E-2</v>
          </cell>
          <cell r="AQ39">
            <v>0</v>
          </cell>
          <cell r="AR39">
            <v>0</v>
          </cell>
          <cell r="AS39">
            <v>0</v>
          </cell>
          <cell r="AT39">
            <v>0</v>
          </cell>
          <cell r="AU39">
            <v>0.05</v>
          </cell>
          <cell r="AV39">
            <v>0</v>
          </cell>
          <cell r="AW39">
            <v>0</v>
          </cell>
          <cell r="AX39">
            <v>0</v>
          </cell>
          <cell r="AY39">
            <v>0</v>
          </cell>
          <cell r="AZ39">
            <v>0.05</v>
          </cell>
          <cell r="BA39">
            <v>0</v>
          </cell>
          <cell r="BB39">
            <v>0</v>
          </cell>
          <cell r="BC39">
            <v>0</v>
          </cell>
          <cell r="BD39">
            <v>0</v>
          </cell>
          <cell r="BE39">
            <v>0.05</v>
          </cell>
        </row>
        <row r="40">
          <cell r="A40" t="str">
            <v>Amortization</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row>
        <row r="41">
          <cell r="A41" t="str">
            <v>Other</v>
          </cell>
          <cell r="G41">
            <v>0</v>
          </cell>
          <cell r="H41">
            <v>103</v>
          </cell>
          <cell r="I41">
            <v>1947</v>
          </cell>
          <cell r="J41">
            <v>27411</v>
          </cell>
          <cell r="K41">
            <v>2943</v>
          </cell>
          <cell r="L41">
            <v>32404</v>
          </cell>
          <cell r="M41">
            <v>2461</v>
          </cell>
          <cell r="N41">
            <v>2056</v>
          </cell>
          <cell r="O41">
            <v>881</v>
          </cell>
          <cell r="P41">
            <v>603</v>
          </cell>
          <cell r="Q41">
            <v>6001</v>
          </cell>
          <cell r="R41">
            <v>509</v>
          </cell>
          <cell r="S41">
            <v>809</v>
          </cell>
          <cell r="T41">
            <v>494</v>
          </cell>
          <cell r="U41">
            <v>-92</v>
          </cell>
          <cell r="V41">
            <v>1720</v>
          </cell>
          <cell r="W41">
            <v>-257</v>
          </cell>
          <cell r="X41">
            <v>-190</v>
          </cell>
          <cell r="Y41">
            <v>-71</v>
          </cell>
          <cell r="Z41">
            <v>-784</v>
          </cell>
          <cell r="AA41">
            <v>-1302</v>
          </cell>
          <cell r="AB41">
            <v>46</v>
          </cell>
          <cell r="AC41">
            <v>724</v>
          </cell>
          <cell r="AD41">
            <v>1348</v>
          </cell>
          <cell r="AE41">
            <v>0</v>
          </cell>
          <cell r="AF41">
            <v>2118</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A42" t="str">
            <v>Total expenses</v>
          </cell>
          <cell r="G42">
            <v>0</v>
          </cell>
          <cell r="H42">
            <v>31871</v>
          </cell>
          <cell r="I42">
            <v>35968</v>
          </cell>
          <cell r="J42">
            <v>58033</v>
          </cell>
          <cell r="K42">
            <v>32379</v>
          </cell>
          <cell r="L42">
            <v>158251</v>
          </cell>
          <cell r="M42">
            <v>32921</v>
          </cell>
          <cell r="N42">
            <v>35977</v>
          </cell>
          <cell r="O42">
            <v>36219</v>
          </cell>
          <cell r="P42">
            <v>39129</v>
          </cell>
          <cell r="Q42">
            <v>144246</v>
          </cell>
          <cell r="R42">
            <v>42319</v>
          </cell>
          <cell r="S42">
            <v>53694</v>
          </cell>
          <cell r="T42">
            <v>60136</v>
          </cell>
          <cell r="U42">
            <v>80112</v>
          </cell>
          <cell r="V42">
            <v>236261</v>
          </cell>
          <cell r="W42">
            <v>70559</v>
          </cell>
          <cell r="X42">
            <v>64228</v>
          </cell>
          <cell r="Y42">
            <v>72116</v>
          </cell>
          <cell r="Z42">
            <v>77582</v>
          </cell>
          <cell r="AA42">
            <v>284485</v>
          </cell>
          <cell r="AB42">
            <v>78042</v>
          </cell>
          <cell r="AC42">
            <v>88511</v>
          </cell>
          <cell r="AD42">
            <v>96955.038459999996</v>
          </cell>
          <cell r="AE42">
            <v>103043.19875000001</v>
          </cell>
          <cell r="AF42">
            <v>366551.23721000005</v>
          </cell>
          <cell r="AG42">
            <v>63253</v>
          </cell>
          <cell r="AH42">
            <v>70750</v>
          </cell>
          <cell r="AI42">
            <v>76094</v>
          </cell>
          <cell r="AJ42">
            <v>81261.48000000001</v>
          </cell>
          <cell r="AK42">
            <v>420120.75616250007</v>
          </cell>
          <cell r="AL42">
            <v>63259.5</v>
          </cell>
          <cell r="AM42">
            <v>70756.7</v>
          </cell>
          <cell r="AN42">
            <v>76094</v>
          </cell>
          <cell r="AO42">
            <v>81261.48000000001</v>
          </cell>
          <cell r="AP42">
            <v>454979.55921550002</v>
          </cell>
          <cell r="AQ42">
            <v>63259.5</v>
          </cell>
          <cell r="AR42">
            <v>70756.7</v>
          </cell>
          <cell r="AS42">
            <v>76094</v>
          </cell>
          <cell r="AT42">
            <v>81261.48000000001</v>
          </cell>
          <cell r="AU42">
            <v>482676.09034815012</v>
          </cell>
          <cell r="AV42">
            <v>63259.5</v>
          </cell>
          <cell r="AW42">
            <v>70756.7</v>
          </cell>
          <cell r="AX42">
            <v>76094</v>
          </cell>
          <cell r="AY42">
            <v>81261.48000000001</v>
          </cell>
          <cell r="AZ42">
            <v>511179.11853743257</v>
          </cell>
          <cell r="BA42">
            <v>63259.5</v>
          </cell>
          <cell r="BB42">
            <v>70756.7</v>
          </cell>
          <cell r="BC42">
            <v>76094</v>
          </cell>
          <cell r="BD42">
            <v>81261.48000000001</v>
          </cell>
          <cell r="BE42">
            <v>554779.3668861792</v>
          </cell>
        </row>
        <row r="43">
          <cell r="A43" t="str">
            <v>Income from operations</v>
          </cell>
          <cell r="G43">
            <v>136418</v>
          </cell>
          <cell r="H43">
            <v>9296</v>
          </cell>
          <cell r="I43">
            <v>-3175</v>
          </cell>
          <cell r="J43">
            <v>-30300</v>
          </cell>
          <cell r="K43">
            <v>6361</v>
          </cell>
          <cell r="L43">
            <v>-17818</v>
          </cell>
          <cell r="M43">
            <v>-968</v>
          </cell>
          <cell r="N43">
            <v>-3260</v>
          </cell>
          <cell r="O43">
            <v>-2335</v>
          </cell>
          <cell r="P43">
            <v>-3030</v>
          </cell>
          <cell r="Q43">
            <v>-9593</v>
          </cell>
          <cell r="R43">
            <v>-7941</v>
          </cell>
          <cell r="S43">
            <v>-12537</v>
          </cell>
          <cell r="T43">
            <v>36617</v>
          </cell>
          <cell r="U43">
            <v>7304</v>
          </cell>
          <cell r="V43">
            <v>23443</v>
          </cell>
          <cell r="W43">
            <v>24272</v>
          </cell>
          <cell r="X43">
            <v>28219</v>
          </cell>
          <cell r="Y43">
            <v>28497</v>
          </cell>
          <cell r="Z43">
            <v>46436</v>
          </cell>
          <cell r="AA43">
            <v>127424</v>
          </cell>
          <cell r="AB43">
            <v>36430</v>
          </cell>
          <cell r="AC43">
            <v>40301.514008620667</v>
          </cell>
          <cell r="AD43">
            <v>48948.836540000004</v>
          </cell>
          <cell r="AE43">
            <v>55459.92624999999</v>
          </cell>
          <cell r="AF43">
            <v>181140.27679862065</v>
          </cell>
          <cell r="AG43">
            <v>-61953</v>
          </cell>
          <cell r="AH43">
            <v>-69410</v>
          </cell>
          <cell r="AI43">
            <v>-76094</v>
          </cell>
          <cell r="AJ43">
            <v>-81261.48000000001</v>
          </cell>
          <cell r="AK43">
            <v>252381.08758749993</v>
          </cell>
          <cell r="AL43">
            <v>-61959.5</v>
          </cell>
          <cell r="AM43">
            <v>-69416.7</v>
          </cell>
          <cell r="AN43">
            <v>-76094</v>
          </cell>
          <cell r="AO43">
            <v>-81261.48000000001</v>
          </cell>
          <cell r="AP43">
            <v>297554.28453449998</v>
          </cell>
          <cell r="AQ43">
            <v>-61959.5</v>
          </cell>
          <cell r="AR43">
            <v>-69416.7</v>
          </cell>
          <cell r="AS43">
            <v>-76094</v>
          </cell>
          <cell r="AT43">
            <v>-81261.48000000001</v>
          </cell>
          <cell r="AU43">
            <v>336680.75340184988</v>
          </cell>
          <cell r="AV43">
            <v>-61959.5</v>
          </cell>
          <cell r="AW43">
            <v>-69416.7</v>
          </cell>
          <cell r="AX43">
            <v>-76094</v>
          </cell>
          <cell r="AY43">
            <v>-81261.48000000001</v>
          </cell>
          <cell r="AZ43">
            <v>375252.72521256743</v>
          </cell>
          <cell r="BA43">
            <v>-61959.5</v>
          </cell>
          <cell r="BB43">
            <v>-69416.7</v>
          </cell>
          <cell r="BC43">
            <v>-76094</v>
          </cell>
          <cell r="BD43">
            <v>-81261.48000000001</v>
          </cell>
          <cell r="BE43">
            <v>443457.4768638208</v>
          </cell>
        </row>
        <row r="44">
          <cell r="A44" t="str">
            <v>Interest income</v>
          </cell>
          <cell r="G44">
            <v>0</v>
          </cell>
          <cell r="H44">
            <v>3613</v>
          </cell>
          <cell r="I44">
            <v>3986</v>
          </cell>
          <cell r="J44">
            <v>4079</v>
          </cell>
          <cell r="K44">
            <v>4233</v>
          </cell>
          <cell r="L44">
            <v>15911</v>
          </cell>
          <cell r="M44">
            <v>4017</v>
          </cell>
          <cell r="N44">
            <v>4179</v>
          </cell>
          <cell r="O44">
            <v>4293</v>
          </cell>
          <cell r="P44">
            <v>4549</v>
          </cell>
          <cell r="Q44">
            <v>17038</v>
          </cell>
          <cell r="R44">
            <v>4465</v>
          </cell>
          <cell r="S44">
            <v>4244</v>
          </cell>
          <cell r="T44">
            <v>4106</v>
          </cell>
          <cell r="U44">
            <v>4571</v>
          </cell>
          <cell r="V44">
            <v>17386</v>
          </cell>
          <cell r="W44">
            <v>4907</v>
          </cell>
          <cell r="X44">
            <v>5206</v>
          </cell>
          <cell r="Y44">
            <v>5588</v>
          </cell>
          <cell r="Z44">
            <v>6434</v>
          </cell>
          <cell r="AA44">
            <v>22135</v>
          </cell>
          <cell r="AB44">
            <v>7601</v>
          </cell>
          <cell r="AC44">
            <v>7576</v>
          </cell>
          <cell r="AD44">
            <v>7762</v>
          </cell>
          <cell r="AE44">
            <v>9161.9501006756163</v>
          </cell>
          <cell r="AF44">
            <v>32100.950100675618</v>
          </cell>
          <cell r="AG44">
            <v>21097.206253098659</v>
          </cell>
          <cell r="AH44">
            <v>17379.913909919145</v>
          </cell>
          <cell r="AI44">
            <v>18316.575620052365</v>
          </cell>
          <cell r="AJ44">
            <v>39937.285214527517</v>
          </cell>
          <cell r="AK44">
            <v>38498.932513191292</v>
          </cell>
          <cell r="AL44">
            <v>21466.386689236486</v>
          </cell>
          <cell r="AM44">
            <v>14886.245483965142</v>
          </cell>
          <cell r="AN44">
            <v>12483.347962109088</v>
          </cell>
          <cell r="AO44">
            <v>54758.294149962414</v>
          </cell>
          <cell r="AP44">
            <v>49708.277649869371</v>
          </cell>
          <cell r="AQ44">
            <v>23122.423298539972</v>
          </cell>
          <cell r="AR44">
            <v>13612.565006088264</v>
          </cell>
          <cell r="AS44">
            <v>7614.4933870524637</v>
          </cell>
          <cell r="AT44">
            <v>72651.414978673289</v>
          </cell>
          <cell r="AU44">
            <v>63024.319765677858</v>
          </cell>
          <cell r="AV44">
            <v>25932.887960110133</v>
          </cell>
          <cell r="AW44">
            <v>13486.704926288579</v>
          </cell>
          <cell r="AX44">
            <v>3687.280535359133</v>
          </cell>
          <cell r="AY44">
            <v>93471.713182200663</v>
          </cell>
          <cell r="AZ44">
            <v>78242.227990877815</v>
          </cell>
          <cell r="BA44">
            <v>29933.276531977299</v>
          </cell>
          <cell r="BB44">
            <v>14609.727438686801</v>
          </cell>
          <cell r="BC44">
            <v>860.54675225050698</v>
          </cell>
          <cell r="BD44">
            <v>118331.28733289817</v>
          </cell>
          <cell r="BE44">
            <v>95734.183255483353</v>
          </cell>
        </row>
        <row r="45">
          <cell r="A45" t="str">
            <v>Interest expense</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-591</v>
          </cell>
          <cell r="X45">
            <v>0</v>
          </cell>
          <cell r="Y45">
            <v>0</v>
          </cell>
          <cell r="Z45">
            <v>0</v>
          </cell>
          <cell r="AA45">
            <v>-591</v>
          </cell>
          <cell r="AB45">
            <v>-632.9375</v>
          </cell>
          <cell r="AC45">
            <v>-613.46249999999998</v>
          </cell>
          <cell r="AD45">
            <v>-728.79345000000001</v>
          </cell>
          <cell r="AE45">
            <v>-595.03914999999995</v>
          </cell>
          <cell r="AF45">
            <v>-2570.2326000000003</v>
          </cell>
          <cell r="AG45">
            <v>0</v>
          </cell>
          <cell r="AH45">
            <v>0</v>
          </cell>
          <cell r="AI45">
            <v>0</v>
          </cell>
          <cell r="AJ45">
            <v>0</v>
          </cell>
          <cell r="AK45">
            <v>-2188.9899999999998</v>
          </cell>
          <cell r="AL45">
            <v>0</v>
          </cell>
          <cell r="AM45">
            <v>0</v>
          </cell>
          <cell r="AN45">
            <v>0</v>
          </cell>
          <cell r="AO45">
            <v>0</v>
          </cell>
          <cell r="AP45">
            <v>-1998.135</v>
          </cell>
          <cell r="AQ45">
            <v>0</v>
          </cell>
          <cell r="AR45">
            <v>0</v>
          </cell>
          <cell r="AS45">
            <v>0</v>
          </cell>
          <cell r="AT45">
            <v>0</v>
          </cell>
          <cell r="AU45">
            <v>-1998.135</v>
          </cell>
          <cell r="AV45">
            <v>0</v>
          </cell>
          <cell r="AW45">
            <v>0</v>
          </cell>
          <cell r="AX45">
            <v>0</v>
          </cell>
          <cell r="AY45">
            <v>0</v>
          </cell>
          <cell r="AZ45">
            <v>-1998.135</v>
          </cell>
          <cell r="BA45">
            <v>0</v>
          </cell>
          <cell r="BB45">
            <v>0</v>
          </cell>
          <cell r="BC45">
            <v>0</v>
          </cell>
          <cell r="BD45">
            <v>0</v>
          </cell>
          <cell r="BE45">
            <v>-1998.135</v>
          </cell>
        </row>
        <row r="46">
          <cell r="A46" t="str">
            <v>Pretax income (loss)</v>
          </cell>
          <cell r="G46">
            <v>136418</v>
          </cell>
          <cell r="H46">
            <v>12909</v>
          </cell>
          <cell r="I46">
            <v>811</v>
          </cell>
          <cell r="J46">
            <v>-26221</v>
          </cell>
          <cell r="K46">
            <v>10594</v>
          </cell>
          <cell r="L46">
            <v>-1907</v>
          </cell>
          <cell r="M46">
            <v>3049</v>
          </cell>
          <cell r="N46">
            <v>919</v>
          </cell>
          <cell r="O46">
            <v>1958</v>
          </cell>
          <cell r="P46">
            <v>1519</v>
          </cell>
          <cell r="Q46">
            <v>7445</v>
          </cell>
          <cell r="R46">
            <v>-3476</v>
          </cell>
          <cell r="S46">
            <v>-8293</v>
          </cell>
          <cell r="T46">
            <v>40723</v>
          </cell>
          <cell r="U46">
            <v>11875</v>
          </cell>
          <cell r="V46">
            <v>40829</v>
          </cell>
          <cell r="W46">
            <v>28588</v>
          </cell>
          <cell r="X46">
            <v>33425</v>
          </cell>
          <cell r="Y46">
            <v>34085</v>
          </cell>
          <cell r="Z46">
            <v>52870</v>
          </cell>
          <cell r="AA46">
            <v>148968</v>
          </cell>
          <cell r="AB46">
            <v>43398.0625</v>
          </cell>
          <cell r="AC46">
            <v>47264.051508620665</v>
          </cell>
          <cell r="AD46">
            <v>55982.043090000006</v>
          </cell>
          <cell r="AE46">
            <v>64026.837200675611</v>
          </cell>
          <cell r="AF46">
            <v>210670.99429929629</v>
          </cell>
          <cell r="AG46">
            <v>-40855.793746901341</v>
          </cell>
          <cell r="AH46">
            <v>-52030.086090080855</v>
          </cell>
          <cell r="AI46">
            <v>-57777.424379947639</v>
          </cell>
          <cell r="AJ46">
            <v>-41324.194785472493</v>
          </cell>
          <cell r="AK46">
            <v>288691.03010069125</v>
          </cell>
          <cell r="AL46">
            <v>-40493.113310763511</v>
          </cell>
          <cell r="AM46">
            <v>-54530.454516034857</v>
          </cell>
          <cell r="AN46">
            <v>-63610.652037890912</v>
          </cell>
          <cell r="AO46">
            <v>-26503.185850037597</v>
          </cell>
          <cell r="AP46">
            <v>345264.42718436936</v>
          </cell>
          <cell r="AQ46">
            <v>-38837.076701460028</v>
          </cell>
          <cell r="AR46">
            <v>-55804.134993911735</v>
          </cell>
          <cell r="AS46">
            <v>-68479.506612947531</v>
          </cell>
          <cell r="AT46">
            <v>-8610.0650213267218</v>
          </cell>
          <cell r="AU46">
            <v>397706.93816752773</v>
          </cell>
          <cell r="AV46">
            <v>-36026.612039889864</v>
          </cell>
          <cell r="AW46">
            <v>-55929.99507371142</v>
          </cell>
          <cell r="AX46">
            <v>-72406.719464640861</v>
          </cell>
          <cell r="AY46">
            <v>12210.233182200653</v>
          </cell>
          <cell r="AZ46">
            <v>451496.81820344523</v>
          </cell>
          <cell r="BA46">
            <v>-32026.223468022701</v>
          </cell>
          <cell r="BB46">
            <v>-54806.972561313196</v>
          </cell>
          <cell r="BC46">
            <v>-75233.453247749494</v>
          </cell>
          <cell r="BD46">
            <v>37069.807332898155</v>
          </cell>
          <cell r="BE46">
            <v>537193.52511930419</v>
          </cell>
        </row>
        <row r="47">
          <cell r="A47" t="str">
            <v>Provision for income taxes</v>
          </cell>
          <cell r="G47">
            <v>0</v>
          </cell>
          <cell r="H47">
            <v>1680</v>
          </cell>
          <cell r="I47">
            <v>200</v>
          </cell>
          <cell r="J47">
            <v>200</v>
          </cell>
          <cell r="K47">
            <v>910</v>
          </cell>
          <cell r="L47">
            <v>2990</v>
          </cell>
          <cell r="M47">
            <v>215</v>
          </cell>
          <cell r="N47">
            <v>205</v>
          </cell>
          <cell r="O47">
            <v>830</v>
          </cell>
          <cell r="P47">
            <v>535</v>
          </cell>
          <cell r="Q47">
            <v>1785</v>
          </cell>
          <cell r="R47">
            <v>182</v>
          </cell>
          <cell r="S47">
            <v>800</v>
          </cell>
          <cell r="T47">
            <v>-4329</v>
          </cell>
          <cell r="U47">
            <v>3646</v>
          </cell>
          <cell r="V47">
            <v>299</v>
          </cell>
          <cell r="W47">
            <v>11578</v>
          </cell>
          <cell r="X47">
            <v>13477</v>
          </cell>
          <cell r="Y47">
            <v>13600</v>
          </cell>
          <cell r="Z47">
            <v>21146</v>
          </cell>
          <cell r="AA47">
            <v>59801</v>
          </cell>
          <cell r="AB47">
            <v>15627</v>
          </cell>
          <cell r="AC47">
            <v>15815</v>
          </cell>
          <cell r="AD47">
            <v>18417</v>
          </cell>
          <cell r="AE47">
            <v>21769.12464822971</v>
          </cell>
          <cell r="AF47">
            <v>71628.124648229714</v>
          </cell>
          <cell r="AG47">
            <v>0</v>
          </cell>
          <cell r="AH47">
            <v>0</v>
          </cell>
          <cell r="AI47">
            <v>0</v>
          </cell>
          <cell r="AJ47">
            <v>0</v>
          </cell>
          <cell r="AK47">
            <v>95268.039933228123</v>
          </cell>
          <cell r="AL47">
            <v>0</v>
          </cell>
          <cell r="AM47">
            <v>0</v>
          </cell>
          <cell r="AN47">
            <v>0</v>
          </cell>
          <cell r="AO47">
            <v>0</v>
          </cell>
          <cell r="AP47">
            <v>110484.6166989982</v>
          </cell>
          <cell r="AQ47">
            <v>0</v>
          </cell>
          <cell r="AR47">
            <v>0</v>
          </cell>
          <cell r="AS47">
            <v>0</v>
          </cell>
          <cell r="AT47">
            <v>0</v>
          </cell>
          <cell r="AU47">
            <v>127266.22021360887</v>
          </cell>
          <cell r="AV47">
            <v>0</v>
          </cell>
          <cell r="AW47">
            <v>0</v>
          </cell>
          <cell r="AX47">
            <v>0</v>
          </cell>
          <cell r="AY47">
            <v>0</v>
          </cell>
          <cell r="AZ47">
            <v>144478.98182510247</v>
          </cell>
          <cell r="BA47">
            <v>0</v>
          </cell>
          <cell r="BB47">
            <v>0</v>
          </cell>
          <cell r="BC47">
            <v>0</v>
          </cell>
          <cell r="BD47">
            <v>0</v>
          </cell>
          <cell r="BE47">
            <v>171901.92803817734</v>
          </cell>
        </row>
        <row r="48">
          <cell r="B48" t="str">
            <v>Income tax rate</v>
          </cell>
          <cell r="G48">
            <v>0</v>
          </cell>
          <cell r="H48">
            <v>0</v>
          </cell>
          <cell r="I48">
            <v>0</v>
          </cell>
          <cell r="J48">
            <v>0</v>
          </cell>
          <cell r="K48">
            <v>0</v>
          </cell>
          <cell r="L48">
            <v>0</v>
          </cell>
          <cell r="M48">
            <v>0</v>
          </cell>
          <cell r="N48">
            <v>0</v>
          </cell>
          <cell r="O48">
            <v>0</v>
          </cell>
          <cell r="P48">
            <v>0</v>
          </cell>
          <cell r="Q48">
            <v>0</v>
          </cell>
          <cell r="R48">
            <v>0</v>
          </cell>
          <cell r="S48">
            <v>0</v>
          </cell>
          <cell r="T48">
            <v>-0.10630356309702134</v>
          </cell>
          <cell r="U48">
            <v>0.30703157894736843</v>
          </cell>
          <cell r="V48">
            <v>7.3232261382840625E-3</v>
          </cell>
          <cell r="W48">
            <v>0.40499510284035262</v>
          </cell>
          <cell r="X48">
            <v>0.40320119670905014</v>
          </cell>
          <cell r="Y48">
            <v>0.39900249376558605</v>
          </cell>
          <cell r="Z48">
            <v>0.39996217136372236</v>
          </cell>
          <cell r="AA48">
            <v>0.40143520756135548</v>
          </cell>
          <cell r="AB48">
            <v>0.36008519965609065</v>
          </cell>
          <cell r="AC48">
            <v>0.33460948638978705</v>
          </cell>
          <cell r="AD48">
            <v>0.32898049059038009</v>
          </cell>
          <cell r="AE48">
            <v>0.34</v>
          </cell>
          <cell r="AF48">
            <v>0.3399999363294835</v>
          </cell>
          <cell r="AG48">
            <v>0</v>
          </cell>
          <cell r="AH48">
            <v>0</v>
          </cell>
          <cell r="AI48">
            <v>0</v>
          </cell>
          <cell r="AJ48">
            <v>0</v>
          </cell>
          <cell r="AK48">
            <v>0.33</v>
          </cell>
          <cell r="AL48">
            <v>0</v>
          </cell>
          <cell r="AM48">
            <v>0</v>
          </cell>
          <cell r="AN48">
            <v>0</v>
          </cell>
          <cell r="AO48">
            <v>0</v>
          </cell>
          <cell r="AP48">
            <v>0.32</v>
          </cell>
          <cell r="AQ48">
            <v>0</v>
          </cell>
          <cell r="AR48">
            <v>0</v>
          </cell>
          <cell r="AS48">
            <v>0</v>
          </cell>
          <cell r="AT48">
            <v>0</v>
          </cell>
          <cell r="AU48">
            <v>0.32</v>
          </cell>
          <cell r="AV48">
            <v>0</v>
          </cell>
          <cell r="AW48">
            <v>0</v>
          </cell>
          <cell r="AX48">
            <v>0</v>
          </cell>
          <cell r="AY48">
            <v>0</v>
          </cell>
          <cell r="AZ48">
            <v>0.32</v>
          </cell>
          <cell r="BA48">
            <v>0</v>
          </cell>
          <cell r="BB48">
            <v>0</v>
          </cell>
          <cell r="BC48">
            <v>0</v>
          </cell>
          <cell r="BD48">
            <v>0</v>
          </cell>
          <cell r="BE48">
            <v>0.32</v>
          </cell>
        </row>
        <row r="49">
          <cell r="A49" t="str">
            <v>Extraordinary item</v>
          </cell>
          <cell r="G49">
            <v>0</v>
          </cell>
          <cell r="L49">
            <v>0</v>
          </cell>
          <cell r="Q49">
            <v>0</v>
          </cell>
          <cell r="R49">
            <v>0</v>
          </cell>
          <cell r="S49">
            <v>0</v>
          </cell>
          <cell r="T49">
            <v>0</v>
          </cell>
          <cell r="U49">
            <v>0</v>
          </cell>
          <cell r="V49">
            <v>0</v>
          </cell>
          <cell r="AA49">
            <v>0</v>
          </cell>
          <cell r="AF49">
            <v>0</v>
          </cell>
          <cell r="AK49">
            <v>0</v>
          </cell>
          <cell r="AP49">
            <v>0</v>
          </cell>
          <cell r="AU49">
            <v>0</v>
          </cell>
          <cell r="AZ49">
            <v>0</v>
          </cell>
          <cell r="BE49">
            <v>0</v>
          </cell>
        </row>
        <row r="50">
          <cell r="A50" t="str">
            <v>Preferred dividend</v>
          </cell>
          <cell r="G50">
            <v>0</v>
          </cell>
          <cell r="L50">
            <v>0</v>
          </cell>
          <cell r="Q50">
            <v>0</v>
          </cell>
          <cell r="R50">
            <v>0</v>
          </cell>
          <cell r="S50">
            <v>0</v>
          </cell>
          <cell r="T50">
            <v>0</v>
          </cell>
          <cell r="U50">
            <v>0</v>
          </cell>
          <cell r="V50">
            <v>0</v>
          </cell>
          <cell r="AA50">
            <v>0</v>
          </cell>
          <cell r="AF50">
            <v>0</v>
          </cell>
          <cell r="AK50">
            <v>0</v>
          </cell>
          <cell r="AP50">
            <v>0</v>
          </cell>
          <cell r="AU50">
            <v>0</v>
          </cell>
          <cell r="AZ50">
            <v>0</v>
          </cell>
          <cell r="BE50">
            <v>0</v>
          </cell>
        </row>
        <row r="51">
          <cell r="A51" t="str">
            <v>Net income (loss)</v>
          </cell>
          <cell r="G51">
            <v>136418</v>
          </cell>
          <cell r="H51">
            <v>11229</v>
          </cell>
          <cell r="I51">
            <v>611</v>
          </cell>
          <cell r="J51">
            <v>-26421</v>
          </cell>
          <cell r="K51">
            <v>9684</v>
          </cell>
          <cell r="L51">
            <v>-4897</v>
          </cell>
          <cell r="M51">
            <v>2834</v>
          </cell>
          <cell r="N51">
            <v>714</v>
          </cell>
          <cell r="O51">
            <v>1128</v>
          </cell>
          <cell r="P51">
            <v>984</v>
          </cell>
          <cell r="Q51">
            <v>5660</v>
          </cell>
          <cell r="R51">
            <v>-3658</v>
          </cell>
          <cell r="S51">
            <v>-9093</v>
          </cell>
          <cell r="T51">
            <v>45052</v>
          </cell>
          <cell r="U51">
            <v>8229</v>
          </cell>
          <cell r="V51">
            <v>40530</v>
          </cell>
          <cell r="W51">
            <v>17010</v>
          </cell>
          <cell r="X51">
            <v>19948</v>
          </cell>
          <cell r="Y51">
            <v>20485</v>
          </cell>
          <cell r="Z51">
            <v>31724</v>
          </cell>
          <cell r="AA51">
            <v>89167</v>
          </cell>
          <cell r="AB51">
            <v>27771.0625</v>
          </cell>
          <cell r="AC51">
            <v>31449.051508620665</v>
          </cell>
          <cell r="AD51">
            <v>37565.043090000006</v>
          </cell>
          <cell r="AE51">
            <v>42257.712552445897</v>
          </cell>
          <cell r="AF51">
            <v>139042.86965106658</v>
          </cell>
          <cell r="AG51">
            <v>-40855.793746901341</v>
          </cell>
          <cell r="AH51">
            <v>-52030.086090080855</v>
          </cell>
          <cell r="AI51">
            <v>-57777.424379947639</v>
          </cell>
          <cell r="AJ51">
            <v>-41324.194785472493</v>
          </cell>
          <cell r="AK51">
            <v>193422.99016746314</v>
          </cell>
          <cell r="AL51">
            <v>-40493.113310763511</v>
          </cell>
          <cell r="AM51">
            <v>-54530.454516034857</v>
          </cell>
          <cell r="AN51">
            <v>-63610.652037890912</v>
          </cell>
          <cell r="AO51">
            <v>-26503.185850037597</v>
          </cell>
          <cell r="AP51">
            <v>234779.81048537116</v>
          </cell>
          <cell r="AQ51">
            <v>-38837.076701460028</v>
          </cell>
          <cell r="AR51">
            <v>-55804.134993911735</v>
          </cell>
          <cell r="AS51">
            <v>-68479.506612947531</v>
          </cell>
          <cell r="AT51">
            <v>-8610.0650213267218</v>
          </cell>
          <cell r="AU51">
            <v>270440.71795391885</v>
          </cell>
          <cell r="AV51">
            <v>-36026.612039889864</v>
          </cell>
          <cell r="AW51">
            <v>-55929.99507371142</v>
          </cell>
          <cell r="AX51">
            <v>-72406.719464640861</v>
          </cell>
          <cell r="AY51">
            <v>12210.233182200653</v>
          </cell>
          <cell r="AZ51">
            <v>307017.83637834276</v>
          </cell>
          <cell r="BA51">
            <v>-32026.223468022701</v>
          </cell>
          <cell r="BB51">
            <v>-54806.972561313196</v>
          </cell>
          <cell r="BC51">
            <v>-75233.453247749494</v>
          </cell>
          <cell r="BD51">
            <v>37069.807332898155</v>
          </cell>
          <cell r="BE51">
            <v>365291.59708112688</v>
          </cell>
        </row>
        <row r="52">
          <cell r="A52" t="str">
            <v>Earnings per share, basic</v>
          </cell>
          <cell r="G52" t="e">
            <v>#DIV/0!</v>
          </cell>
          <cell r="H52">
            <v>0.15708849780364287</v>
          </cell>
          <cell r="I52">
            <v>8.8738490138554043E-3</v>
          </cell>
          <cell r="J52">
            <v>-0.40006359589352231</v>
          </cell>
          <cell r="K52">
            <v>0.14773906145115029</v>
          </cell>
          <cell r="L52">
            <v>-7.4708610483920176E-2</v>
          </cell>
          <cell r="M52">
            <v>3.9941370465371932E-2</v>
          </cell>
          <cell r="N52">
            <v>9.9896465847720845E-3</v>
          </cell>
          <cell r="O52">
            <v>1.5359477124183006E-2</v>
          </cell>
          <cell r="P52">
            <v>1.349979421045411E-2</v>
          </cell>
          <cell r="Q52">
            <v>7.7651255316229933E-2</v>
          </cell>
          <cell r="R52">
            <v>-5.1376404494382022E-2</v>
          </cell>
          <cell r="S52">
            <v>-0.1273244090960009</v>
          </cell>
          <cell r="T52">
            <v>0.60415716776183448</v>
          </cell>
          <cell r="U52">
            <v>0.10870972429554672</v>
          </cell>
          <cell r="V52">
            <v>0.55352972507887077</v>
          </cell>
          <cell r="W52">
            <v>0.23216138013866899</v>
          </cell>
          <cell r="X52">
            <v>0.27149245501380836</v>
          </cell>
          <cell r="Y52">
            <v>0.27841209668402567</v>
          </cell>
          <cell r="Z52">
            <v>0.43056689653306562</v>
          </cell>
          <cell r="AA52">
            <v>1.2131526367548042</v>
          </cell>
          <cell r="AB52">
            <v>0.38077619251592587</v>
          </cell>
          <cell r="AC52">
            <v>0.42630064941469209</v>
          </cell>
          <cell r="AD52">
            <v>0.50913560339920316</v>
          </cell>
          <cell r="AE52">
            <v>0.57343490415799914</v>
          </cell>
          <cell r="AF52">
            <v>1.8905884739466814</v>
          </cell>
          <cell r="AG52">
            <v>-0.56018431362361687</v>
          </cell>
          <cell r="AH52">
            <v>-0.70528230344955889</v>
          </cell>
          <cell r="AI52">
            <v>-0.78308292510297417</v>
          </cell>
          <cell r="AJ52">
            <v>-0.56076711787946343</v>
          </cell>
          <cell r="AK52">
            <v>2.5909085245096724</v>
          </cell>
          <cell r="AL52">
            <v>-0.55521150872742031</v>
          </cell>
          <cell r="AM52">
            <v>-0.73917549362949164</v>
          </cell>
          <cell r="AN52">
            <v>-0.8621432332803517</v>
          </cell>
          <cell r="AO52">
            <v>-0.35964681758237504</v>
          </cell>
          <cell r="AP52">
            <v>3.1068329528359051</v>
          </cell>
          <cell r="AQ52">
            <v>-0.53250516413734339</v>
          </cell>
          <cell r="AR52">
            <v>-0.75644058713213325</v>
          </cell>
          <cell r="AS52">
            <v>-0.92813296756590402</v>
          </cell>
          <cell r="AT52">
            <v>-0.11683812284375189</v>
          </cell>
          <cell r="AU52">
            <v>3.5380542614731585</v>
          </cell>
          <cell r="AV52">
            <v>-0.49397015911068132</v>
          </cell>
          <cell r="AW52">
            <v>-0.75814665555646343</v>
          </cell>
          <cell r="AX52">
            <v>-0.98136021610475266</v>
          </cell>
          <cell r="AY52">
            <v>0.16569221265567027</v>
          </cell>
          <cell r="AZ52">
            <v>3.973657193609617</v>
          </cell>
          <cell r="BA52">
            <v>-0.43911980079328528</v>
          </cell>
          <cell r="BB52">
            <v>-0.74292377272289212</v>
          </cell>
          <cell r="BC52">
            <v>-1.0196721862751008</v>
          </cell>
          <cell r="BD52">
            <v>0.5030353071930671</v>
          </cell>
          <cell r="BE52">
            <v>4.6803577061516615</v>
          </cell>
        </row>
        <row r="53">
          <cell r="A53" t="str">
            <v>Earnings per share, diluted</v>
          </cell>
          <cell r="H53">
            <v>0.15708849780364287</v>
          </cell>
          <cell r="I53">
            <v>8.8738490138554043E-3</v>
          </cell>
          <cell r="J53">
            <v>-0.40006359589352231</v>
          </cell>
          <cell r="K53">
            <v>0.14773906145115029</v>
          </cell>
          <cell r="L53">
            <v>-7.4708610483920176E-2</v>
          </cell>
          <cell r="M53">
            <v>3.9941370465371932E-2</v>
          </cell>
          <cell r="N53">
            <v>9.9896465847720845E-3</v>
          </cell>
          <cell r="O53">
            <v>1.5359477124183006E-2</v>
          </cell>
          <cell r="P53">
            <v>1.2491143062343613E-2</v>
          </cell>
          <cell r="Q53">
            <v>7.1849461110635005E-2</v>
          </cell>
          <cell r="R53">
            <v>-5.1376404494382022E-2</v>
          </cell>
          <cell r="S53">
            <v>-0.1273244090960009</v>
          </cell>
          <cell r="T53">
            <v>0.60415716776183448</v>
          </cell>
          <cell r="U53">
            <v>0.10870972429554672</v>
          </cell>
          <cell r="V53">
            <v>0.55073172720231545</v>
          </cell>
          <cell r="W53">
            <v>0.22136006543355138</v>
          </cell>
          <cell r="X53">
            <v>0.26161997691742733</v>
          </cell>
          <cell r="Y53">
            <v>0.26752948244113306</v>
          </cell>
          <cell r="Z53">
            <v>0.4155782909991223</v>
          </cell>
          <cell r="AA53">
            <v>1.1655850181673979</v>
          </cell>
          <cell r="AB53">
            <v>0.36134830327634215</v>
          </cell>
          <cell r="AC53">
            <v>0.40968489798109353</v>
          </cell>
          <cell r="AD53">
            <v>0.48622852118874427</v>
          </cell>
          <cell r="AE53">
            <v>0.54346906940944062</v>
          </cell>
          <cell r="AF53">
            <v>1.8020567167507104</v>
          </cell>
          <cell r="AG53">
            <v>-0.5358931546663388</v>
          </cell>
          <cell r="AH53">
            <v>-0.67571923686220681</v>
          </cell>
          <cell r="AI53">
            <v>-0.75105189055267862</v>
          </cell>
          <cell r="AJ53">
            <v>-0.53838736625508143</v>
          </cell>
          <cell r="AK53">
            <v>2.4968844447052119</v>
          </cell>
          <cell r="AL53">
            <v>-0.53113598450188915</v>
          </cell>
          <cell r="AM53">
            <v>-0.70819173828637982</v>
          </cell>
          <cell r="AN53">
            <v>-0.82687833500808383</v>
          </cell>
          <cell r="AO53">
            <v>-0.34529361071027909</v>
          </cell>
          <cell r="AP53">
            <v>3.0045810713297829</v>
          </cell>
          <cell r="AQ53">
            <v>-0.50941425053435607</v>
          </cell>
          <cell r="AR53">
            <v>-0.72473313702685449</v>
          </cell>
          <cell r="AS53">
            <v>-0.89016884116452399</v>
          </cell>
          <cell r="AT53">
            <v>-0.11217521004781252</v>
          </cell>
          <cell r="AU53">
            <v>3.4327772266271506</v>
          </cell>
          <cell r="AV53">
            <v>-0.47255023112752892</v>
          </cell>
          <cell r="AW53">
            <v>-0.72636769278996471</v>
          </cell>
          <cell r="AX53">
            <v>-0.94121889520415547</v>
          </cell>
          <cell r="AY53">
            <v>0.15907957356343796</v>
          </cell>
          <cell r="AZ53">
            <v>3.8671485802900927</v>
          </cell>
          <cell r="BA53">
            <v>-0.4200783377909405</v>
          </cell>
          <cell r="BB53">
            <v>-0.71178290210284201</v>
          </cell>
          <cell r="BC53">
            <v>-0.97796376181384959</v>
          </cell>
          <cell r="BD53">
            <v>0.48295958435852065</v>
          </cell>
          <cell r="BE53">
            <v>4.567840350385084</v>
          </cell>
        </row>
        <row r="54">
          <cell r="A54" t="str">
            <v>Basic shares outstanding (000s)</v>
          </cell>
          <cell r="H54">
            <v>71482</v>
          </cell>
          <cell r="I54">
            <v>68854</v>
          </cell>
          <cell r="J54">
            <v>66042</v>
          </cell>
          <cell r="K54">
            <v>65548</v>
          </cell>
          <cell r="L54">
            <v>65548</v>
          </cell>
          <cell r="M54">
            <v>70954</v>
          </cell>
          <cell r="N54">
            <v>71474</v>
          </cell>
          <cell r="O54">
            <v>73440</v>
          </cell>
          <cell r="P54">
            <v>72890</v>
          </cell>
          <cell r="Q54">
            <v>72890</v>
          </cell>
          <cell r="R54">
            <v>71200</v>
          </cell>
          <cell r="S54">
            <v>71416</v>
          </cell>
          <cell r="T54">
            <v>74570</v>
          </cell>
          <cell r="U54">
            <v>75697</v>
          </cell>
          <cell r="V54">
            <v>73221</v>
          </cell>
          <cell r="W54">
            <v>73268</v>
          </cell>
          <cell r="X54">
            <v>73475.338380896908</v>
          </cell>
          <cell r="Y54">
            <v>73577.981143717159</v>
          </cell>
          <cell r="Z54">
            <v>73679.607641558992</v>
          </cell>
          <cell r="AA54">
            <v>73500.231791543265</v>
          </cell>
          <cell r="AB54">
            <v>72932.770078156827</v>
          </cell>
          <cell r="AC54">
            <v>73772</v>
          </cell>
          <cell r="AD54">
            <v>73782</v>
          </cell>
          <cell r="AE54">
            <v>73692.257387950318</v>
          </cell>
          <cell r="AF54">
            <v>73544.756866526775</v>
          </cell>
          <cell r="AG54">
            <v>72932.770078156827</v>
          </cell>
          <cell r="AH54">
            <v>73772</v>
          </cell>
          <cell r="AI54">
            <v>73782</v>
          </cell>
          <cell r="AJ54">
            <v>73692.257387950318</v>
          </cell>
          <cell r="AK54">
            <v>74654.503753299548</v>
          </cell>
          <cell r="AL54">
            <v>72932.770078156827</v>
          </cell>
          <cell r="AM54">
            <v>73772</v>
          </cell>
          <cell r="AN54">
            <v>73782</v>
          </cell>
          <cell r="AO54">
            <v>73692.257387950318</v>
          </cell>
          <cell r="AP54">
            <v>75568.8555031789</v>
          </cell>
          <cell r="AQ54">
            <v>72932.770078156827</v>
          </cell>
          <cell r="AR54">
            <v>73772</v>
          </cell>
          <cell r="AS54">
            <v>73782</v>
          </cell>
          <cell r="AT54">
            <v>73692.257387950318</v>
          </cell>
          <cell r="AU54">
            <v>76437.696532476024</v>
          </cell>
          <cell r="AV54">
            <v>72932.770078156827</v>
          </cell>
          <cell r="AW54">
            <v>73772</v>
          </cell>
          <cell r="AX54">
            <v>73782</v>
          </cell>
          <cell r="AY54">
            <v>73692.257387950318</v>
          </cell>
          <cell r="AZ54">
            <v>77263.292080676911</v>
          </cell>
          <cell r="BA54">
            <v>72932.770078156827</v>
          </cell>
          <cell r="BB54">
            <v>73772</v>
          </cell>
          <cell r="BC54">
            <v>73782</v>
          </cell>
          <cell r="BD54">
            <v>73692.257387950318</v>
          </cell>
          <cell r="BE54">
            <v>78047.794637790881</v>
          </cell>
        </row>
        <row r="55">
          <cell r="A55" t="str">
            <v>Diluted shares outstanding (000s)</v>
          </cell>
          <cell r="H55">
            <v>71482</v>
          </cell>
          <cell r="I55">
            <v>68854</v>
          </cell>
          <cell r="J55">
            <v>66042</v>
          </cell>
          <cell r="K55">
            <v>65548</v>
          </cell>
          <cell r="L55">
            <v>65548</v>
          </cell>
          <cell r="M55">
            <v>70954</v>
          </cell>
          <cell r="N55">
            <v>71474</v>
          </cell>
          <cell r="O55">
            <v>73440</v>
          </cell>
          <cell r="P55">
            <v>78775.816999999995</v>
          </cell>
          <cell r="Q55">
            <v>78775.816999999995</v>
          </cell>
          <cell r="R55">
            <v>71200</v>
          </cell>
          <cell r="S55">
            <v>71416</v>
          </cell>
          <cell r="T55">
            <v>74570</v>
          </cell>
          <cell r="U55">
            <v>75697</v>
          </cell>
          <cell r="V55">
            <v>73593</v>
          </cell>
          <cell r="W55">
            <v>76843.128712871287</v>
          </cell>
          <cell r="X55">
            <v>76248</v>
          </cell>
          <cell r="Y55">
            <v>76571</v>
          </cell>
          <cell r="Z55">
            <v>76337</v>
          </cell>
          <cell r="AA55">
            <v>76499.782178217822</v>
          </cell>
          <cell r="AB55">
            <v>76854</v>
          </cell>
          <cell r="AC55">
            <v>76764</v>
          </cell>
          <cell r="AD55">
            <v>77258</v>
          </cell>
          <cell r="AE55">
            <v>77755.506119906961</v>
          </cell>
          <cell r="AF55">
            <v>77157.87652997674</v>
          </cell>
          <cell r="AG55">
            <v>76238.693088623681</v>
          </cell>
          <cell r="AH55">
            <v>76999.563208662759</v>
          </cell>
          <cell r="AI55">
            <v>76928.671782492689</v>
          </cell>
          <cell r="AJ55">
            <v>76755.506119906961</v>
          </cell>
          <cell r="AK55">
            <v>77465.735580045686</v>
          </cell>
          <cell r="AL55">
            <v>76238.693088623681</v>
          </cell>
          <cell r="AM55">
            <v>76999.563208662759</v>
          </cell>
          <cell r="AN55">
            <v>76928.671782492689</v>
          </cell>
          <cell r="AO55">
            <v>76755.506119906961</v>
          </cell>
          <cell r="AP55">
            <v>78140.614252575688</v>
          </cell>
          <cell r="AQ55">
            <v>76238.693088623681</v>
          </cell>
          <cell r="AR55">
            <v>76999.563208662759</v>
          </cell>
          <cell r="AS55">
            <v>76928.671782492689</v>
          </cell>
          <cell r="AT55">
            <v>76755.506119906961</v>
          </cell>
          <cell r="AU55">
            <v>78781.901678961658</v>
          </cell>
          <cell r="AV55">
            <v>76238.693088623681</v>
          </cell>
          <cell r="AW55">
            <v>76999.563208662759</v>
          </cell>
          <cell r="AX55">
            <v>76928.671782492689</v>
          </cell>
          <cell r="AY55">
            <v>76755.506119906961</v>
          </cell>
          <cell r="AZ55">
            <v>79391.269821681359</v>
          </cell>
          <cell r="BA55">
            <v>76238.693088623681</v>
          </cell>
          <cell r="BB55">
            <v>76999.563208662759</v>
          </cell>
          <cell r="BC55">
            <v>76928.671782492689</v>
          </cell>
          <cell r="BD55">
            <v>76755.506119906961</v>
          </cell>
          <cell r="BE55">
            <v>79970.307423360719</v>
          </cell>
        </row>
        <row r="56">
          <cell r="A56" t="str">
            <v>Dividends per share</v>
          </cell>
        </row>
        <row r="57">
          <cell r="A57" t="str">
            <v>Employees (end of period)</v>
          </cell>
        </row>
        <row r="59">
          <cell r="A59" t="str">
            <v>Margin Analysis</v>
          </cell>
        </row>
        <row r="60">
          <cell r="A60" t="str">
            <v>Cost of sales</v>
          </cell>
          <cell r="G60">
            <v>0</v>
          </cell>
          <cell r="H60">
            <v>6.0023805475259311E-2</v>
          </cell>
          <cell r="I60">
            <v>6.5440795291678108E-2</v>
          </cell>
          <cell r="J60">
            <v>7.9327876536977607E-2</v>
          </cell>
          <cell r="K60">
            <v>8.0820856995353643E-2</v>
          </cell>
          <cell r="L60">
            <v>7.0838050885475637E-2</v>
          </cell>
          <cell r="M60">
            <v>7.8365098738772579E-2</v>
          </cell>
          <cell r="N60">
            <v>8.0936516184246715E-2</v>
          </cell>
          <cell r="O60">
            <v>7.6761893519065039E-2</v>
          </cell>
          <cell r="P60">
            <v>0</v>
          </cell>
          <cell r="Q60">
            <v>0</v>
          </cell>
          <cell r="R60">
            <v>0</v>
          </cell>
          <cell r="S60">
            <v>0.62628571428571433</v>
          </cell>
          <cell r="T60">
            <v>0.37882036559217935</v>
          </cell>
          <cell r="U60">
            <v>0.22692998204667864</v>
          </cell>
          <cell r="V60">
            <v>0.36476049205902661</v>
          </cell>
          <cell r="W60">
            <v>0.22320206781207239</v>
          </cell>
          <cell r="X60">
            <v>0.2027639971651311</v>
          </cell>
          <cell r="Y60">
            <v>0.20687600350917848</v>
          </cell>
          <cell r="Z60">
            <v>0.20564670514329472</v>
          </cell>
          <cell r="AA60">
            <v>0.2091271230228178</v>
          </cell>
          <cell r="AB60">
            <v>0.19544021024967148</v>
          </cell>
          <cell r="AC60">
            <v>0.19720227668081788</v>
          </cell>
          <cell r="AD60">
            <v>0.18153014605738102</v>
          </cell>
          <cell r="AE60">
            <v>0.1836134453781513</v>
          </cell>
          <cell r="AF60">
            <v>0.18838953634957459</v>
          </cell>
          <cell r="AG60" t="e">
            <v>#DIV/0!</v>
          </cell>
          <cell r="AH60" t="e">
            <v>#DIV/0!</v>
          </cell>
          <cell r="AI60" t="e">
            <v>#DIV/0!</v>
          </cell>
          <cell r="AJ60" t="e">
            <v>#DIV/0!</v>
          </cell>
          <cell r="AK60">
            <v>0.18711879031554554</v>
          </cell>
          <cell r="AL60" t="e">
            <v>#DIV/0!</v>
          </cell>
          <cell r="AM60" t="e">
            <v>#DIV/0!</v>
          </cell>
          <cell r="AN60" t="e">
            <v>#DIV/0!</v>
          </cell>
          <cell r="AO60" t="e">
            <v>#DIV/0!</v>
          </cell>
          <cell r="AP60">
            <v>0.1833620482046712</v>
          </cell>
          <cell r="AQ60" t="e">
            <v>#DIV/0!</v>
          </cell>
          <cell r="AR60" t="e">
            <v>#DIV/0!</v>
          </cell>
          <cell r="AS60" t="e">
            <v>#DIV/0!</v>
          </cell>
          <cell r="AT60" t="e">
            <v>#DIV/0!</v>
          </cell>
          <cell r="AU60">
            <v>0.17912043137742267</v>
          </cell>
          <cell r="AV60" t="e">
            <v>#DIV/0!</v>
          </cell>
          <cell r="AW60" t="e">
            <v>#DIV/0!</v>
          </cell>
          <cell r="AX60" t="e">
            <v>#DIV/0!</v>
          </cell>
          <cell r="AY60" t="e">
            <v>#DIV/0!</v>
          </cell>
          <cell r="AZ60">
            <v>0.17614618298162638</v>
          </cell>
          <cell r="BA60" t="e">
            <v>#DIV/0!</v>
          </cell>
          <cell r="BB60" t="e">
            <v>#DIV/0!</v>
          </cell>
          <cell r="BC60" t="e">
            <v>#DIV/0!</v>
          </cell>
          <cell r="BD60" t="e">
            <v>#DIV/0!</v>
          </cell>
          <cell r="BE60">
            <v>0.18163911125013826</v>
          </cell>
        </row>
        <row r="61">
          <cell r="A61" t="str">
            <v>Gross margin</v>
          </cell>
          <cell r="G61">
            <v>1</v>
          </cell>
          <cell r="H61">
            <v>0.93997619452474068</v>
          </cell>
          <cell r="I61">
            <v>0.93455920470832188</v>
          </cell>
          <cell r="J61">
            <v>0.92067212346302241</v>
          </cell>
          <cell r="K61">
            <v>0.91917914300464632</v>
          </cell>
          <cell r="L61">
            <v>0.92916194911452432</v>
          </cell>
          <cell r="M61">
            <v>0.92163490126122738</v>
          </cell>
          <cell r="N61">
            <v>0.91906348381575331</v>
          </cell>
          <cell r="O61">
            <v>0.92323810648093496</v>
          </cell>
          <cell r="P61">
            <v>0</v>
          </cell>
          <cell r="Q61">
            <v>0</v>
          </cell>
          <cell r="R61">
            <v>0</v>
          </cell>
          <cell r="S61">
            <v>0.37371428571428572</v>
          </cell>
          <cell r="T61">
            <v>0.62117963440782065</v>
          </cell>
          <cell r="U61">
            <v>0.77307001795332131</v>
          </cell>
          <cell r="V61">
            <v>0.63523950794097339</v>
          </cell>
          <cell r="W61">
            <v>0.77679793218792759</v>
          </cell>
          <cell r="X61">
            <v>0.79723600283486884</v>
          </cell>
          <cell r="Y61">
            <v>0.79312399649082155</v>
          </cell>
          <cell r="Z61">
            <v>0.79435329485670525</v>
          </cell>
          <cell r="AA61">
            <v>0.79087287697718223</v>
          </cell>
          <cell r="AB61">
            <v>0.80455978975032849</v>
          </cell>
          <cell r="AC61">
            <v>0.80279772331918209</v>
          </cell>
          <cell r="AD61">
            <v>0.81846985394261906</v>
          </cell>
          <cell r="AE61">
            <v>0.81638655462184873</v>
          </cell>
          <cell r="AF61">
            <v>0.81161046365042533</v>
          </cell>
          <cell r="AG61" t="e">
            <v>#DIV/0!</v>
          </cell>
          <cell r="AH61" t="e">
            <v>#DIV/0!</v>
          </cell>
          <cell r="AI61" t="e">
            <v>#DIV/0!</v>
          </cell>
          <cell r="AJ61" t="e">
            <v>#DIV/0!</v>
          </cell>
          <cell r="AK61">
            <v>0.81288120968445443</v>
          </cell>
          <cell r="AL61" t="e">
            <v>#DIV/0!</v>
          </cell>
          <cell r="AM61" t="e">
            <v>#DIV/0!</v>
          </cell>
          <cell r="AN61" t="e">
            <v>#DIV/0!</v>
          </cell>
          <cell r="AO61" t="e">
            <v>#DIV/0!</v>
          </cell>
          <cell r="AP61">
            <v>0.81663795179532883</v>
          </cell>
          <cell r="AQ61" t="e">
            <v>#DIV/0!</v>
          </cell>
          <cell r="AR61" t="e">
            <v>#DIV/0!</v>
          </cell>
          <cell r="AS61" t="e">
            <v>#DIV/0!</v>
          </cell>
          <cell r="AT61" t="e">
            <v>#DIV/0!</v>
          </cell>
          <cell r="AU61">
            <v>0.82087956862257727</v>
          </cell>
          <cell r="AV61" t="e">
            <v>#DIV/0!</v>
          </cell>
          <cell r="AW61" t="e">
            <v>#DIV/0!</v>
          </cell>
          <cell r="AX61" t="e">
            <v>#DIV/0!</v>
          </cell>
          <cell r="AY61" t="e">
            <v>#DIV/0!</v>
          </cell>
          <cell r="AZ61">
            <v>0.82385381701837357</v>
          </cell>
          <cell r="BA61" t="e">
            <v>#DIV/0!</v>
          </cell>
          <cell r="BB61" t="e">
            <v>#DIV/0!</v>
          </cell>
          <cell r="BC61" t="e">
            <v>#DIV/0!</v>
          </cell>
          <cell r="BD61" t="e">
            <v>#DIV/0!</v>
          </cell>
          <cell r="BE61">
            <v>0.81836088874986179</v>
          </cell>
        </row>
        <row r="62">
          <cell r="A62" t="str">
            <v>Research &amp; development</v>
          </cell>
          <cell r="G62">
            <v>0</v>
          </cell>
          <cell r="H62">
            <v>0.5668132241844196</v>
          </cell>
          <cell r="I62">
            <v>0.80102460891043825</v>
          </cell>
          <cell r="J62">
            <v>0.8244329859733891</v>
          </cell>
          <cell r="K62">
            <v>0.48391843056272588</v>
          </cell>
          <cell r="L62">
            <v>0.64951257895224057</v>
          </cell>
          <cell r="M62">
            <v>0.63953306418802613</v>
          </cell>
          <cell r="N62">
            <v>0.65012073234098477</v>
          </cell>
          <cell r="O62">
            <v>0.6629972848542085</v>
          </cell>
          <cell r="P62">
            <v>0</v>
          </cell>
          <cell r="Q62">
            <v>0</v>
          </cell>
          <cell r="R62">
            <v>0</v>
          </cell>
          <cell r="S62">
            <v>4.7839999999999998</v>
          </cell>
          <cell r="T62">
            <v>1.1025184431442381</v>
          </cell>
          <cell r="U62">
            <v>1.0846723518850987</v>
          </cell>
          <cell r="V62">
            <v>1.6928467302626531</v>
          </cell>
          <cell r="W62">
            <v>0.720465257716284</v>
          </cell>
          <cell r="X62">
            <v>0.56722182849043234</v>
          </cell>
          <cell r="Y62">
            <v>0.61311307168986806</v>
          </cell>
          <cell r="Z62">
            <v>0.54650519718090163</v>
          </cell>
          <cell r="AA62">
            <v>0.60628448089071119</v>
          </cell>
          <cell r="AB62">
            <v>0.48777923784494087</v>
          </cell>
          <cell r="AC62">
            <v>0.48390413650610109</v>
          </cell>
          <cell r="AD62">
            <v>0.45662002753693298</v>
          </cell>
          <cell r="AE62">
            <v>0.42883152709359607</v>
          </cell>
          <cell r="AF62">
            <v>0.46034582710442912</v>
          </cell>
          <cell r="AG62" t="e">
            <v>#DIV/0!</v>
          </cell>
          <cell r="AH62" t="e">
            <v>#DIV/0!</v>
          </cell>
          <cell r="AI62" t="e">
            <v>#DIV/0!</v>
          </cell>
          <cell r="AJ62" t="e">
            <v>#DIV/0!</v>
          </cell>
          <cell r="AK62">
            <v>0.41298586742069004</v>
          </cell>
          <cell r="AL62" t="e">
            <v>#DIV/0!</v>
          </cell>
          <cell r="AM62" t="e">
            <v>#DIV/0!</v>
          </cell>
          <cell r="AN62" t="e">
            <v>#DIV/0!</v>
          </cell>
          <cell r="AO62" t="e">
            <v>#DIV/0!</v>
          </cell>
          <cell r="AP62">
            <v>0.37907101052536313</v>
          </cell>
          <cell r="AQ62" t="e">
            <v>#DIV/0!</v>
          </cell>
          <cell r="AR62" t="e">
            <v>#DIV/0!</v>
          </cell>
          <cell r="AS62" t="e">
            <v>#DIV/0!</v>
          </cell>
          <cell r="AT62" t="e">
            <v>#DIV/0!</v>
          </cell>
          <cell r="AU62">
            <v>0.35435680887635712</v>
          </cell>
          <cell r="AV62" t="e">
            <v>#DIV/0!</v>
          </cell>
          <cell r="AW62" t="e">
            <v>#DIV/0!</v>
          </cell>
          <cell r="AX62" t="e">
            <v>#DIV/0!</v>
          </cell>
          <cell r="AY62" t="e">
            <v>#DIV/0!</v>
          </cell>
          <cell r="AZ62">
            <v>0.33629354471376766</v>
          </cell>
          <cell r="BA62" t="e">
            <v>#DIV/0!</v>
          </cell>
          <cell r="BB62" t="e">
            <v>#DIV/0!</v>
          </cell>
          <cell r="BC62" t="e">
            <v>#DIV/0!</v>
          </cell>
          <cell r="BD62" t="e">
            <v>#DIV/0!</v>
          </cell>
          <cell r="BE62">
            <v>0.30487695513885604</v>
          </cell>
        </row>
        <row r="63">
          <cell r="A63" t="str">
            <v>Selling, general &amp; admin</v>
          </cell>
          <cell r="G63">
            <v>0</v>
          </cell>
          <cell r="H63">
            <v>0.14484902956251366</v>
          </cell>
          <cell r="I63">
            <v>0.17098161192937517</v>
          </cell>
          <cell r="J63">
            <v>0.20041106263296435</v>
          </cell>
          <cell r="K63">
            <v>0.1950955085183273</v>
          </cell>
          <cell r="L63">
            <v>0.17578489386397783</v>
          </cell>
          <cell r="M63">
            <v>0.23537695990986762</v>
          </cell>
          <cell r="N63">
            <v>0.30574319161292296</v>
          </cell>
          <cell r="O63">
            <v>0.30315193011450831</v>
          </cell>
          <cell r="P63">
            <v>0</v>
          </cell>
          <cell r="Q63">
            <v>0</v>
          </cell>
          <cell r="R63">
            <v>0</v>
          </cell>
          <cell r="S63">
            <v>3.2240000000000002</v>
          </cell>
          <cell r="T63">
            <v>0.68612130682850603</v>
          </cell>
          <cell r="U63">
            <v>0.48830789946140035</v>
          </cell>
          <cell r="V63">
            <v>0.9415615968901051</v>
          </cell>
          <cell r="W63">
            <v>0.40223506157822714</v>
          </cell>
          <cell r="X63">
            <v>0.37136782423812897</v>
          </cell>
          <cell r="Y63">
            <v>0.3749027527187857</v>
          </cell>
          <cell r="Z63">
            <v>0.35912307321431103</v>
          </cell>
          <cell r="AA63">
            <v>0.37542710468856777</v>
          </cell>
          <cell r="AB63">
            <v>0.34169513797634693</v>
          </cell>
          <cell r="AC63">
            <v>0.32709324105447407</v>
          </cell>
          <cell r="AD63">
            <v>0.25128381647006287</v>
          </cell>
          <cell r="AE63">
            <v>0.25617870972840545</v>
          </cell>
          <cell r="AF63">
            <v>0.28740551485099475</v>
          </cell>
          <cell r="AG63" t="e">
            <v>#DIV/0!</v>
          </cell>
          <cell r="AH63" t="e">
            <v>#DIV/0!</v>
          </cell>
          <cell r="AI63" t="e">
            <v>#DIV/0!</v>
          </cell>
          <cell r="AJ63" t="e">
            <v>#DIV/0!</v>
          </cell>
          <cell r="AK63">
            <v>0.24545228979750772</v>
          </cell>
          <cell r="AL63" t="e">
            <v>#DIV/0!</v>
          </cell>
          <cell r="AM63" t="e">
            <v>#DIV/0!</v>
          </cell>
          <cell r="AN63" t="e">
            <v>#DIV/0!</v>
          </cell>
          <cell r="AO63" t="e">
            <v>#DIV/0!</v>
          </cell>
          <cell r="AP63">
            <v>0.23426458486494306</v>
          </cell>
          <cell r="AQ63" t="e">
            <v>#DIV/0!</v>
          </cell>
          <cell r="AR63" t="e">
            <v>#DIV/0!</v>
          </cell>
          <cell r="AS63" t="e">
            <v>#DIV/0!</v>
          </cell>
          <cell r="AT63" t="e">
            <v>#DIV/0!</v>
          </cell>
          <cell r="AU63">
            <v>0.21899129297815687</v>
          </cell>
          <cell r="AV63" t="e">
            <v>#DIV/0!</v>
          </cell>
          <cell r="AW63" t="e">
            <v>#DIV/0!</v>
          </cell>
          <cell r="AX63" t="e">
            <v>#DIV/0!</v>
          </cell>
          <cell r="AY63" t="e">
            <v>#DIV/0!</v>
          </cell>
          <cell r="AZ63">
            <v>0.20782825765532861</v>
          </cell>
          <cell r="BA63" t="e">
            <v>#DIV/0!</v>
          </cell>
          <cell r="BB63" t="e">
            <v>#DIV/0!</v>
          </cell>
          <cell r="BC63" t="e">
            <v>#DIV/0!</v>
          </cell>
          <cell r="BD63" t="e">
            <v>#DIV/0!</v>
          </cell>
          <cell r="BE63">
            <v>0.18841291300937732</v>
          </cell>
        </row>
        <row r="64">
          <cell r="A64" t="str">
            <v>Operating income</v>
          </cell>
          <cell r="G64">
            <v>1</v>
          </cell>
          <cell r="H64">
            <v>0.22581193674545144</v>
          </cell>
          <cell r="I64">
            <v>-9.681944317384808E-2</v>
          </cell>
          <cell r="J64">
            <v>-1.0925612086683734</v>
          </cell>
          <cell r="K64">
            <v>0.16419721218378935</v>
          </cell>
          <cell r="L64">
            <v>-0.12687900991932097</v>
          </cell>
          <cell r="M64">
            <v>-3.0294495039589395E-2</v>
          </cell>
          <cell r="N64">
            <v>-9.964238774948804E-2</v>
          </cell>
          <cell r="O64">
            <v>-6.8911580687049931E-2</v>
          </cell>
          <cell r="P64">
            <v>0</v>
          </cell>
          <cell r="Q64">
            <v>0</v>
          </cell>
          <cell r="R64">
            <v>0</v>
          </cell>
          <cell r="S64">
            <v>0</v>
          </cell>
          <cell r="T64">
            <v>1.3307046553039938</v>
          </cell>
          <cell r="U64">
            <v>0.16391382405745064</v>
          </cell>
          <cell r="V64">
            <v>0.29977494181734482</v>
          </cell>
          <cell r="W64">
            <v>0.46130454614565913</v>
          </cell>
          <cell r="X64">
            <v>0.49998228206945428</v>
          </cell>
          <cell r="Y64">
            <v>0.47170311025772599</v>
          </cell>
          <cell r="Z64">
            <v>0.65848920149179657</v>
          </cell>
          <cell r="AA64">
            <v>0.53095988132739969</v>
          </cell>
          <cell r="AB64">
            <v>0.47871222076215508</v>
          </cell>
          <cell r="AC64">
            <v>0.46284726085748479</v>
          </cell>
          <cell r="AD64">
            <v>0.45537190246716036</v>
          </cell>
          <cell r="AE64">
            <v>0.46751077158135973</v>
          </cell>
          <cell r="AF64">
            <v>0.46530557727630395</v>
          </cell>
          <cell r="AG64" t="e">
            <v>#DIV/0!</v>
          </cell>
          <cell r="AH64" t="e">
            <v>#DIV/0!</v>
          </cell>
          <cell r="AI64" t="e">
            <v>#DIV/0!</v>
          </cell>
          <cell r="AJ64" t="e">
            <v>#DIV/0!</v>
          </cell>
          <cell r="AK64">
            <v>0.50795534118573749</v>
          </cell>
          <cell r="AL64" t="e">
            <v>#DIV/0!</v>
          </cell>
          <cell r="AM64" t="e">
            <v>#DIV/0!</v>
          </cell>
          <cell r="AN64" t="e">
            <v>#DIV/0!</v>
          </cell>
          <cell r="AO64" t="e">
            <v>#DIV/0!</v>
          </cell>
          <cell r="AP64">
            <v>0.52103614883046256</v>
          </cell>
          <cell r="AQ64" t="e">
            <v>#DIV/0!</v>
          </cell>
          <cell r="AR64" t="e">
            <v>#DIV/0!</v>
          </cell>
          <cell r="AS64" t="e">
            <v>#DIV/0!</v>
          </cell>
          <cell r="AT64" t="e">
            <v>#DIV/0!</v>
          </cell>
          <cell r="AU64">
            <v>0.52486890845780287</v>
          </cell>
          <cell r="AV64" t="e">
            <v>#DIV/0!</v>
          </cell>
          <cell r="AW64" t="e">
            <v>#DIV/0!</v>
          </cell>
          <cell r="AX64" t="e">
            <v>#DIV/0!</v>
          </cell>
          <cell r="AY64" t="e">
            <v>#DIV/0!</v>
          </cell>
          <cell r="AZ64">
            <v>0.52874328114095692</v>
          </cell>
          <cell r="BA64" t="e">
            <v>#DIV/0!</v>
          </cell>
          <cell r="BB64" t="e">
            <v>#DIV/0!</v>
          </cell>
          <cell r="BC64" t="e">
            <v>#DIV/0!</v>
          </cell>
          <cell r="BD64" t="e">
            <v>#DIV/0!</v>
          </cell>
          <cell r="BE64">
            <v>0.53949789795928305</v>
          </cell>
        </row>
        <row r="65">
          <cell r="A65" t="str">
            <v>Pretax income</v>
          </cell>
          <cell r="G65">
            <v>1</v>
          </cell>
          <cell r="H65">
            <v>0.313576408288192</v>
          </cell>
          <cell r="I65">
            <v>2.4730887689445917E-2</v>
          </cell>
          <cell r="J65">
            <v>-0.94548011394367726</v>
          </cell>
          <cell r="K65">
            <v>0.27346411977284463</v>
          </cell>
          <cell r="L65">
            <v>-1.3579429336409533E-2</v>
          </cell>
          <cell r="M65">
            <v>9.5421400181516597E-2</v>
          </cell>
          <cell r="N65">
            <v>2.8089372497478376E-2</v>
          </cell>
          <cell r="O65">
            <v>5.7785385432652582E-2</v>
          </cell>
          <cell r="P65">
            <v>0</v>
          </cell>
          <cell r="Q65">
            <v>0</v>
          </cell>
          <cell r="R65">
            <v>0</v>
          </cell>
          <cell r="S65">
            <v>0</v>
          </cell>
          <cell r="T65">
            <v>1.479921503070829</v>
          </cell>
          <cell r="U65">
            <v>0.26649461400359065</v>
          </cell>
          <cell r="V65">
            <v>0.52209662156978087</v>
          </cell>
          <cell r="W65">
            <v>0.54333282651664894</v>
          </cell>
          <cell r="X65">
            <v>0.59222182849043237</v>
          </cell>
          <cell r="Y65">
            <v>0.56419975833016067</v>
          </cell>
          <cell r="Z65">
            <v>0.7497270239226308</v>
          </cell>
          <cell r="AA65">
            <v>0.6207310365518276</v>
          </cell>
          <cell r="AB65">
            <v>0.57027677398160315</v>
          </cell>
          <cell r="AC65">
            <v>0.54280930421404927</v>
          </cell>
          <cell r="AD65">
            <v>0.52080194888921971</v>
          </cell>
          <cell r="AE65">
            <v>0.53972729654688223</v>
          </cell>
          <cell r="AF65">
            <v>0.54116285096983718</v>
          </cell>
          <cell r="AG65" t="e">
            <v>#DIV/0!</v>
          </cell>
          <cell r="AH65" t="e">
            <v>#DIV/0!</v>
          </cell>
          <cell r="AI65" t="e">
            <v>#DIV/0!</v>
          </cell>
          <cell r="AJ65" t="e">
            <v>#DIV/0!</v>
          </cell>
          <cell r="AK65">
            <v>0.58103462543015694</v>
          </cell>
          <cell r="AL65" t="e">
            <v>#DIV/0!</v>
          </cell>
          <cell r="AM65" t="e">
            <v>#DIV/0!</v>
          </cell>
          <cell r="AN65" t="e">
            <v>#DIV/0!</v>
          </cell>
          <cell r="AO65" t="e">
            <v>#DIV/0!</v>
          </cell>
          <cell r="AP65">
            <v>0.60457959040896114</v>
          </cell>
          <cell r="AQ65" t="e">
            <v>#DIV/0!</v>
          </cell>
          <cell r="AR65" t="e">
            <v>#DIV/0!</v>
          </cell>
          <cell r="AS65" t="e">
            <v>#DIV/0!</v>
          </cell>
          <cell r="AT65" t="e">
            <v>#DIV/0!</v>
          </cell>
          <cell r="AU65">
            <v>0.62000576039146471</v>
          </cell>
          <cell r="AV65" t="e">
            <v>#DIV/0!</v>
          </cell>
          <cell r="AW65" t="e">
            <v>#DIV/0!</v>
          </cell>
          <cell r="AX65" t="e">
            <v>#DIV/0!</v>
          </cell>
          <cell r="AY65" t="e">
            <v>#DIV/0!</v>
          </cell>
          <cell r="AZ65">
            <v>0.63617368520471629</v>
          </cell>
          <cell r="BA65" t="e">
            <v>#DIV/0!</v>
          </cell>
          <cell r="BB65" t="e">
            <v>#DIV/0!</v>
          </cell>
          <cell r="BC65" t="e">
            <v>#DIV/0!</v>
          </cell>
          <cell r="BD65" t="e">
            <v>#DIV/0!</v>
          </cell>
          <cell r="BE65">
            <v>0.65353453875398226</v>
          </cell>
        </row>
        <row r="66">
          <cell r="A66" t="str">
            <v>Net income</v>
          </cell>
          <cell r="G66">
            <v>1</v>
          </cell>
          <cell r="H66">
            <v>0.27276702212937548</v>
          </cell>
          <cell r="I66">
            <v>1.8632025127313757E-2</v>
          </cell>
          <cell r="J66">
            <v>-0.95269173908340243</v>
          </cell>
          <cell r="K66">
            <v>0.24997418688693857</v>
          </cell>
          <cell r="L66">
            <v>-3.487072126921735E-2</v>
          </cell>
          <cell r="M66">
            <v>8.8692767502268954E-2</v>
          </cell>
          <cell r="N66">
            <v>2.1823516826114865E-2</v>
          </cell>
          <cell r="O66">
            <v>3.3290048400424981E-2</v>
          </cell>
          <cell r="P66">
            <v>0</v>
          </cell>
          <cell r="Q66">
            <v>0</v>
          </cell>
          <cell r="R66">
            <v>0</v>
          </cell>
          <cell r="S66">
            <v>0</v>
          </cell>
          <cell r="T66">
            <v>1.6372424319511574</v>
          </cell>
          <cell r="U66">
            <v>0.18467235188509876</v>
          </cell>
          <cell r="V66">
            <v>0.51827318994399119</v>
          </cell>
          <cell r="W66">
            <v>0.32328569256499923</v>
          </cell>
          <cell r="X66">
            <v>0.3534372785258682</v>
          </cell>
          <cell r="Y66">
            <v>0.3390826477744856</v>
          </cell>
          <cell r="Z66">
            <v>0.44986457550447395</v>
          </cell>
          <cell r="AA66">
            <v>0.37154774405386937</v>
          </cell>
          <cell r="AB66">
            <v>0.36492854796320628</v>
          </cell>
          <cell r="AC66">
            <v>0.36118016172338863</v>
          </cell>
          <cell r="AD66">
            <v>0.34946826824321814</v>
          </cell>
          <cell r="AE66">
            <v>0.3562200157209422</v>
          </cell>
          <cell r="AF66">
            <v>0.35716751609621078</v>
          </cell>
          <cell r="AG66" t="e">
            <v>#DIV/0!</v>
          </cell>
          <cell r="AH66" t="e">
            <v>#DIV/0!</v>
          </cell>
          <cell r="AI66" t="e">
            <v>#DIV/0!</v>
          </cell>
          <cell r="AJ66" t="e">
            <v>#DIV/0!</v>
          </cell>
          <cell r="AK66">
            <v>0.38929319903820514</v>
          </cell>
          <cell r="AL66" t="e">
            <v>#DIV/0!</v>
          </cell>
          <cell r="AM66" t="e">
            <v>#DIV/0!</v>
          </cell>
          <cell r="AN66" t="e">
            <v>#DIV/0!</v>
          </cell>
          <cell r="AO66" t="e">
            <v>#DIV/0!</v>
          </cell>
          <cell r="AP66">
            <v>0.41111412147809356</v>
          </cell>
          <cell r="AQ66" t="e">
            <v>#DIV/0!</v>
          </cell>
          <cell r="AR66" t="e">
            <v>#DIV/0!</v>
          </cell>
          <cell r="AS66" t="e">
            <v>#DIV/0!</v>
          </cell>
          <cell r="AT66" t="e">
            <v>#DIV/0!</v>
          </cell>
          <cell r="AU66">
            <v>0.42160391706619599</v>
          </cell>
          <cell r="AV66" t="e">
            <v>#DIV/0!</v>
          </cell>
          <cell r="AW66" t="e">
            <v>#DIV/0!</v>
          </cell>
          <cell r="AX66" t="e">
            <v>#DIV/0!</v>
          </cell>
          <cell r="AY66" t="e">
            <v>#DIV/0!</v>
          </cell>
          <cell r="AZ66">
            <v>0.43259810593920706</v>
          </cell>
          <cell r="BA66" t="e">
            <v>#DIV/0!</v>
          </cell>
          <cell r="BB66" t="e">
            <v>#DIV/0!</v>
          </cell>
          <cell r="BC66" t="e">
            <v>#DIV/0!</v>
          </cell>
          <cell r="BD66" t="e">
            <v>#DIV/0!</v>
          </cell>
          <cell r="BE66">
            <v>0.44440348635270799</v>
          </cell>
        </row>
        <row r="67">
          <cell r="G67" t="str">
            <v>Year/Year Growth</v>
          </cell>
        </row>
        <row r="68">
          <cell r="A68" t="str">
            <v>Year/Year Growth</v>
          </cell>
        </row>
        <row r="69">
          <cell r="A69" t="str">
            <v>Avonex (U.S.)</v>
          </cell>
          <cell r="H69" t="e">
            <v>#DIV/0!</v>
          </cell>
          <cell r="I69" t="e">
            <v>#DIV/0!</v>
          </cell>
          <cell r="J69" t="e">
            <v>#DIV/0!</v>
          </cell>
          <cell r="K69" t="e">
            <v>#DIV/0!</v>
          </cell>
          <cell r="L69" t="e">
            <v>#DIV/0!</v>
          </cell>
          <cell r="M69" t="e">
            <v>#DIV/0!</v>
          </cell>
          <cell r="N69" t="e">
            <v>#DIV/0!</v>
          </cell>
          <cell r="O69" t="e">
            <v>#DIV/0!</v>
          </cell>
          <cell r="P69" t="e">
            <v>#DIV/0!</v>
          </cell>
          <cell r="Q69">
            <v>0</v>
          </cell>
          <cell r="R69">
            <v>0</v>
          </cell>
          <cell r="S69">
            <v>0</v>
          </cell>
          <cell r="T69">
            <v>0</v>
          </cell>
          <cell r="U69">
            <v>0</v>
          </cell>
          <cell r="V69">
            <v>0</v>
          </cell>
          <cell r="W69">
            <v>0</v>
          </cell>
          <cell r="X69">
            <v>7.9795918367346941</v>
          </cell>
          <cell r="Y69">
            <v>1.0641785078315222</v>
          </cell>
          <cell r="Z69">
            <v>0.40968268782081196</v>
          </cell>
          <cell r="AA69">
            <v>1.9049567331573032</v>
          </cell>
          <cell r="AB69">
            <v>0.25959692898272552</v>
          </cell>
          <cell r="AC69">
            <v>0.2424005681818179</v>
          </cell>
          <cell r="AD69">
            <v>0.47169014084507044</v>
          </cell>
          <cell r="AE69">
            <v>0.42178991707906455</v>
          </cell>
          <cell r="AF69">
            <v>0.35364436857380699</v>
          </cell>
          <cell r="AG69">
            <v>-1</v>
          </cell>
          <cell r="AH69">
            <v>-1</v>
          </cell>
          <cell r="AI69">
            <v>-1</v>
          </cell>
          <cell r="AJ69">
            <v>-1</v>
          </cell>
          <cell r="AK69">
            <v>0.15251178807099466</v>
          </cell>
          <cell r="AL69" t="e">
            <v>#DIV/0!</v>
          </cell>
          <cell r="AM69" t="e">
            <v>#DIV/0!</v>
          </cell>
          <cell r="AN69" t="e">
            <v>#DIV/0!</v>
          </cell>
          <cell r="AO69" t="e">
            <v>#DIV/0!</v>
          </cell>
          <cell r="AP69">
            <v>9.1936460368760742E-2</v>
          </cell>
          <cell r="AQ69" t="e">
            <v>#DIV/0!</v>
          </cell>
          <cell r="AR69" t="e">
            <v>#DIV/0!</v>
          </cell>
          <cell r="AS69" t="e">
            <v>#DIV/0!</v>
          </cell>
          <cell r="AT69" t="e">
            <v>#DIV/0!</v>
          </cell>
          <cell r="AU69">
            <v>8.4195796830259378E-2</v>
          </cell>
          <cell r="AV69" t="e">
            <v>#DIV/0!</v>
          </cell>
          <cell r="AW69" t="e">
            <v>#DIV/0!</v>
          </cell>
          <cell r="AX69" t="e">
            <v>#DIV/0!</v>
          </cell>
          <cell r="AY69" t="e">
            <v>#DIV/0!</v>
          </cell>
          <cell r="AZ69">
            <v>7.2480214309984928E-2</v>
          </cell>
          <cell r="BA69" t="e">
            <v>#DIV/0!</v>
          </cell>
          <cell r="BB69" t="e">
            <v>#DIV/0!</v>
          </cell>
          <cell r="BC69" t="e">
            <v>#DIV/0!</v>
          </cell>
          <cell r="BD69" t="e">
            <v>#DIV/0!</v>
          </cell>
          <cell r="BE69">
            <v>6.2754590011982289E-2</v>
          </cell>
        </row>
        <row r="70">
          <cell r="A70" t="str">
            <v>Avonex (Eur.)</v>
          </cell>
          <cell r="H70" t="e">
            <v>#DIV/0!</v>
          </cell>
          <cell r="I70" t="e">
            <v>#DIV/0!</v>
          </cell>
          <cell r="J70" t="e">
            <v>#DIV/0!</v>
          </cell>
          <cell r="K70" t="e">
            <v>#DIV/0!</v>
          </cell>
          <cell r="L70" t="e">
            <v>#DIV/0!</v>
          </cell>
          <cell r="M70" t="e">
            <v>#DIV/0!</v>
          </cell>
          <cell r="N70" t="e">
            <v>#DIV/0!</v>
          </cell>
          <cell r="O70" t="e">
            <v>#DIV/0!</v>
          </cell>
          <cell r="P70" t="e">
            <v>#DIV/0!</v>
          </cell>
          <cell r="Q70">
            <v>0</v>
          </cell>
          <cell r="R70">
            <v>0</v>
          </cell>
          <cell r="S70">
            <v>0</v>
          </cell>
          <cell r="T70">
            <v>0</v>
          </cell>
          <cell r="U70">
            <v>0</v>
          </cell>
          <cell r="V70">
            <v>0</v>
          </cell>
          <cell r="W70">
            <v>0</v>
          </cell>
          <cell r="X70">
            <v>0</v>
          </cell>
          <cell r="Y70">
            <v>0</v>
          </cell>
          <cell r="Z70">
            <v>0</v>
          </cell>
          <cell r="AA70">
            <v>0</v>
          </cell>
          <cell r="AB70">
            <v>4.0384615384615383</v>
          </cell>
          <cell r="AC70">
            <v>12.014583333333333</v>
          </cell>
          <cell r="AD70">
            <v>5.6150013838915029</v>
          </cell>
          <cell r="AE70">
            <v>2.2400990099009901</v>
          </cell>
          <cell r="AF70">
            <v>3.9831577761505099</v>
          </cell>
          <cell r="AG70">
            <v>-1</v>
          </cell>
          <cell r="AH70">
            <v>-1</v>
          </cell>
          <cell r="AI70">
            <v>-1</v>
          </cell>
          <cell r="AJ70">
            <v>-1</v>
          </cell>
          <cell r="AK70">
            <v>0.69726222503560686</v>
          </cell>
          <cell r="AL70" t="e">
            <v>#DIV/0!</v>
          </cell>
          <cell r="AM70" t="e">
            <v>#DIV/0!</v>
          </cell>
          <cell r="AN70" t="e">
            <v>#DIV/0!</v>
          </cell>
          <cell r="AO70" t="e">
            <v>#DIV/0!</v>
          </cell>
          <cell r="AP70">
            <v>0.28205128205128205</v>
          </cell>
          <cell r="AQ70" t="e">
            <v>#DIV/0!</v>
          </cell>
          <cell r="AR70" t="e">
            <v>#DIV/0!</v>
          </cell>
          <cell r="AS70" t="e">
            <v>#DIV/0!</v>
          </cell>
          <cell r="AT70" t="e">
            <v>#DIV/0!</v>
          </cell>
          <cell r="AU70">
            <v>0.2</v>
          </cell>
          <cell r="AV70" t="e">
            <v>#DIV/0!</v>
          </cell>
          <cell r="AW70" t="e">
            <v>#DIV/0!</v>
          </cell>
          <cell r="AX70" t="e">
            <v>#DIV/0!</v>
          </cell>
          <cell r="AY70" t="e">
            <v>#DIV/0!</v>
          </cell>
          <cell r="AZ70">
            <v>0.16666666666666666</v>
          </cell>
          <cell r="BA70" t="e">
            <v>#DIV/0!</v>
          </cell>
          <cell r="BB70" t="e">
            <v>#DIV/0!</v>
          </cell>
          <cell r="BC70" t="e">
            <v>#DIV/0!</v>
          </cell>
          <cell r="BD70" t="e">
            <v>#DIV/0!</v>
          </cell>
          <cell r="BE70">
            <v>0.12857142857142856</v>
          </cell>
        </row>
        <row r="71">
          <cell r="A71" t="str">
            <v>Avonex (Total)</v>
          </cell>
          <cell r="Q71">
            <v>0</v>
          </cell>
          <cell r="R71">
            <v>0</v>
          </cell>
          <cell r="S71">
            <v>0</v>
          </cell>
          <cell r="T71">
            <v>0</v>
          </cell>
          <cell r="U71">
            <v>0</v>
          </cell>
          <cell r="V71">
            <v>0</v>
          </cell>
          <cell r="W71">
            <v>0</v>
          </cell>
          <cell r="X71">
            <v>8.2146938775510208</v>
          </cell>
          <cell r="Y71">
            <v>1.1954791583384816</v>
          </cell>
          <cell r="Z71">
            <v>0.64533364442370511</v>
          </cell>
          <cell r="AA71">
            <v>2.1370160257248179</v>
          </cell>
          <cell r="AB71">
            <v>-1</v>
          </cell>
          <cell r="AC71">
            <v>-1</v>
          </cell>
          <cell r="AD71">
            <v>-1</v>
          </cell>
          <cell r="AE71">
            <v>-1</v>
          </cell>
          <cell r="AF71">
            <v>0.62213592450455857</v>
          </cell>
          <cell r="AG71">
            <v>-1</v>
          </cell>
          <cell r="AH71">
            <v>-1</v>
          </cell>
          <cell r="AI71">
            <v>-1</v>
          </cell>
          <cell r="AJ71">
            <v>-1</v>
          </cell>
          <cell r="AK71">
            <v>0.27630510779111594</v>
          </cell>
          <cell r="AL71" t="e">
            <v>#DIV/0!</v>
          </cell>
          <cell r="AM71" t="e">
            <v>#DIV/0!</v>
          </cell>
          <cell r="AN71" t="e">
            <v>#DIV/0!</v>
          </cell>
          <cell r="AO71" t="e">
            <v>#DIV/0!</v>
          </cell>
          <cell r="AP71">
            <v>0.14938910660823518</v>
          </cell>
          <cell r="AQ71" t="e">
            <v>#DIV/0!</v>
          </cell>
          <cell r="AR71" t="e">
            <v>#DIV/0!</v>
          </cell>
          <cell r="AS71" t="e">
            <v>#DIV/0!</v>
          </cell>
          <cell r="AT71" t="e">
            <v>#DIV/0!</v>
          </cell>
          <cell r="AU71">
            <v>0.12323102331162143</v>
          </cell>
          <cell r="AV71" t="e">
            <v>#DIV/0!</v>
          </cell>
          <cell r="AW71" t="e">
            <v>#DIV/0!</v>
          </cell>
          <cell r="AX71" t="e">
            <v>#DIV/0!</v>
          </cell>
          <cell r="AY71" t="e">
            <v>#DIV/0!</v>
          </cell>
          <cell r="AZ71">
            <v>0.10639842830424241</v>
          </cell>
          <cell r="BA71" t="e">
            <v>#DIV/0!</v>
          </cell>
          <cell r="BB71" t="e">
            <v>#DIV/0!</v>
          </cell>
          <cell r="BC71" t="e">
            <v>#DIV/0!</v>
          </cell>
          <cell r="BD71" t="e">
            <v>#DIV/0!</v>
          </cell>
          <cell r="BE71">
            <v>8.774749820777672E-2</v>
          </cell>
        </row>
        <row r="72">
          <cell r="A72" t="str">
            <v>Royalty Revenues</v>
          </cell>
          <cell r="Q72">
            <v>-4.1158417181146878E-2</v>
          </cell>
          <cell r="R72">
            <v>7.5892717428723389E-2</v>
          </cell>
          <cell r="S72">
            <v>7.0758321361983123E-2</v>
          </cell>
          <cell r="T72">
            <v>1.0433242828473617</v>
          </cell>
          <cell r="U72">
            <v>0.18717970026870545</v>
          </cell>
          <cell r="V72">
            <v>0.34792392297238095</v>
          </cell>
          <cell r="W72">
            <v>0.22796555936936413</v>
          </cell>
          <cell r="X72">
            <v>2.7831696734414324E-2</v>
          </cell>
          <cell r="Y72">
            <v>-0.41937720261135825</v>
          </cell>
          <cell r="Z72">
            <v>-0.10166604442785143</v>
          </cell>
          <cell r="AA72">
            <v>-0.13543101453427508</v>
          </cell>
          <cell r="AB72">
            <v>-9.1033992656638585E-2</v>
          </cell>
          <cell r="AC72">
            <v>0.15920467571918473</v>
          </cell>
          <cell r="AD72">
            <v>-4.4480721393034828E-2</v>
          </cell>
          <cell r="AE72">
            <v>3.5741188082807351E-2</v>
          </cell>
          <cell r="AF72">
            <v>9.4146593420938451E-3</v>
          </cell>
          <cell r="AG72">
            <v>-0.96612112999061817</v>
          </cell>
          <cell r="AH72">
            <v>-0.96789610432526885</v>
          </cell>
          <cell r="AI72">
            <v>-1</v>
          </cell>
          <cell r="AJ72">
            <v>-1</v>
          </cell>
          <cell r="AK72">
            <v>0.10888144602901151</v>
          </cell>
          <cell r="AL72">
            <v>0</v>
          </cell>
          <cell r="AM72">
            <v>0</v>
          </cell>
          <cell r="AN72" t="e">
            <v>#DIV/0!</v>
          </cell>
          <cell r="AO72" t="e">
            <v>#DIV/0!</v>
          </cell>
          <cell r="AP72">
            <v>3.3061003729112803E-2</v>
          </cell>
          <cell r="AQ72">
            <v>0</v>
          </cell>
          <cell r="AR72">
            <v>0</v>
          </cell>
          <cell r="AS72" t="e">
            <v>#DIV/0!</v>
          </cell>
          <cell r="AT72" t="e">
            <v>#DIV/0!</v>
          </cell>
          <cell r="AU72">
            <v>-1.9575424905760253E-2</v>
          </cell>
          <cell r="AV72">
            <v>0</v>
          </cell>
          <cell r="AW72">
            <v>0</v>
          </cell>
          <cell r="AX72" t="e">
            <v>#DIV/0!</v>
          </cell>
          <cell r="AY72" t="e">
            <v>#DIV/0!</v>
          </cell>
          <cell r="AZ72">
            <v>-6.6048341765037044E-3</v>
          </cell>
          <cell r="BA72">
            <v>0</v>
          </cell>
          <cell r="BB72">
            <v>0</v>
          </cell>
          <cell r="BC72" t="e">
            <v>#DIV/0!</v>
          </cell>
          <cell r="BD72" t="e">
            <v>#DIV/0!</v>
          </cell>
          <cell r="BE72">
            <v>-2.659499221954964E-3</v>
          </cell>
        </row>
        <row r="73">
          <cell r="A73" t="str">
            <v>Total revenues</v>
          </cell>
          <cell r="H73">
            <v>-0.69822897271621043</v>
          </cell>
          <cell r="I73">
            <v>-0.20341535696067239</v>
          </cell>
          <cell r="J73">
            <v>-0.1543012228219437</v>
          </cell>
          <cell r="K73">
            <v>0.39689178956477844</v>
          </cell>
          <cell r="L73">
            <v>2.9431599935492384E-2</v>
          </cell>
          <cell r="M73">
            <v>-0.22382005004008065</v>
          </cell>
          <cell r="N73">
            <v>-2.3175677736102219E-3</v>
          </cell>
          <cell r="O73">
            <v>0.22179353117224967</v>
          </cell>
          <cell r="P73">
            <v>-6.8172431595250382E-2</v>
          </cell>
          <cell r="Q73">
            <v>-4.1158417181146878E-2</v>
          </cell>
          <cell r="R73">
            <v>7.5892717428723444E-2</v>
          </cell>
          <cell r="S73">
            <v>0.25796986276247824</v>
          </cell>
          <cell r="T73">
            <v>1.8554184866013457</v>
          </cell>
          <cell r="U73">
            <v>1.4215629241807253</v>
          </cell>
          <cell r="V73">
            <v>0.92869078297550001</v>
          </cell>
          <cell r="W73">
            <v>1.7584792599918553</v>
          </cell>
          <cell r="X73">
            <v>1.2462035619700174</v>
          </cell>
          <cell r="Y73">
            <v>3.9895403760090126E-2</v>
          </cell>
          <cell r="Z73">
            <v>0.41871053354077059</v>
          </cell>
          <cell r="AA73">
            <v>0.58607106552074673</v>
          </cell>
          <cell r="AB73">
            <v>0.20711581655787664</v>
          </cell>
          <cell r="AC73">
            <v>0.39336608011747992</v>
          </cell>
          <cell r="AD73">
            <v>0.45014933457903056</v>
          </cell>
          <cell r="AE73">
            <v>0.27806548242996987</v>
          </cell>
          <cell r="AF73">
            <v>0.32964201803947141</v>
          </cell>
          <cell r="AG73">
            <v>-0.98864351107694459</v>
          </cell>
          <cell r="AH73">
            <v>-0.9895972840037085</v>
          </cell>
          <cell r="AI73">
            <v>-1</v>
          </cell>
          <cell r="AJ73">
            <v>-1</v>
          </cell>
          <cell r="AK73">
            <v>0.22788435925887809</v>
          </cell>
          <cell r="AL73">
            <v>0</v>
          </cell>
          <cell r="AM73">
            <v>0</v>
          </cell>
          <cell r="AN73" t="e">
            <v>#DIV/0!</v>
          </cell>
          <cell r="AO73" t="e">
            <v>#DIV/0!</v>
          </cell>
          <cell r="AP73">
            <v>0.11900636517771629</v>
          </cell>
          <cell r="AQ73">
            <v>0</v>
          </cell>
          <cell r="AR73">
            <v>0</v>
          </cell>
          <cell r="AS73" t="e">
            <v>#DIV/0!</v>
          </cell>
          <cell r="AT73" t="e">
            <v>#DIV/0!</v>
          </cell>
          <cell r="AU73">
            <v>8.879733523612704E-2</v>
          </cell>
          <cell r="AV73">
            <v>0</v>
          </cell>
          <cell r="AW73">
            <v>0</v>
          </cell>
          <cell r="AX73" t="e">
            <v>#DIV/0!</v>
          </cell>
          <cell r="AY73" t="e">
            <v>#DIV/0!</v>
          </cell>
          <cell r="AZ73">
            <v>8.1862988649748489E-2</v>
          </cell>
          <cell r="BA73">
            <v>0</v>
          </cell>
          <cell r="BB73">
            <v>0</v>
          </cell>
          <cell r="BC73" t="e">
            <v>#DIV/0!</v>
          </cell>
          <cell r="BD73" t="e">
            <v>#DIV/0!</v>
          </cell>
          <cell r="BE73">
            <v>0.12612926846920935</v>
          </cell>
        </row>
        <row r="74">
          <cell r="A74" t="str">
            <v>Cost of sales</v>
          </cell>
          <cell r="H74" t="e">
            <v>#DIV/0!</v>
          </cell>
          <cell r="I74">
            <v>-0.13152569809793604</v>
          </cell>
          <cell r="J74">
            <v>2.5163094128611369E-2</v>
          </cell>
          <cell r="K74">
            <v>0.42318181818181816</v>
          </cell>
          <cell r="L74" t="e">
            <v>#DIV/0!</v>
          </cell>
          <cell r="M74">
            <v>1.3354917037636584E-2</v>
          </cell>
          <cell r="N74">
            <v>0.23392357875116496</v>
          </cell>
          <cell r="O74">
            <v>0.18227272727272728</v>
          </cell>
          <cell r="P74">
            <v>-0.12136697540721814</v>
          </cell>
          <cell r="Q74">
            <v>5.5890631282669884E-2</v>
          </cell>
          <cell r="R74">
            <v>0.6585463258785943</v>
          </cell>
          <cell r="S74">
            <v>0.44864048338368578</v>
          </cell>
          <cell r="T74">
            <v>3.0076893502499038</v>
          </cell>
          <cell r="U74">
            <v>2.6757542711741187</v>
          </cell>
          <cell r="V74">
            <v>1.7156321401370906</v>
          </cell>
          <cell r="W74">
            <v>1.8278352997832892</v>
          </cell>
          <cell r="X74">
            <v>1.9833159541188738</v>
          </cell>
          <cell r="Y74">
            <v>0.19896392939370683</v>
          </cell>
          <cell r="Z74">
            <v>0.43413765822784811</v>
          </cell>
          <cell r="AA74">
            <v>0.75943908851884312</v>
          </cell>
          <cell r="AB74">
            <v>0.26643392370572205</v>
          </cell>
          <cell r="AC74">
            <v>0.50043691017126879</v>
          </cell>
          <cell r="AD74">
            <v>0.56129288366138586</v>
          </cell>
          <cell r="AE74">
            <v>0.50198033029926936</v>
          </cell>
          <cell r="AF74">
            <v>0.46128072866023745</v>
          </cell>
          <cell r="AG74">
            <v>-0.9912593289854098</v>
          </cell>
          <cell r="AH74">
            <v>-0.99219614466251238</v>
          </cell>
          <cell r="AI74">
            <v>-1</v>
          </cell>
          <cell r="AJ74">
            <v>-1</v>
          </cell>
          <cell r="AK74">
            <v>0.26769603275773901</v>
          </cell>
          <cell r="AL74">
            <v>5.000000000000001E-2</v>
          </cell>
          <cell r="AM74">
            <v>5.0000000000000135E-2</v>
          </cell>
          <cell r="AN74" t="e">
            <v>#DIV/0!</v>
          </cell>
          <cell r="AO74" t="e">
            <v>#DIV/0!</v>
          </cell>
          <cell r="AP74">
            <v>0.12631307853380264</v>
          </cell>
          <cell r="AQ74">
            <v>0</v>
          </cell>
          <cell r="AR74">
            <v>0</v>
          </cell>
          <cell r="AS74" t="e">
            <v>#DIV/0!</v>
          </cell>
          <cell r="AT74" t="e">
            <v>#DIV/0!</v>
          </cell>
          <cell r="AU74">
            <v>9.7247916905391946E-2</v>
          </cell>
          <cell r="AV74">
            <v>0</v>
          </cell>
          <cell r="AW74">
            <v>0</v>
          </cell>
          <cell r="AX74" t="e">
            <v>#DIV/0!</v>
          </cell>
          <cell r="AY74" t="e">
            <v>#DIV/0!</v>
          </cell>
          <cell r="AZ74">
            <v>8.8026968805232808E-2</v>
          </cell>
          <cell r="BA74">
            <v>0</v>
          </cell>
          <cell r="BB74">
            <v>0</v>
          </cell>
          <cell r="BC74" t="e">
            <v>#DIV/0!</v>
          </cell>
          <cell r="BD74" t="e">
            <v>#DIV/0!</v>
          </cell>
          <cell r="BE74">
            <v>0.19431631002571156</v>
          </cell>
        </row>
        <row r="75">
          <cell r="A75" t="str">
            <v>Gross margin</v>
          </cell>
          <cell r="H75">
            <v>-6.0023805475259318E-2</v>
          </cell>
          <cell r="I75">
            <v>-5.7629010691676898E-3</v>
          </cell>
          <cell r="J75">
            <v>-1.4859498654912571E-2</v>
          </cell>
          <cell r="K75">
            <v>-1.6216201406863337E-3</v>
          </cell>
          <cell r="L75">
            <v>-7.0838050885475679E-2</v>
          </cell>
          <cell r="M75">
            <v>-1.951250826387875E-2</v>
          </cell>
          <cell r="N75">
            <v>-1.6580780344895126E-2</v>
          </cell>
          <cell r="O75">
            <v>2.7870758248450581E-3</v>
          </cell>
          <cell r="P75">
            <v>-1</v>
          </cell>
          <cell r="Q75">
            <v>0</v>
          </cell>
          <cell r="R75">
            <v>0</v>
          </cell>
          <cell r="S75">
            <v>0</v>
          </cell>
          <cell r="T75">
            <v>0</v>
          </cell>
          <cell r="U75">
            <v>0</v>
          </cell>
          <cell r="V75">
            <v>0</v>
          </cell>
          <cell r="W75">
            <v>0</v>
          </cell>
          <cell r="X75">
            <v>1.1332767659954441</v>
          </cell>
          <cell r="Y75">
            <v>0.2768029609452955</v>
          </cell>
          <cell r="Z75">
            <v>2.7530852845296924E-2</v>
          </cell>
          <cell r="AA75">
            <v>0.24499951135071771</v>
          </cell>
          <cell r="AB75">
            <v>3.573884071010193E-2</v>
          </cell>
          <cell r="AC75">
            <v>6.9762535366396962E-3</v>
          </cell>
          <cell r="AD75">
            <v>3.1956992303776341E-2</v>
          </cell>
          <cell r="AE75">
            <v>2.7737355541677576E-2</v>
          </cell>
          <cell r="AF75">
            <v>2.6221137779442915E-2</v>
          </cell>
          <cell r="AG75" t="e">
            <v>#DIV/0!</v>
          </cell>
          <cell r="AH75" t="e">
            <v>#DIV/0!</v>
          </cell>
          <cell r="AI75" t="e">
            <v>#DIV/0!</v>
          </cell>
          <cell r="AJ75" t="e">
            <v>#DIV/0!</v>
          </cell>
          <cell r="AK75">
            <v>1.5657092791948458E-3</v>
          </cell>
          <cell r="AL75" t="e">
            <v>#DIV/0!</v>
          </cell>
          <cell r="AM75" t="e">
            <v>#DIV/0!</v>
          </cell>
          <cell r="AN75" t="e">
            <v>#DIV/0!</v>
          </cell>
          <cell r="AO75" t="e">
            <v>#DIV/0!</v>
          </cell>
          <cell r="AP75">
            <v>4.6215142706185798E-3</v>
          </cell>
          <cell r="AQ75" t="e">
            <v>#DIV/0!</v>
          </cell>
          <cell r="AR75" t="e">
            <v>#DIV/0!</v>
          </cell>
          <cell r="AS75" t="e">
            <v>#DIV/0!</v>
          </cell>
          <cell r="AT75" t="e">
            <v>#DIV/0!</v>
          </cell>
          <cell r="AU75">
            <v>5.1939991497131667E-3</v>
          </cell>
          <cell r="AV75" t="e">
            <v>#DIV/0!</v>
          </cell>
          <cell r="AW75" t="e">
            <v>#DIV/0!</v>
          </cell>
          <cell r="AX75" t="e">
            <v>#DIV/0!</v>
          </cell>
          <cell r="AY75" t="e">
            <v>#DIV/0!</v>
          </cell>
          <cell r="AZ75">
            <v>3.6232457348000977E-3</v>
          </cell>
          <cell r="BA75" t="e">
            <v>#DIV/0!</v>
          </cell>
          <cell r="BB75" t="e">
            <v>#DIV/0!</v>
          </cell>
          <cell r="BC75" t="e">
            <v>#DIV/0!</v>
          </cell>
          <cell r="BD75" t="e">
            <v>#DIV/0!</v>
          </cell>
          <cell r="BE75">
            <v>-6.6673579159848371E-3</v>
          </cell>
        </row>
        <row r="76">
          <cell r="A76" t="str">
            <v>Research &amp; development</v>
          </cell>
          <cell r="H76" t="e">
            <v>#DIV/0!</v>
          </cell>
          <cell r="I76">
            <v>0.12573926459244023</v>
          </cell>
          <cell r="J76">
            <v>-0.12958733059235572</v>
          </cell>
          <cell r="K76">
            <v>-0.18006473058082575</v>
          </cell>
          <cell r="L76" t="e">
            <v>#DIV/0!</v>
          </cell>
          <cell r="M76">
            <v>-0.12423930744835862</v>
          </cell>
          <cell r="N76">
            <v>-0.19026952946550937</v>
          </cell>
          <cell r="O76">
            <v>-1.7451014695591321E-2</v>
          </cell>
          <cell r="P76">
            <v>0.24169200405398197</v>
          </cell>
          <cell r="Q76">
            <v>-4.1277010952386173E-2</v>
          </cell>
          <cell r="R76">
            <v>0.1945681428920969</v>
          </cell>
          <cell r="S76">
            <v>0.3776210625293841</v>
          </cell>
          <cell r="T76">
            <v>0.35045626530158025</v>
          </cell>
          <cell r="U76">
            <v>1.076338173382593</v>
          </cell>
          <cell r="V76">
            <v>0.5138596651724453</v>
          </cell>
          <cell r="W76">
            <v>0.55290647658842329</v>
          </cell>
          <cell r="X76">
            <v>9.2553409323595653E-2</v>
          </cell>
          <cell r="Y76">
            <v>0.22091106862680468</v>
          </cell>
          <cell r="Z76">
            <v>-0.20263588024745</v>
          </cell>
          <cell r="AA76">
            <v>9.9082970751752472E-2</v>
          </cell>
          <cell r="AB76">
            <v>-2.0787168935317082E-2</v>
          </cell>
          <cell r="AC76">
            <v>0.31614293746485911</v>
          </cell>
          <cell r="AD76">
            <v>0.32513498920086392</v>
          </cell>
          <cell r="AE76">
            <v>0.32000000000000006</v>
          </cell>
          <cell r="AF76">
            <v>0.23167180981574018</v>
          </cell>
          <cell r="AG76">
            <v>0</v>
          </cell>
          <cell r="AH76">
            <v>0</v>
          </cell>
          <cell r="AI76">
            <v>0</v>
          </cell>
          <cell r="AJ76">
            <v>0</v>
          </cell>
          <cell r="AK76">
            <v>0.14500000000000005</v>
          </cell>
          <cell r="AL76">
            <v>0</v>
          </cell>
          <cell r="AM76">
            <v>0</v>
          </cell>
          <cell r="AN76">
            <v>0</v>
          </cell>
          <cell r="AO76">
            <v>0</v>
          </cell>
          <cell r="AP76">
            <v>5.4999999999999986E-2</v>
          </cell>
          <cell r="AQ76">
            <v>0</v>
          </cell>
          <cell r="AR76">
            <v>0</v>
          </cell>
          <cell r="AS76">
            <v>0</v>
          </cell>
          <cell r="AT76">
            <v>0</v>
          </cell>
          <cell r="AU76">
            <v>5.0000000000000058E-2</v>
          </cell>
          <cell r="AV76">
            <v>0</v>
          </cell>
          <cell r="AW76">
            <v>0</v>
          </cell>
          <cell r="AX76">
            <v>0</v>
          </cell>
          <cell r="AY76">
            <v>0</v>
          </cell>
          <cell r="AZ76">
            <v>0.05</v>
          </cell>
          <cell r="BA76">
            <v>0</v>
          </cell>
          <cell r="BB76">
            <v>0</v>
          </cell>
          <cell r="BC76">
            <v>0</v>
          </cell>
          <cell r="BD76">
            <v>0</v>
          </cell>
          <cell r="BE76">
            <v>5.0000000000000037E-2</v>
          </cell>
        </row>
        <row r="77">
          <cell r="A77" t="str">
            <v>Selling, general &amp; admin</v>
          </cell>
          <cell r="H77" t="e">
            <v>#DIV/0!</v>
          </cell>
          <cell r="I77">
            <v>-5.9701492537313432E-2</v>
          </cell>
          <cell r="J77">
            <v>-8.7390761548064924E-3</v>
          </cell>
          <cell r="K77">
            <v>0.35984166966534725</v>
          </cell>
          <cell r="L77" t="e">
            <v>#DIV/0!</v>
          </cell>
          <cell r="M77">
            <v>0.2612778802616133</v>
          </cell>
          <cell r="N77">
            <v>0.78401997503121101</v>
          </cell>
          <cell r="O77">
            <v>0.8481468154012235</v>
          </cell>
          <cell r="P77">
            <v>0.65347975654935164</v>
          </cell>
          <cell r="Q77">
            <v>0.63222069189014019</v>
          </cell>
          <cell r="R77">
            <v>0.76120196782342775</v>
          </cell>
          <cell r="S77">
            <v>0.97410776766969909</v>
          </cell>
          <cell r="T77">
            <v>0.838006230529595</v>
          </cell>
          <cell r="U77">
            <v>0.74113787308954149</v>
          </cell>
          <cell r="V77">
            <v>0.82741419105055469</v>
          </cell>
          <cell r="W77">
            <v>0.5977653631284916</v>
          </cell>
          <cell r="X77">
            <v>6.1427052210462352E-2</v>
          </cell>
          <cell r="Y77">
            <v>0.19962923728813559</v>
          </cell>
          <cell r="Z77">
            <v>0.16388620800588263</v>
          </cell>
          <cell r="AA77">
            <v>0.22362559756627554</v>
          </cell>
          <cell r="AB77">
            <v>0.22864297864297864</v>
          </cell>
          <cell r="AC77">
            <v>0.35882633587786261</v>
          </cell>
          <cell r="AD77">
            <v>0.19259128438341649</v>
          </cell>
          <cell r="AE77">
            <v>0.2</v>
          </cell>
          <cell r="AF77">
            <v>0.24181446868964904</v>
          </cell>
          <cell r="AG77">
            <v>0</v>
          </cell>
          <cell r="AH77">
            <v>0</v>
          </cell>
          <cell r="AI77">
            <v>0</v>
          </cell>
          <cell r="AJ77">
            <v>0</v>
          </cell>
          <cell r="AK77">
            <v>9.000000000000008E-2</v>
          </cell>
          <cell r="AL77">
            <v>0</v>
          </cell>
          <cell r="AM77">
            <v>0</v>
          </cell>
          <cell r="AN77">
            <v>0</v>
          </cell>
          <cell r="AO77">
            <v>0</v>
          </cell>
          <cell r="AP77">
            <v>9.7000000000000086E-2</v>
          </cell>
          <cell r="AQ77">
            <v>0</v>
          </cell>
          <cell r="AR77">
            <v>0</v>
          </cell>
          <cell r="AS77">
            <v>0</v>
          </cell>
          <cell r="AT77">
            <v>0</v>
          </cell>
          <cell r="AU77">
            <v>5.0000000000000107E-2</v>
          </cell>
          <cell r="AV77">
            <v>0</v>
          </cell>
          <cell r="AW77">
            <v>0</v>
          </cell>
          <cell r="AX77">
            <v>0</v>
          </cell>
          <cell r="AY77">
            <v>0</v>
          </cell>
          <cell r="AZ77">
            <v>5.0000000000000086E-2</v>
          </cell>
          <cell r="BA77">
            <v>0</v>
          </cell>
          <cell r="BB77">
            <v>0</v>
          </cell>
          <cell r="BC77">
            <v>0</v>
          </cell>
          <cell r="BD77">
            <v>0</v>
          </cell>
          <cell r="BE77">
            <v>5.0000000000000142E-2</v>
          </cell>
        </row>
        <row r="78">
          <cell r="A78" t="str">
            <v>Operating income</v>
          </cell>
          <cell r="H78">
            <v>-0.93185649987538299</v>
          </cell>
          <cell r="I78">
            <v>-1.3415447504302926</v>
          </cell>
          <cell r="J78">
            <v>8.543307086614174</v>
          </cell>
          <cell r="K78">
            <v>-1.2099339933993398</v>
          </cell>
          <cell r="L78">
            <v>-1.1306132621794778</v>
          </cell>
          <cell r="M78">
            <v>-1.1041308089500861</v>
          </cell>
          <cell r="N78">
            <v>2.6771653543307086E-2</v>
          </cell>
          <cell r="O78">
            <v>-0.92293729372937294</v>
          </cell>
          <cell r="P78">
            <v>-1.4763401980820625</v>
          </cell>
          <cell r="Q78">
            <v>0</v>
          </cell>
          <cell r="R78">
            <v>0</v>
          </cell>
          <cell r="S78">
            <v>0</v>
          </cell>
          <cell r="T78">
            <v>0</v>
          </cell>
          <cell r="U78">
            <v>0</v>
          </cell>
          <cell r="V78">
            <v>0</v>
          </cell>
          <cell r="W78">
            <v>-4.0565419972295684</v>
          </cell>
          <cell r="X78">
            <v>-3.2508574619127382</v>
          </cell>
          <cell r="Y78">
            <v>-0.22175492257694512</v>
          </cell>
          <cell r="Z78">
            <v>5.3576122672508211</v>
          </cell>
          <cell r="AA78">
            <v>4.4354818069359725</v>
          </cell>
          <cell r="AB78">
            <v>0.50090639419907712</v>
          </cell>
          <cell r="AC78">
            <v>0.42816946059820216</v>
          </cell>
          <cell r="AD78">
            <v>0.71768384531705109</v>
          </cell>
          <cell r="AE78">
            <v>0.19433039559824253</v>
          </cell>
          <cell r="AF78">
            <v>0.4215554118425151</v>
          </cell>
          <cell r="AG78">
            <v>-2.7006038978863574</v>
          </cell>
          <cell r="AH78">
            <v>-2.7222678032679593</v>
          </cell>
          <cell r="AI78">
            <v>-2.5545619748861141</v>
          </cell>
          <cell r="AJ78">
            <v>-2.4652287785903795</v>
          </cell>
          <cell r="AK78">
            <v>0.39329083541193849</v>
          </cell>
          <cell r="AL78">
            <v>1.0491824447565089E-4</v>
          </cell>
          <cell r="AM78">
            <v>9.6527877827360463E-5</v>
          </cell>
          <cell r="AN78">
            <v>0</v>
          </cell>
          <cell r="AO78">
            <v>0</v>
          </cell>
          <cell r="AP78">
            <v>0.17898804295840356</v>
          </cell>
          <cell r="AQ78">
            <v>0</v>
          </cell>
          <cell r="AR78">
            <v>0</v>
          </cell>
          <cell r="AS78">
            <v>0</v>
          </cell>
          <cell r="AT78">
            <v>0</v>
          </cell>
          <cell r="AU78">
            <v>0.13149354891178983</v>
          </cell>
          <cell r="AV78">
            <v>0</v>
          </cell>
          <cell r="AW78">
            <v>0</v>
          </cell>
          <cell r="AX78">
            <v>0</v>
          </cell>
          <cell r="AY78">
            <v>0</v>
          </cell>
          <cell r="AZ78">
            <v>0.11456541967719623</v>
          </cell>
          <cell r="BA78">
            <v>0</v>
          </cell>
          <cell r="BB78">
            <v>0</v>
          </cell>
          <cell r="BC78">
            <v>0</v>
          </cell>
          <cell r="BD78">
            <v>0</v>
          </cell>
          <cell r="BE78">
            <v>0.18175684563681127</v>
          </cell>
        </row>
        <row r="79">
          <cell r="A79" t="str">
            <v>Pretax income</v>
          </cell>
          <cell r="H79">
            <v>-0.90537172513891129</v>
          </cell>
          <cell r="I79">
            <v>-0.93717561391277404</v>
          </cell>
          <cell r="J79">
            <v>-33.331689272503084</v>
          </cell>
          <cell r="K79">
            <v>-1.4040273063574997</v>
          </cell>
          <cell r="L79">
            <v>-1.0139790936679911</v>
          </cell>
          <cell r="M79">
            <v>-0.76380819583236503</v>
          </cell>
          <cell r="N79">
            <v>0.13316892725030827</v>
          </cell>
          <cell r="O79">
            <v>-1.0746729720453072</v>
          </cell>
          <cell r="P79">
            <v>-0.85661695299225982</v>
          </cell>
          <cell r="Q79">
            <v>0</v>
          </cell>
          <cell r="R79">
            <v>-2.1400459166939982</v>
          </cell>
          <cell r="S79">
            <v>-10.023939064200217</v>
          </cell>
          <cell r="T79">
            <v>19.798263534218592</v>
          </cell>
          <cell r="U79">
            <v>6.817643186306781</v>
          </cell>
          <cell r="V79">
            <v>4.4840832773673602</v>
          </cell>
          <cell r="W79">
            <v>0</v>
          </cell>
          <cell r="X79">
            <v>0</v>
          </cell>
          <cell r="Y79">
            <v>-0.16300370797829236</v>
          </cell>
          <cell r="Z79">
            <v>3.4522105263157896</v>
          </cell>
          <cell r="AA79">
            <v>2.6485831149428103</v>
          </cell>
          <cell r="AB79">
            <v>0.51805171750384782</v>
          </cell>
          <cell r="AC79">
            <v>0.41403295463337814</v>
          </cell>
          <cell r="AD79">
            <v>0.64242461757371294</v>
          </cell>
          <cell r="AE79">
            <v>0.21102396823672426</v>
          </cell>
          <cell r="AF79">
            <v>0.41420301205155663</v>
          </cell>
          <cell r="AG79">
            <v>-1.941419763771743</v>
          </cell>
          <cell r="AH79">
            <v>-2.1008384687586696</v>
          </cell>
          <cell r="AI79">
            <v>-2.032070663928097</v>
          </cell>
          <cell r="AJ79">
            <v>-1.6454198987832627</v>
          </cell>
          <cell r="AK79">
            <v>0.3703406634638719</v>
          </cell>
          <cell r="AL79">
            <v>-8.8770870145030017E-3</v>
          </cell>
          <cell r="AM79">
            <v>4.8056203897588377E-2</v>
          </cell>
          <cell r="AN79">
            <v>0.10096032698833432</v>
          </cell>
          <cell r="AO79">
            <v>-0.35865209261488668</v>
          </cell>
          <cell r="AP79">
            <v>0.19596520565237557</v>
          </cell>
          <cell r="AQ79">
            <v>-4.0896746975078606E-2</v>
          </cell>
          <cell r="AR79">
            <v>2.3357232012477511E-2</v>
          </cell>
          <cell r="AS79">
            <v>7.6541497674892434E-2</v>
          </cell>
          <cell r="AT79">
            <v>-0.67513094199146972</v>
          </cell>
          <cell r="AU79">
            <v>0.15189086061030652</v>
          </cell>
          <cell r="AV79">
            <v>-7.2365504828650201E-2</v>
          </cell>
          <cell r="AW79">
            <v>2.2553898526232077E-3</v>
          </cell>
          <cell r="AX79">
            <v>5.7348731699985778E-2</v>
          </cell>
          <cell r="AY79">
            <v>-2.4181348400919722</v>
          </cell>
          <cell r="AZ79">
            <v>0.13525004186187814</v>
          </cell>
          <cell r="BA79">
            <v>-0.11103982154741054</v>
          </cell>
          <cell r="BB79">
            <v>-2.0079074044583173E-2</v>
          </cell>
          <cell r="BC79">
            <v>3.9039661015011766E-2</v>
          </cell>
          <cell r="BD79">
            <v>2.0359622768659573</v>
          </cell>
          <cell r="BE79">
            <v>0.18980578258968789</v>
          </cell>
        </row>
        <row r="80">
          <cell r="A80" t="str">
            <v>Net income</v>
          </cell>
          <cell r="H80">
            <v>-0.91768681552287823</v>
          </cell>
          <cell r="I80">
            <v>-0.94558731855018252</v>
          </cell>
          <cell r="J80">
            <v>-44.242225859247135</v>
          </cell>
          <cell r="K80">
            <v>-1.3665266265470648</v>
          </cell>
          <cell r="L80">
            <v>-1.0358970223870749</v>
          </cell>
          <cell r="M80">
            <v>-0.74761777540297447</v>
          </cell>
          <cell r="N80">
            <v>0.16857610474631751</v>
          </cell>
          <cell r="O80">
            <v>-1.0426933121380719</v>
          </cell>
          <cell r="P80">
            <v>-0.89838909541511769</v>
          </cell>
          <cell r="Q80">
            <v>0</v>
          </cell>
          <cell r="R80">
            <v>-2.2907551164431896</v>
          </cell>
          <cell r="S80">
            <v>-13.735294117647058</v>
          </cell>
          <cell r="T80">
            <v>38.939716312056738</v>
          </cell>
          <cell r="U80">
            <v>7.3628048780487809</v>
          </cell>
          <cell r="V80">
            <v>6.1607773851590109</v>
          </cell>
          <cell r="W80">
            <v>0</v>
          </cell>
          <cell r="X80">
            <v>0</v>
          </cell>
          <cell r="Y80">
            <v>-0.54530320518511943</v>
          </cell>
          <cell r="Z80">
            <v>2.8551464333454857</v>
          </cell>
          <cell r="AA80">
            <v>1.2000246730816679</v>
          </cell>
          <cell r="AB80">
            <v>0.63263154027042912</v>
          </cell>
          <cell r="AC80">
            <v>0.57655160961603491</v>
          </cell>
          <cell r="AD80">
            <v>0.83378291872101573</v>
          </cell>
          <cell r="AE80">
            <v>0.33204238281571985</v>
          </cell>
          <cell r="AF80">
            <v>0.55935345644763845</v>
          </cell>
          <cell r="AG80">
            <v>-2.4711642288407707</v>
          </cell>
          <cell r="AH80">
            <v>-2.6544246517520129</v>
          </cell>
          <cell r="AI80">
            <v>-2.5380635726018443</v>
          </cell>
          <cell r="AJ80">
            <v>-1.977908937550398</v>
          </cell>
          <cell r="AK80">
            <v>0.39110326658868277</v>
          </cell>
          <cell r="AL80">
            <v>-8.8770870145030017E-3</v>
          </cell>
          <cell r="AM80">
            <v>4.8056203897588377E-2</v>
          </cell>
          <cell r="AN80">
            <v>0.10096032698833432</v>
          </cell>
          <cell r="AO80">
            <v>-0.35865209261488668</v>
          </cell>
          <cell r="AP80">
            <v>0.21381543260241098</v>
          </cell>
          <cell r="AQ80">
            <v>-4.0896746975078606E-2</v>
          </cell>
          <cell r="AR80">
            <v>2.3357232012477511E-2</v>
          </cell>
          <cell r="AS80">
            <v>7.6541497674892434E-2</v>
          </cell>
          <cell r="AT80">
            <v>-0.67513094199146972</v>
          </cell>
          <cell r="AU80">
            <v>0.15189086061030654</v>
          </cell>
          <cell r="AV80">
            <v>-7.2365504828650201E-2</v>
          </cell>
          <cell r="AW80">
            <v>2.2553898526232077E-3</v>
          </cell>
          <cell r="AX80">
            <v>5.7348731699985778E-2</v>
          </cell>
          <cell r="AY80">
            <v>-2.4181348400919722</v>
          </cell>
          <cell r="AZ80">
            <v>0.13525004186187817</v>
          </cell>
          <cell r="BA80">
            <v>-0.11103982154741054</v>
          </cell>
          <cell r="BB80">
            <v>-2.0079074044583173E-2</v>
          </cell>
          <cell r="BC80">
            <v>3.9039661015011766E-2</v>
          </cell>
          <cell r="BD80">
            <v>2.0359622768659573</v>
          </cell>
          <cell r="BE80">
            <v>0.18980578258968794</v>
          </cell>
        </row>
        <row r="82">
          <cell r="A82" t="str">
            <v>Summary balance sheet and cash flow data</v>
          </cell>
        </row>
        <row r="83">
          <cell r="A83" t="str">
            <v>Cash and short-term investments</v>
          </cell>
          <cell r="G83">
            <v>270351</v>
          </cell>
          <cell r="L83">
            <v>267802</v>
          </cell>
          <cell r="M83">
            <v>286625</v>
          </cell>
          <cell r="N83">
            <v>274641</v>
          </cell>
          <cell r="O83">
            <v>285465</v>
          </cell>
          <cell r="P83">
            <v>307948</v>
          </cell>
          <cell r="Q83">
            <v>307948</v>
          </cell>
          <cell r="R83">
            <v>293432</v>
          </cell>
          <cell r="S83">
            <v>277177</v>
          </cell>
          <cell r="T83">
            <v>282699</v>
          </cell>
          <cell r="U83">
            <v>321381</v>
          </cell>
          <cell r="V83">
            <v>321381</v>
          </cell>
          <cell r="W83">
            <v>347741</v>
          </cell>
          <cell r="X83">
            <v>349449.30298323953</v>
          </cell>
          <cell r="Y83">
            <v>397977</v>
          </cell>
          <cell r="Z83">
            <v>398424.19638648088</v>
          </cell>
          <cell r="AA83">
            <v>399307.19638648088</v>
          </cell>
          <cell r="AB83">
            <v>448042.01832223131</v>
          </cell>
          <cell r="AC83">
            <v>429266.53597079765</v>
          </cell>
          <cell r="AD83">
            <v>504885.13578185416</v>
          </cell>
          <cell r="AE83">
            <v>572621.88129222603</v>
          </cell>
          <cell r="AF83">
            <v>573504.88129222603</v>
          </cell>
          <cell r="AG83">
            <v>401851.54767806968</v>
          </cell>
          <cell r="AH83">
            <v>331045.97923655517</v>
          </cell>
          <cell r="AI83">
            <v>348887.15466766409</v>
          </cell>
          <cell r="AJ83">
            <v>760710.19456242886</v>
          </cell>
          <cell r="AK83">
            <v>733313.00025126268</v>
          </cell>
          <cell r="AL83">
            <v>408883.55598545686</v>
          </cell>
          <cell r="AM83">
            <v>283547.53302790748</v>
          </cell>
          <cell r="AN83">
            <v>237778.05642112548</v>
          </cell>
          <cell r="AO83">
            <v>1043015.1266659508</v>
          </cell>
          <cell r="AP83">
            <v>946824.33618798805</v>
          </cell>
          <cell r="AQ83">
            <v>440427.11044838041</v>
          </cell>
          <cell r="AR83">
            <v>259286.95249691932</v>
          </cell>
          <cell r="AS83">
            <v>145037.96927718978</v>
          </cell>
          <cell r="AT83">
            <v>1383836.4757842531</v>
          </cell>
          <cell r="AU83">
            <v>1200463.2336319592</v>
          </cell>
          <cell r="AV83">
            <v>493959.77066876448</v>
          </cell>
          <cell r="AW83">
            <v>256889.61764359201</v>
          </cell>
          <cell r="AX83">
            <v>70233.914959221584</v>
          </cell>
          <cell r="AY83">
            <v>1780413.5844228698</v>
          </cell>
          <cell r="AZ83">
            <v>1490328.1522071965</v>
          </cell>
          <cell r="BA83">
            <v>570157.64822813903</v>
          </cell>
          <cell r="BB83">
            <v>278280.52264165337</v>
          </cell>
          <cell r="BC83">
            <v>16391.366709533468</v>
          </cell>
          <cell r="BD83">
            <v>2253929.2825313937</v>
          </cell>
          <cell r="BE83">
            <v>1823508.2524853973</v>
          </cell>
        </row>
        <row r="84">
          <cell r="A84" t="str">
            <v>Working capital</v>
          </cell>
          <cell r="G84">
            <v>277648</v>
          </cell>
          <cell r="L84">
            <v>246856</v>
          </cell>
          <cell r="M84">
            <v>269334</v>
          </cell>
          <cell r="N84">
            <v>263456</v>
          </cell>
          <cell r="O84">
            <v>273753</v>
          </cell>
          <cell r="P84">
            <v>286914</v>
          </cell>
          <cell r="Q84">
            <v>286914</v>
          </cell>
          <cell r="R84">
            <v>276629</v>
          </cell>
          <cell r="S84">
            <v>263675</v>
          </cell>
          <cell r="T84">
            <v>348328</v>
          </cell>
          <cell r="U84">
            <v>347806</v>
          </cell>
          <cell r="V84">
            <v>347806</v>
          </cell>
          <cell r="W84">
            <v>396991</v>
          </cell>
          <cell r="X84">
            <v>399070.41409435065</v>
          </cell>
          <cell r="Y84">
            <v>429891</v>
          </cell>
          <cell r="Z84">
            <v>463488.63930885529</v>
          </cell>
          <cell r="AA84">
            <v>464371.63930885529</v>
          </cell>
          <cell r="AB84">
            <v>459957.42928113544</v>
          </cell>
          <cell r="AC84">
            <v>465339.70763175655</v>
          </cell>
          <cell r="AD84">
            <v>539962.65580240218</v>
          </cell>
          <cell r="AE84">
            <v>673495.20439496578</v>
          </cell>
          <cell r="AF84">
            <v>674378.20439496578</v>
          </cell>
          <cell r="AG84">
            <v>476851.54767806968</v>
          </cell>
          <cell r="AH84">
            <v>406045.97923655517</v>
          </cell>
          <cell r="AI84">
            <v>423887.15466766409</v>
          </cell>
          <cell r="AJ84">
            <v>835710.19456242886</v>
          </cell>
          <cell r="AK84">
            <v>857138.12186941341</v>
          </cell>
          <cell r="AL84">
            <v>483883.55598545686</v>
          </cell>
          <cell r="AM84">
            <v>358547.53302790748</v>
          </cell>
          <cell r="AN84">
            <v>312778.05642112548</v>
          </cell>
          <cell r="AO84">
            <v>1118015.1266659508</v>
          </cell>
          <cell r="AP84">
            <v>1090304.9673523717</v>
          </cell>
          <cell r="AQ84">
            <v>515427.11044838041</v>
          </cell>
          <cell r="AR84">
            <v>334286.95249691932</v>
          </cell>
          <cell r="AS84">
            <v>220037.96927718978</v>
          </cell>
          <cell r="AT84">
            <v>1458836.4757842531</v>
          </cell>
          <cell r="AU84">
            <v>1363122.505892233</v>
          </cell>
          <cell r="AV84">
            <v>568959.77066876448</v>
          </cell>
          <cell r="AW84">
            <v>331889.61764359201</v>
          </cell>
          <cell r="AX84">
            <v>145233.91495922158</v>
          </cell>
          <cell r="AY84">
            <v>1855413.5844228698</v>
          </cell>
          <cell r="AZ84">
            <v>1671652.2532345937</v>
          </cell>
          <cell r="BA84">
            <v>645157.64822813903</v>
          </cell>
          <cell r="BB84">
            <v>353280.52264165337</v>
          </cell>
          <cell r="BC84">
            <v>91391.366709533468</v>
          </cell>
          <cell r="BD84">
            <v>2328929.2825313937</v>
          </cell>
          <cell r="BE84">
            <v>2037633.9014579998</v>
          </cell>
        </row>
        <row r="85">
          <cell r="A85" t="str">
            <v>Proceeds from financing</v>
          </cell>
          <cell r="G85">
            <v>0</v>
          </cell>
          <cell r="L85">
            <v>15545</v>
          </cell>
          <cell r="M85">
            <v>24167</v>
          </cell>
          <cell r="N85">
            <v>23333</v>
          </cell>
          <cell r="O85">
            <v>29132</v>
          </cell>
          <cell r="P85">
            <v>32826</v>
          </cell>
          <cell r="Q85">
            <v>73952</v>
          </cell>
          <cell r="R85">
            <v>11455</v>
          </cell>
          <cell r="S85">
            <v>24650</v>
          </cell>
          <cell r="T85">
            <v>35891</v>
          </cell>
          <cell r="U85">
            <v>29428</v>
          </cell>
          <cell r="V85">
            <v>51774</v>
          </cell>
          <cell r="W85">
            <v>23328</v>
          </cell>
          <cell r="X85">
            <v>7071.4140943506118</v>
          </cell>
          <cell r="Y85">
            <v>2872.284205124065</v>
          </cell>
          <cell r="Z85">
            <v>29330.639308855294</v>
          </cell>
          <cell r="AA85">
            <v>30213.639308855294</v>
          </cell>
          <cell r="AB85">
            <v>3548.9238587609834</v>
          </cell>
          <cell r="AC85">
            <v>6105.8477175219668</v>
          </cell>
          <cell r="AD85">
            <v>22506.77157628295</v>
          </cell>
          <cell r="AE85">
            <v>13327.695435043934</v>
          </cell>
          <cell r="AF85">
            <v>13327.695435043934</v>
          </cell>
          <cell r="AG85">
            <v>-61108</v>
          </cell>
          <cell r="AH85">
            <v>-61108</v>
          </cell>
          <cell r="AI85">
            <v>-61108</v>
          </cell>
          <cell r="AJ85">
            <v>-61108</v>
          </cell>
          <cell r="AK85">
            <v>14336.927306984548</v>
          </cell>
          <cell r="AL85">
            <v>-56200</v>
          </cell>
          <cell r="AM85">
            <v>-56200</v>
          </cell>
          <cell r="AN85">
            <v>-56200</v>
          </cell>
          <cell r="AO85">
            <v>-56200</v>
          </cell>
          <cell r="AP85">
            <v>11687.034997587125</v>
          </cell>
          <cell r="AQ85">
            <v>-51300</v>
          </cell>
          <cell r="AR85">
            <v>-51300</v>
          </cell>
          <cell r="AS85">
            <v>-51300</v>
          </cell>
          <cell r="AT85">
            <v>-51300</v>
          </cell>
          <cell r="AU85">
            <v>17376.820585942518</v>
          </cell>
          <cell r="AV85">
            <v>-51300</v>
          </cell>
          <cell r="AW85">
            <v>-51300</v>
          </cell>
          <cell r="AX85">
            <v>-51300</v>
          </cell>
          <cell r="AY85">
            <v>-51300</v>
          </cell>
          <cell r="AZ85">
            <v>16511.910964017778</v>
          </cell>
          <cell r="BA85">
            <v>-51300</v>
          </cell>
          <cell r="BB85">
            <v>-51300</v>
          </cell>
          <cell r="BC85">
            <v>-51300</v>
          </cell>
          <cell r="BD85">
            <v>-51300</v>
          </cell>
          <cell r="BE85">
            <v>15690.051142279337</v>
          </cell>
        </row>
        <row r="86">
          <cell r="A86" t="str">
            <v>Capital expenditures</v>
          </cell>
          <cell r="G86">
            <v>0</v>
          </cell>
          <cell r="L86">
            <v>40540</v>
          </cell>
          <cell r="M86">
            <v>9970</v>
          </cell>
          <cell r="N86">
            <v>0</v>
          </cell>
          <cell r="O86">
            <v>0</v>
          </cell>
          <cell r="P86">
            <v>0</v>
          </cell>
          <cell r="Q86">
            <v>47998</v>
          </cell>
          <cell r="R86">
            <v>15112</v>
          </cell>
          <cell r="S86">
            <v>35565</v>
          </cell>
          <cell r="T86">
            <v>50613</v>
          </cell>
          <cell r="U86">
            <v>62030</v>
          </cell>
          <cell r="V86">
            <v>62030</v>
          </cell>
          <cell r="W86">
            <v>15000</v>
          </cell>
          <cell r="X86">
            <v>30000</v>
          </cell>
          <cell r="Y86">
            <v>45000</v>
          </cell>
          <cell r="Z86">
            <v>60000</v>
          </cell>
          <cell r="AA86">
            <v>40000</v>
          </cell>
          <cell r="AB86">
            <v>15000</v>
          </cell>
          <cell r="AC86">
            <v>30000</v>
          </cell>
          <cell r="AD86">
            <v>45000</v>
          </cell>
          <cell r="AE86">
            <v>60000</v>
          </cell>
          <cell r="AF86">
            <v>60000</v>
          </cell>
          <cell r="AG86">
            <v>60000</v>
          </cell>
          <cell r="AH86">
            <v>60000</v>
          </cell>
          <cell r="AI86">
            <v>60000</v>
          </cell>
          <cell r="AJ86">
            <v>60000</v>
          </cell>
          <cell r="AK86">
            <v>60000</v>
          </cell>
          <cell r="AL86">
            <v>60000</v>
          </cell>
          <cell r="AM86">
            <v>60000</v>
          </cell>
          <cell r="AN86">
            <v>60000</v>
          </cell>
          <cell r="AO86">
            <v>60000</v>
          </cell>
          <cell r="AP86">
            <v>60000</v>
          </cell>
          <cell r="AQ86">
            <v>60000</v>
          </cell>
          <cell r="AR86">
            <v>60000</v>
          </cell>
          <cell r="AS86">
            <v>60000</v>
          </cell>
          <cell r="AT86">
            <v>60000</v>
          </cell>
          <cell r="AU86">
            <v>60000</v>
          </cell>
          <cell r="AV86">
            <v>60000</v>
          </cell>
          <cell r="AW86">
            <v>60000</v>
          </cell>
          <cell r="AX86">
            <v>60000</v>
          </cell>
          <cell r="AY86">
            <v>60000</v>
          </cell>
          <cell r="AZ86">
            <v>60000</v>
          </cell>
          <cell r="BA86">
            <v>60000</v>
          </cell>
          <cell r="BB86">
            <v>60000</v>
          </cell>
          <cell r="BC86">
            <v>60000</v>
          </cell>
          <cell r="BD86">
            <v>60000</v>
          </cell>
          <cell r="BE86">
            <v>60000</v>
          </cell>
        </row>
        <row r="87">
          <cell r="A87" t="str">
            <v>Cash flow</v>
          </cell>
          <cell r="G87">
            <v>136418</v>
          </cell>
          <cell r="L87">
            <v>-19864</v>
          </cell>
          <cell r="M87">
            <v>25291</v>
          </cell>
          <cell r="N87">
            <v>28483</v>
          </cell>
          <cell r="O87">
            <v>33924</v>
          </cell>
          <cell r="P87">
            <v>30245</v>
          </cell>
          <cell r="Q87">
            <v>-8912</v>
          </cell>
          <cell r="R87">
            <v>-13281</v>
          </cell>
          <cell r="S87">
            <v>4288</v>
          </cell>
          <cell r="T87">
            <v>16840</v>
          </cell>
          <cell r="U87">
            <v>13937</v>
          </cell>
          <cell r="V87">
            <v>275611</v>
          </cell>
          <cell r="W87">
            <v>40692</v>
          </cell>
          <cell r="X87">
            <v>28068.302983239504</v>
          </cell>
          <cell r="Y87">
            <v>20943.284205124066</v>
          </cell>
          <cell r="Z87">
            <v>77043.196386480879</v>
          </cell>
          <cell r="AA87">
            <v>77926.196386480879</v>
          </cell>
          <cell r="AB87">
            <v>85969.018322231306</v>
          </cell>
          <cell r="AC87">
            <v>79817.232987558149</v>
          </cell>
          <cell r="AD87">
            <v>162560.85157673009</v>
          </cell>
          <cell r="AE87">
            <v>174197.68490574521</v>
          </cell>
          <cell r="AF87">
            <v>174197.68490574521</v>
          </cell>
          <cell r="AG87">
            <v>-46190.470644161614</v>
          </cell>
          <cell r="AH87">
            <v>-98220.556734242477</v>
          </cell>
          <cell r="AI87">
            <v>-155997.9811141901</v>
          </cell>
          <cell r="AJ87">
            <v>188088.3132702029</v>
          </cell>
          <cell r="AK87">
            <v>159808.11895903671</v>
          </cell>
          <cell r="AL87">
            <v>7032.0083073871792</v>
          </cell>
          <cell r="AM87">
            <v>-47498.446208647671</v>
          </cell>
          <cell r="AN87">
            <v>-111109.09824653859</v>
          </cell>
          <cell r="AO87">
            <v>282304.93210352189</v>
          </cell>
          <cell r="AP87">
            <v>213511.3359367254</v>
          </cell>
          <cell r="AQ87">
            <v>31543.554462923552</v>
          </cell>
          <cell r="AR87">
            <v>-24260.580530988183</v>
          </cell>
          <cell r="AS87">
            <v>-92740.0871439357</v>
          </cell>
          <cell r="AT87">
            <v>340821.3491183024</v>
          </cell>
          <cell r="AU87">
            <v>253638.89744397101</v>
          </cell>
          <cell r="AV87">
            <v>53532.660220384103</v>
          </cell>
          <cell r="AW87">
            <v>-2397.3348533273238</v>
          </cell>
          <cell r="AX87">
            <v>-74804.054317968199</v>
          </cell>
          <cell r="AY87">
            <v>396577.10863861674</v>
          </cell>
          <cell r="AZ87">
            <v>289864.91857523727</v>
          </cell>
          <cell r="BA87">
            <v>76197.877559374552</v>
          </cell>
          <cell r="BB87">
            <v>21390.904998061364</v>
          </cell>
          <cell r="BC87">
            <v>-53842.548249688116</v>
          </cell>
          <cell r="BD87">
            <v>473515.69810852408</v>
          </cell>
          <cell r="BE87">
            <v>333180.10027820076</v>
          </cell>
        </row>
        <row r="90">
          <cell r="A90" t="str">
            <v>Revenue Model</v>
          </cell>
        </row>
        <row r="91">
          <cell r="G91">
            <v>1993</v>
          </cell>
          <cell r="H91" t="str">
            <v>Q1:94</v>
          </cell>
          <cell r="I91" t="str">
            <v>Q2:94</v>
          </cell>
          <cell r="J91" t="str">
            <v>Q3:94</v>
          </cell>
          <cell r="K91" t="str">
            <v>Q4:94</v>
          </cell>
          <cell r="L91">
            <v>1994</v>
          </cell>
          <cell r="M91" t="str">
            <v>Q1:95</v>
          </cell>
          <cell r="N91" t="str">
            <v>Q2:95</v>
          </cell>
          <cell r="O91" t="str">
            <v>Q3:95</v>
          </cell>
          <cell r="P91" t="str">
            <v>Q4:95</v>
          </cell>
          <cell r="Q91">
            <v>1995</v>
          </cell>
          <cell r="R91" t="str">
            <v>Q1</v>
          </cell>
          <cell r="S91" t="str">
            <v>Q2</v>
          </cell>
          <cell r="T91" t="str">
            <v>Q3</v>
          </cell>
          <cell r="U91" t="str">
            <v>Q4</v>
          </cell>
          <cell r="V91">
            <v>1996</v>
          </cell>
          <cell r="W91" t="str">
            <v>Q1</v>
          </cell>
          <cell r="X91" t="str">
            <v>Q2</v>
          </cell>
          <cell r="Y91" t="str">
            <v>Q3</v>
          </cell>
          <cell r="Z91" t="str">
            <v>Q4</v>
          </cell>
          <cell r="AA91">
            <v>1997</v>
          </cell>
          <cell r="AB91" t="str">
            <v>Q1</v>
          </cell>
          <cell r="AC91" t="str">
            <v>Q2</v>
          </cell>
          <cell r="AD91" t="str">
            <v>Q3</v>
          </cell>
          <cell r="AE91" t="str">
            <v>Q4E</v>
          </cell>
          <cell r="AF91" t="str">
            <v>1998E</v>
          </cell>
          <cell r="AG91" t="str">
            <v>Q1</v>
          </cell>
          <cell r="AH91" t="str">
            <v>Q2</v>
          </cell>
          <cell r="AI91" t="str">
            <v>Q3</v>
          </cell>
          <cell r="AJ91" t="str">
            <v>Q4</v>
          </cell>
          <cell r="AK91" t="str">
            <v>1999E</v>
          </cell>
          <cell r="AL91" t="str">
            <v>Q1</v>
          </cell>
          <cell r="AM91" t="str">
            <v>Q2</v>
          </cell>
          <cell r="AN91" t="str">
            <v>Q3</v>
          </cell>
          <cell r="AO91" t="str">
            <v>Q4</v>
          </cell>
          <cell r="AP91" t="str">
            <v>2000E</v>
          </cell>
          <cell r="AQ91" t="str">
            <v>Q1</v>
          </cell>
          <cell r="AR91" t="str">
            <v>Q2</v>
          </cell>
          <cell r="AS91" t="str">
            <v>Q3</v>
          </cell>
          <cell r="AT91" t="str">
            <v>Q4</v>
          </cell>
          <cell r="AU91" t="str">
            <v>2001E</v>
          </cell>
          <cell r="AV91" t="str">
            <v>Q1</v>
          </cell>
          <cell r="AW91" t="str">
            <v>Q2</v>
          </cell>
          <cell r="AX91" t="str">
            <v>Q3</v>
          </cell>
          <cell r="AY91" t="str">
            <v>Q4</v>
          </cell>
          <cell r="AZ91" t="str">
            <v>2002E</v>
          </cell>
          <cell r="BA91" t="str">
            <v>Q1</v>
          </cell>
          <cell r="BB91" t="str">
            <v>Q2</v>
          </cell>
          <cell r="BC91" t="str">
            <v>Q3</v>
          </cell>
          <cell r="BD91" t="str">
            <v>Q4</v>
          </cell>
          <cell r="BE91" t="str">
            <v>2003E</v>
          </cell>
        </row>
        <row r="92">
          <cell r="A92" t="str">
            <v>Avonex, U.S.</v>
          </cell>
        </row>
        <row r="93">
          <cell r="B93" t="str">
            <v>Patient population</v>
          </cell>
          <cell r="L93">
            <v>250000</v>
          </cell>
          <cell r="M93">
            <v>350000</v>
          </cell>
          <cell r="Q93">
            <v>350000</v>
          </cell>
          <cell r="R93">
            <v>350000</v>
          </cell>
          <cell r="S93">
            <v>350000</v>
          </cell>
          <cell r="T93">
            <v>350000</v>
          </cell>
          <cell r="U93">
            <v>350000</v>
          </cell>
          <cell r="V93">
            <v>350000</v>
          </cell>
          <cell r="W93">
            <v>350000</v>
          </cell>
          <cell r="X93">
            <v>350000</v>
          </cell>
          <cell r="Y93">
            <v>350000</v>
          </cell>
          <cell r="Z93">
            <v>350000</v>
          </cell>
          <cell r="AA93">
            <v>350000</v>
          </cell>
          <cell r="AB93">
            <v>350000</v>
          </cell>
          <cell r="AC93">
            <v>350000</v>
          </cell>
          <cell r="AD93">
            <v>350000</v>
          </cell>
          <cell r="AE93">
            <v>350000</v>
          </cell>
          <cell r="AF93">
            <v>350000</v>
          </cell>
          <cell r="AG93">
            <v>350000</v>
          </cell>
          <cell r="AH93">
            <v>350000</v>
          </cell>
          <cell r="AI93">
            <v>350000</v>
          </cell>
          <cell r="AJ93">
            <v>350000</v>
          </cell>
          <cell r="AK93">
            <v>350000</v>
          </cell>
          <cell r="AL93">
            <v>350000</v>
          </cell>
          <cell r="AM93">
            <v>350000</v>
          </cell>
          <cell r="AN93">
            <v>350000</v>
          </cell>
          <cell r="AO93">
            <v>350000</v>
          </cell>
          <cell r="AP93">
            <v>350000</v>
          </cell>
          <cell r="AQ93">
            <v>350000</v>
          </cell>
          <cell r="AR93">
            <v>350000</v>
          </cell>
          <cell r="AS93">
            <v>350000</v>
          </cell>
          <cell r="AT93">
            <v>350000</v>
          </cell>
          <cell r="AU93">
            <v>350000</v>
          </cell>
          <cell r="AV93">
            <v>350000</v>
          </cell>
          <cell r="AW93">
            <v>350000</v>
          </cell>
          <cell r="AX93">
            <v>350000</v>
          </cell>
          <cell r="AY93">
            <v>350000</v>
          </cell>
          <cell r="AZ93">
            <v>350000</v>
          </cell>
          <cell r="BA93">
            <v>350000</v>
          </cell>
          <cell r="BB93">
            <v>350000</v>
          </cell>
          <cell r="BC93">
            <v>350000</v>
          </cell>
          <cell r="BD93">
            <v>350000</v>
          </cell>
          <cell r="BE93">
            <v>350000</v>
          </cell>
        </row>
        <row r="94">
          <cell r="C94" t="str">
            <v>Growth rate</v>
          </cell>
        </row>
        <row r="95">
          <cell r="B95" t="str">
            <v>Percent of patients eligible</v>
          </cell>
          <cell r="L95">
            <v>0.5</v>
          </cell>
          <cell r="M95">
            <v>0.35</v>
          </cell>
          <cell r="Q95">
            <v>0.35</v>
          </cell>
          <cell r="R95">
            <v>0.5</v>
          </cell>
          <cell r="S95">
            <v>0.5</v>
          </cell>
          <cell r="T95">
            <v>0.5</v>
          </cell>
          <cell r="U95">
            <v>0.5</v>
          </cell>
          <cell r="V95">
            <v>0.35</v>
          </cell>
          <cell r="W95">
            <v>0.35</v>
          </cell>
          <cell r="X95">
            <v>0.35</v>
          </cell>
          <cell r="Y95">
            <v>0.35</v>
          </cell>
          <cell r="Z95">
            <v>0.35</v>
          </cell>
          <cell r="AA95">
            <v>0.35</v>
          </cell>
          <cell r="AB95">
            <v>0.35</v>
          </cell>
          <cell r="AC95">
            <v>0.35</v>
          </cell>
          <cell r="AD95">
            <v>0.35</v>
          </cell>
          <cell r="AE95">
            <v>0.35</v>
          </cell>
          <cell r="AF95">
            <v>0.35</v>
          </cell>
          <cell r="AG95">
            <v>0.35</v>
          </cell>
          <cell r="AH95">
            <v>0.35</v>
          </cell>
          <cell r="AI95">
            <v>0.35</v>
          </cell>
          <cell r="AJ95">
            <v>0.35</v>
          </cell>
          <cell r="AK95">
            <v>0.35</v>
          </cell>
          <cell r="AL95">
            <v>0.35</v>
          </cell>
          <cell r="AM95">
            <v>0.35</v>
          </cell>
          <cell r="AN95">
            <v>0.35</v>
          </cell>
          <cell r="AO95">
            <v>0.35</v>
          </cell>
          <cell r="AP95">
            <v>0.35</v>
          </cell>
          <cell r="AQ95">
            <v>0.35</v>
          </cell>
          <cell r="AR95">
            <v>0.35</v>
          </cell>
          <cell r="AS95">
            <v>0.35</v>
          </cell>
          <cell r="AT95">
            <v>0.35</v>
          </cell>
          <cell r="AU95">
            <v>0.35</v>
          </cell>
          <cell r="AV95">
            <v>0.35</v>
          </cell>
          <cell r="AW95">
            <v>0.35</v>
          </cell>
          <cell r="AX95">
            <v>0.35</v>
          </cell>
          <cell r="AY95">
            <v>0.35</v>
          </cell>
          <cell r="AZ95">
            <v>0.35</v>
          </cell>
          <cell r="BA95">
            <v>0.35</v>
          </cell>
          <cell r="BB95">
            <v>0.35</v>
          </cell>
          <cell r="BC95">
            <v>0.35</v>
          </cell>
          <cell r="BD95">
            <v>0.35</v>
          </cell>
          <cell r="BE95">
            <v>0.35</v>
          </cell>
        </row>
        <row r="96">
          <cell r="B96" t="str">
            <v>Patients eligible</v>
          </cell>
          <cell r="L96">
            <v>125000</v>
          </cell>
          <cell r="M96">
            <v>122499.99999999999</v>
          </cell>
          <cell r="Q96">
            <v>122499.99999999999</v>
          </cell>
          <cell r="R96">
            <v>175000</v>
          </cell>
          <cell r="S96">
            <v>175000</v>
          </cell>
          <cell r="T96">
            <v>175000</v>
          </cell>
          <cell r="U96">
            <v>175000</v>
          </cell>
          <cell r="V96">
            <v>122499.99999999999</v>
          </cell>
          <cell r="W96">
            <v>122499.99999999999</v>
          </cell>
          <cell r="X96">
            <v>122499.99999999999</v>
          </cell>
          <cell r="Y96">
            <v>122499.99999999999</v>
          </cell>
          <cell r="Z96">
            <v>122499.99999999999</v>
          </cell>
          <cell r="AA96">
            <v>122499.99999999999</v>
          </cell>
          <cell r="AB96">
            <v>122499.99999999999</v>
          </cell>
          <cell r="AC96">
            <v>122499.99999999999</v>
          </cell>
          <cell r="AD96">
            <v>122499.99999999999</v>
          </cell>
          <cell r="AE96">
            <v>122499.99999999999</v>
          </cell>
          <cell r="AF96">
            <v>122499.99999999999</v>
          </cell>
          <cell r="AG96">
            <v>122499.99999999999</v>
          </cell>
          <cell r="AH96">
            <v>122499.99999999999</v>
          </cell>
          <cell r="AI96">
            <v>122499.99999999999</v>
          </cell>
          <cell r="AJ96">
            <v>122499.99999999999</v>
          </cell>
          <cell r="AK96">
            <v>122499.99999999999</v>
          </cell>
          <cell r="AL96">
            <v>122499.99999999999</v>
          </cell>
          <cell r="AM96">
            <v>122499.99999999999</v>
          </cell>
          <cell r="AN96">
            <v>122499.99999999999</v>
          </cell>
          <cell r="AO96">
            <v>122499.99999999999</v>
          </cell>
          <cell r="AP96">
            <v>122499.99999999999</v>
          </cell>
          <cell r="AQ96">
            <v>122499.99999999999</v>
          </cell>
          <cell r="AR96">
            <v>122499.99999999999</v>
          </cell>
          <cell r="AS96">
            <v>122499.99999999999</v>
          </cell>
          <cell r="AT96">
            <v>122499.99999999999</v>
          </cell>
          <cell r="AU96">
            <v>122499.99999999999</v>
          </cell>
          <cell r="AV96">
            <v>122499.99999999999</v>
          </cell>
          <cell r="AW96">
            <v>122499.99999999999</v>
          </cell>
          <cell r="AX96">
            <v>122499.99999999999</v>
          </cell>
          <cell r="AY96">
            <v>122499.99999999999</v>
          </cell>
          <cell r="AZ96">
            <v>122499.99999999999</v>
          </cell>
          <cell r="BA96">
            <v>122499.99999999999</v>
          </cell>
          <cell r="BB96">
            <v>122499.99999999999</v>
          </cell>
          <cell r="BC96">
            <v>122499.99999999999</v>
          </cell>
          <cell r="BD96">
            <v>122499.99999999999</v>
          </cell>
          <cell r="BE96">
            <v>122499.99999999999</v>
          </cell>
        </row>
        <row r="97">
          <cell r="B97" t="str">
            <v>Market share, percent</v>
          </cell>
          <cell r="S97">
            <v>4.5714285714285714E-2</v>
          </cell>
          <cell r="T97">
            <v>0.08</v>
          </cell>
          <cell r="U97">
            <v>0.12285714285714286</v>
          </cell>
          <cell r="V97">
            <v>0.17551020408163268</v>
          </cell>
          <cell r="W97">
            <v>0.19591836734693879</v>
          </cell>
          <cell r="X97">
            <v>0.22040816326530616</v>
          </cell>
          <cell r="Y97">
            <v>0.23673469387755106</v>
          </cell>
          <cell r="Z97">
            <v>0.24897959183673474</v>
          </cell>
          <cell r="AA97">
            <v>0.22551020408163269</v>
          </cell>
          <cell r="AB97">
            <v>0.255</v>
          </cell>
          <cell r="AC97">
            <v>0.26250000000000001</v>
          </cell>
          <cell r="AD97">
            <v>0.32112172869147659</v>
          </cell>
          <cell r="AE97">
            <v>0.33</v>
          </cell>
          <cell r="AF97">
            <v>0.29215543217286916</v>
          </cell>
          <cell r="AG97">
            <v>0</v>
          </cell>
          <cell r="AH97">
            <v>0</v>
          </cell>
          <cell r="AI97">
            <v>0</v>
          </cell>
          <cell r="AJ97">
            <v>0</v>
          </cell>
          <cell r="AK97">
            <v>0.33297175870348139</v>
          </cell>
          <cell r="AL97">
            <v>0</v>
          </cell>
          <cell r="AM97">
            <v>0</v>
          </cell>
          <cell r="AN97">
            <v>0</v>
          </cell>
          <cell r="AO97">
            <v>0</v>
          </cell>
          <cell r="AP97">
            <v>0.36358400360144061</v>
          </cell>
          <cell r="AQ97">
            <v>0</v>
          </cell>
          <cell r="AR97">
            <v>0</v>
          </cell>
          <cell r="AS97">
            <v>0</v>
          </cell>
          <cell r="AT97">
            <v>0</v>
          </cell>
          <cell r="AU97">
            <v>0.39419624849939977</v>
          </cell>
          <cell r="AV97">
            <v>0</v>
          </cell>
          <cell r="AW97">
            <v>0</v>
          </cell>
          <cell r="AX97">
            <v>0</v>
          </cell>
          <cell r="AY97">
            <v>0</v>
          </cell>
          <cell r="AZ97">
            <v>0.42276767707082835</v>
          </cell>
          <cell r="BA97">
            <v>0</v>
          </cell>
          <cell r="BB97">
            <v>0</v>
          </cell>
          <cell r="BC97">
            <v>0</v>
          </cell>
          <cell r="BD97">
            <v>0</v>
          </cell>
          <cell r="BE97">
            <v>0.44929828931572635</v>
          </cell>
        </row>
        <row r="98">
          <cell r="B98" t="str">
            <v>Market share, patients</v>
          </cell>
          <cell r="L98">
            <v>0</v>
          </cell>
          <cell r="Q98">
            <v>0</v>
          </cell>
          <cell r="R98">
            <v>0</v>
          </cell>
          <cell r="S98">
            <v>8000</v>
          </cell>
          <cell r="T98">
            <v>14000</v>
          </cell>
          <cell r="U98">
            <v>21500</v>
          </cell>
          <cell r="V98">
            <v>21500</v>
          </cell>
          <cell r="W98">
            <v>24000</v>
          </cell>
          <cell r="X98">
            <v>27000</v>
          </cell>
          <cell r="Y98">
            <v>29000</v>
          </cell>
          <cell r="Z98">
            <v>30500</v>
          </cell>
          <cell r="AA98">
            <v>27625</v>
          </cell>
          <cell r="AB98">
            <v>31237.499999999996</v>
          </cell>
          <cell r="AC98">
            <v>32156.249999999996</v>
          </cell>
          <cell r="AD98">
            <v>39337.411764705881</v>
          </cell>
          <cell r="AE98">
            <v>40425</v>
          </cell>
          <cell r="AF98">
            <v>35789.040441176468</v>
          </cell>
          <cell r="AG98">
            <v>0</v>
          </cell>
          <cell r="AH98">
            <v>0</v>
          </cell>
          <cell r="AI98">
            <v>0</v>
          </cell>
          <cell r="AJ98">
            <v>0</v>
          </cell>
          <cell r="AK98">
            <v>40789.040441176468</v>
          </cell>
          <cell r="AL98">
            <v>0</v>
          </cell>
          <cell r="AM98">
            <v>0</v>
          </cell>
          <cell r="AN98">
            <v>0</v>
          </cell>
          <cell r="AO98">
            <v>0</v>
          </cell>
          <cell r="AP98">
            <v>44539.040441176468</v>
          </cell>
          <cell r="AQ98">
            <v>0</v>
          </cell>
          <cell r="AR98">
            <v>0</v>
          </cell>
          <cell r="AS98">
            <v>0</v>
          </cell>
          <cell r="AT98">
            <v>0</v>
          </cell>
          <cell r="AU98">
            <v>48289.040441176468</v>
          </cell>
          <cell r="AV98">
            <v>0</v>
          </cell>
          <cell r="AW98">
            <v>0</v>
          </cell>
          <cell r="AX98">
            <v>0</v>
          </cell>
          <cell r="AY98">
            <v>0</v>
          </cell>
          <cell r="AZ98">
            <v>51789.040441176468</v>
          </cell>
          <cell r="BA98">
            <v>0</v>
          </cell>
          <cell r="BB98">
            <v>0</v>
          </cell>
          <cell r="BC98">
            <v>0</v>
          </cell>
          <cell r="BD98">
            <v>0</v>
          </cell>
          <cell r="BE98">
            <v>55039.040441176468</v>
          </cell>
        </row>
        <row r="99">
          <cell r="C99" t="str">
            <v>Patients added</v>
          </cell>
          <cell r="Q99">
            <v>0</v>
          </cell>
          <cell r="R99">
            <v>0</v>
          </cell>
          <cell r="S99">
            <v>8000</v>
          </cell>
          <cell r="T99">
            <v>6000</v>
          </cell>
          <cell r="U99">
            <v>7500</v>
          </cell>
          <cell r="V99">
            <v>21500</v>
          </cell>
          <cell r="W99">
            <v>2500</v>
          </cell>
          <cell r="X99">
            <v>3000</v>
          </cell>
          <cell r="Y99">
            <v>2000</v>
          </cell>
          <cell r="Z99">
            <v>1500</v>
          </cell>
          <cell r="AA99">
            <v>9000</v>
          </cell>
          <cell r="AB99">
            <v>737.49999999999636</v>
          </cell>
          <cell r="AC99">
            <v>918.75</v>
          </cell>
          <cell r="AD99">
            <v>7181.1617647058847</v>
          </cell>
          <cell r="AE99">
            <v>1087.5882352941189</v>
          </cell>
          <cell r="AF99">
            <v>8164.0404411764684</v>
          </cell>
          <cell r="AK99">
            <v>5000</v>
          </cell>
          <cell r="AP99">
            <v>3750</v>
          </cell>
          <cell r="AU99">
            <v>3750</v>
          </cell>
          <cell r="AZ99">
            <v>3500</v>
          </cell>
          <cell r="BE99">
            <v>3250</v>
          </cell>
        </row>
        <row r="100">
          <cell r="C100" t="str">
            <v>Price per period</v>
          </cell>
          <cell r="Q100">
            <v>0</v>
          </cell>
          <cell r="R100">
            <v>0</v>
          </cell>
          <cell r="S100">
            <v>2125</v>
          </cell>
          <cell r="T100">
            <v>2125</v>
          </cell>
          <cell r="U100">
            <v>2125</v>
          </cell>
          <cell r="V100">
            <v>8700</v>
          </cell>
          <cell r="W100">
            <v>2125</v>
          </cell>
          <cell r="X100">
            <v>2125</v>
          </cell>
          <cell r="Y100">
            <v>2125</v>
          </cell>
          <cell r="Z100">
            <v>2125</v>
          </cell>
          <cell r="AA100">
            <v>8500</v>
          </cell>
          <cell r="AB100">
            <v>2125</v>
          </cell>
          <cell r="AC100">
            <v>2125</v>
          </cell>
          <cell r="AD100">
            <v>2125</v>
          </cell>
          <cell r="AE100">
            <v>2125</v>
          </cell>
          <cell r="AF100">
            <v>8500</v>
          </cell>
          <cell r="AG100">
            <v>8500</v>
          </cell>
          <cell r="AH100">
            <v>8500</v>
          </cell>
          <cell r="AI100">
            <v>8500</v>
          </cell>
          <cell r="AJ100">
            <v>8500</v>
          </cell>
          <cell r="AK100">
            <v>8500</v>
          </cell>
          <cell r="AL100">
            <v>8500</v>
          </cell>
          <cell r="AM100">
            <v>8500</v>
          </cell>
          <cell r="AN100">
            <v>8500</v>
          </cell>
          <cell r="AO100">
            <v>8500</v>
          </cell>
          <cell r="AP100">
            <v>8500</v>
          </cell>
          <cell r="AQ100">
            <v>8500</v>
          </cell>
          <cell r="AR100">
            <v>8500</v>
          </cell>
          <cell r="AS100">
            <v>8500</v>
          </cell>
          <cell r="AT100">
            <v>8500</v>
          </cell>
          <cell r="AU100">
            <v>8500</v>
          </cell>
          <cell r="AV100">
            <v>8500</v>
          </cell>
          <cell r="AW100">
            <v>8500</v>
          </cell>
          <cell r="AX100">
            <v>8500</v>
          </cell>
          <cell r="AY100">
            <v>8500</v>
          </cell>
          <cell r="AZ100">
            <v>8500</v>
          </cell>
          <cell r="BA100">
            <v>8500</v>
          </cell>
          <cell r="BB100">
            <v>8500</v>
          </cell>
          <cell r="BC100">
            <v>8500</v>
          </cell>
          <cell r="BD100">
            <v>8500</v>
          </cell>
          <cell r="BE100">
            <v>8500</v>
          </cell>
        </row>
        <row r="101">
          <cell r="B101" t="str">
            <v>Average price per patient</v>
          </cell>
          <cell r="S101">
            <v>0</v>
          </cell>
          <cell r="V101">
            <v>3558.2325581395348</v>
          </cell>
          <cell r="W101">
            <v>8500</v>
          </cell>
          <cell r="X101">
            <v>8500</v>
          </cell>
          <cell r="Y101">
            <v>8500</v>
          </cell>
          <cell r="Z101">
            <v>8500</v>
          </cell>
          <cell r="AA101">
            <v>8500</v>
          </cell>
          <cell r="AB101">
            <v>8500</v>
          </cell>
          <cell r="AC101">
            <v>8500</v>
          </cell>
          <cell r="AD101">
            <v>8500</v>
          </cell>
          <cell r="AE101">
            <v>8500</v>
          </cell>
          <cell r="AF101">
            <v>8500</v>
          </cell>
          <cell r="AG101">
            <v>8500</v>
          </cell>
          <cell r="AH101">
            <v>8500</v>
          </cell>
          <cell r="AI101">
            <v>8500</v>
          </cell>
          <cell r="AJ101">
            <v>8500</v>
          </cell>
          <cell r="AK101">
            <v>8500</v>
          </cell>
          <cell r="AL101">
            <v>8500</v>
          </cell>
          <cell r="AM101">
            <v>8500</v>
          </cell>
          <cell r="AN101">
            <v>8500</v>
          </cell>
          <cell r="AO101">
            <v>8500</v>
          </cell>
          <cell r="AP101">
            <v>8500</v>
          </cell>
          <cell r="AQ101">
            <v>8500</v>
          </cell>
          <cell r="AR101">
            <v>8500</v>
          </cell>
          <cell r="AS101">
            <v>8500</v>
          </cell>
          <cell r="AT101">
            <v>8500</v>
          </cell>
          <cell r="AU101">
            <v>8500</v>
          </cell>
          <cell r="AV101">
            <v>8500</v>
          </cell>
          <cell r="AW101">
            <v>8500</v>
          </cell>
          <cell r="AX101">
            <v>8500</v>
          </cell>
          <cell r="AY101">
            <v>8500</v>
          </cell>
          <cell r="AZ101">
            <v>8500</v>
          </cell>
          <cell r="BA101">
            <v>8500</v>
          </cell>
          <cell r="BB101">
            <v>8500</v>
          </cell>
          <cell r="BC101">
            <v>8500</v>
          </cell>
          <cell r="BD101">
            <v>8500</v>
          </cell>
          <cell r="BE101">
            <v>8500</v>
          </cell>
        </row>
        <row r="102">
          <cell r="B102" t="str">
            <v>Revenues, product (000s)</v>
          </cell>
          <cell r="L102">
            <v>0</v>
          </cell>
          <cell r="Q102">
            <v>0</v>
          </cell>
          <cell r="R102">
            <v>0</v>
          </cell>
          <cell r="S102">
            <v>6125</v>
          </cell>
          <cell r="T102">
            <v>27517</v>
          </cell>
          <cell r="U102">
            <v>42860</v>
          </cell>
          <cell r="V102">
            <v>76502</v>
          </cell>
          <cell r="W102">
            <v>50016</v>
          </cell>
          <cell r="X102">
            <v>55000</v>
          </cell>
          <cell r="Y102">
            <v>56800</v>
          </cell>
          <cell r="Z102">
            <v>60923.75</v>
          </cell>
          <cell r="AA102">
            <v>222739.75</v>
          </cell>
          <cell r="AB102">
            <v>63060.703124999985</v>
          </cell>
          <cell r="AC102">
            <v>68332.031249999985</v>
          </cell>
          <cell r="AD102">
            <v>83592</v>
          </cell>
          <cell r="AE102">
            <v>85903.125</v>
          </cell>
          <cell r="AF102">
            <v>300887.859375</v>
          </cell>
          <cell r="AG102">
            <v>0</v>
          </cell>
          <cell r="AH102">
            <v>0</v>
          </cell>
          <cell r="AI102">
            <v>0</v>
          </cell>
          <cell r="AJ102">
            <v>0</v>
          </cell>
          <cell r="AK102">
            <v>346706.84375</v>
          </cell>
          <cell r="AL102">
            <v>0</v>
          </cell>
          <cell r="AM102">
            <v>0</v>
          </cell>
          <cell r="AN102">
            <v>0</v>
          </cell>
          <cell r="AO102">
            <v>0</v>
          </cell>
          <cell r="AP102">
            <v>378581.84375</v>
          </cell>
          <cell r="AQ102">
            <v>0</v>
          </cell>
          <cell r="AR102">
            <v>0</v>
          </cell>
          <cell r="AS102">
            <v>0</v>
          </cell>
          <cell r="AT102">
            <v>0</v>
          </cell>
          <cell r="AU102">
            <v>410456.84375</v>
          </cell>
          <cell r="AV102">
            <v>0</v>
          </cell>
          <cell r="AW102">
            <v>0</v>
          </cell>
          <cell r="AX102">
            <v>0</v>
          </cell>
          <cell r="AY102">
            <v>0</v>
          </cell>
          <cell r="AZ102">
            <v>440206.84375</v>
          </cell>
          <cell r="BA102">
            <v>0</v>
          </cell>
          <cell r="BB102">
            <v>0</v>
          </cell>
          <cell r="BC102">
            <v>0</v>
          </cell>
          <cell r="BD102">
            <v>0</v>
          </cell>
          <cell r="BE102">
            <v>467831.84375</v>
          </cell>
        </row>
        <row r="103">
          <cell r="B103" t="str">
            <v>COGS</v>
          </cell>
          <cell r="L103">
            <v>0</v>
          </cell>
          <cell r="Q103">
            <v>0</v>
          </cell>
          <cell r="R103">
            <v>0</v>
          </cell>
          <cell r="S103">
            <v>918.75000000000011</v>
          </cell>
          <cell r="T103">
            <v>4127.55</v>
          </cell>
          <cell r="U103">
            <v>6429.0000000000009</v>
          </cell>
          <cell r="V103">
            <v>11475.300000000001</v>
          </cell>
          <cell r="W103">
            <v>7502.4000000000015</v>
          </cell>
          <cell r="X103">
            <v>8250.0000000000018</v>
          </cell>
          <cell r="Y103">
            <v>8520.0000000000018</v>
          </cell>
          <cell r="Z103">
            <v>9138.5625000000018</v>
          </cell>
          <cell r="AA103">
            <v>33410.962500000001</v>
          </cell>
          <cell r="AB103">
            <v>9459.10546875</v>
          </cell>
          <cell r="AC103">
            <v>10249.8046875</v>
          </cell>
          <cell r="AD103">
            <v>12194.400960000001</v>
          </cell>
          <cell r="AE103">
            <v>12885.468750000002</v>
          </cell>
          <cell r="AF103">
            <v>44788.779866249999</v>
          </cell>
          <cell r="AG103">
            <v>0</v>
          </cell>
          <cell r="AH103">
            <v>0</v>
          </cell>
          <cell r="AI103">
            <v>0</v>
          </cell>
          <cell r="AJ103">
            <v>0</v>
          </cell>
          <cell r="AK103">
            <v>52006.02656250001</v>
          </cell>
          <cell r="AL103">
            <v>0</v>
          </cell>
          <cell r="AM103">
            <v>0</v>
          </cell>
          <cell r="AN103">
            <v>0</v>
          </cell>
          <cell r="AO103">
            <v>0</v>
          </cell>
          <cell r="AP103">
            <v>56787.27656250001</v>
          </cell>
          <cell r="AQ103">
            <v>0</v>
          </cell>
          <cell r="AR103">
            <v>0</v>
          </cell>
          <cell r="AS103">
            <v>0</v>
          </cell>
          <cell r="AT103">
            <v>0</v>
          </cell>
          <cell r="AU103">
            <v>61568.52656250001</v>
          </cell>
          <cell r="AV103">
            <v>0</v>
          </cell>
          <cell r="AW103">
            <v>0</v>
          </cell>
          <cell r="AX103">
            <v>0</v>
          </cell>
          <cell r="AY103">
            <v>0</v>
          </cell>
          <cell r="AZ103">
            <v>66031.026562500003</v>
          </cell>
          <cell r="BA103">
            <v>0</v>
          </cell>
          <cell r="BB103">
            <v>0</v>
          </cell>
          <cell r="BC103">
            <v>0</v>
          </cell>
          <cell r="BD103">
            <v>0</v>
          </cell>
          <cell r="BE103">
            <v>70174.776562500017</v>
          </cell>
        </row>
        <row r="104">
          <cell r="B104" t="str">
            <v>GM</v>
          </cell>
          <cell r="S104">
            <v>0.85</v>
          </cell>
          <cell r="T104">
            <v>0.85</v>
          </cell>
          <cell r="U104">
            <v>0.85</v>
          </cell>
          <cell r="V104">
            <v>0.85</v>
          </cell>
          <cell r="W104">
            <v>0.85</v>
          </cell>
          <cell r="X104">
            <v>0.85</v>
          </cell>
          <cell r="Y104">
            <v>0.85</v>
          </cell>
          <cell r="Z104">
            <v>0.85</v>
          </cell>
          <cell r="AA104">
            <v>0.85</v>
          </cell>
          <cell r="AB104">
            <v>0.85</v>
          </cell>
          <cell r="AC104">
            <v>0.85</v>
          </cell>
          <cell r="AD104">
            <v>0.85411999999999999</v>
          </cell>
          <cell r="AE104">
            <v>0.85</v>
          </cell>
          <cell r="AF104">
            <v>0.85</v>
          </cell>
          <cell r="AG104">
            <v>0.85</v>
          </cell>
          <cell r="AH104">
            <v>0.85</v>
          </cell>
          <cell r="AI104">
            <v>0.85</v>
          </cell>
          <cell r="AJ104">
            <v>0.85</v>
          </cell>
          <cell r="AK104">
            <v>0.85</v>
          </cell>
          <cell r="AL104">
            <v>0.85</v>
          </cell>
          <cell r="AM104">
            <v>0.85</v>
          </cell>
          <cell r="AN104">
            <v>0.85</v>
          </cell>
          <cell r="AO104">
            <v>0.85</v>
          </cell>
          <cell r="AP104">
            <v>0.85</v>
          </cell>
          <cell r="AQ104">
            <v>0.85</v>
          </cell>
          <cell r="AR104">
            <v>0.85</v>
          </cell>
          <cell r="AS104">
            <v>0.85</v>
          </cell>
          <cell r="AT104">
            <v>0.85</v>
          </cell>
          <cell r="AU104">
            <v>0.85</v>
          </cell>
          <cell r="AV104">
            <v>0.85</v>
          </cell>
          <cell r="AW104">
            <v>0.85</v>
          </cell>
          <cell r="AX104">
            <v>0.85</v>
          </cell>
          <cell r="AY104">
            <v>0.85</v>
          </cell>
          <cell r="AZ104">
            <v>0.85</v>
          </cell>
          <cell r="BA104">
            <v>0.85</v>
          </cell>
          <cell r="BB104">
            <v>0.85</v>
          </cell>
          <cell r="BC104">
            <v>0.85</v>
          </cell>
          <cell r="BD104">
            <v>0.85</v>
          </cell>
          <cell r="BE104">
            <v>0.85</v>
          </cell>
        </row>
        <row r="105">
          <cell r="AD105">
            <v>19513.03846</v>
          </cell>
        </row>
        <row r="106">
          <cell r="A106" t="str">
            <v>Avonex, Europe</v>
          </cell>
        </row>
        <row r="107">
          <cell r="B107" t="str">
            <v>Patient population</v>
          </cell>
          <cell r="L107">
            <v>300000</v>
          </cell>
          <cell r="Q107">
            <v>400000</v>
          </cell>
          <cell r="R107">
            <v>400000</v>
          </cell>
          <cell r="S107">
            <v>400000</v>
          </cell>
          <cell r="T107">
            <v>400000</v>
          </cell>
          <cell r="U107">
            <v>400000</v>
          </cell>
          <cell r="V107">
            <v>400000</v>
          </cell>
          <cell r="W107">
            <v>400000</v>
          </cell>
          <cell r="X107">
            <v>400000</v>
          </cell>
          <cell r="Y107">
            <v>400000</v>
          </cell>
          <cell r="Z107">
            <v>400000</v>
          </cell>
          <cell r="AA107">
            <v>400000</v>
          </cell>
          <cell r="AB107">
            <v>400000</v>
          </cell>
          <cell r="AC107">
            <v>400000</v>
          </cell>
          <cell r="AD107">
            <v>400000</v>
          </cell>
          <cell r="AE107">
            <v>400000</v>
          </cell>
          <cell r="AF107">
            <v>400000</v>
          </cell>
          <cell r="AG107">
            <v>400000</v>
          </cell>
          <cell r="AH107">
            <v>400000</v>
          </cell>
          <cell r="AI107">
            <v>400000</v>
          </cell>
          <cell r="AJ107">
            <v>400000</v>
          </cell>
          <cell r="AK107">
            <v>400000</v>
          </cell>
          <cell r="AL107">
            <v>400000</v>
          </cell>
          <cell r="AM107">
            <v>400000</v>
          </cell>
          <cell r="AN107">
            <v>400000</v>
          </cell>
          <cell r="AO107">
            <v>400000</v>
          </cell>
          <cell r="AP107">
            <v>400000</v>
          </cell>
          <cell r="AQ107">
            <v>400000</v>
          </cell>
          <cell r="AR107">
            <v>400000</v>
          </cell>
          <cell r="AS107">
            <v>400000</v>
          </cell>
          <cell r="AT107">
            <v>400000</v>
          </cell>
          <cell r="AU107">
            <v>400000</v>
          </cell>
          <cell r="AV107">
            <v>400000</v>
          </cell>
          <cell r="AW107">
            <v>400000</v>
          </cell>
          <cell r="AX107">
            <v>400000</v>
          </cell>
          <cell r="AY107">
            <v>400000</v>
          </cell>
          <cell r="AZ107">
            <v>400000</v>
          </cell>
          <cell r="BA107">
            <v>400000</v>
          </cell>
          <cell r="BB107">
            <v>400000</v>
          </cell>
          <cell r="BC107">
            <v>400000</v>
          </cell>
          <cell r="BD107">
            <v>400000</v>
          </cell>
          <cell r="BE107">
            <v>400000</v>
          </cell>
        </row>
        <row r="108">
          <cell r="C108" t="str">
            <v>Growth rate</v>
          </cell>
        </row>
        <row r="109">
          <cell r="B109" t="str">
            <v>Percent of patients eligible</v>
          </cell>
          <cell r="L109">
            <v>0.5</v>
          </cell>
          <cell r="Q109">
            <v>0.35</v>
          </cell>
          <cell r="R109">
            <v>0.5</v>
          </cell>
          <cell r="S109">
            <v>0.4</v>
          </cell>
          <cell r="T109">
            <v>0.4</v>
          </cell>
          <cell r="U109">
            <v>0.4</v>
          </cell>
          <cell r="V109">
            <v>0.35</v>
          </cell>
          <cell r="W109">
            <v>0.35</v>
          </cell>
          <cell r="X109">
            <v>0.35</v>
          </cell>
          <cell r="Y109">
            <v>0.35</v>
          </cell>
          <cell r="Z109">
            <v>0.35</v>
          </cell>
          <cell r="AA109">
            <v>0.35</v>
          </cell>
          <cell r="AB109">
            <v>0.35</v>
          </cell>
          <cell r="AC109">
            <v>0.35</v>
          </cell>
          <cell r="AD109">
            <v>0.35</v>
          </cell>
          <cell r="AE109">
            <v>0.35</v>
          </cell>
          <cell r="AF109">
            <v>0.35</v>
          </cell>
          <cell r="AG109">
            <v>0.35</v>
          </cell>
          <cell r="AH109">
            <v>0.35</v>
          </cell>
          <cell r="AI109">
            <v>0.35</v>
          </cell>
          <cell r="AJ109">
            <v>0.35</v>
          </cell>
          <cell r="AK109">
            <v>0.35</v>
          </cell>
          <cell r="AL109">
            <v>0.35</v>
          </cell>
          <cell r="AM109">
            <v>0.35</v>
          </cell>
          <cell r="AN109">
            <v>0.35</v>
          </cell>
          <cell r="AO109">
            <v>0.35</v>
          </cell>
          <cell r="AP109">
            <v>0.35</v>
          </cell>
          <cell r="AQ109">
            <v>0.35</v>
          </cell>
          <cell r="AR109">
            <v>0.35</v>
          </cell>
          <cell r="AS109">
            <v>0.35</v>
          </cell>
          <cell r="AT109">
            <v>0.35</v>
          </cell>
          <cell r="AU109">
            <v>0.35</v>
          </cell>
          <cell r="AV109">
            <v>0.35</v>
          </cell>
          <cell r="AW109">
            <v>0.35</v>
          </cell>
          <cell r="AX109">
            <v>0.35</v>
          </cell>
          <cell r="AY109">
            <v>0.35</v>
          </cell>
          <cell r="AZ109">
            <v>0.35</v>
          </cell>
          <cell r="BA109">
            <v>0.35</v>
          </cell>
          <cell r="BB109">
            <v>0.35</v>
          </cell>
          <cell r="BC109">
            <v>0.35</v>
          </cell>
          <cell r="BD109">
            <v>0.35</v>
          </cell>
          <cell r="BE109">
            <v>0.35</v>
          </cell>
        </row>
        <row r="110">
          <cell r="B110" t="str">
            <v>Patients eligible</v>
          </cell>
          <cell r="L110">
            <v>150000</v>
          </cell>
          <cell r="Q110">
            <v>140000</v>
          </cell>
          <cell r="R110">
            <v>200000</v>
          </cell>
          <cell r="S110">
            <v>160000</v>
          </cell>
          <cell r="T110">
            <v>160000</v>
          </cell>
          <cell r="U110">
            <v>160000</v>
          </cell>
          <cell r="V110">
            <v>140000</v>
          </cell>
          <cell r="W110">
            <v>140000</v>
          </cell>
          <cell r="X110">
            <v>140000</v>
          </cell>
          <cell r="Y110">
            <v>140000</v>
          </cell>
          <cell r="Z110">
            <v>140000</v>
          </cell>
          <cell r="AA110">
            <v>140000</v>
          </cell>
          <cell r="AB110">
            <v>140000</v>
          </cell>
          <cell r="AC110">
            <v>140000</v>
          </cell>
          <cell r="AD110">
            <v>140000</v>
          </cell>
          <cell r="AE110">
            <v>140000</v>
          </cell>
          <cell r="AF110">
            <v>140000</v>
          </cell>
          <cell r="AG110">
            <v>140000</v>
          </cell>
          <cell r="AH110">
            <v>140000</v>
          </cell>
          <cell r="AI110">
            <v>140000</v>
          </cell>
          <cell r="AJ110">
            <v>140000</v>
          </cell>
          <cell r="AK110">
            <v>140000</v>
          </cell>
          <cell r="AL110">
            <v>140000</v>
          </cell>
          <cell r="AM110">
            <v>140000</v>
          </cell>
          <cell r="AN110">
            <v>140000</v>
          </cell>
          <cell r="AO110">
            <v>140000</v>
          </cell>
          <cell r="AP110">
            <v>140000</v>
          </cell>
          <cell r="AQ110">
            <v>140000</v>
          </cell>
          <cell r="AR110">
            <v>140000</v>
          </cell>
          <cell r="AS110">
            <v>140000</v>
          </cell>
          <cell r="AT110">
            <v>140000</v>
          </cell>
          <cell r="AU110">
            <v>140000</v>
          </cell>
          <cell r="AV110">
            <v>140000</v>
          </cell>
          <cell r="AW110">
            <v>140000</v>
          </cell>
          <cell r="AX110">
            <v>140000</v>
          </cell>
          <cell r="AY110">
            <v>140000</v>
          </cell>
          <cell r="AZ110">
            <v>140000</v>
          </cell>
          <cell r="BA110">
            <v>140000</v>
          </cell>
          <cell r="BB110">
            <v>140000</v>
          </cell>
          <cell r="BC110">
            <v>140000</v>
          </cell>
          <cell r="BD110">
            <v>140000</v>
          </cell>
          <cell r="BE110">
            <v>140000</v>
          </cell>
        </row>
        <row r="111">
          <cell r="B111" t="str">
            <v>Market share, percent</v>
          </cell>
          <cell r="V111">
            <v>0</v>
          </cell>
          <cell r="W111">
            <v>0</v>
          </cell>
          <cell r="X111">
            <v>7.1428571428571426E-3</v>
          </cell>
          <cell r="Y111">
            <v>1.7857142857142856E-2</v>
          </cell>
          <cell r="Z111">
            <v>3.214285714285714E-2</v>
          </cell>
          <cell r="AA111">
            <v>1.4285714285714285E-2</v>
          </cell>
          <cell r="AB111">
            <v>4.2500000000000003E-2</v>
          </cell>
          <cell r="AC111">
            <v>4.7500000000000001E-2</v>
          </cell>
          <cell r="AD111">
            <v>7.0000000000000007E-2</v>
          </cell>
          <cell r="AE111">
            <v>8.5000000000000006E-2</v>
          </cell>
          <cell r="AF111">
            <v>0.06</v>
          </cell>
          <cell r="AK111">
            <v>9.7500000000000003E-2</v>
          </cell>
          <cell r="AP111">
            <v>0.125</v>
          </cell>
          <cell r="AU111">
            <v>0.15</v>
          </cell>
          <cell r="AZ111">
            <v>0.17499999999999999</v>
          </cell>
          <cell r="BE111">
            <v>0.19750000000000001</v>
          </cell>
        </row>
        <row r="112">
          <cell r="B112" t="str">
            <v>Market share, patients</v>
          </cell>
          <cell r="L112">
            <v>0</v>
          </cell>
          <cell r="Q112">
            <v>0</v>
          </cell>
          <cell r="R112">
            <v>0</v>
          </cell>
          <cell r="S112">
            <v>0</v>
          </cell>
          <cell r="T112">
            <v>0</v>
          </cell>
          <cell r="U112">
            <v>0</v>
          </cell>
          <cell r="V112">
            <v>0</v>
          </cell>
          <cell r="W112">
            <v>0</v>
          </cell>
          <cell r="X112">
            <v>1000</v>
          </cell>
          <cell r="Y112">
            <v>2500</v>
          </cell>
          <cell r="Z112">
            <v>4500</v>
          </cell>
          <cell r="AA112">
            <v>2000</v>
          </cell>
          <cell r="AB112">
            <v>5950</v>
          </cell>
          <cell r="AC112">
            <v>6650</v>
          </cell>
          <cell r="AD112">
            <v>8690.9090909090919</v>
          </cell>
          <cell r="AE112">
            <v>11900</v>
          </cell>
          <cell r="AF112">
            <v>8400</v>
          </cell>
          <cell r="AG112">
            <v>0</v>
          </cell>
          <cell r="AH112">
            <v>0</v>
          </cell>
          <cell r="AI112">
            <v>0</v>
          </cell>
          <cell r="AJ112">
            <v>0</v>
          </cell>
          <cell r="AK112">
            <v>13650</v>
          </cell>
          <cell r="AL112">
            <v>0</v>
          </cell>
          <cell r="AM112">
            <v>0</v>
          </cell>
          <cell r="AN112">
            <v>0</v>
          </cell>
          <cell r="AO112">
            <v>0</v>
          </cell>
          <cell r="AP112">
            <v>17500</v>
          </cell>
          <cell r="AQ112">
            <v>0</v>
          </cell>
          <cell r="AR112">
            <v>0</v>
          </cell>
          <cell r="AS112">
            <v>0</v>
          </cell>
          <cell r="AT112">
            <v>0</v>
          </cell>
          <cell r="AU112">
            <v>21000</v>
          </cell>
          <cell r="AV112">
            <v>0</v>
          </cell>
          <cell r="AW112">
            <v>0</v>
          </cell>
          <cell r="AX112">
            <v>0</v>
          </cell>
          <cell r="AY112">
            <v>0</v>
          </cell>
          <cell r="AZ112">
            <v>24500</v>
          </cell>
          <cell r="BA112">
            <v>0</v>
          </cell>
          <cell r="BB112">
            <v>0</v>
          </cell>
          <cell r="BC112">
            <v>0</v>
          </cell>
          <cell r="BD112">
            <v>0</v>
          </cell>
          <cell r="BE112">
            <v>27650</v>
          </cell>
        </row>
        <row r="113">
          <cell r="C113" t="str">
            <v>Patients added</v>
          </cell>
          <cell r="Q113">
            <v>0</v>
          </cell>
          <cell r="R113">
            <v>0</v>
          </cell>
          <cell r="S113">
            <v>0</v>
          </cell>
          <cell r="T113">
            <v>0</v>
          </cell>
          <cell r="U113">
            <v>0</v>
          </cell>
          <cell r="V113">
            <v>0</v>
          </cell>
          <cell r="W113">
            <v>0</v>
          </cell>
          <cell r="X113">
            <v>1000</v>
          </cell>
          <cell r="Y113">
            <v>1500</v>
          </cell>
          <cell r="Z113">
            <v>2000</v>
          </cell>
          <cell r="AA113">
            <v>4500</v>
          </cell>
          <cell r="AB113">
            <v>1450</v>
          </cell>
          <cell r="AC113">
            <v>700</v>
          </cell>
          <cell r="AD113">
            <v>2040.9090909090919</v>
          </cell>
          <cell r="AE113">
            <v>3209.0909090909081</v>
          </cell>
          <cell r="AF113">
            <v>6400</v>
          </cell>
          <cell r="AK113">
            <v>5250</v>
          </cell>
          <cell r="AL113">
            <v>0</v>
          </cell>
          <cell r="AM113">
            <v>0</v>
          </cell>
          <cell r="AN113">
            <v>0</v>
          </cell>
          <cell r="AO113">
            <v>0</v>
          </cell>
          <cell r="AP113">
            <v>3850</v>
          </cell>
          <cell r="AU113">
            <v>3500</v>
          </cell>
          <cell r="AZ113">
            <v>3500</v>
          </cell>
          <cell r="BE113">
            <v>3150</v>
          </cell>
        </row>
        <row r="114">
          <cell r="C114" t="str">
            <v>Price per period</v>
          </cell>
          <cell r="Q114">
            <v>0</v>
          </cell>
          <cell r="R114">
            <v>0</v>
          </cell>
          <cell r="S114">
            <v>0</v>
          </cell>
          <cell r="T114">
            <v>0</v>
          </cell>
          <cell r="U114">
            <v>0</v>
          </cell>
          <cell r="V114">
            <v>0</v>
          </cell>
          <cell r="W114">
            <v>0</v>
          </cell>
          <cell r="X114">
            <v>2750</v>
          </cell>
          <cell r="Y114">
            <v>2750</v>
          </cell>
          <cell r="Z114">
            <v>2750</v>
          </cell>
          <cell r="AA114">
            <v>11000</v>
          </cell>
          <cell r="AB114">
            <v>2750</v>
          </cell>
          <cell r="AC114">
            <v>2750</v>
          </cell>
          <cell r="AD114">
            <v>2750</v>
          </cell>
          <cell r="AE114">
            <v>2750</v>
          </cell>
          <cell r="AF114">
            <v>11000</v>
          </cell>
          <cell r="AK114">
            <v>11000</v>
          </cell>
          <cell r="AP114">
            <v>11000</v>
          </cell>
          <cell r="AU114">
            <v>11000</v>
          </cell>
          <cell r="AZ114">
            <v>11000</v>
          </cell>
          <cell r="BE114">
            <v>11000</v>
          </cell>
        </row>
        <row r="115">
          <cell r="B115" t="str">
            <v>Average price per patient</v>
          </cell>
          <cell r="S115">
            <v>0</v>
          </cell>
          <cell r="V115">
            <v>0</v>
          </cell>
          <cell r="W115">
            <v>0</v>
          </cell>
          <cell r="X115">
            <v>11000</v>
          </cell>
          <cell r="Y115">
            <v>11000</v>
          </cell>
          <cell r="Z115">
            <v>11000</v>
          </cell>
          <cell r="AA115">
            <v>11000</v>
          </cell>
          <cell r="AB115">
            <v>11000</v>
          </cell>
          <cell r="AC115">
            <v>11000</v>
          </cell>
          <cell r="AD115">
            <v>11000</v>
          </cell>
          <cell r="AE115">
            <v>11000</v>
          </cell>
          <cell r="AF115">
            <v>11000</v>
          </cell>
          <cell r="AG115">
            <v>11000</v>
          </cell>
          <cell r="AH115">
            <v>11000</v>
          </cell>
          <cell r="AI115">
            <v>11000</v>
          </cell>
          <cell r="AJ115">
            <v>11000</v>
          </cell>
          <cell r="AK115">
            <v>11000</v>
          </cell>
          <cell r="AL115">
            <v>11000</v>
          </cell>
          <cell r="AM115">
            <v>11000</v>
          </cell>
          <cell r="AN115">
            <v>11000</v>
          </cell>
          <cell r="AO115">
            <v>11000</v>
          </cell>
          <cell r="AP115">
            <v>11000</v>
          </cell>
          <cell r="AQ115">
            <v>11000</v>
          </cell>
          <cell r="AR115">
            <v>11000</v>
          </cell>
          <cell r="AS115">
            <v>11000</v>
          </cell>
          <cell r="AT115">
            <v>11000</v>
          </cell>
          <cell r="AU115">
            <v>11000</v>
          </cell>
          <cell r="AV115">
            <v>11000</v>
          </cell>
          <cell r="AW115">
            <v>11000</v>
          </cell>
          <cell r="AX115">
            <v>11000</v>
          </cell>
          <cell r="AY115">
            <v>11000</v>
          </cell>
          <cell r="AZ115">
            <v>11000</v>
          </cell>
          <cell r="BA115">
            <v>11000</v>
          </cell>
          <cell r="BB115">
            <v>11000</v>
          </cell>
          <cell r="BC115">
            <v>11000</v>
          </cell>
          <cell r="BD115">
            <v>11000</v>
          </cell>
          <cell r="BE115">
            <v>11000</v>
          </cell>
        </row>
        <row r="116">
          <cell r="B116" t="str">
            <v>Revenues, product (000s)</v>
          </cell>
          <cell r="L116">
            <v>0</v>
          </cell>
          <cell r="Q116">
            <v>0</v>
          </cell>
          <cell r="R116">
            <v>0</v>
          </cell>
          <cell r="S116">
            <v>0</v>
          </cell>
          <cell r="T116">
            <v>0</v>
          </cell>
          <cell r="U116">
            <v>0</v>
          </cell>
          <cell r="V116">
            <v>0</v>
          </cell>
          <cell r="W116">
            <v>2600</v>
          </cell>
          <cell r="X116">
            <v>1440</v>
          </cell>
          <cell r="Y116">
            <v>3613</v>
          </cell>
          <cell r="Z116">
            <v>9900</v>
          </cell>
          <cell r="AA116">
            <v>17553</v>
          </cell>
          <cell r="AB116">
            <v>13100</v>
          </cell>
          <cell r="AC116">
            <v>18741</v>
          </cell>
          <cell r="AD116">
            <v>23900</v>
          </cell>
          <cell r="AE116">
            <v>32725</v>
          </cell>
          <cell r="AF116">
            <v>88466</v>
          </cell>
          <cell r="AG116">
            <v>0</v>
          </cell>
          <cell r="AH116">
            <v>0</v>
          </cell>
          <cell r="AI116">
            <v>0</v>
          </cell>
          <cell r="AJ116">
            <v>0</v>
          </cell>
          <cell r="AK116">
            <v>150150</v>
          </cell>
          <cell r="AL116">
            <v>0</v>
          </cell>
          <cell r="AM116">
            <v>0</v>
          </cell>
          <cell r="AN116">
            <v>0</v>
          </cell>
          <cell r="AO116">
            <v>0</v>
          </cell>
          <cell r="AP116">
            <v>192500</v>
          </cell>
          <cell r="AQ116">
            <v>0</v>
          </cell>
          <cell r="AR116">
            <v>0</v>
          </cell>
          <cell r="AS116">
            <v>0</v>
          </cell>
          <cell r="AT116">
            <v>0</v>
          </cell>
          <cell r="AU116">
            <v>231000</v>
          </cell>
          <cell r="AV116">
            <v>0</v>
          </cell>
          <cell r="AW116">
            <v>0</v>
          </cell>
          <cell r="AX116">
            <v>0</v>
          </cell>
          <cell r="AY116">
            <v>0</v>
          </cell>
          <cell r="AZ116">
            <v>269500</v>
          </cell>
          <cell r="BA116">
            <v>0</v>
          </cell>
          <cell r="BB116">
            <v>0</v>
          </cell>
          <cell r="BC116">
            <v>0</v>
          </cell>
          <cell r="BD116">
            <v>0</v>
          </cell>
          <cell r="BE116">
            <v>304150</v>
          </cell>
        </row>
        <row r="117">
          <cell r="B117" t="str">
            <v>COGS</v>
          </cell>
          <cell r="L117">
            <v>0</v>
          </cell>
          <cell r="Q117">
            <v>0</v>
          </cell>
          <cell r="R117">
            <v>0</v>
          </cell>
          <cell r="S117">
            <v>0</v>
          </cell>
          <cell r="T117">
            <v>0</v>
          </cell>
          <cell r="U117">
            <v>0</v>
          </cell>
          <cell r="V117">
            <v>0</v>
          </cell>
          <cell r="W117">
            <v>2600</v>
          </cell>
          <cell r="X117">
            <v>216.00000000000003</v>
          </cell>
          <cell r="Y117">
            <v>541.95000000000005</v>
          </cell>
          <cell r="Z117">
            <v>1485.0000000000002</v>
          </cell>
          <cell r="AA117">
            <v>2632.9500000000003</v>
          </cell>
          <cell r="AB117">
            <v>1965.0000000000002</v>
          </cell>
          <cell r="AC117">
            <v>2811.1500000000005</v>
          </cell>
          <cell r="AD117">
            <v>3477.4499999999989</v>
          </cell>
          <cell r="AE117">
            <v>4908.7500000000009</v>
          </cell>
          <cell r="AF117">
            <v>13269.900000000001</v>
          </cell>
          <cell r="AG117">
            <v>0</v>
          </cell>
          <cell r="AH117">
            <v>0</v>
          </cell>
          <cell r="AI117">
            <v>0</v>
          </cell>
          <cell r="AJ117">
            <v>0</v>
          </cell>
          <cell r="AK117">
            <v>22522.500000000004</v>
          </cell>
          <cell r="AL117">
            <v>0</v>
          </cell>
          <cell r="AM117">
            <v>0</v>
          </cell>
          <cell r="AN117">
            <v>0</v>
          </cell>
          <cell r="AO117">
            <v>0</v>
          </cell>
          <cell r="AP117">
            <v>28875.000000000004</v>
          </cell>
          <cell r="AQ117">
            <v>0</v>
          </cell>
          <cell r="AR117">
            <v>0</v>
          </cell>
          <cell r="AS117">
            <v>0</v>
          </cell>
          <cell r="AT117">
            <v>0</v>
          </cell>
          <cell r="AU117">
            <v>34650.000000000007</v>
          </cell>
          <cell r="AV117">
            <v>0</v>
          </cell>
          <cell r="AW117">
            <v>0</v>
          </cell>
          <cell r="AX117">
            <v>0</v>
          </cell>
          <cell r="AY117">
            <v>0</v>
          </cell>
          <cell r="AZ117">
            <v>40425.000000000007</v>
          </cell>
          <cell r="BA117">
            <v>0</v>
          </cell>
          <cell r="BB117">
            <v>0</v>
          </cell>
          <cell r="BC117">
            <v>0</v>
          </cell>
          <cell r="BD117">
            <v>0</v>
          </cell>
          <cell r="BE117">
            <v>45622.500000000007</v>
          </cell>
        </row>
        <row r="118">
          <cell r="B118" t="str">
            <v>GM</v>
          </cell>
          <cell r="Q118">
            <v>0</v>
          </cell>
          <cell r="S118">
            <v>0.85</v>
          </cell>
          <cell r="T118">
            <v>0.85</v>
          </cell>
          <cell r="U118">
            <v>0.85</v>
          </cell>
          <cell r="V118">
            <v>0</v>
          </cell>
          <cell r="W118">
            <v>0</v>
          </cell>
          <cell r="X118">
            <v>0.85</v>
          </cell>
          <cell r="Y118">
            <v>0.85</v>
          </cell>
          <cell r="Z118">
            <v>0.85</v>
          </cell>
          <cell r="AA118">
            <v>0.85</v>
          </cell>
          <cell r="AB118">
            <v>0.85</v>
          </cell>
          <cell r="AC118">
            <v>0.85</v>
          </cell>
          <cell r="AD118">
            <v>0.85450000000000004</v>
          </cell>
          <cell r="AE118">
            <v>0.85</v>
          </cell>
          <cell r="AF118">
            <v>0.85</v>
          </cell>
          <cell r="AG118">
            <v>0.85</v>
          </cell>
          <cell r="AH118">
            <v>0.85</v>
          </cell>
          <cell r="AI118">
            <v>0.85</v>
          </cell>
          <cell r="AJ118">
            <v>0.85</v>
          </cell>
          <cell r="AK118">
            <v>0.85</v>
          </cell>
          <cell r="AL118">
            <v>0.85</v>
          </cell>
          <cell r="AM118">
            <v>0.85</v>
          </cell>
          <cell r="AN118">
            <v>0.85</v>
          </cell>
          <cell r="AO118">
            <v>0.85</v>
          </cell>
          <cell r="AP118">
            <v>0.85</v>
          </cell>
          <cell r="AQ118">
            <v>0.85</v>
          </cell>
          <cell r="AR118">
            <v>0.85</v>
          </cell>
          <cell r="AS118">
            <v>0.85</v>
          </cell>
          <cell r="AT118">
            <v>0.85</v>
          </cell>
          <cell r="AU118">
            <v>0.85</v>
          </cell>
          <cell r="AV118">
            <v>0.85</v>
          </cell>
          <cell r="AW118">
            <v>0.85</v>
          </cell>
          <cell r="AX118">
            <v>0.85</v>
          </cell>
          <cell r="AY118">
            <v>0.85</v>
          </cell>
          <cell r="AZ118">
            <v>0.85</v>
          </cell>
          <cell r="BA118">
            <v>0.85</v>
          </cell>
          <cell r="BB118">
            <v>0.85</v>
          </cell>
          <cell r="BC118">
            <v>0.85</v>
          </cell>
          <cell r="BD118">
            <v>0.85</v>
          </cell>
          <cell r="BE118">
            <v>0.85</v>
          </cell>
        </row>
        <row r="120">
          <cell r="A120" t="str">
            <v>OP-1, U.S.</v>
          </cell>
        </row>
        <row r="121">
          <cell r="B121" t="str">
            <v>Patient population</v>
          </cell>
          <cell r="L121">
            <v>250000</v>
          </cell>
          <cell r="M121">
            <v>350000</v>
          </cell>
          <cell r="Q121">
            <v>200000</v>
          </cell>
          <cell r="R121">
            <v>200000</v>
          </cell>
          <cell r="S121">
            <v>200000</v>
          </cell>
          <cell r="T121">
            <v>200000</v>
          </cell>
          <cell r="U121">
            <v>200000</v>
          </cell>
          <cell r="V121">
            <v>200000</v>
          </cell>
          <cell r="W121">
            <v>200000</v>
          </cell>
          <cell r="X121">
            <v>200000</v>
          </cell>
          <cell r="Y121">
            <v>200000</v>
          </cell>
          <cell r="Z121">
            <v>200000</v>
          </cell>
          <cell r="AA121">
            <v>200000</v>
          </cell>
          <cell r="AB121">
            <v>200000</v>
          </cell>
          <cell r="AC121">
            <v>200000</v>
          </cell>
          <cell r="AD121">
            <v>200000</v>
          </cell>
          <cell r="AE121">
            <v>200000</v>
          </cell>
          <cell r="AF121">
            <v>200000</v>
          </cell>
          <cell r="AG121">
            <v>200000</v>
          </cell>
          <cell r="AH121">
            <v>200000</v>
          </cell>
          <cell r="AI121">
            <v>200000</v>
          </cell>
          <cell r="AJ121">
            <v>200000</v>
          </cell>
          <cell r="AK121">
            <v>200000</v>
          </cell>
          <cell r="AL121">
            <v>200000</v>
          </cell>
          <cell r="AM121">
            <v>200000</v>
          </cell>
          <cell r="AN121">
            <v>200000</v>
          </cell>
          <cell r="AO121">
            <v>200000</v>
          </cell>
          <cell r="AP121">
            <v>200000</v>
          </cell>
          <cell r="AQ121">
            <v>200000</v>
          </cell>
          <cell r="AR121">
            <v>200000</v>
          </cell>
          <cell r="AS121">
            <v>200000</v>
          </cell>
          <cell r="AT121">
            <v>200000</v>
          </cell>
          <cell r="AU121">
            <v>200000</v>
          </cell>
          <cell r="AV121">
            <v>200000</v>
          </cell>
          <cell r="AW121">
            <v>200000</v>
          </cell>
          <cell r="AX121">
            <v>200000</v>
          </cell>
          <cell r="AY121">
            <v>200000</v>
          </cell>
          <cell r="AZ121">
            <v>200000</v>
          </cell>
          <cell r="BA121">
            <v>200000</v>
          </cell>
          <cell r="BB121">
            <v>200000</v>
          </cell>
          <cell r="BC121">
            <v>200000</v>
          </cell>
          <cell r="BD121">
            <v>200000</v>
          </cell>
          <cell r="BE121">
            <v>200000</v>
          </cell>
        </row>
        <row r="122">
          <cell r="C122" t="str">
            <v>Growth rate</v>
          </cell>
        </row>
        <row r="123">
          <cell r="B123" t="str">
            <v>Percent of patients eligible</v>
          </cell>
          <cell r="L123">
            <v>0.5</v>
          </cell>
          <cell r="M123">
            <v>0.35</v>
          </cell>
          <cell r="Q123">
            <v>0</v>
          </cell>
          <cell r="R123">
            <v>0.5</v>
          </cell>
          <cell r="S123">
            <v>0.5</v>
          </cell>
          <cell r="T123">
            <v>0.5</v>
          </cell>
          <cell r="U123">
            <v>0.5</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0.35</v>
          </cell>
          <cell r="AM123">
            <v>0.35</v>
          </cell>
          <cell r="AN123">
            <v>0.35</v>
          </cell>
          <cell r="AO123">
            <v>0.35</v>
          </cell>
          <cell r="AP123">
            <v>0</v>
          </cell>
          <cell r="AQ123">
            <v>0</v>
          </cell>
          <cell r="AR123">
            <v>0</v>
          </cell>
          <cell r="AS123">
            <v>0</v>
          </cell>
          <cell r="AT123">
            <v>0</v>
          </cell>
          <cell r="AU123">
            <v>0</v>
          </cell>
          <cell r="AV123">
            <v>0.35</v>
          </cell>
          <cell r="AW123">
            <v>0.35</v>
          </cell>
          <cell r="AX123">
            <v>0.35</v>
          </cell>
          <cell r="AY123">
            <v>0.35</v>
          </cell>
          <cell r="AZ123">
            <v>0.15</v>
          </cell>
          <cell r="BA123">
            <v>0.35</v>
          </cell>
          <cell r="BB123">
            <v>0.35</v>
          </cell>
          <cell r="BC123">
            <v>0.35</v>
          </cell>
          <cell r="BD123">
            <v>0.35</v>
          </cell>
          <cell r="BE123">
            <v>0.35</v>
          </cell>
        </row>
        <row r="124">
          <cell r="B124" t="str">
            <v>Patients eligible</v>
          </cell>
          <cell r="L124">
            <v>125000</v>
          </cell>
          <cell r="M124">
            <v>122499.99999999999</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70000</v>
          </cell>
          <cell r="AM124">
            <v>70000</v>
          </cell>
          <cell r="AN124">
            <v>70000</v>
          </cell>
          <cell r="AO124">
            <v>70000</v>
          </cell>
          <cell r="AP124">
            <v>0</v>
          </cell>
          <cell r="AQ124">
            <v>0</v>
          </cell>
          <cell r="AR124">
            <v>0</v>
          </cell>
          <cell r="AS124">
            <v>0</v>
          </cell>
          <cell r="AT124">
            <v>0</v>
          </cell>
          <cell r="AU124">
            <v>0</v>
          </cell>
          <cell r="AV124">
            <v>70000</v>
          </cell>
          <cell r="AW124">
            <v>70000</v>
          </cell>
          <cell r="AX124">
            <v>70000</v>
          </cell>
          <cell r="AY124">
            <v>70000</v>
          </cell>
          <cell r="AZ124">
            <v>30000</v>
          </cell>
          <cell r="BA124">
            <v>70000</v>
          </cell>
          <cell r="BB124">
            <v>70000</v>
          </cell>
          <cell r="BC124">
            <v>70000</v>
          </cell>
          <cell r="BD124">
            <v>70000</v>
          </cell>
          <cell r="BE124">
            <v>70000</v>
          </cell>
        </row>
        <row r="125">
          <cell r="B125" t="str">
            <v>Market share, percent</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row>
        <row r="126">
          <cell r="B126" t="str">
            <v>Market share, patients</v>
          </cell>
          <cell r="L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row>
        <row r="127">
          <cell r="C127" t="str">
            <v>Patients added</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row>
        <row r="128">
          <cell r="B128" t="str">
            <v>Average price per patient</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P128">
            <v>0</v>
          </cell>
          <cell r="AQ128">
            <v>0</v>
          </cell>
          <cell r="AR128">
            <v>0</v>
          </cell>
          <cell r="AS128">
            <v>0</v>
          </cell>
          <cell r="AT128">
            <v>0</v>
          </cell>
          <cell r="AU128">
            <v>0</v>
          </cell>
          <cell r="AV128">
            <v>8500</v>
          </cell>
          <cell r="AW128">
            <v>8500</v>
          </cell>
          <cell r="AX128">
            <v>8500</v>
          </cell>
          <cell r="AY128">
            <v>8500</v>
          </cell>
          <cell r="AZ128">
            <v>8500</v>
          </cell>
          <cell r="BA128">
            <v>8500</v>
          </cell>
          <cell r="BB128">
            <v>8500</v>
          </cell>
          <cell r="BC128">
            <v>8500</v>
          </cell>
          <cell r="BD128">
            <v>8500</v>
          </cell>
          <cell r="BE128">
            <v>8500</v>
          </cell>
        </row>
        <row r="129">
          <cell r="B129" t="str">
            <v>Revenues, product (000s)</v>
          </cell>
          <cell r="L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row>
        <row r="130">
          <cell r="B130" t="str">
            <v>COGS</v>
          </cell>
          <cell r="L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row>
        <row r="131">
          <cell r="B131" t="str">
            <v>GM</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0.85</v>
          </cell>
          <cell r="AM131">
            <v>0.85</v>
          </cell>
          <cell r="AN131">
            <v>0.85</v>
          </cell>
          <cell r="AO131">
            <v>0.85</v>
          </cell>
          <cell r="AP131">
            <v>0</v>
          </cell>
          <cell r="AQ131">
            <v>0</v>
          </cell>
          <cell r="AR131">
            <v>0</v>
          </cell>
          <cell r="AS131">
            <v>0</v>
          </cell>
          <cell r="AT131">
            <v>0</v>
          </cell>
          <cell r="AU131">
            <v>0</v>
          </cell>
          <cell r="AV131">
            <v>0.85</v>
          </cell>
          <cell r="AW131">
            <v>0.85</v>
          </cell>
          <cell r="AX131">
            <v>0.85</v>
          </cell>
          <cell r="AY131">
            <v>0.85</v>
          </cell>
          <cell r="AZ131">
            <v>0.8</v>
          </cell>
          <cell r="BA131">
            <v>0.85</v>
          </cell>
          <cell r="BB131">
            <v>0.85</v>
          </cell>
          <cell r="BC131">
            <v>0.85</v>
          </cell>
          <cell r="BD131">
            <v>0.85</v>
          </cell>
          <cell r="BE131">
            <v>0.8</v>
          </cell>
        </row>
        <row r="134">
          <cell r="A134" t="str">
            <v>Licensed Product Sales (000s, WW)</v>
          </cell>
        </row>
        <row r="135">
          <cell r="A135" t="str">
            <v>Hepatitis B Vaccines</v>
          </cell>
        </row>
        <row r="136">
          <cell r="B136" t="str">
            <v>Recombivax (Merck)</v>
          </cell>
          <cell r="Q136">
            <v>205000</v>
          </cell>
          <cell r="V136">
            <v>220000</v>
          </cell>
          <cell r="W136">
            <v>45000</v>
          </cell>
          <cell r="X136">
            <v>50000</v>
          </cell>
          <cell r="Y136">
            <v>55000</v>
          </cell>
          <cell r="Z136">
            <v>70000</v>
          </cell>
          <cell r="AA136">
            <v>220000</v>
          </cell>
          <cell r="AB136">
            <v>72000</v>
          </cell>
          <cell r="AC136">
            <v>77000</v>
          </cell>
          <cell r="AD136">
            <v>70000</v>
          </cell>
          <cell r="AE136">
            <v>70000</v>
          </cell>
          <cell r="AF136">
            <v>289000</v>
          </cell>
          <cell r="AK136">
            <v>330000</v>
          </cell>
          <cell r="AP136">
            <v>344000</v>
          </cell>
          <cell r="AU136">
            <v>357000</v>
          </cell>
          <cell r="AZ136">
            <v>372000</v>
          </cell>
          <cell r="BE136">
            <v>386000</v>
          </cell>
        </row>
        <row r="137">
          <cell r="B137" t="str">
            <v>Royalty rate, percent</v>
          </cell>
          <cell r="Q137">
            <v>7.4999999999999997E-2</v>
          </cell>
          <cell r="V137">
            <v>7.4999999999999997E-2</v>
          </cell>
          <cell r="W137">
            <v>7.4999999999999997E-2</v>
          </cell>
          <cell r="X137">
            <v>7.4999999999999997E-2</v>
          </cell>
          <cell r="Y137">
            <v>0.08</v>
          </cell>
          <cell r="Z137">
            <v>0.08</v>
          </cell>
          <cell r="AA137">
            <v>7.7840909090909086E-2</v>
          </cell>
          <cell r="AB137">
            <v>7.4999999999999997E-2</v>
          </cell>
          <cell r="AC137">
            <v>7.4999999999999997E-2</v>
          </cell>
          <cell r="AD137">
            <v>7.4999999999999997E-2</v>
          </cell>
          <cell r="AE137">
            <v>7.4999999999999997E-2</v>
          </cell>
          <cell r="AF137">
            <v>7.4999999999999997E-2</v>
          </cell>
          <cell r="AG137">
            <v>7.4999999999999997E-2</v>
          </cell>
          <cell r="AH137">
            <v>7.4999999999999997E-2</v>
          </cell>
          <cell r="AI137">
            <v>7.4999999999999997E-2</v>
          </cell>
          <cell r="AJ137">
            <v>7.4999999999999997E-2</v>
          </cell>
          <cell r="AK137">
            <v>7.4999999999999997E-2</v>
          </cell>
          <cell r="AL137">
            <v>7.4999999999999997E-2</v>
          </cell>
          <cell r="AM137">
            <v>7.4999999999999997E-2</v>
          </cell>
          <cell r="AN137">
            <v>7.4999999999999997E-2</v>
          </cell>
          <cell r="AO137">
            <v>7.4999999999999997E-2</v>
          </cell>
          <cell r="AP137">
            <v>7.0000000000000007E-2</v>
          </cell>
          <cell r="AQ137">
            <v>7.4999999999999997E-2</v>
          </cell>
          <cell r="AR137">
            <v>7.4999999999999997E-2</v>
          </cell>
          <cell r="AS137">
            <v>7.4999999999999997E-2</v>
          </cell>
          <cell r="AT137">
            <v>7.4999999999999997E-2</v>
          </cell>
          <cell r="AU137">
            <v>0.06</v>
          </cell>
          <cell r="AV137">
            <v>7.4999999999999997E-2</v>
          </cell>
          <cell r="AW137">
            <v>7.4999999999999997E-2</v>
          </cell>
          <cell r="AX137">
            <v>7.4999999999999997E-2</v>
          </cell>
          <cell r="AY137">
            <v>7.4999999999999997E-2</v>
          </cell>
          <cell r="AZ137">
            <v>5.5E-2</v>
          </cell>
          <cell r="BA137">
            <v>7.4999999999999997E-2</v>
          </cell>
          <cell r="BB137">
            <v>7.4999999999999997E-2</v>
          </cell>
          <cell r="BC137">
            <v>7.4999999999999997E-2</v>
          </cell>
          <cell r="BD137">
            <v>7.4999999999999997E-2</v>
          </cell>
          <cell r="BE137">
            <v>0.05</v>
          </cell>
        </row>
        <row r="138">
          <cell r="B138" t="str">
            <v>Royalty revenues to Biogen</v>
          </cell>
          <cell r="Q138">
            <v>15375</v>
          </cell>
          <cell r="R138">
            <v>0</v>
          </cell>
          <cell r="S138">
            <v>0</v>
          </cell>
          <cell r="T138">
            <v>0</v>
          </cell>
          <cell r="U138">
            <v>0</v>
          </cell>
          <cell r="V138">
            <v>16500</v>
          </cell>
          <cell r="W138">
            <v>3375</v>
          </cell>
          <cell r="X138">
            <v>3750</v>
          </cell>
          <cell r="Y138">
            <v>4400</v>
          </cell>
          <cell r="Z138">
            <v>5600</v>
          </cell>
          <cell r="AA138">
            <v>17125</v>
          </cell>
          <cell r="AB138">
            <v>5400</v>
          </cell>
          <cell r="AC138">
            <v>5775</v>
          </cell>
          <cell r="AD138">
            <v>5250</v>
          </cell>
          <cell r="AE138">
            <v>5250</v>
          </cell>
          <cell r="AF138">
            <v>21675</v>
          </cell>
          <cell r="AG138">
            <v>0</v>
          </cell>
          <cell r="AH138">
            <v>0</v>
          </cell>
          <cell r="AI138">
            <v>0</v>
          </cell>
          <cell r="AJ138">
            <v>0</v>
          </cell>
          <cell r="AK138">
            <v>24750</v>
          </cell>
          <cell r="AL138">
            <v>0</v>
          </cell>
          <cell r="AM138">
            <v>0</v>
          </cell>
          <cell r="AN138">
            <v>0</v>
          </cell>
          <cell r="AO138">
            <v>0</v>
          </cell>
          <cell r="AP138">
            <v>24080.000000000004</v>
          </cell>
          <cell r="AQ138">
            <v>0</v>
          </cell>
          <cell r="AR138">
            <v>0</v>
          </cell>
          <cell r="AS138">
            <v>0</v>
          </cell>
          <cell r="AT138">
            <v>0</v>
          </cell>
          <cell r="AU138">
            <v>21420</v>
          </cell>
          <cell r="AV138">
            <v>0</v>
          </cell>
          <cell r="AW138">
            <v>0</v>
          </cell>
          <cell r="AX138">
            <v>0</v>
          </cell>
          <cell r="AY138">
            <v>0</v>
          </cell>
          <cell r="AZ138">
            <v>20460</v>
          </cell>
          <cell r="BA138">
            <v>0</v>
          </cell>
          <cell r="BB138">
            <v>0</v>
          </cell>
          <cell r="BC138">
            <v>0</v>
          </cell>
          <cell r="BD138">
            <v>0</v>
          </cell>
          <cell r="BE138">
            <v>19300</v>
          </cell>
        </row>
        <row r="140">
          <cell r="B140" t="str">
            <v>Energix B (SmithKline Beecham)</v>
          </cell>
          <cell r="Q140">
            <v>629000</v>
          </cell>
          <cell r="V140">
            <v>581000</v>
          </cell>
          <cell r="W140">
            <v>121745.45454545456</v>
          </cell>
          <cell r="X140">
            <v>135272.72727272726</v>
          </cell>
          <cell r="Y140">
            <v>148800</v>
          </cell>
          <cell r="Z140">
            <v>189381.81818181818</v>
          </cell>
          <cell r="AA140">
            <v>595200</v>
          </cell>
          <cell r="AB140">
            <v>118000</v>
          </cell>
          <cell r="AC140">
            <v>128993.10344827587</v>
          </cell>
          <cell r="AD140">
            <v>110000</v>
          </cell>
          <cell r="AE140">
            <v>120000</v>
          </cell>
          <cell r="AF140">
            <v>476993.10344827588</v>
          </cell>
          <cell r="AK140">
            <v>481600</v>
          </cell>
          <cell r="AP140">
            <v>433600</v>
          </cell>
          <cell r="AU140">
            <v>425000</v>
          </cell>
          <cell r="AZ140">
            <v>420000</v>
          </cell>
          <cell r="BE140">
            <v>415000</v>
          </cell>
        </row>
        <row r="141">
          <cell r="B141" t="str">
            <v>Royalty rate, percent</v>
          </cell>
          <cell r="Q141">
            <v>7.4999999999999997E-2</v>
          </cell>
          <cell r="V141">
            <v>7.4999999999999997E-2</v>
          </cell>
          <cell r="W141">
            <v>7.4999999999999997E-2</v>
          </cell>
          <cell r="X141">
            <v>7.4999999999999997E-2</v>
          </cell>
          <cell r="Y141">
            <v>0.08</v>
          </cell>
          <cell r="Z141">
            <v>0.08</v>
          </cell>
          <cell r="AA141">
            <v>7.7840909090909086E-2</v>
          </cell>
          <cell r="AB141">
            <v>7.4999999999999997E-2</v>
          </cell>
          <cell r="AC141">
            <v>7.4999999999999997E-2</v>
          </cell>
          <cell r="AD141">
            <v>7.4999999999999997E-2</v>
          </cell>
          <cell r="AE141">
            <v>7.4999999999999997E-2</v>
          </cell>
          <cell r="AF141">
            <v>7.4999999999999997E-2</v>
          </cell>
          <cell r="AG141">
            <v>7.4999999999999997E-2</v>
          </cell>
          <cell r="AH141">
            <v>7.4999999999999997E-2</v>
          </cell>
          <cell r="AI141">
            <v>7.4999999999999997E-2</v>
          </cell>
          <cell r="AJ141">
            <v>7.4999999999999997E-2</v>
          </cell>
          <cell r="AK141">
            <v>7.4999999999999997E-2</v>
          </cell>
          <cell r="AL141">
            <v>7.4999999999999997E-2</v>
          </cell>
          <cell r="AM141">
            <v>7.4999999999999997E-2</v>
          </cell>
          <cell r="AN141">
            <v>7.4999999999999997E-2</v>
          </cell>
          <cell r="AO141">
            <v>7.4999999999999997E-2</v>
          </cell>
          <cell r="AP141">
            <v>7.0000000000000007E-2</v>
          </cell>
          <cell r="AQ141">
            <v>7.4999999999999997E-2</v>
          </cell>
          <cell r="AR141">
            <v>7.4999999999999997E-2</v>
          </cell>
          <cell r="AS141">
            <v>7.4999999999999997E-2</v>
          </cell>
          <cell r="AT141">
            <v>7.4999999999999997E-2</v>
          </cell>
          <cell r="AU141">
            <v>0.06</v>
          </cell>
          <cell r="AV141">
            <v>7.4999999999999997E-2</v>
          </cell>
          <cell r="AW141">
            <v>7.4999999999999997E-2</v>
          </cell>
          <cell r="AX141">
            <v>7.4999999999999997E-2</v>
          </cell>
          <cell r="AY141">
            <v>7.4999999999999997E-2</v>
          </cell>
          <cell r="AZ141">
            <v>5.5E-2</v>
          </cell>
          <cell r="BA141">
            <v>7.4999999999999997E-2</v>
          </cell>
          <cell r="BB141">
            <v>7.4999999999999997E-2</v>
          </cell>
          <cell r="BC141">
            <v>7.4999999999999997E-2</v>
          </cell>
          <cell r="BD141">
            <v>7.4999999999999997E-2</v>
          </cell>
          <cell r="BE141">
            <v>0.05</v>
          </cell>
        </row>
        <row r="142">
          <cell r="B142" t="str">
            <v>Royalty revenues to Biogen</v>
          </cell>
          <cell r="Q142">
            <v>47175</v>
          </cell>
          <cell r="R142">
            <v>0</v>
          </cell>
          <cell r="S142">
            <v>0</v>
          </cell>
          <cell r="T142">
            <v>0</v>
          </cell>
          <cell r="U142">
            <v>0</v>
          </cell>
          <cell r="V142">
            <v>43575</v>
          </cell>
          <cell r="W142">
            <v>9130.9090909090919</v>
          </cell>
          <cell r="X142">
            <v>10145.454545454544</v>
          </cell>
          <cell r="Y142">
            <v>11904</v>
          </cell>
          <cell r="Z142">
            <v>15150.545454545454</v>
          </cell>
          <cell r="AA142">
            <v>46330.909090909088</v>
          </cell>
          <cell r="AB142">
            <v>8850</v>
          </cell>
          <cell r="AC142">
            <v>9674.4827586206902</v>
          </cell>
          <cell r="AD142">
            <v>8250</v>
          </cell>
          <cell r="AE142">
            <v>9000</v>
          </cell>
          <cell r="AF142">
            <v>35774.482758620688</v>
          </cell>
          <cell r="AG142">
            <v>0</v>
          </cell>
          <cell r="AH142">
            <v>0</v>
          </cell>
          <cell r="AI142">
            <v>0</v>
          </cell>
          <cell r="AJ142">
            <v>0</v>
          </cell>
          <cell r="AK142">
            <v>36120</v>
          </cell>
          <cell r="AL142">
            <v>0</v>
          </cell>
          <cell r="AM142">
            <v>0</v>
          </cell>
          <cell r="AN142">
            <v>0</v>
          </cell>
          <cell r="AO142">
            <v>0</v>
          </cell>
          <cell r="AP142">
            <v>30352.000000000004</v>
          </cell>
          <cell r="AQ142">
            <v>0</v>
          </cell>
          <cell r="AR142">
            <v>0</v>
          </cell>
          <cell r="AS142">
            <v>0</v>
          </cell>
          <cell r="AT142">
            <v>0</v>
          </cell>
          <cell r="AU142">
            <v>25500</v>
          </cell>
          <cell r="AV142">
            <v>0</v>
          </cell>
          <cell r="AW142">
            <v>0</v>
          </cell>
          <cell r="AX142">
            <v>0</v>
          </cell>
          <cell r="AY142">
            <v>0</v>
          </cell>
          <cell r="AZ142">
            <v>23100</v>
          </cell>
          <cell r="BA142">
            <v>0</v>
          </cell>
          <cell r="BB142">
            <v>0</v>
          </cell>
          <cell r="BC142">
            <v>0</v>
          </cell>
          <cell r="BD142">
            <v>0</v>
          </cell>
          <cell r="BE142">
            <v>20750</v>
          </cell>
        </row>
        <row r="144">
          <cell r="A144" t="str">
            <v>Alpha Interferon</v>
          </cell>
        </row>
        <row r="145">
          <cell r="B145" t="str">
            <v>Intron A (Schering-Plough)</v>
          </cell>
          <cell r="Q145">
            <v>433000</v>
          </cell>
          <cell r="V145">
            <v>524000</v>
          </cell>
          <cell r="W145">
            <v>144000</v>
          </cell>
          <cell r="X145">
            <v>145000</v>
          </cell>
          <cell r="Y145">
            <v>158000</v>
          </cell>
          <cell r="Z145">
            <v>161000</v>
          </cell>
          <cell r="AA145">
            <v>608000</v>
          </cell>
          <cell r="AB145">
            <v>165000</v>
          </cell>
          <cell r="AC145">
            <v>170000</v>
          </cell>
          <cell r="AD145">
            <v>170000</v>
          </cell>
          <cell r="AE145">
            <v>175000</v>
          </cell>
          <cell r="AF145">
            <v>680000</v>
          </cell>
          <cell r="AK145">
            <v>790000</v>
          </cell>
          <cell r="AP145">
            <v>879000</v>
          </cell>
          <cell r="AU145">
            <v>964000</v>
          </cell>
          <cell r="AZ145">
            <v>519000</v>
          </cell>
          <cell r="BE145">
            <v>576000</v>
          </cell>
        </row>
        <row r="146">
          <cell r="B146" t="str">
            <v>Royalty rate, percent</v>
          </cell>
          <cell r="Q146">
            <v>0.12439030023094688</v>
          </cell>
          <cell r="R146">
            <v>0</v>
          </cell>
          <cell r="S146">
            <v>0</v>
          </cell>
          <cell r="T146">
            <v>0</v>
          </cell>
          <cell r="U146">
            <v>0</v>
          </cell>
          <cell r="V146">
            <v>0.13381679389312978</v>
          </cell>
          <cell r="W146">
            <v>0.13400000000000001</v>
          </cell>
          <cell r="X146">
            <v>0.13400000000000001</v>
          </cell>
          <cell r="Y146">
            <v>0.13</v>
          </cell>
          <cell r="Z146">
            <v>0.13</v>
          </cell>
          <cell r="AA146">
            <v>0.13190131578947367</v>
          </cell>
          <cell r="AB146">
            <v>0.13</v>
          </cell>
          <cell r="AC146">
            <v>0.13</v>
          </cell>
          <cell r="AD146">
            <v>0.13</v>
          </cell>
          <cell r="AE146">
            <v>0.13</v>
          </cell>
          <cell r="AF146">
            <v>0.13</v>
          </cell>
          <cell r="AG146">
            <v>0.13</v>
          </cell>
          <cell r="AH146">
            <v>0.13</v>
          </cell>
          <cell r="AI146">
            <v>0.13</v>
          </cell>
          <cell r="AJ146">
            <v>0.13</v>
          </cell>
          <cell r="AK146">
            <v>0.13</v>
          </cell>
          <cell r="AL146">
            <v>0.13</v>
          </cell>
          <cell r="AM146">
            <v>0.13</v>
          </cell>
          <cell r="AN146">
            <v>0.13</v>
          </cell>
          <cell r="AO146">
            <v>0.13</v>
          </cell>
          <cell r="AP146">
            <v>0.13</v>
          </cell>
          <cell r="AQ146">
            <v>0.13</v>
          </cell>
          <cell r="AR146">
            <v>0.13</v>
          </cell>
          <cell r="AS146">
            <v>0.13</v>
          </cell>
          <cell r="AT146">
            <v>0.13</v>
          </cell>
          <cell r="AU146">
            <v>7.0000000000000007E-2</v>
          </cell>
          <cell r="AV146">
            <v>0.13</v>
          </cell>
          <cell r="AW146">
            <v>0.13</v>
          </cell>
          <cell r="AX146">
            <v>0.13</v>
          </cell>
          <cell r="AY146">
            <v>0.13</v>
          </cell>
          <cell r="AZ146">
            <v>0.12</v>
          </cell>
          <cell r="BA146">
            <v>0.13</v>
          </cell>
          <cell r="BB146">
            <v>0.13</v>
          </cell>
          <cell r="BC146">
            <v>0.13</v>
          </cell>
          <cell r="BD146">
            <v>0.13</v>
          </cell>
          <cell r="BE146">
            <v>0.11</v>
          </cell>
        </row>
        <row r="147">
          <cell r="B147" t="str">
            <v>Royalty revenues to Biogen</v>
          </cell>
          <cell r="Q147">
            <v>53861</v>
          </cell>
          <cell r="V147">
            <v>70120</v>
          </cell>
          <cell r="W147">
            <v>19296</v>
          </cell>
          <cell r="X147">
            <v>19430</v>
          </cell>
          <cell r="Y147">
            <v>20540</v>
          </cell>
          <cell r="Z147">
            <v>20930</v>
          </cell>
          <cell r="AA147">
            <v>80196</v>
          </cell>
          <cell r="AB147">
            <v>21450</v>
          </cell>
          <cell r="AC147">
            <v>22100</v>
          </cell>
          <cell r="AD147">
            <v>22100</v>
          </cell>
          <cell r="AE147">
            <v>22750</v>
          </cell>
          <cell r="AF147">
            <v>88400</v>
          </cell>
          <cell r="AG147">
            <v>0</v>
          </cell>
          <cell r="AH147">
            <v>0</v>
          </cell>
          <cell r="AI147">
            <v>0</v>
          </cell>
          <cell r="AJ147">
            <v>0</v>
          </cell>
          <cell r="AK147">
            <v>102700</v>
          </cell>
          <cell r="AL147">
            <v>0</v>
          </cell>
          <cell r="AM147">
            <v>0</v>
          </cell>
          <cell r="AN147">
            <v>0</v>
          </cell>
          <cell r="AO147">
            <v>0</v>
          </cell>
          <cell r="AP147">
            <v>114270</v>
          </cell>
          <cell r="AQ147">
            <v>0</v>
          </cell>
          <cell r="AR147">
            <v>0</v>
          </cell>
          <cell r="AS147">
            <v>0</v>
          </cell>
          <cell r="AT147">
            <v>0</v>
          </cell>
          <cell r="AU147">
            <v>67480</v>
          </cell>
          <cell r="AV147">
            <v>0</v>
          </cell>
          <cell r="AW147">
            <v>0</v>
          </cell>
          <cell r="AX147">
            <v>0</v>
          </cell>
          <cell r="AY147">
            <v>0</v>
          </cell>
          <cell r="AZ147">
            <v>62280</v>
          </cell>
          <cell r="BA147">
            <v>0</v>
          </cell>
          <cell r="BB147">
            <v>0</v>
          </cell>
          <cell r="BC147">
            <v>0</v>
          </cell>
          <cell r="BD147">
            <v>0</v>
          </cell>
          <cell r="BE147">
            <v>63360</v>
          </cell>
        </row>
        <row r="149">
          <cell r="A149" t="str">
            <v>Human growth hormone</v>
          </cell>
        </row>
        <row r="150">
          <cell r="B150" t="str">
            <v>Genotropin (Pharmacia &amp; Upjohn)</v>
          </cell>
          <cell r="Q150">
            <v>388000</v>
          </cell>
          <cell r="V150">
            <v>397000</v>
          </cell>
          <cell r="W150">
            <v>93000</v>
          </cell>
          <cell r="X150">
            <v>113000</v>
          </cell>
          <cell r="Y150">
            <v>99000</v>
          </cell>
          <cell r="Z150">
            <v>105000</v>
          </cell>
          <cell r="AA150">
            <v>410000</v>
          </cell>
          <cell r="AB150">
            <v>106000</v>
          </cell>
          <cell r="AC150">
            <v>114000</v>
          </cell>
          <cell r="AD150">
            <v>112475</v>
          </cell>
          <cell r="AE150">
            <v>115000</v>
          </cell>
          <cell r="AF150">
            <v>447475</v>
          </cell>
          <cell r="AK150">
            <v>483000</v>
          </cell>
          <cell r="AP150">
            <v>510000</v>
          </cell>
          <cell r="AU150">
            <v>540000</v>
          </cell>
          <cell r="AZ150">
            <v>635400</v>
          </cell>
          <cell r="BE150">
            <v>669800</v>
          </cell>
        </row>
        <row r="151">
          <cell r="C151" t="str">
            <v>Royalty rate, percent</v>
          </cell>
          <cell r="Q151">
            <v>0</v>
          </cell>
          <cell r="R151">
            <v>0</v>
          </cell>
          <cell r="S151">
            <v>0</v>
          </cell>
          <cell r="T151">
            <v>0</v>
          </cell>
          <cell r="U151">
            <v>0</v>
          </cell>
          <cell r="V151">
            <v>0</v>
          </cell>
          <cell r="W151">
            <v>2.5000000000000001E-2</v>
          </cell>
          <cell r="X151">
            <v>2.5000000000000001E-2</v>
          </cell>
          <cell r="Y151">
            <v>2.5000000000000001E-2</v>
          </cell>
          <cell r="Z151">
            <v>2.5000000000000001E-2</v>
          </cell>
          <cell r="AA151">
            <v>2.5000000000000001E-2</v>
          </cell>
          <cell r="AB151">
            <v>2.5000000000000001E-2</v>
          </cell>
          <cell r="AC151">
            <v>2.5000000000000001E-2</v>
          </cell>
          <cell r="AD151">
            <v>2.5000000000000001E-2</v>
          </cell>
          <cell r="AE151">
            <v>2.5000000000000001E-2</v>
          </cell>
          <cell r="AF151">
            <v>2.5000000000000001E-2</v>
          </cell>
          <cell r="AG151">
            <v>0</v>
          </cell>
          <cell r="AH151">
            <v>0</v>
          </cell>
          <cell r="AI151">
            <v>0</v>
          </cell>
          <cell r="AJ151">
            <v>0</v>
          </cell>
          <cell r="AK151">
            <v>2.5000000000000001E-2</v>
          </cell>
          <cell r="AL151">
            <v>0</v>
          </cell>
          <cell r="AM151">
            <v>0</v>
          </cell>
          <cell r="AN151">
            <v>0</v>
          </cell>
          <cell r="AO151">
            <v>0</v>
          </cell>
          <cell r="AP151">
            <v>2.5000000000000001E-2</v>
          </cell>
          <cell r="AQ151">
            <v>0</v>
          </cell>
          <cell r="AR151">
            <v>0</v>
          </cell>
          <cell r="AS151">
            <v>0</v>
          </cell>
          <cell r="AT151">
            <v>0</v>
          </cell>
          <cell r="AU151">
            <v>2.5000000000000001E-2</v>
          </cell>
          <cell r="AV151">
            <v>0</v>
          </cell>
          <cell r="AW151">
            <v>0</v>
          </cell>
          <cell r="AX151">
            <v>0</v>
          </cell>
          <cell r="AY151">
            <v>0</v>
          </cell>
          <cell r="AZ151">
            <v>2.5000000000000001E-2</v>
          </cell>
          <cell r="BA151">
            <v>0</v>
          </cell>
          <cell r="BB151">
            <v>0</v>
          </cell>
          <cell r="BC151">
            <v>0</v>
          </cell>
          <cell r="BD151">
            <v>0</v>
          </cell>
          <cell r="BE151">
            <v>2.5000000000000001E-2</v>
          </cell>
        </row>
        <row r="152">
          <cell r="C152" t="str">
            <v>Royalty revenues to Biogen</v>
          </cell>
          <cell r="Q152">
            <v>0</v>
          </cell>
          <cell r="V152">
            <v>0</v>
          </cell>
          <cell r="W152">
            <v>2325</v>
          </cell>
          <cell r="X152">
            <v>2825</v>
          </cell>
          <cell r="Y152">
            <v>2475</v>
          </cell>
          <cell r="Z152">
            <v>2625</v>
          </cell>
          <cell r="AA152">
            <v>10250</v>
          </cell>
          <cell r="AB152">
            <v>2650</v>
          </cell>
          <cell r="AC152">
            <v>2850</v>
          </cell>
          <cell r="AD152">
            <v>2811.875</v>
          </cell>
          <cell r="AE152">
            <v>2875</v>
          </cell>
          <cell r="AF152">
            <v>11186.875</v>
          </cell>
          <cell r="AG152">
            <v>0</v>
          </cell>
          <cell r="AH152">
            <v>0</v>
          </cell>
          <cell r="AI152">
            <v>0</v>
          </cell>
          <cell r="AJ152">
            <v>0</v>
          </cell>
          <cell r="AK152">
            <v>12075</v>
          </cell>
          <cell r="AL152">
            <v>0</v>
          </cell>
          <cell r="AM152">
            <v>0</v>
          </cell>
          <cell r="AN152">
            <v>0</v>
          </cell>
          <cell r="AO152">
            <v>0</v>
          </cell>
          <cell r="AP152">
            <v>12750</v>
          </cell>
          <cell r="AQ152">
            <v>0</v>
          </cell>
          <cell r="AR152">
            <v>0</v>
          </cell>
          <cell r="AS152">
            <v>0</v>
          </cell>
          <cell r="AT152">
            <v>0</v>
          </cell>
          <cell r="AU152">
            <v>13500</v>
          </cell>
          <cell r="AV152">
            <v>0</v>
          </cell>
          <cell r="AW152">
            <v>0</v>
          </cell>
          <cell r="AX152">
            <v>0</v>
          </cell>
          <cell r="AY152">
            <v>0</v>
          </cell>
          <cell r="AZ152">
            <v>15885</v>
          </cell>
          <cell r="BA152">
            <v>0</v>
          </cell>
          <cell r="BB152">
            <v>0</v>
          </cell>
          <cell r="BC152">
            <v>0</v>
          </cell>
          <cell r="BD152">
            <v>0</v>
          </cell>
          <cell r="BE152">
            <v>16745</v>
          </cell>
        </row>
        <row r="154">
          <cell r="A154" t="str">
            <v>COGS (licensed products)</v>
          </cell>
          <cell r="G154">
            <v>0</v>
          </cell>
          <cell r="H154">
            <v>2471</v>
          </cell>
          <cell r="I154">
            <v>2146</v>
          </cell>
          <cell r="J154">
            <v>2200</v>
          </cell>
          <cell r="K154">
            <v>3131</v>
          </cell>
          <cell r="L154">
            <v>9948</v>
          </cell>
          <cell r="M154">
            <v>2504</v>
          </cell>
          <cell r="N154">
            <v>2648</v>
          </cell>
          <cell r="O154">
            <v>2601</v>
          </cell>
          <cell r="P154">
            <v>2751</v>
          </cell>
          <cell r="Q154">
            <v>10504</v>
          </cell>
          <cell r="R154">
            <v>4153</v>
          </cell>
          <cell r="S154">
            <v>3836</v>
          </cell>
          <cell r="T154">
            <v>10424</v>
          </cell>
          <cell r="U154">
            <v>4000</v>
          </cell>
          <cell r="V154">
            <v>20000</v>
          </cell>
          <cell r="W154">
            <v>4250</v>
          </cell>
          <cell r="X154">
            <v>4250</v>
          </cell>
          <cell r="Y154">
            <v>4250</v>
          </cell>
          <cell r="Z154">
            <v>3849.8999999999992</v>
          </cell>
          <cell r="AA154">
            <v>16476.704999999998</v>
          </cell>
          <cell r="AB154">
            <v>3837.1999999999994</v>
          </cell>
          <cell r="AC154">
            <v>4173.9482758620679</v>
          </cell>
          <cell r="AD154">
            <v>3841.1874999999991</v>
          </cell>
          <cell r="AE154">
            <v>3987.4999999999991</v>
          </cell>
          <cell r="AF154">
            <v>15839.835775862066</v>
          </cell>
          <cell r="AG154">
            <v>129.99999999999997</v>
          </cell>
          <cell r="AH154">
            <v>133.99999999999997</v>
          </cell>
          <cell r="AI154">
            <v>0</v>
          </cell>
          <cell r="AJ154">
            <v>0</v>
          </cell>
          <cell r="AK154">
            <v>18442.724999999999</v>
          </cell>
          <cell r="AL154">
            <v>136.49999999999997</v>
          </cell>
          <cell r="AM154">
            <v>140.69999999999999</v>
          </cell>
          <cell r="AN154">
            <v>0</v>
          </cell>
          <cell r="AO154">
            <v>0</v>
          </cell>
          <cell r="AP154">
            <v>19052.459999999995</v>
          </cell>
          <cell r="AQ154">
            <v>136.49999999999997</v>
          </cell>
          <cell r="AR154">
            <v>140.69999999999999</v>
          </cell>
          <cell r="AS154">
            <v>0</v>
          </cell>
          <cell r="AT154">
            <v>0</v>
          </cell>
          <cell r="AU154">
            <v>18679.499999999996</v>
          </cell>
          <cell r="AV154">
            <v>136.49999999999997</v>
          </cell>
          <cell r="AW154">
            <v>140.69999999999999</v>
          </cell>
          <cell r="AX154">
            <v>0</v>
          </cell>
          <cell r="AY154">
            <v>0</v>
          </cell>
          <cell r="AZ154">
            <v>18556.124999999996</v>
          </cell>
          <cell r="BA154">
            <v>136.49999999999997</v>
          </cell>
          <cell r="BB154">
            <v>140.69999999999999</v>
          </cell>
          <cell r="BC154">
            <v>0</v>
          </cell>
          <cell r="BD154">
            <v>0</v>
          </cell>
          <cell r="BE154">
            <v>18506.774999999998</v>
          </cell>
        </row>
      </sheetData>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Liens data"/>
      <sheetName val="Grille"/>
      <sheetName val="CA  produits"/>
      <sheetName val="CA trim"/>
      <sheetName val="LeadProducts"/>
      <sheetName val="Pipeline"/>
      <sheetName val="Distribution"/>
      <sheetName val="CA geog"/>
      <sheetName val="Modeles (S)"/>
    </sheetNames>
    <sheetDataSet>
      <sheetData sheetId="0"/>
      <sheetData sheetId="1"/>
      <sheetData sheetId="2"/>
      <sheetData sheetId="3" refreshError="1">
        <row r="1">
          <cell r="A1" t="str">
            <v>M$ sauf EPS (CHF)</v>
          </cell>
          <cell r="C1">
            <v>1998</v>
          </cell>
          <cell r="D1">
            <v>1999</v>
          </cell>
          <cell r="E1">
            <v>2000</v>
          </cell>
          <cell r="G1">
            <v>2002</v>
          </cell>
          <cell r="I1">
            <v>2004</v>
          </cell>
          <cell r="K1">
            <v>2006</v>
          </cell>
          <cell r="M1">
            <v>2008</v>
          </cell>
          <cell r="O1">
            <v>2010</v>
          </cell>
          <cell r="Q1">
            <v>2012</v>
          </cell>
          <cell r="S1">
            <v>2014</v>
          </cell>
        </row>
        <row r="2">
          <cell r="A2" t="str">
            <v>CA</v>
          </cell>
          <cell r="D2">
            <v>0.22879111176513867</v>
          </cell>
          <cell r="E2">
            <v>8.6614173228346303E-2</v>
          </cell>
          <cell r="G2">
            <v>0.3753517444032175</v>
          </cell>
        </row>
        <row r="4">
          <cell r="C4">
            <v>0.33974856433338618</v>
          </cell>
          <cell r="E4">
            <v>3.8398394746441467E-2</v>
          </cell>
          <cell r="G4">
            <v>-2.2427435920335803</v>
          </cell>
        </row>
        <row r="5">
          <cell r="C5">
            <v>663.3</v>
          </cell>
          <cell r="D5">
            <v>822.8</v>
          </cell>
          <cell r="E5">
            <v>845</v>
          </cell>
          <cell r="F5">
            <v>865</v>
          </cell>
          <cell r="G5">
            <v>1116.5999999999999</v>
          </cell>
        </row>
        <row r="6">
          <cell r="D6">
            <v>0.24633992994221726</v>
          </cell>
          <cell r="E6">
            <v>0.23282085193144875</v>
          </cell>
          <cell r="F6">
            <v>0.21540453719152328</v>
          </cell>
          <cell r="G6">
            <v>0.20217273221075502</v>
          </cell>
        </row>
        <row r="7">
          <cell r="E7">
            <v>2.11185418305796</v>
          </cell>
        </row>
        <row r="8">
          <cell r="E8">
            <v>0.32001433434868315</v>
          </cell>
          <cell r="G8">
            <v>-1.0328707085463849</v>
          </cell>
        </row>
        <row r="9">
          <cell r="E9">
            <v>0.1275373180938105</v>
          </cell>
        </row>
      </sheetData>
      <sheetData sheetId="4" refreshError="1">
        <row r="1">
          <cell r="A1" t="str">
            <v>Consolidated income statement</v>
          </cell>
          <cell r="B1">
            <v>1997</v>
          </cell>
          <cell r="C1">
            <v>1998</v>
          </cell>
          <cell r="D1">
            <v>1999</v>
          </cell>
          <cell r="E1">
            <v>2000</v>
          </cell>
          <cell r="F1">
            <v>2001</v>
          </cell>
          <cell r="G1">
            <v>2002</v>
          </cell>
          <cell r="H1">
            <v>2003</v>
          </cell>
          <cell r="I1">
            <v>2004</v>
          </cell>
          <cell r="J1">
            <v>2005</v>
          </cell>
          <cell r="K1">
            <v>2006</v>
          </cell>
          <cell r="L1">
            <v>2007</v>
          </cell>
          <cell r="M1">
            <v>2008</v>
          </cell>
          <cell r="N1">
            <v>2009</v>
          </cell>
          <cell r="Y1" t="str">
            <v>CA cumulé</v>
          </cell>
          <cell r="BE1">
            <v>2001</v>
          </cell>
        </row>
        <row r="2">
          <cell r="A2" t="str">
            <v>in millions of USD</v>
          </cell>
          <cell r="BE2" t="str">
            <v>T4</v>
          </cell>
        </row>
        <row r="3">
          <cell r="A3" t="str">
            <v>Consensus sales ($)</v>
          </cell>
        </row>
        <row r="4">
          <cell r="A4" t="str">
            <v>variation</v>
          </cell>
        </row>
        <row r="5">
          <cell r="A5" t="str">
            <v>Product sales</v>
          </cell>
          <cell r="B5">
            <v>2219.8000000000002</v>
          </cell>
          <cell r="C5">
            <v>2514.4</v>
          </cell>
          <cell r="D5">
            <v>3042.8</v>
          </cell>
          <cell r="E5">
            <v>3202.2</v>
          </cell>
          <cell r="F5">
            <v>3511</v>
          </cell>
          <cell r="G5">
            <v>4991.2</v>
          </cell>
          <cell r="H5">
            <v>7868</v>
          </cell>
          <cell r="I5">
            <v>9977</v>
          </cell>
          <cell r="Y5" t="str">
            <v>Product sales</v>
          </cell>
        </row>
        <row r="6">
          <cell r="A6" t="str">
            <v>Other revenues</v>
          </cell>
          <cell r="B6">
            <v>181.2</v>
          </cell>
          <cell r="C6">
            <v>203.8</v>
          </cell>
          <cell r="D6">
            <v>297.3</v>
          </cell>
          <cell r="E6">
            <v>427.2</v>
          </cell>
          <cell r="F6">
            <v>504.7</v>
          </cell>
          <cell r="G6">
            <v>531.79999999999995</v>
          </cell>
          <cell r="H6">
            <v>488</v>
          </cell>
          <cell r="I6">
            <v>573</v>
          </cell>
          <cell r="Y6" t="str">
            <v>Other revenues</v>
          </cell>
        </row>
        <row r="7">
          <cell r="B7">
            <v>7.5468554768846313E-2</v>
          </cell>
          <cell r="C7">
            <v>7.4976087116474133E-2</v>
          </cell>
          <cell r="D7">
            <v>8.9009311098470101E-2</v>
          </cell>
          <cell r="E7">
            <v>0.11770540585220698</v>
          </cell>
          <cell r="F7">
            <v>0.12568169933012924</v>
          </cell>
          <cell r="G7">
            <v>9.6288249139960161E-2</v>
          </cell>
          <cell r="H7">
            <v>5.8401148875059837E-2</v>
          </cell>
          <cell r="I7">
            <v>5.4312796208530807E-2</v>
          </cell>
        </row>
        <row r="8">
          <cell r="A8" t="str">
            <v>Sales</v>
          </cell>
          <cell r="B8">
            <v>2401</v>
          </cell>
          <cell r="C8">
            <v>2718.2000000000003</v>
          </cell>
          <cell r="D8">
            <v>3340.1000000000004</v>
          </cell>
          <cell r="E8">
            <v>3629.3999999999996</v>
          </cell>
          <cell r="F8">
            <v>4015.7</v>
          </cell>
          <cell r="G8">
            <v>5523</v>
          </cell>
          <cell r="H8">
            <v>8356</v>
          </cell>
          <cell r="I8">
            <v>10550</v>
          </cell>
          <cell r="J8">
            <v>14266.36</v>
          </cell>
          <cell r="K8">
            <v>16034.28</v>
          </cell>
          <cell r="L8">
            <v>17780.36</v>
          </cell>
          <cell r="M8">
            <v>19528.55</v>
          </cell>
          <cell r="N8">
            <v>0</v>
          </cell>
          <cell r="Y8" t="str">
            <v>Sales</v>
          </cell>
        </row>
        <row r="9">
          <cell r="A9" t="str">
            <v>Variation</v>
          </cell>
          <cell r="C9">
            <v>0.1321116201582675</v>
          </cell>
          <cell r="D9">
            <v>0.22879111176513867</v>
          </cell>
          <cell r="E9">
            <v>8.6614173228346303E-2</v>
          </cell>
          <cell r="F9">
            <v>0.10643632556345417</v>
          </cell>
          <cell r="G9">
            <v>0.3753517444032175</v>
          </cell>
          <cell r="H9">
            <v>0.51294586275574861</v>
          </cell>
          <cell r="I9">
            <v>0.2625658209669699</v>
          </cell>
          <cell r="J9">
            <v>0.3522616113744077</v>
          </cell>
          <cell r="K9">
            <v>0.12392228991838139</v>
          </cell>
          <cell r="L9">
            <v>0.10889668884415138</v>
          </cell>
          <cell r="M9">
            <v>9.8321406315732496E-2</v>
          </cell>
          <cell r="N9">
            <v>-1</v>
          </cell>
          <cell r="Y9" t="str">
            <v>Variation</v>
          </cell>
        </row>
        <row r="11">
          <cell r="A11" t="str">
            <v>Cost of sales</v>
          </cell>
          <cell r="B11">
            <v>-300.8</v>
          </cell>
          <cell r="C11">
            <v>-345.2</v>
          </cell>
          <cell r="D11">
            <v>-402.1</v>
          </cell>
          <cell r="E11">
            <v>-408.4</v>
          </cell>
          <cell r="F11">
            <v>-443</v>
          </cell>
          <cell r="G11">
            <v>-735.7</v>
          </cell>
          <cell r="H11">
            <v>-1341</v>
          </cell>
          <cell r="I11">
            <v>-1729</v>
          </cell>
          <cell r="J11">
            <v>-2289.5151699377693</v>
          </cell>
          <cell r="K11">
            <v>-2573.2371325993299</v>
          </cell>
          <cell r="L11">
            <v>-2853.4541359502155</v>
          </cell>
          <cell r="M11">
            <v>-3134.009759454284</v>
          </cell>
          <cell r="N11">
            <v>0</v>
          </cell>
          <cell r="Y11" t="str">
            <v>Cost of sales</v>
          </cell>
        </row>
        <row r="12">
          <cell r="A12" t="str">
            <v>% of sales</v>
          </cell>
          <cell r="B12">
            <v>-0.12528113286130779</v>
          </cell>
          <cell r="C12">
            <v>-0.12699580604812005</v>
          </cell>
          <cell r="D12">
            <v>-0.1203856171970899</v>
          </cell>
          <cell r="E12">
            <v>-0.11252548630627653</v>
          </cell>
          <cell r="F12">
            <v>-0.11031700575242175</v>
          </cell>
          <cell r="G12">
            <v>-0.13320659062103929</v>
          </cell>
          <cell r="H12">
            <v>-0.16048348492101483</v>
          </cell>
          <cell r="I12">
            <v>-0.16048348492101483</v>
          </cell>
          <cell r="J12">
            <v>-0.16048348492101483</v>
          </cell>
          <cell r="K12">
            <v>-0.16048348492101483</v>
          </cell>
          <cell r="L12">
            <v>-0.16048348492101483</v>
          </cell>
          <cell r="M12">
            <v>-0.16048348492101483</v>
          </cell>
          <cell r="N12">
            <v>-0.16048348492101483</v>
          </cell>
          <cell r="Y12" t="str">
            <v>% of sales</v>
          </cell>
        </row>
        <row r="13">
          <cell r="A13" t="str">
            <v>% of product sales</v>
          </cell>
          <cell r="B13">
            <v>-0.1355077033967024</v>
          </cell>
          <cell r="C13">
            <v>-0.13728921412663059</v>
          </cell>
          <cell r="D13">
            <v>-0.13214802155909031</v>
          </cell>
          <cell r="E13">
            <v>-0.1275373180938105</v>
          </cell>
          <cell r="F13">
            <v>-0.12617487895186558</v>
          </cell>
          <cell r="G13">
            <v>-0.14739942298445266</v>
          </cell>
          <cell r="H13">
            <v>-0.17043721403152007</v>
          </cell>
          <cell r="I13">
            <v>-0.17329858674952389</v>
          </cell>
          <cell r="Y13" t="str">
            <v>% of product sales</v>
          </cell>
        </row>
        <row r="14">
          <cell r="A14" t="str">
            <v xml:space="preserve">Gross Profit </v>
          </cell>
          <cell r="B14">
            <v>2100.1999999999998</v>
          </cell>
          <cell r="C14">
            <v>2373.0000000000005</v>
          </cell>
          <cell r="D14">
            <v>2938.0000000000005</v>
          </cell>
          <cell r="E14">
            <v>3220.9999999999995</v>
          </cell>
          <cell r="F14">
            <v>3572.7</v>
          </cell>
          <cell r="G14">
            <v>4787.3</v>
          </cell>
          <cell r="H14">
            <v>7015</v>
          </cell>
          <cell r="I14">
            <v>8821</v>
          </cell>
          <cell r="J14">
            <v>11976.844830062231</v>
          </cell>
          <cell r="K14">
            <v>13461.042867400671</v>
          </cell>
          <cell r="L14">
            <v>14926.905864049786</v>
          </cell>
          <cell r="M14">
            <v>16394.540240545713</v>
          </cell>
          <cell r="N14">
            <v>0</v>
          </cell>
          <cell r="Y14" t="str">
            <v xml:space="preserve">Gross Profit </v>
          </cell>
        </row>
        <row r="15">
          <cell r="A15" t="str">
            <v>% of sales</v>
          </cell>
          <cell r="B15">
            <v>0.87471886713869218</v>
          </cell>
          <cell r="C15">
            <v>0.87300419395188</v>
          </cell>
          <cell r="D15">
            <v>0.87961438280291016</v>
          </cell>
          <cell r="E15">
            <v>0.88747451369372343</v>
          </cell>
          <cell r="F15">
            <v>0.88968299424757824</v>
          </cell>
          <cell r="G15">
            <v>0.86679340937896077</v>
          </cell>
          <cell r="H15">
            <v>0.83951651507898517</v>
          </cell>
          <cell r="I15">
            <v>0.83611374407582939</v>
          </cell>
          <cell r="J15">
            <v>0.83951651507898517</v>
          </cell>
          <cell r="K15">
            <v>0.83951651507898517</v>
          </cell>
          <cell r="L15">
            <v>0.83951651507898517</v>
          </cell>
          <cell r="M15">
            <v>0.83951651507898506</v>
          </cell>
          <cell r="N15" t="e">
            <v>#DIV/0!</v>
          </cell>
          <cell r="Y15" t="str">
            <v>% of sales</v>
          </cell>
        </row>
        <row r="16">
          <cell r="A16" t="str">
            <v>Selling, general and administrative expense</v>
          </cell>
          <cell r="B16">
            <v>-483.8</v>
          </cell>
          <cell r="C16">
            <v>-515.4</v>
          </cell>
          <cell r="D16">
            <v>-654.29999999999995</v>
          </cell>
          <cell r="E16">
            <v>-826.9</v>
          </cell>
          <cell r="F16">
            <v>-970.7</v>
          </cell>
          <cell r="G16">
            <v>-1462.1</v>
          </cell>
          <cell r="H16">
            <v>-1953</v>
          </cell>
          <cell r="I16">
            <v>-2548</v>
          </cell>
          <cell r="J16">
            <v>-3191.7309763523217</v>
          </cell>
          <cell r="K16">
            <v>-3507.0861877453326</v>
          </cell>
          <cell r="L16">
            <v>-3800.0944610818569</v>
          </cell>
          <cell r="M16">
            <v>-4076.0823426280508</v>
          </cell>
          <cell r="N16">
            <v>0</v>
          </cell>
          <cell r="Y16" t="str">
            <v>Selling, general and administrative expense</v>
          </cell>
        </row>
        <row r="17">
          <cell r="A17" t="str">
            <v>% of sales</v>
          </cell>
          <cell r="B17">
            <v>-0.2014993752603082</v>
          </cell>
          <cell r="C17">
            <v>-0.18961077183430208</v>
          </cell>
          <cell r="D17">
            <v>-0.19589233855273791</v>
          </cell>
          <cell r="E17">
            <v>-0.22783380173031356</v>
          </cell>
          <cell r="F17">
            <v>-0.2417262245685684</v>
          </cell>
          <cell r="G17">
            <v>-0.26472931377874342</v>
          </cell>
          <cell r="H17">
            <v>-0.23372426998563905</v>
          </cell>
          <cell r="I17">
            <v>-0.22872426998563905</v>
          </cell>
          <cell r="J17">
            <v>-0.22372426998563905</v>
          </cell>
          <cell r="K17">
            <v>-0.21872426998563904</v>
          </cell>
          <cell r="L17">
            <v>-0.21372426998563904</v>
          </cell>
          <cell r="M17">
            <v>-0.20872426998563903</v>
          </cell>
          <cell r="N17">
            <v>-0.20372426998563903</v>
          </cell>
          <cell r="Y17" t="str">
            <v>% of sales</v>
          </cell>
        </row>
        <row r="18">
          <cell r="A18" t="str">
            <v>Research &amp; Development</v>
          </cell>
          <cell r="B18">
            <v>-630.79999999999995</v>
          </cell>
          <cell r="C18">
            <v>-663.3</v>
          </cell>
          <cell r="D18">
            <v>-822.8</v>
          </cell>
          <cell r="E18">
            <v>-845</v>
          </cell>
          <cell r="F18">
            <v>-865</v>
          </cell>
          <cell r="G18">
            <v>-1116.5999999999999</v>
          </cell>
          <cell r="H18">
            <v>-1655</v>
          </cell>
          <cell r="I18">
            <v>-1996</v>
          </cell>
          <cell r="J18">
            <v>-2682.9498274772618</v>
          </cell>
          <cell r="K18">
            <v>-2935.2557138343705</v>
          </cell>
          <cell r="L18">
            <v>-3165.9935419818094</v>
          </cell>
          <cell r="M18">
            <v>-3379.635729415988</v>
          </cell>
          <cell r="N18">
            <v>0</v>
          </cell>
          <cell r="Y18" t="str">
            <v>Research &amp; Development</v>
          </cell>
        </row>
        <row r="19">
          <cell r="A19" t="str">
            <v>% of sales</v>
          </cell>
          <cell r="B19">
            <v>-0.26272386505622658</v>
          </cell>
          <cell r="C19">
            <v>-0.24402177911853429</v>
          </cell>
          <cell r="D19">
            <v>-0.24633992994221726</v>
          </cell>
          <cell r="E19">
            <v>-0.23282085193144875</v>
          </cell>
          <cell r="F19">
            <v>-0.21540453719152328</v>
          </cell>
          <cell r="G19">
            <v>-0.20217273221075502</v>
          </cell>
          <cell r="H19">
            <v>-0.19806127333652465</v>
          </cell>
          <cell r="I19">
            <v>-0.19306127333652465</v>
          </cell>
          <cell r="J19">
            <v>-0.18806127333652464</v>
          </cell>
          <cell r="K19">
            <v>-0.18306127333652464</v>
          </cell>
          <cell r="L19">
            <v>-0.17806127333652463</v>
          </cell>
          <cell r="M19">
            <v>-0.17306127333652463</v>
          </cell>
          <cell r="N19">
            <v>-0.16806127333652462</v>
          </cell>
          <cell r="Y19" t="str">
            <v>% of sales</v>
          </cell>
        </row>
        <row r="20">
          <cell r="A20" t="str">
            <v>Loss of affiliates, net</v>
          </cell>
          <cell r="B20">
            <v>-36.1</v>
          </cell>
          <cell r="C20">
            <v>-28.6</v>
          </cell>
          <cell r="D20">
            <v>-16.8</v>
          </cell>
          <cell r="E20">
            <v>-23.9</v>
          </cell>
          <cell r="F20">
            <v>-2.7</v>
          </cell>
          <cell r="G20">
            <v>12.6</v>
          </cell>
          <cell r="H20">
            <v>-4.3</v>
          </cell>
          <cell r="I20">
            <v>-5.4716736808028497</v>
          </cell>
          <cell r="J20">
            <v>0</v>
          </cell>
          <cell r="K20">
            <v>0</v>
          </cell>
          <cell r="L20">
            <v>0</v>
          </cell>
          <cell r="M20">
            <v>0</v>
          </cell>
          <cell r="N20">
            <v>0</v>
          </cell>
          <cell r="Y20" t="str">
            <v>Loss of affiliates, net</v>
          </cell>
        </row>
        <row r="21">
          <cell r="A21" t="str">
            <v>% of sales</v>
          </cell>
          <cell r="B21">
            <v>-1.5035401915868388E-2</v>
          </cell>
          <cell r="C21">
            <v>-1.0521668751379588E-2</v>
          </cell>
          <cell r="D21">
            <v>-5.0297895272596628E-3</v>
          </cell>
          <cell r="E21">
            <v>-6.5851104865818043E-3</v>
          </cell>
          <cell r="F21">
            <v>-6.7236098314117101E-4</v>
          </cell>
          <cell r="G21">
            <v>2.2813688212927757E-3</v>
          </cell>
          <cell r="H21">
            <v>2.2813688212927757E-3</v>
          </cell>
          <cell r="I21">
            <v>-6.7236098314117101E-4</v>
          </cell>
          <cell r="J21">
            <v>0</v>
          </cell>
          <cell r="K21">
            <v>0</v>
          </cell>
          <cell r="L21">
            <v>0</v>
          </cell>
          <cell r="M21">
            <v>0</v>
          </cell>
          <cell r="N21">
            <v>0</v>
          </cell>
          <cell r="Y21" t="str">
            <v>% of sales</v>
          </cell>
        </row>
        <row r="22">
          <cell r="A22" t="str">
            <v>Legal (assessment) award</v>
          </cell>
          <cell r="B22">
            <v>-157</v>
          </cell>
          <cell r="C22">
            <v>23</v>
          </cell>
          <cell r="D22">
            <v>49</v>
          </cell>
          <cell r="E22">
            <v>18.8</v>
          </cell>
          <cell r="F22">
            <v>-203.1</v>
          </cell>
          <cell r="G22">
            <v>141.30000000000001</v>
          </cell>
          <cell r="H22">
            <v>-321.2684221928929</v>
          </cell>
          <cell r="I22">
            <v>-411.59145354483655</v>
          </cell>
          <cell r="J22">
            <v>-536.89470079936257</v>
          </cell>
          <cell r="Y22" t="str">
            <v xml:space="preserve">Legal (assessment) award </v>
          </cell>
        </row>
        <row r="23">
          <cell r="A23" t="str">
            <v>% of sales</v>
          </cell>
          <cell r="B23">
            <v>-6.538942107455227E-2</v>
          </cell>
          <cell r="C23">
            <v>8.4614818629975708E-3</v>
          </cell>
          <cell r="D23">
            <v>1.4670219454507348E-2</v>
          </cell>
          <cell r="E23">
            <v>5.1799195459304578E-3</v>
          </cell>
          <cell r="F23">
            <v>-5.0576487287396971E-2</v>
          </cell>
          <cell r="G23">
            <v>2.5583921781640415E-2</v>
          </cell>
          <cell r="H23">
            <v>2.5583921781640415E-2</v>
          </cell>
          <cell r="I23">
            <v>-5.0576487287396971E-2</v>
          </cell>
          <cell r="J23">
            <v>0</v>
          </cell>
          <cell r="K23">
            <v>0</v>
          </cell>
          <cell r="L23">
            <v>0</v>
          </cell>
          <cell r="M23">
            <v>0</v>
          </cell>
          <cell r="N23">
            <v>0</v>
          </cell>
          <cell r="Y23" t="str">
            <v>% of sales</v>
          </cell>
        </row>
        <row r="24">
          <cell r="A24" t="str">
            <v>Acquired in process R&amp;D / amo of intangible assets</v>
          </cell>
          <cell r="B24">
            <v>0</v>
          </cell>
          <cell r="C24">
            <v>0</v>
          </cell>
          <cell r="D24">
            <v>0</v>
          </cell>
          <cell r="E24">
            <v>0</v>
          </cell>
          <cell r="F24">
            <v>0</v>
          </cell>
          <cell r="G24">
            <v>-3147</v>
          </cell>
          <cell r="H24">
            <v>-311.8</v>
          </cell>
          <cell r="I24">
            <v>3103.046940757527</v>
          </cell>
          <cell r="J24">
            <v>4047.726075155017</v>
          </cell>
          <cell r="Y24" t="str">
            <v xml:space="preserve">EBIT </v>
          </cell>
        </row>
        <row r="25">
          <cell r="A25" t="str">
            <v>% of sales</v>
          </cell>
          <cell r="B25">
            <v>0</v>
          </cell>
          <cell r="C25">
            <v>0</v>
          </cell>
          <cell r="D25">
            <v>0</v>
          </cell>
          <cell r="E25">
            <v>0</v>
          </cell>
          <cell r="F25">
            <v>0</v>
          </cell>
          <cell r="G25">
            <v>-0.56979902227050516</v>
          </cell>
          <cell r="H25">
            <v>-3.7314504547630446E-2</v>
          </cell>
          <cell r="I25">
            <v>0.38130338421694848</v>
          </cell>
          <cell r="J25">
            <v>0.38130338421694854</v>
          </cell>
          <cell r="K25" t="str">
            <v>by margins</v>
          </cell>
          <cell r="L25">
            <v>6500.545262859413</v>
          </cell>
          <cell r="M25" t="str">
            <v>by margins</v>
          </cell>
          <cell r="Y25" t="str">
            <v>% of sales</v>
          </cell>
        </row>
        <row r="26">
          <cell r="A26" t="str">
            <v xml:space="preserve">EBIT </v>
          </cell>
          <cell r="B26">
            <v>792.49999999999989</v>
          </cell>
          <cell r="C26">
            <v>1188.7000000000005</v>
          </cell>
          <cell r="D26">
            <v>1493.1000000000008</v>
          </cell>
          <cell r="E26">
            <v>1543.9999999999993</v>
          </cell>
          <cell r="F26">
            <v>1531.2</v>
          </cell>
          <cell r="G26">
            <v>-784.49999999999955</v>
          </cell>
          <cell r="H26">
            <v>3090.8999999999996</v>
          </cell>
          <cell r="I26">
            <v>4277</v>
          </cell>
          <cell r="J26">
            <v>6633.3854265350383</v>
          </cell>
          <cell r="K26">
            <v>7528.976767453184</v>
          </cell>
          <cell r="L26">
            <v>8554.3551551640176</v>
          </cell>
          <cell r="M26">
            <v>9524.1105228208417</v>
          </cell>
          <cell r="N26">
            <v>-297</v>
          </cell>
          <cell r="O26">
            <v>2000</v>
          </cell>
          <cell r="P26">
            <v>2001</v>
          </cell>
          <cell r="Q26">
            <v>2002</v>
          </cell>
          <cell r="R26">
            <v>2003</v>
          </cell>
          <cell r="S26">
            <v>2004</v>
          </cell>
          <cell r="T26" t="str">
            <v>Var 1999-2004</v>
          </cell>
          <cell r="Y26" t="str">
            <v>Variation</v>
          </cell>
        </row>
        <row r="27">
          <cell r="A27" t="str">
            <v>% of sales</v>
          </cell>
          <cell r="B27">
            <v>0.3300708038317367</v>
          </cell>
          <cell r="C27">
            <v>0.43731145611066163</v>
          </cell>
          <cell r="D27">
            <v>0.44702254423520271</v>
          </cell>
          <cell r="E27">
            <v>0.42541466909130971</v>
          </cell>
          <cell r="F27">
            <v>0.38130338421694848</v>
          </cell>
          <cell r="G27">
            <v>-0.14204236827810965</v>
          </cell>
          <cell r="H27">
            <v>0.36990186692197219</v>
          </cell>
          <cell r="I27">
            <v>0.40540284360189571</v>
          </cell>
          <cell r="J27">
            <v>0.46496691703665394</v>
          </cell>
          <cell r="K27">
            <v>0.46955502632192925</v>
          </cell>
          <cell r="L27">
            <v>0.48111259587342536</v>
          </cell>
          <cell r="M27">
            <v>0.48770187867613529</v>
          </cell>
          <cell r="N27" t="e">
            <v>#DIV/0!</v>
          </cell>
          <cell r="O27">
            <v>-0.11252548630627653</v>
          </cell>
          <cell r="P27">
            <v>-0.11031700575242175</v>
          </cell>
          <cell r="Q27">
            <v>-0.11031700575242175</v>
          </cell>
          <cell r="R27">
            <v>-0.11031700575242175</v>
          </cell>
          <cell r="S27">
            <v>-0.11031700575242175</v>
          </cell>
          <cell r="T27">
            <v>1.0068611444668155E-2</v>
          </cell>
        </row>
        <row r="28">
          <cell r="A28" t="str">
            <v>Variation</v>
          </cell>
          <cell r="B28">
            <v>949.49999999999989</v>
          </cell>
          <cell r="C28">
            <v>0.49993690851735106</v>
          </cell>
          <cell r="D28">
            <v>0.25607806847816961</v>
          </cell>
          <cell r="E28">
            <v>3.4090148014197519E-2</v>
          </cell>
          <cell r="F28">
            <v>-8.2901554404140043E-3</v>
          </cell>
          <cell r="G28">
            <v>-1.5123432601880875</v>
          </cell>
          <cell r="H28">
            <v>-4.9399617590822196</v>
          </cell>
          <cell r="I28">
            <v>0.38373936393930586</v>
          </cell>
          <cell r="J28">
            <v>4584.6207759543795</v>
          </cell>
          <cell r="M28" t="str">
            <v>Selling, general and administrative expense</v>
          </cell>
          <cell r="N28">
            <v>-0.19589233855273791</v>
          </cell>
          <cell r="O28">
            <v>1999</v>
          </cell>
          <cell r="P28">
            <v>2000</v>
          </cell>
          <cell r="Q28">
            <v>2001</v>
          </cell>
          <cell r="R28">
            <v>2002</v>
          </cell>
          <cell r="S28">
            <v>2003</v>
          </cell>
          <cell r="T28">
            <v>2004</v>
          </cell>
          <cell r="U28" t="str">
            <v>Var 1999-2004</v>
          </cell>
          <cell r="Y28" t="str">
            <v xml:space="preserve">EBIT </v>
          </cell>
        </row>
        <row r="29">
          <cell r="A29" t="str">
            <v>Adjustments</v>
          </cell>
          <cell r="B29">
            <v>0.39546022490628902</v>
          </cell>
          <cell r="C29">
            <v>0.42884997424766402</v>
          </cell>
          <cell r="D29">
            <v>0.43235232478069541</v>
          </cell>
          <cell r="E29">
            <v>0.42023474954537926</v>
          </cell>
          <cell r="F29">
            <v>0.43187987150434543</v>
          </cell>
          <cell r="G29">
            <v>3092.9</v>
          </cell>
          <cell r="H29">
            <v>428.4</v>
          </cell>
          <cell r="I29">
            <v>0.43187987150434548</v>
          </cell>
          <cell r="J29">
            <v>0.43187987150434548</v>
          </cell>
          <cell r="K29" t="str">
            <v>by consensus</v>
          </cell>
          <cell r="M29" t="str">
            <v>Research &amp; Development</v>
          </cell>
          <cell r="N29">
            <v>-0.24633992994221726</v>
          </cell>
          <cell r="O29">
            <v>-0.1203856171970899</v>
          </cell>
          <cell r="P29">
            <v>-0.11252548630627653</v>
          </cell>
          <cell r="Q29">
            <v>-0.11031700575242175</v>
          </cell>
          <cell r="R29">
            <v>-0.13320659062103929</v>
          </cell>
          <cell r="S29">
            <v>-0.16048348492101483</v>
          </cell>
          <cell r="T29">
            <v>-0.16048348492101483</v>
          </cell>
          <cell r="U29">
            <v>-4.0097867723924929E-2</v>
          </cell>
          <cell r="Y29" t="str">
            <v>% of sales</v>
          </cell>
        </row>
        <row r="30">
          <cell r="A30" t="str">
            <v>Adjusted EBIT</v>
          </cell>
          <cell r="B30">
            <v>949.49999999999989</v>
          </cell>
          <cell r="C30">
            <v>0.22769878883623029</v>
          </cell>
          <cell r="D30">
            <v>0.23882645620657139</v>
          </cell>
          <cell r="E30">
            <v>5.6159545737828775E-2</v>
          </cell>
          <cell r="F30">
            <v>0.13709677419354893</v>
          </cell>
          <cell r="G30">
            <v>2308.4000000000005</v>
          </cell>
          <cell r="H30">
            <v>3519.2999999999997</v>
          </cell>
          <cell r="I30">
            <v>0.28114506472632073</v>
          </cell>
          <cell r="J30">
            <v>0.30443597935610711</v>
          </cell>
          <cell r="M30" t="e">
            <v>#REF!</v>
          </cell>
          <cell r="N30" t="e">
            <v>#REF!</v>
          </cell>
          <cell r="O30">
            <v>-0.19589233855273791</v>
          </cell>
          <cell r="P30">
            <v>-0.22783380173031356</v>
          </cell>
          <cell r="Q30">
            <v>-0.2417262245685684</v>
          </cell>
          <cell r="R30">
            <v>-0.26472931377874342</v>
          </cell>
          <cell r="S30">
            <v>-0.23372426998563905</v>
          </cell>
          <cell r="T30">
            <v>-0.22872426998563905</v>
          </cell>
          <cell r="U30">
            <v>-3.283193143290114E-2</v>
          </cell>
          <cell r="Y30" t="str">
            <v>Variation</v>
          </cell>
        </row>
        <row r="31">
          <cell r="A31" t="str">
            <v>Consensus EBIT</v>
          </cell>
          <cell r="B31">
            <v>710.19601811005327</v>
          </cell>
          <cell r="C31">
            <v>821.8165958836986</v>
          </cell>
          <cell r="D31">
            <v>1010.9253224364712</v>
          </cell>
          <cell r="E31">
            <v>1037.114137251388</v>
          </cell>
          <cell r="F31">
            <v>1151.5719089130048</v>
          </cell>
          <cell r="G31">
            <v>1397.0132718433904</v>
          </cell>
          <cell r="H31">
            <v>1821.5839006309143</v>
          </cell>
          <cell r="I31">
            <v>2333.7132242782163</v>
          </cell>
          <cell r="J31">
            <v>5654.84</v>
          </cell>
          <cell r="K31">
            <v>6352.14</v>
          </cell>
          <cell r="L31">
            <v>6886.88</v>
          </cell>
          <cell r="M31">
            <v>8013.5</v>
          </cell>
          <cell r="N31">
            <v>0</v>
          </cell>
          <cell r="O31">
            <v>-0.24633992994221726</v>
          </cell>
          <cell r="P31">
            <v>-0.23282085193144875</v>
          </cell>
          <cell r="Q31">
            <v>-0.21540453719152328</v>
          </cell>
          <cell r="R31">
            <v>-0.20217273221075502</v>
          </cell>
          <cell r="S31">
            <v>-0.19806127333652465</v>
          </cell>
          <cell r="T31">
            <v>-0.19306127333652465</v>
          </cell>
          <cell r="U31">
            <v>5.3278656605692615E-2</v>
          </cell>
          <cell r="Y31" t="str">
            <v xml:space="preserve">NOPAT </v>
          </cell>
        </row>
        <row r="32">
          <cell r="A32" t="str">
            <v xml:space="preserve">EBIT </v>
          </cell>
          <cell r="B32">
            <v>949.49999999999989</v>
          </cell>
          <cell r="C32">
            <v>1165.7000000000005</v>
          </cell>
          <cell r="D32">
            <v>1444.1000000000008</v>
          </cell>
          <cell r="E32">
            <v>1525.1999999999994</v>
          </cell>
          <cell r="F32">
            <v>1734.3</v>
          </cell>
          <cell r="G32">
            <v>-925.7999999999995</v>
          </cell>
          <cell r="H32">
            <v>3090.8999999999996</v>
          </cell>
          <cell r="I32">
            <v>4277</v>
          </cell>
          <cell r="J32">
            <v>6633.3854265350383</v>
          </cell>
          <cell r="K32">
            <v>7528.976767453184</v>
          </cell>
          <cell r="L32">
            <v>8554.3551551640176</v>
          </cell>
          <cell r="M32">
            <v>9524.1105228208417</v>
          </cell>
          <cell r="N32">
            <v>-297</v>
          </cell>
          <cell r="O32" t="e">
            <v>#REF!</v>
          </cell>
          <cell r="P32" t="e">
            <v>#REF!</v>
          </cell>
          <cell r="Q32" t="e">
            <v>#REF!</v>
          </cell>
          <cell r="R32" t="e">
            <v>#REF!</v>
          </cell>
          <cell r="S32" t="e">
            <v>#REF!</v>
          </cell>
          <cell r="T32" t="e">
            <v>#REF!</v>
          </cell>
          <cell r="U32" t="e">
            <v>#REF!</v>
          </cell>
          <cell r="Y32" t="str">
            <v>% of sales</v>
          </cell>
        </row>
        <row r="33">
          <cell r="A33" t="str">
            <v>% of sales</v>
          </cell>
          <cell r="B33">
            <v>0.39546022490628902</v>
          </cell>
          <cell r="C33">
            <v>0.42884997424766402</v>
          </cell>
          <cell r="D33">
            <v>0.43235232478069541</v>
          </cell>
          <cell r="E33">
            <v>0.42023474954537926</v>
          </cell>
          <cell r="F33">
            <v>0.43187987150434543</v>
          </cell>
          <cell r="G33">
            <v>-0.16762629005975005</v>
          </cell>
          <cell r="H33">
            <v>0.36990186692197219</v>
          </cell>
          <cell r="I33">
            <v>0.40540284360189571</v>
          </cell>
          <cell r="J33">
            <v>0.46496691703665394</v>
          </cell>
          <cell r="K33">
            <v>0.46955502632192925</v>
          </cell>
          <cell r="L33">
            <v>0.48111259587342536</v>
          </cell>
          <cell r="M33">
            <v>0.48770187867613529</v>
          </cell>
          <cell r="N33" t="e">
            <v>#DIV/0!</v>
          </cell>
          <cell r="O33" t="e">
            <v>#REF!</v>
          </cell>
          <cell r="P33" t="e">
            <v>#REF!</v>
          </cell>
          <cell r="Q33" t="e">
            <v>#REF!</v>
          </cell>
          <cell r="R33" t="e">
            <v>#REF!</v>
          </cell>
          <cell r="S33" t="e">
            <v>#REF!</v>
          </cell>
          <cell r="T33" t="e">
            <v>#REF!</v>
          </cell>
          <cell r="U33" t="e">
            <v>#REF!</v>
          </cell>
          <cell r="Y33" t="str">
            <v>Variation</v>
          </cell>
        </row>
        <row r="34">
          <cell r="A34" t="str">
            <v>Variation</v>
          </cell>
          <cell r="B34">
            <v>1066.5999999999999</v>
          </cell>
          <cell r="C34">
            <v>0.22769878883623029</v>
          </cell>
          <cell r="D34">
            <v>0.23882645620657139</v>
          </cell>
          <cell r="E34">
            <v>5.6159545737828775E-2</v>
          </cell>
          <cell r="F34">
            <v>0.13709677419354893</v>
          </cell>
          <cell r="G34">
            <v>-1.5338176786023177</v>
          </cell>
          <cell r="H34">
            <v>-4.338626053143229</v>
          </cell>
          <cell r="I34">
            <v>0.38373936393930586</v>
          </cell>
          <cell r="J34">
            <v>0.55094351801146568</v>
          </cell>
          <cell r="K34">
            <v>0.13501270969957191</v>
          </cell>
          <cell r="L34">
            <v>0.13619093528664017</v>
          </cell>
          <cell r="M34">
            <v>0.11336393568735703</v>
          </cell>
          <cell r="N34">
            <v>-1.0311840144324611</v>
          </cell>
          <cell r="O34" t="e">
            <v>#REF!</v>
          </cell>
          <cell r="P34" t="e">
            <v>#REF!</v>
          </cell>
          <cell r="Q34" t="e">
            <v>#REF!</v>
          </cell>
          <cell r="R34" t="e">
            <v>#REF!</v>
          </cell>
          <cell r="S34" t="e">
            <v>#REF!</v>
          </cell>
          <cell r="T34" t="e">
            <v>#REF!</v>
          </cell>
          <cell r="U34" t="e">
            <v>#REF!</v>
          </cell>
          <cell r="Y34" t="str">
            <v>EBITDA</v>
          </cell>
        </row>
        <row r="35">
          <cell r="A35" t="str">
            <v xml:space="preserve">NOPAT </v>
          </cell>
          <cell r="B35">
            <v>710.19601811005327</v>
          </cell>
          <cell r="C35">
            <v>821.8165958836986</v>
          </cell>
          <cell r="D35">
            <v>1010.9253224364712</v>
          </cell>
          <cell r="E35">
            <v>1037.114137251388</v>
          </cell>
          <cell r="F35">
            <v>1151.5719089130048</v>
          </cell>
          <cell r="G35">
            <v>-1882.0317019722422</v>
          </cell>
          <cell r="H35">
            <v>2200.5212928235997</v>
          </cell>
          <cell r="I35">
            <v>3044.9479340666267</v>
          </cell>
          <cell r="J35">
            <v>4722.542261023038</v>
          </cell>
          <cell r="K35">
            <v>5360.1454883545011</v>
          </cell>
          <cell r="L35">
            <v>6090.1487156859648</v>
          </cell>
          <cell r="M35">
            <v>6780.5519430174281</v>
          </cell>
          <cell r="N35">
            <v>-211.44482965110782</v>
          </cell>
          <cell r="O35" t="e">
            <v>#REF!</v>
          </cell>
          <cell r="P35" t="e">
            <v>#REF!</v>
          </cell>
          <cell r="Q35" t="e">
            <v>#REF!</v>
          </cell>
          <cell r="R35" t="e">
            <v>#REF!</v>
          </cell>
          <cell r="S35" t="e">
            <v>#REF!</v>
          </cell>
          <cell r="T35" t="e">
            <v>#REF!</v>
          </cell>
          <cell r="U35" t="e">
            <v>#REF!</v>
          </cell>
          <cell r="Y35" t="str">
            <v>% of sales</v>
          </cell>
        </row>
        <row r="36">
          <cell r="A36" t="str">
            <v>% of sales</v>
          </cell>
          <cell r="B36">
            <v>0.29579176097878102</v>
          </cell>
          <cell r="C36">
            <v>0.30233853133827476</v>
          </cell>
          <cell r="D36">
            <v>0.30266319045431905</v>
          </cell>
          <cell r="E36">
            <v>0.28575360589942911</v>
          </cell>
          <cell r="F36">
            <v>0.28676741512388992</v>
          </cell>
          <cell r="G36">
            <v>-0.34076257504476593</v>
          </cell>
          <cell r="H36">
            <v>0.26334625332977496</v>
          </cell>
          <cell r="I36">
            <v>0.28862065725750014</v>
          </cell>
          <cell r="J36">
            <v>0.33102643288288236</v>
          </cell>
          <cell r="K36">
            <v>0.33429287054700935</v>
          </cell>
          <cell r="L36">
            <v>0.3425211140655175</v>
          </cell>
          <cell r="M36">
            <v>0.3472122581050528</v>
          </cell>
          <cell r="N36" t="e">
            <v>#DIV/0!</v>
          </cell>
          <cell r="O36">
            <v>2.1885572288254839E-2</v>
          </cell>
          <cell r="P36">
            <v>3.5901250895464823E-2</v>
          </cell>
          <cell r="Q36">
            <v>3.862340314266504E-2</v>
          </cell>
          <cell r="R36">
            <v>1.8106101756291869E-2</v>
          </cell>
          <cell r="S36">
            <v>9.813307802776448E-3</v>
          </cell>
          <cell r="T36">
            <v>4.4549763033175354E-3</v>
          </cell>
          <cell r="U36">
            <v>-1.7430595984937305E-2</v>
          </cell>
          <cell r="Y36" t="str">
            <v>Variation</v>
          </cell>
        </row>
        <row r="37">
          <cell r="A37" t="str">
            <v>Variation</v>
          </cell>
          <cell r="B37">
            <v>0.44423157017909198</v>
          </cell>
          <cell r="C37">
            <v>0.15716868994941113</v>
          </cell>
          <cell r="D37">
            <v>0.23011062017970585</v>
          </cell>
          <cell r="E37">
            <v>2.5905785752599497E-2</v>
          </cell>
          <cell r="F37">
            <v>0.1103617890745936</v>
          </cell>
          <cell r="G37">
            <v>-2.6343153974194591</v>
          </cell>
          <cell r="H37">
            <v>-2.169226475046941</v>
          </cell>
          <cell r="I37">
            <v>0.38373936393930586</v>
          </cell>
          <cell r="J37">
            <v>0.55094351801146546</v>
          </cell>
          <cell r="K37">
            <v>0.13501270969957191</v>
          </cell>
          <cell r="L37">
            <v>0.13619093528664017</v>
          </cell>
          <cell r="M37">
            <v>0.11336393568735703</v>
          </cell>
          <cell r="N37">
            <v>-1.0311840144324611</v>
          </cell>
          <cell r="O37">
            <v>-0.14065447142301127</v>
          </cell>
          <cell r="P37">
            <v>-0.14762770705901801</v>
          </cell>
          <cell r="Q37">
            <v>-0.14109619742510646</v>
          </cell>
          <cell r="R37">
            <v>-0.12801013941698353</v>
          </cell>
          <cell r="S37">
            <v>-0.10938247965533748</v>
          </cell>
          <cell r="T37">
            <v>-0.11146919431279621</v>
          </cell>
          <cell r="U37">
            <v>2.9185277110215055E-2</v>
          </cell>
        </row>
        <row r="38">
          <cell r="A38" t="str">
            <v>EBITDA</v>
          </cell>
          <cell r="B38">
            <v>1066.5999999999999</v>
          </cell>
          <cell r="C38">
            <v>1309.5000000000005</v>
          </cell>
          <cell r="D38">
            <v>1620.9000000000008</v>
          </cell>
          <cell r="E38">
            <v>1736.9999999999993</v>
          </cell>
          <cell r="F38">
            <v>2000.1999999999998</v>
          </cell>
          <cell r="G38">
            <v>-478.49999999999949</v>
          </cell>
          <cell r="H38">
            <v>3538.2</v>
          </cell>
          <cell r="I38">
            <v>4724.3</v>
          </cell>
          <cell r="J38">
            <v>7080.6854265350385</v>
          </cell>
          <cell r="K38">
            <v>7976.2767674531842</v>
          </cell>
          <cell r="L38">
            <v>9001.6551551640168</v>
          </cell>
          <cell r="M38">
            <v>9971.4105228208409</v>
          </cell>
          <cell r="N38">
            <v>150.30000000000001</v>
          </cell>
          <cell r="O38" t="e">
            <v>#REF!</v>
          </cell>
          <cell r="P38" t="e">
            <v>#REF!</v>
          </cell>
          <cell r="Q38" t="e">
            <v>#REF!</v>
          </cell>
          <cell r="R38" t="e">
            <v>#REF!</v>
          </cell>
          <cell r="S38" t="e">
            <v>#REF!</v>
          </cell>
          <cell r="T38" t="e">
            <v>#REF!</v>
          </cell>
          <cell r="U38" t="e">
            <v>#REF!</v>
          </cell>
          <cell r="Y38" t="str">
            <v>Other income / (expense), net</v>
          </cell>
        </row>
        <row r="39">
          <cell r="A39" t="str">
            <v>% of sales</v>
          </cell>
          <cell r="B39">
            <v>0.44423157017909198</v>
          </cell>
          <cell r="C39">
            <v>0.48175263041718797</v>
          </cell>
          <cell r="D39">
            <v>0.485284871710428</v>
          </cell>
          <cell r="E39">
            <v>0.47859150272772344</v>
          </cell>
          <cell r="F39">
            <v>0.4980949772144333</v>
          </cell>
          <cell r="G39">
            <v>-8.6637696903856504E-2</v>
          </cell>
          <cell r="H39">
            <v>0.42343226424126373</v>
          </cell>
          <cell r="I39">
            <v>0.44780094786729857</v>
          </cell>
          <cell r="J39">
            <v>0.49632039472823047</v>
          </cell>
          <cell r="K39">
            <v>0.49745150810969896</v>
          </cell>
          <cell r="L39">
            <v>0.50626956682339486</v>
          </cell>
          <cell r="M39">
            <v>0.51060680505315759</v>
          </cell>
          <cell r="N39" t="e">
            <v>#DIV/0!</v>
          </cell>
          <cell r="O39" t="e">
            <v>#REF!</v>
          </cell>
          <cell r="P39" t="e">
            <v>#REF!</v>
          </cell>
          <cell r="Q39" t="e">
            <v>#REF!</v>
          </cell>
          <cell r="R39" t="e">
            <v>#REF!</v>
          </cell>
          <cell r="S39" t="e">
            <v>#REF!</v>
          </cell>
          <cell r="T39" t="e">
            <v>#REF!</v>
          </cell>
          <cell r="Y39" t="str">
            <v>% of sales</v>
          </cell>
        </row>
        <row r="40">
          <cell r="A40" t="str">
            <v>Variation</v>
          </cell>
          <cell r="B40">
            <v>68.900000000000006</v>
          </cell>
          <cell r="C40">
            <v>0.22773298331145742</v>
          </cell>
          <cell r="D40">
            <v>0.23780068728522363</v>
          </cell>
          <cell r="E40">
            <v>7.1626873958910764E-2</v>
          </cell>
          <cell r="F40">
            <v>0.15152561888313221</v>
          </cell>
          <cell r="G40">
            <v>-1.2392260773922605</v>
          </cell>
          <cell r="H40">
            <v>-8.3943573667711675</v>
          </cell>
          <cell r="I40">
            <v>0.33522695155728921</v>
          </cell>
          <cell r="J40">
            <v>0.49877980368203501</v>
          </cell>
          <cell r="K40">
            <v>0.12648370700976153</v>
          </cell>
          <cell r="L40">
            <v>0.12855351157006489</v>
          </cell>
          <cell r="M40">
            <v>0.10773078405480807</v>
          </cell>
          <cell r="N40">
            <v>-0.98492690681463579</v>
          </cell>
          <cell r="O40">
            <v>2000</v>
          </cell>
          <cell r="P40">
            <v>2001</v>
          </cell>
          <cell r="Q40">
            <v>2002</v>
          </cell>
          <cell r="R40">
            <v>2003</v>
          </cell>
          <cell r="S40">
            <v>2004</v>
          </cell>
          <cell r="T40" t="str">
            <v>1999-2004</v>
          </cell>
          <cell r="Y40" t="str">
            <v>Average Debt</v>
          </cell>
        </row>
        <row r="41">
          <cell r="A41" t="str">
            <v>interest rate</v>
          </cell>
          <cell r="B41">
            <v>2.869637650978759E-2</v>
          </cell>
          <cell r="C41">
            <v>4.1637508747375783E-2</v>
          </cell>
          <cell r="D41">
            <v>7.4675656348963115E-2</v>
          </cell>
          <cell r="E41">
            <v>9.5953459258441051E-2</v>
          </cell>
          <cell r="F41">
            <v>7.6692956214305136E-2</v>
          </cell>
          <cell r="G41">
            <v>7.0000000000000007E-2</v>
          </cell>
          <cell r="H41">
            <v>7.0000000000000007E-2</v>
          </cell>
          <cell r="I41">
            <v>7.0000000000000007E-2</v>
          </cell>
          <cell r="J41">
            <v>7.0000000000000007E-2</v>
          </cell>
          <cell r="M41" t="str">
            <v>Cost of sales</v>
          </cell>
          <cell r="O41">
            <v>-7.8601308908133743E-3</v>
          </cell>
          <cell r="P41">
            <v>-2.2084805538547803E-3</v>
          </cell>
          <cell r="Q41">
            <v>0</v>
          </cell>
          <cell r="R41">
            <v>0</v>
          </cell>
          <cell r="S41">
            <v>0</v>
          </cell>
          <cell r="T41">
            <v>-1.0068611444668155E-2</v>
          </cell>
          <cell r="Y41" t="str">
            <v>interest rate</v>
          </cell>
        </row>
        <row r="42">
          <cell r="A42" t="str">
            <v>Other income / (expense), net</v>
          </cell>
          <cell r="B42">
            <v>68.900000000000006</v>
          </cell>
          <cell r="C42">
            <v>35.700000000000003</v>
          </cell>
          <cell r="D42">
            <v>73.099999999999994</v>
          </cell>
          <cell r="E42">
            <v>130.30000000000001</v>
          </cell>
          <cell r="F42">
            <v>155.1</v>
          </cell>
          <cell r="G42">
            <v>100</v>
          </cell>
          <cell r="H42">
            <v>82</v>
          </cell>
          <cell r="I42">
            <v>47</v>
          </cell>
          <cell r="J42">
            <v>97</v>
          </cell>
          <cell r="K42">
            <v>147</v>
          </cell>
          <cell r="L42">
            <v>197</v>
          </cell>
          <cell r="M42">
            <v>247</v>
          </cell>
          <cell r="N42">
            <v>297</v>
          </cell>
          <cell r="O42">
            <v>1999</v>
          </cell>
          <cell r="P42">
            <v>2000</v>
          </cell>
          <cell r="Q42">
            <v>2001</v>
          </cell>
          <cell r="R42">
            <v>2002</v>
          </cell>
          <cell r="S42">
            <v>2003</v>
          </cell>
          <cell r="T42">
            <v>2004</v>
          </cell>
          <cell r="U42" t="str">
            <v>1999-2004</v>
          </cell>
          <cell r="Y42" t="str">
            <v xml:space="preserve">Income before taxes </v>
          </cell>
        </row>
        <row r="43">
          <cell r="A43" t="str">
            <v>% of sales</v>
          </cell>
          <cell r="B43">
            <v>2.869637650978759E-2</v>
          </cell>
          <cell r="C43">
            <v>1.3133691413435362E-2</v>
          </cell>
          <cell r="D43">
            <v>2.1885572288254839E-2</v>
          </cell>
          <cell r="E43">
            <v>3.5901250895464823E-2</v>
          </cell>
          <cell r="F43">
            <v>3.862340314266504E-2</v>
          </cell>
          <cell r="G43">
            <v>1.8106101756291869E-2</v>
          </cell>
          <cell r="H43">
            <v>9.813307802776448E-3</v>
          </cell>
          <cell r="I43">
            <v>4.4549763033175354E-3</v>
          </cell>
          <cell r="J43">
            <v>6.7992115718375256E-3</v>
          </cell>
          <cell r="K43">
            <v>9.1678578645252549E-3</v>
          </cell>
          <cell r="L43">
            <v>1.1079640682190911E-2</v>
          </cell>
          <cell r="M43">
            <v>1.2648148480045881E-2</v>
          </cell>
          <cell r="N43" t="e">
            <v>#DIV/0!</v>
          </cell>
          <cell r="O43" t="e">
            <v>#REF!</v>
          </cell>
          <cell r="P43">
            <v>-7.8601308908133743E-3</v>
          </cell>
          <cell r="Q43">
            <v>-2.2084805538547803E-3</v>
          </cell>
          <cell r="R43">
            <v>2.2889584868617543E-2</v>
          </cell>
          <cell r="S43">
            <v>2.727689429997554E-2</v>
          </cell>
          <cell r="T43">
            <v>0</v>
          </cell>
          <cell r="U43">
            <v>4.0097867723924929E-2</v>
          </cell>
          <cell r="Y43" t="str">
            <v>% of sales</v>
          </cell>
        </row>
        <row r="44">
          <cell r="A44" t="str">
            <v>Average Debt</v>
          </cell>
          <cell r="B44">
            <v>-217.1</v>
          </cell>
          <cell r="C44">
            <v>-857.40000000000009</v>
          </cell>
          <cell r="D44">
            <v>-978.9</v>
          </cell>
          <cell r="E44">
            <v>-1357.9499999999998</v>
          </cell>
          <cell r="F44">
            <v>-2022.35</v>
          </cell>
          <cell r="G44">
            <v>-1916.3000000000002</v>
          </cell>
          <cell r="H44">
            <v>-1946.2209053050879</v>
          </cell>
          <cell r="I44">
            <v>-3101.5071193192107</v>
          </cell>
          <cell r="J44">
            <v>-4891.4429889552775</v>
          </cell>
          <cell r="K44">
            <v>-7297.8706525439065</v>
          </cell>
          <cell r="L44">
            <v>-10136.822520731486</v>
          </cell>
          <cell r="M44">
            <v>-13365.611885026252</v>
          </cell>
          <cell r="N44">
            <v>-15663.557408564184</v>
          </cell>
          <cell r="O44" t="e">
            <v>#REF!</v>
          </cell>
          <cell r="P44" t="e">
            <v>#REF!</v>
          </cell>
          <cell r="Q44" t="e">
            <v>#REF!</v>
          </cell>
          <cell r="R44" t="e">
            <v>#REF!</v>
          </cell>
          <cell r="S44" t="e">
            <v>#REF!</v>
          </cell>
          <cell r="T44" t="e">
            <v>#REF!</v>
          </cell>
          <cell r="U44" t="e">
            <v>#REF!</v>
          </cell>
          <cell r="Y44" t="str">
            <v>Taxes</v>
          </cell>
        </row>
        <row r="45">
          <cell r="A45" t="str">
            <v>interest rate</v>
          </cell>
          <cell r="B45">
            <v>-9.0420658059142026E-2</v>
          </cell>
          <cell r="C45">
            <v>4.1637508747375783E-2</v>
          </cell>
          <cell r="D45">
            <v>7.4675656348963115E-2</v>
          </cell>
          <cell r="E45">
            <v>9.5953459258441051E-2</v>
          </cell>
          <cell r="F45">
            <v>7.6692956214305136E-2</v>
          </cell>
          <cell r="G45">
            <v>5.2183896049679067E-2</v>
          </cell>
          <cell r="H45">
            <v>4.2132935565783451E-2</v>
          </cell>
          <cell r="I45">
            <v>1.5153922977393207E-2</v>
          </cell>
          <cell r="J45">
            <v>1.9830549025926073E-2</v>
          </cell>
          <cell r="K45">
            <v>2.0142861801580224E-2</v>
          </cell>
          <cell r="L45">
            <v>1.9434097775422453E-2</v>
          </cell>
          <cell r="M45">
            <v>1.8480261294787317E-2</v>
          </cell>
          <cell r="N45">
            <v>1.8961209912482124E-2</v>
          </cell>
          <cell r="O45" t="e">
            <v>#REF!</v>
          </cell>
          <cell r="P45" t="e">
            <v>#REF!</v>
          </cell>
          <cell r="Q45" t="e">
            <v>#REF!</v>
          </cell>
          <cell r="R45" t="e">
            <v>#REF!</v>
          </cell>
          <cell r="S45" t="e">
            <v>#REF!</v>
          </cell>
          <cell r="T45" t="e">
            <v>#REF!</v>
          </cell>
          <cell r="U45" t="e">
            <v>#REF!</v>
          </cell>
          <cell r="Y45" t="str">
            <v>% of sales</v>
          </cell>
        </row>
        <row r="46">
          <cell r="A46" t="str">
            <v xml:space="preserve">Income before taxes </v>
          </cell>
          <cell r="B46">
            <v>861.39999999999986</v>
          </cell>
          <cell r="C46">
            <v>1224.4000000000005</v>
          </cell>
          <cell r="D46">
            <v>1566.2000000000007</v>
          </cell>
          <cell r="E46">
            <v>1674.2999999999993</v>
          </cell>
          <cell r="F46">
            <v>1686.3</v>
          </cell>
          <cell r="G46">
            <v>-684.49999999999955</v>
          </cell>
          <cell r="H46">
            <v>3172.8999999999996</v>
          </cell>
          <cell r="I46">
            <v>4324</v>
          </cell>
          <cell r="J46">
            <v>6730.3854265350383</v>
          </cell>
          <cell r="K46">
            <v>7675.976767453184</v>
          </cell>
          <cell r="L46">
            <v>8751.3551551640176</v>
          </cell>
          <cell r="M46">
            <v>9771.1105228208417</v>
          </cell>
          <cell r="N46">
            <v>0</v>
          </cell>
          <cell r="O46" t="e">
            <v>#REF!</v>
          </cell>
          <cell r="P46" t="e">
            <v>#REF!</v>
          </cell>
          <cell r="Q46" t="e">
            <v>#REF!</v>
          </cell>
          <cell r="R46" t="e">
            <v>#REF!</v>
          </cell>
          <cell r="S46" t="e">
            <v>#REF!</v>
          </cell>
          <cell r="T46" t="e">
            <v>#REF!</v>
          </cell>
          <cell r="U46" t="e">
            <v>#REF!</v>
          </cell>
          <cell r="Y46" t="str">
            <v>Tax rate</v>
          </cell>
        </row>
        <row r="47">
          <cell r="A47" t="str">
            <v>% of sales</v>
          </cell>
          <cell r="B47">
            <v>0.35876718034152433</v>
          </cell>
          <cell r="C47">
            <v>0.45044514752409698</v>
          </cell>
          <cell r="D47">
            <v>0.46890811652345754</v>
          </cell>
          <cell r="E47">
            <v>0.46131591998677451</v>
          </cell>
          <cell r="F47">
            <v>0.41992678735961353</v>
          </cell>
          <cell r="G47">
            <v>-0.12393626652181777</v>
          </cell>
          <cell r="H47">
            <v>0.37971517472474864</v>
          </cell>
          <cell r="I47">
            <v>0.40985781990521325</v>
          </cell>
          <cell r="J47">
            <v>0.47176612860849143</v>
          </cell>
          <cell r="K47">
            <v>0.47872288418645448</v>
          </cell>
          <cell r="L47">
            <v>0.49219223655561628</v>
          </cell>
          <cell r="M47">
            <v>0.50035002715618115</v>
          </cell>
          <cell r="N47" t="e">
            <v>#DIV/0!</v>
          </cell>
          <cell r="O47" t="e">
            <v>#REF!</v>
          </cell>
          <cell r="P47" t="e">
            <v>#REF!</v>
          </cell>
          <cell r="Q47" t="e">
            <v>#REF!</v>
          </cell>
          <cell r="R47" t="e">
            <v>#REF!</v>
          </cell>
          <cell r="S47" t="e">
            <v>#REF!</v>
          </cell>
          <cell r="T47" t="e">
            <v>#REF!</v>
          </cell>
          <cell r="U47" t="e">
            <v>#REF!</v>
          </cell>
          <cell r="Y47" t="str">
            <v>Net income</v>
          </cell>
        </row>
        <row r="48">
          <cell r="A48" t="str">
            <v>Taxes</v>
          </cell>
          <cell r="B48">
            <v>-217.1</v>
          </cell>
          <cell r="C48">
            <v>-361.2</v>
          </cell>
          <cell r="D48">
            <v>-469.8</v>
          </cell>
          <cell r="E48">
            <v>-535.79999999999995</v>
          </cell>
          <cell r="F48">
            <v>-566.6</v>
          </cell>
          <cell r="G48">
            <v>-707</v>
          </cell>
          <cell r="H48">
            <v>-914</v>
          </cell>
          <cell r="I48">
            <v>-1176</v>
          </cell>
          <cell r="J48">
            <v>-1938.7854265350388</v>
          </cell>
          <cell r="K48">
            <v>-2211.1767674531848</v>
          </cell>
          <cell r="L48">
            <v>-2520.9551551640179</v>
          </cell>
          <cell r="M48">
            <v>-2814.710522820842</v>
          </cell>
          <cell r="N48">
            <v>0</v>
          </cell>
          <cell r="O48">
            <v>1.4015678607209984E-2</v>
          </cell>
          <cell r="P48">
            <v>1.4015678607209984E-2</v>
          </cell>
          <cell r="Q48">
            <v>2.7221522472002171E-3</v>
          </cell>
          <cell r="R48">
            <v>-2.0517301386373171E-2</v>
          </cell>
          <cell r="S48">
            <v>-8.2927939535154208E-3</v>
          </cell>
          <cell r="T48">
            <v>-5.3583314994589126E-3</v>
          </cell>
          <cell r="U48">
            <v>-1.7430595984937305E-2</v>
          </cell>
          <cell r="Y48" t="str">
            <v>% of sales</v>
          </cell>
        </row>
        <row r="49">
          <cell r="A49" t="str">
            <v>% of sales</v>
          </cell>
          <cell r="B49">
            <v>-9.0420658059142026E-2</v>
          </cell>
          <cell r="C49">
            <v>-0.13288205430064012</v>
          </cell>
          <cell r="D49">
            <v>-0.14065447142301127</v>
          </cell>
          <cell r="E49">
            <v>-0.14762770705901801</v>
          </cell>
          <cell r="F49">
            <v>-0.14109619742510646</v>
          </cell>
          <cell r="G49">
            <v>-0.12801013941698353</v>
          </cell>
          <cell r="H49">
            <v>-0.10938247965533748</v>
          </cell>
          <cell r="I49">
            <v>-0.11146919431279621</v>
          </cell>
          <cell r="J49">
            <v>-0.13589909595264937</v>
          </cell>
          <cell r="K49">
            <v>-0.13790309059422592</v>
          </cell>
          <cell r="L49">
            <v>-0.14178313347783836</v>
          </cell>
          <cell r="M49">
            <v>-0.14413310372868657</v>
          </cell>
          <cell r="N49" t="e">
            <v>#DIV/0!</v>
          </cell>
          <cell r="Y49" t="str">
            <v>Variation</v>
          </cell>
        </row>
        <row r="50">
          <cell r="A50" t="str">
            <v>Tax rate</v>
          </cell>
          <cell r="B50">
            <v>0.25203157650336666</v>
          </cell>
          <cell r="C50">
            <v>0.29500163345311975</v>
          </cell>
          <cell r="D50">
            <v>0.29996169071638346</v>
          </cell>
          <cell r="E50">
            <v>0.32001433434868315</v>
          </cell>
          <cell r="F50">
            <v>0.33600189764573329</v>
          </cell>
          <cell r="G50">
            <v>-1.0328707085463849</v>
          </cell>
          <cell r="H50">
            <v>0.28806454662926662</v>
          </cell>
          <cell r="I50">
            <v>0.28806454662926662</v>
          </cell>
          <cell r="J50">
            <v>0.28806454662926662</v>
          </cell>
          <cell r="K50">
            <v>0.28806454662926662</v>
          </cell>
          <cell r="L50">
            <v>0.28806454662926662</v>
          </cell>
          <cell r="M50">
            <v>0.28806454662926662</v>
          </cell>
          <cell r="N50">
            <v>0.28806454662926662</v>
          </cell>
        </row>
        <row r="51">
          <cell r="A51" t="str">
            <v>Net income</v>
          </cell>
          <cell r="B51">
            <v>644.29999999999984</v>
          </cell>
          <cell r="C51">
            <v>863.2000000000005</v>
          </cell>
          <cell r="D51">
            <v>1096.4000000000008</v>
          </cell>
          <cell r="E51">
            <v>1138.4999999999993</v>
          </cell>
          <cell r="F51">
            <v>1119.6999999999998</v>
          </cell>
          <cell r="G51">
            <v>-1391.4999999999995</v>
          </cell>
          <cell r="H51">
            <v>2258.8999999999996</v>
          </cell>
          <cell r="I51">
            <v>3148</v>
          </cell>
          <cell r="J51">
            <v>4791.5999999999995</v>
          </cell>
          <cell r="K51">
            <v>5464.7999999999993</v>
          </cell>
          <cell r="L51">
            <v>6230.4</v>
          </cell>
          <cell r="M51">
            <v>6956.4</v>
          </cell>
          <cell r="N51">
            <v>0</v>
          </cell>
          <cell r="Y51" t="str">
            <v>Net income ajusté (avant excep &amp; après survaleurs)</v>
          </cell>
        </row>
        <row r="52">
          <cell r="A52" t="str">
            <v>% of sales</v>
          </cell>
          <cell r="B52">
            <v>0.26834652228238226</v>
          </cell>
          <cell r="C52">
            <v>0.31756309322345683</v>
          </cell>
          <cell r="D52">
            <v>0.3282536451004463</v>
          </cell>
          <cell r="E52">
            <v>0.3136882129277565</v>
          </cell>
          <cell r="F52">
            <v>0.27883058993450704</v>
          </cell>
          <cell r="G52">
            <v>-0.2519464059388013</v>
          </cell>
          <cell r="H52">
            <v>0.27033269506941116</v>
          </cell>
          <cell r="I52">
            <v>0.29838862559241708</v>
          </cell>
          <cell r="J52">
            <v>0.33586703265584206</v>
          </cell>
          <cell r="K52">
            <v>0.34081979359222858</v>
          </cell>
          <cell r="L52">
            <v>0.35040910307777789</v>
          </cell>
          <cell r="M52">
            <v>0.35621692342749461</v>
          </cell>
          <cell r="N52" t="e">
            <v>#DIV/0!</v>
          </cell>
          <cell r="Y52" t="str">
            <v>% of sales</v>
          </cell>
        </row>
        <row r="53">
          <cell r="A53" t="str">
            <v>Variation</v>
          </cell>
          <cell r="B53">
            <v>761.7310424889713</v>
          </cell>
          <cell r="C53">
            <v>0.33974856433338618</v>
          </cell>
          <cell r="D53">
            <v>0.27015755329008351</v>
          </cell>
          <cell r="E53">
            <v>3.8398394746441467E-2</v>
          </cell>
          <cell r="F53">
            <v>-1.6512955643389948E-2</v>
          </cell>
          <cell r="G53">
            <v>-2.2427435920335803</v>
          </cell>
          <cell r="H53">
            <v>-2.623356090549767</v>
          </cell>
          <cell r="I53">
            <v>0.39359865421222739</v>
          </cell>
          <cell r="J53">
            <v>3645.0000000000005</v>
          </cell>
          <cell r="Y53" t="str">
            <v>Variation</v>
          </cell>
        </row>
        <row r="54">
          <cell r="A54" t="str">
            <v>% of sales</v>
          </cell>
          <cell r="B54">
            <v>0.31725574447687266</v>
          </cell>
          <cell r="C54">
            <v>0.31159776233147751</v>
          </cell>
          <cell r="D54">
            <v>0.31798392947669335</v>
          </cell>
          <cell r="E54">
            <v>0.31016594188729668</v>
          </cell>
          <cell r="F54">
            <v>0.31241328151708331</v>
          </cell>
          <cell r="G54">
            <v>0.26584381113206523</v>
          </cell>
          <cell r="H54">
            <v>0.31746697580768174</v>
          </cell>
          <cell r="I54">
            <v>0.31971681326903362</v>
          </cell>
          <cell r="J54">
            <v>0.32668959917113166</v>
          </cell>
        </row>
        <row r="55">
          <cell r="A55" t="str">
            <v>Net income ajusté (avant excep &amp; après survaleurs)</v>
          </cell>
          <cell r="B55">
            <v>761.7310424889713</v>
          </cell>
          <cell r="C55">
            <v>846.98503756942227</v>
          </cell>
          <cell r="D55">
            <v>1062.0981228451035</v>
          </cell>
          <cell r="E55">
            <v>1125.7162694857545</v>
          </cell>
          <cell r="F55">
            <v>1254.5580145881513</v>
          </cell>
          <cell r="G55">
            <v>1468.2553688823962</v>
          </cell>
          <cell r="H55">
            <v>2480.8814743609942</v>
          </cell>
          <cell r="I55">
            <v>3148</v>
          </cell>
          <cell r="J55">
            <v>4791.5999999999995</v>
          </cell>
          <cell r="K55">
            <v>5464.7999999999993</v>
          </cell>
          <cell r="L55">
            <v>6230.4</v>
          </cell>
          <cell r="M55">
            <v>6956.4</v>
          </cell>
          <cell r="N55">
            <v>0</v>
          </cell>
          <cell r="Y55" t="str">
            <v>Net income avant révision</v>
          </cell>
        </row>
        <row r="56">
          <cell r="A56" t="str">
            <v>% of sales</v>
          </cell>
          <cell r="B56">
            <v>0.31725574447687266</v>
          </cell>
          <cell r="C56">
            <v>0.31159776233147751</v>
          </cell>
          <cell r="D56">
            <v>0.31798392947669335</v>
          </cell>
          <cell r="E56">
            <v>0.31016594188729668</v>
          </cell>
          <cell r="F56">
            <v>0.31241328151708331</v>
          </cell>
          <cell r="G56">
            <v>0.26584381113206523</v>
          </cell>
          <cell r="H56">
            <v>0.29689821378183273</v>
          </cell>
          <cell r="I56">
            <v>0.29838862559241708</v>
          </cell>
          <cell r="J56">
            <v>0.33586703265584206</v>
          </cell>
          <cell r="K56">
            <v>0.34081979359222858</v>
          </cell>
          <cell r="L56">
            <v>0.35040910307777789</v>
          </cell>
          <cell r="M56">
            <v>0.35621692342749461</v>
          </cell>
          <cell r="N56" t="e">
            <v>#DIV/0!</v>
          </cell>
          <cell r="Y56" t="str">
            <v>% of sales</v>
          </cell>
        </row>
        <row r="57">
          <cell r="A57" t="str">
            <v>Variation</v>
          </cell>
          <cell r="B57" t="e">
            <v>#VALUE!</v>
          </cell>
          <cell r="C57">
            <v>0.11192138737300494</v>
          </cell>
          <cell r="D57">
            <v>0.25397507126334529</v>
          </cell>
          <cell r="E57">
            <v>5.9898558591021223E-2</v>
          </cell>
          <cell r="F57">
            <v>0.11445312517447559</v>
          </cell>
          <cell r="G57">
            <v>0.17033676546588228</v>
          </cell>
          <cell r="H57">
            <v>0.68967982473606537</v>
          </cell>
          <cell r="I57">
            <v>0.26890382814875791</v>
          </cell>
          <cell r="J57">
            <v>0.52210927573062249</v>
          </cell>
          <cell r="K57">
            <v>0.14049586776859502</v>
          </cell>
          <cell r="L57">
            <v>0.1400966183574881</v>
          </cell>
          <cell r="M57">
            <v>0.11652542372881358</v>
          </cell>
          <cell r="N57">
            <v>-1</v>
          </cell>
          <cell r="Y57" t="str">
            <v>Variation</v>
          </cell>
        </row>
        <row r="58">
          <cell r="A58" t="str">
            <v>Revision</v>
          </cell>
          <cell r="B58">
            <v>0</v>
          </cell>
          <cell r="C58">
            <v>0</v>
          </cell>
          <cell r="D58">
            <v>0</v>
          </cell>
          <cell r="E58">
            <v>0</v>
          </cell>
          <cell r="F58">
            <v>0</v>
          </cell>
          <cell r="G58">
            <v>-7.7744463751822646E-2</v>
          </cell>
          <cell r="H58">
            <v>-0.12877416024883459</v>
          </cell>
          <cell r="I58">
            <v>0.12329577235331168</v>
          </cell>
          <cell r="J58">
            <v>0.38542683836999814</v>
          </cell>
          <cell r="Y58" t="str">
            <v>Revision</v>
          </cell>
        </row>
        <row r="59">
          <cell r="A59" t="str">
            <v>Net income avant révision</v>
          </cell>
          <cell r="E59">
            <v>1138.5</v>
          </cell>
          <cell r="F59">
            <v>1119.7</v>
          </cell>
          <cell r="G59">
            <v>-1391.9</v>
          </cell>
          <cell r="H59">
            <v>2259</v>
          </cell>
          <cell r="I59">
            <v>2104.51428571428</v>
          </cell>
          <cell r="J59">
            <v>2105.51428571428</v>
          </cell>
          <cell r="K59">
            <v>2106.51428571428</v>
          </cell>
          <cell r="L59">
            <v>2107.51428571428</v>
          </cell>
          <cell r="M59">
            <v>2108.51428571428</v>
          </cell>
          <cell r="N59">
            <v>2109.51428571428</v>
          </cell>
        </row>
        <row r="60">
          <cell r="A60" t="str">
            <v>% of sales</v>
          </cell>
          <cell r="B60">
            <v>0</v>
          </cell>
          <cell r="C60">
            <v>0</v>
          </cell>
          <cell r="D60">
            <v>0</v>
          </cell>
          <cell r="E60">
            <v>0.31368821292775667</v>
          </cell>
          <cell r="F60">
            <v>0.2788305899345071</v>
          </cell>
          <cell r="G60">
            <v>-0.25201883034582656</v>
          </cell>
          <cell r="H60">
            <v>0.2703446625179512</v>
          </cell>
          <cell r="I60">
            <v>0.19948002708192228</v>
          </cell>
          <cell r="J60">
            <v>0.14758594944430675</v>
          </cell>
          <cell r="K60">
            <v>0.1313756704831324</v>
          </cell>
          <cell r="L60">
            <v>0.11853046202181958</v>
          </cell>
          <cell r="M60">
            <v>0.10797085731988704</v>
          </cell>
          <cell r="N60" t="e">
            <v>#DIV/0!</v>
          </cell>
          <cell r="Y60" t="str">
            <v>Nb of shares - end of year</v>
          </cell>
        </row>
        <row r="61">
          <cell r="A61" t="str">
            <v>Variation</v>
          </cell>
          <cell r="B61">
            <v>1056.5</v>
          </cell>
          <cell r="C61">
            <v>1020.2</v>
          </cell>
          <cell r="D61">
            <v>1021.7</v>
          </cell>
          <cell r="E61">
            <v>1029.5999999999999</v>
          </cell>
          <cell r="F61">
            <v>1045.5</v>
          </cell>
          <cell r="Y61" t="str">
            <v>Number of basic shares</v>
          </cell>
        </row>
        <row r="62">
          <cell r="A62" t="str">
            <v>Revision</v>
          </cell>
          <cell r="B62">
            <v>42</v>
          </cell>
          <cell r="C62">
            <v>37.1</v>
          </cell>
          <cell r="D62">
            <v>56.6</v>
          </cell>
          <cell r="E62">
            <v>0</v>
          </cell>
          <cell r="F62">
            <v>0</v>
          </cell>
          <cell r="G62">
            <v>-2.8737696673653002E-4</v>
          </cell>
          <cell r="H62">
            <v>-4.4267374944784166E-5</v>
          </cell>
          <cell r="I62">
            <v>0.49583208884303542</v>
          </cell>
          <cell r="J62">
            <v>1.2757385369031038</v>
          </cell>
          <cell r="K62">
            <v>1.5942382812500067</v>
          </cell>
          <cell r="L62">
            <v>1.9562788932120516</v>
          </cell>
          <cell r="M62">
            <v>2.299195100138224</v>
          </cell>
          <cell r="N62">
            <v>-1</v>
          </cell>
          <cell r="Y62" t="str">
            <v xml:space="preserve">Number of dilutive securities - employee stock options </v>
          </cell>
        </row>
        <row r="63">
          <cell r="A63" t="str">
            <v>Number of diluted shares</v>
          </cell>
          <cell r="B63">
            <v>1098.5</v>
          </cell>
          <cell r="C63">
            <v>1057.3</v>
          </cell>
          <cell r="D63">
            <v>1078.3</v>
          </cell>
          <cell r="E63">
            <v>1084.7</v>
          </cell>
          <cell r="F63">
            <v>1084.4000000000001</v>
          </cell>
          <cell r="G63">
            <v>1084.4000000000001</v>
          </cell>
          <cell r="H63">
            <v>1084.4000000000001</v>
          </cell>
          <cell r="I63">
            <v>1084.4000000000001</v>
          </cell>
          <cell r="J63">
            <v>1084.4000000000001</v>
          </cell>
          <cell r="Y63" t="str">
            <v>Number of diluted shares</v>
          </cell>
        </row>
        <row r="64">
          <cell r="A64" t="str">
            <v>Nb of shares - end of year</v>
          </cell>
          <cell r="B64">
            <v>42</v>
          </cell>
          <cell r="C64">
            <v>37.1</v>
          </cell>
          <cell r="D64">
            <v>56.6</v>
          </cell>
          <cell r="E64">
            <v>55.100000000000136</v>
          </cell>
          <cell r="F64">
            <v>38.900000000000091</v>
          </cell>
          <cell r="G64">
            <v>0</v>
          </cell>
          <cell r="Y64">
            <v>0</v>
          </cell>
        </row>
        <row r="65">
          <cell r="A65" t="str">
            <v>Number of basic shares</v>
          </cell>
          <cell r="B65">
            <v>1056.5</v>
          </cell>
          <cell r="C65">
            <v>1020.2</v>
          </cell>
          <cell r="D65">
            <v>1021.7</v>
          </cell>
          <cell r="E65">
            <v>1029.5999999999999</v>
          </cell>
          <cell r="F65">
            <v>1045.5</v>
          </cell>
          <cell r="G65">
            <v>1153.5</v>
          </cell>
          <cell r="H65">
            <v>1288</v>
          </cell>
          <cell r="I65">
            <v>1271</v>
          </cell>
          <cell r="J65">
            <v>1350</v>
          </cell>
          <cell r="Y65" t="str">
            <v>Earnings per share ($) basic</v>
          </cell>
        </row>
        <row r="66">
          <cell r="A66" t="str">
            <v xml:space="preserve">Number of dilutive securities - employee stock options </v>
          </cell>
          <cell r="B66">
            <v>42</v>
          </cell>
          <cell r="C66">
            <v>37.1</v>
          </cell>
          <cell r="D66">
            <v>56.6</v>
          </cell>
          <cell r="E66">
            <v>55.100000000000136</v>
          </cell>
          <cell r="F66">
            <v>38.900000000000091</v>
          </cell>
          <cell r="G66">
            <v>0</v>
          </cell>
          <cell r="H66">
            <v>57.6</v>
          </cell>
          <cell r="I66">
            <v>14</v>
          </cell>
          <cell r="Y66" t="str">
            <v>variation</v>
          </cell>
        </row>
        <row r="67">
          <cell r="A67" t="str">
            <v>Number of diluted shares</v>
          </cell>
          <cell r="B67">
            <v>1098.5</v>
          </cell>
          <cell r="C67">
            <v>1057.3</v>
          </cell>
          <cell r="D67">
            <v>1078.3</v>
          </cell>
          <cell r="E67">
            <v>1084.7</v>
          </cell>
          <cell r="F67">
            <v>1084.4000000000001</v>
          </cell>
          <cell r="G67">
            <v>1153.5</v>
          </cell>
          <cell r="H67">
            <v>1346</v>
          </cell>
          <cell r="I67">
            <v>1320</v>
          </cell>
          <cell r="J67">
            <v>1320</v>
          </cell>
          <cell r="K67">
            <v>1320</v>
          </cell>
          <cell r="L67">
            <v>1320</v>
          </cell>
          <cell r="M67">
            <v>1320</v>
          </cell>
          <cell r="N67">
            <v>1320</v>
          </cell>
          <cell r="Y67" t="str">
            <v>Earnings per share ($) diluted</v>
          </cell>
        </row>
        <row r="68">
          <cell r="A68" t="str">
            <v>variation</v>
          </cell>
          <cell r="C68">
            <v>0.39195478853705157</v>
          </cell>
          <cell r="D68">
            <v>0.24542110831271957</v>
          </cell>
          <cell r="E68">
            <v>3.2665997811017089E-2</v>
          </cell>
          <cell r="F68">
            <v>-1.9047619047619091E-2</v>
          </cell>
          <cell r="G68">
            <v>0.34951456310679596</v>
          </cell>
          <cell r="H68">
            <v>0.21582733812949639</v>
          </cell>
          <cell r="I68">
            <v>0.28994082840236701</v>
          </cell>
          <cell r="J68">
            <v>0.23394495412844019</v>
          </cell>
          <cell r="Y68" t="str">
            <v>variation</v>
          </cell>
        </row>
        <row r="69">
          <cell r="A69" t="str">
            <v>Earnings per share ($) basic</v>
          </cell>
          <cell r="B69">
            <v>0.60984382394699466</v>
          </cell>
          <cell r="C69">
            <v>0.8461086061556562</v>
          </cell>
          <cell r="D69">
            <v>1.0731134383870027</v>
          </cell>
          <cell r="E69">
            <v>1.1100000000000001</v>
          </cell>
          <cell r="F69">
            <v>1.07</v>
          </cell>
          <cell r="G69">
            <v>-1.2063285652362372</v>
          </cell>
          <cell r="H69">
            <v>1.7538043478260867</v>
          </cell>
          <cell r="I69">
            <v>2.4767899291896143</v>
          </cell>
          <cell r="J69">
            <v>2.69</v>
          </cell>
          <cell r="Y69" t="str">
            <v xml:space="preserve">EPS before exceptionals </v>
          </cell>
        </row>
        <row r="70">
          <cell r="A70" t="str">
            <v>variation</v>
          </cell>
          <cell r="C70">
            <v>0.38741850442876147</v>
          </cell>
          <cell r="D70">
            <v>0.26829278248658439</v>
          </cell>
          <cell r="E70">
            <v>3.4373403867201224E-2</v>
          </cell>
          <cell r="F70">
            <v>-3.6036036036036112E-2</v>
          </cell>
          <cell r="G70">
            <v>-2.127409874052558</v>
          </cell>
          <cell r="H70">
            <v>-2.453836374572326</v>
          </cell>
          <cell r="I70">
            <v>0.41223844738422399</v>
          </cell>
          <cell r="J70">
            <v>0.23394495412844019</v>
          </cell>
          <cell r="Y70" t="str">
            <v>variation</v>
          </cell>
        </row>
        <row r="71">
          <cell r="A71" t="str">
            <v>Earnings per share ($) diluted</v>
          </cell>
          <cell r="B71">
            <v>0.58652708238507045</v>
          </cell>
          <cell r="C71">
            <v>0.8164191809325646</v>
          </cell>
          <cell r="D71">
            <v>1.0167856811647973</v>
          </cell>
          <cell r="E71">
            <v>1.05</v>
          </cell>
          <cell r="F71">
            <v>1.03</v>
          </cell>
          <cell r="G71">
            <v>-1.2063285652362372</v>
          </cell>
          <cell r="H71">
            <v>1.6782317979197621</v>
          </cell>
          <cell r="I71">
            <v>2.3848484848484848</v>
          </cell>
          <cell r="J71">
            <v>3.63</v>
          </cell>
          <cell r="K71">
            <v>4.1399999999999997</v>
          </cell>
          <cell r="L71">
            <v>4.72</v>
          </cell>
          <cell r="M71">
            <v>5.27</v>
          </cell>
          <cell r="N71">
            <v>0</v>
          </cell>
          <cell r="O71">
            <v>0</v>
          </cell>
          <cell r="P71">
            <v>0</v>
          </cell>
          <cell r="Q71">
            <v>0</v>
          </cell>
          <cell r="R71">
            <v>0</v>
          </cell>
          <cell r="S71">
            <v>0</v>
          </cell>
          <cell r="T71">
            <v>0</v>
          </cell>
          <cell r="U71">
            <v>0</v>
          </cell>
          <cell r="V71">
            <v>0</v>
          </cell>
          <cell r="W71">
            <v>0</v>
          </cell>
        </row>
        <row r="72">
          <cell r="A72" t="str">
            <v>variation</v>
          </cell>
          <cell r="B72">
            <v>1997</v>
          </cell>
          <cell r="C72">
            <v>0.39195478853705157</v>
          </cell>
          <cell r="D72">
            <v>0.24542110831271957</v>
          </cell>
          <cell r="E72">
            <v>3.2665997811017089E-2</v>
          </cell>
          <cell r="F72">
            <v>-1.9047619047619091E-2</v>
          </cell>
          <cell r="G72">
            <v>-2.1711927817827545</v>
          </cell>
          <cell r="H72">
            <v>-2.3911896362920921</v>
          </cell>
          <cell r="I72">
            <v>0.42104832467398334</v>
          </cell>
          <cell r="J72">
            <v>0.52210927573062271</v>
          </cell>
          <cell r="K72">
            <v>0.14049586776859502</v>
          </cell>
          <cell r="L72">
            <v>0.14009661835748788</v>
          </cell>
          <cell r="M72">
            <v>0.11652542372881358</v>
          </cell>
          <cell r="N72">
            <v>-1</v>
          </cell>
        </row>
        <row r="73">
          <cell r="A73" t="str">
            <v xml:space="preserve">EPS before exceptionals </v>
          </cell>
          <cell r="B73">
            <v>0.69342835001271852</v>
          </cell>
          <cell r="C73">
            <v>0.8010829826628415</v>
          </cell>
          <cell r="D73">
            <v>0.98497461081805016</v>
          </cell>
          <cell r="E73">
            <v>1.0378134686878902</v>
          </cell>
          <cell r="F73">
            <v>1.1569144361749826</v>
          </cell>
          <cell r="G73">
            <v>1.272869847318939</v>
          </cell>
          <cell r="H73">
            <v>1.8431511696589853</v>
          </cell>
          <cell r="I73">
            <v>2.3848484848484848</v>
          </cell>
          <cell r="J73">
            <v>3.63</v>
          </cell>
          <cell r="K73">
            <v>4.1399999999999997</v>
          </cell>
          <cell r="L73">
            <v>4.72</v>
          </cell>
          <cell r="M73">
            <v>5.27</v>
          </cell>
          <cell r="N73">
            <v>0</v>
          </cell>
        </row>
        <row r="74">
          <cell r="A74" t="str">
            <v>variation</v>
          </cell>
          <cell r="B74">
            <v>3110.2000000000003</v>
          </cell>
          <cell r="C74">
            <v>0.15524982883689198</v>
          </cell>
          <cell r="D74">
            <v>0.22955378173674768</v>
          </cell>
          <cell r="E74">
            <v>5.3644893268828264E-2</v>
          </cell>
          <cell r="F74">
            <v>0.11476143939206351</v>
          </cell>
          <cell r="G74">
            <v>0.10022816512457999</v>
          </cell>
          <cell r="H74">
            <v>0.44802799244654645</v>
          </cell>
          <cell r="I74">
            <v>0.42104832467398334</v>
          </cell>
          <cell r="J74">
            <v>0.52210927573062271</v>
          </cell>
          <cell r="K74">
            <v>0.14049586776859502</v>
          </cell>
          <cell r="L74">
            <v>0.14009661835748788</v>
          </cell>
          <cell r="M74">
            <v>0.11652542372881358</v>
          </cell>
          <cell r="N74">
            <v>-1</v>
          </cell>
        </row>
        <row r="75">
          <cell r="A75" t="str">
            <v>Current assets</v>
          </cell>
          <cell r="B75">
            <v>1543.5</v>
          </cell>
          <cell r="C75">
            <v>1863.3</v>
          </cell>
          <cell r="D75">
            <v>2065.3000000000002</v>
          </cell>
          <cell r="E75">
            <v>2937.0999999999995</v>
          </cell>
          <cell r="F75">
            <v>3858.5999999999995</v>
          </cell>
        </row>
        <row r="76">
          <cell r="A76" t="str">
            <v>Consolidated balance sheets</v>
          </cell>
          <cell r="B76">
            <v>1997</v>
          </cell>
          <cell r="C76">
            <v>1998</v>
          </cell>
          <cell r="D76">
            <v>1999</v>
          </cell>
          <cell r="E76">
            <v>2000</v>
          </cell>
          <cell r="F76">
            <v>2001</v>
          </cell>
          <cell r="G76">
            <v>2002</v>
          </cell>
          <cell r="H76">
            <v>2003</v>
          </cell>
          <cell r="I76">
            <v>2004</v>
          </cell>
        </row>
        <row r="77">
          <cell r="A77" t="str">
            <v>in millions of DM</v>
          </cell>
          <cell r="B77">
            <v>787.4</v>
          </cell>
          <cell r="C77">
            <v>1074.9000000000001</v>
          </cell>
          <cell r="D77">
            <v>1202.0999999999999</v>
          </cell>
          <cell r="E77">
            <v>1801.6</v>
          </cell>
          <cell r="F77">
            <v>1973.1</v>
          </cell>
          <cell r="G77">
            <v>6403.4999999999991</v>
          </cell>
        </row>
        <row r="78">
          <cell r="A78" t="str">
            <v>Assets</v>
          </cell>
          <cell r="B78">
            <v>3110.2000000000003</v>
          </cell>
          <cell r="C78">
            <v>3672.2</v>
          </cell>
          <cell r="D78">
            <v>4077.6</v>
          </cell>
          <cell r="E78">
            <v>5399.5999999999995</v>
          </cell>
          <cell r="F78">
            <v>6443.0999999999995</v>
          </cell>
          <cell r="G78">
            <v>24456.3</v>
          </cell>
        </row>
        <row r="79">
          <cell r="A79" t="str">
            <v>Current assets</v>
          </cell>
          <cell r="B79">
            <v>1543.5</v>
          </cell>
          <cell r="C79">
            <v>1863.3</v>
          </cell>
          <cell r="D79">
            <v>2065.3000000000002</v>
          </cell>
          <cell r="E79">
            <v>2937.0999999999995</v>
          </cell>
          <cell r="F79">
            <v>3858.5999999999995</v>
          </cell>
          <cell r="G79">
            <v>6403.4999999999991</v>
          </cell>
        </row>
        <row r="80">
          <cell r="A80" t="str">
            <v xml:space="preserve">Cash and cash equivalents </v>
          </cell>
          <cell r="B80">
            <v>239.1</v>
          </cell>
          <cell r="C80">
            <v>201.1</v>
          </cell>
          <cell r="D80">
            <v>130.9</v>
          </cell>
          <cell r="E80">
            <v>226.5</v>
          </cell>
          <cell r="F80">
            <v>689.1</v>
          </cell>
          <cell r="G80">
            <v>1851.7</v>
          </cell>
        </row>
        <row r="81">
          <cell r="A81" t="str">
            <v>Marketable securities</v>
          </cell>
          <cell r="B81">
            <v>787.4</v>
          </cell>
          <cell r="C81">
            <v>1074.9000000000001</v>
          </cell>
          <cell r="D81">
            <v>1202.0999999999999</v>
          </cell>
          <cell r="E81">
            <v>1801.6</v>
          </cell>
          <cell r="F81">
            <v>1973.1</v>
          </cell>
          <cell r="G81">
            <v>2812.2</v>
          </cell>
        </row>
        <row r="82">
          <cell r="A82" t="str">
            <v>Trade receivables, net of allowance for doubtful accounts</v>
          </cell>
          <cell r="B82">
            <v>269</v>
          </cell>
          <cell r="C82">
            <v>319.89999999999998</v>
          </cell>
          <cell r="D82">
            <v>412.2</v>
          </cell>
          <cell r="E82">
            <v>389.2</v>
          </cell>
          <cell r="F82">
            <v>497.2</v>
          </cell>
          <cell r="G82">
            <v>752.4</v>
          </cell>
        </row>
        <row r="83">
          <cell r="A83" t="str">
            <v>Inventories</v>
          </cell>
          <cell r="B83">
            <v>109.2</v>
          </cell>
          <cell r="C83">
            <v>110.8</v>
          </cell>
          <cell r="D83">
            <v>184.3</v>
          </cell>
          <cell r="E83">
            <v>305.2</v>
          </cell>
          <cell r="F83">
            <v>355.6</v>
          </cell>
          <cell r="G83">
            <v>544.9</v>
          </cell>
        </row>
        <row r="84">
          <cell r="A84" t="str">
            <v>Other current assets</v>
          </cell>
          <cell r="B84">
            <v>138.80000000000001</v>
          </cell>
          <cell r="C84">
            <v>156.6</v>
          </cell>
          <cell r="D84">
            <v>135.80000000000001</v>
          </cell>
          <cell r="E84">
            <v>214.6</v>
          </cell>
          <cell r="F84">
            <v>343.6</v>
          </cell>
          <cell r="G84">
            <v>442.3</v>
          </cell>
        </row>
        <row r="85">
          <cell r="A85" t="str">
            <v>Non current assets</v>
          </cell>
          <cell r="B85">
            <v>1566.7000000000003</v>
          </cell>
          <cell r="C85">
            <v>1808.9</v>
          </cell>
          <cell r="D85">
            <v>2012.2999999999997</v>
          </cell>
          <cell r="E85">
            <v>2462.5</v>
          </cell>
          <cell r="F85">
            <v>2584.5</v>
          </cell>
          <cell r="G85">
            <v>18052.8</v>
          </cell>
        </row>
        <row r="86">
          <cell r="A86" t="str">
            <v>Property, plant and equipment, gross</v>
          </cell>
          <cell r="B86">
            <v>1669.2</v>
          </cell>
          <cell r="C86">
            <v>2051.9</v>
          </cell>
          <cell r="D86">
            <v>2315.1999999999998</v>
          </cell>
          <cell r="E86">
            <v>2719.2</v>
          </cell>
          <cell r="F86">
            <v>3109.9</v>
          </cell>
          <cell r="G86">
            <v>2813.5</v>
          </cell>
        </row>
        <row r="87">
          <cell r="A87" t="str">
            <v>Accumulated depreciation</v>
          </cell>
          <cell r="B87">
            <v>-483</v>
          </cell>
          <cell r="C87">
            <v>-601.70000000000005</v>
          </cell>
          <cell r="D87">
            <v>-761.6</v>
          </cell>
          <cell r="E87">
            <v>-937.7</v>
          </cell>
          <cell r="F87">
            <v>-1163.8000000000002</v>
          </cell>
          <cell r="G87">
            <v>2813.5</v>
          </cell>
        </row>
        <row r="88">
          <cell r="A88" t="str">
            <v>Property, plant and equipment, net</v>
          </cell>
          <cell r="B88">
            <v>1186.2</v>
          </cell>
          <cell r="C88">
            <v>1450.2</v>
          </cell>
          <cell r="D88">
            <v>1553.6</v>
          </cell>
          <cell r="E88">
            <v>1781.4999999999998</v>
          </cell>
          <cell r="F88">
            <v>1946.1</v>
          </cell>
          <cell r="G88">
            <v>2813.5</v>
          </cell>
        </row>
        <row r="89">
          <cell r="A89" t="str">
            <v>Equity and liabilities</v>
          </cell>
          <cell r="B89">
            <v>3110.2000000000003</v>
          </cell>
          <cell r="C89">
            <v>3672.2</v>
          </cell>
          <cell r="D89">
            <v>4077.6</v>
          </cell>
          <cell r="E89">
            <v>5399.6</v>
          </cell>
          <cell r="F89">
            <v>6443.1</v>
          </cell>
          <cell r="G89">
            <v>15239.3</v>
          </cell>
        </row>
        <row r="90">
          <cell r="A90" t="str">
            <v>Investment in affiliated companies</v>
          </cell>
          <cell r="B90">
            <v>116.9</v>
          </cell>
          <cell r="C90">
            <v>120.9</v>
          </cell>
          <cell r="D90">
            <v>132.80000000000001</v>
          </cell>
          <cell r="E90">
            <v>862.1</v>
          </cell>
          <cell r="F90">
            <v>1002.9</v>
          </cell>
        </row>
        <row r="91">
          <cell r="A91" t="str">
            <v>Other assets</v>
          </cell>
          <cell r="B91">
            <v>263.60000000000002</v>
          </cell>
          <cell r="C91">
            <v>237.8</v>
          </cell>
          <cell r="D91">
            <v>325.89999999999998</v>
          </cell>
          <cell r="E91">
            <v>681</v>
          </cell>
          <cell r="F91">
            <v>638.4</v>
          </cell>
          <cell r="G91">
            <v>15239.3</v>
          </cell>
        </row>
        <row r="92">
          <cell r="A92" t="str">
            <v>Commercial paper</v>
          </cell>
          <cell r="B92">
            <v>0</v>
          </cell>
          <cell r="C92">
            <v>99.7</v>
          </cell>
          <cell r="D92">
            <v>99.5</v>
          </cell>
          <cell r="E92">
            <v>99.7</v>
          </cell>
          <cell r="F92">
            <v>99.9</v>
          </cell>
          <cell r="G92">
            <v>1529.2</v>
          </cell>
        </row>
        <row r="93">
          <cell r="A93" t="str">
            <v>Equity and liabilities</v>
          </cell>
          <cell r="B93">
            <v>3110.2000000000003</v>
          </cell>
          <cell r="C93">
            <v>3672.2</v>
          </cell>
          <cell r="D93">
            <v>4077.6</v>
          </cell>
          <cell r="E93">
            <v>5399.6</v>
          </cell>
          <cell r="F93">
            <v>6443.1</v>
          </cell>
          <cell r="G93">
            <v>24456.300000000003</v>
          </cell>
        </row>
        <row r="94">
          <cell r="A94" t="str">
            <v>Current liabilities</v>
          </cell>
          <cell r="B94">
            <v>741.9</v>
          </cell>
          <cell r="C94">
            <v>887</v>
          </cell>
          <cell r="D94">
            <v>831.1</v>
          </cell>
          <cell r="E94">
            <v>862.1</v>
          </cell>
          <cell r="F94">
            <v>1002.9</v>
          </cell>
          <cell r="G94">
            <v>1529.2</v>
          </cell>
        </row>
        <row r="95">
          <cell r="A95" t="str">
            <v>Accounts payable</v>
          </cell>
          <cell r="B95">
            <v>103.9</v>
          </cell>
          <cell r="C95">
            <v>121.6</v>
          </cell>
          <cell r="D95">
            <v>83.4</v>
          </cell>
          <cell r="E95">
            <v>143.19999999999999</v>
          </cell>
          <cell r="F95">
            <v>136.69999999999999</v>
          </cell>
          <cell r="G95">
            <v>254.6</v>
          </cell>
        </row>
        <row r="96">
          <cell r="A96" t="str">
            <v>Commercial paper</v>
          </cell>
          <cell r="B96">
            <v>0</v>
          </cell>
          <cell r="C96">
            <v>99.7</v>
          </cell>
          <cell r="D96">
            <v>99.5</v>
          </cell>
          <cell r="E96">
            <v>99.7</v>
          </cell>
          <cell r="F96">
            <v>99.9</v>
          </cell>
          <cell r="G96">
            <v>122.9</v>
          </cell>
        </row>
        <row r="97">
          <cell r="A97" t="str">
            <v>Accrued liabilities</v>
          </cell>
          <cell r="B97">
            <v>608</v>
          </cell>
          <cell r="C97">
            <v>659.7</v>
          </cell>
          <cell r="D97">
            <v>648.20000000000005</v>
          </cell>
          <cell r="E97">
            <v>619.20000000000005</v>
          </cell>
          <cell r="F97">
            <v>766.3</v>
          </cell>
          <cell r="G97">
            <v>1151.7</v>
          </cell>
        </row>
        <row r="98">
          <cell r="A98" t="str">
            <v>Current portion of LT debt</v>
          </cell>
          <cell r="B98">
            <v>30</v>
          </cell>
          <cell r="C98">
            <v>6</v>
          </cell>
          <cell r="D98">
            <v>0</v>
          </cell>
          <cell r="E98">
            <v>0</v>
          </cell>
          <cell r="F98">
            <v>0</v>
          </cell>
          <cell r="G98">
            <v>0</v>
          </cell>
        </row>
        <row r="99">
          <cell r="A99" t="str">
            <v>Long term debt</v>
          </cell>
          <cell r="B99">
            <v>229</v>
          </cell>
          <cell r="C99">
            <v>223</v>
          </cell>
          <cell r="D99">
            <v>223</v>
          </cell>
          <cell r="E99">
            <v>223</v>
          </cell>
          <cell r="F99">
            <v>223</v>
          </cell>
          <cell r="G99">
            <v>3047.7</v>
          </cell>
        </row>
      </sheetData>
      <sheetData sheetId="5"/>
      <sheetData sheetId="6"/>
      <sheetData sheetId="7"/>
      <sheetData sheetId="8"/>
      <sheetData sheetId="9"/>
      <sheetData sheetId="10"/>
      <sheetData sheetId="1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kup"/>
      <sheetName val="FR"/>
      <sheetName val="GB"/>
      <sheetName val="LDATA"/>
    </sheetNames>
    <sheetDataSet>
      <sheetData sheetId="0"/>
      <sheetData sheetId="1"/>
      <sheetData sheetId="2"/>
      <sheetData sheetId="3" refreshError="1">
        <row r="1">
          <cell r="B1">
            <v>301987</v>
          </cell>
          <cell r="U1">
            <v>37986</v>
          </cell>
          <cell r="W1">
            <v>38352</v>
          </cell>
          <cell r="Y1">
            <v>38717</v>
          </cell>
        </row>
        <row r="4">
          <cell r="D4">
            <v>1</v>
          </cell>
        </row>
        <row r="5">
          <cell r="B5">
            <v>2</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EF"/>
      <sheetName val="dummy"/>
      <sheetName val="MS scrips"/>
      <sheetName val="VRTX"/>
      <sheetName val="BCHE"/>
      <sheetName val="ABGX"/>
      <sheetName val="CRXA"/>
      <sheetName val="CLTR"/>
      <sheetName val="PDLI"/>
      <sheetName val="Rev"/>
      <sheetName val="P&amp;L"/>
      <sheetName val="COMBO"/>
      <sheetName val="Pipeline"/>
      <sheetName val="Revenues"/>
      <sheetName val="Product Revs"/>
      <sheetName val="Rituxan"/>
      <sheetName val="Herceptin"/>
      <sheetName val="NPV Valuation"/>
      <sheetName val="Coverage"/>
      <sheetName val="monthly"/>
      <sheetName val="Valuation"/>
      <sheetName val="Viracept"/>
      <sheetName val="HIV - RTIs"/>
      <sheetName val="Intron A"/>
      <sheetName val="Background"/>
      <sheetName val="graphdialog"/>
      <sheetName val="PictureSheet"/>
      <sheetName val="Flu scrips"/>
      <sheetName val="Avonex"/>
      <sheetName val="NPV Valuation (2)"/>
      <sheetName val="P&amp;L (Proforma)"/>
      <sheetName val="CADWALADER"/>
      <sheetName val="DATA"/>
      <sheetName val="BALANCE SHEET"/>
      <sheetName val="IL-Fusion Toxin"/>
      <sheetName val="Rituxan 36 months"/>
      <sheetName val="R&amp;D Revenues"/>
      <sheetName val="ALX-0600"/>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O Lung cancer model"/>
      <sheetName val="MS_IO LUNG model.xls"/>
    </sheetNames>
    <definedNames>
      <definedName name="aa" refersTo="#REF!"/>
      <definedName name="AboutCompGraph" refersTo="#REF!"/>
      <definedName name="AxesFormat" refersTo="#REF!"/>
      <definedName name="BackFromCompanySelector" refersTo="#REF!"/>
      <definedName name="BackFromItemSelect" refersTo="#REF!"/>
      <definedName name="bDown" refersTo="#REF!"/>
      <definedName name="bLeft" refersTo="#REF!"/>
      <definedName name="bRight" refersTo="#REF!"/>
      <definedName name="bUp" refersTo="#REF!"/>
      <definedName name="ChangeSize" refersTo="#REF!"/>
      <definedName name="ChartOptions" refersTo="#REF!"/>
      <definedName name="ChartTypeChange" refersTo="#REF!"/>
      <definedName name="ClearCompList" refersTo="#REF!"/>
      <definedName name="CompanyChangeSize" refersTo="#REF!"/>
      <definedName name="CompanyLookup" refersTo="#REF!"/>
      <definedName name="CompgraphHelp" refersTo="#REF!"/>
      <definedName name="complookup" refersTo="#REF!"/>
      <definedName name="CompositeBuilder" refersTo="#REF!"/>
      <definedName name="CoSelectorOutputs" refersTo="#REF!"/>
      <definedName name="CustomChart" refersTo="#REF!"/>
      <definedName name="DismissItemDlog" refersTo="#REF!"/>
      <definedName name="editgraph" refersTo="#REF!"/>
      <definedName name="enable" refersTo="#REF!"/>
      <definedName name="ExitCompanySelector" refersTo="#REF!"/>
      <definedName name="ExitFormat" refersTo="#REF!"/>
      <definedName name="ExitItemBuilder" refersTo="#REF!"/>
      <definedName name="exitMainMenu" refersTo="#REF!"/>
      <definedName name="exitmsg" refersTo="#REF!"/>
      <definedName name="FormatMod.FormatMaster" refersTo="#REF!"/>
      <definedName name="GraphbuildingMod.ChangeTicker" refersTo="#REF!"/>
      <definedName name="GraphbuildingMod.editgraph" refersTo="#REF!"/>
      <definedName name="GraphbuildingMod.ExportData" refersTo="#REF!"/>
      <definedName name="GraphbuildingMod.LayoutSet" refersTo="#REF!"/>
      <definedName name="GraphbuildingMod.PasteGraph" refersTo="#REF!"/>
      <definedName name="GraphbuildingMod.PrintPreview" refersTo="#REF!"/>
      <definedName name="GraphbuildingMod.ShowData" refersTo="#REF!"/>
      <definedName name="GraphbuildingMod.ShowGraph" refersTo="#REF!"/>
      <definedName name="GraphCompBuild" refersTo="#REF!"/>
      <definedName name="Graphexitmsg" refersTo="#REF!"/>
      <definedName name="GraphIntroMod.exitmsg" refersTo="#REF!"/>
      <definedName name="GraphIntroMod.Graphexitmsg" refersTo="#REF!"/>
      <definedName name="HeaderFormat" refersTo="#REF!"/>
      <definedName name="HelpTest" refersTo="#REF!"/>
      <definedName name="LaunchFormulaLookup" refersTo="#REF!"/>
      <definedName name="OnShow" refersTo="#REF!"/>
      <definedName name="PasteGraph" refersTo="#REF!"/>
      <definedName name="pomom" refersTo="#REF!"/>
      <definedName name="Print_Macro_Nos" refersTo="#REF!"/>
      <definedName name="PrintPreview" refersTo="#REF!"/>
      <definedName name="ResetItemView" refersTo="#REF!"/>
      <definedName name="SeriesFormat" refersTo="#REF!"/>
      <definedName name="ShowData" refersTo="#REF!"/>
      <definedName name="ShowDottedLine" refersTo="#REF!"/>
      <definedName name="ShowGraph" refersTo="#REF!"/>
      <definedName name="TextFormat" refersTo="#REF!"/>
      <definedName name="TickerToNameOnEnter" refersTo="#REF!"/>
    </definedNames>
    <sheetDataSet>
      <sheetData sheetId="0" refreshError="1"/>
      <sheetData sheetId="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e societes"/>
      <sheetName val="Tableau"/>
      <sheetName val="Graph1"/>
      <sheetName val="Graph2"/>
      <sheetName val="Graph3"/>
      <sheetName val="Graph5"/>
      <sheetName val="EV SALES vs OpFCF margin univer"/>
      <sheetName val="EV OpFCF 2005 univers"/>
      <sheetName val="EV EBIT 2005 secteur"/>
      <sheetName val="EV EBIT 2005 univers"/>
      <sheetName val="ev ebit chem (2)"/>
      <sheetName val="EV SALES vs EBIT secteur"/>
      <sheetName val="Chart1"/>
      <sheetName val="Chart3"/>
      <sheetName val="Chart2"/>
      <sheetName val="ev ebit gas"/>
      <sheetName val="Chart5"/>
      <sheetName val="Sources graph"/>
      <sheetName val="Chart4"/>
      <sheetName val="Chart6"/>
      <sheetName val="Sheet2"/>
      <sheetName val="Chart7"/>
      <sheetName val="Chart8"/>
      <sheetName val="Tableau reco"/>
      <sheetName val="Datastream"/>
      <sheetName val="Capex cycle"/>
      <sheetName val="Tableau de valorisation"/>
      <sheetName val="Tableau1"/>
      <sheetName val="ebit margin chem"/>
      <sheetName val="ev ebit chem"/>
      <sheetName val="Sheet1"/>
      <sheetName val="PER 2005 univers"/>
      <sheetName val="Upside vs target price"/>
      <sheetName val="ev ebit chem (3)"/>
      <sheetName val="ev ebit chem 2"/>
    </sheetNames>
    <sheetDataSet>
      <sheetData sheetId="0" refreshError="1">
        <row r="1">
          <cell r="L1">
            <v>0</v>
          </cell>
          <cell r="P1">
            <v>1</v>
          </cell>
          <cell r="Q1">
            <v>1</v>
          </cell>
          <cell r="R1">
            <v>-26</v>
          </cell>
          <cell r="S1">
            <v>6</v>
          </cell>
          <cell r="T1">
            <v>0</v>
          </cell>
          <cell r="U1">
            <v>0</v>
          </cell>
          <cell r="V1">
            <v>0</v>
          </cell>
        </row>
        <row r="2">
          <cell r="E2">
            <v>0</v>
          </cell>
          <cell r="L2">
            <v>1</v>
          </cell>
        </row>
        <row r="3">
          <cell r="E3">
            <v>2</v>
          </cell>
        </row>
        <row r="4">
          <cell r="H4">
            <v>4</v>
          </cell>
        </row>
        <row r="5">
          <cell r="L5">
            <v>4</v>
          </cell>
          <cell r="N5">
            <v>0</v>
          </cell>
        </row>
        <row r="6">
          <cell r="L6">
            <v>5</v>
          </cell>
          <cell r="N6">
            <v>1</v>
          </cell>
          <cell r="O6">
            <v>1</v>
          </cell>
        </row>
        <row r="7">
          <cell r="L7">
            <v>6</v>
          </cell>
          <cell r="N7">
            <v>2</v>
          </cell>
          <cell r="O7">
            <v>2</v>
          </cell>
        </row>
        <row r="8">
          <cell r="L8">
            <v>7</v>
          </cell>
          <cell r="N8">
            <v>3</v>
          </cell>
          <cell r="O8">
            <v>3</v>
          </cell>
        </row>
        <row r="9">
          <cell r="L9">
            <v>8</v>
          </cell>
          <cell r="N9">
            <v>4</v>
          </cell>
          <cell r="O9">
            <v>4</v>
          </cell>
        </row>
        <row r="10">
          <cell r="L10">
            <v>9</v>
          </cell>
        </row>
        <row r="11">
          <cell r="L11">
            <v>10</v>
          </cell>
        </row>
        <row r="12">
          <cell r="L12">
            <v>11</v>
          </cell>
        </row>
        <row r="13">
          <cell r="L13">
            <v>12</v>
          </cell>
        </row>
        <row r="14">
          <cell r="L14">
            <v>13</v>
          </cell>
        </row>
        <row r="15">
          <cell r="L15">
            <v>14</v>
          </cell>
        </row>
        <row r="16">
          <cell r="L16">
            <v>15</v>
          </cell>
        </row>
      </sheetData>
      <sheetData sheetId="1" refreshError="1">
        <row r="2">
          <cell r="A2" t="str">
            <v>Code Exane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sheetData sheetId="21" refreshError="1"/>
      <sheetData sheetId="22" refreshError="1"/>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Modeles (S)"/>
      <sheetName val="SortieP&amp;L"/>
      <sheetName val="SortieCA"/>
      <sheetName val="CA geog"/>
      <sheetName val="Associated companies"/>
      <sheetName val="Base_titre"/>
      <sheetName val="MOP_Novartis"/>
      <sheetName val="Grille_Novartis"/>
      <sheetName val="CA pharma"/>
      <sheetName val="EVA"/>
      <sheetName val="Hypotheses"/>
      <sheetName val="SortieInterims"/>
      <sheetName val="Sales Trim"/>
      <sheetName val="Res Trim"/>
      <sheetName val="consensus"/>
      <sheetName val="R&amp;D sortie"/>
      <sheetName val="Pipe"/>
      <sheetName val="Au Pire Au Mieux"/>
      <sheetName val="Generics"/>
      <sheetName val="Questions"/>
      <sheetName val="Newsflow"/>
      <sheetName val="Valorisation"/>
      <sheetName val="R&amp;D"/>
      <sheetName val="Syngenta grille"/>
      <sheetName val="SyngentaSales"/>
      <sheetName val="WesleyJ"/>
      <sheetName val="Roche"/>
      <sheetName val="SynergiesUS"/>
      <sheetName val="DuPont"/>
      <sheetName val="Res Sem"/>
      <sheetName val="CA trim"/>
      <sheetName val="PharmaTrim"/>
      <sheetName val="CA pharma-produits"/>
      <sheetName val="Scenarios"/>
      <sheetName val="Comparaisons"/>
      <sheetName val="Liens_data"/>
      <sheetName val="Resultats semestriels"/>
      <sheetName val="SortieFin"/>
      <sheetName val="SortieProd"/>
      <sheetName val="Sortie pour fiche"/>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5">
          <cell r="E5">
            <v>54.8</v>
          </cell>
        </row>
        <row r="47">
          <cell r="B47">
            <v>11520.590576825651</v>
          </cell>
        </row>
        <row r="48">
          <cell r="B48">
            <v>4909.893609321849</v>
          </cell>
        </row>
        <row r="49">
          <cell r="B49">
            <v>9229.3014489372727</v>
          </cell>
        </row>
        <row r="53">
          <cell r="B53">
            <v>2887.0232322501261</v>
          </cell>
        </row>
        <row r="57">
          <cell r="B57">
            <v>-7082.5794311355585</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ité euro"/>
      <sheetName val="Lien IBES manuel"/>
      <sheetName val="Graph"/>
      <sheetName val="calcul de PER sectoriels"/>
      <sheetName val="Tableaux de synthèse"/>
      <sheetName val="PE Exane"/>
      <sheetName val="Liens_data"/>
      <sheetName val="indice pharmer"/>
      <sheetName val="mini CDR prév"/>
      <sheetName val="données IBES datastream"/>
      <sheetName val="Chiffres du matin"/>
      <sheetName val="Poids dans l'indice"/>
      <sheetName val="BaseBloom"/>
      <sheetName val="TriRatios"/>
      <sheetName val="TriTaille"/>
      <sheetName val="BasePerfs"/>
      <sheetName val="TriPerfs"/>
      <sheetName val="GraphesPerfs"/>
      <sheetName val="Tableau PE+EPS"/>
      <sheetName val="#REF"/>
      <sheetName val="SANOFI"/>
      <sheetName val="Feuil1"/>
    </sheetNames>
    <sheetDataSet>
      <sheetData sheetId="0" refreshError="1"/>
      <sheetData sheetId="1" refreshError="1"/>
      <sheetData sheetId="2" refreshError="1"/>
      <sheetData sheetId="3" refreshError="1"/>
      <sheetData sheetId="4" refreshError="1"/>
      <sheetData sheetId="5" refreshError="1">
        <row r="16">
          <cell r="B16" t="e">
            <v>#N/A</v>
          </cell>
        </row>
        <row r="30">
          <cell r="J30">
            <v>946.831772270594</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Accounts (FY)"/>
      <sheetName val="Trim Sem (S)"/>
      <sheetName val="Ventilation (S)"/>
      <sheetName val="Base_titre"/>
      <sheetName val="CA geographique"/>
      <sheetName val="MOP_Novartis"/>
      <sheetName val="Grille_Novartis"/>
      <sheetName val="Liens_data"/>
      <sheetName val="Alcon model"/>
      <sheetName val="CA pharma"/>
      <sheetName val="consensus NOV"/>
      <sheetName val="lucentis"/>
      <sheetName val="Actavis"/>
      <sheetName val="Valorisation SOP"/>
      <sheetName val="DCF NOV New"/>
      <sheetName val="P&amp;L"/>
      <sheetName val="Associated companies"/>
      <sheetName val="products Pharma"/>
      <sheetName val="Sales New"/>
      <sheetName val="P&amp;L by division"/>
      <sheetName val="APAM"/>
      <sheetName val="APAM Chart"/>
      <sheetName val="Links"/>
      <sheetName val="Output P&amp;L New"/>
      <sheetName val="Output Riskcheck"/>
      <sheetName val="SortieInterims"/>
      <sheetName val="Sales Trim"/>
      <sheetName val="NEW MOP"/>
      <sheetName val="EVA"/>
      <sheetName val="Model Account (S)"/>
      <sheetName val="Modeles (S)"/>
      <sheetName val="aromatases"/>
      <sheetName val="DCF NOV old"/>
      <sheetName val="Chart1"/>
      <sheetName val="Output P&amp;L (old)"/>
      <sheetName val="Alcon consensus"/>
      <sheetName val="Output P&amp;L (Y)"/>
      <sheetName val="DCF NOV"/>
      <sheetName val="Cubist M&amp;A"/>
      <sheetName val="FTY720"/>
      <sheetName val="Hexal"/>
      <sheetName val="SortieCA"/>
      <sheetName val="Alcon tabs"/>
      <sheetName val="Alcon model old"/>
      <sheetName val="Tasigna"/>
      <sheetName val="consensus new"/>
      <sheetName val="consensus Novartis sales"/>
      <sheetName val="Sheet1"/>
      <sheetName val="échéances vs launch"/>
      <sheetName val="Hypotheses"/>
      <sheetName val="pipe sortie"/>
      <sheetName val="Generics"/>
      <sheetName val="Questions"/>
      <sheetName val="Pipe"/>
      <sheetName val="Pharma + vaccines"/>
      <sheetName val="SortieNEWMOP"/>
      <sheetName val="SortieP&amp;L old"/>
      <sheetName val="Speedel"/>
      <sheetName val="SortieMOP"/>
      <sheetName val="SortieP&amp;L"/>
      <sheetName val="CA geog"/>
      <sheetName val="NOVN"/>
      <sheetName val="PipeGraph"/>
      <sheetName val="Newsflow"/>
      <sheetName val="R&amp;D"/>
      <sheetName val="Roche"/>
      <sheetName val="consensus old"/>
      <sheetName val="Serono"/>
      <sheetName val="consensus"/>
      <sheetName val="Lien R&amp;D - CA Nx Pdts"/>
      <sheetName val="Res Trim OLD"/>
      <sheetName val="consensus (old)"/>
      <sheetName val="Syngenta grille"/>
      <sheetName val="SyngentaSales"/>
      <sheetName val="WesleyJ"/>
      <sheetName val="SynergiesUS"/>
      <sheetName val="DuPont"/>
      <sheetName val="Res Sem"/>
      <sheetName val="CA trim"/>
      <sheetName val="Pipe - OLD"/>
      <sheetName val="consensus (2)"/>
      <sheetName val="Valorisation"/>
      <sheetName val="Res Trim"/>
      <sheetName val="R&amp;D sortie"/>
      <sheetName val="Au Pire Au Mieux"/>
      <sheetName val="CA pharma-produits"/>
      <sheetName val="Comparaisons"/>
      <sheetName val="PharmaTrim"/>
      <sheetName val="Scenarios"/>
      <sheetName val="Resultats semestriels"/>
      <sheetName val="SortieFin"/>
      <sheetName val="SortieProd"/>
      <sheetName val="Sortie pour fiche"/>
      <sheetName val="Valorisation Novartis"/>
      <sheetName val="Syngenta"/>
      <sheetName val="Comparaison avec GW"/>
      <sheetName val="Agro"/>
      <sheetName val="Feuil1"/>
      <sheetName val="pharma-produits"/>
      <sheetName val="Données comp"/>
      <sheetName val="DCF test"/>
      <sheetName val="New New MOP"/>
      <sheetName val="Grille_Novartis New"/>
    </sheetNames>
    <sheetDataSet>
      <sheetData sheetId="0" refreshError="1"/>
      <sheetData sheetId="1" refreshError="1"/>
      <sheetData sheetId="2" refreshError="1"/>
      <sheetData sheetId="3" refreshError="1">
        <row r="203">
          <cell r="A203" t="str">
            <v>Reported op. profit before gwl. (not for use with IFRS/USgaap)</v>
          </cell>
          <cell r="B203" t="str">
            <v>Reported op. profit before gwl. (not for use with IFRS/USgaap)</v>
          </cell>
        </row>
        <row r="219">
          <cell r="A219" t="str">
            <v>Capitaux employés</v>
          </cell>
          <cell r="B219" t="str">
            <v>Capital employed</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sheetData sheetId="30" refreshError="1"/>
      <sheetData sheetId="31" refreshError="1">
        <row r="4">
          <cell r="R4" t="str">
            <v>T1</v>
          </cell>
          <cell r="S4" t="str">
            <v>T2</v>
          </cell>
          <cell r="T4" t="str">
            <v>S1</v>
          </cell>
          <cell r="U4" t="str">
            <v>T3</v>
          </cell>
          <cell r="V4" t="str">
            <v>9 Mois</v>
          </cell>
          <cell r="W4" t="str">
            <v>T4</v>
          </cell>
          <cell r="X4" t="str">
            <v>S2</v>
          </cell>
          <cell r="Y4" t="str">
            <v>Ex</v>
          </cell>
        </row>
        <row r="5">
          <cell r="R5">
            <v>0</v>
          </cell>
        </row>
        <row r="6">
          <cell r="R6" t="str">
            <v>Q1</v>
          </cell>
          <cell r="S6" t="str">
            <v>Q2</v>
          </cell>
          <cell r="T6" t="str">
            <v>S1</v>
          </cell>
          <cell r="U6" t="str">
            <v>Q3</v>
          </cell>
          <cell r="V6" t="str">
            <v>9 Months</v>
          </cell>
          <cell r="W6" t="str">
            <v>Q4</v>
          </cell>
          <cell r="X6" t="str">
            <v>S2</v>
          </cell>
          <cell r="Y6" t="str">
            <v>FY</v>
          </cell>
        </row>
        <row r="11">
          <cell r="R11">
            <v>1</v>
          </cell>
          <cell r="S11">
            <v>1</v>
          </cell>
          <cell r="T11">
            <v>1</v>
          </cell>
          <cell r="U11">
            <v>1</v>
          </cell>
          <cell r="V11">
            <v>1</v>
          </cell>
          <cell r="W11">
            <v>1</v>
          </cell>
          <cell r="X11">
            <v>1</v>
          </cell>
          <cell r="Y11">
            <v>1</v>
          </cell>
        </row>
        <row r="13">
          <cell r="Y13">
            <v>0</v>
          </cell>
        </row>
        <row r="14">
          <cell r="R14" t="str">
            <v/>
          </cell>
          <cell r="S14" t="str">
            <v/>
          </cell>
          <cell r="T14" t="str">
            <v/>
          </cell>
          <cell r="U14" t="str">
            <v/>
          </cell>
          <cell r="V14" t="str">
            <v/>
          </cell>
          <cell r="W14" t="str">
            <v/>
          </cell>
          <cell r="X14" t="str">
            <v/>
          </cell>
          <cell r="Y14" t="str">
            <v/>
          </cell>
        </row>
        <row r="15">
          <cell r="R15" t="str">
            <v/>
          </cell>
          <cell r="S15" t="str">
            <v/>
          </cell>
          <cell r="T15" t="str">
            <v/>
          </cell>
          <cell r="U15" t="str">
            <v/>
          </cell>
          <cell r="V15" t="str">
            <v/>
          </cell>
          <cell r="W15" t="str">
            <v/>
          </cell>
          <cell r="X15" t="str">
            <v/>
          </cell>
        </row>
        <row r="16">
          <cell r="R16" t="str">
            <v>N.A</v>
          </cell>
          <cell r="S16" t="str">
            <v>N.A</v>
          </cell>
          <cell r="T16" t="str">
            <v>N.A</v>
          </cell>
          <cell r="U16" t="str">
            <v>N.A</v>
          </cell>
          <cell r="V16" t="str">
            <v>N.A</v>
          </cell>
          <cell r="W16" t="str">
            <v>N.A</v>
          </cell>
          <cell r="X16" t="str">
            <v>N.A</v>
          </cell>
          <cell r="Y16" t="str">
            <v>N.A</v>
          </cell>
        </row>
        <row r="17">
          <cell r="Y17">
            <v>0</v>
          </cell>
        </row>
        <row r="18">
          <cell r="R18" t="str">
            <v/>
          </cell>
          <cell r="S18" t="str">
            <v/>
          </cell>
          <cell r="T18" t="str">
            <v/>
          </cell>
          <cell r="U18" t="str">
            <v/>
          </cell>
          <cell r="V18" t="str">
            <v/>
          </cell>
          <cell r="W18" t="str">
            <v/>
          </cell>
          <cell r="X18" t="str">
            <v/>
          </cell>
          <cell r="Y18" t="str">
            <v/>
          </cell>
        </row>
        <row r="19">
          <cell r="R19" t="str">
            <v/>
          </cell>
          <cell r="S19" t="str">
            <v/>
          </cell>
          <cell r="T19" t="str">
            <v/>
          </cell>
          <cell r="U19" t="str">
            <v/>
          </cell>
          <cell r="V19" t="str">
            <v/>
          </cell>
          <cell r="W19" t="str">
            <v/>
          </cell>
          <cell r="X19" t="str">
            <v/>
          </cell>
        </row>
        <row r="20">
          <cell r="R20" t="str">
            <v/>
          </cell>
          <cell r="S20" t="str">
            <v/>
          </cell>
          <cell r="T20" t="str">
            <v/>
          </cell>
          <cell r="U20" t="str">
            <v/>
          </cell>
          <cell r="V20" t="str">
            <v/>
          </cell>
          <cell r="W20" t="str">
            <v/>
          </cell>
          <cell r="X20" t="str">
            <v/>
          </cell>
          <cell r="Y20" t="e">
            <v>#DIV/0!</v>
          </cell>
        </row>
        <row r="21">
          <cell r="Y21">
            <v>0</v>
          </cell>
        </row>
        <row r="22">
          <cell r="R22" t="str">
            <v/>
          </cell>
          <cell r="S22" t="str">
            <v/>
          </cell>
          <cell r="T22" t="str">
            <v/>
          </cell>
          <cell r="U22" t="str">
            <v/>
          </cell>
          <cell r="V22" t="str">
            <v/>
          </cell>
          <cell r="W22" t="str">
            <v/>
          </cell>
          <cell r="X22" t="str">
            <v/>
          </cell>
          <cell r="Y22" t="str">
            <v/>
          </cell>
        </row>
        <row r="23">
          <cell r="R23" t="str">
            <v/>
          </cell>
          <cell r="S23" t="str">
            <v/>
          </cell>
          <cell r="T23" t="str">
            <v/>
          </cell>
          <cell r="U23" t="str">
            <v/>
          </cell>
          <cell r="V23" t="str">
            <v/>
          </cell>
          <cell r="W23" t="str">
            <v/>
          </cell>
          <cell r="X23" t="str">
            <v/>
          </cell>
        </row>
        <row r="24">
          <cell r="R24" t="str">
            <v/>
          </cell>
          <cell r="S24" t="str">
            <v/>
          </cell>
          <cell r="T24" t="str">
            <v/>
          </cell>
          <cell r="U24" t="str">
            <v/>
          </cell>
          <cell r="V24" t="str">
            <v/>
          </cell>
          <cell r="W24" t="str">
            <v/>
          </cell>
          <cell r="X24" t="str">
            <v/>
          </cell>
          <cell r="Y24" t="e">
            <v>#DIV/0!</v>
          </cell>
        </row>
        <row r="25">
          <cell r="Y25">
            <v>0</v>
          </cell>
        </row>
        <row r="26">
          <cell r="R26" t="str">
            <v/>
          </cell>
          <cell r="S26" t="str">
            <v/>
          </cell>
          <cell r="T26" t="str">
            <v/>
          </cell>
          <cell r="U26" t="str">
            <v/>
          </cell>
          <cell r="V26" t="str">
            <v/>
          </cell>
          <cell r="W26" t="str">
            <v/>
          </cell>
          <cell r="X26" t="str">
            <v/>
          </cell>
          <cell r="Y26" t="str">
            <v/>
          </cell>
        </row>
        <row r="27">
          <cell r="R27" t="str">
            <v/>
          </cell>
          <cell r="S27" t="str">
            <v/>
          </cell>
          <cell r="T27" t="str">
            <v/>
          </cell>
          <cell r="U27" t="str">
            <v/>
          </cell>
          <cell r="V27" t="str">
            <v/>
          </cell>
          <cell r="W27" t="str">
            <v/>
          </cell>
          <cell r="X27" t="str">
            <v/>
          </cell>
        </row>
        <row r="28">
          <cell r="R28" t="str">
            <v/>
          </cell>
          <cell r="S28" t="str">
            <v/>
          </cell>
          <cell r="T28" t="str">
            <v/>
          </cell>
          <cell r="U28" t="str">
            <v/>
          </cell>
          <cell r="V28" t="str">
            <v/>
          </cell>
          <cell r="W28" t="str">
            <v/>
          </cell>
          <cell r="X28" t="str">
            <v/>
          </cell>
          <cell r="Y28" t="e">
            <v>#DIV/0!</v>
          </cell>
        </row>
        <row r="31">
          <cell r="Y31">
            <v>0</v>
          </cell>
        </row>
        <row r="32">
          <cell r="R32" t="str">
            <v/>
          </cell>
          <cell r="S32" t="str">
            <v/>
          </cell>
          <cell r="T32" t="str">
            <v/>
          </cell>
          <cell r="U32" t="str">
            <v/>
          </cell>
          <cell r="V32" t="str">
            <v/>
          </cell>
          <cell r="W32" t="str">
            <v/>
          </cell>
          <cell r="X32" t="str">
            <v/>
          </cell>
          <cell r="Y32" t="str">
            <v/>
          </cell>
        </row>
        <row r="33">
          <cell r="R33" t="str">
            <v/>
          </cell>
          <cell r="S33" t="str">
            <v/>
          </cell>
          <cell r="T33" t="str">
            <v/>
          </cell>
          <cell r="U33" t="str">
            <v/>
          </cell>
          <cell r="V33" t="str">
            <v/>
          </cell>
          <cell r="W33" t="str">
            <v/>
          </cell>
          <cell r="X33" t="str">
            <v/>
          </cell>
        </row>
        <row r="34">
          <cell r="R34" t="str">
            <v/>
          </cell>
          <cell r="S34" t="str">
            <v/>
          </cell>
          <cell r="T34" t="str">
            <v/>
          </cell>
          <cell r="U34" t="str">
            <v/>
          </cell>
          <cell r="V34" t="str">
            <v/>
          </cell>
          <cell r="W34" t="str">
            <v/>
          </cell>
          <cell r="X34" t="str">
            <v/>
          </cell>
          <cell r="Y34" t="e">
            <v>#DIV/0!</v>
          </cell>
        </row>
        <row r="70">
          <cell r="R70">
            <v>0</v>
          </cell>
        </row>
        <row r="71">
          <cell r="R71" t="str">
            <v>T1</v>
          </cell>
          <cell r="S71" t="str">
            <v>T2</v>
          </cell>
          <cell r="T71" t="str">
            <v>S1</v>
          </cell>
          <cell r="U71" t="str">
            <v>T3</v>
          </cell>
          <cell r="V71" t="str">
            <v>9 Mois</v>
          </cell>
          <cell r="W71" t="str">
            <v>T4</v>
          </cell>
          <cell r="X71" t="str">
            <v>S2</v>
          </cell>
          <cell r="Y71" t="str">
            <v>Ex</v>
          </cell>
        </row>
        <row r="72">
          <cell r="R72">
            <v>0</v>
          </cell>
        </row>
        <row r="73">
          <cell r="R73" t="str">
            <v>Q1</v>
          </cell>
          <cell r="S73" t="str">
            <v>Q2</v>
          </cell>
          <cell r="T73" t="str">
            <v>S1</v>
          </cell>
          <cell r="U73" t="str">
            <v>Q3</v>
          </cell>
          <cell r="V73" t="str">
            <v>9 Months</v>
          </cell>
          <cell r="W73" t="str">
            <v>Q4</v>
          </cell>
          <cell r="X73" t="str">
            <v>S2</v>
          </cell>
          <cell r="Y73" t="str">
            <v>FY</v>
          </cell>
        </row>
        <row r="74">
          <cell r="R74">
            <v>0</v>
          </cell>
          <cell r="S74">
            <v>0</v>
          </cell>
          <cell r="T74">
            <v>0</v>
          </cell>
          <cell r="U74">
            <v>0</v>
          </cell>
          <cell r="V74">
            <v>0</v>
          </cell>
          <cell r="W74">
            <v>0</v>
          </cell>
          <cell r="X74">
            <v>0</v>
          </cell>
          <cell r="Y74">
            <v>0</v>
          </cell>
        </row>
        <row r="75">
          <cell r="R75">
            <v>0</v>
          </cell>
          <cell r="S75">
            <v>0</v>
          </cell>
          <cell r="T75">
            <v>0</v>
          </cell>
          <cell r="U75">
            <v>0</v>
          </cell>
          <cell r="V75">
            <v>0</v>
          </cell>
          <cell r="W75">
            <v>0</v>
          </cell>
          <cell r="X75">
            <v>0</v>
          </cell>
          <cell r="Y75">
            <v>0</v>
          </cell>
        </row>
        <row r="76">
          <cell r="R76" t="str">
            <v/>
          </cell>
          <cell r="S76" t="str">
            <v/>
          </cell>
          <cell r="T76" t="str">
            <v/>
          </cell>
          <cell r="U76" t="str">
            <v/>
          </cell>
          <cell r="V76" t="str">
            <v/>
          </cell>
          <cell r="W76" t="str">
            <v/>
          </cell>
          <cell r="X76" t="str">
            <v/>
          </cell>
          <cell r="Y76" t="str">
            <v/>
          </cell>
        </row>
      </sheetData>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iQ_Measure_Validations_Errors"/>
      <sheetName val="iQ_US_CoreIndustrials"/>
      <sheetName val="CF"/>
      <sheetName val="BS"/>
      <sheetName val="Soliris"/>
      <sheetName val="Penetration Sensitivity"/>
      <sheetName val="Revenue"/>
      <sheetName val="NPV"/>
      <sheetName val="Charts"/>
      <sheetName val="NPV Sensitivity"/>
      <sheetName val="Pricing Scenario Valuation"/>
      <sheetName val="Scenario Valuation"/>
      <sheetName val="DCF Analysis"/>
      <sheetName val="Valuation"/>
      <sheetName val="Quarterly Model"/>
      <sheetName val="Revenue Summary"/>
      <sheetName val="Op expenses"/>
      <sheetName val="PNH, autoimmune"/>
      <sheetName val="PNH data"/>
      <sheetName val="Cardiovascular"/>
      <sheetName val="R&amp;D funding"/>
      <sheetName val="Shares"/>
      <sheetName val="Tax"/>
      <sheetName val="Products"/>
      <sheetName val="Management"/>
      <sheetName val="PRIMO-CABG"/>
      <sheetName val="Pexelizumab data"/>
      <sheetName val="Background"/>
      <sheetName val="Cardio data"/>
      <sheetName val="RA data"/>
      <sheetName val="P_L"/>
      <sheetName val="BalanceSheet"/>
      <sheetName val="E&amp;P"/>
      <sheetName val="AHC"/>
    </sheetNames>
    <sheetDataSet>
      <sheetData sheetId="0" refreshError="1">
        <row r="1">
          <cell r="A1" t="str">
            <v>Alexion Pharmaceuticals, Inc</v>
          </cell>
        </row>
        <row r="2">
          <cell r="A2" t="str">
            <v xml:space="preserve">FY ENDS DEC. 31 </v>
          </cell>
        </row>
        <row r="3">
          <cell r="A3" t="str">
            <v>($000's)</v>
          </cell>
        </row>
        <row r="5">
          <cell r="A5" t="str">
            <v>REVENUE MODEL</v>
          </cell>
        </row>
        <row r="6">
          <cell r="D6" t="str">
            <v>QUARTER ESTIMATES</v>
          </cell>
          <cell r="I6" t="str">
            <v>QUARTER ESTIMATES</v>
          </cell>
          <cell r="N6" t="str">
            <v>QUARTER ESTIMATES</v>
          </cell>
          <cell r="S6">
            <v>38264</v>
          </cell>
          <cell r="T6">
            <v>38357</v>
          </cell>
          <cell r="U6">
            <v>38447</v>
          </cell>
          <cell r="V6">
            <v>38538</v>
          </cell>
          <cell r="W6">
            <v>38629</v>
          </cell>
        </row>
        <row r="7">
          <cell r="B7" t="str">
            <v>FY2000A</v>
          </cell>
          <cell r="C7" t="str">
            <v>FY2001A</v>
          </cell>
          <cell r="D7" t="str">
            <v>1Q02A</v>
          </cell>
          <cell r="E7" t="str">
            <v>2Q02A</v>
          </cell>
          <cell r="F7" t="str">
            <v>3Q02A</v>
          </cell>
          <cell r="G7" t="str">
            <v>4Q02A</v>
          </cell>
          <cell r="H7" t="str">
            <v>FY2002A</v>
          </cell>
          <cell r="I7" t="str">
            <v>1Q03A</v>
          </cell>
          <cell r="J7" t="str">
            <v>2Q03A</v>
          </cell>
          <cell r="K7" t="str">
            <v>3Q03A</v>
          </cell>
          <cell r="L7" t="str">
            <v>4Q03A</v>
          </cell>
          <cell r="M7" t="str">
            <v>FY2003A</v>
          </cell>
          <cell r="N7" t="str">
            <v>1Q04A</v>
          </cell>
          <cell r="O7" t="str">
            <v>2Q04A</v>
          </cell>
          <cell r="P7" t="str">
            <v>3Q03A</v>
          </cell>
          <cell r="Q7" t="str">
            <v>4Q04A</v>
          </cell>
          <cell r="R7" t="str">
            <v>FY2004A</v>
          </cell>
          <cell r="S7" t="str">
            <v>1Q05A</v>
          </cell>
          <cell r="T7" t="str">
            <v>2Q05A</v>
          </cell>
          <cell r="U7" t="str">
            <v>3Q05A</v>
          </cell>
          <cell r="V7" t="str">
            <v>4Q05A</v>
          </cell>
          <cell r="W7" t="str">
            <v>TQ'05</v>
          </cell>
          <cell r="X7" t="str">
            <v>FY2005A</v>
          </cell>
          <cell r="Y7" t="str">
            <v>1Q06A</v>
          </cell>
          <cell r="Z7" t="str">
            <v>2Q06A</v>
          </cell>
          <cell r="AA7" t="str">
            <v>3Q06E</v>
          </cell>
          <cell r="AB7" t="str">
            <v>4Q06E</v>
          </cell>
          <cell r="AC7" t="str">
            <v>FY2006E</v>
          </cell>
          <cell r="AD7" t="str">
            <v>FY2007E</v>
          </cell>
          <cell r="AE7" t="str">
            <v>FY2008E</v>
          </cell>
          <cell r="AF7" t="str">
            <v>FY2009E</v>
          </cell>
        </row>
        <row r="8">
          <cell r="A8" t="str">
            <v>SOLIRIS</v>
          </cell>
        </row>
        <row r="9">
          <cell r="A9" t="str">
            <v>US SALES</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33903.209339999994</v>
          </cell>
          <cell r="AE9">
            <v>101429.66970045</v>
          </cell>
          <cell r="AF9">
            <v>151060.8597918512</v>
          </cell>
        </row>
        <row r="10">
          <cell r="A10" t="str">
            <v>ROW SALES</v>
          </cell>
          <cell r="B10">
            <v>0</v>
          </cell>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42069.039475320002</v>
          </cell>
          <cell r="AF10">
            <v>108498.49089891082</v>
          </cell>
        </row>
        <row r="11">
          <cell r="A11" t="str">
            <v>WW SALES</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33903.209339999994</v>
          </cell>
          <cell r="AE11">
            <v>143498.70917577</v>
          </cell>
          <cell r="AF11">
            <v>259559.35069076202</v>
          </cell>
        </row>
        <row r="13">
          <cell r="A13" t="str">
            <v>INCOME STATEMENT</v>
          </cell>
        </row>
        <row r="14">
          <cell r="A14" t="str">
            <v>(in thousands)</v>
          </cell>
          <cell r="D14" t="str">
            <v>QUARTER ESTIMATES</v>
          </cell>
          <cell r="I14" t="str">
            <v>QUARTER ESTIMATES</v>
          </cell>
          <cell r="N14" t="str">
            <v>QUARTER ESTIMATES</v>
          </cell>
        </row>
        <row r="15">
          <cell r="B15" t="str">
            <v>FY2000A</v>
          </cell>
          <cell r="C15" t="str">
            <v>FY2001A</v>
          </cell>
          <cell r="D15" t="str">
            <v>1Q02A</v>
          </cell>
          <cell r="E15" t="str">
            <v>2Q02A</v>
          </cell>
          <cell r="F15" t="str">
            <v>3Q02A</v>
          </cell>
          <cell r="G15" t="str">
            <v>4Q02A</v>
          </cell>
          <cell r="H15" t="str">
            <v>FY2002A</v>
          </cell>
          <cell r="I15" t="str">
            <v>1Q03A</v>
          </cell>
          <cell r="J15" t="str">
            <v>2Q03A</v>
          </cell>
          <cell r="K15" t="str">
            <v>3Q03A</v>
          </cell>
          <cell r="L15" t="str">
            <v>4Q03A</v>
          </cell>
          <cell r="M15" t="str">
            <v>FY2003A</v>
          </cell>
          <cell r="N15" t="str">
            <v>1Q04A</v>
          </cell>
          <cell r="O15" t="str">
            <v>2Q04A</v>
          </cell>
          <cell r="P15" t="str">
            <v>3Q03A</v>
          </cell>
          <cell r="Q15" t="str">
            <v>4Q04A</v>
          </cell>
          <cell r="R15" t="str">
            <v>FY2004A</v>
          </cell>
          <cell r="S15" t="str">
            <v>1Q05A</v>
          </cell>
          <cell r="T15" t="str">
            <v>2Q05A</v>
          </cell>
          <cell r="U15" t="str">
            <v>3Q05A</v>
          </cell>
          <cell r="V15" t="str">
            <v>4Q05A</v>
          </cell>
          <cell r="W15" t="str">
            <v>TQ'05</v>
          </cell>
          <cell r="X15" t="str">
            <v>FY2005A</v>
          </cell>
          <cell r="Y15" t="str">
            <v>1Q06A</v>
          </cell>
          <cell r="Z15" t="str">
            <v>2Q06A</v>
          </cell>
          <cell r="AA15" t="str">
            <v>3Q06E</v>
          </cell>
          <cell r="AB15" t="str">
            <v>4Q06E</v>
          </cell>
          <cell r="AC15" t="str">
            <v>FY2006E</v>
          </cell>
          <cell r="AD15" t="str">
            <v>FY2007E</v>
          </cell>
          <cell r="AE15" t="str">
            <v>FY2008E</v>
          </cell>
          <cell r="AF15" t="str">
            <v>FY2009E</v>
          </cell>
        </row>
        <row r="17">
          <cell r="A17" t="str">
            <v>PRODUCT REVENUES</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33903.209339999994</v>
          </cell>
          <cell r="AE17">
            <v>143498.70917577</v>
          </cell>
          <cell r="AF17">
            <v>259559.35069076202</v>
          </cell>
        </row>
        <row r="18">
          <cell r="A18" t="str">
            <v>CONTRACT R&amp;D, GRANTS</v>
          </cell>
          <cell r="B18">
            <v>21441</v>
          </cell>
          <cell r="C18">
            <v>11805</v>
          </cell>
          <cell r="D18">
            <v>1860</v>
          </cell>
          <cell r="E18">
            <v>3380</v>
          </cell>
          <cell r="F18">
            <v>539</v>
          </cell>
          <cell r="G18">
            <v>757</v>
          </cell>
          <cell r="H18">
            <v>6536</v>
          </cell>
          <cell r="I18">
            <v>323</v>
          </cell>
          <cell r="J18">
            <v>220</v>
          </cell>
          <cell r="K18">
            <v>167</v>
          </cell>
          <cell r="L18">
            <v>167</v>
          </cell>
          <cell r="M18">
            <v>877</v>
          </cell>
          <cell r="N18">
            <v>147</v>
          </cell>
          <cell r="O18">
            <v>147</v>
          </cell>
          <cell r="P18">
            <v>168</v>
          </cell>
          <cell r="Q18">
            <v>4147</v>
          </cell>
          <cell r="R18">
            <v>4609</v>
          </cell>
          <cell r="S18">
            <v>147</v>
          </cell>
          <cell r="T18">
            <v>563</v>
          </cell>
          <cell r="U18">
            <v>151</v>
          </cell>
          <cell r="V18">
            <v>203</v>
          </cell>
          <cell r="W18">
            <v>664</v>
          </cell>
          <cell r="X18">
            <v>1205.6666666666667</v>
          </cell>
          <cell r="Y18">
            <v>768</v>
          </cell>
          <cell r="Z18">
            <v>339</v>
          </cell>
          <cell r="AA18">
            <v>263</v>
          </cell>
          <cell r="AB18">
            <v>272.20499999999998</v>
          </cell>
          <cell r="AC18">
            <v>1642.2049999999999</v>
          </cell>
          <cell r="AD18">
            <v>1560.0947499999997</v>
          </cell>
          <cell r="AE18">
            <v>1482.0900124999996</v>
          </cell>
          <cell r="AF18">
            <v>1407.9855118749995</v>
          </cell>
        </row>
        <row r="19">
          <cell r="A19" t="str">
            <v>NET REVENUE</v>
          </cell>
          <cell r="B19">
            <v>21441</v>
          </cell>
          <cell r="C19">
            <v>11805</v>
          </cell>
          <cell r="D19">
            <v>1860</v>
          </cell>
          <cell r="E19">
            <v>3380</v>
          </cell>
          <cell r="F19">
            <v>539</v>
          </cell>
          <cell r="G19">
            <v>757</v>
          </cell>
          <cell r="H19">
            <v>6536</v>
          </cell>
          <cell r="I19">
            <v>323</v>
          </cell>
          <cell r="J19">
            <v>220</v>
          </cell>
          <cell r="K19">
            <v>167</v>
          </cell>
          <cell r="L19">
            <v>167</v>
          </cell>
          <cell r="M19">
            <v>877</v>
          </cell>
          <cell r="N19">
            <v>147</v>
          </cell>
          <cell r="O19">
            <v>147</v>
          </cell>
          <cell r="P19">
            <v>168</v>
          </cell>
          <cell r="Q19">
            <v>4147</v>
          </cell>
          <cell r="R19">
            <v>4609</v>
          </cell>
          <cell r="S19">
            <v>147</v>
          </cell>
          <cell r="T19">
            <v>563</v>
          </cell>
          <cell r="U19">
            <v>151</v>
          </cell>
          <cell r="V19">
            <v>203</v>
          </cell>
          <cell r="W19">
            <v>664</v>
          </cell>
          <cell r="X19">
            <v>1205.6666666666667</v>
          </cell>
          <cell r="Y19">
            <v>768</v>
          </cell>
          <cell r="Z19">
            <v>339</v>
          </cell>
          <cell r="AA19">
            <v>263</v>
          </cell>
          <cell r="AB19">
            <v>272.20499999999998</v>
          </cell>
          <cell r="AC19">
            <v>1642.2049999999999</v>
          </cell>
          <cell r="AD19">
            <v>35463.304089999991</v>
          </cell>
          <cell r="AE19">
            <v>144980.79918827</v>
          </cell>
          <cell r="AF19">
            <v>260967.33620263703</v>
          </cell>
        </row>
        <row r="20">
          <cell r="A20" t="str">
            <v>COST OF PRODUCT SALES</v>
          </cell>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5933.0616344999989</v>
          </cell>
          <cell r="AE20">
            <v>22959.7934681232</v>
          </cell>
          <cell r="AF20">
            <v>38933.902603614304</v>
          </cell>
        </row>
        <row r="21">
          <cell r="A21" t="str">
            <v>GROSS PROFIT:</v>
          </cell>
          <cell r="B21">
            <v>21441</v>
          </cell>
          <cell r="C21">
            <v>11805</v>
          </cell>
          <cell r="D21">
            <v>1860</v>
          </cell>
          <cell r="E21">
            <v>3380</v>
          </cell>
          <cell r="F21">
            <v>539</v>
          </cell>
          <cell r="G21">
            <v>757</v>
          </cell>
          <cell r="H21">
            <v>6536</v>
          </cell>
          <cell r="I21">
            <v>323</v>
          </cell>
          <cell r="J21">
            <v>220</v>
          </cell>
          <cell r="K21">
            <v>167</v>
          </cell>
          <cell r="L21">
            <v>167</v>
          </cell>
          <cell r="M21">
            <v>877</v>
          </cell>
          <cell r="N21">
            <v>147</v>
          </cell>
          <cell r="O21">
            <v>147</v>
          </cell>
          <cell r="P21">
            <v>168</v>
          </cell>
          <cell r="Q21">
            <v>4147</v>
          </cell>
          <cell r="R21">
            <v>4609</v>
          </cell>
          <cell r="S21">
            <v>147</v>
          </cell>
          <cell r="T21">
            <v>563</v>
          </cell>
          <cell r="U21">
            <v>151</v>
          </cell>
          <cell r="V21">
            <v>203</v>
          </cell>
          <cell r="W21">
            <v>664</v>
          </cell>
          <cell r="X21">
            <v>1205.6666666666667</v>
          </cell>
          <cell r="Y21">
            <v>768</v>
          </cell>
          <cell r="Z21">
            <v>339</v>
          </cell>
          <cell r="AA21">
            <v>263</v>
          </cell>
          <cell r="AB21">
            <v>272.20499999999998</v>
          </cell>
          <cell r="AC21">
            <v>1642.2049999999999</v>
          </cell>
          <cell r="AD21">
            <v>29530.242455499993</v>
          </cell>
          <cell r="AE21">
            <v>122021.0057201468</v>
          </cell>
          <cell r="AF21">
            <v>222033.43359902274</v>
          </cell>
        </row>
        <row r="22">
          <cell r="A22" t="str">
            <v>LESS:</v>
          </cell>
          <cell r="AC22">
            <v>0</v>
          </cell>
        </row>
        <row r="23">
          <cell r="A23" t="str">
            <v>R&amp;D</v>
          </cell>
          <cell r="B23">
            <v>40187</v>
          </cell>
          <cell r="C23">
            <v>38871</v>
          </cell>
          <cell r="D23">
            <v>9671</v>
          </cell>
          <cell r="E23">
            <v>15043</v>
          </cell>
          <cell r="F23">
            <v>15906</v>
          </cell>
          <cell r="G23">
            <v>19385</v>
          </cell>
          <cell r="H23">
            <v>60005</v>
          </cell>
          <cell r="I23">
            <v>19677</v>
          </cell>
          <cell r="J23">
            <v>19304</v>
          </cell>
          <cell r="K23">
            <v>13473</v>
          </cell>
          <cell r="L23">
            <v>18588</v>
          </cell>
          <cell r="M23">
            <v>71042</v>
          </cell>
          <cell r="N23">
            <v>16688</v>
          </cell>
          <cell r="O23">
            <v>14565</v>
          </cell>
          <cell r="P23">
            <v>10792</v>
          </cell>
          <cell r="Q23">
            <v>17836</v>
          </cell>
          <cell r="R23">
            <v>59881</v>
          </cell>
          <cell r="S23">
            <v>18663</v>
          </cell>
          <cell r="T23">
            <v>20088</v>
          </cell>
          <cell r="U23">
            <v>25021</v>
          </cell>
          <cell r="V23">
            <v>27616</v>
          </cell>
          <cell r="W23">
            <v>48238</v>
          </cell>
          <cell r="X23">
            <v>107571</v>
          </cell>
          <cell r="Y23">
            <v>21214</v>
          </cell>
          <cell r="Z23">
            <v>23462</v>
          </cell>
          <cell r="AA23">
            <v>21205</v>
          </cell>
          <cell r="AB23">
            <v>16964</v>
          </cell>
          <cell r="AC23">
            <v>82845</v>
          </cell>
          <cell r="AD23">
            <v>64463.199999999997</v>
          </cell>
          <cell r="AE23">
            <v>69297.939999999988</v>
          </cell>
          <cell r="AF23">
            <v>74495.285499999984</v>
          </cell>
        </row>
        <row r="24">
          <cell r="A24" t="str">
            <v>S&amp;M</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11000</v>
          </cell>
          <cell r="AC24">
            <v>11000</v>
          </cell>
          <cell r="AD24">
            <v>33500</v>
          </cell>
          <cell r="AE24">
            <v>40225</v>
          </cell>
          <cell r="AF24">
            <v>44247.5</v>
          </cell>
        </row>
        <row r="25">
          <cell r="A25" t="str">
            <v>G&amp;A</v>
          </cell>
          <cell r="B25">
            <v>4175</v>
          </cell>
          <cell r="C25">
            <v>7135</v>
          </cell>
          <cell r="D25">
            <v>1599</v>
          </cell>
          <cell r="E25">
            <v>1836</v>
          </cell>
          <cell r="F25">
            <v>2432</v>
          </cell>
          <cell r="G25">
            <v>2126</v>
          </cell>
          <cell r="H25">
            <v>7993</v>
          </cell>
          <cell r="I25">
            <v>2192</v>
          </cell>
          <cell r="J25">
            <v>2058</v>
          </cell>
          <cell r="K25">
            <v>3369</v>
          </cell>
          <cell r="L25">
            <v>3002</v>
          </cell>
          <cell r="M25">
            <v>10621</v>
          </cell>
          <cell r="N25">
            <v>2814</v>
          </cell>
          <cell r="O25">
            <v>3300</v>
          </cell>
          <cell r="P25">
            <v>3569</v>
          </cell>
          <cell r="Q25">
            <v>4776</v>
          </cell>
          <cell r="R25">
            <v>14459</v>
          </cell>
          <cell r="S25">
            <v>3679</v>
          </cell>
          <cell r="T25">
            <v>4280</v>
          </cell>
          <cell r="U25">
            <v>4777</v>
          </cell>
          <cell r="V25">
            <v>6215</v>
          </cell>
          <cell r="W25">
            <v>12763</v>
          </cell>
          <cell r="X25">
            <v>25181.666666666668</v>
          </cell>
          <cell r="Y25">
            <v>8146</v>
          </cell>
          <cell r="Z25">
            <v>11421</v>
          </cell>
          <cell r="AA25">
            <v>12121</v>
          </cell>
          <cell r="AB25">
            <v>12727.050000000001</v>
          </cell>
          <cell r="AC25">
            <v>44415.05</v>
          </cell>
          <cell r="AD25">
            <v>48856.555000000008</v>
          </cell>
          <cell r="AE25">
            <v>51299.382750000012</v>
          </cell>
          <cell r="AF25">
            <v>53864.351887500015</v>
          </cell>
        </row>
        <row r="26">
          <cell r="A26" t="str">
            <v>OTHER</v>
          </cell>
          <cell r="B26">
            <v>0</v>
          </cell>
          <cell r="C26">
            <v>0</v>
          </cell>
          <cell r="D26">
            <v>0</v>
          </cell>
          <cell r="E26">
            <v>0</v>
          </cell>
          <cell r="F26">
            <v>0</v>
          </cell>
          <cell r="G26">
            <v>0</v>
          </cell>
          <cell r="H26">
            <v>0</v>
          </cell>
          <cell r="I26">
            <v>0</v>
          </cell>
          <cell r="J26">
            <v>0</v>
          </cell>
          <cell r="K26">
            <v>2560</v>
          </cell>
          <cell r="L26">
            <v>0</v>
          </cell>
          <cell r="M26">
            <v>2560</v>
          </cell>
          <cell r="N26">
            <v>0</v>
          </cell>
          <cell r="O26">
            <v>0</v>
          </cell>
          <cell r="P26">
            <v>0</v>
          </cell>
          <cell r="Q26">
            <v>760</v>
          </cell>
          <cell r="R26">
            <v>760</v>
          </cell>
          <cell r="S26">
            <v>0</v>
          </cell>
          <cell r="T26">
            <v>0</v>
          </cell>
          <cell r="U26">
            <v>0</v>
          </cell>
          <cell r="V26">
            <v>0</v>
          </cell>
          <cell r="W26">
            <v>0</v>
          </cell>
          <cell r="X26">
            <v>0</v>
          </cell>
          <cell r="Y26">
            <v>0</v>
          </cell>
          <cell r="Z26">
            <v>0</v>
          </cell>
          <cell r="AA26">
            <v>0</v>
          </cell>
          <cell r="AB26">
            <v>0</v>
          </cell>
          <cell r="AC26">
            <v>0</v>
          </cell>
          <cell r="AD26">
            <v>0</v>
          </cell>
          <cell r="AE26">
            <v>0</v>
          </cell>
        </row>
        <row r="27">
          <cell r="A27" t="str">
            <v>TOTAL EXPENSES</v>
          </cell>
          <cell r="B27">
            <v>44362</v>
          </cell>
          <cell r="C27">
            <v>46006</v>
          </cell>
          <cell r="D27">
            <v>11270</v>
          </cell>
          <cell r="E27">
            <v>16879</v>
          </cell>
          <cell r="F27">
            <v>18338</v>
          </cell>
          <cell r="G27">
            <v>21511</v>
          </cell>
          <cell r="H27">
            <v>67998</v>
          </cell>
          <cell r="I27">
            <v>21869</v>
          </cell>
          <cell r="J27">
            <v>21362</v>
          </cell>
          <cell r="K27">
            <v>19402</v>
          </cell>
          <cell r="L27">
            <v>21590</v>
          </cell>
          <cell r="M27">
            <v>84223</v>
          </cell>
          <cell r="N27">
            <v>19502</v>
          </cell>
          <cell r="O27">
            <v>17865</v>
          </cell>
          <cell r="P27">
            <v>14361</v>
          </cell>
          <cell r="Q27">
            <v>23372</v>
          </cell>
          <cell r="R27">
            <v>75100</v>
          </cell>
          <cell r="S27">
            <v>22342</v>
          </cell>
          <cell r="T27">
            <v>24368</v>
          </cell>
          <cell r="U27">
            <v>29798</v>
          </cell>
          <cell r="V27">
            <v>33831</v>
          </cell>
          <cell r="W27">
            <v>61001</v>
          </cell>
          <cell r="X27">
            <v>132752.66666666666</v>
          </cell>
          <cell r="Y27">
            <v>29360</v>
          </cell>
          <cell r="Z27">
            <v>34883</v>
          </cell>
          <cell r="AA27">
            <v>33326</v>
          </cell>
          <cell r="AB27">
            <v>40691.050000000003</v>
          </cell>
          <cell r="AC27">
            <v>138260.04999999999</v>
          </cell>
          <cell r="AD27">
            <v>146819.755</v>
          </cell>
          <cell r="AE27">
            <v>160822.32274999999</v>
          </cell>
          <cell r="AF27">
            <v>172607.1373875</v>
          </cell>
        </row>
        <row r="28">
          <cell r="A28" t="str">
            <v>OPERATING PROFIT</v>
          </cell>
          <cell r="B28">
            <v>-22921</v>
          </cell>
          <cell r="C28">
            <v>-34201</v>
          </cell>
          <cell r="D28">
            <v>-9410</v>
          </cell>
          <cell r="E28">
            <v>-13499</v>
          </cell>
          <cell r="F28">
            <v>-17799</v>
          </cell>
          <cell r="G28">
            <v>-20754</v>
          </cell>
          <cell r="H28">
            <v>-61462</v>
          </cell>
          <cell r="I28">
            <v>-21546</v>
          </cell>
          <cell r="J28">
            <v>-21142</v>
          </cell>
          <cell r="K28">
            <v>-19235</v>
          </cell>
          <cell r="L28">
            <v>-21423</v>
          </cell>
          <cell r="M28">
            <v>-83346</v>
          </cell>
          <cell r="N28">
            <v>-19355</v>
          </cell>
          <cell r="O28">
            <v>-17718</v>
          </cell>
          <cell r="P28">
            <v>-14193</v>
          </cell>
          <cell r="Q28">
            <v>-19225</v>
          </cell>
          <cell r="R28">
            <v>-70491</v>
          </cell>
          <cell r="S28">
            <v>-22195</v>
          </cell>
          <cell r="T28">
            <v>-23805</v>
          </cell>
          <cell r="U28">
            <v>-29647</v>
          </cell>
          <cell r="V28">
            <v>-33628</v>
          </cell>
          <cell r="W28">
            <v>-60337</v>
          </cell>
          <cell r="X28">
            <v>-131547</v>
          </cell>
          <cell r="Y28">
            <v>-28592</v>
          </cell>
          <cell r="Z28">
            <v>-34544</v>
          </cell>
          <cell r="AA28">
            <v>-33063</v>
          </cell>
          <cell r="AB28">
            <v>-40418.845000000001</v>
          </cell>
          <cell r="AC28">
            <v>-136617.845</v>
          </cell>
          <cell r="AD28">
            <v>-117289.51254450002</v>
          </cell>
          <cell r="AE28">
            <v>-38801.317029853191</v>
          </cell>
          <cell r="AF28">
            <v>49426.296211522742</v>
          </cell>
        </row>
        <row r="29">
          <cell r="A29" t="str">
            <v>OTHER INCOME (EXP)</v>
          </cell>
          <cell r="B29">
            <v>5930</v>
          </cell>
          <cell r="C29">
            <v>10177</v>
          </cell>
          <cell r="D29">
            <v>3538</v>
          </cell>
          <cell r="E29">
            <v>3918</v>
          </cell>
          <cell r="F29">
            <v>2621</v>
          </cell>
          <cell r="G29">
            <v>1843</v>
          </cell>
          <cell r="H29">
            <v>11920</v>
          </cell>
          <cell r="I29">
            <v>1882</v>
          </cell>
          <cell r="J29">
            <v>1662</v>
          </cell>
          <cell r="K29">
            <v>1191</v>
          </cell>
          <cell r="L29">
            <v>1074</v>
          </cell>
          <cell r="M29">
            <v>5809</v>
          </cell>
          <cell r="N29">
            <v>1001</v>
          </cell>
          <cell r="O29">
            <v>1000</v>
          </cell>
          <cell r="P29">
            <v>720</v>
          </cell>
          <cell r="Q29">
            <v>658</v>
          </cell>
          <cell r="R29">
            <v>3379</v>
          </cell>
          <cell r="S29">
            <v>1049</v>
          </cell>
          <cell r="T29">
            <v>1168</v>
          </cell>
          <cell r="U29">
            <v>1729</v>
          </cell>
          <cell r="V29">
            <v>1319</v>
          </cell>
          <cell r="W29">
            <v>3123</v>
          </cell>
          <cell r="X29">
            <v>6560.333333333333</v>
          </cell>
          <cell r="Y29">
            <v>1963</v>
          </cell>
          <cell r="Z29">
            <v>1976</v>
          </cell>
          <cell r="AA29">
            <v>1788</v>
          </cell>
          <cell r="AB29">
            <v>1374.664621875</v>
          </cell>
          <cell r="AC29">
            <v>7101.6646218750002</v>
          </cell>
          <cell r="AD29">
            <v>1388.7490771237499</v>
          </cell>
          <cell r="AE29">
            <v>-2123.2945882991971</v>
          </cell>
          <cell r="AF29">
            <v>-10884.232556711633</v>
          </cell>
        </row>
        <row r="30">
          <cell r="A30" t="str">
            <v>INTEREST INCOME</v>
          </cell>
          <cell r="B30">
            <v>-3236</v>
          </cell>
          <cell r="C30">
            <v>0</v>
          </cell>
          <cell r="D30">
            <v>-1917</v>
          </cell>
          <cell r="E30">
            <v>-1229</v>
          </cell>
          <cell r="F30">
            <v>-1927</v>
          </cell>
          <cell r="G30">
            <v>-1927</v>
          </cell>
          <cell r="H30">
            <v>-7000</v>
          </cell>
          <cell r="I30">
            <v>-1927</v>
          </cell>
          <cell r="J30">
            <v>-1926</v>
          </cell>
          <cell r="K30">
            <v>-1930</v>
          </cell>
          <cell r="L30">
            <v>-1911</v>
          </cell>
          <cell r="M30">
            <v>-7694</v>
          </cell>
          <cell r="N30">
            <v>-1929</v>
          </cell>
          <cell r="O30">
            <v>-1867</v>
          </cell>
          <cell r="P30">
            <v>-1926</v>
          </cell>
          <cell r="Q30">
            <v>-1928</v>
          </cell>
          <cell r="R30">
            <v>-7650</v>
          </cell>
          <cell r="S30">
            <v>1896</v>
          </cell>
          <cell r="T30">
            <v>-1921</v>
          </cell>
          <cell r="U30">
            <v>-4784</v>
          </cell>
          <cell r="V30">
            <v>-696</v>
          </cell>
          <cell r="W30">
            <v>-1192</v>
          </cell>
          <cell r="X30">
            <v>-7312.333333333333</v>
          </cell>
          <cell r="Y30">
            <v>-688</v>
          </cell>
          <cell r="Z30">
            <v>-687</v>
          </cell>
          <cell r="AA30">
            <v>-687</v>
          </cell>
          <cell r="AB30">
            <v>-688</v>
          </cell>
          <cell r="AC30">
            <v>-2750</v>
          </cell>
          <cell r="AD30">
            <v>-2062.5</v>
          </cell>
          <cell r="AE30">
            <v>-2062.5</v>
          </cell>
          <cell r="AF30">
            <v>-2062.5</v>
          </cell>
        </row>
        <row r="31">
          <cell r="A31" t="str">
            <v>EARNINGS BEFORE TAXES</v>
          </cell>
          <cell r="B31">
            <v>-20227</v>
          </cell>
          <cell r="C31">
            <v>-24024</v>
          </cell>
          <cell r="D31">
            <v>-7789</v>
          </cell>
          <cell r="E31">
            <v>-10810</v>
          </cell>
          <cell r="F31">
            <v>-17105</v>
          </cell>
          <cell r="G31">
            <v>-20838</v>
          </cell>
          <cell r="H31">
            <v>-56542</v>
          </cell>
          <cell r="I31">
            <v>-21591</v>
          </cell>
          <cell r="J31">
            <v>-21406</v>
          </cell>
          <cell r="K31">
            <v>-19974</v>
          </cell>
          <cell r="L31">
            <v>-22260</v>
          </cell>
          <cell r="M31">
            <v>-85231</v>
          </cell>
          <cell r="N31">
            <v>-20283</v>
          </cell>
          <cell r="O31">
            <v>-18585</v>
          </cell>
          <cell r="P31">
            <v>-15399</v>
          </cell>
          <cell r="Q31">
            <v>-20495</v>
          </cell>
          <cell r="R31">
            <v>-74762</v>
          </cell>
          <cell r="S31">
            <v>-19250</v>
          </cell>
          <cell r="T31">
            <v>-24558</v>
          </cell>
          <cell r="U31">
            <v>-32702</v>
          </cell>
          <cell r="V31">
            <v>-33005</v>
          </cell>
          <cell r="W31">
            <v>-58406</v>
          </cell>
          <cell r="X31">
            <v>-132299</v>
          </cell>
          <cell r="Y31">
            <v>-27317</v>
          </cell>
          <cell r="Z31">
            <v>-33255</v>
          </cell>
          <cell r="AA31">
            <v>-31962</v>
          </cell>
          <cell r="AB31">
            <v>-39732.180378124998</v>
          </cell>
          <cell r="AC31">
            <v>-132266.18037812499</v>
          </cell>
          <cell r="AD31">
            <v>-117963.26346737627</v>
          </cell>
          <cell r="AE31">
            <v>-42987.11161815239</v>
          </cell>
          <cell r="AF31">
            <v>36479.563654811107</v>
          </cell>
        </row>
        <row r="32">
          <cell r="A32" t="str">
            <v>INCOME TAXES</v>
          </cell>
          <cell r="B32">
            <v>0</v>
          </cell>
          <cell r="C32">
            <v>0</v>
          </cell>
          <cell r="D32">
            <v>0</v>
          </cell>
          <cell r="E32">
            <v>0</v>
          </cell>
          <cell r="F32">
            <v>0</v>
          </cell>
          <cell r="G32">
            <v>0</v>
          </cell>
          <cell r="H32">
            <v>0</v>
          </cell>
          <cell r="I32">
            <v>49</v>
          </cell>
          <cell r="J32">
            <v>59</v>
          </cell>
          <cell r="K32">
            <v>0</v>
          </cell>
          <cell r="L32">
            <v>0</v>
          </cell>
          <cell r="M32">
            <v>108</v>
          </cell>
          <cell r="N32">
            <v>0</v>
          </cell>
          <cell r="O32">
            <v>0</v>
          </cell>
          <cell r="P32">
            <v>0</v>
          </cell>
          <cell r="Q32">
            <v>0</v>
          </cell>
          <cell r="R32">
            <v>0</v>
          </cell>
          <cell r="T32">
            <v>0</v>
          </cell>
          <cell r="W32">
            <v>0</v>
          </cell>
          <cell r="X32">
            <v>0</v>
          </cell>
          <cell r="Y32">
            <v>0</v>
          </cell>
          <cell r="Z32">
            <v>0</v>
          </cell>
          <cell r="AA32">
            <v>0</v>
          </cell>
          <cell r="AB32">
            <v>0</v>
          </cell>
          <cell r="AC32">
            <v>0</v>
          </cell>
          <cell r="AE32">
            <v>-15045.489066353335</v>
          </cell>
          <cell r="AF32">
            <v>12767.847279183887</v>
          </cell>
        </row>
        <row r="33">
          <cell r="A33" t="str">
            <v>INCOME TAX BENEFIT</v>
          </cell>
          <cell r="K33">
            <v>-196</v>
          </cell>
          <cell r="L33">
            <v>-676</v>
          </cell>
          <cell r="M33">
            <v>-872</v>
          </cell>
          <cell r="N33">
            <v>-71</v>
          </cell>
          <cell r="O33">
            <v>-62</v>
          </cell>
          <cell r="P33">
            <v>-186</v>
          </cell>
          <cell r="Q33">
            <v>-372</v>
          </cell>
          <cell r="R33">
            <v>-691</v>
          </cell>
          <cell r="S33">
            <v>-62</v>
          </cell>
          <cell r="T33">
            <v>-88</v>
          </cell>
          <cell r="U33">
            <v>-252</v>
          </cell>
          <cell r="V33">
            <v>-363</v>
          </cell>
          <cell r="W33">
            <v>-450</v>
          </cell>
          <cell r="X33">
            <v>-1094.3333333333333</v>
          </cell>
          <cell r="Y33">
            <v>-90</v>
          </cell>
          <cell r="Z33">
            <v>-90</v>
          </cell>
          <cell r="AA33">
            <v>-90</v>
          </cell>
          <cell r="AB33">
            <v>-250</v>
          </cell>
          <cell r="AC33">
            <v>-520</v>
          </cell>
        </row>
        <row r="34">
          <cell r="A34" t="str">
            <v>NET INCOME</v>
          </cell>
          <cell r="B34">
            <v>-20227</v>
          </cell>
          <cell r="C34">
            <v>-24024</v>
          </cell>
          <cell r="D34">
            <v>-7789</v>
          </cell>
          <cell r="E34">
            <v>-10810</v>
          </cell>
          <cell r="F34">
            <v>-17105</v>
          </cell>
          <cell r="G34">
            <v>-20838</v>
          </cell>
          <cell r="H34">
            <v>-56542</v>
          </cell>
          <cell r="I34">
            <v>-21640</v>
          </cell>
          <cell r="J34">
            <v>-21465</v>
          </cell>
          <cell r="K34">
            <v>-19778</v>
          </cell>
          <cell r="L34">
            <v>-21584</v>
          </cell>
          <cell r="M34">
            <v>-84467</v>
          </cell>
          <cell r="N34">
            <v>-20212</v>
          </cell>
          <cell r="O34">
            <v>-18523</v>
          </cell>
          <cell r="P34">
            <v>-15213</v>
          </cell>
          <cell r="Q34">
            <v>-20123</v>
          </cell>
          <cell r="R34">
            <v>-74071</v>
          </cell>
          <cell r="S34">
            <v>-19188</v>
          </cell>
          <cell r="T34">
            <v>-24470</v>
          </cell>
          <cell r="U34">
            <v>-32450</v>
          </cell>
          <cell r="V34">
            <v>-32642</v>
          </cell>
          <cell r="W34">
            <v>-57956</v>
          </cell>
          <cell r="X34">
            <v>-131204.66666666666</v>
          </cell>
          <cell r="Y34">
            <v>-27227</v>
          </cell>
          <cell r="Z34">
            <v>-33165</v>
          </cell>
          <cell r="AA34">
            <v>-31872</v>
          </cell>
          <cell r="AB34">
            <v>-39482.180378124998</v>
          </cell>
          <cell r="AC34">
            <v>-131746.18037812499</v>
          </cell>
          <cell r="AD34">
            <v>-117963.26346737627</v>
          </cell>
          <cell r="AE34">
            <v>-27941.622551799053</v>
          </cell>
          <cell r="AF34">
            <v>23711.71637562722</v>
          </cell>
        </row>
        <row r="35">
          <cell r="A35" t="str">
            <v>WTD AVG SHARES OUTS.</v>
          </cell>
          <cell r="B35">
            <v>14090500</v>
          </cell>
          <cell r="C35">
            <v>17371000</v>
          </cell>
          <cell r="D35">
            <v>18110000</v>
          </cell>
          <cell r="E35">
            <v>18119000</v>
          </cell>
          <cell r="F35">
            <v>18160000</v>
          </cell>
          <cell r="G35">
            <v>18197000</v>
          </cell>
          <cell r="H35">
            <v>18146500</v>
          </cell>
          <cell r="I35">
            <v>18204000</v>
          </cell>
          <cell r="J35">
            <v>18207000</v>
          </cell>
          <cell r="K35">
            <v>18210000</v>
          </cell>
          <cell r="L35">
            <v>18215000</v>
          </cell>
          <cell r="M35">
            <v>18209000</v>
          </cell>
          <cell r="N35">
            <v>19958000</v>
          </cell>
          <cell r="O35">
            <v>21893000</v>
          </cell>
          <cell r="P35">
            <v>21969000</v>
          </cell>
          <cell r="Q35">
            <v>21677000</v>
          </cell>
          <cell r="R35">
            <v>21374250</v>
          </cell>
          <cell r="S35">
            <v>27607000</v>
          </cell>
          <cell r="T35">
            <v>27838000</v>
          </cell>
          <cell r="U35">
            <v>27938000</v>
          </cell>
          <cell r="V35">
            <v>28027000</v>
          </cell>
          <cell r="W35">
            <v>30523000</v>
          </cell>
          <cell r="X35">
            <v>28581500</v>
          </cell>
          <cell r="Y35">
            <v>30991000</v>
          </cell>
          <cell r="Z35">
            <v>31203000</v>
          </cell>
          <cell r="AA35">
            <v>31264000</v>
          </cell>
          <cell r="AB35">
            <v>31339000</v>
          </cell>
          <cell r="AC35">
            <v>31199250</v>
          </cell>
          <cell r="AD35">
            <v>33949250</v>
          </cell>
          <cell r="AE35">
            <v>34699250</v>
          </cell>
          <cell r="AF35">
            <v>35449250</v>
          </cell>
        </row>
        <row r="36">
          <cell r="A36" t="str">
            <v>AVG SHARES FULLY DIULTED</v>
          </cell>
          <cell r="B36">
            <v>14090500</v>
          </cell>
          <cell r="C36">
            <v>17371000</v>
          </cell>
          <cell r="D36">
            <v>18110000</v>
          </cell>
          <cell r="E36">
            <v>18119000</v>
          </cell>
          <cell r="F36">
            <v>18160000</v>
          </cell>
          <cell r="G36">
            <v>18197000</v>
          </cell>
          <cell r="H36">
            <v>18146500</v>
          </cell>
          <cell r="I36">
            <v>18204000</v>
          </cell>
          <cell r="J36">
            <v>18207000</v>
          </cell>
          <cell r="K36">
            <v>18210000</v>
          </cell>
          <cell r="L36">
            <v>18215000</v>
          </cell>
          <cell r="M36">
            <v>18209000</v>
          </cell>
          <cell r="N36">
            <v>19958000</v>
          </cell>
          <cell r="O36">
            <v>21893000</v>
          </cell>
          <cell r="P36">
            <v>21969000</v>
          </cell>
          <cell r="Q36">
            <v>21677000</v>
          </cell>
          <cell r="R36">
            <v>27008803</v>
          </cell>
          <cell r="S36">
            <v>31931155</v>
          </cell>
          <cell r="T36">
            <v>35803311</v>
          </cell>
          <cell r="U36">
            <v>35903311</v>
          </cell>
          <cell r="V36">
            <v>35992311</v>
          </cell>
          <cell r="W36">
            <v>38488311</v>
          </cell>
          <cell r="X36">
            <v>36546811</v>
          </cell>
          <cell r="Y36">
            <v>38956311</v>
          </cell>
          <cell r="Z36">
            <v>39168311</v>
          </cell>
          <cell r="AA36">
            <v>39229311</v>
          </cell>
          <cell r="AB36">
            <v>39304311</v>
          </cell>
          <cell r="AC36">
            <v>39164561</v>
          </cell>
          <cell r="AD36">
            <v>41914561</v>
          </cell>
          <cell r="AE36">
            <v>42664561</v>
          </cell>
          <cell r="AF36">
            <v>43414561</v>
          </cell>
        </row>
        <row r="38">
          <cell r="A38" t="str">
            <v>EPS NON-GAAP (incl. options)</v>
          </cell>
          <cell r="B38">
            <v>-1.435506192115255</v>
          </cell>
          <cell r="C38">
            <v>-1.3829946462494962</v>
          </cell>
          <cell r="D38">
            <v>-0.43009387078961897</v>
          </cell>
          <cell r="E38">
            <v>-0.59661129201390806</v>
          </cell>
          <cell r="F38">
            <v>-0.94190528634361237</v>
          </cell>
          <cell r="G38">
            <v>-1.145133813265923</v>
          </cell>
          <cell r="H38">
            <v>-3.1158625630286831</v>
          </cell>
          <cell r="I38">
            <v>-1.1887497253350912</v>
          </cell>
          <cell r="J38">
            <v>-1.1789421651013348</v>
          </cell>
          <cell r="K38">
            <v>-1.08610653487095</v>
          </cell>
          <cell r="L38">
            <v>-1.1849574526489157</v>
          </cell>
          <cell r="M38">
            <v>-4.6387500686473722</v>
          </cell>
          <cell r="N38">
            <v>-1.0127267261248623</v>
          </cell>
          <cell r="O38">
            <v>-0.84606951993787971</v>
          </cell>
          <cell r="P38">
            <v>-0.69247576130001365</v>
          </cell>
          <cell r="Q38">
            <v>-0.92831111316141535</v>
          </cell>
          <cell r="R38">
            <v>-3.4654315356094365</v>
          </cell>
          <cell r="S38">
            <v>-0.69504111276125624</v>
          </cell>
          <cell r="T38">
            <v>-0.87901429700409517</v>
          </cell>
          <cell r="U38">
            <v>-1.161500465316057</v>
          </cell>
          <cell r="V38">
            <v>-1.1646626467335071</v>
          </cell>
          <cell r="W38">
            <v>-1.8987648658388756</v>
          </cell>
          <cell r="X38">
            <v>-4.5905451661622605</v>
          </cell>
          <cell r="Y38">
            <v>-0.87854538414378369</v>
          </cell>
          <cell r="Z38">
            <v>-1.06287856936833</v>
          </cell>
          <cell r="AA38">
            <v>-1.0194472876151484</v>
          </cell>
          <cell r="AB38">
            <v>-1.2598417428164588</v>
          </cell>
          <cell r="AC38">
            <v>-4.2227354945431381</v>
          </cell>
          <cell r="AD38">
            <v>-3.4746942411798867</v>
          </cell>
          <cell r="AE38">
            <v>-0.80525148387354351</v>
          </cell>
          <cell r="AF38">
            <v>0.54616966818177015</v>
          </cell>
        </row>
        <row r="39">
          <cell r="A39" t="str">
            <v>EPS NON-GAAP (ex. options)</v>
          </cell>
          <cell r="S39">
            <v>-0.79979715289600462</v>
          </cell>
          <cell r="T39">
            <v>-0.9596953804152597</v>
          </cell>
          <cell r="U39">
            <v>-1.2529887608275467</v>
          </cell>
          <cell r="V39">
            <v>-1.2567880971919934</v>
          </cell>
          <cell r="W39">
            <v>-2.0330898011335714</v>
          </cell>
          <cell r="X39">
            <v>-4.1543189359084254</v>
          </cell>
          <cell r="Y39">
            <v>-0.77638669291084506</v>
          </cell>
          <cell r="Z39">
            <v>-0.94510143255456203</v>
          </cell>
          <cell r="AA39">
            <v>-0.87333674513817805</v>
          </cell>
          <cell r="AB39">
            <v>-1.1432330443895784</v>
          </cell>
          <cell r="AC39">
            <v>-3.7399226064128142</v>
          </cell>
          <cell r="AD39">
            <v>-3.0753611189459642</v>
          </cell>
          <cell r="AE39">
            <v>-0.45361984918403292</v>
          </cell>
          <cell r="AF39">
            <v>0.79910827557664854</v>
          </cell>
        </row>
        <row r="40">
          <cell r="A40" t="str">
            <v>EPS NON-GAAP FULLY TAXED</v>
          </cell>
          <cell r="B40">
            <v>-1.435506192115255</v>
          </cell>
          <cell r="C40">
            <v>-1.3829946462494962</v>
          </cell>
          <cell r="D40">
            <v>-0.43009387078961897</v>
          </cell>
          <cell r="E40">
            <v>-0.59661129201390806</v>
          </cell>
          <cell r="F40">
            <v>-0.94190528634361237</v>
          </cell>
          <cell r="G40">
            <v>-1.145133813265923</v>
          </cell>
          <cell r="H40">
            <v>-3.1158625630286831</v>
          </cell>
          <cell r="I40">
            <v>-1.1887497253350912</v>
          </cell>
          <cell r="J40">
            <v>-1.1789421651013348</v>
          </cell>
          <cell r="K40">
            <v>-1.08610653487095</v>
          </cell>
          <cell r="L40">
            <v>-1.1849574526489157</v>
          </cell>
          <cell r="M40">
            <v>-4.6387500686473722</v>
          </cell>
          <cell r="N40">
            <v>-1.0127267261248623</v>
          </cell>
          <cell r="O40">
            <v>-0.84606951993787971</v>
          </cell>
          <cell r="P40">
            <v>-0.69247576130001365</v>
          </cell>
          <cell r="Q40">
            <v>-0.92831111316141535</v>
          </cell>
          <cell r="R40">
            <v>-3.4654315356094365</v>
          </cell>
          <cell r="S40">
            <v>-0.69504111276125624</v>
          </cell>
          <cell r="T40">
            <v>-0.87901429700409517</v>
          </cell>
          <cell r="U40">
            <v>-1.161500465316057</v>
          </cell>
          <cell r="V40">
            <v>-1.1646626467335071</v>
          </cell>
          <cell r="W40">
            <v>-1.8987648658388756</v>
          </cell>
          <cell r="X40">
            <v>-4.5905451661622605</v>
          </cell>
          <cell r="Y40">
            <v>-0.77638669291084506</v>
          </cell>
          <cell r="Z40">
            <v>-0.94510143255456203</v>
          </cell>
          <cell r="AA40">
            <v>-0.87333674513817805</v>
          </cell>
          <cell r="AB40">
            <v>-1.1432330443895784</v>
          </cell>
          <cell r="AC40">
            <v>-3.7399226064128142</v>
          </cell>
          <cell r="AD40">
            <v>-3.0753611189459642</v>
          </cell>
          <cell r="AE40">
            <v>-0.45361984918403292</v>
          </cell>
          <cell r="AF40">
            <v>0.79910827557664854</v>
          </cell>
        </row>
        <row r="41">
          <cell r="A41" t="str">
            <v>EPS GAAP</v>
          </cell>
          <cell r="X41">
            <v>-4.5905451661622605</v>
          </cell>
          <cell r="Y41">
            <v>-0.87854538414378369</v>
          </cell>
          <cell r="Z41">
            <v>-1.06287856936833</v>
          </cell>
          <cell r="AA41">
            <v>-1.0194472876151484</v>
          </cell>
          <cell r="AB41">
            <v>-1.2598417428164588</v>
          </cell>
          <cell r="AC41">
            <v>-4.2227354945431381</v>
          </cell>
          <cell r="AD41">
            <v>-3.4746942411798867</v>
          </cell>
          <cell r="AE41">
            <v>-0.80525148387354351</v>
          </cell>
          <cell r="AF41">
            <v>0.54616966818177015</v>
          </cell>
        </row>
        <row r="42">
          <cell r="A42" t="str">
            <v>OPTIONS EXPENSE</v>
          </cell>
          <cell r="S42">
            <v>-2892</v>
          </cell>
          <cell r="T42">
            <v>-2246</v>
          </cell>
          <cell r="U42">
            <v>-2556</v>
          </cell>
          <cell r="V42">
            <v>-2582</v>
          </cell>
          <cell r="W42">
            <v>-4100</v>
          </cell>
          <cell r="X42">
            <v>-9986.6666666666661</v>
          </cell>
          <cell r="Y42">
            <v>3166</v>
          </cell>
          <cell r="Z42">
            <v>3675</v>
          </cell>
          <cell r="AA42">
            <v>4568</v>
          </cell>
          <cell r="AB42">
            <v>3654.4</v>
          </cell>
          <cell r="AC42">
            <v>15063.4</v>
          </cell>
          <cell r="AD42">
            <v>13557.06</v>
          </cell>
          <cell r="AE42">
            <v>12201.353999999999</v>
          </cell>
          <cell r="AF42">
            <v>10981.2186</v>
          </cell>
        </row>
        <row r="43">
          <cell r="A43" t="str">
            <v>NON-GAAP NET INCOME</v>
          </cell>
          <cell r="C43">
            <v>-57043</v>
          </cell>
          <cell r="H43">
            <v>-56542</v>
          </cell>
          <cell r="M43">
            <v>-84467</v>
          </cell>
          <cell r="R43">
            <v>-74095</v>
          </cell>
          <cell r="S43">
            <v>-22080</v>
          </cell>
          <cell r="T43">
            <v>-26716</v>
          </cell>
          <cell r="U43">
            <v>-35006</v>
          </cell>
          <cell r="V43">
            <v>-35224</v>
          </cell>
          <cell r="W43">
            <v>-62056</v>
          </cell>
          <cell r="X43">
            <v>-108750</v>
          </cell>
          <cell r="Y43">
            <v>-24061</v>
          </cell>
          <cell r="Z43">
            <v>-29490</v>
          </cell>
          <cell r="AA43">
            <v>-27304</v>
          </cell>
          <cell r="AB43">
            <v>-35827.780378124997</v>
          </cell>
          <cell r="AC43">
            <v>-116682.780378125</v>
          </cell>
          <cell r="AD43">
            <v>-104406.20346737627</v>
          </cell>
          <cell r="AE43">
            <v>-15740.268551799054</v>
          </cell>
          <cell r="AF43">
            <v>34692.93497562722</v>
          </cell>
        </row>
        <row r="44">
          <cell r="A44" t="str">
            <v>Difference b/w NI and GAAP NI</v>
          </cell>
          <cell r="C44">
            <v>33019</v>
          </cell>
          <cell r="H44">
            <v>0</v>
          </cell>
          <cell r="M44">
            <v>0</v>
          </cell>
          <cell r="R44">
            <v>24</v>
          </cell>
          <cell r="S44">
            <v>2892</v>
          </cell>
          <cell r="T44">
            <v>2246</v>
          </cell>
          <cell r="U44">
            <v>2556</v>
          </cell>
          <cell r="V44">
            <v>2582</v>
          </cell>
          <cell r="W44">
            <v>4100</v>
          </cell>
          <cell r="X44">
            <v>-22454.666666666657</v>
          </cell>
          <cell r="Y44">
            <v>-3166</v>
          </cell>
          <cell r="Z44">
            <v>-3675</v>
          </cell>
          <cell r="AA44">
            <v>-4568</v>
          </cell>
          <cell r="AB44">
            <v>-3654.4000000000015</v>
          </cell>
          <cell r="AC44">
            <v>-15063.399999999994</v>
          </cell>
          <cell r="AD44">
            <v>-13557.059999999998</v>
          </cell>
          <cell r="AE44">
            <v>-12201.353999999999</v>
          </cell>
          <cell r="AF44">
            <v>-10981.2186</v>
          </cell>
        </row>
        <row r="45">
          <cell r="A45" t="str">
            <v>Stock based compensation expense</v>
          </cell>
          <cell r="Y45">
            <v>-3166</v>
          </cell>
          <cell r="Z45">
            <v>-3675</v>
          </cell>
        </row>
        <row r="46">
          <cell r="A46" t="str">
            <v>GROWTH/MARGINS</v>
          </cell>
        </row>
        <row r="47">
          <cell r="D47" t="str">
            <v>QUARTER ESTIMATES</v>
          </cell>
          <cell r="I47" t="str">
            <v>QUARTER ESTIMATES</v>
          </cell>
          <cell r="N47" t="str">
            <v>QUARTER ESTIMATES</v>
          </cell>
        </row>
        <row r="48">
          <cell r="B48" t="str">
            <v>FY2000A</v>
          </cell>
          <cell r="C48" t="str">
            <v>FY2001A</v>
          </cell>
          <cell r="D48" t="str">
            <v>1Q02A</v>
          </cell>
          <cell r="E48" t="str">
            <v>2Q02A</v>
          </cell>
          <cell r="F48" t="str">
            <v>3Q02A</v>
          </cell>
          <cell r="G48" t="str">
            <v>4Q02A</v>
          </cell>
          <cell r="H48" t="str">
            <v>FY2002A</v>
          </cell>
          <cell r="I48" t="str">
            <v>1Q03A</v>
          </cell>
          <cell r="J48" t="str">
            <v>2Q03A</v>
          </cell>
          <cell r="K48" t="str">
            <v>3Q03A</v>
          </cell>
          <cell r="L48" t="str">
            <v>4Q03A</v>
          </cell>
          <cell r="M48" t="str">
            <v>FY2003A</v>
          </cell>
          <cell r="N48" t="str">
            <v>1Q04A</v>
          </cell>
          <cell r="O48" t="str">
            <v>2Q04A</v>
          </cell>
          <cell r="P48" t="str">
            <v>3Q03A</v>
          </cell>
          <cell r="Q48" t="str">
            <v>4Q04A</v>
          </cell>
          <cell r="R48" t="str">
            <v>FY2004A</v>
          </cell>
          <cell r="S48" t="str">
            <v>1Q05A</v>
          </cell>
          <cell r="T48" t="str">
            <v>2Q05A</v>
          </cell>
          <cell r="U48" t="str">
            <v>3Q05A</v>
          </cell>
          <cell r="V48" t="str">
            <v>4Q05A</v>
          </cell>
          <cell r="W48" t="str">
            <v>TQ'05</v>
          </cell>
          <cell r="X48" t="str">
            <v>FY2005A</v>
          </cell>
          <cell r="Y48" t="str">
            <v>1Q06A</v>
          </cell>
          <cell r="Z48" t="str">
            <v>2Q06A</v>
          </cell>
          <cell r="AA48" t="str">
            <v>3Q06E</v>
          </cell>
          <cell r="AB48" t="str">
            <v>4Q06E</v>
          </cell>
          <cell r="AC48" t="str">
            <v>FY2006E</v>
          </cell>
          <cell r="AD48" t="str">
            <v>FY2007E</v>
          </cell>
          <cell r="AE48" t="str">
            <v>FY2008E</v>
          </cell>
          <cell r="AF48" t="str">
            <v>FY2009E</v>
          </cell>
        </row>
        <row r="49">
          <cell r="A49" t="str">
            <v>Q/Q GROWTH:</v>
          </cell>
        </row>
        <row r="51">
          <cell r="A51" t="str">
            <v>SOLIRIS</v>
          </cell>
          <cell r="I51" t="str">
            <v>NM</v>
          </cell>
          <cell r="J51" t="str">
            <v>NM</v>
          </cell>
          <cell r="K51" t="str">
            <v>NM</v>
          </cell>
          <cell r="L51" t="str">
            <v>NM</v>
          </cell>
          <cell r="N51" t="str">
            <v>NM</v>
          </cell>
          <cell r="O51" t="str">
            <v>NM</v>
          </cell>
          <cell r="P51" t="str">
            <v>NM</v>
          </cell>
          <cell r="Q51" t="str">
            <v>NM</v>
          </cell>
          <cell r="Y51" t="str">
            <v>NM</v>
          </cell>
          <cell r="Z51" t="str">
            <v>NM</v>
          </cell>
          <cell r="AA51" t="str">
            <v>NM</v>
          </cell>
          <cell r="AB51" t="str">
            <v>NM</v>
          </cell>
        </row>
        <row r="52">
          <cell r="A52" t="str">
            <v>TOTAL REVENUES</v>
          </cell>
          <cell r="B52" t="str">
            <v>NM</v>
          </cell>
          <cell r="C52" t="str">
            <v>NM</v>
          </cell>
          <cell r="D52" t="str">
            <v>NM</v>
          </cell>
          <cell r="E52" t="e">
            <v>#REF!</v>
          </cell>
          <cell r="F52" t="e">
            <v>#REF!</v>
          </cell>
          <cell r="G52" t="e">
            <v>#REF!</v>
          </cell>
          <cell r="I52" t="e">
            <v>#REF!</v>
          </cell>
          <cell r="J52" t="e">
            <v>#REF!</v>
          </cell>
          <cell r="K52" t="e">
            <v>#REF!</v>
          </cell>
          <cell r="L52" t="e">
            <v>#REF!</v>
          </cell>
          <cell r="N52" t="e">
            <v>#REF!</v>
          </cell>
          <cell r="O52" t="e">
            <v>#REF!</v>
          </cell>
          <cell r="P52" t="e">
            <v>#REF!</v>
          </cell>
          <cell r="Q52" t="e">
            <v>#REF!</v>
          </cell>
          <cell r="Y52">
            <v>0.15662650602409633</v>
          </cell>
          <cell r="Z52">
            <v>-0.55859375</v>
          </cell>
          <cell r="AA52">
            <v>-0.22418879056047203</v>
          </cell>
          <cell r="AB52">
            <v>3.499999999999992E-2</v>
          </cell>
        </row>
        <row r="53">
          <cell r="A53" t="str">
            <v>EPS</v>
          </cell>
          <cell r="B53" t="str">
            <v>NM</v>
          </cell>
          <cell r="C53" t="str">
            <v>NM</v>
          </cell>
          <cell r="D53" t="str">
            <v>NM</v>
          </cell>
          <cell r="E53" t="str">
            <v>NM</v>
          </cell>
          <cell r="F53" t="str">
            <v>NM</v>
          </cell>
          <cell r="G53" t="str">
            <v>NM</v>
          </cell>
          <cell r="I53" t="str">
            <v>NM</v>
          </cell>
          <cell r="J53" t="str">
            <v>NM</v>
          </cell>
          <cell r="K53" t="str">
            <v>NM</v>
          </cell>
          <cell r="L53" t="str">
            <v>NM</v>
          </cell>
          <cell r="N53" t="str">
            <v>NM</v>
          </cell>
          <cell r="O53" t="str">
            <v>NM</v>
          </cell>
          <cell r="P53" t="str">
            <v>NM</v>
          </cell>
          <cell r="Q53" t="str">
            <v>NM</v>
          </cell>
          <cell r="Y53">
            <v>-0.53730690937572101</v>
          </cell>
          <cell r="Z53">
            <v>0.20981634933315885</v>
          </cell>
          <cell r="AA53">
            <v>-4.0861941340103347E-2</v>
          </cell>
          <cell r="AB53">
            <v>0.2358086172004823</v>
          </cell>
        </row>
        <row r="54">
          <cell r="A54" t="str">
            <v>Y/Y GROWTH:</v>
          </cell>
        </row>
        <row r="55">
          <cell r="A55" t="str">
            <v>SOLIRIS</v>
          </cell>
          <cell r="B55" t="str">
            <v>NM</v>
          </cell>
          <cell r="C55" t="str">
            <v>NM</v>
          </cell>
          <cell r="D55" t="str">
            <v>NM</v>
          </cell>
          <cell r="E55" t="str">
            <v>NM</v>
          </cell>
          <cell r="F55" t="str">
            <v>NM</v>
          </cell>
          <cell r="G55" t="str">
            <v>NM</v>
          </cell>
          <cell r="H55" t="str">
            <v>NM</v>
          </cell>
          <cell r="M55" t="str">
            <v>NM</v>
          </cell>
          <cell r="R55" t="str">
            <v>NM</v>
          </cell>
          <cell r="S55" t="str">
            <v>NM</v>
          </cell>
          <cell r="X55" t="str">
            <v>NM</v>
          </cell>
          <cell r="Y55" t="str">
            <v>NM</v>
          </cell>
          <cell r="Z55" t="str">
            <v>NM</v>
          </cell>
          <cell r="AA55" t="str">
            <v>NM</v>
          </cell>
          <cell r="AB55" t="str">
            <v>NM</v>
          </cell>
          <cell r="AC55" t="str">
            <v>NM</v>
          </cell>
          <cell r="AD55" t="str">
            <v>NM</v>
          </cell>
          <cell r="AE55">
            <v>4.2325995670995678</v>
          </cell>
          <cell r="AF55">
            <v>1.8087922336139666</v>
          </cell>
        </row>
        <row r="56">
          <cell r="A56" t="str">
            <v>TOTAL REVENUES</v>
          </cell>
          <cell r="B56" t="str">
            <v>NM</v>
          </cell>
          <cell r="C56" t="str">
            <v>NM</v>
          </cell>
          <cell r="D56" t="str">
            <v>NM</v>
          </cell>
          <cell r="E56" t="str">
            <v>NM</v>
          </cell>
          <cell r="F56" t="str">
            <v>NM</v>
          </cell>
          <cell r="G56" t="str">
            <v>NM</v>
          </cell>
          <cell r="H56" t="e">
            <v>#REF!</v>
          </cell>
          <cell r="I56" t="str">
            <v>NM</v>
          </cell>
          <cell r="J56" t="str">
            <v>NM</v>
          </cell>
          <cell r="K56" t="str">
            <v>NM</v>
          </cell>
          <cell r="L56" t="str">
            <v>NM</v>
          </cell>
          <cell r="M56" t="e">
            <v>#REF!</v>
          </cell>
          <cell r="N56" t="str">
            <v>NM</v>
          </cell>
          <cell r="O56" t="str">
            <v>NM</v>
          </cell>
          <cell r="P56" t="str">
            <v>NM</v>
          </cell>
          <cell r="Q56" t="str">
            <v>NM</v>
          </cell>
          <cell r="R56" t="e">
            <v>#REF!</v>
          </cell>
          <cell r="S56" t="e">
            <v>#REF!</v>
          </cell>
          <cell r="X56">
            <v>0.26158964345121866</v>
          </cell>
          <cell r="Y56">
            <v>1.3641207815275311</v>
          </cell>
          <cell r="Z56">
            <v>2.2450331125827816</v>
          </cell>
          <cell r="AA56">
            <v>1.2955665024630543</v>
          </cell>
          <cell r="AB56">
            <v>0.40994728915662648</v>
          </cell>
          <cell r="AC56">
            <v>1.3620721592479954</v>
          </cell>
          <cell r="AD56">
            <v>21.594931260104548</v>
          </cell>
          <cell r="AE56">
            <v>4.0881920878080829</v>
          </cell>
          <cell r="AF56">
            <v>1.8000130890694606</v>
          </cell>
        </row>
        <row r="57">
          <cell r="A57" t="str">
            <v>EPS</v>
          </cell>
          <cell r="B57" t="str">
            <v>NM</v>
          </cell>
          <cell r="C57" t="str">
            <v>NM</v>
          </cell>
          <cell r="D57" t="str">
            <v>NM</v>
          </cell>
          <cell r="E57" t="str">
            <v>NM</v>
          </cell>
          <cell r="F57" t="str">
            <v>NM</v>
          </cell>
          <cell r="G57" t="str">
            <v>NM</v>
          </cell>
          <cell r="H57" t="e">
            <v>#DIV/0!</v>
          </cell>
          <cell r="I57" t="str">
            <v>NM</v>
          </cell>
          <cell r="J57" t="str">
            <v>NM</v>
          </cell>
          <cell r="K57" t="str">
            <v>NM</v>
          </cell>
          <cell r="L57" t="str">
            <v>NM</v>
          </cell>
          <cell r="M57" t="e">
            <v>#DIV/0!</v>
          </cell>
          <cell r="N57" t="str">
            <v>NM</v>
          </cell>
          <cell r="O57" t="str">
            <v>NM</v>
          </cell>
          <cell r="P57" t="str">
            <v>NM</v>
          </cell>
          <cell r="Q57" t="str">
            <v>NM</v>
          </cell>
          <cell r="R57">
            <v>-0.20756880733944949</v>
          </cell>
          <cell r="S57">
            <v>-0.91027496382054995</v>
          </cell>
          <cell r="X57">
            <v>1.3246676839497737</v>
          </cell>
          <cell r="Y57">
            <v>0.99946654694706372</v>
          </cell>
          <cell r="Z57">
            <v>0.91509095442257027</v>
          </cell>
          <cell r="AA57">
            <v>0.87531551773756999</v>
          </cell>
          <cell r="AB57">
            <v>0.66350592718591295</v>
          </cell>
          <cell r="AC57">
            <v>0.91987669039173947</v>
          </cell>
          <cell r="AD57">
            <v>0.82285386941002736</v>
          </cell>
          <cell r="AE57">
            <v>0.23174743674715614</v>
          </cell>
          <cell r="AF57">
            <v>-0.67825974756917118</v>
          </cell>
        </row>
        <row r="58">
          <cell r="A58" t="str">
            <v>MARGINS:</v>
          </cell>
        </row>
        <row r="59">
          <cell r="A59" t="str">
            <v>COGS/Product Revenues</v>
          </cell>
          <cell r="B59" t="str">
            <v>NM</v>
          </cell>
          <cell r="C59" t="str">
            <v>NM</v>
          </cell>
          <cell r="D59" t="str">
            <v>NM</v>
          </cell>
          <cell r="E59" t="str">
            <v>NM</v>
          </cell>
          <cell r="F59" t="str">
            <v>NM</v>
          </cell>
          <cell r="G59" t="str">
            <v>NM</v>
          </cell>
          <cell r="H59" t="str">
            <v>NM</v>
          </cell>
          <cell r="I59" t="str">
            <v>NM</v>
          </cell>
          <cell r="J59" t="str">
            <v>NM</v>
          </cell>
          <cell r="K59" t="str">
            <v>NM</v>
          </cell>
          <cell r="L59" t="str">
            <v>NM</v>
          </cell>
          <cell r="M59" t="str">
            <v>NM</v>
          </cell>
          <cell r="N59" t="str">
            <v>NM</v>
          </cell>
          <cell r="O59" t="str">
            <v>NM</v>
          </cell>
          <cell r="P59" t="str">
            <v>NM</v>
          </cell>
          <cell r="Q59" t="str">
            <v>NM</v>
          </cell>
          <cell r="R59" t="str">
            <v>NM</v>
          </cell>
          <cell r="S59" t="str">
            <v>NM</v>
          </cell>
          <cell r="X59" t="str">
            <v>NM</v>
          </cell>
          <cell r="Y59" t="str">
            <v>NM</v>
          </cell>
          <cell r="Z59" t="str">
            <v>NM</v>
          </cell>
          <cell r="AA59" t="str">
            <v>NM</v>
          </cell>
          <cell r="AB59" t="str">
            <v>NM</v>
          </cell>
          <cell r="AC59" t="str">
            <v>NM</v>
          </cell>
          <cell r="AD59">
            <v>0.17499999999999999</v>
          </cell>
          <cell r="AE59">
            <v>0.16</v>
          </cell>
          <cell r="AF59">
            <v>0.15</v>
          </cell>
        </row>
        <row r="60">
          <cell r="A60" t="str">
            <v>R&amp;D/Revenues</v>
          </cell>
          <cell r="B60" t="str">
            <v>NM</v>
          </cell>
          <cell r="C60" t="str">
            <v>NM</v>
          </cell>
          <cell r="D60" t="e">
            <v>#REF!</v>
          </cell>
          <cell r="E60" t="e">
            <v>#REF!</v>
          </cell>
          <cell r="F60" t="e">
            <v>#REF!</v>
          </cell>
          <cell r="G60" t="e">
            <v>#REF!</v>
          </cell>
          <cell r="H60" t="e">
            <v>#REF!</v>
          </cell>
          <cell r="I60" t="e">
            <v>#REF!</v>
          </cell>
          <cell r="J60" t="e">
            <v>#REF!</v>
          </cell>
          <cell r="K60" t="e">
            <v>#REF!</v>
          </cell>
          <cell r="L60" t="e">
            <v>#REF!</v>
          </cell>
          <cell r="M60" t="e">
            <v>#REF!</v>
          </cell>
          <cell r="N60" t="e">
            <v>#REF!</v>
          </cell>
          <cell r="O60" t="e">
            <v>#REF!</v>
          </cell>
          <cell r="P60" t="e">
            <v>#REF!</v>
          </cell>
          <cell r="Q60" t="e">
            <v>#REF!</v>
          </cell>
          <cell r="R60" t="e">
            <v>#REF!</v>
          </cell>
          <cell r="S60" t="e">
            <v>#REF!</v>
          </cell>
          <cell r="X60">
            <v>89.221177771633947</v>
          </cell>
          <cell r="Y60">
            <v>27.622395833333332</v>
          </cell>
          <cell r="Z60">
            <v>69.209439528023594</v>
          </cell>
          <cell r="AA60">
            <v>80.627376425855516</v>
          </cell>
          <cell r="AB60">
            <v>62.32067743061296</v>
          </cell>
          <cell r="AC60">
            <v>50.447416735425847</v>
          </cell>
          <cell r="AD60">
            <v>1.8177437679355277</v>
          </cell>
          <cell r="AE60">
            <v>0.47798012142291113</v>
          </cell>
          <cell r="AF60">
            <v>0.28545827452580336</v>
          </cell>
        </row>
        <row r="61">
          <cell r="A61" t="str">
            <v>SG&amp;A/Revenues</v>
          </cell>
          <cell r="B61" t="str">
            <v>NM</v>
          </cell>
          <cell r="C61" t="str">
            <v>NM</v>
          </cell>
          <cell r="D61" t="e">
            <v>#REF!</v>
          </cell>
          <cell r="E61" t="e">
            <v>#REF!</v>
          </cell>
          <cell r="F61" t="e">
            <v>#REF!</v>
          </cell>
          <cell r="G61" t="e">
            <v>#REF!</v>
          </cell>
          <cell r="H61" t="e">
            <v>#REF!</v>
          </cell>
          <cell r="I61" t="e">
            <v>#REF!</v>
          </cell>
          <cell r="J61" t="e">
            <v>#REF!</v>
          </cell>
          <cell r="K61" t="e">
            <v>#REF!</v>
          </cell>
          <cell r="L61" t="e">
            <v>#REF!</v>
          </cell>
          <cell r="M61" t="e">
            <v>#REF!</v>
          </cell>
          <cell r="N61" t="e">
            <v>#REF!</v>
          </cell>
          <cell r="O61" t="e">
            <v>#REF!</v>
          </cell>
          <cell r="P61" t="e">
            <v>#REF!</v>
          </cell>
          <cell r="Q61" t="e">
            <v>#REF!</v>
          </cell>
          <cell r="R61" t="e">
            <v>#REF!</v>
          </cell>
          <cell r="S61" t="e">
            <v>#REF!</v>
          </cell>
          <cell r="X61">
            <v>20.886093447608516</v>
          </cell>
          <cell r="Y61">
            <v>10.606770833333334</v>
          </cell>
          <cell r="Z61">
            <v>33.690265486725664</v>
          </cell>
          <cell r="AA61">
            <v>46.087452471482891</v>
          </cell>
          <cell r="AB61">
            <v>46.755386565272502</v>
          </cell>
          <cell r="AC61">
            <v>27.045983905785214</v>
          </cell>
          <cell r="AD61">
            <v>1.3776650612139851</v>
          </cell>
          <cell r="AE61">
            <v>0.35383570125988451</v>
          </cell>
          <cell r="AF61">
            <v>0.20640265816897174</v>
          </cell>
        </row>
        <row r="62">
          <cell r="A62" t="str">
            <v>Operating Margin</v>
          </cell>
          <cell r="B62" t="str">
            <v>NM</v>
          </cell>
          <cell r="C62" t="str">
            <v>NM</v>
          </cell>
          <cell r="D62" t="e">
            <v>#REF!</v>
          </cell>
          <cell r="E62" t="e">
            <v>#REF!</v>
          </cell>
          <cell r="F62" t="e">
            <v>#REF!</v>
          </cell>
          <cell r="G62" t="e">
            <v>#REF!</v>
          </cell>
          <cell r="H62" t="e">
            <v>#REF!</v>
          </cell>
          <cell r="I62" t="e">
            <v>#REF!</v>
          </cell>
          <cell r="J62" t="e">
            <v>#REF!</v>
          </cell>
          <cell r="K62" t="e">
            <v>#REF!</v>
          </cell>
          <cell r="L62" t="e">
            <v>#REF!</v>
          </cell>
          <cell r="M62" t="e">
            <v>#REF!</v>
          </cell>
          <cell r="N62" t="e">
            <v>#REF!</v>
          </cell>
          <cell r="O62" t="e">
            <v>#REF!</v>
          </cell>
          <cell r="P62" t="e">
            <v>#REF!</v>
          </cell>
          <cell r="Q62" t="e">
            <v>#REF!</v>
          </cell>
          <cell r="R62" t="e">
            <v>#REF!</v>
          </cell>
          <cell r="S62" t="e">
            <v>#REF!</v>
          </cell>
          <cell r="X62">
            <v>-109.10727121924246</v>
          </cell>
          <cell r="Y62">
            <v>-37.229166666666664</v>
          </cell>
          <cell r="Z62">
            <v>-101.89970501474926</v>
          </cell>
          <cell r="AA62">
            <v>-125.71482889733841</v>
          </cell>
          <cell r="AB62">
            <v>-148.48678385775429</v>
          </cell>
          <cell r="AC62">
            <v>-83.191711753404732</v>
          </cell>
          <cell r="AD62">
            <v>-3.3073486961857435</v>
          </cell>
          <cell r="AE62">
            <v>-0.26763072935931576</v>
          </cell>
          <cell r="AF62">
            <v>0.18939648513384832</v>
          </cell>
        </row>
        <row r="63">
          <cell r="A63" t="str">
            <v>Effective Tax Rate</v>
          </cell>
          <cell r="B63" t="str">
            <v>NM</v>
          </cell>
          <cell r="C63" t="str">
            <v>NM</v>
          </cell>
          <cell r="D63" t="e">
            <v>#REF!</v>
          </cell>
          <cell r="E63" t="e">
            <v>#REF!</v>
          </cell>
          <cell r="F63" t="e">
            <v>#REF!</v>
          </cell>
          <cell r="G63" t="e">
            <v>#REF!</v>
          </cell>
          <cell r="H63" t="e">
            <v>#REF!</v>
          </cell>
          <cell r="I63" t="e">
            <v>#REF!</v>
          </cell>
          <cell r="J63" t="e">
            <v>#REF!</v>
          </cell>
          <cell r="K63" t="e">
            <v>#REF!</v>
          </cell>
          <cell r="L63" t="e">
            <v>#REF!</v>
          </cell>
          <cell r="M63" t="e">
            <v>#REF!</v>
          </cell>
          <cell r="N63" t="e">
            <v>#REF!</v>
          </cell>
          <cell r="O63" t="e">
            <v>#REF!</v>
          </cell>
          <cell r="P63" t="e">
            <v>#REF!</v>
          </cell>
          <cell r="Q63" t="e">
            <v>#REF!</v>
          </cell>
          <cell r="R63" t="e">
            <v>#REF!</v>
          </cell>
          <cell r="S63" t="e">
            <v>#REF!</v>
          </cell>
          <cell r="X63">
            <v>0</v>
          </cell>
          <cell r="Y63">
            <v>0</v>
          </cell>
          <cell r="Z63">
            <v>0</v>
          </cell>
          <cell r="AA63">
            <v>0</v>
          </cell>
          <cell r="AB63">
            <v>0</v>
          </cell>
          <cell r="AC63">
            <v>0</v>
          </cell>
          <cell r="AD63">
            <v>0</v>
          </cell>
          <cell r="AE63">
            <v>0.35</v>
          </cell>
          <cell r="AF63">
            <v>0.35</v>
          </cell>
        </row>
        <row r="64">
          <cell r="A64" t="str">
            <v>Net Margin</v>
          </cell>
          <cell r="B64" t="str">
            <v>NM</v>
          </cell>
          <cell r="C64" t="str">
            <v>NM</v>
          </cell>
          <cell r="D64" t="e">
            <v>#REF!</v>
          </cell>
          <cell r="E64" t="e">
            <v>#REF!</v>
          </cell>
          <cell r="F64" t="e">
            <v>#REF!</v>
          </cell>
          <cell r="G64" t="e">
            <v>#REF!</v>
          </cell>
          <cell r="H64" t="e">
            <v>#REF!</v>
          </cell>
          <cell r="I64" t="e">
            <v>#REF!</v>
          </cell>
          <cell r="J64" t="e">
            <v>#REF!</v>
          </cell>
          <cell r="K64" t="e">
            <v>#REF!</v>
          </cell>
          <cell r="L64" t="e">
            <v>#REF!</v>
          </cell>
          <cell r="M64" t="e">
            <v>#REF!</v>
          </cell>
          <cell r="N64" t="e">
            <v>#REF!</v>
          </cell>
          <cell r="O64" t="e">
            <v>#REF!</v>
          </cell>
          <cell r="P64" t="e">
            <v>#REF!</v>
          </cell>
          <cell r="Q64" t="e">
            <v>#REF!</v>
          </cell>
          <cell r="R64" t="e">
            <v>#REF!</v>
          </cell>
          <cell r="S64" t="e">
            <v>#REF!</v>
          </cell>
          <cell r="X64">
            <v>-108.82333425490737</v>
          </cell>
          <cell r="Y64">
            <v>-35.451822916666664</v>
          </cell>
          <cell r="Z64">
            <v>-97.83185840707965</v>
          </cell>
          <cell r="AA64">
            <v>-121.18631178707224</v>
          </cell>
          <cell r="AB64">
            <v>-145.04575734510755</v>
          </cell>
          <cell r="AC64">
            <v>-80.22517309235144</v>
          </cell>
          <cell r="AD64">
            <v>-3.3263472339747318</v>
          </cell>
          <cell r="AE64">
            <v>-0.19272636589286876</v>
          </cell>
          <cell r="AF64">
            <v>9.0860859142982725E-2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refreshError="1"/>
      <sheetData sheetId="33" refreshError="1"/>
      <sheetData sheetId="3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EF"/>
      <sheetName val="dummy"/>
      <sheetName val="MS scrips"/>
      <sheetName val="VRTX"/>
      <sheetName val="BCHE"/>
      <sheetName val="ABGX"/>
      <sheetName val="CRXA"/>
      <sheetName val="CLTR"/>
      <sheetName val="PDLI"/>
      <sheetName val="Rev"/>
      <sheetName val="P&amp;L"/>
      <sheetName val="COMBO"/>
      <sheetName val="Pipeline"/>
      <sheetName val="Revenues"/>
      <sheetName val="Product Revs"/>
      <sheetName val="Rituxan"/>
      <sheetName val="Herceptin"/>
      <sheetName val="NPV Valuation"/>
      <sheetName val="Coverage"/>
      <sheetName val="monthly"/>
      <sheetName val="Valuation"/>
      <sheetName val="Viracept"/>
      <sheetName val="HIV - RTIs"/>
      <sheetName val="Intron A"/>
      <sheetName val="Background"/>
      <sheetName val="graphdialog"/>
      <sheetName val="PictureSheet"/>
      <sheetName val="Flu scrips"/>
      <sheetName val="Avonex"/>
      <sheetName val="NPV Valuation (2)"/>
      <sheetName val="P&amp;L (Proforma)"/>
      <sheetName val="CADWALADER"/>
      <sheetName val="DATA"/>
      <sheetName val="BALANCE SHEET"/>
      <sheetName val="Rituxan 36 months"/>
      <sheetName val="R&amp;D Revenues"/>
      <sheetName val="ALX-0600"/>
      <sheetName val="IL-Fusion Tox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OUTPUTS"/>
      <sheetName val="OUTPUTS UK"/>
      <sheetName val="wacc"/>
      <sheetName val="EVA1"/>
      <sheetName val="sensib"/>
      <sheetName val="calculs moy"/>
      <sheetName val="GRAPHFCF"/>
      <sheetName val="GRAPHEVA"/>
      <sheetName val="methodologie"/>
    </sheetNames>
    <sheetDataSet>
      <sheetData sheetId="0" refreshError="1">
        <row r="3">
          <cell r="E3">
            <v>3.0778421476117331E-3</v>
          </cell>
        </row>
        <row r="4">
          <cell r="B4">
            <v>30</v>
          </cell>
          <cell r="E4">
            <v>0.62705490966289401</v>
          </cell>
        </row>
        <row r="6">
          <cell r="E6">
            <v>46334.399999999994</v>
          </cell>
        </row>
      </sheetData>
      <sheetData sheetId="1" refreshError="1">
        <row r="26">
          <cell r="E26">
            <v>61582.155280467283</v>
          </cell>
        </row>
      </sheetData>
      <sheetData sheetId="2"/>
      <sheetData sheetId="3"/>
      <sheetData sheetId="4" refreshError="1">
        <row r="3">
          <cell r="A3">
            <v>2002</v>
          </cell>
          <cell r="B3">
            <v>0.11273374810094434</v>
          </cell>
          <cell r="C3">
            <v>7.0171249876845671E-2</v>
          </cell>
          <cell r="F3">
            <v>1148.2061736541075</v>
          </cell>
          <cell r="K3">
            <v>3787.3531495564039</v>
          </cell>
          <cell r="N3">
            <v>2426.9400361915255</v>
          </cell>
        </row>
        <row r="4">
          <cell r="A4">
            <v>2003</v>
          </cell>
          <cell r="B4">
            <v>0.12806018831005112</v>
          </cell>
          <cell r="C4">
            <v>7.0171249876845671E-2</v>
          </cell>
          <cell r="F4">
            <v>1597.2262671870105</v>
          </cell>
          <cell r="K4">
            <v>4308.4102216076817</v>
          </cell>
          <cell r="N4">
            <v>2701.6487336323307</v>
          </cell>
        </row>
        <row r="5">
          <cell r="A5">
            <v>2004</v>
          </cell>
          <cell r="B5">
            <v>0.12297979722737115</v>
          </cell>
          <cell r="C5">
            <v>7.0171249876845671E-2</v>
          </cell>
          <cell r="F5">
            <v>1500.9723143965582</v>
          </cell>
          <cell r="K5">
            <v>4302.0943006568832</v>
          </cell>
          <cell r="N5">
            <v>2921.6355546172558</v>
          </cell>
        </row>
        <row r="6">
          <cell r="A6">
            <v>2005</v>
          </cell>
          <cell r="B6">
            <v>0.12733167836106696</v>
          </cell>
          <cell r="C6">
            <v>7.0171249876845671E-2</v>
          </cell>
          <cell r="F6">
            <v>1657.4645010372155</v>
          </cell>
          <cell r="K6">
            <v>4530.288764622228</v>
          </cell>
          <cell r="N6">
            <v>2905.1894919469341</v>
          </cell>
        </row>
        <row r="7">
          <cell r="A7">
            <v>2006</v>
          </cell>
          <cell r="B7">
            <v>0.12939997297261593</v>
          </cell>
          <cell r="C7">
            <v>7.0171249876845671E-2</v>
          </cell>
          <cell r="F7">
            <v>1764.0518751321079</v>
          </cell>
          <cell r="K7">
            <v>4725.4334452554804</v>
          </cell>
          <cell r="N7">
            <v>2851.2475110323639</v>
          </cell>
        </row>
        <row r="8">
          <cell r="A8">
            <v>2007</v>
          </cell>
          <cell r="B8">
            <v>0.13550184320776315</v>
          </cell>
          <cell r="C8">
            <v>7.0171249876845671E-2</v>
          </cell>
          <cell r="F8">
            <v>2011.2995474086838</v>
          </cell>
          <cell r="K8">
            <v>5079.6591515492646</v>
          </cell>
          <cell r="N8">
            <v>3033.8208319803207</v>
          </cell>
        </row>
        <row r="9">
          <cell r="A9">
            <v>2008</v>
          </cell>
          <cell r="B9">
            <v>0.14123194874804243</v>
          </cell>
          <cell r="C9">
            <v>7.0171249876845671E-2</v>
          </cell>
          <cell r="F9">
            <v>2268.5625986898931</v>
          </cell>
          <cell r="K9">
            <v>5456.875563256418</v>
          </cell>
          <cell r="N9">
            <v>3228.7486074589624</v>
          </cell>
        </row>
        <row r="10">
          <cell r="A10">
            <v>2009</v>
          </cell>
          <cell r="B10">
            <v>0.14653289681491427</v>
          </cell>
          <cell r="C10">
            <v>7.0171249876845671E-2</v>
          </cell>
          <cell r="F10">
            <v>2535.5331198958861</v>
          </cell>
          <cell r="K10">
            <v>5857.5023504702895</v>
          </cell>
          <cell r="N10">
            <v>3436.3744976681164</v>
          </cell>
        </row>
        <row r="11">
          <cell r="A11">
            <v>2010</v>
          </cell>
          <cell r="B11">
            <v>0.15135332850576388</v>
          </cell>
          <cell r="C11">
            <v>7.0171249876845671E-2</v>
          </cell>
          <cell r="F11">
            <v>2811.612947476473</v>
          </cell>
          <cell r="K11">
            <v>6281.6642881274538</v>
          </cell>
          <cell r="N11">
            <v>3656.9209606400036</v>
          </cell>
        </row>
        <row r="12">
          <cell r="A12">
            <v>2011</v>
          </cell>
          <cell r="B12">
            <v>0.15564898724099324</v>
          </cell>
          <cell r="C12">
            <v>7.0171249876845671E-2</v>
          </cell>
          <cell r="F12">
            <v>3095.8652866973612</v>
          </cell>
          <cell r="K12">
            <v>6729.1273523075506</v>
          </cell>
          <cell r="N12">
            <v>3890.4598695034565</v>
          </cell>
        </row>
        <row r="13">
          <cell r="A13">
            <v>2012</v>
          </cell>
          <cell r="B13">
            <v>0.15938335750169513</v>
          </cell>
          <cell r="C13">
            <v>7.0171249876845671E-2</v>
          </cell>
          <cell r="F13">
            <v>3386.9622732497523</v>
          </cell>
          <cell r="K13">
            <v>7199.2278918183165</v>
          </cell>
          <cell r="N13">
            <v>4136.879375129969</v>
          </cell>
        </row>
        <row r="14">
          <cell r="A14">
            <v>2013</v>
          </cell>
          <cell r="B14">
            <v>0.16252786876068875</v>
          </cell>
          <cell r="C14">
            <v>7.0171249876845671E-2</v>
          </cell>
          <cell r="F14">
            <v>3683.1292793752305</v>
          </cell>
          <cell r="K14">
            <v>7690.7954286070481</v>
          </cell>
          <cell r="N14">
            <v>4395.8470988794998</v>
          </cell>
        </row>
        <row r="15">
          <cell r="A15">
            <v>2014</v>
          </cell>
          <cell r="B15">
            <v>0.16506169455826875</v>
          </cell>
          <cell r="C15">
            <v>7.0171249876845671E-2</v>
          </cell>
          <cell r="F15">
            <v>3982.087112313734</v>
          </cell>
          <cell r="K15">
            <v>8202.0700254254152</v>
          </cell>
          <cell r="N15">
            <v>4666.7698907200966</v>
          </cell>
        </row>
        <row r="16">
          <cell r="A16">
            <v>2015</v>
          </cell>
          <cell r="B16">
            <v>0.16697120398384846</v>
          </cell>
          <cell r="C16">
            <v>7.0171249876845671E-2</v>
          </cell>
          <cell r="F16">
            <v>4280.9936524915602</v>
          </cell>
          <cell r="K16">
            <v>8730.6156220443518</v>
          </cell>
          <cell r="N16">
            <v>4948.7505765710212</v>
          </cell>
        </row>
        <row r="17">
          <cell r="A17">
            <v>2016</v>
          </cell>
          <cell r="B17">
            <v>0.16824914010016923</v>
          </cell>
          <cell r="C17">
            <v>7.0171249876845671E-2</v>
          </cell>
          <cell r="F17">
            <v>4576.3869330247453</v>
          </cell>
          <cell r="K17">
            <v>9347.6455342136433</v>
          </cell>
          <cell r="N17">
            <v>5314.9565996745159</v>
          </cell>
        </row>
        <row r="18">
          <cell r="A18">
            <v>2017</v>
          </cell>
          <cell r="B18">
            <v>0.16914907430799125</v>
          </cell>
          <cell r="C18">
            <v>7.0171249876845671E-2</v>
          </cell>
          <cell r="F18">
            <v>4869.3539040855503</v>
          </cell>
          <cell r="K18">
            <v>9974.3519218196798</v>
          </cell>
          <cell r="N18">
            <v>5688.990728878578</v>
          </cell>
        </row>
        <row r="19">
          <cell r="A19">
            <v>2018</v>
          </cell>
          <cell r="B19">
            <v>0.16963336828866463</v>
          </cell>
          <cell r="C19">
            <v>7.0171249876845671E-2</v>
          </cell>
          <cell r="F19">
            <v>5155.0171322507404</v>
          </cell>
          <cell r="K19">
            <v>10609.06803530212</v>
          </cell>
          <cell r="N19">
            <v>6072.0906421380805</v>
          </cell>
        </row>
        <row r="20">
          <cell r="A20">
            <v>2019</v>
          </cell>
          <cell r="B20">
            <v>0.1696781210049946</v>
          </cell>
          <cell r="C20">
            <v>7.0171249876845671E-2</v>
          </cell>
          <cell r="F20">
            <v>5427.9782595291399</v>
          </cell>
          <cell r="K20">
            <v>11254.128619025123</v>
          </cell>
          <cell r="N20">
            <v>6470.020386796481</v>
          </cell>
        </row>
        <row r="21">
          <cell r="A21">
            <v>2020</v>
          </cell>
          <cell r="B21">
            <v>0.16928522176620314</v>
          </cell>
          <cell r="C21">
            <v>7.0171249876845671E-2</v>
          </cell>
          <cell r="F21">
            <v>5682.6492482943086</v>
          </cell>
          <cell r="K21">
            <v>11896.453458320642</v>
          </cell>
          <cell r="N21">
            <v>6873.6759596328284</v>
          </cell>
        </row>
        <row r="22">
          <cell r="A22">
            <v>2021</v>
          </cell>
          <cell r="B22">
            <v>0.168435657267202</v>
          </cell>
          <cell r="C22">
            <v>7.0171249876845671E-2</v>
          </cell>
          <cell r="F22">
            <v>5912.2449696309041</v>
          </cell>
          <cell r="K22">
            <v>12523.610198537419</v>
          </cell>
          <cell r="N22">
            <v>7275.1580590663052</v>
          </cell>
        </row>
        <row r="23">
          <cell r="A23">
            <v>2022</v>
          </cell>
          <cell r="B23">
            <v>0.16709877158829198</v>
          </cell>
          <cell r="C23">
            <v>7.0171249876845671E-2</v>
          </cell>
          <cell r="F23">
            <v>6108.9305086494924</v>
          </cell>
          <cell r="K23">
            <v>13125.304482517506</v>
          </cell>
          <cell r="N23">
            <v>7669.25671254179</v>
          </cell>
        </row>
        <row r="24">
          <cell r="A24">
            <v>2023</v>
          </cell>
          <cell r="B24">
            <v>0.16524321332559833</v>
          </cell>
          <cell r="C24">
            <v>7.0171249876845671E-2</v>
          </cell>
          <cell r="F24">
            <v>6264.1041714364937</v>
          </cell>
          <cell r="K24">
            <v>13689.892480009396</v>
          </cell>
          <cell r="N24">
            <v>8049.9393423411693</v>
          </cell>
        </row>
        <row r="25">
          <cell r="A25">
            <v>2024</v>
          </cell>
          <cell r="B25">
            <v>0.16283637816477953</v>
          </cell>
          <cell r="C25">
            <v>7.0171249876845671E-2</v>
          </cell>
          <cell r="F25">
            <v>6368.4700526640354</v>
          </cell>
          <cell r="K25">
            <v>14204.409271198407</v>
          </cell>
          <cell r="N25">
            <v>8410.3321959089662</v>
          </cell>
        </row>
        <row r="26">
          <cell r="A26">
            <v>2025</v>
          </cell>
          <cell r="B26">
            <v>0.15984370872330694</v>
          </cell>
          <cell r="C26">
            <v>7.0171249876845671E-2</v>
          </cell>
          <cell r="F26">
            <v>6412.1493010206586</v>
          </cell>
          <cell r="K26">
            <v>14654.644032689113</v>
          </cell>
          <cell r="N26">
            <v>8742.7227116521099</v>
          </cell>
        </row>
        <row r="27">
          <cell r="A27">
            <v>2026</v>
          </cell>
          <cell r="B27">
            <v>0.15622782573670882</v>
          </cell>
          <cell r="C27">
            <v>7.0171249876845671E-2</v>
          </cell>
          <cell r="F27">
            <v>6384.8347302131388</v>
          </cell>
          <cell r="K27">
            <v>15025.269861041043</v>
          </cell>
          <cell r="N27">
            <v>9038.5876653960586</v>
          </cell>
        </row>
        <row r="28">
          <cell r="A28">
            <v>2027</v>
          </cell>
          <cell r="B28">
            <v>0.15194745466772577</v>
          </cell>
          <cell r="C28">
            <v>7.0171249876845671E-2</v>
          </cell>
          <cell r="F28">
            <v>6275.9925284391084</v>
          </cell>
          <cell r="K28">
            <v>15300.035480708488</v>
          </cell>
          <cell r="N28">
            <v>9288.6520122378715</v>
          </cell>
        </row>
        <row r="29">
          <cell r="A29">
            <v>2028</v>
          </cell>
          <cell r="B29">
            <v>0.14695609756158304</v>
          </cell>
          <cell r="C29">
            <v>7.0171249876845671E-2</v>
          </cell>
          <cell r="F29">
            <v>6075.1134745182535</v>
          </cell>
          <cell r="K29">
            <v>15462.024955024257</v>
          </cell>
          <cell r="N29">
            <v>9482.983173360517</v>
          </cell>
        </row>
        <row r="30">
          <cell r="A30">
            <v>2029</v>
          </cell>
          <cell r="B30">
            <v>0.14120037976468031</v>
          </cell>
          <cell r="C30">
            <v>7.0171249876845671E-2</v>
          </cell>
          <cell r="F30">
            <v>5772.0142319091519</v>
          </cell>
          <cell r="K30">
            <v>15493.989770695813</v>
          </cell>
          <cell r="N30">
            <v>9611.1250606001195</v>
          </cell>
        </row>
        <row r="31">
          <cell r="A31">
            <v>2030</v>
          </cell>
          <cell r="B31">
            <v>0.13461797239052323</v>
          </cell>
          <cell r="C31">
            <v>7.0171249876845671E-2</v>
          </cell>
          <cell r="F31">
            <v>5357.1869432038402</v>
          </cell>
          <cell r="K31">
            <v>15378.75523845803</v>
          </cell>
          <cell r="N31">
            <v>9662.2753292862544</v>
          </cell>
        </row>
        <row r="32">
          <cell r="A32">
            <v>2031</v>
          </cell>
          <cell r="B32">
            <v>0.12713495016389276</v>
          </cell>
          <cell r="C32">
            <v>7.0171249876845671E-2</v>
          </cell>
          <cell r="F32">
            <v>4822.1924997804344</v>
          </cell>
          <cell r="K32">
            <v>15099.700016650942</v>
          </cell>
          <cell r="N32">
            <v>9625.5081562421128</v>
          </cell>
        </row>
        <row r="33">
          <cell r="A33">
            <v>2032</v>
          </cell>
          <cell r="B33">
            <v>0.11866238422251026</v>
          </cell>
          <cell r="C33">
            <v>7.0171249876845671E-2</v>
          </cell>
          <cell r="F33">
            <v>4160.0895672366132</v>
          </cell>
          <cell r="K33">
            <v>14641.303735223668</v>
          </cell>
          <cell r="N33">
            <v>9490.0432230929964</v>
          </cell>
        </row>
        <row r="34">
          <cell r="A34">
            <v>2033</v>
          </cell>
          <cell r="B34">
            <v>0.10909188055716033</v>
          </cell>
          <cell r="C34">
            <v>7.0171249876845671E-2</v>
          </cell>
          <cell r="F34">
            <v>3365.8878089745867</v>
          </cell>
          <cell r="K34">
            <v>13989.753244378982</v>
          </cell>
          <cell r="N34">
            <v>9245.5595343780096</v>
          </cell>
        </row>
        <row r="35">
          <cell r="A35">
            <v>2034</v>
          </cell>
          <cell r="B35">
            <v>9.8289640638215617E-2</v>
          </cell>
          <cell r="C35">
            <v>7.0171249876845671E-2</v>
          </cell>
          <cell r="F35">
            <v>2437.0099247852781</v>
          </cell>
          <cell r="K35">
            <v>13133.593069184255</v>
          </cell>
          <cell r="N35">
            <v>8882.5502326914248</v>
          </cell>
        </row>
        <row r="36">
          <cell r="A36">
            <v>2035</v>
          </cell>
          <cell r="B36">
            <v>8.6088414090878293E-2</v>
          </cell>
          <cell r="C36">
            <v>7.0171249876845671E-2</v>
          </cell>
          <cell r="F36">
            <v>1373.7433233283825</v>
          </cell>
          <cell r="K36">
            <v>12064.400426004728</v>
          </cell>
          <cell r="N36">
            <v>8392.7117415093744</v>
          </cell>
        </row>
      </sheetData>
      <sheetData sheetId="5"/>
      <sheetData sheetId="6"/>
      <sheetData sheetId="7" refreshError="1"/>
      <sheetData sheetId="8" refreshError="1"/>
      <sheetData sheetId="9"/>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Accounts (FY)"/>
      <sheetName val="P&amp;L output"/>
      <sheetName val="P&amp;L"/>
      <sheetName val="Sales"/>
      <sheetName val="Valuation"/>
      <sheetName val="PAH Market"/>
      <sheetName val="Tracleer other indications"/>
      <sheetName val="APAM"/>
      <sheetName val="APAM Chart"/>
      <sheetName val="IPF"/>
      <sheetName val="Tracleer NPV"/>
      <sheetName val="Almorexant NPV"/>
      <sheetName val="Valuation flowchart"/>
      <sheetName val="Pipeline"/>
      <sheetName val="PAH Market output"/>
      <sheetName val="Zavesca"/>
      <sheetName val="Clazosentan"/>
      <sheetName val="Tezosentan"/>
      <sheetName val="Liens DCF EVA"/>
      <sheetName val="Questions"/>
      <sheetName val="Gaucher's disease"/>
      <sheetName val="Orexin"/>
      <sheetName val="Insomnia market"/>
      <sheetName val="Insomnia concurrents"/>
      <sheetName val="Deals &amp; Patents"/>
      <sheetName val="Geog"/>
      <sheetName val="Misc."/>
      <sheetName val="Sheet1"/>
      <sheetName val="Model Account (S)"/>
      <sheetName val="Modeles (S)"/>
      <sheetName val="ATLN"/>
    </sheetNames>
    <sheetDataSet>
      <sheetData sheetId="0"/>
      <sheetData sheetId="1"/>
      <sheetData sheetId="2"/>
      <sheetData sheetId="3" refreshError="1">
        <row r="154">
          <cell r="A154" t="str">
            <v>EBIT Pharma / CA Pharma(%)</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am Contacts"/>
      <sheetName val="Tables"/>
      <sheetName val="Snapshot"/>
      <sheetName val="Sales"/>
      <sheetName val="P&amp;L_BS_CFS"/>
      <sheetName val="Bull Bear margins"/>
      <sheetName val="Bullbear"/>
      <sheetName val="Bear case"/>
      <sheetName val="Variance"/>
      <sheetName val="Consensus"/>
      <sheetName val="DCF"/>
      <sheetName val="Valuation"/>
      <sheetName val="Base business"/>
      <sheetName val="MW-Cache"/>
      <sheetName val="Scenarios"/>
      <sheetName val="NPV"/>
      <sheetName val="Pipeline"/>
      <sheetName val="Drugs model"/>
      <sheetName val="Boxes"/>
      <sheetName val="Patents"/>
      <sheetName val="FX"/>
      <sheetName val="Bull Bear"/>
      <sheetName val="MWA RR"/>
      <sheetName val="Sheet1"/>
      <sheetName val="mwareDates"/>
      <sheetName val="mware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AXO"/>
      <sheetName val="classes"/>
      <sheetName val="produits"/>
      <sheetName val="Biochem"/>
      <sheetName val="trimestres"/>
      <sheetName val="garde"/>
      <sheetName val="fraisfi"/>
      <sheetName val="page4"/>
      <sheetName val="graphs"/>
      <sheetName val="Feuil2"/>
      <sheetName val="Feuil9"/>
      <sheetName val="Respi"/>
      <sheetName val="Feuil10"/>
      <sheetName val="Feuil12"/>
      <sheetName val="Feuil1"/>
      <sheetName val="Feuil14"/>
      <sheetName val="Feuil15"/>
      <sheetName val="HBP"/>
      <sheetName val="Feuil16"/>
      <sheetName val="EVA"/>
      <sheetName val="EVA2"/>
      <sheetName val="CFD1"/>
      <sheetName val="CFD2"/>
      <sheetName val="CFD3"/>
      <sheetName val="Tableau"/>
      <sheetName val="Feuil11"/>
      <sheetName val="Module1"/>
      <sheetName val="GRILLEG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8">
          <cell r="C18" t="str">
            <v>-</v>
          </cell>
          <cell r="D18">
            <v>401</v>
          </cell>
          <cell r="E18">
            <v>415</v>
          </cell>
          <cell r="F18">
            <v>475</v>
          </cell>
          <cell r="G18">
            <v>597</v>
          </cell>
          <cell r="H18">
            <v>600</v>
          </cell>
          <cell r="I18">
            <v>600</v>
          </cell>
          <cell r="J18">
            <v>620</v>
          </cell>
        </row>
        <row r="20">
          <cell r="C20" t="str">
            <v>-</v>
          </cell>
          <cell r="D20">
            <v>14</v>
          </cell>
          <cell r="E20">
            <v>-77</v>
          </cell>
          <cell r="F20">
            <v>575</v>
          </cell>
          <cell r="G20">
            <v>378</v>
          </cell>
          <cell r="H20">
            <v>28</v>
          </cell>
          <cell r="I20">
            <v>190</v>
          </cell>
          <cell r="J20">
            <v>150</v>
          </cell>
        </row>
        <row r="21">
          <cell r="C21">
            <v>1.0493827160493825</v>
          </cell>
          <cell r="D21">
            <v>0.60440660991487227</v>
          </cell>
          <cell r="E21">
            <v>0.67837837837837833</v>
          </cell>
          <cell r="F21">
            <v>0.71078431372549022</v>
          </cell>
          <cell r="G21">
            <v>0.74047487575924908</v>
          </cell>
          <cell r="H21">
            <v>0.64659460315462391</v>
          </cell>
          <cell r="I21">
            <v>0.66667089220342457</v>
          </cell>
          <cell r="J21">
            <v>0.58907853000733534</v>
          </cell>
        </row>
        <row r="22">
          <cell r="C22" t="str">
            <v>-</v>
          </cell>
          <cell r="D22">
            <v>1887</v>
          </cell>
          <cell r="E22">
            <v>1912</v>
          </cell>
          <cell r="F22">
            <v>1182</v>
          </cell>
          <cell r="G22">
            <v>1300</v>
          </cell>
          <cell r="H22">
            <v>1905.1653287500003</v>
          </cell>
          <cell r="I22">
            <v>1904.9858625000002</v>
          </cell>
          <cell r="J22">
            <v>2178.7814400000007</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tuxan"/>
      <sheetName val="Lucentis"/>
      <sheetName val="Herceptin"/>
      <sheetName val="Herceptin Adjuvant"/>
      <sheetName val="Xolair"/>
      <sheetName val="Avastin - 2005"/>
      <sheetName val="Lucentis 2006"/>
      <sheetName val="Tarceva 2007"/>
      <sheetName val="Avastin 2007"/>
      <sheetName val="Herceptin 2007"/>
      <sheetName val="Raptiva"/>
      <sheetName val="Revenues"/>
      <sheetName val="P&amp;L-adj "/>
      <sheetName val="iQ_Measure_Validations_Errors"/>
      <sheetName val="iQ_US_CoreIndustrials"/>
      <sheetName val="CF"/>
      <sheetName val="BS"/>
      <sheetName val="Guidance Revised"/>
      <sheetName val="Guidance-OLD"/>
      <sheetName val="Studies"/>
      <sheetName val="Valuation"/>
      <sheetName val="Updated NPV Valuation"/>
      <sheetName val="Revenues - Theoretical"/>
      <sheetName val="P&amp;L-Theoretical"/>
      <sheetName val="P&amp;L-adj  (adjuvant avastin)"/>
      <sheetName val="Mkt Cap Comps"/>
      <sheetName val="NDC Data"/>
      <sheetName val="Avastin NDC Data"/>
      <sheetName val="Herceptin NDC Data"/>
      <sheetName val="Delta to Street"/>
      <sheetName val="NPV Valuation (Old)"/>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A1" t="str">
            <v>GENENTECH, INC.</v>
          </cell>
        </row>
        <row r="2">
          <cell r="A2" t="str">
            <v xml:space="preserve">FY ENDS DEC. 31 </v>
          </cell>
        </row>
        <row r="3">
          <cell r="A3" t="str">
            <v>($000's)</v>
          </cell>
        </row>
        <row r="5">
          <cell r="A5" t="str">
            <v>REVENUE MODEL</v>
          </cell>
          <cell r="AG5" t="str">
            <v xml:space="preserve"> </v>
          </cell>
        </row>
        <row r="7">
          <cell r="C7" t="str">
            <v>FY1997</v>
          </cell>
          <cell r="E7" t="str">
            <v>1Q98A</v>
          </cell>
          <cell r="F7" t="str">
            <v>2Q98A</v>
          </cell>
          <cell r="G7" t="str">
            <v>3Q98A</v>
          </cell>
          <cell r="H7" t="str">
            <v>4Q98A</v>
          </cell>
          <cell r="I7" t="str">
            <v>FY1998A</v>
          </cell>
          <cell r="K7" t="str">
            <v>1Q99A</v>
          </cell>
          <cell r="L7" t="str">
            <v>2Q99A</v>
          </cell>
          <cell r="M7" t="str">
            <v>3Q99A</v>
          </cell>
          <cell r="N7" t="str">
            <v>4Q99E</v>
          </cell>
          <cell r="O7" t="str">
            <v>FY1999A</v>
          </cell>
          <cell r="Q7" t="str">
            <v>1Q00A</v>
          </cell>
          <cell r="R7" t="str">
            <v>2Q00A</v>
          </cell>
          <cell r="S7" t="str">
            <v>3Q00E</v>
          </cell>
          <cell r="T7" t="str">
            <v>4Q00E</v>
          </cell>
          <cell r="V7" t="str">
            <v>FY2000E</v>
          </cell>
          <cell r="X7" t="str">
            <v>1Q01E</v>
          </cell>
          <cell r="Y7" t="str">
            <v>2Q01E</v>
          </cell>
          <cell r="Z7" t="str">
            <v>3Q01E</v>
          </cell>
          <cell r="AA7" t="str">
            <v>4Q01E</v>
          </cell>
          <cell r="AB7" t="str">
            <v>FY2001A</v>
          </cell>
          <cell r="AC7" t="str">
            <v>1Q02A</v>
          </cell>
          <cell r="AD7" t="str">
            <v>2Q02A</v>
          </cell>
          <cell r="AE7" t="str">
            <v>3Q02A</v>
          </cell>
          <cell r="AF7" t="str">
            <v>4Q02A</v>
          </cell>
          <cell r="AG7" t="str">
            <v>FY2002A</v>
          </cell>
          <cell r="AH7" t="str">
            <v>1Q03A</v>
          </cell>
          <cell r="AI7" t="str">
            <v>2Q03A</v>
          </cell>
          <cell r="AJ7" t="str">
            <v>3Q03A</v>
          </cell>
          <cell r="AK7" t="str">
            <v>4Q03E</v>
          </cell>
          <cell r="AL7" t="str">
            <v>FY2003A</v>
          </cell>
          <cell r="AM7" t="str">
            <v>1Q04A</v>
          </cell>
          <cell r="AN7" t="str">
            <v>2Q04A</v>
          </cell>
          <cell r="AO7" t="str">
            <v>3Q04A</v>
          </cell>
          <cell r="AP7" t="str">
            <v>4Q04A</v>
          </cell>
          <cell r="AQ7" t="str">
            <v>FY2004A</v>
          </cell>
          <cell r="AR7" t="str">
            <v>1Q05A</v>
          </cell>
          <cell r="AS7" t="str">
            <v>2Q05A</v>
          </cell>
          <cell r="AT7" t="str">
            <v>3Q05A</v>
          </cell>
          <cell r="AU7" t="str">
            <v>4Q05A</v>
          </cell>
          <cell r="AV7" t="str">
            <v>FY2005A</v>
          </cell>
          <cell r="AW7" t="str">
            <v>1Q06A</v>
          </cell>
          <cell r="AX7" t="str">
            <v>2Q06A</v>
          </cell>
          <cell r="AY7" t="str">
            <v>3Q06A</v>
          </cell>
          <cell r="AZ7" t="str">
            <v>4Q06E</v>
          </cell>
          <cell r="BA7" t="str">
            <v>FY2006E</v>
          </cell>
          <cell r="BB7" t="str">
            <v>FY2007E</v>
          </cell>
          <cell r="BC7" t="str">
            <v>FY2008E</v>
          </cell>
          <cell r="BD7" t="str">
            <v>FY2009E</v>
          </cell>
        </row>
        <row r="8">
          <cell r="A8" t="str">
            <v xml:space="preserve">Rituxan:  </v>
          </cell>
        </row>
        <row r="9">
          <cell r="A9" t="str">
            <v>US SALES</v>
          </cell>
          <cell r="E9">
            <v>37700</v>
          </cell>
          <cell r="F9">
            <v>34800</v>
          </cell>
          <cell r="G9">
            <v>39400</v>
          </cell>
          <cell r="H9">
            <v>50700</v>
          </cell>
          <cell r="I9">
            <v>162600</v>
          </cell>
          <cell r="K9">
            <v>57100</v>
          </cell>
          <cell r="L9">
            <v>74400</v>
          </cell>
          <cell r="M9">
            <v>72600</v>
          </cell>
          <cell r="N9">
            <v>75300</v>
          </cell>
          <cell r="O9">
            <v>279400</v>
          </cell>
          <cell r="Q9">
            <v>85100</v>
          </cell>
          <cell r="R9">
            <v>102800</v>
          </cell>
          <cell r="S9">
            <v>117900</v>
          </cell>
          <cell r="T9">
            <v>138300</v>
          </cell>
          <cell r="V9">
            <v>444100</v>
          </cell>
          <cell r="W9">
            <v>819063.75</v>
          </cell>
          <cell r="X9">
            <v>172100</v>
          </cell>
          <cell r="Y9">
            <v>187700</v>
          </cell>
          <cell r="Z9">
            <v>212800</v>
          </cell>
          <cell r="AA9">
            <v>246463.75</v>
          </cell>
          <cell r="AB9">
            <v>819063.75</v>
          </cell>
          <cell r="AC9">
            <v>247500</v>
          </cell>
          <cell r="AD9">
            <v>274900</v>
          </cell>
          <cell r="AE9">
            <v>293900</v>
          </cell>
          <cell r="AF9">
            <v>346600</v>
          </cell>
          <cell r="AG9">
            <v>1162900</v>
          </cell>
          <cell r="AH9">
            <v>341000</v>
          </cell>
          <cell r="AI9">
            <v>363400</v>
          </cell>
          <cell r="AJ9">
            <v>371700</v>
          </cell>
          <cell r="AK9">
            <v>413000</v>
          </cell>
          <cell r="AL9">
            <v>1489100</v>
          </cell>
          <cell r="AM9">
            <v>400600</v>
          </cell>
          <cell r="AN9">
            <v>424700</v>
          </cell>
          <cell r="AO9">
            <v>442020.77732148644</v>
          </cell>
          <cell r="AP9">
            <v>443879.22267851356</v>
          </cell>
          <cell r="AQ9">
            <v>1574281.6992000001</v>
          </cell>
          <cell r="AR9">
            <v>440550</v>
          </cell>
          <cell r="AS9">
            <v>450348</v>
          </cell>
          <cell r="AT9">
            <v>456227</v>
          </cell>
          <cell r="AU9">
            <v>484404</v>
          </cell>
          <cell r="AV9">
            <v>1831528</v>
          </cell>
          <cell r="AW9">
            <v>477000</v>
          </cell>
          <cell r="AX9">
            <v>526463</v>
          </cell>
          <cell r="AY9">
            <v>508676</v>
          </cell>
          <cell r="AZ9">
            <v>540664</v>
          </cell>
          <cell r="BA9">
            <v>2052803</v>
          </cell>
          <cell r="BB9">
            <v>2528391.5449999999</v>
          </cell>
          <cell r="BC9">
            <v>2797635.1647600001</v>
          </cell>
          <cell r="BD9">
            <v>3191375.2282421603</v>
          </cell>
        </row>
        <row r="10">
          <cell r="A10" t="str">
            <v xml:space="preserve">Herceptin:  </v>
          </cell>
        </row>
        <row r="11">
          <cell r="A11" t="str">
            <v>US SALES</v>
          </cell>
          <cell r="E11">
            <v>0</v>
          </cell>
          <cell r="F11">
            <v>0</v>
          </cell>
          <cell r="G11">
            <v>0</v>
          </cell>
          <cell r="H11">
            <v>30498</v>
          </cell>
          <cell r="I11">
            <v>30498</v>
          </cell>
          <cell r="K11">
            <v>39900</v>
          </cell>
          <cell r="L11">
            <v>46200</v>
          </cell>
          <cell r="M11">
            <v>47900</v>
          </cell>
          <cell r="N11">
            <v>54400</v>
          </cell>
          <cell r="O11">
            <v>188400</v>
          </cell>
          <cell r="Q11">
            <v>68700</v>
          </cell>
          <cell r="R11">
            <v>66700</v>
          </cell>
          <cell r="S11">
            <v>72600</v>
          </cell>
          <cell r="T11">
            <v>67900</v>
          </cell>
          <cell r="V11">
            <v>275900</v>
          </cell>
          <cell r="W11">
            <v>346700</v>
          </cell>
          <cell r="X11">
            <v>81400</v>
          </cell>
          <cell r="Y11">
            <v>78800</v>
          </cell>
          <cell r="Z11">
            <v>83900</v>
          </cell>
          <cell r="AA11">
            <v>102600</v>
          </cell>
          <cell r="AB11">
            <v>346700</v>
          </cell>
          <cell r="AC11">
            <v>86800</v>
          </cell>
          <cell r="AD11">
            <v>95100</v>
          </cell>
          <cell r="AE11">
            <v>96700</v>
          </cell>
          <cell r="AF11">
            <v>106600</v>
          </cell>
          <cell r="AG11">
            <v>385200</v>
          </cell>
          <cell r="AH11">
            <v>93700</v>
          </cell>
          <cell r="AI11">
            <v>109100</v>
          </cell>
          <cell r="AJ11">
            <v>107700</v>
          </cell>
          <cell r="AK11">
            <v>114300</v>
          </cell>
          <cell r="AL11">
            <v>424800</v>
          </cell>
          <cell r="AM11">
            <v>113500</v>
          </cell>
          <cell r="AN11">
            <v>117700</v>
          </cell>
          <cell r="AO11">
            <v>126000</v>
          </cell>
          <cell r="AP11">
            <v>126000</v>
          </cell>
          <cell r="AQ11">
            <v>445759.37602300063</v>
          </cell>
          <cell r="AR11">
            <v>129630</v>
          </cell>
          <cell r="AS11">
            <v>152427</v>
          </cell>
          <cell r="AT11">
            <v>215148.78870648</v>
          </cell>
          <cell r="AU11">
            <v>250068.95116074482</v>
          </cell>
          <cell r="AV11">
            <v>747274.73986722482</v>
          </cell>
          <cell r="AW11">
            <v>290000</v>
          </cell>
          <cell r="AX11">
            <v>320016.4857636235</v>
          </cell>
          <cell r="AY11">
            <v>301996.95062125975</v>
          </cell>
          <cell r="AZ11">
            <v>317569.86243633437</v>
          </cell>
          <cell r="BA11">
            <v>1229583.2988212176</v>
          </cell>
          <cell r="BB11">
            <v>1366801.3067978928</v>
          </cell>
          <cell r="BC11">
            <v>1469153.7165985368</v>
          </cell>
          <cell r="BD11">
            <v>1578655.0518436006</v>
          </cell>
        </row>
        <row r="12">
          <cell r="A12" t="str">
            <v xml:space="preserve">Activase/TNKase:  </v>
          </cell>
        </row>
        <row r="13">
          <cell r="A13" t="str">
            <v>WW SALES</v>
          </cell>
          <cell r="E13">
            <v>55700</v>
          </cell>
          <cell r="F13">
            <v>54100</v>
          </cell>
          <cell r="G13">
            <v>45100</v>
          </cell>
          <cell r="H13">
            <v>58100</v>
          </cell>
          <cell r="I13">
            <v>213000</v>
          </cell>
          <cell r="K13">
            <v>52000</v>
          </cell>
          <cell r="L13">
            <v>58100</v>
          </cell>
          <cell r="M13">
            <v>59000</v>
          </cell>
          <cell r="N13">
            <v>66900</v>
          </cell>
          <cell r="O13">
            <v>236000</v>
          </cell>
          <cell r="Q13">
            <v>47500</v>
          </cell>
          <cell r="R13">
            <v>56800</v>
          </cell>
          <cell r="S13">
            <v>50700</v>
          </cell>
          <cell r="T13">
            <v>51200</v>
          </cell>
          <cell r="V13">
            <v>206200</v>
          </cell>
          <cell r="W13">
            <v>197100</v>
          </cell>
          <cell r="X13">
            <v>52100</v>
          </cell>
          <cell r="Y13">
            <v>51600</v>
          </cell>
          <cell r="Z13">
            <v>48600</v>
          </cell>
          <cell r="AA13">
            <v>44800</v>
          </cell>
          <cell r="AB13">
            <v>197100</v>
          </cell>
          <cell r="AC13">
            <v>42800</v>
          </cell>
          <cell r="AD13">
            <v>43100</v>
          </cell>
          <cell r="AE13">
            <v>45600</v>
          </cell>
          <cell r="AF13">
            <v>48700</v>
          </cell>
          <cell r="AG13">
            <v>180200</v>
          </cell>
          <cell r="AH13">
            <v>47500</v>
          </cell>
          <cell r="AI13">
            <v>47600</v>
          </cell>
          <cell r="AJ13">
            <v>46000</v>
          </cell>
          <cell r="AK13">
            <v>44100</v>
          </cell>
          <cell r="AL13">
            <v>185200</v>
          </cell>
          <cell r="AM13">
            <v>46300</v>
          </cell>
          <cell r="AN13">
            <v>46300</v>
          </cell>
          <cell r="AO13">
            <v>47226</v>
          </cell>
          <cell r="AP13">
            <v>47226</v>
          </cell>
          <cell r="AQ13">
            <v>187052</v>
          </cell>
          <cell r="AR13">
            <v>53570</v>
          </cell>
          <cell r="AS13">
            <v>53298</v>
          </cell>
          <cell r="AT13">
            <v>57903</v>
          </cell>
          <cell r="AU13">
            <v>58389</v>
          </cell>
          <cell r="AV13">
            <v>226905.39742422776</v>
          </cell>
          <cell r="AW13">
            <v>249307.5</v>
          </cell>
          <cell r="AX13">
            <v>244321.35</v>
          </cell>
          <cell r="AY13">
            <v>231740.19819999998</v>
          </cell>
          <cell r="AZ13">
            <v>227105.39423599999</v>
          </cell>
          <cell r="BA13">
            <v>249307.5</v>
          </cell>
          <cell r="BB13">
            <v>244321.35</v>
          </cell>
          <cell r="BC13">
            <v>239434.92300000001</v>
          </cell>
          <cell r="BD13">
            <v>229953.30004919998</v>
          </cell>
        </row>
        <row r="14">
          <cell r="A14" t="str">
            <v xml:space="preserve">Growth Hormone:  </v>
          </cell>
        </row>
        <row r="15">
          <cell r="A15" t="str">
            <v>WW SALES</v>
          </cell>
          <cell r="E15">
            <v>50900</v>
          </cell>
          <cell r="F15">
            <v>62300</v>
          </cell>
          <cell r="G15">
            <v>52900</v>
          </cell>
          <cell r="H15">
            <v>47900</v>
          </cell>
          <cell r="I15">
            <v>214000</v>
          </cell>
          <cell r="K15">
            <v>56200</v>
          </cell>
          <cell r="L15">
            <v>59300</v>
          </cell>
          <cell r="M15">
            <v>59900</v>
          </cell>
          <cell r="N15">
            <v>45800</v>
          </cell>
          <cell r="O15">
            <v>221200</v>
          </cell>
          <cell r="Q15">
            <v>55100</v>
          </cell>
          <cell r="R15">
            <v>49900</v>
          </cell>
          <cell r="S15">
            <v>61100</v>
          </cell>
          <cell r="T15">
            <v>60500</v>
          </cell>
          <cell r="V15">
            <v>226600</v>
          </cell>
          <cell r="W15">
            <v>250184.25</v>
          </cell>
          <cell r="X15">
            <v>55500</v>
          </cell>
          <cell r="Y15">
            <v>62500</v>
          </cell>
          <cell r="Z15">
            <v>67700</v>
          </cell>
          <cell r="AA15">
            <v>64484.25</v>
          </cell>
          <cell r="AB15">
            <v>250184.25</v>
          </cell>
          <cell r="AC15">
            <v>67700</v>
          </cell>
          <cell r="AD15">
            <v>75300</v>
          </cell>
          <cell r="AE15">
            <v>77400</v>
          </cell>
          <cell r="AF15">
            <v>76800</v>
          </cell>
          <cell r="AG15">
            <v>297200</v>
          </cell>
          <cell r="AH15">
            <v>76700</v>
          </cell>
          <cell r="AI15">
            <v>81600</v>
          </cell>
          <cell r="AJ15">
            <v>80600</v>
          </cell>
          <cell r="AK15">
            <v>83000</v>
          </cell>
          <cell r="AL15">
            <v>321900</v>
          </cell>
          <cell r="AM15">
            <v>85500</v>
          </cell>
          <cell r="AN15">
            <v>87210</v>
          </cell>
          <cell r="AO15">
            <v>90916.425000000003</v>
          </cell>
          <cell r="AP15">
            <v>92734.753500000006</v>
          </cell>
          <cell r="AQ15">
            <v>356361.17849999998</v>
          </cell>
          <cell r="AR15">
            <v>92088</v>
          </cell>
          <cell r="AS15">
            <v>97915</v>
          </cell>
          <cell r="AT15">
            <v>88585</v>
          </cell>
          <cell r="AU15">
            <v>94891</v>
          </cell>
          <cell r="AV15">
            <v>376441.36065117869</v>
          </cell>
          <cell r="AW15">
            <v>385457.75</v>
          </cell>
          <cell r="AX15">
            <v>404730.63750000001</v>
          </cell>
          <cell r="AY15">
            <v>407268.836625</v>
          </cell>
          <cell r="AZ15">
            <v>419486.90172374999</v>
          </cell>
          <cell r="BA15">
            <v>385457.75</v>
          </cell>
          <cell r="BB15">
            <v>404730.63750000001</v>
          </cell>
          <cell r="BC15">
            <v>416872.55662500003</v>
          </cell>
          <cell r="BD15">
            <v>442260.09532346256</v>
          </cell>
        </row>
        <row r="16">
          <cell r="A16" t="str">
            <v xml:space="preserve">Pulmozyme:  </v>
          </cell>
        </row>
        <row r="17">
          <cell r="A17" t="str">
            <v>WW SALES</v>
          </cell>
          <cell r="E17">
            <v>19500</v>
          </cell>
          <cell r="F17">
            <v>24100</v>
          </cell>
          <cell r="G17">
            <v>24700</v>
          </cell>
          <cell r="H17">
            <v>25500</v>
          </cell>
          <cell r="I17">
            <v>93800</v>
          </cell>
          <cell r="K17">
            <v>28200</v>
          </cell>
          <cell r="L17">
            <v>30600</v>
          </cell>
          <cell r="M17">
            <v>27000</v>
          </cell>
          <cell r="N17">
            <v>25600</v>
          </cell>
          <cell r="O17">
            <v>111400</v>
          </cell>
          <cell r="Q17">
            <v>26800</v>
          </cell>
          <cell r="R17">
            <v>32300</v>
          </cell>
          <cell r="S17">
            <v>30000</v>
          </cell>
          <cell r="T17">
            <v>32700</v>
          </cell>
          <cell r="V17">
            <v>121800</v>
          </cell>
          <cell r="W17">
            <v>122900</v>
          </cell>
          <cell r="X17">
            <v>29900</v>
          </cell>
          <cell r="Y17">
            <v>28100</v>
          </cell>
          <cell r="Z17">
            <v>32800</v>
          </cell>
          <cell r="AA17">
            <v>32100</v>
          </cell>
          <cell r="AB17">
            <v>122900</v>
          </cell>
          <cell r="AC17">
            <v>31700</v>
          </cell>
          <cell r="AD17">
            <v>35100</v>
          </cell>
          <cell r="AE17">
            <v>38200</v>
          </cell>
          <cell r="AF17">
            <v>33100</v>
          </cell>
          <cell r="AG17">
            <v>138100</v>
          </cell>
          <cell r="AH17">
            <v>39600</v>
          </cell>
          <cell r="AI17">
            <v>42600</v>
          </cell>
          <cell r="AJ17">
            <v>40400</v>
          </cell>
          <cell r="AK17">
            <v>44600</v>
          </cell>
          <cell r="AL17">
            <v>167200</v>
          </cell>
          <cell r="AM17">
            <v>43400</v>
          </cell>
          <cell r="AN17">
            <v>46004</v>
          </cell>
          <cell r="AO17">
            <v>48764.240000000005</v>
          </cell>
          <cell r="AP17">
            <v>50227.167200000004</v>
          </cell>
          <cell r="AQ17">
            <v>188395.40719999999</v>
          </cell>
          <cell r="AR17">
            <v>51746</v>
          </cell>
          <cell r="AS17">
            <v>54792</v>
          </cell>
          <cell r="AT17">
            <v>46593</v>
          </cell>
          <cell r="AU17">
            <v>49008</v>
          </cell>
          <cell r="AV17">
            <v>218599.29826491655</v>
          </cell>
          <cell r="AW17">
            <v>219540.48000000001</v>
          </cell>
          <cell r="AX17">
            <v>232712.90880000003</v>
          </cell>
          <cell r="AY17">
            <v>207789.70035200001</v>
          </cell>
          <cell r="AZ17">
            <v>216101.28836608003</v>
          </cell>
          <cell r="BA17">
            <v>219540.48000000001</v>
          </cell>
          <cell r="BB17">
            <v>232712.90880000003</v>
          </cell>
          <cell r="BC17">
            <v>242021.42515200004</v>
          </cell>
          <cell r="BD17">
            <v>261770.37344440326</v>
          </cell>
        </row>
        <row r="18">
          <cell r="A18" t="str">
            <v>Legacy Products:</v>
          </cell>
        </row>
        <row r="19">
          <cell r="A19" t="str">
            <v>US SALES</v>
          </cell>
          <cell r="E19" t="e">
            <v>#REF!</v>
          </cell>
          <cell r="F19" t="e">
            <v>#REF!</v>
          </cell>
          <cell r="G19" t="e">
            <v>#REF!</v>
          </cell>
          <cell r="H19" t="e">
            <v>#REF!</v>
          </cell>
          <cell r="I19" t="e">
            <v>#REF!</v>
          </cell>
          <cell r="K19" t="e">
            <v>#REF!</v>
          </cell>
          <cell r="L19" t="e">
            <v>#REF!</v>
          </cell>
          <cell r="M19" t="e">
            <v>#REF!</v>
          </cell>
          <cell r="N19" t="e">
            <v>#REF!</v>
          </cell>
          <cell r="O19" t="e">
            <v>#REF!</v>
          </cell>
          <cell r="Q19" t="e">
            <v>#REF!</v>
          </cell>
          <cell r="R19" t="e">
            <v>#REF!</v>
          </cell>
          <cell r="S19" t="e">
            <v>#REF!</v>
          </cell>
          <cell r="T19" t="e">
            <v>#REF!</v>
          </cell>
          <cell r="V19" t="e">
            <v>#REF!</v>
          </cell>
          <cell r="W19" t="e">
            <v>#REF!</v>
          </cell>
          <cell r="AB19" t="e">
            <v>#REF!</v>
          </cell>
          <cell r="AG19" t="e">
            <v>#REF!</v>
          </cell>
          <cell r="AL19">
            <v>674300</v>
          </cell>
          <cell r="AM19">
            <v>175200</v>
          </cell>
          <cell r="AN19">
            <v>180866</v>
          </cell>
          <cell r="AO19">
            <v>186906.66499999998</v>
          </cell>
          <cell r="AP19">
            <v>188327.33499999996</v>
          </cell>
          <cell r="AQ19">
            <v>685228.10000000009</v>
          </cell>
          <cell r="AR19">
            <v>184418</v>
          </cell>
          <cell r="AS19">
            <v>195657</v>
          </cell>
          <cell r="AT19">
            <v>193081</v>
          </cell>
          <cell r="AU19">
            <v>202288</v>
          </cell>
          <cell r="AV19">
            <v>775444</v>
          </cell>
          <cell r="AW19">
            <v>195000</v>
          </cell>
          <cell r="AX19">
            <v>207000</v>
          </cell>
          <cell r="AY19">
            <v>202060</v>
          </cell>
          <cell r="AZ19">
            <v>202301.73</v>
          </cell>
          <cell r="BA19">
            <v>806361.73</v>
          </cell>
          <cell r="BB19">
            <v>831674.01630000002</v>
          </cell>
          <cell r="BC19">
            <v>846798.73517700005</v>
          </cell>
          <cell r="BD19">
            <v>862693.58432582999</v>
          </cell>
        </row>
        <row r="20">
          <cell r="A20" t="str">
            <v>Xolair:</v>
          </cell>
        </row>
        <row r="21">
          <cell r="A21" t="str">
            <v>US SALES</v>
          </cell>
          <cell r="Q21" t="e">
            <v>#REF!</v>
          </cell>
          <cell r="R21" t="e">
            <v>#REF!</v>
          </cell>
          <cell r="S21" t="e">
            <v>#REF!</v>
          </cell>
          <cell r="T21" t="e">
            <v>#REF!</v>
          </cell>
          <cell r="V21" t="e">
            <v>#REF!</v>
          </cell>
          <cell r="X21">
            <v>0</v>
          </cell>
          <cell r="Y21">
            <v>0</v>
          </cell>
          <cell r="Z21">
            <v>0</v>
          </cell>
          <cell r="AA21">
            <v>0</v>
          </cell>
          <cell r="AB21">
            <v>0</v>
          </cell>
          <cell r="AC21">
            <v>0</v>
          </cell>
          <cell r="AD21">
            <v>0</v>
          </cell>
          <cell r="AE21">
            <v>0</v>
          </cell>
          <cell r="AF21">
            <v>0</v>
          </cell>
          <cell r="AG21">
            <v>0</v>
          </cell>
          <cell r="AH21">
            <v>0</v>
          </cell>
          <cell r="AI21">
            <v>0</v>
          </cell>
          <cell r="AJ21">
            <v>6800</v>
          </cell>
          <cell r="AK21">
            <v>18500</v>
          </cell>
          <cell r="AL21">
            <v>25300</v>
          </cell>
          <cell r="AM21">
            <v>30000</v>
          </cell>
          <cell r="AN21">
            <v>43700</v>
          </cell>
          <cell r="AO21">
            <v>53900</v>
          </cell>
          <cell r="AP21">
            <v>60900</v>
          </cell>
          <cell r="AQ21">
            <v>188500</v>
          </cell>
          <cell r="AR21">
            <v>65263</v>
          </cell>
          <cell r="AS21">
            <v>80370</v>
          </cell>
          <cell r="AT21">
            <v>81550</v>
          </cell>
          <cell r="AU21">
            <v>93250</v>
          </cell>
          <cell r="AV21">
            <v>331557.60258320573</v>
          </cell>
          <cell r="AW21">
            <v>95000</v>
          </cell>
          <cell r="AX21">
            <v>105000</v>
          </cell>
          <cell r="AY21">
            <v>106900</v>
          </cell>
          <cell r="AZ21">
            <v>112245</v>
          </cell>
          <cell r="BA21">
            <v>419145</v>
          </cell>
          <cell r="BB21">
            <v>541431.25</v>
          </cell>
          <cell r="BC21">
            <v>649717.5</v>
          </cell>
          <cell r="BD21">
            <v>747175.125</v>
          </cell>
        </row>
        <row r="22">
          <cell r="A22" t="str">
            <v>Raptiva:</v>
          </cell>
        </row>
        <row r="23">
          <cell r="A23" t="str">
            <v>US SALES</v>
          </cell>
          <cell r="E23" t="e">
            <v>#REF!</v>
          </cell>
          <cell r="F23" t="e">
            <v>#REF!</v>
          </cell>
          <cell r="G23" t="e">
            <v>#REF!</v>
          </cell>
          <cell r="H23" t="e">
            <v>#REF!</v>
          </cell>
          <cell r="I23" t="e">
            <v>#REF!</v>
          </cell>
          <cell r="K23" t="e">
            <v>#REF!</v>
          </cell>
          <cell r="L23" t="e">
            <v>#REF!</v>
          </cell>
          <cell r="M23" t="e">
            <v>#REF!</v>
          </cell>
          <cell r="N23" t="e">
            <v>#REF!</v>
          </cell>
          <cell r="O23" t="e">
            <v>#REF!</v>
          </cell>
          <cell r="Q23" t="e">
            <v>#REF!</v>
          </cell>
          <cell r="R23" t="e">
            <v>#REF!</v>
          </cell>
          <cell r="S23" t="e">
            <v>#REF!</v>
          </cell>
          <cell r="T23" t="e">
            <v>#REF!</v>
          </cell>
          <cell r="V23" t="e">
            <v>#REF!</v>
          </cell>
          <cell r="W23" t="e">
            <v>#REF!</v>
          </cell>
          <cell r="X23">
            <v>0</v>
          </cell>
          <cell r="Y23">
            <v>0</v>
          </cell>
          <cell r="Z23">
            <v>0</v>
          </cell>
          <cell r="AA23">
            <v>0</v>
          </cell>
          <cell r="AB23">
            <v>0</v>
          </cell>
          <cell r="AC23">
            <v>0</v>
          </cell>
          <cell r="AD23">
            <v>0</v>
          </cell>
          <cell r="AE23">
            <v>0</v>
          </cell>
          <cell r="AF23">
            <v>0</v>
          </cell>
          <cell r="AG23">
            <v>0</v>
          </cell>
          <cell r="AH23">
            <v>0</v>
          </cell>
          <cell r="AI23">
            <v>0</v>
          </cell>
          <cell r="AJ23">
            <v>0</v>
          </cell>
          <cell r="AK23">
            <v>1400</v>
          </cell>
          <cell r="AL23">
            <v>1400</v>
          </cell>
          <cell r="AM23">
            <v>6300</v>
          </cell>
          <cell r="AN23">
            <v>13400</v>
          </cell>
          <cell r="AO23">
            <v>17971</v>
          </cell>
          <cell r="AP23">
            <v>18629</v>
          </cell>
          <cell r="AQ23">
            <v>56300</v>
          </cell>
          <cell r="AR23">
            <v>16645</v>
          </cell>
          <cell r="AS23">
            <v>21271</v>
          </cell>
          <cell r="AT23">
            <v>20887</v>
          </cell>
          <cell r="AU23">
            <v>20453</v>
          </cell>
          <cell r="AV23">
            <v>102356.93548387097</v>
          </cell>
          <cell r="AW23">
            <v>21000</v>
          </cell>
          <cell r="AX23">
            <v>22000</v>
          </cell>
          <cell r="AY23">
            <v>22900</v>
          </cell>
          <cell r="AZ23">
            <v>24503</v>
          </cell>
          <cell r="BA23">
            <v>90403</v>
          </cell>
          <cell r="BB23">
            <v>103963.45</v>
          </cell>
          <cell r="BC23">
            <v>116439.06400000001</v>
          </cell>
          <cell r="BD23">
            <v>128082.97040000002</v>
          </cell>
        </row>
        <row r="24">
          <cell r="A24" t="str">
            <v>Avastin:</v>
          </cell>
        </row>
        <row r="25">
          <cell r="A25" t="str">
            <v>US SALES</v>
          </cell>
          <cell r="E25" t="e">
            <v>#REF!</v>
          </cell>
          <cell r="F25" t="e">
            <v>#REF!</v>
          </cell>
          <cell r="G25" t="e">
            <v>#REF!</v>
          </cell>
          <cell r="H25" t="e">
            <v>#REF!</v>
          </cell>
          <cell r="I25" t="e">
            <v>#REF!</v>
          </cell>
          <cell r="K25" t="e">
            <v>#REF!</v>
          </cell>
          <cell r="L25" t="e">
            <v>#REF!</v>
          </cell>
          <cell r="M25" t="e">
            <v>#REF!</v>
          </cell>
          <cell r="N25" t="e">
            <v>#REF!</v>
          </cell>
          <cell r="O25" t="e">
            <v>#REF!</v>
          </cell>
          <cell r="Q25" t="e">
            <v>#REF!</v>
          </cell>
          <cell r="R25" t="e">
            <v>#REF!</v>
          </cell>
          <cell r="S25" t="e">
            <v>#REF!</v>
          </cell>
          <cell r="T25" t="e">
            <v>#REF!</v>
          </cell>
          <cell r="AB25">
            <v>0</v>
          </cell>
          <cell r="AC25">
            <v>0</v>
          </cell>
          <cell r="AD25">
            <v>0</v>
          </cell>
          <cell r="AE25">
            <v>0</v>
          </cell>
          <cell r="AF25">
            <v>0</v>
          </cell>
          <cell r="AG25">
            <v>0</v>
          </cell>
          <cell r="AH25">
            <v>0</v>
          </cell>
          <cell r="AI25">
            <v>0</v>
          </cell>
          <cell r="AJ25">
            <v>0</v>
          </cell>
          <cell r="AK25">
            <v>0</v>
          </cell>
          <cell r="AL25">
            <v>0</v>
          </cell>
          <cell r="AM25">
            <v>38100</v>
          </cell>
          <cell r="AN25">
            <v>133000</v>
          </cell>
          <cell r="AO25">
            <v>183100</v>
          </cell>
          <cell r="AP25">
            <v>200400</v>
          </cell>
          <cell r="AQ25">
            <v>526870</v>
          </cell>
          <cell r="AR25">
            <v>202854.81658105127</v>
          </cell>
          <cell r="AS25">
            <v>245685</v>
          </cell>
          <cell r="AT25">
            <v>325156</v>
          </cell>
          <cell r="AU25">
            <v>359110</v>
          </cell>
          <cell r="AV25">
            <v>1093747.9254727112</v>
          </cell>
          <cell r="AW25">
            <v>398000</v>
          </cell>
          <cell r="AX25">
            <v>423000</v>
          </cell>
          <cell r="AY25">
            <v>435000</v>
          </cell>
          <cell r="AZ25">
            <v>451810.36928447988</v>
          </cell>
          <cell r="BA25">
            <v>1707810.3692844799</v>
          </cell>
          <cell r="BB25">
            <v>2224092.7309339386</v>
          </cell>
          <cell r="BC25">
            <v>3103546.2046736558</v>
          </cell>
          <cell r="BD25">
            <v>4108154.4155663964</v>
          </cell>
        </row>
        <row r="26">
          <cell r="A26" t="str">
            <v>Tarceva:</v>
          </cell>
        </row>
        <row r="27">
          <cell r="A27" t="str">
            <v>US SALES</v>
          </cell>
          <cell r="E27">
            <v>0</v>
          </cell>
          <cell r="F27">
            <v>0</v>
          </cell>
          <cell r="G27">
            <v>0</v>
          </cell>
          <cell r="H27">
            <v>0</v>
          </cell>
          <cell r="I27">
            <v>0</v>
          </cell>
          <cell r="K27">
            <v>0</v>
          </cell>
          <cell r="L27">
            <v>0</v>
          </cell>
          <cell r="M27">
            <v>0</v>
          </cell>
          <cell r="N27">
            <v>0</v>
          </cell>
          <cell r="O27">
            <v>0</v>
          </cell>
          <cell r="Q27">
            <v>0</v>
          </cell>
          <cell r="R27">
            <v>0</v>
          </cell>
          <cell r="S27">
            <v>0</v>
          </cell>
          <cell r="T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13326</v>
          </cell>
          <cell r="AR27">
            <v>47585</v>
          </cell>
          <cell r="AS27">
            <v>70186</v>
          </cell>
          <cell r="AT27">
            <v>73222</v>
          </cell>
          <cell r="AU27">
            <v>83891</v>
          </cell>
          <cell r="AV27">
            <v>274884</v>
          </cell>
          <cell r="AW27">
            <v>92984.67984268257</v>
          </cell>
          <cell r="AX27">
            <v>103039.39529699762</v>
          </cell>
          <cell r="AY27">
            <v>100067.72381346209</v>
          </cell>
          <cell r="AZ27">
            <v>113936.03124017436</v>
          </cell>
          <cell r="BA27">
            <v>410027.83019331662</v>
          </cell>
          <cell r="BB27">
            <v>490084.54867812898</v>
          </cell>
          <cell r="BC27">
            <v>572685.66552119469</v>
          </cell>
          <cell r="BD27">
            <v>659446.39034908591</v>
          </cell>
        </row>
        <row r="28">
          <cell r="A28" t="str">
            <v>Lucentis:</v>
          </cell>
        </row>
        <row r="29">
          <cell r="A29" t="str">
            <v>US SALES</v>
          </cell>
          <cell r="AQ29">
            <v>0</v>
          </cell>
          <cell r="AR29">
            <v>0</v>
          </cell>
          <cell r="AS29">
            <v>0</v>
          </cell>
          <cell r="AT29">
            <v>0</v>
          </cell>
          <cell r="AU29">
            <v>0</v>
          </cell>
          <cell r="AV29">
            <v>0</v>
          </cell>
          <cell r="AW29">
            <v>0</v>
          </cell>
          <cell r="AX29">
            <v>10000</v>
          </cell>
          <cell r="AY29">
            <v>153000</v>
          </cell>
          <cell r="AZ29">
            <v>197000</v>
          </cell>
          <cell r="BA29">
            <v>360000</v>
          </cell>
          <cell r="BB29">
            <v>906236.69297648268</v>
          </cell>
          <cell r="BC29">
            <v>1132626.1551214871</v>
          </cell>
          <cell r="BD29">
            <v>1416017.4756518004</v>
          </cell>
        </row>
        <row r="30">
          <cell r="A30" t="str">
            <v>Product Sales to Collaborators</v>
          </cell>
        </row>
        <row r="31">
          <cell r="A31" t="str">
            <v>WW SALES</v>
          </cell>
          <cell r="AQ31">
            <v>0</v>
          </cell>
          <cell r="AR31">
            <v>99056</v>
          </cell>
          <cell r="AS31">
            <v>58171</v>
          </cell>
          <cell r="AT31">
            <v>85708</v>
          </cell>
          <cell r="AU31">
            <v>83499</v>
          </cell>
          <cell r="AV31">
            <v>326434</v>
          </cell>
          <cell r="AW31">
            <v>407401.94954246428</v>
          </cell>
          <cell r="AX31">
            <v>538510.5324411866</v>
          </cell>
          <cell r="AY31">
            <v>533380.11029259383</v>
          </cell>
          <cell r="AZ31">
            <v>633372.5120689437</v>
          </cell>
          <cell r="BA31">
            <v>407401.94954246428</v>
          </cell>
          <cell r="BB31">
            <v>538510.5324411866</v>
          </cell>
          <cell r="BC31">
            <v>533380.11029259383</v>
          </cell>
          <cell r="BD31">
            <v>633372.5120689437</v>
          </cell>
        </row>
        <row r="32">
          <cell r="A32" t="str">
            <v>INCOME STATEMENT</v>
          </cell>
        </row>
        <row r="33">
          <cell r="C33" t="str">
            <v>FY1997</v>
          </cell>
          <cell r="E33" t="str">
            <v>1Q98A</v>
          </cell>
          <cell r="F33" t="str">
            <v>2Q98A</v>
          </cell>
          <cell r="G33" t="str">
            <v>3Q98A</v>
          </cell>
          <cell r="H33" t="str">
            <v>4Q98A</v>
          </cell>
          <cell r="I33" t="str">
            <v>FY1998A</v>
          </cell>
          <cell r="K33" t="str">
            <v>1Q99A</v>
          </cell>
          <cell r="L33" t="str">
            <v>2Q99A</v>
          </cell>
          <cell r="M33" t="str">
            <v>3Q99A</v>
          </cell>
          <cell r="N33" t="str">
            <v>4Q99E</v>
          </cell>
          <cell r="O33" t="str">
            <v>FY1999A</v>
          </cell>
          <cell r="Q33" t="str">
            <v>1Q00A</v>
          </cell>
          <cell r="R33" t="str">
            <v>2Q00A</v>
          </cell>
          <cell r="S33" t="str">
            <v>3Q00E</v>
          </cell>
          <cell r="T33" t="str">
            <v>4Q00E</v>
          </cell>
          <cell r="V33" t="str">
            <v>FY2000E</v>
          </cell>
          <cell r="X33" t="str">
            <v>1Q01E</v>
          </cell>
          <cell r="Y33" t="str">
            <v>2Q01E</v>
          </cell>
          <cell r="Z33" t="str">
            <v>3Q01E</v>
          </cell>
          <cell r="AA33" t="str">
            <v>4Q01E</v>
          </cell>
          <cell r="AB33" t="str">
            <v>FY2001A</v>
          </cell>
          <cell r="AC33" t="str">
            <v>1Q02A</v>
          </cell>
          <cell r="AD33" t="str">
            <v>2Q02A</v>
          </cell>
          <cell r="AE33" t="str">
            <v>3Q02A</v>
          </cell>
          <cell r="AF33" t="str">
            <v>4Q02A</v>
          </cell>
          <cell r="AG33" t="str">
            <v>FY2002A</v>
          </cell>
          <cell r="AH33" t="str">
            <v>1Q03A</v>
          </cell>
          <cell r="AI33" t="str">
            <v>2Q03A</v>
          </cell>
          <cell r="AJ33" t="str">
            <v>3Q03A</v>
          </cell>
          <cell r="AK33" t="str">
            <v>4Q03E</v>
          </cell>
          <cell r="AL33" t="str">
            <v>FY2003A</v>
          </cell>
          <cell r="AM33" t="str">
            <v>1Q04A</v>
          </cell>
          <cell r="AN33" t="str">
            <v>2Q04A</v>
          </cell>
          <cell r="AO33" t="str">
            <v>3Q04A</v>
          </cell>
          <cell r="AP33" t="str">
            <v>4Q04A</v>
          </cell>
          <cell r="AQ33" t="str">
            <v>FY2004A</v>
          </cell>
          <cell r="AR33" t="str">
            <v>1Q05A</v>
          </cell>
          <cell r="AS33" t="str">
            <v>2Q05A</v>
          </cell>
          <cell r="AT33" t="str">
            <v>3Q05A</v>
          </cell>
          <cell r="AU33" t="str">
            <v>4Q05A</v>
          </cell>
          <cell r="AV33" t="str">
            <v>FY2005A</v>
          </cell>
          <cell r="AW33" t="str">
            <v>1Q06A</v>
          </cell>
          <cell r="AX33" t="str">
            <v>2Q06A</v>
          </cell>
          <cell r="AY33" t="str">
            <v>3Q06A</v>
          </cell>
          <cell r="AZ33" t="str">
            <v>4Q06E</v>
          </cell>
          <cell r="BA33" t="str">
            <v>FY2006E</v>
          </cell>
          <cell r="BB33" t="str">
            <v>FY2007E</v>
          </cell>
          <cell r="BC33" t="str">
            <v>FY2008E</v>
          </cell>
          <cell r="BD33" t="str">
            <v>FY2009E</v>
          </cell>
        </row>
        <row r="35">
          <cell r="A35" t="str">
            <v>PRODUCT REVENUES</v>
          </cell>
          <cell r="C35">
            <v>9266</v>
          </cell>
          <cell r="E35" t="e">
            <v>#REF!</v>
          </cell>
          <cell r="F35" t="e">
            <v>#REF!</v>
          </cell>
          <cell r="G35" t="e">
            <v>#REF!</v>
          </cell>
          <cell r="H35" t="e">
            <v>#REF!</v>
          </cell>
          <cell r="I35" t="e">
            <v>#REF!</v>
          </cell>
          <cell r="K35">
            <v>234069</v>
          </cell>
          <cell r="L35">
            <v>269355</v>
          </cell>
          <cell r="M35">
            <v>266968</v>
          </cell>
          <cell r="N35">
            <v>268703</v>
          </cell>
          <cell r="O35">
            <v>1039095</v>
          </cell>
          <cell r="Q35">
            <v>283178</v>
          </cell>
          <cell r="R35">
            <v>309414</v>
          </cell>
          <cell r="S35">
            <v>334173</v>
          </cell>
          <cell r="T35">
            <v>351579</v>
          </cell>
          <cell r="V35" t="e">
            <v>#REF!</v>
          </cell>
          <cell r="X35">
            <v>391904</v>
          </cell>
          <cell r="Y35">
            <v>410258</v>
          </cell>
          <cell r="Z35">
            <v>448700</v>
          </cell>
          <cell r="AA35">
            <v>492036</v>
          </cell>
          <cell r="AB35">
            <v>1742898</v>
          </cell>
          <cell r="AC35">
            <v>476549</v>
          </cell>
          <cell r="AD35">
            <v>523527</v>
          </cell>
          <cell r="AE35">
            <v>551823</v>
          </cell>
          <cell r="AF35">
            <v>611765</v>
          </cell>
          <cell r="AG35">
            <v>2163665</v>
          </cell>
          <cell r="AH35">
            <v>598482</v>
          </cell>
          <cell r="AI35">
            <v>644324</v>
          </cell>
          <cell r="AJ35">
            <v>654948</v>
          </cell>
          <cell r="AK35">
            <v>723736</v>
          </cell>
          <cell r="AL35">
            <v>2621490</v>
          </cell>
          <cell r="AM35">
            <v>763700</v>
          </cell>
          <cell r="AN35">
            <v>913366</v>
          </cell>
          <cell r="AO35">
            <v>1009898.4423214865</v>
          </cell>
          <cell r="AP35">
            <v>1066302</v>
          </cell>
          <cell r="AQ35">
            <v>3748879</v>
          </cell>
          <cell r="AR35">
            <v>1086945.8165810513</v>
          </cell>
          <cell r="AS35">
            <v>1215944</v>
          </cell>
          <cell r="AT35">
            <v>1365271.7887064801</v>
          </cell>
          <cell r="AU35">
            <v>1493464.9511607448</v>
          </cell>
          <cell r="AV35">
            <v>5161626.5564482762</v>
          </cell>
          <cell r="AW35">
            <v>1568984.6798426826</v>
          </cell>
          <cell r="AX35">
            <v>1716518.881060621</v>
          </cell>
          <cell r="AY35">
            <v>1830600.6744347219</v>
          </cell>
          <cell r="AZ35">
            <v>1960029.9929609885</v>
          </cell>
          <cell r="BA35">
            <v>7076134.2282990133</v>
          </cell>
          <cell r="BB35">
            <v>8975175.5406864434</v>
          </cell>
          <cell r="BC35">
            <v>10667602.205851875</v>
          </cell>
          <cell r="BD35">
            <v>12667450.241378874</v>
          </cell>
        </row>
        <row r="36">
          <cell r="A36" t="str">
            <v>ROYALTIES</v>
          </cell>
          <cell r="E36">
            <v>64493</v>
          </cell>
          <cell r="F36">
            <v>57388</v>
          </cell>
          <cell r="G36">
            <v>60725</v>
          </cell>
          <cell r="H36">
            <v>46983</v>
          </cell>
          <cell r="I36">
            <v>229589</v>
          </cell>
          <cell r="K36">
            <v>46618</v>
          </cell>
          <cell r="L36">
            <v>45986</v>
          </cell>
          <cell r="M36" t="e">
            <v>#REF!</v>
          </cell>
          <cell r="N36" t="e">
            <v>#REF!</v>
          </cell>
          <cell r="O36" t="e">
            <v>#REF!</v>
          </cell>
          <cell r="Q36" t="e">
            <v>#REF!</v>
          </cell>
          <cell r="R36" t="e">
            <v>#REF!</v>
          </cell>
          <cell r="S36" t="e">
            <v>#REF!</v>
          </cell>
          <cell r="T36">
            <v>58436</v>
          </cell>
          <cell r="V36" t="e">
            <v>#REF!</v>
          </cell>
          <cell r="W36" t="e">
            <v>#REF!</v>
          </cell>
          <cell r="X36">
            <v>74631</v>
          </cell>
          <cell r="Y36">
            <v>52446</v>
          </cell>
          <cell r="Z36">
            <v>66051</v>
          </cell>
          <cell r="AA36">
            <v>71346</v>
          </cell>
          <cell r="AB36">
            <v>264474</v>
          </cell>
          <cell r="AC36">
            <v>81843</v>
          </cell>
          <cell r="AD36">
            <v>85535</v>
          </cell>
          <cell r="AE36">
            <v>85082</v>
          </cell>
          <cell r="AF36">
            <v>113090</v>
          </cell>
          <cell r="AG36">
            <v>365550</v>
          </cell>
          <cell r="AH36">
            <v>113275</v>
          </cell>
          <cell r="AI36">
            <v>122786</v>
          </cell>
          <cell r="AJ36">
            <v>116535</v>
          </cell>
          <cell r="AK36">
            <v>148307</v>
          </cell>
          <cell r="AL36">
            <v>500903</v>
          </cell>
          <cell r="AM36">
            <v>154097</v>
          </cell>
          <cell r="AN36">
            <v>151860</v>
          </cell>
          <cell r="AO36">
            <v>153942</v>
          </cell>
          <cell r="AP36">
            <v>181220</v>
          </cell>
          <cell r="AQ36">
            <v>641119</v>
          </cell>
          <cell r="AR36">
            <v>231915</v>
          </cell>
          <cell r="AS36">
            <v>200321</v>
          </cell>
          <cell r="AT36">
            <v>237777</v>
          </cell>
          <cell r="AU36">
            <v>265099</v>
          </cell>
          <cell r="AV36">
            <v>935112</v>
          </cell>
          <cell r="AW36">
            <v>286000</v>
          </cell>
          <cell r="AX36">
            <v>316000</v>
          </cell>
          <cell r="AY36">
            <v>364000</v>
          </cell>
          <cell r="AZ36">
            <v>389480</v>
          </cell>
          <cell r="BA36">
            <v>1355480</v>
          </cell>
          <cell r="BB36">
            <v>1558801.9999999998</v>
          </cell>
          <cell r="BC36">
            <v>1792622.2999999996</v>
          </cell>
          <cell r="BD36">
            <v>2061515.6449999993</v>
          </cell>
        </row>
        <row r="37">
          <cell r="A37" t="str">
            <v>PRODUCT SALES TO COLLABORATORS</v>
          </cell>
          <cell r="AR37">
            <v>99056</v>
          </cell>
          <cell r="AS37">
            <v>58171</v>
          </cell>
          <cell r="AT37">
            <v>85708</v>
          </cell>
          <cell r="AU37">
            <v>83499</v>
          </cell>
          <cell r="AV37">
            <v>326434</v>
          </cell>
          <cell r="AW37">
            <v>75000</v>
          </cell>
          <cell r="AX37">
            <v>94000</v>
          </cell>
          <cell r="AY37">
            <v>111000</v>
          </cell>
          <cell r="AZ37">
            <v>127401.94954246427</v>
          </cell>
          <cell r="BA37">
            <v>407401.94954246428</v>
          </cell>
          <cell r="BB37">
            <v>538510.5324411866</v>
          </cell>
          <cell r="BC37">
            <v>533380.11029259383</v>
          </cell>
          <cell r="BD37">
            <v>633372.5120689437</v>
          </cell>
        </row>
        <row r="38">
          <cell r="A38" t="str">
            <v>CONTRACT REVENUES</v>
          </cell>
          <cell r="C38">
            <v>35340</v>
          </cell>
          <cell r="E38">
            <v>14865</v>
          </cell>
          <cell r="F38">
            <v>14056</v>
          </cell>
          <cell r="G38">
            <v>66113</v>
          </cell>
          <cell r="H38">
            <v>19760</v>
          </cell>
          <cell r="I38">
            <v>114794</v>
          </cell>
          <cell r="K38">
            <v>19266</v>
          </cell>
          <cell r="L38">
            <v>57915</v>
          </cell>
          <cell r="M38" t="e">
            <v>#REF!</v>
          </cell>
          <cell r="N38">
            <v>18895</v>
          </cell>
          <cell r="O38">
            <v>83242</v>
          </cell>
          <cell r="Q38" t="e">
            <v>#REF!</v>
          </cell>
          <cell r="R38" t="e">
            <v>#REF!</v>
          </cell>
          <cell r="S38">
            <v>33479</v>
          </cell>
          <cell r="T38">
            <v>54364</v>
          </cell>
          <cell r="V38" t="e">
            <v>#REF!</v>
          </cell>
          <cell r="W38" t="e">
            <v>#REF!</v>
          </cell>
          <cell r="X38">
            <v>28479</v>
          </cell>
          <cell r="Y38">
            <v>20935</v>
          </cell>
          <cell r="Z38">
            <v>8941</v>
          </cell>
          <cell r="AA38">
            <v>6002</v>
          </cell>
          <cell r="AB38">
            <v>36660</v>
          </cell>
          <cell r="AC38">
            <v>26765</v>
          </cell>
          <cell r="AD38">
            <v>13286</v>
          </cell>
          <cell r="AE38">
            <v>17417</v>
          </cell>
          <cell r="AF38">
            <v>31184</v>
          </cell>
          <cell r="AG38">
            <v>54440</v>
          </cell>
          <cell r="AH38">
            <v>37915</v>
          </cell>
          <cell r="AI38">
            <v>32602</v>
          </cell>
          <cell r="AJ38">
            <v>45561</v>
          </cell>
          <cell r="AK38">
            <v>61856</v>
          </cell>
          <cell r="AL38">
            <v>177934</v>
          </cell>
          <cell r="AM38">
            <v>57338</v>
          </cell>
          <cell r="AN38">
            <v>62852</v>
          </cell>
          <cell r="AO38">
            <v>43191</v>
          </cell>
          <cell r="AP38">
            <v>67778</v>
          </cell>
          <cell r="AQ38">
            <v>231159</v>
          </cell>
          <cell r="AR38">
            <v>43661</v>
          </cell>
          <cell r="AS38">
            <v>52443</v>
          </cell>
          <cell r="AT38">
            <v>63066</v>
          </cell>
          <cell r="AU38">
            <v>51032</v>
          </cell>
          <cell r="AV38">
            <v>210202</v>
          </cell>
          <cell r="AW38">
            <v>56000</v>
          </cell>
          <cell r="AX38">
            <v>73000</v>
          </cell>
          <cell r="AY38">
            <v>79000</v>
          </cell>
          <cell r="AZ38">
            <v>10000</v>
          </cell>
          <cell r="BA38">
            <v>218000</v>
          </cell>
          <cell r="BB38">
            <v>239800.00000000003</v>
          </cell>
          <cell r="BC38">
            <v>263780.00000000006</v>
          </cell>
          <cell r="BD38">
            <v>237402.00000000006</v>
          </cell>
        </row>
        <row r="39">
          <cell r="A39" t="str">
            <v>NET REVENUE</v>
          </cell>
          <cell r="C39">
            <v>44606</v>
          </cell>
          <cell r="E39" t="e">
            <v>#REF!</v>
          </cell>
          <cell r="F39" t="e">
            <v>#REF!</v>
          </cell>
          <cell r="G39" t="e">
            <v>#REF!</v>
          </cell>
          <cell r="H39" t="e">
            <v>#REF!</v>
          </cell>
          <cell r="I39" t="e">
            <v>#REF!</v>
          </cell>
          <cell r="K39">
            <v>299953</v>
          </cell>
          <cell r="L39">
            <v>373256</v>
          </cell>
          <cell r="M39" t="e">
            <v>#REF!</v>
          </cell>
          <cell r="N39" t="e">
            <v>#REF!</v>
          </cell>
          <cell r="O39" t="e">
            <v>#REF!</v>
          </cell>
          <cell r="Q39" t="e">
            <v>#REF!</v>
          </cell>
          <cell r="R39" t="e">
            <v>#REF!</v>
          </cell>
          <cell r="S39" t="e">
            <v>#REF!</v>
          </cell>
          <cell r="T39">
            <v>464379</v>
          </cell>
          <cell r="V39" t="e">
            <v>#REF!</v>
          </cell>
          <cell r="X39">
            <v>495014</v>
          </cell>
          <cell r="Y39">
            <v>483639</v>
          </cell>
          <cell r="Z39">
            <v>523692</v>
          </cell>
          <cell r="AA39">
            <v>569384</v>
          </cell>
          <cell r="AB39">
            <v>2044032</v>
          </cell>
          <cell r="AC39">
            <v>585157</v>
          </cell>
          <cell r="AD39">
            <v>622348</v>
          </cell>
          <cell r="AE39">
            <v>654322</v>
          </cell>
          <cell r="AF39">
            <v>756039</v>
          </cell>
          <cell r="AG39">
            <v>2583655</v>
          </cell>
          <cell r="AH39">
            <v>749672</v>
          </cell>
          <cell r="AI39">
            <v>799712</v>
          </cell>
          <cell r="AJ39">
            <v>817044</v>
          </cell>
          <cell r="AK39">
            <v>933899</v>
          </cell>
          <cell r="AL39">
            <v>3300327</v>
          </cell>
          <cell r="AM39">
            <v>975135</v>
          </cell>
          <cell r="AN39">
            <v>1128078</v>
          </cell>
          <cell r="AO39">
            <v>1207031.4423214865</v>
          </cell>
          <cell r="AP39">
            <v>1315300</v>
          </cell>
          <cell r="AQ39">
            <v>4621157</v>
          </cell>
          <cell r="AR39">
            <v>1461577.8165810513</v>
          </cell>
          <cell r="AS39">
            <v>1526879</v>
          </cell>
          <cell r="AT39">
            <v>1751822.7887064801</v>
          </cell>
          <cell r="AU39">
            <v>1893094.9511607448</v>
          </cell>
          <cell r="AV39">
            <v>6633374.5564482762</v>
          </cell>
          <cell r="AW39">
            <v>1985984.6798426826</v>
          </cell>
          <cell r="AX39">
            <v>2199518.8810606208</v>
          </cell>
          <cell r="AY39">
            <v>2384600.6744347219</v>
          </cell>
          <cell r="AZ39">
            <v>2486911.9425034528</v>
          </cell>
          <cell r="BA39">
            <v>9057016.1778414771</v>
          </cell>
          <cell r="BB39">
            <v>11312288.073127629</v>
          </cell>
          <cell r="BC39">
            <v>13257384.616144467</v>
          </cell>
          <cell r="BD39">
            <v>15599740.398447817</v>
          </cell>
        </row>
        <row r="40">
          <cell r="A40" t="str">
            <v xml:space="preserve">COST OF GOODS </v>
          </cell>
          <cell r="C40">
            <v>18875</v>
          </cell>
          <cell r="E40">
            <v>33621</v>
          </cell>
          <cell r="F40">
            <v>37150</v>
          </cell>
          <cell r="G40">
            <v>35351</v>
          </cell>
          <cell r="H40">
            <v>32501</v>
          </cell>
          <cell r="I40">
            <v>138623</v>
          </cell>
          <cell r="K40">
            <v>45723</v>
          </cell>
          <cell r="L40">
            <v>52681</v>
          </cell>
          <cell r="M40" t="e">
            <v>#REF!</v>
          </cell>
          <cell r="N40">
            <v>47851</v>
          </cell>
          <cell r="O40" t="e">
            <v>#REF!</v>
          </cell>
          <cell r="Q40">
            <v>62857</v>
          </cell>
          <cell r="R40" t="e">
            <v>#REF!</v>
          </cell>
          <cell r="S40">
            <v>75584</v>
          </cell>
          <cell r="T40">
            <v>67344</v>
          </cell>
          <cell r="V40" t="e">
            <v>#REF!</v>
          </cell>
          <cell r="W40" t="e">
            <v>#REF!</v>
          </cell>
          <cell r="X40">
            <v>83796</v>
          </cell>
          <cell r="Y40">
            <v>76188</v>
          </cell>
          <cell r="Z40">
            <v>96030</v>
          </cell>
          <cell r="AA40">
            <v>98428</v>
          </cell>
          <cell r="AB40">
            <v>354442</v>
          </cell>
          <cell r="AC40">
            <v>102444</v>
          </cell>
          <cell r="AD40">
            <v>106867</v>
          </cell>
          <cell r="AE40">
            <v>112481</v>
          </cell>
          <cell r="AF40">
            <v>119838</v>
          </cell>
          <cell r="AG40">
            <v>437750</v>
          </cell>
          <cell r="AH40">
            <v>114842</v>
          </cell>
          <cell r="AI40">
            <v>123407</v>
          </cell>
          <cell r="AJ40">
            <v>115673</v>
          </cell>
          <cell r="AK40">
            <v>126202</v>
          </cell>
          <cell r="AL40">
            <v>480124</v>
          </cell>
          <cell r="AM40">
            <v>114480</v>
          </cell>
          <cell r="AN40">
            <v>186683</v>
          </cell>
          <cell r="AO40">
            <v>165990</v>
          </cell>
          <cell r="AP40">
            <v>205373</v>
          </cell>
          <cell r="AQ40">
            <v>672526</v>
          </cell>
          <cell r="AR40">
            <v>251041</v>
          </cell>
          <cell r="AS40">
            <v>269481</v>
          </cell>
          <cell r="AT40">
            <v>230127</v>
          </cell>
          <cell r="AU40">
            <v>244914</v>
          </cell>
          <cell r="AV40">
            <v>995563</v>
          </cell>
          <cell r="AW40">
            <v>262000</v>
          </cell>
          <cell r="AX40">
            <v>284000</v>
          </cell>
          <cell r="AY40">
            <v>297000</v>
          </cell>
          <cell r="AZ40">
            <v>294004.49894414825</v>
          </cell>
          <cell r="BA40">
            <v>1137004.4989441482</v>
          </cell>
          <cell r="BB40">
            <v>1391152.2088063988</v>
          </cell>
          <cell r="BC40">
            <v>1653478.3419070407</v>
          </cell>
          <cell r="BD40">
            <v>1963454.7874137254</v>
          </cell>
        </row>
        <row r="41">
          <cell r="A41" t="str">
            <v>COGS options expense</v>
          </cell>
          <cell r="AW41">
            <v>0</v>
          </cell>
          <cell r="AX41">
            <v>0</v>
          </cell>
          <cell r="AY41">
            <v>0</v>
          </cell>
          <cell r="AZ41">
            <v>0</v>
          </cell>
          <cell r="BA41">
            <v>0</v>
          </cell>
          <cell r="BB41">
            <v>0</v>
          </cell>
          <cell r="BC41">
            <v>0</v>
          </cell>
          <cell r="BD41">
            <v>0</v>
          </cell>
        </row>
        <row r="42">
          <cell r="A42" t="str">
            <v>GROSS PROFIT Non GAAP</v>
          </cell>
          <cell r="AV42">
            <v>5637811.5564482762</v>
          </cell>
          <cell r="AW42">
            <v>1723984.6798426826</v>
          </cell>
          <cell r="AX42">
            <v>1915518.8810606208</v>
          </cell>
          <cell r="AY42">
            <v>2087600.6744347219</v>
          </cell>
          <cell r="AZ42">
            <v>2192907.4435593043</v>
          </cell>
          <cell r="BA42">
            <v>7920011.6788973287</v>
          </cell>
          <cell r="BB42">
            <v>9921135.86432123</v>
          </cell>
          <cell r="BC42">
            <v>11603906.274237426</v>
          </cell>
          <cell r="BD42">
            <v>13636285.611034092</v>
          </cell>
        </row>
        <row r="43">
          <cell r="A43" t="str">
            <v>GROSS PROFIT GAAP</v>
          </cell>
          <cell r="C43">
            <v>25731</v>
          </cell>
          <cell r="E43" t="e">
            <v>#REF!</v>
          </cell>
          <cell r="F43" t="e">
            <v>#REF!</v>
          </cell>
          <cell r="G43" t="e">
            <v>#REF!</v>
          </cell>
          <cell r="H43" t="e">
            <v>#REF!</v>
          </cell>
          <cell r="I43" t="e">
            <v>#REF!</v>
          </cell>
          <cell r="K43">
            <v>254230</v>
          </cell>
          <cell r="L43">
            <v>320575</v>
          </cell>
          <cell r="M43" t="e">
            <v>#REF!</v>
          </cell>
          <cell r="N43" t="e">
            <v>#REF!</v>
          </cell>
          <cell r="O43" t="e">
            <v>#REF!</v>
          </cell>
          <cell r="Q43" t="e">
            <v>#REF!</v>
          </cell>
          <cell r="R43" t="e">
            <v>#REF!</v>
          </cell>
          <cell r="S43" t="e">
            <v>#REF!</v>
          </cell>
          <cell r="T43">
            <v>397035</v>
          </cell>
          <cell r="V43" t="e">
            <v>#REF!</v>
          </cell>
          <cell r="X43">
            <v>411218</v>
          </cell>
          <cell r="Y43">
            <v>407451</v>
          </cell>
          <cell r="Z43">
            <v>427662</v>
          </cell>
          <cell r="AA43">
            <v>470956</v>
          </cell>
          <cell r="AB43">
            <v>1689590</v>
          </cell>
          <cell r="AC43">
            <v>482713</v>
          </cell>
          <cell r="AD43">
            <v>515481</v>
          </cell>
          <cell r="AE43">
            <v>541841</v>
          </cell>
          <cell r="AF43">
            <v>636201</v>
          </cell>
          <cell r="AG43">
            <v>2145905</v>
          </cell>
          <cell r="AH43">
            <v>634830</v>
          </cell>
          <cell r="AI43">
            <v>676305</v>
          </cell>
          <cell r="AJ43">
            <v>701371</v>
          </cell>
          <cell r="AK43">
            <v>807697</v>
          </cell>
          <cell r="AL43">
            <v>2820203</v>
          </cell>
          <cell r="AM43">
            <v>860655</v>
          </cell>
          <cell r="AN43">
            <v>941395</v>
          </cell>
          <cell r="AO43">
            <v>1041041.4423214865</v>
          </cell>
          <cell r="AP43">
            <v>1109927</v>
          </cell>
          <cell r="AQ43">
            <v>3948631</v>
          </cell>
          <cell r="AR43">
            <v>1210536.8165810513</v>
          </cell>
          <cell r="AS43">
            <v>1257398</v>
          </cell>
          <cell r="AT43">
            <v>1521695.7887064801</v>
          </cell>
          <cell r="AU43">
            <v>1648180.9511607448</v>
          </cell>
          <cell r="AV43">
            <v>5637811.5564482762</v>
          </cell>
          <cell r="AW43">
            <v>1723984.6798426826</v>
          </cell>
          <cell r="AX43">
            <v>1915518.8810606208</v>
          </cell>
          <cell r="AY43">
            <v>2087600.6744347219</v>
          </cell>
          <cell r="AZ43">
            <v>2192907.4435593043</v>
          </cell>
          <cell r="BA43">
            <v>7920011.6788973287</v>
          </cell>
          <cell r="BB43">
            <v>9921135.86432123</v>
          </cell>
          <cell r="BC43">
            <v>11603906.274237426</v>
          </cell>
          <cell r="BD43">
            <v>13636285.611034092</v>
          </cell>
        </row>
        <row r="44">
          <cell r="A44" t="str">
            <v>LESS:</v>
          </cell>
        </row>
        <row r="45">
          <cell r="A45" t="str">
            <v xml:space="preserve">     R&amp;D</v>
          </cell>
          <cell r="C45">
            <v>32407</v>
          </cell>
          <cell r="E45">
            <v>98202</v>
          </cell>
          <cell r="F45">
            <v>92949</v>
          </cell>
          <cell r="G45">
            <v>99862</v>
          </cell>
          <cell r="H45">
            <v>105173</v>
          </cell>
          <cell r="I45">
            <v>396186</v>
          </cell>
          <cell r="K45">
            <v>90740</v>
          </cell>
          <cell r="L45">
            <v>94211</v>
          </cell>
          <cell r="M45">
            <v>84629</v>
          </cell>
          <cell r="N45">
            <v>96573</v>
          </cell>
          <cell r="O45">
            <v>367338</v>
          </cell>
          <cell r="Q45" t="e">
            <v>#REF!</v>
          </cell>
          <cell r="R45" t="e">
            <v>#REF!</v>
          </cell>
          <cell r="S45" t="e">
            <v>#REF!</v>
          </cell>
          <cell r="T45">
            <v>149274</v>
          </cell>
          <cell r="V45" t="e">
            <v>#REF!</v>
          </cell>
          <cell r="W45" t="e">
            <v>#REF!</v>
          </cell>
          <cell r="X45">
            <v>136340</v>
          </cell>
          <cell r="Y45">
            <v>123448</v>
          </cell>
          <cell r="Z45">
            <v>128195</v>
          </cell>
          <cell r="AA45">
            <v>138247</v>
          </cell>
          <cell r="AB45">
            <v>526230</v>
          </cell>
          <cell r="AC45">
            <v>146691</v>
          </cell>
          <cell r="AD45">
            <v>147922</v>
          </cell>
          <cell r="AE45">
            <v>143659</v>
          </cell>
          <cell r="AF45">
            <v>185210</v>
          </cell>
          <cell r="AG45">
            <v>625540</v>
          </cell>
          <cell r="AH45">
            <v>157433</v>
          </cell>
          <cell r="AI45">
            <v>180203</v>
          </cell>
          <cell r="AJ45">
            <v>168707</v>
          </cell>
          <cell r="AK45">
            <v>215627</v>
          </cell>
          <cell r="AL45">
            <v>721970</v>
          </cell>
          <cell r="AM45">
            <v>190345</v>
          </cell>
          <cell r="AN45">
            <v>212886</v>
          </cell>
          <cell r="AO45">
            <v>234086</v>
          </cell>
          <cell r="AP45">
            <v>310196</v>
          </cell>
          <cell r="AQ45">
            <v>947513</v>
          </cell>
          <cell r="AR45">
            <v>243240</v>
          </cell>
          <cell r="AS45">
            <v>278124</v>
          </cell>
          <cell r="AT45">
            <v>328850</v>
          </cell>
          <cell r="AU45">
            <v>411610</v>
          </cell>
          <cell r="AV45">
            <v>1261824</v>
          </cell>
          <cell r="AW45">
            <v>341000</v>
          </cell>
          <cell r="AX45">
            <v>356000</v>
          </cell>
          <cell r="AY45">
            <v>419000</v>
          </cell>
          <cell r="AZ45">
            <v>522251.50792572508</v>
          </cell>
          <cell r="BA45">
            <v>1638251.5079257251</v>
          </cell>
          <cell r="BB45">
            <v>2149334.7338942494</v>
          </cell>
          <cell r="BC45">
            <v>2452616.1539867264</v>
          </cell>
          <cell r="BD45">
            <v>2846952.6227167267</v>
          </cell>
        </row>
        <row r="46">
          <cell r="A46" t="str">
            <v>R&amp;D options expense</v>
          </cell>
          <cell r="AW46">
            <v>33000</v>
          </cell>
          <cell r="AX46">
            <v>34000</v>
          </cell>
          <cell r="AY46">
            <v>35000</v>
          </cell>
          <cell r="AZ46">
            <v>26250</v>
          </cell>
          <cell r="BA46">
            <v>128250</v>
          </cell>
          <cell r="BB46">
            <v>115425</v>
          </cell>
          <cell r="BC46">
            <v>103882.5</v>
          </cell>
          <cell r="BD46">
            <v>93494.25</v>
          </cell>
        </row>
        <row r="47">
          <cell r="A47" t="str">
            <v xml:space="preserve">     M,G&amp;A</v>
          </cell>
          <cell r="C47">
            <v>11320</v>
          </cell>
          <cell r="E47">
            <v>74950</v>
          </cell>
          <cell r="F47">
            <v>80643</v>
          </cell>
          <cell r="G47">
            <v>89544</v>
          </cell>
          <cell r="H47">
            <v>113793</v>
          </cell>
          <cell r="I47">
            <v>358930</v>
          </cell>
          <cell r="K47">
            <v>97201</v>
          </cell>
          <cell r="L47">
            <v>117372</v>
          </cell>
          <cell r="M47">
            <v>113613</v>
          </cell>
          <cell r="N47">
            <v>140928</v>
          </cell>
          <cell r="O47">
            <v>467929</v>
          </cell>
          <cell r="Q47" t="e">
            <v>#REF!</v>
          </cell>
          <cell r="R47" t="e">
            <v>#REF!</v>
          </cell>
          <cell r="S47" t="e">
            <v>#REF!</v>
          </cell>
          <cell r="T47">
            <v>146208</v>
          </cell>
          <cell r="V47" t="e">
            <v>#REF!</v>
          </cell>
          <cell r="W47" t="e">
            <v>#REF!</v>
          </cell>
          <cell r="X47">
            <v>127920</v>
          </cell>
          <cell r="Y47">
            <v>107800</v>
          </cell>
          <cell r="Z47">
            <v>109365</v>
          </cell>
          <cell r="AA47">
            <v>129325</v>
          </cell>
          <cell r="AB47">
            <v>446900</v>
          </cell>
          <cell r="AC47">
            <v>123628</v>
          </cell>
          <cell r="AD47">
            <v>126915</v>
          </cell>
          <cell r="AE47">
            <v>145414</v>
          </cell>
          <cell r="AF47">
            <v>177332</v>
          </cell>
          <cell r="AG47">
            <v>532540</v>
          </cell>
          <cell r="AH47">
            <v>137222</v>
          </cell>
          <cell r="AI47">
            <v>184258</v>
          </cell>
          <cell r="AJ47">
            <v>209860</v>
          </cell>
          <cell r="AK47">
            <v>263505</v>
          </cell>
          <cell r="AL47">
            <v>794845</v>
          </cell>
          <cell r="AM47">
            <v>247314</v>
          </cell>
          <cell r="AN47">
            <v>276654</v>
          </cell>
          <cell r="AO47">
            <v>264648</v>
          </cell>
          <cell r="AP47">
            <v>299495</v>
          </cell>
          <cell r="AQ47">
            <v>1088111</v>
          </cell>
          <cell r="AR47">
            <v>315214</v>
          </cell>
          <cell r="AS47">
            <v>356638</v>
          </cell>
          <cell r="AT47">
            <v>349323</v>
          </cell>
          <cell r="AU47">
            <v>429357</v>
          </cell>
          <cell r="AV47">
            <v>1450532</v>
          </cell>
          <cell r="AW47">
            <v>400000</v>
          </cell>
          <cell r="AX47">
            <v>430000</v>
          </cell>
          <cell r="AY47">
            <v>460000</v>
          </cell>
          <cell r="AZ47">
            <v>528468.78778198373</v>
          </cell>
          <cell r="BA47">
            <v>1818468.7877819836</v>
          </cell>
          <cell r="BB47">
            <v>2177615.4540770687</v>
          </cell>
          <cell r="BC47">
            <v>2452616.1539867264</v>
          </cell>
          <cell r="BD47">
            <v>2534957.8147477703</v>
          </cell>
        </row>
        <row r="48">
          <cell r="A48" t="str">
            <v>MG&amp;A options expense</v>
          </cell>
          <cell r="AW48">
            <v>41000</v>
          </cell>
          <cell r="AX48">
            <v>41000</v>
          </cell>
          <cell r="AY48">
            <v>41000</v>
          </cell>
          <cell r="AZ48">
            <v>30750</v>
          </cell>
          <cell r="BA48">
            <v>153750</v>
          </cell>
          <cell r="BB48">
            <v>138375</v>
          </cell>
          <cell r="BC48">
            <v>124537.5</v>
          </cell>
          <cell r="BD48">
            <v>112083.75</v>
          </cell>
        </row>
        <row r="49">
          <cell r="A49" t="str">
            <v xml:space="preserve">    COLLABORATIVE PROFIT</v>
          </cell>
          <cell r="V49">
            <v>133000</v>
          </cell>
          <cell r="X49">
            <v>46373</v>
          </cell>
          <cell r="Y49">
            <v>57908</v>
          </cell>
          <cell r="Z49">
            <v>65796</v>
          </cell>
          <cell r="AA49">
            <v>76581</v>
          </cell>
          <cell r="AB49">
            <v>246658</v>
          </cell>
          <cell r="AC49">
            <v>72077</v>
          </cell>
          <cell r="AD49">
            <v>84090</v>
          </cell>
          <cell r="AE49">
            <v>90048</v>
          </cell>
          <cell r="AF49">
            <v>104510</v>
          </cell>
          <cell r="AG49">
            <v>350725</v>
          </cell>
          <cell r="AH49">
            <v>96547</v>
          </cell>
          <cell r="AI49">
            <v>107307</v>
          </cell>
          <cell r="AJ49">
            <v>119676</v>
          </cell>
          <cell r="AK49">
            <v>133927</v>
          </cell>
          <cell r="AL49">
            <v>457457</v>
          </cell>
          <cell r="AM49">
            <v>126431</v>
          </cell>
          <cell r="AN49">
            <v>145221</v>
          </cell>
          <cell r="AO49">
            <v>151894</v>
          </cell>
          <cell r="AP49">
            <v>170070</v>
          </cell>
          <cell r="AQ49">
            <v>593616</v>
          </cell>
          <cell r="AR49">
            <v>176277</v>
          </cell>
          <cell r="AS49">
            <v>198798</v>
          </cell>
          <cell r="AT49">
            <v>219591</v>
          </cell>
          <cell r="AU49">
            <v>228417</v>
          </cell>
          <cell r="AV49">
            <v>823083</v>
          </cell>
          <cell r="AW49">
            <v>226000</v>
          </cell>
          <cell r="AX49">
            <v>259000</v>
          </cell>
          <cell r="AY49">
            <v>250000</v>
          </cell>
          <cell r="AZ49">
            <v>270771.98136561515</v>
          </cell>
          <cell r="BA49">
            <v>1005771.9813656152</v>
          </cell>
          <cell r="BB49">
            <v>1222133.728401168</v>
          </cell>
          <cell r="BC49">
            <v>1381089.5669994433</v>
          </cell>
          <cell r="BD49">
            <v>1701994.9314164622</v>
          </cell>
        </row>
        <row r="50">
          <cell r="A50" t="str">
            <v>OTHER</v>
          </cell>
          <cell r="E50">
            <v>0</v>
          </cell>
          <cell r="F50">
            <v>0</v>
          </cell>
          <cell r="G50">
            <v>0</v>
          </cell>
          <cell r="H50">
            <v>0</v>
          </cell>
          <cell r="I50">
            <v>0</v>
          </cell>
          <cell r="K50">
            <v>0</v>
          </cell>
          <cell r="L50">
            <v>0</v>
          </cell>
          <cell r="M50">
            <v>0</v>
          </cell>
          <cell r="N50">
            <v>0</v>
          </cell>
          <cell r="O50">
            <v>0</v>
          </cell>
          <cell r="Q50">
            <v>0</v>
          </cell>
          <cell r="R50">
            <v>0</v>
          </cell>
          <cell r="S50">
            <v>0</v>
          </cell>
          <cell r="T50">
            <v>0</v>
          </cell>
          <cell r="V50">
            <v>0</v>
          </cell>
          <cell r="W50" t="e">
            <v>#REF!</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39000</v>
          </cell>
          <cell r="AX50">
            <v>40400</v>
          </cell>
          <cell r="AY50">
            <v>39000</v>
          </cell>
          <cell r="AZ50">
            <v>40000</v>
          </cell>
          <cell r="BA50">
            <v>158400</v>
          </cell>
          <cell r="BB50">
            <v>160000</v>
          </cell>
          <cell r="BC50">
            <v>158000</v>
          </cell>
          <cell r="BD50">
            <v>160000</v>
          </cell>
        </row>
        <row r="51">
          <cell r="A51" t="str">
            <v xml:space="preserve">  TOTAL EXPENSES Non GAAP</v>
          </cell>
          <cell r="AV51">
            <v>3535439</v>
          </cell>
          <cell r="AW51">
            <v>967000</v>
          </cell>
          <cell r="AX51">
            <v>1045000</v>
          </cell>
          <cell r="AY51">
            <v>1129000</v>
          </cell>
          <cell r="AZ51">
            <v>1321492.277073324</v>
          </cell>
          <cell r="BA51">
            <v>4462492.2770733237</v>
          </cell>
          <cell r="BB51">
            <v>5549083.9163724864</v>
          </cell>
          <cell r="BC51">
            <v>6286321.8749728967</v>
          </cell>
          <cell r="BD51">
            <v>7083905.3688809592</v>
          </cell>
        </row>
        <row r="52">
          <cell r="A52" t="str">
            <v xml:space="preserve">  TOTAL EXPENSES GAAP</v>
          </cell>
          <cell r="C52">
            <v>43727</v>
          </cell>
          <cell r="E52">
            <v>173152</v>
          </cell>
          <cell r="F52">
            <v>173592</v>
          </cell>
          <cell r="G52">
            <v>189406</v>
          </cell>
          <cell r="H52">
            <v>218966</v>
          </cell>
          <cell r="I52">
            <v>755116</v>
          </cell>
          <cell r="K52">
            <v>187941</v>
          </cell>
          <cell r="L52">
            <v>211583</v>
          </cell>
          <cell r="M52">
            <v>198242</v>
          </cell>
          <cell r="N52">
            <v>237501</v>
          </cell>
          <cell r="O52">
            <v>835267</v>
          </cell>
          <cell r="Q52" t="e">
            <v>#REF!</v>
          </cell>
          <cell r="R52" t="e">
            <v>#REF!</v>
          </cell>
          <cell r="S52" t="e">
            <v>#REF!</v>
          </cell>
          <cell r="T52">
            <v>295482</v>
          </cell>
          <cell r="V52" t="e">
            <v>#REF!</v>
          </cell>
          <cell r="X52">
            <v>310633</v>
          </cell>
          <cell r="Y52">
            <v>289156</v>
          </cell>
          <cell r="Z52">
            <v>303356</v>
          </cell>
          <cell r="AA52">
            <v>344153</v>
          </cell>
          <cell r="AB52">
            <v>1219788</v>
          </cell>
          <cell r="AC52">
            <v>342396</v>
          </cell>
          <cell r="AD52">
            <v>358927</v>
          </cell>
          <cell r="AE52">
            <v>379121</v>
          </cell>
          <cell r="AF52">
            <v>467052</v>
          </cell>
          <cell r="AG52">
            <v>1508805</v>
          </cell>
          <cell r="AH52">
            <v>391202</v>
          </cell>
          <cell r="AI52">
            <v>471768</v>
          </cell>
          <cell r="AJ52">
            <v>498243</v>
          </cell>
          <cell r="AK52">
            <v>613059</v>
          </cell>
          <cell r="AL52">
            <v>1974272</v>
          </cell>
          <cell r="AM52">
            <v>564090</v>
          </cell>
          <cell r="AN52">
            <v>634761</v>
          </cell>
          <cell r="AO52">
            <v>650628</v>
          </cell>
          <cell r="AP52">
            <v>779761</v>
          </cell>
          <cell r="AQ52">
            <v>2629240</v>
          </cell>
          <cell r="AR52">
            <v>734731</v>
          </cell>
          <cell r="AS52">
            <v>833560</v>
          </cell>
          <cell r="AT52">
            <v>897764</v>
          </cell>
          <cell r="AU52">
            <v>1069384</v>
          </cell>
          <cell r="AV52">
            <v>3535439</v>
          </cell>
          <cell r="AW52">
            <v>1080000</v>
          </cell>
          <cell r="AX52">
            <v>1160400</v>
          </cell>
          <cell r="AY52">
            <v>1244000</v>
          </cell>
          <cell r="AZ52">
            <v>1418492.2770733237</v>
          </cell>
          <cell r="BA52">
            <v>4902892.2770733237</v>
          </cell>
          <cell r="BB52">
            <v>5962883.9163724864</v>
          </cell>
          <cell r="BC52">
            <v>6672741.8749728967</v>
          </cell>
          <cell r="BD52">
            <v>7449483.3688809592</v>
          </cell>
        </row>
        <row r="53">
          <cell r="A53" t="str">
            <v>OPERATING PROFIT (LOSS) - Non GAAP</v>
          </cell>
          <cell r="C53">
            <v>-17996</v>
          </cell>
          <cell r="E53" t="e">
            <v>#REF!</v>
          </cell>
          <cell r="F53" t="e">
            <v>#REF!</v>
          </cell>
          <cell r="G53" t="e">
            <v>#REF!</v>
          </cell>
          <cell r="H53" t="e">
            <v>#REF!</v>
          </cell>
          <cell r="I53" t="e">
            <v>#REF!</v>
          </cell>
          <cell r="K53">
            <v>66289</v>
          </cell>
          <cell r="L53">
            <v>108992</v>
          </cell>
          <cell r="M53" t="e">
            <v>#REF!</v>
          </cell>
          <cell r="N53" t="e">
            <v>#REF!</v>
          </cell>
          <cell r="O53" t="e">
            <v>#REF!</v>
          </cell>
          <cell r="Q53" t="e">
            <v>#REF!</v>
          </cell>
          <cell r="R53" t="e">
            <v>#REF!</v>
          </cell>
          <cell r="S53" t="e">
            <v>#REF!</v>
          </cell>
          <cell r="T53">
            <v>101553</v>
          </cell>
          <cell r="V53" t="e">
            <v>#REF!</v>
          </cell>
          <cell r="X53">
            <v>100585</v>
          </cell>
          <cell r="Y53">
            <v>118295</v>
          </cell>
          <cell r="Z53">
            <v>124306</v>
          </cell>
          <cell r="AA53">
            <v>126803</v>
          </cell>
          <cell r="AB53">
            <v>469802</v>
          </cell>
          <cell r="AC53">
            <v>140317</v>
          </cell>
          <cell r="AD53">
            <v>156554</v>
          </cell>
          <cell r="AE53">
            <v>162720</v>
          </cell>
          <cell r="AF53">
            <v>169149</v>
          </cell>
          <cell r="AG53">
            <v>637200</v>
          </cell>
          <cell r="AH53">
            <v>243628</v>
          </cell>
          <cell r="AI53">
            <v>204537</v>
          </cell>
          <cell r="AJ53">
            <v>203128</v>
          </cell>
          <cell r="AK53">
            <v>194638</v>
          </cell>
          <cell r="AL53">
            <v>845931</v>
          </cell>
          <cell r="AM53">
            <v>296565</v>
          </cell>
          <cell r="AN53">
            <v>306634</v>
          </cell>
          <cell r="AO53">
            <v>390413.44232148654</v>
          </cell>
          <cell r="AP53">
            <v>330166</v>
          </cell>
          <cell r="AQ53">
            <v>1319391</v>
          </cell>
          <cell r="AR53">
            <v>475805.81658105133</v>
          </cell>
          <cell r="AS53">
            <v>423838</v>
          </cell>
          <cell r="AT53">
            <v>623931.78870648006</v>
          </cell>
          <cell r="AU53">
            <v>578796.95116074476</v>
          </cell>
          <cell r="AV53">
            <v>2102372.5564482762</v>
          </cell>
          <cell r="AW53">
            <v>756984.67984268256</v>
          </cell>
          <cell r="AX53">
            <v>870518.88106062077</v>
          </cell>
          <cell r="AY53">
            <v>958600.67443472194</v>
          </cell>
          <cell r="AZ53">
            <v>871415.16648598039</v>
          </cell>
          <cell r="BA53">
            <v>3457519.4018240049</v>
          </cell>
          <cell r="BB53">
            <v>4372051.9479487436</v>
          </cell>
          <cell r="BC53">
            <v>5317584.3992645293</v>
          </cell>
          <cell r="BD53">
            <v>6552380.2421531323</v>
          </cell>
        </row>
        <row r="54">
          <cell r="A54" t="str">
            <v>OPERATING PROFIT (LOSS) GAAP</v>
          </cell>
          <cell r="AW54">
            <v>643984.67984268256</v>
          </cell>
          <cell r="AX54">
            <v>755118.88106062077</v>
          </cell>
          <cell r="AY54">
            <v>843600.67443472194</v>
          </cell>
          <cell r="AZ54">
            <v>774415.16648598062</v>
          </cell>
          <cell r="BA54">
            <v>3017119.4018240049</v>
          </cell>
          <cell r="BB54">
            <v>3958251.9479487436</v>
          </cell>
          <cell r="BC54">
            <v>4931164.3992645293</v>
          </cell>
          <cell r="BD54">
            <v>6186802.2421531323</v>
          </cell>
        </row>
        <row r="55">
          <cell r="A55" t="str">
            <v>INTEREST INCOME (NET)</v>
          </cell>
          <cell r="C55">
            <v>2458</v>
          </cell>
          <cell r="E55">
            <v>19664</v>
          </cell>
          <cell r="F55">
            <v>19110</v>
          </cell>
          <cell r="G55">
            <v>22844</v>
          </cell>
          <cell r="H55">
            <v>22594</v>
          </cell>
          <cell r="I55">
            <v>84212</v>
          </cell>
          <cell r="K55">
            <v>21036</v>
          </cell>
          <cell r="L55">
            <v>20630</v>
          </cell>
          <cell r="M55">
            <v>23403</v>
          </cell>
          <cell r="N55">
            <v>19005</v>
          </cell>
          <cell r="O55">
            <v>84074</v>
          </cell>
          <cell r="Q55" t="e">
            <v>#REF!</v>
          </cell>
          <cell r="R55">
            <v>21022</v>
          </cell>
          <cell r="S55">
            <v>24537</v>
          </cell>
          <cell r="T55">
            <v>19384</v>
          </cell>
          <cell r="V55" t="e">
            <v>#REF!</v>
          </cell>
          <cell r="W55" t="e">
            <v>#REF!</v>
          </cell>
          <cell r="X55">
            <v>33573</v>
          </cell>
          <cell r="Y55">
            <v>30890</v>
          </cell>
          <cell r="Z55">
            <v>30754</v>
          </cell>
          <cell r="AA55">
            <v>29590</v>
          </cell>
          <cell r="AB55">
            <v>135005</v>
          </cell>
          <cell r="AC55">
            <v>27542</v>
          </cell>
          <cell r="AD55">
            <v>29964</v>
          </cell>
          <cell r="AE55">
            <v>20846</v>
          </cell>
          <cell r="AF55">
            <v>22274</v>
          </cell>
          <cell r="AG55">
            <v>91300</v>
          </cell>
          <cell r="AH55">
            <v>15703</v>
          </cell>
          <cell r="AI55">
            <v>40870</v>
          </cell>
          <cell r="AJ55">
            <v>15884</v>
          </cell>
          <cell r="AK55">
            <v>20334</v>
          </cell>
          <cell r="AL55">
            <v>92791</v>
          </cell>
          <cell r="AM55">
            <v>22321</v>
          </cell>
          <cell r="AN55">
            <v>15444</v>
          </cell>
          <cell r="AO55">
            <v>23510</v>
          </cell>
          <cell r="AP55">
            <v>21323</v>
          </cell>
          <cell r="AQ55">
            <v>82597</v>
          </cell>
          <cell r="AR55">
            <v>16396</v>
          </cell>
          <cell r="AS55">
            <v>31502</v>
          </cell>
          <cell r="AT55">
            <v>22391</v>
          </cell>
          <cell r="AU55">
            <v>20708</v>
          </cell>
          <cell r="AV55">
            <v>90997</v>
          </cell>
          <cell r="AW55">
            <v>34000</v>
          </cell>
          <cell r="AX55">
            <v>103000</v>
          </cell>
          <cell r="AY55">
            <v>55000</v>
          </cell>
          <cell r="AZ55">
            <v>67600.316818414052</v>
          </cell>
          <cell r="BA55">
            <v>259600.31681841405</v>
          </cell>
          <cell r="BB55">
            <v>276191.74381386902</v>
          </cell>
          <cell r="BC55">
            <v>319984.47075813444</v>
          </cell>
          <cell r="BD55">
            <v>397383.76358648768</v>
          </cell>
        </row>
        <row r="56">
          <cell r="A56" t="str">
            <v>EARNINGS BEFORE TAXES - Non GAAP</v>
          </cell>
          <cell r="C56">
            <v>-15538</v>
          </cell>
          <cell r="E56" t="e">
            <v>#REF!</v>
          </cell>
          <cell r="F56" t="e">
            <v>#REF!</v>
          </cell>
          <cell r="G56" t="e">
            <v>#REF!</v>
          </cell>
          <cell r="H56" t="e">
            <v>#REF!</v>
          </cell>
          <cell r="I56" t="e">
            <v>#REF!</v>
          </cell>
          <cell r="K56">
            <v>87325</v>
          </cell>
          <cell r="L56">
            <v>129622</v>
          </cell>
          <cell r="M56" t="e">
            <v>#REF!</v>
          </cell>
          <cell r="N56" t="e">
            <v>#REF!</v>
          </cell>
          <cell r="O56" t="e">
            <v>#REF!</v>
          </cell>
          <cell r="Q56" t="e">
            <v>#REF!</v>
          </cell>
          <cell r="R56" t="e">
            <v>#REF!</v>
          </cell>
          <cell r="S56" t="e">
            <v>#REF!</v>
          </cell>
          <cell r="T56">
            <v>120937</v>
          </cell>
          <cell r="V56" t="e">
            <v>#REF!</v>
          </cell>
          <cell r="X56">
            <v>134158</v>
          </cell>
          <cell r="Y56">
            <v>149185</v>
          </cell>
          <cell r="Z56">
            <v>155060</v>
          </cell>
          <cell r="AA56">
            <v>156393</v>
          </cell>
          <cell r="AB56">
            <v>604807</v>
          </cell>
          <cell r="AC56">
            <v>167859</v>
          </cell>
          <cell r="AD56">
            <v>186518</v>
          </cell>
          <cell r="AE56">
            <v>183566</v>
          </cell>
          <cell r="AF56">
            <v>191423</v>
          </cell>
          <cell r="AG56">
            <v>728500</v>
          </cell>
          <cell r="AH56">
            <v>259331</v>
          </cell>
          <cell r="AI56">
            <v>245407</v>
          </cell>
          <cell r="AJ56">
            <v>219012</v>
          </cell>
          <cell r="AK56">
            <v>214972</v>
          </cell>
          <cell r="AL56">
            <v>938722</v>
          </cell>
          <cell r="AM56">
            <v>318886</v>
          </cell>
          <cell r="AN56">
            <v>322078</v>
          </cell>
          <cell r="AO56">
            <v>413923.44232148654</v>
          </cell>
          <cell r="AP56">
            <v>351489</v>
          </cell>
          <cell r="AQ56">
            <v>1401988</v>
          </cell>
          <cell r="AR56">
            <v>492201.81658105133</v>
          </cell>
          <cell r="AS56">
            <v>455340</v>
          </cell>
          <cell r="AT56">
            <v>646322.78870648006</v>
          </cell>
          <cell r="AU56">
            <v>599504.95116074476</v>
          </cell>
          <cell r="AV56">
            <v>2193369.5564482762</v>
          </cell>
          <cell r="AW56">
            <v>790984.67984268256</v>
          </cell>
          <cell r="AX56">
            <v>973518.88106062077</v>
          </cell>
          <cell r="AY56">
            <v>1013600.6744347219</v>
          </cell>
          <cell r="AZ56">
            <v>939015.48330439441</v>
          </cell>
          <cell r="BA56">
            <v>3717119.7186424192</v>
          </cell>
          <cell r="BB56">
            <v>4648243.6917626122</v>
          </cell>
          <cell r="BC56">
            <v>5637568.8700226638</v>
          </cell>
          <cell r="BD56">
            <v>6949764.00573962</v>
          </cell>
        </row>
        <row r="57">
          <cell r="A57" t="str">
            <v>INCOME TAXES</v>
          </cell>
          <cell r="C57">
            <v>0</v>
          </cell>
          <cell r="E57">
            <v>15951</v>
          </cell>
          <cell r="F57">
            <v>15701</v>
          </cell>
          <cell r="G57">
            <v>24647</v>
          </cell>
          <cell r="H57">
            <v>14443</v>
          </cell>
          <cell r="I57">
            <v>70742</v>
          </cell>
          <cell r="K57">
            <v>22910</v>
          </cell>
          <cell r="L57">
            <v>58329.9</v>
          </cell>
          <cell r="M57" t="e">
            <v>#REF!</v>
          </cell>
          <cell r="N57" t="e">
            <v>#REF!</v>
          </cell>
          <cell r="O57">
            <v>121542</v>
          </cell>
          <cell r="Q57">
            <v>33541</v>
          </cell>
          <cell r="R57">
            <v>35162</v>
          </cell>
          <cell r="S57">
            <v>38149</v>
          </cell>
          <cell r="T57">
            <v>37490</v>
          </cell>
          <cell r="V57">
            <v>144342</v>
          </cell>
          <cell r="W57" t="e">
            <v>#REF!</v>
          </cell>
          <cell r="X57">
            <v>42931</v>
          </cell>
          <cell r="Y57">
            <v>47739.200000000004</v>
          </cell>
          <cell r="Z57">
            <v>49619</v>
          </cell>
          <cell r="AA57">
            <v>50045</v>
          </cell>
          <cell r="AB57">
            <v>190334.2</v>
          </cell>
          <cell r="AC57">
            <v>49200</v>
          </cell>
          <cell r="AD57">
            <v>66009</v>
          </cell>
          <cell r="AE57">
            <v>63385</v>
          </cell>
          <cell r="AF57">
            <v>67203</v>
          </cell>
          <cell r="AG57">
            <v>245797</v>
          </cell>
          <cell r="AH57">
            <v>76762</v>
          </cell>
          <cell r="AI57">
            <v>81892</v>
          </cell>
          <cell r="AJ57">
            <v>75091</v>
          </cell>
          <cell r="AK57">
            <v>69944</v>
          </cell>
          <cell r="AL57">
            <v>303689</v>
          </cell>
          <cell r="AM57">
            <v>111335</v>
          </cell>
          <cell r="AN57">
            <v>120306</v>
          </cell>
          <cell r="AO57">
            <v>149890</v>
          </cell>
          <cell r="AP57">
            <v>126100</v>
          </cell>
          <cell r="AQ57">
            <v>507631</v>
          </cell>
          <cell r="AR57">
            <v>180585</v>
          </cell>
          <cell r="AS57">
            <v>126768</v>
          </cell>
          <cell r="AT57">
            <v>262491</v>
          </cell>
          <cell r="AU57">
            <v>236221</v>
          </cell>
          <cell r="AV57">
            <v>806065</v>
          </cell>
          <cell r="AW57">
            <v>300000</v>
          </cell>
          <cell r="AX57">
            <v>371000</v>
          </cell>
          <cell r="AY57">
            <v>376000</v>
          </cell>
          <cell r="AZ57">
            <v>352130.8062391479</v>
          </cell>
          <cell r="BA57">
            <v>1399130.8062391479</v>
          </cell>
          <cell r="BB57">
            <v>1743091.3844109797</v>
          </cell>
          <cell r="BC57">
            <v>2114088.3262584992</v>
          </cell>
          <cell r="BD57">
            <v>2606161.5021523573</v>
          </cell>
        </row>
        <row r="58">
          <cell r="A58" t="str">
            <v>INCOME TAXES GAAP</v>
          </cell>
          <cell r="AW58">
            <v>43000</v>
          </cell>
          <cell r="AX58">
            <v>44000</v>
          </cell>
          <cell r="AY58">
            <v>46000</v>
          </cell>
          <cell r="AZ58">
            <v>36375</v>
          </cell>
          <cell r="BA58">
            <v>169375</v>
          </cell>
          <cell r="BB58">
            <v>95175</v>
          </cell>
          <cell r="BC58">
            <v>85657.500000000015</v>
          </cell>
          <cell r="BD58">
            <v>77091.749999999985</v>
          </cell>
        </row>
        <row r="59">
          <cell r="A59" t="str">
            <v>NET INCOME (LOSS)</v>
          </cell>
          <cell r="C59">
            <v>-15538</v>
          </cell>
          <cell r="E59" t="e">
            <v>#REF!</v>
          </cell>
          <cell r="F59" t="e">
            <v>#REF!</v>
          </cell>
          <cell r="G59" t="e">
            <v>#REF!</v>
          </cell>
          <cell r="H59" t="e">
            <v>#REF!</v>
          </cell>
          <cell r="I59" t="e">
            <v>#REF!</v>
          </cell>
          <cell r="K59">
            <v>64415</v>
          </cell>
          <cell r="L59">
            <v>71292.100000000006</v>
          </cell>
          <cell r="M59" t="e">
            <v>#REF!</v>
          </cell>
          <cell r="N59" t="e">
            <v>#REF!</v>
          </cell>
          <cell r="O59" t="e">
            <v>#REF!</v>
          </cell>
          <cell r="Q59" t="e">
            <v>#REF!</v>
          </cell>
          <cell r="R59" t="e">
            <v>#REF!</v>
          </cell>
          <cell r="S59" t="e">
            <v>#REF!</v>
          </cell>
          <cell r="T59">
            <v>83447</v>
          </cell>
          <cell r="V59" t="e">
            <v>#REF!</v>
          </cell>
          <cell r="X59">
            <v>91227</v>
          </cell>
          <cell r="Y59">
            <v>101445.79999999999</v>
          </cell>
          <cell r="Z59">
            <v>105441</v>
          </cell>
          <cell r="AA59">
            <v>106348</v>
          </cell>
          <cell r="AB59">
            <v>414472.8</v>
          </cell>
          <cell r="AC59">
            <v>118659</v>
          </cell>
          <cell r="AD59">
            <v>120509</v>
          </cell>
          <cell r="AE59">
            <v>120181</v>
          </cell>
          <cell r="AF59">
            <v>124220</v>
          </cell>
          <cell r="AG59">
            <v>482703</v>
          </cell>
          <cell r="AH59">
            <v>182569</v>
          </cell>
          <cell r="AI59">
            <v>163515</v>
          </cell>
          <cell r="AJ59">
            <v>143921</v>
          </cell>
          <cell r="AK59">
            <v>145028</v>
          </cell>
          <cell r="AL59">
            <v>635033</v>
          </cell>
          <cell r="AM59">
            <v>207551</v>
          </cell>
          <cell r="AN59">
            <v>201772</v>
          </cell>
          <cell r="AO59">
            <v>264033.44232148654</v>
          </cell>
          <cell r="AP59">
            <v>225389</v>
          </cell>
          <cell r="AQ59">
            <v>894357</v>
          </cell>
          <cell r="AR59">
            <v>311616.81658105133</v>
          </cell>
          <cell r="AS59">
            <v>328572</v>
          </cell>
          <cell r="AT59">
            <v>383831.78870648006</v>
          </cell>
          <cell r="AU59">
            <v>363283.95116074476</v>
          </cell>
          <cell r="AV59">
            <v>1387304.5564482762</v>
          </cell>
          <cell r="AW59">
            <v>490984.67984268256</v>
          </cell>
          <cell r="AX59">
            <v>602518.88106062077</v>
          </cell>
          <cell r="AY59">
            <v>637600.67443472194</v>
          </cell>
          <cell r="AZ59">
            <v>586884.67706524651</v>
          </cell>
          <cell r="BA59">
            <v>2317988.9124032715</v>
          </cell>
          <cell r="BB59">
            <v>2905152.3073516325</v>
          </cell>
          <cell r="BC59">
            <v>3523480.5437641647</v>
          </cell>
          <cell r="BD59">
            <v>4343602.5035872627</v>
          </cell>
        </row>
        <row r="60">
          <cell r="A60" t="str">
            <v>WT'D AVG. SHARES OUTS.</v>
          </cell>
          <cell r="C60">
            <v>37478000</v>
          </cell>
          <cell r="E60">
            <v>257614000</v>
          </cell>
          <cell r="F60">
            <v>259550000</v>
          </cell>
          <cell r="G60">
            <v>259896000</v>
          </cell>
          <cell r="H60">
            <v>261916000</v>
          </cell>
          <cell r="I60">
            <v>259744000</v>
          </cell>
          <cell r="K60" t="e">
            <v>#REF!</v>
          </cell>
          <cell r="L60" t="e">
            <v>#REF!</v>
          </cell>
          <cell r="M60" t="e">
            <v>#REF!</v>
          </cell>
          <cell r="N60" t="str">
            <v>257645000*2</v>
          </cell>
          <cell r="O60">
            <v>1025720000</v>
          </cell>
          <cell r="Q60" t="e">
            <v>#REF!</v>
          </cell>
          <cell r="R60">
            <v>1042464000</v>
          </cell>
          <cell r="S60">
            <v>1045856000</v>
          </cell>
          <cell r="T60">
            <v>1050130000</v>
          </cell>
          <cell r="V60" t="e">
            <v>#REF!</v>
          </cell>
          <cell r="W60" t="e">
            <v>#REF!</v>
          </cell>
          <cell r="X60">
            <v>1051590000</v>
          </cell>
          <cell r="Y60">
            <v>1053996000</v>
          </cell>
          <cell r="Z60">
            <v>1054796000</v>
          </cell>
          <cell r="AA60">
            <v>1055910000</v>
          </cell>
          <cell r="AB60">
            <v>1054073000</v>
          </cell>
          <cell r="AC60">
            <v>1053670000</v>
          </cell>
          <cell r="AD60">
            <v>1040002000</v>
          </cell>
          <cell r="AE60">
            <v>1032050000</v>
          </cell>
          <cell r="AF60">
            <v>1028312000</v>
          </cell>
          <cell r="AG60">
            <v>1038384000</v>
          </cell>
          <cell r="AH60">
            <v>1023818000</v>
          </cell>
          <cell r="AI60">
            <v>1025818000</v>
          </cell>
          <cell r="AJ60">
            <v>1040762000</v>
          </cell>
          <cell r="AK60">
            <v>1047390000</v>
          </cell>
          <cell r="AL60">
            <v>1034480000</v>
          </cell>
          <cell r="AM60">
            <v>1055198000</v>
          </cell>
          <cell r="AN60">
            <v>1060619000</v>
          </cell>
          <cell r="AO60">
            <v>1055140000</v>
          </cell>
          <cell r="AP60">
            <v>1049700000</v>
          </cell>
          <cell r="AQ60">
            <v>1055165000</v>
          </cell>
          <cell r="AR60">
            <v>1046832000</v>
          </cell>
          <cell r="AS60">
            <v>1057564000</v>
          </cell>
          <cell r="AT60">
            <v>1060539000</v>
          </cell>
          <cell r="AU60">
            <v>1054724000</v>
          </cell>
          <cell r="AV60">
            <v>1051700000</v>
          </cell>
          <cell r="AW60">
            <v>1054924000</v>
          </cell>
          <cell r="AX60">
            <v>1053000000</v>
          </cell>
          <cell r="AY60">
            <v>1053200000</v>
          </cell>
          <cell r="AZ60">
            <v>1053400000</v>
          </cell>
          <cell r="BA60">
            <v>1053631000</v>
          </cell>
          <cell r="BB60">
            <v>1054400000</v>
          </cell>
          <cell r="BC60">
            <v>1055400000</v>
          </cell>
          <cell r="BD60">
            <v>1056400000</v>
          </cell>
        </row>
        <row r="61">
          <cell r="A61" t="str">
            <v>AVG. SHARES FULLY DILUTED</v>
          </cell>
          <cell r="C61">
            <v>37478000</v>
          </cell>
          <cell r="E61">
            <v>257614000</v>
          </cell>
          <cell r="F61">
            <v>259550000</v>
          </cell>
          <cell r="G61">
            <v>259896000</v>
          </cell>
          <cell r="H61">
            <v>261916000</v>
          </cell>
          <cell r="I61">
            <v>259744000</v>
          </cell>
          <cell r="K61" t="e">
            <v>#REF!</v>
          </cell>
          <cell r="L61" t="e">
            <v>#REF!</v>
          </cell>
          <cell r="M61" t="e">
            <v>#REF!</v>
          </cell>
          <cell r="N61">
            <v>529800000</v>
          </cell>
          <cell r="O61">
            <v>1058948000</v>
          </cell>
          <cell r="Q61">
            <v>1080644000</v>
          </cell>
          <cell r="R61">
            <v>1076748000</v>
          </cell>
          <cell r="S61">
            <v>1082964000</v>
          </cell>
          <cell r="T61">
            <v>1075230000</v>
          </cell>
          <cell r="V61">
            <v>1078896500</v>
          </cell>
          <cell r="W61" t="e">
            <v>#REF!</v>
          </cell>
          <cell r="X61">
            <v>1070418000</v>
          </cell>
          <cell r="Y61">
            <v>1070284000</v>
          </cell>
          <cell r="Z61">
            <v>1067340000</v>
          </cell>
          <cell r="AA61">
            <v>1073722000</v>
          </cell>
          <cell r="AB61">
            <v>1070441000</v>
          </cell>
          <cell r="AC61">
            <v>1069956000</v>
          </cell>
          <cell r="AD61">
            <v>1048958000</v>
          </cell>
          <cell r="AE61">
            <v>1038858000</v>
          </cell>
          <cell r="AF61">
            <v>1037952000</v>
          </cell>
          <cell r="AG61">
            <v>1048816000</v>
          </cell>
          <cell r="AH61">
            <v>1034532000</v>
          </cell>
          <cell r="AI61">
            <v>1045828000</v>
          </cell>
          <cell r="AJ61">
            <v>1065572000</v>
          </cell>
          <cell r="AK61">
            <v>1071528000</v>
          </cell>
          <cell r="AL61">
            <v>1057620000</v>
          </cell>
          <cell r="AM61">
            <v>1081628000</v>
          </cell>
          <cell r="AN61">
            <v>1087087000</v>
          </cell>
          <cell r="AO61">
            <v>1077093000</v>
          </cell>
          <cell r="AP61">
            <v>1070708000</v>
          </cell>
          <cell r="AQ61">
            <v>1079209000</v>
          </cell>
          <cell r="AR61">
            <v>1067071000</v>
          </cell>
          <cell r="AS61">
            <v>1083841000</v>
          </cell>
          <cell r="AT61">
            <v>1086964000</v>
          </cell>
          <cell r="AU61">
            <v>1080152000</v>
          </cell>
          <cell r="AV61">
            <v>1079507000</v>
          </cell>
          <cell r="AW61">
            <v>1075000000</v>
          </cell>
          <cell r="AX61">
            <v>1073000000</v>
          </cell>
          <cell r="AY61">
            <v>1073200000</v>
          </cell>
          <cell r="AZ61">
            <v>1073400000</v>
          </cell>
          <cell r="BA61">
            <v>1073650000</v>
          </cell>
          <cell r="BB61">
            <v>1074400000</v>
          </cell>
          <cell r="BC61">
            <v>1075400000</v>
          </cell>
          <cell r="BD61">
            <v>1076400000</v>
          </cell>
        </row>
        <row r="62">
          <cell r="A62" t="str">
            <v>EPS TO COMMON</v>
          </cell>
          <cell r="C62">
            <v>-0.41458989273707242</v>
          </cell>
          <cell r="E62" t="e">
            <v>#REF!</v>
          </cell>
          <cell r="F62" t="e">
            <v>#REF!</v>
          </cell>
          <cell r="G62" t="e">
            <v>#REF!</v>
          </cell>
          <cell r="H62" t="e">
            <v>#REF!</v>
          </cell>
          <cell r="I62" t="e">
            <v>#REF!</v>
          </cell>
          <cell r="K62" t="e">
            <v>#REF!</v>
          </cell>
          <cell r="L62" t="e">
            <v>#REF!</v>
          </cell>
          <cell r="M62" t="e">
            <v>#REF!</v>
          </cell>
          <cell r="N62" t="e">
            <v>#REF!</v>
          </cell>
          <cell r="O62" t="e">
            <v>#REF!</v>
          </cell>
          <cell r="Q62" t="e">
            <v>#REF!</v>
          </cell>
          <cell r="R62" t="e">
            <v>#REF!</v>
          </cell>
          <cell r="S62" t="e">
            <v>#REF!</v>
          </cell>
          <cell r="T62">
            <v>7.9463494995857656E-2</v>
          </cell>
          <cell r="V62" t="e">
            <v>#REF!</v>
          </cell>
          <cell r="X62">
            <v>8.6751490599948647E-2</v>
          </cell>
          <cell r="Y62">
            <v>9.6248752367181653E-2</v>
          </cell>
          <cell r="Z62">
            <v>9.9963405246132911E-2</v>
          </cell>
          <cell r="AA62">
            <v>0.10071691716150051</v>
          </cell>
          <cell r="AB62">
            <v>0.39321071690480641</v>
          </cell>
          <cell r="AC62">
            <v>0.11261495534655062</v>
          </cell>
          <cell r="AD62">
            <v>0.11587381562727764</v>
          </cell>
          <cell r="AE62">
            <v>0.11644881546436703</v>
          </cell>
          <cell r="AF62">
            <v>0.120799912866912</v>
          </cell>
          <cell r="AG62">
            <v>0.46485982064438591</v>
          </cell>
          <cell r="AH62">
            <v>0.17832173296425732</v>
          </cell>
          <cell r="AI62">
            <v>0.15939962059546625</v>
          </cell>
          <cell r="AJ62">
            <v>0.13828425711161629</v>
          </cell>
          <cell r="AK62">
            <v>0.13846609190463915</v>
          </cell>
          <cell r="AL62">
            <v>0.61386687031165421</v>
          </cell>
          <cell r="AM62">
            <v>0.19669389062526652</v>
          </cell>
          <cell r="AN62">
            <v>0.19023985050239531</v>
          </cell>
          <cell r="AO62">
            <v>0.25023545910636175</v>
          </cell>
          <cell r="AP62">
            <v>0.21471753834428883</v>
          </cell>
          <cell r="AQ62">
            <v>0.84759919064790812</v>
          </cell>
          <cell r="AR62">
            <v>0.29767605172659156</v>
          </cell>
          <cell r="AS62">
            <v>0.3106875801369941</v>
          </cell>
          <cell r="AT62">
            <v>0.36192142741236299</v>
          </cell>
          <cell r="AU62">
            <v>0.34443508553967178</v>
          </cell>
          <cell r="AV62">
            <v>1.3191067380890711</v>
          </cell>
          <cell r="AW62">
            <v>0.46542185014530196</v>
          </cell>
          <cell r="AX62">
            <v>0.57219266957323911</v>
          </cell>
          <cell r="AY62">
            <v>0.60539372809981196</v>
          </cell>
          <cell r="AZ62">
            <v>0.55713373558500712</v>
          </cell>
          <cell r="BA62">
            <v>2.2000006761411459</v>
          </cell>
          <cell r="BB62">
            <v>2.7552658453638399</v>
          </cell>
          <cell r="BC62">
            <v>3.3385261926891836</v>
          </cell>
          <cell r="BD62">
            <v>4.1117024835169094</v>
          </cell>
        </row>
        <row r="63">
          <cell r="A63" t="str">
            <v>NON-GAAP EPS (ex. options)</v>
          </cell>
          <cell r="C63">
            <v>-0.41458989273707242</v>
          </cell>
          <cell r="E63" t="e">
            <v>#REF!</v>
          </cell>
          <cell r="F63" t="e">
            <v>#REF!</v>
          </cell>
          <cell r="G63" t="e">
            <v>#REF!</v>
          </cell>
          <cell r="H63" t="e">
            <v>#REF!</v>
          </cell>
          <cell r="I63" t="e">
            <v>#REF!</v>
          </cell>
          <cell r="K63" t="e">
            <v>#REF!</v>
          </cell>
          <cell r="L63" t="e">
            <v>#REF!</v>
          </cell>
          <cell r="M63" t="e">
            <v>#REF!</v>
          </cell>
          <cell r="N63" t="e">
            <v>#REF!</v>
          </cell>
          <cell r="O63" t="e">
            <v>#REF!</v>
          </cell>
          <cell r="Q63" t="e">
            <v>#REF!</v>
          </cell>
          <cell r="R63" t="e">
            <v>#REF!</v>
          </cell>
          <cell r="S63" t="e">
            <v>#REF!</v>
          </cell>
          <cell r="T63">
            <v>7.7608511667271188E-2</v>
          </cell>
          <cell r="V63" t="e">
            <v>#REF!</v>
          </cell>
          <cell r="X63">
            <v>8.5225584771556534E-2</v>
          </cell>
          <cell r="Y63">
            <v>9.4784001255741462E-2</v>
          </cell>
          <cell r="Z63">
            <v>9.8788577210635789E-2</v>
          </cell>
          <cell r="AA63">
            <v>9.9046121808065782E-2</v>
          </cell>
          <cell r="AB63">
            <v>0.38719817346308671</v>
          </cell>
          <cell r="AC63">
            <v>0.11090082208988034</v>
          </cell>
          <cell r="AD63">
            <v>0.11488448536547698</v>
          </cell>
          <cell r="AE63">
            <v>0.11568568562787214</v>
          </cell>
          <cell r="AF63">
            <v>0.11967798125539524</v>
          </cell>
          <cell r="AG63">
            <v>0.46023611386553981</v>
          </cell>
          <cell r="AH63">
            <v>0.17647496645826324</v>
          </cell>
          <cell r="AI63">
            <v>0.15634980130575965</v>
          </cell>
          <cell r="AJ63">
            <v>0.13506454749186353</v>
          </cell>
          <cell r="AK63">
            <v>0.13534690647374589</v>
          </cell>
          <cell r="AL63">
            <v>0.60043588434409334</v>
          </cell>
          <cell r="AM63">
            <v>0.1918875990636337</v>
          </cell>
          <cell r="AN63">
            <v>0.18560795962052715</v>
          </cell>
          <cell r="AO63">
            <v>0.24513523188943437</v>
          </cell>
          <cell r="AP63">
            <v>0.2105046380525783</v>
          </cell>
          <cell r="AQ63">
            <v>0.82871529055076454</v>
          </cell>
          <cell r="AR63">
            <v>0.29203006789712338</v>
          </cell>
          <cell r="AS63">
            <v>0.30315516759377065</v>
          </cell>
          <cell r="AT63">
            <v>0.35312281612498669</v>
          </cell>
          <cell r="AU63">
            <v>0.33632669398449916</v>
          </cell>
          <cell r="AV63">
            <v>1.2846347456003797</v>
          </cell>
          <cell r="AW63">
            <v>0.45672993473737911</v>
          </cell>
          <cell r="AX63">
            <v>0.56152738216274067</v>
          </cell>
          <cell r="AY63">
            <v>0.59411169813149645</v>
          </cell>
          <cell r="AZ63">
            <v>0.54675300639579516</v>
          </cell>
          <cell r="BA63">
            <v>2.1589800329746858</v>
          </cell>
          <cell r="BB63">
            <v>2.7039764588157413</v>
          </cell>
          <cell r="BC63">
            <v>3.2764371803646686</v>
          </cell>
          <cell r="BD63">
            <v>4.0353051872791363</v>
          </cell>
        </row>
        <row r="64">
          <cell r="A64" t="str">
            <v>NON-GAAP EPS (incl. options)</v>
          </cell>
          <cell r="AV64">
            <v>1.1847917614244281</v>
          </cell>
          <cell r="AW64">
            <v>0.40169803516956681</v>
          </cell>
          <cell r="AX64">
            <v>0.50598573521489054</v>
          </cell>
          <cell r="AY64">
            <v>0.53783141486649455</v>
          </cell>
          <cell r="AZ64">
            <v>0.50762500192402316</v>
          </cell>
          <cell r="BA64">
            <v>1.9530652735359586</v>
          </cell>
          <cell r="BB64">
            <v>2.5020036243595074</v>
          </cell>
          <cell r="BC64">
            <v>3.0966006260347725</v>
          </cell>
          <cell r="BD64">
            <v>3.8756639889575748</v>
          </cell>
        </row>
        <row r="65">
          <cell r="A65" t="str">
            <v>OPTIONS EXPENSE</v>
          </cell>
          <cell r="AG65">
            <v>-166624</v>
          </cell>
          <cell r="AL65">
            <v>-172045</v>
          </cell>
          <cell r="AM65">
            <v>-45883</v>
          </cell>
          <cell r="AN65">
            <v>-45611</v>
          </cell>
          <cell r="AO65">
            <v>-46282</v>
          </cell>
          <cell r="AP65">
            <v>-52599</v>
          </cell>
          <cell r="AQ65">
            <v>-190375</v>
          </cell>
          <cell r="AR65">
            <v>-40389</v>
          </cell>
          <cell r="AS65">
            <v>-50000</v>
          </cell>
          <cell r="AT65">
            <v>-30000</v>
          </cell>
          <cell r="AU65">
            <v>-50000</v>
          </cell>
          <cell r="AV65">
            <v>-170389</v>
          </cell>
          <cell r="AW65">
            <v>-74000</v>
          </cell>
          <cell r="AX65">
            <v>-75000</v>
          </cell>
          <cell r="AY65">
            <v>-76000</v>
          </cell>
          <cell r="AZ65">
            <v>-57000</v>
          </cell>
          <cell r="BA65">
            <v>-282000</v>
          </cell>
          <cell r="BB65">
            <v>-253800</v>
          </cell>
          <cell r="BC65">
            <v>-228420</v>
          </cell>
          <cell r="BD65">
            <v>-205578</v>
          </cell>
        </row>
        <row r="66">
          <cell r="A66" t="str">
            <v>GAAP EPS (incl. options)</v>
          </cell>
          <cell r="V66">
            <v>-0.14000000000000001</v>
          </cell>
          <cell r="X66">
            <v>0.05</v>
          </cell>
          <cell r="Y66">
            <v>7.0000000000000007E-2</v>
          </cell>
          <cell r="Z66">
            <v>0.08</v>
          </cell>
          <cell r="AA66">
            <v>0.08</v>
          </cell>
          <cell r="AB66">
            <v>0.28000000000000003</v>
          </cell>
          <cell r="AC66">
            <v>0.18</v>
          </cell>
          <cell r="AD66">
            <v>-0.41</v>
          </cell>
          <cell r="AE66">
            <v>8.2669527500389861E-2</v>
          </cell>
          <cell r="AF66">
            <v>8.9789961385497608E-2</v>
          </cell>
          <cell r="AG66">
            <v>0.12</v>
          </cell>
          <cell r="AH66">
            <v>0.14641499731279459</v>
          </cell>
          <cell r="AI66">
            <v>0.12654566525279493</v>
          </cell>
          <cell r="AJ66">
            <v>0.14262856005976132</v>
          </cell>
          <cell r="AK66">
            <v>0.11827129109085344</v>
          </cell>
          <cell r="AL66">
            <v>1.06</v>
          </cell>
          <cell r="AM66">
            <v>0.16326038157296224</v>
          </cell>
          <cell r="AN66">
            <v>0.15709046286083819</v>
          </cell>
          <cell r="AO66">
            <v>0.21434825033678614</v>
          </cell>
          <cell r="AP66">
            <v>0.19294242688015781</v>
          </cell>
          <cell r="AQ66">
            <v>0.72721409847397489</v>
          </cell>
          <cell r="AR66">
            <v>0.26631217604076957</v>
          </cell>
          <cell r="AS66">
            <v>0.25332405768004718</v>
          </cell>
          <cell r="AT66">
            <v>0.30305860056678974</v>
          </cell>
          <cell r="AU66">
            <v>0.28544294799319425</v>
          </cell>
          <cell r="AV66">
            <v>1.1081377822808007</v>
          </cell>
          <cell r="AW66">
            <v>0.39161365566761169</v>
          </cell>
          <cell r="AX66">
            <v>0.49498497768930177</v>
          </cell>
          <cell r="AY66">
            <v>0.52981799705061683</v>
          </cell>
          <cell r="AZ66">
            <v>0.49027359517910052</v>
          </cell>
          <cell r="BA66">
            <v>1.9065467446591267</v>
          </cell>
          <cell r="BB66">
            <v>2.4074155876318248</v>
          </cell>
          <cell r="BC66">
            <v>2.9967621757152356</v>
          </cell>
          <cell r="BD66">
            <v>3.7672949215786535</v>
          </cell>
        </row>
        <row r="67">
          <cell r="A67" t="str">
            <v>GAAP NET INCOME</v>
          </cell>
          <cell r="V67">
            <v>-74241</v>
          </cell>
          <cell r="X67">
            <v>26750</v>
          </cell>
          <cell r="Y67">
            <v>38648</v>
          </cell>
          <cell r="Z67">
            <v>42742</v>
          </cell>
          <cell r="AA67">
            <v>42096</v>
          </cell>
          <cell r="AB67">
            <v>150236</v>
          </cell>
          <cell r="AC67">
            <v>95303</v>
          </cell>
          <cell r="AD67">
            <v>-213648</v>
          </cell>
          <cell r="AE67">
            <v>89304</v>
          </cell>
          <cell r="AF67">
            <v>92828</v>
          </cell>
          <cell r="AG67">
            <v>63787</v>
          </cell>
          <cell r="AH67">
            <v>151471</v>
          </cell>
          <cell r="AI67">
            <v>132345.00000000003</v>
          </cell>
          <cell r="AJ67">
            <v>151981</v>
          </cell>
          <cell r="AK67">
            <v>126731</v>
          </cell>
          <cell r="AL67">
            <v>562527</v>
          </cell>
          <cell r="AM67">
            <v>176587</v>
          </cell>
          <cell r="AN67">
            <v>170771</v>
          </cell>
          <cell r="AO67">
            <v>230873</v>
          </cell>
          <cell r="AP67">
            <v>206585</v>
          </cell>
          <cell r="AQ67">
            <v>784816</v>
          </cell>
          <cell r="AR67">
            <v>284174</v>
          </cell>
          <cell r="AS67">
            <v>274563</v>
          </cell>
          <cell r="AT67">
            <v>329413.78870648006</v>
          </cell>
          <cell r="AU67">
            <v>308321.77116074477</v>
          </cell>
          <cell r="AV67">
            <v>1278991</v>
          </cell>
          <cell r="AW67">
            <v>420984.67984268256</v>
          </cell>
          <cell r="AX67">
            <v>531118.88106062077</v>
          </cell>
          <cell r="AY67">
            <v>568600.67443472194</v>
          </cell>
          <cell r="AZ67">
            <v>526259.67706524651</v>
          </cell>
          <cell r="BA67">
            <v>2046963.9124032715</v>
          </cell>
          <cell r="BB67">
            <v>2586527.3073516325</v>
          </cell>
          <cell r="BC67">
            <v>3222718.0437641647</v>
          </cell>
          <cell r="BD67">
            <v>4055116.2535872627</v>
          </cell>
        </row>
        <row r="68">
          <cell r="A68" t="str">
            <v>EXTRAORDINARY ITEMS</v>
          </cell>
          <cell r="AM68">
            <v>-30964</v>
          </cell>
          <cell r="AN68">
            <v>-31001</v>
          </cell>
          <cell r="AO68">
            <v>-28772</v>
          </cell>
          <cell r="AP68">
            <v>-28772</v>
          </cell>
          <cell r="AQ68">
            <v>-119509</v>
          </cell>
          <cell r="AR68">
            <v>-27443</v>
          </cell>
          <cell r="AS68">
            <v>-54009</v>
          </cell>
          <cell r="AT68">
            <v>-54418</v>
          </cell>
          <cell r="AU68">
            <v>-54962.18</v>
          </cell>
          <cell r="AV68">
            <v>-108313.55644827615</v>
          </cell>
          <cell r="AW68">
            <v>0</v>
          </cell>
          <cell r="AX68">
            <v>0</v>
          </cell>
          <cell r="AY68">
            <v>0</v>
          </cell>
          <cell r="AZ68">
            <v>0</v>
          </cell>
          <cell r="BA68">
            <v>0</v>
          </cell>
          <cell r="BB68">
            <v>0</v>
          </cell>
          <cell r="BC68">
            <v>0</v>
          </cell>
          <cell r="BD68">
            <v>0</v>
          </cell>
        </row>
        <row r="69">
          <cell r="A69" t="str">
            <v>Difference b/w NI and GAAP NI</v>
          </cell>
          <cell r="X69">
            <v>-64477</v>
          </cell>
          <cell r="Y69">
            <v>-62797.799999999988</v>
          </cell>
          <cell r="Z69">
            <v>-62699</v>
          </cell>
          <cell r="AA69">
            <v>-64252</v>
          </cell>
          <cell r="AB69">
            <v>-264236.79999999999</v>
          </cell>
          <cell r="AC69">
            <v>-23356</v>
          </cell>
          <cell r="AD69">
            <v>-334157</v>
          </cell>
          <cell r="AE69">
            <v>-30877</v>
          </cell>
          <cell r="AF69">
            <v>-31392</v>
          </cell>
          <cell r="AG69">
            <v>-418916</v>
          </cell>
          <cell r="AH69">
            <v>-31098</v>
          </cell>
          <cell r="AI69">
            <v>-31169.999999999971</v>
          </cell>
          <cell r="AJ69">
            <v>8060</v>
          </cell>
          <cell r="AK69">
            <v>-18297</v>
          </cell>
          <cell r="AL69">
            <v>-72506</v>
          </cell>
          <cell r="AM69">
            <v>-30964</v>
          </cell>
          <cell r="AN69">
            <v>-31001</v>
          </cell>
          <cell r="AO69">
            <v>-33160.442321486538</v>
          </cell>
          <cell r="AP69">
            <v>-18804</v>
          </cell>
          <cell r="AQ69">
            <v>-109541</v>
          </cell>
          <cell r="AR69">
            <v>-27442.816581051331</v>
          </cell>
          <cell r="AS69">
            <v>-54009</v>
          </cell>
          <cell r="AT69">
            <v>-54418</v>
          </cell>
          <cell r="AU69">
            <v>-54962.179999999993</v>
          </cell>
          <cell r="AV69">
            <v>-108313.55644827615</v>
          </cell>
          <cell r="AW69">
            <v>-70000</v>
          </cell>
          <cell r="AX69">
            <v>-71400</v>
          </cell>
          <cell r="AY69">
            <v>-69000</v>
          </cell>
          <cell r="AZ69">
            <v>-60625</v>
          </cell>
          <cell r="BA69">
            <v>-271025</v>
          </cell>
          <cell r="BB69">
            <v>-318625</v>
          </cell>
          <cell r="BC69">
            <v>-300762.5</v>
          </cell>
          <cell r="BD69">
            <v>-288486.25</v>
          </cell>
        </row>
        <row r="70">
          <cell r="A70" t="str">
            <v>GROWTH/MARGINS</v>
          </cell>
        </row>
        <row r="71">
          <cell r="C71" t="str">
            <v>FY1997</v>
          </cell>
          <cell r="E71" t="str">
            <v>1Q98A</v>
          </cell>
          <cell r="F71" t="str">
            <v>2Q98A</v>
          </cell>
          <cell r="G71" t="str">
            <v>3Q98A</v>
          </cell>
          <cell r="H71" t="str">
            <v>4Q98E</v>
          </cell>
          <cell r="I71" t="str">
            <v>FY1998A</v>
          </cell>
          <cell r="K71" t="str">
            <v>1Q99A</v>
          </cell>
          <cell r="L71" t="str">
            <v>2Q99A</v>
          </cell>
          <cell r="M71" t="str">
            <v>3Q99A</v>
          </cell>
          <cell r="N71" t="str">
            <v>4Q99E</v>
          </cell>
          <cell r="O71" t="str">
            <v>FY1999E</v>
          </cell>
          <cell r="Q71" t="str">
            <v>1Q00A</v>
          </cell>
          <cell r="R71" t="str">
            <v>2Q00A</v>
          </cell>
          <cell r="S71" t="str">
            <v>3Q00E</v>
          </cell>
          <cell r="T71" t="str">
            <v>4Q00E</v>
          </cell>
          <cell r="V71" t="str">
            <v>FY2000E</v>
          </cell>
          <cell r="X71" t="str">
            <v>1Q01E</v>
          </cell>
          <cell r="Y71" t="str">
            <v>2Q01E</v>
          </cell>
          <cell r="Z71" t="str">
            <v>3Q01E</v>
          </cell>
          <cell r="AA71" t="str">
            <v>4Q01E</v>
          </cell>
          <cell r="AB71" t="str">
            <v>FY2001A</v>
          </cell>
          <cell r="AC71" t="str">
            <v>1Q02A</v>
          </cell>
          <cell r="AD71" t="str">
            <v>2Q02A</v>
          </cell>
          <cell r="AE71" t="str">
            <v>3Q02A</v>
          </cell>
          <cell r="AF71" t="str">
            <v>4Q02A</v>
          </cell>
          <cell r="AG71" t="str">
            <v>FY2002A</v>
          </cell>
          <cell r="AH71" t="str">
            <v>1Q03A</v>
          </cell>
          <cell r="AI71" t="str">
            <v>2Q03A</v>
          </cell>
          <cell r="AJ71" t="str">
            <v>3Q03A</v>
          </cell>
          <cell r="AK71" t="str">
            <v>4Q03E</v>
          </cell>
          <cell r="AL71" t="str">
            <v>FY2003A</v>
          </cell>
          <cell r="AM71" t="str">
            <v>1Q04A</v>
          </cell>
          <cell r="AN71" t="str">
            <v>2Q04A</v>
          </cell>
          <cell r="AO71" t="str">
            <v>3Q04A</v>
          </cell>
          <cell r="AP71" t="str">
            <v>4Q04A</v>
          </cell>
          <cell r="AQ71" t="str">
            <v>FY2004A</v>
          </cell>
          <cell r="AR71" t="str">
            <v>1Q05A</v>
          </cell>
          <cell r="AS71" t="str">
            <v>2Q05A</v>
          </cell>
          <cell r="AT71" t="str">
            <v>3Q05A</v>
          </cell>
          <cell r="AU71" t="str">
            <v>4Q05A</v>
          </cell>
          <cell r="AV71" t="str">
            <v>FY2005A</v>
          </cell>
          <cell r="AW71" t="str">
            <v>1Q06A</v>
          </cell>
          <cell r="AX71" t="str">
            <v>2Q06A</v>
          </cell>
          <cell r="AY71" t="str">
            <v>3Q06A</v>
          </cell>
          <cell r="AZ71" t="str">
            <v>4Q06E</v>
          </cell>
          <cell r="BA71" t="str">
            <v>FY2006E</v>
          </cell>
          <cell r="BB71" t="str">
            <v>FY2007E</v>
          </cell>
          <cell r="BC71" t="str">
            <v>FY2008E</v>
          </cell>
          <cell r="BD71" t="str">
            <v>FY2009E</v>
          </cell>
        </row>
        <row r="72">
          <cell r="A72" t="str">
            <v>Q/Q GROWTH:</v>
          </cell>
        </row>
        <row r="73">
          <cell r="A73" t="str">
            <v xml:space="preserve">Rituxan:  </v>
          </cell>
          <cell r="F73">
            <v>-7.6923076923076872E-2</v>
          </cell>
          <cell r="G73">
            <v>0.13218390804597702</v>
          </cell>
          <cell r="H73">
            <v>0.28680203045685282</v>
          </cell>
          <cell r="K73">
            <v>0.12623274161735698</v>
          </cell>
          <cell r="L73">
            <v>0.30297723292469358</v>
          </cell>
          <cell r="M73">
            <v>-2.4193548387096753E-2</v>
          </cell>
          <cell r="N73">
            <v>3.7190082644628086E-2</v>
          </cell>
          <cell r="O73" t="str">
            <v>-</v>
          </cell>
          <cell r="Q73">
            <v>0.1301460823373175</v>
          </cell>
          <cell r="R73">
            <v>0.20799059929494712</v>
          </cell>
          <cell r="S73">
            <v>0.14688715953307385</v>
          </cell>
          <cell r="T73">
            <v>0.17302798982188294</v>
          </cell>
          <cell r="V73" t="str">
            <v>-</v>
          </cell>
          <cell r="X73">
            <v>0.24439624005784522</v>
          </cell>
          <cell r="Y73">
            <v>9.0644973852411326E-2</v>
          </cell>
          <cell r="Z73">
            <v>0.13372402770378256</v>
          </cell>
          <cell r="AA73">
            <v>0.15819431390977434</v>
          </cell>
          <cell r="AB73" t="str">
            <v>-</v>
          </cell>
          <cell r="AC73">
            <v>4.2044722601193296E-3</v>
          </cell>
          <cell r="AD73">
            <v>0.11070707070707075</v>
          </cell>
          <cell r="AE73">
            <v>6.9116042197162608E-2</v>
          </cell>
          <cell r="AF73">
            <v>0.17931269139162986</v>
          </cell>
          <cell r="AG73" t="str">
            <v>-</v>
          </cell>
          <cell r="AH73">
            <v>-1.6156953260242357E-2</v>
          </cell>
          <cell r="AI73">
            <v>6.5689149560117288E-2</v>
          </cell>
          <cell r="AJ73">
            <v>2.2839845899834899E-2</v>
          </cell>
          <cell r="AK73">
            <v>0.11111111111111116</v>
          </cell>
          <cell r="AL73" t="str">
            <v>-</v>
          </cell>
          <cell r="AM73">
            <v>-3.0024213075060535E-2</v>
          </cell>
          <cell r="AN73">
            <v>6.0159760359460801E-2</v>
          </cell>
          <cell r="AO73">
            <v>4.0783558562482725E-2</v>
          </cell>
          <cell r="AP73">
            <v>4.2044298647876399E-3</v>
          </cell>
          <cell r="AQ73" t="str">
            <v>-</v>
          </cell>
          <cell r="AR73">
            <v>-7.5002895121423219E-3</v>
          </cell>
          <cell r="AS73">
            <v>2.2240381341504856E-2</v>
          </cell>
          <cell r="AT73">
            <v>1.3054349081154992E-2</v>
          </cell>
          <cell r="AU73">
            <v>6.1760921646461187E-2</v>
          </cell>
          <cell r="AV73" t="str">
            <v>-</v>
          </cell>
          <cell r="AW73">
            <v>-1.5284762305843858E-2</v>
          </cell>
          <cell r="AX73">
            <v>0.10369601677148843</v>
          </cell>
          <cell r="AY73">
            <v>-3.3785850097727721E-2</v>
          </cell>
          <cell r="AZ73">
            <v>6.2884822558956888E-2</v>
          </cell>
          <cell r="BA73" t="str">
            <v>-</v>
          </cell>
          <cell r="BB73" t="str">
            <v>-</v>
          </cell>
          <cell r="BC73" t="str">
            <v>-</v>
          </cell>
          <cell r="BD73" t="str">
            <v>-</v>
          </cell>
        </row>
        <row r="74">
          <cell r="A74" t="str">
            <v xml:space="preserve">Herceptin:  </v>
          </cell>
          <cell r="F74" t="e">
            <v>#DIV/0!</v>
          </cell>
          <cell r="G74" t="e">
            <v>#DIV/0!</v>
          </cell>
          <cell r="H74" t="e">
            <v>#DIV/0!</v>
          </cell>
          <cell r="K74">
            <v>0.30828251032854603</v>
          </cell>
          <cell r="L74">
            <v>0.15789473684210531</v>
          </cell>
          <cell r="M74">
            <v>3.6796536796536827E-2</v>
          </cell>
          <cell r="N74">
            <v>0.13569937369519836</v>
          </cell>
          <cell r="O74" t="str">
            <v>-</v>
          </cell>
          <cell r="Q74">
            <v>0.26286764705882359</v>
          </cell>
          <cell r="R74">
            <v>-2.911208151382827E-2</v>
          </cell>
          <cell r="S74">
            <v>8.8455772113942954E-2</v>
          </cell>
          <cell r="T74">
            <v>-6.4738292011019327E-2</v>
          </cell>
          <cell r="V74" t="str">
            <v>-</v>
          </cell>
          <cell r="X74">
            <v>0.19882179675994105</v>
          </cell>
          <cell r="Y74">
            <v>-3.1941031941031928E-2</v>
          </cell>
          <cell r="Z74">
            <v>6.4720812182741172E-2</v>
          </cell>
          <cell r="AA74">
            <v>0.22288438617401662</v>
          </cell>
          <cell r="AB74" t="str">
            <v>-</v>
          </cell>
          <cell r="AC74">
            <v>-0.15399610136452246</v>
          </cell>
          <cell r="AD74">
            <v>9.562211981566815E-2</v>
          </cell>
          <cell r="AE74">
            <v>1.6824395373291168E-2</v>
          </cell>
          <cell r="AF74">
            <v>0.10237849017580136</v>
          </cell>
          <cell r="AG74" t="str">
            <v>-</v>
          </cell>
          <cell r="AH74">
            <v>-0.12101313320825513</v>
          </cell>
          <cell r="AI74">
            <v>0.16435432230522951</v>
          </cell>
          <cell r="AJ74">
            <v>-1.2832263978001857E-2</v>
          </cell>
          <cell r="AK74">
            <v>6.1281337047353723E-2</v>
          </cell>
          <cell r="AL74" t="str">
            <v>-</v>
          </cell>
          <cell r="AM74">
            <v>-6.9991251093612927E-3</v>
          </cell>
          <cell r="AN74">
            <v>3.7004405286343633E-2</v>
          </cell>
          <cell r="AO74">
            <v>7.0518266779949101E-2</v>
          </cell>
          <cell r="AP74">
            <v>0</v>
          </cell>
          <cell r="AQ74" t="str">
            <v>-</v>
          </cell>
          <cell r="AR74">
            <v>2.880952380952384E-2</v>
          </cell>
          <cell r="AS74">
            <v>0.17586206896551726</v>
          </cell>
          <cell r="AT74">
            <v>0.41148739203999285</v>
          </cell>
          <cell r="AU74">
            <v>0.16230703720998019</v>
          </cell>
          <cell r="AV74" t="str">
            <v>-</v>
          </cell>
          <cell r="AW74">
            <v>0.15968015482892728</v>
          </cell>
          <cell r="AX74">
            <v>0.10350512332283968</v>
          </cell>
          <cell r="AY74">
            <v>-5.6308146436161E-2</v>
          </cell>
          <cell r="AZ74">
            <v>5.1566453843452598E-2</v>
          </cell>
          <cell r="BA74" t="str">
            <v>-</v>
          </cell>
          <cell r="BB74" t="str">
            <v>-</v>
          </cell>
          <cell r="BC74" t="str">
            <v>-</v>
          </cell>
          <cell r="BD74" t="str">
            <v>-</v>
          </cell>
        </row>
        <row r="75">
          <cell r="A75" t="str">
            <v xml:space="preserve">Avastin:  </v>
          </cell>
          <cell r="F75" t="e">
            <v>#DIV/0!</v>
          </cell>
          <cell r="G75" t="e">
            <v>#DIV/0!</v>
          </cell>
          <cell r="H75" t="e">
            <v>#DIV/0!</v>
          </cell>
          <cell r="K75" t="e">
            <v>#DIV/0!</v>
          </cell>
          <cell r="L75" t="e">
            <v>#DIV/0!</v>
          </cell>
          <cell r="M75" t="e">
            <v>#DIV/0!</v>
          </cell>
          <cell r="N75" t="e">
            <v>#DIV/0!</v>
          </cell>
          <cell r="O75" t="str">
            <v>-</v>
          </cell>
          <cell r="Q75" t="e">
            <v>#DIV/0!</v>
          </cell>
          <cell r="R75" t="e">
            <v>#DIV/0!</v>
          </cell>
          <cell r="S75" t="e">
            <v>#DIV/0!</v>
          </cell>
          <cell r="T75" t="e">
            <v>#DIV/0!</v>
          </cell>
          <cell r="V75" t="str">
            <v>-</v>
          </cell>
          <cell r="X75" t="e">
            <v>#DIV/0!</v>
          </cell>
          <cell r="Y75" t="e">
            <v>#DIV/0!</v>
          </cell>
          <cell r="Z75" t="e">
            <v>#DIV/0!</v>
          </cell>
          <cell r="AA75" t="e">
            <v>#DIV/0!</v>
          </cell>
          <cell r="AB75" t="str">
            <v>-</v>
          </cell>
          <cell r="AC75" t="e">
            <v>#DIV/0!</v>
          </cell>
          <cell r="AD75" t="e">
            <v>#DIV/0!</v>
          </cell>
          <cell r="AE75" t="e">
            <v>#DIV/0!</v>
          </cell>
          <cell r="AF75" t="e">
            <v>#DIV/0!</v>
          </cell>
          <cell r="AG75" t="str">
            <v>-</v>
          </cell>
          <cell r="AH75" t="e">
            <v>#DIV/0!</v>
          </cell>
          <cell r="AI75" t="e">
            <v>#DIV/0!</v>
          </cell>
          <cell r="AJ75" t="e">
            <v>#DIV/0!</v>
          </cell>
          <cell r="AK75" t="e">
            <v>#DIV/0!</v>
          </cell>
          <cell r="AL75" t="str">
            <v>-</v>
          </cell>
          <cell r="AM75" t="str">
            <v>N/A</v>
          </cell>
          <cell r="AN75">
            <v>2.4908136482939631</v>
          </cell>
          <cell r="AO75">
            <v>0.3766917293233083</v>
          </cell>
          <cell r="AP75">
            <v>9.4483888585472409E-2</v>
          </cell>
          <cell r="AQ75" t="str">
            <v>-</v>
          </cell>
          <cell r="AR75" t="str">
            <v>N/A</v>
          </cell>
          <cell r="AS75">
            <v>0.21113712822212327</v>
          </cell>
          <cell r="AT75">
            <v>0.3234670411299021</v>
          </cell>
          <cell r="AU75">
            <v>0.10442372276691803</v>
          </cell>
          <cell r="AV75" t="str">
            <v>-</v>
          </cell>
          <cell r="AW75">
            <v>0.10829550834006296</v>
          </cell>
          <cell r="AX75">
            <v>6.2814070351758788E-2</v>
          </cell>
          <cell r="AY75">
            <v>2.8368794326241176E-2</v>
          </cell>
          <cell r="AZ75">
            <v>3.8644527090758274E-2</v>
          </cell>
          <cell r="BA75" t="str">
            <v>-</v>
          </cell>
          <cell r="BB75" t="str">
            <v>-</v>
          </cell>
          <cell r="BC75" t="str">
            <v>-</v>
          </cell>
          <cell r="BD75" t="str">
            <v>-</v>
          </cell>
        </row>
        <row r="76">
          <cell r="A76" t="str">
            <v>EPS</v>
          </cell>
          <cell r="E76" t="str">
            <v>-</v>
          </cell>
          <cell r="F76" t="e">
            <v>#REF!</v>
          </cell>
          <cell r="G76" t="e">
            <v>#REF!</v>
          </cell>
          <cell r="H76" t="e">
            <v>#REF!</v>
          </cell>
          <cell r="K76" t="e">
            <v>#REF!</v>
          </cell>
          <cell r="L76" t="e">
            <v>#REF!</v>
          </cell>
          <cell r="M76" t="e">
            <v>#REF!</v>
          </cell>
          <cell r="N76" t="e">
            <v>#REF!</v>
          </cell>
          <cell r="O76" t="str">
            <v>-</v>
          </cell>
          <cell r="Q76" t="e">
            <v>#REF!</v>
          </cell>
          <cell r="R76" t="e">
            <v>#REF!</v>
          </cell>
          <cell r="S76" t="e">
            <v>#REF!</v>
          </cell>
          <cell r="T76" t="e">
            <v>#REF!</v>
          </cell>
          <cell r="V76" t="str">
            <v>-</v>
          </cell>
          <cell r="X76">
            <v>9.8147393122829163E-2</v>
          </cell>
          <cell r="Y76">
            <v>0.11215430800276516</v>
          </cell>
          <cell r="Z76">
            <v>4.2249492549796264E-2</v>
          </cell>
          <cell r="AA76">
            <v>2.607028106912157E-3</v>
          </cell>
          <cell r="AB76" t="str">
            <v>-</v>
          </cell>
          <cell r="AC76">
            <v>0.11968868710262992</v>
          </cell>
          <cell r="AD76">
            <v>3.592095351978597E-2</v>
          </cell>
          <cell r="AE76">
            <v>6.9739639764789807E-3</v>
          </cell>
          <cell r="AF76">
            <v>3.4509849735127718E-2</v>
          </cell>
          <cell r="AG76" t="str">
            <v>-</v>
          </cell>
          <cell r="AH76">
            <v>0.47458174517217233</v>
          </cell>
          <cell r="AI76">
            <v>-0.11403977321204506</v>
          </cell>
          <cell r="AJ76">
            <v>-0.13613866878071956</v>
          </cell>
          <cell r="AK76">
            <v>2.0905484609081704E-3</v>
          </cell>
          <cell r="AL76" t="str">
            <v>-</v>
          </cell>
          <cell r="AM76">
            <v>0.41774647136730358</v>
          </cell>
          <cell r="AN76">
            <v>-3.2725613712140444E-2</v>
          </cell>
          <cell r="AO76">
            <v>0.3207150835050927</v>
          </cell>
          <cell r="AP76">
            <v>-0.14127138547132967</v>
          </cell>
          <cell r="AQ76" t="str">
            <v>-</v>
          </cell>
          <cell r="AR76">
            <v>0.38728567027669136</v>
          </cell>
          <cell r="AS76">
            <v>3.8095733691937639E-2</v>
          </cell>
          <cell r="AT76">
            <v>0.16482532337424294</v>
          </cell>
          <cell r="AU76">
            <v>-4.7564533849159707E-2</v>
          </cell>
          <cell r="AV76" t="str">
            <v>-</v>
          </cell>
          <cell r="AW76">
            <v>0.35799489872911838</v>
          </cell>
          <cell r="AX76">
            <v>0.22945167254171839</v>
          </cell>
          <cell r="AY76">
            <v>5.8028008969493561E-2</v>
          </cell>
          <cell r="AZ76">
            <v>-7.9713447630548551E-2</v>
          </cell>
          <cell r="BA76" t="str">
            <v>-</v>
          </cell>
          <cell r="BB76" t="str">
            <v>-</v>
          </cell>
          <cell r="BC76" t="str">
            <v>-</v>
          </cell>
          <cell r="BD76" t="str">
            <v>-</v>
          </cell>
        </row>
        <row r="77">
          <cell r="A77" t="str">
            <v>Y/Y GROWTH:</v>
          </cell>
        </row>
        <row r="78">
          <cell r="A78" t="str">
            <v xml:space="preserve">Rituxan:  </v>
          </cell>
          <cell r="K78">
            <v>0.51458885941644561</v>
          </cell>
          <cell r="L78">
            <v>1.1379310344827585</v>
          </cell>
          <cell r="M78">
            <v>0.84263959390862953</v>
          </cell>
          <cell r="N78">
            <v>0.48520710059171601</v>
          </cell>
          <cell r="O78">
            <v>0.71832718327183276</v>
          </cell>
          <cell r="Q78">
            <v>0.49036777583187385</v>
          </cell>
          <cell r="R78">
            <v>0.38172043010752699</v>
          </cell>
          <cell r="S78">
            <v>0.62396694214876036</v>
          </cell>
          <cell r="T78">
            <v>0.83665338645418319</v>
          </cell>
          <cell r="V78">
            <v>0.58947745168217613</v>
          </cell>
          <cell r="X78">
            <v>1.0223266745005875</v>
          </cell>
          <cell r="Y78">
            <v>0.82587548638132291</v>
          </cell>
          <cell r="Z78">
            <v>0.80491942324003385</v>
          </cell>
          <cell r="AA78">
            <v>0.78209508315256682</v>
          </cell>
          <cell r="AB78">
            <v>0.84432278766043689</v>
          </cell>
          <cell r="AC78">
            <v>0.43811737361998837</v>
          </cell>
          <cell r="AD78">
            <v>0.46457112413425672</v>
          </cell>
          <cell r="AE78">
            <v>0.3811090225563909</v>
          </cell>
          <cell r="AF78">
            <v>0.40629200034487822</v>
          </cell>
          <cell r="AG78">
            <v>0.41979180497244561</v>
          </cell>
          <cell r="AH78">
            <v>0.24045107311749736</v>
          </cell>
          <cell r="AI78">
            <v>0.23647499149370543</v>
          </cell>
          <cell r="AJ78">
            <v>7.2417772648586176E-2</v>
          </cell>
          <cell r="AK78">
            <v>-0.64485338378192447</v>
          </cell>
          <cell r="AL78">
            <v>0.28050563247054772</v>
          </cell>
          <cell r="AM78">
            <v>0.10236653824986242</v>
          </cell>
          <cell r="AN78">
            <v>0.14258810868980354</v>
          </cell>
          <cell r="AO78">
            <v>7.0268225960015585E-2</v>
          </cell>
          <cell r="AP78">
            <v>-0.7019144297370804</v>
          </cell>
          <cell r="AQ78">
            <v>5.7203478074004499E-2</v>
          </cell>
          <cell r="AR78">
            <v>3.732046150223689E-2</v>
          </cell>
          <cell r="AS78">
            <v>1.8838984739527387E-2</v>
          </cell>
          <cell r="AT78">
            <v>2.7817876329006452E-2</v>
          </cell>
          <cell r="AU78">
            <v>9.1296855655794262E-2</v>
          </cell>
          <cell r="AV78">
            <v>0.16340550800452314</v>
          </cell>
          <cell r="AW78">
            <v>5.9180900103919631E-2</v>
          </cell>
          <cell r="AX78">
            <v>0.15394967855913833</v>
          </cell>
          <cell r="AY78">
            <v>5.0106935533150043E-2</v>
          </cell>
          <cell r="AZ78">
            <v>0.11614272384208224</v>
          </cell>
          <cell r="BA78">
            <v>0.1208144238035127</v>
          </cell>
          <cell r="BB78">
            <v>0.23167763540875574</v>
          </cell>
          <cell r="BC78">
            <v>0.10648810319447577</v>
          </cell>
          <cell r="BD78">
            <v>0.14074031826660205</v>
          </cell>
        </row>
        <row r="79">
          <cell r="A79" t="str">
            <v xml:space="preserve">Herceptin:  </v>
          </cell>
          <cell r="K79" t="str">
            <v>NM</v>
          </cell>
          <cell r="L79" t="str">
            <v>NM</v>
          </cell>
          <cell r="M79" t="str">
            <v>NM</v>
          </cell>
          <cell r="N79">
            <v>0.78372352285395763</v>
          </cell>
          <cell r="O79">
            <v>5.1774542592956916</v>
          </cell>
          <cell r="Q79">
            <v>0.72180451127819545</v>
          </cell>
          <cell r="R79">
            <v>0.44372294372294374</v>
          </cell>
          <cell r="S79">
            <v>0.51565762004175375</v>
          </cell>
          <cell r="T79">
            <v>0.24816176470588225</v>
          </cell>
          <cell r="V79">
            <v>0.46443736730360929</v>
          </cell>
          <cell r="X79">
            <v>0.18486171761280934</v>
          </cell>
          <cell r="Y79">
            <v>0.18140929535232386</v>
          </cell>
          <cell r="Z79">
            <v>0.15564738292011016</v>
          </cell>
          <cell r="AA79">
            <v>0.51104565537555224</v>
          </cell>
          <cell r="AB79">
            <v>0.25661471547662207</v>
          </cell>
          <cell r="AC79">
            <v>6.6339066339066388E-2</v>
          </cell>
          <cell r="AD79">
            <v>0.20685279187817263</v>
          </cell>
          <cell r="AE79">
            <v>0.15256257449344468</v>
          </cell>
          <cell r="AF79">
            <v>3.8986354775828458E-2</v>
          </cell>
          <cell r="AG79">
            <v>0.11104701471012413</v>
          </cell>
          <cell r="AH79">
            <v>-1.4721345951629883E-2</v>
          </cell>
          <cell r="AI79">
            <v>0.12823164426059974</v>
          </cell>
          <cell r="AJ79">
            <v>1.0318949343339545E-2</v>
          </cell>
          <cell r="AK79">
            <v>-0.70327102803738317</v>
          </cell>
          <cell r="AL79">
            <v>0.10280373831775691</v>
          </cell>
          <cell r="AM79">
            <v>4.0329972502291422E-2</v>
          </cell>
          <cell r="AN79">
            <v>9.2850510677808806E-2</v>
          </cell>
          <cell r="AO79">
            <v>0.10236220472440949</v>
          </cell>
          <cell r="AP79">
            <v>-0.70338983050847459</v>
          </cell>
          <cell r="AQ79">
            <v>4.9339397417609732E-2</v>
          </cell>
          <cell r="AR79">
            <v>0.10135938827527613</v>
          </cell>
          <cell r="AS79">
            <v>0.20973809523809517</v>
          </cell>
          <cell r="AT79">
            <v>0.70753006909904759</v>
          </cell>
          <cell r="AU79">
            <v>0.98467421556146695</v>
          </cell>
          <cell r="AV79">
            <v>0.67640834957707408</v>
          </cell>
          <cell r="AW79">
            <v>0.90255007314976998</v>
          </cell>
          <cell r="AX79">
            <v>0.48741941652393339</v>
          </cell>
          <cell r="AY79">
            <v>0.20765472570457377</v>
          </cell>
          <cell r="AZ79">
            <v>0.26992919737644616</v>
          </cell>
          <cell r="BA79">
            <v>0.64542334060387074</v>
          </cell>
          <cell r="BB79">
            <v>0.1115971631269097</v>
          </cell>
          <cell r="BC79">
            <v>7.4884629749464304E-2</v>
          </cell>
          <cell r="BD79">
            <v>7.4533613472786975E-2</v>
          </cell>
        </row>
        <row r="80">
          <cell r="A80" t="str">
            <v xml:space="preserve">Avastin:  </v>
          </cell>
          <cell r="K80">
            <v>-6.6427289048473948E-2</v>
          </cell>
          <cell r="L80">
            <v>7.3937153419593393E-2</v>
          </cell>
          <cell r="M80">
            <v>0.30820399113082031</v>
          </cell>
          <cell r="N80">
            <v>0.15146299483648873</v>
          </cell>
          <cell r="O80">
            <v>0.107981220657277</v>
          </cell>
          <cell r="Q80">
            <v>-8.6538461538461564E-2</v>
          </cell>
          <cell r="R80">
            <v>-2.2375215146299476E-2</v>
          </cell>
          <cell r="S80">
            <v>-0.14067796610169492</v>
          </cell>
          <cell r="T80">
            <v>-0.23467862481315394</v>
          </cell>
          <cell r="V80">
            <v>-0.12627118644067792</v>
          </cell>
          <cell r="X80">
            <v>9.6842105263157841E-2</v>
          </cell>
          <cell r="Y80">
            <v>-9.1549295774647876E-2</v>
          </cell>
          <cell r="Z80">
            <v>-4.1420118343195256E-2</v>
          </cell>
          <cell r="AA80">
            <v>-0.125</v>
          </cell>
          <cell r="AB80">
            <v>-4.4131910766246341E-2</v>
          </cell>
          <cell r="AC80">
            <v>-0.79243452958292915</v>
          </cell>
          <cell r="AD80">
            <v>-0.78132927447995937</v>
          </cell>
          <cell r="AE80">
            <v>-0.12476007677543188</v>
          </cell>
          <cell r="AF80">
            <v>-5.6201550387596888E-2</v>
          </cell>
          <cell r="AG80">
            <v>-8.5743277524099493E-2</v>
          </cell>
          <cell r="AH80">
            <v>-0.7590055809233891</v>
          </cell>
          <cell r="AI80">
            <v>0.11214953271028039</v>
          </cell>
          <cell r="AJ80">
            <v>6.728538283062635E-2</v>
          </cell>
          <cell r="AK80">
            <v>-3.289473684210531E-2</v>
          </cell>
          <cell r="AL80" t="str">
            <v>N/A</v>
          </cell>
          <cell r="AM80" t="str">
            <v>N/A</v>
          </cell>
          <cell r="AN80" t="str">
            <v>N/A</v>
          </cell>
          <cell r="AO80" t="str">
            <v>N/A</v>
          </cell>
          <cell r="AP80" t="str">
            <v>N/A</v>
          </cell>
          <cell r="AQ80" t="str">
            <v>N/A</v>
          </cell>
          <cell r="AR80" t="str">
            <v>N/A</v>
          </cell>
          <cell r="AS80" t="str">
            <v>N/A</v>
          </cell>
          <cell r="AT80" t="str">
            <v>N/A</v>
          </cell>
          <cell r="AU80" t="str">
            <v>N/A</v>
          </cell>
          <cell r="AV80">
            <v>1.0759350987391789</v>
          </cell>
          <cell r="AW80">
            <v>0.96199433027008197</v>
          </cell>
          <cell r="AX80">
            <v>0.72171683252945851</v>
          </cell>
          <cell r="AY80">
            <v>0.33781938515666332</v>
          </cell>
          <cell r="AZ80">
            <v>0.25813920326496032</v>
          </cell>
          <cell r="BA80">
            <v>0.56142958492595496</v>
          </cell>
          <cell r="BB80">
            <v>0.30230660905622986</v>
          </cell>
          <cell r="BC80">
            <v>0.39542122570151017</v>
          </cell>
          <cell r="BD80">
            <v>0.32369687597365004</v>
          </cell>
        </row>
        <row r="81">
          <cell r="A81" t="str">
            <v xml:space="preserve">Protropin/Nutropin:  </v>
          </cell>
          <cell r="K81">
            <v>0.1041257367387034</v>
          </cell>
          <cell r="L81">
            <v>-4.8154093097913298E-2</v>
          </cell>
          <cell r="M81">
            <v>0.13232514177693755</v>
          </cell>
          <cell r="N81">
            <v>-4.3841336116910212E-2</v>
          </cell>
          <cell r="O81">
            <v>3.3644859813084071E-2</v>
          </cell>
          <cell r="Q81">
            <v>-1.9572953736654797E-2</v>
          </cell>
          <cell r="R81">
            <v>-0.15851602023608768</v>
          </cell>
          <cell r="S81">
            <v>2.003338898163598E-2</v>
          </cell>
          <cell r="T81">
            <v>0.32096069868995625</v>
          </cell>
          <cell r="V81">
            <v>2.4412296564195302E-2</v>
          </cell>
          <cell r="X81">
            <v>7.2595281306715442E-3</v>
          </cell>
          <cell r="Y81">
            <v>0.25250501002004011</v>
          </cell>
          <cell r="Z81">
            <v>0.10801963993453345</v>
          </cell>
          <cell r="AA81">
            <v>6.5855371900826354E-2</v>
          </cell>
          <cell r="AB81">
            <v>0.10407877316857905</v>
          </cell>
          <cell r="AC81">
            <v>-0.70123565754633721</v>
          </cell>
          <cell r="AD81">
            <v>-0.69902182091798348</v>
          </cell>
          <cell r="AE81">
            <v>0.39459459459459456</v>
          </cell>
          <cell r="AF81">
            <v>0.22879999999999989</v>
          </cell>
          <cell r="AG81">
            <v>0.18792449964376257</v>
          </cell>
          <cell r="AH81">
            <v>-0.69342594507847721</v>
          </cell>
          <cell r="AI81">
            <v>0.20531757754800584</v>
          </cell>
          <cell r="AJ81">
            <v>7.038512616201853E-2</v>
          </cell>
          <cell r="AK81">
            <v>7.2351421188630471E-2</v>
          </cell>
          <cell r="AL81">
            <v>8.3109017496635351E-2</v>
          </cell>
          <cell r="AM81">
            <v>-0.71231493943472413</v>
          </cell>
          <cell r="AN81">
            <v>0.13702737940026077</v>
          </cell>
          <cell r="AO81">
            <v>0.11417187500000003</v>
          </cell>
          <cell r="AP81">
            <v>0.15055525434243178</v>
          </cell>
          <cell r="AQ81">
            <v>0.10705554054054045</v>
          </cell>
          <cell r="AR81">
            <v>-0.71392357875116497</v>
          </cell>
          <cell r="AS81">
            <v>0.14520467836257311</v>
          </cell>
          <cell r="AT81">
            <v>1.5766540534342344E-2</v>
          </cell>
          <cell r="AU81">
            <v>4.3716798147309444E-2</v>
          </cell>
          <cell r="AV81">
            <v>5.6347838548801654E-2</v>
          </cell>
          <cell r="AW81">
            <v>8.1649105613786688E-2</v>
          </cell>
          <cell r="AX81">
            <v>3.3950421064633831</v>
          </cell>
          <cell r="AY81">
            <v>3.1594121087167437</v>
          </cell>
          <cell r="AZ81">
            <v>3.7354168507506911</v>
          </cell>
          <cell r="BA81">
            <v>2.3951643712116333E-2</v>
          </cell>
          <cell r="BB81">
            <v>5.0000000000000044E-2</v>
          </cell>
          <cell r="BC81">
            <v>3.0000000000000027E-2</v>
          </cell>
          <cell r="BD81">
            <v>6.0900000000000176E-2</v>
          </cell>
        </row>
        <row r="82">
          <cell r="A82" t="str">
            <v xml:space="preserve">Pulmozyme:  </v>
          </cell>
          <cell r="E82" t="str">
            <v>-</v>
          </cell>
          <cell r="F82" t="str">
            <v>-</v>
          </cell>
          <cell r="G82" t="str">
            <v>-</v>
          </cell>
          <cell r="H82" t="str">
            <v>-</v>
          </cell>
          <cell r="K82">
            <v>0.44615384615384612</v>
          </cell>
          <cell r="L82">
            <v>0.26970954356846466</v>
          </cell>
          <cell r="M82">
            <v>9.3117408906882693E-2</v>
          </cell>
          <cell r="N82">
            <v>3.9215686274509665E-3</v>
          </cell>
          <cell r="O82">
            <v>0.187633262260128</v>
          </cell>
          <cell r="Q82">
            <v>-4.9645390070921946E-2</v>
          </cell>
          <cell r="R82">
            <v>5.555555555555558E-2</v>
          </cell>
          <cell r="S82">
            <v>0.11111111111111116</v>
          </cell>
          <cell r="T82">
            <v>0.27734375</v>
          </cell>
          <cell r="V82">
            <v>9.3357271095152683E-2</v>
          </cell>
          <cell r="X82">
            <v>0.11567164179104483</v>
          </cell>
          <cell r="Y82">
            <v>-0.13003095975232193</v>
          </cell>
          <cell r="Z82">
            <v>9.3333333333333268E-2</v>
          </cell>
          <cell r="AA82">
            <v>-1.834862385321101E-2</v>
          </cell>
          <cell r="AB82">
            <v>9.0311986863711446E-3</v>
          </cell>
          <cell r="AC82">
            <v>-0.73973727422003277</v>
          </cell>
          <cell r="AD82">
            <v>-0.71440195280716035</v>
          </cell>
          <cell r="AE82">
            <v>0.27759197324414719</v>
          </cell>
          <cell r="AF82">
            <v>0.17793594306049831</v>
          </cell>
          <cell r="AG82">
            <v>0.12367778681855168</v>
          </cell>
          <cell r="AH82">
            <v>-0.677786818551668</v>
          </cell>
          <cell r="AI82">
            <v>0.34384858044164046</v>
          </cell>
          <cell r="AJ82">
            <v>0.15099715099715105</v>
          </cell>
          <cell r="AK82">
            <v>0.16753926701570676</v>
          </cell>
          <cell r="AL82">
            <v>0.21071687183200583</v>
          </cell>
          <cell r="AM82">
            <v>-0.68573497465604638</v>
          </cell>
          <cell r="AN82">
            <v>0.1617171717171717</v>
          </cell>
          <cell r="AO82">
            <v>0.14470046948356829</v>
          </cell>
          <cell r="AP82">
            <v>0.24324671287128719</v>
          </cell>
          <cell r="AQ82">
            <v>0.12676678947368414</v>
          </cell>
          <cell r="AR82">
            <v>-0.69051435406698558</v>
          </cell>
          <cell r="AS82">
            <v>0.26248847926267271</v>
          </cell>
          <cell r="AT82">
            <v>1.2803234501347793E-2</v>
          </cell>
          <cell r="AU82">
            <v>4.9987449819783869E-3</v>
          </cell>
          <cell r="AV82">
            <v>0.16032180143782493</v>
          </cell>
          <cell r="AW82">
            <v>0.16531757999247043</v>
          </cell>
          <cell r="AX82">
            <v>3.4972154137517881</v>
          </cell>
          <cell r="AY82">
            <v>2.7923364789020297</v>
          </cell>
          <cell r="AZ82">
            <v>3.6380634079385326</v>
          </cell>
          <cell r="BA82">
            <v>4.3055112370162796E-3</v>
          </cell>
          <cell r="BB82">
            <v>6.0000000000000053E-2</v>
          </cell>
          <cell r="BC82">
            <v>4.0000000000000036E-2</v>
          </cell>
          <cell r="BD82">
            <v>8.1600000000000117E-2</v>
          </cell>
        </row>
        <row r="83">
          <cell r="A83" t="str">
            <v xml:space="preserve">Nutropin Depot:  </v>
          </cell>
          <cell r="K83" t="str">
            <v>NM</v>
          </cell>
          <cell r="L83" t="str">
            <v>NM</v>
          </cell>
          <cell r="M83" t="str">
            <v>NM</v>
          </cell>
          <cell r="N83" t="str">
            <v>NM</v>
          </cell>
          <cell r="O83" t="str">
            <v>NM</v>
          </cell>
          <cell r="Q83" t="str">
            <v>NM</v>
          </cell>
          <cell r="R83" t="str">
            <v>NM</v>
          </cell>
          <cell r="S83" t="str">
            <v>NM</v>
          </cell>
          <cell r="T83" t="str">
            <v>NM</v>
          </cell>
          <cell r="V83" t="str">
            <v>NM</v>
          </cell>
          <cell r="X83" t="str">
            <v>NM</v>
          </cell>
          <cell r="Y83" t="str">
            <v>NM</v>
          </cell>
          <cell r="Z83" t="str">
            <v>NM</v>
          </cell>
          <cell r="AA83" t="str">
            <v>NM</v>
          </cell>
          <cell r="AB83" t="e">
            <v>#REF!</v>
          </cell>
          <cell r="AC83" t="str">
            <v>NM</v>
          </cell>
          <cell r="AD83" t="str">
            <v>NM</v>
          </cell>
          <cell r="AE83" t="str">
            <v>NM</v>
          </cell>
          <cell r="AF83" t="str">
            <v>NM</v>
          </cell>
          <cell r="AG83" t="e">
            <v>#REF!</v>
          </cell>
          <cell r="AH83" t="str">
            <v>NM</v>
          </cell>
          <cell r="AI83" t="str">
            <v>NM</v>
          </cell>
          <cell r="AJ83" t="str">
            <v>NM</v>
          </cell>
          <cell r="AK83" t="str">
            <v>NM</v>
          </cell>
          <cell r="AL83" t="e">
            <v>#REF!</v>
          </cell>
          <cell r="AM83" t="str">
            <v>NM</v>
          </cell>
          <cell r="AN83" t="str">
            <v>NM</v>
          </cell>
          <cell r="AO83" t="str">
            <v>NM</v>
          </cell>
          <cell r="AP83" t="str">
            <v>NM</v>
          </cell>
          <cell r="AQ83">
            <v>1.6206584606258456E-2</v>
          </cell>
          <cell r="AR83" t="str">
            <v>NM</v>
          </cell>
          <cell r="AS83" t="str">
            <v>NM</v>
          </cell>
          <cell r="AT83" t="str">
            <v>NM</v>
          </cell>
          <cell r="AU83" t="str">
            <v>NM</v>
          </cell>
          <cell r="AV83">
            <v>0.13165820257517158</v>
          </cell>
          <cell r="AW83" t="str">
            <v>NM</v>
          </cell>
          <cell r="AX83" t="str">
            <v>NM</v>
          </cell>
          <cell r="AY83" t="str">
            <v>NM</v>
          </cell>
          <cell r="AZ83" t="str">
            <v>NM</v>
          </cell>
          <cell r="BA83">
            <v>3.9871002935092603E-2</v>
          </cell>
          <cell r="BB83">
            <v>3.1390733659941938E-2</v>
          </cell>
          <cell r="BC83">
            <v>1.818587400901106E-2</v>
          </cell>
          <cell r="BD83">
            <v>1.877051593081025E-2</v>
          </cell>
        </row>
        <row r="84">
          <cell r="A84" t="str">
            <v xml:space="preserve">TNK:  </v>
          </cell>
          <cell r="K84" t="str">
            <v>NM</v>
          </cell>
          <cell r="L84" t="str">
            <v>NM</v>
          </cell>
          <cell r="M84" t="str">
            <v>NM</v>
          </cell>
          <cell r="N84" t="str">
            <v>NM</v>
          </cell>
          <cell r="O84" t="str">
            <v>NM</v>
          </cell>
          <cell r="Q84" t="str">
            <v>NM</v>
          </cell>
          <cell r="R84" t="str">
            <v>NM</v>
          </cell>
          <cell r="S84" t="str">
            <v>NM</v>
          </cell>
          <cell r="T84" t="str">
            <v>NM</v>
          </cell>
          <cell r="V84" t="str">
            <v>NM</v>
          </cell>
          <cell r="X84" t="str">
            <v>NM</v>
          </cell>
          <cell r="Y84" t="str">
            <v>NM</v>
          </cell>
          <cell r="Z84" t="str">
            <v>NM</v>
          </cell>
          <cell r="AA84" t="str">
            <v>NM</v>
          </cell>
          <cell r="AB84" t="e">
            <v>#REF!</v>
          </cell>
          <cell r="AC84" t="str">
            <v>NM</v>
          </cell>
          <cell r="AD84" t="str">
            <v>NM</v>
          </cell>
          <cell r="AE84" t="str">
            <v>NM</v>
          </cell>
          <cell r="AF84" t="str">
            <v>NM</v>
          </cell>
          <cell r="AG84" t="e">
            <v>#REF!</v>
          </cell>
          <cell r="AH84" t="str">
            <v>NM</v>
          </cell>
          <cell r="AI84" t="str">
            <v>NM</v>
          </cell>
          <cell r="AJ84" t="str">
            <v>NM</v>
          </cell>
          <cell r="AK84" t="str">
            <v>NM</v>
          </cell>
          <cell r="AL84" t="e">
            <v>#REF!</v>
          </cell>
          <cell r="AM84" t="str">
            <v>NM</v>
          </cell>
          <cell r="AN84" t="str">
            <v>NM</v>
          </cell>
          <cell r="AO84" t="str">
            <v>NM</v>
          </cell>
          <cell r="AP84" t="str">
            <v>NM</v>
          </cell>
          <cell r="AQ84" t="e">
            <v>#REF!</v>
          </cell>
          <cell r="AR84" t="str">
            <v>NM</v>
          </cell>
          <cell r="AS84" t="str">
            <v>NM</v>
          </cell>
          <cell r="AT84" t="str">
            <v>NM</v>
          </cell>
          <cell r="AU84" t="str">
            <v>NM</v>
          </cell>
          <cell r="AV84" t="e">
            <v>#REF!</v>
          </cell>
          <cell r="AW84" t="str">
            <v>NM</v>
          </cell>
          <cell r="AX84" t="str">
            <v>NM</v>
          </cell>
          <cell r="AY84" t="str">
            <v>NM</v>
          </cell>
          <cell r="AZ84" t="str">
            <v>NM</v>
          </cell>
          <cell r="BA84" t="e">
            <v>#REF!</v>
          </cell>
          <cell r="BB84" t="e">
            <v>#REF!</v>
          </cell>
          <cell r="BC84" t="e">
            <v>#REF!</v>
          </cell>
          <cell r="BD84" t="e">
            <v>#REF!</v>
          </cell>
        </row>
        <row r="85">
          <cell r="A85" t="str">
            <v>Total Revenues</v>
          </cell>
          <cell r="K85" t="e">
            <v>#REF!</v>
          </cell>
          <cell r="L85" t="e">
            <v>#REF!</v>
          </cell>
          <cell r="M85" t="e">
            <v>#REF!</v>
          </cell>
          <cell r="N85" t="e">
            <v>#REF!</v>
          </cell>
          <cell r="O85" t="e">
            <v>#REF!</v>
          </cell>
          <cell r="Q85" t="e">
            <v>#REF!</v>
          </cell>
          <cell r="R85" t="e">
            <v>#REF!</v>
          </cell>
          <cell r="S85" t="e">
            <v>#REF!</v>
          </cell>
          <cell r="T85" t="e">
            <v>#REF!</v>
          </cell>
          <cell r="V85" t="e">
            <v>#REF!</v>
          </cell>
          <cell r="X85" t="e">
            <v>#REF!</v>
          </cell>
          <cell r="Y85" t="e">
            <v>#REF!</v>
          </cell>
          <cell r="Z85" t="e">
            <v>#REF!</v>
          </cell>
          <cell r="AA85">
            <v>0.22611918282265142</v>
          </cell>
          <cell r="AB85" t="e">
            <v>#REF!</v>
          </cell>
          <cell r="AC85">
            <v>0.18210192034972739</v>
          </cell>
          <cell r="AD85">
            <v>0.28680275990976734</v>
          </cell>
          <cell r="AE85">
            <v>0.24944051083461272</v>
          </cell>
          <cell r="AF85">
            <v>0.32781918705126945</v>
          </cell>
          <cell r="AG85">
            <v>0.26399929159621771</v>
          </cell>
          <cell r="AH85">
            <v>0.20458650144292267</v>
          </cell>
          <cell r="AI85">
            <v>0.22219946754044639</v>
          </cell>
          <cell r="AJ85">
            <v>8.0690281850539503E-2</v>
          </cell>
          <cell r="AK85">
            <v>-0.63853571781062102</v>
          </cell>
          <cell r="AL85">
            <v>0.27738688021427005</v>
          </cell>
          <cell r="AM85">
            <v>0.21935771877876031</v>
          </cell>
          <cell r="AN85">
            <v>0.380682068529969</v>
          </cell>
          <cell r="AO85">
            <v>0.29246464802027461</v>
          </cell>
          <cell r="AP85">
            <v>-0.60146373374517137</v>
          </cell>
          <cell r="AQ85">
            <v>0.40021185779469737</v>
          </cell>
          <cell r="AR85">
            <v>0.29563542288835643</v>
          </cell>
          <cell r="AS85">
            <v>0.26498693113026928</v>
          </cell>
          <cell r="AT85">
            <v>0.33188077906673774</v>
          </cell>
          <cell r="AU85">
            <v>0.43928757786113026</v>
          </cell>
          <cell r="AV85">
            <v>0.43543587816823281</v>
          </cell>
          <cell r="AW85">
            <v>0.30068242463396411</v>
          </cell>
          <cell r="AX85">
            <v>0.25556014868645072</v>
          </cell>
          <cell r="AY85">
            <v>0.25963078237180448</v>
          </cell>
          <cell r="AZ85">
            <v>0.3136752284815989</v>
          </cell>
          <cell r="BA85">
            <v>0.36537083814107696</v>
          </cell>
          <cell r="BB85">
            <v>0.24900826618857175</v>
          </cell>
          <cell r="BC85">
            <v>0.1719454570501453</v>
          </cell>
          <cell r="BD85">
            <v>0.17668309776959301</v>
          </cell>
        </row>
        <row r="86">
          <cell r="A86" t="str">
            <v>EPS</v>
          </cell>
          <cell r="E86" t="str">
            <v>-</v>
          </cell>
          <cell r="F86" t="str">
            <v>-</v>
          </cell>
          <cell r="G86" t="str">
            <v>-</v>
          </cell>
          <cell r="H86" t="str">
            <v>-</v>
          </cell>
          <cell r="K86" t="e">
            <v>#REF!</v>
          </cell>
          <cell r="L86" t="e">
            <v>#REF!</v>
          </cell>
          <cell r="M86" t="e">
            <v>#REF!</v>
          </cell>
          <cell r="N86" t="e">
            <v>#REF!</v>
          </cell>
          <cell r="O86" t="e">
            <v>#REF!</v>
          </cell>
          <cell r="Q86" t="e">
            <v>#REF!</v>
          </cell>
          <cell r="R86" t="e">
            <v>#REF!</v>
          </cell>
          <cell r="S86" t="e">
            <v>#REF!</v>
          </cell>
          <cell r="T86" t="e">
            <v>#REF!</v>
          </cell>
          <cell r="V86" t="e">
            <v>#REF!</v>
          </cell>
          <cell r="X86" t="e">
            <v>#REF!</v>
          </cell>
          <cell r="Y86" t="e">
            <v>#REF!</v>
          </cell>
          <cell r="Z86" t="e">
            <v>#REF!</v>
          </cell>
          <cell r="AA86">
            <v>0.27622756422263928</v>
          </cell>
          <cell r="AB86" t="e">
            <v>#REF!</v>
          </cell>
          <cell r="AC86">
            <v>0.30126208446847458</v>
          </cell>
          <cell r="AD86">
            <v>0.21206621205514842</v>
          </cell>
          <cell r="AE86">
            <v>0.17104313974690144</v>
          </cell>
          <cell r="AF86">
            <v>0.20830557593471877</v>
          </cell>
          <cell r="AG86">
            <v>0.18863193426044433</v>
          </cell>
          <cell r="AH86">
            <v>0.53610790784196127</v>
          </cell>
          <cell r="AI86">
            <v>0.35150516208800786</v>
          </cell>
          <cell r="AJ86">
            <v>0.12856639187147589</v>
          </cell>
          <cell r="AK86">
            <v>-0.70591854399046983</v>
          </cell>
          <cell r="AL86">
            <v>0.30462574807746079</v>
          </cell>
          <cell r="AM86">
            <v>0.2272967247868507</v>
          </cell>
          <cell r="AN86">
            <v>0.37421672131769745</v>
          </cell>
          <cell r="AO86">
            <v>0.81116242902075353</v>
          </cell>
          <cell r="AP86">
            <v>-0.64941362843006922</v>
          </cell>
          <cell r="AQ86">
            <v>0.38018947927477731</v>
          </cell>
          <cell r="AR86">
            <v>0.57337039044109273</v>
          </cell>
          <cell r="AS86">
            <v>0.2366854215819354</v>
          </cell>
          <cell r="AT86">
            <v>0.67750610813993695</v>
          </cell>
          <cell r="AU86">
            <v>0.59771631207714271</v>
          </cell>
          <cell r="AV86">
            <v>0.55015209716549451</v>
          </cell>
          <cell r="AW86">
            <v>0.50658799044256897</v>
          </cell>
          <cell r="AX86">
            <v>0.59017587230610968</v>
          </cell>
          <cell r="AY86">
            <v>0.76647203078943904</v>
          </cell>
          <cell r="AZ86">
            <v>0.62566045507227641</v>
          </cell>
          <cell r="BA86">
            <v>0.68061781013534461</v>
          </cell>
          <cell r="BB86">
            <v>0.25243236042815487</v>
          </cell>
          <cell r="BC86">
            <v>0.21171068989248809</v>
          </cell>
          <cell r="BD86">
            <v>0.23161378202587901</v>
          </cell>
        </row>
        <row r="87">
          <cell r="A87" t="str">
            <v>MARGINS:</v>
          </cell>
        </row>
        <row r="88">
          <cell r="A88" t="str">
            <v>COGS/Revenues</v>
          </cell>
          <cell r="E88" t="e">
            <v>#REF!</v>
          </cell>
          <cell r="F88" t="e">
            <v>#REF!</v>
          </cell>
          <cell r="G88" t="e">
            <v>#REF!</v>
          </cell>
          <cell r="H88" t="e">
            <v>#REF!</v>
          </cell>
          <cell r="I88" t="e">
            <v>#REF!</v>
          </cell>
          <cell r="K88">
            <v>0.15243388130807159</v>
          </cell>
          <cell r="L88">
            <v>0.14113905737617077</v>
          </cell>
          <cell r="M88" t="e">
            <v>#REF!</v>
          </cell>
          <cell r="N88" t="e">
            <v>#REF!</v>
          </cell>
          <cell r="O88" t="e">
            <v>#REF!</v>
          </cell>
          <cell r="Q88" t="e">
            <v>#REF!</v>
          </cell>
          <cell r="R88" t="e">
            <v>#REF!</v>
          </cell>
          <cell r="S88" t="e">
            <v>#REF!</v>
          </cell>
          <cell r="T88">
            <v>0.1450194776249572</v>
          </cell>
          <cell r="V88" t="e">
            <v>#REF!</v>
          </cell>
          <cell r="X88">
            <v>0.16928006076595814</v>
          </cell>
          <cell r="Y88">
            <v>0.15753072022727696</v>
          </cell>
          <cell r="Z88">
            <v>0.18337114181618203</v>
          </cell>
          <cell r="AA88">
            <v>0.17286751998651173</v>
          </cell>
          <cell r="AB88">
            <v>0.17340335180662533</v>
          </cell>
          <cell r="AC88">
            <v>0.17507096386098089</v>
          </cell>
          <cell r="AD88">
            <v>0.17171582458688708</v>
          </cell>
          <cell r="AE88">
            <v>0.17190465856260373</v>
          </cell>
          <cell r="AF88">
            <v>0.15850769603155393</v>
          </cell>
          <cell r="AG88">
            <v>0.16943051607122467</v>
          </cell>
          <cell r="AH88">
            <v>0.15318966161201164</v>
          </cell>
          <cell r="AI88">
            <v>0.15431430314913369</v>
          </cell>
          <cell r="AJ88">
            <v>0.14157499473712554</v>
          </cell>
          <cell r="AK88">
            <v>0.13513452739536075</v>
          </cell>
          <cell r="AL88">
            <v>0.14547770569401153</v>
          </cell>
          <cell r="AM88">
            <v>0.11739912935132059</v>
          </cell>
          <cell r="AN88">
            <v>0.16548767017883514</v>
          </cell>
          <cell r="AO88">
            <v>0.13751920138944435</v>
          </cell>
          <cell r="AP88">
            <v>0.15614156466205428</v>
          </cell>
          <cell r="AQ88">
            <v>0.14553195227948326</v>
          </cell>
          <cell r="AR88">
            <v>0.17176026972497402</v>
          </cell>
          <cell r="AS88">
            <v>0.17649139191776167</v>
          </cell>
          <cell r="AT88">
            <v>0.131364314634771</v>
          </cell>
          <cell r="AU88">
            <v>0.12937227467107859</v>
          </cell>
          <cell r="AV88">
            <v>0.15008394166920927</v>
          </cell>
          <cell r="AW88">
            <v>0.13192448192538625</v>
          </cell>
          <cell r="AX88">
            <v>0.12911914621212689</v>
          </cell>
          <cell r="AY88">
            <v>0.12454915541379058</v>
          </cell>
          <cell r="AZ88">
            <v>0.11822071136470891</v>
          </cell>
          <cell r="BA88">
            <v>0.12553853019782571</v>
          </cell>
          <cell r="BB88">
            <v>0.12297708472533374</v>
          </cell>
          <cell r="BC88">
            <v>0.12472130739071126</v>
          </cell>
          <cell r="BD88">
            <v>0.12586458090091615</v>
          </cell>
        </row>
        <row r="89">
          <cell r="A89" t="str">
            <v>COGS/Product Revenues</v>
          </cell>
          <cell r="E89" t="e">
            <v>#REF!</v>
          </cell>
          <cell r="F89" t="e">
            <v>#REF!</v>
          </cell>
          <cell r="G89" t="e">
            <v>#REF!</v>
          </cell>
          <cell r="H89" t="e">
            <v>#REF!</v>
          </cell>
          <cell r="I89" t="e">
            <v>#REF!</v>
          </cell>
          <cell r="K89">
            <v>0.19533983568947619</v>
          </cell>
          <cell r="L89">
            <v>0.1955820385736296</v>
          </cell>
          <cell r="M89" t="e">
            <v>#REF!</v>
          </cell>
          <cell r="N89">
            <v>0.17808137609181884</v>
          </cell>
          <cell r="O89" t="e">
            <v>#REF!</v>
          </cell>
          <cell r="Q89">
            <v>0.22196992704235499</v>
          </cell>
          <cell r="R89" t="e">
            <v>#REF!</v>
          </cell>
          <cell r="S89">
            <v>0.22618224692000849</v>
          </cell>
          <cell r="T89">
            <v>0.19154727671447955</v>
          </cell>
          <cell r="V89" t="e">
            <v>#REF!</v>
          </cell>
          <cell r="X89">
            <v>0.21381766963337961</v>
          </cell>
          <cell r="Y89">
            <v>0.18570753038331977</v>
          </cell>
          <cell r="Z89">
            <v>0.21401827501671494</v>
          </cell>
          <cell r="AA89">
            <v>0.20004227332959376</v>
          </cell>
          <cell r="AB89">
            <v>0.20336359327969852</v>
          </cell>
          <cell r="AC89">
            <v>0.21497054867390342</v>
          </cell>
          <cell r="AD89">
            <v>0.20412891789726223</v>
          </cell>
          <cell r="AE89">
            <v>0.20383528776437373</v>
          </cell>
          <cell r="AF89">
            <v>0.1958889442841614</v>
          </cell>
          <cell r="AG89">
            <v>0.2023187508232559</v>
          </cell>
          <cell r="AH89">
            <v>0.19188881202776359</v>
          </cell>
          <cell r="AI89">
            <v>0.19152941687722327</v>
          </cell>
          <cell r="AJ89">
            <v>0.17661402126581041</v>
          </cell>
          <cell r="AK89">
            <v>0.17437573921982602</v>
          </cell>
          <cell r="AL89">
            <v>0.18314927770084952</v>
          </cell>
          <cell r="AM89">
            <v>0.14990179389812755</v>
          </cell>
          <cell r="AN89">
            <v>0.20439013495137764</v>
          </cell>
          <cell r="AO89">
            <v>0.1643630617138426</v>
          </cell>
          <cell r="AP89">
            <v>0.19260303366213324</v>
          </cell>
          <cell r="AQ89">
            <v>0.17939389348122464</v>
          </cell>
          <cell r="AR89">
            <v>0.23095999466619263</v>
          </cell>
          <cell r="AS89">
            <v>0.22162287079010218</v>
          </cell>
          <cell r="AT89">
            <v>0.16855764683897312</v>
          </cell>
          <cell r="AU89">
            <v>0.16399045709753612</v>
          </cell>
          <cell r="AV89">
            <v>0.19287776616777338</v>
          </cell>
          <cell r="AW89">
            <v>0.16698697148927544</v>
          </cell>
          <cell r="AX89">
            <v>0.16545113667757563</v>
          </cell>
          <cell r="AY89">
            <v>0.16224182813202107</v>
          </cell>
          <cell r="AZ89">
            <v>0.15</v>
          </cell>
          <cell r="BA89">
            <v>0.16068159001238524</v>
          </cell>
          <cell r="BB89">
            <v>0.155</v>
          </cell>
          <cell r="BC89">
            <v>0.155</v>
          </cell>
          <cell r="BD89">
            <v>0.155</v>
          </cell>
        </row>
        <row r="90">
          <cell r="A90" t="str">
            <v>R&amp;D/Revenues</v>
          </cell>
          <cell r="E90" t="e">
            <v>#REF!</v>
          </cell>
          <cell r="F90" t="e">
            <v>#REF!</v>
          </cell>
          <cell r="G90" t="e">
            <v>#REF!</v>
          </cell>
          <cell r="H90" t="e">
            <v>#REF!</v>
          </cell>
          <cell r="I90" t="e">
            <v>#REF!</v>
          </cell>
          <cell r="K90">
            <v>0.30251406053615065</v>
          </cell>
          <cell r="L90">
            <v>0.25240317637224852</v>
          </cell>
          <cell r="M90" t="e">
            <v>#REF!</v>
          </cell>
          <cell r="N90" t="e">
            <v>#REF!</v>
          </cell>
          <cell r="O90" t="e">
            <v>#REF!</v>
          </cell>
          <cell r="Q90" t="e">
            <v>#REF!</v>
          </cell>
          <cell r="R90" t="e">
            <v>#REF!</v>
          </cell>
          <cell r="S90" t="e">
            <v>#REF!</v>
          </cell>
          <cell r="T90">
            <v>0.32144864431854153</v>
          </cell>
          <cell r="V90" t="e">
            <v>#REF!</v>
          </cell>
          <cell r="X90">
            <v>0.27542655359242363</v>
          </cell>
          <cell r="Y90">
            <v>0.25524823266940838</v>
          </cell>
          <cell r="Z90">
            <v>0.24479083125195725</v>
          </cell>
          <cell r="AA90">
            <v>0.24280099194919422</v>
          </cell>
          <cell r="AB90">
            <v>0.25744704583881273</v>
          </cell>
          <cell r="AC90">
            <v>0.25068656787836424</v>
          </cell>
          <cell r="AD90">
            <v>0.23768373964405767</v>
          </cell>
          <cell r="AE90">
            <v>0.21955398106742552</v>
          </cell>
          <cell r="AF90">
            <v>0.24497413493219264</v>
          </cell>
          <cell r="AG90">
            <v>0.24211436898502314</v>
          </cell>
          <cell r="AH90">
            <v>0.21000250776339519</v>
          </cell>
          <cell r="AI90">
            <v>0.22533487055339924</v>
          </cell>
          <cell r="AJ90">
            <v>0.20648459568884908</v>
          </cell>
          <cell r="AK90">
            <v>0.23088899334938789</v>
          </cell>
          <cell r="AL90">
            <v>0.21875711103778506</v>
          </cell>
          <cell r="AM90">
            <v>0.19519861352530676</v>
          </cell>
          <cell r="AN90">
            <v>0.18871567391616537</v>
          </cell>
          <cell r="AO90">
            <v>0.19393529596029563</v>
          </cell>
          <cell r="AP90">
            <v>0.23583669124914469</v>
          </cell>
          <cell r="AQ90">
            <v>0.20503804566691847</v>
          </cell>
          <cell r="AR90">
            <v>0.16642288712960307</v>
          </cell>
          <cell r="AS90">
            <v>0.18215195834116521</v>
          </cell>
          <cell r="AT90">
            <v>0.18771875906627403</v>
          </cell>
          <cell r="AU90">
            <v>0.21742702327087329</v>
          </cell>
          <cell r="AV90">
            <v>0.19022354146629428</v>
          </cell>
          <cell r="AW90">
            <v>0.17170323792578898</v>
          </cell>
          <cell r="AX90">
            <v>0.16185357764618721</v>
          </cell>
          <cell r="AY90">
            <v>0.17571076134134092</v>
          </cell>
          <cell r="AZ90">
            <v>0.21</v>
          </cell>
          <cell r="BA90">
            <v>0.18088203396763317</v>
          </cell>
          <cell r="BB90">
            <v>0.19</v>
          </cell>
          <cell r="BC90">
            <v>0.185</v>
          </cell>
          <cell r="BD90">
            <v>0.1825</v>
          </cell>
        </row>
        <row r="91">
          <cell r="A91" t="str">
            <v>MG&amp;A/Revenues</v>
          </cell>
          <cell r="E91" t="e">
            <v>#REF!</v>
          </cell>
          <cell r="F91" t="e">
            <v>#REF!</v>
          </cell>
          <cell r="G91" t="e">
            <v>#REF!</v>
          </cell>
          <cell r="H91" t="e">
            <v>#REF!</v>
          </cell>
          <cell r="I91" t="e">
            <v>#REF!</v>
          </cell>
          <cell r="K91">
            <v>0.32405410180928346</v>
          </cell>
          <cell r="L91">
            <v>0.31445442270184537</v>
          </cell>
          <cell r="M91" t="e">
            <v>#REF!</v>
          </cell>
          <cell r="N91" t="e">
            <v>#REF!</v>
          </cell>
          <cell r="O91" t="e">
            <v>#REF!</v>
          </cell>
          <cell r="Q91" t="e">
            <v>#REF!</v>
          </cell>
          <cell r="R91" t="e">
            <v>#REF!</v>
          </cell>
          <cell r="S91" t="e">
            <v>#REF!</v>
          </cell>
          <cell r="T91">
            <v>0.31484627857848868</v>
          </cell>
          <cell r="V91" t="e">
            <v>#REF!</v>
          </cell>
          <cell r="X91">
            <v>0.25841693366248225</v>
          </cell>
          <cell r="Y91">
            <v>0.22289352182102767</v>
          </cell>
          <cell r="Z91">
            <v>0.20883458215897893</v>
          </cell>
          <cell r="AA91">
            <v>0.22713142624309782</v>
          </cell>
          <cell r="AB91">
            <v>0.21863649884150541</v>
          </cell>
          <cell r="AC91">
            <v>0.21127321385542683</v>
          </cell>
          <cell r="AD91">
            <v>0.20392931286032895</v>
          </cell>
          <cell r="AE91">
            <v>0.22223614672898054</v>
          </cell>
          <cell r="AF91">
            <v>0.23455403755626364</v>
          </cell>
          <cell r="AG91">
            <v>0.20611885100758423</v>
          </cell>
          <cell r="AH91">
            <v>0.18304271734838704</v>
          </cell>
          <cell r="AI91">
            <v>0.2304054459605458</v>
          </cell>
          <cell r="AJ91">
            <v>0.2568527521161651</v>
          </cell>
          <cell r="AK91">
            <v>0.28215577915813167</v>
          </cell>
          <cell r="AL91">
            <v>0.24083825633035758</v>
          </cell>
          <cell r="AM91">
            <v>0.25362026796289744</v>
          </cell>
          <cell r="AN91">
            <v>0.24524367995830076</v>
          </cell>
          <cell r="AO91">
            <v>0.21925526603598813</v>
          </cell>
          <cell r="AP91">
            <v>0.22770090473656199</v>
          </cell>
          <cell r="AQ91">
            <v>0.23546289381641869</v>
          </cell>
          <cell r="AR91">
            <v>0.21566692954970687</v>
          </cell>
          <cell r="AS91">
            <v>0.23357319080293854</v>
          </cell>
          <cell r="AT91">
            <v>0.19940544343411296</v>
          </cell>
          <cell r="AU91">
            <v>0.22680161908241381</v>
          </cell>
          <cell r="AV91">
            <v>0.21867180688446786</v>
          </cell>
          <cell r="AW91">
            <v>0.20141142278684926</v>
          </cell>
          <cell r="AX91">
            <v>0.19549729884230477</v>
          </cell>
          <cell r="AY91">
            <v>0.19290441579240292</v>
          </cell>
          <cell r="AZ91">
            <v>0.21249999999999999</v>
          </cell>
          <cell r="BA91">
            <v>0.20078011919985023</v>
          </cell>
          <cell r="BB91">
            <v>0.1925</v>
          </cell>
          <cell r="BC91">
            <v>0.185</v>
          </cell>
          <cell r="BD91">
            <v>0.16250000000000001</v>
          </cell>
        </row>
        <row r="92">
          <cell r="A92" t="str">
            <v>Operating Margin</v>
          </cell>
          <cell r="E92" t="e">
            <v>#REF!</v>
          </cell>
          <cell r="F92" t="e">
            <v>#REF!</v>
          </cell>
          <cell r="G92" t="e">
            <v>#REF!</v>
          </cell>
          <cell r="H92" t="e">
            <v>#REF!</v>
          </cell>
          <cell r="I92" t="e">
            <v>#REF!</v>
          </cell>
          <cell r="K92">
            <v>0.22099795634649427</v>
          </cell>
          <cell r="L92">
            <v>0.29200334354973528</v>
          </cell>
          <cell r="M92" t="e">
            <v>#REF!</v>
          </cell>
          <cell r="N92" t="e">
            <v>#REF!</v>
          </cell>
          <cell r="O92" t="e">
            <v>#REF!</v>
          </cell>
          <cell r="Q92" t="e">
            <v>#REF!</v>
          </cell>
          <cell r="R92" t="e">
            <v>#REF!</v>
          </cell>
          <cell r="S92" t="e">
            <v>#REF!</v>
          </cell>
          <cell r="T92">
            <v>0.21868559947801258</v>
          </cell>
          <cell r="V92" t="e">
            <v>#REF!</v>
          </cell>
          <cell r="X92">
            <v>0.20319627323671655</v>
          </cell>
          <cell r="Y92">
            <v>0.24459359150109897</v>
          </cell>
          <cell r="Z92">
            <v>0.23736471055505909</v>
          </cell>
          <cell r="AA92">
            <v>0.22270207803520997</v>
          </cell>
          <cell r="AB92">
            <v>0.22984082440979398</v>
          </cell>
          <cell r="AC92">
            <v>0.23979376475031489</v>
          </cell>
          <cell r="AD92">
            <v>0.25155379305468967</v>
          </cell>
          <cell r="AE92">
            <v>0.2486848982611008</v>
          </cell>
          <cell r="AF92">
            <v>0.22373052183815914</v>
          </cell>
          <cell r="AG92">
            <v>0.24662735543251713</v>
          </cell>
          <cell r="AH92">
            <v>0.3249794576828266</v>
          </cell>
          <cell r="AI92">
            <v>0.25576332479692687</v>
          </cell>
          <cell r="AJ92">
            <v>0.2486132937761002</v>
          </cell>
          <cell r="AK92">
            <v>0.20841440027240632</v>
          </cell>
          <cell r="AL92">
            <v>0.25631732855562495</v>
          </cell>
          <cell r="AM92">
            <v>0.30412712086018862</v>
          </cell>
          <cell r="AN92">
            <v>0.27181985642836753</v>
          </cell>
          <cell r="AO92">
            <v>0.32344927284628427</v>
          </cell>
          <cell r="AP92">
            <v>0.25101953926860793</v>
          </cell>
          <cell r="AQ92">
            <v>0.2855109661930984</v>
          </cell>
          <cell r="AR92">
            <v>0.32554258225816857</v>
          </cell>
          <cell r="AS92">
            <v>0.27758453682315365</v>
          </cell>
          <cell r="AT92">
            <v>0.35616147519532043</v>
          </cell>
          <cell r="AU92">
            <v>0.30574110971341262</v>
          </cell>
          <cell r="AV92">
            <v>0.31693861677154478</v>
          </cell>
          <cell r="AW92">
            <v>0.38116340348740568</v>
          </cell>
          <cell r="AX92">
            <v>0.39577695311296962</v>
          </cell>
          <cell r="AY92">
            <v>0.40199631104355099</v>
          </cell>
          <cell r="AZ92">
            <v>0.35040049130520051</v>
          </cell>
          <cell r="BA92">
            <v>0.38175038378346166</v>
          </cell>
          <cell r="BB92">
            <v>0.3864869706009843</v>
          </cell>
          <cell r="BC92">
            <v>0.40110357760828075</v>
          </cell>
          <cell r="BD92">
            <v>0.42003136429149152</v>
          </cell>
        </row>
        <row r="93">
          <cell r="A93" t="str">
            <v>Effective Tax Rate</v>
          </cell>
          <cell r="E93" t="e">
            <v>#REF!</v>
          </cell>
          <cell r="F93" t="e">
            <v>#REF!</v>
          </cell>
          <cell r="G93" t="e">
            <v>#REF!</v>
          </cell>
          <cell r="H93" t="e">
            <v>#REF!</v>
          </cell>
          <cell r="I93" t="e">
            <v>#REF!</v>
          </cell>
          <cell r="K93">
            <v>0.2623532779845405</v>
          </cell>
          <cell r="L93">
            <v>0.45</v>
          </cell>
          <cell r="M93" t="e">
            <v>#REF!</v>
          </cell>
          <cell r="N93" t="e">
            <v>#REF!</v>
          </cell>
          <cell r="O93" t="e">
            <v>#REF!</v>
          </cell>
          <cell r="Q93" t="e">
            <v>#REF!</v>
          </cell>
          <cell r="R93" t="e">
            <v>#REF!</v>
          </cell>
          <cell r="S93" t="e">
            <v>#REF!</v>
          </cell>
          <cell r="T93">
            <v>0.30999611367902297</v>
          </cell>
          <cell r="V93" t="e">
            <v>#REF!</v>
          </cell>
          <cell r="X93">
            <v>0.32000327971496295</v>
          </cell>
          <cell r="Y93">
            <v>0.32</v>
          </cell>
          <cell r="Z93">
            <v>0.31999871017670578</v>
          </cell>
          <cell r="AA93">
            <v>0.31999514044746247</v>
          </cell>
          <cell r="AB93">
            <v>0.31470237612990593</v>
          </cell>
          <cell r="AC93">
            <v>0.29310314013547084</v>
          </cell>
          <cell r="AD93">
            <v>0.35390150012331251</v>
          </cell>
          <cell r="AE93">
            <v>0.34529814889467547</v>
          </cell>
          <cell r="AF93">
            <v>0.35107066548951799</v>
          </cell>
          <cell r="AG93">
            <v>0.33740150995195606</v>
          </cell>
          <cell r="AH93">
            <v>0.29600009254581983</v>
          </cell>
          <cell r="AI93">
            <v>0.33369871275065505</v>
          </cell>
          <cell r="AJ93">
            <v>0.34286249155297427</v>
          </cell>
          <cell r="AK93">
            <v>0.32536330312784922</v>
          </cell>
          <cell r="AL93">
            <v>0.32351324460276842</v>
          </cell>
          <cell r="AM93">
            <v>0.34913730925785391</v>
          </cell>
          <cell r="AN93">
            <v>0.37353063543613657</v>
          </cell>
          <cell r="AO93">
            <v>0.36212010404470707</v>
          </cell>
          <cell r="AP93">
            <v>0.35875944908660012</v>
          </cell>
          <cell r="AQ93">
            <v>0.36207941865408261</v>
          </cell>
          <cell r="AR93">
            <v>0.36689218510891641</v>
          </cell>
          <cell r="AS93">
            <v>0.27840295164053236</v>
          </cell>
          <cell r="AT93">
            <v>0.40612988523170768</v>
          </cell>
          <cell r="AU93">
            <v>0.39402677082588805</v>
          </cell>
          <cell r="AV93">
            <v>0.3675007695945508</v>
          </cell>
          <cell r="AW93">
            <v>0.37927409676210977</v>
          </cell>
          <cell r="AX93">
            <v>0.38109173557661891</v>
          </cell>
          <cell r="AY93">
            <v>0.3709547650110756</v>
          </cell>
          <cell r="AZ93">
            <v>0.375</v>
          </cell>
          <cell r="BA93">
            <v>0.3764018681513287</v>
          </cell>
          <cell r="BB93">
            <v>0.375</v>
          </cell>
          <cell r="BC93">
            <v>0.37500000000000006</v>
          </cell>
          <cell r="BD93">
            <v>0.37499999999999994</v>
          </cell>
        </row>
        <row r="94">
          <cell r="A94" t="str">
            <v>Net Margin</v>
          </cell>
          <cell r="E94" t="e">
            <v>#REF!</v>
          </cell>
          <cell r="F94" t="e">
            <v>#REF!</v>
          </cell>
          <cell r="G94" t="e">
            <v>#REF!</v>
          </cell>
          <cell r="H94" t="e">
            <v>#REF!</v>
          </cell>
          <cell r="I94" t="e">
            <v>#REF!</v>
          </cell>
          <cell r="K94">
            <v>0.21475031088203819</v>
          </cell>
          <cell r="L94">
            <v>0.19100054654178367</v>
          </cell>
          <cell r="M94" t="e">
            <v>#REF!</v>
          </cell>
          <cell r="N94" t="e">
            <v>#REF!</v>
          </cell>
          <cell r="O94" t="e">
            <v>#REF!</v>
          </cell>
          <cell r="Q94" t="e">
            <v>#REF!</v>
          </cell>
          <cell r="R94" t="e">
            <v>#REF!</v>
          </cell>
          <cell r="S94" t="e">
            <v>#REF!</v>
          </cell>
          <cell r="T94">
            <v>0.17969589494787663</v>
          </cell>
          <cell r="V94" t="e">
            <v>#REF!</v>
          </cell>
          <cell r="X94">
            <v>0.18429175740484108</v>
          </cell>
          <cell r="Y94">
            <v>0.2097552099809982</v>
          </cell>
          <cell r="Z94">
            <v>0.20134162828532801</v>
          </cell>
          <cell r="AA94">
            <v>0.18677728914054487</v>
          </cell>
          <cell r="AB94">
            <v>0.2027721679504039</v>
          </cell>
          <cell r="AC94">
            <v>0.20278147574069866</v>
          </cell>
          <cell r="AD94">
            <v>0.19363603642977884</v>
          </cell>
          <cell r="AE94">
            <v>0.18367256488395622</v>
          </cell>
          <cell r="AF94">
            <v>0.16430369332798969</v>
          </cell>
          <cell r="AG94">
            <v>0.18682951090606137</v>
          </cell>
          <cell r="AH94">
            <v>0.24353183792378533</v>
          </cell>
          <cell r="AI94">
            <v>0.20446735824896964</v>
          </cell>
          <cell r="AJ94">
            <v>0.1761484081640646</v>
          </cell>
          <cell r="AK94">
            <v>0.15529302419212357</v>
          </cell>
          <cell r="AL94">
            <v>0.19241517582954659</v>
          </cell>
          <cell r="AM94">
            <v>0.21284334989514272</v>
          </cell>
          <cell r="AN94">
            <v>0.17886351830281239</v>
          </cell>
          <cell r="AO94">
            <v>0.21874611800805319</v>
          </cell>
          <cell r="AP94">
            <v>0.17135938569147724</v>
          </cell>
          <cell r="AQ94">
            <v>0.19353529862759478</v>
          </cell>
          <cell r="AR94">
            <v>0.21320576506148053</v>
          </cell>
          <cell r="AS94">
            <v>0.21519190453205525</v>
          </cell>
          <cell r="AT94">
            <v>0.21910423313416064</v>
          </cell>
          <cell r="AU94">
            <v>0.19189948762897416</v>
          </cell>
          <cell r="AV94">
            <v>0.20914009070989112</v>
          </cell>
          <cell r="AW94">
            <v>0.24722480733415089</v>
          </cell>
          <cell r="AX94">
            <v>0.27393212499730063</v>
          </cell>
          <cell r="AY94">
            <v>0.26738257741450461</v>
          </cell>
          <cell r="AZ94">
            <v>0.23598932758128074</v>
          </cell>
          <cell r="BA94">
            <v>0.25593295483719769</v>
          </cell>
          <cell r="BB94">
            <v>0.25681385486043534</v>
          </cell>
          <cell r="BC94">
            <v>0.26577493568930405</v>
          </cell>
          <cell r="BD94">
            <v>0.27844069148865153</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SET"/>
      <sheetName val="GENSETeuro"/>
      <sheetName val="trimestres"/>
      <sheetName val="FCF1"/>
      <sheetName val="FCF2"/>
      <sheetName val="FCF3"/>
      <sheetName val="estim.CA"/>
      <sheetName val="garde"/>
      <sheetName val="gardeEuro"/>
      <sheetName val="Feuil8"/>
      <sheetName val="Feuil9"/>
      <sheetName val="Feuil10"/>
      <sheetName val="Feuil11"/>
      <sheetName val="EVA"/>
      <sheetName val="Feuil14"/>
      <sheetName val="Feuil15"/>
      <sheetName val="Feuil16"/>
    </sheetNames>
    <sheetDataSet>
      <sheetData sheetId="0" refreshError="1">
        <row r="8">
          <cell r="C8">
            <v>0.33653915423960812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Title Page"/>
      <sheetName val="__FDSCACHE__"/>
      <sheetName val="Drivers"/>
      <sheetName val="Valuations"/>
      <sheetName val="Five Year Sales &amp; Earnings"/>
      <sheetName val="Qtr Income"/>
      <sheetName val=" Qtr Margin"/>
      <sheetName val="Qtr Sales"/>
      <sheetName val="ROIC"/>
      <sheetName val="BS2"/>
      <sheetName val="CF2"/>
      <sheetName val="ICOS JV"/>
      <sheetName val="Q-Preview"/>
      <sheetName val="US Feed"/>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Eli Lilly</v>
          </cell>
        </row>
        <row r="2">
          <cell r="A2" t="str">
            <v>Estimated Sales and Earnings (2000-2007E)</v>
          </cell>
        </row>
        <row r="3">
          <cell r="A3" t="str">
            <v xml:space="preserve">($ Millions) </v>
          </cell>
          <cell r="B3" t="str">
            <v>1995</v>
          </cell>
          <cell r="C3" t="str">
            <v>1996</v>
          </cell>
          <cell r="D3">
            <v>1997</v>
          </cell>
          <cell r="E3" t="str">
            <v>1998</v>
          </cell>
          <cell r="F3" t="str">
            <v>1999</v>
          </cell>
          <cell r="G3">
            <v>2000</v>
          </cell>
          <cell r="H3">
            <v>2001</v>
          </cell>
          <cell r="I3" t="str">
            <v>2002A</v>
          </cell>
          <cell r="J3" t="str">
            <v>2003E</v>
          </cell>
          <cell r="K3" t="str">
            <v>2004E</v>
          </cell>
          <cell r="L3" t="str">
            <v>2005E</v>
          </cell>
          <cell r="M3" t="str">
            <v>2006E</v>
          </cell>
          <cell r="N3" t="str">
            <v>2007E</v>
          </cell>
          <cell r="P3" t="str">
            <v>Comments</v>
          </cell>
        </row>
        <row r="4">
          <cell r="A4" t="str">
            <v>Prozac</v>
          </cell>
          <cell r="B4">
            <v>2066</v>
          </cell>
          <cell r="C4">
            <v>2355.9</v>
          </cell>
          <cell r="D4">
            <v>2559.1999999999998</v>
          </cell>
          <cell r="E4">
            <v>2811.5</v>
          </cell>
          <cell r="F4">
            <v>2601.8000000000002</v>
          </cell>
          <cell r="G4">
            <v>2585.25</v>
          </cell>
          <cell r="H4">
            <v>1989.8999999999999</v>
          </cell>
          <cell r="I4">
            <v>733.8</v>
          </cell>
          <cell r="J4">
            <v>496.68299999999999</v>
          </cell>
          <cell r="K4">
            <v>434.59294999999997</v>
          </cell>
          <cell r="L4">
            <v>391.13365499999998</v>
          </cell>
          <cell r="M4">
            <v>352.02028949999999</v>
          </cell>
          <cell r="N4">
            <v>316.81826054999999</v>
          </cell>
          <cell r="P4" t="str">
            <v>Facing generic competition</v>
          </cell>
        </row>
        <row r="5">
          <cell r="A5" t="str">
            <v>Zyprexa</v>
          </cell>
          <cell r="B5" t="str">
            <v>-</v>
          </cell>
          <cell r="C5">
            <v>86.899999999999991</v>
          </cell>
          <cell r="D5">
            <v>730.19999999999993</v>
          </cell>
          <cell r="E5">
            <v>1443.2</v>
          </cell>
          <cell r="F5">
            <v>1868.1</v>
          </cell>
          <cell r="G5">
            <v>2366.1999999999998</v>
          </cell>
          <cell r="H5">
            <v>3086.6</v>
          </cell>
          <cell r="I5">
            <v>3689</v>
          </cell>
          <cell r="J5">
            <v>4204.3580000000002</v>
          </cell>
          <cell r="K5">
            <v>4653.54108</v>
          </cell>
          <cell r="L5">
            <v>5086.9857071999995</v>
          </cell>
          <cell r="M5">
            <v>5392.2048496320003</v>
          </cell>
          <cell r="N5">
            <v>5688.4510056019199</v>
          </cell>
          <cell r="P5" t="str">
            <v>Solid grower, litigation and diabetes risk pose a threat</v>
          </cell>
        </row>
        <row r="6">
          <cell r="A6" t="str">
            <v>Humulin</v>
          </cell>
          <cell r="B6">
            <v>794</v>
          </cell>
          <cell r="C6">
            <v>884.00000000000011</v>
          </cell>
          <cell r="D6">
            <v>936</v>
          </cell>
          <cell r="E6">
            <v>960.19999999999993</v>
          </cell>
          <cell r="F6">
            <v>1064.5</v>
          </cell>
          <cell r="G6">
            <v>1137.4000000000001</v>
          </cell>
          <cell r="H6">
            <v>1060.5</v>
          </cell>
          <cell r="I6">
            <v>1004</v>
          </cell>
          <cell r="J6">
            <v>942.68799999999987</v>
          </cell>
          <cell r="K6">
            <v>900.64123999999993</v>
          </cell>
          <cell r="L6">
            <v>900.64123999999993</v>
          </cell>
          <cell r="M6">
            <v>900.64123999999993</v>
          </cell>
          <cell r="N6">
            <v>900.64123999999993</v>
          </cell>
          <cell r="P6" t="str">
            <v>Declining sales from switching to Humalog</v>
          </cell>
        </row>
        <row r="7">
          <cell r="A7" t="str">
            <v>Gemzar</v>
          </cell>
          <cell r="B7" t="str">
            <v>-</v>
          </cell>
          <cell r="C7">
            <v>61.9</v>
          </cell>
          <cell r="D7">
            <v>174.8</v>
          </cell>
          <cell r="E7">
            <v>306.8</v>
          </cell>
          <cell r="F7">
            <v>453.09999999999997</v>
          </cell>
          <cell r="G7">
            <v>561.79999999999995</v>
          </cell>
          <cell r="H7">
            <v>722.7</v>
          </cell>
          <cell r="I7">
            <v>874.7</v>
          </cell>
          <cell r="J7">
            <v>969.12299999999993</v>
          </cell>
          <cell r="K7">
            <v>1060.7793199999999</v>
          </cell>
          <cell r="L7">
            <v>1151.3706837999998</v>
          </cell>
          <cell r="M7">
            <v>1238.211261504</v>
          </cell>
          <cell r="N7">
            <v>1319.2481374192798</v>
          </cell>
          <cell r="P7" t="str">
            <v xml:space="preserve">Enjoying solid growth from expanding indications  </v>
          </cell>
        </row>
        <row r="8">
          <cell r="A8" t="str">
            <v xml:space="preserve">ReoPro </v>
          </cell>
          <cell r="B8">
            <v>23</v>
          </cell>
          <cell r="C8">
            <v>148.69999999999999</v>
          </cell>
          <cell r="D8">
            <v>254.5</v>
          </cell>
          <cell r="E8">
            <v>365.4</v>
          </cell>
          <cell r="F8">
            <v>446.5</v>
          </cell>
          <cell r="G8">
            <v>418.9</v>
          </cell>
          <cell r="H8">
            <v>431.4</v>
          </cell>
          <cell r="I8">
            <v>384</v>
          </cell>
          <cell r="J8">
            <v>326.39999999999998</v>
          </cell>
          <cell r="K8">
            <v>293.76</v>
          </cell>
          <cell r="L8">
            <v>279.072</v>
          </cell>
          <cell r="M8">
            <v>265.11840000000001</v>
          </cell>
          <cell r="N8">
            <v>251.86248000000001</v>
          </cell>
          <cell r="P8" t="str">
            <v>Integrilin has taken share through pricing advantages.</v>
          </cell>
        </row>
        <row r="9">
          <cell r="A9" t="str">
            <v>Evista</v>
          </cell>
          <cell r="B9" t="str">
            <v>-</v>
          </cell>
          <cell r="C9" t="str">
            <v>-</v>
          </cell>
          <cell r="D9" t="str">
            <v>-</v>
          </cell>
          <cell r="E9">
            <v>144</v>
          </cell>
          <cell r="F9">
            <v>325.39999999999998</v>
          </cell>
          <cell r="G9">
            <v>522.20000000000005</v>
          </cell>
          <cell r="H9">
            <v>664.80000000000007</v>
          </cell>
          <cell r="I9">
            <v>821.90000000000009</v>
          </cell>
          <cell r="J9">
            <v>927.19900000000007</v>
          </cell>
          <cell r="K9">
            <v>1032.6744100000001</v>
          </cell>
          <cell r="L9">
            <v>1135.5047128000001</v>
          </cell>
          <cell r="M9">
            <v>1239.6301198240001</v>
          </cell>
          <cell r="N9">
            <v>1345.00327021168</v>
          </cell>
          <cell r="P9" t="str">
            <v xml:space="preserve">Strong growth on heels of the MORE study (reduced fracture risk, increased bone density). </v>
          </cell>
        </row>
        <row r="10">
          <cell r="A10" t="str">
            <v>Ceclor</v>
          </cell>
          <cell r="B10">
            <v>722</v>
          </cell>
          <cell r="C10">
            <v>542</v>
          </cell>
          <cell r="D10">
            <v>442.30000000000007</v>
          </cell>
          <cell r="E10">
            <v>398.70000000000005</v>
          </cell>
          <cell r="F10">
            <v>336.79999999999995</v>
          </cell>
          <cell r="G10">
            <v>292.14</v>
          </cell>
          <cell r="H10">
            <v>231.6</v>
          </cell>
          <cell r="I10">
            <v>197.39999999999998</v>
          </cell>
          <cell r="J10">
            <v>190.79899999999998</v>
          </cell>
          <cell r="K10">
            <v>185.07502999999997</v>
          </cell>
          <cell r="L10">
            <v>179.52277909999998</v>
          </cell>
          <cell r="M10">
            <v>174.13709572699997</v>
          </cell>
          <cell r="N10">
            <v>168.91298285518997</v>
          </cell>
          <cell r="P10" t="str">
            <v>Faces generic competition</v>
          </cell>
        </row>
        <row r="11">
          <cell r="A11" t="str">
            <v>Axid</v>
          </cell>
          <cell r="B11">
            <v>548</v>
          </cell>
          <cell r="C11">
            <v>531.29999999999995</v>
          </cell>
          <cell r="D11">
            <v>526.5</v>
          </cell>
          <cell r="E11">
            <v>418.4</v>
          </cell>
          <cell r="F11">
            <v>349.8</v>
          </cell>
          <cell r="G11">
            <v>326.27</v>
          </cell>
          <cell r="H11">
            <v>284.7</v>
          </cell>
          <cell r="I11">
            <v>112.7</v>
          </cell>
          <cell r="J11">
            <v>69.41</v>
          </cell>
          <cell r="K11">
            <v>65.718000000000004</v>
          </cell>
          <cell r="L11">
            <v>62.432099999999998</v>
          </cell>
          <cell r="M11">
            <v>60.559137</v>
          </cell>
          <cell r="N11">
            <v>58.742362890000003</v>
          </cell>
          <cell r="P11" t="str">
            <v>Patent expiration and PPI's further pressuring franchise sales.</v>
          </cell>
        </row>
        <row r="12">
          <cell r="A12" t="str">
            <v>Humatrope</v>
          </cell>
          <cell r="B12">
            <v>269</v>
          </cell>
          <cell r="C12">
            <v>267.89999999999998</v>
          </cell>
          <cell r="D12">
            <v>259.8</v>
          </cell>
          <cell r="E12">
            <v>268.10000000000002</v>
          </cell>
          <cell r="F12">
            <v>297.39999999999998</v>
          </cell>
          <cell r="G12">
            <v>303.29999999999995</v>
          </cell>
          <cell r="H12">
            <v>312.7</v>
          </cell>
          <cell r="I12">
            <v>329.29999999999995</v>
          </cell>
          <cell r="J12">
            <v>345.76499999999993</v>
          </cell>
          <cell r="K12">
            <v>359.59559999999993</v>
          </cell>
          <cell r="L12">
            <v>373.97942399999994</v>
          </cell>
          <cell r="M12">
            <v>388.93860095999992</v>
          </cell>
          <cell r="N12">
            <v>404.49614499839993</v>
          </cell>
          <cell r="P12" t="str">
            <v>Human Growth Hormone has flat growth</v>
          </cell>
        </row>
        <row r="13">
          <cell r="A13" t="str">
            <v>Humalog</v>
          </cell>
          <cell r="B13" t="str">
            <v>-</v>
          </cell>
          <cell r="C13">
            <v>20</v>
          </cell>
          <cell r="D13">
            <v>67.8</v>
          </cell>
          <cell r="E13">
            <v>129.89999999999998</v>
          </cell>
          <cell r="F13">
            <v>224.50000000000003</v>
          </cell>
          <cell r="G13">
            <v>350.24</v>
          </cell>
          <cell r="H13">
            <v>627.80000000000007</v>
          </cell>
          <cell r="I13">
            <v>834.19999999999993</v>
          </cell>
          <cell r="J13">
            <v>1011.606</v>
          </cell>
          <cell r="K13">
            <v>1176.2374199999999</v>
          </cell>
          <cell r="L13">
            <v>1352.673033</v>
          </cell>
          <cell r="M13">
            <v>1542.04725762</v>
          </cell>
          <cell r="N13">
            <v>1757.9338736868003</v>
          </cell>
          <cell r="P13" t="str">
            <v>Driven by Humulin switches and upgrades to pen delivery, mixtures</v>
          </cell>
        </row>
        <row r="14">
          <cell r="A14" t="str">
            <v>Actos</v>
          </cell>
          <cell r="G14">
            <v>224</v>
          </cell>
          <cell r="H14">
            <v>361</v>
          </cell>
          <cell r="I14">
            <v>392.09999999999997</v>
          </cell>
          <cell r="J14">
            <v>443.07299999999998</v>
          </cell>
          <cell r="K14">
            <v>487.38029999999998</v>
          </cell>
          <cell r="L14">
            <v>531.24452699999995</v>
          </cell>
          <cell r="M14">
            <v>318.74671619999992</v>
          </cell>
          <cell r="N14">
            <v>127.49868647999998</v>
          </cell>
          <cell r="P14" t="str">
            <v>Co-promoted w/Takeda; new competitive pressure from Avandamet</v>
          </cell>
        </row>
        <row r="15">
          <cell r="A15" t="str">
            <v>Xigris</v>
          </cell>
          <cell r="G15">
            <v>0</v>
          </cell>
          <cell r="H15">
            <v>21.1</v>
          </cell>
          <cell r="I15">
            <v>100.19999999999999</v>
          </cell>
          <cell r="J15">
            <v>168.62</v>
          </cell>
          <cell r="K15">
            <v>241.006</v>
          </cell>
          <cell r="L15">
            <v>329.28210000000001</v>
          </cell>
          <cell r="M15">
            <v>428.06673000000001</v>
          </cell>
          <cell r="N15">
            <v>522.23706990000005</v>
          </cell>
          <cell r="P15" t="str">
            <v>Ramp has been slower than expected due to restricitve labeling</v>
          </cell>
        </row>
        <row r="16">
          <cell r="A16" t="str">
            <v>Other diabetes</v>
          </cell>
          <cell r="F16">
            <v>137.19999999999999</v>
          </cell>
          <cell r="G16">
            <v>72.599999999999994</v>
          </cell>
          <cell r="H16">
            <v>75.899999999999991</v>
          </cell>
          <cell r="I16">
            <v>57.8</v>
          </cell>
          <cell r="J16">
            <v>52.019999999999996</v>
          </cell>
          <cell r="K16">
            <v>52.019999999999996</v>
          </cell>
          <cell r="L16">
            <v>52.019999999999996</v>
          </cell>
          <cell r="M16">
            <v>52.019999999999996</v>
          </cell>
          <cell r="N16">
            <v>52.019999999999996</v>
          </cell>
        </row>
        <row r="17">
          <cell r="A17" t="str">
            <v xml:space="preserve">  Forteo</v>
          </cell>
          <cell r="E17" t="str">
            <v xml:space="preserve"> </v>
          </cell>
          <cell r="I17">
            <v>5.5</v>
          </cell>
          <cell r="J17">
            <v>75</v>
          </cell>
          <cell r="K17">
            <v>150</v>
          </cell>
          <cell r="L17">
            <v>250</v>
          </cell>
          <cell r="M17">
            <v>335</v>
          </cell>
          <cell r="N17">
            <v>400</v>
          </cell>
          <cell r="P17" t="str">
            <v>PTH for treatment of osteoporosis; Approved 4Q02</v>
          </cell>
        </row>
        <row r="18">
          <cell r="A18" t="str">
            <v xml:space="preserve">  Glycopeptide/Oritavancin</v>
          </cell>
          <cell r="B18" t="str">
            <v>-</v>
          </cell>
          <cell r="C18" t="str">
            <v>-</v>
          </cell>
          <cell r="D18" t="str">
            <v>-</v>
          </cell>
          <cell r="H18" t="str">
            <v xml:space="preserve"> </v>
          </cell>
          <cell r="I18">
            <v>0</v>
          </cell>
          <cell r="J18">
            <v>0</v>
          </cell>
          <cell r="K18">
            <v>0</v>
          </cell>
          <cell r="L18">
            <v>0</v>
          </cell>
          <cell r="M18">
            <v>0</v>
          </cell>
          <cell r="N18">
            <v>0</v>
          </cell>
          <cell r="P18" t="str">
            <v>Outlicensed</v>
          </cell>
        </row>
        <row r="20">
          <cell r="A20" t="str">
            <v xml:space="preserve">  Strattera</v>
          </cell>
          <cell r="D20" t="str">
            <v>-</v>
          </cell>
          <cell r="H20" t="str">
            <v xml:space="preserve"> </v>
          </cell>
          <cell r="I20">
            <v>2.6</v>
          </cell>
          <cell r="J20">
            <v>175</v>
          </cell>
          <cell r="K20">
            <v>300</v>
          </cell>
          <cell r="L20">
            <v>400</v>
          </cell>
          <cell r="M20">
            <v>500</v>
          </cell>
          <cell r="N20">
            <v>600</v>
          </cell>
          <cell r="P20" t="str">
            <v xml:space="preserve">Approved 4Q02with non-stimulant label </v>
          </cell>
        </row>
        <row r="21">
          <cell r="A21" t="str">
            <v xml:space="preserve">  Alimta</v>
          </cell>
          <cell r="H21" t="str">
            <v xml:space="preserve"> </v>
          </cell>
          <cell r="I21">
            <v>0</v>
          </cell>
          <cell r="J21">
            <v>25</v>
          </cell>
          <cell r="K21">
            <v>100</v>
          </cell>
          <cell r="L21">
            <v>175</v>
          </cell>
          <cell r="M21">
            <v>250</v>
          </cell>
          <cell r="N21">
            <v>300</v>
          </cell>
          <cell r="P21" t="str">
            <v>Anticancer.  Rolling submission for mesothelioma started 4Q02.</v>
          </cell>
        </row>
        <row r="22">
          <cell r="A22" t="str">
            <v xml:space="preserve">  R- fluoxetine</v>
          </cell>
          <cell r="I22">
            <v>0</v>
          </cell>
          <cell r="J22">
            <v>0</v>
          </cell>
          <cell r="K22">
            <v>0</v>
          </cell>
          <cell r="L22">
            <v>0</v>
          </cell>
          <cell r="M22">
            <v>0</v>
          </cell>
          <cell r="N22">
            <v>0</v>
          </cell>
          <cell r="P22" t="str">
            <v>Sepracor's single isomer version of Prozac was cancelled due to cardiac warning signals</v>
          </cell>
        </row>
        <row r="23">
          <cell r="A23" t="str">
            <v xml:space="preserve">  Cymbalta</v>
          </cell>
          <cell r="B23" t="str">
            <v>-</v>
          </cell>
          <cell r="C23" t="str">
            <v>-</v>
          </cell>
          <cell r="D23" t="str">
            <v>-</v>
          </cell>
          <cell r="J23">
            <v>50</v>
          </cell>
          <cell r="K23">
            <v>250</v>
          </cell>
          <cell r="L23">
            <v>500</v>
          </cell>
          <cell r="M23">
            <v>700</v>
          </cell>
          <cell r="N23">
            <v>1000</v>
          </cell>
          <cell r="P23" t="str">
            <v>Approvable for Dperession, SUI filed 4Q02</v>
          </cell>
        </row>
        <row r="24">
          <cell r="A24" t="str">
            <v xml:space="preserve">  PKC inhibitor</v>
          </cell>
          <cell r="K24">
            <v>0</v>
          </cell>
          <cell r="L24">
            <v>125</v>
          </cell>
          <cell r="M24">
            <v>300</v>
          </cell>
          <cell r="N24">
            <v>500</v>
          </cell>
          <cell r="P24" t="str">
            <v>Diabetic retinopathy and diabetic macular edema. Plan filing for late 2003.</v>
          </cell>
        </row>
        <row r="25">
          <cell r="A25" t="str">
            <v xml:space="preserve">  Olanzapine-fluoxetine combination</v>
          </cell>
          <cell r="K25">
            <v>100</v>
          </cell>
          <cell r="L25">
            <v>200</v>
          </cell>
          <cell r="M25">
            <v>300</v>
          </cell>
          <cell r="N25">
            <v>400</v>
          </cell>
          <cell r="P25" t="str">
            <v>Prozac/Zyprexa combination. Filed 4Q02</v>
          </cell>
        </row>
        <row r="26">
          <cell r="A26" t="str">
            <v xml:space="preserve">  Arzoxifene</v>
          </cell>
          <cell r="L26">
            <v>50</v>
          </cell>
          <cell r="M26">
            <v>100</v>
          </cell>
          <cell r="N26">
            <v>200</v>
          </cell>
          <cell r="P26" t="str">
            <v>SERM in Phase II</v>
          </cell>
        </row>
        <row r="27">
          <cell r="A27" t="str">
            <v xml:space="preserve">  Moxonidine</v>
          </cell>
          <cell r="D27" t="str">
            <v>-</v>
          </cell>
          <cell r="H27" t="str">
            <v xml:space="preserve"> </v>
          </cell>
          <cell r="J27">
            <v>0</v>
          </cell>
          <cell r="K27">
            <v>0</v>
          </cell>
          <cell r="L27">
            <v>0</v>
          </cell>
          <cell r="P27" t="str">
            <v>Programs discontinued for both congestive heart failure and hypertension.</v>
          </cell>
        </row>
        <row r="28">
          <cell r="A28" t="str">
            <v xml:space="preserve">  Exendin</v>
          </cell>
          <cell r="M28">
            <v>100</v>
          </cell>
          <cell r="N28">
            <v>200</v>
          </cell>
          <cell r="P28" t="str">
            <v>GLP Analogue in collaboration with Amylin</v>
          </cell>
        </row>
        <row r="30">
          <cell r="A30" t="str">
            <v xml:space="preserve">    New Product Total</v>
          </cell>
          <cell r="E30">
            <v>0</v>
          </cell>
          <cell r="F30">
            <v>0</v>
          </cell>
          <cell r="G30">
            <v>0</v>
          </cell>
          <cell r="H30">
            <v>0</v>
          </cell>
          <cell r="I30">
            <v>8.1</v>
          </cell>
          <cell r="J30">
            <v>325</v>
          </cell>
          <cell r="K30">
            <v>900</v>
          </cell>
          <cell r="L30">
            <v>1700</v>
          </cell>
          <cell r="M30">
            <v>2585</v>
          </cell>
          <cell r="N30">
            <v>3600</v>
          </cell>
        </row>
        <row r="31">
          <cell r="A31" t="str">
            <v>Other</v>
          </cell>
          <cell r="B31">
            <v>1571.6</v>
          </cell>
          <cell r="C31">
            <v>1531</v>
          </cell>
          <cell r="D31">
            <v>1421.7</v>
          </cell>
          <cell r="E31">
            <v>1242.7000000000025</v>
          </cell>
          <cell r="F31">
            <v>1123.8000000000002</v>
          </cell>
          <cell r="G31">
            <v>1110.8999999999996</v>
          </cell>
          <cell r="H31">
            <v>975.10000000000036</v>
          </cell>
          <cell r="I31">
            <v>844.58</v>
          </cell>
          <cell r="J31">
            <v>789.90139999999997</v>
          </cell>
          <cell r="K31">
            <v>754.50791000000004</v>
          </cell>
          <cell r="L31">
            <v>728.82752870000013</v>
          </cell>
          <cell r="M31">
            <v>704.89576523899996</v>
          </cell>
          <cell r="N31">
            <v>682.57018820183021</v>
          </cell>
        </row>
        <row r="32">
          <cell r="A32" t="str">
            <v>Total Pharmaceuticals</v>
          </cell>
          <cell r="B32">
            <v>5993.6</v>
          </cell>
          <cell r="C32">
            <v>6429.5999999999995</v>
          </cell>
          <cell r="D32">
            <v>7372.8</v>
          </cell>
          <cell r="E32">
            <v>8488.9000000000015</v>
          </cell>
          <cell r="F32">
            <v>9228.9</v>
          </cell>
          <cell r="G32">
            <v>10271.199999999999</v>
          </cell>
          <cell r="H32">
            <v>10845.800000000001</v>
          </cell>
          <cell r="I32">
            <v>10383.780000000001</v>
          </cell>
          <cell r="J32">
            <v>11262.645400000001</v>
          </cell>
          <cell r="K32">
            <v>12597.529260000001</v>
          </cell>
          <cell r="L32">
            <v>14254.6894906</v>
          </cell>
          <cell r="M32">
            <v>15642.237463206002</v>
          </cell>
          <cell r="N32">
            <v>17196.435702795101</v>
          </cell>
          <cell r="P32">
            <v>0.18311688912318069</v>
          </cell>
          <cell r="Q32">
            <v>0.10615654258630615</v>
          </cell>
        </row>
        <row r="33">
          <cell r="A33" t="str">
            <v>Animal Health/Industrials</v>
          </cell>
          <cell r="B33">
            <v>512.4</v>
          </cell>
          <cell r="C33">
            <v>547.29999999999995</v>
          </cell>
          <cell r="D33">
            <v>589.79999999999995</v>
          </cell>
          <cell r="E33">
            <v>620.9</v>
          </cell>
          <cell r="F33">
            <v>635.5</v>
          </cell>
          <cell r="G33">
            <v>682.00000000000011</v>
          </cell>
          <cell r="H33">
            <v>696.6</v>
          </cell>
          <cell r="I33">
            <v>693.7</v>
          </cell>
          <cell r="J33">
            <v>693.7</v>
          </cell>
          <cell r="K33">
            <v>693.7</v>
          </cell>
          <cell r="L33">
            <v>693.7</v>
          </cell>
          <cell r="M33">
            <v>693.7</v>
          </cell>
          <cell r="N33">
            <v>693.7</v>
          </cell>
          <cell r="P33" t="str">
            <v>3-Year CAGR</v>
          </cell>
          <cell r="Q33" t="str">
            <v>5-Year CAGR</v>
          </cell>
        </row>
        <row r="34">
          <cell r="A34" t="str">
            <v>Total Revenues</v>
          </cell>
          <cell r="B34">
            <v>6506</v>
          </cell>
          <cell r="C34">
            <v>6976.9</v>
          </cell>
          <cell r="D34">
            <v>7962.6</v>
          </cell>
          <cell r="E34">
            <v>9109.8000000000011</v>
          </cell>
          <cell r="F34">
            <v>9864.2999999999993</v>
          </cell>
          <cell r="G34">
            <v>10953.199999999999</v>
          </cell>
          <cell r="H34">
            <v>11542.400000000001</v>
          </cell>
          <cell r="I34">
            <v>11077.480000000001</v>
          </cell>
          <cell r="J34">
            <v>11956.345400000002</v>
          </cell>
          <cell r="K34">
            <v>13291.229260000002</v>
          </cell>
          <cell r="L34">
            <v>14948.3894906</v>
          </cell>
          <cell r="M34">
            <v>16335.937463206003</v>
          </cell>
          <cell r="N34">
            <v>17890.135702795102</v>
          </cell>
          <cell r="P34">
            <v>0.17325087492637559</v>
          </cell>
          <cell r="Q34">
            <v>0.10061273094390182</v>
          </cell>
        </row>
        <row r="35">
          <cell r="A35" t="str">
            <v>COGS</v>
          </cell>
          <cell r="B35">
            <v>1885.7</v>
          </cell>
          <cell r="C35">
            <v>2118.4</v>
          </cell>
          <cell r="D35">
            <v>2362.9</v>
          </cell>
          <cell r="E35">
            <v>2015.1000000000001</v>
          </cell>
          <cell r="F35">
            <v>2085.8000000000002</v>
          </cell>
          <cell r="G35">
            <v>2067.8999999999996</v>
          </cell>
          <cell r="H35">
            <v>2160.1999999999998</v>
          </cell>
          <cell r="I35">
            <v>2176.5</v>
          </cell>
          <cell r="J35">
            <v>2546.7015701999999</v>
          </cell>
          <cell r="K35">
            <v>2804.4493738600004</v>
          </cell>
          <cell r="L35">
            <v>3109.2650140448004</v>
          </cell>
          <cell r="M35">
            <v>3365.2031174204362</v>
          </cell>
          <cell r="N35">
            <v>3649.5876833701996</v>
          </cell>
          <cell r="P35" t="str">
            <v>Improved product mix is driving gross margin expansion.</v>
          </cell>
        </row>
        <row r="36">
          <cell r="A36" t="str">
            <v>SG&amp;A</v>
          </cell>
          <cell r="B36">
            <v>1854</v>
          </cell>
          <cell r="C36">
            <v>1991.9</v>
          </cell>
          <cell r="D36">
            <v>2294</v>
          </cell>
          <cell r="E36">
            <v>2658.3</v>
          </cell>
          <cell r="F36">
            <v>2757.6000000000004</v>
          </cell>
          <cell r="G36">
            <v>3228.3</v>
          </cell>
          <cell r="H36">
            <v>3417.3999999999996</v>
          </cell>
          <cell r="I36">
            <v>3424</v>
          </cell>
          <cell r="J36">
            <v>3784.1833191000001</v>
          </cell>
          <cell r="K36">
            <v>4160.1547583800002</v>
          </cell>
          <cell r="L36">
            <v>4604.1039631048006</v>
          </cell>
          <cell r="M36">
            <v>4949.7890513514185</v>
          </cell>
          <cell r="N36">
            <v>5411.7660500955171</v>
          </cell>
          <cell r="P36" t="str">
            <v>Expect higher SG&amp;A spend in support of salesforce expansion in US and international</v>
          </cell>
        </row>
        <row r="37">
          <cell r="A37" t="str">
            <v>R&amp;D</v>
          </cell>
          <cell r="B37">
            <v>1042.3</v>
          </cell>
          <cell r="C37">
            <v>1189.5</v>
          </cell>
          <cell r="D37">
            <v>1382</v>
          </cell>
          <cell r="E37">
            <v>1738.9</v>
          </cell>
          <cell r="F37">
            <v>1783.6</v>
          </cell>
          <cell r="G37">
            <v>2018.5</v>
          </cell>
          <cell r="H37">
            <v>2235.1</v>
          </cell>
          <cell r="I37">
            <v>2149.3000000000002</v>
          </cell>
          <cell r="J37">
            <v>2331.487353</v>
          </cell>
          <cell r="K37">
            <v>2551.9160179200003</v>
          </cell>
          <cell r="L37">
            <v>2840.1940032140005</v>
          </cell>
          <cell r="M37">
            <v>3030.3163994247134</v>
          </cell>
          <cell r="N37">
            <v>3309.6751050170933</v>
          </cell>
        </row>
        <row r="38">
          <cell r="A38" t="str">
            <v>Operating Income</v>
          </cell>
          <cell r="D38">
            <v>2478.7000000000003</v>
          </cell>
          <cell r="E38">
            <v>2824.5</v>
          </cell>
          <cell r="F38">
            <v>3237.2999999999988</v>
          </cell>
          <cell r="G38">
            <v>3638.4999999999991</v>
          </cell>
          <cell r="H38">
            <v>3729.7000000000012</v>
          </cell>
          <cell r="I38">
            <v>3327.6800000000012</v>
          </cell>
          <cell r="J38">
            <v>3293.9731577000025</v>
          </cell>
          <cell r="K38">
            <v>3774.7091098400001</v>
          </cell>
          <cell r="L38">
            <v>4394.8265102363985</v>
          </cell>
          <cell r="M38">
            <v>4990.628895009434</v>
          </cell>
          <cell r="N38">
            <v>5519.1068643122926</v>
          </cell>
        </row>
        <row r="39">
          <cell r="A39" t="str">
            <v>Other Inc. (Exp). Net</v>
          </cell>
          <cell r="B39">
            <v>216.2</v>
          </cell>
          <cell r="C39">
            <v>107.5</v>
          </cell>
          <cell r="D39">
            <v>137.19999999999999</v>
          </cell>
          <cell r="E39">
            <v>-32</v>
          </cell>
          <cell r="F39">
            <v>-58.7</v>
          </cell>
          <cell r="G39">
            <v>85.6</v>
          </cell>
          <cell r="H39">
            <v>134.19999999999999</v>
          </cell>
          <cell r="I39">
            <v>214</v>
          </cell>
          <cell r="J39">
            <v>210.60578754264637</v>
          </cell>
          <cell r="K39">
            <v>290.40384863715224</v>
          </cell>
          <cell r="L39">
            <v>346.33804660956059</v>
          </cell>
          <cell r="M39">
            <v>420.79985125319928</v>
          </cell>
          <cell r="N39">
            <v>450</v>
          </cell>
          <cell r="P39" t="str">
            <v>Includes ICOS joint venture.</v>
          </cell>
        </row>
        <row r="40">
          <cell r="A40" t="str">
            <v>Pretax Income</v>
          </cell>
          <cell r="B40">
            <v>1507.8000000000002</v>
          </cell>
          <cell r="C40">
            <v>1569.5999999999995</v>
          </cell>
          <cell r="D40">
            <v>-692.20000000000073</v>
          </cell>
          <cell r="E40">
            <v>2792.5</v>
          </cell>
          <cell r="F40">
            <v>3178.599999999999</v>
          </cell>
          <cell r="G40">
            <v>3724.099999999999</v>
          </cell>
          <cell r="H40">
            <v>3863.900000000001</v>
          </cell>
          <cell r="I40">
            <v>3541.6800000000012</v>
          </cell>
          <cell r="J40">
            <v>3504.5789452426488</v>
          </cell>
          <cell r="K40">
            <v>4065.1129584771525</v>
          </cell>
          <cell r="L40">
            <v>4741.1645568459589</v>
          </cell>
          <cell r="M40">
            <v>5411.4287462626335</v>
          </cell>
          <cell r="N40">
            <v>5969.1068643122926</v>
          </cell>
        </row>
        <row r="41">
          <cell r="A41" t="str">
            <v>Taxes</v>
          </cell>
          <cell r="B41">
            <v>392.02800000000008</v>
          </cell>
          <cell r="C41">
            <v>391.77215999999987</v>
          </cell>
          <cell r="D41">
            <v>585.4</v>
          </cell>
          <cell r="E41">
            <v>619.39999999999986</v>
          </cell>
          <cell r="F41">
            <v>709.8</v>
          </cell>
          <cell r="G41">
            <v>819.2</v>
          </cell>
          <cell r="H41">
            <v>850.05800000000022</v>
          </cell>
          <cell r="I41">
            <v>779.16960000000029</v>
          </cell>
          <cell r="J41">
            <v>771.00736795338275</v>
          </cell>
          <cell r="K41">
            <v>894.32485086497354</v>
          </cell>
          <cell r="L41">
            <v>1043.056202506111</v>
          </cell>
          <cell r="M41">
            <v>1190.5143241777794</v>
          </cell>
          <cell r="N41">
            <v>1313.2035101487045</v>
          </cell>
        </row>
        <row r="42">
          <cell r="A42" t="str">
            <v>Tax Rate</v>
          </cell>
          <cell r="B42">
            <v>0.26</v>
          </cell>
          <cell r="C42">
            <v>0.24959999999999999</v>
          </cell>
          <cell r="D42">
            <v>-0.8457093325628422</v>
          </cell>
          <cell r="E42">
            <v>0.2218084153983885</v>
          </cell>
          <cell r="F42">
            <v>0.22330585792487265</v>
          </cell>
          <cell r="G42">
            <v>0.21997261083214745</v>
          </cell>
          <cell r="H42">
            <v>0.22</v>
          </cell>
          <cell r="I42">
            <v>0.22</v>
          </cell>
          <cell r="J42">
            <v>0.22</v>
          </cell>
          <cell r="K42">
            <v>0.22</v>
          </cell>
          <cell r="L42">
            <v>0.22</v>
          </cell>
          <cell r="M42">
            <v>0.22</v>
          </cell>
          <cell r="N42">
            <v>0.22</v>
          </cell>
        </row>
        <row r="43">
          <cell r="A43" t="str">
            <v>Net Income</v>
          </cell>
          <cell r="B43">
            <v>1115.7720000000002</v>
          </cell>
          <cell r="C43">
            <v>1177.8278399999995</v>
          </cell>
          <cell r="D43">
            <v>-1277.6000000000008</v>
          </cell>
          <cell r="E43">
            <v>2173.1000000000004</v>
          </cell>
          <cell r="F43">
            <v>2468.7999999999993</v>
          </cell>
          <cell r="G43">
            <v>2904.8999999999987</v>
          </cell>
          <cell r="H43">
            <v>3013.8420000000006</v>
          </cell>
          <cell r="I43">
            <v>2762.510400000001</v>
          </cell>
          <cell r="J43">
            <v>2733.5715772892663</v>
          </cell>
          <cell r="K43">
            <v>3170.7881076121789</v>
          </cell>
          <cell r="L43">
            <v>3698.1083543398481</v>
          </cell>
          <cell r="M43">
            <v>4220.9144220848539</v>
          </cell>
          <cell r="N43">
            <v>4655.9033541635881</v>
          </cell>
          <cell r="P43" t="str">
            <v>3-Year CAGR</v>
          </cell>
          <cell r="Q43" t="str">
            <v>5-Year CAGR</v>
          </cell>
        </row>
        <row r="44">
          <cell r="A44" t="str">
            <v xml:space="preserve">EPS </v>
          </cell>
          <cell r="C44" t="e">
            <v>#REF!</v>
          </cell>
          <cell r="D44" t="e">
            <v>#REF!</v>
          </cell>
          <cell r="E44">
            <v>1.9300000000000002</v>
          </cell>
          <cell r="F44">
            <v>2.2331776721953069</v>
          </cell>
          <cell r="G44">
            <v>2.6475219306655244</v>
          </cell>
          <cell r="H44">
            <v>2.7629825273906241</v>
          </cell>
          <cell r="I44">
            <v>2.5458860479518721</v>
          </cell>
          <cell r="J44">
            <v>2.5218938916036246</v>
          </cell>
          <cell r="K44">
            <v>2.9252539888076226</v>
          </cell>
          <cell r="L44">
            <v>3.4117405034428678</v>
          </cell>
          <cell r="M44">
            <v>3.8940624004414044</v>
          </cell>
          <cell r="N44">
            <v>4.2953673963809562</v>
          </cell>
          <cell r="P44">
            <v>0.19047547181752694</v>
          </cell>
          <cell r="Q44">
            <v>0.11027937193316943</v>
          </cell>
        </row>
        <row r="45">
          <cell r="A45" t="str">
            <v>ANNUAL EPS GROWTH</v>
          </cell>
          <cell r="E45">
            <v>0.22929936305732479</v>
          </cell>
          <cell r="F45">
            <v>0.15708687678513303</v>
          </cell>
          <cell r="G45">
            <v>0.18554021188242481</v>
          </cell>
          <cell r="H45">
            <v>4.3610817870005557E-2</v>
          </cell>
          <cell r="I45">
            <v>-7.85732364524864E-2</v>
          </cell>
          <cell r="J45">
            <v>-9.4238924666517621E-3</v>
          </cell>
          <cell r="K45">
            <v>0.15994332614347578</v>
          </cell>
          <cell r="L45">
            <v>0.16630573498800508</v>
          </cell>
          <cell r="M45">
            <v>0.14137121405095557</v>
          </cell>
          <cell r="N45">
            <v>0.10305561510623523</v>
          </cell>
        </row>
        <row r="46">
          <cell r="A46" t="str">
            <v>Avg. Shares Out.</v>
          </cell>
          <cell r="C46">
            <v>1117.1099999999999</v>
          </cell>
          <cell r="D46">
            <v>1130.579</v>
          </cell>
          <cell r="E46">
            <v>1121.4860000000001</v>
          </cell>
          <cell r="F46">
            <v>1106.0550000000001</v>
          </cell>
          <cell r="G46">
            <v>1097.7</v>
          </cell>
          <cell r="H46">
            <v>1090.7929999999999</v>
          </cell>
          <cell r="I46">
            <v>1085.088</v>
          </cell>
          <cell r="J46">
            <v>1083.9359999999999</v>
          </cell>
          <cell r="K46">
            <v>1083.9359999999999</v>
          </cell>
          <cell r="L46">
            <v>1083.9359999999999</v>
          </cell>
          <cell r="M46">
            <v>1083.9359999999999</v>
          </cell>
          <cell r="N46">
            <v>1083.9359999999999</v>
          </cell>
        </row>
        <row r="47">
          <cell r="A47" t="str">
            <v>DPS</v>
          </cell>
          <cell r="D47">
            <v>0.74</v>
          </cell>
          <cell r="E47">
            <v>0.8</v>
          </cell>
          <cell r="F47">
            <v>0.92</v>
          </cell>
          <cell r="G47">
            <v>1.04</v>
          </cell>
          <cell r="H47">
            <v>1.2</v>
          </cell>
          <cell r="I47">
            <v>1.36</v>
          </cell>
          <cell r="J47">
            <v>1.52</v>
          </cell>
          <cell r="K47">
            <v>1.68</v>
          </cell>
          <cell r="L47">
            <v>1.86</v>
          </cell>
          <cell r="M47">
            <v>2.0646000000000004</v>
          </cell>
          <cell r="N47">
            <v>2.0646000000000004</v>
          </cell>
        </row>
        <row r="48">
          <cell r="A48" t="str">
            <v>Dividend Payout Ratio</v>
          </cell>
          <cell r="E48">
            <v>0.41450777202072536</v>
          </cell>
          <cell r="F48">
            <v>0.41196901234266847</v>
          </cell>
          <cell r="G48">
            <v>0.39282016437860767</v>
          </cell>
          <cell r="H48">
            <v>0.43431327853284929</v>
          </cell>
          <cell r="I48">
            <v>0.53419515814311491</v>
          </cell>
          <cell r="J48">
            <v>0.60272163117594957</v>
          </cell>
          <cell r="K48">
            <v>0.57430910492828458</v>
          </cell>
          <cell r="L48">
            <v>0.5451762811746762</v>
          </cell>
          <cell r="M48">
            <v>0.53019181196633403</v>
          </cell>
          <cell r="N48">
            <v>0.48065737094794742</v>
          </cell>
        </row>
        <row r="49">
          <cell r="A49" t="str">
            <v>E= Morgan Stanley Research estimates</v>
          </cell>
        </row>
        <row r="53">
          <cell r="A53" t="str">
            <v>Margin Analysis</v>
          </cell>
        </row>
        <row r="54">
          <cell r="A54" t="str">
            <v>COGS</v>
          </cell>
          <cell r="B54">
            <v>0.28984014755610205</v>
          </cell>
          <cell r="C54">
            <v>0.30363055225099977</v>
          </cell>
          <cell r="D54">
            <v>0.29674980533996431</v>
          </cell>
          <cell r="E54">
            <v>0.2212013436079826</v>
          </cell>
          <cell r="F54">
            <v>0.21144936792271121</v>
          </cell>
          <cell r="G54">
            <v>0.18879414235109374</v>
          </cell>
          <cell r="H54">
            <v>0.18715345162184638</v>
          </cell>
          <cell r="I54">
            <v>0.19647970477039903</v>
          </cell>
          <cell r="J54">
            <v>0.21299999999999997</v>
          </cell>
          <cell r="K54">
            <v>0.21099999999999999</v>
          </cell>
          <cell r="L54">
            <v>0.20800000000000002</v>
          </cell>
          <cell r="M54">
            <v>0.20599999999999999</v>
          </cell>
          <cell r="N54">
            <v>0.20399999999999993</v>
          </cell>
        </row>
        <row r="55">
          <cell r="A55" t="str">
            <v>SG&amp;A</v>
          </cell>
          <cell r="B55">
            <v>28.496772210267444</v>
          </cell>
          <cell r="C55">
            <v>28.549929051584517</v>
          </cell>
          <cell r="D55">
            <v>28.809685278677815</v>
          </cell>
          <cell r="E55">
            <v>29.180662583152206</v>
          </cell>
          <cell r="F55">
            <v>27.955354155895506</v>
          </cell>
          <cell r="G55">
            <v>29.47357849760801</v>
          </cell>
          <cell r="H55">
            <v>29.607360687551974</v>
          </cell>
          <cell r="I55">
            <v>30.909557047270674</v>
          </cell>
          <cell r="J55">
            <v>31.649999999999995</v>
          </cell>
          <cell r="K55">
            <v>31.299999999999994</v>
          </cell>
          <cell r="L55">
            <v>30.800000000000004</v>
          </cell>
          <cell r="M55">
            <v>30.3</v>
          </cell>
          <cell r="N55">
            <v>30.249999999999993</v>
          </cell>
        </row>
        <row r="56">
          <cell r="A56" t="str">
            <v>R&amp;D</v>
          </cell>
          <cell r="B56">
            <v>16.020596372579156</v>
          </cell>
          <cell r="C56">
            <v>17.049119236337056</v>
          </cell>
          <cell r="D56">
            <v>17.356139954286288</v>
          </cell>
          <cell r="E56">
            <v>19.088234648400622</v>
          </cell>
          <cell r="F56">
            <v>18.08136411098608</v>
          </cell>
          <cell r="G56">
            <v>18.428404484534202</v>
          </cell>
          <cell r="H56">
            <v>19.364257000277235</v>
          </cell>
          <cell r="I56">
            <v>19.402427266851305</v>
          </cell>
          <cell r="J56">
            <v>19.499999999999996</v>
          </cell>
          <cell r="K56">
            <v>19.2</v>
          </cell>
          <cell r="L56">
            <v>19.000000000000004</v>
          </cell>
          <cell r="M56">
            <v>18.55</v>
          </cell>
          <cell r="N56">
            <v>18.499999999999996</v>
          </cell>
        </row>
        <row r="57">
          <cell r="A57" t="str">
            <v>Operating Income</v>
          </cell>
          <cell r="E57">
            <v>31.005071461502993</v>
          </cell>
          <cell r="F57">
            <v>32.81834494084729</v>
          </cell>
          <cell r="G57">
            <v>33.218602782748412</v>
          </cell>
          <cell r="H57">
            <v>32.313037149986144</v>
          </cell>
          <cell r="I57">
            <v>30.040045208838116</v>
          </cell>
          <cell r="J57">
            <v>27.550000000000018</v>
          </cell>
          <cell r="K57">
            <v>28.4</v>
          </cell>
          <cell r="L57">
            <v>29.399999999999988</v>
          </cell>
          <cell r="M57">
            <v>30.55</v>
          </cell>
          <cell r="N57">
            <v>30.850000000000023</v>
          </cell>
        </row>
        <row r="58">
          <cell r="A58" t="str">
            <v>Pretax Income</v>
          </cell>
          <cell r="B58">
            <v>23.175530279741778</v>
          </cell>
          <cell r="C58">
            <v>22.497097564821043</v>
          </cell>
          <cell r="D58">
            <v>-8.6931404315173531</v>
          </cell>
          <cell r="E58">
            <v>30.65380140068936</v>
          </cell>
          <cell r="F58">
            <v>32.223269770789607</v>
          </cell>
          <cell r="G58">
            <v>34.00010955702443</v>
          </cell>
          <cell r="H58">
            <v>33.47570695869144</v>
          </cell>
          <cell r="I58">
            <v>31.971892524292535</v>
          </cell>
          <cell r="J58">
            <v>29.311456201680556</v>
          </cell>
          <cell r="K58">
            <v>30.58492844383569</v>
          </cell>
          <cell r="L58">
            <v>31.7168920426334</v>
          </cell>
          <cell r="M58">
            <v>33.125914924998831</v>
          </cell>
          <cell r="N58">
            <v>33.365352636088147</v>
          </cell>
        </row>
        <row r="59">
          <cell r="A59" t="str">
            <v xml:space="preserve">Net Income </v>
          </cell>
          <cell r="B59">
            <v>17.149892407008917</v>
          </cell>
          <cell r="C59">
            <v>16.881822012641713</v>
          </cell>
          <cell r="D59">
            <v>-16.04501042373095</v>
          </cell>
          <cell r="E59">
            <v>23.854530286065557</v>
          </cell>
          <cell r="F59">
            <v>25.027624869478821</v>
          </cell>
          <cell r="G59">
            <v>26.521016689186709</v>
          </cell>
          <cell r="H59">
            <v>26.111051427779319</v>
          </cell>
          <cell r="I59">
            <v>24.938076168948179</v>
          </cell>
          <cell r="J59">
            <v>22.86293583731084</v>
          </cell>
          <cell r="K59">
            <v>23.856244186191837</v>
          </cell>
          <cell r="L59">
            <v>24.739175793254052</v>
          </cell>
          <cell r="M59">
            <v>25.838213641499092</v>
          </cell>
          <cell r="N59">
            <v>26.024975056148758</v>
          </cell>
        </row>
        <row r="61">
          <cell r="A61" t="str">
            <v>Growth Analysis</v>
          </cell>
        </row>
        <row r="62">
          <cell r="A62" t="str">
            <v>Sales</v>
          </cell>
          <cell r="B62" t="str">
            <v>-</v>
          </cell>
          <cell r="C62">
            <v>7.2379342145711595E-2</v>
          </cell>
          <cell r="D62">
            <v>0.14128051140191214</v>
          </cell>
          <cell r="E62" t="str">
            <v>--</v>
          </cell>
          <cell r="F62">
            <v>8.2822894026213317E-2</v>
          </cell>
          <cell r="G62">
            <v>0.11038796468071731</v>
          </cell>
          <cell r="H62">
            <v>5.3792498995727515E-2</v>
          </cell>
          <cell r="I62">
            <v>-4.0279317992791795E-2</v>
          </cell>
          <cell r="J62">
            <v>7.933802633812026E-2</v>
          </cell>
          <cell r="K62">
            <v>0.11164647853013679</v>
          </cell>
          <cell r="L62">
            <v>0.12468073480511151</v>
          </cell>
          <cell r="M62">
            <v>9.2822572858335964E-2</v>
          </cell>
          <cell r="N62">
            <v>9.513982549759839E-2</v>
          </cell>
        </row>
        <row r="63">
          <cell r="A63" t="str">
            <v>COGS</v>
          </cell>
          <cell r="B63" t="str">
            <v>-</v>
          </cell>
          <cell r="C63">
            <v>12.340245001856076</v>
          </cell>
          <cell r="D63">
            <v>11.541729607250755</v>
          </cell>
          <cell r="E63" t="str">
            <v>--</v>
          </cell>
          <cell r="F63">
            <v>3.5085107438836802</v>
          </cell>
          <cell r="G63">
            <v>-0.85818391025028973</v>
          </cell>
          <cell r="H63">
            <v>4.4634653513226077</v>
          </cell>
          <cell r="I63">
            <v>0.75455976298491734</v>
          </cell>
          <cell r="J63">
            <v>17.009031481736727</v>
          </cell>
          <cell r="K63">
            <v>10.120848342656764</v>
          </cell>
          <cell r="L63">
            <v>10.869001345717164</v>
          </cell>
          <cell r="M63">
            <v>8.2314663503928678</v>
          </cell>
          <cell r="N63">
            <v>8.4507400007330187</v>
          </cell>
        </row>
        <row r="64">
          <cell r="A64" t="str">
            <v xml:space="preserve">SG&amp;A </v>
          </cell>
          <cell r="B64" t="str">
            <v>-</v>
          </cell>
          <cell r="C64">
            <v>7.4379719525350652</v>
          </cell>
          <cell r="D64">
            <v>15.166424017269939</v>
          </cell>
          <cell r="E64" t="str">
            <v>--</v>
          </cell>
          <cell r="F64">
            <v>3.735470037241853</v>
          </cell>
          <cell r="G64">
            <v>17.069190600522184</v>
          </cell>
          <cell r="H64">
            <v>5.8575720967691796</v>
          </cell>
          <cell r="I64">
            <v>0.19312927956927384</v>
          </cell>
          <cell r="J64">
            <v>10.519372637266358</v>
          </cell>
          <cell r="K64">
            <v>9.9353389510056349</v>
          </cell>
          <cell r="L64">
            <v>10.671458888170738</v>
          </cell>
          <cell r="M64">
            <v>7.5081946675570581</v>
          </cell>
          <cell r="N64">
            <v>9.333266406938435</v>
          </cell>
        </row>
        <row r="65">
          <cell r="A65" t="str">
            <v>R&amp;D</v>
          </cell>
          <cell r="B65" t="str">
            <v>-</v>
          </cell>
          <cell r="C65">
            <v>14.122613451021785</v>
          </cell>
          <cell r="D65">
            <v>16.183270281630939</v>
          </cell>
          <cell r="E65" t="str">
            <v>--</v>
          </cell>
          <cell r="F65">
            <v>2.5705906032549208</v>
          </cell>
          <cell r="G65">
            <v>13.169993272034095</v>
          </cell>
          <cell r="H65">
            <v>10.730740648996775</v>
          </cell>
          <cell r="I65">
            <v>-3.8387544181468272</v>
          </cell>
          <cell r="J65">
            <v>8.4765901921555749</v>
          </cell>
          <cell r="K65">
            <v>9.4544225014288674</v>
          </cell>
          <cell r="L65">
            <v>11.296531048422514</v>
          </cell>
          <cell r="M65">
            <v>6.6939932974848864</v>
          </cell>
          <cell r="N65">
            <v>9.2187966129680188</v>
          </cell>
        </row>
        <row r="66">
          <cell r="A66" t="str">
            <v>Operating Income</v>
          </cell>
          <cell r="E66" t="str">
            <v>--</v>
          </cell>
          <cell r="F66">
            <v>14.614976101964908</v>
          </cell>
          <cell r="G66">
            <v>12.393043585704149</v>
          </cell>
          <cell r="H66">
            <v>2.506527415143661</v>
          </cell>
          <cell r="I66">
            <v>-10.77888302008204</v>
          </cell>
          <cell r="J66">
            <v>-1.0129231867246455</v>
          </cell>
          <cell r="K66">
            <v>14.594410127970461</v>
          </cell>
          <cell r="L66">
            <v>16.428216912923482</v>
          </cell>
          <cell r="M66">
            <v>13.556903404157067</v>
          </cell>
          <cell r="N66">
            <v>10.589406273652804</v>
          </cell>
        </row>
        <row r="67">
          <cell r="A67" t="str">
            <v>Pretax Income</v>
          </cell>
          <cell r="B67" t="str">
            <v>-</v>
          </cell>
          <cell r="C67">
            <v>4.0986868284917941</v>
          </cell>
          <cell r="D67">
            <v>-144.10040774719678</v>
          </cell>
          <cell r="E67" t="str">
            <v>--</v>
          </cell>
          <cell r="F67">
            <v>13.826320501342849</v>
          </cell>
          <cell r="G67">
            <v>17.161643490845034</v>
          </cell>
          <cell r="H67">
            <v>3.7539271233318661</v>
          </cell>
          <cell r="I67">
            <v>-8.3392427340252002</v>
          </cell>
          <cell r="J67">
            <v>-1.0475552494113627</v>
          </cell>
          <cell r="K67">
            <v>15.994332614347586</v>
          </cell>
          <cell r="L67">
            <v>16.630573498800505</v>
          </cell>
          <cell r="M67">
            <v>14.137121405095568</v>
          </cell>
          <cell r="N67">
            <v>10.305561510623525</v>
          </cell>
        </row>
        <row r="68">
          <cell r="A68" t="str">
            <v xml:space="preserve">Net Income </v>
          </cell>
          <cell r="B68" t="str">
            <v>-</v>
          </cell>
          <cell r="C68">
            <v>5.5616954001354486</v>
          </cell>
          <cell r="D68">
            <v>-208.47086107253173</v>
          </cell>
          <cell r="E68" t="str">
            <v>--</v>
          </cell>
          <cell r="F68">
            <v>13.607289126133121</v>
          </cell>
          <cell r="G68">
            <v>17.664452365521694</v>
          </cell>
          <cell r="H68">
            <v>3.7502840028917301</v>
          </cell>
          <cell r="I68">
            <v>-8.3392427340251896</v>
          </cell>
          <cell r="J68">
            <v>-1.0475552494113578</v>
          </cell>
          <cell r="K68">
            <v>15.994332614347575</v>
          </cell>
          <cell r="L68">
            <v>16.630573498800512</v>
          </cell>
          <cell r="M68">
            <v>14.137121405095558</v>
          </cell>
          <cell r="N68">
            <v>10.305561510623528</v>
          </cell>
        </row>
        <row r="69">
          <cell r="A69" t="str">
            <v xml:space="preserve">EPS </v>
          </cell>
          <cell r="B69" t="str">
            <v>-</v>
          </cell>
          <cell r="C69" t="e">
            <v>#REF!</v>
          </cell>
          <cell r="D69" t="e">
            <v>#REF!</v>
          </cell>
          <cell r="E69" t="str">
            <v>--</v>
          </cell>
          <cell r="F69">
            <v>15.708687678513304</v>
          </cell>
          <cell r="G69">
            <v>18.55402118824248</v>
          </cell>
          <cell r="H69">
            <v>4.3610817870005558</v>
          </cell>
          <cell r="I69">
            <v>-7.8573236452486404</v>
          </cell>
          <cell r="J69">
            <v>-0.94238924666517621</v>
          </cell>
          <cell r="K69">
            <v>15.994332614347579</v>
          </cell>
          <cell r="L69">
            <v>16.630573498800509</v>
          </cell>
          <cell r="M69">
            <v>14.137121405095558</v>
          </cell>
          <cell r="N69">
            <v>10.305561510623523</v>
          </cell>
        </row>
        <row r="71">
          <cell r="A71" t="str">
            <v>(a) LLY books the total sales of CNTO's ReoPro but recognizes 50% of its profits.</v>
          </cell>
        </row>
        <row r="72">
          <cell r="A72" t="str">
            <v>E = Morgan Stanley Research Estimates</v>
          </cell>
        </row>
      </sheetData>
      <sheetData sheetId="7" refreshError="1">
        <row r="1">
          <cell r="A1" t="str">
            <v>Table 3</v>
          </cell>
        </row>
        <row r="2">
          <cell r="A2" t="str">
            <v>Eli Lilly</v>
          </cell>
        </row>
        <row r="3">
          <cell r="A3" t="str">
            <v>Quarterly Income Statement Analysis, 2000-2007E</v>
          </cell>
        </row>
        <row r="4">
          <cell r="A4" t="str">
            <v>($ Millions Except EPS)</v>
          </cell>
          <cell r="G4" t="str">
            <v xml:space="preserve"> </v>
          </cell>
          <cell r="H4" t="str">
            <v>Non-Operating Items</v>
          </cell>
        </row>
        <row r="5">
          <cell r="D5" t="str">
            <v xml:space="preserve">  Gross</v>
          </cell>
          <cell r="G5" t="str">
            <v xml:space="preserve"> Oper.</v>
          </cell>
          <cell r="H5" t="str">
            <v>Net Int</v>
          </cell>
          <cell r="I5" t="str">
            <v>Dow</v>
          </cell>
          <cell r="J5" t="str">
            <v>PCS</v>
          </cell>
          <cell r="K5" t="str">
            <v xml:space="preserve">ICOS </v>
          </cell>
          <cell r="N5" t="str">
            <v>Pretax</v>
          </cell>
          <cell r="O5" t="str">
            <v xml:space="preserve">    Tax</v>
          </cell>
          <cell r="Q5" t="str">
            <v xml:space="preserve">   Net</v>
          </cell>
          <cell r="R5" t="str">
            <v xml:space="preserve">Avg. </v>
          </cell>
          <cell r="S5" t="str">
            <v>Oper.</v>
          </cell>
          <cell r="T5" t="str">
            <v>Payout</v>
          </cell>
          <cell r="V5" t="str">
            <v>Cont.</v>
          </cell>
          <cell r="W5" t="str">
            <v>80%</v>
          </cell>
          <cell r="X5" t="str">
            <v>Rep.</v>
          </cell>
        </row>
        <row r="6">
          <cell r="B6" t="str">
            <v>Sales</v>
          </cell>
          <cell r="C6" t="str">
            <v>COGS</v>
          </cell>
          <cell r="D6" t="str">
            <v>Profit</v>
          </cell>
          <cell r="E6" t="str">
            <v>SG&amp;A</v>
          </cell>
          <cell r="F6" t="str">
            <v>R&amp;D</v>
          </cell>
          <cell r="G6" t="str">
            <v>Inc.</v>
          </cell>
          <cell r="H6" t="str">
            <v>Inc.</v>
          </cell>
          <cell r="I6" t="str">
            <v>Elanco</v>
          </cell>
          <cell r="J6" t="str">
            <v>Gdwill</v>
          </cell>
          <cell r="K6" t="str">
            <v>JV</v>
          </cell>
          <cell r="L6" t="str">
            <v>Other</v>
          </cell>
          <cell r="M6" t="str">
            <v>Total</v>
          </cell>
          <cell r="N6" t="str">
            <v>Inc.</v>
          </cell>
          <cell r="O6" t="str">
            <v xml:space="preserve">   Rate</v>
          </cell>
          <cell r="P6" t="str">
            <v>Tax</v>
          </cell>
          <cell r="Q6" t="str">
            <v>Inc.</v>
          </cell>
          <cell r="R6" t="str">
            <v xml:space="preserve">Shs. </v>
          </cell>
          <cell r="S6" t="str">
            <v>EPS</v>
          </cell>
          <cell r="T6" t="str">
            <v>Ratio</v>
          </cell>
          <cell r="U6" t="str">
            <v>DPS</v>
          </cell>
          <cell r="V6" t="str">
            <v>Oper.</v>
          </cell>
          <cell r="W6" t="str">
            <v>Guidant</v>
          </cell>
          <cell r="X6" t="str">
            <v>EPS</v>
          </cell>
        </row>
        <row r="8">
          <cell r="A8" t="str">
            <v>1989</v>
          </cell>
          <cell r="B8">
            <v>4175.6000000000004</v>
          </cell>
          <cell r="C8">
            <v>1255.8</v>
          </cell>
          <cell r="D8">
            <v>2919.8</v>
          </cell>
          <cell r="E8">
            <v>1149.5999999999999</v>
          </cell>
          <cell r="F8">
            <v>605.4</v>
          </cell>
          <cell r="G8">
            <v>1164.8</v>
          </cell>
          <cell r="H8">
            <v>74.599999999999994</v>
          </cell>
          <cell r="I8">
            <v>66.5</v>
          </cell>
          <cell r="L8">
            <v>24</v>
          </cell>
          <cell r="M8">
            <v>165.1</v>
          </cell>
          <cell r="N8">
            <v>1329.9</v>
          </cell>
          <cell r="O8">
            <v>0.29355590645913227</v>
          </cell>
          <cell r="P8">
            <v>390.4</v>
          </cell>
          <cell r="Q8">
            <v>939.5</v>
          </cell>
          <cell r="R8">
            <v>1178.028</v>
          </cell>
          <cell r="S8">
            <v>0.8</v>
          </cell>
        </row>
        <row r="9">
          <cell r="A9" t="str">
            <v>1990</v>
          </cell>
          <cell r="B9">
            <v>5191.6000000000004</v>
          </cell>
          <cell r="C9">
            <v>1523.3</v>
          </cell>
          <cell r="D9">
            <v>3668.3</v>
          </cell>
          <cell r="E9">
            <v>1426.2</v>
          </cell>
          <cell r="F9">
            <v>702.7</v>
          </cell>
          <cell r="G9">
            <v>1539.4</v>
          </cell>
          <cell r="H9">
            <v>59</v>
          </cell>
          <cell r="I9">
            <v>58.9</v>
          </cell>
          <cell r="L9">
            <v>-58.3</v>
          </cell>
          <cell r="M9">
            <v>59.6</v>
          </cell>
          <cell r="N9">
            <v>1599</v>
          </cell>
          <cell r="O9">
            <v>0.29499687304565353</v>
          </cell>
          <cell r="P9">
            <v>471.7</v>
          </cell>
          <cell r="Q9">
            <v>1127.3</v>
          </cell>
          <cell r="R9">
            <v>1160</v>
          </cell>
          <cell r="S9">
            <v>0.97499999999999998</v>
          </cell>
        </row>
        <row r="10">
          <cell r="A10" t="str">
            <v>1991</v>
          </cell>
          <cell r="B10">
            <v>5725.7</v>
          </cell>
          <cell r="C10">
            <v>1717.7</v>
          </cell>
          <cell r="D10">
            <v>4008</v>
          </cell>
          <cell r="E10">
            <v>1472.8</v>
          </cell>
          <cell r="F10">
            <v>766.9</v>
          </cell>
          <cell r="G10">
            <v>1768.3</v>
          </cell>
          <cell r="H10">
            <v>65.400000000000006</v>
          </cell>
          <cell r="I10">
            <v>57</v>
          </cell>
          <cell r="L10">
            <v>-11.5</v>
          </cell>
          <cell r="M10">
            <v>110.9</v>
          </cell>
          <cell r="N10">
            <v>1879.2</v>
          </cell>
          <cell r="O10">
            <v>0.30039378458918692</v>
          </cell>
          <cell r="P10">
            <v>564.5</v>
          </cell>
          <cell r="Q10">
            <v>1314.7</v>
          </cell>
          <cell r="R10">
            <v>1176.9760000000001</v>
          </cell>
          <cell r="S10">
            <v>1.125</v>
          </cell>
        </row>
        <row r="11">
          <cell r="A11" t="str">
            <v>1992</v>
          </cell>
          <cell r="B11">
            <v>6167.3</v>
          </cell>
          <cell r="C11">
            <v>1809.5</v>
          </cell>
          <cell r="D11">
            <v>4357.8</v>
          </cell>
          <cell r="E11">
            <v>1575</v>
          </cell>
          <cell r="F11">
            <v>861.3</v>
          </cell>
          <cell r="G11">
            <v>1921.5</v>
          </cell>
          <cell r="H11">
            <v>4.3</v>
          </cell>
          <cell r="I11">
            <v>52</v>
          </cell>
          <cell r="L11">
            <v>-29.3</v>
          </cell>
          <cell r="M11">
            <v>27</v>
          </cell>
          <cell r="N11">
            <v>1948.5</v>
          </cell>
          <cell r="O11">
            <v>0.30254041570438794</v>
          </cell>
          <cell r="P11">
            <v>589.5</v>
          </cell>
          <cell r="Q11">
            <v>1359</v>
          </cell>
          <cell r="R11">
            <v>1178.259</v>
          </cell>
          <cell r="S11">
            <v>1.156125632060605</v>
          </cell>
        </row>
        <row r="12">
          <cell r="A12">
            <v>1993</v>
          </cell>
          <cell r="B12">
            <v>5198.5</v>
          </cell>
          <cell r="C12">
            <v>1448</v>
          </cell>
          <cell r="D12">
            <v>3750.5</v>
          </cell>
          <cell r="E12">
            <v>1332.5</v>
          </cell>
          <cell r="F12">
            <v>754.9</v>
          </cell>
          <cell r="G12">
            <v>1663.1</v>
          </cell>
          <cell r="H12">
            <v>-20.2</v>
          </cell>
          <cell r="I12">
            <v>64</v>
          </cell>
          <cell r="J12" t="str">
            <v xml:space="preserve">    --</v>
          </cell>
          <cell r="L12">
            <v>-11.4</v>
          </cell>
          <cell r="M12">
            <v>32.4</v>
          </cell>
          <cell r="N12">
            <v>1695.5</v>
          </cell>
          <cell r="O12">
            <v>0.32851666175169564</v>
          </cell>
          <cell r="P12">
            <v>557</v>
          </cell>
          <cell r="Q12">
            <v>1138.5</v>
          </cell>
          <cell r="R12">
            <v>1176.068</v>
          </cell>
          <cell r="S12">
            <v>0.96821542116443005</v>
          </cell>
        </row>
        <row r="14">
          <cell r="A14" t="str">
            <v xml:space="preserve">1990/89 </v>
          </cell>
          <cell r="B14">
            <v>0.24331832551010632</v>
          </cell>
          <cell r="C14">
            <v>0.21301162605510432</v>
          </cell>
          <cell r="D14">
            <v>0.25635317487499143</v>
          </cell>
          <cell r="E14">
            <v>0.24060542797494794</v>
          </cell>
          <cell r="F14">
            <v>0.16072018500165192</v>
          </cell>
          <cell r="G14">
            <v>0.32160027472527486</v>
          </cell>
          <cell r="H14">
            <v>-0.20911528150134043</v>
          </cell>
          <cell r="I14">
            <v>-0.11428571428571431</v>
          </cell>
          <cell r="L14" t="str">
            <v xml:space="preserve">    --</v>
          </cell>
          <cell r="M14">
            <v>-0.63900666262870987</v>
          </cell>
          <cell r="N14">
            <v>0.20234604105571841</v>
          </cell>
          <cell r="O14" t="str">
            <v xml:space="preserve">    --</v>
          </cell>
          <cell r="P14" t="str">
            <v xml:space="preserve">    --</v>
          </cell>
          <cell r="Q14">
            <v>0.19989356040447043</v>
          </cell>
          <cell r="R14" t="str">
            <v xml:space="preserve">    --</v>
          </cell>
          <cell r="S14">
            <v>0.21875</v>
          </cell>
        </row>
        <row r="15">
          <cell r="A15" t="str">
            <v xml:space="preserve">1991/90 </v>
          </cell>
          <cell r="B15">
            <v>0.10287772555666835</v>
          </cell>
          <cell r="C15">
            <v>0.12761767215912828</v>
          </cell>
          <cell r="D15">
            <v>9.2604203582040676E-2</v>
          </cell>
          <cell r="E15">
            <v>3.2674239237133577E-2</v>
          </cell>
          <cell r="F15">
            <v>9.1361889853422404E-2</v>
          </cell>
          <cell r="G15">
            <v>0.14869429647914761</v>
          </cell>
          <cell r="H15">
            <v>0.10847457627118653</v>
          </cell>
          <cell r="I15">
            <v>-3.2258064516129011E-2</v>
          </cell>
          <cell r="L15" t="str">
            <v xml:space="preserve">    --</v>
          </cell>
          <cell r="M15">
            <v>0.86073825503355705</v>
          </cell>
          <cell r="N15">
            <v>0.17523452157598501</v>
          </cell>
          <cell r="O15" t="str">
            <v xml:space="preserve">    --</v>
          </cell>
          <cell r="P15" t="str">
            <v xml:space="preserve">    --</v>
          </cell>
          <cell r="Q15">
            <v>0.16623791359886464</v>
          </cell>
          <cell r="R15" t="str">
            <v xml:space="preserve">    --</v>
          </cell>
          <cell r="S15">
            <v>0.15384615384615388</v>
          </cell>
        </row>
        <row r="16">
          <cell r="A16" t="str">
            <v>1992/91</v>
          </cell>
          <cell r="B16">
            <v>7.7125940932986262E-2</v>
          </cell>
          <cell r="C16">
            <v>5.3443558246492377E-2</v>
          </cell>
          <cell r="D16">
            <v>8.7275449101796229E-2</v>
          </cell>
          <cell r="E16">
            <v>6.9391634980988631E-2</v>
          </cell>
          <cell r="F16">
            <v>0.12309297170426389</v>
          </cell>
          <cell r="G16">
            <v>8.6636882881863969E-2</v>
          </cell>
          <cell r="H16">
            <v>-0.93425076452599398</v>
          </cell>
          <cell r="I16">
            <v>-8.771929824561403E-2</v>
          </cell>
          <cell r="L16" t="str">
            <v xml:space="preserve">    --</v>
          </cell>
          <cell r="M16">
            <v>-0.75653742110009015</v>
          </cell>
          <cell r="N16">
            <v>3.6877394636015422E-2</v>
          </cell>
          <cell r="O16" t="str">
            <v xml:space="preserve">    --</v>
          </cell>
          <cell r="P16" t="str">
            <v xml:space="preserve">    --</v>
          </cell>
          <cell r="Q16">
            <v>3.3695900205370014E-2</v>
          </cell>
          <cell r="R16" t="str">
            <v xml:space="preserve">    --</v>
          </cell>
          <cell r="S16">
            <v>2.7667228498316376E-2</v>
          </cell>
        </row>
        <row r="17">
          <cell r="A17" t="str">
            <v>1993/92</v>
          </cell>
          <cell r="B17">
            <v>-0.15708656948745794</v>
          </cell>
          <cell r="C17">
            <v>-0.19977894445979552</v>
          </cell>
          <cell r="D17">
            <v>-0.13935930974344837</v>
          </cell>
          <cell r="E17">
            <v>-0.15396825396825398</v>
          </cell>
          <cell r="F17">
            <v>-0.12353419249970972</v>
          </cell>
          <cell r="G17">
            <v>-0.13447827218319025</v>
          </cell>
          <cell r="H17" t="str">
            <v xml:space="preserve">    --</v>
          </cell>
          <cell r="I17" t="str">
            <v xml:space="preserve">    --</v>
          </cell>
          <cell r="L17" t="str">
            <v xml:space="preserve">    --</v>
          </cell>
          <cell r="M17" t="str">
            <v xml:space="preserve">    --</v>
          </cell>
          <cell r="N17">
            <v>-0.12984346933538629</v>
          </cell>
          <cell r="O17" t="str">
            <v xml:space="preserve">    --</v>
          </cell>
          <cell r="P17" t="str">
            <v xml:space="preserve">    --</v>
          </cell>
          <cell r="Q17">
            <v>-0.1622516556291389</v>
          </cell>
          <cell r="R17" t="str">
            <v xml:space="preserve">    --</v>
          </cell>
          <cell r="S17">
            <v>-0.58126721079665822</v>
          </cell>
        </row>
        <row r="18">
          <cell r="A18">
            <v>1992</v>
          </cell>
        </row>
        <row r="19">
          <cell r="A19" t="str">
            <v xml:space="preserve"> 1Q (a)</v>
          </cell>
          <cell r="B19">
            <v>1557.1</v>
          </cell>
          <cell r="C19">
            <v>435.1</v>
          </cell>
          <cell r="D19">
            <v>1122</v>
          </cell>
          <cell r="E19">
            <v>344.8</v>
          </cell>
          <cell r="F19">
            <v>197.1</v>
          </cell>
          <cell r="G19">
            <v>580.1</v>
          </cell>
          <cell r="H19">
            <v>12.4</v>
          </cell>
          <cell r="I19">
            <v>27</v>
          </cell>
          <cell r="L19">
            <v>17</v>
          </cell>
          <cell r="M19">
            <v>56.4</v>
          </cell>
          <cell r="N19">
            <v>636.5</v>
          </cell>
          <cell r="O19">
            <v>0.30196386488609583</v>
          </cell>
          <cell r="P19">
            <v>192.2</v>
          </cell>
          <cell r="Q19">
            <v>444.3</v>
          </cell>
          <cell r="R19">
            <v>1179.424</v>
          </cell>
          <cell r="S19">
            <v>0.37670930895081001</v>
          </cell>
        </row>
        <row r="20">
          <cell r="A20" t="str">
            <v xml:space="preserve"> 2Q</v>
          </cell>
          <cell r="B20">
            <v>1478.3</v>
          </cell>
          <cell r="C20">
            <v>445.6</v>
          </cell>
          <cell r="D20">
            <v>1032.7</v>
          </cell>
          <cell r="E20">
            <v>385.3</v>
          </cell>
          <cell r="F20">
            <v>209.9</v>
          </cell>
          <cell r="G20">
            <v>437.5</v>
          </cell>
          <cell r="H20">
            <v>0.7</v>
          </cell>
          <cell r="I20">
            <v>18</v>
          </cell>
          <cell r="L20">
            <v>30.3</v>
          </cell>
          <cell r="M20">
            <v>49</v>
          </cell>
          <cell r="N20">
            <v>486.5</v>
          </cell>
          <cell r="O20">
            <v>0.30483042137718408</v>
          </cell>
          <cell r="P20">
            <v>148.30000000000001</v>
          </cell>
          <cell r="Q20">
            <v>338.2</v>
          </cell>
          <cell r="R20">
            <v>1177.7760000000001</v>
          </cell>
          <cell r="S20">
            <v>0.28999999999999998</v>
          </cell>
        </row>
        <row r="21">
          <cell r="A21" t="str">
            <v xml:space="preserve"> 3Q (b)</v>
          </cell>
          <cell r="B21">
            <v>1476.5</v>
          </cell>
          <cell r="C21">
            <v>445</v>
          </cell>
          <cell r="D21">
            <v>1031.5</v>
          </cell>
          <cell r="E21">
            <v>403</v>
          </cell>
          <cell r="F21">
            <v>216</v>
          </cell>
          <cell r="G21">
            <v>412.5</v>
          </cell>
          <cell r="H21">
            <v>-2.4</v>
          </cell>
          <cell r="I21">
            <v>2</v>
          </cell>
          <cell r="L21">
            <v>-77.2</v>
          </cell>
          <cell r="M21">
            <v>-77.599999999999994</v>
          </cell>
          <cell r="N21">
            <v>334.9</v>
          </cell>
          <cell r="O21">
            <v>0.30399999999999999</v>
          </cell>
          <cell r="P21">
            <v>102</v>
          </cell>
          <cell r="Q21">
            <v>232.9</v>
          </cell>
          <cell r="R21">
            <v>1177.836</v>
          </cell>
          <cell r="S21">
            <v>0.19773550816921875</v>
          </cell>
        </row>
        <row r="22">
          <cell r="A22" t="str">
            <v xml:space="preserve"> 4Q (c)</v>
          </cell>
          <cell r="B22">
            <v>1655.4</v>
          </cell>
          <cell r="C22">
            <v>483.8</v>
          </cell>
          <cell r="D22">
            <v>1171.5999999999999</v>
          </cell>
          <cell r="E22">
            <v>441.9</v>
          </cell>
          <cell r="F22">
            <v>238.3</v>
          </cell>
          <cell r="G22">
            <v>491.4</v>
          </cell>
          <cell r="H22">
            <v>-6.4</v>
          </cell>
          <cell r="I22">
            <v>5</v>
          </cell>
          <cell r="L22">
            <v>0.6</v>
          </cell>
          <cell r="M22">
            <v>-0.80000000000000215</v>
          </cell>
          <cell r="N22">
            <v>490.6</v>
          </cell>
          <cell r="O22">
            <v>0.3</v>
          </cell>
          <cell r="P22">
            <v>147</v>
          </cell>
          <cell r="Q22">
            <v>343.6</v>
          </cell>
          <cell r="R22">
            <v>1178</v>
          </cell>
          <cell r="S22">
            <v>0.29168081494057752</v>
          </cell>
        </row>
        <row r="24">
          <cell r="A24" t="str">
            <v>1992</v>
          </cell>
          <cell r="B24">
            <v>6167.3</v>
          </cell>
          <cell r="C24">
            <v>1809.5</v>
          </cell>
          <cell r="D24">
            <v>4357.8</v>
          </cell>
          <cell r="E24">
            <v>1575</v>
          </cell>
          <cell r="F24">
            <v>861.3</v>
          </cell>
          <cell r="G24">
            <v>1921.5</v>
          </cell>
          <cell r="H24">
            <v>4.3</v>
          </cell>
          <cell r="I24">
            <v>52</v>
          </cell>
          <cell r="L24">
            <v>-29.3</v>
          </cell>
          <cell r="M24">
            <v>27</v>
          </cell>
          <cell r="N24">
            <v>1948.5</v>
          </cell>
          <cell r="O24">
            <v>0.30254041570438794</v>
          </cell>
          <cell r="P24">
            <v>589.5</v>
          </cell>
          <cell r="Q24">
            <v>1359</v>
          </cell>
          <cell r="R24">
            <v>1178.259</v>
          </cell>
          <cell r="S24">
            <v>1.156125632060605</v>
          </cell>
        </row>
        <row r="25">
          <cell r="A25" t="str">
            <v>1994/93</v>
          </cell>
          <cell r="B25">
            <v>9.8701548523612653E-2</v>
          </cell>
          <cell r="C25">
            <v>0.16001381215469632</v>
          </cell>
          <cell r="D25">
            <v>7.5029996000533283E-2</v>
          </cell>
          <cell r="E25">
            <v>4.9380863039399758E-2</v>
          </cell>
          <cell r="F25">
            <v>0.11100808054046887</v>
          </cell>
          <cell r="G25">
            <v>7.9249594131441267E-2</v>
          </cell>
          <cell r="H25">
            <v>0.84158415841584144</v>
          </cell>
          <cell r="I25">
            <v>0.1796875</v>
          </cell>
          <cell r="J25" t="str">
            <v>--</v>
          </cell>
          <cell r="L25">
            <v>-1.0877192982456141</v>
          </cell>
          <cell r="M25">
            <v>-0.13271604938271619</v>
          </cell>
          <cell r="N25">
            <v>7.5199056325567684E-2</v>
          </cell>
          <cell r="O25">
            <v>-7.0975082552779067E-2</v>
          </cell>
          <cell r="P25">
            <v>-1.1132854578096579E-3</v>
          </cell>
          <cell r="Q25">
            <v>0.11253412384716721</v>
          </cell>
          <cell r="R25">
            <v>-1.6420819204331635E-2</v>
          </cell>
          <cell r="S25">
            <v>0.12578252336562154</v>
          </cell>
        </row>
        <row r="26">
          <cell r="A26" t="str">
            <v>1993/92</v>
          </cell>
        </row>
        <row r="27">
          <cell r="A27" t="str">
            <v xml:space="preserve"> 1Q</v>
          </cell>
          <cell r="B27">
            <v>-0.18470233125682353</v>
          </cell>
          <cell r="C27">
            <v>-0.25235578028039535</v>
          </cell>
          <cell r="D27">
            <v>-0.15846702317290548</v>
          </cell>
          <cell r="E27">
            <v>-0.14211136890951276</v>
          </cell>
          <cell r="F27">
            <v>-0.13901572805682397</v>
          </cell>
          <cell r="G27">
            <v>-0.17479744871573852</v>
          </cell>
          <cell r="H27" t="str">
            <v xml:space="preserve">    --</v>
          </cell>
          <cell r="I27" t="str">
            <v xml:space="preserve">    --</v>
          </cell>
          <cell r="L27" t="str">
            <v xml:space="preserve">    --</v>
          </cell>
          <cell r="M27" t="str">
            <v xml:space="preserve">    --</v>
          </cell>
          <cell r="N27">
            <v>-0.21759622937941853</v>
          </cell>
          <cell r="O27" t="str">
            <v xml:space="preserve">    --</v>
          </cell>
          <cell r="P27" t="str">
            <v xml:space="preserve">    --</v>
          </cell>
          <cell r="Q27">
            <v>-0.23092505064145827</v>
          </cell>
          <cell r="R27" t="str">
            <v xml:space="preserve">    --</v>
          </cell>
          <cell r="S27">
            <v>-0.61385169694090069</v>
          </cell>
        </row>
        <row r="28">
          <cell r="A28" t="str">
            <v xml:space="preserve"> 2Q</v>
          </cell>
          <cell r="B28">
            <v>-0.15206656294392204</v>
          </cell>
          <cell r="C28">
            <v>-0.22060143626570916</v>
          </cell>
          <cell r="D28">
            <v>-0.12249443207126928</v>
          </cell>
          <cell r="E28">
            <v>-0.18998183233843755</v>
          </cell>
          <cell r="F28">
            <v>-0.1300619342544069</v>
          </cell>
          <cell r="G28">
            <v>-5.9428571428571185E-2</v>
          </cell>
          <cell r="H28" t="str">
            <v xml:space="preserve">    --</v>
          </cell>
          <cell r="I28" t="str">
            <v xml:space="preserve">    --</v>
          </cell>
          <cell r="L28" t="str">
            <v xml:space="preserve">    --</v>
          </cell>
          <cell r="M28" t="str">
            <v xml:space="preserve">    --</v>
          </cell>
          <cell r="N28">
            <v>-8.3247687564234119E-2</v>
          </cell>
          <cell r="O28" t="str">
            <v xml:space="preserve">    --</v>
          </cell>
          <cell r="P28" t="str">
            <v xml:space="preserve">    --</v>
          </cell>
          <cell r="Q28">
            <v>-0.11028976936723806</v>
          </cell>
          <cell r="R28" t="str">
            <v xml:space="preserve">    --</v>
          </cell>
          <cell r="S28">
            <v>-0.55816711567499144</v>
          </cell>
        </row>
        <row r="29">
          <cell r="A29" t="str">
            <v xml:space="preserve"> 3Q</v>
          </cell>
          <cell r="B29">
            <v>-0.17480528276329152</v>
          </cell>
          <cell r="C29">
            <v>-0.23820224719101124</v>
          </cell>
          <cell r="D29">
            <v>-0.1474551623848763</v>
          </cell>
          <cell r="E29">
            <v>-0.19230769230769232</v>
          </cell>
          <cell r="F29">
            <v>-0.15740740740740741</v>
          </cell>
          <cell r="G29">
            <v>-9.8424242424242206E-2</v>
          </cell>
          <cell r="H29" t="str">
            <v xml:space="preserve">    --</v>
          </cell>
          <cell r="I29" t="str">
            <v xml:space="preserve">    --</v>
          </cell>
          <cell r="L29" t="str">
            <v xml:space="preserve">    --</v>
          </cell>
          <cell r="M29" t="str">
            <v xml:space="preserve">    --</v>
          </cell>
          <cell r="N29">
            <v>9.4356524335622985E-2</v>
          </cell>
          <cell r="O29" t="str">
            <v xml:space="preserve">    --</v>
          </cell>
          <cell r="P29" t="str">
            <v xml:space="preserve">    --</v>
          </cell>
          <cell r="Q29">
            <v>4.465435809360304E-2</v>
          </cell>
          <cell r="R29" t="str">
            <v xml:space="preserve">    --</v>
          </cell>
          <cell r="S29">
            <v>-0.4759661369167219</v>
          </cell>
        </row>
        <row r="30">
          <cell r="A30" t="str">
            <v xml:space="preserve"> 4Q</v>
          </cell>
          <cell r="B30">
            <v>-0.11978977890540062</v>
          </cell>
          <cell r="C30">
            <v>-9.7974369574204287E-2</v>
          </cell>
          <cell r="D30">
            <v>-0.12879822465005136</v>
          </cell>
          <cell r="E30">
            <v>-9.6854491966508166E-2</v>
          </cell>
          <cell r="F30">
            <v>-7.4276122534620292E-2</v>
          </cell>
          <cell r="G30">
            <v>-0.18396418396418443</v>
          </cell>
          <cell r="H30" t="str">
            <v xml:space="preserve">    --</v>
          </cell>
          <cell r="I30" t="str">
            <v xml:space="preserve">    --</v>
          </cell>
          <cell r="L30" t="str">
            <v xml:space="preserve">    --</v>
          </cell>
          <cell r="M30" t="str">
            <v xml:space="preserve">    --</v>
          </cell>
          <cell r="N30">
            <v>-0.2152466367713009</v>
          </cell>
          <cell r="O30" t="str">
            <v xml:space="preserve">    --</v>
          </cell>
          <cell r="P30" t="str">
            <v xml:space="preserve">    --</v>
          </cell>
          <cell r="Q30">
            <v>-0.26484284051222418</v>
          </cell>
          <cell r="R30" t="str">
            <v xml:space="preserve">    --</v>
          </cell>
          <cell r="S30">
            <v>-0.63353636564281501</v>
          </cell>
        </row>
        <row r="32">
          <cell r="A32" t="str">
            <v>Year</v>
          </cell>
          <cell r="B32">
            <v>-0.15708656948745794</v>
          </cell>
          <cell r="C32">
            <v>-0.19977894445979552</v>
          </cell>
          <cell r="D32">
            <v>-0.13935930974344837</v>
          </cell>
          <cell r="E32">
            <v>-0.15396825396825398</v>
          </cell>
          <cell r="F32">
            <v>-0.12353419249970972</v>
          </cell>
          <cell r="G32">
            <v>-0.13447827218319025</v>
          </cell>
          <cell r="H32" t="str">
            <v xml:space="preserve">    --</v>
          </cell>
          <cell r="I32" t="str">
            <v xml:space="preserve">    --</v>
          </cell>
          <cell r="L32" t="str">
            <v xml:space="preserve">    --</v>
          </cell>
          <cell r="M32" t="str">
            <v xml:space="preserve">    --</v>
          </cell>
          <cell r="N32">
            <v>-0.12984346933538629</v>
          </cell>
          <cell r="O32" t="str">
            <v xml:space="preserve">    --</v>
          </cell>
          <cell r="P32" t="str">
            <v xml:space="preserve">    --</v>
          </cell>
          <cell r="Q32">
            <v>-0.1622516556291389</v>
          </cell>
          <cell r="R32" t="str">
            <v xml:space="preserve">    --</v>
          </cell>
          <cell r="S32">
            <v>-0.58126721079665822</v>
          </cell>
        </row>
        <row r="34">
          <cell r="A34">
            <v>1993</v>
          </cell>
        </row>
        <row r="35">
          <cell r="A35" t="str">
            <v xml:space="preserve"> 1Q (a)</v>
          </cell>
          <cell r="B35">
            <v>1269.5</v>
          </cell>
          <cell r="C35">
            <v>325.3</v>
          </cell>
          <cell r="D35">
            <v>944.2</v>
          </cell>
          <cell r="E35">
            <v>295.8</v>
          </cell>
          <cell r="F35">
            <v>169.7</v>
          </cell>
          <cell r="G35">
            <v>478.7</v>
          </cell>
          <cell r="H35">
            <v>-4.7</v>
          </cell>
          <cell r="I35">
            <v>32</v>
          </cell>
          <cell r="J35" t="str">
            <v xml:space="preserve">    --</v>
          </cell>
          <cell r="L35">
            <v>-8</v>
          </cell>
          <cell r="M35">
            <v>19.3</v>
          </cell>
          <cell r="N35">
            <v>498</v>
          </cell>
          <cell r="O35">
            <v>0.31385542168674696</v>
          </cell>
          <cell r="P35">
            <v>156.30000000000001</v>
          </cell>
          <cell r="Q35">
            <v>341.7</v>
          </cell>
          <cell r="R35">
            <v>1174.5039999999999</v>
          </cell>
          <cell r="S35">
            <v>0.2909313207958425</v>
          </cell>
          <cell r="V35">
            <v>0.6</v>
          </cell>
        </row>
        <row r="36">
          <cell r="A36" t="str">
            <v xml:space="preserve"> 2Q</v>
          </cell>
          <cell r="B36">
            <v>1253.5</v>
          </cell>
          <cell r="C36">
            <v>347.3</v>
          </cell>
          <cell r="D36">
            <v>906.2</v>
          </cell>
          <cell r="E36">
            <v>312.10000000000002</v>
          </cell>
          <cell r="F36">
            <v>182.6</v>
          </cell>
          <cell r="G36">
            <v>411.5</v>
          </cell>
          <cell r="H36">
            <v>-5.5</v>
          </cell>
          <cell r="I36">
            <v>30</v>
          </cell>
          <cell r="J36" t="str">
            <v xml:space="preserve">    --</v>
          </cell>
          <cell r="L36">
            <v>10</v>
          </cell>
          <cell r="M36">
            <v>34.5</v>
          </cell>
          <cell r="N36">
            <v>446</v>
          </cell>
          <cell r="O36">
            <v>0.32533632286995512</v>
          </cell>
          <cell r="P36">
            <v>145.1</v>
          </cell>
          <cell r="Q36">
            <v>300.89999999999998</v>
          </cell>
          <cell r="R36">
            <v>1174.184</v>
          </cell>
          <cell r="S36">
            <v>0.25626307290850497</v>
          </cell>
          <cell r="V36">
            <v>0.53500000000000003</v>
          </cell>
        </row>
        <row r="37">
          <cell r="A37" t="str">
            <v xml:space="preserve"> 3Q</v>
          </cell>
          <cell r="B37">
            <v>1218.4000000000001</v>
          </cell>
          <cell r="C37">
            <v>339</v>
          </cell>
          <cell r="D37">
            <v>879.4</v>
          </cell>
          <cell r="E37">
            <v>325.5</v>
          </cell>
          <cell r="F37">
            <v>182</v>
          </cell>
          <cell r="G37">
            <v>371.9</v>
          </cell>
          <cell r="H37">
            <v>-4</v>
          </cell>
          <cell r="I37">
            <v>3</v>
          </cell>
          <cell r="J37" t="str">
            <v xml:space="preserve">    --</v>
          </cell>
          <cell r="L37">
            <v>-4.4000000000000004</v>
          </cell>
          <cell r="M37">
            <v>-5.4</v>
          </cell>
          <cell r="N37">
            <v>366.5</v>
          </cell>
          <cell r="O37">
            <v>0.33615279672578435</v>
          </cell>
          <cell r="P37">
            <v>123.2</v>
          </cell>
          <cell r="Q37">
            <v>243.3</v>
          </cell>
          <cell r="R37">
            <v>1174</v>
          </cell>
          <cell r="S37">
            <v>0.20724020442930149</v>
          </cell>
          <cell r="V37">
            <v>0.44</v>
          </cell>
        </row>
        <row r="38">
          <cell r="A38" t="str">
            <v xml:space="preserve"> 4Q</v>
          </cell>
          <cell r="B38">
            <v>1457.1</v>
          </cell>
          <cell r="C38">
            <v>436.4</v>
          </cell>
          <cell r="D38">
            <v>1020.7</v>
          </cell>
          <cell r="E38">
            <v>399.1</v>
          </cell>
          <cell r="F38">
            <v>220.6</v>
          </cell>
          <cell r="G38">
            <v>401</v>
          </cell>
          <cell r="H38">
            <v>-6</v>
          </cell>
          <cell r="I38">
            <v>-1</v>
          </cell>
          <cell r="J38" t="str">
            <v xml:space="preserve">    --</v>
          </cell>
          <cell r="L38">
            <v>-9</v>
          </cell>
          <cell r="M38">
            <v>-16</v>
          </cell>
          <cell r="N38">
            <v>385</v>
          </cell>
          <cell r="O38">
            <v>0.34389610389610403</v>
          </cell>
          <cell r="P38">
            <v>132.4</v>
          </cell>
          <cell r="Q38">
            <v>252.6</v>
          </cell>
          <cell r="R38">
            <v>1181.5840000000001</v>
          </cell>
          <cell r="S38">
            <v>0.213780823030779</v>
          </cell>
          <cell r="V38">
            <v>-0.78500000000000003</v>
          </cell>
        </row>
        <row r="40">
          <cell r="A40" t="str">
            <v>Year(a)</v>
          </cell>
          <cell r="B40">
            <v>5198.5</v>
          </cell>
          <cell r="C40">
            <v>1448</v>
          </cell>
          <cell r="D40">
            <v>3750.5</v>
          </cell>
          <cell r="E40">
            <v>1332.5</v>
          </cell>
          <cell r="F40">
            <v>754.9</v>
          </cell>
          <cell r="G40">
            <v>1663.1</v>
          </cell>
          <cell r="H40">
            <v>-20.2</v>
          </cell>
          <cell r="I40">
            <v>64</v>
          </cell>
          <cell r="J40" t="str">
            <v xml:space="preserve">    --</v>
          </cell>
          <cell r="L40">
            <v>-11.4</v>
          </cell>
          <cell r="M40">
            <v>32.4</v>
          </cell>
          <cell r="N40">
            <v>1695.5</v>
          </cell>
          <cell r="O40">
            <v>0.32851666175169564</v>
          </cell>
          <cell r="P40">
            <v>557</v>
          </cell>
          <cell r="Q40">
            <v>1138.5</v>
          </cell>
          <cell r="R40">
            <v>1176.068</v>
          </cell>
          <cell r="S40">
            <v>0.96821542116443005</v>
          </cell>
          <cell r="V40">
            <v>0.79</v>
          </cell>
        </row>
        <row r="42">
          <cell r="A42" t="str">
            <v>1994/93</v>
          </cell>
        </row>
        <row r="43">
          <cell r="A43" t="str">
            <v xml:space="preserve"> 1Q</v>
          </cell>
          <cell r="B43">
            <v>3.119338322174077E-2</v>
          </cell>
          <cell r="C43">
            <v>0.17460805410390412</v>
          </cell>
          <cell r="D43">
            <v>-1.8216479559415546E-2</v>
          </cell>
          <cell r="E43">
            <v>-5.3414469235970284E-2</v>
          </cell>
          <cell r="F43">
            <v>4.4784914555097366E-2</v>
          </cell>
          <cell r="G43">
            <v>-1.8800919156047868E-2</v>
          </cell>
          <cell r="H43">
            <v>-0.23404255319148948</v>
          </cell>
          <cell r="I43">
            <v>0.125</v>
          </cell>
          <cell r="J43" t="str">
            <v>--</v>
          </cell>
          <cell r="L43">
            <v>0.66250000000000009</v>
          </cell>
          <cell r="M43">
            <v>-1.0362694300518281E-2</v>
          </cell>
          <cell r="N43">
            <v>-1.8473895582329522E-2</v>
          </cell>
          <cell r="O43">
            <v>3.6468330134357958E-3</v>
          </cell>
          <cell r="P43">
            <v>-1.4894433781190219E-2</v>
          </cell>
          <cell r="Q43">
            <v>-2.0111208662569713E-2</v>
          </cell>
          <cell r="R43">
            <v>-1.4348184425084856E-2</v>
          </cell>
          <cell r="S43">
            <v>-5.8469168791860787E-3</v>
          </cell>
          <cell r="V43">
            <v>-0.56666666666666665</v>
          </cell>
        </row>
        <row r="44">
          <cell r="A44" t="str">
            <v xml:space="preserve"> 2Q</v>
          </cell>
          <cell r="B44">
            <v>7.4431591543677664E-2</v>
          </cell>
          <cell r="C44">
            <v>0.11085516844226893</v>
          </cell>
          <cell r="D44">
            <v>6.0472301920105886E-2</v>
          </cell>
          <cell r="E44">
            <v>5.9275873117590513E-2</v>
          </cell>
          <cell r="F44">
            <v>0.10733844468784225</v>
          </cell>
          <cell r="G44">
            <v>4.058323207776425E-2</v>
          </cell>
          <cell r="H44">
            <v>-0.78181818181818197</v>
          </cell>
          <cell r="I44">
            <v>0.45</v>
          </cell>
          <cell r="J44" t="str">
            <v>--</v>
          </cell>
          <cell r="L44">
            <v>-1</v>
          </cell>
          <cell r="M44">
            <v>0.22608695652173905</v>
          </cell>
          <cell r="N44">
            <v>5.4932735426008968E-2</v>
          </cell>
          <cell r="O44">
            <v>-5.6361130254996457E-2</v>
          </cell>
          <cell r="P44">
            <v>-4.5244658855961E-3</v>
          </cell>
          <cell r="Q44">
            <v>8.3604187437687119E-2</v>
          </cell>
          <cell r="R44">
            <v>-1.4604184693369958E-2</v>
          </cell>
          <cell r="S44">
            <v>9.9663881869132054E-2</v>
          </cell>
          <cell r="V44">
            <v>-0.48598130841121495</v>
          </cell>
        </row>
        <row r="45">
          <cell r="A45" t="str">
            <v xml:space="preserve"> 3Q</v>
          </cell>
          <cell r="B45">
            <v>0.23711424819435312</v>
          </cell>
          <cell r="C45">
            <v>0.33156342182890847</v>
          </cell>
          <cell r="D45">
            <v>0.20070502615419616</v>
          </cell>
          <cell r="E45">
            <v>0.1093701996927804</v>
          </cell>
          <cell r="F45">
            <v>0.20219780219780226</v>
          </cell>
          <cell r="G45">
            <v>0.27991395536434549</v>
          </cell>
          <cell r="H45">
            <v>-1.4749999999999996</v>
          </cell>
          <cell r="I45">
            <v>-0.33333333333333331</v>
          </cell>
          <cell r="J45" t="str">
            <v>--</v>
          </cell>
          <cell r="L45">
            <v>-2.2045454545454541</v>
          </cell>
          <cell r="M45" t="str">
            <v>NM</v>
          </cell>
          <cell r="N45">
            <v>0.32387448840382005</v>
          </cell>
          <cell r="O45">
            <v>-8.672483766233742E-2</v>
          </cell>
          <cell r="P45">
            <v>0.20906168831168831</v>
          </cell>
          <cell r="Q45">
            <v>0.3820123304562269</v>
          </cell>
          <cell r="R45">
            <v>-1.5093696763202749E-2</v>
          </cell>
          <cell r="S45">
            <v>0.40319168017747509</v>
          </cell>
          <cell r="V45">
            <v>-0.42045454545454547</v>
          </cell>
        </row>
        <row r="46">
          <cell r="A46" t="str">
            <v xml:space="preserve"> 4Q</v>
          </cell>
          <cell r="B46">
            <v>6.2658705648205471E-2</v>
          </cell>
          <cell r="C46">
            <v>5.4995417048579291E-2</v>
          </cell>
          <cell r="D46">
            <v>6.5935142549230871E-2</v>
          </cell>
          <cell r="E46">
            <v>6.8905036331746425E-2</v>
          </cell>
          <cell r="F46">
            <v>8.9755213055303776E-2</v>
          </cell>
          <cell r="G46">
            <v>4.9875311720698257E-2</v>
          </cell>
          <cell r="H46">
            <v>4.7166666666666659</v>
          </cell>
          <cell r="I46">
            <v>5</v>
          </cell>
          <cell r="J46" t="str">
            <v>--</v>
          </cell>
          <cell r="L46">
            <v>-2</v>
          </cell>
          <cell r="M46">
            <v>1.65625</v>
          </cell>
          <cell r="N46">
            <v>-1.6883116883116882E-2</v>
          </cell>
          <cell r="O46">
            <v>-0.16253776435045356</v>
          </cell>
          <cell r="P46">
            <v>-0.17667673716012092</v>
          </cell>
          <cell r="Q46">
            <v>6.6872525732383309E-2</v>
          </cell>
          <cell r="R46">
            <v>-2.1604896477948263E-2</v>
          </cell>
          <cell r="S46">
            <v>9.0431178459324135E-2</v>
          </cell>
          <cell r="V46">
            <v>-1.2993630573248407</v>
          </cell>
        </row>
        <row r="48">
          <cell r="A48" t="str">
            <v>Year</v>
          </cell>
          <cell r="B48">
            <v>9.8701548523612653E-2</v>
          </cell>
          <cell r="C48">
            <v>0.16001381215469632</v>
          </cell>
          <cell r="D48">
            <v>7.5029996000533283E-2</v>
          </cell>
          <cell r="E48">
            <v>4.9380863039399758E-2</v>
          </cell>
          <cell r="F48">
            <v>0.11100808054046887</v>
          </cell>
          <cell r="G48">
            <v>7.9249594131441267E-2</v>
          </cell>
          <cell r="H48">
            <v>0.84158415841584144</v>
          </cell>
          <cell r="I48">
            <v>0.1796875</v>
          </cell>
          <cell r="J48" t="str">
            <v>--</v>
          </cell>
          <cell r="L48">
            <v>-1.0877192982456141</v>
          </cell>
          <cell r="M48">
            <v>-0.13271604938271619</v>
          </cell>
          <cell r="N48">
            <v>7.5199056325567684E-2</v>
          </cell>
          <cell r="O48">
            <v>-7.0975082552779067E-2</v>
          </cell>
          <cell r="P48">
            <v>-1.1132854578096579E-3</v>
          </cell>
          <cell r="Q48">
            <v>0.11253412384716721</v>
          </cell>
          <cell r="R48">
            <v>-1.6420819204331635E-2</v>
          </cell>
          <cell r="S48">
            <v>0.12578252336562154</v>
          </cell>
          <cell r="V48">
            <v>0.29746835443037956</v>
          </cell>
        </row>
        <row r="50">
          <cell r="A50" t="str">
            <v>1994</v>
          </cell>
        </row>
        <row r="51">
          <cell r="A51" t="str">
            <v xml:space="preserve"> 1Q (a)</v>
          </cell>
          <cell r="B51">
            <v>1309.0999999999999</v>
          </cell>
          <cell r="C51">
            <v>382.1</v>
          </cell>
          <cell r="D51">
            <v>926.99999999999989</v>
          </cell>
          <cell r="E51">
            <v>280</v>
          </cell>
          <cell r="F51">
            <v>177.3</v>
          </cell>
          <cell r="G51">
            <v>469.69999999999987</v>
          </cell>
          <cell r="H51">
            <v>-3.5999999999999996</v>
          </cell>
          <cell r="I51">
            <v>36</v>
          </cell>
          <cell r="J51">
            <v>0</v>
          </cell>
          <cell r="L51">
            <v>-13.3</v>
          </cell>
          <cell r="M51">
            <v>19.099999999999998</v>
          </cell>
          <cell r="N51">
            <v>488.7999999999999</v>
          </cell>
          <cell r="O51">
            <v>0.315</v>
          </cell>
          <cell r="P51">
            <v>153.97199999999998</v>
          </cell>
          <cell r="Q51">
            <v>334.82799999999992</v>
          </cell>
          <cell r="R51">
            <v>1157.652</v>
          </cell>
          <cell r="S51">
            <v>0.28923026954559738</v>
          </cell>
          <cell r="V51">
            <v>0.26</v>
          </cell>
          <cell r="W51">
            <v>2.5000000000000001E-2</v>
          </cell>
          <cell r="X51">
            <v>0.28499999999999998</v>
          </cell>
        </row>
        <row r="52">
          <cell r="A52" t="str">
            <v xml:space="preserve"> 2Q (b)</v>
          </cell>
          <cell r="B52">
            <v>1346.8</v>
          </cell>
          <cell r="C52">
            <v>385.8</v>
          </cell>
          <cell r="D52">
            <v>961</v>
          </cell>
          <cell r="E52">
            <v>330.6</v>
          </cell>
          <cell r="F52">
            <v>202.2</v>
          </cell>
          <cell r="G52">
            <v>428.2</v>
          </cell>
          <cell r="H52">
            <v>-1.1999999999999993</v>
          </cell>
          <cell r="I52">
            <v>43.5</v>
          </cell>
          <cell r="J52">
            <v>0</v>
          </cell>
          <cell r="L52">
            <v>0</v>
          </cell>
          <cell r="M52">
            <v>42.3</v>
          </cell>
          <cell r="N52">
            <v>470.5</v>
          </cell>
          <cell r="O52">
            <v>0.307</v>
          </cell>
          <cell r="P52">
            <v>144.4435</v>
          </cell>
          <cell r="Q52">
            <v>326.05650000000003</v>
          </cell>
          <cell r="R52">
            <v>1157.0360000000001</v>
          </cell>
          <cell r="S52">
            <v>0.28180324553427899</v>
          </cell>
          <cell r="V52">
            <v>0.27500000000000002</v>
          </cell>
          <cell r="W52">
            <v>2.5000000000000001E-2</v>
          </cell>
          <cell r="X52">
            <v>0.3</v>
          </cell>
        </row>
        <row r="53">
          <cell r="A53" t="str">
            <v xml:space="preserve"> 3Q (c)</v>
          </cell>
          <cell r="B53">
            <v>1507.3</v>
          </cell>
          <cell r="C53">
            <v>451.4</v>
          </cell>
          <cell r="D53">
            <v>1055.9000000000001</v>
          </cell>
          <cell r="E53">
            <v>361.1</v>
          </cell>
          <cell r="F53">
            <v>218.8</v>
          </cell>
          <cell r="G53">
            <v>476.00000000000006</v>
          </cell>
          <cell r="H53">
            <v>1.8999999999999986</v>
          </cell>
          <cell r="I53">
            <v>2</v>
          </cell>
          <cell r="J53">
            <v>0</v>
          </cell>
          <cell r="L53">
            <v>5.3</v>
          </cell>
          <cell r="M53">
            <v>9.1999999999999993</v>
          </cell>
          <cell r="N53">
            <v>485.20000000000005</v>
          </cell>
          <cell r="O53">
            <v>0.307</v>
          </cell>
          <cell r="P53">
            <v>148.9564</v>
          </cell>
          <cell r="Q53">
            <v>336.24360000000001</v>
          </cell>
          <cell r="R53">
            <v>1156.28</v>
          </cell>
          <cell r="S53">
            <v>0.29079773065347497</v>
          </cell>
          <cell r="V53">
            <v>0.255</v>
          </cell>
          <cell r="W53">
            <v>1.7500000000000002E-2</v>
          </cell>
          <cell r="X53">
            <v>0.27500000000000002</v>
          </cell>
        </row>
        <row r="54">
          <cell r="A54" t="str">
            <v xml:space="preserve"> 4Q </v>
          </cell>
          <cell r="B54">
            <v>1548.4</v>
          </cell>
          <cell r="C54">
            <v>460.4</v>
          </cell>
          <cell r="D54">
            <v>1088</v>
          </cell>
          <cell r="E54">
            <v>426.6</v>
          </cell>
          <cell r="F54">
            <v>240.4</v>
          </cell>
          <cell r="G54">
            <v>421</v>
          </cell>
          <cell r="H54">
            <v>-34.299999999999997</v>
          </cell>
          <cell r="I54">
            <v>-6</v>
          </cell>
          <cell r="J54">
            <v>-11.2</v>
          </cell>
          <cell r="L54">
            <v>9</v>
          </cell>
          <cell r="M54">
            <v>-42.5</v>
          </cell>
          <cell r="N54">
            <v>378.5</v>
          </cell>
          <cell r="O54">
            <v>0.28799999999999998</v>
          </cell>
          <cell r="P54">
            <v>109.008</v>
          </cell>
          <cell r="Q54">
            <v>269.49200000000002</v>
          </cell>
          <cell r="R54">
            <v>1156.056</v>
          </cell>
          <cell r="S54">
            <v>0.23311327478945656</v>
          </cell>
          <cell r="V54">
            <v>0.23499999999999999</v>
          </cell>
          <cell r="W54">
            <v>1.7500000000000002E-2</v>
          </cell>
          <cell r="X54">
            <v>0.25</v>
          </cell>
        </row>
        <row r="56">
          <cell r="A56" t="str">
            <v>1994</v>
          </cell>
          <cell r="B56">
            <v>5711.6</v>
          </cell>
          <cell r="C56">
            <v>1679.7000000000003</v>
          </cell>
          <cell r="D56">
            <v>4031.9</v>
          </cell>
          <cell r="E56">
            <v>1398.3000000000002</v>
          </cell>
          <cell r="F56">
            <v>838.69999999999993</v>
          </cell>
          <cell r="G56">
            <v>1794.8999999999999</v>
          </cell>
          <cell r="H56">
            <v>-37.199999999999996</v>
          </cell>
          <cell r="I56">
            <v>75.5</v>
          </cell>
          <cell r="J56">
            <v>-11.2</v>
          </cell>
          <cell r="L56">
            <v>1</v>
          </cell>
          <cell r="M56">
            <v>28.099999999999994</v>
          </cell>
          <cell r="N56">
            <v>1823</v>
          </cell>
          <cell r="O56">
            <v>0.30520016456390564</v>
          </cell>
          <cell r="P56">
            <v>556.37990000000002</v>
          </cell>
          <cell r="Q56">
            <v>1266.6200999999999</v>
          </cell>
          <cell r="R56">
            <v>1156.7560000000001</v>
          </cell>
          <cell r="S56">
            <v>1.0900000000000001</v>
          </cell>
          <cell r="V56">
            <v>1.0249999999999999</v>
          </cell>
          <cell r="W56">
            <v>8.5000000000000006E-2</v>
          </cell>
          <cell r="X56">
            <v>1.1100000000000001</v>
          </cell>
        </row>
        <row r="58">
          <cell r="A58" t="str">
            <v>1995/94</v>
          </cell>
        </row>
        <row r="59">
          <cell r="A59" t="str">
            <v xml:space="preserve"> 1Q</v>
          </cell>
          <cell r="B59">
            <v>0.31181727904667333</v>
          </cell>
          <cell r="C59">
            <v>0.34127191834598264</v>
          </cell>
          <cell r="D59">
            <v>0.29967637540453085</v>
          </cell>
          <cell r="E59">
            <v>0.45428571428571424</v>
          </cell>
          <cell r="F59">
            <v>0.33502538071065974</v>
          </cell>
          <cell r="G59">
            <v>0.19416648924845648</v>
          </cell>
          <cell r="H59" t="str">
            <v>NM</v>
          </cell>
          <cell r="I59" t="str">
            <v>NM</v>
          </cell>
          <cell r="J59" t="str">
            <v>NM</v>
          </cell>
          <cell r="L59" t="str">
            <v>NM</v>
          </cell>
          <cell r="M59" t="str">
            <v>NM</v>
          </cell>
          <cell r="N59">
            <v>7.9378068739770907E-2</v>
          </cell>
          <cell r="O59" t="str">
            <v>NM</v>
          </cell>
          <cell r="P59" t="str">
            <v>NM</v>
          </cell>
          <cell r="Q59">
            <v>0.11848471454000256</v>
          </cell>
          <cell r="R59">
            <v>-1.2127997014646857E-3</v>
          </cell>
          <cell r="S59">
            <v>0.12367215406118999</v>
          </cell>
          <cell r="V59">
            <v>0.25</v>
          </cell>
          <cell r="W59" t="str">
            <v>NM</v>
          </cell>
          <cell r="X59">
            <v>0.19298245614035106</v>
          </cell>
        </row>
        <row r="60">
          <cell r="A60" t="str">
            <v xml:space="preserve"> 2Q</v>
          </cell>
          <cell r="B60">
            <v>0.19899019899019899</v>
          </cell>
          <cell r="C60">
            <v>0.19077242094349395</v>
          </cell>
          <cell r="D60">
            <v>0.20228928199791893</v>
          </cell>
          <cell r="E60">
            <v>0.31972171808832422</v>
          </cell>
          <cell r="F60">
            <v>0.28832838773491598</v>
          </cell>
          <cell r="G60">
            <v>7.0994862213919083E-2</v>
          </cell>
          <cell r="H60" t="str">
            <v>NM</v>
          </cell>
          <cell r="I60" t="str">
            <v>NM</v>
          </cell>
          <cell r="J60" t="str">
            <v>NM</v>
          </cell>
          <cell r="L60" t="str">
            <v>NM</v>
          </cell>
          <cell r="M60" t="str">
            <v>NM</v>
          </cell>
          <cell r="N60">
            <v>-7.2476089266737195E-2</v>
          </cell>
          <cell r="O60" t="str">
            <v>NM</v>
          </cell>
          <cell r="P60" t="str">
            <v>NM</v>
          </cell>
          <cell r="Q60">
            <v>-5.016461870872032E-2</v>
          </cell>
          <cell r="R60">
            <v>8.6427734314151888E-5</v>
          </cell>
          <cell r="S60">
            <v>-4.1884704031356537E-2</v>
          </cell>
          <cell r="V60">
            <v>-1.8181818181818195E-2</v>
          </cell>
          <cell r="W60" t="str">
            <v>NM</v>
          </cell>
          <cell r="X60">
            <v>-5.0000000000000044E-2</v>
          </cell>
        </row>
        <row r="61">
          <cell r="A61" t="str">
            <v xml:space="preserve"> 3Q</v>
          </cell>
          <cell r="B61">
            <v>8.2730710542028824E-2</v>
          </cell>
          <cell r="C61">
            <v>-6.9561364643331847E-2</v>
          </cell>
          <cell r="D61">
            <v>0.14783596931527596</v>
          </cell>
          <cell r="E61">
            <v>0.22957629465522009</v>
          </cell>
          <cell r="F61">
            <v>0.19287020109689207</v>
          </cell>
          <cell r="G61">
            <v>6.5126050420167947E-2</v>
          </cell>
          <cell r="H61" t="str">
            <v>NM</v>
          </cell>
          <cell r="I61" t="str">
            <v>NM</v>
          </cell>
          <cell r="J61" t="str">
            <v>NM</v>
          </cell>
          <cell r="L61" t="str">
            <v>NM</v>
          </cell>
          <cell r="M61" t="str">
            <v>NM</v>
          </cell>
          <cell r="N61">
            <v>-9.9546578730420582E-2</v>
          </cell>
          <cell r="O61" t="str">
            <v>NM</v>
          </cell>
          <cell r="P61" t="str">
            <v>NM</v>
          </cell>
          <cell r="Q61">
            <v>-7.8346770020306808E-2</v>
          </cell>
          <cell r="R61">
            <v>-8.762583457294134E-3</v>
          </cell>
          <cell r="S61">
            <v>-7.1519576878191937E-2</v>
          </cell>
          <cell r="V61">
            <v>5.8823529411764754E-2</v>
          </cell>
          <cell r="W61" t="str">
            <v>NM</v>
          </cell>
          <cell r="X61">
            <v>2.8909090909090907</v>
          </cell>
        </row>
        <row r="62">
          <cell r="A62" t="str">
            <v xml:space="preserve"> 4Q</v>
          </cell>
          <cell r="B62">
            <v>0.16236114699044166</v>
          </cell>
          <cell r="C62">
            <v>7.3197219808861957E-2</v>
          </cell>
          <cell r="D62">
            <v>0.20009191176470573</v>
          </cell>
          <cell r="E62">
            <v>0.32770745428973264</v>
          </cell>
          <cell r="F62">
            <v>0.18344425956738766</v>
          </cell>
          <cell r="G62">
            <v>8.02850356294533E-2</v>
          </cell>
          <cell r="H62" t="str">
            <v>NM</v>
          </cell>
          <cell r="I62" t="str">
            <v>NM</v>
          </cell>
          <cell r="J62" t="str">
            <v>NM</v>
          </cell>
          <cell r="L62" t="str">
            <v>NM</v>
          </cell>
          <cell r="M62" t="str">
            <v>NM</v>
          </cell>
          <cell r="N62">
            <v>-3.8573315719947522E-2</v>
          </cell>
          <cell r="O62" t="str">
            <v>NM</v>
          </cell>
          <cell r="P62" t="str">
            <v>NM</v>
          </cell>
          <cell r="Q62">
            <v>0.15550739910646641</v>
          </cell>
          <cell r="R62">
            <v>-5.4826063789297455E-2</v>
          </cell>
          <cell r="S62">
            <v>0.22258159796951291</v>
          </cell>
          <cell r="V62">
            <v>0.21276595744680848</v>
          </cell>
          <cell r="W62" t="str">
            <v>NM</v>
          </cell>
          <cell r="X62">
            <v>0.26</v>
          </cell>
        </row>
        <row r="64">
          <cell r="A64" t="str">
            <v>1995/94</v>
          </cell>
          <cell r="B64">
            <v>0.18423909237341551</v>
          </cell>
          <cell r="C64">
            <v>0.12281955111031713</v>
          </cell>
          <cell r="D64">
            <v>0.20982663260497542</v>
          </cell>
          <cell r="E64">
            <v>0.32582421511835791</v>
          </cell>
          <cell r="F64">
            <v>0.24323357577202828</v>
          </cell>
          <cell r="G64">
            <v>0.10384979664605264</v>
          </cell>
          <cell r="H64" t="str">
            <v>NM</v>
          </cell>
          <cell r="I64" t="str">
            <v>NM</v>
          </cell>
          <cell r="J64" t="str">
            <v>NM</v>
          </cell>
          <cell r="L64" t="str">
            <v>NM</v>
          </cell>
          <cell r="M64" t="str">
            <v>NM</v>
          </cell>
          <cell r="N64">
            <v>-3.1925397696105348E-2</v>
          </cell>
          <cell r="O64" t="str">
            <v>NM</v>
          </cell>
          <cell r="P64" t="str">
            <v>NM</v>
          </cell>
          <cell r="Q64">
            <v>3.0695786368777931E-2</v>
          </cell>
          <cell r="R64">
            <v>-1.6169356372476285E-2</v>
          </cell>
          <cell r="S64">
            <v>5.5045871559632871E-2</v>
          </cell>
          <cell r="V64">
            <v>0.12195121951219513</v>
          </cell>
          <cell r="W64" t="str">
            <v>NM</v>
          </cell>
          <cell r="X64">
            <v>0.81531531531531531</v>
          </cell>
        </row>
        <row r="66">
          <cell r="A66" t="str">
            <v>1995</v>
          </cell>
        </row>
        <row r="67">
          <cell r="A67" t="str">
            <v xml:space="preserve"> 1Q</v>
          </cell>
          <cell r="B67">
            <v>1717.3</v>
          </cell>
          <cell r="C67">
            <v>512.5</v>
          </cell>
          <cell r="D67">
            <v>1204.8</v>
          </cell>
          <cell r="E67">
            <v>407.2</v>
          </cell>
          <cell r="F67">
            <v>236.7</v>
          </cell>
          <cell r="G67">
            <v>560.89999999999986</v>
          </cell>
          <cell r="H67">
            <v>-52.300000000000004</v>
          </cell>
          <cell r="I67">
            <v>35</v>
          </cell>
          <cell r="J67">
            <v>-25</v>
          </cell>
          <cell r="L67">
            <v>9</v>
          </cell>
          <cell r="M67">
            <v>-33.300000000000004</v>
          </cell>
          <cell r="N67">
            <v>527.59999999999991</v>
          </cell>
          <cell r="O67">
            <v>0.29018195602729346</v>
          </cell>
          <cell r="P67">
            <v>153.1</v>
          </cell>
          <cell r="Q67">
            <v>374.49999999999989</v>
          </cell>
          <cell r="R67">
            <v>1156.248</v>
          </cell>
          <cell r="S67">
            <v>0.32500000000000001</v>
          </cell>
          <cell r="V67">
            <v>0.32500000000000001</v>
          </cell>
          <cell r="W67">
            <v>1.4999999999999999E-2</v>
          </cell>
          <cell r="X67">
            <v>0.34</v>
          </cell>
        </row>
        <row r="68">
          <cell r="A68" t="str">
            <v xml:space="preserve"> 2Q</v>
          </cell>
          <cell r="B68">
            <v>1614.8</v>
          </cell>
          <cell r="C68">
            <v>459.4</v>
          </cell>
          <cell r="D68">
            <v>1155.4000000000001</v>
          </cell>
          <cell r="E68">
            <v>436.3</v>
          </cell>
          <cell r="F68">
            <v>260.5</v>
          </cell>
          <cell r="G68">
            <v>458.60000000000014</v>
          </cell>
          <cell r="H68">
            <v>-52.2</v>
          </cell>
          <cell r="I68">
            <v>40</v>
          </cell>
          <cell r="J68">
            <v>-25</v>
          </cell>
          <cell r="L68">
            <v>15</v>
          </cell>
          <cell r="M68">
            <v>-22.200000000000003</v>
          </cell>
          <cell r="N68">
            <v>436.40000000000015</v>
          </cell>
          <cell r="O68">
            <v>0.29032997250229137</v>
          </cell>
          <cell r="P68">
            <v>126.7</v>
          </cell>
          <cell r="Q68">
            <v>309.70000000000016</v>
          </cell>
          <cell r="R68">
            <v>1157.136</v>
          </cell>
          <cell r="S68">
            <v>0.27</v>
          </cell>
          <cell r="V68">
            <v>0.27</v>
          </cell>
          <cell r="W68">
            <v>1.4999999999999999E-2</v>
          </cell>
          <cell r="X68">
            <v>0.28499999999999998</v>
          </cell>
        </row>
        <row r="69">
          <cell r="A69" t="str">
            <v xml:space="preserve"> 3Q</v>
          </cell>
          <cell r="B69">
            <v>1632</v>
          </cell>
          <cell r="C69">
            <v>420</v>
          </cell>
          <cell r="D69">
            <v>1212</v>
          </cell>
          <cell r="E69">
            <v>444</v>
          </cell>
          <cell r="F69">
            <v>261</v>
          </cell>
          <cell r="G69">
            <v>507</v>
          </cell>
          <cell r="H69">
            <v>-52.1</v>
          </cell>
          <cell r="I69">
            <v>0</v>
          </cell>
          <cell r="J69">
            <v>-25</v>
          </cell>
          <cell r="L69">
            <v>7</v>
          </cell>
          <cell r="M69">
            <v>-70.099999999999994</v>
          </cell>
          <cell r="N69">
            <v>436.9</v>
          </cell>
          <cell r="O69">
            <v>0.29068436713206686</v>
          </cell>
          <cell r="P69">
            <v>127</v>
          </cell>
          <cell r="Q69">
            <v>309.89999999999998</v>
          </cell>
          <cell r="R69">
            <v>1146.1479999999999</v>
          </cell>
          <cell r="S69">
            <v>0.27</v>
          </cell>
          <cell r="V69">
            <v>0.27</v>
          </cell>
          <cell r="W69">
            <v>5.0000000000000001E-3</v>
          </cell>
          <cell r="X69">
            <v>1.07</v>
          </cell>
        </row>
        <row r="70">
          <cell r="A70" t="str">
            <v xml:space="preserve"> 4Q</v>
          </cell>
          <cell r="B70">
            <v>1799.8</v>
          </cell>
          <cell r="C70">
            <v>494.1</v>
          </cell>
          <cell r="D70">
            <v>1305.6999999999998</v>
          </cell>
          <cell r="E70">
            <v>566.4</v>
          </cell>
          <cell r="F70">
            <v>284.5</v>
          </cell>
          <cell r="G70">
            <v>454.79999999999984</v>
          </cell>
          <cell r="H70">
            <v>-50.4</v>
          </cell>
          <cell r="I70">
            <v>0</v>
          </cell>
          <cell r="J70">
            <v>-25.9</v>
          </cell>
          <cell r="L70">
            <v>-14.6</v>
          </cell>
          <cell r="M70">
            <v>-90.899999999999991</v>
          </cell>
          <cell r="N70">
            <v>363.89999999999986</v>
          </cell>
          <cell r="O70">
            <v>0.14427040395713114</v>
          </cell>
          <cell r="P70">
            <v>52.5</v>
          </cell>
          <cell r="Q70">
            <v>311.39999999999986</v>
          </cell>
          <cell r="R70">
            <v>1092.674</v>
          </cell>
          <cell r="S70">
            <v>0.28499999999999998</v>
          </cell>
          <cell r="V70">
            <v>0.28499999999999998</v>
          </cell>
          <cell r="W70">
            <v>0.02</v>
          </cell>
          <cell r="X70">
            <v>0.315</v>
          </cell>
        </row>
        <row r="72">
          <cell r="A72" t="str">
            <v>1995</v>
          </cell>
          <cell r="B72">
            <v>6763.9000000000005</v>
          </cell>
          <cell r="C72">
            <v>1886</v>
          </cell>
          <cell r="D72">
            <v>4877.9000000000005</v>
          </cell>
          <cell r="E72">
            <v>1853.9</v>
          </cell>
          <cell r="F72">
            <v>1042.7</v>
          </cell>
          <cell r="G72">
            <v>1981.2999999999997</v>
          </cell>
          <cell r="H72">
            <v>-207</v>
          </cell>
          <cell r="I72">
            <v>75</v>
          </cell>
          <cell r="J72">
            <v>-100.9</v>
          </cell>
          <cell r="L72">
            <v>16.399999999999999</v>
          </cell>
          <cell r="M72">
            <v>-216.5</v>
          </cell>
          <cell r="N72">
            <v>1764.8</v>
          </cell>
          <cell r="O72">
            <v>0.26025611967361745</v>
          </cell>
          <cell r="P72">
            <v>459.3</v>
          </cell>
          <cell r="Q72">
            <v>1305.5</v>
          </cell>
          <cell r="R72">
            <v>1138.0519999999999</v>
          </cell>
          <cell r="S72">
            <v>1.1499999999999999</v>
          </cell>
          <cell r="V72">
            <v>1.1499999999999999</v>
          </cell>
          <cell r="W72" t="str">
            <v xml:space="preserve">       --</v>
          </cell>
          <cell r="X72">
            <v>2.0150000000000001</v>
          </cell>
        </row>
        <row r="74">
          <cell r="A74" t="str">
            <v>1996/95</v>
          </cell>
        </row>
        <row r="75">
          <cell r="A75" t="str">
            <v xml:space="preserve"> 1Q</v>
          </cell>
          <cell r="B75">
            <v>3.8432422989576664E-2</v>
          </cell>
          <cell r="C75">
            <v>1.073170731707318E-2</v>
          </cell>
          <cell r="D75">
            <v>5.021580345285525E-2</v>
          </cell>
          <cell r="E75">
            <v>0.12966601178781928</v>
          </cell>
          <cell r="F75">
            <v>0.1660329531051965</v>
          </cell>
          <cell r="G75">
            <v>-5.6338028169013933E-2</v>
          </cell>
          <cell r="H75">
            <v>-1.5296367112810651E-2</v>
          </cell>
          <cell r="I75">
            <v>-5.7142857142857162E-2</v>
          </cell>
          <cell r="J75">
            <v>0</v>
          </cell>
          <cell r="L75" t="str">
            <v>NM</v>
          </cell>
          <cell r="M75" t="str">
            <v>NM</v>
          </cell>
          <cell r="N75">
            <v>-5.8377558756633738E-2</v>
          </cell>
          <cell r="O75">
            <v>-0.1143487916394515</v>
          </cell>
          <cell r="P75">
            <v>-0.16605094709340298</v>
          </cell>
          <cell r="Q75">
            <v>-1.4359412550066536E-2</v>
          </cell>
          <cell r="R75">
            <v>-5.4100850336606054E-2</v>
          </cell>
          <cell r="S75">
            <v>1.5384615384615398E-2</v>
          </cell>
          <cell r="V75">
            <v>9.2307692307692216E-2</v>
          </cell>
          <cell r="W75" t="str">
            <v>NM</v>
          </cell>
          <cell r="X75">
            <v>2.9411764705882214E-2</v>
          </cell>
        </row>
        <row r="76">
          <cell r="A76" t="str">
            <v xml:space="preserve"> 2Q</v>
          </cell>
          <cell r="B76">
            <v>5.1709189992568738E-2</v>
          </cell>
          <cell r="C76">
            <v>9.9477579451458631E-2</v>
          </cell>
          <cell r="D76">
            <v>3.2715942530725052E-2</v>
          </cell>
          <cell r="E76">
            <v>9.7868439147375627E-2</v>
          </cell>
          <cell r="F76">
            <v>4.9520153550863637E-2</v>
          </cell>
          <cell r="G76">
            <v>-3.8813781072830983E-2</v>
          </cell>
          <cell r="H76">
            <v>-3.6398467432950297E-2</v>
          </cell>
          <cell r="I76">
            <v>-5.0000000000000044E-2</v>
          </cell>
          <cell r="J76">
            <v>0</v>
          </cell>
          <cell r="L76" t="str">
            <v>NM</v>
          </cell>
          <cell r="M76" t="str">
            <v>NM</v>
          </cell>
          <cell r="N76">
            <v>2.7726856095324652E-2</v>
          </cell>
          <cell r="O76">
            <v>-0.11480031570639269</v>
          </cell>
          <cell r="P76">
            <v>-9.0256511444357118E-2</v>
          </cell>
          <cell r="Q76">
            <v>7.5994510816918687E-2</v>
          </cell>
          <cell r="R76">
            <v>-5.4083530371537902E-2</v>
          </cell>
          <cell r="S76">
            <v>0.14814814814814806</v>
          </cell>
          <cell r="V76">
            <v>0.1666666666666666</v>
          </cell>
          <cell r="W76" t="str">
            <v>NM</v>
          </cell>
          <cell r="X76">
            <v>8.7719298245614127E-2</v>
          </cell>
        </row>
        <row r="77">
          <cell r="A77" t="str">
            <v xml:space="preserve"> 3Q</v>
          </cell>
          <cell r="B77">
            <v>0.10533088235294123</v>
          </cell>
          <cell r="C77">
            <v>0.19738095238095243</v>
          </cell>
          <cell r="D77">
            <v>7.3432343234323433E-2</v>
          </cell>
          <cell r="E77">
            <v>3.1756756756756807E-2</v>
          </cell>
          <cell r="F77">
            <v>0.11379310344827581</v>
          </cell>
          <cell r="G77">
            <v>8.9151873767258472E-2</v>
          </cell>
          <cell r="H77">
            <v>9.5969289827253917E-3</v>
          </cell>
          <cell r="I77" t="str">
            <v>NM</v>
          </cell>
          <cell r="J77">
            <v>0</v>
          </cell>
          <cell r="L77" t="str">
            <v>NM</v>
          </cell>
          <cell r="M77" t="str">
            <v>NM</v>
          </cell>
          <cell r="N77">
            <v>0.10917830167086301</v>
          </cell>
          <cell r="O77">
            <v>-0.11587952755905516</v>
          </cell>
          <cell r="P77">
            <v>-1.9352755905511745E-2</v>
          </cell>
          <cell r="Q77">
            <v>0.16185156502097472</v>
          </cell>
          <cell r="R77">
            <v>-4.6430303939805295E-2</v>
          </cell>
          <cell r="S77">
            <v>0.14814814814814806</v>
          </cell>
          <cell r="V77">
            <v>0.40740740740740733</v>
          </cell>
          <cell r="W77" t="str">
            <v>NM</v>
          </cell>
          <cell r="X77">
            <v>-0.65420560747663559</v>
          </cell>
        </row>
        <row r="78">
          <cell r="A78" t="str">
            <v xml:space="preserve"> 4Q</v>
          </cell>
          <cell r="B78">
            <v>0.14518279808867648</v>
          </cell>
          <cell r="C78">
            <v>0.19894758146124247</v>
          </cell>
          <cell r="D78">
            <v>0.12483725204870952</v>
          </cell>
          <cell r="E78">
            <v>2.3658192090395443E-2</v>
          </cell>
          <cell r="F78">
            <v>0.22811950790861152</v>
          </cell>
          <cell r="G78">
            <v>0.18623570800351819</v>
          </cell>
          <cell r="H78">
            <v>3.968253968253968E-2</v>
          </cell>
          <cell r="I78" t="str">
            <v>NM</v>
          </cell>
          <cell r="J78">
            <v>-3.474903474903468E-2</v>
          </cell>
          <cell r="L78" t="str">
            <v>NM</v>
          </cell>
          <cell r="M78" t="str">
            <v>NM</v>
          </cell>
          <cell r="N78">
            <v>0.32756251717504836</v>
          </cell>
          <cell r="O78">
            <v>0.57538989265753859</v>
          </cell>
          <cell r="P78">
            <v>1.0914285714285714</v>
          </cell>
          <cell r="Q78">
            <v>0.19877970456005159</v>
          </cell>
          <cell r="R78">
            <v>1.6711297239615508E-3</v>
          </cell>
          <cell r="S78">
            <v>0.15789473684210542</v>
          </cell>
          <cell r="V78">
            <v>0.15789473684210542</v>
          </cell>
          <cell r="W78" t="str">
            <v>NM</v>
          </cell>
          <cell r="X78">
            <v>4.7619047619047658E-2</v>
          </cell>
        </row>
        <row r="80">
          <cell r="A80" t="str">
            <v>1996/95</v>
          </cell>
          <cell r="B80">
            <v>8.6148523780659056E-2</v>
          </cell>
          <cell r="C80">
            <v>0.12322375397667029</v>
          </cell>
          <cell r="D80">
            <v>7.1813690317554524E-2</v>
          </cell>
          <cell r="E80">
            <v>6.6346620637574835E-2</v>
          </cell>
          <cell r="F80">
            <v>0.14078833796873497</v>
          </cell>
          <cell r="G80">
            <v>4.0629889466511665E-2</v>
          </cell>
          <cell r="H80">
            <v>-9.6618357487917217E-4</v>
          </cell>
          <cell r="I80">
            <v>-5.3333333333333344E-2</v>
          </cell>
          <cell r="J80">
            <v>-8.9197224975223754E-3</v>
          </cell>
          <cell r="L80" t="str">
            <v>NM</v>
          </cell>
          <cell r="M80" t="str">
            <v>NM</v>
          </cell>
          <cell r="N80">
            <v>8.3975521305530265E-2</v>
          </cell>
          <cell r="O80">
            <v>-4.1347457601848742E-2</v>
          </cell>
          <cell r="P80">
            <v>3.9155889396908131E-2</v>
          </cell>
          <cell r="Q80">
            <v>9.97439295289161E-2</v>
          </cell>
          <cell r="R80">
            <v>-3.8778544389887148E-2</v>
          </cell>
          <cell r="S80">
            <v>0.11304347826086968</v>
          </cell>
          <cell r="V80">
            <v>0.2</v>
          </cell>
          <cell r="W80" t="str">
            <v>NM</v>
          </cell>
          <cell r="X80">
            <v>-0.32506203473945411</v>
          </cell>
        </row>
        <row r="82">
          <cell r="A82" t="str">
            <v>1996</v>
          </cell>
        </row>
        <row r="83">
          <cell r="A83" t="str">
            <v xml:space="preserve"> 1Q (b)</v>
          </cell>
          <cell r="B83">
            <v>1783.3</v>
          </cell>
          <cell r="C83">
            <v>518</v>
          </cell>
          <cell r="D83">
            <v>1265.3</v>
          </cell>
          <cell r="E83">
            <v>460</v>
          </cell>
          <cell r="F83">
            <v>276</v>
          </cell>
          <cell r="G83">
            <v>529.29999999999995</v>
          </cell>
          <cell r="H83">
            <v>-51.500000000000007</v>
          </cell>
          <cell r="I83">
            <v>33</v>
          </cell>
          <cell r="J83">
            <v>-25</v>
          </cell>
          <cell r="L83">
            <v>11</v>
          </cell>
          <cell r="M83">
            <v>-32.500000000000007</v>
          </cell>
          <cell r="N83">
            <v>496.79999999999995</v>
          </cell>
          <cell r="O83">
            <v>0.25700000000000001</v>
          </cell>
          <cell r="P83">
            <v>127.6776</v>
          </cell>
          <cell r="Q83">
            <v>369.12239999999997</v>
          </cell>
          <cell r="R83">
            <v>1093.694</v>
          </cell>
          <cell r="S83">
            <v>0.33</v>
          </cell>
          <cell r="V83">
            <v>0.35499999999999998</v>
          </cell>
          <cell r="W83" t="str">
            <v xml:space="preserve">       --</v>
          </cell>
          <cell r="X83">
            <v>0.35</v>
          </cell>
        </row>
        <row r="84">
          <cell r="A84" t="str">
            <v xml:space="preserve"> 2Q (c)</v>
          </cell>
          <cell r="B84">
            <v>1698.3</v>
          </cell>
          <cell r="C84">
            <v>505.1</v>
          </cell>
          <cell r="D84">
            <v>1193.1999999999998</v>
          </cell>
          <cell r="E84">
            <v>479</v>
          </cell>
          <cell r="F84">
            <v>273.39999999999998</v>
          </cell>
          <cell r="G84">
            <v>440.79999999999984</v>
          </cell>
          <cell r="H84">
            <v>-50.3</v>
          </cell>
          <cell r="I84">
            <v>38</v>
          </cell>
          <cell r="J84">
            <v>-25</v>
          </cell>
          <cell r="L84">
            <v>45</v>
          </cell>
          <cell r="M84">
            <v>7.7000000000000028</v>
          </cell>
          <cell r="N84">
            <v>448.49999999999983</v>
          </cell>
          <cell r="O84">
            <v>0.25700000000000001</v>
          </cell>
          <cell r="P84">
            <v>115.26449999999996</v>
          </cell>
          <cell r="Q84">
            <v>333.23549999999989</v>
          </cell>
          <cell r="R84">
            <v>1094.5540000000001</v>
          </cell>
          <cell r="S84">
            <v>0.31</v>
          </cell>
          <cell r="V84">
            <v>0.315</v>
          </cell>
          <cell r="W84" t="str">
            <v xml:space="preserve">       --</v>
          </cell>
          <cell r="X84">
            <v>0.31</v>
          </cell>
        </row>
        <row r="85">
          <cell r="A85" t="str">
            <v xml:space="preserve"> 3Q (d)</v>
          </cell>
          <cell r="B85">
            <v>1803.9</v>
          </cell>
          <cell r="C85">
            <v>502.9</v>
          </cell>
          <cell r="D85">
            <v>1301</v>
          </cell>
          <cell r="E85">
            <v>458.1</v>
          </cell>
          <cell r="F85">
            <v>290.7</v>
          </cell>
          <cell r="G85">
            <v>552.20000000000005</v>
          </cell>
          <cell r="H85">
            <v>-52.599999999999994</v>
          </cell>
          <cell r="I85">
            <v>0</v>
          </cell>
          <cell r="J85">
            <v>-25</v>
          </cell>
          <cell r="L85">
            <v>10</v>
          </cell>
          <cell r="M85">
            <v>-67.599999999999994</v>
          </cell>
          <cell r="N85">
            <v>484.6</v>
          </cell>
          <cell r="O85">
            <v>0.25700000000000001</v>
          </cell>
          <cell r="P85">
            <v>124.54220000000001</v>
          </cell>
          <cell r="Q85">
            <v>360.05780000000004</v>
          </cell>
          <cell r="R85">
            <v>1092.932</v>
          </cell>
          <cell r="S85">
            <v>0.31</v>
          </cell>
          <cell r="V85">
            <v>0.38</v>
          </cell>
          <cell r="W85" t="str">
            <v xml:space="preserve">       --</v>
          </cell>
          <cell r="X85">
            <v>0.37</v>
          </cell>
        </row>
        <row r="86">
          <cell r="A86" t="str">
            <v xml:space="preserve"> 4Q</v>
          </cell>
          <cell r="B86">
            <v>2061.1</v>
          </cell>
          <cell r="C86">
            <v>592.4</v>
          </cell>
          <cell r="D86">
            <v>1468.6999999999998</v>
          </cell>
          <cell r="E86">
            <v>579.79999999999995</v>
          </cell>
          <cell r="F86">
            <v>349.4</v>
          </cell>
          <cell r="G86">
            <v>539.49999999999989</v>
          </cell>
          <cell r="H86">
            <v>-52.4</v>
          </cell>
          <cell r="I86">
            <v>0</v>
          </cell>
          <cell r="J86">
            <v>-25</v>
          </cell>
          <cell r="L86">
            <v>21</v>
          </cell>
          <cell r="M86">
            <v>-56.400000000000006</v>
          </cell>
          <cell r="N86">
            <v>483.09999999999991</v>
          </cell>
          <cell r="O86">
            <v>0.22728213620368456</v>
          </cell>
          <cell r="P86">
            <v>109.8</v>
          </cell>
          <cell r="Q86">
            <v>373.2999999999999</v>
          </cell>
          <cell r="R86">
            <v>1094.5</v>
          </cell>
          <cell r="S86">
            <v>0.33</v>
          </cell>
          <cell r="V86">
            <v>0.33</v>
          </cell>
          <cell r="W86" t="str">
            <v xml:space="preserve">       --</v>
          </cell>
          <cell r="X86">
            <v>0.33</v>
          </cell>
        </row>
        <row r="88">
          <cell r="A88" t="str">
            <v>Year</v>
          </cell>
          <cell r="B88">
            <v>7346.6</v>
          </cell>
          <cell r="C88">
            <v>2118.4</v>
          </cell>
          <cell r="D88">
            <v>5228.2</v>
          </cell>
          <cell r="E88">
            <v>1976.9</v>
          </cell>
          <cell r="F88">
            <v>1189.5</v>
          </cell>
          <cell r="G88">
            <v>2061.7999999999993</v>
          </cell>
          <cell r="H88">
            <v>-206.8</v>
          </cell>
          <cell r="I88">
            <v>71</v>
          </cell>
          <cell r="J88">
            <v>-100</v>
          </cell>
          <cell r="L88">
            <v>87</v>
          </cell>
          <cell r="M88">
            <v>-148.80000000000001</v>
          </cell>
          <cell r="N88">
            <v>1912.9999999999998</v>
          </cell>
          <cell r="O88">
            <v>0.24949519079979088</v>
          </cell>
          <cell r="P88">
            <v>477.28429999999992</v>
          </cell>
          <cell r="Q88">
            <v>1435.7157</v>
          </cell>
          <cell r="R88">
            <v>1093.92</v>
          </cell>
          <cell r="S88">
            <v>1.28</v>
          </cell>
          <cell r="V88">
            <v>1.38</v>
          </cell>
          <cell r="W88" t="str">
            <v xml:space="preserve">       --</v>
          </cell>
          <cell r="X88">
            <v>1.36</v>
          </cell>
        </row>
        <row r="90">
          <cell r="A90" t="str">
            <v>1997/96</v>
          </cell>
        </row>
        <row r="91">
          <cell r="A91" t="str">
            <v xml:space="preserve"> 1Q</v>
          </cell>
          <cell r="B91">
            <v>9.5160657208545982E-2</v>
          </cell>
          <cell r="C91">
            <v>4.4980694980694895E-2</v>
          </cell>
          <cell r="D91">
            <v>0.11570378566347909</v>
          </cell>
          <cell r="E91">
            <v>2.5434782608695628E-2</v>
          </cell>
          <cell r="F91">
            <v>9.1304347826086915E-2</v>
          </cell>
          <cell r="G91">
            <v>0.2068770073682222</v>
          </cell>
          <cell r="H91">
            <v>-0.10873786407766992</v>
          </cell>
          <cell r="I91">
            <v>-0.36363636363636365</v>
          </cell>
          <cell r="J91">
            <v>0</v>
          </cell>
          <cell r="L91">
            <v>7.2727272727272793E-2</v>
          </cell>
          <cell r="M91">
            <v>0.1723076923076923</v>
          </cell>
          <cell r="N91">
            <v>0.20913848631239934</v>
          </cell>
          <cell r="O91">
            <v>-2.7075415905827124E-2</v>
          </cell>
          <cell r="P91">
            <v>0.17640055890774883</v>
          </cell>
          <cell r="Q91">
            <v>0.22046237237295807</v>
          </cell>
          <cell r="R91">
            <v>2.9125148350452726E-2</v>
          </cell>
          <cell r="S91">
            <v>0.21212121212121213</v>
          </cell>
          <cell r="V91">
            <v>0.1267605633802818</v>
          </cell>
          <cell r="W91" t="str">
            <v>NM</v>
          </cell>
          <cell r="X91">
            <v>8.5714285714285798E-2</v>
          </cell>
        </row>
        <row r="92">
          <cell r="A92" t="str">
            <v xml:space="preserve"> 2Q</v>
          </cell>
          <cell r="B92">
            <v>0.17099452393570047</v>
          </cell>
          <cell r="C92">
            <v>8.6517521282914137E-2</v>
          </cell>
          <cell r="D92">
            <v>0.20675494468655742</v>
          </cell>
          <cell r="E92">
            <v>0.15302713987473895</v>
          </cell>
          <cell r="F92">
            <v>0.19495245062179961</v>
          </cell>
          <cell r="G92">
            <v>0.27245916515426566</v>
          </cell>
          <cell r="H92">
            <v>-0.10337972166998004</v>
          </cell>
          <cell r="I92">
            <v>0</v>
          </cell>
          <cell r="J92">
            <v>0</v>
          </cell>
          <cell r="L92">
            <v>-0.37777777777777777</v>
          </cell>
          <cell r="M92" t="str">
            <v>NM</v>
          </cell>
          <cell r="N92">
            <v>0.24147157190635513</v>
          </cell>
          <cell r="O92">
            <v>-2.7936177825484364E-2</v>
          </cell>
          <cell r="P92">
            <v>0.20678960130829568</v>
          </cell>
          <cell r="Q92">
            <v>0.25346789282654514</v>
          </cell>
          <cell r="R92">
            <v>2.9580998287887055E-2</v>
          </cell>
          <cell r="S92">
            <v>0.19354838709677419</v>
          </cell>
          <cell r="V92">
            <v>0.20634920634920637</v>
          </cell>
          <cell r="W92" t="str">
            <v>NM</v>
          </cell>
          <cell r="X92" t="str">
            <v>NM</v>
          </cell>
        </row>
        <row r="93">
          <cell r="A93" t="str">
            <v xml:space="preserve"> 3Q</v>
          </cell>
          <cell r="B93">
            <v>0.19746105659958968</v>
          </cell>
          <cell r="C93">
            <v>0.16882083913302839</v>
          </cell>
          <cell r="D93">
            <v>0.2085318985395849</v>
          </cell>
          <cell r="E93">
            <v>0.28181619733682606</v>
          </cell>
          <cell r="F93">
            <v>0.18816649466804261</v>
          </cell>
          <cell r="G93">
            <v>0.15845708076783752</v>
          </cell>
          <cell r="H93">
            <v>-0.38403041825095052</v>
          </cell>
          <cell r="I93" t="str">
            <v>NM</v>
          </cell>
          <cell r="J93">
            <v>-0.7</v>
          </cell>
          <cell r="L93">
            <v>-1.1099999999999999</v>
          </cell>
          <cell r="M93">
            <v>-0.39349112426035499</v>
          </cell>
          <cell r="N93">
            <v>0.23545191910854293</v>
          </cell>
          <cell r="O93">
            <v>-2.7074874939801367E-2</v>
          </cell>
          <cell r="P93">
            <v>0.20200221290454143</v>
          </cell>
          <cell r="Q93">
            <v>0.24702200591127282</v>
          </cell>
          <cell r="R93">
            <v>3.3780692668894378E-2</v>
          </cell>
          <cell r="S93">
            <v>0.29032258064516137</v>
          </cell>
          <cell r="V93">
            <v>5.2631578947368467E-2</v>
          </cell>
          <cell r="W93" t="str">
            <v>NM</v>
          </cell>
          <cell r="X93">
            <v>8.1081081081081155E-2</v>
          </cell>
        </row>
        <row r="94">
          <cell r="A94" t="str">
            <v xml:space="preserve"> 4Q</v>
          </cell>
          <cell r="B94">
            <v>0.1720925719276116</v>
          </cell>
          <cell r="C94">
            <v>0.15631330182309255</v>
          </cell>
          <cell r="D94">
            <v>0.17845713896643317</v>
          </cell>
          <cell r="E94">
            <v>0.17764746464298034</v>
          </cell>
          <cell r="F94">
            <v>0.16971951917572986</v>
          </cell>
          <cell r="G94">
            <v>0.18498609823911089</v>
          </cell>
          <cell r="H94">
            <v>-0.59732824427480913</v>
          </cell>
          <cell r="I94" t="str">
            <v>NM</v>
          </cell>
          <cell r="J94">
            <v>-0.7</v>
          </cell>
          <cell r="L94">
            <v>-1.0333333333333332</v>
          </cell>
          <cell r="M94">
            <v>-0.48049645390070927</v>
          </cell>
          <cell r="N94">
            <v>0.26267853446491479</v>
          </cell>
          <cell r="O94">
            <v>9.9954462659380197E-2</v>
          </cell>
          <cell r="P94">
            <v>0.38888888888888895</v>
          </cell>
          <cell r="Q94">
            <v>0.22555585320117963</v>
          </cell>
          <cell r="R94">
            <v>3.4762905436272272E-2</v>
          </cell>
          <cell r="S94">
            <v>0.21212121212121213</v>
          </cell>
          <cell r="V94">
            <v>0.21212121212121213</v>
          </cell>
          <cell r="W94" t="str">
            <v>NM</v>
          </cell>
          <cell r="X94">
            <v>0.21212121212121213</v>
          </cell>
        </row>
        <row r="96">
          <cell r="A96" t="str">
            <v>Year</v>
          </cell>
          <cell r="B96">
            <v>0.15939346092069775</v>
          </cell>
          <cell r="C96">
            <v>0.11541729607250734</v>
          </cell>
          <cell r="D96">
            <v>0.17721204238552485</v>
          </cell>
          <cell r="E96">
            <v>0.16040265061459857</v>
          </cell>
          <cell r="F96">
            <v>0.16183270281630938</v>
          </cell>
          <cell r="G96">
            <v>0.20220195945290578</v>
          </cell>
          <cell r="H96">
            <v>-0.30125725338491299</v>
          </cell>
          <cell r="I96">
            <v>-0.16901408450704225</v>
          </cell>
          <cell r="J96">
            <v>-0.35</v>
          </cell>
          <cell r="L96">
            <v>-0.56321839080459779</v>
          </cell>
          <cell r="M96">
            <v>-0.24395161290322576</v>
          </cell>
          <cell r="N96">
            <v>0.23690538421327786</v>
          </cell>
          <cell r="O96">
            <v>1.9386276402102781E-3</v>
          </cell>
          <cell r="P96">
            <v>0.23930328317943855</v>
          </cell>
          <cell r="Q96">
            <v>0.23610823507746018</v>
          </cell>
          <cell r="R96">
            <v>3.1812198332601974E-2</v>
          </cell>
          <cell r="S96">
            <v>0.22656250000000003</v>
          </cell>
          <cell r="V96">
            <v>0.1449275362318842</v>
          </cell>
          <cell r="W96" t="str">
            <v>NM</v>
          </cell>
          <cell r="X96" t="str">
            <v>NM</v>
          </cell>
        </row>
        <row r="98">
          <cell r="A98" t="str">
            <v>1997</v>
          </cell>
        </row>
        <row r="99">
          <cell r="A99" t="str">
            <v xml:space="preserve"> 1Q (a)</v>
          </cell>
          <cell r="B99">
            <v>1953</v>
          </cell>
          <cell r="C99">
            <v>541.29999999999995</v>
          </cell>
          <cell r="D99">
            <v>1411.7</v>
          </cell>
          <cell r="E99">
            <v>471.7</v>
          </cell>
          <cell r="F99">
            <v>301.2</v>
          </cell>
          <cell r="G99">
            <v>638.79999999999995</v>
          </cell>
          <cell r="H99">
            <v>-45.900000000000006</v>
          </cell>
          <cell r="I99">
            <v>21</v>
          </cell>
          <cell r="J99">
            <v>-25</v>
          </cell>
          <cell r="L99">
            <v>11.8</v>
          </cell>
          <cell r="M99">
            <v>-38.100000000000009</v>
          </cell>
          <cell r="N99">
            <v>600.69999999999993</v>
          </cell>
          <cell r="O99">
            <v>0.25004161811220244</v>
          </cell>
          <cell r="P99">
            <v>150.19999999999999</v>
          </cell>
          <cell r="Q99">
            <v>450.49999999999994</v>
          </cell>
          <cell r="R99">
            <v>1125.548</v>
          </cell>
          <cell r="S99">
            <v>0.4</v>
          </cell>
          <cell r="U99">
            <v>0.18</v>
          </cell>
          <cell r="V99">
            <v>0.4</v>
          </cell>
          <cell r="W99">
            <v>0.4</v>
          </cell>
          <cell r="X99">
            <v>0.38</v>
          </cell>
        </row>
        <row r="100">
          <cell r="A100" t="str">
            <v xml:space="preserve"> 2Q (b)</v>
          </cell>
          <cell r="B100">
            <v>1988.7</v>
          </cell>
          <cell r="C100">
            <v>548.79999999999995</v>
          </cell>
          <cell r="D100">
            <v>1439.9</v>
          </cell>
          <cell r="E100">
            <v>552.29999999999995</v>
          </cell>
          <cell r="F100">
            <v>326.7</v>
          </cell>
          <cell r="G100">
            <v>560.90000000000009</v>
          </cell>
          <cell r="H100">
            <v>-45.1</v>
          </cell>
          <cell r="I100">
            <v>38</v>
          </cell>
          <cell r="J100">
            <v>-25</v>
          </cell>
          <cell r="L100">
            <v>28</v>
          </cell>
          <cell r="M100">
            <v>-4.1000000000000014</v>
          </cell>
          <cell r="N100">
            <v>556.80000000000007</v>
          </cell>
          <cell r="O100">
            <v>0.24982040229885052</v>
          </cell>
          <cell r="P100">
            <v>139.1</v>
          </cell>
          <cell r="Q100">
            <v>417.70000000000005</v>
          </cell>
          <cell r="R100">
            <v>1126.932</v>
          </cell>
          <cell r="S100">
            <v>0.37</v>
          </cell>
          <cell r="U100">
            <v>0.18</v>
          </cell>
          <cell r="V100">
            <v>0.38</v>
          </cell>
          <cell r="W100" t="str">
            <v xml:space="preserve">       --</v>
          </cell>
          <cell r="X100">
            <v>-1.57</v>
          </cell>
        </row>
        <row r="101">
          <cell r="A101" t="str">
            <v xml:space="preserve"> 3Q</v>
          </cell>
          <cell r="B101">
            <v>2160.1</v>
          </cell>
          <cell r="C101">
            <v>587.79999999999995</v>
          </cell>
          <cell r="D101">
            <v>1572.3</v>
          </cell>
          <cell r="E101">
            <v>587.20000000000005</v>
          </cell>
          <cell r="F101">
            <v>345.4</v>
          </cell>
          <cell r="G101">
            <v>639.69999999999993</v>
          </cell>
          <cell r="H101">
            <v>-32.4</v>
          </cell>
          <cell r="I101">
            <v>0</v>
          </cell>
          <cell r="J101">
            <v>-7.5</v>
          </cell>
          <cell r="L101">
            <v>-1.1000000000000001</v>
          </cell>
          <cell r="M101">
            <v>-41</v>
          </cell>
          <cell r="N101">
            <v>598.69999999999993</v>
          </cell>
          <cell r="O101">
            <v>0.25004175714047105</v>
          </cell>
          <cell r="P101">
            <v>149.69999999999999</v>
          </cell>
          <cell r="Q101">
            <v>448.99999999999994</v>
          </cell>
          <cell r="R101">
            <v>1129.8520000000001</v>
          </cell>
          <cell r="S101">
            <v>0.4</v>
          </cell>
          <cell r="U101">
            <v>0.18</v>
          </cell>
          <cell r="V101">
            <v>0.4</v>
          </cell>
          <cell r="W101">
            <v>0.4</v>
          </cell>
          <cell r="X101">
            <v>0.4</v>
          </cell>
        </row>
        <row r="102">
          <cell r="A102" t="str">
            <v xml:space="preserve"> 4Q</v>
          </cell>
          <cell r="B102">
            <v>2415.8000000000002</v>
          </cell>
          <cell r="C102">
            <v>685</v>
          </cell>
          <cell r="D102">
            <v>1730.8000000000002</v>
          </cell>
          <cell r="E102">
            <v>682.8</v>
          </cell>
          <cell r="F102">
            <v>408.7</v>
          </cell>
          <cell r="G102">
            <v>639.30000000000018</v>
          </cell>
          <cell r="H102">
            <v>-21.1</v>
          </cell>
          <cell r="I102">
            <v>0</v>
          </cell>
          <cell r="J102">
            <v>-7.5</v>
          </cell>
          <cell r="L102">
            <v>-0.7</v>
          </cell>
          <cell r="M102">
            <v>-29.3</v>
          </cell>
          <cell r="N102">
            <v>610.00000000000023</v>
          </cell>
          <cell r="O102">
            <v>0.24999999999999992</v>
          </cell>
          <cell r="P102">
            <v>152.5</v>
          </cell>
          <cell r="Q102">
            <v>457.50000000000023</v>
          </cell>
          <cell r="R102">
            <v>1132.548</v>
          </cell>
          <cell r="S102">
            <v>0.4</v>
          </cell>
          <cell r="U102">
            <v>0.2</v>
          </cell>
          <cell r="V102">
            <v>0.4</v>
          </cell>
          <cell r="W102">
            <v>0.4</v>
          </cell>
          <cell r="X102">
            <v>0.4</v>
          </cell>
        </row>
        <row r="104">
          <cell r="A104" t="str">
            <v>Year</v>
          </cell>
          <cell r="B104">
            <v>8517.5999999999985</v>
          </cell>
          <cell r="C104">
            <v>2362.8999999999996</v>
          </cell>
          <cell r="D104">
            <v>6154.7000000000007</v>
          </cell>
          <cell r="E104">
            <v>2294</v>
          </cell>
          <cell r="F104">
            <v>1382</v>
          </cell>
          <cell r="G104">
            <v>2478.7000000000003</v>
          </cell>
          <cell r="H104">
            <v>-144.5</v>
          </cell>
          <cell r="I104">
            <v>59</v>
          </cell>
          <cell r="J104">
            <v>-65</v>
          </cell>
          <cell r="L104">
            <v>37.999999999999993</v>
          </cell>
          <cell r="M104">
            <v>-112.50000000000001</v>
          </cell>
          <cell r="N104">
            <v>2366.2000000000003</v>
          </cell>
          <cell r="O104">
            <v>0.24997886907277489</v>
          </cell>
          <cell r="P104">
            <v>591.5</v>
          </cell>
          <cell r="Q104">
            <v>1774.7000000000003</v>
          </cell>
          <cell r="R104">
            <v>1128.72</v>
          </cell>
          <cell r="S104">
            <v>1.57</v>
          </cell>
          <cell r="U104">
            <v>0.74</v>
          </cell>
          <cell r="V104">
            <v>1.58</v>
          </cell>
          <cell r="W104" t="str">
            <v xml:space="preserve">       --</v>
          </cell>
          <cell r="X104">
            <v>-0.35</v>
          </cell>
        </row>
        <row r="106">
          <cell r="A106" t="str">
            <v>1998/97</v>
          </cell>
        </row>
        <row r="107">
          <cell r="A107" t="str">
            <v xml:space="preserve"> 1Q</v>
          </cell>
          <cell r="B107">
            <v>6.8612391193036359E-2</v>
          </cell>
          <cell r="C107">
            <v>-0.15518196933308692</v>
          </cell>
          <cell r="D107">
            <v>0.15442374442161932</v>
          </cell>
          <cell r="E107">
            <v>0.15221539113843546</v>
          </cell>
          <cell r="F107">
            <v>0.20484727755644086</v>
          </cell>
          <cell r="G107">
            <v>0.13227927363807157</v>
          </cell>
          <cell r="H107">
            <v>-0.47930283224400883</v>
          </cell>
          <cell r="I107" t="str">
            <v>NM</v>
          </cell>
          <cell r="J107" t="str">
            <v>NM</v>
          </cell>
          <cell r="L107" t="str">
            <v>NM</v>
          </cell>
          <cell r="M107" t="str">
            <v>NM</v>
          </cell>
          <cell r="N107">
            <v>0.170800732478775</v>
          </cell>
          <cell r="O107">
            <v>-2.3623367336371232E-2</v>
          </cell>
          <cell r="P107">
            <v>0.14314247669773636</v>
          </cell>
          <cell r="Q107">
            <v>0.18002219755826904</v>
          </cell>
          <cell r="R107">
            <v>4.5186877858607657E-3</v>
          </cell>
          <cell r="S107">
            <v>0.15</v>
          </cell>
          <cell r="U107">
            <v>0.11111111111111122</v>
          </cell>
          <cell r="V107">
            <v>0.15</v>
          </cell>
          <cell r="W107" t="str">
            <v>NM</v>
          </cell>
          <cell r="X107">
            <v>0.2368421052631578</v>
          </cell>
        </row>
        <row r="108">
          <cell r="A108" t="str">
            <v xml:space="preserve"> 2Q</v>
          </cell>
          <cell r="B108">
            <v>8.3622466938200815E-2</v>
          </cell>
          <cell r="C108">
            <v>-0.12791545189504361</v>
          </cell>
          <cell r="D108">
            <v>0.16424751718869365</v>
          </cell>
          <cell r="E108">
            <v>0.15408292594604386</v>
          </cell>
          <cell r="F108">
            <v>0.27548209366391185</v>
          </cell>
          <cell r="G108">
            <v>0.10946692815118533</v>
          </cell>
          <cell r="H108">
            <v>-0.57871396895787142</v>
          </cell>
          <cell r="I108" t="str">
            <v>NM</v>
          </cell>
          <cell r="J108" t="str">
            <v>NM</v>
          </cell>
          <cell r="L108" t="str">
            <v>NM</v>
          </cell>
          <cell r="M108" t="str">
            <v>NM</v>
          </cell>
          <cell r="N108">
            <v>0.16253591954022967</v>
          </cell>
          <cell r="O108">
            <v>-3.2829061667760159E-2</v>
          </cell>
          <cell r="P108">
            <v>0.12437095614665716</v>
          </cell>
          <cell r="Q108">
            <v>0.17524539142925527</v>
          </cell>
          <cell r="R108">
            <v>-1.7055155058158127E-3</v>
          </cell>
          <cell r="S108">
            <v>0.1891891891891892</v>
          </cell>
          <cell r="U108">
            <v>0.11111111111111122</v>
          </cell>
          <cell r="V108">
            <v>0.15789473684210525</v>
          </cell>
          <cell r="W108" t="str">
            <v>NM</v>
          </cell>
          <cell r="X108">
            <v>-1.2802547770700639</v>
          </cell>
        </row>
        <row r="109">
          <cell r="A109" t="str">
            <v xml:space="preserve"> 3Q</v>
          </cell>
          <cell r="B109">
            <v>9.2264247025600751E-2</v>
          </cell>
          <cell r="C109">
            <v>-0.15668594760122487</v>
          </cell>
          <cell r="D109">
            <v>0.18533358773770917</v>
          </cell>
          <cell r="E109">
            <v>0.13692098092643046</v>
          </cell>
          <cell r="F109">
            <v>0.27359583092067169</v>
          </cell>
          <cell r="G109">
            <v>0.18211661716429578</v>
          </cell>
          <cell r="H109">
            <v>-0.28086419753086417</v>
          </cell>
          <cell r="I109" t="str">
            <v>NM</v>
          </cell>
          <cell r="J109" t="str">
            <v>NM</v>
          </cell>
          <cell r="L109" t="str">
            <v>NM</v>
          </cell>
          <cell r="M109" t="str">
            <v>NM</v>
          </cell>
          <cell r="N109">
            <v>0.21362953064974108</v>
          </cell>
          <cell r="O109">
            <v>-0.242625814984405</v>
          </cell>
          <cell r="P109">
            <v>-8.0828323313293218E-2</v>
          </cell>
          <cell r="Q109">
            <v>0.31180400890868587</v>
          </cell>
          <cell r="R109">
            <v>-1.0327901353451687E-2</v>
          </cell>
          <cell r="S109">
            <v>0.32500000000000001</v>
          </cell>
          <cell r="U109">
            <v>0.11111111111111122</v>
          </cell>
          <cell r="V109">
            <v>0.32500000000000001</v>
          </cell>
          <cell r="W109" t="str">
            <v>NM</v>
          </cell>
          <cell r="X109">
            <v>0.32500000000000001</v>
          </cell>
        </row>
        <row r="110">
          <cell r="A110" t="str">
            <v xml:space="preserve"> 4Q</v>
          </cell>
          <cell r="B110">
            <v>9.0901564699064449E-2</v>
          </cell>
          <cell r="C110">
            <v>-0.14817518248175182</v>
          </cell>
          <cell r="D110">
            <v>0.18552114629073255</v>
          </cell>
          <cell r="E110">
            <v>0.18599882835383716</v>
          </cell>
          <cell r="F110">
            <v>0.2708588206508441</v>
          </cell>
          <cell r="G110">
            <v>0.13045518535898631</v>
          </cell>
          <cell r="H110">
            <v>-0.16587677725118499</v>
          </cell>
          <cell r="I110" t="str">
            <v>NM</v>
          </cell>
          <cell r="J110" t="str">
            <v>NM</v>
          </cell>
          <cell r="L110" t="str">
            <v>NM</v>
          </cell>
          <cell r="M110" t="str">
            <v>NM</v>
          </cell>
          <cell r="N110">
            <v>0.17262295081967199</v>
          </cell>
          <cell r="O110">
            <v>-0.1405004893051866</v>
          </cell>
          <cell r="P110">
            <v>7.8688524590163188E-3</v>
          </cell>
          <cell r="Q110">
            <v>0.22754098360655706</v>
          </cell>
          <cell r="R110">
            <v>-1.2759724091164368E-2</v>
          </cell>
          <cell r="S110">
            <v>0.24999999999999994</v>
          </cell>
          <cell r="U110">
            <v>0</v>
          </cell>
          <cell r="V110">
            <v>0.24999999999999994</v>
          </cell>
          <cell r="W110" t="str">
            <v>NM</v>
          </cell>
          <cell r="X110">
            <v>0.24999999999999994</v>
          </cell>
        </row>
        <row r="112">
          <cell r="A112" t="str">
            <v>Year</v>
          </cell>
          <cell r="B112">
            <v>8.4436930590776851E-2</v>
          </cell>
          <cell r="C112">
            <v>-0.14719200981844324</v>
          </cell>
          <cell r="D112">
            <v>0.1733634458218922</v>
          </cell>
          <cell r="E112">
            <v>0.1588055797733218</v>
          </cell>
          <cell r="F112">
            <v>0.2582489146164979</v>
          </cell>
          <cell r="G112">
            <v>0.139508613386049</v>
          </cell>
          <cell r="H112">
            <v>-0.42006920415224913</v>
          </cell>
          <cell r="I112" t="str">
            <v>NM</v>
          </cell>
          <cell r="J112" t="str">
            <v>NM</v>
          </cell>
          <cell r="L112" t="str">
            <v>NM</v>
          </cell>
          <cell r="M112" t="str">
            <v>NM</v>
          </cell>
          <cell r="N112">
            <v>0.18016228552108854</v>
          </cell>
          <cell r="O112">
            <v>-0.11269133978754538</v>
          </cell>
          <cell r="P112">
            <v>4.7168216398985399E-2</v>
          </cell>
          <cell r="Q112">
            <v>0.22448864596833271</v>
          </cell>
          <cell r="R112">
            <v>-6.4090296973562293E-3</v>
          </cell>
          <cell r="S112">
            <v>0.2292993630573249</v>
          </cell>
          <cell r="U112">
            <v>8.1081081081081155E-2</v>
          </cell>
          <cell r="V112">
            <v>0.22151898734177219</v>
          </cell>
          <cell r="W112" t="str">
            <v>NM</v>
          </cell>
          <cell r="X112">
            <v>-6.5428571428571436</v>
          </cell>
        </row>
        <row r="114">
          <cell r="A114" t="str">
            <v>1998 (R)</v>
          </cell>
        </row>
        <row r="115">
          <cell r="A115" t="str">
            <v xml:space="preserve"> 1Q (c)</v>
          </cell>
          <cell r="B115">
            <v>2087</v>
          </cell>
          <cell r="C115">
            <v>457.3</v>
          </cell>
          <cell r="D115">
            <v>1629.7</v>
          </cell>
          <cell r="E115">
            <v>543.5</v>
          </cell>
          <cell r="F115">
            <v>362.9</v>
          </cell>
          <cell r="G115">
            <v>723.30000000000007</v>
          </cell>
          <cell r="H115">
            <v>-23.9</v>
          </cell>
          <cell r="I115">
            <v>0</v>
          </cell>
          <cell r="J115">
            <v>0</v>
          </cell>
          <cell r="L115">
            <v>3.9</v>
          </cell>
          <cell r="M115">
            <v>-20</v>
          </cell>
          <cell r="N115">
            <v>703.30000000000007</v>
          </cell>
          <cell r="O115">
            <v>0.24413479311815722</v>
          </cell>
          <cell r="P115">
            <v>171.7</v>
          </cell>
          <cell r="Q115">
            <v>531.60000000000014</v>
          </cell>
          <cell r="R115">
            <v>1130.634</v>
          </cell>
          <cell r="S115">
            <v>0.46</v>
          </cell>
          <cell r="U115">
            <v>0.2</v>
          </cell>
          <cell r="V115">
            <v>0.46</v>
          </cell>
          <cell r="W115" t="str">
            <v xml:space="preserve">       --</v>
          </cell>
          <cell r="X115">
            <v>0.47</v>
          </cell>
        </row>
        <row r="116">
          <cell r="A116" t="str">
            <v xml:space="preserve"> 2Q </v>
          </cell>
          <cell r="B116">
            <v>2155</v>
          </cell>
          <cell r="C116">
            <v>478.6</v>
          </cell>
          <cell r="D116">
            <v>1676.4</v>
          </cell>
          <cell r="E116">
            <v>637.4</v>
          </cell>
          <cell r="F116">
            <v>416.7</v>
          </cell>
          <cell r="G116">
            <v>622.29999999999995</v>
          </cell>
          <cell r="H116">
            <v>-19</v>
          </cell>
          <cell r="I116">
            <v>0</v>
          </cell>
          <cell r="J116">
            <v>0</v>
          </cell>
          <cell r="L116">
            <v>44</v>
          </cell>
          <cell r="M116">
            <v>25</v>
          </cell>
          <cell r="N116">
            <v>647.29999999999995</v>
          </cell>
          <cell r="O116">
            <v>0.24161903290591691</v>
          </cell>
          <cell r="P116">
            <v>156.4</v>
          </cell>
          <cell r="Q116">
            <v>490.9</v>
          </cell>
          <cell r="R116">
            <v>1125.01</v>
          </cell>
          <cell r="S116">
            <v>0.44</v>
          </cell>
          <cell r="U116">
            <v>0.2</v>
          </cell>
          <cell r="V116">
            <v>0.44</v>
          </cell>
          <cell r="W116" t="str">
            <v xml:space="preserve">       --</v>
          </cell>
          <cell r="X116">
            <v>0.44</v>
          </cell>
        </row>
        <row r="117">
          <cell r="A117" t="str">
            <v xml:space="preserve"> 3Q (d)</v>
          </cell>
          <cell r="B117">
            <v>2359.4</v>
          </cell>
          <cell r="C117">
            <v>495.7</v>
          </cell>
          <cell r="D117">
            <v>1863.7</v>
          </cell>
          <cell r="E117">
            <v>667.6</v>
          </cell>
          <cell r="F117">
            <v>439.9</v>
          </cell>
          <cell r="G117">
            <v>756.19999999999993</v>
          </cell>
          <cell r="H117">
            <v>-23.3</v>
          </cell>
          <cell r="I117">
            <v>0</v>
          </cell>
          <cell r="J117">
            <v>0</v>
          </cell>
          <cell r="L117">
            <v>-6.3</v>
          </cell>
          <cell r="M117">
            <v>-29.6</v>
          </cell>
          <cell r="N117">
            <v>726.59999999999991</v>
          </cell>
          <cell r="O117">
            <v>0.18937517203413159</v>
          </cell>
          <cell r="P117">
            <v>137.6</v>
          </cell>
          <cell r="Q117">
            <v>588.99999999999989</v>
          </cell>
          <cell r="R117">
            <v>1118.183</v>
          </cell>
          <cell r="S117">
            <v>0.53</v>
          </cell>
          <cell r="U117">
            <v>0.2</v>
          </cell>
          <cell r="V117">
            <v>0.53</v>
          </cell>
          <cell r="W117" t="str">
            <v xml:space="preserve">       --</v>
          </cell>
          <cell r="X117">
            <v>0.53</v>
          </cell>
        </row>
        <row r="118">
          <cell r="A118" t="str">
            <v xml:space="preserve"> 4Q</v>
          </cell>
          <cell r="B118">
            <v>2635.4</v>
          </cell>
          <cell r="C118">
            <v>583.5</v>
          </cell>
          <cell r="D118">
            <v>2051.9</v>
          </cell>
          <cell r="E118">
            <v>809.8</v>
          </cell>
          <cell r="F118">
            <v>519.4</v>
          </cell>
          <cell r="G118">
            <v>722.70000000000016</v>
          </cell>
          <cell r="H118">
            <v>-17.599999999999998</v>
          </cell>
          <cell r="I118">
            <v>0</v>
          </cell>
          <cell r="J118">
            <v>0</v>
          </cell>
          <cell r="L118">
            <v>10.199999999999999</v>
          </cell>
          <cell r="M118">
            <v>-7.3999999999999986</v>
          </cell>
          <cell r="N118">
            <v>715.30000000000018</v>
          </cell>
          <cell r="O118">
            <v>0.21487487767370328</v>
          </cell>
          <cell r="P118">
            <v>153.69999999999999</v>
          </cell>
          <cell r="Q118">
            <v>561.60000000000014</v>
          </cell>
          <cell r="R118">
            <v>1118.097</v>
          </cell>
          <cell r="S118">
            <v>0.5</v>
          </cell>
          <cell r="U118">
            <v>0.2</v>
          </cell>
          <cell r="V118">
            <v>0.5</v>
          </cell>
          <cell r="W118" t="str">
            <v xml:space="preserve">       --</v>
          </cell>
          <cell r="X118">
            <v>0.5</v>
          </cell>
        </row>
        <row r="120">
          <cell r="A120" t="str">
            <v>Year</v>
          </cell>
          <cell r="B120">
            <v>9236.7999999999993</v>
          </cell>
          <cell r="C120">
            <v>2015.1000000000001</v>
          </cell>
          <cell r="D120">
            <v>7221.7000000000007</v>
          </cell>
          <cell r="E120">
            <v>2658.3</v>
          </cell>
          <cell r="F120">
            <v>1738.9</v>
          </cell>
          <cell r="G120">
            <v>2824.5</v>
          </cell>
          <cell r="H120">
            <v>-83.8</v>
          </cell>
          <cell r="I120">
            <v>0</v>
          </cell>
          <cell r="J120">
            <v>0</v>
          </cell>
          <cell r="L120">
            <v>51.8</v>
          </cell>
          <cell r="M120">
            <v>-32</v>
          </cell>
          <cell r="N120">
            <v>2792.5</v>
          </cell>
          <cell r="O120">
            <v>0.2218084153983885</v>
          </cell>
          <cell r="P120">
            <v>619.39999999999986</v>
          </cell>
          <cell r="Q120">
            <v>2173.1000000000004</v>
          </cell>
          <cell r="R120">
            <v>1121.4860000000001</v>
          </cell>
          <cell r="S120">
            <v>1.9300000000000002</v>
          </cell>
          <cell r="U120">
            <v>0.8</v>
          </cell>
          <cell r="V120">
            <v>1.9300000000000002</v>
          </cell>
          <cell r="W120" t="str">
            <v xml:space="preserve">       --</v>
          </cell>
          <cell r="X120">
            <v>1.94</v>
          </cell>
        </row>
        <row r="122">
          <cell r="A122" t="str">
            <v>1999/98</v>
          </cell>
        </row>
        <row r="123">
          <cell r="A123" t="str">
            <v xml:space="preserve"> 1Q</v>
          </cell>
          <cell r="B123">
            <v>8.0785816962146581E-2</v>
          </cell>
          <cell r="C123">
            <v>7.9160288650776275E-2</v>
          </cell>
          <cell r="D123">
            <v>8.1241946370497545E-2</v>
          </cell>
          <cell r="E123">
            <v>9.0892364305427742E-2</v>
          </cell>
          <cell r="F123">
            <v>0.13833011848994226</v>
          </cell>
          <cell r="G123">
            <v>4.5347711876122944E-2</v>
          </cell>
          <cell r="H123">
            <v>-0.65690376569037667</v>
          </cell>
          <cell r="I123" t="str">
            <v>NM</v>
          </cell>
          <cell r="J123" t="str">
            <v>NM</v>
          </cell>
          <cell r="L123" t="str">
            <v>NM</v>
          </cell>
          <cell r="M123" t="str">
            <v>NM</v>
          </cell>
          <cell r="N123">
            <v>7.3368406085596014E-2</v>
          </cell>
          <cell r="O123">
            <v>-9.8739101778301794E-2</v>
          </cell>
          <cell r="P123">
            <v>-3.2615026208503171E-2</v>
          </cell>
          <cell r="Q123">
            <v>0.10759969902182012</v>
          </cell>
          <cell r="R123">
            <v>-1.4063790758105689E-2</v>
          </cell>
          <cell r="S123">
            <v>0.14825702657048767</v>
          </cell>
          <cell r="U123">
            <v>0.15</v>
          </cell>
          <cell r="V123">
            <v>3.8547340699897976</v>
          </cell>
          <cell r="W123" t="str">
            <v>NM</v>
          </cell>
          <cell r="X123">
            <v>0.12382602600515825</v>
          </cell>
        </row>
        <row r="124">
          <cell r="A124" t="str">
            <v xml:space="preserve"> 2Q</v>
          </cell>
          <cell r="B124">
            <v>8.1067285382830548E-2</v>
          </cell>
          <cell r="C124">
            <v>2.6117843710823232E-2</v>
          </cell>
          <cell r="D124">
            <v>9.6754951085659638E-2</v>
          </cell>
          <cell r="E124">
            <v>1.9140257295262073E-2</v>
          </cell>
          <cell r="F124">
            <v>0.10511159107271421</v>
          </cell>
          <cell r="G124">
            <v>0.1706572392736623</v>
          </cell>
          <cell r="H124">
            <v>-0.44210526315789467</v>
          </cell>
          <cell r="I124" t="str">
            <v>NM</v>
          </cell>
          <cell r="J124" t="str">
            <v>NM</v>
          </cell>
          <cell r="L124" t="str">
            <v>NM</v>
          </cell>
          <cell r="M124" t="str">
            <v>NM</v>
          </cell>
          <cell r="N124">
            <v>0.12328132241619044</v>
          </cell>
          <cell r="O124">
            <v>-7.4459867722420539E-2</v>
          </cell>
          <cell r="P124">
            <v>3.9641943734015271E-2</v>
          </cell>
          <cell r="Q124">
            <v>0.14992870238337752</v>
          </cell>
          <cell r="R124">
            <v>-1.5069199384894334E-2</v>
          </cell>
          <cell r="S124">
            <v>0.15784165025314159</v>
          </cell>
          <cell r="U124">
            <v>0.15</v>
          </cell>
          <cell r="V124">
            <v>-1</v>
          </cell>
          <cell r="W124" t="str">
            <v>NM</v>
          </cell>
          <cell r="X124">
            <v>0.15784165025314159</v>
          </cell>
        </row>
        <row r="125">
          <cell r="A125" t="str">
            <v xml:space="preserve"> 3Q</v>
          </cell>
          <cell r="B125">
            <v>8.6377892684580515E-2</v>
          </cell>
          <cell r="C125">
            <v>0.10591083316522101</v>
          </cell>
          <cell r="D125">
            <v>8.1182593765090558E-2</v>
          </cell>
          <cell r="E125">
            <v>4.3139604553624852E-2</v>
          </cell>
          <cell r="F125">
            <v>6.8197317572175498E-3</v>
          </cell>
          <cell r="G125">
            <v>0.15802697699021365</v>
          </cell>
          <cell r="H125">
            <v>-0.61802575107296143</v>
          </cell>
          <cell r="I125" t="str">
            <v>NM</v>
          </cell>
          <cell r="J125" t="str">
            <v>NM</v>
          </cell>
          <cell r="L125" t="str">
            <v>NM</v>
          </cell>
          <cell r="M125" t="str">
            <v>NM</v>
          </cell>
          <cell r="N125">
            <v>0.16900633085604133</v>
          </cell>
          <cell r="O125">
            <v>0.19175454219394317</v>
          </cell>
          <cell r="P125">
            <v>0.39316860465116277</v>
          </cell>
          <cell r="Q125">
            <v>0.11663837011884502</v>
          </cell>
          <cell r="R125">
            <v>-1.5860552342505566E-2</v>
          </cell>
          <cell r="S125">
            <v>0.12767109052532627</v>
          </cell>
          <cell r="U125">
            <v>0.15</v>
          </cell>
          <cell r="V125" t="e">
            <v>#NULL!</v>
          </cell>
          <cell r="W125" t="str">
            <v>NM</v>
          </cell>
          <cell r="X125">
            <v>0.12767109052532627</v>
          </cell>
        </row>
        <row r="126">
          <cell r="A126" t="str">
            <v xml:space="preserve"> 4Q</v>
          </cell>
          <cell r="B126">
            <v>3.0507702815511739E-2</v>
          </cell>
          <cell r="C126">
            <v>-5.2270779777206511E-2</v>
          </cell>
          <cell r="D126">
            <v>5.4047468200204507E-2</v>
          </cell>
          <cell r="E126">
            <v>1.0990367992096926E-2</v>
          </cell>
          <cell r="F126">
            <v>-0.10069310743165183</v>
          </cell>
          <cell r="G126">
            <v>0.21350491213504838</v>
          </cell>
          <cell r="H126">
            <v>-1.1306818181818181</v>
          </cell>
          <cell r="I126" t="str">
            <v>NM</v>
          </cell>
          <cell r="J126" t="str">
            <v>NM</v>
          </cell>
          <cell r="L126" t="str">
            <v>NM</v>
          </cell>
          <cell r="M126" t="str">
            <v>NM</v>
          </cell>
          <cell r="N126">
            <v>0.18439815462043826</v>
          </cell>
          <cell r="O126">
            <v>4.0968588478223954E-2</v>
          </cell>
          <cell r="P126">
            <v>0.23292127521145098</v>
          </cell>
          <cell r="Q126">
            <v>0.17111823361823281</v>
          </cell>
          <cell r="R126">
            <v>-1.6110409025334942E-2</v>
          </cell>
          <cell r="S126">
            <v>0.19572687176615533</v>
          </cell>
          <cell r="U126">
            <v>0.15</v>
          </cell>
          <cell r="V126" t="e">
            <v>#NULL!</v>
          </cell>
          <cell r="W126" t="str">
            <v>NM</v>
          </cell>
          <cell r="X126">
            <v>0.19572687176615533</v>
          </cell>
        </row>
        <row r="128">
          <cell r="A128" t="str">
            <v>Year</v>
          </cell>
          <cell r="B128">
            <v>6.7934782608695454E-2</v>
          </cell>
          <cell r="C128">
            <v>3.5085107438836804E-2</v>
          </cell>
          <cell r="D128">
            <v>7.7100959607848213E-2</v>
          </cell>
          <cell r="E128">
            <v>3.7354700372418531E-2</v>
          </cell>
          <cell r="F128">
            <v>2.5705906032549207E-2</v>
          </cell>
          <cell r="G128">
            <v>0.14614976101964908</v>
          </cell>
          <cell r="H128">
            <v>-0.69689737470167068</v>
          </cell>
          <cell r="I128" t="str">
            <v>NM</v>
          </cell>
          <cell r="J128" t="str">
            <v>NM</v>
          </cell>
          <cell r="L128" t="str">
            <v>NM</v>
          </cell>
          <cell r="M128" t="str">
            <v>NM</v>
          </cell>
          <cell r="N128">
            <v>0.13826320501342848</v>
          </cell>
          <cell r="O128">
            <v>6.7510627303955257E-3</v>
          </cell>
          <cell r="P128">
            <v>0.14594769131417518</v>
          </cell>
          <cell r="Q128">
            <v>0.13607289126133121</v>
          </cell>
          <cell r="R128">
            <v>-1.3759422765866038E-2</v>
          </cell>
          <cell r="S128">
            <v>0.15708687678513303</v>
          </cell>
          <cell r="U128">
            <v>0.15</v>
          </cell>
          <cell r="V128" t="e">
            <v>#NULL!</v>
          </cell>
          <cell r="W128" t="str">
            <v>NM</v>
          </cell>
          <cell r="X128">
            <v>0.1511225114408799</v>
          </cell>
        </row>
        <row r="130">
          <cell r="A130">
            <v>1999</v>
          </cell>
        </row>
        <row r="131">
          <cell r="A131" t="str">
            <v xml:space="preserve"> 1Q</v>
          </cell>
          <cell r="B131">
            <v>2255.6</v>
          </cell>
          <cell r="C131">
            <v>493.5</v>
          </cell>
          <cell r="D131">
            <v>1762.1</v>
          </cell>
          <cell r="E131">
            <v>592.9</v>
          </cell>
          <cell r="F131">
            <v>413.1</v>
          </cell>
          <cell r="G131">
            <v>756.0999999999998</v>
          </cell>
          <cell r="H131">
            <v>-8.1999999999999957</v>
          </cell>
          <cell r="I131">
            <v>0</v>
          </cell>
          <cell r="J131">
            <v>0</v>
          </cell>
          <cell r="L131">
            <v>7</v>
          </cell>
          <cell r="M131">
            <v>-1.1999999999999957</v>
          </cell>
          <cell r="N131">
            <v>754.89999999999975</v>
          </cell>
          <cell r="O131">
            <v>0.22002914293283884</v>
          </cell>
          <cell r="P131">
            <v>166.1</v>
          </cell>
          <cell r="Q131">
            <v>588.79999999999973</v>
          </cell>
          <cell r="R131">
            <v>1114.7329999999999</v>
          </cell>
          <cell r="S131">
            <v>0.52819823222242435</v>
          </cell>
          <cell r="U131">
            <v>0.23</v>
          </cell>
          <cell r="V131">
            <v>0.52819823222242435</v>
          </cell>
          <cell r="W131" t="str">
            <v xml:space="preserve">       --</v>
          </cell>
          <cell r="X131">
            <v>0.52819823222242435</v>
          </cell>
        </row>
        <row r="132">
          <cell r="A132" t="str">
            <v xml:space="preserve"> 2Q</v>
          </cell>
          <cell r="B132">
            <v>2329.6999999999998</v>
          </cell>
          <cell r="C132">
            <v>491.1</v>
          </cell>
          <cell r="D132">
            <v>1838.6</v>
          </cell>
          <cell r="E132">
            <v>649.6</v>
          </cell>
          <cell r="F132">
            <v>460.5</v>
          </cell>
          <cell r="G132">
            <v>728.5</v>
          </cell>
          <cell r="H132">
            <v>-10.600000000000001</v>
          </cell>
          <cell r="I132">
            <v>0</v>
          </cell>
          <cell r="J132">
            <v>0</v>
          </cell>
          <cell r="L132">
            <v>9.1999999999999993</v>
          </cell>
          <cell r="M132">
            <v>-1.4000000000000021</v>
          </cell>
          <cell r="N132">
            <v>727.1</v>
          </cell>
          <cell r="O132">
            <v>0.22362811167652316</v>
          </cell>
          <cell r="P132">
            <v>162.6</v>
          </cell>
          <cell r="Q132">
            <v>564.5</v>
          </cell>
          <cell r="R132">
            <v>1108.057</v>
          </cell>
          <cell r="S132">
            <v>0.5094503261113823</v>
          </cell>
          <cell r="U132">
            <v>0.23</v>
          </cell>
          <cell r="V132">
            <v>0.5094503261113823</v>
          </cell>
          <cell r="W132" t="str">
            <v xml:space="preserve">       --</v>
          </cell>
          <cell r="X132">
            <v>0.5094503261113823</v>
          </cell>
        </row>
        <row r="133">
          <cell r="A133" t="str">
            <v xml:space="preserve"> 3Q</v>
          </cell>
          <cell r="B133">
            <v>2563.1999999999994</v>
          </cell>
          <cell r="C133">
            <v>548.20000000000005</v>
          </cell>
          <cell r="D133">
            <v>2014.9999999999993</v>
          </cell>
          <cell r="E133">
            <v>696.4</v>
          </cell>
          <cell r="F133">
            <v>442.9</v>
          </cell>
          <cell r="G133">
            <v>875.69999999999948</v>
          </cell>
          <cell r="H133">
            <v>-8.8999999999999986</v>
          </cell>
          <cell r="I133">
            <v>0</v>
          </cell>
          <cell r="J133">
            <v>0</v>
          </cell>
          <cell r="L133">
            <v>-17.399999999999999</v>
          </cell>
          <cell r="M133">
            <v>-26.299999999999997</v>
          </cell>
          <cell r="N133">
            <v>849.39999999999952</v>
          </cell>
          <cell r="O133">
            <v>0.22568872145043573</v>
          </cell>
          <cell r="P133">
            <v>191.7</v>
          </cell>
          <cell r="Q133">
            <v>657.69999999999959</v>
          </cell>
          <cell r="R133">
            <v>1100.4480000000001</v>
          </cell>
          <cell r="S133">
            <v>0.59766567797842296</v>
          </cell>
          <cell r="U133">
            <v>0.23</v>
          </cell>
          <cell r="V133">
            <v>0.59766567797842296</v>
          </cell>
          <cell r="W133" t="str">
            <v xml:space="preserve">       --</v>
          </cell>
          <cell r="X133">
            <v>0.59766567797842296</v>
          </cell>
        </row>
        <row r="134">
          <cell r="A134" t="str">
            <v xml:space="preserve"> 4Q</v>
          </cell>
          <cell r="B134">
            <v>2715.7999999999997</v>
          </cell>
          <cell r="C134">
            <v>553</v>
          </cell>
          <cell r="D134">
            <v>2162.7999999999997</v>
          </cell>
          <cell r="E134">
            <v>818.7</v>
          </cell>
          <cell r="F134">
            <v>467.1</v>
          </cell>
          <cell r="G134">
            <v>876.99999999999966</v>
          </cell>
          <cell r="H134">
            <v>2.2999999999999972</v>
          </cell>
          <cell r="I134">
            <v>0</v>
          </cell>
          <cell r="J134">
            <v>0</v>
          </cell>
          <cell r="L134">
            <v>-32.1</v>
          </cell>
          <cell r="M134">
            <v>-29.800000000000004</v>
          </cell>
          <cell r="N134">
            <v>847.1999999999997</v>
          </cell>
          <cell r="O134">
            <v>0.22367799811142594</v>
          </cell>
          <cell r="P134">
            <v>189.5</v>
          </cell>
          <cell r="Q134">
            <v>657.6999999999997</v>
          </cell>
          <cell r="R134">
            <v>1100.0840000000001</v>
          </cell>
          <cell r="S134">
            <v>0.59786343588307767</v>
          </cell>
          <cell r="U134">
            <v>0.23</v>
          </cell>
          <cell r="V134">
            <v>0.59786343588307767</v>
          </cell>
          <cell r="W134" t="str">
            <v xml:space="preserve">       --</v>
          </cell>
          <cell r="X134">
            <v>0.59786343588307767</v>
          </cell>
        </row>
        <row r="136">
          <cell r="A136" t="str">
            <v>Year</v>
          </cell>
          <cell r="B136">
            <v>9864.2999999999975</v>
          </cell>
          <cell r="C136">
            <v>2085.8000000000002</v>
          </cell>
          <cell r="D136">
            <v>7778.4999999999982</v>
          </cell>
          <cell r="E136">
            <v>2757.6000000000004</v>
          </cell>
          <cell r="F136">
            <v>1783.6</v>
          </cell>
          <cell r="G136">
            <v>3237.2999999999988</v>
          </cell>
          <cell r="H136">
            <v>-25.4</v>
          </cell>
          <cell r="I136">
            <v>0</v>
          </cell>
          <cell r="J136">
            <v>0</v>
          </cell>
          <cell r="L136">
            <v>-33.299999999999997</v>
          </cell>
          <cell r="M136">
            <v>-58.7</v>
          </cell>
          <cell r="N136">
            <v>3178.599999999999</v>
          </cell>
          <cell r="O136">
            <v>0.22330585792487265</v>
          </cell>
          <cell r="P136">
            <v>709.8</v>
          </cell>
          <cell r="Q136">
            <v>2468.7999999999993</v>
          </cell>
          <cell r="R136">
            <v>1106.0550000000001</v>
          </cell>
          <cell r="S136">
            <v>2.2331776721953069</v>
          </cell>
          <cell r="U136">
            <v>0.92</v>
          </cell>
          <cell r="V136">
            <v>2.2331776721953069</v>
          </cell>
          <cell r="W136" t="str">
            <v xml:space="preserve">       --</v>
          </cell>
          <cell r="X136">
            <v>2.2331776721953069</v>
          </cell>
        </row>
        <row r="137">
          <cell r="C137" t="str">
            <v xml:space="preserve">  </v>
          </cell>
        </row>
        <row r="138">
          <cell r="A138" t="str">
            <v>2000/99</v>
          </cell>
        </row>
        <row r="139">
          <cell r="A139" t="str">
            <v xml:space="preserve"> 1QA</v>
          </cell>
          <cell r="B139">
            <v>0.1268886327363008</v>
          </cell>
          <cell r="C139">
            <v>5.5521783181357698E-2</v>
          </cell>
          <cell r="D139">
            <v>0.14687588672606555</v>
          </cell>
          <cell r="E139">
            <v>0.16090403103390116</v>
          </cell>
          <cell r="F139">
            <v>0.10990075042362624</v>
          </cell>
          <cell r="G139">
            <v>0.15607723846052135</v>
          </cell>
          <cell r="H139">
            <v>-2.5731707317073189</v>
          </cell>
          <cell r="I139" t="str">
            <v>NM</v>
          </cell>
          <cell r="J139" t="str">
            <v>NM</v>
          </cell>
          <cell r="L139" t="str">
            <v>NM</v>
          </cell>
          <cell r="M139" t="str">
            <v>NM</v>
          </cell>
          <cell r="N139">
            <v>0.17579811895615349</v>
          </cell>
          <cell r="O139">
            <v>-3.4592213871142974E-7</v>
          </cell>
          <cell r="P139">
            <v>0.17579771222155349</v>
          </cell>
          <cell r="Q139">
            <v>0.17579823369565273</v>
          </cell>
          <cell r="R139">
            <v>-1.5279892135605433E-2</v>
          </cell>
          <cell r="S139">
            <v>0.19404308321240382</v>
          </cell>
          <cell r="V139">
            <v>0.19404308321240382</v>
          </cell>
          <cell r="W139" t="e">
            <v>#VALUE!</v>
          </cell>
          <cell r="X139">
            <v>0.19404308321240382</v>
          </cell>
        </row>
        <row r="140">
          <cell r="A140" t="str">
            <v xml:space="preserve"> 2QA</v>
          </cell>
          <cell r="B140">
            <v>0.12520925441043906</v>
          </cell>
          <cell r="C140">
            <v>1.2217470983506562E-3</v>
          </cell>
          <cell r="D140">
            <v>0.15832698792559552</v>
          </cell>
          <cell r="E140">
            <v>0.22444581280788167</v>
          </cell>
          <cell r="F140">
            <v>0.10488599348534211</v>
          </cell>
          <cell r="G140">
            <v>0.13315030885380885</v>
          </cell>
          <cell r="H140">
            <v>-2.283018867924528</v>
          </cell>
          <cell r="I140" t="str">
            <v>NM</v>
          </cell>
          <cell r="J140" t="str">
            <v>NM</v>
          </cell>
          <cell r="L140" t="str">
            <v>NM</v>
          </cell>
          <cell r="M140" t="str">
            <v>NM</v>
          </cell>
          <cell r="N140">
            <v>0.17452895062577323</v>
          </cell>
          <cell r="O140">
            <v>-1.6119138357659657E-2</v>
          </cell>
          <cell r="P140">
            <v>0.15559655596555966</v>
          </cell>
          <cell r="Q140">
            <v>0.17998228520814852</v>
          </cell>
          <cell r="R140">
            <v>-1.0429968855392824E-2</v>
          </cell>
          <cell r="S140">
            <v>0.19241918011936665</v>
          </cell>
          <cell r="V140">
            <v>0.19241918011936665</v>
          </cell>
          <cell r="W140" t="e">
            <v>#VALUE!</v>
          </cell>
          <cell r="X140">
            <v>0.19241918011936665</v>
          </cell>
        </row>
        <row r="141">
          <cell r="A141" t="str">
            <v xml:space="preserve"> 3QA</v>
          </cell>
          <cell r="B141">
            <v>9.6984238451935267E-2</v>
          </cell>
          <cell r="C141">
            <v>-0.10598321780372133</v>
          </cell>
          <cell r="D141">
            <v>0.15220347394540967</v>
          </cell>
          <cell r="E141">
            <v>0.14919586444572075</v>
          </cell>
          <cell r="F141">
            <v>0.14269586814179291</v>
          </cell>
          <cell r="G141">
            <v>0.15940390544707128</v>
          </cell>
          <cell r="H141">
            <v>-3.7191011235955056</v>
          </cell>
          <cell r="I141" t="str">
            <v>NM</v>
          </cell>
          <cell r="J141" t="str">
            <v>NM</v>
          </cell>
          <cell r="L141" t="str">
            <v>NM</v>
          </cell>
          <cell r="M141" t="str">
            <v>NM</v>
          </cell>
          <cell r="N141">
            <v>0.1752884388980458</v>
          </cell>
          <cell r="O141">
            <v>-2.5311686740194572E-2</v>
          </cell>
          <cell r="P141">
            <v>0.14553990610328649</v>
          </cell>
          <cell r="Q141">
            <v>0.18395925193857399</v>
          </cell>
          <cell r="R141">
            <v>-2.0428043851231648E-3</v>
          </cell>
          <cell r="S141">
            <v>0.18638279992469475</v>
          </cell>
          <cell r="V141">
            <v>0.18638279992469475</v>
          </cell>
          <cell r="W141" t="e">
            <v>#VALUE!</v>
          </cell>
          <cell r="X141">
            <v>0.18638279992469475</v>
          </cell>
        </row>
        <row r="142">
          <cell r="A142" t="str">
            <v xml:space="preserve"> 4QA</v>
          </cell>
          <cell r="B142">
            <v>9.66197805434863E-2</v>
          </cell>
          <cell r="C142">
            <v>2.2061482820976641E-2</v>
          </cell>
          <cell r="D142">
            <v>0.11568337340484569</v>
          </cell>
          <cell r="E142">
            <v>0.15341394894344673</v>
          </cell>
          <cell r="F142">
            <v>0.16698779704560041</v>
          </cell>
          <cell r="G142">
            <v>5.3135689851767864E-2</v>
          </cell>
          <cell r="H142" t="str">
            <v>NM</v>
          </cell>
          <cell r="I142" t="str">
            <v>NM</v>
          </cell>
          <cell r="J142" t="str">
            <v>NM</v>
          </cell>
          <cell r="L142" t="str">
            <v>NM</v>
          </cell>
          <cell r="M142" t="str">
            <v>NM</v>
          </cell>
          <cell r="N142">
            <v>0.16170915958451415</v>
          </cell>
          <cell r="O142">
            <v>-1.7006539739493842E-2</v>
          </cell>
          <cell r="P142">
            <v>0.14195250659630609</v>
          </cell>
          <cell r="Q142">
            <v>0.16740155085905495</v>
          </cell>
          <cell r="R142">
            <v>-3.3488351798589555E-3</v>
          </cell>
          <cell r="S142">
            <v>0.17132412228678651</v>
          </cell>
          <cell r="V142">
            <v>0.17132412228678651</v>
          </cell>
          <cell r="W142" t="e">
            <v>#VALUE!</v>
          </cell>
          <cell r="X142">
            <v>0.17132412228678651</v>
          </cell>
        </row>
        <row r="144">
          <cell r="A144" t="str">
            <v>Year</v>
          </cell>
          <cell r="B144">
            <v>0.11038796468071732</v>
          </cell>
          <cell r="C144">
            <v>-8.5818391025028976E-3</v>
          </cell>
          <cell r="D144">
            <v>0.14228964453300783</v>
          </cell>
          <cell r="E144">
            <v>0.17069190600522188</v>
          </cell>
          <cell r="F144">
            <v>0.13169993272034097</v>
          </cell>
          <cell r="G144">
            <v>0.12393043585704148</v>
          </cell>
          <cell r="H144" t="str">
            <v>NM</v>
          </cell>
          <cell r="I144" t="str">
            <v>NM</v>
          </cell>
          <cell r="J144" t="str">
            <v>NM</v>
          </cell>
          <cell r="L144" t="str">
            <v>NM</v>
          </cell>
          <cell r="M144" t="str">
            <v>NM</v>
          </cell>
          <cell r="N144">
            <v>0.17161643490845047</v>
          </cell>
          <cell r="O144">
            <v>-1.4926823343105673E-2</v>
          </cell>
          <cell r="P144">
            <v>0.15412792335869271</v>
          </cell>
          <cell r="Q144">
            <v>0.17664452365521732</v>
          </cell>
          <cell r="R144">
            <v>-7.5538739031965115E-3</v>
          </cell>
          <cell r="S144">
            <v>0.18554021188242481</v>
          </cell>
          <cell r="V144" t="e">
            <v>#NULL!</v>
          </cell>
          <cell r="W144" t="str">
            <v>NM</v>
          </cell>
          <cell r="X144">
            <v>0.18554021188242481</v>
          </cell>
        </row>
        <row r="146">
          <cell r="A146">
            <v>2000</v>
          </cell>
        </row>
        <row r="147">
          <cell r="A147" t="str">
            <v xml:space="preserve"> 1QA</v>
          </cell>
          <cell r="B147">
            <v>2541.81</v>
          </cell>
          <cell r="C147">
            <v>520.9</v>
          </cell>
          <cell r="D147">
            <v>2020.9099999999999</v>
          </cell>
          <cell r="E147">
            <v>688.3</v>
          </cell>
          <cell r="F147">
            <v>458.5</v>
          </cell>
          <cell r="G147">
            <v>874.1099999999999</v>
          </cell>
          <cell r="H147">
            <v>12.900000000000006</v>
          </cell>
          <cell r="I147">
            <v>0</v>
          </cell>
          <cell r="J147">
            <v>0</v>
          </cell>
          <cell r="L147">
            <v>0.6</v>
          </cell>
          <cell r="M147">
            <v>13.500000000000005</v>
          </cell>
          <cell r="N147">
            <v>887.6099999999999</v>
          </cell>
          <cell r="O147">
            <v>0.22002906681988715</v>
          </cell>
          <cell r="P147">
            <v>195.3</v>
          </cell>
          <cell r="Q147">
            <v>692.31</v>
          </cell>
          <cell r="R147">
            <v>1097.7</v>
          </cell>
          <cell r="S147">
            <v>0.63069144575020486</v>
          </cell>
          <cell r="T147">
            <v>0.41224595918013618</v>
          </cell>
          <cell r="U147">
            <v>0.26</v>
          </cell>
          <cell r="V147">
            <v>0.63069144575020486</v>
          </cell>
          <cell r="W147" t="str">
            <v xml:space="preserve">       --</v>
          </cell>
          <cell r="X147">
            <v>0.63069144575020486</v>
          </cell>
        </row>
        <row r="148">
          <cell r="A148" t="str">
            <v xml:space="preserve"> 2QA</v>
          </cell>
          <cell r="B148">
            <v>2621.3999999999996</v>
          </cell>
          <cell r="C148">
            <v>491.7</v>
          </cell>
          <cell r="D148">
            <v>2129.6999999999998</v>
          </cell>
          <cell r="E148">
            <v>795.4</v>
          </cell>
          <cell r="F148">
            <v>508.8</v>
          </cell>
          <cell r="G148">
            <v>825.49999999999977</v>
          </cell>
          <cell r="H148">
            <v>13.600000000000001</v>
          </cell>
          <cell r="I148">
            <v>0</v>
          </cell>
          <cell r="J148">
            <v>0</v>
          </cell>
          <cell r="L148">
            <v>14.9</v>
          </cell>
          <cell r="M148">
            <v>28.5</v>
          </cell>
          <cell r="N148">
            <v>853.99999999999977</v>
          </cell>
          <cell r="O148">
            <v>0.22002341920374713</v>
          </cell>
          <cell r="P148">
            <v>187.9</v>
          </cell>
          <cell r="Q148">
            <v>666.0999999999998</v>
          </cell>
          <cell r="R148">
            <v>1096.5</v>
          </cell>
          <cell r="S148">
            <v>0.6074783401732784</v>
          </cell>
          <cell r="T148">
            <v>0.42799879897913246</v>
          </cell>
          <cell r="U148">
            <v>0.26</v>
          </cell>
          <cell r="V148">
            <v>0.6074783401732784</v>
          </cell>
          <cell r="W148" t="str">
            <v xml:space="preserve">       --</v>
          </cell>
          <cell r="X148">
            <v>0.6074783401732784</v>
          </cell>
        </row>
        <row r="149">
          <cell r="A149" t="str">
            <v xml:space="preserve"> 3QA</v>
          </cell>
          <cell r="B149">
            <v>2811.7899999999995</v>
          </cell>
          <cell r="C149">
            <v>490.1</v>
          </cell>
          <cell r="D149">
            <v>2321.6899999999996</v>
          </cell>
          <cell r="E149">
            <v>800.3</v>
          </cell>
          <cell r="F149">
            <v>506.1</v>
          </cell>
          <cell r="G149">
            <v>1015.2899999999996</v>
          </cell>
          <cell r="H149">
            <v>24.199999999999996</v>
          </cell>
          <cell r="I149">
            <v>0</v>
          </cell>
          <cell r="J149">
            <v>0</v>
          </cell>
          <cell r="L149">
            <v>-41.2</v>
          </cell>
          <cell r="M149">
            <v>-17.000000000000007</v>
          </cell>
          <cell r="N149">
            <v>998.28999999999962</v>
          </cell>
          <cell r="O149">
            <v>0.21997615923228728</v>
          </cell>
          <cell r="P149">
            <v>219.6</v>
          </cell>
          <cell r="Q149">
            <v>778.6899999999996</v>
          </cell>
          <cell r="R149">
            <v>1098.2</v>
          </cell>
          <cell r="S149">
            <v>0.70906028045893243</v>
          </cell>
          <cell r="T149">
            <v>0.36668250523314816</v>
          </cell>
          <cell r="U149">
            <v>0.26</v>
          </cell>
          <cell r="V149">
            <v>0.70906028045893243</v>
          </cell>
          <cell r="W149" t="str">
            <v xml:space="preserve">       --</v>
          </cell>
          <cell r="X149">
            <v>0.70906028045893243</v>
          </cell>
        </row>
        <row r="150">
          <cell r="A150" t="str">
            <v xml:space="preserve"> 4QA</v>
          </cell>
          <cell r="B150">
            <v>2978.2</v>
          </cell>
          <cell r="C150">
            <v>565.20000000000005</v>
          </cell>
          <cell r="D150">
            <v>2413</v>
          </cell>
          <cell r="E150">
            <v>944.3</v>
          </cell>
          <cell r="F150">
            <v>545.1</v>
          </cell>
          <cell r="G150">
            <v>923.6</v>
          </cell>
          <cell r="H150">
            <v>-45.9</v>
          </cell>
          <cell r="I150">
            <v>0</v>
          </cell>
          <cell r="J150">
            <v>0</v>
          </cell>
          <cell r="L150">
            <v>106.5</v>
          </cell>
          <cell r="M150">
            <v>60.6</v>
          </cell>
          <cell r="N150">
            <v>984.2</v>
          </cell>
          <cell r="O150">
            <v>0.21987400934769355</v>
          </cell>
          <cell r="P150">
            <v>216.4</v>
          </cell>
          <cell r="Q150">
            <v>767.80000000000007</v>
          </cell>
          <cell r="R150">
            <v>1096.4000000000001</v>
          </cell>
          <cell r="S150">
            <v>0.70029186428310841</v>
          </cell>
          <cell r="T150">
            <v>0.37127376921073196</v>
          </cell>
          <cell r="U150">
            <v>0.26</v>
          </cell>
          <cell r="V150">
            <v>0.70029186428310841</v>
          </cell>
          <cell r="W150" t="str">
            <v xml:space="preserve">       --</v>
          </cell>
          <cell r="X150">
            <v>0.70029186428310841</v>
          </cell>
        </row>
        <row r="152">
          <cell r="A152" t="str">
            <v>Year</v>
          </cell>
          <cell r="B152">
            <v>10953.199999999997</v>
          </cell>
          <cell r="C152">
            <v>2067.8999999999996</v>
          </cell>
          <cell r="D152">
            <v>8885.2999999999993</v>
          </cell>
          <cell r="E152">
            <v>3228.3</v>
          </cell>
          <cell r="F152">
            <v>2018.5</v>
          </cell>
          <cell r="G152">
            <v>3638.4999999999991</v>
          </cell>
          <cell r="H152">
            <v>4.8000000000000043</v>
          </cell>
          <cell r="I152">
            <v>0</v>
          </cell>
          <cell r="J152">
            <v>0</v>
          </cell>
          <cell r="L152">
            <v>80.8</v>
          </cell>
          <cell r="M152">
            <v>85.6</v>
          </cell>
          <cell r="N152">
            <v>3724.0999999999995</v>
          </cell>
          <cell r="O152">
            <v>0.21997261083214742</v>
          </cell>
          <cell r="P152">
            <v>819.2</v>
          </cell>
          <cell r="Q152">
            <v>2904.8999999999996</v>
          </cell>
          <cell r="R152">
            <v>1097.7</v>
          </cell>
          <cell r="S152">
            <v>2.6475219306655244</v>
          </cell>
          <cell r="T152">
            <v>0.39282016437860767</v>
          </cell>
          <cell r="U152">
            <v>1.04</v>
          </cell>
          <cell r="V152">
            <v>2.6475219306655244</v>
          </cell>
          <cell r="W152" t="str">
            <v xml:space="preserve">       --</v>
          </cell>
          <cell r="X152">
            <v>2.6475219306655244</v>
          </cell>
        </row>
        <row r="154">
          <cell r="A154" t="str">
            <v>2001/00</v>
          </cell>
        </row>
        <row r="155">
          <cell r="A155" t="str">
            <v xml:space="preserve"> 1QA</v>
          </cell>
          <cell r="B155">
            <v>0.10381971901912435</v>
          </cell>
          <cell r="C155">
            <v>2.68765598003462E-3</v>
          </cell>
          <cell r="D155">
            <v>0.12988703108995492</v>
          </cell>
          <cell r="E155">
            <v>0.11710010169984031</v>
          </cell>
          <cell r="F155">
            <v>0.12431842966194107</v>
          </cell>
          <cell r="G155">
            <v>0.142876754641865</v>
          </cell>
          <cell r="H155">
            <v>1.3720930232558128</v>
          </cell>
          <cell r="I155" t="str">
            <v>NM</v>
          </cell>
          <cell r="J155" t="str">
            <v>NM</v>
          </cell>
          <cell r="L155">
            <v>7</v>
          </cell>
          <cell r="M155">
            <v>1.6222222222222209</v>
          </cell>
          <cell r="N155">
            <v>0.16537668570656106</v>
          </cell>
          <cell r="O155">
            <v>8.4942791320763433E-6</v>
          </cell>
          <cell r="P155">
            <v>0.16538658474142331</v>
          </cell>
          <cell r="Q155">
            <v>0.16537389319813456</v>
          </cell>
          <cell r="R155">
            <v>-5.1006650268743403E-3</v>
          </cell>
          <cell r="S155">
            <v>0.17134854978027891</v>
          </cell>
          <cell r="U155">
            <v>7.6923076923077094E-2</v>
          </cell>
          <cell r="V155">
            <v>0.17134854978027891</v>
          </cell>
          <cell r="W155" t="e">
            <v>#VALUE!</v>
          </cell>
          <cell r="X155">
            <v>0.17134854978027891</v>
          </cell>
        </row>
        <row r="156">
          <cell r="A156" t="str">
            <v xml:space="preserve"> 2QA</v>
          </cell>
          <cell r="B156">
            <v>0.15720607309071477</v>
          </cell>
          <cell r="C156">
            <v>6.2029692902176192E-2</v>
          </cell>
          <cell r="D156">
            <v>0.17918016622059429</v>
          </cell>
          <cell r="E156">
            <v>0.13138043751571526</v>
          </cell>
          <cell r="F156">
            <v>0.10790094339622658</v>
          </cell>
          <cell r="G156">
            <v>0.26917019987886071</v>
          </cell>
          <cell r="H156">
            <v>1.1470588235294117</v>
          </cell>
          <cell r="I156" t="str">
            <v>NM</v>
          </cell>
          <cell r="J156" t="str">
            <v>NM</v>
          </cell>
          <cell r="L156" t="str">
            <v>NM</v>
          </cell>
          <cell r="M156">
            <v>-0.52982456140350886</v>
          </cell>
          <cell r="N156">
            <v>0.24250585480093623</v>
          </cell>
          <cell r="O156">
            <v>-2.863366557709357E-4</v>
          </cell>
          <cell r="P156">
            <v>0.24215007982969672</v>
          </cell>
          <cell r="Q156">
            <v>0.24260621528298976</v>
          </cell>
          <cell r="R156">
            <v>-3.7674418604651816E-3</v>
          </cell>
          <cell r="S156">
            <v>0.24730536573062634</v>
          </cell>
          <cell r="U156">
            <v>0</v>
          </cell>
          <cell r="V156">
            <v>0.24730536573062634</v>
          </cell>
          <cell r="W156" t="e">
            <v>#VALUE!</v>
          </cell>
          <cell r="X156">
            <v>0.24730536573062634</v>
          </cell>
        </row>
        <row r="157">
          <cell r="A157" t="str">
            <v xml:space="preserve"> 3QA</v>
          </cell>
          <cell r="B157">
            <v>2.2266954502292435E-2</v>
          </cell>
          <cell r="C157">
            <v>0.12017955519281776</v>
          </cell>
          <cell r="D157">
            <v>1.5979738897098361E-3</v>
          </cell>
          <cell r="E157">
            <v>8.1969261526927406E-2</v>
          </cell>
          <cell r="F157">
            <v>0.11835605611539224</v>
          </cell>
          <cell r="G157">
            <v>-0.11995587467620061</v>
          </cell>
          <cell r="H157">
            <v>0.36776859504132253</v>
          </cell>
          <cell r="I157" t="str">
            <v>NM</v>
          </cell>
          <cell r="J157" t="str">
            <v>NM</v>
          </cell>
          <cell r="L157" t="str">
            <v>NM</v>
          </cell>
          <cell r="M157" t="str">
            <v>NM</v>
          </cell>
          <cell r="N157">
            <v>-7.1211772130342466E-2</v>
          </cell>
          <cell r="O157">
            <v>1.8682489615562403E-4</v>
          </cell>
          <cell r="P157">
            <v>-7.1038251366120186E-2</v>
          </cell>
          <cell r="Q157">
            <v>-7.1260707084975561E-2</v>
          </cell>
          <cell r="R157">
            <v>-7.5651065379712668E-3</v>
          </cell>
          <cell r="S157">
            <v>-6.4181137691367796E-2</v>
          </cell>
          <cell r="U157">
            <v>0</v>
          </cell>
          <cell r="V157">
            <v>-6.4181137691367796E-2</v>
          </cell>
          <cell r="W157" t="e">
            <v>#VALUE!</v>
          </cell>
          <cell r="X157">
            <v>-6.4181137691367796E-2</v>
          </cell>
        </row>
        <row r="158">
          <cell r="A158" t="str">
            <v xml:space="preserve"> 4QA</v>
          </cell>
          <cell r="B158">
            <v>-5.0164528910079609E-2</v>
          </cell>
          <cell r="C158">
            <v>2.6539278131634259E-3</v>
          </cell>
          <cell r="D158">
            <v>-6.253626191462891E-2</v>
          </cell>
          <cell r="E158">
            <v>-6.5233506300963584E-2</v>
          </cell>
          <cell r="F158">
            <v>8.2186754723903688E-2</v>
          </cell>
          <cell r="G158">
            <v>-0.14519272412299666</v>
          </cell>
          <cell r="H158">
            <v>-1.925925925925926</v>
          </cell>
          <cell r="I158" t="str">
            <v>NM</v>
          </cell>
          <cell r="J158" t="str">
            <v>NM</v>
          </cell>
          <cell r="L158" t="str">
            <v>NM</v>
          </cell>
          <cell r="M158">
            <v>-0.14686468646864681</v>
          </cell>
          <cell r="N158">
            <v>-0.14529567161146073</v>
          </cell>
          <cell r="O158">
            <v>7.6765170432468999E-4</v>
          </cell>
          <cell r="P158">
            <v>-0.14463955637707948</v>
          </cell>
          <cell r="Q158">
            <v>-0.14548059390466228</v>
          </cell>
          <cell r="R158">
            <v>-5.4377964246624666E-3</v>
          </cell>
          <cell r="S158">
            <v>-0.14080848535824297</v>
          </cell>
          <cell r="U158">
            <v>0</v>
          </cell>
          <cell r="V158">
            <v>-0.14080848535824297</v>
          </cell>
          <cell r="W158" t="e">
            <v>#VALUE!</v>
          </cell>
          <cell r="X158">
            <v>-0.14080848535824297</v>
          </cell>
        </row>
        <row r="160">
          <cell r="A160" t="str">
            <v>2001/00A</v>
          </cell>
          <cell r="B160">
            <v>5.3792498995727522E-2</v>
          </cell>
          <cell r="C160">
            <v>4.4634653513226076E-2</v>
          </cell>
          <cell r="D160">
            <v>5.5923829246058265E-2</v>
          </cell>
          <cell r="E160">
            <v>5.8575720967691813E-2</v>
          </cell>
          <cell r="F160">
            <v>0.10730740648996773</v>
          </cell>
          <cell r="G160">
            <v>2.5065274151436362E-2</v>
          </cell>
          <cell r="H160" t="str">
            <v>NM</v>
          </cell>
          <cell r="I160" t="str">
            <v>NM</v>
          </cell>
          <cell r="J160" t="str">
            <v>NM</v>
          </cell>
          <cell r="L160">
            <v>-1.0148514851485149</v>
          </cell>
          <cell r="M160">
            <v>0.56775700934579432</v>
          </cell>
          <cell r="N160">
            <v>3.7539271233318294E-2</v>
          </cell>
          <cell r="O160">
            <v>1.7392626398337271E-4</v>
          </cell>
          <cell r="P160">
            <v>3.7719726562499972E-2</v>
          </cell>
          <cell r="Q160">
            <v>3.752280629281559E-2</v>
          </cell>
          <cell r="R160">
            <v>-6.2922474264372344E-3</v>
          </cell>
          <cell r="S160">
            <v>4.3129155662702347E-2</v>
          </cell>
          <cell r="U160">
            <v>1.9230769230769246E-2</v>
          </cell>
          <cell r="V160" t="e">
            <v>#NULL!</v>
          </cell>
          <cell r="W160" t="str">
            <v>NM</v>
          </cell>
          <cell r="X160">
            <v>4.3129155662702347E-2</v>
          </cell>
        </row>
        <row r="162">
          <cell r="A162">
            <v>2001</v>
          </cell>
        </row>
        <row r="163">
          <cell r="A163" t="str">
            <v xml:space="preserve"> 1QA</v>
          </cell>
          <cell r="B163">
            <v>2805.7000000000003</v>
          </cell>
          <cell r="C163">
            <v>522.29999999999995</v>
          </cell>
          <cell r="D163">
            <v>2283.4000000000005</v>
          </cell>
          <cell r="E163">
            <v>768.9</v>
          </cell>
          <cell r="F163">
            <v>515.5</v>
          </cell>
          <cell r="G163">
            <v>999.00000000000045</v>
          </cell>
          <cell r="H163">
            <v>30.6</v>
          </cell>
          <cell r="I163">
            <v>0</v>
          </cell>
          <cell r="J163">
            <v>0</v>
          </cell>
          <cell r="L163">
            <v>4.8</v>
          </cell>
          <cell r="M163">
            <v>35.4</v>
          </cell>
          <cell r="N163">
            <v>1034.4000000000005</v>
          </cell>
          <cell r="O163">
            <v>0.22003093580819788</v>
          </cell>
          <cell r="P163">
            <v>227.6</v>
          </cell>
          <cell r="Q163">
            <v>806.80000000000052</v>
          </cell>
          <cell r="R163">
            <v>1092.1010000000001</v>
          </cell>
          <cell r="S163">
            <v>0.73875951033832987</v>
          </cell>
          <cell r="T163">
            <v>0.37901373326722843</v>
          </cell>
          <cell r="U163">
            <v>0.28000000000000003</v>
          </cell>
          <cell r="V163">
            <v>0.73875951033832987</v>
          </cell>
          <cell r="W163" t="str">
            <v xml:space="preserve">       --</v>
          </cell>
          <cell r="X163">
            <v>0.73875951033832987</v>
          </cell>
        </row>
        <row r="164">
          <cell r="A164" t="str">
            <v xml:space="preserve"> 2QA</v>
          </cell>
          <cell r="B164">
            <v>3033.4999999999991</v>
          </cell>
          <cell r="C164">
            <v>522.20000000000005</v>
          </cell>
          <cell r="D164">
            <v>2511.2999999999993</v>
          </cell>
          <cell r="E164">
            <v>899.9</v>
          </cell>
          <cell r="F164">
            <v>563.70000000000005</v>
          </cell>
          <cell r="G164">
            <v>1047.6999999999991</v>
          </cell>
          <cell r="H164">
            <v>29.2</v>
          </cell>
          <cell r="I164">
            <v>0</v>
          </cell>
          <cell r="J164">
            <v>0</v>
          </cell>
          <cell r="L164">
            <v>-15.8</v>
          </cell>
          <cell r="M164">
            <v>13.399999999999999</v>
          </cell>
          <cell r="N164">
            <v>1061.0999999999992</v>
          </cell>
          <cell r="O164">
            <v>0.21996041843370104</v>
          </cell>
          <cell r="P164">
            <v>233.4</v>
          </cell>
          <cell r="Q164">
            <v>827.69999999999925</v>
          </cell>
          <cell r="R164">
            <v>1092.3689999999999</v>
          </cell>
          <cell r="S164">
            <v>0.75771099326326485</v>
          </cell>
          <cell r="T164">
            <v>0.34313874592243593</v>
          </cell>
          <cell r="U164">
            <v>0.26</v>
          </cell>
          <cell r="V164">
            <v>0.75771099326326485</v>
          </cell>
          <cell r="W164" t="str">
            <v xml:space="preserve">       --</v>
          </cell>
          <cell r="X164">
            <v>0.75771099326326485</v>
          </cell>
        </row>
        <row r="165">
          <cell r="A165" t="str">
            <v xml:space="preserve"> 3QA</v>
          </cell>
          <cell r="B165">
            <v>2874.4</v>
          </cell>
          <cell r="C165">
            <v>549</v>
          </cell>
          <cell r="D165">
            <v>2325.4</v>
          </cell>
          <cell r="E165">
            <v>865.9</v>
          </cell>
          <cell r="F165">
            <v>566</v>
          </cell>
          <cell r="G165">
            <v>893.5</v>
          </cell>
          <cell r="H165">
            <v>33.1</v>
          </cell>
          <cell r="I165">
            <v>0</v>
          </cell>
          <cell r="J165">
            <v>0</v>
          </cell>
          <cell r="L165">
            <v>0.6</v>
          </cell>
          <cell r="M165">
            <v>33.700000000000003</v>
          </cell>
          <cell r="N165">
            <v>927.2</v>
          </cell>
          <cell r="O165">
            <v>0.22001725625539256</v>
          </cell>
          <cell r="P165">
            <v>204</v>
          </cell>
          <cell r="Q165">
            <v>723.2</v>
          </cell>
          <cell r="R165">
            <v>1089.8920000000001</v>
          </cell>
          <cell r="S165">
            <v>0.66355198496731782</v>
          </cell>
          <cell r="T165">
            <v>0.39183064159292041</v>
          </cell>
          <cell r="U165">
            <v>0.26</v>
          </cell>
          <cell r="V165">
            <v>0.66355198496731782</v>
          </cell>
          <cell r="W165" t="str">
            <v xml:space="preserve">       --</v>
          </cell>
          <cell r="X165">
            <v>0.66355198496731782</v>
          </cell>
        </row>
        <row r="166">
          <cell r="A166" t="str">
            <v xml:space="preserve"> 4QA</v>
          </cell>
          <cell r="B166">
            <v>2828.8000000000006</v>
          </cell>
          <cell r="C166">
            <v>566.70000000000005</v>
          </cell>
          <cell r="D166">
            <v>2262.1000000000004</v>
          </cell>
          <cell r="E166">
            <v>882.7</v>
          </cell>
          <cell r="F166">
            <v>589.9</v>
          </cell>
          <cell r="G166">
            <v>789.50000000000034</v>
          </cell>
          <cell r="H166">
            <v>42.5</v>
          </cell>
          <cell r="I166">
            <v>0</v>
          </cell>
          <cell r="J166">
            <v>0</v>
          </cell>
          <cell r="L166">
            <v>9.1999999999999993</v>
          </cell>
          <cell r="M166">
            <v>51.7</v>
          </cell>
          <cell r="N166">
            <v>841.20000000000039</v>
          </cell>
          <cell r="O166">
            <v>0.22004279600570603</v>
          </cell>
          <cell r="P166">
            <v>185.1</v>
          </cell>
          <cell r="Q166">
            <v>656.10000000000036</v>
          </cell>
          <cell r="R166">
            <v>1090.4380000000001</v>
          </cell>
          <cell r="S166">
            <v>0.60168482756470365</v>
          </cell>
          <cell r="T166">
            <v>0.43211992074378885</v>
          </cell>
          <cell r="U166">
            <v>0.26</v>
          </cell>
          <cell r="V166">
            <v>0.60168482756470365</v>
          </cell>
          <cell r="W166" t="str">
            <v xml:space="preserve">       --</v>
          </cell>
          <cell r="X166">
            <v>0.60168482756470365</v>
          </cell>
        </row>
        <row r="168">
          <cell r="A168" t="str">
            <v>Year</v>
          </cell>
          <cell r="B168">
            <v>11542.4</v>
          </cell>
          <cell r="C168">
            <v>2160.1999999999998</v>
          </cell>
          <cell r="D168">
            <v>9382.2000000000007</v>
          </cell>
          <cell r="E168">
            <v>3417.3999999999996</v>
          </cell>
          <cell r="F168">
            <v>2235.1</v>
          </cell>
          <cell r="G168">
            <v>3729.7000000000003</v>
          </cell>
          <cell r="H168">
            <v>135.4</v>
          </cell>
          <cell r="I168">
            <v>0</v>
          </cell>
          <cell r="J168">
            <v>0</v>
          </cell>
          <cell r="L168">
            <v>-1.2000000000000011</v>
          </cell>
          <cell r="M168">
            <v>134.19999999999999</v>
          </cell>
          <cell r="N168">
            <v>3863.9</v>
          </cell>
          <cell r="O168">
            <v>0.22001086984652812</v>
          </cell>
          <cell r="P168">
            <v>850.1</v>
          </cell>
          <cell r="Q168">
            <v>3013.8999999999996</v>
          </cell>
          <cell r="R168">
            <v>1090.7929999999999</v>
          </cell>
          <cell r="S168">
            <v>2.7617073161336161</v>
          </cell>
          <cell r="T168">
            <v>0.38382054238969743</v>
          </cell>
          <cell r="U168">
            <v>1.06</v>
          </cell>
          <cell r="V168">
            <v>2.7617073161336161</v>
          </cell>
          <cell r="W168" t="str">
            <v xml:space="preserve">       --</v>
          </cell>
          <cell r="X168">
            <v>2.7617073161336161</v>
          </cell>
        </row>
        <row r="170">
          <cell r="A170" t="str">
            <v>2002/01</v>
          </cell>
        </row>
        <row r="171">
          <cell r="A171" t="str">
            <v xml:space="preserve"> 1QA</v>
          </cell>
          <cell r="B171">
            <v>-8.7179669957586414E-2</v>
          </cell>
          <cell r="C171">
            <v>1.4933946008041543E-2</v>
          </cell>
          <cell r="D171">
            <v>-0.11053691863011317</v>
          </cell>
          <cell r="E171">
            <v>1.0924697619976609E-2</v>
          </cell>
          <cell r="F171">
            <v>-2.4636275460717783E-2</v>
          </cell>
          <cell r="G171">
            <v>-0.24834834834834862</v>
          </cell>
          <cell r="H171">
            <v>0.28431372549019596</v>
          </cell>
          <cell r="I171" t="str">
            <v>NM</v>
          </cell>
          <cell r="J171" t="str">
            <v>NM</v>
          </cell>
          <cell r="L171">
            <v>2.4375</v>
          </cell>
          <cell r="M171">
            <v>0.57627118644067798</v>
          </cell>
          <cell r="N171">
            <v>-0.2201276102088171</v>
          </cell>
          <cell r="O171">
            <v>5.8821953141663386E-6</v>
          </cell>
          <cell r="P171">
            <v>-0.22012302284710017</v>
          </cell>
          <cell r="Q171">
            <v>-0.22012890431333709</v>
          </cell>
          <cell r="R171">
            <v>-3.5720139437653842E-3</v>
          </cell>
          <cell r="S171">
            <v>-0.2173332076176252</v>
          </cell>
          <cell r="U171">
            <v>0.21428571428571419</v>
          </cell>
          <cell r="V171">
            <v>-0.78051561021733384</v>
          </cell>
          <cell r="W171" t="e">
            <v>#VALUE!</v>
          </cell>
          <cell r="X171">
            <v>-0.78051561021733384</v>
          </cell>
        </row>
        <row r="172">
          <cell r="A172" t="str">
            <v xml:space="preserve"> 2QA</v>
          </cell>
          <cell r="B172">
            <v>-8.515576067249031E-2</v>
          </cell>
          <cell r="C172">
            <v>5.1704327843735687E-3</v>
          </cell>
          <cell r="D172">
            <v>-0.10393819933898762</v>
          </cell>
          <cell r="E172">
            <v>1.7001889098788858E-2</v>
          </cell>
          <cell r="F172">
            <v>-3.2286677310626288E-2</v>
          </cell>
          <cell r="G172">
            <v>-0.24636823518182649</v>
          </cell>
          <cell r="H172">
            <v>-0.26027397260273966</v>
          </cell>
          <cell r="I172" t="str">
            <v>NM</v>
          </cell>
          <cell r="J172" t="str">
            <v>NM</v>
          </cell>
          <cell r="L172" t="str">
            <v>NM</v>
          </cell>
          <cell r="M172">
            <v>3.0746268656716422</v>
          </cell>
          <cell r="N172">
            <v>-0.20442936575252069</v>
          </cell>
          <cell r="O172">
            <v>7.4394153563028809E-5</v>
          </cell>
          <cell r="P172">
            <v>-0.20437017994858619</v>
          </cell>
          <cell r="Q172">
            <v>-0.2044460553340578</v>
          </cell>
          <cell r="R172">
            <v>-5.507296527089145E-3</v>
          </cell>
          <cell r="S172">
            <v>-0.20004044083204031</v>
          </cell>
          <cell r="U172">
            <v>0.30769230769230771</v>
          </cell>
          <cell r="V172">
            <v>-0.78694779421401606</v>
          </cell>
          <cell r="W172" t="e">
            <v>#VALUE!</v>
          </cell>
          <cell r="X172">
            <v>-0.78694779421401606</v>
          </cell>
        </row>
        <row r="173">
          <cell r="A173" t="str">
            <v xml:space="preserve"> 3QE</v>
          </cell>
          <cell r="B173">
            <v>-3.0893403840801636E-2</v>
          </cell>
          <cell r="C173">
            <v>8.5610200364298894E-3</v>
          </cell>
          <cell r="D173">
            <v>-4.020813623462649E-2</v>
          </cell>
          <cell r="E173">
            <v>-6.374870077376138E-2</v>
          </cell>
          <cell r="F173">
            <v>-6.9434628975264978E-2</v>
          </cell>
          <cell r="G173">
            <v>1.1191941801897975E-3</v>
          </cell>
          <cell r="H173">
            <v>-0.30815709969788518</v>
          </cell>
          <cell r="I173" t="str">
            <v>NM</v>
          </cell>
          <cell r="J173" t="str">
            <v>NM</v>
          </cell>
          <cell r="L173" t="str">
            <v>NM</v>
          </cell>
          <cell r="M173" t="str">
            <v>NM</v>
          </cell>
          <cell r="N173">
            <v>2.1138912855909631E-2</v>
          </cell>
          <cell r="O173">
            <v>-5.9229437443963917E-5</v>
          </cell>
          <cell r="P173">
            <v>2.1078431372549167E-2</v>
          </cell>
          <cell r="Q173">
            <v>2.1155973451326693E-2</v>
          </cell>
          <cell r="R173">
            <v>-3.8279022141644026E-3</v>
          </cell>
          <cell r="S173">
            <v>2.5079878989807236E-2</v>
          </cell>
          <cell r="U173">
            <v>0.30769230769230771</v>
          </cell>
          <cell r="V173">
            <v>-1</v>
          </cell>
          <cell r="W173" t="e">
            <v>#VALUE!</v>
          </cell>
          <cell r="X173">
            <v>-1</v>
          </cell>
        </row>
        <row r="174">
          <cell r="A174" t="str">
            <v xml:space="preserve"> 4QA</v>
          </cell>
          <cell r="B174">
            <v>4.4824660633483671E-2</v>
          </cell>
          <cell r="C174">
            <v>1.9410622904534325E-3</v>
          </cell>
          <cell r="D174">
            <v>5.5567835197382509E-2</v>
          </cell>
          <cell r="E174">
            <v>4.316302254446569E-2</v>
          </cell>
          <cell r="F174">
            <v>-2.6445160196643558E-2</v>
          </cell>
          <cell r="G174">
            <v>0.13071564281190495</v>
          </cell>
          <cell r="H174">
            <v>-0.44705882352941173</v>
          </cell>
          <cell r="I174" t="str">
            <v>NM</v>
          </cell>
          <cell r="J174" t="str">
            <v>NM</v>
          </cell>
          <cell r="L174" t="str">
            <v>NM</v>
          </cell>
          <cell r="M174" t="str">
            <v>NM</v>
          </cell>
          <cell r="N174">
            <v>0.12220637184973704</v>
          </cell>
          <cell r="O174">
            <v>-9.8206191796235132E-5</v>
          </cell>
          <cell r="P174">
            <v>0.12209616423554825</v>
          </cell>
          <cell r="Q174">
            <v>0.122237463801248</v>
          </cell>
          <cell r="R174">
            <v>-5.9627415772379733E-3</v>
          </cell>
          <cell r="S174">
            <v>0.12896921548182316</v>
          </cell>
          <cell r="U174">
            <v>0.30769230769230771</v>
          </cell>
          <cell r="V174" t="e">
            <v>#DIV/0!</v>
          </cell>
          <cell r="W174" t="e">
            <v>#VALUE!</v>
          </cell>
          <cell r="X174" t="e">
            <v>#DIV/0!</v>
          </cell>
        </row>
        <row r="176">
          <cell r="A176" t="str">
            <v>2002A/01A</v>
          </cell>
          <cell r="B176">
            <v>-4.0279317992791802E-2</v>
          </cell>
          <cell r="C176">
            <v>7.5455976298491731E-3</v>
          </cell>
          <cell r="D176">
            <v>-5.1290742043444089E-2</v>
          </cell>
          <cell r="E176">
            <v>1.9312927956927073E-3</v>
          </cell>
          <cell r="F176">
            <v>-3.8387544181468281E-2</v>
          </cell>
          <cell r="G176">
            <v>-0.10778883020082079</v>
          </cell>
          <cell r="H176">
            <v>-0.20753323485967512</v>
          </cell>
          <cell r="I176" t="str">
            <v>NM</v>
          </cell>
          <cell r="J176" t="str">
            <v>NM</v>
          </cell>
          <cell r="L176" t="str">
            <v>NM</v>
          </cell>
          <cell r="M176">
            <v>0.59463487332339804</v>
          </cell>
          <cell r="N176">
            <v>-8.3392427340252498E-2</v>
          </cell>
          <cell r="O176">
            <v>-4.9405952240925582E-5</v>
          </cell>
          <cell r="P176">
            <v>-8.3401952711445682E-2</v>
          </cell>
          <cell r="Q176">
            <v>-8.3420153289757798E-2</v>
          </cell>
          <cell r="R176">
            <v>-5.2301399073884118E-3</v>
          </cell>
          <cell r="S176">
            <v>-7.8157914519644198E-2</v>
          </cell>
          <cell r="U176">
            <v>0.28301886792452835</v>
          </cell>
          <cell r="V176">
            <v>-7.8157914519644198E-2</v>
          </cell>
          <cell r="W176" t="str">
            <v>NM</v>
          </cell>
          <cell r="X176">
            <v>-7.8157914519644198E-2</v>
          </cell>
        </row>
        <row r="178">
          <cell r="A178">
            <v>2002</v>
          </cell>
        </row>
        <row r="179">
          <cell r="A179" t="str">
            <v xml:space="preserve"> 1QA</v>
          </cell>
          <cell r="B179">
            <v>2561.1</v>
          </cell>
          <cell r="C179">
            <v>530.1</v>
          </cell>
          <cell r="D179">
            <v>2031</v>
          </cell>
          <cell r="E179">
            <v>777.3</v>
          </cell>
          <cell r="F179">
            <v>502.8</v>
          </cell>
          <cell r="G179">
            <v>750.90000000000009</v>
          </cell>
          <cell r="H179">
            <v>39.299999999999997</v>
          </cell>
          <cell r="I179">
            <v>0</v>
          </cell>
          <cell r="J179">
            <v>0</v>
          </cell>
          <cell r="K179">
            <v>0</v>
          </cell>
          <cell r="L179">
            <v>16.5</v>
          </cell>
          <cell r="M179">
            <v>55.8</v>
          </cell>
          <cell r="N179">
            <v>806.7</v>
          </cell>
          <cell r="O179">
            <v>0.22003223007313746</v>
          </cell>
          <cell r="P179">
            <v>177.5</v>
          </cell>
          <cell r="Q179">
            <v>629.20000000000005</v>
          </cell>
          <cell r="R179">
            <v>1088.2</v>
          </cell>
          <cell r="S179">
            <v>0.57820253629847451</v>
          </cell>
          <cell r="T179">
            <v>0.58802924348378904</v>
          </cell>
          <cell r="U179">
            <v>0.34</v>
          </cell>
          <cell r="V179">
            <v>0.57820253629847451</v>
          </cell>
          <cell r="W179" t="str">
            <v xml:space="preserve">       --</v>
          </cell>
          <cell r="X179">
            <v>0.57820253629847451</v>
          </cell>
        </row>
        <row r="180">
          <cell r="A180" t="str">
            <v xml:space="preserve"> 2QA</v>
          </cell>
          <cell r="B180">
            <v>2775.18</v>
          </cell>
          <cell r="C180">
            <v>524.9</v>
          </cell>
          <cell r="D180">
            <v>2250.2799999999997</v>
          </cell>
          <cell r="E180">
            <v>915.2</v>
          </cell>
          <cell r="F180">
            <v>545.5</v>
          </cell>
          <cell r="G180">
            <v>789.5799999999997</v>
          </cell>
          <cell r="H180">
            <v>21.6</v>
          </cell>
          <cell r="I180">
            <v>0</v>
          </cell>
          <cell r="J180">
            <v>0</v>
          </cell>
          <cell r="K180">
            <v>0</v>
          </cell>
          <cell r="L180">
            <v>33</v>
          </cell>
          <cell r="M180">
            <v>54.6</v>
          </cell>
          <cell r="N180">
            <v>844.17999999999972</v>
          </cell>
          <cell r="O180">
            <v>0.2199767822028478</v>
          </cell>
          <cell r="P180">
            <v>185.7</v>
          </cell>
          <cell r="Q180">
            <v>658.47999999999979</v>
          </cell>
          <cell r="R180">
            <v>1086.3530000000001</v>
          </cell>
          <cell r="S180">
            <v>0.60613815214759825</v>
          </cell>
          <cell r="T180">
            <v>0.56092822864779512</v>
          </cell>
          <cell r="U180">
            <v>0.34</v>
          </cell>
          <cell r="V180">
            <v>0.60613815214759825</v>
          </cell>
          <cell r="W180" t="str">
            <v xml:space="preserve">       --</v>
          </cell>
          <cell r="X180">
            <v>0.60613815214759825</v>
          </cell>
        </row>
        <row r="181">
          <cell r="A181" t="str">
            <v xml:space="preserve"> 3QA</v>
          </cell>
          <cell r="B181">
            <v>2785.6</v>
          </cell>
          <cell r="C181">
            <v>553.70000000000005</v>
          </cell>
          <cell r="D181">
            <v>2231.8999999999996</v>
          </cell>
          <cell r="E181">
            <v>810.7</v>
          </cell>
          <cell r="F181">
            <v>526.70000000000005</v>
          </cell>
          <cell r="G181">
            <v>894.49999999999955</v>
          </cell>
          <cell r="H181">
            <v>22.900000000000002</v>
          </cell>
          <cell r="I181">
            <v>0</v>
          </cell>
          <cell r="J181">
            <v>0</v>
          </cell>
          <cell r="K181">
            <v>0</v>
          </cell>
          <cell r="L181">
            <v>29.4</v>
          </cell>
          <cell r="M181">
            <v>52.3</v>
          </cell>
          <cell r="N181">
            <v>946.7999999999995</v>
          </cell>
          <cell r="O181">
            <v>0.22000422475707659</v>
          </cell>
          <cell r="P181">
            <v>208.3</v>
          </cell>
          <cell r="Q181">
            <v>738.49999999999955</v>
          </cell>
          <cell r="R181">
            <v>1085.72</v>
          </cell>
          <cell r="S181">
            <v>0.68019378845374456</v>
          </cell>
          <cell r="T181">
            <v>0.49985754908598545</v>
          </cell>
          <cell r="U181">
            <v>0.34</v>
          </cell>
          <cell r="V181">
            <v>0.68019378845374456</v>
          </cell>
          <cell r="W181" t="str">
            <v xml:space="preserve">       --</v>
          </cell>
          <cell r="X181">
            <v>0.68019378845374456</v>
          </cell>
        </row>
        <row r="182">
          <cell r="A182" t="str">
            <v xml:space="preserve"> 4QA</v>
          </cell>
          <cell r="B182">
            <v>2955.5999999999995</v>
          </cell>
          <cell r="C182">
            <v>567.79999999999995</v>
          </cell>
          <cell r="D182">
            <v>2387.7999999999993</v>
          </cell>
          <cell r="E182">
            <v>920.8</v>
          </cell>
          <cell r="F182">
            <v>574.29999999999995</v>
          </cell>
          <cell r="G182">
            <v>892.69999999999936</v>
          </cell>
          <cell r="H182">
            <v>23.5</v>
          </cell>
          <cell r="I182">
            <v>0</v>
          </cell>
          <cell r="J182">
            <v>0</v>
          </cell>
          <cell r="K182">
            <v>-10</v>
          </cell>
          <cell r="L182">
            <v>37.799999999999997</v>
          </cell>
          <cell r="M182">
            <v>51.3</v>
          </cell>
          <cell r="N182">
            <v>943.99999999999932</v>
          </cell>
          <cell r="O182">
            <v>0.22002118644067811</v>
          </cell>
          <cell r="P182">
            <v>207.7</v>
          </cell>
          <cell r="Q182">
            <v>736.29999999999927</v>
          </cell>
          <cell r="R182">
            <v>1083.9359999999999</v>
          </cell>
          <cell r="S182">
            <v>0.67928364774303951</v>
          </cell>
          <cell r="T182">
            <v>0.50052728507401922</v>
          </cell>
          <cell r="U182">
            <v>0.34</v>
          </cell>
          <cell r="V182">
            <v>0.67928364774303951</v>
          </cell>
          <cell r="W182" t="str">
            <v xml:space="preserve">       --</v>
          </cell>
          <cell r="X182">
            <v>0.67928364774303951</v>
          </cell>
        </row>
        <row r="184">
          <cell r="A184" t="str">
            <v>Year</v>
          </cell>
          <cell r="B184">
            <v>11077.48</v>
          </cell>
          <cell r="C184">
            <v>2176.5</v>
          </cell>
          <cell r="D184">
            <v>8900.98</v>
          </cell>
          <cell r="E184">
            <v>3424</v>
          </cell>
          <cell r="F184">
            <v>2149.3000000000002</v>
          </cell>
          <cell r="G184">
            <v>3327.6799999999989</v>
          </cell>
          <cell r="H184">
            <v>107.3</v>
          </cell>
          <cell r="I184">
            <v>0</v>
          </cell>
          <cell r="J184">
            <v>0</v>
          </cell>
          <cell r="K184">
            <v>-10</v>
          </cell>
          <cell r="L184">
            <v>116.7</v>
          </cell>
          <cell r="M184">
            <v>214</v>
          </cell>
          <cell r="N184">
            <v>3541.6799999999985</v>
          </cell>
          <cell r="O184">
            <v>0.22</v>
          </cell>
          <cell r="P184">
            <v>779.2</v>
          </cell>
          <cell r="Q184">
            <v>2762.4799999999987</v>
          </cell>
          <cell r="R184">
            <v>1085.088</v>
          </cell>
          <cell r="S184">
            <v>2.5458580317909689</v>
          </cell>
          <cell r="T184">
            <v>0.53420103674958763</v>
          </cell>
          <cell r="U184">
            <v>1.36</v>
          </cell>
          <cell r="V184">
            <v>2.5458580317909689</v>
          </cell>
          <cell r="W184" t="str">
            <v xml:space="preserve">       --</v>
          </cell>
          <cell r="X184">
            <v>2.5458580317909689</v>
          </cell>
        </row>
        <row r="185">
          <cell r="I185">
            <v>0</v>
          </cell>
          <cell r="J185">
            <v>0</v>
          </cell>
        </row>
        <row r="186">
          <cell r="A186">
            <v>2003</v>
          </cell>
        </row>
        <row r="187">
          <cell r="A187" t="str">
            <v xml:space="preserve"> 1QE</v>
          </cell>
          <cell r="B187">
            <v>8.4827222677755776E-2</v>
          </cell>
          <cell r="C187">
            <v>0.12685430107526874</v>
          </cell>
          <cell r="D187">
            <v>7.3857968980797661E-2</v>
          </cell>
          <cell r="E187">
            <v>0.12234943265148601</v>
          </cell>
          <cell r="F187">
            <v>8.8574278042959476E-2</v>
          </cell>
          <cell r="G187">
            <v>1.3807662804634413E-2</v>
          </cell>
          <cell r="H187">
            <v>-0.31297709923664119</v>
          </cell>
          <cell r="I187" t="e">
            <v>#DIV/0!</v>
          </cell>
          <cell r="J187" t="e">
            <v>#DIV/0!</v>
          </cell>
          <cell r="K187" t="str">
            <v>NM</v>
          </cell>
          <cell r="L187">
            <v>0.51515151515151514</v>
          </cell>
          <cell r="M187">
            <v>-0.24731182795698925</v>
          </cell>
          <cell r="N187">
            <v>-4.2541539605801537E-3</v>
          </cell>
          <cell r="O187">
            <v>-1.4647887323937514E-4</v>
          </cell>
          <cell r="P187">
            <v>-4.4000096901407604E-3</v>
          </cell>
          <cell r="Q187">
            <v>-4.2130074380165583E-3</v>
          </cell>
          <cell r="R187">
            <v>-3.9183973534278049E-3</v>
          </cell>
          <cell r="S187">
            <v>-2.9576902515404679E-4</v>
          </cell>
        </row>
        <row r="188">
          <cell r="A188" t="str">
            <v xml:space="preserve"> 2QE</v>
          </cell>
          <cell r="B188">
            <v>6.6296600580863174E-2</v>
          </cell>
          <cell r="C188">
            <v>0.20080423890264787</v>
          </cell>
          <cell r="D188">
            <v>3.4921367563147454E-2</v>
          </cell>
          <cell r="E188">
            <v>5.0839843749999725E-2</v>
          </cell>
          <cell r="F188">
            <v>6.3238020164986031E-2</v>
          </cell>
          <cell r="G188">
            <v>-3.0929228197268399E-3</v>
          </cell>
          <cell r="H188">
            <v>0.20370370370370372</v>
          </cell>
          <cell r="I188" t="e">
            <v>#DIV/0!</v>
          </cell>
          <cell r="J188" t="e">
            <v>#DIV/0!</v>
          </cell>
          <cell r="K188" t="str">
            <v>NM</v>
          </cell>
          <cell r="L188">
            <v>-0.24242424242424243</v>
          </cell>
          <cell r="M188">
            <v>-6.5934065934065922E-2</v>
          </cell>
          <cell r="N188">
            <v>-7.1573716505958229E-3</v>
          </cell>
          <cell r="O188">
            <v>1.0554658050598853E-4</v>
          </cell>
          <cell r="P188">
            <v>-7.0525805061930624E-3</v>
          </cell>
          <cell r="Q188">
            <v>-7.1869241282955798E-3</v>
          </cell>
          <cell r="R188">
            <v>-2.2248753397837717E-3</v>
          </cell>
          <cell r="S188">
            <v>-4.9731133457566745E-3</v>
          </cell>
        </row>
        <row r="189">
          <cell r="A189" t="str">
            <v xml:space="preserve"> 3QE</v>
          </cell>
          <cell r="B189">
            <v>7.7179063756461774E-2</v>
          </cell>
          <cell r="C189">
            <v>0.15428150623081072</v>
          </cell>
          <cell r="D189">
            <v>5.8051135803575571E-2</v>
          </cell>
          <cell r="E189">
            <v>0.15108361909460943</v>
          </cell>
          <cell r="F189">
            <v>0.10521067021074604</v>
          </cell>
          <cell r="G189">
            <v>-5.4034231414197498E-2</v>
          </cell>
          <cell r="H189">
            <v>0.17903930131004353</v>
          </cell>
          <cell r="I189" t="e">
            <v>#DIV/0!</v>
          </cell>
          <cell r="J189" t="e">
            <v>#DIV/0!</v>
          </cell>
          <cell r="K189" t="str">
            <v>NM</v>
          </cell>
          <cell r="L189">
            <v>-0.14965986394557818</v>
          </cell>
          <cell r="M189">
            <v>8.9866156787762996E-2</v>
          </cell>
          <cell r="N189">
            <v>-4.6085361216729681E-2</v>
          </cell>
          <cell r="O189">
            <v>-1.9203072492146589E-5</v>
          </cell>
          <cell r="P189">
            <v>-4.6103679308689527E-2</v>
          </cell>
          <cell r="Q189">
            <v>-4.6080194448205436E-2</v>
          </cell>
          <cell r="R189">
            <v>-1.6431492465830422E-3</v>
          </cell>
          <cell r="S189">
            <v>-4.4510182073762228E-2</v>
          </cell>
        </row>
        <row r="190">
          <cell r="A190" t="str">
            <v xml:space="preserve"> 4QE</v>
          </cell>
          <cell r="B190">
            <v>8.8861618622276595E-2</v>
          </cell>
          <cell r="C190">
            <v>0.19747849630151459</v>
          </cell>
          <cell r="D190">
            <v>6.3033382109054736E-2</v>
          </cell>
          <cell r="E190">
            <v>0.10433209176802816</v>
          </cell>
          <cell r="F190">
            <v>8.3129733588716892E-2</v>
          </cell>
          <cell r="G190">
            <v>7.5061204211943622E-3</v>
          </cell>
          <cell r="H190">
            <v>0.16170212765957426</v>
          </cell>
          <cell r="I190" t="e">
            <v>#DIV/0!</v>
          </cell>
          <cell r="J190" t="e">
            <v>#DIV/0!</v>
          </cell>
          <cell r="K190" t="str">
            <v>NM</v>
          </cell>
          <cell r="L190">
            <v>-0.33862433862433861</v>
          </cell>
          <cell r="M190">
            <v>0.18139936730304829</v>
          </cell>
          <cell r="N190">
            <v>1.6956039451956118E-2</v>
          </cell>
          <cell r="O190">
            <v>-9.6292729899527529E-5</v>
          </cell>
          <cell r="P190">
            <v>1.6858113978729605E-2</v>
          </cell>
          <cell r="Q190">
            <v>1.6983662867397165E-2</v>
          </cell>
          <cell r="R190">
            <v>0</v>
          </cell>
          <cell r="S190">
            <v>1.6983662867397387E-2</v>
          </cell>
        </row>
        <row r="192">
          <cell r="A192" t="str">
            <v xml:space="preserve">2003E/02E </v>
          </cell>
          <cell r="B192">
            <v>7.9338026338120274E-2</v>
          </cell>
          <cell r="C192">
            <v>0.17009031481736728</v>
          </cell>
          <cell r="D192">
            <v>5.714694671822651E-2</v>
          </cell>
          <cell r="E192">
            <v>0.10519372637266357</v>
          </cell>
          <cell r="F192">
            <v>8.4765901921555753E-2</v>
          </cell>
          <cell r="G192">
            <v>-1.0129231867246872E-2</v>
          </cell>
          <cell r="H192" t="str">
            <v>NM</v>
          </cell>
          <cell r="I192" t="str">
            <v>NM</v>
          </cell>
          <cell r="J192" t="str">
            <v>NM</v>
          </cell>
          <cell r="K192" t="str">
            <v>NM</v>
          </cell>
          <cell r="L192">
            <v>-0.14310197086546705</v>
          </cell>
          <cell r="M192" t="str">
            <v>NM</v>
          </cell>
          <cell r="N192">
            <v>-1.0475552494113891E-2</v>
          </cell>
          <cell r="O192">
            <v>0</v>
          </cell>
          <cell r="P192">
            <v>-1.0514158170711097E-2</v>
          </cell>
          <cell r="Q192">
            <v>-1.0464663168868385E-2</v>
          </cell>
          <cell r="R192">
            <v>-1.061665044678417E-3</v>
          </cell>
          <cell r="S192">
            <v>-9.4129915683039897E-3</v>
          </cell>
          <cell r="U192">
            <v>0.11764705882352934</v>
          </cell>
          <cell r="V192">
            <v>-9.4129915683039897E-3</v>
          </cell>
          <cell r="W192" t="str">
            <v>NM</v>
          </cell>
          <cell r="X192">
            <v>-9.4129915683039897E-3</v>
          </cell>
        </row>
        <row r="194">
          <cell r="A194">
            <v>2003</v>
          </cell>
        </row>
        <row r="195">
          <cell r="A195" t="str">
            <v xml:space="preserve"> 1QE</v>
          </cell>
          <cell r="B195">
            <v>2778.3510000000001</v>
          </cell>
          <cell r="C195">
            <v>597.34546499999999</v>
          </cell>
          <cell r="D195">
            <v>2181.0055350000002</v>
          </cell>
          <cell r="E195">
            <v>872.40221400000007</v>
          </cell>
          <cell r="F195">
            <v>547.33514700000001</v>
          </cell>
          <cell r="G195">
            <v>761.26817400000004</v>
          </cell>
          <cell r="H195">
            <v>27</v>
          </cell>
          <cell r="I195">
            <v>0</v>
          </cell>
          <cell r="J195">
            <v>0</v>
          </cell>
          <cell r="K195">
            <v>-10</v>
          </cell>
          <cell r="L195">
            <v>25</v>
          </cell>
          <cell r="M195">
            <v>42</v>
          </cell>
          <cell r="N195">
            <v>803.26817400000004</v>
          </cell>
          <cell r="O195">
            <v>0.22</v>
          </cell>
          <cell r="P195">
            <v>176.71899828000002</v>
          </cell>
          <cell r="Q195">
            <v>626.54917571999999</v>
          </cell>
          <cell r="R195">
            <v>1083.9359999999999</v>
          </cell>
          <cell r="S195">
            <v>0.57803152189797191</v>
          </cell>
        </row>
        <row r="196">
          <cell r="A196" t="str">
            <v xml:space="preserve"> 2QE</v>
          </cell>
          <cell r="B196">
            <v>2959.1649999999995</v>
          </cell>
          <cell r="C196">
            <v>630.30214499999988</v>
          </cell>
          <cell r="D196">
            <v>2328.8628549999994</v>
          </cell>
          <cell r="E196">
            <v>961.72862499999985</v>
          </cell>
          <cell r="F196">
            <v>579.99633999999992</v>
          </cell>
          <cell r="G196">
            <v>787.13788999999974</v>
          </cell>
          <cell r="H196">
            <v>26</v>
          </cell>
          <cell r="I196">
            <v>0</v>
          </cell>
          <cell r="J196">
            <v>0</v>
          </cell>
          <cell r="K196">
            <v>0</v>
          </cell>
          <cell r="L196">
            <v>25</v>
          </cell>
          <cell r="M196">
            <v>51</v>
          </cell>
          <cell r="N196">
            <v>838.13788999999974</v>
          </cell>
          <cell r="O196">
            <v>0.22</v>
          </cell>
          <cell r="P196">
            <v>184.39033579999995</v>
          </cell>
          <cell r="Q196">
            <v>653.74755419999974</v>
          </cell>
          <cell r="R196">
            <v>1083.9359999999999</v>
          </cell>
          <cell r="S196">
            <v>0.60312375841378074</v>
          </cell>
        </row>
        <row r="197">
          <cell r="A197" t="str">
            <v xml:space="preserve"> 3QE</v>
          </cell>
          <cell r="B197">
            <v>3000.5899999999997</v>
          </cell>
          <cell r="C197">
            <v>639.1256699999999</v>
          </cell>
          <cell r="D197">
            <v>2361.4643299999998</v>
          </cell>
          <cell r="E197">
            <v>933.18348999999989</v>
          </cell>
          <cell r="F197">
            <v>582.11446000000001</v>
          </cell>
          <cell r="G197">
            <v>846.16637999999989</v>
          </cell>
          <cell r="H197">
            <v>27</v>
          </cell>
          <cell r="I197">
            <v>0</v>
          </cell>
          <cell r="J197">
            <v>0</v>
          </cell>
          <cell r="K197">
            <v>5</v>
          </cell>
          <cell r="L197">
            <v>25</v>
          </cell>
          <cell r="M197">
            <v>57</v>
          </cell>
          <cell r="N197">
            <v>903.16637999999989</v>
          </cell>
          <cell r="O197">
            <v>0.22</v>
          </cell>
          <cell r="P197">
            <v>198.69660359999997</v>
          </cell>
          <cell r="Q197">
            <v>704.46977639999989</v>
          </cell>
          <cell r="R197">
            <v>1083.9359999999999</v>
          </cell>
          <cell r="S197">
            <v>0.6499182390842263</v>
          </cell>
        </row>
        <row r="198">
          <cell r="A198" t="str">
            <v xml:space="preserve"> 4QE</v>
          </cell>
          <cell r="B198">
            <v>3218.2393999999999</v>
          </cell>
          <cell r="C198">
            <v>679.92829019999999</v>
          </cell>
          <cell r="D198">
            <v>2538.3111097999999</v>
          </cell>
          <cell r="E198">
            <v>1016.8689901000002</v>
          </cell>
          <cell r="F198">
            <v>622.04140600000005</v>
          </cell>
          <cell r="G198">
            <v>899.40071369999964</v>
          </cell>
          <cell r="H198">
            <v>27.299999999999997</v>
          </cell>
          <cell r="I198">
            <v>0</v>
          </cell>
          <cell r="J198">
            <v>0</v>
          </cell>
          <cell r="K198">
            <v>8.3057875426463728</v>
          </cell>
          <cell r="L198">
            <v>25</v>
          </cell>
          <cell r="M198">
            <v>60.605787542646368</v>
          </cell>
          <cell r="N198">
            <v>960.00650124264598</v>
          </cell>
          <cell r="O198">
            <v>0.22</v>
          </cell>
          <cell r="P198">
            <v>211.20143027338213</v>
          </cell>
          <cell r="Q198">
            <v>748.80507096926385</v>
          </cell>
          <cell r="R198">
            <v>1083.9359999999999</v>
          </cell>
          <cell r="S198">
            <v>0.69082037220764314</v>
          </cell>
        </row>
        <row r="200">
          <cell r="A200" t="str">
            <v>2003E</v>
          </cell>
          <cell r="B200">
            <v>11956.3454</v>
          </cell>
          <cell r="C200">
            <v>2546.7015701999999</v>
          </cell>
          <cell r="D200">
            <v>9409.6438297999994</v>
          </cell>
          <cell r="E200">
            <v>3784.1833191000001</v>
          </cell>
          <cell r="F200">
            <v>2331.487353</v>
          </cell>
          <cell r="G200">
            <v>3293.9731576999989</v>
          </cell>
          <cell r="H200">
            <v>107.3</v>
          </cell>
          <cell r="I200">
            <v>0</v>
          </cell>
          <cell r="J200">
            <v>0</v>
          </cell>
          <cell r="K200">
            <v>3.3057875426463723</v>
          </cell>
          <cell r="L200">
            <v>100</v>
          </cell>
          <cell r="M200">
            <v>210.60578754264637</v>
          </cell>
          <cell r="N200">
            <v>3504.5789452426452</v>
          </cell>
          <cell r="O200">
            <v>0.22</v>
          </cell>
          <cell r="P200">
            <v>771.00736795338196</v>
          </cell>
          <cell r="Q200">
            <v>2733.5715772892631</v>
          </cell>
          <cell r="R200">
            <v>1083.9359999999999</v>
          </cell>
          <cell r="S200">
            <v>2.5218938916036215</v>
          </cell>
          <cell r="T200">
            <v>0.60272163117595035</v>
          </cell>
          <cell r="U200">
            <v>1.52</v>
          </cell>
          <cell r="V200">
            <v>2.5218938916036215</v>
          </cell>
          <cell r="W200" t="str">
            <v xml:space="preserve">       --</v>
          </cell>
          <cell r="X200">
            <v>2.5218938916036215</v>
          </cell>
        </row>
        <row r="202">
          <cell r="A202" t="str">
            <v xml:space="preserve">2004E/03E </v>
          </cell>
          <cell r="B202">
            <v>0.11164647853013696</v>
          </cell>
          <cell r="C202">
            <v>0.10120848342656764</v>
          </cell>
          <cell r="D202">
            <v>0.11447150134724021</v>
          </cell>
          <cell r="E202">
            <v>9.9353389510056345E-2</v>
          </cell>
          <cell r="F202">
            <v>9.4544225014288677E-2</v>
          </cell>
          <cell r="G202">
            <v>0.14594410127970589</v>
          </cell>
          <cell r="H202" t="str">
            <v>NM</v>
          </cell>
          <cell r="I202" t="str">
            <v>NM</v>
          </cell>
          <cell r="J202" t="str">
            <v>NM</v>
          </cell>
          <cell r="K202" t="str">
            <v>NM</v>
          </cell>
          <cell r="L202">
            <v>-0.30000000000000004</v>
          </cell>
          <cell r="M202" t="str">
            <v>NM</v>
          </cell>
          <cell r="N202">
            <v>0.15994332614347706</v>
          </cell>
          <cell r="O202">
            <v>0</v>
          </cell>
          <cell r="P202">
            <v>0.15994332614347703</v>
          </cell>
          <cell r="Q202">
            <v>0.15994332614347712</v>
          </cell>
          <cell r="R202">
            <v>0</v>
          </cell>
          <cell r="S202">
            <v>0.15994332614347723</v>
          </cell>
          <cell r="U202">
            <v>0.10526315789473679</v>
          </cell>
          <cell r="V202">
            <v>0.15994332614347723</v>
          </cell>
          <cell r="W202" t="str">
            <v>NM</v>
          </cell>
          <cell r="X202">
            <v>0.15994332614347723</v>
          </cell>
        </row>
        <row r="203">
          <cell r="A203" t="str">
            <v xml:space="preserve">2005E/04E </v>
          </cell>
          <cell r="B203">
            <v>0.12468073480511163</v>
          </cell>
          <cell r="C203">
            <v>0.10869001345717165</v>
          </cell>
          <cell r="D203">
            <v>0.12895708740893347</v>
          </cell>
          <cell r="E203">
            <v>0.10671458888170739</v>
          </cell>
          <cell r="F203">
            <v>0.11296531048422513</v>
          </cell>
          <cell r="G203">
            <v>0.16428216912923532</v>
          </cell>
          <cell r="H203" t="str">
            <v>NM</v>
          </cell>
          <cell r="I203" t="str">
            <v>NM</v>
          </cell>
          <cell r="J203" t="str">
            <v>NM</v>
          </cell>
          <cell r="K203" t="str">
            <v>NM</v>
          </cell>
          <cell r="L203">
            <v>-0.2857142857142857</v>
          </cell>
          <cell r="M203" t="str">
            <v>NM</v>
          </cell>
          <cell r="N203">
            <v>0.16630573498800549</v>
          </cell>
          <cell r="O203">
            <v>0</v>
          </cell>
          <cell r="P203">
            <v>0.16630573498800538</v>
          </cell>
          <cell r="Q203">
            <v>0.16630573498800552</v>
          </cell>
          <cell r="R203">
            <v>0</v>
          </cell>
          <cell r="S203">
            <v>0.16630573498800555</v>
          </cell>
          <cell r="U203">
            <v>0.10714285714285725</v>
          </cell>
          <cell r="V203">
            <v>0.16630573498800555</v>
          </cell>
          <cell r="W203" t="str">
            <v>NM</v>
          </cell>
          <cell r="X203">
            <v>0.16630573498800555</v>
          </cell>
        </row>
        <row r="204">
          <cell r="A204" t="str">
            <v>2006/05E</v>
          </cell>
          <cell r="B204">
            <v>9.2822572858335825E-2</v>
          </cell>
          <cell r="C204">
            <v>8.2314663503928673E-2</v>
          </cell>
          <cell r="D204">
            <v>9.5582225820099273E-2</v>
          </cell>
          <cell r="E204">
            <v>7.5081946675570582E-2</v>
          </cell>
          <cell r="F204">
            <v>6.6939932974848862E-2</v>
          </cell>
          <cell r="G204">
            <v>0.1355690340415702</v>
          </cell>
          <cell r="H204" t="str">
            <v>NM</v>
          </cell>
          <cell r="I204" t="str">
            <v>NM</v>
          </cell>
          <cell r="J204" t="str">
            <v>NM</v>
          </cell>
          <cell r="K204" t="str">
            <v>NM</v>
          </cell>
          <cell r="L204">
            <v>0</v>
          </cell>
          <cell r="M204" t="str">
            <v>NM</v>
          </cell>
          <cell r="N204">
            <v>0.14137121405095526</v>
          </cell>
          <cell r="O204">
            <v>0</v>
          </cell>
          <cell r="P204">
            <v>0.14137121405095535</v>
          </cell>
          <cell r="Q204">
            <v>0.14137121405095515</v>
          </cell>
          <cell r="R204">
            <v>0</v>
          </cell>
          <cell r="S204">
            <v>0.14137121405095512</v>
          </cell>
          <cell r="U204">
            <v>0.11</v>
          </cell>
          <cell r="V204">
            <v>0.14137121405095512</v>
          </cell>
          <cell r="W204" t="str">
            <v>NM</v>
          </cell>
          <cell r="X204">
            <v>0.14137121405095512</v>
          </cell>
        </row>
        <row r="205">
          <cell r="A205" t="str">
            <v>2006/05E</v>
          </cell>
          <cell r="B205">
            <v>9.5139825497598154E-2</v>
          </cell>
          <cell r="C205">
            <v>8.4507400007330188E-2</v>
          </cell>
          <cell r="D205">
            <v>9.7898364100866789E-2</v>
          </cell>
          <cell r="E205">
            <v>9.3332664069384355E-2</v>
          </cell>
          <cell r="F205">
            <v>9.2187966129680193E-2</v>
          </cell>
          <cell r="G205">
            <v>0.10589406273652731</v>
          </cell>
          <cell r="H205" t="str">
            <v>NM</v>
          </cell>
          <cell r="I205" t="str">
            <v>NM</v>
          </cell>
          <cell r="J205" t="str">
            <v>NM</v>
          </cell>
          <cell r="K205" t="str">
            <v>NM</v>
          </cell>
          <cell r="L205">
            <v>0</v>
          </cell>
          <cell r="M205" t="str">
            <v>NM</v>
          </cell>
          <cell r="N205">
            <v>0.10305561510623458</v>
          </cell>
          <cell r="O205">
            <v>0</v>
          </cell>
          <cell r="P205">
            <v>0.10305561510623457</v>
          </cell>
          <cell r="Q205">
            <v>0.10305561510623464</v>
          </cell>
          <cell r="R205">
            <v>0</v>
          </cell>
          <cell r="S205">
            <v>0.10305561510623455</v>
          </cell>
          <cell r="U205">
            <v>0.11</v>
          </cell>
          <cell r="V205">
            <v>0.10305561510623455</v>
          </cell>
          <cell r="W205" t="str">
            <v>NM</v>
          </cell>
          <cell r="X205">
            <v>0.10305561510623455</v>
          </cell>
        </row>
        <row r="207">
          <cell r="A207" t="str">
            <v>2001E</v>
          </cell>
          <cell r="B207">
            <v>11542.4</v>
          </cell>
          <cell r="C207">
            <v>2160.1999999999998</v>
          </cell>
          <cell r="D207">
            <v>9382.2000000000007</v>
          </cell>
          <cell r="E207">
            <v>3417.3999999999996</v>
          </cell>
          <cell r="F207">
            <v>2235.1</v>
          </cell>
          <cell r="G207">
            <v>3729.7000000000003</v>
          </cell>
          <cell r="H207">
            <v>135.4</v>
          </cell>
          <cell r="I207">
            <v>0</v>
          </cell>
          <cell r="J207">
            <v>0</v>
          </cell>
          <cell r="L207">
            <v>-1.2000000000000011</v>
          </cell>
          <cell r="M207">
            <v>134.19999999999999</v>
          </cell>
          <cell r="N207">
            <v>3863.9</v>
          </cell>
          <cell r="O207">
            <v>0.22001086984652812</v>
          </cell>
          <cell r="P207">
            <v>850.1</v>
          </cell>
          <cell r="Q207">
            <v>3013.8999999999996</v>
          </cell>
          <cell r="R207">
            <v>1090.7929999999999</v>
          </cell>
          <cell r="S207">
            <v>2.7617073161336161</v>
          </cell>
          <cell r="U207">
            <v>1.2</v>
          </cell>
          <cell r="V207">
            <v>2.7617073161336161</v>
          </cell>
          <cell r="W207" t="str">
            <v xml:space="preserve">       --</v>
          </cell>
          <cell r="X207">
            <v>2.7617073161336161</v>
          </cell>
        </row>
        <row r="208">
          <cell r="A208" t="str">
            <v>2004E</v>
          </cell>
          <cell r="B208">
            <v>13291.229260000002</v>
          </cell>
          <cell r="C208">
            <v>2804.4493738600004</v>
          </cell>
          <cell r="D208">
            <v>10486.779886140001</v>
          </cell>
          <cell r="E208">
            <v>4160.1547583800002</v>
          </cell>
          <cell r="F208">
            <v>2551.9160179200003</v>
          </cell>
          <cell r="G208">
            <v>3774.7091098400001</v>
          </cell>
          <cell r="H208">
            <v>100</v>
          </cell>
          <cell r="I208">
            <v>0</v>
          </cell>
          <cell r="J208">
            <v>0</v>
          </cell>
          <cell r="K208">
            <v>120.40384863715227</v>
          </cell>
          <cell r="L208">
            <v>70</v>
          </cell>
          <cell r="M208">
            <v>290.40384863715224</v>
          </cell>
          <cell r="N208">
            <v>4065.1129584771525</v>
          </cell>
          <cell r="O208">
            <v>0.22</v>
          </cell>
          <cell r="P208">
            <v>894.32485086497354</v>
          </cell>
          <cell r="Q208">
            <v>3170.7881076121789</v>
          </cell>
          <cell r="R208">
            <v>1083.9359999999999</v>
          </cell>
          <cell r="S208">
            <v>2.9252539888076226</v>
          </cell>
          <cell r="T208">
            <v>0.57430910492828458</v>
          </cell>
          <cell r="U208">
            <v>1.68</v>
          </cell>
          <cell r="V208">
            <v>2.9252539888076226</v>
          </cell>
          <cell r="W208" t="str">
            <v xml:space="preserve">       --</v>
          </cell>
          <cell r="X208">
            <v>2.9252539888076226</v>
          </cell>
        </row>
        <row r="209">
          <cell r="A209" t="str">
            <v>2005E</v>
          </cell>
          <cell r="B209">
            <v>14948.389490600002</v>
          </cell>
          <cell r="C209">
            <v>3109.2650140448004</v>
          </cell>
          <cell r="D209">
            <v>11839.124476555202</v>
          </cell>
          <cell r="E209">
            <v>4604.1039631048006</v>
          </cell>
          <cell r="F209">
            <v>2840.1940032140005</v>
          </cell>
          <cell r="G209">
            <v>4394.8265102364003</v>
          </cell>
          <cell r="H209">
            <v>100</v>
          </cell>
          <cell r="I209">
            <v>0</v>
          </cell>
          <cell r="J209">
            <v>0</v>
          </cell>
          <cell r="K209">
            <v>196.33804660956059</v>
          </cell>
          <cell r="L209">
            <v>50</v>
          </cell>
          <cell r="M209">
            <v>346.33804660956059</v>
          </cell>
          <cell r="N209">
            <v>4741.1645568459608</v>
          </cell>
          <cell r="O209">
            <v>0.22</v>
          </cell>
          <cell r="P209">
            <v>1043.0562025061113</v>
          </cell>
          <cell r="Q209">
            <v>3698.1083543398495</v>
          </cell>
          <cell r="R209">
            <v>1083.9359999999999</v>
          </cell>
          <cell r="S209">
            <v>3.4117405034428692</v>
          </cell>
          <cell r="T209">
            <v>0.54517628117467598</v>
          </cell>
          <cell r="U209">
            <v>1.86</v>
          </cell>
          <cell r="V209">
            <v>3.4117405034428692</v>
          </cell>
          <cell r="W209" t="str">
            <v xml:space="preserve">       --</v>
          </cell>
          <cell r="X209">
            <v>3.4117405034428692</v>
          </cell>
        </row>
        <row r="210">
          <cell r="A210" t="str">
            <v>2006E</v>
          </cell>
          <cell r="B210">
            <v>16335.937463206003</v>
          </cell>
          <cell r="C210">
            <v>3365.2031174204362</v>
          </cell>
          <cell r="D210">
            <v>12970.734345785566</v>
          </cell>
          <cell r="E210">
            <v>4949.7890513514185</v>
          </cell>
          <cell r="F210">
            <v>3030.3163994247134</v>
          </cell>
          <cell r="G210">
            <v>4990.628895009434</v>
          </cell>
          <cell r="H210">
            <v>100</v>
          </cell>
          <cell r="I210">
            <v>0</v>
          </cell>
          <cell r="J210">
            <v>0</v>
          </cell>
          <cell r="K210">
            <v>270.79985125319928</v>
          </cell>
          <cell r="L210">
            <v>50</v>
          </cell>
          <cell r="M210">
            <v>420.79985125319928</v>
          </cell>
          <cell r="N210">
            <v>5411.4287462626335</v>
          </cell>
          <cell r="O210">
            <v>0.22</v>
          </cell>
          <cell r="P210">
            <v>1190.5143241777794</v>
          </cell>
          <cell r="Q210">
            <v>4220.9144220848539</v>
          </cell>
          <cell r="R210">
            <v>1083.9359999999999</v>
          </cell>
          <cell r="S210">
            <v>3.8940624004414044</v>
          </cell>
          <cell r="T210">
            <v>0.53019181196633403</v>
          </cell>
          <cell r="U210">
            <v>2.0646000000000004</v>
          </cell>
          <cell r="V210">
            <v>3.8940624004414044</v>
          </cell>
          <cell r="W210" t="str">
            <v xml:space="preserve">       --</v>
          </cell>
          <cell r="X210">
            <v>3.8940624004414044</v>
          </cell>
        </row>
        <row r="211">
          <cell r="A211" t="str">
            <v>2007E</v>
          </cell>
          <cell r="B211">
            <v>17890.135702795098</v>
          </cell>
          <cell r="C211">
            <v>3649.5876833701996</v>
          </cell>
          <cell r="D211">
            <v>14240.548019424899</v>
          </cell>
          <cell r="E211">
            <v>5411.7660500955171</v>
          </cell>
          <cell r="F211">
            <v>3309.6751050170933</v>
          </cell>
          <cell r="G211">
            <v>5519.106864312289</v>
          </cell>
          <cell r="H211">
            <v>100</v>
          </cell>
          <cell r="I211">
            <v>0</v>
          </cell>
          <cell r="J211">
            <v>0</v>
          </cell>
          <cell r="K211">
            <v>300</v>
          </cell>
          <cell r="L211">
            <v>50</v>
          </cell>
          <cell r="M211">
            <v>450</v>
          </cell>
          <cell r="N211">
            <v>5969.106864312289</v>
          </cell>
          <cell r="O211">
            <v>0.22</v>
          </cell>
          <cell r="P211">
            <v>1313.2035101487036</v>
          </cell>
          <cell r="Q211">
            <v>4655.9033541635854</v>
          </cell>
          <cell r="R211">
            <v>1083.9359999999999</v>
          </cell>
          <cell r="S211">
            <v>4.2953673963809536</v>
          </cell>
          <cell r="T211">
            <v>0.53352968175222193</v>
          </cell>
          <cell r="U211">
            <v>2.2917060000000005</v>
          </cell>
          <cell r="V211">
            <v>4.2953673963809536</v>
          </cell>
          <cell r="W211" t="str">
            <v xml:space="preserve">       --</v>
          </cell>
          <cell r="X211">
            <v>4.2953673963809536</v>
          </cell>
        </row>
        <row r="213">
          <cell r="A213" t="str">
            <v>See footnotes on Quarterly Margin Analysis table.</v>
          </cell>
        </row>
        <row r="214">
          <cell r="A214" t="str">
            <v xml:space="preserve">E = Morgan Stanley Research Estimates       A = Actual       NM = Not Meaningful         </v>
          </cell>
        </row>
      </sheetData>
      <sheetData sheetId="8" refreshError="1">
        <row r="1">
          <cell r="A1" t="str">
            <v>Table 4</v>
          </cell>
        </row>
        <row r="2">
          <cell r="A2" t="str">
            <v>Eli Lilly</v>
          </cell>
        </row>
        <row r="3">
          <cell r="A3" t="str">
            <v>Quarterly Margin Analysis, 2000-2007E</v>
          </cell>
        </row>
        <row r="4">
          <cell r="H4" t="str">
            <v>Non-Operating Items</v>
          </cell>
        </row>
        <row r="5">
          <cell r="D5" t="str">
            <v xml:space="preserve">  Gross</v>
          </cell>
          <cell r="G5" t="str">
            <v xml:space="preserve">  Oper</v>
          </cell>
          <cell r="H5" t="str">
            <v xml:space="preserve">  Net Int</v>
          </cell>
          <cell r="I5" t="str">
            <v xml:space="preserve">   Dow</v>
          </cell>
          <cell r="J5" t="str">
            <v>PCS</v>
          </cell>
          <cell r="K5" t="str">
            <v>Actos</v>
          </cell>
          <cell r="N5" t="str">
            <v xml:space="preserve"> Pretax</v>
          </cell>
          <cell r="O5" t="str">
            <v>Net</v>
          </cell>
        </row>
        <row r="6">
          <cell r="B6" t="str">
            <v xml:space="preserve">  Sales</v>
          </cell>
          <cell r="C6" t="str">
            <v xml:space="preserve">   COGS</v>
          </cell>
          <cell r="D6" t="str">
            <v xml:space="preserve">  Margin</v>
          </cell>
          <cell r="E6" t="str">
            <v xml:space="preserve">   SG&amp;A</v>
          </cell>
          <cell r="F6" t="str">
            <v xml:space="preserve">   R&amp;D</v>
          </cell>
          <cell r="G6" t="str">
            <v xml:space="preserve"> Income</v>
          </cell>
          <cell r="H6" t="str">
            <v>Inc.</v>
          </cell>
          <cell r="I6" t="str">
            <v xml:space="preserve">  Elanco</v>
          </cell>
          <cell r="J6" t="str">
            <v>Goodwill</v>
          </cell>
          <cell r="K6" t="str">
            <v>Revs (a)</v>
          </cell>
          <cell r="L6" t="str">
            <v xml:space="preserve">  Other</v>
          </cell>
          <cell r="M6" t="str">
            <v xml:space="preserve">  Total</v>
          </cell>
          <cell r="N6" t="str">
            <v xml:space="preserve"> Income</v>
          </cell>
          <cell r="O6" t="str">
            <v>Income</v>
          </cell>
        </row>
        <row r="8">
          <cell r="A8">
            <v>1994</v>
          </cell>
        </row>
        <row r="9">
          <cell r="A9" t="str">
            <v xml:space="preserve"> 1Q (a)</v>
          </cell>
          <cell r="B9">
            <v>1</v>
          </cell>
          <cell r="C9">
            <v>0.29187991750057296</v>
          </cell>
          <cell r="D9">
            <v>0.70812008249942704</v>
          </cell>
          <cell r="E9">
            <v>0.21388740355969751</v>
          </cell>
          <cell r="F9">
            <v>0.13543655946833705</v>
          </cell>
          <cell r="G9">
            <v>0.35879611947139251</v>
          </cell>
          <cell r="H9">
            <v>-2.7499809029103966E-3</v>
          </cell>
          <cell r="I9">
            <v>2.7499809029103966E-2</v>
          </cell>
          <cell r="J9" t="str">
            <v>NM</v>
          </cell>
          <cell r="K9" t="str">
            <v>NM</v>
          </cell>
          <cell r="L9">
            <v>-1.0159651669085633E-2</v>
          </cell>
          <cell r="M9">
            <v>1.4590176457107936E-2</v>
          </cell>
          <cell r="N9">
            <v>0.37338629592850042</v>
          </cell>
          <cell r="O9">
            <v>0.25576961271102278</v>
          </cell>
        </row>
        <row r="10">
          <cell r="A10" t="str">
            <v xml:space="preserve"> 2Q (b)</v>
          </cell>
          <cell r="B10">
            <v>1</v>
          </cell>
          <cell r="C10">
            <v>0.28645678645678646</v>
          </cell>
          <cell r="D10">
            <v>0.71354321354321359</v>
          </cell>
          <cell r="E10">
            <v>0.24547074547074549</v>
          </cell>
          <cell r="F10">
            <v>0.15013365013365013</v>
          </cell>
          <cell r="G10">
            <v>0.31793881793881795</v>
          </cell>
          <cell r="H10">
            <v>-8.9100089100089055E-4</v>
          </cell>
          <cell r="I10">
            <v>3.2298782298782303E-2</v>
          </cell>
          <cell r="J10" t="str">
            <v>NM</v>
          </cell>
          <cell r="K10" t="str">
            <v>NM</v>
          </cell>
          <cell r="L10">
            <v>0</v>
          </cell>
          <cell r="M10">
            <v>3.1407781407781409E-2</v>
          </cell>
          <cell r="N10">
            <v>0.34934659934659934</v>
          </cell>
          <cell r="O10">
            <v>0.24209719334719337</v>
          </cell>
        </row>
        <row r="11">
          <cell r="A11" t="str">
            <v xml:space="preserve"> 3Q (c)</v>
          </cell>
          <cell r="B11">
            <v>1</v>
          </cell>
          <cell r="C11">
            <v>0.29947588403104891</v>
          </cell>
          <cell r="D11">
            <v>0.70052411596895103</v>
          </cell>
          <cell r="E11">
            <v>0.23956743846613152</v>
          </cell>
          <cell r="F11">
            <v>0.14516022026139455</v>
          </cell>
          <cell r="G11">
            <v>0.31579645724142502</v>
          </cell>
          <cell r="H11">
            <v>1.2605320772241747E-3</v>
          </cell>
          <cell r="I11">
            <v>1.3268758707622903E-3</v>
          </cell>
          <cell r="J11" t="str">
            <v>NM</v>
          </cell>
          <cell r="K11" t="str">
            <v>NM</v>
          </cell>
          <cell r="L11">
            <v>3.5162210575200689E-3</v>
          </cell>
          <cell r="M11">
            <v>6.1036290055065346E-3</v>
          </cell>
          <cell r="N11">
            <v>0.32190008624693162</v>
          </cell>
          <cell r="O11">
            <v>0.22307675976912361</v>
          </cell>
        </row>
        <row r="12">
          <cell r="A12" t="str">
            <v xml:space="preserve"> 4Q </v>
          </cell>
          <cell r="B12">
            <v>1</v>
          </cell>
          <cell r="C12">
            <v>0.29733918884009297</v>
          </cell>
          <cell r="D12">
            <v>0.70266081115990708</v>
          </cell>
          <cell r="E12">
            <v>0.27551020408163263</v>
          </cell>
          <cell r="F12">
            <v>0.15525703952467063</v>
          </cell>
          <cell r="G12">
            <v>0.27189356755360383</v>
          </cell>
          <cell r="H12">
            <v>-2.2151898734177212E-2</v>
          </cell>
          <cell r="I12">
            <v>-3.874967708602428E-3</v>
          </cell>
          <cell r="J12">
            <v>-7.2332730560578651E-3</v>
          </cell>
          <cell r="K12" t="e">
            <v>#NULL!</v>
          </cell>
          <cell r="L12">
            <v>5.8124515629036418E-3</v>
          </cell>
          <cell r="M12">
            <v>-2.7447687935933867E-2</v>
          </cell>
          <cell r="N12">
            <v>0.24444587961766984</v>
          </cell>
          <cell r="O12">
            <v>0.17404546628778095</v>
          </cell>
        </row>
        <row r="14">
          <cell r="A14">
            <v>1993</v>
          </cell>
        </row>
        <row r="15">
          <cell r="A15" t="str">
            <v xml:space="preserve"> 1Q </v>
          </cell>
          <cell r="B15">
            <v>1</v>
          </cell>
          <cell r="C15">
            <v>0.25624261520283576</v>
          </cell>
          <cell r="D15">
            <v>0.74375738479716424</v>
          </cell>
          <cell r="E15">
            <v>0.23300512012603389</v>
          </cell>
          <cell r="F15">
            <v>0.13367467506892478</v>
          </cell>
          <cell r="G15">
            <v>0.37707758960220555</v>
          </cell>
          <cell r="H15">
            <v>-3.7022449783379284E-3</v>
          </cell>
          <cell r="I15">
            <v>2.520677432059866E-2</v>
          </cell>
          <cell r="J15" t="str">
            <v>NM</v>
          </cell>
          <cell r="K15" t="str">
            <v>NM</v>
          </cell>
          <cell r="L15">
            <v>-6.301693580149665E-3</v>
          </cell>
          <cell r="M15">
            <v>1.5202835762111068E-2</v>
          </cell>
          <cell r="N15">
            <v>0.39228042536431668</v>
          </cell>
          <cell r="O15">
            <v>0.26916108704214259</v>
          </cell>
        </row>
        <row r="16">
          <cell r="A16" t="str">
            <v xml:space="preserve"> 2Q</v>
          </cell>
          <cell r="B16">
            <v>1</v>
          </cell>
          <cell r="C16">
            <v>0.27706422018348625</v>
          </cell>
          <cell r="D16">
            <v>0.72293577981651369</v>
          </cell>
          <cell r="E16">
            <v>0.24898284802552853</v>
          </cell>
          <cell r="F16">
            <v>0.14567211806940566</v>
          </cell>
          <cell r="G16">
            <v>0.32828081372157952</v>
          </cell>
          <cell r="H16">
            <v>-4.3877143996808934E-3</v>
          </cell>
          <cell r="I16">
            <v>2.3932987634623055E-2</v>
          </cell>
          <cell r="J16" t="str">
            <v>NM</v>
          </cell>
          <cell r="K16" t="str">
            <v>NM</v>
          </cell>
          <cell r="L16">
            <v>7.9776625448743522E-3</v>
          </cell>
          <cell r="M16">
            <v>2.7522935779816515E-2</v>
          </cell>
          <cell r="N16">
            <v>0.35580374950139609</v>
          </cell>
          <cell r="O16">
            <v>0.24004786597526923</v>
          </cell>
        </row>
        <row r="17">
          <cell r="A17" t="str">
            <v xml:space="preserve"> 3Q</v>
          </cell>
          <cell r="B17">
            <v>1</v>
          </cell>
          <cell r="C17">
            <v>0.27823374917925148</v>
          </cell>
          <cell r="D17">
            <v>0.72176625082074852</v>
          </cell>
          <cell r="E17">
            <v>0.26715364412344056</v>
          </cell>
          <cell r="F17">
            <v>0.14937623112278398</v>
          </cell>
          <cell r="G17">
            <v>0.30523637557452399</v>
          </cell>
          <cell r="H17">
            <v>-3.2829940906106366E-3</v>
          </cell>
          <cell r="I17">
            <v>2.4622455679579776E-3</v>
          </cell>
          <cell r="J17" t="str">
            <v>NM</v>
          </cell>
          <cell r="K17" t="str">
            <v>NM</v>
          </cell>
          <cell r="L17">
            <v>-3.6112934996717005E-3</v>
          </cell>
          <cell r="M17">
            <v>-4.43204202232436E-3</v>
          </cell>
          <cell r="N17">
            <v>0.3008043335521996</v>
          </cell>
          <cell r="O17">
            <v>0.19968811556139199</v>
          </cell>
        </row>
        <row r="18">
          <cell r="A18" t="str">
            <v xml:space="preserve"> 4Q</v>
          </cell>
          <cell r="B18">
            <v>1</v>
          </cell>
          <cell r="C18">
            <v>0.29949900487269232</v>
          </cell>
          <cell r="D18">
            <v>0.70050099512730768</v>
          </cell>
          <cell r="E18">
            <v>0.27390021275135545</v>
          </cell>
          <cell r="F18">
            <v>0.15139660970420699</v>
          </cell>
          <cell r="G18">
            <v>0.27520417267174524</v>
          </cell>
          <cell r="H18">
            <v>-4.1177681696520484E-3</v>
          </cell>
          <cell r="I18">
            <v>-6.8629469494200818E-4</v>
          </cell>
          <cell r="J18" t="str">
            <v>NM</v>
          </cell>
          <cell r="K18" t="str">
            <v>NM</v>
          </cell>
          <cell r="L18">
            <v>-6.1766522544780735E-3</v>
          </cell>
          <cell r="M18">
            <v>-1.0980715119072131E-2</v>
          </cell>
          <cell r="N18">
            <v>0.26422345755267312</v>
          </cell>
          <cell r="O18">
            <v>0.17335803994235124</v>
          </cell>
        </row>
        <row r="20">
          <cell r="A20" t="str">
            <v>1993</v>
          </cell>
          <cell r="B20">
            <v>1</v>
          </cell>
          <cell r="C20">
            <v>0.27854188708281236</v>
          </cell>
          <cell r="D20">
            <v>0.72145811291718764</v>
          </cell>
          <cell r="E20">
            <v>0.25632393959796096</v>
          </cell>
          <cell r="F20">
            <v>0.14521496585553526</v>
          </cell>
          <cell r="G20">
            <v>0.3199192074636914</v>
          </cell>
          <cell r="H20">
            <v>-3.885736270077907E-3</v>
          </cell>
          <cell r="I20">
            <v>1.2311243627969606E-2</v>
          </cell>
          <cell r="J20" t="str">
            <v>NM</v>
          </cell>
          <cell r="K20" t="str">
            <v>NM</v>
          </cell>
          <cell r="L20">
            <v>-2.1929402712320863E-3</v>
          </cell>
          <cell r="M20">
            <v>6.2325670866596131E-3</v>
          </cell>
          <cell r="N20">
            <v>0.32615177455035105</v>
          </cell>
          <cell r="O20">
            <v>0.21900548235067807</v>
          </cell>
        </row>
        <row r="22">
          <cell r="A22" t="str">
            <v>1994</v>
          </cell>
          <cell r="B22">
            <v>1</v>
          </cell>
          <cell r="C22">
            <v>0.29408572028853563</v>
          </cell>
          <cell r="D22">
            <v>0.70591427971146437</v>
          </cell>
          <cell r="E22">
            <v>0.24481756425519996</v>
          </cell>
          <cell r="F22">
            <v>0.14684151551229074</v>
          </cell>
          <cell r="G22">
            <v>0.31425519994397361</v>
          </cell>
          <cell r="H22">
            <v>-6.5130611387352044E-3</v>
          </cell>
          <cell r="I22">
            <v>1.3218712795013656E-2</v>
          </cell>
          <cell r="J22">
            <v>-1.9609216331675887E-3</v>
          </cell>
          <cell r="K22" t="e">
            <v>#NULL!</v>
          </cell>
          <cell r="L22">
            <v>1.7508228867567756E-4</v>
          </cell>
          <cell r="M22">
            <v>4.9198123117865384E-3</v>
          </cell>
          <cell r="N22">
            <v>0.31917501225576017</v>
          </cell>
          <cell r="O22">
            <v>0.22176274599061555</v>
          </cell>
        </row>
        <row r="24">
          <cell r="A24">
            <v>1995</v>
          </cell>
        </row>
        <row r="25">
          <cell r="A25" t="str">
            <v xml:space="preserve"> 1Q</v>
          </cell>
          <cell r="B25">
            <v>1</v>
          </cell>
          <cell r="C25">
            <v>0.29843358760845512</v>
          </cell>
          <cell r="D25">
            <v>0.70156641239154482</v>
          </cell>
          <cell r="E25">
            <v>0.23711640365690329</v>
          </cell>
          <cell r="F25">
            <v>0.13783264426716357</v>
          </cell>
          <cell r="G25">
            <v>0.32661736446747797</v>
          </cell>
          <cell r="H25">
            <v>-3.0454783672043326E-2</v>
          </cell>
          <cell r="I25">
            <v>2.0380830373260352E-2</v>
          </cell>
          <cell r="J25">
            <v>-1.455773598090025E-2</v>
          </cell>
          <cell r="K25" t="e">
            <v>#NULL!</v>
          </cell>
          <cell r="L25">
            <v>5.2407849531240901E-3</v>
          </cell>
          <cell r="M25">
            <v>-1.9390904326559138E-2</v>
          </cell>
          <cell r="N25">
            <v>0.30722646014091887</v>
          </cell>
          <cell r="O25">
            <v>0.21807488499388569</v>
          </cell>
        </row>
        <row r="26">
          <cell r="A26" t="str">
            <v xml:space="preserve"> 2Q</v>
          </cell>
          <cell r="B26">
            <v>1</v>
          </cell>
          <cell r="C26">
            <v>0.28449343571959373</v>
          </cell>
          <cell r="D26">
            <v>0.71550656428040627</v>
          </cell>
          <cell r="E26">
            <v>0.27018825860787715</v>
          </cell>
          <cell r="F26">
            <v>0.1613202873420857</v>
          </cell>
          <cell r="G26">
            <v>0.28399801833044347</v>
          </cell>
          <cell r="H26">
            <v>-3.2325984642060941E-2</v>
          </cell>
          <cell r="I26">
            <v>2.4770869457517958E-2</v>
          </cell>
          <cell r="J26">
            <v>-1.5481793410948725E-2</v>
          </cell>
          <cell r="K26" t="e">
            <v>#NULL!</v>
          </cell>
          <cell r="L26">
            <v>9.2890760465692349E-3</v>
          </cell>
          <cell r="M26">
            <v>-1.374783254892247E-2</v>
          </cell>
          <cell r="N26">
            <v>0.27025018578152105</v>
          </cell>
          <cell r="O26">
            <v>0.19178845677483289</v>
          </cell>
        </row>
        <row r="27">
          <cell r="A27" t="str">
            <v xml:space="preserve"> 3Q</v>
          </cell>
          <cell r="B27">
            <v>1</v>
          </cell>
          <cell r="C27">
            <v>0.25735294117647056</v>
          </cell>
          <cell r="D27">
            <v>0.74264705882352944</v>
          </cell>
          <cell r="E27">
            <v>0.27205882352941174</v>
          </cell>
          <cell r="F27">
            <v>0.15992647058823528</v>
          </cell>
          <cell r="G27">
            <v>0.31066176470588236</v>
          </cell>
          <cell r="H27">
            <v>-3.1924019607843135E-2</v>
          </cell>
          <cell r="I27">
            <v>0</v>
          </cell>
          <cell r="J27">
            <v>-1.5318627450980392E-2</v>
          </cell>
          <cell r="K27" t="e">
            <v>#NULL!</v>
          </cell>
          <cell r="L27">
            <v>4.2892156862745102E-3</v>
          </cell>
          <cell r="M27">
            <v>-4.2953431372549013E-2</v>
          </cell>
          <cell r="N27">
            <v>0.26770833333333333</v>
          </cell>
          <cell r="O27">
            <v>0.18988970588235293</v>
          </cell>
        </row>
        <row r="28">
          <cell r="A28" t="str">
            <v xml:space="preserve"> 4Q</v>
          </cell>
          <cell r="B28">
            <v>1</v>
          </cell>
          <cell r="C28">
            <v>0.27453050338926549</v>
          </cell>
          <cell r="D28">
            <v>0.72546949661073445</v>
          </cell>
          <cell r="E28">
            <v>0.31470163351483499</v>
          </cell>
          <cell r="F28">
            <v>0.1580731192354706</v>
          </cell>
          <cell r="G28">
            <v>0.25269474386042884</v>
          </cell>
          <cell r="H28">
            <v>-2.8003111456828537E-2</v>
          </cell>
          <cell r="I28">
            <v>0</v>
          </cell>
          <cell r="J28">
            <v>-1.4390487831981331E-2</v>
          </cell>
          <cell r="K28" t="e">
            <v>#NULL!</v>
          </cell>
          <cell r="L28">
            <v>-8.1120124458273143E-3</v>
          </cell>
          <cell r="M28">
            <v>-5.0505611734637176E-2</v>
          </cell>
          <cell r="N28">
            <v>0.20218913212579168</v>
          </cell>
          <cell r="O28">
            <v>0.17301922435826195</v>
          </cell>
        </row>
        <row r="30">
          <cell r="A30" t="str">
            <v>Year</v>
          </cell>
          <cell r="B30">
            <v>1</v>
          </cell>
          <cell r="C30">
            <v>0.27883321752243528</v>
          </cell>
          <cell r="D30">
            <v>0.72116678247756472</v>
          </cell>
          <cell r="E30">
            <v>0.27408743476396752</v>
          </cell>
          <cell r="F30">
            <v>0.15415662561539939</v>
          </cell>
          <cell r="G30">
            <v>0.2929227220981977</v>
          </cell>
          <cell r="H30">
            <v>-3.0603645825633137E-2</v>
          </cell>
          <cell r="I30">
            <v>1.1088277473055484E-2</v>
          </cell>
          <cell r="J30">
            <v>-1.4917429293750646E-2</v>
          </cell>
          <cell r="K30" t="e">
            <v>#NULL!</v>
          </cell>
          <cell r="L30">
            <v>2.4246366741081326E-3</v>
          </cell>
          <cell r="M30">
            <v>-3.2008160972220166E-2</v>
          </cell>
          <cell r="N30">
            <v>0.26091456112597761</v>
          </cell>
          <cell r="O30">
            <v>0.1930099498809858</v>
          </cell>
        </row>
        <row r="32">
          <cell r="A32">
            <v>1996</v>
          </cell>
        </row>
        <row r="33">
          <cell r="A33" t="str">
            <v xml:space="preserve"> 1Q (b)</v>
          </cell>
          <cell r="B33">
            <v>1</v>
          </cell>
          <cell r="C33">
            <v>0.29047271911624517</v>
          </cell>
          <cell r="D33">
            <v>0.70952728088375483</v>
          </cell>
          <cell r="E33">
            <v>0.25794874670554591</v>
          </cell>
          <cell r="F33">
            <v>0.15476924802332753</v>
          </cell>
          <cell r="G33">
            <v>0.29680928615488139</v>
          </cell>
          <cell r="H33">
            <v>-2.8879044468120903E-2</v>
          </cell>
          <cell r="I33">
            <v>1.8505018785397859E-2</v>
          </cell>
          <cell r="J33">
            <v>-1.4018953625301409E-2</v>
          </cell>
          <cell r="K33" t="e">
            <v>#NULL!</v>
          </cell>
          <cell r="L33">
            <v>6.1683395951326195E-3</v>
          </cell>
          <cell r="M33">
            <v>-1.8224639712891833E-2</v>
          </cell>
          <cell r="N33">
            <v>0.27858464644198955</v>
          </cell>
          <cell r="O33">
            <v>0.20698839230639823</v>
          </cell>
        </row>
        <row r="34">
          <cell r="A34" t="str">
            <v xml:space="preserve"> 2Q (c)</v>
          </cell>
          <cell r="B34">
            <v>1</v>
          </cell>
          <cell r="C34">
            <v>0.29741506212094448</v>
          </cell>
          <cell r="D34">
            <v>0.70258493787905552</v>
          </cell>
          <cell r="E34">
            <v>0.28204675263498796</v>
          </cell>
          <cell r="F34">
            <v>0.16098451392569038</v>
          </cell>
          <cell r="G34">
            <v>0.25955367131837709</v>
          </cell>
          <cell r="H34">
            <v>-2.9617853147264912E-2</v>
          </cell>
          <cell r="I34">
            <v>2.2375316492963551E-2</v>
          </cell>
          <cell r="J34">
            <v>-1.4720602955897074E-2</v>
          </cell>
          <cell r="K34" t="e">
            <v>#NULL!</v>
          </cell>
          <cell r="L34">
            <v>2.6497085320614733E-2</v>
          </cell>
          <cell r="M34">
            <v>4.5339457104163006E-3</v>
          </cell>
          <cell r="N34">
            <v>0.26408761702879341</v>
          </cell>
          <cell r="O34">
            <v>0.19621709945239352</v>
          </cell>
        </row>
        <row r="35">
          <cell r="A35" t="str">
            <v xml:space="preserve"> 3Q (d)</v>
          </cell>
          <cell r="B35">
            <v>1</v>
          </cell>
          <cell r="C35">
            <v>0.27878485503631018</v>
          </cell>
          <cell r="D35">
            <v>0.72121514496368988</v>
          </cell>
          <cell r="E35">
            <v>0.25394977548644604</v>
          </cell>
          <cell r="F35">
            <v>0.16115083984699816</v>
          </cell>
          <cell r="G35">
            <v>0.3061145296302456</v>
          </cell>
          <cell r="H35">
            <v>-2.9159044292920887E-2</v>
          </cell>
          <cell r="I35">
            <v>0</v>
          </cell>
          <cell r="J35">
            <v>-1.3858861355950994E-2</v>
          </cell>
          <cell r="K35" t="e">
            <v>#NULL!</v>
          </cell>
          <cell r="L35">
            <v>5.5435445423803976E-3</v>
          </cell>
          <cell r="M35">
            <v>-3.7474361106491487E-2</v>
          </cell>
          <cell r="N35">
            <v>0.26864016852375411</v>
          </cell>
          <cell r="O35">
            <v>0.1995996452131493</v>
          </cell>
        </row>
        <row r="36">
          <cell r="A36" t="str">
            <v xml:space="preserve"> 4Q</v>
          </cell>
          <cell r="B36">
            <v>1</v>
          </cell>
          <cell r="C36">
            <v>0.28741933918781232</v>
          </cell>
          <cell r="D36">
            <v>0.71258066081218763</v>
          </cell>
          <cell r="E36">
            <v>0.28130609868516809</v>
          </cell>
          <cell r="F36">
            <v>0.16952112949395953</v>
          </cell>
          <cell r="G36">
            <v>0.26175343263305995</v>
          </cell>
          <cell r="H36">
            <v>-2.542331764591723E-2</v>
          </cell>
          <cell r="I36">
            <v>0</v>
          </cell>
          <cell r="J36">
            <v>-1.2129445441754403E-2</v>
          </cell>
          <cell r="K36" t="e">
            <v>#NULL!</v>
          </cell>
          <cell r="L36">
            <v>1.0188734171073698E-2</v>
          </cell>
          <cell r="M36">
            <v>-2.7364028916597938E-2</v>
          </cell>
          <cell r="N36">
            <v>0.23438940371646205</v>
          </cell>
          <cell r="O36">
            <v>0.18111687933627671</v>
          </cell>
        </row>
        <row r="38">
          <cell r="A38" t="str">
            <v>Year</v>
          </cell>
          <cell r="B38">
            <v>1</v>
          </cell>
          <cell r="C38">
            <v>0.28835107396618842</v>
          </cell>
          <cell r="D38">
            <v>0.71164892603381158</v>
          </cell>
          <cell r="E38">
            <v>0.26909046361582228</v>
          </cell>
          <cell r="F38">
            <v>0.1619116325919473</v>
          </cell>
          <cell r="G38">
            <v>0.28064682982604189</v>
          </cell>
          <cell r="H38">
            <v>-2.8149075762937958E-2</v>
          </cell>
          <cell r="I38">
            <v>9.6643345220918508E-3</v>
          </cell>
          <cell r="J38">
            <v>-1.361173876350965E-2</v>
          </cell>
          <cell r="K38" t="e">
            <v>#NULL!</v>
          </cell>
          <cell r="L38">
            <v>1.1842212724253396E-2</v>
          </cell>
          <cell r="M38">
            <v>-2.0254267280102361E-2</v>
          </cell>
          <cell r="N38">
            <v>0.26039256254593957</v>
          </cell>
          <cell r="O38">
            <v>0.1954258704706939</v>
          </cell>
        </row>
        <row r="40">
          <cell r="A40">
            <v>1997</v>
          </cell>
        </row>
        <row r="41">
          <cell r="A41" t="str">
            <v xml:space="preserve"> 1Q (a)</v>
          </cell>
          <cell r="B41">
            <v>1</v>
          </cell>
          <cell r="C41">
            <v>0.27716333845366103</v>
          </cell>
          <cell r="D41">
            <v>0.72283666154633897</v>
          </cell>
          <cell r="E41">
            <v>0.2415258576548899</v>
          </cell>
          <cell r="F41">
            <v>0.15422427035330261</v>
          </cell>
          <cell r="G41">
            <v>0.32708653353814643</v>
          </cell>
          <cell r="H41">
            <v>-2.3502304147465441E-2</v>
          </cell>
          <cell r="I41">
            <v>1.0752688172043012E-2</v>
          </cell>
          <cell r="J41">
            <v>-1.2800819252432157E-2</v>
          </cell>
          <cell r="K41" t="e">
            <v>#NULL!</v>
          </cell>
          <cell r="L41">
            <v>6.0419866871479775E-3</v>
          </cell>
          <cell r="M41">
            <v>-1.9508448540706609E-2</v>
          </cell>
          <cell r="N41">
            <v>0.30757808499743983</v>
          </cell>
          <cell r="O41">
            <v>0.23067076292882741</v>
          </cell>
        </row>
        <row r="42">
          <cell r="A42" t="str">
            <v xml:space="preserve"> 2Q (b)</v>
          </cell>
          <cell r="B42">
            <v>1</v>
          </cell>
          <cell r="C42">
            <v>0.27595916930658215</v>
          </cell>
          <cell r="D42">
            <v>0.72404083069341785</v>
          </cell>
          <cell r="E42">
            <v>0.27771911298838436</v>
          </cell>
          <cell r="F42">
            <v>0.16427817166993514</v>
          </cell>
          <cell r="G42">
            <v>0.28204354603509835</v>
          </cell>
          <cell r="H42">
            <v>-2.2678131442650979E-2</v>
          </cell>
          <cell r="I42">
            <v>1.9107959973852263E-2</v>
          </cell>
          <cell r="J42">
            <v>-1.2571026298587017E-2</v>
          </cell>
          <cell r="K42" t="e">
            <v>#NULL!</v>
          </cell>
          <cell r="L42">
            <v>1.4079549454417459E-2</v>
          </cell>
          <cell r="M42">
            <v>-2.0616483129682712E-3</v>
          </cell>
          <cell r="N42">
            <v>0.27998189772213006</v>
          </cell>
          <cell r="O42">
            <v>0.21003670739679189</v>
          </cell>
        </row>
        <row r="43">
          <cell r="A43" t="str">
            <v xml:space="preserve"> 3Q</v>
          </cell>
          <cell r="B43">
            <v>1</v>
          </cell>
          <cell r="C43">
            <v>0.27211703161890655</v>
          </cell>
          <cell r="D43">
            <v>0.72788296838109345</v>
          </cell>
          <cell r="E43">
            <v>0.27183926670061576</v>
          </cell>
          <cell r="F43">
            <v>0.15990000462941531</v>
          </cell>
          <cell r="G43">
            <v>0.29614369705106242</v>
          </cell>
          <cell r="H43">
            <v>-1.4999305587704273E-2</v>
          </cell>
          <cell r="I43">
            <v>0</v>
          </cell>
          <cell r="J43">
            <v>-3.4720614786352484E-3</v>
          </cell>
          <cell r="K43" t="e">
            <v>#NULL!</v>
          </cell>
          <cell r="L43">
            <v>-5.0923568353316987E-4</v>
          </cell>
          <cell r="M43">
            <v>-1.8980602749872691E-2</v>
          </cell>
          <cell r="N43">
            <v>0.27716309430118974</v>
          </cell>
          <cell r="O43">
            <v>0.20786074718763017</v>
          </cell>
        </row>
        <row r="44">
          <cell r="A44" t="str">
            <v xml:space="preserve"> 4Q</v>
          </cell>
          <cell r="B44">
            <v>1</v>
          </cell>
          <cell r="C44">
            <v>0.28354996274526034</v>
          </cell>
          <cell r="D44">
            <v>0.71645003725473966</v>
          </cell>
          <cell r="E44">
            <v>0.28263929133206389</v>
          </cell>
          <cell r="F44">
            <v>0.16917791207881444</v>
          </cell>
          <cell r="G44">
            <v>0.26463283384386133</v>
          </cell>
          <cell r="H44">
            <v>-8.7341667356569258E-3</v>
          </cell>
          <cell r="I44">
            <v>0</v>
          </cell>
          <cell r="J44">
            <v>-3.1045616358970113E-3</v>
          </cell>
          <cell r="K44" t="e">
            <v>#NULL!</v>
          </cell>
          <cell r="L44">
            <v>-2.8975908601705438E-4</v>
          </cell>
          <cell r="M44">
            <v>-1.212848745757099E-2</v>
          </cell>
          <cell r="N44">
            <v>0.25250434638629032</v>
          </cell>
          <cell r="O44">
            <v>0.18937825978971778</v>
          </cell>
        </row>
        <row r="46">
          <cell r="A46" t="str">
            <v>Year</v>
          </cell>
          <cell r="B46">
            <v>1</v>
          </cell>
          <cell r="C46">
            <v>0.27741382549074856</v>
          </cell>
          <cell r="D46">
            <v>0.72258617450925144</v>
          </cell>
          <cell r="E46">
            <v>0.26932469240161555</v>
          </cell>
          <cell r="F46">
            <v>0.16225227763689304</v>
          </cell>
          <cell r="G46">
            <v>0.29100920447074302</v>
          </cell>
          <cell r="H46">
            <v>-1.6964872734103506E-2</v>
          </cell>
          <cell r="I46">
            <v>6.926833849910774E-3</v>
          </cell>
          <cell r="J46">
            <v>-7.6312576312576328E-3</v>
          </cell>
          <cell r="K46" t="e">
            <v>#NULL!</v>
          </cell>
          <cell r="L46">
            <v>4.4613506151967687E-3</v>
          </cell>
          <cell r="M46">
            <v>-1.3207945900253596E-2</v>
          </cell>
          <cell r="N46">
            <v>0.27780125857048943</v>
          </cell>
          <cell r="O46">
            <v>0.20835681412604495</v>
          </cell>
        </row>
        <row r="48">
          <cell r="A48" t="str">
            <v>1998R</v>
          </cell>
        </row>
        <row r="49">
          <cell r="A49" t="str">
            <v xml:space="preserve"> 1Q (a)</v>
          </cell>
          <cell r="B49">
            <v>1</v>
          </cell>
          <cell r="C49">
            <v>0.21911835170100624</v>
          </cell>
          <cell r="D49">
            <v>0.78088164829899376</v>
          </cell>
          <cell r="E49">
            <v>0.26042165788212746</v>
          </cell>
          <cell r="F49">
            <v>0.17388596070915188</v>
          </cell>
          <cell r="G49">
            <v>0.34657402970771445</v>
          </cell>
          <cell r="H49">
            <v>-1.1451844753234307E-2</v>
          </cell>
          <cell r="I49">
            <v>0</v>
          </cell>
          <cell r="J49">
            <v>0</v>
          </cell>
          <cell r="K49" t="e">
            <v>#NULL!</v>
          </cell>
          <cell r="L49">
            <v>1.8687110685194058E-3</v>
          </cell>
          <cell r="M49">
            <v>-9.5831336847149017E-3</v>
          </cell>
          <cell r="N49">
            <v>0.33699089602299953</v>
          </cell>
          <cell r="O49">
            <v>0.25471969333972216</v>
          </cell>
        </row>
        <row r="50">
          <cell r="A50" t="str">
            <v xml:space="preserve"> 2Q </v>
          </cell>
          <cell r="B50">
            <v>1</v>
          </cell>
          <cell r="C50">
            <v>0.22208816705336429</v>
          </cell>
          <cell r="D50">
            <v>0.77791183294663568</v>
          </cell>
          <cell r="E50">
            <v>0.29577726218097444</v>
          </cell>
          <cell r="F50">
            <v>0.19336426914153132</v>
          </cell>
          <cell r="G50">
            <v>0.28877030162412992</v>
          </cell>
          <cell r="H50">
            <v>-8.8167053364269134E-3</v>
          </cell>
          <cell r="I50">
            <v>0</v>
          </cell>
          <cell r="J50">
            <v>0</v>
          </cell>
          <cell r="K50" t="e">
            <v>#NULL!</v>
          </cell>
          <cell r="L50">
            <v>2.0417633410672854E-2</v>
          </cell>
          <cell r="M50">
            <v>1.1600928074245939E-2</v>
          </cell>
          <cell r="N50">
            <v>0.30037122969837587</v>
          </cell>
          <cell r="O50">
            <v>0.22779582366589327</v>
          </cell>
        </row>
        <row r="51">
          <cell r="A51" t="str">
            <v xml:space="preserve"> 3Q (b)</v>
          </cell>
          <cell r="B51">
            <v>1</v>
          </cell>
          <cell r="C51">
            <v>0.21009578706450791</v>
          </cell>
          <cell r="D51">
            <v>0.78990421293549207</v>
          </cell>
          <cell r="E51">
            <v>0.28295329321013818</v>
          </cell>
          <cell r="F51">
            <v>0.18644570653555986</v>
          </cell>
          <cell r="G51">
            <v>0.32050521318979397</v>
          </cell>
          <cell r="H51">
            <v>-9.875392048825973E-3</v>
          </cell>
          <cell r="I51">
            <v>0</v>
          </cell>
          <cell r="J51">
            <v>0</v>
          </cell>
          <cell r="K51" t="e">
            <v>#NULL!</v>
          </cell>
          <cell r="L51">
            <v>-2.6701703823005848E-3</v>
          </cell>
          <cell r="M51">
            <v>-1.2545562431126558E-2</v>
          </cell>
          <cell r="N51">
            <v>0.30795965075866738</v>
          </cell>
          <cell r="O51">
            <v>0.24963973891667368</v>
          </cell>
        </row>
        <row r="52">
          <cell r="A52" t="str">
            <v xml:space="preserve"> 4Q</v>
          </cell>
          <cell r="B52">
            <v>1</v>
          </cell>
          <cell r="C52">
            <v>0.22140851483645746</v>
          </cell>
          <cell r="D52">
            <v>0.77859148516354248</v>
          </cell>
          <cell r="E52">
            <v>0.30727783258708352</v>
          </cell>
          <cell r="F52">
            <v>0.1970858313728466</v>
          </cell>
          <cell r="G52">
            <v>0.27422782120361239</v>
          </cell>
          <cell r="H52">
            <v>-6.6783031038931458E-3</v>
          </cell>
          <cell r="I52">
            <v>0</v>
          </cell>
          <cell r="J52">
            <v>0</v>
          </cell>
          <cell r="K52" t="e">
            <v>#NULL!</v>
          </cell>
          <cell r="L52">
            <v>3.8703802079380735E-3</v>
          </cell>
          <cell r="M52">
            <v>-2.8079228959550727E-3</v>
          </cell>
          <cell r="N52">
            <v>0.27141989830765734</v>
          </cell>
          <cell r="O52">
            <v>0.21309858086059047</v>
          </cell>
        </row>
        <row r="54">
          <cell r="A54" t="str">
            <v>Year</v>
          </cell>
          <cell r="B54">
            <v>1</v>
          </cell>
          <cell r="C54">
            <v>0.21815996882037073</v>
          </cell>
          <cell r="D54">
            <v>0.78184003117962941</v>
          </cell>
          <cell r="E54">
            <v>0.28779447427680588</v>
          </cell>
          <cell r="F54">
            <v>0.18825783821236794</v>
          </cell>
          <cell r="G54">
            <v>0.30578771869045557</v>
          </cell>
          <cell r="H54">
            <v>-9.0724060280616674E-3</v>
          </cell>
          <cell r="I54">
            <v>0</v>
          </cell>
          <cell r="J54">
            <v>0</v>
          </cell>
          <cell r="K54" t="e">
            <v>#NULL!</v>
          </cell>
          <cell r="L54">
            <v>5.6080027715226053E-3</v>
          </cell>
          <cell r="M54">
            <v>-3.4644032565390613E-3</v>
          </cell>
          <cell r="N54">
            <v>0.30232331543391655</v>
          </cell>
          <cell r="O54">
            <v>0.23526545989953238</v>
          </cell>
        </row>
        <row r="56">
          <cell r="A56">
            <v>1999</v>
          </cell>
        </row>
        <row r="57">
          <cell r="A57" t="str">
            <v xml:space="preserve"> 1Q</v>
          </cell>
          <cell r="B57">
            <v>1</v>
          </cell>
          <cell r="C57">
            <v>0.21878879233906723</v>
          </cell>
          <cell r="D57">
            <v>0.78121120766093277</v>
          </cell>
          <cell r="E57">
            <v>0.26285688951941832</v>
          </cell>
          <cell r="F57">
            <v>0.18314417449902468</v>
          </cell>
          <cell r="G57">
            <v>0.33521014364248974</v>
          </cell>
          <cell r="H57">
            <v>-3.6353963468700105E-3</v>
          </cell>
          <cell r="I57">
            <v>0</v>
          </cell>
          <cell r="J57">
            <v>0</v>
          </cell>
          <cell r="K57" t="e">
            <v>#NULL!</v>
          </cell>
          <cell r="L57">
            <v>3.10338712537684E-3</v>
          </cell>
          <cell r="M57">
            <v>-5.3200922149317066E-4</v>
          </cell>
          <cell r="N57">
            <v>0.33467813442099653</v>
          </cell>
          <cell r="O57">
            <v>0.26103919134598325</v>
          </cell>
        </row>
        <row r="58">
          <cell r="A58" t="str">
            <v xml:space="preserve"> 2Q</v>
          </cell>
          <cell r="B58">
            <v>1</v>
          </cell>
          <cell r="C58">
            <v>0.21079967377773964</v>
          </cell>
          <cell r="D58">
            <v>0.78920032622226033</v>
          </cell>
          <cell r="E58">
            <v>0.27883418465896898</v>
          </cell>
          <cell r="F58">
            <v>0.19766493539940766</v>
          </cell>
          <cell r="G58">
            <v>0.3127012061638838</v>
          </cell>
          <cell r="H58">
            <v>-4.5499420526248025E-3</v>
          </cell>
          <cell r="I58">
            <v>0</v>
          </cell>
          <cell r="J58">
            <v>0</v>
          </cell>
          <cell r="K58" t="e">
            <v>#NULL!</v>
          </cell>
          <cell r="L58">
            <v>3.9490063098252997E-3</v>
          </cell>
          <cell r="M58">
            <v>-6.0093574279950304E-4</v>
          </cell>
          <cell r="N58">
            <v>0.31210027042108429</v>
          </cell>
          <cell r="O58">
            <v>0.24230587629308498</v>
          </cell>
        </row>
        <row r="59">
          <cell r="A59" t="str">
            <v xml:space="preserve"> 3Q</v>
          </cell>
          <cell r="B59">
            <v>1</v>
          </cell>
          <cell r="C59">
            <v>0.21387328339575537</v>
          </cell>
          <cell r="D59">
            <v>0.7861267166042446</v>
          </cell>
          <cell r="E59">
            <v>0.27169163545568048</v>
          </cell>
          <cell r="F59">
            <v>0.17279182272159804</v>
          </cell>
          <cell r="G59">
            <v>0.34164325842696619</v>
          </cell>
          <cell r="H59">
            <v>-3.4722222222222225E-3</v>
          </cell>
          <cell r="I59">
            <v>0</v>
          </cell>
          <cell r="J59">
            <v>0</v>
          </cell>
          <cell r="K59" t="e">
            <v>#NULL!</v>
          </cell>
          <cell r="L59">
            <v>-6.7883895131086152E-3</v>
          </cell>
          <cell r="M59">
            <v>-1.0260611735330837E-2</v>
          </cell>
          <cell r="N59">
            <v>0.33138264669163536</v>
          </cell>
          <cell r="O59">
            <v>0.25659332084893871</v>
          </cell>
        </row>
        <row r="60">
          <cell r="A60" t="str">
            <v xml:space="preserve"> 4Q</v>
          </cell>
          <cell r="B60">
            <v>1</v>
          </cell>
          <cell r="C60">
            <v>0.20362324177038074</v>
          </cell>
          <cell r="D60">
            <v>0.79637675822961929</v>
          </cell>
          <cell r="E60">
            <v>0.30145813388320203</v>
          </cell>
          <cell r="F60">
            <v>0.17199351940496357</v>
          </cell>
          <cell r="G60">
            <v>0.3229251049414536</v>
          </cell>
          <cell r="H60">
            <v>8.4689594226378877E-4</v>
          </cell>
          <cell r="I60">
            <v>0</v>
          </cell>
          <cell r="J60">
            <v>0</v>
          </cell>
          <cell r="K60" t="e">
            <v>#NULL!</v>
          </cell>
          <cell r="L60">
            <v>-1.1819721628985936E-2</v>
          </cell>
          <cell r="M60">
            <v>-1.0972825686722146E-2</v>
          </cell>
          <cell r="N60">
            <v>0.31195227925473151</v>
          </cell>
          <cell r="O60">
            <v>0.24217541792473665</v>
          </cell>
        </row>
        <row r="62">
          <cell r="A62" t="str">
            <v>Year</v>
          </cell>
          <cell r="B62">
            <v>1</v>
          </cell>
          <cell r="C62">
            <v>0.21144936792271127</v>
          </cell>
          <cell r="D62">
            <v>0.78855063207728882</v>
          </cell>
          <cell r="E62">
            <v>0.27955354155895512</v>
          </cell>
          <cell r="F62">
            <v>0.18081364110986084</v>
          </cell>
          <cell r="G62">
            <v>0.32818344940847294</v>
          </cell>
          <cell r="H62">
            <v>-2.5749419624301779E-3</v>
          </cell>
          <cell r="I62">
            <v>0</v>
          </cell>
          <cell r="J62">
            <v>0</v>
          </cell>
          <cell r="K62" t="e">
            <v>#NULL!</v>
          </cell>
          <cell r="L62">
            <v>-3.3758097381466506E-3</v>
          </cell>
          <cell r="M62">
            <v>-5.950751700576829E-3</v>
          </cell>
          <cell r="N62">
            <v>0.32223269770789614</v>
          </cell>
          <cell r="O62">
            <v>0.25027624869478826</v>
          </cell>
        </row>
        <row r="65">
          <cell r="A65">
            <v>2000</v>
          </cell>
        </row>
        <row r="66">
          <cell r="A66" t="str">
            <v xml:space="preserve"> 1QA</v>
          </cell>
          <cell r="B66">
            <v>1</v>
          </cell>
          <cell r="C66">
            <v>0.20493270543431649</v>
          </cell>
          <cell r="D66">
            <v>0.79506729456568348</v>
          </cell>
          <cell r="E66">
            <v>0.27079128652416978</v>
          </cell>
          <cell r="F66">
            <v>0.18038327018935327</v>
          </cell>
          <cell r="G66">
            <v>0.34389273785216046</v>
          </cell>
          <cell r="H66">
            <v>5.0751236323722092E-3</v>
          </cell>
          <cell r="I66">
            <v>0</v>
          </cell>
          <cell r="J66">
            <v>0</v>
          </cell>
          <cell r="L66">
            <v>2.3605226197080033E-4</v>
          </cell>
          <cell r="M66">
            <v>5.3111758943430098E-3</v>
          </cell>
          <cell r="N66">
            <v>0.34920391374650345</v>
          </cell>
          <cell r="O66">
            <v>0.27236890247500795</v>
          </cell>
        </row>
        <row r="67">
          <cell r="A67" t="str">
            <v xml:space="preserve"> 2QA</v>
          </cell>
          <cell r="B67">
            <v>1</v>
          </cell>
          <cell r="C67">
            <v>0.18757152666514079</v>
          </cell>
          <cell r="D67">
            <v>0.81242847333485924</v>
          </cell>
          <cell r="E67">
            <v>0.30342565041580838</v>
          </cell>
          <cell r="F67">
            <v>0.19409475852597852</v>
          </cell>
          <cell r="G67">
            <v>0.31490806439307234</v>
          </cell>
          <cell r="H67">
            <v>5.1880674448767849E-3</v>
          </cell>
          <cell r="I67">
            <v>0</v>
          </cell>
          <cell r="J67">
            <v>0</v>
          </cell>
          <cell r="L67">
            <v>5.6839856565194177E-3</v>
          </cell>
          <cell r="M67">
            <v>1.0872053101396202E-2</v>
          </cell>
          <cell r="N67">
            <v>0.32578011749446856</v>
          </cell>
          <cell r="O67">
            <v>0.25410086213473709</v>
          </cell>
        </row>
        <row r="68">
          <cell r="A68" t="str">
            <v xml:space="preserve"> 3QA</v>
          </cell>
          <cell r="B68">
            <v>1</v>
          </cell>
          <cell r="C68">
            <v>0.17430177929361726</v>
          </cell>
          <cell r="D68">
            <v>0.82569822070638277</v>
          </cell>
          <cell r="E68">
            <v>0.28462296259677999</v>
          </cell>
          <cell r="F68">
            <v>0.17999210467353541</v>
          </cell>
          <cell r="G68">
            <v>0.36108315343606734</v>
          </cell>
          <cell r="H68">
            <v>8.606617137126172E-3</v>
          </cell>
          <cell r="I68">
            <v>0</v>
          </cell>
          <cell r="J68">
            <v>0</v>
          </cell>
          <cell r="L68">
            <v>-1.4652587853289189E-2</v>
          </cell>
          <cell r="M68">
            <v>-6.0459707161630172E-3</v>
          </cell>
          <cell r="N68">
            <v>0.35503718271990431</v>
          </cell>
          <cell r="O68">
            <v>0.27693746688052795</v>
          </cell>
        </row>
        <row r="69">
          <cell r="A69" t="str">
            <v xml:space="preserve"> 4QA</v>
          </cell>
          <cell r="B69">
            <v>1</v>
          </cell>
          <cell r="C69">
            <v>0.18977906117789273</v>
          </cell>
          <cell r="D69">
            <v>0.81022093882210733</v>
          </cell>
          <cell r="E69">
            <v>0.31707071385400576</v>
          </cell>
          <cell r="F69">
            <v>0.18303001813175745</v>
          </cell>
          <cell r="G69">
            <v>0.31012020683634411</v>
          </cell>
          <cell r="H69">
            <v>-1.541199382177154E-2</v>
          </cell>
          <cell r="I69">
            <v>0</v>
          </cell>
          <cell r="J69">
            <v>0</v>
          </cell>
          <cell r="L69">
            <v>3.57598549459405E-2</v>
          </cell>
          <cell r="M69">
            <v>2.0347861124168962E-2</v>
          </cell>
          <cell r="N69">
            <v>0.33046806796051309</v>
          </cell>
          <cell r="O69">
            <v>0.25780672889664902</v>
          </cell>
        </row>
        <row r="71">
          <cell r="A71" t="str">
            <v>YearA</v>
          </cell>
          <cell r="B71">
            <v>1</v>
          </cell>
          <cell r="C71">
            <v>0.18879414235109376</v>
          </cell>
          <cell r="D71">
            <v>0.8112058576489064</v>
          </cell>
          <cell r="E71">
            <v>0.29473578497608016</v>
          </cell>
          <cell r="F71">
            <v>0.18428404484534205</v>
          </cell>
          <cell r="G71">
            <v>0.33218602782748419</v>
          </cell>
          <cell r="H71">
            <v>4.3822809772486632E-4</v>
          </cell>
          <cell r="I71">
            <v>0</v>
          </cell>
          <cell r="J71">
            <v>0</v>
          </cell>
          <cell r="K71">
            <v>-3.3758097381466506E-3</v>
          </cell>
          <cell r="L71">
            <v>7.3768396450352427E-3</v>
          </cell>
          <cell r="M71">
            <v>7.8150677427601088E-3</v>
          </cell>
          <cell r="N71">
            <v>0.34000109557024433</v>
          </cell>
          <cell r="O71">
            <v>0.26521016689186727</v>
          </cell>
        </row>
        <row r="73">
          <cell r="A73">
            <v>2001</v>
          </cell>
        </row>
        <row r="74">
          <cell r="A74" t="str">
            <v xml:space="preserve"> 1QA</v>
          </cell>
          <cell r="B74">
            <v>1</v>
          </cell>
          <cell r="C74">
            <v>0.18615675232562282</v>
          </cell>
          <cell r="D74">
            <v>0.81384324767437721</v>
          </cell>
          <cell r="E74">
            <v>0.2740492568699433</v>
          </cell>
          <cell r="F74">
            <v>0.1837331147307267</v>
          </cell>
          <cell r="G74">
            <v>0.35606087607370723</v>
          </cell>
          <cell r="H74">
            <v>1.0906369177032469E-2</v>
          </cell>
          <cell r="I74">
            <v>0</v>
          </cell>
          <cell r="J74">
            <v>0</v>
          </cell>
          <cell r="K74">
            <v>1.7108030081619558E-3</v>
          </cell>
          <cell r="L74">
            <v>1.7108030081619558E-3</v>
          </cell>
          <cell r="M74">
            <v>1.2617172185194423E-2</v>
          </cell>
          <cell r="N74">
            <v>0.36867804825890166</v>
          </cell>
          <cell r="O74">
            <v>0.2875574722885556</v>
          </cell>
        </row>
        <row r="75">
          <cell r="A75" t="str">
            <v xml:space="preserve"> 2QA</v>
          </cell>
          <cell r="B75">
            <v>1</v>
          </cell>
          <cell r="C75">
            <v>0.17214438767100715</v>
          </cell>
          <cell r="D75">
            <v>0.82785561232899285</v>
          </cell>
          <cell r="E75">
            <v>0.29665402999835183</v>
          </cell>
          <cell r="F75">
            <v>0.18582495467282026</v>
          </cell>
          <cell r="G75">
            <v>0.34537662765782084</v>
          </cell>
          <cell r="H75">
            <v>9.625844733805837E-3</v>
          </cell>
          <cell r="I75">
            <v>0</v>
          </cell>
          <cell r="J75">
            <v>0</v>
          </cell>
          <cell r="K75">
            <v>-5.2085050271963099E-3</v>
          </cell>
          <cell r="L75">
            <v>-5.2085050271963099E-3</v>
          </cell>
          <cell r="M75">
            <v>4.417339706609528E-3</v>
          </cell>
          <cell r="N75">
            <v>0.34979396736443036</v>
          </cell>
          <cell r="O75">
            <v>0.27285313993736593</v>
          </cell>
        </row>
        <row r="76">
          <cell r="A76" t="str">
            <v xml:space="preserve"> 3QA</v>
          </cell>
          <cell r="B76">
            <v>1</v>
          </cell>
          <cell r="C76">
            <v>0.19099638185360424</v>
          </cell>
          <cell r="D76">
            <v>0.80900361814639576</v>
          </cell>
          <cell r="E76">
            <v>0.30124547731700529</v>
          </cell>
          <cell r="F76">
            <v>0.19691065961591983</v>
          </cell>
          <cell r="G76">
            <v>0.31084748121347061</v>
          </cell>
          <cell r="H76">
            <v>1.1515446701920401E-2</v>
          </cell>
          <cell r="I76">
            <v>0</v>
          </cell>
          <cell r="J76">
            <v>0</v>
          </cell>
          <cell r="K76">
            <v>2.0873921514055107E-4</v>
          </cell>
          <cell r="L76">
            <v>2.0873921514055107E-4</v>
          </cell>
          <cell r="M76">
            <v>1.1724185917060953E-2</v>
          </cell>
          <cell r="N76">
            <v>0.32257166713053159</v>
          </cell>
          <cell r="O76">
            <v>0.25160033398274423</v>
          </cell>
        </row>
        <row r="77">
          <cell r="A77" t="str">
            <v>4QA</v>
          </cell>
          <cell r="B77">
            <v>1</v>
          </cell>
          <cell r="C77">
            <v>0.20033229638009048</v>
          </cell>
          <cell r="D77">
            <v>0.79966770361990958</v>
          </cell>
          <cell r="E77">
            <v>0.31204044117647051</v>
          </cell>
          <cell r="F77">
            <v>0.2085336538461538</v>
          </cell>
          <cell r="G77">
            <v>0.2790936085972851</v>
          </cell>
          <cell r="H77">
            <v>1.5024038461538458E-2</v>
          </cell>
          <cell r="I77">
            <v>0</v>
          </cell>
          <cell r="J77">
            <v>0</v>
          </cell>
          <cell r="K77">
            <v>3.2522624434389129E-3</v>
          </cell>
          <cell r="L77">
            <v>3.2522624434389129E-3</v>
          </cell>
          <cell r="M77">
            <v>1.8276300904977373E-2</v>
          </cell>
          <cell r="N77">
            <v>0.2973699095022625</v>
          </cell>
          <cell r="O77">
            <v>0.23193580316742088</v>
          </cell>
        </row>
        <row r="79">
          <cell r="A79" t="str">
            <v>Year A</v>
          </cell>
          <cell r="B79">
            <v>1</v>
          </cell>
          <cell r="C79">
            <v>0.18715345162184641</v>
          </cell>
          <cell r="D79">
            <v>0.81284654837815362</v>
          </cell>
          <cell r="E79">
            <v>0.29607360687551981</v>
          </cell>
          <cell r="F79">
            <v>0.19364257000277238</v>
          </cell>
          <cell r="G79">
            <v>0.3231303714998614</v>
          </cell>
          <cell r="H79">
            <v>1.173066260049903E-2</v>
          </cell>
          <cell r="I79">
            <v>0</v>
          </cell>
          <cell r="J79">
            <v>0</v>
          </cell>
          <cell r="K79">
            <v>-1.0396451344607717E-4</v>
          </cell>
          <cell r="L79">
            <v>-1.0396451344607717E-4</v>
          </cell>
          <cell r="M79">
            <v>1.1626698087052951E-2</v>
          </cell>
          <cell r="N79">
            <v>0.33475706958691437</v>
          </cell>
          <cell r="O79">
            <v>0.26111553922927638</v>
          </cell>
        </row>
        <row r="81">
          <cell r="A81">
            <v>2002</v>
          </cell>
        </row>
        <row r="82">
          <cell r="A82" t="str">
            <v xml:space="preserve"> 1QA</v>
          </cell>
          <cell r="B82">
            <v>1</v>
          </cell>
          <cell r="C82">
            <v>0.20698137519034793</v>
          </cell>
          <cell r="D82">
            <v>0.79301862480965202</v>
          </cell>
          <cell r="E82">
            <v>0.30350240131193629</v>
          </cell>
          <cell r="F82">
            <v>0.1963218929366288</v>
          </cell>
          <cell r="G82">
            <v>0.29319433056108707</v>
          </cell>
          <cell r="H82">
            <v>1.534496895865058E-2</v>
          </cell>
          <cell r="I82">
            <v>0</v>
          </cell>
          <cell r="J82">
            <v>0</v>
          </cell>
          <cell r="K82">
            <v>6.4425442192807781E-3</v>
          </cell>
          <cell r="L82">
            <v>6.4425442192807781E-3</v>
          </cell>
          <cell r="M82">
            <v>2.1787513177931359E-2</v>
          </cell>
          <cell r="N82">
            <v>0.31498184373901844</v>
          </cell>
          <cell r="O82">
            <v>0.24567568622857369</v>
          </cell>
        </row>
        <row r="83">
          <cell r="A83" t="str">
            <v xml:space="preserve"> 2QA</v>
          </cell>
          <cell r="B83">
            <v>1</v>
          </cell>
          <cell r="C83">
            <v>0.18914088455523606</v>
          </cell>
          <cell r="D83">
            <v>0.81085911544476397</v>
          </cell>
          <cell r="E83">
            <v>0.32978041064003061</v>
          </cell>
          <cell r="F83">
            <v>0.19656382649053397</v>
          </cell>
          <cell r="G83">
            <v>0.28451487831419936</v>
          </cell>
          <cell r="H83">
            <v>7.7832789224482743E-3</v>
          </cell>
          <cell r="I83">
            <v>0</v>
          </cell>
          <cell r="J83">
            <v>0</v>
          </cell>
          <cell r="K83">
            <v>1.189112057596264E-2</v>
          </cell>
          <cell r="L83">
            <v>1.189112057596264E-2</v>
          </cell>
          <cell r="M83">
            <v>1.9674399498410915E-2</v>
          </cell>
          <cell r="N83">
            <v>0.30418927781261029</v>
          </cell>
          <cell r="O83">
            <v>0.23727469929878417</v>
          </cell>
        </row>
        <row r="84">
          <cell r="A84" t="str">
            <v xml:space="preserve"> 3QA</v>
          </cell>
          <cell r="B84">
            <v>1</v>
          </cell>
          <cell r="C84">
            <v>0.19877225732337739</v>
          </cell>
          <cell r="D84">
            <v>0.80122774267662256</v>
          </cell>
          <cell r="E84">
            <v>0.29103245261344057</v>
          </cell>
          <cell r="F84">
            <v>0.18907955198161977</v>
          </cell>
          <cell r="G84">
            <v>0.32111573808156219</v>
          </cell>
          <cell r="H84">
            <v>8.2208500861573816E-3</v>
          </cell>
          <cell r="I84">
            <v>0</v>
          </cell>
          <cell r="J84">
            <v>0</v>
          </cell>
          <cell r="K84">
            <v>1.0554279149913843E-2</v>
          </cell>
          <cell r="L84">
            <v>1.0554279149913843E-2</v>
          </cell>
          <cell r="M84">
            <v>1.8775129236071223E-2</v>
          </cell>
          <cell r="N84">
            <v>0.33989086731763335</v>
          </cell>
          <cell r="O84">
            <v>0.26511344055140706</v>
          </cell>
        </row>
        <row r="85">
          <cell r="A85" t="str">
            <v xml:space="preserve"> 4QA</v>
          </cell>
          <cell r="B85">
            <v>1</v>
          </cell>
          <cell r="C85">
            <v>0.19210989308431453</v>
          </cell>
          <cell r="D85">
            <v>0.80789010691568541</v>
          </cell>
          <cell r="E85">
            <v>0.31154418730545408</v>
          </cell>
          <cell r="F85">
            <v>0.1943091081337123</v>
          </cell>
          <cell r="G85">
            <v>0.30203681147651901</v>
          </cell>
          <cell r="H85">
            <v>7.9510082555149554E-3</v>
          </cell>
          <cell r="I85">
            <v>0</v>
          </cell>
          <cell r="J85">
            <v>0</v>
          </cell>
          <cell r="K85">
            <v>1.2789281364190013E-2</v>
          </cell>
          <cell r="L85">
            <v>1.2789281364190013E-2</v>
          </cell>
          <cell r="M85">
            <v>1.7356881851400732E-2</v>
          </cell>
          <cell r="N85">
            <v>0.31939369332791973</v>
          </cell>
          <cell r="O85">
            <v>0.2491203139802407</v>
          </cell>
        </row>
        <row r="87">
          <cell r="A87" t="str">
            <v>Year A</v>
          </cell>
          <cell r="B87">
            <v>1</v>
          </cell>
          <cell r="C87">
            <v>0.19647970477039906</v>
          </cell>
          <cell r="D87">
            <v>0.803520295229601</v>
          </cell>
          <cell r="E87">
            <v>0.3090955704727068</v>
          </cell>
          <cell r="F87">
            <v>0.19402427266851308</v>
          </cell>
          <cell r="G87">
            <v>0.30040045208838101</v>
          </cell>
          <cell r="H87">
            <v>9.6863185489840659E-3</v>
          </cell>
          <cell r="I87">
            <v>0</v>
          </cell>
          <cell r="J87">
            <v>0</v>
          </cell>
          <cell r="K87" t="e">
            <v>#NULL!</v>
          </cell>
          <cell r="L87">
            <v>1.0534886995959371E-2</v>
          </cell>
          <cell r="M87">
            <v>1.9318473154544175E-2</v>
          </cell>
          <cell r="N87">
            <v>0.31971892524292517</v>
          </cell>
          <cell r="O87">
            <v>0.24937801738301479</v>
          </cell>
        </row>
        <row r="89">
          <cell r="A89">
            <v>2003</v>
          </cell>
        </row>
        <row r="90">
          <cell r="A90" t="str">
            <v xml:space="preserve"> 1QE</v>
          </cell>
          <cell r="B90">
            <v>1</v>
          </cell>
          <cell r="C90">
            <v>0.215</v>
          </cell>
          <cell r="D90">
            <v>0.78500000000000003</v>
          </cell>
          <cell r="E90">
            <v>0.314</v>
          </cell>
          <cell r="F90">
            <v>0.19700000000000001</v>
          </cell>
          <cell r="G90">
            <v>0.27400000000000002</v>
          </cell>
          <cell r="H90">
            <v>9.7179945946354509E-3</v>
          </cell>
          <cell r="L90">
            <v>8.9981431431809724E-3</v>
          </cell>
        </row>
        <row r="91">
          <cell r="A91" t="str">
            <v xml:space="preserve"> 2QE</v>
          </cell>
          <cell r="B91">
            <v>1</v>
          </cell>
          <cell r="C91">
            <v>0.21299999999999999</v>
          </cell>
          <cell r="D91">
            <v>0.78700000000000003</v>
          </cell>
          <cell r="E91">
            <v>0.32500000000000001</v>
          </cell>
          <cell r="F91">
            <v>0.19600000000000001</v>
          </cell>
          <cell r="G91">
            <v>0.26599999999999996</v>
          </cell>
          <cell r="H91">
            <v>8.7862623408968415E-3</v>
          </cell>
          <cell r="L91">
            <v>8.4483291739392719E-3</v>
          </cell>
        </row>
        <row r="92">
          <cell r="A92" t="str">
            <v xml:space="preserve"> 3QE</v>
          </cell>
          <cell r="B92">
            <v>1</v>
          </cell>
          <cell r="C92">
            <v>0.21299999999999999</v>
          </cell>
          <cell r="D92">
            <v>0.78700000000000003</v>
          </cell>
          <cell r="E92">
            <v>0.311</v>
          </cell>
          <cell r="F92">
            <v>0.19400000000000001</v>
          </cell>
          <cell r="G92">
            <v>0.28199999999999997</v>
          </cell>
          <cell r="H92">
            <v>8.9982303480315544E-3</v>
          </cell>
          <cell r="L92">
            <v>8.3316947666958845E-3</v>
          </cell>
        </row>
        <row r="93">
          <cell r="A93" t="str">
            <v xml:space="preserve"> 4QE</v>
          </cell>
          <cell r="B93">
            <v>1</v>
          </cell>
          <cell r="C93">
            <v>0.21127337208039898</v>
          </cell>
          <cell r="D93">
            <v>0.78872662791960102</v>
          </cell>
          <cell r="E93">
            <v>0.315970586308775</v>
          </cell>
          <cell r="F93">
            <v>0.19328624402522698</v>
          </cell>
          <cell r="G93">
            <v>0.27946979758559903</v>
          </cell>
          <cell r="H93">
            <v>8.4828990658681255E-3</v>
          </cell>
          <cell r="L93">
            <v>7.7682225877913251E-3</v>
          </cell>
        </row>
        <row r="95">
          <cell r="A95" t="str">
            <v>2003E</v>
          </cell>
          <cell r="B95">
            <v>1</v>
          </cell>
          <cell r="C95">
            <v>0.21299999999999999</v>
          </cell>
          <cell r="D95">
            <v>0.78700000000000003</v>
          </cell>
          <cell r="E95">
            <v>0.3165</v>
          </cell>
          <cell r="F95">
            <v>0.19500000000000001</v>
          </cell>
          <cell r="G95">
            <v>0.27549999999999991</v>
          </cell>
          <cell r="H95">
            <v>8.9743141746306525E-3</v>
          </cell>
          <cell r="I95">
            <v>0</v>
          </cell>
          <cell r="J95">
            <v>0</v>
          </cell>
          <cell r="K95" t="e">
            <v>#NULL!</v>
          </cell>
          <cell r="L95">
            <v>8.3637597154060141E-3</v>
          </cell>
          <cell r="M95">
            <v>1.7614562016805432E-2</v>
          </cell>
          <cell r="N95">
            <v>0.29311456201680536</v>
          </cell>
          <cell r="O95">
            <v>0.22862935837310816</v>
          </cell>
        </row>
        <row r="97">
          <cell r="A97" t="str">
            <v>2004E</v>
          </cell>
          <cell r="B97">
            <v>1</v>
          </cell>
          <cell r="C97">
            <v>0.21099999999999999</v>
          </cell>
          <cell r="D97">
            <v>0.78900000000000003</v>
          </cell>
          <cell r="E97">
            <v>0.313</v>
          </cell>
          <cell r="F97">
            <v>0.192</v>
          </cell>
          <cell r="G97">
            <v>0.28399999999999997</v>
          </cell>
          <cell r="H97">
            <v>7.5237585661809573E-3</v>
          </cell>
          <cell r="I97">
            <v>0</v>
          </cell>
          <cell r="J97">
            <v>0</v>
          </cell>
          <cell r="K97" t="e">
            <v>#NULL!</v>
          </cell>
          <cell r="L97">
            <v>5.26663099632667E-3</v>
          </cell>
          <cell r="M97">
            <v>2.1849284438356924E-2</v>
          </cell>
          <cell r="N97">
            <v>0.30584928443835691</v>
          </cell>
          <cell r="O97">
            <v>0.23856244186191838</v>
          </cell>
        </row>
        <row r="98">
          <cell r="A98" t="str">
            <v>2005E</v>
          </cell>
          <cell r="B98">
            <v>1</v>
          </cell>
          <cell r="C98">
            <v>0.20799999999999999</v>
          </cell>
          <cell r="D98">
            <v>0.79200000000000004</v>
          </cell>
          <cell r="E98">
            <v>0.308</v>
          </cell>
          <cell r="F98">
            <v>0.19</v>
          </cell>
          <cell r="G98">
            <v>0.29399999999999998</v>
          </cell>
          <cell r="H98">
            <v>6.6896838661370858E-3</v>
          </cell>
          <cell r="I98">
            <v>0</v>
          </cell>
          <cell r="J98">
            <v>0</v>
          </cell>
          <cell r="K98" t="e">
            <v>#NULL!</v>
          </cell>
          <cell r="L98">
            <v>3.3448419330685429E-3</v>
          </cell>
          <cell r="M98">
            <v>2.3168920426334113E-2</v>
          </cell>
          <cell r="N98">
            <v>0.3171689204263341</v>
          </cell>
          <cell r="O98">
            <v>0.24739175793254059</v>
          </cell>
        </row>
        <row r="99">
          <cell r="A99" t="str">
            <v>2006E</v>
          </cell>
          <cell r="B99">
            <v>1</v>
          </cell>
          <cell r="C99">
            <v>0.20599999999999999</v>
          </cell>
          <cell r="D99">
            <v>0.79400000000000004</v>
          </cell>
          <cell r="E99">
            <v>0.30299999999999999</v>
          </cell>
          <cell r="F99">
            <v>0.1855</v>
          </cell>
          <cell r="G99">
            <v>0.30549999999999999</v>
          </cell>
          <cell r="H99">
            <v>6.1214729932232825E-3</v>
          </cell>
          <cell r="I99">
            <v>0</v>
          </cell>
          <cell r="J99">
            <v>0</v>
          </cell>
          <cell r="L99">
            <v>3.0607364966116412E-3</v>
          </cell>
          <cell r="M99">
            <v>2.5759149249988338E-2</v>
          </cell>
          <cell r="N99">
            <v>0.33125914924998834</v>
          </cell>
          <cell r="O99">
            <v>0.25838213641499091</v>
          </cell>
        </row>
        <row r="100">
          <cell r="A100" t="str">
            <v>2007E</v>
          </cell>
          <cell r="B100">
            <v>1</v>
          </cell>
          <cell r="C100">
            <v>0.20399999999999999</v>
          </cell>
          <cell r="D100">
            <v>0.79600000000000004</v>
          </cell>
          <cell r="E100">
            <v>0.30249999999999999</v>
          </cell>
          <cell r="F100">
            <v>0.185</v>
          </cell>
          <cell r="G100">
            <v>0.30850000000000005</v>
          </cell>
          <cell r="H100">
            <v>5.5896725246402865E-3</v>
          </cell>
          <cell r="I100">
            <v>0</v>
          </cell>
          <cell r="J100">
            <v>0</v>
          </cell>
          <cell r="L100">
            <v>2.7948362623201432E-3</v>
          </cell>
          <cell r="M100">
            <v>2.5153526360881289E-2</v>
          </cell>
          <cell r="N100">
            <v>0.33365352636088136</v>
          </cell>
          <cell r="O100">
            <v>0.26024975056148747</v>
          </cell>
        </row>
        <row r="102">
          <cell r="A102" t="str">
            <v xml:space="preserve">E = Morgan Stanley Research Estimates        A = Actual       NM = Not Meaningful      </v>
          </cell>
        </row>
        <row r="103">
          <cell r="A103" t="str">
            <v>(a) Actos Revenues include royalty payments (we assume 20%) from Takeda.</v>
          </cell>
        </row>
        <row r="104">
          <cell r="A104" t="str">
            <v>(a) 1Q97 includes $24.1 million ($18.1 million after-tax) in other income ($0.03 per share) due to Somatogen charge.</v>
          </cell>
        </row>
        <row r="105">
          <cell r="A105" t="str">
            <v>(b) 2Q97 excludes $4.41 charge for the PCS write-down, $0.03 for the pricing litigation settlement, and a $0.54 gain of the Dow Elanco sale.</v>
          </cell>
        </row>
        <row r="107">
          <cell r="A107" t="str">
            <v>(a)  1Q98 excludes $7.2 million after-tax ($0.01 per share) one-time charge related to the early extinguishment of debt in ESOP plan.</v>
          </cell>
        </row>
        <row r="108">
          <cell r="A108" t="str">
            <v>(b)  3Q98 excludes $127.5 million pretax ($0.07 per share) one-time charge related to the Icos collaboration.</v>
          </cell>
        </row>
      </sheetData>
      <sheetData sheetId="9" refreshError="1">
        <row r="1">
          <cell r="A1" t="str">
            <v>Table 5</v>
          </cell>
          <cell r="T1" t="str">
            <v>Table 5</v>
          </cell>
          <cell r="AU1" t="str">
            <v>Table 5</v>
          </cell>
          <cell r="AV1" t="str">
            <v>(continued)</v>
          </cell>
        </row>
        <row r="2">
          <cell r="A2" t="str">
            <v>Eli Lilly</v>
          </cell>
          <cell r="B2" t="str">
            <v>.</v>
          </cell>
          <cell r="T2" t="str">
            <v>Eli Lilly</v>
          </cell>
          <cell r="AU2" t="str">
            <v>Eli Lilly</v>
          </cell>
        </row>
        <row r="3">
          <cell r="A3" t="str">
            <v>Quarterly Sales Analysis, 2000-2007E</v>
          </cell>
          <cell r="T3" t="str">
            <v>Quarterly Sales Analysis, 2000-2007E</v>
          </cell>
          <cell r="AU3" t="str">
            <v>Quarterly Sales Analysis, 2000-2006E</v>
          </cell>
        </row>
        <row r="4">
          <cell r="A4" t="str">
            <v>($ Millions Except EPS)</v>
          </cell>
          <cell r="T4" t="str">
            <v>($ Millions Except EPS)</v>
          </cell>
          <cell r="AU4" t="str">
            <v>($ Millions Except EPS)</v>
          </cell>
        </row>
        <row r="5">
          <cell r="U5" t="str">
            <v>Antibiotics</v>
          </cell>
        </row>
        <row r="6">
          <cell r="B6" t="str">
            <v>Central Nervous System</v>
          </cell>
          <cell r="Y6" t="str">
            <v>Dyna-</v>
          </cell>
          <cell r="AB6" t="str">
            <v>Other</v>
          </cell>
          <cell r="AF6" t="str">
            <v>Cardiovascular</v>
          </cell>
          <cell r="AV6" t="str">
            <v>Hormones/ Diabetes</v>
          </cell>
          <cell r="BK6" t="str">
            <v>Ulcer</v>
          </cell>
          <cell r="BO6" t="str">
            <v>Oncology</v>
          </cell>
          <cell r="BX6" t="str">
            <v>Other</v>
          </cell>
        </row>
        <row r="7">
          <cell r="B7" t="str">
            <v>Prozac &amp; Sarafem</v>
          </cell>
          <cell r="F7" t="str">
            <v>Zyprexa</v>
          </cell>
          <cell r="J7" t="str">
            <v>Dar-</v>
          </cell>
          <cell r="L7" t="str">
            <v>Per-</v>
          </cell>
          <cell r="N7" t="str">
            <v>Straterra</v>
          </cell>
          <cell r="U7" t="str">
            <v>Ceclor</v>
          </cell>
          <cell r="Y7" t="str">
            <v xml:space="preserve">abac </v>
          </cell>
          <cell r="Z7" t="str">
            <v>Keflex/</v>
          </cell>
          <cell r="AA7" t="str">
            <v>Van-</v>
          </cell>
          <cell r="AB7" t="str">
            <v>Injecta-</v>
          </cell>
          <cell r="AF7" t="str">
            <v>Dobu-</v>
          </cell>
          <cell r="AG7" t="str">
            <v>ReoPro</v>
          </cell>
          <cell r="AI7" t="str">
            <v>Xigris</v>
          </cell>
          <cell r="AM7" t="str">
            <v>Evista</v>
          </cell>
          <cell r="AV7" t="str">
            <v>Huma-</v>
          </cell>
          <cell r="AX7" t="str">
            <v>Humulin</v>
          </cell>
          <cell r="BD7" t="str">
            <v>Other</v>
          </cell>
          <cell r="BF7" t="str">
            <v>Humalog</v>
          </cell>
          <cell r="BK7" t="str">
            <v>Axid</v>
          </cell>
          <cell r="BO7" t="str">
            <v>Gemzar</v>
          </cell>
          <cell r="BV7" t="str">
            <v>New</v>
          </cell>
          <cell r="BX7" t="str">
            <v>Pharma</v>
          </cell>
          <cell r="BY7" t="str">
            <v xml:space="preserve">Total </v>
          </cell>
          <cell r="BZ7" t="str">
            <v>Animal/</v>
          </cell>
          <cell r="CA7" t="str">
            <v>Grand</v>
          </cell>
        </row>
        <row r="8">
          <cell r="B8" t="str">
            <v>U.S.</v>
          </cell>
          <cell r="C8" t="str">
            <v>Intl</v>
          </cell>
          <cell r="D8" t="str">
            <v>Total</v>
          </cell>
          <cell r="F8" t="str">
            <v>U.S.</v>
          </cell>
          <cell r="G8" t="str">
            <v>Intl</v>
          </cell>
          <cell r="H8" t="str">
            <v>Total</v>
          </cell>
          <cell r="J8" t="str">
            <v>von</v>
          </cell>
          <cell r="L8" t="str">
            <v>max</v>
          </cell>
          <cell r="N8" t="str">
            <v>U.S.</v>
          </cell>
          <cell r="O8" t="str">
            <v>Intl</v>
          </cell>
          <cell r="P8" t="str">
            <v>Total</v>
          </cell>
          <cell r="R8" t="str">
            <v>Total</v>
          </cell>
          <cell r="U8" t="str">
            <v>U.S.</v>
          </cell>
          <cell r="V8" t="str">
            <v>Intl</v>
          </cell>
          <cell r="W8" t="str">
            <v>Total</v>
          </cell>
          <cell r="Y8" t="str">
            <v>(a)</v>
          </cell>
          <cell r="Z8" t="str">
            <v>Keftab</v>
          </cell>
          <cell r="AA8" t="str">
            <v>cocin</v>
          </cell>
          <cell r="AB8" t="str">
            <v>bles (b)</v>
          </cell>
          <cell r="AD8" t="str">
            <v>Total</v>
          </cell>
          <cell r="AF8" t="str">
            <v>trex</v>
          </cell>
          <cell r="AG8" t="str">
            <v xml:space="preserve">(c)   </v>
          </cell>
          <cell r="AI8" t="str">
            <v>U.S.</v>
          </cell>
          <cell r="AJ8" t="str">
            <v>Intl</v>
          </cell>
          <cell r="AK8" t="str">
            <v>Total</v>
          </cell>
          <cell r="AM8" t="str">
            <v>U.S.</v>
          </cell>
          <cell r="AN8" t="str">
            <v>Intl</v>
          </cell>
          <cell r="AO8" t="str">
            <v>Total</v>
          </cell>
          <cell r="AV8" t="str">
            <v xml:space="preserve">trope  </v>
          </cell>
          <cell r="AX8" t="str">
            <v>U.S.</v>
          </cell>
          <cell r="AY8" t="str">
            <v>Intl</v>
          </cell>
          <cell r="AZ8" t="str">
            <v>Total</v>
          </cell>
          <cell r="BB8" t="str">
            <v>Actos</v>
          </cell>
          <cell r="BD8" t="str">
            <v>Diabetes</v>
          </cell>
          <cell r="BF8" t="str">
            <v>U.S.</v>
          </cell>
          <cell r="BG8" t="str">
            <v>Intl</v>
          </cell>
          <cell r="BH8" t="str">
            <v>Total</v>
          </cell>
          <cell r="BI8" t="str">
            <v>Total</v>
          </cell>
          <cell r="BK8" t="str">
            <v>U.S.</v>
          </cell>
          <cell r="BL8" t="str">
            <v>Intl</v>
          </cell>
          <cell r="BM8" t="str">
            <v>Total</v>
          </cell>
          <cell r="BO8" t="str">
            <v>U.S.</v>
          </cell>
          <cell r="BP8" t="str">
            <v>Intl</v>
          </cell>
          <cell r="BQ8" t="str">
            <v>Total</v>
          </cell>
          <cell r="BS8" t="str">
            <v>Other</v>
          </cell>
          <cell r="BT8" t="str">
            <v>Total</v>
          </cell>
          <cell r="BV8" t="str">
            <v>Prods</v>
          </cell>
          <cell r="BX8" t="str">
            <v>(d)</v>
          </cell>
          <cell r="BY8" t="str">
            <v>Pharm.</v>
          </cell>
          <cell r="BZ8" t="str">
            <v>Indust.</v>
          </cell>
          <cell r="CA8" t="str">
            <v>Total</v>
          </cell>
        </row>
        <row r="10">
          <cell r="A10">
            <v>1994</v>
          </cell>
          <cell r="T10">
            <v>1994</v>
          </cell>
          <cell r="AU10">
            <v>1994</v>
          </cell>
        </row>
        <row r="11">
          <cell r="A11" t="str">
            <v xml:space="preserve"> 1Q</v>
          </cell>
          <cell r="B11">
            <v>234.8</v>
          </cell>
          <cell r="C11">
            <v>100.9</v>
          </cell>
          <cell r="D11">
            <v>335.70000000000005</v>
          </cell>
          <cell r="F11">
            <v>0</v>
          </cell>
          <cell r="G11">
            <v>0</v>
          </cell>
          <cell r="H11">
            <v>0</v>
          </cell>
          <cell r="J11">
            <v>21.4</v>
          </cell>
          <cell r="L11">
            <v>4.1999999999999673</v>
          </cell>
          <cell r="R11">
            <v>361.3</v>
          </cell>
          <cell r="T11" t="str">
            <v xml:space="preserve"> 1Q</v>
          </cell>
          <cell r="U11">
            <v>118.9</v>
          </cell>
          <cell r="V11">
            <v>91.2</v>
          </cell>
          <cell r="W11">
            <v>210.10000000000002</v>
          </cell>
          <cell r="Y11">
            <v>0</v>
          </cell>
          <cell r="Z11">
            <v>30.4</v>
          </cell>
          <cell r="AA11">
            <v>73.599999999999994</v>
          </cell>
          <cell r="AB11">
            <v>62</v>
          </cell>
          <cell r="AD11">
            <v>376.1</v>
          </cell>
          <cell r="AF11">
            <v>30.1</v>
          </cell>
          <cell r="AG11">
            <v>0</v>
          </cell>
          <cell r="AU11" t="str">
            <v xml:space="preserve"> 1Q</v>
          </cell>
          <cell r="AV11">
            <v>49.7</v>
          </cell>
          <cell r="AX11">
            <v>98.7</v>
          </cell>
          <cell r="AY11">
            <v>48</v>
          </cell>
          <cell r="AZ11">
            <v>146.69999999999999</v>
          </cell>
          <cell r="BD11">
            <v>18.2</v>
          </cell>
          <cell r="BF11">
            <v>0</v>
          </cell>
          <cell r="BG11">
            <v>0</v>
          </cell>
          <cell r="BH11">
            <v>0</v>
          </cell>
          <cell r="BI11">
            <v>214.59999999999997</v>
          </cell>
          <cell r="BK11">
            <v>79.2</v>
          </cell>
          <cell r="BL11">
            <v>30.6</v>
          </cell>
          <cell r="BM11">
            <v>109.80000000000001</v>
          </cell>
          <cell r="BO11">
            <v>0</v>
          </cell>
          <cell r="BP11">
            <v>0</v>
          </cell>
          <cell r="BQ11">
            <v>0</v>
          </cell>
          <cell r="BS11">
            <v>0</v>
          </cell>
          <cell r="BT11">
            <v>0</v>
          </cell>
          <cell r="BV11">
            <v>0</v>
          </cell>
          <cell r="BX11">
            <v>66.92</v>
          </cell>
          <cell r="BY11">
            <v>1158.8200000000002</v>
          </cell>
          <cell r="BZ11">
            <v>108.10000000000001</v>
          </cell>
          <cell r="CA11">
            <v>1266.92</v>
          </cell>
        </row>
        <row r="12">
          <cell r="A12" t="str">
            <v xml:space="preserve"> 2Q</v>
          </cell>
          <cell r="B12">
            <v>289.60000000000002</v>
          </cell>
          <cell r="C12">
            <v>121</v>
          </cell>
          <cell r="D12">
            <v>410.6</v>
          </cell>
          <cell r="F12">
            <v>0</v>
          </cell>
          <cell r="G12">
            <v>0</v>
          </cell>
          <cell r="H12">
            <v>0</v>
          </cell>
          <cell r="J12">
            <v>26.200000000000003</v>
          </cell>
          <cell r="L12">
            <v>5.3999999999999631</v>
          </cell>
          <cell r="R12">
            <v>442.2</v>
          </cell>
          <cell r="T12" t="str">
            <v xml:space="preserve"> 2Q</v>
          </cell>
          <cell r="U12">
            <v>83.5</v>
          </cell>
          <cell r="V12">
            <v>88.8</v>
          </cell>
          <cell r="W12">
            <v>172.3</v>
          </cell>
          <cell r="Y12">
            <v>0</v>
          </cell>
          <cell r="Z12">
            <v>31.9</v>
          </cell>
          <cell r="AA12">
            <v>54.4</v>
          </cell>
          <cell r="AB12">
            <v>53.7</v>
          </cell>
          <cell r="AD12">
            <v>312.3</v>
          </cell>
          <cell r="AF12">
            <v>24.4</v>
          </cell>
          <cell r="AG12">
            <v>0</v>
          </cell>
          <cell r="AU12" t="str">
            <v xml:space="preserve"> 2Q</v>
          </cell>
          <cell r="AV12">
            <v>53.9</v>
          </cell>
          <cell r="AX12">
            <v>115.5</v>
          </cell>
          <cell r="AY12">
            <v>52.3</v>
          </cell>
          <cell r="AZ12">
            <v>167.8</v>
          </cell>
          <cell r="BD12">
            <v>20.099999999999998</v>
          </cell>
          <cell r="BF12">
            <v>0</v>
          </cell>
          <cell r="BG12">
            <v>0</v>
          </cell>
          <cell r="BH12">
            <v>0</v>
          </cell>
          <cell r="BI12">
            <v>241.8</v>
          </cell>
          <cell r="BK12">
            <v>87.3</v>
          </cell>
          <cell r="BL12">
            <v>29.5</v>
          </cell>
          <cell r="BM12">
            <v>116.8</v>
          </cell>
          <cell r="BO12">
            <v>0</v>
          </cell>
          <cell r="BP12">
            <v>0</v>
          </cell>
          <cell r="BQ12">
            <v>0</v>
          </cell>
          <cell r="BS12">
            <v>0</v>
          </cell>
          <cell r="BT12">
            <v>0</v>
          </cell>
          <cell r="BV12">
            <v>0</v>
          </cell>
          <cell r="BX12">
            <v>77.12</v>
          </cell>
          <cell r="BY12">
            <v>1214.6199999999999</v>
          </cell>
          <cell r="BZ12">
            <v>104.6</v>
          </cell>
          <cell r="CA12">
            <v>1319.2199999999998</v>
          </cell>
        </row>
        <row r="13">
          <cell r="A13" t="str">
            <v xml:space="preserve"> 3Q</v>
          </cell>
          <cell r="B13">
            <v>420.9</v>
          </cell>
          <cell r="C13">
            <v>122.9</v>
          </cell>
          <cell r="D13">
            <v>543.79999999999995</v>
          </cell>
          <cell r="F13">
            <v>0</v>
          </cell>
          <cell r="G13">
            <v>0</v>
          </cell>
          <cell r="H13">
            <v>0</v>
          </cell>
          <cell r="J13">
            <v>28.599999999999998</v>
          </cell>
          <cell r="L13">
            <v>6.1000000000000476</v>
          </cell>
          <cell r="R13">
            <v>578.5</v>
          </cell>
          <cell r="T13" t="str">
            <v xml:space="preserve"> 3Q</v>
          </cell>
          <cell r="U13">
            <v>63.4</v>
          </cell>
          <cell r="V13">
            <v>99.7</v>
          </cell>
          <cell r="W13">
            <v>163.1</v>
          </cell>
          <cell r="Y13">
            <v>0</v>
          </cell>
          <cell r="Z13">
            <v>38.6</v>
          </cell>
          <cell r="AA13">
            <v>65.2</v>
          </cell>
          <cell r="AB13">
            <v>57.9</v>
          </cell>
          <cell r="AD13">
            <v>324.79999999999995</v>
          </cell>
          <cell r="AF13">
            <v>24.7</v>
          </cell>
          <cell r="AG13">
            <v>0</v>
          </cell>
          <cell r="AU13" t="str">
            <v xml:space="preserve"> 3Q</v>
          </cell>
          <cell r="AV13">
            <v>57.4</v>
          </cell>
          <cell r="AX13">
            <v>114.1</v>
          </cell>
          <cell r="AY13">
            <v>54.9</v>
          </cell>
          <cell r="AZ13">
            <v>169</v>
          </cell>
          <cell r="BD13">
            <v>18.7</v>
          </cell>
          <cell r="BF13">
            <v>0</v>
          </cell>
          <cell r="BG13">
            <v>0</v>
          </cell>
          <cell r="BH13">
            <v>0</v>
          </cell>
          <cell r="BI13">
            <v>245.1</v>
          </cell>
          <cell r="BK13">
            <v>92.85</v>
          </cell>
          <cell r="BL13">
            <v>39</v>
          </cell>
          <cell r="BM13">
            <v>131.85</v>
          </cell>
          <cell r="BO13">
            <v>0</v>
          </cell>
          <cell r="BP13">
            <v>0</v>
          </cell>
          <cell r="BQ13">
            <v>0</v>
          </cell>
          <cell r="BS13">
            <v>0</v>
          </cell>
          <cell r="BT13">
            <v>0</v>
          </cell>
          <cell r="BV13">
            <v>0</v>
          </cell>
          <cell r="BX13">
            <v>65.22</v>
          </cell>
          <cell r="BY13">
            <v>1370.1699999999998</v>
          </cell>
          <cell r="BZ13">
            <v>118.1</v>
          </cell>
          <cell r="CA13">
            <v>1488.2699999999998</v>
          </cell>
        </row>
        <row r="14">
          <cell r="A14" t="str">
            <v xml:space="preserve"> 4Q</v>
          </cell>
          <cell r="B14">
            <v>235</v>
          </cell>
          <cell r="C14">
            <v>141</v>
          </cell>
          <cell r="D14">
            <v>376</v>
          </cell>
          <cell r="F14">
            <v>0</v>
          </cell>
          <cell r="G14">
            <v>0</v>
          </cell>
          <cell r="H14">
            <v>0</v>
          </cell>
          <cell r="J14">
            <v>26.6</v>
          </cell>
          <cell r="L14">
            <v>9.3999999999999986</v>
          </cell>
          <cell r="R14">
            <v>412</v>
          </cell>
          <cell r="T14" t="str">
            <v xml:space="preserve"> 4Q</v>
          </cell>
          <cell r="U14">
            <v>127.9</v>
          </cell>
          <cell r="V14">
            <v>138.69999999999999</v>
          </cell>
          <cell r="W14">
            <v>266.60000000000002</v>
          </cell>
          <cell r="Y14">
            <v>0</v>
          </cell>
          <cell r="Z14">
            <v>39.200000000000003</v>
          </cell>
          <cell r="AA14">
            <v>55.7</v>
          </cell>
          <cell r="AB14">
            <v>58.3</v>
          </cell>
          <cell r="AD14">
            <v>419.8</v>
          </cell>
          <cell r="AF14">
            <v>22.8</v>
          </cell>
          <cell r="AG14">
            <v>0</v>
          </cell>
          <cell r="AU14" t="str">
            <v xml:space="preserve"> 4Q</v>
          </cell>
          <cell r="AV14">
            <v>64.7</v>
          </cell>
          <cell r="AX14">
            <v>124</v>
          </cell>
          <cell r="AY14">
            <v>57.5</v>
          </cell>
          <cell r="AZ14">
            <v>181.5</v>
          </cell>
          <cell r="BD14">
            <v>21.1</v>
          </cell>
          <cell r="BF14">
            <v>0</v>
          </cell>
          <cell r="BG14">
            <v>0</v>
          </cell>
          <cell r="BH14">
            <v>0</v>
          </cell>
          <cell r="BI14">
            <v>267.3</v>
          </cell>
          <cell r="BK14">
            <v>104.8</v>
          </cell>
          <cell r="BL14">
            <v>24.15</v>
          </cell>
          <cell r="BM14">
            <v>128.94999999999999</v>
          </cell>
          <cell r="BO14">
            <v>0</v>
          </cell>
          <cell r="BP14">
            <v>0</v>
          </cell>
          <cell r="BQ14">
            <v>0</v>
          </cell>
          <cell r="BS14">
            <v>0</v>
          </cell>
          <cell r="BT14">
            <v>0</v>
          </cell>
          <cell r="BV14">
            <v>0</v>
          </cell>
          <cell r="BX14">
            <v>90.2</v>
          </cell>
          <cell r="BY14">
            <v>1341.05</v>
          </cell>
          <cell r="BZ14">
            <v>142.5</v>
          </cell>
          <cell r="CA14">
            <v>1483.55</v>
          </cell>
        </row>
        <row r="16">
          <cell r="A16" t="str">
            <v>1994</v>
          </cell>
          <cell r="B16">
            <v>1180.3000000000002</v>
          </cell>
          <cell r="C16">
            <v>485.8</v>
          </cell>
          <cell r="D16">
            <v>1666.1</v>
          </cell>
          <cell r="F16">
            <v>0</v>
          </cell>
          <cell r="G16">
            <v>0</v>
          </cell>
          <cell r="H16">
            <v>0</v>
          </cell>
          <cell r="J16">
            <v>102.80000000000001</v>
          </cell>
          <cell r="L16">
            <v>25.099999999999977</v>
          </cell>
          <cell r="R16">
            <v>1794</v>
          </cell>
          <cell r="T16" t="str">
            <v>1994</v>
          </cell>
          <cell r="U16">
            <v>393.70000000000005</v>
          </cell>
          <cell r="V16">
            <v>418.4</v>
          </cell>
          <cell r="W16">
            <v>812.1</v>
          </cell>
          <cell r="Y16">
            <v>0</v>
          </cell>
          <cell r="Z16">
            <v>140.10000000000002</v>
          </cell>
          <cell r="AA16">
            <v>248.89999999999998</v>
          </cell>
          <cell r="AB16">
            <v>231.89999999999998</v>
          </cell>
          <cell r="AD16">
            <v>1433</v>
          </cell>
          <cell r="AF16">
            <v>102</v>
          </cell>
          <cell r="AG16">
            <v>0</v>
          </cell>
          <cell r="AM16">
            <v>0</v>
          </cell>
          <cell r="AN16">
            <v>0</v>
          </cell>
          <cell r="AO16">
            <v>0</v>
          </cell>
          <cell r="AU16" t="str">
            <v>1994</v>
          </cell>
          <cell r="AV16">
            <v>225.7</v>
          </cell>
          <cell r="AX16">
            <v>452.29999999999995</v>
          </cell>
          <cell r="AY16">
            <v>212.7</v>
          </cell>
          <cell r="AZ16">
            <v>665</v>
          </cell>
          <cell r="BD16">
            <v>78.099999999999994</v>
          </cell>
          <cell r="BF16">
            <v>0</v>
          </cell>
          <cell r="BG16">
            <v>0</v>
          </cell>
          <cell r="BH16">
            <v>0</v>
          </cell>
          <cell r="BI16">
            <v>968.80000000000007</v>
          </cell>
          <cell r="BK16">
            <v>364.15000000000003</v>
          </cell>
          <cell r="BL16">
            <v>123.25</v>
          </cell>
          <cell r="BM16">
            <v>487.40000000000003</v>
          </cell>
          <cell r="BO16">
            <v>0</v>
          </cell>
          <cell r="BP16">
            <v>0</v>
          </cell>
          <cell r="BQ16">
            <v>0</v>
          </cell>
          <cell r="BS16">
            <v>0</v>
          </cell>
          <cell r="BT16">
            <v>0</v>
          </cell>
          <cell r="BV16">
            <v>0</v>
          </cell>
          <cell r="BX16">
            <v>299.46000000000004</v>
          </cell>
          <cell r="BY16">
            <v>5084.66</v>
          </cell>
          <cell r="BZ16">
            <v>473.29999999999995</v>
          </cell>
          <cell r="CA16">
            <v>5557.96</v>
          </cell>
        </row>
        <row r="18">
          <cell r="A18" t="str">
            <v>1995/94</v>
          </cell>
          <cell r="T18" t="str">
            <v>1995/94</v>
          </cell>
          <cell r="AU18" t="str">
            <v>1995/94</v>
          </cell>
        </row>
        <row r="19">
          <cell r="A19" t="str">
            <v xml:space="preserve"> 1Q</v>
          </cell>
          <cell r="B19">
            <v>0.33134582623509373</v>
          </cell>
          <cell r="C19">
            <v>0.42814667988107025</v>
          </cell>
          <cell r="D19">
            <v>0.36044086982424778</v>
          </cell>
          <cell r="F19" t="str">
            <v>NM</v>
          </cell>
          <cell r="G19" t="str">
            <v>NM</v>
          </cell>
          <cell r="H19" t="str">
            <v>NM</v>
          </cell>
          <cell r="J19">
            <v>0.28971962616822444</v>
          </cell>
          <cell r="L19">
            <v>1.5238095238095268</v>
          </cell>
          <cell r="R19">
            <v>0.36977580957652911</v>
          </cell>
          <cell r="T19" t="str">
            <v xml:space="preserve"> 1Q</v>
          </cell>
          <cell r="U19">
            <v>0.1000841042893188</v>
          </cell>
          <cell r="V19">
            <v>0.49780701754385953</v>
          </cell>
          <cell r="W19">
            <v>0.27272727272727249</v>
          </cell>
          <cell r="Y19" t="str">
            <v>NM</v>
          </cell>
          <cell r="Z19">
            <v>0.37894736842105275</v>
          </cell>
          <cell r="AA19">
            <v>-1.9293478260869398E-2</v>
          </cell>
          <cell r="AB19">
            <v>0.11935483870967752</v>
          </cell>
          <cell r="AD19">
            <v>0.20180802977931395</v>
          </cell>
          <cell r="AF19">
            <v>-0.16611295681063123</v>
          </cell>
          <cell r="AG19" t="str">
            <v>NM</v>
          </cell>
          <cell r="AU19" t="str">
            <v xml:space="preserve"> 1Q</v>
          </cell>
          <cell r="AV19">
            <v>0.14084507042253505</v>
          </cell>
          <cell r="AX19">
            <v>0.55521783181357642</v>
          </cell>
          <cell r="AY19">
            <v>0.23749999999999996</v>
          </cell>
          <cell r="AZ19">
            <v>0.45126107702794832</v>
          </cell>
          <cell r="BD19">
            <v>0.23626373626373631</v>
          </cell>
          <cell r="BF19" t="str">
            <v>NM</v>
          </cell>
          <cell r="BG19" t="str">
            <v>NM</v>
          </cell>
          <cell r="BH19" t="str">
            <v>NM</v>
          </cell>
          <cell r="BI19">
            <v>0.36113699906803387</v>
          </cell>
          <cell r="BK19">
            <v>0.37373737373737365</v>
          </cell>
          <cell r="BL19">
            <v>0.12091503267973842</v>
          </cell>
          <cell r="BM19">
            <v>0.30327868852459</v>
          </cell>
          <cell r="BO19" t="str">
            <v>NM</v>
          </cell>
          <cell r="BP19" t="str">
            <v>NM</v>
          </cell>
          <cell r="BQ19" t="str">
            <v>NM</v>
          </cell>
          <cell r="BS19" t="str">
            <v>NM</v>
          </cell>
          <cell r="BT19" t="str">
            <v>NM</v>
          </cell>
          <cell r="BV19" t="str">
            <v>NM</v>
          </cell>
          <cell r="BX19">
            <v>-0.1497310221159594</v>
          </cell>
          <cell r="BY19">
            <v>0.27301910564194576</v>
          </cell>
          <cell r="BZ19">
            <v>0.14893617021276576</v>
          </cell>
          <cell r="CA19">
            <v>0.26243172418147931</v>
          </cell>
        </row>
        <row r="20">
          <cell r="A20" t="str">
            <v xml:space="preserve"> 2Q</v>
          </cell>
          <cell r="B20">
            <v>0.22651933701657445</v>
          </cell>
          <cell r="C20">
            <v>0.30743801652892555</v>
          </cell>
          <cell r="D20">
            <v>0.25036531904529946</v>
          </cell>
          <cell r="F20" t="str">
            <v>NM</v>
          </cell>
          <cell r="G20" t="str">
            <v>NM</v>
          </cell>
          <cell r="H20" t="str">
            <v>NM</v>
          </cell>
          <cell r="J20">
            <v>1.1450381679389204E-2</v>
          </cell>
          <cell r="L20">
            <v>1.7407407407407722</v>
          </cell>
          <cell r="R20">
            <v>0.25440976933514259</v>
          </cell>
          <cell r="T20" t="str">
            <v xml:space="preserve"> 2Q</v>
          </cell>
          <cell r="U20">
            <v>-0.548502994011976</v>
          </cell>
          <cell r="V20">
            <v>0.30405405405405406</v>
          </cell>
          <cell r="W20">
            <v>-0.10911201392919333</v>
          </cell>
          <cell r="Y20" t="str">
            <v>NM</v>
          </cell>
          <cell r="Z20">
            <v>0.27335423197492159</v>
          </cell>
          <cell r="AA20">
            <v>0.51250000000000007</v>
          </cell>
          <cell r="AB20">
            <v>0.22998137802607063</v>
          </cell>
          <cell r="AD20">
            <v>0.10358629522894641</v>
          </cell>
          <cell r="AF20">
            <v>0.30327868852459028</v>
          </cell>
          <cell r="AG20" t="str">
            <v>NM</v>
          </cell>
          <cell r="AU20" t="str">
            <v xml:space="preserve"> 2Q</v>
          </cell>
          <cell r="AV20">
            <v>0.31539888682745837</v>
          </cell>
          <cell r="AX20">
            <v>-9.4372294372294427E-2</v>
          </cell>
          <cell r="AY20">
            <v>0.30401529636711294</v>
          </cell>
          <cell r="AZ20">
            <v>2.9797377830750892E-2</v>
          </cell>
          <cell r="BD20">
            <v>-9.9502487562188706E-3</v>
          </cell>
          <cell r="BF20" t="str">
            <v>NM</v>
          </cell>
          <cell r="BG20" t="str">
            <v>NM</v>
          </cell>
          <cell r="BH20" t="str">
            <v>NM</v>
          </cell>
          <cell r="BI20">
            <v>9.0157154673283751E-2</v>
          </cell>
          <cell r="BK20">
            <v>-2.6345933562428377E-2</v>
          </cell>
          <cell r="BL20">
            <v>0.31525423728813551</v>
          </cell>
          <cell r="BM20">
            <v>5.9931506849315072E-2</v>
          </cell>
          <cell r="BO20" t="str">
            <v>NM</v>
          </cell>
          <cell r="BP20" t="str">
            <v>NM</v>
          </cell>
          <cell r="BQ20" t="str">
            <v>NM</v>
          </cell>
          <cell r="BS20" t="str">
            <v>NM</v>
          </cell>
          <cell r="BT20" t="str">
            <v>NM</v>
          </cell>
          <cell r="BV20" t="str">
            <v>NM</v>
          </cell>
          <cell r="BX20">
            <v>-7.3521784232365162E-2</v>
          </cell>
          <cell r="BY20">
            <v>0.15616406777428338</v>
          </cell>
          <cell r="BZ20">
            <v>0.14244741873804978</v>
          </cell>
          <cell r="CA20">
            <v>0.1550764845893787</v>
          </cell>
        </row>
        <row r="21">
          <cell r="A21" t="str">
            <v xml:space="preserve"> 3Q</v>
          </cell>
          <cell r="B21">
            <v>2.0432406747446005E-2</v>
          </cell>
          <cell r="C21">
            <v>0.23026851098454013</v>
          </cell>
          <cell r="D21">
            <v>6.7855829349025551E-2</v>
          </cell>
          <cell r="F21" t="str">
            <v>NM</v>
          </cell>
          <cell r="G21" t="str">
            <v>NM</v>
          </cell>
          <cell r="H21" t="str">
            <v>NM</v>
          </cell>
          <cell r="J21">
            <v>-0.11188811188811187</v>
          </cell>
          <cell r="L21">
            <v>1.4754098360655548</v>
          </cell>
          <cell r="R21">
            <v>7.3811581676750296E-2</v>
          </cell>
          <cell r="T21" t="str">
            <v xml:space="preserve"> 3Q</v>
          </cell>
          <cell r="U21">
            <v>-0.70977917981072558</v>
          </cell>
          <cell r="V21">
            <v>1.0030090270811867E-3</v>
          </cell>
          <cell r="W21">
            <v>-0.27529123237277747</v>
          </cell>
          <cell r="Y21" t="str">
            <v>NM</v>
          </cell>
          <cell r="Z21">
            <v>-2.4870466321243543E-2</v>
          </cell>
          <cell r="AA21">
            <v>-0.11687116564417184</v>
          </cell>
          <cell r="AB21">
            <v>-6.8739205526770236E-2</v>
          </cell>
          <cell r="AD21">
            <v>-0.15431034482758624</v>
          </cell>
          <cell r="AF21">
            <v>0.125506072874494</v>
          </cell>
          <cell r="AG21" t="str">
            <v>NM</v>
          </cell>
          <cell r="AU21" t="str">
            <v xml:space="preserve"> 3Q</v>
          </cell>
          <cell r="AV21">
            <v>0.14982578397212545</v>
          </cell>
          <cell r="AX21">
            <v>0.12708150744960561</v>
          </cell>
          <cell r="AY21">
            <v>0.22404371584699462</v>
          </cell>
          <cell r="AZ21">
            <v>0.15857988165680481</v>
          </cell>
          <cell r="BD21">
            <v>1.0695187165775364E-2</v>
          </cell>
          <cell r="BF21" t="str">
            <v>NM</v>
          </cell>
          <cell r="BG21" t="str">
            <v>NM</v>
          </cell>
          <cell r="BH21" t="str">
            <v>NM</v>
          </cell>
          <cell r="BI21">
            <v>0.14524683802529578</v>
          </cell>
          <cell r="BK21">
            <v>9.1007000538502997E-2</v>
          </cell>
          <cell r="BL21">
            <v>-0.21025641025641023</v>
          </cell>
          <cell r="BM21">
            <v>1.8960940462646948E-3</v>
          </cell>
          <cell r="BO21" t="str">
            <v>NM</v>
          </cell>
          <cell r="BP21" t="str">
            <v>NM</v>
          </cell>
          <cell r="BQ21" t="str">
            <v>NM</v>
          </cell>
          <cell r="BS21" t="str">
            <v>NM</v>
          </cell>
          <cell r="BT21" t="str">
            <v>NM</v>
          </cell>
          <cell r="BV21" t="str">
            <v>NM</v>
          </cell>
          <cell r="BX21">
            <v>-4.0171726464274721E-2</v>
          </cell>
          <cell r="BY21">
            <v>3.3360823839377461E-2</v>
          </cell>
          <cell r="BZ21">
            <v>6.8585944115156727E-2</v>
          </cell>
          <cell r="CA21">
            <v>3.6156073830689292E-2</v>
          </cell>
        </row>
        <row r="22">
          <cell r="A22" t="str">
            <v xml:space="preserve"> 4Q</v>
          </cell>
          <cell r="B22">
            <v>0.45148936170212778</v>
          </cell>
          <cell r="C22">
            <v>0.23333333333333336</v>
          </cell>
          <cell r="D22">
            <v>0.36968085106382981</v>
          </cell>
          <cell r="F22" t="str">
            <v>NM</v>
          </cell>
          <cell r="G22" t="str">
            <v>NM</v>
          </cell>
          <cell r="H22" t="str">
            <v>NM</v>
          </cell>
          <cell r="J22">
            <v>7.5187969924812026E-2</v>
          </cell>
          <cell r="L22">
            <v>1.1063829787234021</v>
          </cell>
          <cell r="R22">
            <v>0.36747572815533974</v>
          </cell>
          <cell r="T22" t="str">
            <v xml:space="preserve"> 4Q</v>
          </cell>
          <cell r="U22">
            <v>-0.68256450351837383</v>
          </cell>
          <cell r="V22">
            <v>2.7397260273972688E-2</v>
          </cell>
          <cell r="W22">
            <v>-0.31320330082520637</v>
          </cell>
          <cell r="Y22" t="str">
            <v>NM</v>
          </cell>
          <cell r="Z22">
            <v>0.19642857142857148</v>
          </cell>
          <cell r="AA22">
            <v>0.19389587073608611</v>
          </cell>
          <cell r="AB22">
            <v>0.14579759862778732</v>
          </cell>
          <cell r="AD22">
            <v>-0.10290614578370649</v>
          </cell>
          <cell r="AF22">
            <v>0.21929824561403508</v>
          </cell>
          <cell r="AG22" t="str">
            <v>NM</v>
          </cell>
          <cell r="AU22" t="str">
            <v xml:space="preserve"> 4Q</v>
          </cell>
          <cell r="AV22">
            <v>0.168469860896445</v>
          </cell>
          <cell r="AX22">
            <v>0.12580645161290319</v>
          </cell>
          <cell r="AY22">
            <v>0.26956521739130435</v>
          </cell>
          <cell r="AZ22">
            <v>0.17134986225895313</v>
          </cell>
          <cell r="BD22">
            <v>0</v>
          </cell>
          <cell r="BF22" t="str">
            <v>NM</v>
          </cell>
          <cell r="BG22" t="str">
            <v>NM</v>
          </cell>
          <cell r="BH22" t="str">
            <v>NM</v>
          </cell>
          <cell r="BI22">
            <v>0.15712682379349047</v>
          </cell>
          <cell r="BK22">
            <v>7.0610687022900825E-2</v>
          </cell>
          <cell r="BL22">
            <v>0.53623188405797118</v>
          </cell>
          <cell r="BM22">
            <v>0.15781310585498273</v>
          </cell>
          <cell r="BO22" t="str">
            <v>NM</v>
          </cell>
          <cell r="BP22" t="str">
            <v>NM</v>
          </cell>
          <cell r="BQ22" t="str">
            <v>NM</v>
          </cell>
          <cell r="BS22" t="str">
            <v>NM</v>
          </cell>
          <cell r="BT22" t="str">
            <v>NM</v>
          </cell>
          <cell r="BV22" t="str">
            <v>NM</v>
          </cell>
          <cell r="BX22">
            <v>-0.2328159645232816</v>
          </cell>
          <cell r="BY22">
            <v>0.13321650945154906</v>
          </cell>
          <cell r="BZ22">
            <v>6.7368421052631536E-2</v>
          </cell>
          <cell r="CA22">
            <v>0.12689157763472736</v>
          </cell>
        </row>
        <row r="24">
          <cell r="A24" t="str">
            <v>1995/94</v>
          </cell>
          <cell r="B24">
            <v>0.21867321867321857</v>
          </cell>
          <cell r="C24">
            <v>0.29147797447509255</v>
          </cell>
          <cell r="D24">
            <v>0.23990156653262126</v>
          </cell>
          <cell r="F24" t="str">
            <v>NM</v>
          </cell>
          <cell r="G24" t="str">
            <v>NM</v>
          </cell>
          <cell r="H24" t="str">
            <v>NM</v>
          </cell>
          <cell r="J24">
            <v>5.1556420233462866E-2</v>
          </cell>
          <cell r="L24">
            <v>1.4023904382470134</v>
          </cell>
          <cell r="R24" t="str">
            <v>NM</v>
          </cell>
          <cell r="T24" t="str">
            <v>1995/94</v>
          </cell>
          <cell r="U24">
            <v>-0.42214884429768867</v>
          </cell>
          <cell r="V24">
            <v>0.1823613766730402</v>
          </cell>
          <cell r="W24">
            <v>-0.11070065262898669</v>
          </cell>
          <cell r="Y24" t="str">
            <v>NM</v>
          </cell>
          <cell r="Z24">
            <v>0.19257673090649505</v>
          </cell>
          <cell r="AA24">
            <v>0.11908396946564904</v>
          </cell>
          <cell r="AB24">
            <v>0.10465717981888763</v>
          </cell>
          <cell r="AD24">
            <v>1.0418702023726334E-2</v>
          </cell>
          <cell r="AF24">
            <v>0.10294117647058823</v>
          </cell>
          <cell r="AG24" t="str">
            <v>NM</v>
          </cell>
          <cell r="AM24" t="str">
            <v>NM</v>
          </cell>
          <cell r="AN24" t="str">
            <v>NM</v>
          </cell>
          <cell r="AO24" t="str">
            <v>NM</v>
          </cell>
          <cell r="AU24" t="str">
            <v>1995/94</v>
          </cell>
          <cell r="AV24">
            <v>0.19273371732388128</v>
          </cell>
          <cell r="AX24">
            <v>0.16360822462967084</v>
          </cell>
          <cell r="AY24">
            <v>0.25905030559473446</v>
          </cell>
          <cell r="AZ24">
            <v>0.19413533834586469</v>
          </cell>
          <cell r="BD24">
            <v>5.5057618437900274E-2</v>
          </cell>
          <cell r="BF24" t="str">
            <v>NM</v>
          </cell>
          <cell r="BG24" t="str">
            <v>NM</v>
          </cell>
          <cell r="BH24" t="str">
            <v>NM</v>
          </cell>
          <cell r="BI24">
            <v>0.18259702725020641</v>
          </cell>
          <cell r="BK24">
            <v>0.11849512563504043</v>
          </cell>
          <cell r="BL24">
            <v>0.1440162271805274</v>
          </cell>
          <cell r="BM24">
            <v>0.12494870742716438</v>
          </cell>
          <cell r="BO24" t="str">
            <v>NM</v>
          </cell>
          <cell r="BP24" t="str">
            <v>NM</v>
          </cell>
          <cell r="BQ24" t="str">
            <v>NM</v>
          </cell>
          <cell r="BS24" t="str">
            <v>NM</v>
          </cell>
          <cell r="BT24" t="str">
            <v>NM</v>
          </cell>
          <cell r="BV24" t="str">
            <v>NM</v>
          </cell>
          <cell r="BX24">
            <v>-0.13126961864689793</v>
          </cell>
          <cell r="BY24">
            <v>0.14365168959183094</v>
          </cell>
          <cell r="BZ24">
            <v>0.10289457004014378</v>
          </cell>
          <cell r="CA24">
            <v>0.14018092969362858</v>
          </cell>
        </row>
        <row r="26">
          <cell r="A26" t="str">
            <v>1995</v>
          </cell>
          <cell r="T26" t="str">
            <v>1995</v>
          </cell>
          <cell r="AU26" t="str">
            <v>1995</v>
          </cell>
        </row>
        <row r="27">
          <cell r="A27" t="str">
            <v xml:space="preserve"> 1Q</v>
          </cell>
          <cell r="B27">
            <v>312.60000000000002</v>
          </cell>
          <cell r="C27">
            <v>144.1</v>
          </cell>
          <cell r="D27">
            <v>456.70000000000005</v>
          </cell>
          <cell r="F27">
            <v>0</v>
          </cell>
          <cell r="G27">
            <v>0</v>
          </cell>
          <cell r="H27">
            <v>0</v>
          </cell>
          <cell r="J27">
            <v>27.6</v>
          </cell>
          <cell r="L27">
            <v>10.59999999999993</v>
          </cell>
          <cell r="R27">
            <v>494.9</v>
          </cell>
          <cell r="T27" t="str">
            <v xml:space="preserve"> 1Q</v>
          </cell>
          <cell r="U27">
            <v>130.80000000000001</v>
          </cell>
          <cell r="V27">
            <v>136.6</v>
          </cell>
          <cell r="W27">
            <v>267.39999999999998</v>
          </cell>
          <cell r="Y27">
            <v>1.1000000000000001</v>
          </cell>
          <cell r="Z27">
            <v>41.92</v>
          </cell>
          <cell r="AA27">
            <v>72.180000000000007</v>
          </cell>
          <cell r="AB27">
            <v>69.400000000000006</v>
          </cell>
          <cell r="AD27">
            <v>452</v>
          </cell>
          <cell r="AF27">
            <v>25.1</v>
          </cell>
          <cell r="AG27">
            <v>1</v>
          </cell>
          <cell r="AM27">
            <v>0</v>
          </cell>
          <cell r="AN27">
            <v>0</v>
          </cell>
          <cell r="AO27">
            <v>0</v>
          </cell>
          <cell r="AU27" t="str">
            <v xml:space="preserve"> 1Q</v>
          </cell>
          <cell r="AV27">
            <v>56.699999999999996</v>
          </cell>
          <cell r="AX27">
            <v>153.5</v>
          </cell>
          <cell r="AY27">
            <v>59.4</v>
          </cell>
          <cell r="AZ27">
            <v>212.9</v>
          </cell>
          <cell r="BD27">
            <v>22.5</v>
          </cell>
          <cell r="BF27">
            <v>0</v>
          </cell>
          <cell r="BG27">
            <v>0</v>
          </cell>
          <cell r="BH27">
            <v>0</v>
          </cell>
          <cell r="BI27">
            <v>292.10000000000002</v>
          </cell>
          <cell r="BK27">
            <v>108.8</v>
          </cell>
          <cell r="BL27">
            <v>34.299999999999997</v>
          </cell>
          <cell r="BM27">
            <v>143.1</v>
          </cell>
          <cell r="BO27">
            <v>0</v>
          </cell>
          <cell r="BP27">
            <v>0.1</v>
          </cell>
          <cell r="BQ27">
            <v>0.1</v>
          </cell>
          <cell r="BS27">
            <v>10</v>
          </cell>
          <cell r="BT27">
            <v>10.1</v>
          </cell>
          <cell r="BV27">
            <v>0</v>
          </cell>
          <cell r="BX27">
            <v>56.9</v>
          </cell>
          <cell r="BY27">
            <v>1475.1999999999998</v>
          </cell>
          <cell r="BZ27">
            <v>124.19999999999999</v>
          </cell>
          <cell r="CA27">
            <v>1599.3999999999999</v>
          </cell>
        </row>
        <row r="28">
          <cell r="A28" t="str">
            <v xml:space="preserve"> 2Q</v>
          </cell>
          <cell r="B28">
            <v>355.2</v>
          </cell>
          <cell r="C28">
            <v>158.19999999999999</v>
          </cell>
          <cell r="D28">
            <v>513.4</v>
          </cell>
          <cell r="F28">
            <v>0</v>
          </cell>
          <cell r="G28">
            <v>0</v>
          </cell>
          <cell r="H28">
            <v>0</v>
          </cell>
          <cell r="J28">
            <v>26.5</v>
          </cell>
          <cell r="L28">
            <v>14.800000000000068</v>
          </cell>
          <cell r="R28">
            <v>554.70000000000005</v>
          </cell>
          <cell r="T28" t="str">
            <v xml:space="preserve"> 2Q</v>
          </cell>
          <cell r="U28">
            <v>37.700000000000003</v>
          </cell>
          <cell r="V28">
            <v>115.8</v>
          </cell>
          <cell r="W28">
            <v>153.5</v>
          </cell>
          <cell r="Y28">
            <v>2.2000000000000002</v>
          </cell>
          <cell r="Z28">
            <v>40.619999999999997</v>
          </cell>
          <cell r="AA28">
            <v>82.28</v>
          </cell>
          <cell r="AB28">
            <v>66.05</v>
          </cell>
          <cell r="AD28">
            <v>344.65</v>
          </cell>
          <cell r="AF28">
            <v>31.8</v>
          </cell>
          <cell r="AG28">
            <v>3</v>
          </cell>
          <cell r="AM28">
            <v>0</v>
          </cell>
          <cell r="AN28">
            <v>0</v>
          </cell>
          <cell r="AO28">
            <v>0</v>
          </cell>
          <cell r="AU28" t="str">
            <v xml:space="preserve"> 2Q</v>
          </cell>
          <cell r="AV28">
            <v>70.900000000000006</v>
          </cell>
          <cell r="AX28">
            <v>104.6</v>
          </cell>
          <cell r="AY28">
            <v>68.2</v>
          </cell>
          <cell r="AZ28">
            <v>172.8</v>
          </cell>
          <cell r="BD28">
            <v>19.899999999999999</v>
          </cell>
          <cell r="BF28">
            <v>0</v>
          </cell>
          <cell r="BG28">
            <v>0</v>
          </cell>
          <cell r="BH28">
            <v>0</v>
          </cell>
          <cell r="BI28">
            <v>263.60000000000002</v>
          </cell>
          <cell r="BK28">
            <v>85</v>
          </cell>
          <cell r="BL28">
            <v>38.799999999999997</v>
          </cell>
          <cell r="BM28">
            <v>123.8</v>
          </cell>
          <cell r="BO28">
            <v>0</v>
          </cell>
          <cell r="BP28">
            <v>0.3</v>
          </cell>
          <cell r="BQ28">
            <v>0.3</v>
          </cell>
          <cell r="BS28">
            <v>11</v>
          </cell>
          <cell r="BT28">
            <v>11.3</v>
          </cell>
          <cell r="BV28">
            <v>0</v>
          </cell>
          <cell r="BX28">
            <v>71.45</v>
          </cell>
          <cell r="BY28">
            <v>1404.3</v>
          </cell>
          <cell r="BZ28">
            <v>119.5</v>
          </cell>
          <cell r="CA28">
            <v>1523.8</v>
          </cell>
        </row>
        <row r="29">
          <cell r="A29" t="str">
            <v xml:space="preserve"> 3Q</v>
          </cell>
          <cell r="B29">
            <v>429.5</v>
          </cell>
          <cell r="C29">
            <v>151.19999999999999</v>
          </cell>
          <cell r="D29">
            <v>580.70000000000005</v>
          </cell>
          <cell r="F29">
            <v>0</v>
          </cell>
          <cell r="G29">
            <v>0</v>
          </cell>
          <cell r="H29">
            <v>0</v>
          </cell>
          <cell r="J29">
            <v>25.4</v>
          </cell>
          <cell r="L29">
            <v>15.100000000000001</v>
          </cell>
          <cell r="R29">
            <v>621.20000000000005</v>
          </cell>
          <cell r="T29" t="str">
            <v xml:space="preserve"> 3Q</v>
          </cell>
          <cell r="U29">
            <v>18.399999999999999</v>
          </cell>
          <cell r="V29">
            <v>99.8</v>
          </cell>
          <cell r="W29">
            <v>118.19999999999999</v>
          </cell>
          <cell r="Y29">
            <v>7.34</v>
          </cell>
          <cell r="Z29">
            <v>37.64</v>
          </cell>
          <cell r="AA29">
            <v>57.58</v>
          </cell>
          <cell r="AB29">
            <v>53.92</v>
          </cell>
          <cell r="AD29">
            <v>274.67999999999995</v>
          </cell>
          <cell r="AF29">
            <v>27.8</v>
          </cell>
          <cell r="AG29">
            <v>6.5</v>
          </cell>
          <cell r="AM29">
            <v>0</v>
          </cell>
          <cell r="AN29">
            <v>0</v>
          </cell>
          <cell r="AO29">
            <v>0</v>
          </cell>
          <cell r="AU29" t="str">
            <v xml:space="preserve"> 3Q</v>
          </cell>
          <cell r="AV29">
            <v>66</v>
          </cell>
          <cell r="AX29">
            <v>128.6</v>
          </cell>
          <cell r="AY29">
            <v>67.2</v>
          </cell>
          <cell r="AZ29">
            <v>195.8</v>
          </cell>
          <cell r="BD29">
            <v>18.899999999999999</v>
          </cell>
          <cell r="BF29">
            <v>0</v>
          </cell>
          <cell r="BG29">
            <v>0</v>
          </cell>
          <cell r="BH29">
            <v>0</v>
          </cell>
          <cell r="BI29">
            <v>280.7</v>
          </cell>
          <cell r="BK29">
            <v>101.3</v>
          </cell>
          <cell r="BL29">
            <v>30.8</v>
          </cell>
          <cell r="BM29">
            <v>132.1</v>
          </cell>
          <cell r="BO29">
            <v>0</v>
          </cell>
          <cell r="BP29">
            <v>1.3</v>
          </cell>
          <cell r="BQ29">
            <v>1.3</v>
          </cell>
          <cell r="BS29">
            <v>9</v>
          </cell>
          <cell r="BT29">
            <v>10.3</v>
          </cell>
          <cell r="BV29">
            <v>0</v>
          </cell>
          <cell r="BX29">
            <v>62.6</v>
          </cell>
          <cell r="BY29">
            <v>1415.8799999999997</v>
          </cell>
          <cell r="BZ29">
            <v>126.2</v>
          </cell>
          <cell r="CA29">
            <v>1542.0799999999997</v>
          </cell>
        </row>
        <row r="30">
          <cell r="A30" t="str">
            <v xml:space="preserve"> 4Q</v>
          </cell>
          <cell r="B30">
            <v>341.1</v>
          </cell>
          <cell r="C30">
            <v>173.9</v>
          </cell>
          <cell r="D30">
            <v>515</v>
          </cell>
          <cell r="F30">
            <v>0</v>
          </cell>
          <cell r="G30">
            <v>0</v>
          </cell>
          <cell r="H30">
            <v>0</v>
          </cell>
          <cell r="J30">
            <v>28.6</v>
          </cell>
          <cell r="L30">
            <v>19.799999999999976</v>
          </cell>
          <cell r="R30">
            <v>563.4</v>
          </cell>
          <cell r="T30" t="str">
            <v xml:space="preserve"> 4Q</v>
          </cell>
          <cell r="U30">
            <v>40.6</v>
          </cell>
          <cell r="V30">
            <v>142.5</v>
          </cell>
          <cell r="W30">
            <v>183.1</v>
          </cell>
          <cell r="Y30">
            <v>13.3</v>
          </cell>
          <cell r="Z30">
            <v>46.900000000000006</v>
          </cell>
          <cell r="AA30">
            <v>66.5</v>
          </cell>
          <cell r="AB30">
            <v>66.8</v>
          </cell>
          <cell r="AD30">
            <v>376.6</v>
          </cell>
          <cell r="AF30">
            <v>27.8</v>
          </cell>
          <cell r="AG30">
            <v>12.3</v>
          </cell>
          <cell r="AM30">
            <v>0</v>
          </cell>
          <cell r="AN30">
            <v>0</v>
          </cell>
          <cell r="AO30">
            <v>0</v>
          </cell>
          <cell r="AU30" t="str">
            <v xml:space="preserve"> 4Q</v>
          </cell>
          <cell r="AV30">
            <v>75.599999999999994</v>
          </cell>
          <cell r="AX30">
            <v>139.6</v>
          </cell>
          <cell r="AY30">
            <v>73</v>
          </cell>
          <cell r="AZ30">
            <v>212.6</v>
          </cell>
          <cell r="BD30">
            <v>21.1</v>
          </cell>
          <cell r="BF30">
            <v>0</v>
          </cell>
          <cell r="BG30">
            <v>0</v>
          </cell>
          <cell r="BH30">
            <v>0</v>
          </cell>
          <cell r="BI30">
            <v>309.3</v>
          </cell>
          <cell r="BK30">
            <v>112.2</v>
          </cell>
          <cell r="BL30">
            <v>37.1</v>
          </cell>
          <cell r="BM30">
            <v>149.30000000000001</v>
          </cell>
          <cell r="BO30">
            <v>0</v>
          </cell>
          <cell r="BP30">
            <v>2.7</v>
          </cell>
          <cell r="BQ30">
            <v>2.7</v>
          </cell>
          <cell r="BS30">
            <v>9.1</v>
          </cell>
          <cell r="BT30">
            <v>11.8</v>
          </cell>
          <cell r="BV30">
            <v>0</v>
          </cell>
          <cell r="BX30">
            <v>69.2</v>
          </cell>
          <cell r="BY30">
            <v>1519.6999999999998</v>
          </cell>
          <cell r="BZ30">
            <v>152.1</v>
          </cell>
          <cell r="CA30">
            <v>1671.7999999999997</v>
          </cell>
        </row>
        <row r="32">
          <cell r="A32" t="str">
            <v>1995</v>
          </cell>
          <cell r="B32">
            <v>1438.4</v>
          </cell>
          <cell r="C32">
            <v>627.4</v>
          </cell>
          <cell r="D32">
            <v>2065.8000000000002</v>
          </cell>
          <cell r="F32">
            <v>0</v>
          </cell>
          <cell r="G32">
            <v>0</v>
          </cell>
          <cell r="H32">
            <v>0</v>
          </cell>
          <cell r="I32">
            <v>0</v>
          </cell>
          <cell r="J32">
            <v>108.1</v>
          </cell>
          <cell r="K32">
            <v>0</v>
          </cell>
          <cell r="L32">
            <v>60.299999999999976</v>
          </cell>
          <cell r="M32">
            <v>0</v>
          </cell>
          <cell r="R32">
            <v>2234.1999999999998</v>
          </cell>
          <cell r="T32" t="str">
            <v>1995</v>
          </cell>
          <cell r="U32">
            <v>227.5</v>
          </cell>
          <cell r="V32">
            <v>494.7</v>
          </cell>
          <cell r="W32">
            <v>722.19999999999993</v>
          </cell>
          <cell r="Y32">
            <v>23.94</v>
          </cell>
          <cell r="Z32">
            <v>167.07999999999998</v>
          </cell>
          <cell r="AA32">
            <v>278.54000000000002</v>
          </cell>
          <cell r="AB32">
            <v>256.17</v>
          </cell>
          <cell r="AD32">
            <v>1447.9299999999998</v>
          </cell>
          <cell r="AF32">
            <v>112.5</v>
          </cell>
          <cell r="AG32">
            <v>22.8</v>
          </cell>
          <cell r="AM32">
            <v>0</v>
          </cell>
          <cell r="AN32">
            <v>0</v>
          </cell>
          <cell r="AO32">
            <v>0</v>
          </cell>
          <cell r="AU32" t="str">
            <v>1995</v>
          </cell>
          <cell r="AV32">
            <v>269.2</v>
          </cell>
          <cell r="AX32">
            <v>526.30000000000007</v>
          </cell>
          <cell r="AY32">
            <v>267.8</v>
          </cell>
          <cell r="AZ32">
            <v>794.1</v>
          </cell>
          <cell r="BD32">
            <v>82.4</v>
          </cell>
          <cell r="BF32">
            <v>0</v>
          </cell>
          <cell r="BG32">
            <v>0</v>
          </cell>
          <cell r="BH32">
            <v>0</v>
          </cell>
          <cell r="BI32">
            <v>1145.7</v>
          </cell>
          <cell r="BK32">
            <v>407.3</v>
          </cell>
          <cell r="BL32">
            <v>141</v>
          </cell>
          <cell r="BM32">
            <v>548.29999999999995</v>
          </cell>
          <cell r="BO32">
            <v>0</v>
          </cell>
          <cell r="BP32">
            <v>4.4000000000000004</v>
          </cell>
          <cell r="BQ32">
            <v>4.4000000000000004</v>
          </cell>
          <cell r="BS32">
            <v>39.1</v>
          </cell>
          <cell r="BT32">
            <v>43.5</v>
          </cell>
          <cell r="BV32">
            <v>0</v>
          </cell>
          <cell r="BX32">
            <v>260.14999999999998</v>
          </cell>
          <cell r="BY32">
            <v>5815.079999999999</v>
          </cell>
          <cell r="BZ32">
            <v>522</v>
          </cell>
          <cell r="CA32">
            <v>6337.08</v>
          </cell>
        </row>
        <row r="34">
          <cell r="A34" t="str">
            <v>1996/95</v>
          </cell>
          <cell r="T34" t="str">
            <v>1996/95</v>
          </cell>
          <cell r="AU34" t="str">
            <v>1996/95</v>
          </cell>
        </row>
        <row r="35">
          <cell r="A35" t="str">
            <v xml:space="preserve"> 1Q</v>
          </cell>
          <cell r="B35">
            <v>0.35988483685220729</v>
          </cell>
          <cell r="C35">
            <v>6.6620402498265063E-2</v>
          </cell>
          <cell r="D35">
            <v>0.26735274797460018</v>
          </cell>
          <cell r="F35" t="str">
            <v>NM</v>
          </cell>
          <cell r="G35" t="str">
            <v>NM</v>
          </cell>
          <cell r="H35" t="str">
            <v>NM</v>
          </cell>
          <cell r="J35">
            <v>-0.15942028985507253</v>
          </cell>
          <cell r="L35">
            <v>0.57547169811322652</v>
          </cell>
          <cell r="R35">
            <v>0.25015154576682175</v>
          </cell>
          <cell r="T35" t="str">
            <v xml:space="preserve"> 1Q</v>
          </cell>
          <cell r="U35">
            <v>-0.8379204892966361</v>
          </cell>
          <cell r="V35">
            <v>-3.6603221083455345E-3</v>
          </cell>
          <cell r="W35">
            <v>-0.41174270755422587</v>
          </cell>
          <cell r="Y35" t="str">
            <v>NM</v>
          </cell>
          <cell r="Z35">
            <v>-1.001908396946569E-2</v>
          </cell>
          <cell r="AA35">
            <v>-0.10640066500415636</v>
          </cell>
          <cell r="AB35">
            <v>-9.6541786743515878E-2</v>
          </cell>
          <cell r="AD35">
            <v>-0.25685840707964619</v>
          </cell>
          <cell r="AF35">
            <v>4.3824701195219036E-2</v>
          </cell>
          <cell r="AG35" t="str">
            <v>NM</v>
          </cell>
          <cell r="AM35" t="str">
            <v>NM</v>
          </cell>
          <cell r="AN35" t="str">
            <v>NM</v>
          </cell>
          <cell r="AO35" t="str">
            <v>NM</v>
          </cell>
          <cell r="AU35" t="str">
            <v xml:space="preserve"> 1Q</v>
          </cell>
          <cell r="AV35">
            <v>4.9382716049382797E-2</v>
          </cell>
          <cell r="AX35">
            <v>-0.16091205211726378</v>
          </cell>
          <cell r="AY35">
            <v>0.32323232323232315</v>
          </cell>
          <cell r="AZ35">
            <v>-2.5833724753405354E-2</v>
          </cell>
          <cell r="BD35">
            <v>-0.15111111111111106</v>
          </cell>
          <cell r="BF35" t="str">
            <v>NM</v>
          </cell>
          <cell r="BG35" t="str">
            <v>NM</v>
          </cell>
          <cell r="BH35" t="str">
            <v>NM</v>
          </cell>
          <cell r="BI35">
            <v>-2.0883259157822739E-2</v>
          </cell>
          <cell r="BK35">
            <v>6.2499999999999972E-2</v>
          </cell>
          <cell r="BL35">
            <v>-5.8309037900873394E-3</v>
          </cell>
          <cell r="BM35">
            <v>4.6121593291404576E-2</v>
          </cell>
          <cell r="BO35" t="str">
            <v>NM</v>
          </cell>
          <cell r="BP35" t="str">
            <v>NM</v>
          </cell>
          <cell r="BQ35" t="str">
            <v>NM</v>
          </cell>
          <cell r="BS35">
            <v>-0.05</v>
          </cell>
          <cell r="BT35">
            <v>0.33663366336633666</v>
          </cell>
          <cell r="BV35" t="str">
            <v>NM</v>
          </cell>
          <cell r="BX35">
            <v>0.19332161687170488</v>
          </cell>
          <cell r="BY35">
            <v>3.0843275488069571E-2</v>
          </cell>
          <cell r="BZ35">
            <v>8.9371980676328691E-2</v>
          </cell>
          <cell r="CA35">
            <v>3.538827060147564E-2</v>
          </cell>
        </row>
        <row r="36">
          <cell r="A36" t="str">
            <v xml:space="preserve"> 2Q</v>
          </cell>
          <cell r="B36">
            <v>3.9132882882882983E-2</v>
          </cell>
          <cell r="C36">
            <v>5.8786346396965942E-2</v>
          </cell>
          <cell r="D36">
            <v>4.518893650175311E-2</v>
          </cell>
          <cell r="F36" t="str">
            <v>NM</v>
          </cell>
          <cell r="G36" t="str">
            <v>NM</v>
          </cell>
          <cell r="H36" t="str">
            <v>NM</v>
          </cell>
          <cell r="J36">
            <v>-3.7735849056603772E-2</v>
          </cell>
          <cell r="L36">
            <v>0.42567567567567066</v>
          </cell>
          <cell r="R36">
            <v>5.1379123850730117E-2</v>
          </cell>
          <cell r="T36" t="str">
            <v xml:space="preserve"> 2Q</v>
          </cell>
          <cell r="U36">
            <v>-0.70557029177718833</v>
          </cell>
          <cell r="V36">
            <v>-2.5906735751295339E-2</v>
          </cell>
          <cell r="W36">
            <v>-0.19283387622149842</v>
          </cell>
          <cell r="Y36" t="str">
            <v>NM</v>
          </cell>
          <cell r="Z36">
            <v>2.9049729197439679E-2</v>
          </cell>
          <cell r="AA36">
            <v>-0.17233835683033552</v>
          </cell>
          <cell r="AB36">
            <v>-0.13247539742619227</v>
          </cell>
          <cell r="AD36">
            <v>-0.14086754678659513</v>
          </cell>
          <cell r="AF36">
            <v>-0.14465408805031452</v>
          </cell>
          <cell r="AG36" t="str">
            <v>NM</v>
          </cell>
          <cell r="AM36" t="str">
            <v>NM</v>
          </cell>
          <cell r="AN36" t="str">
            <v>NM</v>
          </cell>
          <cell r="AO36" t="str">
            <v>NM</v>
          </cell>
          <cell r="AU36" t="str">
            <v xml:space="preserve"> 2Q</v>
          </cell>
          <cell r="AV36">
            <v>-5.5007052186177789E-2</v>
          </cell>
          <cell r="AX36">
            <v>0.34799235181644367</v>
          </cell>
          <cell r="AY36">
            <v>4.5454545454545373E-2</v>
          </cell>
          <cell r="AZ36">
            <v>0.22858796296296294</v>
          </cell>
          <cell r="BD36">
            <v>-2.5125628140703519E-2</v>
          </cell>
          <cell r="BF36" t="str">
            <v>NM</v>
          </cell>
          <cell r="BG36" t="str">
            <v>NM</v>
          </cell>
          <cell r="BH36" t="str">
            <v>NM</v>
          </cell>
          <cell r="BI36">
            <v>0.13884673748103171</v>
          </cell>
          <cell r="BK36">
            <v>6.5882352941176406E-2</v>
          </cell>
          <cell r="BL36">
            <v>-0.29896907216494845</v>
          </cell>
          <cell r="BM36">
            <v>-4.8465266558966075E-2</v>
          </cell>
          <cell r="BO36" t="str">
            <v>NM</v>
          </cell>
          <cell r="BP36" t="str">
            <v>NM</v>
          </cell>
          <cell r="BQ36" t="str">
            <v>NM</v>
          </cell>
          <cell r="BS36">
            <v>-0.14545454545454542</v>
          </cell>
          <cell r="BT36">
            <v>0.85840707964601759</v>
          </cell>
          <cell r="BV36" t="str">
            <v>NM</v>
          </cell>
          <cell r="BX36">
            <v>-3.0090972708187624E-2</v>
          </cell>
          <cell r="BY36">
            <v>3.3967101046784909E-2</v>
          </cell>
          <cell r="BZ36">
            <v>1.4225941422594167E-2</v>
          </cell>
          <cell r="CA36">
            <v>3.2418952618453928E-2</v>
          </cell>
        </row>
        <row r="37">
          <cell r="A37" t="str">
            <v xml:space="preserve"> 3Q</v>
          </cell>
          <cell r="B37">
            <v>0.14994179278230496</v>
          </cell>
          <cell r="C37">
            <v>-5.0264550264550234E-2</v>
          </cell>
          <cell r="D37">
            <v>9.781298432925771E-2</v>
          </cell>
          <cell r="F37" t="str">
            <v>NM</v>
          </cell>
          <cell r="G37" t="str">
            <v>NM</v>
          </cell>
          <cell r="H37" t="str">
            <v>NM</v>
          </cell>
          <cell r="J37">
            <v>-3.937007874015748E-2</v>
          </cell>
          <cell r="L37">
            <v>0.45695364238410441</v>
          </cell>
          <cell r="R37">
            <v>0.10093367675466827</v>
          </cell>
          <cell r="T37" t="str">
            <v xml:space="preserve"> 3Q</v>
          </cell>
          <cell r="U37">
            <v>-0.34782608695652167</v>
          </cell>
          <cell r="V37">
            <v>-7.7154308617234504E-2</v>
          </cell>
          <cell r="W37">
            <v>-0.11928934010152281</v>
          </cell>
          <cell r="Y37" t="str">
            <v>NM</v>
          </cell>
          <cell r="Z37">
            <v>0.11849096705632309</v>
          </cell>
          <cell r="AA37">
            <v>7.2941993747829403E-3</v>
          </cell>
          <cell r="AB37">
            <v>-7.0845697329376858E-2</v>
          </cell>
          <cell r="AD37">
            <v>-5.1623707587010167E-2</v>
          </cell>
          <cell r="AF37">
            <v>-0.14748201438848926</v>
          </cell>
          <cell r="AG37" t="str">
            <v>NM</v>
          </cell>
          <cell r="AM37" t="str">
            <v>NM</v>
          </cell>
          <cell r="AN37" t="str">
            <v>NM</v>
          </cell>
          <cell r="AO37" t="str">
            <v>NM</v>
          </cell>
          <cell r="AU37" t="str">
            <v xml:space="preserve"> 3Q</v>
          </cell>
          <cell r="AV37">
            <v>1.3636363636363722E-2</v>
          </cell>
          <cell r="AX37">
            <v>0.1166407465007776</v>
          </cell>
          <cell r="AY37">
            <v>0.22172619047619033</v>
          </cell>
          <cell r="AZ37">
            <v>0.15270684371807955</v>
          </cell>
          <cell r="BD37">
            <v>-4.7619047619047547E-2</v>
          </cell>
          <cell r="BF37" t="str">
            <v>NM</v>
          </cell>
          <cell r="BG37" t="str">
            <v>NM</v>
          </cell>
          <cell r="BH37" t="str">
            <v>NM</v>
          </cell>
          <cell r="BI37">
            <v>0.1389383683648025</v>
          </cell>
          <cell r="BK37">
            <v>-2.8627838104639602E-2</v>
          </cell>
          <cell r="BL37">
            <v>-7.792207792207799E-2</v>
          </cell>
          <cell r="BM37">
            <v>-4.0121120363360963E-2</v>
          </cell>
          <cell r="BO37" t="str">
            <v>NM</v>
          </cell>
          <cell r="BP37" t="str">
            <v>NM</v>
          </cell>
          <cell r="BQ37" t="str">
            <v>NM</v>
          </cell>
          <cell r="BS37">
            <v>-5.5555555555555552E-2</v>
          </cell>
          <cell r="BT37">
            <v>1.7766990291262135</v>
          </cell>
          <cell r="BV37" t="str">
            <v>NM</v>
          </cell>
          <cell r="BX37">
            <v>0.11501597444089449</v>
          </cell>
          <cell r="BY37">
            <v>9.5784953527135341E-2</v>
          </cell>
          <cell r="BZ37">
            <v>2.2979397781299458E-2</v>
          </cell>
          <cell r="CA37">
            <v>8.9826727536833517E-2</v>
          </cell>
        </row>
        <row r="38">
          <cell r="A38" t="str">
            <v xml:space="preserve"> 4Q</v>
          </cell>
          <cell r="B38">
            <v>0.29610085019055993</v>
          </cell>
          <cell r="C38">
            <v>-7.4755606670500283E-2</v>
          </cell>
          <cell r="D38">
            <v>0.17087378640776699</v>
          </cell>
          <cell r="F38" t="str">
            <v>NM</v>
          </cell>
          <cell r="G38" t="str">
            <v>NM</v>
          </cell>
          <cell r="H38" t="str">
            <v>NM</v>
          </cell>
          <cell r="J38">
            <v>2.4475524475524448E-2</v>
          </cell>
          <cell r="L38">
            <v>0.41414141414141858</v>
          </cell>
          <cell r="R38">
            <v>0.3262335818246363</v>
          </cell>
          <cell r="T38" t="str">
            <v xml:space="preserve"> 4Q</v>
          </cell>
          <cell r="U38">
            <v>-0.33497536945812811</v>
          </cell>
          <cell r="V38">
            <v>-8.9824561403508849E-2</v>
          </cell>
          <cell r="W38">
            <v>-0.14418350628072096</v>
          </cell>
          <cell r="Y38" t="str">
            <v>NM</v>
          </cell>
          <cell r="Z38">
            <v>-6.1833688699360456E-2</v>
          </cell>
          <cell r="AA38">
            <v>-0.11428571428571431</v>
          </cell>
          <cell r="AB38">
            <v>-0.2035928143712574</v>
          </cell>
          <cell r="AD38">
            <v>-0.15082315454062684</v>
          </cell>
          <cell r="AF38">
            <v>-0.15107913669064746</v>
          </cell>
          <cell r="AG38" t="str">
            <v>NM</v>
          </cell>
          <cell r="AM38" t="str">
            <v>NM</v>
          </cell>
          <cell r="AN38" t="str">
            <v>NM</v>
          </cell>
          <cell r="AO38" t="str">
            <v>NM</v>
          </cell>
          <cell r="AU38" t="str">
            <v xml:space="preserve"> 4Q</v>
          </cell>
          <cell r="AV38">
            <v>-1.3227513227513229E-2</v>
          </cell>
          <cell r="AX38">
            <v>7.5931232091690504E-2</v>
          </cell>
          <cell r="AY38">
            <v>0.21095890410958912</v>
          </cell>
          <cell r="AZ38">
            <v>0.12229539040451552</v>
          </cell>
          <cell r="BD38">
            <v>1.8957345971563913E-2</v>
          </cell>
          <cell r="BF38" t="str">
            <v>NM</v>
          </cell>
          <cell r="BG38" t="str">
            <v>NM</v>
          </cell>
          <cell r="BH38" t="str">
            <v>NM</v>
          </cell>
          <cell r="BI38">
            <v>0.11251212415130926</v>
          </cell>
          <cell r="BK38">
            <v>-6.7736185383244288E-2</v>
          </cell>
          <cell r="BL38">
            <v>-0.12668463611859845</v>
          </cell>
          <cell r="BM38">
            <v>-8.238446081714676E-2</v>
          </cell>
          <cell r="BO38" t="str">
            <v>NM</v>
          </cell>
          <cell r="BP38" t="str">
            <v>NM</v>
          </cell>
          <cell r="BQ38" t="str">
            <v>NM</v>
          </cell>
          <cell r="BS38">
            <v>-3.296703296703285E-2</v>
          </cell>
          <cell r="BT38">
            <v>1.9661016949152541</v>
          </cell>
          <cell r="BV38" t="str">
            <v>NM</v>
          </cell>
          <cell r="BX38">
            <v>5.491329479768782E-2</v>
          </cell>
          <cell r="BY38">
            <v>0.13871158781338422</v>
          </cell>
          <cell r="BZ38">
            <v>0.14332675871137418</v>
          </cell>
          <cell r="CA38">
            <v>0.13913147505682508</v>
          </cell>
        </row>
        <row r="40">
          <cell r="A40" t="str">
            <v>1996/95</v>
          </cell>
          <cell r="B40">
            <v>0.20286429365962161</v>
          </cell>
          <cell r="C40">
            <v>-2.7095951546062032E-3</v>
          </cell>
          <cell r="D40">
            <v>0.14042985768225358</v>
          </cell>
          <cell r="F40" t="str">
            <v>NM</v>
          </cell>
          <cell r="G40" t="str">
            <v>NM</v>
          </cell>
          <cell r="H40" t="str">
            <v>NM</v>
          </cell>
          <cell r="J40">
            <v>-5.272895467160027E-2</v>
          </cell>
          <cell r="L40">
            <v>0.45605306799336942</v>
          </cell>
          <cell r="R40">
            <v>0.17849789633873431</v>
          </cell>
          <cell r="T40" t="str">
            <v>1996/95</v>
          </cell>
          <cell r="U40">
            <v>-0.68659340659340651</v>
          </cell>
          <cell r="V40">
            <v>-4.8514251061249361E-2</v>
          </cell>
          <cell r="W40">
            <v>-0.24951536970368327</v>
          </cell>
          <cell r="Y40" t="str">
            <v>NM</v>
          </cell>
          <cell r="Z40">
            <v>1.3885563801771568E-2</v>
          </cell>
          <cell r="AA40">
            <v>-0.10425791627773397</v>
          </cell>
          <cell r="AB40">
            <v>-0.1283132294960378</v>
          </cell>
          <cell r="AD40">
            <v>-0.16273576761307532</v>
          </cell>
          <cell r="AF40">
            <v>-0.10488888888888899</v>
          </cell>
          <cell r="AG40" t="str">
            <v>NM</v>
          </cell>
          <cell r="AM40" t="str">
            <v>NM</v>
          </cell>
          <cell r="AN40" t="str">
            <v>NM</v>
          </cell>
          <cell r="AO40" t="str">
            <v>NM</v>
          </cell>
          <cell r="AU40" t="str">
            <v>1996/95</v>
          </cell>
          <cell r="AV40">
            <v>-4.4576523031203148E-3</v>
          </cell>
          <cell r="AX40">
            <v>7.0872126163784605E-2</v>
          </cell>
          <cell r="AY40">
            <v>0.19641523525018656</v>
          </cell>
          <cell r="AZ40">
            <v>0.11320992318347797</v>
          </cell>
          <cell r="BD40">
            <v>-5.3398058252427251E-2</v>
          </cell>
          <cell r="BF40" t="str">
            <v>NM</v>
          </cell>
          <cell r="BG40" t="str">
            <v>NM</v>
          </cell>
          <cell r="BH40" t="str">
            <v>NM</v>
          </cell>
          <cell r="BI40">
            <v>9.1036047831020289E-2</v>
          </cell>
          <cell r="BK40">
            <v>4.6648661919961552E-3</v>
          </cell>
          <cell r="BL40">
            <v>-0.13404255319148939</v>
          </cell>
          <cell r="BM40">
            <v>-3.1004924311508301E-2</v>
          </cell>
          <cell r="BO40" t="str">
            <v>NM</v>
          </cell>
          <cell r="BP40" t="str">
            <v>NM</v>
          </cell>
          <cell r="BQ40" t="str">
            <v>NM</v>
          </cell>
          <cell r="BS40">
            <v>-7.4168797953964152E-2</v>
          </cell>
          <cell r="BT40">
            <v>1.2551724137931033</v>
          </cell>
          <cell r="BV40" t="str">
            <v>NM</v>
          </cell>
          <cell r="BX40">
            <v>7.6302133384585913E-2</v>
          </cell>
          <cell r="BY40">
            <v>7.5599991745599518E-2</v>
          </cell>
          <cell r="BZ40">
            <v>7.183908045977011E-2</v>
          </cell>
          <cell r="CA40">
            <v>7.5290196746766638E-2</v>
          </cell>
        </row>
        <row r="42">
          <cell r="A42" t="str">
            <v>1996</v>
          </cell>
          <cell r="T42" t="str">
            <v>1996</v>
          </cell>
          <cell r="AU42" t="str">
            <v>1996</v>
          </cell>
        </row>
        <row r="43">
          <cell r="A43" t="str">
            <v xml:space="preserve"> 1Q</v>
          </cell>
          <cell r="B43">
            <v>425.1</v>
          </cell>
          <cell r="C43">
            <v>153.69999999999999</v>
          </cell>
          <cell r="D43">
            <v>578.79999999999995</v>
          </cell>
          <cell r="F43">
            <v>0</v>
          </cell>
          <cell r="G43">
            <v>0</v>
          </cell>
          <cell r="H43">
            <v>0</v>
          </cell>
          <cell r="J43">
            <v>23.2</v>
          </cell>
          <cell r="L43">
            <v>16.700000000000092</v>
          </cell>
          <cell r="R43">
            <v>618.70000000000005</v>
          </cell>
          <cell r="T43" t="str">
            <v xml:space="preserve"> 1Q</v>
          </cell>
          <cell r="U43">
            <v>21.2</v>
          </cell>
          <cell r="V43">
            <v>136.1</v>
          </cell>
          <cell r="W43">
            <v>157.29999999999998</v>
          </cell>
          <cell r="Y43">
            <v>9.9</v>
          </cell>
          <cell r="Z43">
            <v>41.5</v>
          </cell>
          <cell r="AA43">
            <v>64.5</v>
          </cell>
          <cell r="AB43">
            <v>62.7</v>
          </cell>
          <cell r="AD43">
            <v>335.89999999999992</v>
          </cell>
          <cell r="AF43">
            <v>26.2</v>
          </cell>
          <cell r="AG43">
            <v>22.8</v>
          </cell>
          <cell r="AM43">
            <v>0</v>
          </cell>
          <cell r="AN43">
            <v>0</v>
          </cell>
          <cell r="AO43">
            <v>0</v>
          </cell>
          <cell r="AU43" t="str">
            <v xml:space="preserve"> 1Q</v>
          </cell>
          <cell r="AV43">
            <v>59.5</v>
          </cell>
          <cell r="AX43">
            <v>128.80000000000001</v>
          </cell>
          <cell r="AY43">
            <v>78.599999999999994</v>
          </cell>
          <cell r="AZ43">
            <v>207.4</v>
          </cell>
          <cell r="BD43">
            <v>19.100000000000001</v>
          </cell>
          <cell r="BF43">
            <v>0</v>
          </cell>
          <cell r="BG43">
            <v>0</v>
          </cell>
          <cell r="BH43">
            <v>0</v>
          </cell>
          <cell r="BI43">
            <v>286</v>
          </cell>
          <cell r="BK43">
            <v>115.6</v>
          </cell>
          <cell r="BL43">
            <v>34.1</v>
          </cell>
          <cell r="BM43">
            <v>149.69999999999999</v>
          </cell>
          <cell r="BO43">
            <v>0</v>
          </cell>
          <cell r="BP43">
            <v>4</v>
          </cell>
          <cell r="BQ43">
            <v>4</v>
          </cell>
          <cell r="BS43">
            <v>9.5</v>
          </cell>
          <cell r="BT43">
            <v>13.5</v>
          </cell>
          <cell r="BV43">
            <v>0</v>
          </cell>
          <cell r="BX43">
            <v>67.900000000000006</v>
          </cell>
          <cell r="BY43">
            <v>1520.7</v>
          </cell>
          <cell r="BZ43">
            <v>135.30000000000001</v>
          </cell>
          <cell r="CA43">
            <v>1656</v>
          </cell>
        </row>
        <row r="44">
          <cell r="A44" t="str">
            <v xml:space="preserve"> 2Q</v>
          </cell>
          <cell r="B44">
            <v>369.1</v>
          </cell>
          <cell r="C44">
            <v>167.5</v>
          </cell>
          <cell r="D44">
            <v>536.6</v>
          </cell>
          <cell r="F44">
            <v>0</v>
          </cell>
          <cell r="G44">
            <v>0</v>
          </cell>
          <cell r="H44">
            <v>0</v>
          </cell>
          <cell r="J44">
            <v>25.5</v>
          </cell>
          <cell r="L44">
            <v>21.100000000000023</v>
          </cell>
          <cell r="R44">
            <v>583.20000000000005</v>
          </cell>
          <cell r="T44" t="str">
            <v xml:space="preserve"> 2Q</v>
          </cell>
          <cell r="U44">
            <v>11.1</v>
          </cell>
          <cell r="V44">
            <v>112.8</v>
          </cell>
          <cell r="W44">
            <v>123.89999999999999</v>
          </cell>
          <cell r="Y44">
            <v>5</v>
          </cell>
          <cell r="Z44">
            <v>41.8</v>
          </cell>
          <cell r="AA44">
            <v>68.099999999999994</v>
          </cell>
          <cell r="AB44">
            <v>57.3</v>
          </cell>
          <cell r="AD44">
            <v>296.09999999999997</v>
          </cell>
          <cell r="AF44">
            <v>27.2</v>
          </cell>
          <cell r="AG44">
            <v>37.200000000000003</v>
          </cell>
          <cell r="AM44">
            <v>0</v>
          </cell>
          <cell r="AN44">
            <v>0</v>
          </cell>
          <cell r="AO44">
            <v>0</v>
          </cell>
          <cell r="AU44" t="str">
            <v xml:space="preserve"> 2Q</v>
          </cell>
          <cell r="AV44">
            <v>67</v>
          </cell>
          <cell r="AX44">
            <v>141</v>
          </cell>
          <cell r="AY44">
            <v>71.3</v>
          </cell>
          <cell r="AZ44">
            <v>212.3</v>
          </cell>
          <cell r="BD44">
            <v>19.399999999999999</v>
          </cell>
          <cell r="BF44">
            <v>0</v>
          </cell>
          <cell r="BG44">
            <v>1.5</v>
          </cell>
          <cell r="BH44">
            <v>1.5</v>
          </cell>
          <cell r="BI44">
            <v>300.2</v>
          </cell>
          <cell r="BK44">
            <v>90.6</v>
          </cell>
          <cell r="BL44">
            <v>27.2</v>
          </cell>
          <cell r="BM44">
            <v>117.8</v>
          </cell>
          <cell r="BO44">
            <v>5.7</v>
          </cell>
          <cell r="BP44">
            <v>5.9</v>
          </cell>
          <cell r="BQ44">
            <v>11.600000000000001</v>
          </cell>
          <cell r="BS44">
            <v>9.4</v>
          </cell>
          <cell r="BT44">
            <v>21</v>
          </cell>
          <cell r="BV44">
            <v>0</v>
          </cell>
          <cell r="BX44">
            <v>69.3</v>
          </cell>
          <cell r="BY44">
            <v>1452</v>
          </cell>
          <cell r="BZ44">
            <v>121.2</v>
          </cell>
          <cell r="CA44">
            <v>1573.2</v>
          </cell>
        </row>
        <row r="45">
          <cell r="A45" t="str">
            <v xml:space="preserve"> 3Q</v>
          </cell>
          <cell r="B45">
            <v>493.9</v>
          </cell>
          <cell r="C45">
            <v>143.6</v>
          </cell>
          <cell r="D45">
            <v>637.5</v>
          </cell>
          <cell r="F45">
            <v>0</v>
          </cell>
          <cell r="G45">
            <v>0</v>
          </cell>
          <cell r="H45">
            <v>0</v>
          </cell>
          <cell r="J45">
            <v>24.4</v>
          </cell>
          <cell r="L45">
            <v>21.999999999999979</v>
          </cell>
          <cell r="R45">
            <v>683.9</v>
          </cell>
          <cell r="T45" t="str">
            <v xml:space="preserve"> 3Q</v>
          </cell>
          <cell r="U45">
            <v>12</v>
          </cell>
          <cell r="V45">
            <v>92.1</v>
          </cell>
          <cell r="W45">
            <v>104.1</v>
          </cell>
          <cell r="Y45">
            <v>6.2</v>
          </cell>
          <cell r="Z45">
            <v>42.1</v>
          </cell>
          <cell r="AA45">
            <v>58</v>
          </cell>
          <cell r="AB45">
            <v>50.1</v>
          </cell>
          <cell r="AD45">
            <v>260.5</v>
          </cell>
          <cell r="AF45">
            <v>23.7</v>
          </cell>
          <cell r="AG45">
            <v>38.5</v>
          </cell>
          <cell r="AM45">
            <v>0</v>
          </cell>
          <cell r="AN45">
            <v>0</v>
          </cell>
          <cell r="AO45">
            <v>0</v>
          </cell>
          <cell r="AU45" t="str">
            <v xml:space="preserve"> 3Q</v>
          </cell>
          <cell r="AV45">
            <v>66.900000000000006</v>
          </cell>
          <cell r="AX45">
            <v>143.6</v>
          </cell>
          <cell r="AY45">
            <v>82.1</v>
          </cell>
          <cell r="AZ45">
            <v>225.7</v>
          </cell>
          <cell r="BD45">
            <v>18</v>
          </cell>
          <cell r="BF45">
            <v>6.7</v>
          </cell>
          <cell r="BG45">
            <v>2.4</v>
          </cell>
          <cell r="BH45">
            <v>9.1</v>
          </cell>
          <cell r="BI45">
            <v>319.70000000000005</v>
          </cell>
          <cell r="BK45">
            <v>98.4</v>
          </cell>
          <cell r="BL45">
            <v>28.4</v>
          </cell>
          <cell r="BM45">
            <v>126.80000000000001</v>
          </cell>
          <cell r="BO45">
            <v>11.1</v>
          </cell>
          <cell r="BP45">
            <v>9</v>
          </cell>
          <cell r="BQ45">
            <v>20.100000000000001</v>
          </cell>
          <cell r="BS45">
            <v>8.5</v>
          </cell>
          <cell r="BT45">
            <v>28.6</v>
          </cell>
          <cell r="BV45">
            <v>0</v>
          </cell>
          <cell r="BX45">
            <v>69.8</v>
          </cell>
          <cell r="BY45">
            <v>1551.5</v>
          </cell>
          <cell r="BZ45">
            <v>129.1</v>
          </cell>
          <cell r="CA45">
            <v>1680.6</v>
          </cell>
        </row>
        <row r="46">
          <cell r="A46" t="str">
            <v xml:space="preserve"> 4Q</v>
          </cell>
          <cell r="B46">
            <v>442.1</v>
          </cell>
          <cell r="C46">
            <v>160.9</v>
          </cell>
          <cell r="D46">
            <v>603</v>
          </cell>
          <cell r="F46">
            <v>78.3</v>
          </cell>
          <cell r="G46">
            <v>8.6</v>
          </cell>
          <cell r="H46">
            <v>86.899999999999991</v>
          </cell>
          <cell r="J46">
            <v>29.3</v>
          </cell>
          <cell r="L46">
            <v>28.000000000000053</v>
          </cell>
          <cell r="R46">
            <v>747.2</v>
          </cell>
          <cell r="T46" t="str">
            <v xml:space="preserve"> 4Q</v>
          </cell>
          <cell r="U46">
            <v>27</v>
          </cell>
          <cell r="V46">
            <v>129.69999999999999</v>
          </cell>
          <cell r="W46">
            <v>156.69999999999999</v>
          </cell>
          <cell r="Y46">
            <v>7</v>
          </cell>
          <cell r="Z46">
            <v>44</v>
          </cell>
          <cell r="AA46">
            <v>58.9</v>
          </cell>
          <cell r="AB46">
            <v>53.2</v>
          </cell>
          <cell r="AD46">
            <v>319.79999999999995</v>
          </cell>
          <cell r="AF46">
            <v>23.6</v>
          </cell>
          <cell r="AG46">
            <v>50.8</v>
          </cell>
          <cell r="AM46">
            <v>0</v>
          </cell>
          <cell r="AN46">
            <v>0</v>
          </cell>
          <cell r="AO46">
            <v>0</v>
          </cell>
          <cell r="AU46" t="str">
            <v xml:space="preserve"> 4Q</v>
          </cell>
          <cell r="AV46">
            <v>74.599999999999994</v>
          </cell>
          <cell r="AX46">
            <v>150.19999999999999</v>
          </cell>
          <cell r="AY46">
            <v>88.4</v>
          </cell>
          <cell r="AZ46">
            <v>238.6</v>
          </cell>
          <cell r="BD46">
            <v>21.5</v>
          </cell>
          <cell r="BF46">
            <v>3.9</v>
          </cell>
          <cell r="BG46">
            <v>5.5</v>
          </cell>
          <cell r="BH46">
            <v>9.4</v>
          </cell>
          <cell r="BI46">
            <v>344.09999999999997</v>
          </cell>
          <cell r="BK46">
            <v>104.6</v>
          </cell>
          <cell r="BL46">
            <v>32.4</v>
          </cell>
          <cell r="BM46">
            <v>137</v>
          </cell>
          <cell r="BO46">
            <v>14.8</v>
          </cell>
          <cell r="BP46">
            <v>11.4</v>
          </cell>
          <cell r="BQ46">
            <v>26.200000000000003</v>
          </cell>
          <cell r="BS46">
            <v>8.8000000000000007</v>
          </cell>
          <cell r="BT46">
            <v>35</v>
          </cell>
          <cell r="BV46">
            <v>0</v>
          </cell>
          <cell r="BX46">
            <v>73</v>
          </cell>
          <cell r="BY46">
            <v>1730.4999999999998</v>
          </cell>
          <cell r="BZ46">
            <v>173.9</v>
          </cell>
          <cell r="CA46">
            <v>1904.3999999999999</v>
          </cell>
        </row>
        <row r="48">
          <cell r="A48" t="str">
            <v>1996</v>
          </cell>
          <cell r="B48">
            <v>1730.1999999999998</v>
          </cell>
          <cell r="C48">
            <v>625.70000000000005</v>
          </cell>
          <cell r="D48">
            <v>2355.8999999999996</v>
          </cell>
          <cell r="F48">
            <v>78.3</v>
          </cell>
          <cell r="G48">
            <v>8.6</v>
          </cell>
          <cell r="H48">
            <v>86.899999999999991</v>
          </cell>
          <cell r="J48">
            <v>102.4</v>
          </cell>
          <cell r="L48">
            <v>87.800000000000139</v>
          </cell>
          <cell r="R48">
            <v>2633</v>
          </cell>
          <cell r="T48" t="str">
            <v>1996</v>
          </cell>
          <cell r="U48">
            <v>71.3</v>
          </cell>
          <cell r="V48">
            <v>470.69999999999993</v>
          </cell>
          <cell r="W48">
            <v>541.99999999999989</v>
          </cell>
          <cell r="Y48">
            <v>28.1</v>
          </cell>
          <cell r="Z48">
            <v>169.39999999999998</v>
          </cell>
          <cell r="AA48">
            <v>249.5</v>
          </cell>
          <cell r="AB48">
            <v>223.3</v>
          </cell>
          <cell r="AD48">
            <v>1212.2999999999997</v>
          </cell>
          <cell r="AF48">
            <v>100.69999999999999</v>
          </cell>
          <cell r="AG48">
            <v>149.30000000000001</v>
          </cell>
          <cell r="AM48">
            <v>0</v>
          </cell>
          <cell r="AN48">
            <v>0</v>
          </cell>
          <cell r="AO48">
            <v>0</v>
          </cell>
          <cell r="AU48" t="str">
            <v>1996</v>
          </cell>
          <cell r="AV48">
            <v>268</v>
          </cell>
          <cell r="AX48">
            <v>563.59999999999991</v>
          </cell>
          <cell r="AY48">
            <v>320.39999999999998</v>
          </cell>
          <cell r="AZ48">
            <v>883.99999999999989</v>
          </cell>
          <cell r="BD48">
            <v>78</v>
          </cell>
          <cell r="BF48">
            <v>10.6</v>
          </cell>
          <cell r="BG48">
            <v>9.4</v>
          </cell>
          <cell r="BH48">
            <v>20</v>
          </cell>
          <cell r="BI48">
            <v>1250</v>
          </cell>
          <cell r="BK48">
            <v>409.20000000000005</v>
          </cell>
          <cell r="BL48">
            <v>122.1</v>
          </cell>
          <cell r="BM48">
            <v>531.29999999999995</v>
          </cell>
          <cell r="BO48">
            <v>31.6</v>
          </cell>
          <cell r="BP48">
            <v>30.299999999999997</v>
          </cell>
          <cell r="BQ48">
            <v>61.900000000000006</v>
          </cell>
          <cell r="BS48">
            <v>36.200000000000003</v>
          </cell>
          <cell r="BT48">
            <v>98.1</v>
          </cell>
          <cell r="BV48">
            <v>0</v>
          </cell>
          <cell r="BX48">
            <v>280</v>
          </cell>
          <cell r="BY48">
            <v>6254.7</v>
          </cell>
          <cell r="BZ48">
            <v>559.5</v>
          </cell>
          <cell r="CA48">
            <v>6814.2</v>
          </cell>
        </row>
        <row r="50">
          <cell r="A50" t="str">
            <v>1997/96</v>
          </cell>
          <cell r="T50" t="str">
            <v>1997/96</v>
          </cell>
          <cell r="AU50" t="str">
            <v>1997/96</v>
          </cell>
        </row>
        <row r="51">
          <cell r="A51" t="str">
            <v xml:space="preserve"> 1Q</v>
          </cell>
          <cell r="B51">
            <v>2.4935309338978983E-2</v>
          </cell>
          <cell r="C51">
            <v>-0.16916070266753408</v>
          </cell>
          <cell r="D51">
            <v>-2.6606772633033828E-2</v>
          </cell>
          <cell r="F51" t="str">
            <v>NM</v>
          </cell>
          <cell r="G51" t="str">
            <v>NM</v>
          </cell>
          <cell r="H51" t="str">
            <v>NM</v>
          </cell>
          <cell r="J51">
            <v>-0.28448275862068956</v>
          </cell>
          <cell r="L51">
            <v>0.22155688622753728</v>
          </cell>
          <cell r="R51">
            <v>0.14077905285275563</v>
          </cell>
          <cell r="T51" t="str">
            <v xml:space="preserve"> 1Q</v>
          </cell>
          <cell r="U51">
            <v>0.3726415094339624</v>
          </cell>
          <cell r="V51">
            <v>-0.18295371050698012</v>
          </cell>
          <cell r="W51">
            <v>-0.10807374443738063</v>
          </cell>
          <cell r="Y51">
            <v>-0.32323232323232326</v>
          </cell>
          <cell r="Z51">
            <v>2.1686746987951772E-2</v>
          </cell>
          <cell r="AA51">
            <v>-0.13333333333333336</v>
          </cell>
          <cell r="AB51">
            <v>-0.14673046251993624</v>
          </cell>
          <cell r="AD51">
            <v>-0.11044953855314057</v>
          </cell>
          <cell r="AF51">
            <v>-0.10687022900763361</v>
          </cell>
          <cell r="AG51">
            <v>1.2675438596491229</v>
          </cell>
          <cell r="AM51" t="str">
            <v>NM</v>
          </cell>
          <cell r="AN51" t="str">
            <v>NM</v>
          </cell>
          <cell r="AO51" t="str">
            <v>NM</v>
          </cell>
          <cell r="AU51" t="str">
            <v xml:space="preserve"> 1Q</v>
          </cell>
          <cell r="AV51">
            <v>-2.6890756302521031E-2</v>
          </cell>
          <cell r="AX51">
            <v>-3.0279503105590102E-2</v>
          </cell>
          <cell r="AY51">
            <v>8.0152671755725338E-2</v>
          </cell>
          <cell r="AZ51">
            <v>1.1571841851494723E-2</v>
          </cell>
          <cell r="BD51">
            <v>-7.8534031413612565E-2</v>
          </cell>
          <cell r="BF51" t="str">
            <v>NM</v>
          </cell>
          <cell r="BG51" t="str">
            <v>NM</v>
          </cell>
          <cell r="BH51" t="str">
            <v>NM</v>
          </cell>
          <cell r="BI51">
            <v>3.8461538461538464E-2</v>
          </cell>
          <cell r="BK51">
            <v>0.19377162629757791</v>
          </cell>
          <cell r="BL51">
            <v>-0.24633431085043994</v>
          </cell>
          <cell r="BM51">
            <v>9.3520374081496327E-2</v>
          </cell>
          <cell r="BO51" t="str">
            <v>NM</v>
          </cell>
          <cell r="BP51" t="str">
            <v>NM</v>
          </cell>
          <cell r="BQ51" t="str">
            <v>NM</v>
          </cell>
          <cell r="BS51">
            <v>-0.20000000000000004</v>
          </cell>
          <cell r="BT51">
            <v>2.0074074074074075</v>
          </cell>
          <cell r="BV51" t="str">
            <v>NM</v>
          </cell>
          <cell r="BX51">
            <v>3.6818851251840937E-2</v>
          </cell>
          <cell r="BY51">
            <v>8.5947261129742908E-2</v>
          </cell>
          <cell r="BZ51">
            <v>2.1433850702143216E-2</v>
          </cell>
          <cell r="CA51">
            <v>8.0676328502415545E-2</v>
          </cell>
        </row>
        <row r="52">
          <cell r="A52" t="str">
            <v xml:space="preserve"> 2Q</v>
          </cell>
          <cell r="B52">
            <v>0.24356542942292053</v>
          </cell>
          <cell r="C52">
            <v>-0.17253731343283585</v>
          </cell>
          <cell r="D52">
            <v>0.11367871785314945</v>
          </cell>
          <cell r="F52" t="str">
            <v>NM</v>
          </cell>
          <cell r="G52" t="str">
            <v>NM</v>
          </cell>
          <cell r="H52" t="str">
            <v>NM</v>
          </cell>
          <cell r="J52">
            <v>-0.12549019607843134</v>
          </cell>
          <cell r="L52">
            <v>0.21327014218009238</v>
          </cell>
          <cell r="R52">
            <v>0.37431412894375848</v>
          </cell>
          <cell r="T52" t="str">
            <v xml:space="preserve"> 2Q</v>
          </cell>
          <cell r="U52">
            <v>-0.29729729729729731</v>
          </cell>
          <cell r="V52">
            <v>-0.17819148936170209</v>
          </cell>
          <cell r="W52">
            <v>-0.18886198547215491</v>
          </cell>
          <cell r="Y52">
            <v>0</v>
          </cell>
          <cell r="Z52">
            <v>-5.502392344497601E-2</v>
          </cell>
          <cell r="AA52">
            <v>-0.14243759177679877</v>
          </cell>
          <cell r="AB52">
            <v>-0.18848167539267011</v>
          </cell>
          <cell r="AD52">
            <v>-0.15602836879432613</v>
          </cell>
          <cell r="AF52">
            <v>-0.11029411764705882</v>
          </cell>
          <cell r="AG52">
            <v>0.6075268817204299</v>
          </cell>
          <cell r="AM52" t="str">
            <v>NM</v>
          </cell>
          <cell r="AN52" t="str">
            <v>NM</v>
          </cell>
          <cell r="AO52" t="str">
            <v>NM</v>
          </cell>
          <cell r="AU52" t="str">
            <v xml:space="preserve"> 2Q</v>
          </cell>
          <cell r="AV52">
            <v>-2.9850746268656716E-2</v>
          </cell>
          <cell r="AX52">
            <v>-6.0283687943262408E-2</v>
          </cell>
          <cell r="AY52">
            <v>0.21458625525946701</v>
          </cell>
          <cell r="AZ52">
            <v>3.2030146019783247E-2</v>
          </cell>
          <cell r="BD52">
            <v>-0.12886597938144331</v>
          </cell>
          <cell r="BF52" t="str">
            <v>NM</v>
          </cell>
          <cell r="BG52" t="str">
            <v>NM</v>
          </cell>
          <cell r="BH52" t="str">
            <v>NM</v>
          </cell>
          <cell r="BI52">
            <v>5.2964690206529094E-2</v>
          </cell>
          <cell r="BK52">
            <v>-4.9668874172185434E-2</v>
          </cell>
          <cell r="BL52">
            <v>0.22426470588235287</v>
          </cell>
          <cell r="BM52">
            <v>1.3582342954159544E-2</v>
          </cell>
          <cell r="BO52" t="str">
            <v>NM</v>
          </cell>
          <cell r="BP52" t="str">
            <v>NM</v>
          </cell>
          <cell r="BQ52" t="str">
            <v>NM</v>
          </cell>
          <cell r="BS52">
            <v>-0.13829787234042559</v>
          </cell>
          <cell r="BT52">
            <v>1.3380952380952382</v>
          </cell>
          <cell r="BV52" t="str">
            <v>NM</v>
          </cell>
          <cell r="BX52">
            <v>9.090909090909087E-2</v>
          </cell>
          <cell r="BY52">
            <v>0.16776859504132224</v>
          </cell>
          <cell r="BZ52">
            <v>6.848184818481845E-2</v>
          </cell>
          <cell r="CA52">
            <v>0.16011950165268235</v>
          </cell>
        </row>
        <row r="53">
          <cell r="A53" t="str">
            <v xml:space="preserve"> 3Q</v>
          </cell>
          <cell r="B53">
            <v>0.16744280218667756</v>
          </cell>
          <cell r="C53">
            <v>-0.11350974930362115</v>
          </cell>
          <cell r="D53">
            <v>0.104156862745098</v>
          </cell>
          <cell r="F53" t="str">
            <v>NM</v>
          </cell>
          <cell r="G53" t="str">
            <v>NM</v>
          </cell>
          <cell r="H53" t="str">
            <v>NM</v>
          </cell>
          <cell r="J53">
            <v>-2.8688524590163907E-2</v>
          </cell>
          <cell r="L53">
            <v>0.18181818181818296</v>
          </cell>
          <cell r="R53">
            <v>0.39669542330750118</v>
          </cell>
          <cell r="T53" t="str">
            <v xml:space="preserve"> 3Q</v>
          </cell>
          <cell r="U53">
            <v>-0.48333333333333334</v>
          </cell>
          <cell r="V53">
            <v>-0.12920738327904444</v>
          </cell>
          <cell r="W53">
            <v>-0.17002881844380394</v>
          </cell>
          <cell r="Y53">
            <v>-0.24193548387096772</v>
          </cell>
          <cell r="Z53">
            <v>-4.9881235154394334E-2</v>
          </cell>
          <cell r="AA53">
            <v>-6.8965517241379309E-2</v>
          </cell>
          <cell r="AB53">
            <v>-0.15169660678642716</v>
          </cell>
          <cell r="AD53">
            <v>-0.12629558541266797</v>
          </cell>
          <cell r="AF53">
            <v>-0.12658227848101267</v>
          </cell>
          <cell r="AG53">
            <v>0.64415584415584404</v>
          </cell>
          <cell r="AM53" t="str">
            <v>NM</v>
          </cell>
          <cell r="AN53" t="str">
            <v>NM</v>
          </cell>
          <cell r="AO53" t="str">
            <v>NM</v>
          </cell>
          <cell r="AU53" t="str">
            <v xml:space="preserve"> 3Q</v>
          </cell>
          <cell r="AV53">
            <v>-5.979073243647319E-3</v>
          </cell>
          <cell r="AX53">
            <v>1.3927576601671311E-2</v>
          </cell>
          <cell r="AY53">
            <v>-1.7052375152253246E-2</v>
          </cell>
          <cell r="AZ53">
            <v>2.6583961010191526E-3</v>
          </cell>
          <cell r="BD53">
            <v>-2.2222222222222143E-2</v>
          </cell>
          <cell r="BF53" t="str">
            <v>NM</v>
          </cell>
          <cell r="BG53" t="str">
            <v>NM</v>
          </cell>
          <cell r="BH53" t="str">
            <v>NM</v>
          </cell>
          <cell r="BI53">
            <v>2.5649045980606779E-2</v>
          </cell>
          <cell r="BK53">
            <v>0</v>
          </cell>
          <cell r="BL53">
            <v>0.1901408450704225</v>
          </cell>
          <cell r="BM53">
            <v>4.2586750788643352E-2</v>
          </cell>
          <cell r="BO53" t="str">
            <v>NM</v>
          </cell>
          <cell r="BP53" t="str">
            <v>NM</v>
          </cell>
          <cell r="BQ53" t="str">
            <v>NM</v>
          </cell>
          <cell r="BS53">
            <v>-0.29411764705882354</v>
          </cell>
          <cell r="BT53">
            <v>0.86363636363636342</v>
          </cell>
          <cell r="BV53" t="str">
            <v>NM</v>
          </cell>
          <cell r="BX53">
            <v>5.0143266475644703E-2</v>
          </cell>
          <cell r="BY53">
            <v>0.19465033838221077</v>
          </cell>
          <cell r="BZ53">
            <v>0.10689388071262597</v>
          </cell>
          <cell r="CA53">
            <v>0.18790908009044402</v>
          </cell>
        </row>
        <row r="54">
          <cell r="A54" t="str">
            <v xml:space="preserve"> 4Q</v>
          </cell>
          <cell r="B54">
            <v>0.23705044107667936</v>
          </cell>
          <cell r="C54">
            <v>-0.10192666252330643</v>
          </cell>
          <cell r="D54">
            <v>0.14660033167495851</v>
          </cell>
          <cell r="F54" t="str">
            <v>NM</v>
          </cell>
          <cell r="G54" t="str">
            <v>NM</v>
          </cell>
          <cell r="H54" t="str">
            <v>NM</v>
          </cell>
          <cell r="J54">
            <v>8.1911262798634768E-2</v>
          </cell>
          <cell r="L54">
            <v>0.19285714285714053</v>
          </cell>
          <cell r="R54">
            <v>0.36978051391862948</v>
          </cell>
          <cell r="T54" t="str">
            <v xml:space="preserve"> 4Q</v>
          </cell>
          <cell r="U54">
            <v>-0.50740740740740742</v>
          </cell>
          <cell r="V54">
            <v>-0.21511179645335385</v>
          </cell>
          <cell r="W54">
            <v>-0.26547543075941288</v>
          </cell>
          <cell r="Y54">
            <v>-0.23571428571428577</v>
          </cell>
          <cell r="Z54">
            <v>-9.0909090909090912E-2</v>
          </cell>
          <cell r="AA54">
            <v>-0.14940577249575548</v>
          </cell>
          <cell r="AB54">
            <v>-0.14285714285714288</v>
          </cell>
          <cell r="AD54">
            <v>-0.19903064415259533</v>
          </cell>
          <cell r="AF54">
            <v>-6.7796610169491581E-2</v>
          </cell>
          <cell r="AG54">
            <v>0.56692913385826771</v>
          </cell>
          <cell r="AM54" t="str">
            <v>NM</v>
          </cell>
          <cell r="AN54" t="str">
            <v>NM</v>
          </cell>
          <cell r="AO54" t="str">
            <v>NM</v>
          </cell>
          <cell r="AU54" t="str">
            <v xml:space="preserve"> 4Q</v>
          </cell>
          <cell r="AV54">
            <v>-5.7640750670241256E-2</v>
          </cell>
          <cell r="AX54">
            <v>0.22037283621837567</v>
          </cell>
          <cell r="AY54">
            <v>9.841628959276004E-2</v>
          </cell>
          <cell r="AZ54">
            <v>0.17518860016764454</v>
          </cell>
          <cell r="BD54">
            <v>-0.1953488372093023</v>
          </cell>
          <cell r="BF54">
            <v>2.2051282051282053</v>
          </cell>
          <cell r="BG54">
            <v>1</v>
          </cell>
          <cell r="BH54">
            <v>1.5</v>
          </cell>
          <cell r="BI54">
            <v>0.13775065387968624</v>
          </cell>
          <cell r="BK54">
            <v>-0.2523900573613766</v>
          </cell>
          <cell r="BL54">
            <v>1.8518518518518563E-2</v>
          </cell>
          <cell r="BM54">
            <v>-0.18832116788321165</v>
          </cell>
          <cell r="BO54">
            <v>0.87162162162162149</v>
          </cell>
          <cell r="BP54">
            <v>1.263157894736842</v>
          </cell>
          <cell r="BQ54">
            <v>1.0419847328244272</v>
          </cell>
          <cell r="BS54">
            <v>-7.9545454545454655E-2</v>
          </cell>
          <cell r="BT54">
            <v>0.76</v>
          </cell>
          <cell r="BV54" t="str">
            <v>NM</v>
          </cell>
          <cell r="BX54">
            <v>2.4657534246575304E-2</v>
          </cell>
          <cell r="BY54">
            <v>0.16749494365790243</v>
          </cell>
          <cell r="BZ54">
            <v>8.1656124209315631E-2</v>
          </cell>
          <cell r="CA54">
            <v>0.1596565847511027</v>
          </cell>
        </row>
        <row r="56">
          <cell r="A56" t="str">
            <v>Year</v>
          </cell>
          <cell r="B56">
            <v>0.16645474511617181</v>
          </cell>
          <cell r="C56">
            <v>-0.14000319642000961</v>
          </cell>
          <cell r="D56">
            <v>8.506303323570634E-2</v>
          </cell>
          <cell r="F56" t="str">
            <v>NM</v>
          </cell>
          <cell r="G56" t="str">
            <v>NM</v>
          </cell>
          <cell r="H56" t="str">
            <v>NM</v>
          </cell>
          <cell r="J56">
            <v>-7.9101562499999944E-2</v>
          </cell>
          <cell r="L56">
            <v>0.20045558086560117</v>
          </cell>
          <cell r="R56">
            <v>0.32396505886821114</v>
          </cell>
          <cell r="T56" t="str">
            <v>Year</v>
          </cell>
          <cell r="U56">
            <v>-0.20897615708274883</v>
          </cell>
          <cell r="V56">
            <v>-0.18015721266199258</v>
          </cell>
          <cell r="W56">
            <v>-0.18394833948339454</v>
          </cell>
          <cell r="Y56">
            <v>-0.22597864768683279</v>
          </cell>
          <cell r="Z56">
            <v>-4.4273907910271387E-2</v>
          </cell>
          <cell r="AA56">
            <v>-0.12464929859719437</v>
          </cell>
          <cell r="AB56">
            <v>-0.15763546798029562</v>
          </cell>
          <cell r="AD56">
            <v>-0.1483543677307595</v>
          </cell>
          <cell r="AF56">
            <v>-0.10327706057596815</v>
          </cell>
          <cell r="AG56">
            <v>0.70395177494976546</v>
          </cell>
          <cell r="AM56" t="str">
            <v>NM</v>
          </cell>
          <cell r="AN56" t="str">
            <v>NM</v>
          </cell>
          <cell r="AO56" t="str">
            <v>NM</v>
          </cell>
          <cell r="AU56" t="str">
            <v>Year</v>
          </cell>
          <cell r="AV56">
            <v>-3.0970149253731385E-2</v>
          </cell>
          <cell r="AX56">
            <v>4.0276792051100158E-2</v>
          </cell>
          <cell r="AY56">
            <v>9.0199750312109792E-2</v>
          </cell>
          <cell r="AZ56">
            <v>5.8371040723982061E-2</v>
          </cell>
          <cell r="BD56">
            <v>-0.11025641025641018</v>
          </cell>
          <cell r="BF56">
            <v>2.5660377358490565</v>
          </cell>
          <cell r="BG56">
            <v>2.1914893617021276</v>
          </cell>
          <cell r="BH56">
            <v>2.3899999999999997</v>
          </cell>
          <cell r="BI56">
            <v>6.6000000000000003E-2</v>
          </cell>
          <cell r="BK56">
            <v>-2.0772238514174136E-2</v>
          </cell>
          <cell r="BL56">
            <v>3.0303030303030328E-2</v>
          </cell>
          <cell r="BM56">
            <v>-9.0344438170524271E-3</v>
          </cell>
          <cell r="BO56">
            <v>2.0063291139240507</v>
          </cell>
          <cell r="BP56">
            <v>1.6336633663366338</v>
          </cell>
          <cell r="BQ56">
            <v>1.8239095315024232</v>
          </cell>
          <cell r="BS56">
            <v>-0.17679558011049737</v>
          </cell>
          <cell r="BT56">
            <v>1.0856269113149848</v>
          </cell>
          <cell r="BV56" t="str">
            <v>NM</v>
          </cell>
          <cell r="BX56">
            <v>5.0357142857142941E-2</v>
          </cell>
          <cell r="BY56">
            <v>0.15446784018418158</v>
          </cell>
          <cell r="BZ56">
            <v>7.006255585344065E-2</v>
          </cell>
          <cell r="CA56">
            <v>0.14753749523054815</v>
          </cell>
        </row>
        <row r="58">
          <cell r="A58" t="str">
            <v>1997</v>
          </cell>
          <cell r="T58" t="str">
            <v>1997</v>
          </cell>
          <cell r="AU58" t="str">
            <v>1997</v>
          </cell>
        </row>
        <row r="59">
          <cell r="A59" t="str">
            <v xml:space="preserve"> 1Q</v>
          </cell>
          <cell r="B59">
            <v>435.7</v>
          </cell>
          <cell r="C59">
            <v>127.7</v>
          </cell>
          <cell r="D59">
            <v>563.4</v>
          </cell>
          <cell r="F59">
            <v>91.3</v>
          </cell>
          <cell r="G59">
            <v>14.1</v>
          </cell>
          <cell r="H59">
            <v>105.39999999999999</v>
          </cell>
          <cell r="J59">
            <v>16.600000000000001</v>
          </cell>
          <cell r="L59">
            <v>20.399999999999984</v>
          </cell>
          <cell r="R59">
            <v>705.8</v>
          </cell>
          <cell r="T59" t="str">
            <v xml:space="preserve"> 1Q</v>
          </cell>
          <cell r="U59">
            <v>29.1</v>
          </cell>
          <cell r="V59">
            <v>111.2</v>
          </cell>
          <cell r="W59">
            <v>140.30000000000001</v>
          </cell>
          <cell r="Y59">
            <v>6.7</v>
          </cell>
          <cell r="Z59">
            <v>42.4</v>
          </cell>
          <cell r="AA59">
            <v>55.9</v>
          </cell>
          <cell r="AB59">
            <v>53.5</v>
          </cell>
          <cell r="AD59">
            <v>298.8</v>
          </cell>
          <cell r="AF59">
            <v>23.4</v>
          </cell>
          <cell r="AG59">
            <v>51.7</v>
          </cell>
          <cell r="AM59">
            <v>0</v>
          </cell>
          <cell r="AN59">
            <v>0</v>
          </cell>
          <cell r="AO59">
            <v>0</v>
          </cell>
          <cell r="AU59" t="str">
            <v xml:space="preserve"> 1Q</v>
          </cell>
          <cell r="AV59">
            <v>57.9</v>
          </cell>
          <cell r="AX59">
            <v>124.9</v>
          </cell>
          <cell r="AY59">
            <v>84.9</v>
          </cell>
          <cell r="AZ59">
            <v>209.8</v>
          </cell>
          <cell r="BD59">
            <v>17.600000000000001</v>
          </cell>
          <cell r="BF59">
            <v>6.7</v>
          </cell>
          <cell r="BG59">
            <v>5</v>
          </cell>
          <cell r="BH59">
            <v>11.7</v>
          </cell>
          <cell r="BI59">
            <v>297</v>
          </cell>
          <cell r="BK59">
            <v>138</v>
          </cell>
          <cell r="BL59">
            <v>25.7</v>
          </cell>
          <cell r="BM59">
            <v>163.69999999999999</v>
          </cell>
          <cell r="BO59">
            <v>19</v>
          </cell>
          <cell r="BP59">
            <v>14</v>
          </cell>
          <cell r="BQ59">
            <v>33</v>
          </cell>
          <cell r="BS59">
            <v>7.6</v>
          </cell>
          <cell r="BT59">
            <v>40.6</v>
          </cell>
          <cell r="BV59">
            <v>0</v>
          </cell>
          <cell r="BX59">
            <v>70.400000000000006</v>
          </cell>
          <cell r="BY59">
            <v>1651.4</v>
          </cell>
          <cell r="BZ59">
            <v>138.19999999999999</v>
          </cell>
          <cell r="CA59">
            <v>1789.6000000000001</v>
          </cell>
        </row>
        <row r="60">
          <cell r="A60" t="str">
            <v xml:space="preserve"> 2Q</v>
          </cell>
          <cell r="B60">
            <v>459</v>
          </cell>
          <cell r="C60">
            <v>138.6</v>
          </cell>
          <cell r="D60">
            <v>597.6</v>
          </cell>
          <cell r="F60">
            <v>125.8</v>
          </cell>
          <cell r="G60">
            <v>30.2</v>
          </cell>
          <cell r="H60">
            <v>156</v>
          </cell>
          <cell r="J60">
            <v>22.3</v>
          </cell>
          <cell r="L60">
            <v>25.599999999999977</v>
          </cell>
          <cell r="R60">
            <v>801.5</v>
          </cell>
          <cell r="T60" t="str">
            <v xml:space="preserve"> 2Q</v>
          </cell>
          <cell r="U60">
            <v>7.8</v>
          </cell>
          <cell r="V60">
            <v>92.7</v>
          </cell>
          <cell r="W60">
            <v>100.5</v>
          </cell>
          <cell r="Y60">
            <v>5</v>
          </cell>
          <cell r="Z60">
            <v>39.5</v>
          </cell>
          <cell r="AA60">
            <v>58.4</v>
          </cell>
          <cell r="AB60">
            <v>46.5</v>
          </cell>
          <cell r="AD60">
            <v>249.9</v>
          </cell>
          <cell r="AF60">
            <v>24.2</v>
          </cell>
          <cell r="AG60">
            <v>59.8</v>
          </cell>
          <cell r="AM60">
            <v>0</v>
          </cell>
          <cell r="AN60">
            <v>0</v>
          </cell>
          <cell r="AO60">
            <v>0</v>
          </cell>
          <cell r="AU60" t="str">
            <v xml:space="preserve"> 2Q</v>
          </cell>
          <cell r="AV60">
            <v>65</v>
          </cell>
          <cell r="AX60">
            <v>132.5</v>
          </cell>
          <cell r="AY60">
            <v>86.6</v>
          </cell>
          <cell r="AZ60">
            <v>219.1</v>
          </cell>
          <cell r="BD60">
            <v>16.899999999999999</v>
          </cell>
          <cell r="BF60">
            <v>8.5</v>
          </cell>
          <cell r="BG60">
            <v>6.6</v>
          </cell>
          <cell r="BH60">
            <v>15.1</v>
          </cell>
          <cell r="BI60">
            <v>316.10000000000002</v>
          </cell>
          <cell r="BK60">
            <v>86.1</v>
          </cell>
          <cell r="BL60">
            <v>33.299999999999997</v>
          </cell>
          <cell r="BM60">
            <v>119.39999999999999</v>
          </cell>
          <cell r="BO60">
            <v>22.1</v>
          </cell>
          <cell r="BP60">
            <v>18.899999999999999</v>
          </cell>
          <cell r="BQ60">
            <v>41</v>
          </cell>
          <cell r="BS60">
            <v>8.1</v>
          </cell>
          <cell r="BT60">
            <v>49.1</v>
          </cell>
          <cell r="BV60">
            <v>0</v>
          </cell>
          <cell r="BX60">
            <v>75.599999999999994</v>
          </cell>
          <cell r="BY60">
            <v>1695.6</v>
          </cell>
          <cell r="BZ60">
            <v>129.5</v>
          </cell>
          <cell r="CA60">
            <v>1825.1</v>
          </cell>
        </row>
        <row r="61">
          <cell r="A61" t="str">
            <v xml:space="preserve"> 3Q</v>
          </cell>
          <cell r="B61">
            <v>576.6</v>
          </cell>
          <cell r="C61">
            <v>127.3</v>
          </cell>
          <cell r="D61">
            <v>703.9</v>
          </cell>
          <cell r="F61">
            <v>162.69999999999999</v>
          </cell>
          <cell r="G61">
            <v>39.1</v>
          </cell>
          <cell r="H61">
            <v>201.79999999999998</v>
          </cell>
          <cell r="J61">
            <v>23.7</v>
          </cell>
          <cell r="L61">
            <v>26</v>
          </cell>
          <cell r="R61">
            <v>955.2</v>
          </cell>
          <cell r="T61" t="str">
            <v xml:space="preserve"> 3Q</v>
          </cell>
          <cell r="U61">
            <v>6.2</v>
          </cell>
          <cell r="V61">
            <v>80.2</v>
          </cell>
          <cell r="W61">
            <v>86.4</v>
          </cell>
          <cell r="Y61">
            <v>4.7</v>
          </cell>
          <cell r="Z61">
            <v>40</v>
          </cell>
          <cell r="AA61">
            <v>54</v>
          </cell>
          <cell r="AB61">
            <v>42.5</v>
          </cell>
          <cell r="AD61">
            <v>227.6</v>
          </cell>
          <cell r="AF61">
            <v>20.7</v>
          </cell>
          <cell r="AG61">
            <v>63.3</v>
          </cell>
          <cell r="AM61">
            <v>0</v>
          </cell>
          <cell r="AN61">
            <v>0</v>
          </cell>
          <cell r="AO61">
            <v>0</v>
          </cell>
          <cell r="AU61" t="str">
            <v xml:space="preserve"> 3Q</v>
          </cell>
          <cell r="AV61">
            <v>66.5</v>
          </cell>
          <cell r="AX61">
            <v>145.6</v>
          </cell>
          <cell r="AY61">
            <v>80.7</v>
          </cell>
          <cell r="AZ61">
            <v>226.3</v>
          </cell>
          <cell r="BD61">
            <v>17.600000000000001</v>
          </cell>
          <cell r="BF61">
            <v>10.1</v>
          </cell>
          <cell r="BG61">
            <v>7.4</v>
          </cell>
          <cell r="BH61">
            <v>17.5</v>
          </cell>
          <cell r="BI61">
            <v>327.90000000000003</v>
          </cell>
          <cell r="BK61">
            <v>98.4</v>
          </cell>
          <cell r="BL61">
            <v>33.799999999999997</v>
          </cell>
          <cell r="BM61">
            <v>132.19999999999999</v>
          </cell>
          <cell r="BO61">
            <v>26.2</v>
          </cell>
          <cell r="BP61">
            <v>21.1</v>
          </cell>
          <cell r="BQ61">
            <v>47.3</v>
          </cell>
          <cell r="BS61">
            <v>6</v>
          </cell>
          <cell r="BT61">
            <v>53.3</v>
          </cell>
          <cell r="BV61">
            <v>0</v>
          </cell>
          <cell r="BX61">
            <v>73.3</v>
          </cell>
          <cell r="BY61">
            <v>1853.5</v>
          </cell>
          <cell r="BZ61">
            <v>142.9</v>
          </cell>
          <cell r="CA61">
            <v>1996.4</v>
          </cell>
        </row>
        <row r="62">
          <cell r="A62" t="str">
            <v xml:space="preserve"> 4Q</v>
          </cell>
          <cell r="B62">
            <v>546.9</v>
          </cell>
          <cell r="C62">
            <v>144.5</v>
          </cell>
          <cell r="D62">
            <v>691.4</v>
          </cell>
          <cell r="F62">
            <v>210.2</v>
          </cell>
          <cell r="G62">
            <v>56.8</v>
          </cell>
          <cell r="H62">
            <v>267</v>
          </cell>
          <cell r="J62">
            <v>31.7</v>
          </cell>
          <cell r="L62">
            <v>33.4</v>
          </cell>
          <cell r="R62">
            <v>1023.5</v>
          </cell>
          <cell r="T62" t="str">
            <v xml:space="preserve"> 4Q</v>
          </cell>
          <cell r="U62">
            <v>13.3</v>
          </cell>
          <cell r="V62">
            <v>101.8</v>
          </cell>
          <cell r="W62">
            <v>115.1</v>
          </cell>
          <cell r="Y62">
            <v>5.35</v>
          </cell>
          <cell r="Z62">
            <v>40</v>
          </cell>
          <cell r="AA62">
            <v>50.1</v>
          </cell>
          <cell r="AB62">
            <v>45.6</v>
          </cell>
          <cell r="AD62">
            <v>256.14999999999998</v>
          </cell>
          <cell r="AF62">
            <v>22</v>
          </cell>
          <cell r="AG62">
            <v>79.599999999999994</v>
          </cell>
          <cell r="AM62">
            <v>0</v>
          </cell>
          <cell r="AN62">
            <v>0</v>
          </cell>
          <cell r="AO62">
            <v>0</v>
          </cell>
          <cell r="AU62" t="str">
            <v xml:space="preserve"> 4Q</v>
          </cell>
          <cell r="AV62">
            <v>70.3</v>
          </cell>
          <cell r="AX62">
            <v>183.3</v>
          </cell>
          <cell r="AY62">
            <v>97.1</v>
          </cell>
          <cell r="AZ62">
            <v>280.39999999999998</v>
          </cell>
          <cell r="BD62">
            <v>17.3</v>
          </cell>
          <cell r="BF62">
            <v>12.5</v>
          </cell>
          <cell r="BG62">
            <v>11</v>
          </cell>
          <cell r="BH62">
            <v>23.5</v>
          </cell>
          <cell r="BI62">
            <v>391.5</v>
          </cell>
          <cell r="BK62">
            <v>78.2</v>
          </cell>
          <cell r="BL62">
            <v>33</v>
          </cell>
          <cell r="BM62">
            <v>111.2</v>
          </cell>
          <cell r="BO62">
            <v>27.7</v>
          </cell>
          <cell r="BP62">
            <v>25.8</v>
          </cell>
          <cell r="BQ62">
            <v>53.5</v>
          </cell>
          <cell r="BS62">
            <v>8.1</v>
          </cell>
          <cell r="BT62">
            <v>61.6</v>
          </cell>
          <cell r="BV62">
            <v>0</v>
          </cell>
          <cell r="BX62">
            <v>74.8</v>
          </cell>
          <cell r="BY62">
            <v>2020.35</v>
          </cell>
          <cell r="BZ62">
            <v>188.1</v>
          </cell>
          <cell r="CA62">
            <v>2208.4499999999998</v>
          </cell>
        </row>
        <row r="64">
          <cell r="A64" t="str">
            <v>Year</v>
          </cell>
          <cell r="B64">
            <v>2018.2000000000003</v>
          </cell>
          <cell r="C64">
            <v>538.1</v>
          </cell>
          <cell r="D64">
            <v>2556.3000000000002</v>
          </cell>
          <cell r="F64">
            <v>590</v>
          </cell>
          <cell r="G64">
            <v>140.19999999999999</v>
          </cell>
          <cell r="H64">
            <v>730.19999999999993</v>
          </cell>
          <cell r="J64">
            <v>94.300000000000011</v>
          </cell>
          <cell r="L64">
            <v>105.39999999999995</v>
          </cell>
          <cell r="R64">
            <v>3486</v>
          </cell>
          <cell r="T64" t="str">
            <v>Year</v>
          </cell>
          <cell r="U64">
            <v>56.400000000000006</v>
          </cell>
          <cell r="V64">
            <v>385.90000000000003</v>
          </cell>
          <cell r="W64">
            <v>442.30000000000007</v>
          </cell>
          <cell r="Y64">
            <v>21.75</v>
          </cell>
          <cell r="Z64">
            <v>161.9</v>
          </cell>
          <cell r="AA64">
            <v>218.4</v>
          </cell>
          <cell r="AB64">
            <v>188.1</v>
          </cell>
          <cell r="AD64">
            <v>1032.45</v>
          </cell>
          <cell r="AF64">
            <v>90.3</v>
          </cell>
          <cell r="AG64">
            <v>254.4</v>
          </cell>
          <cell r="AM64">
            <v>0</v>
          </cell>
          <cell r="AN64">
            <v>0</v>
          </cell>
          <cell r="AO64">
            <v>0</v>
          </cell>
          <cell r="AU64" t="str">
            <v>Year</v>
          </cell>
          <cell r="AV64">
            <v>259.7</v>
          </cell>
          <cell r="AX64">
            <v>586.29999999999995</v>
          </cell>
          <cell r="AY64">
            <v>349.29999999999995</v>
          </cell>
          <cell r="AZ64">
            <v>935.6</v>
          </cell>
          <cell r="BD64">
            <v>69.400000000000006</v>
          </cell>
          <cell r="BF64">
            <v>37.799999999999997</v>
          </cell>
          <cell r="BG64">
            <v>30</v>
          </cell>
          <cell r="BH64">
            <v>67.8</v>
          </cell>
          <cell r="BI64">
            <v>1332.5</v>
          </cell>
          <cell r="BK64">
            <v>400.7</v>
          </cell>
          <cell r="BL64">
            <v>125.8</v>
          </cell>
          <cell r="BM64">
            <v>526.5</v>
          </cell>
          <cell r="BO64">
            <v>95</v>
          </cell>
          <cell r="BP64">
            <v>79.8</v>
          </cell>
          <cell r="BQ64">
            <v>174.8</v>
          </cell>
          <cell r="BS64">
            <v>29.799999999999997</v>
          </cell>
          <cell r="BT64">
            <v>204.6</v>
          </cell>
          <cell r="BV64">
            <v>0</v>
          </cell>
          <cell r="BX64">
            <v>294.10000000000002</v>
          </cell>
          <cell r="BY64">
            <v>7220.85</v>
          </cell>
          <cell r="BZ64">
            <v>598.70000000000005</v>
          </cell>
          <cell r="CA64">
            <v>7819.5500000000011</v>
          </cell>
        </row>
        <row r="66">
          <cell r="A66" t="str">
            <v>1998/97</v>
          </cell>
          <cell r="T66" t="str">
            <v>1998/97</v>
          </cell>
          <cell r="AU66" t="str">
            <v>1998/97</v>
          </cell>
        </row>
        <row r="67">
          <cell r="A67" t="str">
            <v xml:space="preserve"> 1Q</v>
          </cell>
          <cell r="B67">
            <v>0.10626577920587563</v>
          </cell>
          <cell r="C67">
            <v>3.9154267815191747E-2</v>
          </cell>
          <cell r="D67">
            <v>9.1054313099041662E-2</v>
          </cell>
          <cell r="F67">
            <v>1.5235487404162107</v>
          </cell>
          <cell r="G67">
            <v>3.0283687943262407</v>
          </cell>
          <cell r="H67">
            <v>1.7248576850094879</v>
          </cell>
          <cell r="J67">
            <v>-3.012048192771084E-2</v>
          </cell>
          <cell r="L67">
            <v>0.22549019607843232</v>
          </cell>
          <cell r="R67">
            <v>0.33550580901105143</v>
          </cell>
          <cell r="T67" t="str">
            <v xml:space="preserve"> 1Q</v>
          </cell>
          <cell r="U67">
            <v>-0.57388316151202756</v>
          </cell>
          <cell r="V67">
            <v>-6.1151079136690621E-2</v>
          </cell>
          <cell r="W67">
            <v>-0.16749821810406271</v>
          </cell>
          <cell r="Y67">
            <v>-0.17910447761194032</v>
          </cell>
          <cell r="Z67">
            <v>-0.11320754716981125</v>
          </cell>
          <cell r="AA67">
            <v>-1.7889087656529516E-2</v>
          </cell>
          <cell r="AB67">
            <v>-0.18317757009345789</v>
          </cell>
          <cell r="AD67">
            <v>-0.13487282463186082</v>
          </cell>
          <cell r="AF67">
            <v>-3.8461538461538401E-2</v>
          </cell>
          <cell r="AG67">
            <v>0.3539651837524177</v>
          </cell>
          <cell r="AM67" t="str">
            <v>NM</v>
          </cell>
          <cell r="AN67" t="str">
            <v>NM</v>
          </cell>
          <cell r="AO67" t="str">
            <v>NM</v>
          </cell>
          <cell r="AU67" t="str">
            <v xml:space="preserve"> 1Q</v>
          </cell>
          <cell r="AV67">
            <v>5.1813471502590677E-2</v>
          </cell>
          <cell r="AX67">
            <v>-0.16092874299439558</v>
          </cell>
          <cell r="AY67">
            <v>5.8892815076560655E-2</v>
          </cell>
          <cell r="AZ67">
            <v>-7.1973307912297529E-2</v>
          </cell>
          <cell r="BD67">
            <v>-3.4090909090909172E-2</v>
          </cell>
          <cell r="BF67">
            <v>0.8955223880597013</v>
          </cell>
          <cell r="BG67">
            <v>1.4</v>
          </cell>
          <cell r="BH67">
            <v>1.1111111111111112</v>
          </cell>
          <cell r="BI67">
            <v>1.0101010101010485E-3</v>
          </cell>
          <cell r="BK67">
            <v>-0.15000000000000002</v>
          </cell>
          <cell r="BL67">
            <v>6.6147859922178961E-2</v>
          </cell>
          <cell r="BM67">
            <v>-0.11606597434331094</v>
          </cell>
          <cell r="BO67">
            <v>0.61578947368421044</v>
          </cell>
          <cell r="BP67">
            <v>0.87857142857142867</v>
          </cell>
          <cell r="BQ67">
            <v>0.72727272727272729</v>
          </cell>
          <cell r="BS67">
            <v>-6.5789473684210523E-2</v>
          </cell>
          <cell r="BT67">
            <v>0.57881773399014758</v>
          </cell>
          <cell r="BV67" t="str">
            <v>NM</v>
          </cell>
          <cell r="BX67">
            <v>0</v>
          </cell>
          <cell r="BY67">
            <v>0.15265835049049284</v>
          </cell>
          <cell r="BZ67">
            <v>5.7887120115774453E-2</v>
          </cell>
          <cell r="CA67">
            <v>0.14533974072418399</v>
          </cell>
        </row>
        <row r="68">
          <cell r="A68" t="str">
            <v xml:space="preserve"> 2Q</v>
          </cell>
          <cell r="B68">
            <v>0.14880174291938988</v>
          </cell>
          <cell r="C68">
            <v>-1.94805194805194E-2</v>
          </cell>
          <cell r="D68">
            <v>0.10977242302543491</v>
          </cell>
          <cell r="F68">
            <v>1.032591414944356</v>
          </cell>
          <cell r="G68">
            <v>1.380794701986755</v>
          </cell>
          <cell r="H68">
            <v>1.1000000000000001</v>
          </cell>
          <cell r="J68">
            <v>-0.15246636771300456</v>
          </cell>
          <cell r="L68">
            <v>9.3750000000000999E-2</v>
          </cell>
          <cell r="R68">
            <v>0.29407361197754217</v>
          </cell>
          <cell r="T68" t="str">
            <v xml:space="preserve"> 2Q</v>
          </cell>
          <cell r="U68">
            <v>-0.35897435897435898</v>
          </cell>
          <cell r="V68">
            <v>-9.1693635382955774E-2</v>
          </cell>
          <cell r="W68">
            <v>-0.11243781094527361</v>
          </cell>
          <cell r="Y68">
            <v>-0.27999999999999997</v>
          </cell>
          <cell r="Z68">
            <v>-2.5316455696202892E-3</v>
          </cell>
          <cell r="AA68">
            <v>-0.14212328767123283</v>
          </cell>
          <cell r="AB68">
            <v>-9.4623655913978463E-2</v>
          </cell>
          <cell r="AD68">
            <v>-0.10204081632653073</v>
          </cell>
          <cell r="AF68">
            <v>-0.33884297520661155</v>
          </cell>
          <cell r="AG68">
            <v>0.68896321070234123</v>
          </cell>
          <cell r="AM68" t="str">
            <v>NM</v>
          </cell>
          <cell r="AN68" t="str">
            <v>NM</v>
          </cell>
          <cell r="AO68" t="str">
            <v>NM</v>
          </cell>
          <cell r="AU68" t="str">
            <v xml:space="preserve"> 2Q</v>
          </cell>
          <cell r="AV68">
            <v>9.2307692307691432E-3</v>
          </cell>
          <cell r="AX68">
            <v>0.11622641509433966</v>
          </cell>
          <cell r="AY68">
            <v>0.10969976905311779</v>
          </cell>
          <cell r="AZ68">
            <v>0.11364673664993157</v>
          </cell>
          <cell r="BD68">
            <v>-1.1834319526627177E-2</v>
          </cell>
          <cell r="BF68">
            <v>0.88235294117647056</v>
          </cell>
          <cell r="BG68">
            <v>1.0606060606060606</v>
          </cell>
          <cell r="BH68">
            <v>0.96026490066225179</v>
          </cell>
          <cell r="BI68">
            <v>0.12590952230306868</v>
          </cell>
          <cell r="BK68">
            <v>-0.49128919860627179</v>
          </cell>
          <cell r="BL68">
            <v>-3.3033033033032864E-2</v>
          </cell>
          <cell r="BM68">
            <v>-0.3634840871021775</v>
          </cell>
          <cell r="BO68">
            <v>1.3891402714932124</v>
          </cell>
          <cell r="BP68">
            <v>0.72486772486772511</v>
          </cell>
          <cell r="BQ68">
            <v>1.0829268292682928</v>
          </cell>
          <cell r="BS68">
            <v>-0.14814814814814806</v>
          </cell>
          <cell r="BT68">
            <v>0.87983706720977617</v>
          </cell>
          <cell r="BV68" t="str">
            <v>NM</v>
          </cell>
          <cell r="BX68">
            <v>-6.6137566137566143E-3</v>
          </cell>
          <cell r="BY68">
            <v>0.17515923566878983</v>
          </cell>
          <cell r="BZ68">
            <v>5.5598455598455727E-2</v>
          </cell>
          <cell r="CA68">
            <v>0.16667579858637874</v>
          </cell>
        </row>
        <row r="69">
          <cell r="A69" t="str">
            <v xml:space="preserve"> 3Q</v>
          </cell>
          <cell r="B69">
            <v>0.14793617759278521</v>
          </cell>
          <cell r="C69">
            <v>-7.8554595443829003E-4</v>
          </cell>
          <cell r="D69">
            <v>0.12103992044324485</v>
          </cell>
          <cell r="F69">
            <v>0.91518131530424118</v>
          </cell>
          <cell r="G69">
            <v>1.1611253196930946</v>
          </cell>
          <cell r="H69">
            <v>0.96283448959365736</v>
          </cell>
          <cell r="J69">
            <v>-9.2827004219409259E-2</v>
          </cell>
          <cell r="L69">
            <v>0.15384615384615385</v>
          </cell>
          <cell r="R69">
            <v>0.29501675041876041</v>
          </cell>
          <cell r="T69" t="str">
            <v xml:space="preserve"> 3Q</v>
          </cell>
          <cell r="U69">
            <v>0.38709677419354827</v>
          </cell>
          <cell r="V69">
            <v>-0.10224438902743145</v>
          </cell>
          <cell r="W69">
            <v>-6.7129629629629761E-2</v>
          </cell>
          <cell r="Y69">
            <v>-0.23404255319148937</v>
          </cell>
          <cell r="Z69">
            <v>-5.500000000000007E-2</v>
          </cell>
          <cell r="AA69">
            <v>-0.1518518518518519</v>
          </cell>
          <cell r="AB69">
            <v>-4.000000000000007E-2</v>
          </cell>
          <cell r="AD69">
            <v>-8.3479789103690819E-2</v>
          </cell>
          <cell r="AF69">
            <v>-1.4492753623188441E-2</v>
          </cell>
          <cell r="AG69">
            <v>0.36966824644549773</v>
          </cell>
          <cell r="AM69" t="str">
            <v>NM</v>
          </cell>
          <cell r="AN69" t="str">
            <v>NM</v>
          </cell>
          <cell r="AO69" t="str">
            <v>NM</v>
          </cell>
          <cell r="AU69" t="str">
            <v xml:space="preserve"> 3Q</v>
          </cell>
          <cell r="AV69">
            <v>-2.4060150375939764E-2</v>
          </cell>
          <cell r="AX69">
            <v>3.1593406593406557E-2</v>
          </cell>
          <cell r="AY69">
            <v>0.11771995043370508</v>
          </cell>
          <cell r="AZ69">
            <v>6.2306672558550442E-2</v>
          </cell>
          <cell r="BD69">
            <v>-9.6590909090909144E-2</v>
          </cell>
          <cell r="BF69">
            <v>0.68316831683168322</v>
          </cell>
          <cell r="BG69">
            <v>1.027027027027027</v>
          </cell>
          <cell r="BH69">
            <v>0.82857142857142863</v>
          </cell>
          <cell r="BI69">
            <v>7.7157670021347657E-2</v>
          </cell>
          <cell r="BK69">
            <v>-0.31707317073170732</v>
          </cell>
          <cell r="BL69">
            <v>-0.14201183431952655</v>
          </cell>
          <cell r="BM69">
            <v>-0.27231467473524956</v>
          </cell>
          <cell r="BO69">
            <v>0.24427480916030544</v>
          </cell>
          <cell r="BP69">
            <v>0.73933649289099523</v>
          </cell>
          <cell r="BQ69">
            <v>0.46511627906976777</v>
          </cell>
          <cell r="BS69">
            <v>0.1333333333333333</v>
          </cell>
          <cell r="BT69">
            <v>0.42776735459662313</v>
          </cell>
          <cell r="BV69" t="str">
            <v>NM</v>
          </cell>
          <cell r="BX69">
            <v>2.0463847203274411E-2</v>
          </cell>
          <cell r="BY69">
            <v>0.17944429457782593</v>
          </cell>
          <cell r="BZ69">
            <v>5.4583624912526121E-2</v>
          </cell>
          <cell r="CA69">
            <v>0.17050691244239635</v>
          </cell>
        </row>
        <row r="70">
          <cell r="A70" t="str">
            <v xml:space="preserve"> 4Q</v>
          </cell>
          <cell r="B70">
            <v>9.7641250685682898E-2</v>
          </cell>
          <cell r="C70">
            <v>-2.0761245674741271E-3</v>
          </cell>
          <cell r="D70">
            <v>7.6800694243563825E-2</v>
          </cell>
          <cell r="F70">
            <v>0.55851569933396783</v>
          </cell>
          <cell r="G70">
            <v>0.84330985915492973</v>
          </cell>
          <cell r="H70">
            <v>0.61910112359550562</v>
          </cell>
          <cell r="J70">
            <v>-3.1545741324921134E-2</v>
          </cell>
          <cell r="L70">
            <v>0.13772455089820365</v>
          </cell>
          <cell r="R70">
            <v>0.21641426477772349</v>
          </cell>
          <cell r="T70" t="str">
            <v xml:space="preserve"> 4Q</v>
          </cell>
          <cell r="U70">
            <v>-0.22556390977443608</v>
          </cell>
          <cell r="V70">
            <v>0</v>
          </cell>
          <cell r="W70">
            <v>-2.6064291920069507E-2</v>
          </cell>
          <cell r="Y70">
            <v>-0.19626168224299062</v>
          </cell>
          <cell r="Z70">
            <v>4.0000000000000036E-2</v>
          </cell>
          <cell r="AA70">
            <v>0.11576846307385223</v>
          </cell>
          <cell r="AB70">
            <v>-9.2105263157894801E-2</v>
          </cell>
          <cell r="AD70">
            <v>-3.3183681436656878E-3</v>
          </cell>
          <cell r="AF70">
            <v>0.19999999999999993</v>
          </cell>
          <cell r="AG70">
            <v>0.35301507537688454</v>
          </cell>
          <cell r="AM70" t="str">
            <v>NM</v>
          </cell>
          <cell r="AN70" t="str">
            <v>NM</v>
          </cell>
          <cell r="AO70" t="str">
            <v>NM</v>
          </cell>
          <cell r="AU70" t="str">
            <v xml:space="preserve"> 4Q</v>
          </cell>
          <cell r="AV70">
            <v>9.10384068278806E-2</v>
          </cell>
          <cell r="AX70">
            <v>-1.0911074740861974E-2</v>
          </cell>
          <cell r="AY70">
            <v>2.7806385169927939E-2</v>
          </cell>
          <cell r="AZ70">
            <v>2.496433666191318E-3</v>
          </cell>
          <cell r="BD70">
            <v>-3.4682080924855571E-2</v>
          </cell>
          <cell r="BF70">
            <v>0.89599999999999991</v>
          </cell>
          <cell r="BG70">
            <v>0.80909090909090897</v>
          </cell>
          <cell r="BH70">
            <v>0.85531914893617</v>
          </cell>
          <cell r="BI70">
            <v>6.7943805874840418E-2</v>
          </cell>
          <cell r="BK70">
            <v>-6.1381074168797914E-2</v>
          </cell>
          <cell r="BL70">
            <v>-0.14848484848484844</v>
          </cell>
          <cell r="BM70">
            <v>-8.7230215827338156E-2</v>
          </cell>
          <cell r="BO70">
            <v>0.88808664259927794</v>
          </cell>
          <cell r="BP70">
            <v>0.65891472868217038</v>
          </cell>
          <cell r="BQ70">
            <v>0.77757009345794381</v>
          </cell>
          <cell r="BS70">
            <v>-0.14814814814814806</v>
          </cell>
          <cell r="BT70">
            <v>0.65584415584415579</v>
          </cell>
          <cell r="BV70" t="str">
            <v>NM</v>
          </cell>
          <cell r="BX70">
            <v>0.17513368983957231</v>
          </cell>
          <cell r="BY70">
            <v>0.19122924245799014</v>
          </cell>
          <cell r="BZ70">
            <v>-4.2530568846358922E-3</v>
          </cell>
          <cell r="CA70">
            <v>0.17457945617967383</v>
          </cell>
        </row>
        <row r="72">
          <cell r="A72" t="str">
            <v>Year</v>
          </cell>
          <cell r="B72">
            <v>0.12550787830740248</v>
          </cell>
          <cell r="C72">
            <v>3.530942204051249E-3</v>
          </cell>
          <cell r="D72">
            <v>9.9831788131283419E-2</v>
          </cell>
          <cell r="F72">
            <v>0.90728813559322063</v>
          </cell>
          <cell r="G72">
            <v>1.2674750356633382</v>
          </cell>
          <cell r="H72">
            <v>0.9764448096411944</v>
          </cell>
          <cell r="J72">
            <v>-7.5291622481442291E-2</v>
          </cell>
          <cell r="L72">
            <v>0.14800759013282788</v>
          </cell>
          <cell r="R72">
            <v>0.27991967871485951</v>
          </cell>
          <cell r="T72" t="str">
            <v>Year</v>
          </cell>
          <cell r="U72">
            <v>-0.35638297872340435</v>
          </cell>
          <cell r="V72">
            <v>-6.0896605338170505E-2</v>
          </cell>
          <cell r="W72">
            <v>-9.8575627402215732E-2</v>
          </cell>
          <cell r="Y72">
            <v>-0.21839080459770116</v>
          </cell>
          <cell r="Z72">
            <v>-3.3971587399629397E-2</v>
          </cell>
          <cell r="AA72">
            <v>-5.357142857142852E-2</v>
          </cell>
          <cell r="AB72">
            <v>-0.10685805422647525</v>
          </cell>
          <cell r="AD72">
            <v>-8.2958012494551883E-2</v>
          </cell>
          <cell r="AF72">
            <v>-5.5370985603543747E-2</v>
          </cell>
          <cell r="AG72">
            <v>0.43632075471698101</v>
          </cell>
          <cell r="AM72" t="str">
            <v>NM</v>
          </cell>
          <cell r="AN72" t="str">
            <v>NM</v>
          </cell>
          <cell r="AO72" t="str">
            <v>NM</v>
          </cell>
          <cell r="AU72" t="str">
            <v>Year</v>
          </cell>
          <cell r="AV72">
            <v>3.2345013477089082E-2</v>
          </cell>
          <cell r="AX72">
            <v>-3.5817840695887928E-3</v>
          </cell>
          <cell r="AY72">
            <v>7.6438591468651729E-2</v>
          </cell>
          <cell r="AZ72">
            <v>2.6293287729798963E-2</v>
          </cell>
          <cell r="BD72">
            <v>-4.466858789625372E-2</v>
          </cell>
          <cell r="BF72">
            <v>0.83597883597883627</v>
          </cell>
          <cell r="BG72">
            <v>1.0166666666666666</v>
          </cell>
          <cell r="BH72">
            <v>0.91592920353982277</v>
          </cell>
          <cell r="BI72">
            <v>6.9043151969981245E-2</v>
          </cell>
          <cell r="BK72">
            <v>-0.24706763164462178</v>
          </cell>
          <cell r="BL72">
            <v>-7.2337042925278289E-2</v>
          </cell>
          <cell r="BM72">
            <v>-0.20531813865147203</v>
          </cell>
          <cell r="BO72">
            <v>0.77263157894736822</v>
          </cell>
          <cell r="BP72">
            <v>0.73433583959899762</v>
          </cell>
          <cell r="BQ72">
            <v>0.7551487414187642</v>
          </cell>
          <cell r="BS72">
            <v>-7.0469798657717936E-2</v>
          </cell>
          <cell r="BT72">
            <v>0.63489736070381231</v>
          </cell>
          <cell r="BV72" t="str">
            <v>NM</v>
          </cell>
          <cell r="BX72">
            <v>4.7942876572594433E-2</v>
          </cell>
          <cell r="BY72">
            <v>0.17560951965488841</v>
          </cell>
          <cell r="BZ72">
            <v>3.7080340738266125E-2</v>
          </cell>
          <cell r="CA72">
            <v>0.16500310120147554</v>
          </cell>
        </row>
        <row r="74">
          <cell r="A74" t="str">
            <v>1998</v>
          </cell>
          <cell r="T74" t="str">
            <v>1998</v>
          </cell>
          <cell r="AU74" t="str">
            <v>1998</v>
          </cell>
        </row>
        <row r="75">
          <cell r="A75" t="str">
            <v xml:space="preserve"> 1Q</v>
          </cell>
          <cell r="B75">
            <v>482</v>
          </cell>
          <cell r="C75">
            <v>132.69999999999999</v>
          </cell>
          <cell r="D75">
            <v>614.70000000000005</v>
          </cell>
          <cell r="F75">
            <v>230.4</v>
          </cell>
          <cell r="G75">
            <v>56.8</v>
          </cell>
          <cell r="H75">
            <v>287.2</v>
          </cell>
          <cell r="J75">
            <v>16.100000000000001</v>
          </cell>
          <cell r="L75">
            <v>25</v>
          </cell>
          <cell r="R75">
            <v>942.6</v>
          </cell>
          <cell r="T75" t="str">
            <v xml:space="preserve"> 1Q</v>
          </cell>
          <cell r="U75">
            <v>12.4</v>
          </cell>
          <cell r="V75">
            <v>104.4</v>
          </cell>
          <cell r="W75">
            <v>116.80000000000001</v>
          </cell>
          <cell r="Y75">
            <v>5.5</v>
          </cell>
          <cell r="Z75">
            <v>37.6</v>
          </cell>
          <cell r="AA75">
            <v>54.9</v>
          </cell>
          <cell r="AB75">
            <v>43.7</v>
          </cell>
          <cell r="AD75">
            <v>258.5</v>
          </cell>
          <cell r="AF75">
            <v>22.5</v>
          </cell>
          <cell r="AG75">
            <v>70</v>
          </cell>
          <cell r="AM75">
            <v>32.700000000000003</v>
          </cell>
          <cell r="AN75">
            <v>0.7</v>
          </cell>
          <cell r="AO75">
            <v>33.400000000000006</v>
          </cell>
          <cell r="AU75" t="str">
            <v xml:space="preserve"> 1Q</v>
          </cell>
          <cell r="AV75">
            <v>60.9</v>
          </cell>
          <cell r="AX75">
            <v>104.8</v>
          </cell>
          <cell r="AY75">
            <v>89.9</v>
          </cell>
          <cell r="AZ75">
            <v>194.7</v>
          </cell>
          <cell r="BD75">
            <v>17</v>
          </cell>
          <cell r="BF75">
            <v>12.7</v>
          </cell>
          <cell r="BG75">
            <v>12</v>
          </cell>
          <cell r="BH75">
            <v>24.7</v>
          </cell>
          <cell r="BI75">
            <v>297.3</v>
          </cell>
          <cell r="BK75">
            <v>117.3</v>
          </cell>
          <cell r="BL75">
            <v>27.4</v>
          </cell>
          <cell r="BM75">
            <v>144.69999999999999</v>
          </cell>
          <cell r="BO75">
            <v>30.7</v>
          </cell>
          <cell r="BP75">
            <v>26.3</v>
          </cell>
          <cell r="BQ75">
            <v>57</v>
          </cell>
          <cell r="BS75">
            <v>7.1</v>
          </cell>
          <cell r="BT75">
            <v>64.099999999999994</v>
          </cell>
          <cell r="BV75">
            <v>0</v>
          </cell>
          <cell r="BX75">
            <v>70.400000000000006</v>
          </cell>
          <cell r="BY75">
            <v>1903.5</v>
          </cell>
          <cell r="BZ75">
            <v>146.20000000000002</v>
          </cell>
          <cell r="CA75">
            <v>2049.6999999999998</v>
          </cell>
        </row>
        <row r="76">
          <cell r="A76" t="str">
            <v xml:space="preserve"> 2Q</v>
          </cell>
          <cell r="B76">
            <v>527.29999999999995</v>
          </cell>
          <cell r="C76">
            <v>135.9</v>
          </cell>
          <cell r="D76">
            <v>663.19999999999993</v>
          </cell>
          <cell r="F76">
            <v>255.7</v>
          </cell>
          <cell r="G76">
            <v>71.900000000000006</v>
          </cell>
          <cell r="H76">
            <v>327.60000000000002</v>
          </cell>
          <cell r="J76">
            <v>18.899999999999999</v>
          </cell>
          <cell r="L76">
            <v>28</v>
          </cell>
          <cell r="R76">
            <v>1037.2</v>
          </cell>
          <cell r="T76" t="str">
            <v xml:space="preserve"> 2Q</v>
          </cell>
          <cell r="U76">
            <v>5</v>
          </cell>
          <cell r="V76">
            <v>84.2</v>
          </cell>
          <cell r="W76">
            <v>89.2</v>
          </cell>
          <cell r="Y76">
            <v>3.6</v>
          </cell>
          <cell r="Z76">
            <v>39.4</v>
          </cell>
          <cell r="AA76">
            <v>50.1</v>
          </cell>
          <cell r="AB76">
            <v>42.1</v>
          </cell>
          <cell r="AD76">
            <v>224.39999999999998</v>
          </cell>
          <cell r="AF76">
            <v>16</v>
          </cell>
          <cell r="AG76">
            <v>101</v>
          </cell>
          <cell r="AM76">
            <v>14</v>
          </cell>
          <cell r="AN76">
            <v>0.7</v>
          </cell>
          <cell r="AO76">
            <v>14.7</v>
          </cell>
          <cell r="AU76" t="str">
            <v xml:space="preserve"> 2Q</v>
          </cell>
          <cell r="AV76">
            <v>65.599999999999994</v>
          </cell>
          <cell r="AX76">
            <v>147.9</v>
          </cell>
          <cell r="AY76">
            <v>96.1</v>
          </cell>
          <cell r="AZ76">
            <v>244</v>
          </cell>
          <cell r="BD76">
            <v>16.7</v>
          </cell>
          <cell r="BF76">
            <v>16</v>
          </cell>
          <cell r="BG76">
            <v>13.6</v>
          </cell>
          <cell r="BH76">
            <v>29.6</v>
          </cell>
          <cell r="BI76">
            <v>355.90000000000003</v>
          </cell>
          <cell r="BK76">
            <v>43.8</v>
          </cell>
          <cell r="BL76">
            <v>32.200000000000003</v>
          </cell>
          <cell r="BM76">
            <v>76</v>
          </cell>
          <cell r="BO76">
            <v>52.8</v>
          </cell>
          <cell r="BP76">
            <v>32.6</v>
          </cell>
          <cell r="BQ76">
            <v>85.4</v>
          </cell>
          <cell r="BS76">
            <v>6.9</v>
          </cell>
          <cell r="BT76">
            <v>92.300000000000011</v>
          </cell>
          <cell r="BV76">
            <v>0</v>
          </cell>
          <cell r="BX76">
            <v>75.099999999999994</v>
          </cell>
          <cell r="BY76">
            <v>1992.6</v>
          </cell>
          <cell r="BZ76">
            <v>136.70000000000002</v>
          </cell>
          <cell r="CA76">
            <v>2129.2999999999997</v>
          </cell>
        </row>
        <row r="77">
          <cell r="A77" t="str">
            <v xml:space="preserve"> 3Q</v>
          </cell>
          <cell r="B77">
            <v>661.9</v>
          </cell>
          <cell r="C77">
            <v>127.2</v>
          </cell>
          <cell r="D77">
            <v>789.1</v>
          </cell>
          <cell r="F77">
            <v>311.60000000000002</v>
          </cell>
          <cell r="G77">
            <v>84.5</v>
          </cell>
          <cell r="H77">
            <v>396.1</v>
          </cell>
          <cell r="J77">
            <v>21.5</v>
          </cell>
          <cell r="L77">
            <v>30</v>
          </cell>
          <cell r="R77">
            <v>1237</v>
          </cell>
          <cell r="T77" t="str">
            <v xml:space="preserve"> 3Q</v>
          </cell>
          <cell r="U77">
            <v>8.6</v>
          </cell>
          <cell r="V77">
            <v>72</v>
          </cell>
          <cell r="W77">
            <v>80.599999999999994</v>
          </cell>
          <cell r="Y77">
            <v>3.6</v>
          </cell>
          <cell r="Z77">
            <v>37.799999999999997</v>
          </cell>
          <cell r="AA77">
            <v>45.8</v>
          </cell>
          <cell r="AB77">
            <v>40.799999999999997</v>
          </cell>
          <cell r="AD77">
            <v>208.59999999999997</v>
          </cell>
          <cell r="AF77">
            <v>20.399999999999999</v>
          </cell>
          <cell r="AG77">
            <v>86.7</v>
          </cell>
          <cell r="AM77">
            <v>31</v>
          </cell>
          <cell r="AN77">
            <v>2.1</v>
          </cell>
          <cell r="AO77">
            <v>33.1</v>
          </cell>
          <cell r="AU77" t="str">
            <v xml:space="preserve"> 3Q</v>
          </cell>
          <cell r="AV77">
            <v>64.900000000000006</v>
          </cell>
          <cell r="AX77">
            <v>150.19999999999999</v>
          </cell>
          <cell r="AY77">
            <v>90.2</v>
          </cell>
          <cell r="AZ77">
            <v>240.39999999999998</v>
          </cell>
          <cell r="BD77">
            <v>15.9</v>
          </cell>
          <cell r="BF77">
            <v>17</v>
          </cell>
          <cell r="BG77">
            <v>15</v>
          </cell>
          <cell r="BH77">
            <v>32</v>
          </cell>
          <cell r="BI77">
            <v>353.19999999999993</v>
          </cell>
          <cell r="BK77">
            <v>67.2</v>
          </cell>
          <cell r="BL77">
            <v>29</v>
          </cell>
          <cell r="BM77">
            <v>96.2</v>
          </cell>
          <cell r="BO77">
            <v>32.6</v>
          </cell>
          <cell r="BP77">
            <v>36.700000000000003</v>
          </cell>
          <cell r="BQ77">
            <v>69.300000000000011</v>
          </cell>
          <cell r="BS77">
            <v>6.8</v>
          </cell>
          <cell r="BT77">
            <v>76.100000000000009</v>
          </cell>
          <cell r="BV77">
            <v>0</v>
          </cell>
          <cell r="BX77">
            <v>74.800000000000011</v>
          </cell>
          <cell r="BY77">
            <v>2186.1000000000004</v>
          </cell>
          <cell r="BZ77">
            <v>150.69999999999999</v>
          </cell>
          <cell r="CA77">
            <v>2336.8000000000002</v>
          </cell>
        </row>
        <row r="78">
          <cell r="A78" t="str">
            <v xml:space="preserve"> 4Q</v>
          </cell>
          <cell r="B78">
            <v>600.29999999999995</v>
          </cell>
          <cell r="C78">
            <v>144.19999999999999</v>
          </cell>
          <cell r="D78">
            <v>744.5</v>
          </cell>
          <cell r="F78">
            <v>327.60000000000002</v>
          </cell>
          <cell r="G78">
            <v>104.7</v>
          </cell>
          <cell r="H78">
            <v>432.3</v>
          </cell>
          <cell r="J78">
            <v>30.7</v>
          </cell>
          <cell r="L78">
            <v>38</v>
          </cell>
          <cell r="R78">
            <v>1245</v>
          </cell>
          <cell r="T78" t="str">
            <v xml:space="preserve"> 4Q</v>
          </cell>
          <cell r="U78">
            <v>10.3</v>
          </cell>
          <cell r="V78">
            <v>101.8</v>
          </cell>
          <cell r="W78">
            <v>112.1</v>
          </cell>
          <cell r="Y78">
            <v>4.3</v>
          </cell>
          <cell r="Z78">
            <v>41.6</v>
          </cell>
          <cell r="AA78">
            <v>55.9</v>
          </cell>
          <cell r="AB78">
            <v>41.4</v>
          </cell>
          <cell r="AD78">
            <v>255.3</v>
          </cell>
          <cell r="AF78">
            <v>26.4</v>
          </cell>
          <cell r="AG78">
            <v>107.7</v>
          </cell>
          <cell r="AM78">
            <v>60</v>
          </cell>
          <cell r="AN78">
            <v>2.8</v>
          </cell>
          <cell r="AO78">
            <v>62.8</v>
          </cell>
          <cell r="AU78" t="str">
            <v xml:space="preserve"> 4Q</v>
          </cell>
          <cell r="AV78">
            <v>76.7</v>
          </cell>
          <cell r="AX78">
            <v>181.3</v>
          </cell>
          <cell r="AY78">
            <v>99.8</v>
          </cell>
          <cell r="AZ78">
            <v>281.10000000000002</v>
          </cell>
          <cell r="BD78">
            <v>16.7</v>
          </cell>
          <cell r="BF78">
            <v>23.7</v>
          </cell>
          <cell r="BG78">
            <v>19.899999999999999</v>
          </cell>
          <cell r="BH78">
            <v>43.599999999999994</v>
          </cell>
          <cell r="BI78">
            <v>418.1</v>
          </cell>
          <cell r="BK78">
            <v>73.400000000000006</v>
          </cell>
          <cell r="BL78">
            <v>28.1</v>
          </cell>
          <cell r="BM78">
            <v>101.5</v>
          </cell>
          <cell r="BO78">
            <v>52.3</v>
          </cell>
          <cell r="BP78">
            <v>42.8</v>
          </cell>
          <cell r="BQ78">
            <v>95.1</v>
          </cell>
          <cell r="BS78">
            <v>6.9</v>
          </cell>
          <cell r="BT78">
            <v>102</v>
          </cell>
          <cell r="BV78">
            <v>0</v>
          </cell>
          <cell r="BX78">
            <v>87.9</v>
          </cell>
          <cell r="BY78">
            <v>2406.7000000000003</v>
          </cell>
          <cell r="BZ78">
            <v>187.29999999999998</v>
          </cell>
          <cell r="CA78">
            <v>2594.0000000000005</v>
          </cell>
        </row>
        <row r="80">
          <cell r="A80" t="str">
            <v>Year</v>
          </cell>
          <cell r="B80">
            <v>2271.5</v>
          </cell>
          <cell r="C80">
            <v>540</v>
          </cell>
          <cell r="D80">
            <v>2811.5</v>
          </cell>
          <cell r="F80">
            <v>1125.3000000000002</v>
          </cell>
          <cell r="G80">
            <v>317.89999999999998</v>
          </cell>
          <cell r="H80">
            <v>1443.2</v>
          </cell>
          <cell r="J80">
            <v>87.2</v>
          </cell>
          <cell r="L80">
            <v>121</v>
          </cell>
          <cell r="R80">
            <v>4461.8</v>
          </cell>
          <cell r="T80" t="str">
            <v>Year</v>
          </cell>
          <cell r="U80">
            <v>36.299999999999997</v>
          </cell>
          <cell r="V80">
            <v>362.40000000000003</v>
          </cell>
          <cell r="W80">
            <v>398.70000000000005</v>
          </cell>
          <cell r="Y80">
            <v>17</v>
          </cell>
          <cell r="Z80">
            <v>156.4</v>
          </cell>
          <cell r="AA80">
            <v>206.70000000000002</v>
          </cell>
          <cell r="AB80">
            <v>168</v>
          </cell>
          <cell r="AD80">
            <v>946.8</v>
          </cell>
          <cell r="AF80">
            <v>85.3</v>
          </cell>
          <cell r="AG80">
            <v>365.4</v>
          </cell>
          <cell r="AM80">
            <v>137.69999999999999</v>
          </cell>
          <cell r="AN80">
            <v>6.3</v>
          </cell>
          <cell r="AO80">
            <v>144</v>
          </cell>
          <cell r="AU80" t="str">
            <v>Year</v>
          </cell>
          <cell r="AV80">
            <v>268.10000000000002</v>
          </cell>
          <cell r="AX80">
            <v>584.20000000000005</v>
          </cell>
          <cell r="AY80">
            <v>376</v>
          </cell>
          <cell r="AZ80">
            <v>960.19999999999993</v>
          </cell>
          <cell r="BD80">
            <v>66.3</v>
          </cell>
          <cell r="BF80">
            <v>69.400000000000006</v>
          </cell>
          <cell r="BG80">
            <v>60.5</v>
          </cell>
          <cell r="BH80">
            <v>129.89999999999998</v>
          </cell>
          <cell r="BI80">
            <v>1424.5</v>
          </cell>
          <cell r="BK80">
            <v>301.70000000000005</v>
          </cell>
          <cell r="BL80">
            <v>116.69999999999999</v>
          </cell>
          <cell r="BM80">
            <v>418.4</v>
          </cell>
          <cell r="BO80">
            <v>168.39999999999998</v>
          </cell>
          <cell r="BP80">
            <v>138.4</v>
          </cell>
          <cell r="BQ80">
            <v>306.8</v>
          </cell>
          <cell r="BS80">
            <v>27.700000000000003</v>
          </cell>
          <cell r="BT80">
            <v>334.5</v>
          </cell>
          <cell r="BV80">
            <v>0</v>
          </cell>
          <cell r="BX80">
            <v>308.20000000000005</v>
          </cell>
          <cell r="BY80">
            <v>8488.9000000000015</v>
          </cell>
          <cell r="BZ80">
            <v>620.9</v>
          </cell>
          <cell r="CA80">
            <v>9109.7999999999993</v>
          </cell>
        </row>
        <row r="82">
          <cell r="A82" t="str">
            <v>1999/98</v>
          </cell>
          <cell r="T82" t="str">
            <v>1999/98</v>
          </cell>
          <cell r="AU82" t="str">
            <v>1999/98</v>
          </cell>
        </row>
        <row r="83">
          <cell r="A83" t="str">
            <v xml:space="preserve"> 1QA</v>
          </cell>
          <cell r="B83">
            <v>-5.7261410788381789E-2</v>
          </cell>
          <cell r="C83">
            <v>2.0346646571213392E-2</v>
          </cell>
          <cell r="D83">
            <v>-4.0344883683097521E-2</v>
          </cell>
          <cell r="F83">
            <v>0.29210069444444436</v>
          </cell>
          <cell r="G83">
            <v>0.82218309859154937</v>
          </cell>
          <cell r="H83">
            <v>0.39693593314763231</v>
          </cell>
          <cell r="J83">
            <v>6.8322981366459493E-2</v>
          </cell>
          <cell r="L83">
            <v>0.24800000000000011</v>
          </cell>
          <cell r="R83">
            <v>0.10280076384468484</v>
          </cell>
          <cell r="T83" t="str">
            <v xml:space="preserve"> 1QA</v>
          </cell>
          <cell r="U83">
            <v>-0.33064516129032256</v>
          </cell>
          <cell r="V83">
            <v>-0.10344827586206908</v>
          </cell>
          <cell r="W83">
            <v>-0.12756849315068508</v>
          </cell>
          <cell r="Y83">
            <v>-0.23636363636363633</v>
          </cell>
          <cell r="Z83">
            <v>-0.12234042553191493</v>
          </cell>
          <cell r="AA83">
            <v>-0.10200364298724958</v>
          </cell>
          <cell r="AB83">
            <v>0.17162471395881007</v>
          </cell>
          <cell r="AD83">
            <v>-7.3114119922630727E-2</v>
          </cell>
          <cell r="AF83">
            <v>0.19111111111111098</v>
          </cell>
          <cell r="AG83">
            <v>0.44285714285714284</v>
          </cell>
          <cell r="AM83">
            <v>0.48623853211009171</v>
          </cell>
          <cell r="AN83" t="str">
            <v>NM</v>
          </cell>
          <cell r="AO83">
            <v>0.63473053892215536</v>
          </cell>
          <cell r="AU83" t="str">
            <v xml:space="preserve"> 1QA</v>
          </cell>
          <cell r="AV83">
            <v>0.11330049261083765</v>
          </cell>
          <cell r="AX83">
            <v>2.8625954198473014E-3</v>
          </cell>
          <cell r="AY83">
            <v>8.7875417130144504E-2</v>
          </cell>
          <cell r="AZ83">
            <v>4.2116076014381054E-2</v>
          </cell>
          <cell r="BD83">
            <v>0.49411764705882344</v>
          </cell>
          <cell r="BF83">
            <v>0.73228346456692917</v>
          </cell>
          <cell r="BG83">
            <v>0.70833333333333326</v>
          </cell>
          <cell r="BH83">
            <v>0.72064777327935237</v>
          </cell>
          <cell r="BI83">
            <v>0.13891691893710045</v>
          </cell>
          <cell r="BK83">
            <v>-0.30008525149190113</v>
          </cell>
          <cell r="BL83">
            <v>7.2992700729927015E-2</v>
          </cell>
          <cell r="BM83">
            <v>-0.22944022114720108</v>
          </cell>
          <cell r="BO83">
            <v>1.315960912052117</v>
          </cell>
          <cell r="BP83">
            <v>0.64638783269961952</v>
          </cell>
          <cell r="BQ83">
            <v>1.0070175438596491</v>
          </cell>
          <cell r="BS83">
            <v>-5.6338028169014009E-2</v>
          </cell>
          <cell r="BT83">
            <v>0.88923556942277693</v>
          </cell>
          <cell r="BV83" t="str">
            <v>NM</v>
          </cell>
          <cell r="BX83">
            <v>-0.38636363636363635</v>
          </cell>
          <cell r="BY83">
            <v>0.10664565274494353</v>
          </cell>
          <cell r="BZ83">
            <v>1.9835841313269532E-2</v>
          </cell>
          <cell r="CA83">
            <v>0.10045372493535654</v>
          </cell>
        </row>
        <row r="84">
          <cell r="A84" t="str">
            <v xml:space="preserve"> 2QA</v>
          </cell>
          <cell r="B84">
            <v>6.5427650293950312E-2</v>
          </cell>
          <cell r="C84">
            <v>-7.0640176600441557E-2</v>
          </cell>
          <cell r="D84">
            <v>3.7545235223160445E-2</v>
          </cell>
          <cell r="F84">
            <v>8.1736409855299313E-2</v>
          </cell>
          <cell r="G84">
            <v>0.61752433936022233</v>
          </cell>
          <cell r="H84">
            <v>0.19963369963369981</v>
          </cell>
          <cell r="J84">
            <v>-0.21164021164021157</v>
          </cell>
          <cell r="L84">
            <v>0.17142857142857132</v>
          </cell>
          <cell r="R84">
            <v>8.8314693405321831E-2</v>
          </cell>
          <cell r="T84" t="str">
            <v xml:space="preserve"> 2QA</v>
          </cell>
          <cell r="U84">
            <v>0.98</v>
          </cell>
          <cell r="V84">
            <v>-0.29216152019002378</v>
          </cell>
          <cell r="W84">
            <v>-0.22085201793721976</v>
          </cell>
          <cell r="Y84">
            <v>-0.5</v>
          </cell>
          <cell r="Z84">
            <v>-0.21319796954314718</v>
          </cell>
          <cell r="AA84">
            <v>3.5928143712574932E-2</v>
          </cell>
          <cell r="AB84">
            <v>0.43705463182897858</v>
          </cell>
          <cell r="AD84">
            <v>-4.3226381461675456E-2</v>
          </cell>
          <cell r="AF84">
            <v>0.27500000000000013</v>
          </cell>
          <cell r="AG84">
            <v>0.13069306930693081</v>
          </cell>
          <cell r="AM84">
            <v>3.1428571428571432</v>
          </cell>
          <cell r="AN84" t="str">
            <v>NM</v>
          </cell>
          <cell r="AO84">
            <v>3.5306122448979593</v>
          </cell>
          <cell r="AU84" t="str">
            <v xml:space="preserve"> 2QA</v>
          </cell>
          <cell r="AV84">
            <v>0.11737804878048785</v>
          </cell>
          <cell r="AX84">
            <v>0.17647058823529407</v>
          </cell>
          <cell r="AY84">
            <v>8.6368366285119791E-2</v>
          </cell>
          <cell r="AZ84">
            <v>0.14057377049180309</v>
          </cell>
          <cell r="BD84">
            <v>0.52694610778443118</v>
          </cell>
          <cell r="BF84">
            <v>0.64375000000000004</v>
          </cell>
          <cell r="BG84">
            <v>0.77205882352941191</v>
          </cell>
          <cell r="BH84">
            <v>0.70270270270270285</v>
          </cell>
          <cell r="BI84">
            <v>0.20118010677156484</v>
          </cell>
          <cell r="BK84">
            <v>0.27625570776255715</v>
          </cell>
          <cell r="BL84">
            <v>-0.21118012422360261</v>
          </cell>
          <cell r="BM84">
            <v>6.9736842105263097E-2</v>
          </cell>
          <cell r="BO84">
            <v>-0.19128787878787867</v>
          </cell>
          <cell r="BP84">
            <v>0.34355828220858875</v>
          </cell>
          <cell r="BQ84">
            <v>1.2880562060889833E-2</v>
          </cell>
          <cell r="BS84">
            <v>2.8985507246376708E-2</v>
          </cell>
          <cell r="BT84">
            <v>1.408450704225328E-2</v>
          </cell>
          <cell r="BV84" t="str">
            <v>NM</v>
          </cell>
          <cell r="BX84">
            <v>-0.4434087882822903</v>
          </cell>
          <cell r="BY84">
            <v>9.8564689350597368E-2</v>
          </cell>
          <cell r="BZ84">
            <v>2.9261155815654506E-2</v>
          </cell>
          <cell r="CA84">
            <v>9.4115436998074564E-2</v>
          </cell>
        </row>
        <row r="85">
          <cell r="A85" t="str">
            <v xml:space="preserve"> 3Q</v>
          </cell>
          <cell r="B85">
            <v>-0.14609457621997271</v>
          </cell>
          <cell r="C85">
            <v>-1.729559748427675E-2</v>
          </cell>
          <cell r="D85">
            <v>-0.12533265745786337</v>
          </cell>
          <cell r="F85">
            <v>0.18902439024390236</v>
          </cell>
          <cell r="G85">
            <v>0.56686390532544384</v>
          </cell>
          <cell r="H85">
            <v>0.26962888159555654</v>
          </cell>
          <cell r="J85">
            <v>-0.11162790697674412</v>
          </cell>
          <cell r="L85">
            <v>0.1733333333333332</v>
          </cell>
          <cell r="R85">
            <v>8.4074373484235299E-3</v>
          </cell>
          <cell r="T85" t="str">
            <v xml:space="preserve"> 3Q</v>
          </cell>
          <cell r="U85">
            <v>-3.4883720930232398E-2</v>
          </cell>
          <cell r="V85">
            <v>-7.9166666666666705E-2</v>
          </cell>
          <cell r="W85">
            <v>-7.4441687344913188E-2</v>
          </cell>
          <cell r="Y85">
            <v>-0.16666666666666669</v>
          </cell>
          <cell r="Z85">
            <v>-0.12698412698412692</v>
          </cell>
          <cell r="AA85">
            <v>0.30131004366812236</v>
          </cell>
          <cell r="AB85">
            <v>0.31372549019607854</v>
          </cell>
          <cell r="AD85">
            <v>7.286673058485138E-2</v>
          </cell>
          <cell r="AF85">
            <v>-1.4705882352941037E-2</v>
          </cell>
          <cell r="AG85">
            <v>0.23760092272202993</v>
          </cell>
          <cell r="AM85">
            <v>1.6483870967741932</v>
          </cell>
          <cell r="AN85" t="str">
            <v>NM</v>
          </cell>
          <cell r="AO85">
            <v>1.8036253776435043</v>
          </cell>
          <cell r="AU85" t="str">
            <v xml:space="preserve"> 3Q</v>
          </cell>
          <cell r="AV85">
            <v>0.11248073959938361</v>
          </cell>
          <cell r="AX85">
            <v>0.21637816245006661</v>
          </cell>
          <cell r="AY85">
            <v>0.21507760532150766</v>
          </cell>
          <cell r="AZ85">
            <v>0.21589018302828622</v>
          </cell>
          <cell r="BD85">
            <v>1.6666666666666665</v>
          </cell>
          <cell r="BF85">
            <v>0.87058823529411766</v>
          </cell>
          <cell r="BG85">
            <v>0.79333333333333322</v>
          </cell>
          <cell r="BH85">
            <v>0.83437500000000009</v>
          </cell>
          <cell r="BI85">
            <v>0.31823329558323898</v>
          </cell>
          <cell r="BK85">
            <v>-0.19494047619047616</v>
          </cell>
          <cell r="BL85">
            <v>-4.1379310344827565E-2</v>
          </cell>
          <cell r="BM85">
            <v>-0.14760914760914767</v>
          </cell>
          <cell r="BO85">
            <v>1.1871165644171779</v>
          </cell>
          <cell r="BP85">
            <v>0.3051771117166211</v>
          </cell>
          <cell r="BQ85">
            <v>0.72005772005771962</v>
          </cell>
          <cell r="BS85">
            <v>4.4117647058823505E-2</v>
          </cell>
          <cell r="BT85">
            <v>0.65965834428383663</v>
          </cell>
          <cell r="BV85" t="str">
            <v>NM</v>
          </cell>
          <cell r="BX85">
            <v>-0.37834224598930488</v>
          </cell>
          <cell r="BY85">
            <v>0.10333470564018077</v>
          </cell>
          <cell r="BZ85">
            <v>3.3178500331785005E-3</v>
          </cell>
          <cell r="CA85">
            <v>9.6884628551865415E-2</v>
          </cell>
        </row>
        <row r="86">
          <cell r="A86" t="str">
            <v xml:space="preserve"> 4Q</v>
          </cell>
          <cell r="B86">
            <v>-0.15558887223055137</v>
          </cell>
          <cell r="C86">
            <v>-0.12135922330097078</v>
          </cell>
          <cell r="D86">
            <v>-0.14895903290799195</v>
          </cell>
          <cell r="F86">
            <v>0.30067155067155066</v>
          </cell>
          <cell r="G86">
            <v>0.38395415472779371</v>
          </cell>
          <cell r="H86">
            <v>0.32084200786490857</v>
          </cell>
          <cell r="J86">
            <v>-0.05</v>
          </cell>
          <cell r="L86">
            <v>1.3157894736842105E-2</v>
          </cell>
          <cell r="R86">
            <v>1.5903614457831283E-2</v>
          </cell>
          <cell r="T86" t="str">
            <v xml:space="preserve"> 4Q</v>
          </cell>
          <cell r="U86">
            <v>-0.39805825242718451</v>
          </cell>
          <cell r="V86">
            <v>-0.16895874263261301</v>
          </cell>
          <cell r="W86">
            <v>-0.19000892060660124</v>
          </cell>
          <cell r="Y86">
            <v>0</v>
          </cell>
          <cell r="Z86">
            <v>-0.16346153846153855</v>
          </cell>
          <cell r="AA86">
            <v>1.0733452593917735E-2</v>
          </cell>
          <cell r="AB86">
            <v>0.43478260869565216</v>
          </cell>
          <cell r="AD86">
            <v>-3.7211124167645937E-2</v>
          </cell>
          <cell r="AF86">
            <v>-6.818181818181808E-2</v>
          </cell>
          <cell r="AG86">
            <v>0.15134633240482809</v>
          </cell>
          <cell r="AM86">
            <v>0.60999999999999988</v>
          </cell>
          <cell r="AN86" t="str">
            <v>NM</v>
          </cell>
          <cell r="AO86">
            <v>0.77388535031847128</v>
          </cell>
          <cell r="AU86" t="str">
            <v xml:space="preserve"> 4Q</v>
          </cell>
          <cell r="AV86">
            <v>9.6479791395045519E-2</v>
          </cell>
          <cell r="AX86">
            <v>5.5157198014337732E-4</v>
          </cell>
          <cell r="AY86">
            <v>9.9198396793587232E-2</v>
          </cell>
          <cell r="AZ86">
            <v>3.5218783351120608E-2</v>
          </cell>
          <cell r="BD86">
            <v>1.6287425149700598</v>
          </cell>
          <cell r="BF86">
            <v>0.66666666666666674</v>
          </cell>
          <cell r="BG86">
            <v>0.67839195979899491</v>
          </cell>
          <cell r="BH86">
            <v>0.67201834862385357</v>
          </cell>
          <cell r="BI86">
            <v>0.17651279598182246</v>
          </cell>
          <cell r="BK86">
            <v>-0.31471389645776571</v>
          </cell>
          <cell r="BL86">
            <v>-0.12099644128113886</v>
          </cell>
          <cell r="BM86">
            <v>-0.26108374384236455</v>
          </cell>
          <cell r="BO86">
            <v>0.51242829827915859</v>
          </cell>
          <cell r="BP86">
            <v>0.25934579439252348</v>
          </cell>
          <cell r="BQ86">
            <v>0.3985278654048372</v>
          </cell>
          <cell r="BS86">
            <v>0.33333333333333315</v>
          </cell>
          <cell r="BT86">
            <v>0.39411764705882346</v>
          </cell>
          <cell r="BV86" t="str">
            <v>NM</v>
          </cell>
          <cell r="BX86">
            <v>-0.52559726962457343</v>
          </cell>
          <cell r="BY86">
            <v>4.7658619686707704E-2</v>
          </cell>
          <cell r="BZ86">
            <v>3.8441003737319901E-2</v>
          </cell>
          <cell r="CA86">
            <v>4.6954510408635075E-2</v>
          </cell>
        </row>
        <row r="88">
          <cell r="A88" t="str">
            <v>Year</v>
          </cell>
          <cell r="B88">
            <v>-8.0651551837992441E-2</v>
          </cell>
          <cell r="C88">
            <v>-4.9259259259259301E-2</v>
          </cell>
          <cell r="D88">
            <v>-7.4586519651431593E-2</v>
          </cell>
          <cell r="F88">
            <v>0.21825291033502164</v>
          </cell>
          <cell r="G88">
            <v>0.56369927650204488</v>
          </cell>
          <cell r="H88">
            <v>0.29441518847006631</v>
          </cell>
          <cell r="J88">
            <v>-0.16399082568807336</v>
          </cell>
          <cell r="L88">
            <v>0.13801652892561975</v>
          </cell>
          <cell r="R88">
            <v>4.9016092160114599E-2</v>
          </cell>
          <cell r="T88" t="str">
            <v>Year</v>
          </cell>
          <cell r="U88">
            <v>-9.9173553719008115E-2</v>
          </cell>
          <cell r="V88">
            <v>-0.16087196467991172</v>
          </cell>
          <cell r="W88">
            <v>-0.15525457737647375</v>
          </cell>
          <cell r="Y88">
            <v>-0.21764705882352936</v>
          </cell>
          <cell r="Z88">
            <v>-0.15728900255754472</v>
          </cell>
          <cell r="AA88">
            <v>5.1282051282051253E-2</v>
          </cell>
          <cell r="AB88">
            <v>0.33750000000000008</v>
          </cell>
          <cell r="AD88">
            <v>-2.4186734262779952E-2</v>
          </cell>
          <cell r="AF88">
            <v>7.7373974208675367E-2</v>
          </cell>
          <cell r="AG88">
            <v>0.2219485495347564</v>
          </cell>
          <cell r="AM88">
            <v>1.0718954248366011</v>
          </cell>
          <cell r="AN88" t="str">
            <v>NM</v>
          </cell>
          <cell r="AO88">
            <v>1.259722222222222</v>
          </cell>
          <cell r="AU88" t="str">
            <v>Year</v>
          </cell>
          <cell r="AV88">
            <v>0.10928757926146943</v>
          </cell>
          <cell r="AX88">
            <v>0.10099281068127353</v>
          </cell>
          <cell r="AY88">
            <v>0.12101063829787219</v>
          </cell>
          <cell r="AZ88">
            <v>0.10862320349927113</v>
          </cell>
          <cell r="BD88">
            <v>1.0693815987933635</v>
          </cell>
          <cell r="BF88">
            <v>0.72334293948126782</v>
          </cell>
          <cell r="BG88">
            <v>0.7338842975206612</v>
          </cell>
          <cell r="BH88">
            <v>0.72825250192455782</v>
          </cell>
          <cell r="BI88">
            <v>0.20996840996841004</v>
          </cell>
          <cell r="BK88">
            <v>-0.19655286708650999</v>
          </cell>
          <cell r="BL88">
            <v>-8.0548414738646032E-2</v>
          </cell>
          <cell r="BM88">
            <v>-0.16395793499043965</v>
          </cell>
          <cell r="BO88">
            <v>0.56888361045130653</v>
          </cell>
          <cell r="BP88">
            <v>0.36488439306358378</v>
          </cell>
          <cell r="BQ88">
            <v>0.47685788787483685</v>
          </cell>
          <cell r="BS88">
            <v>8.6642599277978155E-2</v>
          </cell>
          <cell r="BT88">
            <v>0.44454409566517183</v>
          </cell>
          <cell r="BV88" t="str">
            <v>NM</v>
          </cell>
          <cell r="BX88">
            <v>-0.43802725502920192</v>
          </cell>
          <cell r="BY88">
            <v>8.7172660768768395E-2</v>
          </cell>
          <cell r="BZ88">
            <v>2.3514253502979584E-2</v>
          </cell>
          <cell r="CA88">
            <v>8.2822894026213456E-2</v>
          </cell>
        </row>
        <row r="90">
          <cell r="A90">
            <v>1999</v>
          </cell>
          <cell r="T90">
            <v>1999</v>
          </cell>
          <cell r="AU90">
            <v>1999</v>
          </cell>
        </row>
        <row r="91">
          <cell r="A91" t="str">
            <v xml:space="preserve"> 1Q</v>
          </cell>
          <cell r="B91">
            <v>454.4</v>
          </cell>
          <cell r="C91">
            <v>135.4</v>
          </cell>
          <cell r="D91">
            <v>589.9</v>
          </cell>
          <cell r="F91">
            <v>297.7</v>
          </cell>
          <cell r="G91">
            <v>103.5</v>
          </cell>
          <cell r="H91">
            <v>401.2</v>
          </cell>
          <cell r="J91">
            <v>17.2</v>
          </cell>
          <cell r="L91">
            <v>31.200000000000003</v>
          </cell>
          <cell r="R91">
            <v>1039.5</v>
          </cell>
          <cell r="T91" t="str">
            <v xml:space="preserve"> 1Q</v>
          </cell>
          <cell r="U91">
            <v>8.3000000000000007</v>
          </cell>
          <cell r="V91">
            <v>93.6</v>
          </cell>
          <cell r="W91">
            <v>101.89999999999999</v>
          </cell>
          <cell r="Y91">
            <v>4.2</v>
          </cell>
          <cell r="Z91">
            <v>33</v>
          </cell>
          <cell r="AA91">
            <v>49.3</v>
          </cell>
          <cell r="AB91">
            <v>51.2</v>
          </cell>
          <cell r="AD91">
            <v>239.59999999999997</v>
          </cell>
          <cell r="AF91">
            <v>26.799999999999997</v>
          </cell>
          <cell r="AG91">
            <v>101</v>
          </cell>
          <cell r="AM91">
            <v>48.6</v>
          </cell>
          <cell r="AN91">
            <v>6</v>
          </cell>
          <cell r="AO91">
            <v>54.6</v>
          </cell>
          <cell r="AU91" t="str">
            <v xml:space="preserve"> 1Q</v>
          </cell>
          <cell r="AV91">
            <v>67.800000000000011</v>
          </cell>
          <cell r="AX91">
            <v>105.1</v>
          </cell>
          <cell r="AY91">
            <v>97.8</v>
          </cell>
          <cell r="AZ91">
            <v>202.89999999999998</v>
          </cell>
          <cell r="BD91">
            <v>25.4</v>
          </cell>
          <cell r="BF91">
            <v>22</v>
          </cell>
          <cell r="BG91">
            <v>20.5</v>
          </cell>
          <cell r="BH91">
            <v>42.5</v>
          </cell>
          <cell r="BI91">
            <v>338.59999999999997</v>
          </cell>
          <cell r="BK91">
            <v>82.1</v>
          </cell>
          <cell r="BL91">
            <v>29.4</v>
          </cell>
          <cell r="BM91">
            <v>111.5</v>
          </cell>
          <cell r="BO91">
            <v>71.099999999999994</v>
          </cell>
          <cell r="BP91">
            <v>43.3</v>
          </cell>
          <cell r="BQ91">
            <v>114.39999999999999</v>
          </cell>
          <cell r="BS91">
            <v>6.7</v>
          </cell>
          <cell r="BT91">
            <v>121.1</v>
          </cell>
          <cell r="BV91">
            <v>0</v>
          </cell>
          <cell r="BX91">
            <v>43.2</v>
          </cell>
          <cell r="BY91">
            <v>2106.5</v>
          </cell>
          <cell r="BZ91">
            <v>149.10000000000002</v>
          </cell>
          <cell r="CA91">
            <v>2255.6</v>
          </cell>
        </row>
        <row r="92">
          <cell r="A92" t="str">
            <v xml:space="preserve"> 2Q</v>
          </cell>
          <cell r="B92">
            <v>561.79999999999995</v>
          </cell>
          <cell r="C92">
            <v>126.3</v>
          </cell>
          <cell r="D92">
            <v>688.09999999999991</v>
          </cell>
          <cell r="F92">
            <v>276.60000000000002</v>
          </cell>
          <cell r="G92">
            <v>116.3</v>
          </cell>
          <cell r="H92">
            <v>393.00000000000006</v>
          </cell>
          <cell r="J92">
            <v>14.9</v>
          </cell>
          <cell r="L92">
            <v>32.799999999999997</v>
          </cell>
          <cell r="R92">
            <v>1128.8</v>
          </cell>
          <cell r="T92" t="str">
            <v xml:space="preserve"> 2Q</v>
          </cell>
          <cell r="U92">
            <v>9.9</v>
          </cell>
          <cell r="V92">
            <v>59.6</v>
          </cell>
          <cell r="W92">
            <v>69.5</v>
          </cell>
          <cell r="Y92">
            <v>1.8</v>
          </cell>
          <cell r="Z92">
            <v>31</v>
          </cell>
          <cell r="AA92">
            <v>51.900000000000006</v>
          </cell>
          <cell r="AB92">
            <v>60.5</v>
          </cell>
          <cell r="AD92">
            <v>214.70000000000002</v>
          </cell>
          <cell r="AF92">
            <v>20.400000000000002</v>
          </cell>
          <cell r="AG92">
            <v>114.2</v>
          </cell>
          <cell r="AM92">
            <v>58</v>
          </cell>
          <cell r="AN92">
            <v>8.6</v>
          </cell>
          <cell r="AO92">
            <v>66.599999999999994</v>
          </cell>
          <cell r="AU92" t="str">
            <v xml:space="preserve"> 2Q</v>
          </cell>
          <cell r="AV92">
            <v>73.3</v>
          </cell>
          <cell r="AX92">
            <v>174</v>
          </cell>
          <cell r="AY92">
            <v>104.4</v>
          </cell>
          <cell r="AZ92">
            <v>278.29999999999995</v>
          </cell>
          <cell r="BD92">
            <v>25.5</v>
          </cell>
          <cell r="BF92">
            <v>26.3</v>
          </cell>
          <cell r="BG92">
            <v>24.1</v>
          </cell>
          <cell r="BH92">
            <v>50.400000000000006</v>
          </cell>
          <cell r="BI92">
            <v>427.5</v>
          </cell>
          <cell r="BK92">
            <v>55.9</v>
          </cell>
          <cell r="BL92">
            <v>25.4</v>
          </cell>
          <cell r="BM92">
            <v>81.3</v>
          </cell>
          <cell r="BO92">
            <v>42.7</v>
          </cell>
          <cell r="BP92">
            <v>43.8</v>
          </cell>
          <cell r="BQ92">
            <v>86.5</v>
          </cell>
          <cell r="BS92">
            <v>7.1</v>
          </cell>
          <cell r="BT92">
            <v>93.6</v>
          </cell>
          <cell r="BV92">
            <v>0</v>
          </cell>
          <cell r="BX92">
            <v>41.8</v>
          </cell>
          <cell r="BY92">
            <v>2189</v>
          </cell>
          <cell r="BZ92">
            <v>140.69999999999999</v>
          </cell>
          <cell r="CA92">
            <v>2329.6999999999998</v>
          </cell>
        </row>
        <row r="93">
          <cell r="A93" t="str">
            <v xml:space="preserve"> 3Q</v>
          </cell>
          <cell r="B93">
            <v>565.20000000000005</v>
          </cell>
          <cell r="C93">
            <v>125</v>
          </cell>
          <cell r="D93">
            <v>690.2</v>
          </cell>
          <cell r="F93">
            <v>370.5</v>
          </cell>
          <cell r="G93">
            <v>132.4</v>
          </cell>
          <cell r="H93">
            <v>502.9</v>
          </cell>
          <cell r="J93">
            <v>19.100000000000001</v>
          </cell>
          <cell r="L93">
            <v>35.199999999999996</v>
          </cell>
          <cell r="R93">
            <v>1247.3999999999999</v>
          </cell>
          <cell r="T93" t="str">
            <v xml:space="preserve"> 3Q</v>
          </cell>
          <cell r="U93">
            <v>8.3000000000000007</v>
          </cell>
          <cell r="V93">
            <v>66.3</v>
          </cell>
          <cell r="W93">
            <v>74.599999999999994</v>
          </cell>
          <cell r="Y93">
            <v>3</v>
          </cell>
          <cell r="Z93">
            <v>33</v>
          </cell>
          <cell r="AA93">
            <v>59.6</v>
          </cell>
          <cell r="AB93">
            <v>53.6</v>
          </cell>
          <cell r="AD93">
            <v>223.79999999999998</v>
          </cell>
          <cell r="AF93">
            <v>20.100000000000001</v>
          </cell>
          <cell r="AG93">
            <v>107.3</v>
          </cell>
          <cell r="AM93">
            <v>82.1</v>
          </cell>
          <cell r="AN93">
            <v>10.7</v>
          </cell>
          <cell r="AO93">
            <v>92.8</v>
          </cell>
          <cell r="AU93" t="str">
            <v xml:space="preserve"> 3Q</v>
          </cell>
          <cell r="AV93">
            <v>72.2</v>
          </cell>
          <cell r="AX93">
            <v>182.7</v>
          </cell>
          <cell r="AY93">
            <v>109.6</v>
          </cell>
          <cell r="AZ93">
            <v>292.29999999999995</v>
          </cell>
          <cell r="BD93">
            <v>42.4</v>
          </cell>
          <cell r="BF93">
            <v>31.8</v>
          </cell>
          <cell r="BG93">
            <v>26.9</v>
          </cell>
          <cell r="BH93">
            <v>58.7</v>
          </cell>
          <cell r="BI93">
            <v>465.59999999999991</v>
          </cell>
          <cell r="BK93">
            <v>54.1</v>
          </cell>
          <cell r="BL93">
            <v>27.8</v>
          </cell>
          <cell r="BM93">
            <v>82</v>
          </cell>
          <cell r="BO93">
            <v>71.3</v>
          </cell>
          <cell r="BP93">
            <v>47.9</v>
          </cell>
          <cell r="BQ93">
            <v>119.19999999999999</v>
          </cell>
          <cell r="BS93">
            <v>7.1</v>
          </cell>
          <cell r="BT93">
            <v>126.29999999999998</v>
          </cell>
          <cell r="BV93">
            <v>0</v>
          </cell>
          <cell r="BX93">
            <v>46.5</v>
          </cell>
          <cell r="BY93">
            <v>2411.9999999999995</v>
          </cell>
          <cell r="BZ93">
            <v>151.19999999999999</v>
          </cell>
          <cell r="CA93">
            <v>2563.1999999999994</v>
          </cell>
        </row>
        <row r="94">
          <cell r="A94" t="str">
            <v xml:space="preserve"> 4Q</v>
          </cell>
          <cell r="B94">
            <v>506.9</v>
          </cell>
          <cell r="C94">
            <v>126.7</v>
          </cell>
          <cell r="D94">
            <v>633.6</v>
          </cell>
          <cell r="F94">
            <v>426.1</v>
          </cell>
          <cell r="G94">
            <v>144.9</v>
          </cell>
          <cell r="H94">
            <v>571</v>
          </cell>
          <cell r="J94">
            <v>21.7</v>
          </cell>
          <cell r="L94">
            <v>38.5</v>
          </cell>
          <cell r="R94">
            <v>1264.8</v>
          </cell>
          <cell r="T94" t="str">
            <v xml:space="preserve"> 4Q</v>
          </cell>
          <cell r="U94">
            <v>6.2</v>
          </cell>
          <cell r="V94">
            <v>84.6</v>
          </cell>
          <cell r="W94">
            <v>90.8</v>
          </cell>
          <cell r="Y94">
            <v>4.3</v>
          </cell>
          <cell r="Z94">
            <v>34.799999999999997</v>
          </cell>
          <cell r="AA94">
            <v>56.5</v>
          </cell>
          <cell r="AB94">
            <v>59.4</v>
          </cell>
          <cell r="AD94">
            <v>245.8</v>
          </cell>
          <cell r="AF94">
            <v>24.6</v>
          </cell>
          <cell r="AG94">
            <v>124</v>
          </cell>
          <cell r="AM94">
            <v>96.6</v>
          </cell>
          <cell r="AN94">
            <v>14.8</v>
          </cell>
          <cell r="AO94">
            <v>111.39999999999999</v>
          </cell>
          <cell r="AU94" t="str">
            <v xml:space="preserve"> 4Q</v>
          </cell>
          <cell r="AV94">
            <v>84.1</v>
          </cell>
          <cell r="AX94">
            <v>181.4</v>
          </cell>
          <cell r="AY94">
            <v>109.7</v>
          </cell>
          <cell r="AZ94">
            <v>291</v>
          </cell>
          <cell r="BD94">
            <v>43.9</v>
          </cell>
          <cell r="BF94">
            <v>39.5</v>
          </cell>
          <cell r="BG94">
            <v>33.4</v>
          </cell>
          <cell r="BH94">
            <v>72.900000000000006</v>
          </cell>
          <cell r="BI94">
            <v>491.9</v>
          </cell>
          <cell r="BK94">
            <v>50.3</v>
          </cell>
          <cell r="BL94">
            <v>24.7</v>
          </cell>
          <cell r="BM94">
            <v>75</v>
          </cell>
          <cell r="BO94">
            <v>79.099999999999994</v>
          </cell>
          <cell r="BP94">
            <v>53.9</v>
          </cell>
          <cell r="BQ94">
            <v>133</v>
          </cell>
          <cell r="BS94">
            <v>9.1999999999999993</v>
          </cell>
          <cell r="BT94">
            <v>142.19999999999999</v>
          </cell>
          <cell r="BV94">
            <v>0</v>
          </cell>
          <cell r="BX94">
            <v>41.7</v>
          </cell>
          <cell r="BY94">
            <v>2521.3999999999996</v>
          </cell>
          <cell r="BZ94">
            <v>194.5</v>
          </cell>
          <cell r="CA94">
            <v>2715.7999999999997</v>
          </cell>
        </row>
        <row r="96">
          <cell r="A96" t="str">
            <v>Year</v>
          </cell>
          <cell r="B96">
            <v>2088.3000000000002</v>
          </cell>
          <cell r="C96">
            <v>513.4</v>
          </cell>
          <cell r="D96">
            <v>2601.8000000000002</v>
          </cell>
          <cell r="F96">
            <v>1370.9</v>
          </cell>
          <cell r="G96">
            <v>497.1</v>
          </cell>
          <cell r="H96">
            <v>1868.1</v>
          </cell>
          <cell r="J96">
            <v>72.900000000000006</v>
          </cell>
          <cell r="L96">
            <v>137.69999999999999</v>
          </cell>
          <cell r="R96">
            <v>4680.5</v>
          </cell>
          <cell r="T96" t="str">
            <v>Year</v>
          </cell>
          <cell r="U96">
            <v>32.700000000000003</v>
          </cell>
          <cell r="V96">
            <v>304.10000000000002</v>
          </cell>
          <cell r="W96">
            <v>336.79999999999995</v>
          </cell>
          <cell r="Y96">
            <v>13.3</v>
          </cell>
          <cell r="Z96">
            <v>131.80000000000001</v>
          </cell>
          <cell r="AA96">
            <v>217.3</v>
          </cell>
          <cell r="AB96">
            <v>224.70000000000002</v>
          </cell>
          <cell r="AD96">
            <v>923.89999999999986</v>
          </cell>
          <cell r="AF96">
            <v>91.9</v>
          </cell>
          <cell r="AG96">
            <v>446.5</v>
          </cell>
          <cell r="AM96">
            <v>285.29999999999995</v>
          </cell>
          <cell r="AN96">
            <v>40.099999999999994</v>
          </cell>
          <cell r="AO96">
            <v>325.39999999999998</v>
          </cell>
          <cell r="AU96" t="str">
            <v>Year</v>
          </cell>
          <cell r="AV96">
            <v>297.39999999999998</v>
          </cell>
          <cell r="AX96">
            <v>643.20000000000005</v>
          </cell>
          <cell r="AY96">
            <v>421.49999999999994</v>
          </cell>
          <cell r="AZ96">
            <v>1064.5</v>
          </cell>
          <cell r="BD96">
            <v>137.19999999999999</v>
          </cell>
          <cell r="BF96">
            <v>119.6</v>
          </cell>
          <cell r="BG96">
            <v>104.9</v>
          </cell>
          <cell r="BH96">
            <v>224.50000000000003</v>
          </cell>
          <cell r="BI96">
            <v>1723.6000000000001</v>
          </cell>
          <cell r="BK96">
            <v>242.39999999999998</v>
          </cell>
          <cell r="BL96">
            <v>107.3</v>
          </cell>
          <cell r="BM96">
            <v>349.8</v>
          </cell>
          <cell r="BO96">
            <v>264.2</v>
          </cell>
          <cell r="BP96">
            <v>188.9</v>
          </cell>
          <cell r="BQ96">
            <v>453.09999999999997</v>
          </cell>
          <cell r="BS96">
            <v>30.099999999999998</v>
          </cell>
          <cell r="BT96">
            <v>483.2</v>
          </cell>
          <cell r="BV96">
            <v>0</v>
          </cell>
          <cell r="BX96">
            <v>173.2</v>
          </cell>
          <cell r="BY96">
            <v>9228.9</v>
          </cell>
          <cell r="BZ96">
            <v>635.5</v>
          </cell>
          <cell r="CA96">
            <v>9864.2999999999993</v>
          </cell>
        </row>
        <row r="98">
          <cell r="A98" t="str">
            <v>2000/99</v>
          </cell>
          <cell r="T98" t="str">
            <v>2000/99</v>
          </cell>
          <cell r="AU98" t="str">
            <v>2000/99</v>
          </cell>
        </row>
        <row r="99">
          <cell r="A99" t="str">
            <v xml:space="preserve"> 1QA</v>
          </cell>
          <cell r="B99">
            <v>0.11795774647887325</v>
          </cell>
          <cell r="C99">
            <v>-0.26292466765140332</v>
          </cell>
          <cell r="D99">
            <v>3.0513646380742498E-2</v>
          </cell>
          <cell r="F99">
            <v>7.0540812898891581E-3</v>
          </cell>
          <cell r="G99">
            <v>0.6908212560386473</v>
          </cell>
          <cell r="H99">
            <v>0.18344965104685951</v>
          </cell>
          <cell r="J99">
            <v>0.18604651162790686</v>
          </cell>
          <cell r="L99">
            <v>-7.37179487179489E-2</v>
          </cell>
          <cell r="R99">
            <v>8.8985088985089167E-2</v>
          </cell>
          <cell r="T99" t="str">
            <v xml:space="preserve"> 1QA</v>
          </cell>
          <cell r="U99">
            <v>8.674698795180702E-2</v>
          </cell>
          <cell r="V99">
            <v>-0.19615384615384612</v>
          </cell>
          <cell r="W99">
            <v>-0.17311089303238469</v>
          </cell>
          <cell r="Y99">
            <v>0.23809523809523814</v>
          </cell>
          <cell r="Z99">
            <v>-3.6363636363636376E-2</v>
          </cell>
          <cell r="AA99">
            <v>0.20081135902636937</v>
          </cell>
          <cell r="AB99">
            <v>8.7890625E-2</v>
          </cell>
          <cell r="AD99">
            <v>-1.519198664440724E-2</v>
          </cell>
          <cell r="AF99">
            <v>0.13432835820895539</v>
          </cell>
          <cell r="AG99">
            <v>9.9999999999999867E-2</v>
          </cell>
          <cell r="AM99">
            <v>0.71399176954732502</v>
          </cell>
          <cell r="AN99">
            <v>2</v>
          </cell>
          <cell r="AO99">
            <v>0.85531135531135516</v>
          </cell>
          <cell r="AU99" t="str">
            <v xml:space="preserve"> 1QA</v>
          </cell>
          <cell r="AV99">
            <v>5.6047197640117785E-2</v>
          </cell>
          <cell r="AX99">
            <v>0.53282588011417698</v>
          </cell>
          <cell r="AY99">
            <v>0.38548057259713708</v>
          </cell>
          <cell r="AZ99">
            <v>0.46229669788072991</v>
          </cell>
          <cell r="BD99">
            <v>-0.36023622047244086</v>
          </cell>
          <cell r="BF99">
            <v>0.75454545454545463</v>
          </cell>
          <cell r="BG99">
            <v>0.62926829268292672</v>
          </cell>
          <cell r="BH99">
            <v>0.69647058823529395</v>
          </cell>
          <cell r="BI99">
            <v>0.47740696987596043</v>
          </cell>
          <cell r="BK99">
            <v>-0.4056029232643118</v>
          </cell>
          <cell r="BL99">
            <v>-0.18707482993197277</v>
          </cell>
          <cell r="BM99">
            <v>-0.34798206278026911</v>
          </cell>
          <cell r="BO99">
            <v>0.10829817158931099</v>
          </cell>
          <cell r="BP99">
            <v>0.38337182448036966</v>
          </cell>
          <cell r="BQ99">
            <v>0.21241258741258751</v>
          </cell>
          <cell r="BS99">
            <v>-0.20895522388059706</v>
          </cell>
          <cell r="BT99">
            <v>0.18909991742361698</v>
          </cell>
          <cell r="BV99">
            <v>0</v>
          </cell>
          <cell r="BX99">
            <v>0.25</v>
          </cell>
          <cell r="BY99">
            <v>0.13064799430334673</v>
          </cell>
          <cell r="BZ99">
            <v>7.3775989268946907E-2</v>
          </cell>
          <cell r="CA99">
            <v>0.1268886327363008</v>
          </cell>
        </row>
        <row r="100">
          <cell r="A100" t="str">
            <v xml:space="preserve"> 2QA</v>
          </cell>
          <cell r="B100">
            <v>-3.9159843360626612E-2</v>
          </cell>
          <cell r="C100">
            <v>-0.30641330166270786</v>
          </cell>
          <cell r="D100">
            <v>-8.8213922395000588E-2</v>
          </cell>
          <cell r="F100">
            <v>0.43383947939262479</v>
          </cell>
          <cell r="G100">
            <v>0.32502149613069653</v>
          </cell>
          <cell r="H100">
            <v>0.40127226463104315</v>
          </cell>
          <cell r="J100">
            <v>0.34899328859060419</v>
          </cell>
          <cell r="L100">
            <v>2.1341463414634276E-2</v>
          </cell>
          <cell r="R100">
            <v>9.1158752657689357E-2</v>
          </cell>
          <cell r="T100" t="str">
            <v xml:space="preserve"> 2QA</v>
          </cell>
          <cell r="U100">
            <v>-0.54545454545454541</v>
          </cell>
          <cell r="V100">
            <v>9.5302013422818854E-2</v>
          </cell>
          <cell r="W100">
            <v>4.0287769784173033E-3</v>
          </cell>
          <cell r="Y100">
            <v>0.55555555555555536</v>
          </cell>
          <cell r="Z100">
            <v>-5.4838709677419328E-2</v>
          </cell>
          <cell r="AA100">
            <v>5.3949903660886367E-2</v>
          </cell>
          <cell r="AB100">
            <v>-6.6115702479338845E-2</v>
          </cell>
          <cell r="AD100">
            <v>-7.5454122030740312E-3</v>
          </cell>
          <cell r="AF100">
            <v>5.3921568627450789E-2</v>
          </cell>
          <cell r="AG100">
            <v>-8.4938704028021061E-2</v>
          </cell>
          <cell r="AM100">
            <v>0.93103448275862077</v>
          </cell>
          <cell r="AN100">
            <v>1.5348837209302326</v>
          </cell>
          <cell r="AO100">
            <v>1.0075075075075079</v>
          </cell>
          <cell r="AU100" t="str">
            <v xml:space="preserve"> 2QA</v>
          </cell>
          <cell r="AV100">
            <v>2.3192360163710735E-2</v>
          </cell>
          <cell r="AX100">
            <v>-0.22068965517241379</v>
          </cell>
          <cell r="AY100">
            <v>0.23946360153256707</v>
          </cell>
          <cell r="AZ100">
            <v>-4.7790154509521954E-2</v>
          </cell>
          <cell r="BD100">
            <v>-9.2156862745098378E-2</v>
          </cell>
          <cell r="BF100">
            <v>0.51330798479087436</v>
          </cell>
          <cell r="BG100">
            <v>0.52987551867219906</v>
          </cell>
          <cell r="BH100">
            <v>0.52123015873015821</v>
          </cell>
          <cell r="BI100">
            <v>0.20472514619883042</v>
          </cell>
          <cell r="BK100">
            <v>-0.10554561717352418</v>
          </cell>
          <cell r="BL100">
            <v>0.40157480314960647</v>
          </cell>
          <cell r="BM100">
            <v>5.2890528905289003E-2</v>
          </cell>
          <cell r="BO100">
            <v>0.14988290398126458</v>
          </cell>
          <cell r="BP100">
            <v>0.3447488584474887</v>
          </cell>
          <cell r="BQ100">
            <v>0.24739884393063583</v>
          </cell>
          <cell r="BS100">
            <v>-0.12676056338028163</v>
          </cell>
          <cell r="BT100">
            <v>0.21901709401709413</v>
          </cell>
          <cell r="BV100">
            <v>0</v>
          </cell>
          <cell r="BX100">
            <v>0.13875598086124419</v>
          </cell>
          <cell r="BY100">
            <v>0.1269072635906805</v>
          </cell>
          <cell r="BZ100">
            <v>9.8791755508173651E-2</v>
          </cell>
          <cell r="CA100">
            <v>0.12520925441043906</v>
          </cell>
        </row>
        <row r="101">
          <cell r="A101" t="str">
            <v xml:space="preserve"> 3QA</v>
          </cell>
          <cell r="B101">
            <v>5.927105449398451E-2</v>
          </cell>
          <cell r="C101">
            <v>-0.3488</v>
          </cell>
          <cell r="D101">
            <v>-1.4633439582729668E-2</v>
          </cell>
          <cell r="F101">
            <v>0.28097165991902839</v>
          </cell>
          <cell r="G101">
            <v>0.28625377643504524</v>
          </cell>
          <cell r="H101">
            <v>0.28236229866772744</v>
          </cell>
          <cell r="J101">
            <v>0.10994764397905743</v>
          </cell>
          <cell r="L101">
            <v>3.9772727272727515E-2</v>
          </cell>
          <cell r="R101">
            <v>0.10854577521244191</v>
          </cell>
          <cell r="T101" t="str">
            <v xml:space="preserve"> 3QA</v>
          </cell>
          <cell r="U101">
            <v>-0.51807228915662651</v>
          </cell>
          <cell r="V101">
            <v>-0.20965309200603321</v>
          </cell>
          <cell r="W101">
            <v>-0.2439678284182305</v>
          </cell>
          <cell r="Y101">
            <v>-0.56666666666666665</v>
          </cell>
          <cell r="Z101">
            <v>-0.14848484848484844</v>
          </cell>
          <cell r="AA101">
            <v>-0.1023489932885906</v>
          </cell>
          <cell r="AB101">
            <v>-0.15111940298507465</v>
          </cell>
          <cell r="AD101">
            <v>-0.1742627345844503</v>
          </cell>
          <cell r="AF101">
            <v>-6.9651741293532465E-2</v>
          </cell>
          <cell r="AG101">
            <v>-8.9468779123951458E-2</v>
          </cell>
          <cell r="AM101">
            <v>0.45310596833130345</v>
          </cell>
          <cell r="AN101">
            <v>1.0747663551401869</v>
          </cell>
          <cell r="AO101">
            <v>0.52478448275862077</v>
          </cell>
          <cell r="AU101" t="str">
            <v xml:space="preserve"> 3QA</v>
          </cell>
          <cell r="AV101">
            <v>8.1717451523545481E-2</v>
          </cell>
          <cell r="AX101">
            <v>-8.9764641488779273E-2</v>
          </cell>
          <cell r="AY101">
            <v>6.1131386861313919E-2</v>
          </cell>
          <cell r="AZ101">
            <v>-3.3185083817995009E-2</v>
          </cell>
          <cell r="BD101">
            <v>-0.62853773584905659</v>
          </cell>
          <cell r="BF101">
            <v>0.60062893081761004</v>
          </cell>
          <cell r="BG101">
            <v>0.47472118959107812</v>
          </cell>
          <cell r="BH101">
            <v>0.54293015332197592</v>
          </cell>
          <cell r="BI101">
            <v>0.1340635738831617</v>
          </cell>
          <cell r="BK101">
            <v>-2.7726432532347522E-2</v>
          </cell>
          <cell r="BL101">
            <v>-3.345323741007189E-2</v>
          </cell>
          <cell r="BM101">
            <v>-3.0853658536585393E-2</v>
          </cell>
          <cell r="BO101">
            <v>0.30154277699859744</v>
          </cell>
          <cell r="BP101">
            <v>0.30062630480167019</v>
          </cell>
          <cell r="BQ101">
            <v>0.3011744966442953</v>
          </cell>
          <cell r="BS101">
            <v>-0.23943661971830976</v>
          </cell>
          <cell r="BT101">
            <v>0.27078384798099786</v>
          </cell>
          <cell r="BV101">
            <v>0</v>
          </cell>
          <cell r="BX101">
            <v>9.0322580645161299E-2</v>
          </cell>
          <cell r="BY101">
            <v>9.6264510779436208E-2</v>
          </cell>
          <cell r="BZ101">
            <v>0.1084656084656086</v>
          </cell>
          <cell r="CA101">
            <v>9.6984238451935267E-2</v>
          </cell>
        </row>
        <row r="102">
          <cell r="A102" t="str">
            <v xml:space="preserve"> 4QA</v>
          </cell>
          <cell r="B102">
            <v>0.15644111264549232</v>
          </cell>
          <cell r="C102">
            <v>-0.33977900552486184</v>
          </cell>
          <cell r="D102">
            <v>5.7212752525252597E-2</v>
          </cell>
          <cell r="F102">
            <v>0.21825862473597746</v>
          </cell>
          <cell r="G102">
            <v>0.21946169772256718</v>
          </cell>
          <cell r="H102">
            <v>0.2185639229422065</v>
          </cell>
          <cell r="J102">
            <v>-6.9124423963133674E-2</v>
          </cell>
          <cell r="L102">
            <v>7.2727272727272751E-2</v>
          </cell>
          <cell r="R102">
            <v>0.12836021505376349</v>
          </cell>
          <cell r="T102" t="str">
            <v xml:space="preserve"> 4QA</v>
          </cell>
          <cell r="U102">
            <v>0.38709677419354827</v>
          </cell>
          <cell r="V102">
            <v>-0.13593380614657213</v>
          </cell>
          <cell r="W102">
            <v>-0.10022026431718067</v>
          </cell>
          <cell r="Y102">
            <v>-0.37209302325581384</v>
          </cell>
          <cell r="Z102">
            <v>-5.1724137931034364E-2</v>
          </cell>
          <cell r="AA102">
            <v>-0.14336283185840715</v>
          </cell>
          <cell r="AB102">
            <v>6.9023569023568987E-2</v>
          </cell>
          <cell r="AD102">
            <v>-6.7127746135069222E-2</v>
          </cell>
          <cell r="AF102">
            <v>-0.31300813008130091</v>
          </cell>
          <cell r="AG102">
            <v>-0.14838709677419359</v>
          </cell>
          <cell r="AM102">
            <v>0.23395445134575588</v>
          </cell>
          <cell r="AN102">
            <v>0.79054054054054035</v>
          </cell>
          <cell r="AO102">
            <v>0.30789946140035895</v>
          </cell>
          <cell r="AU102" t="str">
            <v xml:space="preserve"> 4QA</v>
          </cell>
          <cell r="AV102">
            <v>-6.5398335315101086E-2</v>
          </cell>
          <cell r="AX102">
            <v>-7.7728776185226001E-2</v>
          </cell>
          <cell r="AY102">
            <v>0.14676390154968089</v>
          </cell>
          <cell r="AZ102">
            <v>7.2164948453607991E-3</v>
          </cell>
          <cell r="BD102">
            <v>-0.60250569476082005</v>
          </cell>
          <cell r="BF102">
            <v>0.68101265822784818</v>
          </cell>
          <cell r="BG102">
            <v>0.33233532934131738</v>
          </cell>
          <cell r="BH102">
            <v>0.52126200274348422</v>
          </cell>
          <cell r="BI102">
            <v>0.10642406993291331</v>
          </cell>
          <cell r="BK102">
            <v>0.28429423459244529</v>
          </cell>
          <cell r="BL102">
            <v>-3.238866396761142E-2</v>
          </cell>
          <cell r="BM102">
            <v>0.17999999999999994</v>
          </cell>
          <cell r="BO102">
            <v>0.20353982300884965</v>
          </cell>
          <cell r="BP102">
            <v>0.20593692022263443</v>
          </cell>
          <cell r="BQ102">
            <v>0.20451127819548853</v>
          </cell>
          <cell r="BS102">
            <v>-0.51086956521739124</v>
          </cell>
          <cell r="BT102">
            <v>0.15822784810126578</v>
          </cell>
          <cell r="BV102">
            <v>0</v>
          </cell>
          <cell r="BX102">
            <v>0.35251798561151082</v>
          </cell>
          <cell r="BY102">
            <v>0.10196716110097581</v>
          </cell>
          <cell r="BZ102">
            <v>2.6735218508997516E-2</v>
          </cell>
          <cell r="CA102">
            <v>9.66197805434863E-2</v>
          </cell>
        </row>
        <row r="104">
          <cell r="A104" t="str">
            <v>Year</v>
          </cell>
          <cell r="B104">
            <v>6.9147153186802479E-2</v>
          </cell>
          <cell r="C104">
            <v>-0.31349824698091167</v>
          </cell>
          <cell r="D104">
            <v>-6.360980859405097E-3</v>
          </cell>
          <cell r="F104">
            <v>0.2328397403165802</v>
          </cell>
          <cell r="G104">
            <v>0.36008851337759001</v>
          </cell>
          <cell r="H104">
            <v>0.2666345484717092</v>
          </cell>
          <cell r="J104">
            <v>0.12345679012345678</v>
          </cell>
          <cell r="L104">
            <v>1.8881626724764147E-2</v>
          </cell>
          <cell r="R104">
            <v>0.10536267492789224</v>
          </cell>
          <cell r="T104" t="str">
            <v>Year</v>
          </cell>
          <cell r="U104">
            <v>-0.20122324159021421</v>
          </cell>
          <cell r="V104">
            <v>-0.12522196645840197</v>
          </cell>
          <cell r="W104">
            <v>-0.13260095011876477</v>
          </cell>
          <cell r="Y104">
            <v>-9.7744360902255689E-2</v>
          </cell>
          <cell r="Z104">
            <v>-7.2837632776934808E-2</v>
          </cell>
          <cell r="AA104">
            <v>-6.9028992176714214E-3</v>
          </cell>
          <cell r="AB104">
            <v>-1.5576323987539066E-2</v>
          </cell>
          <cell r="AD104">
            <v>-6.5764693148609152E-2</v>
          </cell>
          <cell r="AF104">
            <v>-4.7878128400435316E-2</v>
          </cell>
          <cell r="AG104">
            <v>-6.181410974244126E-2</v>
          </cell>
          <cell r="AM104">
            <v>0.52050473186119905</v>
          </cell>
          <cell r="AN104">
            <v>1.2069825436408981</v>
          </cell>
          <cell r="AO104">
            <v>0.6047940995697606</v>
          </cell>
          <cell r="AU104" t="str">
            <v>Year</v>
          </cell>
          <cell r="AV104">
            <v>1.9838601210490848E-2</v>
          </cell>
          <cell r="AX104">
            <v>-2.0055970149253873E-2</v>
          </cell>
          <cell r="AY104">
            <v>0.20284697508896812</v>
          </cell>
          <cell r="AZ104">
            <v>6.8482855800845552E-2</v>
          </cell>
          <cell r="BD104">
            <v>-0.4708454810495627</v>
          </cell>
          <cell r="BF104">
            <v>0.63628762541806039</v>
          </cell>
          <cell r="BG104">
            <v>0.47225929456625348</v>
          </cell>
          <cell r="BH104">
            <v>0.56008908685968806</v>
          </cell>
          <cell r="BI104">
            <v>0.21115107913669054</v>
          </cell>
          <cell r="BK104">
            <v>-0.10891089108910883</v>
          </cell>
          <cell r="BL104">
            <v>2.7679403541472629E-2</v>
          </cell>
          <cell r="BM104">
            <v>-6.7267009719839996E-2</v>
          </cell>
          <cell r="BO104">
            <v>0.19568508705526114</v>
          </cell>
          <cell r="BP104">
            <v>0.30280571731074635</v>
          </cell>
          <cell r="BQ104">
            <v>0.23990289119399691</v>
          </cell>
          <cell r="BS104">
            <v>-0.28903654485049834</v>
          </cell>
          <cell r="BT104">
            <v>0.20716059602649001</v>
          </cell>
          <cell r="BV104" t="str">
            <v>NM</v>
          </cell>
          <cell r="BX104">
            <v>0.20496535796766763</v>
          </cell>
          <cell r="BY104">
            <v>0.11293870342077597</v>
          </cell>
          <cell r="BZ104">
            <v>7.3170731707317249E-2</v>
          </cell>
          <cell r="CA104">
            <v>0.11038796468071731</v>
          </cell>
        </row>
        <row r="106">
          <cell r="A106" t="str">
            <v>2000</v>
          </cell>
          <cell r="T106" t="str">
            <v>2000</v>
          </cell>
          <cell r="AU106" t="str">
            <v>2000</v>
          </cell>
        </row>
        <row r="107">
          <cell r="A107" t="str">
            <v xml:space="preserve"> 1QA</v>
          </cell>
          <cell r="B107">
            <v>508</v>
          </cell>
          <cell r="C107">
            <v>99.8</v>
          </cell>
          <cell r="D107">
            <v>607.9</v>
          </cell>
          <cell r="F107">
            <v>299.8</v>
          </cell>
          <cell r="G107">
            <v>175</v>
          </cell>
          <cell r="H107">
            <v>474.8</v>
          </cell>
          <cell r="J107">
            <v>20.399999999999999</v>
          </cell>
          <cell r="L107">
            <v>28.9</v>
          </cell>
          <cell r="R107">
            <v>1132.0000000000002</v>
          </cell>
          <cell r="T107" t="str">
            <v xml:space="preserve"> 1QA</v>
          </cell>
          <cell r="U107">
            <v>9.02</v>
          </cell>
          <cell r="V107">
            <v>75.239999999999995</v>
          </cell>
          <cell r="W107">
            <v>84.259999999999991</v>
          </cell>
          <cell r="Y107">
            <v>5.2</v>
          </cell>
          <cell r="Z107">
            <v>31.8</v>
          </cell>
          <cell r="AA107">
            <v>59.2</v>
          </cell>
          <cell r="AB107">
            <v>55.7</v>
          </cell>
          <cell r="AD107">
            <v>235.95999999999998</v>
          </cell>
          <cell r="AF107">
            <v>30.4</v>
          </cell>
          <cell r="AG107">
            <v>111.1</v>
          </cell>
          <cell r="AM107">
            <v>83.3</v>
          </cell>
          <cell r="AN107">
            <v>18</v>
          </cell>
          <cell r="AO107">
            <v>101.3</v>
          </cell>
          <cell r="AU107" t="str">
            <v xml:space="preserve"> 1QA</v>
          </cell>
          <cell r="AV107">
            <v>71.599999999999994</v>
          </cell>
          <cell r="AX107">
            <v>161.1</v>
          </cell>
          <cell r="AY107">
            <v>135.5</v>
          </cell>
          <cell r="AZ107">
            <v>296.70000000000005</v>
          </cell>
          <cell r="BB107">
            <v>43.6</v>
          </cell>
          <cell r="BD107">
            <v>16.25</v>
          </cell>
          <cell r="BF107">
            <v>38.6</v>
          </cell>
          <cell r="BG107">
            <v>33.4</v>
          </cell>
          <cell r="BH107">
            <v>72.099999999999994</v>
          </cell>
          <cell r="BI107">
            <v>500.25000000000011</v>
          </cell>
          <cell r="BK107">
            <v>48.8</v>
          </cell>
          <cell r="BL107">
            <v>23.9</v>
          </cell>
          <cell r="BM107">
            <v>72.699999999999989</v>
          </cell>
          <cell r="BO107">
            <v>78.8</v>
          </cell>
          <cell r="BP107">
            <v>59.9</v>
          </cell>
          <cell r="BQ107">
            <v>138.69999999999999</v>
          </cell>
          <cell r="BS107">
            <v>5.3</v>
          </cell>
          <cell r="BT107">
            <v>144</v>
          </cell>
          <cell r="BV107">
            <v>0</v>
          </cell>
          <cell r="BX107">
            <v>54.000000000000007</v>
          </cell>
          <cell r="BY107">
            <v>2381.71</v>
          </cell>
          <cell r="BZ107">
            <v>160.1</v>
          </cell>
          <cell r="CA107">
            <v>2541.81</v>
          </cell>
        </row>
        <row r="108">
          <cell r="A108" t="str">
            <v xml:space="preserve"> 2QA</v>
          </cell>
          <cell r="B108">
            <v>539.79999999999995</v>
          </cell>
          <cell r="C108">
            <v>87.6</v>
          </cell>
          <cell r="D108">
            <v>627.4</v>
          </cell>
          <cell r="F108">
            <v>396.6</v>
          </cell>
          <cell r="G108">
            <v>154.1</v>
          </cell>
          <cell r="H108">
            <v>550.70000000000005</v>
          </cell>
          <cell r="J108">
            <v>20.100000000000001</v>
          </cell>
          <cell r="L108">
            <v>33.5</v>
          </cell>
          <cell r="R108">
            <v>1231.6999999999998</v>
          </cell>
          <cell r="T108" t="str">
            <v xml:space="preserve"> 2QA</v>
          </cell>
          <cell r="U108">
            <v>4.5</v>
          </cell>
          <cell r="V108">
            <v>65.28</v>
          </cell>
          <cell r="W108">
            <v>69.78</v>
          </cell>
          <cell r="Y108">
            <v>2.8</v>
          </cell>
          <cell r="Z108">
            <v>29.3</v>
          </cell>
          <cell r="AA108">
            <v>54.7</v>
          </cell>
          <cell r="AB108">
            <v>56.5</v>
          </cell>
          <cell r="AD108">
            <v>213.08</v>
          </cell>
          <cell r="AF108">
            <v>21.5</v>
          </cell>
          <cell r="AG108">
            <v>104.5</v>
          </cell>
          <cell r="AM108">
            <v>112</v>
          </cell>
          <cell r="AN108">
            <v>21.8</v>
          </cell>
          <cell r="AO108">
            <v>133.70000000000002</v>
          </cell>
          <cell r="AU108" t="str">
            <v xml:space="preserve"> 2QA</v>
          </cell>
          <cell r="AV108">
            <v>75</v>
          </cell>
          <cell r="AX108">
            <v>135.6</v>
          </cell>
          <cell r="AY108">
            <v>129.4</v>
          </cell>
          <cell r="AZ108">
            <v>265</v>
          </cell>
          <cell r="BB108">
            <v>75.2</v>
          </cell>
          <cell r="BD108">
            <v>23.149999999999991</v>
          </cell>
          <cell r="BF108">
            <v>39.799999999999997</v>
          </cell>
          <cell r="BG108">
            <v>36.869999999999997</v>
          </cell>
          <cell r="BH108">
            <v>76.669999999999987</v>
          </cell>
          <cell r="BI108">
            <v>515.02</v>
          </cell>
          <cell r="BK108">
            <v>50</v>
          </cell>
          <cell r="BL108">
            <v>35.6</v>
          </cell>
          <cell r="BM108">
            <v>85.6</v>
          </cell>
          <cell r="BO108">
            <v>49.1</v>
          </cell>
          <cell r="BP108">
            <v>58.9</v>
          </cell>
          <cell r="BQ108">
            <v>107.9</v>
          </cell>
          <cell r="BS108">
            <v>6.2</v>
          </cell>
          <cell r="BT108">
            <v>114.10000000000001</v>
          </cell>
          <cell r="BV108">
            <v>0</v>
          </cell>
          <cell r="BX108">
            <v>47.6</v>
          </cell>
          <cell r="BY108">
            <v>2466.7999999999997</v>
          </cell>
          <cell r="BZ108">
            <v>154.60000000000002</v>
          </cell>
          <cell r="CA108">
            <v>2621.3999999999996</v>
          </cell>
        </row>
        <row r="109">
          <cell r="A109" t="str">
            <v xml:space="preserve"> 3QA</v>
          </cell>
          <cell r="B109">
            <v>598.70000000000005</v>
          </cell>
          <cell r="C109">
            <v>81.400000000000006</v>
          </cell>
          <cell r="D109">
            <v>680.1</v>
          </cell>
          <cell r="F109">
            <v>474.6</v>
          </cell>
          <cell r="G109">
            <v>170.3</v>
          </cell>
          <cell r="H109">
            <v>644.90000000000009</v>
          </cell>
          <cell r="J109">
            <v>21.2</v>
          </cell>
          <cell r="L109">
            <v>36.6</v>
          </cell>
          <cell r="R109">
            <v>1382.8</v>
          </cell>
          <cell r="T109" t="str">
            <v xml:space="preserve"> 3QA</v>
          </cell>
          <cell r="U109">
            <v>4</v>
          </cell>
          <cell r="V109">
            <v>52.4</v>
          </cell>
          <cell r="W109">
            <v>56.4</v>
          </cell>
          <cell r="Y109">
            <v>1.3</v>
          </cell>
          <cell r="Z109">
            <v>28.1</v>
          </cell>
          <cell r="AA109">
            <v>53.5</v>
          </cell>
          <cell r="AB109">
            <v>45.5</v>
          </cell>
          <cell r="AD109">
            <v>184.8</v>
          </cell>
          <cell r="AF109">
            <v>18.7</v>
          </cell>
          <cell r="AG109">
            <v>97.7</v>
          </cell>
          <cell r="AM109">
            <v>119.3</v>
          </cell>
          <cell r="AN109">
            <v>22.2</v>
          </cell>
          <cell r="AO109">
            <v>141.5</v>
          </cell>
          <cell r="AU109" t="str">
            <v xml:space="preserve"> 3QA</v>
          </cell>
          <cell r="AV109">
            <v>78.099999999999994</v>
          </cell>
          <cell r="AX109">
            <v>166.3</v>
          </cell>
          <cell r="AY109">
            <v>116.3</v>
          </cell>
          <cell r="AZ109">
            <v>282.60000000000002</v>
          </cell>
          <cell r="BB109">
            <v>61</v>
          </cell>
          <cell r="BD109">
            <v>15.75</v>
          </cell>
          <cell r="BF109">
            <v>50.9</v>
          </cell>
          <cell r="BG109">
            <v>39.67</v>
          </cell>
          <cell r="BH109">
            <v>90.57</v>
          </cell>
          <cell r="BI109">
            <v>528.02</v>
          </cell>
          <cell r="BK109">
            <v>52.6</v>
          </cell>
          <cell r="BL109">
            <v>26.87</v>
          </cell>
          <cell r="BM109">
            <v>79.47</v>
          </cell>
          <cell r="BO109">
            <v>92.8</v>
          </cell>
          <cell r="BP109">
            <v>62.3</v>
          </cell>
          <cell r="BQ109">
            <v>155.1</v>
          </cell>
          <cell r="BS109">
            <v>5.4</v>
          </cell>
          <cell r="BT109">
            <v>160.5</v>
          </cell>
          <cell r="BV109">
            <v>0</v>
          </cell>
          <cell r="BX109">
            <v>50.699999999999996</v>
          </cell>
          <cell r="BY109">
            <v>2644.1899999999996</v>
          </cell>
          <cell r="BZ109">
            <v>167.6</v>
          </cell>
          <cell r="CA109">
            <v>2811.7899999999995</v>
          </cell>
        </row>
        <row r="110">
          <cell r="A110" t="str">
            <v xml:space="preserve"> 4QA</v>
          </cell>
          <cell r="B110">
            <v>586.20000000000005</v>
          </cell>
          <cell r="C110">
            <v>83.65</v>
          </cell>
          <cell r="D110">
            <v>669.85</v>
          </cell>
          <cell r="F110">
            <v>519.1</v>
          </cell>
          <cell r="G110">
            <v>176.7</v>
          </cell>
          <cell r="H110">
            <v>695.8</v>
          </cell>
          <cell r="J110">
            <v>20.2</v>
          </cell>
          <cell r="L110">
            <v>41.3</v>
          </cell>
          <cell r="R110">
            <v>1427.15</v>
          </cell>
          <cell r="T110" t="str">
            <v xml:space="preserve"> 4QA</v>
          </cell>
          <cell r="U110">
            <v>8.6</v>
          </cell>
          <cell r="V110">
            <v>73.099999999999994</v>
          </cell>
          <cell r="W110">
            <v>81.699999999999989</v>
          </cell>
          <cell r="Y110">
            <v>2.7</v>
          </cell>
          <cell r="Z110">
            <v>33</v>
          </cell>
          <cell r="AA110">
            <v>48.4</v>
          </cell>
          <cell r="AB110">
            <v>63.5</v>
          </cell>
          <cell r="AD110">
            <v>229.29999999999998</v>
          </cell>
          <cell r="AF110">
            <v>16.899999999999999</v>
          </cell>
          <cell r="AG110">
            <v>105.6</v>
          </cell>
          <cell r="AM110">
            <v>119.2</v>
          </cell>
          <cell r="AN110">
            <v>26.5</v>
          </cell>
          <cell r="AO110">
            <v>145.69999999999999</v>
          </cell>
          <cell r="AU110" t="str">
            <v xml:space="preserve"> 4QA</v>
          </cell>
          <cell r="AV110">
            <v>78.599999999999994</v>
          </cell>
          <cell r="AX110">
            <v>167.3</v>
          </cell>
          <cell r="AY110">
            <v>125.8</v>
          </cell>
          <cell r="AZ110">
            <v>293.10000000000002</v>
          </cell>
          <cell r="BB110">
            <v>44.2</v>
          </cell>
          <cell r="BD110">
            <v>17.449999999999996</v>
          </cell>
          <cell r="BF110">
            <v>66.400000000000006</v>
          </cell>
          <cell r="BG110">
            <v>44.5</v>
          </cell>
          <cell r="BH110">
            <v>110.9</v>
          </cell>
          <cell r="BI110">
            <v>544.25</v>
          </cell>
          <cell r="BK110">
            <v>64.599999999999994</v>
          </cell>
          <cell r="BL110">
            <v>23.9</v>
          </cell>
          <cell r="BM110">
            <v>88.5</v>
          </cell>
          <cell r="BO110">
            <v>95.2</v>
          </cell>
          <cell r="BP110">
            <v>65</v>
          </cell>
          <cell r="BQ110">
            <v>160.19999999999999</v>
          </cell>
          <cell r="BS110">
            <v>4.5</v>
          </cell>
          <cell r="BT110">
            <v>164.7</v>
          </cell>
          <cell r="BV110">
            <v>0</v>
          </cell>
          <cell r="BX110">
            <v>56.400000000000006</v>
          </cell>
          <cell r="BY110">
            <v>2778.5</v>
          </cell>
          <cell r="BZ110">
            <v>199.70000000000002</v>
          </cell>
          <cell r="CA110">
            <v>2978.2</v>
          </cell>
        </row>
        <row r="112">
          <cell r="A112" t="str">
            <v>YearA</v>
          </cell>
          <cell r="B112">
            <v>2232.6999999999998</v>
          </cell>
          <cell r="C112">
            <v>352.44999999999993</v>
          </cell>
          <cell r="D112">
            <v>2585.25</v>
          </cell>
          <cell r="F112">
            <v>1690.1</v>
          </cell>
          <cell r="G112">
            <v>676.1</v>
          </cell>
          <cell r="H112">
            <v>2366.1999999999998</v>
          </cell>
          <cell r="J112">
            <v>81.900000000000006</v>
          </cell>
          <cell r="L112">
            <v>140.30000000000001</v>
          </cell>
          <cell r="R112">
            <v>5173.6499999999996</v>
          </cell>
          <cell r="T112" t="str">
            <v>YearA</v>
          </cell>
          <cell r="U112">
            <v>26.119999999999997</v>
          </cell>
          <cell r="V112">
            <v>266.02</v>
          </cell>
          <cell r="W112">
            <v>292.14</v>
          </cell>
          <cell r="Y112">
            <v>12</v>
          </cell>
          <cell r="Z112">
            <v>122.2</v>
          </cell>
          <cell r="AA112">
            <v>215.8</v>
          </cell>
          <cell r="AB112">
            <v>221.2</v>
          </cell>
          <cell r="AD112">
            <v>863.13999999999987</v>
          </cell>
          <cell r="AF112">
            <v>87.5</v>
          </cell>
          <cell r="AG112">
            <v>418.9</v>
          </cell>
          <cell r="AM112">
            <v>433.8</v>
          </cell>
          <cell r="AN112">
            <v>88.5</v>
          </cell>
          <cell r="AO112">
            <v>522.20000000000005</v>
          </cell>
          <cell r="AU112" t="str">
            <v>YearA</v>
          </cell>
          <cell r="AV112">
            <v>303.29999999999995</v>
          </cell>
          <cell r="AX112">
            <v>630.29999999999995</v>
          </cell>
          <cell r="AY112">
            <v>507</v>
          </cell>
          <cell r="AZ112">
            <v>1137.4000000000001</v>
          </cell>
          <cell r="BB112">
            <v>224</v>
          </cell>
          <cell r="BD112">
            <v>72.599999999999994</v>
          </cell>
          <cell r="BF112">
            <v>195.70000000000002</v>
          </cell>
          <cell r="BG112">
            <v>154.44</v>
          </cell>
          <cell r="BH112">
            <v>350.24</v>
          </cell>
          <cell r="BI112">
            <v>2087.54</v>
          </cell>
          <cell r="BK112">
            <v>216</v>
          </cell>
          <cell r="BL112">
            <v>110.27000000000001</v>
          </cell>
          <cell r="BM112">
            <v>326.27</v>
          </cell>
          <cell r="BO112">
            <v>315.89999999999998</v>
          </cell>
          <cell r="BP112">
            <v>246.1</v>
          </cell>
          <cell r="BQ112">
            <v>561.79999999999995</v>
          </cell>
          <cell r="BS112">
            <v>21.4</v>
          </cell>
          <cell r="BT112">
            <v>583.29999999999995</v>
          </cell>
          <cell r="BV112">
            <v>0</v>
          </cell>
          <cell r="BX112">
            <v>208.70000000000002</v>
          </cell>
          <cell r="BY112">
            <v>10271.199999999999</v>
          </cell>
          <cell r="BZ112">
            <v>682.00000000000011</v>
          </cell>
          <cell r="CA112">
            <v>10953.199999999999</v>
          </cell>
        </row>
        <row r="114">
          <cell r="A114" t="str">
            <v>2001/00</v>
          </cell>
          <cell r="T114" t="str">
            <v>2001/00</v>
          </cell>
          <cell r="AU114" t="str">
            <v>2001/00</v>
          </cell>
        </row>
        <row r="115">
          <cell r="A115" t="str">
            <v xml:space="preserve"> 1QA</v>
          </cell>
          <cell r="B115">
            <v>6.5944881889763884E-2</v>
          </cell>
          <cell r="C115">
            <v>-0.18436873747494986</v>
          </cell>
          <cell r="D115">
            <v>2.4675111037999686E-2</v>
          </cell>
          <cell r="F115">
            <v>0.50333555703802535</v>
          </cell>
          <cell r="G115">
            <v>6.5142857142857169E-2</v>
          </cell>
          <cell r="H115">
            <v>0.34182813816343716</v>
          </cell>
          <cell r="I115" t="e">
            <v>#DIV/0!</v>
          </cell>
          <cell r="J115">
            <v>9.3137254901960898E-2</v>
          </cell>
          <cell r="K115" t="e">
            <v>#DIV/0!</v>
          </cell>
          <cell r="L115">
            <v>0.21107266435986172</v>
          </cell>
          <cell r="M115" t="e">
            <v>#DIV/0!</v>
          </cell>
          <cell r="R115">
            <v>0.16369257950530014</v>
          </cell>
          <cell r="T115" t="str">
            <v xml:space="preserve"> 1QA</v>
          </cell>
          <cell r="U115">
            <v>-0.85587583148558755</v>
          </cell>
          <cell r="V115">
            <v>-9.4896331738437034E-2</v>
          </cell>
          <cell r="W115">
            <v>-0.17635888915262288</v>
          </cell>
          <cell r="Y115">
            <v>-0.13461538461538469</v>
          </cell>
          <cell r="Z115">
            <v>-0.53144654088050314</v>
          </cell>
          <cell r="AA115">
            <v>-1.8581081081081141E-2</v>
          </cell>
          <cell r="AB115">
            <v>-0.2459605026929983</v>
          </cell>
          <cell r="AD115">
            <v>-0.19944058314968627</v>
          </cell>
          <cell r="AF115">
            <v>-0.51973684210526316</v>
          </cell>
          <cell r="AG115">
            <v>-3.6003600360035026E-3</v>
          </cell>
          <cell r="AM115">
            <v>0.44417767106842732</v>
          </cell>
          <cell r="AN115">
            <v>0.60000000000000009</v>
          </cell>
          <cell r="AO115">
            <v>0.4718657453109576</v>
          </cell>
          <cell r="AU115" t="str">
            <v xml:space="preserve"> 1QA</v>
          </cell>
          <cell r="AV115">
            <v>3.6312849162011274E-2</v>
          </cell>
          <cell r="AX115">
            <v>-4.2830540037243958E-2</v>
          </cell>
          <cell r="AY115">
            <v>-0.12029520295202945</v>
          </cell>
          <cell r="AZ115">
            <v>-7.8530502190765294E-2</v>
          </cell>
          <cell r="BB115">
            <v>0.46788990825688059</v>
          </cell>
          <cell r="BD115">
            <v>0.24923076923076914</v>
          </cell>
          <cell r="BF115">
            <v>0.99222797927461137</v>
          </cell>
          <cell r="BG115">
            <v>0.44610778443113763</v>
          </cell>
          <cell r="BH115">
            <v>0.73647711511789193</v>
          </cell>
          <cell r="BI115">
            <v>0.1136431784107943</v>
          </cell>
          <cell r="BK115">
            <v>-0.11270491803278693</v>
          </cell>
          <cell r="BL115">
            <v>0.35983263598326376</v>
          </cell>
          <cell r="BM115">
            <v>4.2640990371389353E-2</v>
          </cell>
          <cell r="BO115">
            <v>0.28807106598984777</v>
          </cell>
          <cell r="BP115">
            <v>0.21035058430717868</v>
          </cell>
          <cell r="BQ115">
            <v>0.25450612833453512</v>
          </cell>
          <cell r="BS115">
            <v>-0.28301886792452835</v>
          </cell>
          <cell r="BT115">
            <v>0.23472222222222228</v>
          </cell>
          <cell r="BV115" t="str">
            <v>NM</v>
          </cell>
          <cell r="BX115">
            <v>-0.1425925925925926</v>
          </cell>
          <cell r="BY115">
            <v>0.10743961271523417</v>
          </cell>
          <cell r="BZ115">
            <v>4.9968769519050493E-2</v>
          </cell>
          <cell r="CA115">
            <v>0.10381971901912435</v>
          </cell>
        </row>
        <row r="116">
          <cell r="A116" t="str">
            <v xml:space="preserve"> 2QA</v>
          </cell>
          <cell r="B116">
            <v>0.12189699888847727</v>
          </cell>
          <cell r="C116">
            <v>-1.0273972602739656E-2</v>
          </cell>
          <cell r="D116">
            <v>0.10344277972585281</v>
          </cell>
          <cell r="F116">
            <v>0.31921331316187596</v>
          </cell>
          <cell r="G116">
            <v>0.38481505515898773</v>
          </cell>
          <cell r="H116">
            <v>0.33757036499001258</v>
          </cell>
          <cell r="J116">
            <v>0.19900497512437809</v>
          </cell>
          <cell r="L116">
            <v>8.6567164179104372E-2</v>
          </cell>
          <cell r="R116">
            <v>0.20922302508727797</v>
          </cell>
          <cell r="T116" t="str">
            <v xml:space="preserve"> 2QA</v>
          </cell>
          <cell r="U116">
            <v>-0.57777777777777772</v>
          </cell>
          <cell r="V116">
            <v>-0.22947303921568629</v>
          </cell>
          <cell r="W116">
            <v>-0.25193465176268282</v>
          </cell>
          <cell r="Y116">
            <v>-0.75</v>
          </cell>
          <cell r="Z116">
            <v>-0.29351535836177478</v>
          </cell>
          <cell r="AA116">
            <v>2.5594149908592323E-2</v>
          </cell>
          <cell r="AB116">
            <v>-7.2566371681415998E-2</v>
          </cell>
          <cell r="AD116">
            <v>-0.14539140229021974</v>
          </cell>
          <cell r="AF116">
            <v>-0.32093023255813957</v>
          </cell>
          <cell r="AG116">
            <v>5.3588516746411408E-2</v>
          </cell>
          <cell r="AM116">
            <v>0.1875</v>
          </cell>
          <cell r="AN116">
            <v>0.55963302752293576</v>
          </cell>
          <cell r="AO116">
            <v>0.24906507105459963</v>
          </cell>
          <cell r="AU116" t="str">
            <v xml:space="preserve"> 2QA</v>
          </cell>
          <cell r="AV116">
            <v>5.0666666666666638E-2</v>
          </cell>
          <cell r="AX116">
            <v>3.2448377581121068E-2</v>
          </cell>
          <cell r="AY116">
            <v>-3.6321483771251994E-2</v>
          </cell>
          <cell r="AZ116">
            <v>-1.1320754716981352E-3</v>
          </cell>
          <cell r="BB116">
            <v>0.79521276595744683</v>
          </cell>
          <cell r="BD116">
            <v>-0.28293736501079914</v>
          </cell>
          <cell r="BF116">
            <v>1.2437185929648242</v>
          </cell>
          <cell r="BG116">
            <v>0.52698671006238129</v>
          </cell>
          <cell r="BH116">
            <v>0.89904786748402277</v>
          </cell>
          <cell r="BI116">
            <v>0.24402935808318138</v>
          </cell>
          <cell r="BK116">
            <v>1.6000000000000014E-2</v>
          </cell>
          <cell r="BL116">
            <v>-0.45505617977528101</v>
          </cell>
          <cell r="BM116">
            <v>-0.17990654205607481</v>
          </cell>
          <cell r="BO116">
            <v>0.80855397148676156</v>
          </cell>
          <cell r="BP116">
            <v>0.22241086587436332</v>
          </cell>
          <cell r="BQ116">
            <v>0.49026876737720104</v>
          </cell>
          <cell r="BS116">
            <v>-0.38709677419354849</v>
          </cell>
          <cell r="BT116">
            <v>0.44259421560035062</v>
          </cell>
          <cell r="BV116" t="str">
            <v>NM</v>
          </cell>
          <cell r="BX116">
            <v>-0.23109243697478987</v>
          </cell>
          <cell r="BY116">
            <v>0.16559915680233495</v>
          </cell>
          <cell r="BZ116">
            <v>2.3285899094437124E-2</v>
          </cell>
          <cell r="CA116">
            <v>0.15720607309071477</v>
          </cell>
        </row>
        <row r="117">
          <cell r="A117" t="str">
            <v xml:space="preserve"> 3QA</v>
          </cell>
          <cell r="B117">
            <v>-0.37948889260063479</v>
          </cell>
          <cell r="C117">
            <v>-4.2997542997542992E-2</v>
          </cell>
          <cell r="D117">
            <v>-0.33921482134980152</v>
          </cell>
          <cell r="F117">
            <v>0.21744627054361554</v>
          </cell>
          <cell r="G117">
            <v>0.37756899588960646</v>
          </cell>
          <cell r="H117">
            <v>0.25973019072724424</v>
          </cell>
          <cell r="J117">
            <v>2.8301886792452935E-2</v>
          </cell>
          <cell r="L117">
            <v>-2.4590163934426146E-2</v>
          </cell>
          <cell r="R117">
            <v>-4.5921319062771193E-2</v>
          </cell>
          <cell r="T117" t="str">
            <v xml:space="preserve"> 3QA</v>
          </cell>
          <cell r="U117">
            <v>-0.77500000000000002</v>
          </cell>
          <cell r="V117">
            <v>-8.0152671755725158E-2</v>
          </cell>
          <cell r="W117">
            <v>-0.12943262411347511</v>
          </cell>
          <cell r="Y117">
            <v>-0.15384615384615385</v>
          </cell>
          <cell r="Z117">
            <v>-0.33096085409252674</v>
          </cell>
          <cell r="AA117">
            <v>-0.108411214953271</v>
          </cell>
          <cell r="AB117">
            <v>-0.13846153846153841</v>
          </cell>
          <cell r="AD117">
            <v>-0.1563852813852814</v>
          </cell>
          <cell r="AF117">
            <v>-0.39572192513368976</v>
          </cell>
          <cell r="AG117">
            <v>7.5742067553735914E-2</v>
          </cell>
          <cell r="AM117">
            <v>0.24979044425817265</v>
          </cell>
          <cell r="AN117">
            <v>0.53153153153153165</v>
          </cell>
          <cell r="AO117">
            <v>0.29399293286219086</v>
          </cell>
          <cell r="AU117" t="str">
            <v xml:space="preserve"> 3QA</v>
          </cell>
          <cell r="AV117">
            <v>-1.7925736235595235E-2</v>
          </cell>
          <cell r="AX117">
            <v>-0.14251352976548415</v>
          </cell>
          <cell r="AY117">
            <v>-3.6113499570077368E-2</v>
          </cell>
          <cell r="AZ117">
            <v>-9.8726114649681618E-2</v>
          </cell>
          <cell r="BB117">
            <v>0.55737704918032782</v>
          </cell>
          <cell r="BD117">
            <v>0.2000000000000004</v>
          </cell>
          <cell r="BF117">
            <v>1.0825147347740667</v>
          </cell>
          <cell r="BG117">
            <v>0.47214519788253084</v>
          </cell>
          <cell r="BH117">
            <v>0.81517058628685013</v>
          </cell>
          <cell r="BI117">
            <v>0.15469111018522019</v>
          </cell>
          <cell r="BK117">
            <v>-5.1330798479087503E-2</v>
          </cell>
          <cell r="BL117">
            <v>-0.15891328619278</v>
          </cell>
          <cell r="BM117">
            <v>-8.7706052598464868E-2</v>
          </cell>
          <cell r="BO117">
            <v>0.18211206896551735</v>
          </cell>
          <cell r="BP117">
            <v>0.24237560192616381</v>
          </cell>
          <cell r="BQ117">
            <v>0.20631850419084485</v>
          </cell>
          <cell r="BS117">
            <v>-0.22222222222222221</v>
          </cell>
          <cell r="BT117">
            <v>0.19190031152647991</v>
          </cell>
          <cell r="BV117" t="str">
            <v>NM</v>
          </cell>
          <cell r="BX117">
            <v>-0.12623274161735698</v>
          </cell>
          <cell r="BY117">
            <v>1.8270245330328061E-2</v>
          </cell>
          <cell r="BZ117">
            <v>8.5322195704057302E-2</v>
          </cell>
          <cell r="CA117">
            <v>2.2266954502292435E-2</v>
          </cell>
        </row>
        <row r="118">
          <cell r="A118" t="str">
            <v xml:space="preserve"> 4QA</v>
          </cell>
          <cell r="B118">
            <v>-0.76049129989764597</v>
          </cell>
          <cell r="C118">
            <v>1.4943215780035863E-2</v>
          </cell>
          <cell r="D118">
            <v>-0.66365604239755172</v>
          </cell>
          <cell r="F118">
            <v>0.2028510884222692</v>
          </cell>
          <cell r="G118">
            <v>0.56253537068477666</v>
          </cell>
          <cell r="H118">
            <v>0.29419373383156078</v>
          </cell>
          <cell r="J118">
            <v>-9.9009900990099015E-2</v>
          </cell>
          <cell r="L118">
            <v>3.14769975786926E-2</v>
          </cell>
          <cell r="R118">
            <v>-0.16855270994639682</v>
          </cell>
          <cell r="T118" t="str">
            <v xml:space="preserve"> 4QA</v>
          </cell>
          <cell r="U118">
            <v>-0.9883720930232559</v>
          </cell>
          <cell r="V118">
            <v>-0.16826265389876879</v>
          </cell>
          <cell r="W118">
            <v>-0.25458996328029365</v>
          </cell>
          <cell r="Y118">
            <v>0.85185185185185164</v>
          </cell>
          <cell r="Z118">
            <v>-0.22121212121212119</v>
          </cell>
          <cell r="AA118">
            <v>6.1983471074380514E-3</v>
          </cell>
          <cell r="AB118">
            <v>1.4173228346456845E-2</v>
          </cell>
          <cell r="AD118">
            <v>-0.10728303532490169</v>
          </cell>
          <cell r="AF118">
            <v>-0.18343195266272183</v>
          </cell>
          <cell r="AG118">
            <v>-9.4696969696961286E-4</v>
          </cell>
          <cell r="AM118">
            <v>3.8590604026845554E-2</v>
          </cell>
          <cell r="AN118">
            <v>0.58113207547169798</v>
          </cell>
          <cell r="AO118">
            <v>0.13726835964310236</v>
          </cell>
          <cell r="AU118" t="str">
            <v xml:space="preserve"> 4QA</v>
          </cell>
          <cell r="AV118">
            <v>5.5979643765903385E-2</v>
          </cell>
          <cell r="AX118">
            <v>-0.15361625821876876</v>
          </cell>
          <cell r="AY118">
            <v>2.3847376788553032E-3</v>
          </cell>
          <cell r="AZ118">
            <v>-8.665984305697727E-2</v>
          </cell>
          <cell r="BB118">
            <v>0.51583710407239813</v>
          </cell>
          <cell r="BD118">
            <v>0.14613180515759341</v>
          </cell>
          <cell r="BF118">
            <v>0.84337349397590355</v>
          </cell>
          <cell r="BG118">
            <v>0.57977528089887631</v>
          </cell>
          <cell r="BH118">
            <v>0.73760144274120809</v>
          </cell>
          <cell r="BI118">
            <v>0.15829122645842908</v>
          </cell>
          <cell r="BK118">
            <v>-0.34365325077399378</v>
          </cell>
          <cell r="BL118">
            <v>0</v>
          </cell>
          <cell r="BM118">
            <v>-0.25084745762711869</v>
          </cell>
          <cell r="BO118">
            <v>0.23214285714285698</v>
          </cell>
          <cell r="BP118">
            <v>0.28615384615384598</v>
          </cell>
          <cell r="BQ118">
            <v>0.25405742821473143</v>
          </cell>
          <cell r="BS118">
            <v>-2.2222222222222143E-2</v>
          </cell>
          <cell r="BT118">
            <v>0.24650880388585295</v>
          </cell>
          <cell r="BV118" t="str">
            <v>NM</v>
          </cell>
          <cell r="BX118">
            <v>-0.27304964539007104</v>
          </cell>
          <cell r="BY118">
            <v>-4.9667086557494855E-2</v>
          </cell>
          <cell r="BZ118">
            <v>-5.7085628442664071E-2</v>
          </cell>
          <cell r="CA118">
            <v>-5.0164528910079609E-2</v>
          </cell>
        </row>
        <row r="120">
          <cell r="A120" t="str">
            <v>Year</v>
          </cell>
          <cell r="B120">
            <v>-0.25695346441528188</v>
          </cell>
          <cell r="C120">
            <v>-6.1143424599233658E-2</v>
          </cell>
          <cell r="D120">
            <v>-0.2302872062663186</v>
          </cell>
          <cell r="F120">
            <v>0.28755694929294129</v>
          </cell>
          <cell r="G120">
            <v>0.34669427599467528</v>
          </cell>
          <cell r="H120">
            <v>0.30445439945904834</v>
          </cell>
          <cell r="J120">
            <v>5.4945054945054944E-2</v>
          </cell>
          <cell r="L120">
            <v>6.7712045616535987E-2</v>
          </cell>
          <cell r="R120">
            <v>2.6876576498216963E-2</v>
          </cell>
          <cell r="T120" t="str">
            <v>Year</v>
          </cell>
          <cell r="U120">
            <v>-0.83920367534456353</v>
          </cell>
          <cell r="V120">
            <v>-0.1451770543568153</v>
          </cell>
          <cell r="W120">
            <v>-0.20722941055658245</v>
          </cell>
          <cell r="Y120">
            <v>-5.8333333333333272E-2</v>
          </cell>
          <cell r="Z120">
            <v>-0.34451718494271683</v>
          </cell>
          <cell r="AA120">
            <v>-2.409638554216862E-2</v>
          </cell>
          <cell r="AB120">
            <v>-0.10488245931283889</v>
          </cell>
          <cell r="AD120">
            <v>-0.15228120582987678</v>
          </cell>
          <cell r="AF120">
            <v>-0.37828571428571428</v>
          </cell>
          <cell r="AG120">
            <v>2.9840057292910005E-2</v>
          </cell>
          <cell r="AM120">
            <v>0.21300138312586425</v>
          </cell>
          <cell r="AN120">
            <v>0.567231638418079</v>
          </cell>
          <cell r="AO120">
            <v>0.27307545001914979</v>
          </cell>
          <cell r="AU120" t="str">
            <v>Year</v>
          </cell>
          <cell r="AV120">
            <v>3.0992416749093425E-2</v>
          </cell>
          <cell r="AX120">
            <v>-8.2341742027605871E-2</v>
          </cell>
          <cell r="AY120">
            <v>-4.9112426035502914E-2</v>
          </cell>
          <cell r="AZ120">
            <v>-6.7610339370494182E-2</v>
          </cell>
          <cell r="BB120">
            <v>0.6116071428571429</v>
          </cell>
          <cell r="BD120">
            <v>4.5454545454545421E-2</v>
          </cell>
          <cell r="BF120">
            <v>1.0163515585079201</v>
          </cell>
          <cell r="BG120">
            <v>0.51061901061901072</v>
          </cell>
          <cell r="BH120">
            <v>0.792485153037917</v>
          </cell>
          <cell r="BI120">
            <v>0.16783390976939369</v>
          </cell>
          <cell r="BK120">
            <v>-0.13703703703703701</v>
          </cell>
          <cell r="BL120">
            <v>-0.10764487167860709</v>
          </cell>
          <cell r="BM120">
            <v>-0.12740981395776502</v>
          </cell>
          <cell r="BO120">
            <v>0.3209876543209878</v>
          </cell>
          <cell r="BP120">
            <v>0.24136529865908171</v>
          </cell>
          <cell r="BQ120">
            <v>0.28640085439658258</v>
          </cell>
          <cell r="BS120">
            <v>-0.25233644859813065</v>
          </cell>
          <cell r="BT120">
            <v>0.2669295388307904</v>
          </cell>
          <cell r="BV120" t="str">
            <v>NM</v>
          </cell>
          <cell r="BX120">
            <v>-0.19405845711547687</v>
          </cell>
          <cell r="BY120">
            <v>5.5942830438507889E-2</v>
          </cell>
          <cell r="BZ120">
            <v>2.1407624633430947E-2</v>
          </cell>
          <cell r="CA120">
            <v>5.3792498995727515E-2</v>
          </cell>
        </row>
        <row r="122">
          <cell r="A122" t="str">
            <v>2001A</v>
          </cell>
          <cell r="T122" t="str">
            <v>2001A</v>
          </cell>
          <cell r="AU122" t="str">
            <v>2001A</v>
          </cell>
        </row>
        <row r="123">
          <cell r="A123" t="str">
            <v xml:space="preserve"> 1QA</v>
          </cell>
          <cell r="B123">
            <v>541.5</v>
          </cell>
          <cell r="C123">
            <v>81.400000000000006</v>
          </cell>
          <cell r="D123">
            <v>622.9</v>
          </cell>
          <cell r="F123">
            <v>450.7</v>
          </cell>
          <cell r="G123">
            <v>186.4</v>
          </cell>
          <cell r="H123">
            <v>637.1</v>
          </cell>
          <cell r="J123">
            <v>22.3</v>
          </cell>
          <cell r="L123">
            <v>35</v>
          </cell>
          <cell r="R123">
            <v>1317.3</v>
          </cell>
          <cell r="T123" t="str">
            <v xml:space="preserve"> 1QA</v>
          </cell>
          <cell r="U123">
            <v>1.3</v>
          </cell>
          <cell r="V123">
            <v>68.099999999999994</v>
          </cell>
          <cell r="W123">
            <v>69.399999999999991</v>
          </cell>
          <cell r="Y123">
            <v>4.5</v>
          </cell>
          <cell r="Z123">
            <v>14.9</v>
          </cell>
          <cell r="AA123">
            <v>58.1</v>
          </cell>
          <cell r="AB123">
            <v>42</v>
          </cell>
          <cell r="AD123">
            <v>188.9</v>
          </cell>
          <cell r="AF123">
            <v>14.6</v>
          </cell>
          <cell r="AG123">
            <v>110.7</v>
          </cell>
          <cell r="AI123">
            <v>0</v>
          </cell>
          <cell r="AJ123">
            <v>0</v>
          </cell>
          <cell r="AK123">
            <v>0</v>
          </cell>
          <cell r="AM123">
            <v>120.3</v>
          </cell>
          <cell r="AN123">
            <v>28.8</v>
          </cell>
          <cell r="AO123">
            <v>149.1</v>
          </cell>
          <cell r="AU123" t="str">
            <v xml:space="preserve"> 1QA</v>
          </cell>
          <cell r="AV123">
            <v>74.2</v>
          </cell>
          <cell r="AX123">
            <v>154.19999999999999</v>
          </cell>
          <cell r="AY123">
            <v>119.2</v>
          </cell>
          <cell r="AZ123">
            <v>273.39999999999998</v>
          </cell>
          <cell r="BB123">
            <v>64</v>
          </cell>
          <cell r="BD123">
            <v>20.299999999999997</v>
          </cell>
          <cell r="BF123">
            <v>76.900000000000006</v>
          </cell>
          <cell r="BG123">
            <v>48.3</v>
          </cell>
          <cell r="BH123">
            <v>125.2</v>
          </cell>
          <cell r="BI123">
            <v>557.1</v>
          </cell>
          <cell r="BK123">
            <v>43.3</v>
          </cell>
          <cell r="BL123">
            <v>32.5</v>
          </cell>
          <cell r="BM123">
            <v>75.8</v>
          </cell>
          <cell r="BO123">
            <v>101.5</v>
          </cell>
          <cell r="BP123">
            <v>72.5</v>
          </cell>
          <cell r="BQ123">
            <v>174</v>
          </cell>
          <cell r="BS123">
            <v>3.8</v>
          </cell>
          <cell r="BT123">
            <v>177.8</v>
          </cell>
          <cell r="BV123">
            <v>0</v>
          </cell>
          <cell r="BX123">
            <v>46.300000000000004</v>
          </cell>
          <cell r="BY123">
            <v>2637.6000000000004</v>
          </cell>
          <cell r="BZ123">
            <v>168.1</v>
          </cell>
          <cell r="CA123">
            <v>2805.7000000000003</v>
          </cell>
        </row>
        <row r="124">
          <cell r="A124" t="str">
            <v xml:space="preserve"> 2QA</v>
          </cell>
          <cell r="B124">
            <v>605.6</v>
          </cell>
          <cell r="C124">
            <v>86.7</v>
          </cell>
          <cell r="D124">
            <v>692.30000000000007</v>
          </cell>
          <cell r="F124">
            <v>523.20000000000005</v>
          </cell>
          <cell r="G124">
            <v>213.4</v>
          </cell>
          <cell r="H124">
            <v>736.6</v>
          </cell>
          <cell r="J124">
            <v>24.1</v>
          </cell>
          <cell r="L124">
            <v>36.4</v>
          </cell>
          <cell r="R124">
            <v>1489.4</v>
          </cell>
          <cell r="T124" t="str">
            <v xml:space="preserve"> 2QA</v>
          </cell>
          <cell r="U124">
            <v>1.9</v>
          </cell>
          <cell r="V124">
            <v>50.3</v>
          </cell>
          <cell r="W124">
            <v>52.199999999999996</v>
          </cell>
          <cell r="Y124">
            <v>0.7</v>
          </cell>
          <cell r="Z124">
            <v>20.7</v>
          </cell>
          <cell r="AA124">
            <v>56.1</v>
          </cell>
          <cell r="AB124">
            <v>52.4</v>
          </cell>
          <cell r="AD124">
            <v>182.1</v>
          </cell>
          <cell r="AF124">
            <v>14.6</v>
          </cell>
          <cell r="AG124">
            <v>110.1</v>
          </cell>
          <cell r="AI124">
            <v>0</v>
          </cell>
          <cell r="AJ124">
            <v>0</v>
          </cell>
          <cell r="AK124">
            <v>0</v>
          </cell>
          <cell r="AM124">
            <v>133</v>
          </cell>
          <cell r="AN124">
            <v>34</v>
          </cell>
          <cell r="AO124">
            <v>167</v>
          </cell>
          <cell r="AU124" t="str">
            <v xml:space="preserve"> 2QA</v>
          </cell>
          <cell r="AV124">
            <v>78.8</v>
          </cell>
          <cell r="AX124">
            <v>140</v>
          </cell>
          <cell r="AY124">
            <v>124.7</v>
          </cell>
          <cell r="AZ124">
            <v>264.7</v>
          </cell>
          <cell r="BB124">
            <v>135</v>
          </cell>
          <cell r="BD124">
            <v>16.599999999999994</v>
          </cell>
          <cell r="BF124">
            <v>89.3</v>
          </cell>
          <cell r="BG124">
            <v>56.3</v>
          </cell>
          <cell r="BH124">
            <v>145.6</v>
          </cell>
          <cell r="BI124">
            <v>640.70000000000005</v>
          </cell>
          <cell r="BK124">
            <v>50.8</v>
          </cell>
          <cell r="BL124">
            <v>19.399999999999999</v>
          </cell>
          <cell r="BM124">
            <v>70.199999999999989</v>
          </cell>
          <cell r="BO124">
            <v>88.8</v>
          </cell>
          <cell r="BP124">
            <v>72</v>
          </cell>
          <cell r="BQ124">
            <v>160.80000000000001</v>
          </cell>
          <cell r="BS124">
            <v>3.8</v>
          </cell>
          <cell r="BT124">
            <v>164.60000000000002</v>
          </cell>
          <cell r="BV124">
            <v>0</v>
          </cell>
          <cell r="BX124">
            <v>36.6</v>
          </cell>
          <cell r="BY124">
            <v>2875.2999999999993</v>
          </cell>
          <cell r="BZ124">
            <v>158.19999999999999</v>
          </cell>
          <cell r="CA124">
            <v>3033.4999999999991</v>
          </cell>
        </row>
        <row r="125">
          <cell r="A125" t="str">
            <v xml:space="preserve"> 3QA</v>
          </cell>
          <cell r="B125">
            <v>371.5</v>
          </cell>
          <cell r="C125">
            <v>77.900000000000006</v>
          </cell>
          <cell r="D125">
            <v>449.4</v>
          </cell>
          <cell r="F125">
            <v>577.79999999999995</v>
          </cell>
          <cell r="G125">
            <v>234.6</v>
          </cell>
          <cell r="H125">
            <v>812.4</v>
          </cell>
          <cell r="J125">
            <v>21.8</v>
          </cell>
          <cell r="L125">
            <v>35.700000000000003</v>
          </cell>
          <cell r="R125">
            <v>1319.3</v>
          </cell>
          <cell r="T125" t="str">
            <v xml:space="preserve"> 3QA</v>
          </cell>
          <cell r="U125">
            <v>0.9</v>
          </cell>
          <cell r="V125">
            <v>48.2</v>
          </cell>
          <cell r="W125">
            <v>49.1</v>
          </cell>
          <cell r="Y125">
            <v>1.1000000000000001</v>
          </cell>
          <cell r="Z125">
            <v>18.8</v>
          </cell>
          <cell r="AA125">
            <v>47.7</v>
          </cell>
          <cell r="AB125">
            <v>39.200000000000003</v>
          </cell>
          <cell r="AD125">
            <v>155.9</v>
          </cell>
          <cell r="AF125">
            <v>11.3</v>
          </cell>
          <cell r="AG125">
            <v>105.1</v>
          </cell>
          <cell r="AI125">
            <v>0</v>
          </cell>
          <cell r="AJ125">
            <v>0</v>
          </cell>
          <cell r="AK125">
            <v>0</v>
          </cell>
          <cell r="AM125">
            <v>149.1</v>
          </cell>
          <cell r="AN125">
            <v>34</v>
          </cell>
          <cell r="AO125">
            <v>183.1</v>
          </cell>
          <cell r="AU125" t="str">
            <v xml:space="preserve"> 3QA</v>
          </cell>
          <cell r="AV125">
            <v>76.7</v>
          </cell>
          <cell r="AX125">
            <v>142.6</v>
          </cell>
          <cell r="AY125">
            <v>112.1</v>
          </cell>
          <cell r="AZ125">
            <v>254.7</v>
          </cell>
          <cell r="BB125">
            <v>95</v>
          </cell>
          <cell r="BD125">
            <v>18.900000000000006</v>
          </cell>
          <cell r="BF125">
            <v>106</v>
          </cell>
          <cell r="BG125">
            <v>58.4</v>
          </cell>
          <cell r="BH125">
            <v>164.4</v>
          </cell>
          <cell r="BI125">
            <v>609.69999999999993</v>
          </cell>
          <cell r="BK125">
            <v>49.9</v>
          </cell>
          <cell r="BL125">
            <v>22.6</v>
          </cell>
          <cell r="BM125">
            <v>72.5</v>
          </cell>
          <cell r="BO125">
            <v>109.7</v>
          </cell>
          <cell r="BP125">
            <v>77.400000000000006</v>
          </cell>
          <cell r="BQ125">
            <v>187.10000000000002</v>
          </cell>
          <cell r="BS125">
            <v>4.2</v>
          </cell>
          <cell r="BT125">
            <v>191.3</v>
          </cell>
          <cell r="BV125">
            <v>0</v>
          </cell>
          <cell r="BX125">
            <v>44.3</v>
          </cell>
          <cell r="BY125">
            <v>2692.5</v>
          </cell>
          <cell r="BZ125">
            <v>181.9</v>
          </cell>
          <cell r="CA125">
            <v>2874.4</v>
          </cell>
        </row>
        <row r="126">
          <cell r="A126" t="str">
            <v xml:space="preserve"> 4QA</v>
          </cell>
          <cell r="B126">
            <v>140.4</v>
          </cell>
          <cell r="C126">
            <v>84.9</v>
          </cell>
          <cell r="D126">
            <v>225.3</v>
          </cell>
          <cell r="F126">
            <v>624.4</v>
          </cell>
          <cell r="G126">
            <v>276.10000000000002</v>
          </cell>
          <cell r="H126">
            <v>900.5</v>
          </cell>
          <cell r="J126">
            <v>18.2</v>
          </cell>
          <cell r="L126">
            <v>42.6</v>
          </cell>
          <cell r="R126">
            <v>1186.5999999999999</v>
          </cell>
          <cell r="T126" t="str">
            <v xml:space="preserve"> 4QA</v>
          </cell>
          <cell r="U126">
            <v>0.1</v>
          </cell>
          <cell r="V126">
            <v>60.8</v>
          </cell>
          <cell r="W126">
            <v>60.9</v>
          </cell>
          <cell r="Y126">
            <v>5</v>
          </cell>
          <cell r="Z126">
            <v>25.7</v>
          </cell>
          <cell r="AA126">
            <v>48.7</v>
          </cell>
          <cell r="AB126">
            <v>64.400000000000006</v>
          </cell>
          <cell r="AD126">
            <v>204.70000000000002</v>
          </cell>
          <cell r="AF126">
            <v>13.8</v>
          </cell>
          <cell r="AG126">
            <v>105.5</v>
          </cell>
          <cell r="AI126">
            <v>21.1</v>
          </cell>
          <cell r="AJ126">
            <v>0.1</v>
          </cell>
          <cell r="AK126">
            <v>21.200000000000003</v>
          </cell>
          <cell r="AM126">
            <v>123.8</v>
          </cell>
          <cell r="AN126">
            <v>41.9</v>
          </cell>
          <cell r="AO126">
            <v>165.7</v>
          </cell>
          <cell r="AU126" t="str">
            <v xml:space="preserve"> 4QA</v>
          </cell>
          <cell r="AV126">
            <v>83</v>
          </cell>
          <cell r="AX126">
            <v>141.6</v>
          </cell>
          <cell r="AY126">
            <v>126.1</v>
          </cell>
          <cell r="AZ126">
            <v>267.7</v>
          </cell>
          <cell r="BB126">
            <v>67</v>
          </cell>
          <cell r="BD126">
            <v>20</v>
          </cell>
          <cell r="BF126">
            <v>122.4</v>
          </cell>
          <cell r="BG126">
            <v>70.3</v>
          </cell>
          <cell r="BH126">
            <v>192.7</v>
          </cell>
          <cell r="BI126">
            <v>630.4</v>
          </cell>
          <cell r="BK126">
            <v>42.4</v>
          </cell>
          <cell r="BL126">
            <v>23.9</v>
          </cell>
          <cell r="BM126">
            <v>66.3</v>
          </cell>
          <cell r="BO126">
            <v>117.3</v>
          </cell>
          <cell r="BP126">
            <v>83.6</v>
          </cell>
          <cell r="BQ126">
            <v>200.89999999999998</v>
          </cell>
          <cell r="BS126">
            <v>4.4000000000000004</v>
          </cell>
          <cell r="BT126">
            <v>205.29999999999998</v>
          </cell>
          <cell r="BV126">
            <v>0</v>
          </cell>
          <cell r="BX126">
            <v>41</v>
          </cell>
          <cell r="BY126">
            <v>2640.5000000000005</v>
          </cell>
          <cell r="BZ126">
            <v>188.3</v>
          </cell>
          <cell r="CA126">
            <v>2828.8000000000006</v>
          </cell>
        </row>
        <row r="128">
          <cell r="A128" t="str">
            <v>YearA</v>
          </cell>
          <cell r="B128">
            <v>1659</v>
          </cell>
          <cell r="C128">
            <v>330.90000000000003</v>
          </cell>
          <cell r="D128">
            <v>1989.8999999999999</v>
          </cell>
          <cell r="F128">
            <v>2176.1</v>
          </cell>
          <cell r="G128">
            <v>910.5</v>
          </cell>
          <cell r="H128">
            <v>3086.6</v>
          </cell>
          <cell r="J128">
            <v>86.4</v>
          </cell>
          <cell r="L128">
            <v>149.80000000000001</v>
          </cell>
          <cell r="R128">
            <v>5312.7</v>
          </cell>
          <cell r="T128" t="str">
            <v>YearA</v>
          </cell>
          <cell r="U128">
            <v>4.2</v>
          </cell>
          <cell r="V128">
            <v>227.39999999999998</v>
          </cell>
          <cell r="W128">
            <v>231.6</v>
          </cell>
          <cell r="Y128">
            <v>11.3</v>
          </cell>
          <cell r="Z128">
            <v>80.100000000000009</v>
          </cell>
          <cell r="AA128">
            <v>210.60000000000002</v>
          </cell>
          <cell r="AB128">
            <v>198.00000000000003</v>
          </cell>
          <cell r="AD128">
            <v>731.7</v>
          </cell>
          <cell r="AF128">
            <v>54.4</v>
          </cell>
          <cell r="AG128">
            <v>431.4</v>
          </cell>
          <cell r="AI128">
            <v>21.1</v>
          </cell>
          <cell r="AJ128">
            <v>0.1</v>
          </cell>
          <cell r="AK128">
            <v>21.1</v>
          </cell>
          <cell r="AM128">
            <v>526.19999999999993</v>
          </cell>
          <cell r="AN128">
            <v>138.69999999999999</v>
          </cell>
          <cell r="AO128">
            <v>664.80000000000007</v>
          </cell>
          <cell r="AU128" t="str">
            <v>YearA</v>
          </cell>
          <cell r="AV128">
            <v>312.7</v>
          </cell>
          <cell r="AX128">
            <v>578.4</v>
          </cell>
          <cell r="AY128">
            <v>482.1</v>
          </cell>
          <cell r="AZ128">
            <v>1060.5</v>
          </cell>
          <cell r="BB128">
            <v>361</v>
          </cell>
          <cell r="BD128">
            <v>75.899999999999991</v>
          </cell>
          <cell r="BF128">
            <v>394.6</v>
          </cell>
          <cell r="BG128">
            <v>233.3</v>
          </cell>
          <cell r="BH128">
            <v>627.80000000000007</v>
          </cell>
          <cell r="BI128">
            <v>2437.9</v>
          </cell>
          <cell r="BK128">
            <v>186.4</v>
          </cell>
          <cell r="BL128">
            <v>98.4</v>
          </cell>
          <cell r="BM128">
            <v>284.7</v>
          </cell>
          <cell r="BO128">
            <v>417.3</v>
          </cell>
          <cell r="BP128">
            <v>305.5</v>
          </cell>
          <cell r="BQ128">
            <v>722.7</v>
          </cell>
          <cell r="BS128">
            <v>16.000000000000004</v>
          </cell>
          <cell r="BT128">
            <v>739</v>
          </cell>
          <cell r="BV128">
            <v>0</v>
          </cell>
          <cell r="BX128">
            <v>168.2</v>
          </cell>
          <cell r="BY128">
            <v>10845.800000000001</v>
          </cell>
          <cell r="BZ128">
            <v>696.6</v>
          </cell>
          <cell r="CA128">
            <v>11542.400000000001</v>
          </cell>
        </row>
        <row r="130">
          <cell r="A130" t="str">
            <v>2002A/01</v>
          </cell>
          <cell r="T130" t="str">
            <v>2002A/01</v>
          </cell>
          <cell r="AU130" t="str">
            <v>2002A/01</v>
          </cell>
        </row>
        <row r="131">
          <cell r="A131" t="str">
            <v xml:space="preserve"> 1QA</v>
          </cell>
          <cell r="B131">
            <v>-0.79686057248384112</v>
          </cell>
          <cell r="C131">
            <v>-6.3882063882063966E-2</v>
          </cell>
          <cell r="D131">
            <v>-0.70107561406325258</v>
          </cell>
          <cell r="F131">
            <v>0.23163967162192156</v>
          </cell>
          <cell r="G131">
            <v>0.4179184549356223</v>
          </cell>
          <cell r="H131">
            <v>0.28614032334013517</v>
          </cell>
          <cell r="J131">
            <v>-0.33632286995515692</v>
          </cell>
          <cell r="L131">
            <v>-0.12571428571428567</v>
          </cell>
          <cell r="R131">
            <v>-0.2021559249981022</v>
          </cell>
          <cell r="T131" t="str">
            <v xml:space="preserve"> 1QA</v>
          </cell>
          <cell r="U131" t="str">
            <v>NM</v>
          </cell>
          <cell r="V131">
            <v>-0.12481644640234935</v>
          </cell>
          <cell r="W131">
            <v>-0.13400576368876072</v>
          </cell>
          <cell r="Y131">
            <v>-0.1333333333333333</v>
          </cell>
          <cell r="Z131">
            <v>0.28187919463087252</v>
          </cell>
          <cell r="AA131">
            <v>-0.25301204819277112</v>
          </cell>
          <cell r="AB131">
            <v>6.6666666666666652E-2</v>
          </cell>
          <cell r="AD131">
            <v>-9.317098994176809E-2</v>
          </cell>
          <cell r="AF131">
            <v>-0.22602739726027388</v>
          </cell>
          <cell r="AG131">
            <v>-0.17163504968383014</v>
          </cell>
          <cell r="AI131" t="str">
            <v>NM</v>
          </cell>
          <cell r="AJ131" t="str">
            <v>NM</v>
          </cell>
          <cell r="AK131" t="str">
            <v>NM</v>
          </cell>
          <cell r="AM131">
            <v>0.15960099750623447</v>
          </cell>
          <cell r="AN131">
            <v>0.33333333333333326</v>
          </cell>
          <cell r="AO131">
            <v>0.19315895372233416</v>
          </cell>
          <cell r="AU131" t="str">
            <v xml:space="preserve"> 1QA</v>
          </cell>
          <cell r="AV131">
            <v>4.582210242587581E-2</v>
          </cell>
          <cell r="AX131">
            <v>-0.17574578469520097</v>
          </cell>
          <cell r="AY131">
            <v>-9.8993288590603967E-2</v>
          </cell>
          <cell r="AZ131">
            <v>-0.142282370153621</v>
          </cell>
          <cell r="BB131">
            <v>0.15312499999999996</v>
          </cell>
          <cell r="BD131">
            <v>-0.15270935960591125</v>
          </cell>
          <cell r="BF131">
            <v>0.47204161248374499</v>
          </cell>
          <cell r="BG131">
            <v>0.329192546583851</v>
          </cell>
          <cell r="BH131">
            <v>0.41693290734824284</v>
          </cell>
          <cell r="BI131">
            <v>4.2003231017770482E-2</v>
          </cell>
          <cell r="BK131">
            <v>-0.32563510392609696</v>
          </cell>
          <cell r="BL131">
            <v>-0.6</v>
          </cell>
          <cell r="BM131">
            <v>-0.44327176781002631</v>
          </cell>
          <cell r="BO131">
            <v>7.4876847290640258E-2</v>
          </cell>
          <cell r="BP131">
            <v>0.21931034482758638</v>
          </cell>
          <cell r="BQ131">
            <v>0.13505747126436773</v>
          </cell>
          <cell r="BS131">
            <v>5.2631578947368363E-2</v>
          </cell>
          <cell r="BT131">
            <v>0.13329583802024736</v>
          </cell>
          <cell r="BV131" t="str">
            <v>NM</v>
          </cell>
          <cell r="BX131">
            <v>-5.1835853131749543E-2</v>
          </cell>
          <cell r="BY131">
            <v>-9.2622080679405694E-2</v>
          </cell>
          <cell r="BZ131">
            <v>-1.7846519928612636E-3</v>
          </cell>
          <cell r="CA131">
            <v>-8.7179669957586414E-2</v>
          </cell>
        </row>
        <row r="132">
          <cell r="A132" t="str">
            <v xml:space="preserve"> 2QA</v>
          </cell>
          <cell r="B132">
            <v>-0.79425363276089833</v>
          </cell>
          <cell r="C132">
            <v>-0.18915801614763561</v>
          </cell>
          <cell r="D132">
            <v>-0.7184746497183303</v>
          </cell>
          <cell r="F132">
            <v>0.20967125382262974</v>
          </cell>
          <cell r="G132">
            <v>0.28350515463917514</v>
          </cell>
          <cell r="H132">
            <v>0.23106163453706219</v>
          </cell>
          <cell r="J132">
            <v>-0.10373443983402486</v>
          </cell>
          <cell r="L132">
            <v>6.3186813186813406E-2</v>
          </cell>
          <cell r="R132">
            <v>-0.21982006176984037</v>
          </cell>
          <cell r="T132" t="str">
            <v xml:space="preserve"> 2QA</v>
          </cell>
          <cell r="U132" t="str">
            <v>NM</v>
          </cell>
          <cell r="V132">
            <v>-0.12326043737574544</v>
          </cell>
          <cell r="W132">
            <v>-0.15517241379310331</v>
          </cell>
          <cell r="Y132">
            <v>2.1428571428571432</v>
          </cell>
          <cell r="Z132">
            <v>-0.2125603864734299</v>
          </cell>
          <cell r="AA132">
            <v>-0.22103386809269154</v>
          </cell>
          <cell r="AB132">
            <v>-0.30534351145038163</v>
          </cell>
          <cell r="AD132">
            <v>-0.21636463481603507</v>
          </cell>
          <cell r="AF132">
            <v>-0.21232876712328763</v>
          </cell>
          <cell r="AG132">
            <v>-8.2652134423251589E-2</v>
          </cell>
          <cell r="AI132" t="str">
            <v>NM</v>
          </cell>
          <cell r="AJ132" t="str">
            <v>NM</v>
          </cell>
          <cell r="AK132" t="str">
            <v>NM</v>
          </cell>
          <cell r="AM132">
            <v>4.8120300751879785E-2</v>
          </cell>
          <cell r="AN132">
            <v>0.43529411764705883</v>
          </cell>
          <cell r="AO132">
            <v>0.12694610778443116</v>
          </cell>
          <cell r="AU132" t="str">
            <v xml:space="preserve"> 2QA</v>
          </cell>
          <cell r="AV132">
            <v>4.8223350253806974E-2</v>
          </cell>
          <cell r="AX132">
            <v>-4.500000000000004E-2</v>
          </cell>
          <cell r="AY132">
            <v>-6.4153969526864474E-3</v>
          </cell>
          <cell r="AZ132">
            <v>-2.6822818284850669E-2</v>
          </cell>
          <cell r="BB132">
            <v>4.0000000000000036E-2</v>
          </cell>
          <cell r="BD132">
            <v>-0.27710843373493954</v>
          </cell>
          <cell r="BF132">
            <v>0.44680851063829774</v>
          </cell>
          <cell r="BG132">
            <v>0.34103019538188284</v>
          </cell>
          <cell r="BH132">
            <v>0.4059065934065933</v>
          </cell>
          <cell r="BI132">
            <v>8.8340877165600018E-2</v>
          </cell>
          <cell r="BK132">
            <v>-0.96259842519685035</v>
          </cell>
          <cell r="BL132">
            <v>0.40206185567010322</v>
          </cell>
          <cell r="BM132">
            <v>-0.58547008547008539</v>
          </cell>
          <cell r="BO132">
            <v>0.45720720720720731</v>
          </cell>
          <cell r="BP132">
            <v>0.24583333333333335</v>
          </cell>
          <cell r="BQ132">
            <v>0.36256218905472637</v>
          </cell>
          <cell r="BS132">
            <v>-2.631578947368407E-2</v>
          </cell>
          <cell r="BT132">
            <v>0.35358444714459281</v>
          </cell>
          <cell r="BV132" t="str">
            <v>NM</v>
          </cell>
          <cell r="BX132">
            <v>-2.7868852459016269E-2</v>
          </cell>
          <cell r="BY132">
            <v>-9.1301777205856638E-2</v>
          </cell>
          <cell r="BZ132">
            <v>2.6548672566371723E-2</v>
          </cell>
          <cell r="CA132">
            <v>-8.515576067249031E-2</v>
          </cell>
        </row>
        <row r="133">
          <cell r="A133" t="str">
            <v xml:space="preserve"> 3QA</v>
          </cell>
          <cell r="B133">
            <v>-0.67886944818304173</v>
          </cell>
          <cell r="C133">
            <v>-9.3709884467265914E-2</v>
          </cell>
          <cell r="D133">
            <v>-0.57743658210947935</v>
          </cell>
          <cell r="F133">
            <v>0.18241606092073392</v>
          </cell>
          <cell r="G133">
            <v>0.2395566922421144</v>
          </cell>
          <cell r="H133">
            <v>0.19891678975873961</v>
          </cell>
          <cell r="J133">
            <v>-1</v>
          </cell>
          <cell r="L133">
            <v>0.13725490196078427</v>
          </cell>
          <cell r="R133">
            <v>-8.701584173425303E-2</v>
          </cell>
          <cell r="T133" t="str">
            <v xml:space="preserve"> 3QA</v>
          </cell>
          <cell r="U133" t="str">
            <v>NM</v>
          </cell>
          <cell r="V133">
            <v>-0.11825726141078841</v>
          </cell>
          <cell r="W133">
            <v>-0.13238289205702647</v>
          </cell>
          <cell r="Y133">
            <v>-0.54545454545454541</v>
          </cell>
          <cell r="Z133">
            <v>-0.11170212765957455</v>
          </cell>
          <cell r="AA133">
            <v>-0.34171907756813424</v>
          </cell>
          <cell r="AB133">
            <v>-0.1479591836734695</v>
          </cell>
          <cell r="AD133">
            <v>-0.2007697241821681</v>
          </cell>
          <cell r="AF133">
            <v>-9.7345132743362983E-2</v>
          </cell>
          <cell r="AG133">
            <v>-0.1208372978116079</v>
          </cell>
          <cell r="AI133" t="str">
            <v>NM</v>
          </cell>
          <cell r="AJ133" t="str">
            <v>NM</v>
          </cell>
          <cell r="AK133" t="str">
            <v>NM</v>
          </cell>
          <cell r="AM133">
            <v>0.11401743796109987</v>
          </cell>
          <cell r="AN133">
            <v>0.50882352941176467</v>
          </cell>
          <cell r="AO133">
            <v>0.18732932823593651</v>
          </cell>
          <cell r="AU133" t="str">
            <v xml:space="preserve"> 3QA</v>
          </cell>
          <cell r="AV133">
            <v>8.4745762711864403E-2</v>
          </cell>
          <cell r="AX133">
            <v>-8.9761570827489368E-2</v>
          </cell>
          <cell r="AY133">
            <v>0.1382694023193578</v>
          </cell>
          <cell r="AZ133">
            <v>1.0600706713780772E-2</v>
          </cell>
          <cell r="BB133">
            <v>-0.14000000000000001</v>
          </cell>
          <cell r="BD133">
            <v>-4.2328042328042548E-2</v>
          </cell>
          <cell r="BF133">
            <v>0.26132075471698113</v>
          </cell>
          <cell r="BG133">
            <v>0.37671232876712346</v>
          </cell>
          <cell r="BH133">
            <v>0.30231143552311424</v>
          </cell>
          <cell r="BI133">
            <v>7.3478760045924352E-2</v>
          </cell>
          <cell r="BK133">
            <v>-0.72945891783567141</v>
          </cell>
          <cell r="BL133">
            <v>-0.4823008849557523</v>
          </cell>
          <cell r="BM133">
            <v>-0.65241379310344827</v>
          </cell>
          <cell r="BO133">
            <v>-0.15041020966271645</v>
          </cell>
          <cell r="BP133">
            <v>0.34366925064599463</v>
          </cell>
          <cell r="BQ133">
            <v>5.3981827899518775E-2</v>
          </cell>
          <cell r="BS133">
            <v>0.57142857142857117</v>
          </cell>
          <cell r="BT133">
            <v>6.5342394145321281E-2</v>
          </cell>
          <cell r="BV133" t="str">
            <v>NM</v>
          </cell>
          <cell r="BX133">
            <v>0.45146726862302522</v>
          </cell>
          <cell r="BY133">
            <v>-2.766945218198702E-2</v>
          </cell>
          <cell r="BZ133">
            <v>-7.8614623419461349E-2</v>
          </cell>
          <cell r="CA133">
            <v>-3.0893403840801636E-2</v>
          </cell>
        </row>
        <row r="134">
          <cell r="A134" t="str">
            <v xml:space="preserve"> 4QA</v>
          </cell>
          <cell r="B134">
            <v>-0.30341880341880334</v>
          </cell>
          <cell r="C134">
            <v>-0.23439340400471143</v>
          </cell>
          <cell r="D134">
            <v>-0.27740790057700837</v>
          </cell>
          <cell r="F134">
            <v>5.9577194106342102E-2</v>
          </cell>
          <cell r="G134">
            <v>0.18507787033683432</v>
          </cell>
          <cell r="H134">
            <v>9.8056635202665055E-2</v>
          </cell>
          <cell r="J134" t="str">
            <v>NM</v>
          </cell>
          <cell r="L134">
            <v>-1.4084507042253502E-2</v>
          </cell>
          <cell r="R134">
            <v>8.0903421540534648E-3</v>
          </cell>
          <cell r="T134" t="str">
            <v xml:space="preserve"> 4QA</v>
          </cell>
          <cell r="U134" t="str">
            <v>NM</v>
          </cell>
          <cell r="V134">
            <v>-0.16940789473684204</v>
          </cell>
          <cell r="W134">
            <v>-0.16912972085385869</v>
          </cell>
          <cell r="Y134">
            <v>-0.54</v>
          </cell>
          <cell r="Z134">
            <v>-0.1245136186770428</v>
          </cell>
          <cell r="AA134">
            <v>-0.45995893223819306</v>
          </cell>
          <cell r="AB134">
            <v>-0.42701863354037273</v>
          </cell>
          <cell r="AD134">
            <v>-0.32291157791890579</v>
          </cell>
          <cell r="AF134">
            <v>-7.2463768115942018E-2</v>
          </cell>
          <cell r="AG134">
            <v>-6.2559241706161117E-2</v>
          </cell>
          <cell r="AI134">
            <v>0.27488151658767768</v>
          </cell>
          <cell r="AJ134" t="str">
            <v>NM</v>
          </cell>
          <cell r="AK134">
            <v>0.62735849056603743</v>
          </cell>
          <cell r="AM134">
            <v>0.4628432956381261</v>
          </cell>
          <cell r="AN134">
            <v>0.36754176610978528</v>
          </cell>
          <cell r="AO134">
            <v>0.4387447193723597</v>
          </cell>
          <cell r="AU134" t="str">
            <v xml:space="preserve"> 4QA</v>
          </cell>
          <cell r="AV134">
            <v>3.4939759036144658E-2</v>
          </cell>
          <cell r="AX134">
            <v>-0.11864406779661019</v>
          </cell>
          <cell r="AY134">
            <v>2.8548770816811952E-2</v>
          </cell>
          <cell r="AZ134">
            <v>-4.930892790437047E-2</v>
          </cell>
          <cell r="BB134">
            <v>0.43582089552238812</v>
          </cell>
          <cell r="BD134">
            <v>-0.47499999999999998</v>
          </cell>
          <cell r="BF134">
            <v>0.2434640522875815</v>
          </cell>
          <cell r="BG134">
            <v>0.2204836415362732</v>
          </cell>
          <cell r="BH134">
            <v>0.23508043591074212</v>
          </cell>
          <cell r="BI134">
            <v>8.6770304568527745E-2</v>
          </cell>
          <cell r="BK134">
            <v>-1.0070754716981132</v>
          </cell>
          <cell r="BL134">
            <v>-0.30962343096234302</v>
          </cell>
          <cell r="BM134">
            <v>-0.75565610859728505</v>
          </cell>
          <cell r="BO134">
            <v>0.28303495311167959</v>
          </cell>
          <cell r="BP134">
            <v>0.32057416267942607</v>
          </cell>
          <cell r="BQ134">
            <v>0.29865604778496757</v>
          </cell>
          <cell r="BS134">
            <v>-4.5454545454545525E-2</v>
          </cell>
          <cell r="BT134">
            <v>0.29128105211885047</v>
          </cell>
          <cell r="BV134" t="str">
            <v>NM</v>
          </cell>
          <cell r="BX134">
            <v>0.66829268292682942</v>
          </cell>
          <cell r="BY134">
            <v>4.5142965347471753E-2</v>
          </cell>
          <cell r="BZ134">
            <v>4.036112586298457E-2</v>
          </cell>
          <cell r="CA134">
            <v>4.4824660633483671E-2</v>
          </cell>
        </row>
        <row r="136">
          <cell r="A136" t="str">
            <v>2002/01A</v>
          </cell>
          <cell r="B136">
            <v>-0.72772754671488848</v>
          </cell>
          <cell r="C136">
            <v>-0.14747657902689637</v>
          </cell>
          <cell r="D136">
            <v>-0.63123775064073573</v>
          </cell>
          <cell r="F136">
            <v>0.16391709939800569</v>
          </cell>
          <cell r="G136">
            <v>0.26985172981878103</v>
          </cell>
          <cell r="H136">
            <v>0.19516620229378609</v>
          </cell>
          <cell r="J136">
            <v>-0.57870370370370372</v>
          </cell>
          <cell r="K136" t="e">
            <v>#DIV/0!</v>
          </cell>
          <cell r="L136">
            <v>-0.01</v>
          </cell>
          <cell r="R136">
            <v>-0.13157151730758371</v>
          </cell>
          <cell r="T136" t="str">
            <v>2002/01A</v>
          </cell>
          <cell r="U136">
            <v>-0.83333333333333337</v>
          </cell>
          <cell r="V136">
            <v>-0.13500439753737903</v>
          </cell>
          <cell r="W136">
            <v>-0.1476683937823835</v>
          </cell>
          <cell r="Y136">
            <v>-0.21238938053097367</v>
          </cell>
          <cell r="Z136">
            <v>-6.8664169787765239E-2</v>
          </cell>
          <cell r="AA136">
            <v>-0.31244064577397912</v>
          </cell>
          <cell r="AB136">
            <v>-0.23484848484848497</v>
          </cell>
          <cell r="AD136">
            <v>-0.21115211152111521</v>
          </cell>
          <cell r="AF136">
            <v>-0.15808823529411764</v>
          </cell>
          <cell r="AG136">
            <v>-0.10987482614742694</v>
          </cell>
          <cell r="AI136" t="str">
            <v>NM</v>
          </cell>
          <cell r="AJ136" t="str">
            <v>NM</v>
          </cell>
          <cell r="AK136" t="str">
            <v>NM</v>
          </cell>
          <cell r="AM136">
            <v>0.18985176738882581</v>
          </cell>
          <cell r="AN136">
            <v>0.41167988464311489</v>
          </cell>
          <cell r="AO136">
            <v>0.23631167268351386</v>
          </cell>
          <cell r="AU136" t="str">
            <v>2002/01A</v>
          </cell>
          <cell r="AV136">
            <v>5.3086024944035692E-2</v>
          </cell>
          <cell r="AX136">
            <v>-0.1089211618257262</v>
          </cell>
          <cell r="AY136">
            <v>1.3482679941920539E-2</v>
          </cell>
          <cell r="AZ136">
            <v>-5.3276756247053275E-2</v>
          </cell>
          <cell r="BB136">
            <v>8.6149584487534625E-2</v>
          </cell>
          <cell r="BD136">
            <v>-0.23847167325428187</v>
          </cell>
          <cell r="BF136">
            <v>0.33882412569690801</v>
          </cell>
          <cell r="BG136">
            <v>0.3111873124732103</v>
          </cell>
          <cell r="BH136">
            <v>0.32876712328767099</v>
          </cell>
          <cell r="BI136">
            <v>7.3628942942696396E-2</v>
          </cell>
          <cell r="BK136">
            <v>-0.76233905579399142</v>
          </cell>
          <cell r="BL136">
            <v>-0.30487804878048774</v>
          </cell>
          <cell r="BM136">
            <v>-0.60414471373375489</v>
          </cell>
          <cell r="BO136">
            <v>0.15552360412173494</v>
          </cell>
          <cell r="BP136">
            <v>0.28477905073649756</v>
          </cell>
          <cell r="BQ136">
            <v>0.210322402103224</v>
          </cell>
          <cell r="BS136">
            <v>0.15624999999999978</v>
          </cell>
          <cell r="BT136">
            <v>0.20866035182679302</v>
          </cell>
          <cell r="BV136" t="str">
            <v>NM</v>
          </cell>
          <cell r="BX136">
            <v>0.26147443519619529</v>
          </cell>
          <cell r="BY136">
            <v>-4.2598978406387933E-2</v>
          </cell>
          <cell r="BZ136">
            <v>-4.1630778064886131E-3</v>
          </cell>
          <cell r="CA136">
            <v>-4.0279317992791955E-2</v>
          </cell>
        </row>
        <row r="138">
          <cell r="A138" t="str">
            <v>2002A</v>
          </cell>
          <cell r="T138" t="str">
            <v>2002A</v>
          </cell>
          <cell r="AU138" t="str">
            <v>2002A</v>
          </cell>
        </row>
        <row r="139">
          <cell r="A139" t="str">
            <v xml:space="preserve"> 1QA</v>
          </cell>
          <cell r="B139">
            <v>110</v>
          </cell>
          <cell r="C139">
            <v>76.2</v>
          </cell>
          <cell r="D139">
            <v>186.2</v>
          </cell>
          <cell r="F139">
            <v>555.1</v>
          </cell>
          <cell r="G139">
            <v>264.3</v>
          </cell>
          <cell r="H139">
            <v>819.40000000000009</v>
          </cell>
          <cell r="J139">
            <v>14.8</v>
          </cell>
          <cell r="L139">
            <v>30.6</v>
          </cell>
          <cell r="R139">
            <v>1051</v>
          </cell>
          <cell r="T139" t="str">
            <v xml:space="preserve"> 1QA</v>
          </cell>
          <cell r="U139">
            <v>0.5</v>
          </cell>
          <cell r="V139">
            <v>59.6</v>
          </cell>
          <cell r="W139">
            <v>60.1</v>
          </cell>
          <cell r="Y139">
            <v>3.9</v>
          </cell>
          <cell r="Z139">
            <v>19.100000000000001</v>
          </cell>
          <cell r="AA139">
            <v>43.4</v>
          </cell>
          <cell r="AB139">
            <v>44.8</v>
          </cell>
          <cell r="AD139">
            <v>171.3</v>
          </cell>
          <cell r="AF139">
            <v>11.3</v>
          </cell>
          <cell r="AG139">
            <v>91.7</v>
          </cell>
          <cell r="AI139">
            <v>21.9</v>
          </cell>
          <cell r="AJ139">
            <v>0.1</v>
          </cell>
          <cell r="AK139">
            <v>22</v>
          </cell>
          <cell r="AM139">
            <v>139.5</v>
          </cell>
          <cell r="AN139">
            <v>38.4</v>
          </cell>
          <cell r="AO139">
            <v>177.9</v>
          </cell>
          <cell r="AU139" t="str">
            <v xml:space="preserve"> 1QA</v>
          </cell>
          <cell r="AV139">
            <v>77.599999999999994</v>
          </cell>
          <cell r="AX139">
            <v>127.1</v>
          </cell>
          <cell r="AY139">
            <v>107.4</v>
          </cell>
          <cell r="AZ139">
            <v>234.5</v>
          </cell>
          <cell r="BB139">
            <v>73.8</v>
          </cell>
          <cell r="BD139">
            <v>17.2</v>
          </cell>
          <cell r="BF139">
            <v>113.2</v>
          </cell>
          <cell r="BG139">
            <v>64.2</v>
          </cell>
          <cell r="BH139">
            <v>177.4</v>
          </cell>
          <cell r="BI139">
            <v>580.5</v>
          </cell>
          <cell r="BK139">
            <v>29.2</v>
          </cell>
          <cell r="BL139">
            <v>13</v>
          </cell>
          <cell r="BM139">
            <v>42.2</v>
          </cell>
          <cell r="BO139">
            <v>109.1</v>
          </cell>
          <cell r="BP139">
            <v>88.4</v>
          </cell>
          <cell r="BQ139">
            <v>197.5</v>
          </cell>
          <cell r="BS139">
            <v>4</v>
          </cell>
          <cell r="BT139">
            <v>201.5</v>
          </cell>
          <cell r="BV139">
            <v>0</v>
          </cell>
          <cell r="BX139">
            <v>43.9</v>
          </cell>
          <cell r="BY139">
            <v>2393.2999999999997</v>
          </cell>
          <cell r="BZ139">
            <v>167.8</v>
          </cell>
          <cell r="CA139">
            <v>2561.1</v>
          </cell>
        </row>
        <row r="140">
          <cell r="A140" t="str">
            <v xml:space="preserve"> 2QA</v>
          </cell>
          <cell r="B140">
            <v>124.6</v>
          </cell>
          <cell r="C140">
            <v>70.3</v>
          </cell>
          <cell r="D140">
            <v>194.89999999999998</v>
          </cell>
          <cell r="F140">
            <v>632.9</v>
          </cell>
          <cell r="G140">
            <v>273.89999999999998</v>
          </cell>
          <cell r="H140">
            <v>906.8</v>
          </cell>
          <cell r="J140">
            <v>21.6</v>
          </cell>
          <cell r="L140">
            <v>38.700000000000003</v>
          </cell>
          <cell r="R140">
            <v>1161.9999999999998</v>
          </cell>
          <cell r="T140" t="str">
            <v xml:space="preserve"> 2QA</v>
          </cell>
          <cell r="U140">
            <v>0</v>
          </cell>
          <cell r="V140">
            <v>44.1</v>
          </cell>
          <cell r="W140">
            <v>44.1</v>
          </cell>
          <cell r="Y140">
            <v>2.2000000000000002</v>
          </cell>
          <cell r="Z140">
            <v>16.3</v>
          </cell>
          <cell r="AA140">
            <v>43.7</v>
          </cell>
          <cell r="AB140">
            <v>36.4</v>
          </cell>
          <cell r="AD140">
            <v>142.70000000000002</v>
          </cell>
          <cell r="AF140">
            <v>11.5</v>
          </cell>
          <cell r="AG140">
            <v>101</v>
          </cell>
          <cell r="AI140">
            <v>20.9</v>
          </cell>
          <cell r="AJ140">
            <v>1.7</v>
          </cell>
          <cell r="AK140">
            <v>22.6</v>
          </cell>
          <cell r="AM140">
            <v>139.4</v>
          </cell>
          <cell r="AN140">
            <v>48.8</v>
          </cell>
          <cell r="AO140">
            <v>188.2</v>
          </cell>
          <cell r="AU140" t="str">
            <v xml:space="preserve"> 2QA</v>
          </cell>
          <cell r="AV140">
            <v>82.6</v>
          </cell>
          <cell r="AX140">
            <v>133.69999999999999</v>
          </cell>
          <cell r="AY140">
            <v>123.9</v>
          </cell>
          <cell r="AZ140">
            <v>257.60000000000002</v>
          </cell>
          <cell r="BB140">
            <v>140.4</v>
          </cell>
          <cell r="BD140">
            <v>12</v>
          </cell>
          <cell r="BF140">
            <v>129.19999999999999</v>
          </cell>
          <cell r="BG140">
            <v>75.5</v>
          </cell>
          <cell r="BH140">
            <v>204.7</v>
          </cell>
          <cell r="BI140">
            <v>697.3</v>
          </cell>
          <cell r="BK140">
            <v>1.9</v>
          </cell>
          <cell r="BL140">
            <v>27.2</v>
          </cell>
          <cell r="BM140">
            <v>29.099999999999998</v>
          </cell>
          <cell r="BO140">
            <v>129.4</v>
          </cell>
          <cell r="BP140">
            <v>89.7</v>
          </cell>
          <cell r="BQ140">
            <v>219.10000000000002</v>
          </cell>
          <cell r="BS140">
            <v>3.7</v>
          </cell>
          <cell r="BT140">
            <v>222.8</v>
          </cell>
          <cell r="BV140">
            <v>0</v>
          </cell>
          <cell r="BX140">
            <v>35.580000000000005</v>
          </cell>
          <cell r="BY140">
            <v>2612.7799999999997</v>
          </cell>
          <cell r="BZ140">
            <v>162.4</v>
          </cell>
          <cell r="CA140">
            <v>2775.18</v>
          </cell>
        </row>
        <row r="141">
          <cell r="A141" t="str">
            <v xml:space="preserve"> 3QA</v>
          </cell>
          <cell r="B141">
            <v>119.3</v>
          </cell>
          <cell r="C141">
            <v>70.599999999999994</v>
          </cell>
          <cell r="D141">
            <v>189.89999999999998</v>
          </cell>
          <cell r="F141">
            <v>683.2</v>
          </cell>
          <cell r="G141">
            <v>290.8</v>
          </cell>
          <cell r="H141">
            <v>974</v>
          </cell>
          <cell r="J141">
            <v>0</v>
          </cell>
          <cell r="L141">
            <v>40.6</v>
          </cell>
          <cell r="R141">
            <v>1204.5</v>
          </cell>
          <cell r="T141" t="str">
            <v xml:space="preserve"> 3QA</v>
          </cell>
          <cell r="U141">
            <v>0.1</v>
          </cell>
          <cell r="V141">
            <v>42.5</v>
          </cell>
          <cell r="W141">
            <v>42.6</v>
          </cell>
          <cell r="Y141">
            <v>0.5</v>
          </cell>
          <cell r="Z141">
            <v>16.7</v>
          </cell>
          <cell r="AA141">
            <v>31.4</v>
          </cell>
          <cell r="AB141">
            <v>33.4</v>
          </cell>
          <cell r="AD141">
            <v>124.6</v>
          </cell>
          <cell r="AF141">
            <v>10.199999999999999</v>
          </cell>
          <cell r="AG141">
            <v>92.4</v>
          </cell>
          <cell r="AI141">
            <v>19.600000000000001</v>
          </cell>
          <cell r="AJ141">
            <v>1.5</v>
          </cell>
          <cell r="AK141">
            <v>21.1</v>
          </cell>
          <cell r="AM141">
            <v>166.1</v>
          </cell>
          <cell r="AN141">
            <v>51.3</v>
          </cell>
          <cell r="AO141">
            <v>217.39999999999998</v>
          </cell>
          <cell r="AU141" t="str">
            <v xml:space="preserve"> 3QA</v>
          </cell>
          <cell r="AV141">
            <v>83.2</v>
          </cell>
          <cell r="AX141">
            <v>129.80000000000001</v>
          </cell>
          <cell r="AY141">
            <v>127.6</v>
          </cell>
          <cell r="AZ141">
            <v>257.39999999999998</v>
          </cell>
          <cell r="BB141">
            <v>81.7</v>
          </cell>
          <cell r="BD141">
            <v>18.100000000000001</v>
          </cell>
          <cell r="BF141">
            <v>133.69999999999999</v>
          </cell>
          <cell r="BG141">
            <v>80.400000000000006</v>
          </cell>
          <cell r="BH141">
            <v>214.1</v>
          </cell>
          <cell r="BI141">
            <v>654.5</v>
          </cell>
          <cell r="BK141">
            <v>13.5</v>
          </cell>
          <cell r="BL141">
            <v>11.7</v>
          </cell>
          <cell r="BM141">
            <v>25.2</v>
          </cell>
          <cell r="BO141">
            <v>93.2</v>
          </cell>
          <cell r="BP141">
            <v>104</v>
          </cell>
          <cell r="BQ141">
            <v>197.2</v>
          </cell>
          <cell r="BS141">
            <v>6.6</v>
          </cell>
          <cell r="BT141">
            <v>203.79999999999998</v>
          </cell>
          <cell r="BV141">
            <v>0</v>
          </cell>
          <cell r="BX141">
            <v>64.300000000000011</v>
          </cell>
          <cell r="BY141">
            <v>2618</v>
          </cell>
          <cell r="BZ141">
            <v>167.6</v>
          </cell>
          <cell r="CA141">
            <v>2785.6</v>
          </cell>
        </row>
        <row r="142">
          <cell r="A142" t="str">
            <v xml:space="preserve"> 4QA</v>
          </cell>
          <cell r="B142">
            <v>97.800000000000011</v>
          </cell>
          <cell r="C142">
            <v>65</v>
          </cell>
          <cell r="D142">
            <v>162.80000000000001</v>
          </cell>
          <cell r="F142">
            <v>661.6</v>
          </cell>
          <cell r="G142">
            <v>327.2</v>
          </cell>
          <cell r="H142">
            <v>988.8</v>
          </cell>
          <cell r="J142">
            <v>0</v>
          </cell>
          <cell r="L142">
            <v>42</v>
          </cell>
          <cell r="N142">
            <v>2.6</v>
          </cell>
          <cell r="O142">
            <v>0</v>
          </cell>
          <cell r="P142">
            <v>2.6</v>
          </cell>
          <cell r="R142">
            <v>1196.1999999999998</v>
          </cell>
          <cell r="T142" t="str">
            <v xml:space="preserve"> 4QA</v>
          </cell>
          <cell r="U142">
            <v>0.1</v>
          </cell>
          <cell r="V142">
            <v>50.5</v>
          </cell>
          <cell r="W142">
            <v>50.6</v>
          </cell>
          <cell r="Y142">
            <v>2.2999999999999998</v>
          </cell>
          <cell r="Z142">
            <v>22.5</v>
          </cell>
          <cell r="AA142">
            <v>26.3</v>
          </cell>
          <cell r="AB142">
            <v>36.9</v>
          </cell>
          <cell r="AD142">
            <v>138.6</v>
          </cell>
          <cell r="AF142">
            <v>12.8</v>
          </cell>
          <cell r="AG142">
            <v>98.9</v>
          </cell>
          <cell r="AI142">
            <v>26.9</v>
          </cell>
          <cell r="AJ142">
            <v>7.6</v>
          </cell>
          <cell r="AK142">
            <v>34.5</v>
          </cell>
          <cell r="AM142">
            <v>181.1</v>
          </cell>
          <cell r="AN142">
            <v>57.3</v>
          </cell>
          <cell r="AO142">
            <v>238.39999999999998</v>
          </cell>
          <cell r="AU142" t="str">
            <v xml:space="preserve"> 4QA</v>
          </cell>
          <cell r="AV142">
            <v>85.9</v>
          </cell>
          <cell r="AX142">
            <v>124.8</v>
          </cell>
          <cell r="AY142">
            <v>129.69999999999999</v>
          </cell>
          <cell r="AZ142">
            <v>254.5</v>
          </cell>
          <cell r="BB142">
            <v>96.2</v>
          </cell>
          <cell r="BD142">
            <v>10.5</v>
          </cell>
          <cell r="BF142">
            <v>152.19999999999999</v>
          </cell>
          <cell r="BG142">
            <v>85.8</v>
          </cell>
          <cell r="BH142">
            <v>238</v>
          </cell>
          <cell r="BI142">
            <v>685.09999999999991</v>
          </cell>
          <cell r="BK142">
            <v>-0.3</v>
          </cell>
          <cell r="BL142">
            <v>16.5</v>
          </cell>
          <cell r="BM142">
            <v>16.2</v>
          </cell>
          <cell r="BO142">
            <v>150.5</v>
          </cell>
          <cell r="BP142">
            <v>110.4</v>
          </cell>
          <cell r="BQ142">
            <v>260.89999999999998</v>
          </cell>
          <cell r="BS142">
            <v>4.2</v>
          </cell>
          <cell r="BT142">
            <v>265.09999999999997</v>
          </cell>
          <cell r="BV142">
            <v>0</v>
          </cell>
          <cell r="BX142">
            <v>68.400000000000006</v>
          </cell>
          <cell r="BY142">
            <v>2759.6999999999994</v>
          </cell>
          <cell r="BZ142">
            <v>195.9</v>
          </cell>
          <cell r="CA142">
            <v>2955.5999999999995</v>
          </cell>
        </row>
        <row r="144">
          <cell r="A144" t="str">
            <v>Year A</v>
          </cell>
          <cell r="B144">
            <v>451.7</v>
          </cell>
          <cell r="C144">
            <v>282.10000000000002</v>
          </cell>
          <cell r="D144">
            <v>733.8</v>
          </cell>
          <cell r="F144">
            <v>2532.8000000000002</v>
          </cell>
          <cell r="G144">
            <v>1156.2</v>
          </cell>
          <cell r="H144">
            <v>3689</v>
          </cell>
          <cell r="J144">
            <v>36.400000000000006</v>
          </cell>
          <cell r="L144">
            <v>151.9</v>
          </cell>
          <cell r="N144">
            <v>2.6</v>
          </cell>
          <cell r="O144">
            <v>0</v>
          </cell>
          <cell r="P144">
            <v>2.6</v>
          </cell>
          <cell r="R144">
            <v>4613.7</v>
          </cell>
          <cell r="T144" t="str">
            <v>Year A</v>
          </cell>
          <cell r="U144">
            <v>0.7</v>
          </cell>
          <cell r="V144">
            <v>196.7</v>
          </cell>
          <cell r="W144">
            <v>197.39999999999998</v>
          </cell>
          <cell r="Y144">
            <v>8.8999999999999986</v>
          </cell>
          <cell r="Z144">
            <v>74.600000000000009</v>
          </cell>
          <cell r="AA144">
            <v>144.80000000000001</v>
          </cell>
          <cell r="AB144">
            <v>151.5</v>
          </cell>
          <cell r="AD144">
            <v>577.20000000000005</v>
          </cell>
          <cell r="AF144">
            <v>45.8</v>
          </cell>
          <cell r="AG144">
            <v>384</v>
          </cell>
          <cell r="AI144">
            <v>89.3</v>
          </cell>
          <cell r="AJ144">
            <v>10.899999999999999</v>
          </cell>
          <cell r="AK144">
            <v>100.19999999999999</v>
          </cell>
          <cell r="AM144">
            <v>626.1</v>
          </cell>
          <cell r="AN144">
            <v>195.8</v>
          </cell>
          <cell r="AO144">
            <v>821.90000000000009</v>
          </cell>
          <cell r="AU144" t="str">
            <v>Year A</v>
          </cell>
          <cell r="AV144">
            <v>329.29999999999995</v>
          </cell>
          <cell r="AX144">
            <v>515.4</v>
          </cell>
          <cell r="AY144">
            <v>488.59999999999997</v>
          </cell>
          <cell r="AZ144">
            <v>1004</v>
          </cell>
          <cell r="BB144">
            <v>392.09999999999997</v>
          </cell>
          <cell r="BD144">
            <v>57.8</v>
          </cell>
          <cell r="BF144">
            <v>528.29999999999995</v>
          </cell>
          <cell r="BG144">
            <v>305.89999999999998</v>
          </cell>
          <cell r="BH144">
            <v>834.19999999999993</v>
          </cell>
          <cell r="BI144">
            <v>2617.3999999999996</v>
          </cell>
          <cell r="BK144">
            <v>44.3</v>
          </cell>
          <cell r="BL144">
            <v>68.400000000000006</v>
          </cell>
          <cell r="BM144">
            <v>112.7</v>
          </cell>
          <cell r="BO144">
            <v>482.2</v>
          </cell>
          <cell r="BP144">
            <v>392.5</v>
          </cell>
          <cell r="BQ144">
            <v>874.7</v>
          </cell>
          <cell r="BS144">
            <v>18.5</v>
          </cell>
          <cell r="BT144">
            <v>893.2</v>
          </cell>
          <cell r="BV144">
            <v>0</v>
          </cell>
          <cell r="BX144">
            <v>212.18000000000004</v>
          </cell>
          <cell r="BY144">
            <v>10383.779999999999</v>
          </cell>
          <cell r="BZ144">
            <v>693.7</v>
          </cell>
          <cell r="CA144">
            <v>11077.48</v>
          </cell>
        </row>
        <row r="146">
          <cell r="A146" t="str">
            <v>2003E/02</v>
          </cell>
          <cell r="T146" t="str">
            <v>2003E/02</v>
          </cell>
          <cell r="AU146" t="str">
            <v>2003E/02</v>
          </cell>
        </row>
        <row r="147">
          <cell r="A147" t="str">
            <v xml:space="preserve"> 1QE</v>
          </cell>
          <cell r="B147">
            <v>-0.3</v>
          </cell>
          <cell r="C147">
            <v>-0.18</v>
          </cell>
          <cell r="D147">
            <v>-0.25089151450053693</v>
          </cell>
          <cell r="F147">
            <v>0.2</v>
          </cell>
          <cell r="G147">
            <v>0.2</v>
          </cell>
          <cell r="H147">
            <v>0.19999999999999973</v>
          </cell>
          <cell r="J147" t="str">
            <v>NM</v>
          </cell>
          <cell r="L147">
            <v>-0.03</v>
          </cell>
          <cell r="N147" t="str">
            <v>NM</v>
          </cell>
          <cell r="O147" t="str">
            <v>NM</v>
          </cell>
          <cell r="P147" t="str">
            <v>NM</v>
          </cell>
          <cell r="T147" t="str">
            <v xml:space="preserve"> 1QE</v>
          </cell>
          <cell r="U147">
            <v>-1</v>
          </cell>
          <cell r="V147">
            <v>-0.12</v>
          </cell>
          <cell r="W147">
            <v>-0.12732113144758739</v>
          </cell>
          <cell r="Y147">
            <v>-0.25</v>
          </cell>
          <cell r="Z147">
            <v>-0.2</v>
          </cell>
          <cell r="AA147">
            <v>-0.1</v>
          </cell>
          <cell r="AB147">
            <v>-0.2</v>
          </cell>
          <cell r="AD147">
            <v>-0.15030356100408648</v>
          </cell>
          <cell r="AF147">
            <v>-0.08</v>
          </cell>
          <cell r="AG147">
            <v>-0.05</v>
          </cell>
          <cell r="AI147">
            <v>0.3</v>
          </cell>
          <cell r="AJ147" t="str">
            <v>NM</v>
          </cell>
          <cell r="AK147">
            <v>0.74863636363636354</v>
          </cell>
          <cell r="AM147">
            <v>7.0000000000000007E-2</v>
          </cell>
          <cell r="AN147">
            <v>0.45</v>
          </cell>
          <cell r="AO147">
            <v>0.15202360876897147</v>
          </cell>
          <cell r="AU147" t="str">
            <v xml:space="preserve"> 1QE</v>
          </cell>
          <cell r="AV147">
            <v>7.0000000000000007E-2</v>
          </cell>
          <cell r="AX147">
            <v>-0.1</v>
          </cell>
          <cell r="AY147">
            <v>0.05</v>
          </cell>
          <cell r="AZ147">
            <v>-3.130063965884855E-2</v>
          </cell>
          <cell r="BB147">
            <v>0.2</v>
          </cell>
          <cell r="BD147">
            <v>-0.2</v>
          </cell>
          <cell r="BF147">
            <v>0.25</v>
          </cell>
          <cell r="BG147">
            <v>0.28000000000000003</v>
          </cell>
          <cell r="BH147">
            <v>0.26085682074408112</v>
          </cell>
          <cell r="BI147">
            <v>9.5931093884582319E-2</v>
          </cell>
          <cell r="BK147">
            <v>-0.9</v>
          </cell>
          <cell r="BL147">
            <v>0.2</v>
          </cell>
          <cell r="BM147">
            <v>-0.56113744075829386</v>
          </cell>
          <cell r="BO147">
            <v>-0.05</v>
          </cell>
          <cell r="BP147">
            <v>0.12</v>
          </cell>
          <cell r="BQ147">
            <v>2.6091139240506322E-2</v>
          </cell>
          <cell r="BS147">
            <v>0</v>
          </cell>
          <cell r="BT147">
            <v>2.5573200992556E-2</v>
          </cell>
          <cell r="BV147" t="str">
            <v>NM</v>
          </cell>
          <cell r="BX147">
            <v>0.45</v>
          </cell>
          <cell r="BY147">
            <v>9.4280282455187603E-2</v>
          </cell>
          <cell r="BZ147">
            <v>-0.05</v>
          </cell>
          <cell r="CA147">
            <v>8.4827222677755776E-2</v>
          </cell>
        </row>
        <row r="148">
          <cell r="A148" t="str">
            <v xml:space="preserve"> 2QE</v>
          </cell>
          <cell r="B148">
            <v>-0.5</v>
          </cell>
          <cell r="C148">
            <v>-0.12</v>
          </cell>
          <cell r="D148">
            <v>-0.3629348383786557</v>
          </cell>
          <cell r="F148">
            <v>0.12</v>
          </cell>
          <cell r="G148">
            <v>0.19</v>
          </cell>
          <cell r="H148">
            <v>0.14114358182620212</v>
          </cell>
          <cell r="J148" t="str">
            <v>NM</v>
          </cell>
          <cell r="L148">
            <v>-0.03</v>
          </cell>
          <cell r="N148" t="str">
            <v>NM</v>
          </cell>
          <cell r="O148" t="str">
            <v>NM</v>
          </cell>
          <cell r="P148" t="str">
            <v>NM</v>
          </cell>
          <cell r="T148" t="str">
            <v xml:space="preserve"> 2QE</v>
          </cell>
          <cell r="U148">
            <v>-1</v>
          </cell>
          <cell r="V148">
            <v>0</v>
          </cell>
          <cell r="W148">
            <v>0</v>
          </cell>
          <cell r="Y148">
            <v>-0.1</v>
          </cell>
          <cell r="Z148">
            <v>-0.05</v>
          </cell>
          <cell r="AA148">
            <v>-0.15</v>
          </cell>
          <cell r="AB148">
            <v>-0.12</v>
          </cell>
          <cell r="AD148">
            <v>-8.3798177995795364E-2</v>
          </cell>
          <cell r="AF148">
            <v>-0.08</v>
          </cell>
          <cell r="AG148">
            <v>-0.18</v>
          </cell>
          <cell r="AI148">
            <v>0.5</v>
          </cell>
          <cell r="AJ148" t="str">
            <v>NM</v>
          </cell>
          <cell r="AK148">
            <v>0.82964601769911472</v>
          </cell>
          <cell r="AM148">
            <v>0.2</v>
          </cell>
          <cell r="AN148">
            <v>0.2</v>
          </cell>
          <cell r="AO148">
            <v>0.20000000000000018</v>
          </cell>
          <cell r="AU148" t="str">
            <v xml:space="preserve"> 2QE</v>
          </cell>
          <cell r="AV148">
            <v>0.05</v>
          </cell>
          <cell r="AX148">
            <v>-0.1</v>
          </cell>
          <cell r="AY148">
            <v>-0.05</v>
          </cell>
          <cell r="AZ148">
            <v>-7.5951086956521863E-2</v>
          </cell>
          <cell r="BB148">
            <v>7.0000000000000007E-2</v>
          </cell>
          <cell r="BD148">
            <v>0</v>
          </cell>
          <cell r="BF148">
            <v>0.22</v>
          </cell>
          <cell r="BG148">
            <v>0.14000000000000001</v>
          </cell>
          <cell r="BH148">
            <v>0.1904934049829019</v>
          </cell>
          <cell r="BI148">
            <v>4.788039581241943E-2</v>
          </cell>
          <cell r="BK148">
            <v>-0.9</v>
          </cell>
          <cell r="BL148">
            <v>-0.3</v>
          </cell>
          <cell r="BM148">
            <v>-0.33917525773195867</v>
          </cell>
          <cell r="BO148">
            <v>0.08</v>
          </cell>
          <cell r="BP148">
            <v>0.2</v>
          </cell>
          <cell r="BQ148">
            <v>0.12912825193975341</v>
          </cell>
          <cell r="BS148">
            <v>0</v>
          </cell>
          <cell r="BT148">
            <v>0.12698384201077184</v>
          </cell>
          <cell r="BV148" t="str">
            <v>NM</v>
          </cell>
          <cell r="BX148">
            <v>0.4</v>
          </cell>
          <cell r="BY148">
            <v>6.7309532375477321E-2</v>
          </cell>
          <cell r="BZ148">
            <v>0.05</v>
          </cell>
          <cell r="CA148">
            <v>6.6296600580863174E-2</v>
          </cell>
        </row>
        <row r="149">
          <cell r="A149" t="str">
            <v xml:space="preserve"> 3QE</v>
          </cell>
          <cell r="B149">
            <v>-0.5</v>
          </cell>
          <cell r="C149">
            <v>-0.12</v>
          </cell>
          <cell r="D149">
            <v>-0.35872564507635596</v>
          </cell>
          <cell r="F149">
            <v>0.08</v>
          </cell>
          <cell r="G149">
            <v>0.15</v>
          </cell>
          <cell r="H149">
            <v>0.10089938398357301</v>
          </cell>
          <cell r="J149" t="str">
            <v>NM</v>
          </cell>
          <cell r="L149">
            <v>-0.03</v>
          </cell>
          <cell r="N149" t="str">
            <v>NM</v>
          </cell>
          <cell r="O149" t="str">
            <v>NM</v>
          </cell>
          <cell r="P149" t="str">
            <v>NM</v>
          </cell>
          <cell r="T149" t="str">
            <v xml:space="preserve"> 3QE</v>
          </cell>
          <cell r="U149">
            <v>-1</v>
          </cell>
          <cell r="V149">
            <v>0</v>
          </cell>
          <cell r="W149">
            <v>-2.3474178403756207E-3</v>
          </cell>
          <cell r="Y149">
            <v>2</v>
          </cell>
          <cell r="Z149">
            <v>0</v>
          </cell>
          <cell r="AA149">
            <v>-0.15</v>
          </cell>
          <cell r="AB149">
            <v>-0.05</v>
          </cell>
          <cell r="AD149">
            <v>-4.398073836276073E-2</v>
          </cell>
          <cell r="AF149">
            <v>-0.08</v>
          </cell>
          <cell r="AG149">
            <v>-0.15</v>
          </cell>
          <cell r="AI149">
            <v>0.65</v>
          </cell>
          <cell r="AJ149" t="str">
            <v>NM</v>
          </cell>
          <cell r="AK149">
            <v>1.1014218009478673</v>
          </cell>
          <cell r="AM149">
            <v>0.08</v>
          </cell>
          <cell r="AN149">
            <v>0.25</v>
          </cell>
          <cell r="AO149">
            <v>0.12011499540018411</v>
          </cell>
          <cell r="AU149" t="str">
            <v xml:space="preserve"> 3QE</v>
          </cell>
          <cell r="AV149">
            <v>0.05</v>
          </cell>
          <cell r="AX149">
            <v>-0.1</v>
          </cell>
          <cell r="AY149">
            <v>-0.05</v>
          </cell>
          <cell r="AZ149">
            <v>-7.5213675213675169E-2</v>
          </cell>
          <cell r="BB149">
            <v>0.18</v>
          </cell>
          <cell r="BD149">
            <v>-0.15</v>
          </cell>
          <cell r="BF149">
            <v>0.22</v>
          </cell>
          <cell r="BG149">
            <v>0.15</v>
          </cell>
          <cell r="BH149">
            <v>0.19371321812237263</v>
          </cell>
          <cell r="BI149">
            <v>5.8464476699770618E-2</v>
          </cell>
          <cell r="BK149">
            <v>-0.9</v>
          </cell>
          <cell r="BL149">
            <v>0.2</v>
          </cell>
          <cell r="BM149">
            <v>-0.38928571428571435</v>
          </cell>
          <cell r="BO149">
            <v>0.34</v>
          </cell>
          <cell r="BP149">
            <v>0.13</v>
          </cell>
          <cell r="BQ149">
            <v>0.22924949290060859</v>
          </cell>
          <cell r="BS149">
            <v>-0.05</v>
          </cell>
          <cell r="BT149">
            <v>0.22020608439646727</v>
          </cell>
          <cell r="BV149" t="str">
            <v>NM</v>
          </cell>
          <cell r="BX149">
            <v>0.08</v>
          </cell>
          <cell r="BY149">
            <v>7.8919022154316121E-2</v>
          </cell>
          <cell r="BZ149">
            <v>0.05</v>
          </cell>
          <cell r="CA149">
            <v>7.7179063756461774E-2</v>
          </cell>
        </row>
        <row r="150">
          <cell r="A150" t="str">
            <v xml:space="preserve"> 4QE</v>
          </cell>
          <cell r="B150">
            <v>-0.49401840490797566</v>
          </cell>
          <cell r="C150">
            <v>-4.9661538461538202E-2</v>
          </cell>
          <cell r="D150">
            <v>-0.31660319410319415</v>
          </cell>
          <cell r="F150">
            <v>0.15160822249093098</v>
          </cell>
          <cell r="G150">
            <v>7.6127750611247436E-2</v>
          </cell>
          <cell r="H150">
            <v>0.12663127022653731</v>
          </cell>
          <cell r="J150" t="str">
            <v>NM</v>
          </cell>
          <cell r="L150">
            <v>-2.9999999999999805E-2</v>
          </cell>
          <cell r="N150" t="str">
            <v>NM</v>
          </cell>
          <cell r="O150" t="str">
            <v>NM</v>
          </cell>
          <cell r="P150" t="str">
            <v>NM</v>
          </cell>
          <cell r="T150" t="str">
            <v xml:space="preserve"> 4QE</v>
          </cell>
          <cell r="U150">
            <v>-1</v>
          </cell>
          <cell r="V150">
            <v>2.477227722772235E-2</v>
          </cell>
          <cell r="W150">
            <v>2.2747035573122076E-2</v>
          </cell>
          <cell r="Y150">
            <v>-0.30217391304347918</v>
          </cell>
          <cell r="Z150">
            <v>-0.12555555555555509</v>
          </cell>
          <cell r="AA150">
            <v>-0.23250950570342199</v>
          </cell>
          <cell r="AB150">
            <v>-8.6233062330622778E-2</v>
          </cell>
          <cell r="AD150">
            <v>-8.4170274170274006E-2</v>
          </cell>
          <cell r="AF150">
            <v>-8.0000000000000293E-2</v>
          </cell>
          <cell r="AG150">
            <v>-0.21208291203235641</v>
          </cell>
          <cell r="AI150">
            <v>0.22156133828996283</v>
          </cell>
          <cell r="AJ150" t="str">
            <v>NM</v>
          </cell>
          <cell r="AK150">
            <v>0.2886956521739128</v>
          </cell>
          <cell r="AM150">
            <v>2.9906129210381494E-2</v>
          </cell>
          <cell r="AN150">
            <v>0.15855148342059322</v>
          </cell>
          <cell r="AO150">
            <v>6.0826342281879553E-2</v>
          </cell>
          <cell r="AU150" t="str">
            <v xml:space="preserve"> 4QE</v>
          </cell>
          <cell r="AV150">
            <v>3.1932479627472699E-2</v>
          </cell>
          <cell r="AX150">
            <v>-0.10000000000000053</v>
          </cell>
          <cell r="AY150">
            <v>-1.9791827293754838E-2</v>
          </cell>
          <cell r="AZ150">
            <v>-5.9123772102161465E-2</v>
          </cell>
          <cell r="BB150">
            <v>0.12140332640332607</v>
          </cell>
          <cell r="BD150">
            <v>3.5714285714285809E-2</v>
          </cell>
          <cell r="BF150">
            <v>0.19768725361366601</v>
          </cell>
          <cell r="BG150">
            <v>0.23979020979020937</v>
          </cell>
          <cell r="BH150">
            <v>0.21286554621848697</v>
          </cell>
          <cell r="BI150">
            <v>7.3583418479053808E-2</v>
          </cell>
          <cell r="BK150">
            <v>-0.90000000000000213</v>
          </cell>
          <cell r="BL150">
            <v>-1.2121212121211866E-2</v>
          </cell>
          <cell r="BM150">
            <v>4.3209876543213177E-3</v>
          </cell>
          <cell r="BO150">
            <v>4.5269102990033172E-2</v>
          </cell>
          <cell r="BP150">
            <v>8.1132246376811379E-2</v>
          </cell>
          <cell r="BQ150">
            <v>6.0444614794940454E-2</v>
          </cell>
          <cell r="BS150">
            <v>7.8571428571428736E-2</v>
          </cell>
          <cell r="BT150">
            <v>6.0731799321010804E-2</v>
          </cell>
          <cell r="BV150" t="str">
            <v>NM</v>
          </cell>
          <cell r="BX150">
            <v>-1.3722222222221969E-2</v>
          </cell>
          <cell r="BY150">
            <v>9.810827263833044E-2</v>
          </cell>
          <cell r="BZ150">
            <v>-4.1398672792240521E-2</v>
          </cell>
          <cell r="CA150">
            <v>8.8861618622276595E-2</v>
          </cell>
        </row>
        <row r="151">
          <cell r="AU151">
            <v>0</v>
          </cell>
        </row>
        <row r="152">
          <cell r="A152" t="str">
            <v xml:space="preserve">2003/02E </v>
          </cell>
          <cell r="B152">
            <v>-0.45</v>
          </cell>
          <cell r="C152">
            <v>-0.12</v>
          </cell>
          <cell r="D152">
            <v>-0.32313573180703187</v>
          </cell>
          <cell r="F152">
            <v>0.13500000000000001</v>
          </cell>
          <cell r="G152">
            <v>0.15</v>
          </cell>
          <cell r="H152">
            <v>0.13970127405801036</v>
          </cell>
          <cell r="J152" t="str">
            <v>NM</v>
          </cell>
          <cell r="L152">
            <v>-0.03</v>
          </cell>
          <cell r="N152" t="str">
            <v>NM</v>
          </cell>
          <cell r="O152" t="str">
            <v>NM</v>
          </cell>
          <cell r="P152" t="str">
            <v>NM</v>
          </cell>
          <cell r="R152">
            <v>8.8797277673017358E-2</v>
          </cell>
          <cell r="T152" t="str">
            <v xml:space="preserve">2003/02E </v>
          </cell>
          <cell r="U152">
            <v>-1</v>
          </cell>
          <cell r="V152">
            <v>-0.03</v>
          </cell>
          <cell r="W152">
            <v>-3.3439716312056736E-2</v>
          </cell>
          <cell r="Y152">
            <v>-0.1</v>
          </cell>
          <cell r="Z152">
            <v>-0.1</v>
          </cell>
          <cell r="AA152">
            <v>-0.15</v>
          </cell>
          <cell r="AB152">
            <v>-0.12</v>
          </cell>
          <cell r="AD152">
            <v>-9.5029452529452718E-2</v>
          </cell>
          <cell r="AF152">
            <v>-0.08</v>
          </cell>
          <cell r="AG152">
            <v>-0.15</v>
          </cell>
          <cell r="AI152">
            <v>0.4</v>
          </cell>
          <cell r="AJ152">
            <v>3</v>
          </cell>
          <cell r="AK152">
            <v>0.68283433133732563</v>
          </cell>
          <cell r="AM152">
            <v>0.09</v>
          </cell>
          <cell r="AN152">
            <v>0.25</v>
          </cell>
          <cell r="AO152">
            <v>0.12811655919211579</v>
          </cell>
          <cell r="AU152" t="str">
            <v xml:space="preserve">2003/02E </v>
          </cell>
          <cell r="AV152">
            <v>0.05</v>
          </cell>
          <cell r="AX152">
            <v>-0.1</v>
          </cell>
          <cell r="AY152">
            <v>-0.02</v>
          </cell>
          <cell r="AZ152">
            <v>-6.1067729083665465E-2</v>
          </cell>
          <cell r="BB152">
            <v>0.13</v>
          </cell>
          <cell r="BD152">
            <v>-0.1</v>
          </cell>
          <cell r="BF152">
            <v>0.22</v>
          </cell>
          <cell r="BG152">
            <v>0.2</v>
          </cell>
          <cell r="BH152">
            <v>0.21266602733157525</v>
          </cell>
          <cell r="BI152">
            <v>6.7911668067548114E-2</v>
          </cell>
          <cell r="BK152">
            <v>-0.9</v>
          </cell>
          <cell r="BL152">
            <v>-0.05</v>
          </cell>
          <cell r="BM152">
            <v>-0.384117125110914</v>
          </cell>
          <cell r="BO152">
            <v>0.09</v>
          </cell>
          <cell r="BP152">
            <v>0.13</v>
          </cell>
          <cell r="BQ152">
            <v>0.10794901108951627</v>
          </cell>
          <cell r="BS152">
            <v>0</v>
          </cell>
          <cell r="BT152">
            <v>0.1057131661442005</v>
          </cell>
          <cell r="BV152" t="str">
            <v>NM</v>
          </cell>
          <cell r="BX152">
            <v>0.18</v>
          </cell>
          <cell r="BY152">
            <v>8.4638291643313004E-2</v>
          </cell>
          <cell r="BZ152">
            <v>0</v>
          </cell>
          <cell r="CA152">
            <v>7.9338026338120274E-2</v>
          </cell>
        </row>
        <row r="153">
          <cell r="AU153">
            <v>0</v>
          </cell>
        </row>
        <row r="154">
          <cell r="A154" t="str">
            <v>2003E</v>
          </cell>
          <cell r="T154" t="str">
            <v>2003E</v>
          </cell>
          <cell r="AU154" t="str">
            <v>2003E</v>
          </cell>
        </row>
        <row r="155">
          <cell r="A155" t="str">
            <v xml:space="preserve"> 1QE</v>
          </cell>
          <cell r="B155">
            <v>77</v>
          </cell>
          <cell r="C155">
            <v>62.484000000000009</v>
          </cell>
          <cell r="D155">
            <v>139.48400000000001</v>
          </cell>
          <cell r="F155">
            <v>666.12</v>
          </cell>
          <cell r="G155">
            <v>317.16000000000003</v>
          </cell>
          <cell r="H155">
            <v>983.28</v>
          </cell>
          <cell r="J155">
            <v>0</v>
          </cell>
          <cell r="L155">
            <v>29.682000000000002</v>
          </cell>
          <cell r="N155">
            <v>40</v>
          </cell>
          <cell r="O155">
            <v>0</v>
          </cell>
          <cell r="P155">
            <v>40</v>
          </cell>
          <cell r="R155">
            <v>1192.4459999999999</v>
          </cell>
          <cell r="T155" t="str">
            <v xml:space="preserve"> 1QE</v>
          </cell>
          <cell r="U155">
            <v>0</v>
          </cell>
          <cell r="V155">
            <v>52.448</v>
          </cell>
          <cell r="W155">
            <v>52.448</v>
          </cell>
          <cell r="Y155">
            <v>2.9249999999999998</v>
          </cell>
          <cell r="Z155">
            <v>15.280000000000001</v>
          </cell>
          <cell r="AA155">
            <v>39.06</v>
          </cell>
          <cell r="AB155">
            <v>35.839999999999996</v>
          </cell>
          <cell r="AD155">
            <v>145.553</v>
          </cell>
          <cell r="AF155">
            <v>10.396000000000001</v>
          </cell>
          <cell r="AG155">
            <v>87.114999999999995</v>
          </cell>
          <cell r="AI155">
            <v>28.47</v>
          </cell>
          <cell r="AJ155">
            <v>10</v>
          </cell>
          <cell r="AK155">
            <v>38.47</v>
          </cell>
          <cell r="AM155">
            <v>149.26500000000001</v>
          </cell>
          <cell r="AN155">
            <v>55.68</v>
          </cell>
          <cell r="AO155">
            <v>204.94500000000002</v>
          </cell>
          <cell r="AU155" t="str">
            <v xml:space="preserve"> 1QE</v>
          </cell>
          <cell r="AV155">
            <v>83.031999999999996</v>
          </cell>
          <cell r="AX155">
            <v>114.39</v>
          </cell>
          <cell r="AY155">
            <v>112.77000000000001</v>
          </cell>
          <cell r="AZ155">
            <v>227.16000000000003</v>
          </cell>
          <cell r="BB155">
            <v>88.559999999999988</v>
          </cell>
          <cell r="BD155">
            <v>13.76</v>
          </cell>
          <cell r="BF155">
            <v>141.5</v>
          </cell>
          <cell r="BG155">
            <v>82.176000000000002</v>
          </cell>
          <cell r="BH155">
            <v>223.67599999999999</v>
          </cell>
          <cell r="BI155">
            <v>636.18799999999999</v>
          </cell>
          <cell r="BK155">
            <v>2.9199999999999995</v>
          </cell>
          <cell r="BL155">
            <v>15.6</v>
          </cell>
          <cell r="BM155">
            <v>18.52</v>
          </cell>
          <cell r="BO155">
            <v>103.645</v>
          </cell>
          <cell r="BP155">
            <v>99.00800000000001</v>
          </cell>
          <cell r="BQ155">
            <v>202.65300000000002</v>
          </cell>
          <cell r="BS155">
            <v>4</v>
          </cell>
          <cell r="BT155">
            <v>206.65300000000002</v>
          </cell>
          <cell r="BV155">
            <v>0</v>
          </cell>
          <cell r="BX155">
            <v>63.654999999999994</v>
          </cell>
          <cell r="BY155">
            <v>2618.9410000000003</v>
          </cell>
          <cell r="BZ155">
            <v>159.41</v>
          </cell>
          <cell r="CA155">
            <v>2778.3510000000001</v>
          </cell>
        </row>
        <row r="156">
          <cell r="A156" t="str">
            <v xml:space="preserve"> 2QE</v>
          </cell>
          <cell r="B156">
            <v>62.3</v>
          </cell>
          <cell r="C156">
            <v>61.863999999999997</v>
          </cell>
          <cell r="D156">
            <v>124.16399999999999</v>
          </cell>
          <cell r="F156">
            <v>708.84800000000007</v>
          </cell>
          <cell r="G156">
            <v>325.94099999999997</v>
          </cell>
          <cell r="H156">
            <v>1034.789</v>
          </cell>
          <cell r="J156">
            <v>0</v>
          </cell>
          <cell r="L156">
            <v>37.539000000000001</v>
          </cell>
          <cell r="N156">
            <v>35</v>
          </cell>
          <cell r="O156">
            <v>0</v>
          </cell>
          <cell r="P156">
            <v>35</v>
          </cell>
          <cell r="R156">
            <v>1231.492</v>
          </cell>
          <cell r="T156" t="str">
            <v xml:space="preserve"> 2QE</v>
          </cell>
          <cell r="U156">
            <v>0</v>
          </cell>
          <cell r="V156">
            <v>44.1</v>
          </cell>
          <cell r="W156">
            <v>44.1</v>
          </cell>
          <cell r="Y156">
            <v>1.9800000000000002</v>
          </cell>
          <cell r="Z156">
            <v>15.484999999999999</v>
          </cell>
          <cell r="AA156">
            <v>37.145000000000003</v>
          </cell>
          <cell r="AB156">
            <v>32.031999999999996</v>
          </cell>
          <cell r="AD156">
            <v>130.74200000000002</v>
          </cell>
          <cell r="AF156">
            <v>10.58</v>
          </cell>
          <cell r="AG156">
            <v>82.820000000000007</v>
          </cell>
          <cell r="AI156">
            <v>31.349999999999998</v>
          </cell>
          <cell r="AJ156">
            <v>10</v>
          </cell>
          <cell r="AK156">
            <v>41.349999999999994</v>
          </cell>
          <cell r="AM156">
            <v>167.28</v>
          </cell>
          <cell r="AN156">
            <v>58.559999999999995</v>
          </cell>
          <cell r="AO156">
            <v>225.84</v>
          </cell>
          <cell r="AU156" t="str">
            <v xml:space="preserve"> 2QE</v>
          </cell>
          <cell r="AV156">
            <v>86.73</v>
          </cell>
          <cell r="AX156">
            <v>120.33</v>
          </cell>
          <cell r="AY156">
            <v>117.705</v>
          </cell>
          <cell r="AZ156">
            <v>238.035</v>
          </cell>
          <cell r="BB156">
            <v>150.22800000000001</v>
          </cell>
          <cell r="BD156">
            <v>12</v>
          </cell>
          <cell r="BF156">
            <v>157.624</v>
          </cell>
          <cell r="BG156">
            <v>86.070000000000007</v>
          </cell>
          <cell r="BH156">
            <v>243.69400000000002</v>
          </cell>
          <cell r="BI156">
            <v>730.68700000000001</v>
          </cell>
          <cell r="BK156">
            <v>0.18999999999999995</v>
          </cell>
          <cell r="BL156">
            <v>19.04</v>
          </cell>
          <cell r="BM156">
            <v>19.23</v>
          </cell>
          <cell r="BO156">
            <v>139.75200000000001</v>
          </cell>
          <cell r="BP156">
            <v>107.64</v>
          </cell>
          <cell r="BQ156">
            <v>247.392</v>
          </cell>
          <cell r="BS156">
            <v>3.7</v>
          </cell>
          <cell r="BT156">
            <v>251.09199999999998</v>
          </cell>
          <cell r="BV156">
            <v>0</v>
          </cell>
          <cell r="BX156">
            <v>49.812000000000005</v>
          </cell>
          <cell r="BY156">
            <v>2788.6449999999995</v>
          </cell>
          <cell r="BZ156">
            <v>170.52</v>
          </cell>
          <cell r="CA156">
            <v>2959.1649999999995</v>
          </cell>
        </row>
        <row r="157">
          <cell r="A157" t="str">
            <v xml:space="preserve"> 3QE</v>
          </cell>
          <cell r="B157">
            <v>59.65</v>
          </cell>
          <cell r="C157">
            <v>62.127999999999993</v>
          </cell>
          <cell r="D157">
            <v>121.77799999999999</v>
          </cell>
          <cell r="F157">
            <v>737.85600000000011</v>
          </cell>
          <cell r="G157">
            <v>334.41999999999996</v>
          </cell>
          <cell r="H157">
            <v>1072.2760000000001</v>
          </cell>
          <cell r="J157">
            <v>0</v>
          </cell>
          <cell r="L157">
            <v>39.381999999999998</v>
          </cell>
          <cell r="N157">
            <v>45</v>
          </cell>
          <cell r="O157">
            <v>5</v>
          </cell>
          <cell r="P157">
            <v>50</v>
          </cell>
          <cell r="R157">
            <v>1283.4360000000001</v>
          </cell>
          <cell r="T157" t="str">
            <v xml:space="preserve"> 3QE</v>
          </cell>
          <cell r="U157">
            <v>0</v>
          </cell>
          <cell r="V157">
            <v>42.5</v>
          </cell>
          <cell r="W157">
            <v>42.5</v>
          </cell>
          <cell r="Y157">
            <v>1.5</v>
          </cell>
          <cell r="Z157">
            <v>16.7</v>
          </cell>
          <cell r="AA157">
            <v>26.689999999999998</v>
          </cell>
          <cell r="AB157">
            <v>31.729999999999997</v>
          </cell>
          <cell r="AD157">
            <v>119.12</v>
          </cell>
          <cell r="AF157">
            <v>9.3840000000000003</v>
          </cell>
          <cell r="AG157">
            <v>78.540000000000006</v>
          </cell>
          <cell r="AI157">
            <v>32.340000000000003</v>
          </cell>
          <cell r="AJ157">
            <v>12</v>
          </cell>
          <cell r="AK157">
            <v>44.34</v>
          </cell>
          <cell r="AM157">
            <v>179.38800000000001</v>
          </cell>
          <cell r="AN157">
            <v>64.125</v>
          </cell>
          <cell r="AO157">
            <v>243.51300000000001</v>
          </cell>
          <cell r="AU157" t="str">
            <v xml:space="preserve"> 3QE</v>
          </cell>
          <cell r="AV157">
            <v>87.360000000000014</v>
          </cell>
          <cell r="AX157">
            <v>116.82000000000001</v>
          </cell>
          <cell r="AY157">
            <v>121.21999999999998</v>
          </cell>
          <cell r="AZ157">
            <v>238.04</v>
          </cell>
          <cell r="BB157">
            <v>96.405999999999992</v>
          </cell>
          <cell r="BD157">
            <v>15.385000000000002</v>
          </cell>
          <cell r="BF157">
            <v>163.11399999999998</v>
          </cell>
          <cell r="BG157">
            <v>92.46</v>
          </cell>
          <cell r="BH157">
            <v>255.57399999999996</v>
          </cell>
          <cell r="BI157">
            <v>692.76499999999987</v>
          </cell>
          <cell r="BK157">
            <v>1.3499999999999996</v>
          </cell>
          <cell r="BL157">
            <v>14.04</v>
          </cell>
          <cell r="BM157">
            <v>15.389999999999999</v>
          </cell>
          <cell r="BO157">
            <v>124.88800000000001</v>
          </cell>
          <cell r="BP157">
            <v>117.51999999999998</v>
          </cell>
          <cell r="BQ157">
            <v>242.40799999999999</v>
          </cell>
          <cell r="BS157">
            <v>6.27</v>
          </cell>
          <cell r="BT157">
            <v>248.678</v>
          </cell>
          <cell r="BV157">
            <v>0</v>
          </cell>
          <cell r="BX157">
            <v>69.444000000000017</v>
          </cell>
          <cell r="BY157">
            <v>2824.6099999999997</v>
          </cell>
          <cell r="BZ157">
            <v>175.98</v>
          </cell>
          <cell r="CA157">
            <v>3000.5899999999997</v>
          </cell>
        </row>
        <row r="158">
          <cell r="A158" t="str">
            <v xml:space="preserve"> 4QE</v>
          </cell>
          <cell r="B158">
            <v>49.484999999999985</v>
          </cell>
          <cell r="C158">
            <v>61.77200000000002</v>
          </cell>
          <cell r="D158">
            <v>111.25700000000001</v>
          </cell>
          <cell r="F158">
            <v>761.904</v>
          </cell>
          <cell r="G158">
            <v>352.10900000000015</v>
          </cell>
          <cell r="H158">
            <v>1114.0130000000001</v>
          </cell>
          <cell r="J158">
            <v>0</v>
          </cell>
          <cell r="L158">
            <v>40.740000000000009</v>
          </cell>
          <cell r="N158">
            <v>45</v>
          </cell>
          <cell r="O158">
            <v>5</v>
          </cell>
          <cell r="P158">
            <v>50</v>
          </cell>
          <cell r="R158">
            <v>1316.0100000000002</v>
          </cell>
          <cell r="T158" t="str">
            <v xml:space="preserve"> 4QE</v>
          </cell>
          <cell r="U158">
            <v>0</v>
          </cell>
          <cell r="V158">
            <v>51.750999999999976</v>
          </cell>
          <cell r="W158">
            <v>51.750999999999976</v>
          </cell>
          <cell r="Y158">
            <v>1.6049999999999978</v>
          </cell>
          <cell r="Z158">
            <v>19.675000000000011</v>
          </cell>
          <cell r="AA158">
            <v>20.185000000000002</v>
          </cell>
          <cell r="AB158">
            <v>33.718000000000018</v>
          </cell>
          <cell r="AD158">
            <v>126.93400000000001</v>
          </cell>
          <cell r="AF158">
            <v>11.775999999999996</v>
          </cell>
          <cell r="AG158">
            <v>77.924999999999955</v>
          </cell>
          <cell r="AI158">
            <v>32.86</v>
          </cell>
          <cell r="AJ158">
            <v>11.599999999999994</v>
          </cell>
          <cell r="AK158">
            <v>44.459999999999994</v>
          </cell>
          <cell r="AM158">
            <v>186.51600000000008</v>
          </cell>
          <cell r="AN158">
            <v>66.384999999999991</v>
          </cell>
          <cell r="AO158">
            <v>252.90100000000007</v>
          </cell>
          <cell r="AU158" t="str">
            <v xml:space="preserve"> 4QE</v>
          </cell>
          <cell r="AV158">
            <v>88.642999999999915</v>
          </cell>
          <cell r="AX158">
            <v>112.31999999999994</v>
          </cell>
          <cell r="AY158">
            <v>127.13299999999998</v>
          </cell>
          <cell r="AZ158">
            <v>239.45299999999992</v>
          </cell>
          <cell r="BB158">
            <v>107.87899999999996</v>
          </cell>
          <cell r="BD158">
            <v>10.875</v>
          </cell>
          <cell r="BF158">
            <v>182.28799999999995</v>
          </cell>
          <cell r="BG158">
            <v>106.37399999999997</v>
          </cell>
          <cell r="BH158">
            <v>288.66199999999992</v>
          </cell>
          <cell r="BI158">
            <v>735.51199999999972</v>
          </cell>
          <cell r="BK158">
            <v>-2.9999999999999361E-2</v>
          </cell>
          <cell r="BL158">
            <v>16.300000000000004</v>
          </cell>
          <cell r="BM158">
            <v>16.270000000000003</v>
          </cell>
          <cell r="BO158">
            <v>157.31299999999999</v>
          </cell>
          <cell r="BP158">
            <v>119.35699999999997</v>
          </cell>
          <cell r="BQ158">
            <v>276.66999999999996</v>
          </cell>
          <cell r="BS158">
            <v>4.5300000000000011</v>
          </cell>
          <cell r="BT158">
            <v>281.19999999999993</v>
          </cell>
          <cell r="BV158">
            <v>75</v>
          </cell>
          <cell r="BX158">
            <v>67.461400000000026</v>
          </cell>
          <cell r="BY158">
            <v>3030.4494</v>
          </cell>
          <cell r="BZ158">
            <v>187.79000000000008</v>
          </cell>
          <cell r="CA158">
            <v>3218.2393999999999</v>
          </cell>
        </row>
        <row r="160">
          <cell r="A160" t="str">
            <v>2003E</v>
          </cell>
          <cell r="B160">
            <v>248.435</v>
          </cell>
          <cell r="C160">
            <v>248.24800000000002</v>
          </cell>
          <cell r="D160">
            <v>496.68299999999999</v>
          </cell>
          <cell r="F160">
            <v>2874.7280000000001</v>
          </cell>
          <cell r="G160">
            <v>1329.63</v>
          </cell>
          <cell r="H160">
            <v>4204.3580000000002</v>
          </cell>
          <cell r="J160">
            <v>0</v>
          </cell>
          <cell r="L160">
            <v>147.34300000000002</v>
          </cell>
          <cell r="N160">
            <v>165</v>
          </cell>
          <cell r="O160">
            <v>10</v>
          </cell>
          <cell r="P160">
            <v>175</v>
          </cell>
          <cell r="R160">
            <v>5023.384</v>
          </cell>
          <cell r="T160" t="str">
            <v>2003E</v>
          </cell>
          <cell r="U160">
            <v>0</v>
          </cell>
          <cell r="V160">
            <v>190.79899999999998</v>
          </cell>
          <cell r="W160">
            <v>190.79899999999998</v>
          </cell>
          <cell r="Y160">
            <v>8.009999999999998</v>
          </cell>
          <cell r="Z160">
            <v>67.140000000000015</v>
          </cell>
          <cell r="AA160">
            <v>123.08000000000001</v>
          </cell>
          <cell r="AB160">
            <v>133.32</v>
          </cell>
          <cell r="AD160">
            <v>522.34899999999993</v>
          </cell>
          <cell r="AF160">
            <v>42.135999999999996</v>
          </cell>
          <cell r="AG160">
            <v>326.39999999999998</v>
          </cell>
          <cell r="AI160">
            <v>125.02</v>
          </cell>
          <cell r="AJ160">
            <v>43.599999999999994</v>
          </cell>
          <cell r="AK160">
            <v>168.62</v>
          </cell>
          <cell r="AM160">
            <v>682.44900000000007</v>
          </cell>
          <cell r="AN160">
            <v>244.75</v>
          </cell>
          <cell r="AO160">
            <v>927.19900000000007</v>
          </cell>
          <cell r="AU160" t="str">
            <v>2003E</v>
          </cell>
          <cell r="AV160">
            <v>345.76499999999993</v>
          </cell>
          <cell r="AX160">
            <v>463.85999999999996</v>
          </cell>
          <cell r="AY160">
            <v>478.82799999999997</v>
          </cell>
          <cell r="AZ160">
            <v>942.68799999999987</v>
          </cell>
          <cell r="BB160">
            <v>443.07299999999998</v>
          </cell>
          <cell r="BD160">
            <v>52.019999999999996</v>
          </cell>
          <cell r="BF160">
            <v>644.52599999999995</v>
          </cell>
          <cell r="BG160">
            <v>367.08</v>
          </cell>
          <cell r="BH160">
            <v>1011.606</v>
          </cell>
          <cell r="BI160">
            <v>2795.152</v>
          </cell>
          <cell r="BK160">
            <v>4.43</v>
          </cell>
          <cell r="BL160">
            <v>64.98</v>
          </cell>
          <cell r="BM160">
            <v>69.41</v>
          </cell>
          <cell r="BO160">
            <v>525.59799999999996</v>
          </cell>
          <cell r="BP160">
            <v>443.52499999999998</v>
          </cell>
          <cell r="BQ160">
            <v>969.12299999999993</v>
          </cell>
          <cell r="BS160">
            <v>18.5</v>
          </cell>
          <cell r="BT160">
            <v>987.62299999999993</v>
          </cell>
          <cell r="BV160">
            <v>75</v>
          </cell>
          <cell r="BX160">
            <v>250.37240000000003</v>
          </cell>
          <cell r="BY160">
            <v>11262.645399999999</v>
          </cell>
          <cell r="BZ160">
            <v>693.7</v>
          </cell>
          <cell r="CA160">
            <v>11956.3454</v>
          </cell>
        </row>
        <row r="162">
          <cell r="A162" t="str">
            <v xml:space="preserve">2004/03E </v>
          </cell>
          <cell r="B162">
            <v>-0.15</v>
          </cell>
          <cell r="C162">
            <v>-0.1</v>
          </cell>
          <cell r="D162">
            <v>-0.1250094124421412</v>
          </cell>
          <cell r="F162">
            <v>0.11</v>
          </cell>
          <cell r="G162">
            <v>0.1</v>
          </cell>
          <cell r="H162">
            <v>0.10683749576035147</v>
          </cell>
          <cell r="J162" t="str">
            <v>NM</v>
          </cell>
          <cell r="L162">
            <v>-0.03</v>
          </cell>
          <cell r="R162">
            <v>0.10106190169813814</v>
          </cell>
          <cell r="T162" t="str">
            <v xml:space="preserve">2004/03E </v>
          </cell>
          <cell r="U162">
            <v>0</v>
          </cell>
          <cell r="V162">
            <v>-0.03</v>
          </cell>
          <cell r="W162">
            <v>-3.0000000000000047E-2</v>
          </cell>
          <cell r="Y162">
            <v>0</v>
          </cell>
          <cell r="Z162">
            <v>-0.1</v>
          </cell>
          <cell r="AA162">
            <v>-0.05</v>
          </cell>
          <cell r="AB162">
            <v>-0.12</v>
          </cell>
          <cell r="AD162">
            <v>-6.6220802566866133E-2</v>
          </cell>
          <cell r="AF162">
            <v>-0.05</v>
          </cell>
          <cell r="AG162">
            <v>-0.1</v>
          </cell>
          <cell r="AI162">
            <v>0.3</v>
          </cell>
          <cell r="AJ162">
            <v>0.8</v>
          </cell>
          <cell r="AK162">
            <v>0.42928478235084805</v>
          </cell>
          <cell r="AM162">
            <v>0.09</v>
          </cell>
          <cell r="AN162">
            <v>0.18</v>
          </cell>
          <cell r="AO162">
            <v>0.11375703597609575</v>
          </cell>
          <cell r="AU162" t="str">
            <v xml:space="preserve">2004/03E </v>
          </cell>
          <cell r="AV162">
            <v>0.04</v>
          </cell>
          <cell r="AX162">
            <v>-7.0000000000000007E-2</v>
          </cell>
          <cell r="AY162">
            <v>-0.02</v>
          </cell>
          <cell r="AZ162">
            <v>-4.4603050001697224E-2</v>
          </cell>
          <cell r="BB162">
            <v>0.1</v>
          </cell>
          <cell r="BD162">
            <v>0</v>
          </cell>
          <cell r="BF162">
            <v>0.17</v>
          </cell>
          <cell r="BG162">
            <v>0.15</v>
          </cell>
          <cell r="BH162">
            <v>0.16274262904727724</v>
          </cell>
          <cell r="BI162">
            <v>6.4655718186345398E-2</v>
          </cell>
          <cell r="BK162">
            <v>-0.1</v>
          </cell>
          <cell r="BL162">
            <v>-0.05</v>
          </cell>
          <cell r="BM162">
            <v>-5.3191182826681935E-2</v>
          </cell>
          <cell r="BO162">
            <v>0.09</v>
          </cell>
          <cell r="BP162">
            <v>0.1</v>
          </cell>
          <cell r="BQ162">
            <v>9.4576560457238085E-2</v>
          </cell>
          <cell r="BS162">
            <v>0</v>
          </cell>
          <cell r="BT162">
            <v>9.2804967077518383E-2</v>
          </cell>
          <cell r="BV162">
            <v>6</v>
          </cell>
          <cell r="BX162">
            <v>0</v>
          </cell>
          <cell r="BY162">
            <v>0.11852311891129963</v>
          </cell>
          <cell r="BZ162">
            <v>0</v>
          </cell>
          <cell r="CA162">
            <v>0.11164647853013696</v>
          </cell>
        </row>
        <row r="163">
          <cell r="A163" t="str">
            <v xml:space="preserve">2005/04E </v>
          </cell>
          <cell r="B163">
            <v>-0.1</v>
          </cell>
          <cell r="C163">
            <v>-0.1</v>
          </cell>
          <cell r="D163">
            <v>-0.1</v>
          </cell>
          <cell r="F163">
            <v>0.09</v>
          </cell>
          <cell r="G163">
            <v>0.1</v>
          </cell>
          <cell r="H163">
            <v>9.3142967849334971E-2</v>
          </cell>
          <cell r="J163" t="str">
            <v>NM</v>
          </cell>
          <cell r="L163">
            <v>-0.03</v>
          </cell>
          <cell r="R163">
            <v>8.7812812945397417E-2</v>
          </cell>
          <cell r="T163" t="str">
            <v xml:space="preserve">2005/04E </v>
          </cell>
          <cell r="U163">
            <v>0</v>
          </cell>
          <cell r="V163">
            <v>-0.03</v>
          </cell>
          <cell r="W163">
            <v>-2.999999999999995E-2</v>
          </cell>
          <cell r="Y163">
            <v>0</v>
          </cell>
          <cell r="Z163">
            <v>-0.03</v>
          </cell>
          <cell r="AA163">
            <v>-0.05</v>
          </cell>
          <cell r="AB163">
            <v>-0.1</v>
          </cell>
          <cell r="AD163">
            <v>-5.1139004757332483E-2</v>
          </cell>
          <cell r="AF163">
            <v>-0.05</v>
          </cell>
          <cell r="AG163">
            <v>-0.05</v>
          </cell>
          <cell r="AI163">
            <v>0.35</v>
          </cell>
          <cell r="AJ163">
            <v>0.4</v>
          </cell>
          <cell r="AK163">
            <v>0.36628175232151905</v>
          </cell>
          <cell r="AM163">
            <v>0.08</v>
          </cell>
          <cell r="AN163">
            <v>0.15</v>
          </cell>
          <cell r="AO163">
            <v>9.9576693103104991E-2</v>
          </cell>
          <cell r="AU163" t="str">
            <v xml:space="preserve">2005/04E </v>
          </cell>
          <cell r="AV163">
            <v>0.04</v>
          </cell>
          <cell r="AX163">
            <v>0</v>
          </cell>
          <cell r="AY163">
            <v>0</v>
          </cell>
          <cell r="AZ163">
            <v>0</v>
          </cell>
          <cell r="BB163">
            <v>0.09</v>
          </cell>
          <cell r="BD163">
            <v>0</v>
          </cell>
          <cell r="BF163">
            <v>0.15</v>
          </cell>
          <cell r="BG163">
            <v>0.15</v>
          </cell>
          <cell r="BH163">
            <v>0.15000000000000011</v>
          </cell>
          <cell r="BI163">
            <v>7.88620821436775E-2</v>
          </cell>
          <cell r="BK163">
            <v>-0.05</v>
          </cell>
          <cell r="BL163">
            <v>-0.05</v>
          </cell>
          <cell r="BM163">
            <v>-5.0000000000000079E-2</v>
          </cell>
          <cell r="BO163">
            <v>0.09</v>
          </cell>
          <cell r="BP163">
            <v>0.08</v>
          </cell>
          <cell r="BQ163">
            <v>8.5400763468880564E-2</v>
          </cell>
          <cell r="BS163">
            <v>0</v>
          </cell>
          <cell r="BT163">
            <v>8.3936903192029996E-2</v>
          </cell>
          <cell r="BV163">
            <v>2.3333333333333335</v>
          </cell>
          <cell r="BX163">
            <v>0</v>
          </cell>
          <cell r="BY163">
            <v>0.13154644822789641</v>
          </cell>
          <cell r="BZ163">
            <v>0</v>
          </cell>
          <cell r="CA163">
            <v>0.12468073480511163</v>
          </cell>
        </row>
        <row r="164">
          <cell r="A164" t="str">
            <v>2006/05E</v>
          </cell>
          <cell r="B164">
            <v>-0.1</v>
          </cell>
          <cell r="C164">
            <v>-0.1</v>
          </cell>
          <cell r="D164">
            <v>-9.9999999999999978E-2</v>
          </cell>
          <cell r="F164">
            <v>0.06</v>
          </cell>
          <cell r="G164">
            <v>0.06</v>
          </cell>
          <cell r="H164">
            <v>6.0000000000000164E-2</v>
          </cell>
          <cell r="J164" t="str">
            <v>NM</v>
          </cell>
          <cell r="L164">
            <v>-0.03</v>
          </cell>
          <cell r="R164">
            <v>6.0156473499803263E-2</v>
          </cell>
          <cell r="T164" t="str">
            <v>2006/05E</v>
          </cell>
          <cell r="U164">
            <v>0</v>
          </cell>
          <cell r="V164">
            <v>-0.03</v>
          </cell>
          <cell r="W164">
            <v>-3.0000000000000037E-2</v>
          </cell>
          <cell r="Y164">
            <v>0</v>
          </cell>
          <cell r="Z164">
            <v>-0.03</v>
          </cell>
          <cell r="AA164">
            <v>-0.05</v>
          </cell>
          <cell r="AB164">
            <v>-0.1</v>
          </cell>
          <cell r="AD164">
            <v>-5.0251184561996072E-2</v>
          </cell>
          <cell r="AF164">
            <v>-0.05</v>
          </cell>
          <cell r="AG164">
            <v>-0.05</v>
          </cell>
          <cell r="AI164">
            <v>0.3</v>
          </cell>
          <cell r="AJ164">
            <v>0.3</v>
          </cell>
          <cell r="AK164">
            <v>0.3</v>
          </cell>
          <cell r="AM164">
            <v>0.08</v>
          </cell>
          <cell r="AN164">
            <v>0.12</v>
          </cell>
          <cell r="AO164">
            <v>9.1699669627298058E-2</v>
          </cell>
          <cell r="AU164" t="str">
            <v>2006/05E</v>
          </cell>
          <cell r="AV164">
            <v>0.04</v>
          </cell>
          <cell r="AX164">
            <v>0</v>
          </cell>
          <cell r="AY164">
            <v>0</v>
          </cell>
          <cell r="AZ164">
            <v>0</v>
          </cell>
          <cell r="BB164">
            <v>-0.4</v>
          </cell>
          <cell r="BD164">
            <v>0</v>
          </cell>
          <cell r="BF164">
            <v>0.14000000000000001</v>
          </cell>
          <cell r="BG164">
            <v>0.14000000000000001</v>
          </cell>
          <cell r="BH164">
            <v>0.13999999999999996</v>
          </cell>
          <cell r="BI164">
            <v>-2.5429874340756947E-3</v>
          </cell>
          <cell r="BK164">
            <v>-0.03</v>
          </cell>
          <cell r="BL164">
            <v>-0.03</v>
          </cell>
          <cell r="BM164">
            <v>-2.9999999999999978E-2</v>
          </cell>
          <cell r="BO164">
            <v>0.08</v>
          </cell>
          <cell r="BP164">
            <v>7.0000000000000007E-2</v>
          </cell>
          <cell r="BQ164">
            <v>7.5423648461666895E-2</v>
          </cell>
          <cell r="BS164">
            <v>0</v>
          </cell>
          <cell r="BT164">
            <v>7.4230920482529522E-2</v>
          </cell>
          <cell r="BV164">
            <v>1.6666666666666667</v>
          </cell>
          <cell r="BX164">
            <v>0</v>
          </cell>
          <cell r="BY164">
            <v>9.7339754297769435E-2</v>
          </cell>
          <cell r="BZ164">
            <v>0</v>
          </cell>
          <cell r="CA164">
            <v>9.2822572858335825E-2</v>
          </cell>
        </row>
        <row r="165">
          <cell r="A165" t="str">
            <v>2007/06E</v>
          </cell>
          <cell r="B165">
            <v>-0.1</v>
          </cell>
          <cell r="C165">
            <v>-0.1</v>
          </cell>
          <cell r="D165">
            <v>-0.1</v>
          </cell>
          <cell r="F165">
            <v>0.06</v>
          </cell>
          <cell r="G165">
            <v>4.3999999999999997E-2</v>
          </cell>
          <cell r="H165">
            <v>5.4939707268379712E-2</v>
          </cell>
          <cell r="J165" t="str">
            <v>NM</v>
          </cell>
          <cell r="L165">
            <v>-0.03</v>
          </cell>
          <cell r="R165">
            <v>5.596905093027451E-2</v>
          </cell>
          <cell r="T165" t="str">
            <v>2007/06E</v>
          </cell>
          <cell r="U165">
            <v>0</v>
          </cell>
          <cell r="V165">
            <v>-0.03</v>
          </cell>
          <cell r="W165">
            <v>-3.0000000000000044E-2</v>
          </cell>
          <cell r="Y165">
            <v>0</v>
          </cell>
          <cell r="Z165">
            <v>-0.03</v>
          </cell>
          <cell r="AA165">
            <v>-0.05</v>
          </cell>
          <cell r="AB165">
            <v>-0.1</v>
          </cell>
          <cell r="AD165">
            <v>-4.9388445886639938E-2</v>
          </cell>
          <cell r="AF165">
            <v>-0.05</v>
          </cell>
          <cell r="AG165">
            <v>-0.05</v>
          </cell>
          <cell r="AI165">
            <v>0.23</v>
          </cell>
          <cell r="AJ165">
            <v>0.2</v>
          </cell>
          <cell r="AK165">
            <v>0.21998985975854757</v>
          </cell>
          <cell r="AM165">
            <v>7.0000000000000007E-2</v>
          </cell>
          <cell r="AN165">
            <v>0.12</v>
          </cell>
          <cell r="AO165">
            <v>8.5003702880856596E-2</v>
          </cell>
          <cell r="AU165" t="str">
            <v>2007/06E</v>
          </cell>
          <cell r="AV165">
            <v>0.04</v>
          </cell>
          <cell r="AX165">
            <v>0</v>
          </cell>
          <cell r="AY165">
            <v>0</v>
          </cell>
          <cell r="AZ165">
            <v>0</v>
          </cell>
          <cell r="BB165">
            <v>-0.6</v>
          </cell>
          <cell r="BD165">
            <v>0</v>
          </cell>
          <cell r="BF165">
            <v>0.14000000000000001</v>
          </cell>
          <cell r="BG165">
            <v>0.14000000000000001</v>
          </cell>
          <cell r="BH165">
            <v>0.14000000000000024</v>
          </cell>
          <cell r="BI165">
            <v>1.2551901080898839E-2</v>
          </cell>
          <cell r="BK165">
            <v>-0.03</v>
          </cell>
          <cell r="BL165">
            <v>-0.03</v>
          </cell>
          <cell r="BM165">
            <v>-2.9999999999999954E-2</v>
          </cell>
          <cell r="BO165">
            <v>7.0000000000000007E-2</v>
          </cell>
          <cell r="BP165">
            <v>0.06</v>
          </cell>
          <cell r="BQ165">
            <v>6.5446728223782988E-2</v>
          </cell>
          <cell r="BS165">
            <v>0</v>
          </cell>
          <cell r="BT165">
            <v>6.4483289358207005E-2</v>
          </cell>
          <cell r="BV165">
            <v>1.4857142857142858</v>
          </cell>
          <cell r="BX165">
            <v>0</v>
          </cell>
          <cell r="BY165">
            <v>9.9359074636535413E-2</v>
          </cell>
          <cell r="BZ165">
            <v>0</v>
          </cell>
          <cell r="CA165">
            <v>9.5139825497598154E-2</v>
          </cell>
        </row>
        <row r="166">
          <cell r="A166" t="str">
            <v>2001E</v>
          </cell>
          <cell r="B166">
            <v>1659</v>
          </cell>
          <cell r="C166">
            <v>330.90000000000003</v>
          </cell>
          <cell r="D166">
            <v>1989.8999999999999</v>
          </cell>
          <cell r="F166">
            <v>2176.1</v>
          </cell>
          <cell r="G166">
            <v>910.5</v>
          </cell>
          <cell r="H166">
            <v>3086.6</v>
          </cell>
          <cell r="I166">
            <v>0</v>
          </cell>
          <cell r="J166">
            <v>86.4</v>
          </cell>
          <cell r="K166">
            <v>0</v>
          </cell>
          <cell r="L166">
            <v>149.80000000000001</v>
          </cell>
          <cell r="M166">
            <v>0</v>
          </cell>
          <cell r="R166">
            <v>5312.7</v>
          </cell>
          <cell r="T166" t="str">
            <v>2001E</v>
          </cell>
          <cell r="U166">
            <v>4.2</v>
          </cell>
          <cell r="V166">
            <v>227.39999999999998</v>
          </cell>
          <cell r="W166">
            <v>231.6</v>
          </cell>
          <cell r="Y166">
            <v>11.3</v>
          </cell>
          <cell r="Z166">
            <v>80.100000000000009</v>
          </cell>
          <cell r="AA166">
            <v>210.60000000000002</v>
          </cell>
          <cell r="AB166">
            <v>198.00000000000003</v>
          </cell>
          <cell r="AD166">
            <v>731.7</v>
          </cell>
          <cell r="AF166">
            <v>54.4</v>
          </cell>
          <cell r="AG166">
            <v>431.4</v>
          </cell>
          <cell r="AI166">
            <v>21.1</v>
          </cell>
          <cell r="AJ166">
            <v>0.1</v>
          </cell>
          <cell r="AL166">
            <v>0</v>
          </cell>
          <cell r="AM166">
            <v>526.19999999999993</v>
          </cell>
          <cell r="AN166">
            <v>138.69999999999999</v>
          </cell>
          <cell r="AO166">
            <v>664.80000000000007</v>
          </cell>
          <cell r="AU166" t="str">
            <v>YearA</v>
          </cell>
          <cell r="AV166">
            <v>312.7</v>
          </cell>
          <cell r="AX166">
            <v>578.4</v>
          </cell>
          <cell r="AY166">
            <v>482.1</v>
          </cell>
          <cell r="AZ166">
            <v>1060.5</v>
          </cell>
          <cell r="BB166">
            <v>361</v>
          </cell>
          <cell r="BD166">
            <v>75.899999999999991</v>
          </cell>
          <cell r="BF166">
            <v>394.6</v>
          </cell>
          <cell r="BG166">
            <v>233.3</v>
          </cell>
          <cell r="BH166">
            <v>627.80000000000007</v>
          </cell>
          <cell r="BI166">
            <v>2437.9</v>
          </cell>
          <cell r="BK166">
            <v>186.4</v>
          </cell>
          <cell r="BL166">
            <v>98.4</v>
          </cell>
          <cell r="BM166">
            <v>284.7</v>
          </cell>
          <cell r="BO166">
            <v>417.3</v>
          </cell>
          <cell r="BP166">
            <v>305.5</v>
          </cell>
          <cell r="BQ166">
            <v>722.7</v>
          </cell>
          <cell r="BS166">
            <v>16.000000000000004</v>
          </cell>
          <cell r="BT166">
            <v>739</v>
          </cell>
          <cell r="BU166">
            <v>0</v>
          </cell>
          <cell r="BV166">
            <v>0</v>
          </cell>
          <cell r="BW166">
            <v>0</v>
          </cell>
          <cell r="BX166">
            <v>168.2</v>
          </cell>
          <cell r="BY166">
            <v>10824.800000000001</v>
          </cell>
          <cell r="BZ166">
            <v>696.6</v>
          </cell>
          <cell r="CA166">
            <v>11542.400000000001</v>
          </cell>
        </row>
        <row r="168">
          <cell r="A168" t="str">
            <v>2004E</v>
          </cell>
          <cell r="B168">
            <v>211.16974999999999</v>
          </cell>
          <cell r="C168">
            <v>223.42320000000001</v>
          </cell>
          <cell r="D168">
            <v>434.59294999999997</v>
          </cell>
          <cell r="F168">
            <v>3190.9480800000001</v>
          </cell>
          <cell r="G168">
            <v>1462.5930000000001</v>
          </cell>
          <cell r="H168">
            <v>4653.54108</v>
          </cell>
          <cell r="J168">
            <v>0</v>
          </cell>
          <cell r="L168">
            <v>142.92271000000002</v>
          </cell>
          <cell r="N168">
            <v>250</v>
          </cell>
          <cell r="O168">
            <v>50</v>
          </cell>
          <cell r="P168">
            <v>300</v>
          </cell>
          <cell r="R168">
            <v>5531.05674</v>
          </cell>
          <cell r="T168" t="str">
            <v>2004E</v>
          </cell>
          <cell r="U168">
            <v>0</v>
          </cell>
          <cell r="V168">
            <v>185.07502999999997</v>
          </cell>
          <cell r="W168">
            <v>185.07502999999997</v>
          </cell>
          <cell r="Y168">
            <v>8.009999999999998</v>
          </cell>
          <cell r="Z168">
            <v>60.426000000000016</v>
          </cell>
          <cell r="AA168">
            <v>116.92600000000002</v>
          </cell>
          <cell r="AB168">
            <v>117.32159999999999</v>
          </cell>
          <cell r="AD168">
            <v>487.75862999999998</v>
          </cell>
          <cell r="AF168">
            <v>40.029199999999996</v>
          </cell>
          <cell r="AG168">
            <v>293.76</v>
          </cell>
          <cell r="AI168">
            <v>162.52600000000001</v>
          </cell>
          <cell r="AJ168">
            <v>78.47999999999999</v>
          </cell>
          <cell r="AK168">
            <v>241.006</v>
          </cell>
          <cell r="AM168">
            <v>743.86941000000002</v>
          </cell>
          <cell r="AN168">
            <v>288.80500000000001</v>
          </cell>
          <cell r="AO168">
            <v>1032.6744100000001</v>
          </cell>
          <cell r="AU168" t="str">
            <v>2004E</v>
          </cell>
          <cell r="AV168">
            <v>359.59559999999993</v>
          </cell>
          <cell r="AX168">
            <v>431.38979999999998</v>
          </cell>
          <cell r="AY168">
            <v>469.25144</v>
          </cell>
          <cell r="AZ168">
            <v>900.64123999999993</v>
          </cell>
          <cell r="BB168">
            <v>487.38029999999998</v>
          </cell>
          <cell r="BD168">
            <v>52.019999999999996</v>
          </cell>
          <cell r="BF168">
            <v>754.09541999999999</v>
          </cell>
          <cell r="BG168">
            <v>422.142</v>
          </cell>
          <cell r="BH168">
            <v>1176.2374199999999</v>
          </cell>
          <cell r="BI168">
            <v>2975.8745599999997</v>
          </cell>
          <cell r="BK168">
            <v>3.9869999999999997</v>
          </cell>
          <cell r="BL168">
            <v>61.731000000000002</v>
          </cell>
          <cell r="BM168">
            <v>65.718000000000004</v>
          </cell>
          <cell r="BO168">
            <v>572.90181999999993</v>
          </cell>
          <cell r="BP168">
            <v>487.8775</v>
          </cell>
          <cell r="BQ168">
            <v>1060.7793199999999</v>
          </cell>
          <cell r="BS168">
            <v>18.5</v>
          </cell>
          <cell r="BT168">
            <v>1079.2793199999999</v>
          </cell>
          <cell r="BV168">
            <v>450</v>
          </cell>
          <cell r="BX168">
            <v>250.37240000000003</v>
          </cell>
          <cell r="BY168">
            <v>12597.529260000001</v>
          </cell>
          <cell r="BZ168">
            <v>693.7</v>
          </cell>
          <cell r="CA168">
            <v>13291.229260000002</v>
          </cell>
        </row>
        <row r="169">
          <cell r="A169" t="str">
            <v>2005E</v>
          </cell>
          <cell r="B169">
            <v>190.052775</v>
          </cell>
          <cell r="C169">
            <v>201.08088000000001</v>
          </cell>
          <cell r="D169">
            <v>391.13365499999998</v>
          </cell>
          <cell r="F169">
            <v>3478.1334072</v>
          </cell>
          <cell r="G169">
            <v>1608.8523</v>
          </cell>
          <cell r="H169">
            <v>5086.9857071999995</v>
          </cell>
          <cell r="J169">
            <v>0</v>
          </cell>
          <cell r="L169">
            <v>138.63502870000002</v>
          </cell>
          <cell r="N169">
            <v>325</v>
          </cell>
          <cell r="O169">
            <v>75</v>
          </cell>
          <cell r="P169">
            <v>400</v>
          </cell>
          <cell r="R169">
            <v>6016.7543908999996</v>
          </cell>
          <cell r="T169" t="str">
            <v>2005E</v>
          </cell>
          <cell r="U169">
            <v>0</v>
          </cell>
          <cell r="V169">
            <v>179.52277909999998</v>
          </cell>
          <cell r="W169">
            <v>179.52277909999998</v>
          </cell>
          <cell r="Y169">
            <v>8.009999999999998</v>
          </cell>
          <cell r="Z169">
            <v>58.613220000000013</v>
          </cell>
          <cell r="AA169">
            <v>111.07970000000002</v>
          </cell>
          <cell r="AB169">
            <v>105.58944</v>
          </cell>
          <cell r="AD169">
            <v>462.81513910000001</v>
          </cell>
          <cell r="AF169">
            <v>38.027739999999994</v>
          </cell>
          <cell r="AG169">
            <v>279.072</v>
          </cell>
          <cell r="AI169">
            <v>219.4101</v>
          </cell>
          <cell r="AJ169">
            <v>109.87199999999999</v>
          </cell>
          <cell r="AK169">
            <v>329.28210000000001</v>
          </cell>
          <cell r="AM169">
            <v>803.37896280000007</v>
          </cell>
          <cell r="AN169">
            <v>332.12574999999998</v>
          </cell>
          <cell r="AO169">
            <v>1135.5047128000001</v>
          </cell>
          <cell r="AU169" t="str">
            <v>2005E</v>
          </cell>
          <cell r="AV169">
            <v>373.97942399999994</v>
          </cell>
          <cell r="AX169">
            <v>431.38979999999998</v>
          </cell>
          <cell r="AY169">
            <v>469.25144</v>
          </cell>
          <cell r="AZ169">
            <v>900.64123999999993</v>
          </cell>
          <cell r="BB169">
            <v>531.24452699999995</v>
          </cell>
          <cell r="BD169">
            <v>52.019999999999996</v>
          </cell>
          <cell r="BF169">
            <v>867.20973300000003</v>
          </cell>
          <cell r="BG169">
            <v>485.4633</v>
          </cell>
          <cell r="BH169">
            <v>1352.673033</v>
          </cell>
          <cell r="BI169">
            <v>3210.5582239999999</v>
          </cell>
          <cell r="BK169">
            <v>3.7876499999999997</v>
          </cell>
          <cell r="BL169">
            <v>58.644449999999999</v>
          </cell>
          <cell r="BM169">
            <v>62.432099999999998</v>
          </cell>
          <cell r="BO169">
            <v>624.46298379999996</v>
          </cell>
          <cell r="BP169">
            <v>526.90769999999998</v>
          </cell>
          <cell r="BQ169">
            <v>1151.3706837999998</v>
          </cell>
          <cell r="BS169">
            <v>18.5</v>
          </cell>
          <cell r="BT169">
            <v>1169.8706837999998</v>
          </cell>
          <cell r="BV169">
            <v>1050</v>
          </cell>
          <cell r="BX169">
            <v>250.37240000000003</v>
          </cell>
          <cell r="BY169">
            <v>14254.689490600002</v>
          </cell>
          <cell r="BZ169">
            <v>693.7</v>
          </cell>
          <cell r="CA169">
            <v>14948.389490600002</v>
          </cell>
        </row>
        <row r="170">
          <cell r="A170" t="str">
            <v>2006E</v>
          </cell>
          <cell r="B170">
            <v>171.04749749999999</v>
          </cell>
          <cell r="C170">
            <v>180.972792</v>
          </cell>
          <cell r="D170">
            <v>352.02028949999999</v>
          </cell>
          <cell r="F170">
            <v>3686.821411632</v>
          </cell>
          <cell r="G170">
            <v>1705.3834380000001</v>
          </cell>
          <cell r="H170">
            <v>5392.2048496320003</v>
          </cell>
          <cell r="J170">
            <v>0</v>
          </cell>
          <cell r="L170">
            <v>134.47597783900002</v>
          </cell>
          <cell r="N170">
            <v>400</v>
          </cell>
          <cell r="O170">
            <v>100</v>
          </cell>
          <cell r="P170">
            <v>500</v>
          </cell>
          <cell r="R170">
            <v>6378.7011169710004</v>
          </cell>
          <cell r="T170" t="str">
            <v>2006E</v>
          </cell>
          <cell r="U170">
            <v>0</v>
          </cell>
          <cell r="V170">
            <v>174.13709572699997</v>
          </cell>
          <cell r="W170">
            <v>174.13709572699997</v>
          </cell>
          <cell r="Y170">
            <v>8.009999999999998</v>
          </cell>
          <cell r="Z170">
            <v>56.854823400000015</v>
          </cell>
          <cell r="AA170">
            <v>105.52571500000002</v>
          </cell>
          <cell r="AB170">
            <v>95.030495999999999</v>
          </cell>
          <cell r="AD170">
            <v>439.55813012700003</v>
          </cell>
          <cell r="AF170">
            <v>36.126352999999995</v>
          </cell>
          <cell r="AG170">
            <v>265.11840000000001</v>
          </cell>
          <cell r="AI170">
            <v>285.23313000000002</v>
          </cell>
          <cell r="AJ170">
            <v>142.83359999999999</v>
          </cell>
          <cell r="AK170">
            <v>428.06673000000001</v>
          </cell>
          <cell r="AM170">
            <v>867.64927982400013</v>
          </cell>
          <cell r="AN170">
            <v>371.98084</v>
          </cell>
          <cell r="AO170">
            <v>1239.6301198240001</v>
          </cell>
          <cell r="AU170" t="str">
            <v>2006E</v>
          </cell>
          <cell r="AV170">
            <v>388.93860095999992</v>
          </cell>
          <cell r="AX170">
            <v>431.38979999999998</v>
          </cell>
          <cell r="AY170">
            <v>469.25144</v>
          </cell>
          <cell r="AZ170">
            <v>900.64123999999993</v>
          </cell>
          <cell r="BB170">
            <v>318.74671619999992</v>
          </cell>
          <cell r="BD170">
            <v>52.019999999999996</v>
          </cell>
          <cell r="BF170">
            <v>988.61909562000005</v>
          </cell>
          <cell r="BG170">
            <v>553.42816200000004</v>
          </cell>
          <cell r="BH170">
            <v>1542.04725762</v>
          </cell>
          <cell r="BI170">
            <v>3202.3938147799995</v>
          </cell>
          <cell r="BK170">
            <v>3.6740204999999997</v>
          </cell>
          <cell r="BL170">
            <v>56.885116500000002</v>
          </cell>
          <cell r="BM170">
            <v>60.559137</v>
          </cell>
          <cell r="BO170">
            <v>674.42002250399992</v>
          </cell>
          <cell r="BP170">
            <v>563.79123900000002</v>
          </cell>
          <cell r="BQ170">
            <v>1238.211261504</v>
          </cell>
          <cell r="BS170">
            <v>18.5</v>
          </cell>
          <cell r="BT170">
            <v>1256.711261504</v>
          </cell>
          <cell r="BV170">
            <v>1750</v>
          </cell>
          <cell r="BX170">
            <v>250.37240000000003</v>
          </cell>
          <cell r="BY170">
            <v>15642.237463206002</v>
          </cell>
          <cell r="BZ170">
            <v>693.7</v>
          </cell>
          <cell r="CA170">
            <v>16335.937463206003</v>
          </cell>
        </row>
        <row r="171">
          <cell r="A171" t="str">
            <v>2007E</v>
          </cell>
          <cell r="B171">
            <v>153.94274775</v>
          </cell>
          <cell r="C171">
            <v>162.8755128</v>
          </cell>
          <cell r="D171">
            <v>316.81826054999999</v>
          </cell>
          <cell r="F171">
            <v>3908.0306963299199</v>
          </cell>
          <cell r="G171">
            <v>1780.4203092720002</v>
          </cell>
          <cell r="H171">
            <v>5688.4510056019199</v>
          </cell>
          <cell r="J171">
            <v>0</v>
          </cell>
          <cell r="L171">
            <v>130.44169850383003</v>
          </cell>
          <cell r="N171">
            <v>475</v>
          </cell>
          <cell r="O171">
            <v>125</v>
          </cell>
          <cell r="P171">
            <v>600</v>
          </cell>
          <cell r="R171">
            <v>6735.7109646557492</v>
          </cell>
          <cell r="T171" t="str">
            <v>2007E</v>
          </cell>
          <cell r="U171">
            <v>0</v>
          </cell>
          <cell r="V171">
            <v>168.91298285518997</v>
          </cell>
          <cell r="W171">
            <v>168.91298285518997</v>
          </cell>
          <cell r="Y171">
            <v>8.009999999999998</v>
          </cell>
          <cell r="Z171">
            <v>55.149178698000014</v>
          </cell>
          <cell r="AA171">
            <v>100.24942925000002</v>
          </cell>
          <cell r="AB171">
            <v>85.527446400000002</v>
          </cell>
          <cell r="AD171">
            <v>417.84903720319005</v>
          </cell>
          <cell r="AF171">
            <v>34.320035349999998</v>
          </cell>
          <cell r="AG171">
            <v>251.86248000000001</v>
          </cell>
          <cell r="AI171">
            <v>350.83674990000003</v>
          </cell>
          <cell r="AJ171">
            <v>171.40031999999999</v>
          </cell>
          <cell r="AK171">
            <v>522.23706990000005</v>
          </cell>
          <cell r="AM171">
            <v>928.38472941168015</v>
          </cell>
          <cell r="AN171">
            <v>416.61854080000001</v>
          </cell>
          <cell r="AO171">
            <v>1345.00327021168</v>
          </cell>
          <cell r="AU171" t="str">
            <v>2007E</v>
          </cell>
          <cell r="AV171">
            <v>404.49614499839993</v>
          </cell>
          <cell r="AX171">
            <v>431.38979999999998</v>
          </cell>
          <cell r="AY171">
            <v>469.25144</v>
          </cell>
          <cell r="AZ171">
            <v>900.64123999999993</v>
          </cell>
          <cell r="BB171">
            <v>127.49868647999998</v>
          </cell>
          <cell r="BD171">
            <v>52.019999999999996</v>
          </cell>
          <cell r="BF171">
            <v>1127.0257690068001</v>
          </cell>
          <cell r="BG171">
            <v>630.90810468000006</v>
          </cell>
          <cell r="BH171">
            <v>1757.9338736868003</v>
          </cell>
          <cell r="BI171">
            <v>3242.5899451652003</v>
          </cell>
          <cell r="BK171">
            <v>3.5637998849999999</v>
          </cell>
          <cell r="BL171">
            <v>55.178563005000001</v>
          </cell>
          <cell r="BM171">
            <v>58.742362890000003</v>
          </cell>
          <cell r="BO171">
            <v>721.62942407927994</v>
          </cell>
          <cell r="BP171">
            <v>597.61871334</v>
          </cell>
          <cell r="BQ171">
            <v>1319.2481374192798</v>
          </cell>
          <cell r="BS171">
            <v>18.5</v>
          </cell>
          <cell r="BT171">
            <v>1337.7481374192798</v>
          </cell>
          <cell r="BV171">
            <v>2600</v>
          </cell>
          <cell r="BX171">
            <v>250.37240000000003</v>
          </cell>
          <cell r="BY171">
            <v>17196.435702795097</v>
          </cell>
          <cell r="BZ171">
            <v>693.7</v>
          </cell>
          <cell r="CA171">
            <v>17890.135702795098</v>
          </cell>
        </row>
        <row r="173">
          <cell r="A173" t="str">
            <v>Notes:</v>
          </cell>
          <cell r="T173" t="str">
            <v>Notes:</v>
          </cell>
          <cell r="AU173" t="str">
            <v>Notes:</v>
          </cell>
        </row>
        <row r="174">
          <cell r="A174" t="str">
            <v>(a) Dynabac has been licensed out to Bock Pharmaceuticals in the U.S.  LLY records sales to Bock in U.S. and international sales.</v>
          </cell>
          <cell r="T174" t="str">
            <v>(a) Dynabac has been licensed out to Bock Pharmaceuticals in the U.S.  LLY records sales to Bock in U.S. and international sales.</v>
          </cell>
          <cell r="AU174" t="str">
            <v>(a) Dynabac has been licensed out to Bock Pharmaceuticals in the U.S.  LLY records sales to Bock in U.S. and international sales.</v>
          </cell>
        </row>
        <row r="175">
          <cell r="A175" t="str">
            <v xml:space="preserve">(b) Other injectables include Nebcin, Mandol, Kefzol, and Tazidime.  </v>
          </cell>
          <cell r="T175" t="str">
            <v xml:space="preserve">(b) Other injectables include Nebcin, Mandol, Kefzol, and Tazidime.  </v>
          </cell>
          <cell r="AU175" t="str">
            <v xml:space="preserve">(b) Other injectables include Nebcin, Mandol, Kefzol, and Tazidime.  </v>
          </cell>
        </row>
        <row r="176">
          <cell r="A176" t="str">
            <v>(c) LLY records 100% of ReoPro sales and pays a third-party manufacturing fee to Centocor (CNTO) of 50% of sales.</v>
          </cell>
          <cell r="T176" t="str">
            <v>(c) LLY records 100% of ReoPro sales and pays a third-party manufacturing fee to Centocor (CNTO) of 50% of sales.</v>
          </cell>
          <cell r="AU176" t="str">
            <v>(c) LLY records 100% of ReoPro sales and pays a third-party manufacturing fee to Centocor (CNTO) of 50% of sales.</v>
          </cell>
        </row>
        <row r="177">
          <cell r="A177" t="str">
            <v>(d) Other pharma includes Lorabid (sold to KG) , Cynt, Darvon, and other cardio and neuroscience</v>
          </cell>
          <cell r="T177" t="str">
            <v>(d) Other pharma includes Lorabid (sold to KG) , Cynt, Darvon, and other cardio and neuroscience</v>
          </cell>
        </row>
        <row r="179">
          <cell r="A179" t="str">
            <v>E = Morgan Stanley Research Estimates       A = Actual       NM = Not Meaningful</v>
          </cell>
          <cell r="T179" t="str">
            <v>E = Morgan Stanley Research Estimates       A = Actual       NM = Not Meaningful</v>
          </cell>
          <cell r="AU179" t="str">
            <v>E = Morgan Stanley Research Estimates       A = Actual       NM = Not Meaningful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row r="15">
          <cell r="J15">
            <v>68.972186762601083</v>
          </cell>
        </row>
        <row r="23">
          <cell r="J23">
            <v>84.521496939820679</v>
          </cell>
        </row>
        <row r="31">
          <cell r="J31">
            <v>88.963861460241219</v>
          </cell>
        </row>
        <row r="39">
          <cell r="J39">
            <v>100.47837355547594</v>
          </cell>
        </row>
      </sheetData>
      <sheetData sheetId="9"/>
      <sheetData sheetId="10"/>
      <sheetData sheetId="11"/>
      <sheetData sheetId="12"/>
      <sheetData sheetId="13"/>
      <sheetData sheetId="14"/>
      <sheetData sheetId="15" refreshError="1"/>
      <sheetData sheetId="16"/>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SortieP&amp;L"/>
      <sheetName val="SortieCA"/>
      <sheetName val="Questions"/>
      <sheetName val="Lien data"/>
      <sheetName val="Grille"/>
      <sheetName val="consensus"/>
      <sheetName val="CA  produits"/>
      <sheetName val="CA trim"/>
      <sheetName val="R&amp;D sortie"/>
      <sheetName val="Pipeline"/>
      <sheetName val="Infertility"/>
      <sheetName val="CA geog"/>
      <sheetName val="EVA"/>
      <sheetName val="Growth Hormone Mkt"/>
      <sheetName val="CompEurope"/>
      <sheetName val="BiogenIdec"/>
      <sheetName val="Au Pire Au mieux"/>
      <sheetName val="Modeles (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row r="8">
          <cell r="E8">
            <v>0.21</v>
          </cell>
        </row>
      </sheetData>
      <sheetData sheetId="16"/>
      <sheetData sheetId="17"/>
      <sheetData sheetId="18"/>
      <sheetData sheetId="19"/>
      <sheetData sheetId="20"/>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sheetName val="PPT"/>
      <sheetName val="Sheet1"/>
    </sheetNames>
    <sheetDataSet>
      <sheetData sheetId="0"/>
      <sheetData sheetId="1" refreshError="1">
        <row r="1">
          <cell r="B1" t="str">
            <v>SHIRE PLC (Underperform)</v>
          </cell>
        </row>
        <row r="2">
          <cell r="B2" t="str">
            <v>Specialty Pharma | Pharmaceuticals (Outperform) - United Kingdom</v>
          </cell>
        </row>
        <row r="6">
          <cell r="B6" t="str">
            <v>Shire is a fast-growing drug developer, marketing a range of niche market products through specialist salesforces in North America and Western Europe. Seeking products through in-licensing and acquisitions, the group has delivered approvals/launches in At</v>
          </cell>
          <cell r="M6" t="str">
            <v>13 Oct. 11</v>
          </cell>
          <cell r="O6" t="str">
            <v>Omega Pharma: Q3 Trading Update</v>
          </cell>
        </row>
        <row r="7">
          <cell r="O7" t="str">
            <v>Roche: Q3 2011 Results</v>
          </cell>
        </row>
        <row r="8">
          <cell r="M8" t="str">
            <v>18 Oct. 11</v>
          </cell>
          <cell r="O8" t="str">
            <v>Virbac: Q3 2011 Sales</v>
          </cell>
        </row>
        <row r="9">
          <cell r="M9" t="str">
            <v>20 Oct. 11</v>
          </cell>
          <cell r="O9" t="str">
            <v>Actelion : Q3 2011 Results</v>
          </cell>
        </row>
        <row r="10">
          <cell r="M10" t="str">
            <v>25 Oct. 11</v>
          </cell>
          <cell r="O10" t="str">
            <v>Recordati: Q3 &amp; 9M 2011 Results</v>
          </cell>
        </row>
        <row r="11">
          <cell r="O11" t="str">
            <v>Novartis: Q3 2011 Results</v>
          </cell>
        </row>
        <row r="12">
          <cell r="M12" t="str">
            <v>26 Oct. 11</v>
          </cell>
          <cell r="O12" t="str">
            <v>Merck KGaA: Q3 2011 Results</v>
          </cell>
        </row>
        <row r="13">
          <cell r="O13" t="str">
            <v>GlaxoSmithKline: Q3 2011 Results</v>
          </cell>
        </row>
        <row r="14">
          <cell r="M14" t="str">
            <v>27 Oct. 11</v>
          </cell>
          <cell r="O14" t="str">
            <v>AstraZeneca: Q3 2011 Results</v>
          </cell>
        </row>
        <row r="15">
          <cell r="O15" t="str">
            <v>Ipsen: 9M 2011 Sales</v>
          </cell>
        </row>
        <row r="16">
          <cell r="O16" t="str">
            <v>Novo Nordisk : Q3 2011 Results</v>
          </cell>
        </row>
        <row r="17">
          <cell r="O17" t="str">
            <v>Bayer: Q3 2011 Results</v>
          </cell>
        </row>
        <row r="18">
          <cell r="O18" t="str">
            <v>UCB: Q3 2011 Results</v>
          </cell>
        </row>
        <row r="19">
          <cell r="M19" t="str">
            <v>28 Oct. 11</v>
          </cell>
          <cell r="O19" t="str">
            <v>Shire Plc: Q3 2011 Results</v>
          </cell>
        </row>
        <row r="20">
          <cell r="M20" t="str">
            <v>03 Nov. 11</v>
          </cell>
          <cell r="O20" t="str">
            <v>Sanofi: Q3 2011 Results</v>
          </cell>
        </row>
        <row r="21">
          <cell r="M21" t="str">
            <v>07 Nov. 11</v>
          </cell>
          <cell r="O21" t="str">
            <v>Roche: Investor Day - Late</v>
          </cell>
        </row>
        <row r="22">
          <cell r="B22" t="str">
            <v>Angus Russell, CEO</v>
          </cell>
          <cell r="O22" t="str">
            <v>stage Pharma pipeline (London)</v>
          </cell>
        </row>
        <row r="23">
          <cell r="B23" t="str">
            <v>Graham Hetherington, CFO</v>
          </cell>
          <cell r="M23" t="str">
            <v>09 Nov. 11</v>
          </cell>
          <cell r="O23" t="str">
            <v>H Lundbeck : Q3 2011 Results</v>
          </cell>
        </row>
        <row r="24">
          <cell r="M24" t="str">
            <v>10 Nov. 11</v>
          </cell>
          <cell r="O24" t="str">
            <v>Stada: Q3 2011 Results</v>
          </cell>
        </row>
        <row r="25">
          <cell r="M25" t="str">
            <v>14 Nov. 11</v>
          </cell>
          <cell r="O25" t="str">
            <v>Almirall: Q3 2011 Results</v>
          </cell>
        </row>
        <row r="26">
          <cell r="M26" t="str">
            <v>17 Nov. 11</v>
          </cell>
          <cell r="O26" t="str">
            <v>Krka: 9M 2011 Results</v>
          </cell>
        </row>
        <row r="27">
          <cell r="B27" t="str">
            <v>Other Shareholders</v>
          </cell>
          <cell r="E27" t="str">
            <v>100.0%</v>
          </cell>
          <cell r="M27" t="str">
            <v>03 Jan. 12</v>
          </cell>
          <cell r="O27" t="str">
            <v>Almirall: FY 2011 Results</v>
          </cell>
        </row>
        <row r="28">
          <cell r="O28" t="str">
            <v>Faes Farma: FY 2011 Results</v>
          </cell>
        </row>
        <row r="29">
          <cell r="O29" t="str">
            <v>Rovi: FY 2011 Results</v>
          </cell>
        </row>
        <row r="30">
          <cell r="M30" t="str">
            <v>19 Jan. 12</v>
          </cell>
          <cell r="O30" t="str">
            <v>Virbac: Q4 2011 Sales</v>
          </cell>
        </row>
        <row r="31">
          <cell r="B31" t="str">
            <v>Cespedes Florent (+33) 1 42 99 84 93</v>
          </cell>
          <cell r="M31" t="str">
            <v>02 Feb. 12</v>
          </cell>
          <cell r="O31" t="str">
            <v>AstraZeneca: FY 2011 Preliminary Results</v>
          </cell>
        </row>
        <row r="32">
          <cell r="B32" t="str">
            <v>florent.cespedes@exanebnpparibas.com</v>
          </cell>
          <cell r="M32" t="str">
            <v>16 Feb. 12</v>
          </cell>
          <cell r="O32" t="str">
            <v>Actelion : FY 2011 Results</v>
          </cell>
        </row>
        <row r="33">
          <cell r="M33" t="str">
            <v>28 Feb. 12</v>
          </cell>
          <cell r="O33" t="str">
            <v>Bayer: FY 2011 Results</v>
          </cell>
        </row>
        <row r="34">
          <cell r="M34" t="str">
            <v>06 Mar. 12</v>
          </cell>
          <cell r="O34" t="str">
            <v>Roche: AGM</v>
          </cell>
        </row>
      </sheetData>
      <sheetData sheetId="2"/>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LIFT"/>
      <sheetName val="DB_Tables"/>
    </sheetNames>
    <sheetDataSet>
      <sheetData sheetId="0" refreshError="1"/>
      <sheetData sheetId="1" refreshError="1">
        <row r="24">
          <cell r="AG24" t="str">
            <v>Global</v>
          </cell>
        </row>
        <row r="25">
          <cell r="AG25" t="str">
            <v>US</v>
          </cell>
        </row>
        <row r="26">
          <cell r="AG26" t="str">
            <v>Japan</v>
          </cell>
        </row>
        <row r="27">
          <cell r="AG27" t="str">
            <v>Europe RoW</v>
          </cell>
        </row>
        <row r="28">
          <cell r="AG28" t="str">
            <v>Global</v>
          </cell>
        </row>
        <row r="29">
          <cell r="AG29" t="str">
            <v>EMEA</v>
          </cell>
        </row>
        <row r="30">
          <cell r="AG30" t="str">
            <v>NAM</v>
          </cell>
        </row>
        <row r="31">
          <cell r="AG31" t="str">
            <v>APAC</v>
          </cell>
        </row>
        <row r="32">
          <cell r="AG32" t="str">
            <v>LAM</v>
          </cell>
        </row>
        <row r="33">
          <cell r="AG33" t="str">
            <v>Japan</v>
          </cell>
        </row>
        <row r="34">
          <cell r="AG34" t="str">
            <v>Others</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ndout"/>
      <sheetName val="Chart Data"/>
      <sheetName val="QTRINC"/>
      <sheetName val="MARGIN"/>
      <sheetName val="QTR-SALES"/>
      <sheetName val="ANN-SALES"/>
      <sheetName val="CASHFLOW"/>
      <sheetName val="FEES-R&amp;D"/>
      <sheetName val="NEWPRODS"/>
      <sheetName val="IS-COMPS"/>
      <sheetName val="BALANCE-SHEET"/>
      <sheetName val="QTRINC-SEQ"/>
      <sheetName val="TESTODERM"/>
      <sheetName val="MARGIN-SEQ"/>
      <sheetName val="mStartup"/>
      <sheetName val="NY UPLOAD"/>
      <sheetName val="NY UPLOAD shadow"/>
    </sheetNames>
    <sheetDataSet>
      <sheetData sheetId="0" refreshError="1"/>
      <sheetData sheetId="1" refreshError="1"/>
      <sheetData sheetId="2" refreshError="1">
        <row r="4">
          <cell r="I4" t="str">
            <v xml:space="preserve">Sales </v>
          </cell>
          <cell r="K4" t="str">
            <v>R&amp;D</v>
          </cell>
          <cell r="R4" t="str">
            <v>Non-</v>
          </cell>
          <cell r="W4" t="str">
            <v>AT</v>
          </cell>
          <cell r="X4" t="str">
            <v>Adj.</v>
          </cell>
        </row>
        <row r="5">
          <cell r="B5" t="str">
            <v xml:space="preserve">               Revenues</v>
          </cell>
          <cell r="E5" t="str">
            <v>Contract</v>
          </cell>
          <cell r="I5" t="str">
            <v>Gross</v>
          </cell>
          <cell r="K5" t="str">
            <v>Cresc./</v>
          </cell>
          <cell r="L5" t="str">
            <v xml:space="preserve">Ex- </v>
          </cell>
          <cell r="M5" t="str">
            <v xml:space="preserve">In- </v>
          </cell>
          <cell r="O5" t="str">
            <v xml:space="preserve"> Oper.</v>
          </cell>
          <cell r="P5" t="str">
            <v>Int.</v>
          </cell>
          <cell r="Q5" t="str">
            <v>Int.</v>
          </cell>
          <cell r="R5" t="str">
            <v>Oper.</v>
          </cell>
          <cell r="S5" t="str">
            <v>Pretax</v>
          </cell>
          <cell r="T5" t="str">
            <v xml:space="preserve">    Tax</v>
          </cell>
          <cell r="V5" t="str">
            <v xml:space="preserve">   Net</v>
          </cell>
          <cell r="W5" t="str">
            <v>Conv.</v>
          </cell>
          <cell r="X5" t="str">
            <v xml:space="preserve">   Net</v>
          </cell>
          <cell r="Y5" t="str">
            <v xml:space="preserve">Avg. </v>
          </cell>
          <cell r="Z5" t="str">
            <v>EPS</v>
          </cell>
        </row>
        <row r="6">
          <cell r="B6" t="str">
            <v>Alza</v>
          </cell>
          <cell r="C6" t="str">
            <v>Fees</v>
          </cell>
          <cell r="D6" t="str">
            <v>R&amp;D</v>
          </cell>
          <cell r="E6" t="str">
            <v>Mfg.</v>
          </cell>
          <cell r="F6" t="str">
            <v>Other</v>
          </cell>
          <cell r="G6" t="str">
            <v>Total</v>
          </cell>
          <cell r="H6" t="str">
            <v>COGS</v>
          </cell>
          <cell r="I6" t="str">
            <v>Profit(g)</v>
          </cell>
          <cell r="J6" t="str">
            <v>SG&amp;A</v>
          </cell>
          <cell r="K6" t="str">
            <v>TDC</v>
          </cell>
          <cell r="L6" t="str">
            <v>ternal</v>
          </cell>
          <cell r="M6" t="str">
            <v>ternal</v>
          </cell>
          <cell r="N6" t="str">
            <v>Total</v>
          </cell>
          <cell r="O6" t="str">
            <v>Inc.</v>
          </cell>
          <cell r="P6" t="str">
            <v>Inc.</v>
          </cell>
          <cell r="Q6" t="str">
            <v>Exp.</v>
          </cell>
          <cell r="R6" t="str">
            <v>Items</v>
          </cell>
          <cell r="S6" t="str">
            <v>Inc.</v>
          </cell>
          <cell r="T6" t="str">
            <v xml:space="preserve">   Rate</v>
          </cell>
          <cell r="U6" t="str">
            <v>Tax</v>
          </cell>
          <cell r="V6" t="str">
            <v>Inc.</v>
          </cell>
          <cell r="W6" t="str">
            <v>Int.</v>
          </cell>
          <cell r="X6" t="str">
            <v>Inc.</v>
          </cell>
          <cell r="Y6" t="str">
            <v xml:space="preserve">Shs. </v>
          </cell>
          <cell r="Z6" t="str">
            <v>Oper.</v>
          </cell>
          <cell r="AA6" t="str">
            <v>Rep.</v>
          </cell>
        </row>
        <row r="8">
          <cell r="A8" t="str">
            <v>1995 (a)</v>
          </cell>
        </row>
        <row r="9">
          <cell r="A9" t="str">
            <v xml:space="preserve"> 1Q</v>
          </cell>
          <cell r="B9">
            <v>3.5</v>
          </cell>
          <cell r="C9">
            <v>33.962000000000003</v>
          </cell>
          <cell r="D9">
            <v>21.7</v>
          </cell>
          <cell r="E9">
            <v>15.326000000000001</v>
          </cell>
          <cell r="F9">
            <v>70.988</v>
          </cell>
          <cell r="G9">
            <v>74.488</v>
          </cell>
          <cell r="H9">
            <v>16.422000000000001</v>
          </cell>
          <cell r="I9">
            <v>2.4039999999999999</v>
          </cell>
          <cell r="J9">
            <v>8.5020000000000007</v>
          </cell>
          <cell r="K9">
            <v>14.1</v>
          </cell>
          <cell r="L9">
            <v>7.6</v>
          </cell>
          <cell r="M9">
            <v>0.54200000000000159</v>
          </cell>
          <cell r="N9">
            <v>22.242000000000001</v>
          </cell>
          <cell r="O9">
            <v>27.321999999999999</v>
          </cell>
          <cell r="P9">
            <v>5.7519999999999998</v>
          </cell>
          <cell r="Q9">
            <v>5.5949999999999998</v>
          </cell>
          <cell r="R9">
            <v>0.15700000000000003</v>
          </cell>
          <cell r="S9">
            <v>27.478999999999999</v>
          </cell>
          <cell r="T9">
            <v>0.37999927217147644</v>
          </cell>
          <cell r="U9">
            <v>10.442</v>
          </cell>
          <cell r="V9">
            <v>17.036999999999999</v>
          </cell>
          <cell r="W9">
            <v>0</v>
          </cell>
          <cell r="X9">
            <v>17.036999999999999</v>
          </cell>
          <cell r="Y9">
            <v>164.77799999999999</v>
          </cell>
          <cell r="Z9">
            <v>0.10339365692021993</v>
          </cell>
          <cell r="AA9">
            <v>0.1</v>
          </cell>
        </row>
        <row r="10">
          <cell r="A10" t="str">
            <v xml:space="preserve"> 2Q</v>
          </cell>
          <cell r="B10">
            <v>3.2</v>
          </cell>
          <cell r="C10">
            <v>34.229999999999997</v>
          </cell>
          <cell r="D10">
            <v>23.484999999999999</v>
          </cell>
          <cell r="E10">
            <v>15.98</v>
          </cell>
          <cell r="F10">
            <v>73.694999999999993</v>
          </cell>
          <cell r="G10">
            <v>76.894999999999996</v>
          </cell>
          <cell r="H10">
            <v>16.738</v>
          </cell>
          <cell r="I10">
            <v>2.4420000000000002</v>
          </cell>
          <cell r="J10">
            <v>8.3979999999999997</v>
          </cell>
          <cell r="K10">
            <v>14.5</v>
          </cell>
          <cell r="L10">
            <v>8.9849999999999994</v>
          </cell>
          <cell r="M10">
            <v>0.65899999999999892</v>
          </cell>
          <cell r="N10">
            <v>24.143999999999998</v>
          </cell>
          <cell r="O10">
            <v>27.615000000000002</v>
          </cell>
          <cell r="P10">
            <v>6.11</v>
          </cell>
          <cell r="Q10">
            <v>5.58</v>
          </cell>
          <cell r="R10">
            <v>0.53000000000000025</v>
          </cell>
          <cell r="S10">
            <v>28.145000000000003</v>
          </cell>
          <cell r="T10">
            <v>0.37999644697104279</v>
          </cell>
          <cell r="U10">
            <v>10.695</v>
          </cell>
          <cell r="V10">
            <v>17.450000000000003</v>
          </cell>
          <cell r="W10">
            <v>0</v>
          </cell>
          <cell r="X10">
            <v>17.450000000000003</v>
          </cell>
          <cell r="Y10">
            <v>164.82599999999999</v>
          </cell>
          <cell r="Z10">
            <v>0.10586921966194655</v>
          </cell>
          <cell r="AA10">
            <v>0.11</v>
          </cell>
        </row>
        <row r="11">
          <cell r="A11" t="str">
            <v xml:space="preserve"> 3Q</v>
          </cell>
          <cell r="B11">
            <v>3.2</v>
          </cell>
          <cell r="C11">
            <v>35.506</v>
          </cell>
          <cell r="D11">
            <v>27.524999999999999</v>
          </cell>
          <cell r="E11">
            <v>13.177</v>
          </cell>
          <cell r="F11">
            <v>76.207999999999998</v>
          </cell>
          <cell r="G11">
            <v>79.408000000000001</v>
          </cell>
          <cell r="H11">
            <v>15.422000000000001</v>
          </cell>
          <cell r="I11">
            <v>0.95499999999999829</v>
          </cell>
          <cell r="J11">
            <v>7.8620000000000001</v>
          </cell>
          <cell r="K11">
            <v>18.399999999999999</v>
          </cell>
          <cell r="L11">
            <v>9.125</v>
          </cell>
          <cell r="M11">
            <v>-1.3780000000000001</v>
          </cell>
          <cell r="N11">
            <v>26.146999999999998</v>
          </cell>
          <cell r="O11">
            <v>29.977000000000004</v>
          </cell>
          <cell r="P11">
            <v>6.19</v>
          </cell>
          <cell r="Q11">
            <v>6.774</v>
          </cell>
          <cell r="R11">
            <v>-0.58399999999999963</v>
          </cell>
          <cell r="S11">
            <v>29.393000000000004</v>
          </cell>
          <cell r="T11">
            <v>0.38002245432585985</v>
          </cell>
          <cell r="U11">
            <v>11.17</v>
          </cell>
          <cell r="V11">
            <v>18.223000000000006</v>
          </cell>
          <cell r="W11">
            <v>0</v>
          </cell>
          <cell r="X11">
            <v>18.223000000000006</v>
          </cell>
          <cell r="Y11">
            <v>165.68600000000001</v>
          </cell>
          <cell r="Z11">
            <v>0.10998515263812275</v>
          </cell>
          <cell r="AA11">
            <v>0.11</v>
          </cell>
        </row>
        <row r="12">
          <cell r="A12" t="str">
            <v xml:space="preserve"> 4Q</v>
          </cell>
          <cell r="B12">
            <v>3.7</v>
          </cell>
          <cell r="C12">
            <v>41.758999999999986</v>
          </cell>
          <cell r="D12">
            <v>31.261999999999993</v>
          </cell>
          <cell r="E12">
            <v>18.795000000000002</v>
          </cell>
          <cell r="F12">
            <v>91.815999999999988</v>
          </cell>
          <cell r="G12">
            <v>95.515999999999991</v>
          </cell>
          <cell r="H12">
            <v>16.812999999999999</v>
          </cell>
          <cell r="I12">
            <v>5.6820000000000022</v>
          </cell>
          <cell r="J12">
            <v>16.323</v>
          </cell>
          <cell r="K12">
            <v>23.1</v>
          </cell>
          <cell r="L12">
            <v>8.1619999999999919</v>
          </cell>
          <cell r="M12">
            <v>-0.37699999999999179</v>
          </cell>
          <cell r="N12">
            <v>30.885000000000002</v>
          </cell>
          <cell r="O12">
            <v>31.494999999999987</v>
          </cell>
          <cell r="P12">
            <v>6.2649999999999997</v>
          </cell>
          <cell r="Q12">
            <v>5.99</v>
          </cell>
          <cell r="R12">
            <v>0.27499999999999947</v>
          </cell>
          <cell r="S12">
            <v>31.769999999999985</v>
          </cell>
          <cell r="T12">
            <v>0.37998111425873476</v>
          </cell>
          <cell r="U12">
            <v>12.071999999999997</v>
          </cell>
          <cell r="V12">
            <v>19.697999999999986</v>
          </cell>
          <cell r="W12">
            <v>0</v>
          </cell>
          <cell r="X12">
            <v>19.697999999999986</v>
          </cell>
          <cell r="Y12">
            <v>165.58</v>
          </cell>
          <cell r="Z12">
            <v>0.11896364295204725</v>
          </cell>
          <cell r="AA12">
            <v>0.12</v>
          </cell>
        </row>
        <row r="14">
          <cell r="A14" t="str">
            <v>1995 (a)</v>
          </cell>
          <cell r="B14">
            <v>13.600000000000001</v>
          </cell>
          <cell r="C14">
            <v>145.45699999999999</v>
          </cell>
          <cell r="D14">
            <v>103.97200000000001</v>
          </cell>
          <cell r="E14">
            <v>63.278000000000006</v>
          </cell>
          <cell r="F14">
            <v>312.70699999999999</v>
          </cell>
          <cell r="G14">
            <v>326.30700000000002</v>
          </cell>
          <cell r="H14">
            <v>65.394999999999996</v>
          </cell>
          <cell r="I14">
            <v>11.483000000000001</v>
          </cell>
          <cell r="J14">
            <v>41.085000000000001</v>
          </cell>
          <cell r="K14">
            <v>70.099999999999994</v>
          </cell>
          <cell r="L14">
            <v>33.871999999999993</v>
          </cell>
          <cell r="M14">
            <v>-0.55399999999999139</v>
          </cell>
          <cell r="N14">
            <v>103.41799999999999</v>
          </cell>
          <cell r="O14">
            <v>116.40899999999999</v>
          </cell>
          <cell r="P14">
            <v>24.317</v>
          </cell>
          <cell r="Q14">
            <v>23.939</v>
          </cell>
          <cell r="R14">
            <v>0.37800000000000011</v>
          </cell>
          <cell r="S14">
            <v>116.78699999999999</v>
          </cell>
          <cell r="T14">
            <v>0.37999948624418817</v>
          </cell>
          <cell r="U14">
            <v>44.378999999999998</v>
          </cell>
          <cell r="V14">
            <v>72.407999999999987</v>
          </cell>
          <cell r="W14">
            <v>0</v>
          </cell>
          <cell r="X14">
            <v>72.407999999999987</v>
          </cell>
          <cell r="Y14">
            <v>165.2175</v>
          </cell>
          <cell r="Z14">
            <v>0.43821167217233647</v>
          </cell>
          <cell r="AA14">
            <v>0.44</v>
          </cell>
        </row>
        <row r="16">
          <cell r="A16" t="str">
            <v>1996 (b)</v>
          </cell>
        </row>
        <row r="17">
          <cell r="A17" t="str">
            <v xml:space="preserve"> 1Q</v>
          </cell>
          <cell r="B17">
            <v>6</v>
          </cell>
          <cell r="C17">
            <v>37.5</v>
          </cell>
          <cell r="D17">
            <v>30.3</v>
          </cell>
          <cell r="E17">
            <v>14.7</v>
          </cell>
          <cell r="F17">
            <v>82.5</v>
          </cell>
          <cell r="G17">
            <v>88.5</v>
          </cell>
          <cell r="H17">
            <v>16</v>
          </cell>
          <cell r="I17">
            <v>4.6999999999999993</v>
          </cell>
          <cell r="J17">
            <v>10.199999999999999</v>
          </cell>
          <cell r="K17">
            <v>22.9</v>
          </cell>
          <cell r="L17">
            <v>7.4000000000000021</v>
          </cell>
          <cell r="M17">
            <v>1</v>
          </cell>
          <cell r="N17">
            <v>31.3</v>
          </cell>
          <cell r="O17">
            <v>30.999999999999996</v>
          </cell>
          <cell r="P17">
            <v>8.2999999999999989</v>
          </cell>
          <cell r="Q17">
            <v>6.4</v>
          </cell>
          <cell r="R17">
            <v>1.8999999999999986</v>
          </cell>
          <cell r="S17">
            <v>32.899999999999991</v>
          </cell>
          <cell r="T17">
            <v>0.37993920972644385</v>
          </cell>
          <cell r="U17">
            <v>12.5</v>
          </cell>
          <cell r="V17">
            <v>20.399999999999991</v>
          </cell>
          <cell r="W17">
            <v>0</v>
          </cell>
          <cell r="X17">
            <v>20.399999999999991</v>
          </cell>
          <cell r="Y17">
            <v>169.2</v>
          </cell>
          <cell r="Z17">
            <v>0.12</v>
          </cell>
          <cell r="AA17">
            <v>0.12</v>
          </cell>
        </row>
        <row r="18">
          <cell r="A18" t="str">
            <v xml:space="preserve"> 2Q (c)</v>
          </cell>
          <cell r="B18">
            <v>3.8</v>
          </cell>
          <cell r="C18">
            <v>49.1</v>
          </cell>
          <cell r="D18">
            <v>35.1</v>
          </cell>
          <cell r="E18">
            <v>29.8</v>
          </cell>
          <cell r="F18">
            <v>114</v>
          </cell>
          <cell r="G18">
            <v>117.8</v>
          </cell>
          <cell r="H18">
            <v>29.6</v>
          </cell>
          <cell r="I18">
            <v>4</v>
          </cell>
          <cell r="J18">
            <v>11.9</v>
          </cell>
          <cell r="K18">
            <v>26.5</v>
          </cell>
          <cell r="L18">
            <v>8.6000000000000014</v>
          </cell>
          <cell r="M18">
            <v>3.1000000000000014</v>
          </cell>
          <cell r="N18">
            <v>38.200000000000003</v>
          </cell>
          <cell r="O18">
            <v>38.09999999999998</v>
          </cell>
          <cell r="P18">
            <v>10.199999999999999</v>
          </cell>
          <cell r="Q18">
            <v>10.9</v>
          </cell>
          <cell r="R18">
            <v>-0.70000000000000107</v>
          </cell>
          <cell r="S18">
            <v>37.399999999999977</v>
          </cell>
          <cell r="T18">
            <v>0.37967914438502692</v>
          </cell>
          <cell r="U18">
            <v>14.2</v>
          </cell>
          <cell r="V18">
            <v>23.199999999999978</v>
          </cell>
          <cell r="W18">
            <v>3</v>
          </cell>
          <cell r="X18">
            <v>26.199999999999978</v>
          </cell>
          <cell r="Y18">
            <v>194.8</v>
          </cell>
          <cell r="Z18">
            <v>0.13500000000000001</v>
          </cell>
          <cell r="AA18">
            <v>0.13500000000000001</v>
          </cell>
        </row>
        <row r="19">
          <cell r="A19" t="str">
            <v xml:space="preserve"> 3Q</v>
          </cell>
          <cell r="B19">
            <v>5.7</v>
          </cell>
          <cell r="C19">
            <v>39.5</v>
          </cell>
          <cell r="D19">
            <v>29.4</v>
          </cell>
          <cell r="E19">
            <v>23.8</v>
          </cell>
          <cell r="F19">
            <v>92.7</v>
          </cell>
          <cell r="G19">
            <v>98.4</v>
          </cell>
          <cell r="H19">
            <v>21.4</v>
          </cell>
          <cell r="I19">
            <v>8.1000000000000014</v>
          </cell>
          <cell r="J19">
            <v>11.6</v>
          </cell>
          <cell r="K19">
            <v>22.4</v>
          </cell>
          <cell r="L19">
            <v>7</v>
          </cell>
          <cell r="M19">
            <v>2.3000000000000007</v>
          </cell>
          <cell r="N19">
            <v>31.7</v>
          </cell>
          <cell r="O19">
            <v>33.700000000000003</v>
          </cell>
          <cell r="P19">
            <v>16.5</v>
          </cell>
          <cell r="Q19">
            <v>12.9</v>
          </cell>
          <cell r="R19">
            <v>3.5999999999999996</v>
          </cell>
          <cell r="S19">
            <v>37.300000000000004</v>
          </cell>
          <cell r="T19">
            <v>0.38069705093833772</v>
          </cell>
          <cell r="U19">
            <v>14.2</v>
          </cell>
          <cell r="V19">
            <v>23.100000000000005</v>
          </cell>
          <cell r="W19">
            <v>3.1</v>
          </cell>
          <cell r="X19">
            <v>26.200000000000006</v>
          </cell>
          <cell r="Y19">
            <v>194.6</v>
          </cell>
          <cell r="Z19">
            <v>0.13500000000000001</v>
          </cell>
          <cell r="AA19">
            <v>0.13500000000000001</v>
          </cell>
        </row>
        <row r="20">
          <cell r="A20" t="str">
            <v xml:space="preserve"> 4Q</v>
          </cell>
          <cell r="B20">
            <v>7.6</v>
          </cell>
          <cell r="C20">
            <v>47.2</v>
          </cell>
          <cell r="D20">
            <v>36.4</v>
          </cell>
          <cell r="E20">
            <v>17.2</v>
          </cell>
          <cell r="F20">
            <v>100.8</v>
          </cell>
          <cell r="G20">
            <v>108.39999999999999</v>
          </cell>
          <cell r="H20">
            <v>18.2</v>
          </cell>
          <cell r="I20">
            <v>6.5999999999999979</v>
          </cell>
          <cell r="J20">
            <v>13.4</v>
          </cell>
          <cell r="K20">
            <v>26.8</v>
          </cell>
          <cell r="L20">
            <v>9.5999999999999979</v>
          </cell>
          <cell r="M20">
            <v>4</v>
          </cell>
          <cell r="N20">
            <v>40.4</v>
          </cell>
          <cell r="O20">
            <v>36.399999999999984</v>
          </cell>
          <cell r="P20">
            <v>17.899999999999999</v>
          </cell>
          <cell r="Q20">
            <v>12.8</v>
          </cell>
          <cell r="R20">
            <v>5.0999999999999979</v>
          </cell>
          <cell r="S20">
            <v>41.499999999999986</v>
          </cell>
          <cell r="T20">
            <v>0.38072289156626521</v>
          </cell>
          <cell r="U20">
            <v>15.8</v>
          </cell>
          <cell r="V20">
            <v>25.699999999999985</v>
          </cell>
          <cell r="W20">
            <v>3.1</v>
          </cell>
          <cell r="X20">
            <v>28.799999999999986</v>
          </cell>
          <cell r="Y20">
            <v>195</v>
          </cell>
          <cell r="Z20">
            <v>0.15</v>
          </cell>
          <cell r="AA20">
            <v>0.15</v>
          </cell>
        </row>
        <row r="22">
          <cell r="A22" t="str">
            <v>1996 (b,c)</v>
          </cell>
          <cell r="B22">
            <v>23.1</v>
          </cell>
          <cell r="C22">
            <v>173.3</v>
          </cell>
          <cell r="D22">
            <v>131.20000000000002</v>
          </cell>
          <cell r="E22">
            <v>85.5</v>
          </cell>
          <cell r="F22">
            <v>390</v>
          </cell>
          <cell r="G22">
            <v>413.1</v>
          </cell>
          <cell r="H22">
            <v>85.2</v>
          </cell>
          <cell r="I22">
            <v>23.4</v>
          </cell>
          <cell r="J22">
            <v>47.1</v>
          </cell>
          <cell r="K22">
            <v>98.6</v>
          </cell>
          <cell r="L22">
            <v>32.6</v>
          </cell>
          <cell r="M22">
            <v>10.400000000000002</v>
          </cell>
          <cell r="N22">
            <v>141.6</v>
          </cell>
          <cell r="O22">
            <v>139.19999999999996</v>
          </cell>
          <cell r="P22">
            <v>52.9</v>
          </cell>
          <cell r="Q22">
            <v>43</v>
          </cell>
          <cell r="R22">
            <v>9.899999999999995</v>
          </cell>
          <cell r="S22">
            <v>149.09999999999997</v>
          </cell>
          <cell r="T22">
            <v>0.38028169014084517</v>
          </cell>
          <cell r="U22">
            <v>56.7</v>
          </cell>
          <cell r="V22">
            <v>92.399999999999963</v>
          </cell>
          <cell r="W22">
            <v>9.1999999999999993</v>
          </cell>
          <cell r="X22">
            <v>101.59999999999997</v>
          </cell>
          <cell r="Y22">
            <v>188.4</v>
          </cell>
          <cell r="Z22">
            <v>0.54</v>
          </cell>
          <cell r="AA22">
            <v>0.54</v>
          </cell>
        </row>
        <row r="24">
          <cell r="A24" t="str">
            <v>1997</v>
          </cell>
        </row>
        <row r="25">
          <cell r="A25" t="str">
            <v xml:space="preserve"> 1Q</v>
          </cell>
          <cell r="B25">
            <v>6.9</v>
          </cell>
          <cell r="C25">
            <v>44.2</v>
          </cell>
          <cell r="D25">
            <v>33.799999999999997</v>
          </cell>
          <cell r="E25">
            <v>20.6</v>
          </cell>
          <cell r="F25">
            <v>98.6</v>
          </cell>
          <cell r="G25">
            <v>105.5</v>
          </cell>
          <cell r="H25">
            <v>19.7</v>
          </cell>
          <cell r="I25">
            <v>7.8000000000000007</v>
          </cell>
          <cell r="J25">
            <v>11.6</v>
          </cell>
          <cell r="K25">
            <v>23.4</v>
          </cell>
          <cell r="L25">
            <v>10.399999999999999</v>
          </cell>
          <cell r="M25">
            <v>1.2000000000000028</v>
          </cell>
          <cell r="N25">
            <v>35</v>
          </cell>
          <cell r="O25">
            <v>39.200000000000003</v>
          </cell>
          <cell r="P25">
            <v>16.899999999999999</v>
          </cell>
          <cell r="Q25">
            <v>13.7</v>
          </cell>
          <cell r="R25">
            <v>3.1999999999999993</v>
          </cell>
          <cell r="S25">
            <v>42.400000000000006</v>
          </cell>
          <cell r="T25">
            <v>0.37971698113207547</v>
          </cell>
          <cell r="U25">
            <v>16.100000000000001</v>
          </cell>
          <cell r="V25">
            <v>26.300000000000004</v>
          </cell>
          <cell r="W25">
            <v>3.2</v>
          </cell>
          <cell r="X25">
            <v>29.500000000000004</v>
          </cell>
          <cell r="Y25">
            <v>195.6</v>
          </cell>
          <cell r="Z25">
            <v>0.15081799591002049</v>
          </cell>
          <cell r="AA25">
            <v>0.15</v>
          </cell>
        </row>
        <row r="26">
          <cell r="A26" t="str">
            <v xml:space="preserve"> 2Q</v>
          </cell>
          <cell r="B26">
            <v>8.5</v>
          </cell>
          <cell r="C26">
            <v>45.7</v>
          </cell>
          <cell r="D26">
            <v>36.1</v>
          </cell>
          <cell r="E26">
            <v>27.9</v>
          </cell>
          <cell r="F26">
            <v>109.70000000000002</v>
          </cell>
          <cell r="G26">
            <v>118.20000000000002</v>
          </cell>
          <cell r="H26">
            <v>23.1</v>
          </cell>
          <cell r="I26">
            <v>13.299999999999997</v>
          </cell>
          <cell r="J26">
            <v>12.6</v>
          </cell>
          <cell r="K26">
            <v>25.9</v>
          </cell>
          <cell r="L26">
            <v>10.200000000000003</v>
          </cell>
          <cell r="M26">
            <v>3.5</v>
          </cell>
          <cell r="N26">
            <v>39.6</v>
          </cell>
          <cell r="O26">
            <v>42.900000000000027</v>
          </cell>
          <cell r="P26">
            <v>13.5</v>
          </cell>
          <cell r="Q26">
            <v>13.7</v>
          </cell>
          <cell r="R26">
            <v>-0.19999999999999929</v>
          </cell>
          <cell r="S26">
            <v>42.700000000000031</v>
          </cell>
          <cell r="T26">
            <v>0.38173302107728313</v>
          </cell>
          <cell r="U26">
            <v>16.3</v>
          </cell>
          <cell r="V26">
            <v>26.400000000000031</v>
          </cell>
          <cell r="W26">
            <v>3.2</v>
          </cell>
          <cell r="X26">
            <v>29.60000000000003</v>
          </cell>
          <cell r="Y26">
            <v>196</v>
          </cell>
          <cell r="Z26">
            <v>0.15102040816326545</v>
          </cell>
          <cell r="AA26">
            <v>0.15</v>
          </cell>
        </row>
        <row r="27">
          <cell r="A27" t="str">
            <v xml:space="preserve"> 3Q (d)</v>
          </cell>
          <cell r="B27">
            <v>14.1</v>
          </cell>
          <cell r="C27">
            <v>41.9</v>
          </cell>
          <cell r="D27">
            <v>36.1</v>
          </cell>
          <cell r="E27">
            <v>22.4</v>
          </cell>
          <cell r="F27">
            <v>100.4</v>
          </cell>
          <cell r="G27">
            <v>114.5</v>
          </cell>
          <cell r="H27">
            <v>22</v>
          </cell>
          <cell r="I27">
            <v>14.5</v>
          </cell>
          <cell r="J27">
            <v>11</v>
          </cell>
          <cell r="K27">
            <v>26.6</v>
          </cell>
          <cell r="L27">
            <v>9.5</v>
          </cell>
          <cell r="M27">
            <v>5.7999999999999972</v>
          </cell>
          <cell r="N27">
            <v>41.9</v>
          </cell>
          <cell r="O27">
            <v>39.6</v>
          </cell>
          <cell r="P27">
            <v>17.8</v>
          </cell>
          <cell r="Q27">
            <v>13.8</v>
          </cell>
          <cell r="R27">
            <v>4</v>
          </cell>
          <cell r="S27">
            <v>43.6</v>
          </cell>
          <cell r="T27">
            <v>0.38073394495412843</v>
          </cell>
          <cell r="U27">
            <v>16.600000000000001</v>
          </cell>
          <cell r="V27">
            <v>27</v>
          </cell>
          <cell r="W27">
            <v>3.2</v>
          </cell>
          <cell r="X27">
            <v>30.2</v>
          </cell>
          <cell r="Y27">
            <v>196.8</v>
          </cell>
          <cell r="Z27">
            <v>0.15345528455284552</v>
          </cell>
          <cell r="AA27">
            <v>-1.915</v>
          </cell>
        </row>
        <row r="28">
          <cell r="A28" t="str">
            <v xml:space="preserve"> 4Q</v>
          </cell>
          <cell r="B28">
            <v>23.4</v>
          </cell>
          <cell r="C28">
            <v>51.6</v>
          </cell>
          <cell r="D28">
            <v>29</v>
          </cell>
          <cell r="E28">
            <v>22.2</v>
          </cell>
          <cell r="F28">
            <v>102.8</v>
          </cell>
          <cell r="G28">
            <v>126.19999999999999</v>
          </cell>
          <cell r="H28">
            <v>27.9</v>
          </cell>
          <cell r="I28">
            <v>17.699999999999996</v>
          </cell>
          <cell r="J28">
            <v>16.300000000000004</v>
          </cell>
          <cell r="K28">
            <v>21.6</v>
          </cell>
          <cell r="L28">
            <v>7.3999999999999986</v>
          </cell>
          <cell r="M28">
            <v>9.8999999999999986</v>
          </cell>
          <cell r="N28">
            <v>38.9</v>
          </cell>
          <cell r="O28">
            <v>43.099999999999973</v>
          </cell>
          <cell r="P28">
            <v>7.3</v>
          </cell>
          <cell r="Q28">
            <v>13.7</v>
          </cell>
          <cell r="R28">
            <v>-6.3999999999999995</v>
          </cell>
          <cell r="S28">
            <v>36.699999999999974</v>
          </cell>
          <cell r="T28">
            <v>0.24250681198910096</v>
          </cell>
          <cell r="U28">
            <v>8.8999999999999986</v>
          </cell>
          <cell r="V28">
            <v>27.799999999999976</v>
          </cell>
          <cell r="W28">
            <v>3.2</v>
          </cell>
          <cell r="X28">
            <v>30.999999999999975</v>
          </cell>
          <cell r="Y28">
            <v>196.6</v>
          </cell>
          <cell r="Z28">
            <v>0.15768056968463873</v>
          </cell>
          <cell r="AA28">
            <v>0.15</v>
          </cell>
        </row>
        <row r="30">
          <cell r="A30" t="str">
            <v>1997 (d)</v>
          </cell>
          <cell r="B30">
            <v>52.9</v>
          </cell>
          <cell r="C30">
            <v>183.4</v>
          </cell>
          <cell r="D30">
            <v>135</v>
          </cell>
          <cell r="E30">
            <v>93.100000000000009</v>
          </cell>
          <cell r="F30">
            <v>411.50000000000006</v>
          </cell>
          <cell r="G30">
            <v>464.40000000000003</v>
          </cell>
          <cell r="H30">
            <v>92.699999999999989</v>
          </cell>
          <cell r="I30">
            <v>53.29999999999999</v>
          </cell>
          <cell r="J30">
            <v>51.500000000000007</v>
          </cell>
          <cell r="K30">
            <v>97.5</v>
          </cell>
          <cell r="L30">
            <v>37.5</v>
          </cell>
          <cell r="M30">
            <v>20.399999999999999</v>
          </cell>
          <cell r="N30">
            <v>155.4</v>
          </cell>
          <cell r="O30">
            <v>164.79999999999998</v>
          </cell>
          <cell r="P30">
            <v>55.5</v>
          </cell>
          <cell r="Q30">
            <v>54.900000000000006</v>
          </cell>
          <cell r="R30">
            <v>0.60000000000000053</v>
          </cell>
          <cell r="S30">
            <v>165.40000000000003</v>
          </cell>
          <cell r="T30">
            <v>0.35006045949214021</v>
          </cell>
          <cell r="U30">
            <v>57.900000000000006</v>
          </cell>
          <cell r="V30">
            <v>107.5</v>
          </cell>
          <cell r="W30">
            <v>12.8</v>
          </cell>
          <cell r="X30">
            <v>120.30000000000001</v>
          </cell>
          <cell r="Y30">
            <v>196.25000000000003</v>
          </cell>
          <cell r="Z30">
            <v>0.61297425831077024</v>
          </cell>
          <cell r="AA30">
            <v>-1.4650000000000001</v>
          </cell>
        </row>
        <row r="32">
          <cell r="A32" t="str">
            <v>1998 (e)</v>
          </cell>
        </row>
        <row r="33">
          <cell r="A33" t="str">
            <v xml:space="preserve"> 1Q</v>
          </cell>
          <cell r="B33">
            <v>41.8</v>
          </cell>
          <cell r="C33">
            <v>50.4</v>
          </cell>
          <cell r="D33">
            <v>26.3</v>
          </cell>
          <cell r="E33">
            <v>25</v>
          </cell>
          <cell r="F33">
            <v>101.7</v>
          </cell>
          <cell r="G33">
            <v>143.5</v>
          </cell>
          <cell r="H33">
            <v>31.3</v>
          </cell>
          <cell r="I33">
            <v>35.5</v>
          </cell>
          <cell r="J33">
            <v>24.4</v>
          </cell>
          <cell r="K33">
            <v>19.940000000000001</v>
          </cell>
          <cell r="L33">
            <v>6.3599999999999994</v>
          </cell>
          <cell r="M33">
            <v>13.900000000000002</v>
          </cell>
          <cell r="N33">
            <v>40.200000000000003</v>
          </cell>
          <cell r="O33">
            <v>47.600000000000009</v>
          </cell>
          <cell r="P33">
            <v>6.9</v>
          </cell>
          <cell r="Q33">
            <v>14.2</v>
          </cell>
          <cell r="R33">
            <v>-7.2999999999999989</v>
          </cell>
          <cell r="S33">
            <v>40.300000000000011</v>
          </cell>
          <cell r="T33">
            <v>0.3424317617866004</v>
          </cell>
          <cell r="U33">
            <v>13.8</v>
          </cell>
          <cell r="V33">
            <v>26.500000000000011</v>
          </cell>
          <cell r="W33">
            <v>0</v>
          </cell>
          <cell r="X33">
            <v>26.500000000000011</v>
          </cell>
          <cell r="Y33">
            <v>200.2</v>
          </cell>
          <cell r="Z33">
            <v>0.13500000000000001</v>
          </cell>
          <cell r="AA33">
            <v>0.13500000000000001</v>
          </cell>
        </row>
        <row r="34">
          <cell r="A34" t="str">
            <v xml:space="preserve"> 2Q</v>
          </cell>
          <cell r="B34">
            <v>41.8</v>
          </cell>
          <cell r="C34">
            <v>53.4</v>
          </cell>
          <cell r="D34">
            <v>32.6</v>
          </cell>
          <cell r="E34">
            <v>30.5</v>
          </cell>
          <cell r="F34">
            <v>116.5</v>
          </cell>
          <cell r="G34">
            <v>158.30000000000001</v>
          </cell>
          <cell r="H34">
            <v>35.200000000000003</v>
          </cell>
          <cell r="I34">
            <v>37.099999999999994</v>
          </cell>
          <cell r="J34">
            <v>25.2</v>
          </cell>
          <cell r="K34">
            <v>24.94</v>
          </cell>
          <cell r="L34">
            <v>7.66</v>
          </cell>
          <cell r="M34">
            <v>12.199999999999996</v>
          </cell>
          <cell r="N34">
            <v>44.8</v>
          </cell>
          <cell r="O34">
            <v>53.100000000000009</v>
          </cell>
          <cell r="P34">
            <v>6.5</v>
          </cell>
          <cell r="Q34">
            <v>14.3</v>
          </cell>
          <cell r="R34">
            <v>-7.8000000000000007</v>
          </cell>
          <cell r="S34">
            <v>45.300000000000011</v>
          </cell>
          <cell r="T34">
            <v>0.35099337748344361</v>
          </cell>
          <cell r="U34">
            <v>15.899999999999999</v>
          </cell>
          <cell r="V34">
            <v>29.400000000000013</v>
          </cell>
          <cell r="W34">
            <v>3.5</v>
          </cell>
          <cell r="X34">
            <v>32.900000000000013</v>
          </cell>
          <cell r="Y34">
            <v>227.2</v>
          </cell>
          <cell r="Z34">
            <v>0.14499999999999999</v>
          </cell>
          <cell r="AA34">
            <v>0.14499999999999999</v>
          </cell>
        </row>
        <row r="35">
          <cell r="A35" t="str">
            <v xml:space="preserve"> 3Q</v>
          </cell>
          <cell r="B35">
            <v>43.9</v>
          </cell>
          <cell r="C35">
            <v>65.3</v>
          </cell>
          <cell r="D35">
            <v>32.799999999999997</v>
          </cell>
          <cell r="E35">
            <v>30.8</v>
          </cell>
          <cell r="F35">
            <v>128.9</v>
          </cell>
          <cell r="G35">
            <v>172.8</v>
          </cell>
          <cell r="H35">
            <v>32.6</v>
          </cell>
          <cell r="I35">
            <v>42.1</v>
          </cell>
          <cell r="J35">
            <v>38</v>
          </cell>
          <cell r="K35">
            <v>24.7</v>
          </cell>
          <cell r="L35">
            <v>8.0999999999999979</v>
          </cell>
          <cell r="M35">
            <v>18.900000000000006</v>
          </cell>
          <cell r="N35">
            <v>51.7</v>
          </cell>
          <cell r="O35">
            <v>50.500000000000014</v>
          </cell>
          <cell r="P35">
            <v>6.3</v>
          </cell>
          <cell r="Q35">
            <v>14.2</v>
          </cell>
          <cell r="R35">
            <v>-7.8999999999999995</v>
          </cell>
          <cell r="S35">
            <v>42.600000000000016</v>
          </cell>
          <cell r="T35">
            <v>0.34976525821596233</v>
          </cell>
          <cell r="U35">
            <v>14.9</v>
          </cell>
          <cell r="V35">
            <v>27.700000000000017</v>
          </cell>
          <cell r="W35">
            <v>0</v>
          </cell>
          <cell r="X35">
            <v>27.700000000000017</v>
          </cell>
          <cell r="Y35">
            <v>202.4</v>
          </cell>
          <cell r="Z35">
            <v>0.13500000000000001</v>
          </cell>
          <cell r="AA35">
            <v>0.13500000000000001</v>
          </cell>
        </row>
        <row r="36">
          <cell r="A36" t="str">
            <v xml:space="preserve"> 4Q</v>
          </cell>
          <cell r="B36">
            <v>48.3</v>
          </cell>
          <cell r="C36">
            <v>64</v>
          </cell>
          <cell r="D36">
            <v>32.700000000000003</v>
          </cell>
          <cell r="E36">
            <v>27.3</v>
          </cell>
          <cell r="F36">
            <v>124</v>
          </cell>
          <cell r="G36">
            <v>172.3</v>
          </cell>
          <cell r="H36">
            <v>26.6</v>
          </cell>
          <cell r="I36">
            <v>48.999999999999993</v>
          </cell>
          <cell r="J36">
            <v>46.7</v>
          </cell>
          <cell r="K36">
            <v>25.2</v>
          </cell>
          <cell r="L36">
            <v>7.5000000000000036</v>
          </cell>
          <cell r="M36">
            <v>21</v>
          </cell>
          <cell r="N36">
            <v>53.7</v>
          </cell>
          <cell r="O36">
            <v>45.300000000000011</v>
          </cell>
          <cell r="P36">
            <v>6.7</v>
          </cell>
          <cell r="Q36">
            <v>14</v>
          </cell>
          <cell r="R36">
            <v>-7.3</v>
          </cell>
          <cell r="S36">
            <v>38.000000000000014</v>
          </cell>
          <cell r="T36">
            <v>0.34999999999999987</v>
          </cell>
          <cell r="U36">
            <v>13.3</v>
          </cell>
          <cell r="V36">
            <v>24.700000000000014</v>
          </cell>
          <cell r="W36">
            <v>0</v>
          </cell>
          <cell r="X36">
            <v>24.700000000000014</v>
          </cell>
          <cell r="Y36">
            <v>205.8</v>
          </cell>
          <cell r="Z36">
            <v>0.12</v>
          </cell>
          <cell r="AA36">
            <v>0.12</v>
          </cell>
        </row>
        <row r="38">
          <cell r="A38" t="str">
            <v>Year</v>
          </cell>
          <cell r="B38">
            <v>175.8</v>
          </cell>
          <cell r="C38">
            <v>233.1</v>
          </cell>
          <cell r="D38">
            <v>124.4</v>
          </cell>
          <cell r="E38">
            <v>113.6</v>
          </cell>
          <cell r="F38">
            <v>471.1</v>
          </cell>
          <cell r="G38">
            <v>646.90000000000009</v>
          </cell>
          <cell r="H38">
            <v>125.69999999999999</v>
          </cell>
          <cell r="I38">
            <v>163.69999999999999</v>
          </cell>
          <cell r="J38">
            <v>134.30000000000001</v>
          </cell>
          <cell r="K38">
            <v>94.78</v>
          </cell>
          <cell r="L38">
            <v>29.62</v>
          </cell>
          <cell r="M38">
            <v>66</v>
          </cell>
          <cell r="N38">
            <v>190.39999999999998</v>
          </cell>
          <cell r="O38">
            <v>196.50000000000006</v>
          </cell>
          <cell r="P38">
            <v>26.4</v>
          </cell>
          <cell r="Q38">
            <v>56.7</v>
          </cell>
          <cell r="R38">
            <v>-30.3</v>
          </cell>
          <cell r="S38">
            <v>166.20000000000005</v>
          </cell>
          <cell r="T38">
            <v>0.34837545126353786</v>
          </cell>
          <cell r="U38">
            <v>57.900000000000006</v>
          </cell>
          <cell r="V38">
            <v>108.30000000000005</v>
          </cell>
          <cell r="W38">
            <v>3.5</v>
          </cell>
          <cell r="X38">
            <v>111.80000000000005</v>
          </cell>
          <cell r="Y38">
            <v>203</v>
          </cell>
          <cell r="Z38">
            <v>0.53500000000000003</v>
          </cell>
          <cell r="AA38">
            <v>0.53500000000000003</v>
          </cell>
        </row>
        <row r="40">
          <cell r="A40" t="str">
            <v>1999</v>
          </cell>
        </row>
        <row r="41">
          <cell r="A41" t="str">
            <v xml:space="preserve"> 1Q (f)</v>
          </cell>
          <cell r="B41">
            <v>67.900000000000006</v>
          </cell>
          <cell r="C41">
            <v>58.9</v>
          </cell>
          <cell r="D41">
            <v>30.4</v>
          </cell>
          <cell r="E41">
            <v>28.3</v>
          </cell>
          <cell r="F41">
            <v>117.6</v>
          </cell>
          <cell r="G41">
            <v>185.5</v>
          </cell>
          <cell r="H41">
            <v>34.299999999999997</v>
          </cell>
          <cell r="I41">
            <v>61.900000000000006</v>
          </cell>
          <cell r="J41">
            <v>55.2</v>
          </cell>
          <cell r="K41">
            <v>23.3</v>
          </cell>
          <cell r="L41">
            <v>7.0999999999999979</v>
          </cell>
          <cell r="M41">
            <v>13.700000000000003</v>
          </cell>
          <cell r="N41">
            <v>44.1</v>
          </cell>
          <cell r="O41">
            <v>51.899999999999984</v>
          </cell>
          <cell r="P41">
            <v>5</v>
          </cell>
          <cell r="Q41">
            <v>14.9</v>
          </cell>
          <cell r="R41">
            <v>-9.9</v>
          </cell>
          <cell r="S41">
            <v>41.999999999999986</v>
          </cell>
          <cell r="T41">
            <v>0.32380952380952394</v>
          </cell>
          <cell r="U41">
            <v>13.600000000000001</v>
          </cell>
          <cell r="V41">
            <v>28.399999999999984</v>
          </cell>
          <cell r="W41">
            <v>0</v>
          </cell>
          <cell r="X41">
            <v>28.399999999999984</v>
          </cell>
          <cell r="Y41">
            <v>206.4</v>
          </cell>
          <cell r="Z41">
            <v>0.14000000000000001</v>
          </cell>
          <cell r="AA41">
            <v>0.02</v>
          </cell>
        </row>
        <row r="42">
          <cell r="A42" t="str">
            <v xml:space="preserve"> 2Q</v>
          </cell>
          <cell r="B42">
            <v>68.8</v>
          </cell>
          <cell r="C42">
            <v>54.8</v>
          </cell>
          <cell r="D42">
            <v>37.200000000000003</v>
          </cell>
          <cell r="E42">
            <v>34.4</v>
          </cell>
          <cell r="F42">
            <v>126.4</v>
          </cell>
          <cell r="G42">
            <v>195.2</v>
          </cell>
          <cell r="H42">
            <v>40.299999999999997</v>
          </cell>
          <cell r="I42">
            <v>62.899999999999991</v>
          </cell>
          <cell r="J42">
            <v>60.4</v>
          </cell>
          <cell r="K42">
            <v>28.5</v>
          </cell>
          <cell r="L42">
            <v>8.7000000000000028</v>
          </cell>
          <cell r="M42">
            <v>10.599999999999994</v>
          </cell>
          <cell r="N42">
            <v>47.8</v>
          </cell>
          <cell r="O42">
            <v>46.699999999999974</v>
          </cell>
          <cell r="P42">
            <v>18.399999999999999</v>
          </cell>
          <cell r="Q42">
            <v>14.8</v>
          </cell>
          <cell r="R42">
            <v>3.5999999999999979</v>
          </cell>
          <cell r="S42">
            <v>50.299999999999969</v>
          </cell>
          <cell r="T42">
            <v>0.32007952286282326</v>
          </cell>
          <cell r="U42">
            <v>16.100000000000001</v>
          </cell>
          <cell r="V42">
            <v>34.199999999999967</v>
          </cell>
          <cell r="W42">
            <v>3.8</v>
          </cell>
          <cell r="X42">
            <v>37.999999999999964</v>
          </cell>
          <cell r="Y42">
            <v>229.8</v>
          </cell>
          <cell r="Z42">
            <v>0.16500000000000001</v>
          </cell>
          <cell r="AA42">
            <v>0.16500000000000001</v>
          </cell>
        </row>
        <row r="43">
          <cell r="A43" t="str">
            <v xml:space="preserve"> 3Q</v>
          </cell>
          <cell r="B43">
            <v>106.3</v>
          </cell>
          <cell r="C43">
            <v>58</v>
          </cell>
          <cell r="D43">
            <v>27.2</v>
          </cell>
          <cell r="E43">
            <v>30.6</v>
          </cell>
          <cell r="F43">
            <v>115.80000000000001</v>
          </cell>
          <cell r="G43">
            <v>222.10000000000002</v>
          </cell>
          <cell r="H43">
            <v>45.2</v>
          </cell>
          <cell r="I43">
            <v>91.7</v>
          </cell>
          <cell r="J43">
            <v>65.900000000000006</v>
          </cell>
          <cell r="K43">
            <v>21</v>
          </cell>
          <cell r="L43">
            <v>6.1999999999999993</v>
          </cell>
          <cell r="M43">
            <v>14.099999999999998</v>
          </cell>
          <cell r="N43">
            <v>41.3</v>
          </cell>
          <cell r="O43">
            <v>69.700000000000031</v>
          </cell>
          <cell r="P43">
            <v>7.3</v>
          </cell>
          <cell r="Q43">
            <v>14.1</v>
          </cell>
          <cell r="R43">
            <v>-6.8</v>
          </cell>
          <cell r="S43">
            <v>62.900000000000034</v>
          </cell>
          <cell r="T43">
            <v>0.31955484896661351</v>
          </cell>
          <cell r="U43">
            <v>20.100000000000001</v>
          </cell>
          <cell r="V43">
            <v>42.800000000000033</v>
          </cell>
          <cell r="W43">
            <v>8.4</v>
          </cell>
          <cell r="X43">
            <v>51.200000000000031</v>
          </cell>
          <cell r="Y43">
            <v>258.8</v>
          </cell>
          <cell r="Z43">
            <v>0.2</v>
          </cell>
          <cell r="AA43">
            <v>0.2</v>
          </cell>
        </row>
        <row r="44">
          <cell r="A44" t="str">
            <v xml:space="preserve"> 4Q (g)</v>
          </cell>
          <cell r="B44">
            <v>80.400000000000006</v>
          </cell>
          <cell r="C44">
            <v>55.4</v>
          </cell>
          <cell r="D44">
            <v>26</v>
          </cell>
          <cell r="E44">
            <v>31.3</v>
          </cell>
          <cell r="F44">
            <v>112.7</v>
          </cell>
          <cell r="G44">
            <v>193.10000000000002</v>
          </cell>
          <cell r="H44">
            <v>38.6</v>
          </cell>
          <cell r="I44">
            <v>73.099999999999994</v>
          </cell>
          <cell r="J44">
            <v>72.2</v>
          </cell>
          <cell r="K44">
            <v>18</v>
          </cell>
          <cell r="L44">
            <v>8</v>
          </cell>
          <cell r="M44">
            <v>24.4</v>
          </cell>
          <cell r="N44">
            <v>50.4</v>
          </cell>
          <cell r="O44">
            <v>31.900000000000027</v>
          </cell>
          <cell r="P44">
            <v>10.9</v>
          </cell>
          <cell r="Q44">
            <v>14.3</v>
          </cell>
          <cell r="R44">
            <v>-3.4000000000000004</v>
          </cell>
          <cell r="S44">
            <v>28.500000000000028</v>
          </cell>
          <cell r="T44">
            <v>4.2105263157894694E-2</v>
          </cell>
          <cell r="U44">
            <v>1.2</v>
          </cell>
          <cell r="V44">
            <v>27.300000000000029</v>
          </cell>
          <cell r="W44">
            <v>0</v>
          </cell>
          <cell r="X44">
            <v>27.300000000000029</v>
          </cell>
          <cell r="Y44">
            <v>207.8</v>
          </cell>
          <cell r="Z44">
            <v>0.13137632338787308</v>
          </cell>
          <cell r="AA44">
            <v>0.1</v>
          </cell>
        </row>
        <row r="46">
          <cell r="A46" t="str">
            <v>Year</v>
          </cell>
          <cell r="B46">
            <v>323.39999999999998</v>
          </cell>
          <cell r="C46">
            <v>227.1</v>
          </cell>
          <cell r="D46">
            <v>120.8</v>
          </cell>
          <cell r="E46">
            <v>124.60000000000001</v>
          </cell>
          <cell r="F46">
            <v>472.5</v>
          </cell>
          <cell r="G46">
            <v>795.9</v>
          </cell>
          <cell r="H46">
            <v>158.4</v>
          </cell>
          <cell r="I46">
            <v>289.60000000000002</v>
          </cell>
          <cell r="J46">
            <v>253.7</v>
          </cell>
          <cell r="K46">
            <v>90.8</v>
          </cell>
          <cell r="L46">
            <v>30</v>
          </cell>
          <cell r="M46">
            <v>62.79999999999999</v>
          </cell>
          <cell r="N46">
            <v>183.6</v>
          </cell>
          <cell r="O46">
            <v>200.20000000000005</v>
          </cell>
          <cell r="P46">
            <v>41.6</v>
          </cell>
          <cell r="Q46">
            <v>58.100000000000009</v>
          </cell>
          <cell r="R46">
            <v>-16.5</v>
          </cell>
          <cell r="S46">
            <v>183.70000000000002</v>
          </cell>
          <cell r="T46">
            <v>0.27762656505171479</v>
          </cell>
          <cell r="U46">
            <v>51.000000000000007</v>
          </cell>
          <cell r="V46">
            <v>132.70000000000002</v>
          </cell>
          <cell r="W46">
            <v>15.6</v>
          </cell>
          <cell r="X46">
            <v>148.30000000000001</v>
          </cell>
          <cell r="Y46">
            <v>231.4</v>
          </cell>
          <cell r="Z46">
            <v>0.64088159031979264</v>
          </cell>
          <cell r="AA46">
            <v>0.48499999999999999</v>
          </cell>
        </row>
        <row r="48">
          <cell r="A48" t="str">
            <v>2000E</v>
          </cell>
        </row>
        <row r="49">
          <cell r="A49" t="str">
            <v xml:space="preserve"> 1QA</v>
          </cell>
          <cell r="B49">
            <v>79.8</v>
          </cell>
          <cell r="C49">
            <v>67.099999999999994</v>
          </cell>
          <cell r="D49">
            <v>25.4</v>
          </cell>
          <cell r="E49">
            <v>29</v>
          </cell>
          <cell r="F49">
            <v>121.5</v>
          </cell>
          <cell r="G49">
            <v>201.3</v>
          </cell>
          <cell r="H49">
            <v>34.700000000000003</v>
          </cell>
          <cell r="I49">
            <v>74.099999999999994</v>
          </cell>
          <cell r="J49">
            <v>67.2</v>
          </cell>
          <cell r="K49">
            <v>20</v>
          </cell>
          <cell r="L49">
            <v>5.3999999999999986</v>
          </cell>
          <cell r="M49">
            <v>19.399999999999999</v>
          </cell>
          <cell r="N49">
            <v>44.8</v>
          </cell>
          <cell r="O49">
            <v>54.600000000000023</v>
          </cell>
          <cell r="P49">
            <v>5.4</v>
          </cell>
          <cell r="Q49">
            <v>15.4</v>
          </cell>
          <cell r="R49">
            <v>-10</v>
          </cell>
          <cell r="S49">
            <v>44.600000000000023</v>
          </cell>
          <cell r="T49">
            <v>0.30941704035874423</v>
          </cell>
          <cell r="U49">
            <v>13.8</v>
          </cell>
          <cell r="V49">
            <v>30.800000000000022</v>
          </cell>
          <cell r="W49">
            <v>0</v>
          </cell>
          <cell r="X49">
            <v>30.800000000000022</v>
          </cell>
          <cell r="Y49">
            <v>207.4</v>
          </cell>
          <cell r="Z49">
            <v>0.15</v>
          </cell>
          <cell r="AA49">
            <v>0.15</v>
          </cell>
        </row>
        <row r="50">
          <cell r="A50" t="str">
            <v xml:space="preserve"> 2QA</v>
          </cell>
          <cell r="B50">
            <v>100</v>
          </cell>
          <cell r="C50">
            <v>72.2</v>
          </cell>
          <cell r="D50">
            <v>32</v>
          </cell>
          <cell r="E50">
            <v>34.6</v>
          </cell>
          <cell r="F50">
            <v>138.80000000000001</v>
          </cell>
          <cell r="G50">
            <v>238.8</v>
          </cell>
          <cell r="H50">
            <v>42</v>
          </cell>
          <cell r="I50">
            <v>92.6</v>
          </cell>
          <cell r="J50">
            <v>85.6</v>
          </cell>
          <cell r="K50">
            <v>23</v>
          </cell>
          <cell r="L50">
            <v>9</v>
          </cell>
          <cell r="M50">
            <v>15.899999999999999</v>
          </cell>
          <cell r="N50">
            <v>47.9</v>
          </cell>
          <cell r="O50">
            <v>63.300000000000018</v>
          </cell>
          <cell r="P50">
            <v>7.2</v>
          </cell>
          <cell r="Q50">
            <v>15.3</v>
          </cell>
          <cell r="R50">
            <v>-8.1000000000000014</v>
          </cell>
          <cell r="S50">
            <v>55.200000000000017</v>
          </cell>
          <cell r="T50">
            <v>0.31159420289855067</v>
          </cell>
          <cell r="U50">
            <v>17.200000000000003</v>
          </cell>
          <cell r="V50">
            <v>38.000000000000014</v>
          </cell>
          <cell r="W50">
            <v>8.3254076086956523</v>
          </cell>
          <cell r="X50">
            <v>46.32540760869567</v>
          </cell>
          <cell r="Y50">
            <v>260.8</v>
          </cell>
          <cell r="Z50">
            <v>0.18</v>
          </cell>
          <cell r="AA50">
            <v>0.22</v>
          </cell>
        </row>
        <row r="51">
          <cell r="A51" t="str">
            <v xml:space="preserve"> 3QA</v>
          </cell>
          <cell r="B51">
            <v>135.69999999999999</v>
          </cell>
          <cell r="C51">
            <v>71.599999999999994</v>
          </cell>
          <cell r="D51">
            <v>35.1</v>
          </cell>
          <cell r="E51">
            <v>29.1</v>
          </cell>
          <cell r="F51">
            <v>135.79999999999998</v>
          </cell>
          <cell r="G51">
            <v>271.5</v>
          </cell>
          <cell r="H51">
            <v>48.6</v>
          </cell>
          <cell r="I51">
            <v>116.19999999999999</v>
          </cell>
          <cell r="J51">
            <v>93.3</v>
          </cell>
          <cell r="K51">
            <v>24.9</v>
          </cell>
          <cell r="L51">
            <v>10.200000000000003</v>
          </cell>
          <cell r="M51">
            <v>16.399999999999999</v>
          </cell>
          <cell r="N51">
            <v>51.5</v>
          </cell>
          <cell r="O51">
            <v>78.100000000000023</v>
          </cell>
          <cell r="P51">
            <v>18.100000000000001</v>
          </cell>
          <cell r="Q51">
            <v>13.5</v>
          </cell>
          <cell r="R51">
            <v>4.6000000000000014</v>
          </cell>
          <cell r="S51">
            <v>82.700000000000017</v>
          </cell>
          <cell r="T51">
            <v>0.30955259975816196</v>
          </cell>
          <cell r="U51">
            <v>25.6</v>
          </cell>
          <cell r="V51">
            <v>57.100000000000016</v>
          </cell>
          <cell r="W51">
            <v>7.6420444377267245</v>
          </cell>
          <cell r="X51">
            <v>64.742044437726747</v>
          </cell>
          <cell r="Y51">
            <v>277.2</v>
          </cell>
          <cell r="Z51">
            <v>0.23</v>
          </cell>
          <cell r="AA51">
            <v>0.23</v>
          </cell>
        </row>
        <row r="52">
          <cell r="A52" t="str">
            <v xml:space="preserve"> 4Q</v>
          </cell>
          <cell r="B52">
            <v>147.04999999999998</v>
          </cell>
          <cell r="C52">
            <v>71.37178918124998</v>
          </cell>
          <cell r="D52">
            <v>10</v>
          </cell>
          <cell r="E52">
            <v>33</v>
          </cell>
          <cell r="F52">
            <v>114.37178918124998</v>
          </cell>
          <cell r="G52">
            <v>261.42178918124995</v>
          </cell>
          <cell r="H52">
            <v>46.728415492957751</v>
          </cell>
          <cell r="I52">
            <v>133.32158450704225</v>
          </cell>
          <cell r="J52">
            <v>87.85</v>
          </cell>
          <cell r="K52">
            <v>0</v>
          </cell>
          <cell r="L52">
            <v>10</v>
          </cell>
          <cell r="M52">
            <v>35</v>
          </cell>
          <cell r="N52">
            <v>45</v>
          </cell>
          <cell r="O52">
            <v>81.843373688292189</v>
          </cell>
          <cell r="P52">
            <v>17.7</v>
          </cell>
          <cell r="Q52">
            <v>13.749000000000001</v>
          </cell>
          <cell r="R52">
            <v>3.9509999999999987</v>
          </cell>
          <cell r="S52">
            <v>85.794373688292183</v>
          </cell>
          <cell r="T52">
            <v>0.31</v>
          </cell>
          <cell r="U52">
            <v>26.596255843370578</v>
          </cell>
          <cell r="V52">
            <v>59.198117844921605</v>
          </cell>
          <cell r="W52">
            <v>7.274497499999999</v>
          </cell>
          <cell r="X52">
            <v>66.472615344921607</v>
          </cell>
          <cell r="Y52">
            <v>277.8</v>
          </cell>
          <cell r="Z52">
            <v>0.23928227265990498</v>
          </cell>
          <cell r="AA52">
            <v>0.23928227265990498</v>
          </cell>
        </row>
        <row r="54">
          <cell r="A54" t="str">
            <v>Year</v>
          </cell>
          <cell r="B54">
            <v>462.54999999999995</v>
          </cell>
          <cell r="C54">
            <v>282.27178918124997</v>
          </cell>
          <cell r="D54">
            <v>102.5</v>
          </cell>
          <cell r="E54">
            <v>125.7</v>
          </cell>
          <cell r="F54">
            <v>510.47178918125002</v>
          </cell>
          <cell r="G54">
            <v>973.02178918124991</v>
          </cell>
          <cell r="H54">
            <v>172.02841549295778</v>
          </cell>
          <cell r="I54">
            <v>416.22158450704222</v>
          </cell>
          <cell r="J54">
            <v>333.95000000000005</v>
          </cell>
          <cell r="K54">
            <v>67.900000000000006</v>
          </cell>
          <cell r="L54">
            <v>34.6</v>
          </cell>
          <cell r="M54">
            <v>86.699999999999989</v>
          </cell>
          <cell r="N54">
            <v>189.2</v>
          </cell>
          <cell r="O54">
            <v>277.84337368829222</v>
          </cell>
          <cell r="P54">
            <v>48.400000000000006</v>
          </cell>
          <cell r="Q54">
            <v>57.949000000000005</v>
          </cell>
          <cell r="R54">
            <v>-9.5490000000000013</v>
          </cell>
          <cell r="S54">
            <v>268.29437368829224</v>
          </cell>
          <cell r="T54">
            <v>0.31009318123096025</v>
          </cell>
          <cell r="U54">
            <v>83.196255843370579</v>
          </cell>
          <cell r="V54">
            <v>185.09811784492166</v>
          </cell>
          <cell r="W54">
            <v>23.241949546422376</v>
          </cell>
          <cell r="X54">
            <v>208.34006739134406</v>
          </cell>
          <cell r="Y54">
            <v>255.8</v>
          </cell>
          <cell r="Z54">
            <v>0.79928227265990492</v>
          </cell>
          <cell r="AA54">
            <v>0.83928227265990496</v>
          </cell>
        </row>
        <row r="56">
          <cell r="A56" t="str">
            <v>2001E</v>
          </cell>
          <cell r="B56">
            <v>629.49850000000004</v>
          </cell>
          <cell r="C56">
            <v>313.39161170174998</v>
          </cell>
          <cell r="D56">
            <v>37.022000000000006</v>
          </cell>
          <cell r="E56">
            <v>150</v>
          </cell>
          <cell r="F56">
            <v>500.41361170174997</v>
          </cell>
          <cell r="G56">
            <v>1129.9121117017501</v>
          </cell>
          <cell r="H56">
            <v>200.87665250000001</v>
          </cell>
          <cell r="I56">
            <v>578.62184750000006</v>
          </cell>
          <cell r="J56">
            <v>388.68000000000006</v>
          </cell>
          <cell r="K56">
            <v>0</v>
          </cell>
          <cell r="L56">
            <v>37.022000000000006</v>
          </cell>
          <cell r="M56">
            <v>155.06305898929753</v>
          </cell>
          <cell r="N56">
            <v>192.08505898929752</v>
          </cell>
          <cell r="O56">
            <v>348.2704002124525</v>
          </cell>
          <cell r="P56">
            <v>62</v>
          </cell>
          <cell r="Q56">
            <v>55.518625000000007</v>
          </cell>
          <cell r="R56">
            <v>6.4813749999999928</v>
          </cell>
          <cell r="S56">
            <v>354.75177521245251</v>
          </cell>
          <cell r="T56">
            <v>0.31</v>
          </cell>
          <cell r="U56">
            <v>109.97305031586028</v>
          </cell>
          <cell r="V56">
            <v>244.77872489659222</v>
          </cell>
          <cell r="W56">
            <v>29.286359999999995</v>
          </cell>
          <cell r="X56">
            <v>274.06508489659223</v>
          </cell>
          <cell r="Y56">
            <v>282.8</v>
          </cell>
          <cell r="Z56">
            <v>0.96911274715909557</v>
          </cell>
          <cell r="AA56">
            <v>0.96911274715909557</v>
          </cell>
        </row>
        <row r="57">
          <cell r="A57" t="str">
            <v>2002E</v>
          </cell>
          <cell r="B57">
            <v>749.14550499999996</v>
          </cell>
          <cell r="C57">
            <v>355.62063268624695</v>
          </cell>
          <cell r="D57">
            <v>39.613540000000008</v>
          </cell>
          <cell r="E57">
            <v>168.00000000000003</v>
          </cell>
          <cell r="F57">
            <v>563.23417268624701</v>
          </cell>
          <cell r="G57">
            <v>1312.3796776862469</v>
          </cell>
          <cell r="H57">
            <v>227.34815607500002</v>
          </cell>
          <cell r="I57">
            <v>689.79734892499994</v>
          </cell>
          <cell r="J57">
            <v>439.14160000000004</v>
          </cell>
          <cell r="K57">
            <v>0</v>
          </cell>
          <cell r="L57">
            <v>39.613540000000008</v>
          </cell>
          <cell r="M57">
            <v>176.92910681823074</v>
          </cell>
          <cell r="N57">
            <v>216.54264681823074</v>
          </cell>
          <cell r="O57">
            <v>429.34727479301591</v>
          </cell>
          <cell r="P57">
            <v>70</v>
          </cell>
          <cell r="Q57">
            <v>56.673625000000001</v>
          </cell>
          <cell r="R57">
            <v>13.326374999999999</v>
          </cell>
          <cell r="S57">
            <v>442.6736497930159</v>
          </cell>
          <cell r="T57">
            <v>0.31</v>
          </cell>
          <cell r="U57">
            <v>137.22883143583493</v>
          </cell>
          <cell r="V57">
            <v>305.44481835718096</v>
          </cell>
          <cell r="W57">
            <v>30.083309999999994</v>
          </cell>
          <cell r="X57">
            <v>335.52812835718095</v>
          </cell>
          <cell r="Y57">
            <v>283.60000000000002</v>
          </cell>
          <cell r="Z57">
            <v>1.1831034145175632</v>
          </cell>
          <cell r="AA57">
            <v>1.1831034145175632</v>
          </cell>
        </row>
        <row r="58">
          <cell r="A58" t="str">
            <v>2003E</v>
          </cell>
          <cell r="B58">
            <v>891.47431174999997</v>
          </cell>
          <cell r="C58">
            <v>395.89894337545786</v>
          </cell>
          <cell r="D58">
            <v>42.386487800000012</v>
          </cell>
          <cell r="E58">
            <v>184.80000000000004</v>
          </cell>
          <cell r="F58">
            <v>623.08543117545787</v>
          </cell>
          <cell r="G58">
            <v>1514.5597429254578</v>
          </cell>
          <cell r="H58">
            <v>262.70983027625005</v>
          </cell>
          <cell r="I58">
            <v>813.56448147374988</v>
          </cell>
          <cell r="J58">
            <v>489.36881600000015</v>
          </cell>
          <cell r="K58">
            <v>0</v>
          </cell>
          <cell r="L58">
            <v>42.386487800000012</v>
          </cell>
          <cell r="M58">
            <v>199.94307106807327</v>
          </cell>
          <cell r="N58">
            <v>242.32955886807326</v>
          </cell>
          <cell r="O58">
            <v>520.15153778113449</v>
          </cell>
          <cell r="P58">
            <v>90</v>
          </cell>
          <cell r="Q58">
            <v>57.828625000000002</v>
          </cell>
          <cell r="R58">
            <v>32.171374999999998</v>
          </cell>
          <cell r="S58">
            <v>552.32291278113451</v>
          </cell>
          <cell r="T58">
            <v>0.31</v>
          </cell>
          <cell r="U58">
            <v>171.22010296215169</v>
          </cell>
          <cell r="V58">
            <v>381.10280981898279</v>
          </cell>
          <cell r="W58">
            <v>30.880259999999996</v>
          </cell>
          <cell r="X58">
            <v>411.98306981898281</v>
          </cell>
          <cell r="Y58">
            <v>284.40000000000003</v>
          </cell>
          <cell r="Z58">
            <v>1.4486043242580267</v>
          </cell>
          <cell r="AA58">
            <v>1.4486043242580267</v>
          </cell>
        </row>
        <row r="59">
          <cell r="A59" t="str">
            <v>2004E</v>
          </cell>
          <cell r="B59">
            <v>1055.9133003625002</v>
          </cell>
          <cell r="C59">
            <v>437.78694837234127</v>
          </cell>
          <cell r="D59">
            <v>45.353541946000014</v>
          </cell>
          <cell r="E59">
            <v>199.58400000000006</v>
          </cell>
          <cell r="F59">
            <v>682.7244903183414</v>
          </cell>
          <cell r="G59">
            <v>1738.6377906808416</v>
          </cell>
          <cell r="H59">
            <v>298.19956731168759</v>
          </cell>
          <cell r="I59">
            <v>957.29773305081267</v>
          </cell>
          <cell r="J59">
            <v>538.97771511106089</v>
          </cell>
          <cell r="K59">
            <v>0</v>
          </cell>
          <cell r="L59">
            <v>45.353541946000014</v>
          </cell>
          <cell r="M59">
            <v>224.13531560953044</v>
          </cell>
          <cell r="N59">
            <v>269.48885755553044</v>
          </cell>
          <cell r="O59">
            <v>631.97165070256267</v>
          </cell>
          <cell r="P59">
            <v>115</v>
          </cell>
          <cell r="Q59">
            <v>58.983624999999996</v>
          </cell>
          <cell r="R59">
            <v>56.016375000000004</v>
          </cell>
          <cell r="S59">
            <v>687.98802570256271</v>
          </cell>
          <cell r="T59">
            <v>0.31</v>
          </cell>
          <cell r="U59">
            <v>213.27628796779445</v>
          </cell>
          <cell r="V59">
            <v>474.71173773476823</v>
          </cell>
          <cell r="W59">
            <v>31.677209999999995</v>
          </cell>
          <cell r="X59">
            <v>506.38894773476824</v>
          </cell>
          <cell r="Y59">
            <v>285.20000000000005</v>
          </cell>
          <cell r="Z59">
            <v>1.7755573202481352</v>
          </cell>
          <cell r="AA59">
            <v>1.7755573202481352</v>
          </cell>
        </row>
        <row r="60">
          <cell r="A60" t="str">
            <v>2005E</v>
          </cell>
          <cell r="B60">
            <v>1236.408128684375</v>
          </cell>
          <cell r="C60">
            <v>461.52606448515519</v>
          </cell>
          <cell r="D60">
            <v>48.528289882220015</v>
          </cell>
          <cell r="E60">
            <v>215.55072000000007</v>
          </cell>
          <cell r="F60">
            <v>725.60507436737521</v>
          </cell>
          <cell r="G60">
            <v>1962.0132030517502</v>
          </cell>
          <cell r="H60">
            <v>338.55585705371573</v>
          </cell>
          <cell r="I60">
            <v>1113.4029916306592</v>
          </cell>
          <cell r="J60">
            <v>608.22409294604256</v>
          </cell>
          <cell r="K60">
            <v>0</v>
          </cell>
          <cell r="L60">
            <v>48.528289882220015</v>
          </cell>
          <cell r="M60">
            <v>245.7736905755425</v>
          </cell>
          <cell r="N60">
            <v>294.30198045776251</v>
          </cell>
          <cell r="O60">
            <v>720.93127259422943</v>
          </cell>
          <cell r="P60">
            <v>145</v>
          </cell>
          <cell r="Q60">
            <v>60.138624999999998</v>
          </cell>
          <cell r="R60">
            <v>84.86137500000001</v>
          </cell>
          <cell r="S60">
            <v>805.79264759422949</v>
          </cell>
          <cell r="T60">
            <v>0.31</v>
          </cell>
          <cell r="U60">
            <v>249.79572075421115</v>
          </cell>
          <cell r="V60">
            <v>555.99692684001832</v>
          </cell>
          <cell r="W60">
            <v>32.474159999999991</v>
          </cell>
          <cell r="X60">
            <v>588.4710868400183</v>
          </cell>
          <cell r="Y60">
            <v>286.00000000000006</v>
          </cell>
          <cell r="Z60">
            <v>2.0575912127273361</v>
          </cell>
          <cell r="AA60">
            <v>2.0575912127273361</v>
          </cell>
        </row>
        <row r="62">
          <cell r="A62" t="str">
            <v>CAGR</v>
          </cell>
        </row>
        <row r="63">
          <cell r="A63" t="str">
            <v>1999-2003</v>
          </cell>
          <cell r="B63">
            <v>28.85230871200082</v>
          </cell>
          <cell r="C63" t="e">
            <v>#DIV/0!</v>
          </cell>
          <cell r="D63" t="e">
            <v>#DIV/0!</v>
          </cell>
          <cell r="E63" t="e">
            <v>#DIV/0!</v>
          </cell>
          <cell r="G63">
            <v>17.451069583945245</v>
          </cell>
          <cell r="O63">
            <v>26.959865426590035</v>
          </cell>
          <cell r="S63">
            <v>31.68035113103269</v>
          </cell>
          <cell r="V63">
            <v>30.179562296772367</v>
          </cell>
          <cell r="X63">
            <v>29.102470972824811</v>
          </cell>
          <cell r="Z63">
            <v>22.614828553341269</v>
          </cell>
          <cell r="AA63">
            <v>31.462537155125879</v>
          </cell>
        </row>
        <row r="64">
          <cell r="A64" t="str">
            <v>2000-2005</v>
          </cell>
          <cell r="B64">
            <v>21.730844038082786</v>
          </cell>
          <cell r="G64">
            <v>15.057748677570926</v>
          </cell>
          <cell r="O64">
            <v>21.009304324561718</v>
          </cell>
          <cell r="S64">
            <v>24.601235030063041</v>
          </cell>
          <cell r="V64">
            <v>24.604600664068244</v>
          </cell>
          <cell r="X64">
            <v>23.080844057889195</v>
          </cell>
          <cell r="Z64">
            <v>20.818039203367089</v>
          </cell>
          <cell r="AA64">
            <v>19.64380306276967</v>
          </cell>
        </row>
        <row r="66">
          <cell r="A66" t="str">
            <v>% Change</v>
          </cell>
        </row>
        <row r="67">
          <cell r="A67" t="str">
            <v>Table 2</v>
          </cell>
        </row>
        <row r="68">
          <cell r="A68" t="str">
            <v>Alza</v>
          </cell>
        </row>
        <row r="69">
          <cell r="A69" t="str">
            <v>Quarterly Income Statement Analysis 1995-2004E % Change</v>
          </cell>
        </row>
        <row r="71">
          <cell r="I71" t="str">
            <v>Sales</v>
          </cell>
          <cell r="K71" t="str">
            <v>R&amp;D</v>
          </cell>
          <cell r="R71" t="str">
            <v>Non-</v>
          </cell>
          <cell r="W71" t="str">
            <v>AT</v>
          </cell>
          <cell r="X71" t="str">
            <v>Adj.</v>
          </cell>
          <cell r="Z71" t="str">
            <v>EPS</v>
          </cell>
        </row>
        <row r="72">
          <cell r="B72" t="str">
            <v xml:space="preserve">               Revenues</v>
          </cell>
          <cell r="E72" t="str">
            <v>Contract</v>
          </cell>
          <cell r="I72" t="str">
            <v xml:space="preserve">  Gross</v>
          </cell>
          <cell r="K72" t="str">
            <v>Cresc./</v>
          </cell>
          <cell r="L72" t="str">
            <v>Exter-</v>
          </cell>
          <cell r="M72" t="str">
            <v>Inter-</v>
          </cell>
          <cell r="O72" t="str">
            <v xml:space="preserve"> Oper.</v>
          </cell>
          <cell r="P72" t="str">
            <v>Int.</v>
          </cell>
          <cell r="Q72" t="str">
            <v>Int.</v>
          </cell>
          <cell r="R72" t="str">
            <v>Oper.</v>
          </cell>
          <cell r="S72" t="str">
            <v>Pretax</v>
          </cell>
          <cell r="T72" t="str">
            <v xml:space="preserve">    Tax</v>
          </cell>
          <cell r="V72" t="str">
            <v xml:space="preserve">   Net</v>
          </cell>
          <cell r="W72" t="str">
            <v>Conv.</v>
          </cell>
          <cell r="X72" t="str">
            <v xml:space="preserve">   Net</v>
          </cell>
          <cell r="Y72" t="str">
            <v xml:space="preserve">Avg. </v>
          </cell>
        </row>
        <row r="73">
          <cell r="B73" t="str">
            <v>Alza</v>
          </cell>
          <cell r="C73" t="str">
            <v>Fees</v>
          </cell>
          <cell r="D73" t="str">
            <v>R&amp;D</v>
          </cell>
          <cell r="E73" t="str">
            <v>Manuf.</v>
          </cell>
          <cell r="F73" t="str">
            <v>Other</v>
          </cell>
          <cell r="G73" t="str">
            <v>Total</v>
          </cell>
          <cell r="H73" t="str">
            <v>COGS</v>
          </cell>
          <cell r="I73" t="str">
            <v>Profit</v>
          </cell>
          <cell r="J73" t="str">
            <v>SG&amp;A</v>
          </cell>
          <cell r="K73" t="str">
            <v>TDC</v>
          </cell>
          <cell r="L73" t="str">
            <v>nal</v>
          </cell>
          <cell r="M73" t="str">
            <v>nal</v>
          </cell>
          <cell r="N73" t="str">
            <v>Total</v>
          </cell>
          <cell r="O73" t="str">
            <v>Inc.</v>
          </cell>
          <cell r="P73" t="str">
            <v>Inc.</v>
          </cell>
          <cell r="Q73" t="str">
            <v>Exp.</v>
          </cell>
          <cell r="R73" t="str">
            <v>Items</v>
          </cell>
          <cell r="S73" t="str">
            <v>Inc.</v>
          </cell>
          <cell r="T73" t="str">
            <v xml:space="preserve">   Rate</v>
          </cell>
          <cell r="U73" t="str">
            <v>Tax</v>
          </cell>
          <cell r="V73" t="str">
            <v>Inc.</v>
          </cell>
          <cell r="W73" t="str">
            <v>Int.</v>
          </cell>
          <cell r="X73" t="str">
            <v>Inc.</v>
          </cell>
          <cell r="Y73" t="str">
            <v xml:space="preserve">Shs. </v>
          </cell>
          <cell r="Z73" t="str">
            <v>Oper.</v>
          </cell>
          <cell r="AA73" t="str">
            <v>Rep.</v>
          </cell>
        </row>
        <row r="75">
          <cell r="A75" t="str">
            <v>1996/95</v>
          </cell>
        </row>
        <row r="76">
          <cell r="A76" t="str">
            <v xml:space="preserve"> 1Q</v>
          </cell>
          <cell r="B76">
            <v>0.7142857142857143</v>
          </cell>
          <cell r="C76">
            <v>0.10417525469642532</v>
          </cell>
          <cell r="D76">
            <v>0.3963133640552996</v>
          </cell>
          <cell r="E76">
            <v>-4.084562181913097E-2</v>
          </cell>
          <cell r="F76">
            <v>0.16216825378937286</v>
          </cell>
          <cell r="G76">
            <v>0.18811083664482869</v>
          </cell>
          <cell r="H76">
            <v>-2.5697235415905528E-2</v>
          </cell>
          <cell r="I76">
            <v>0.95507487520798651</v>
          </cell>
          <cell r="J76">
            <v>0.19971771347918119</v>
          </cell>
          <cell r="K76">
            <v>0.62411347517730487</v>
          </cell>
          <cell r="L76">
            <v>-2.6315789473683883E-2</v>
          </cell>
          <cell r="M76" t="str">
            <v xml:space="preserve">  NM</v>
          </cell>
          <cell r="N76">
            <v>0.40724754968078408</v>
          </cell>
          <cell r="O76">
            <v>0.13461679232852636</v>
          </cell>
          <cell r="P76">
            <v>0.44297635605006941</v>
          </cell>
          <cell r="Q76">
            <v>0.14387846291331557</v>
          </cell>
          <cell r="R76" t="str">
            <v xml:space="preserve">  NM</v>
          </cell>
          <cell r="S76">
            <v>0.19727792132173633</v>
          </cell>
          <cell r="T76">
            <v>-1.5805936861239636E-4</v>
          </cell>
          <cell r="U76">
            <v>0.1970886803294388</v>
          </cell>
          <cell r="V76">
            <v>0.19739390737805909</v>
          </cell>
          <cell r="W76" t="str">
            <v xml:space="preserve">  NM</v>
          </cell>
          <cell r="X76">
            <v>0.19739390737805909</v>
          </cell>
          <cell r="Y76">
            <v>2.6836106761824984E-2</v>
          </cell>
          <cell r="Z76">
            <v>0.16061278394083464</v>
          </cell>
          <cell r="AA76">
            <v>0.1999999999999999</v>
          </cell>
        </row>
        <row r="77">
          <cell r="A77" t="str">
            <v xml:space="preserve"> 2Q</v>
          </cell>
          <cell r="B77">
            <v>0.18749999999999989</v>
          </cell>
          <cell r="C77">
            <v>0.43441425650014626</v>
          </cell>
          <cell r="D77">
            <v>0.4945710027677242</v>
          </cell>
          <cell r="E77">
            <v>0.8648310387984981</v>
          </cell>
          <cell r="F77">
            <v>0.54691634439242842</v>
          </cell>
          <cell r="G77">
            <v>0.53195916509525987</v>
          </cell>
          <cell r="H77">
            <v>0.76843111482853399</v>
          </cell>
          <cell r="I77">
            <v>0.63800163800163789</v>
          </cell>
          <cell r="J77">
            <v>0.41700404858299606</v>
          </cell>
          <cell r="K77">
            <v>0.82758620689655171</v>
          </cell>
          <cell r="L77">
            <v>-4.2849193099610244E-2</v>
          </cell>
          <cell r="M77" t="str">
            <v xml:space="preserve">  NM</v>
          </cell>
          <cell r="N77">
            <v>0.58217362491716396</v>
          </cell>
          <cell r="O77">
            <v>0.37968495382943968</v>
          </cell>
          <cell r="P77">
            <v>0.66939443535188192</v>
          </cell>
          <cell r="Q77">
            <v>0.95340501792114696</v>
          </cell>
          <cell r="R77" t="str">
            <v xml:space="preserve">  NM</v>
          </cell>
          <cell r="S77">
            <v>0.32883282998756347</v>
          </cell>
          <cell r="T77">
            <v>-8.3501461275517117E-4</v>
          </cell>
          <cell r="U77">
            <v>0.32772323515661511</v>
          </cell>
          <cell r="V77">
            <v>0.32951289398280653</v>
          </cell>
          <cell r="W77" t="str">
            <v xml:space="preserve">  NM</v>
          </cell>
          <cell r="X77">
            <v>0.50143266475644543</v>
          </cell>
          <cell r="Y77">
            <v>0.18185237765886461</v>
          </cell>
          <cell r="Z77">
            <v>0.27515816618911165</v>
          </cell>
          <cell r="AA77">
            <v>0.22727272727272735</v>
          </cell>
        </row>
        <row r="78">
          <cell r="A78" t="str">
            <v xml:space="preserve"> 3Q</v>
          </cell>
          <cell r="B78">
            <v>0.78125</v>
          </cell>
          <cell r="C78">
            <v>0.1124880301920802</v>
          </cell>
          <cell r="D78">
            <v>6.8119891008174394E-2</v>
          </cell>
          <cell r="E78">
            <v>0.80617743037110123</v>
          </cell>
          <cell r="F78">
            <v>0.21640772622296878</v>
          </cell>
          <cell r="G78">
            <v>0.23916985694136617</v>
          </cell>
          <cell r="H78">
            <v>0.38762806380495379</v>
          </cell>
          <cell r="I78">
            <v>7.4816753926701738</v>
          </cell>
          <cell r="J78">
            <v>0.47545153904858806</v>
          </cell>
          <cell r="K78">
            <v>0.21739130434782611</v>
          </cell>
          <cell r="L78">
            <v>-0.23287671232876711</v>
          </cell>
          <cell r="M78" t="str">
            <v xml:space="preserve">  NM</v>
          </cell>
          <cell r="N78">
            <v>0.21237618082380391</v>
          </cell>
          <cell r="O78">
            <v>0.12419521633252155</v>
          </cell>
          <cell r="P78">
            <v>1.6655896607431337</v>
          </cell>
          <cell r="Q78">
            <v>0.90434012400354302</v>
          </cell>
          <cell r="R78" t="str">
            <v xml:space="preserve">  NM</v>
          </cell>
          <cell r="S78">
            <v>0.26900962814275503</v>
          </cell>
          <cell r="T78">
            <v>1.7751493491998333E-3</v>
          </cell>
          <cell r="U78">
            <v>0.27126230975828103</v>
          </cell>
          <cell r="V78">
            <v>0.26762882072106664</v>
          </cell>
          <cell r="W78" t="str">
            <v xml:space="preserve">  NM</v>
          </cell>
          <cell r="X78">
            <v>0.43774351094770331</v>
          </cell>
          <cell r="Y78">
            <v>0.17451082167473406</v>
          </cell>
          <cell r="Z78">
            <v>0.22743840201942567</v>
          </cell>
          <cell r="AA78">
            <v>0.22727272727272735</v>
          </cell>
        </row>
        <row r="79">
          <cell r="A79" t="str">
            <v xml:space="preserve"> 4Q</v>
          </cell>
          <cell r="B79">
            <v>1.0540540540540539</v>
          </cell>
          <cell r="C79">
            <v>0.13029526569122868</v>
          </cell>
          <cell r="D79">
            <v>0.16435288849081972</v>
          </cell>
          <cell r="E79">
            <v>-8.4862995477520742E-2</v>
          </cell>
          <cell r="F79">
            <v>9.784786965234829E-2</v>
          </cell>
          <cell r="G79">
            <v>0.13488839566145988</v>
          </cell>
          <cell r="H79">
            <v>8.2495687860584102E-2</v>
          </cell>
          <cell r="I79">
            <v>0.16156282998943952</v>
          </cell>
          <cell r="J79">
            <v>-0.17907247442259389</v>
          </cell>
          <cell r="K79">
            <v>0.16017316017316013</v>
          </cell>
          <cell r="L79">
            <v>0.17618230825778086</v>
          </cell>
          <cell r="M79" t="str">
            <v xml:space="preserve">  NM</v>
          </cell>
          <cell r="N79">
            <v>0.30807835518860277</v>
          </cell>
          <cell r="O79">
            <v>0.15573900619145895</v>
          </cell>
          <cell r="P79">
            <v>1.857142857142857</v>
          </cell>
          <cell r="Q79">
            <v>1.1368948247078465</v>
          </cell>
          <cell r="R79" t="str">
            <v xml:space="preserve">  NM</v>
          </cell>
          <cell r="S79">
            <v>0.30626377085300616</v>
          </cell>
          <cell r="T79">
            <v>1.9521425662891168E-3</v>
          </cell>
          <cell r="U79">
            <v>0.30881378396288967</v>
          </cell>
          <cell r="V79">
            <v>0.30470098487156072</v>
          </cell>
          <cell r="W79" t="str">
            <v xml:space="preserve">  NM</v>
          </cell>
          <cell r="X79">
            <v>0.46207736826073748</v>
          </cell>
          <cell r="Y79">
            <v>0.1776784635825582</v>
          </cell>
          <cell r="Z79">
            <v>0.26088943039902623</v>
          </cell>
          <cell r="AA79">
            <v>0.25</v>
          </cell>
        </row>
        <row r="81">
          <cell r="A81" t="str">
            <v>1996/95</v>
          </cell>
          <cell r="B81">
            <v>0.69852941176470584</v>
          </cell>
          <cell r="C81">
            <v>0.19141739483146236</v>
          </cell>
          <cell r="D81">
            <v>0.26187819797637829</v>
          </cell>
          <cell r="E81">
            <v>0.35118050507285298</v>
          </cell>
          <cell r="F81">
            <v>0.24717387202716923</v>
          </cell>
          <cell r="G81">
            <v>0.26598571284097494</v>
          </cell>
          <cell r="H81">
            <v>0.30285189999235429</v>
          </cell>
          <cell r="I81">
            <v>1.0377950013062787</v>
          </cell>
          <cell r="J81">
            <v>0.14640379700620665</v>
          </cell>
          <cell r="K81">
            <v>0.4065620542082739</v>
          </cell>
          <cell r="L81">
            <v>-3.7553141237600132E-2</v>
          </cell>
          <cell r="M81" t="str">
            <v xml:space="preserve">  NM</v>
          </cell>
          <cell r="N81">
            <v>0.36920071941054755</v>
          </cell>
          <cell r="O81">
            <v>0.19578383114707601</v>
          </cell>
          <cell r="P81">
            <v>1.1754328247727925</v>
          </cell>
          <cell r="Q81">
            <v>0.79623208989515015</v>
          </cell>
          <cell r="R81" t="str">
            <v xml:space="preserve">  NM</v>
          </cell>
          <cell r="S81">
            <v>0.27668319247861473</v>
          </cell>
          <cell r="T81">
            <v>7.42642837352845E-4</v>
          </cell>
          <cell r="U81">
            <v>0.27763131210707781</v>
          </cell>
          <cell r="V81">
            <v>0.27610208816705306</v>
          </cell>
          <cell r="W81" t="str">
            <v xml:space="preserve">  NM</v>
          </cell>
          <cell r="X81">
            <v>0.40315987183736579</v>
          </cell>
          <cell r="Y81">
            <v>0.14031503926642155</v>
          </cell>
          <cell r="Z81">
            <v>0.23228118804565534</v>
          </cell>
          <cell r="AA81">
            <v>0.22727272727272735</v>
          </cell>
        </row>
        <row r="83">
          <cell r="A83" t="str">
            <v>1997/96</v>
          </cell>
        </row>
        <row r="84">
          <cell r="A84" t="str">
            <v xml:space="preserve"> 1Q</v>
          </cell>
          <cell r="B84">
            <v>0.15000000000000005</v>
          </cell>
          <cell r="C84">
            <v>0.17866666666666675</v>
          </cell>
          <cell r="D84">
            <v>0.1155115511551154</v>
          </cell>
          <cell r="E84">
            <v>0.40136054421768724</v>
          </cell>
          <cell r="F84">
            <v>0.19515151515151508</v>
          </cell>
          <cell r="G84">
            <v>0.19209039548022599</v>
          </cell>
          <cell r="H84">
            <v>0.23124999999999996</v>
          </cell>
          <cell r="I84">
            <v>0.65957446808510678</v>
          </cell>
          <cell r="J84">
            <v>0.13725490196078435</v>
          </cell>
          <cell r="K84">
            <v>2.1834061135371181E-2</v>
          </cell>
          <cell r="L84">
            <v>0.40540540540540482</v>
          </cell>
          <cell r="M84">
            <v>0.20000000000000284</v>
          </cell>
          <cell r="N84">
            <v>0.11821086261980829</v>
          </cell>
          <cell r="O84">
            <v>0.2645161290322583</v>
          </cell>
          <cell r="P84">
            <v>1.036144578313253</v>
          </cell>
          <cell r="Q84">
            <v>1.1406249999999998</v>
          </cell>
          <cell r="R84" t="str">
            <v xml:space="preserve">  NM</v>
          </cell>
          <cell r="S84">
            <v>0.28875379939209778</v>
          </cell>
          <cell r="T84">
            <v>-5.8490566037757298E-4</v>
          </cell>
          <cell r="U84">
            <v>0.28800000000000009</v>
          </cell>
          <cell r="V84">
            <v>0.28921568627451055</v>
          </cell>
          <cell r="W84" t="str">
            <v xml:space="preserve">  NM</v>
          </cell>
          <cell r="X84">
            <v>0.44607843137254982</v>
          </cell>
          <cell r="Y84">
            <v>0.15602836879432627</v>
          </cell>
          <cell r="Z84">
            <v>0.25681663258350412</v>
          </cell>
          <cell r="AA84">
            <v>0.25</v>
          </cell>
        </row>
        <row r="85">
          <cell r="A85" t="str">
            <v xml:space="preserve"> 2Q</v>
          </cell>
          <cell r="B85">
            <v>1.236842105263158</v>
          </cell>
          <cell r="C85">
            <v>-6.9246435845213825E-2</v>
          </cell>
          <cell r="D85">
            <v>2.8490028490028491E-2</v>
          </cell>
          <cell r="E85">
            <v>-6.3758389261745041E-2</v>
          </cell>
          <cell r="F85">
            <v>-3.7719298245613889E-2</v>
          </cell>
          <cell r="G85">
            <v>3.3955857385400672E-3</v>
          </cell>
          <cell r="H85">
            <v>-0.21959459459459457</v>
          </cell>
          <cell r="I85">
            <v>2.3249999999999993</v>
          </cell>
          <cell r="J85">
            <v>5.8823529411764643E-2</v>
          </cell>
          <cell r="K85">
            <v>-2.2641509433962318E-2</v>
          </cell>
          <cell r="L85">
            <v>0.18604651162790711</v>
          </cell>
          <cell r="M85">
            <v>0.1290322580645156</v>
          </cell>
          <cell r="N85">
            <v>3.6649214659685826E-2</v>
          </cell>
          <cell r="O85">
            <v>0.12598425196850524</v>
          </cell>
          <cell r="P85">
            <v>0.32352941176470595</v>
          </cell>
          <cell r="Q85">
            <v>0.25688073394495403</v>
          </cell>
          <cell r="R85" t="str">
            <v xml:space="preserve">  NM</v>
          </cell>
          <cell r="S85">
            <v>0.1417112299465256</v>
          </cell>
          <cell r="T85">
            <v>5.4095062176325419E-3</v>
          </cell>
          <cell r="U85">
            <v>0.14788732394366208</v>
          </cell>
          <cell r="V85">
            <v>0.13793103448276101</v>
          </cell>
          <cell r="W85">
            <v>6.6666666666666721E-2</v>
          </cell>
          <cell r="X85">
            <v>0.12977099236641429</v>
          </cell>
          <cell r="Y85">
            <v>6.1601642710471692E-3</v>
          </cell>
          <cell r="Z85">
            <v>0.11866969009826253</v>
          </cell>
          <cell r="AA85">
            <v>0.11111111111111099</v>
          </cell>
        </row>
        <row r="86">
          <cell r="A86" t="str">
            <v xml:space="preserve"> 3Q</v>
          </cell>
          <cell r="B86">
            <v>1.4736842105263155</v>
          </cell>
          <cell r="C86">
            <v>6.0759493670886039E-2</v>
          </cell>
          <cell r="D86">
            <v>0.22789115646258515</v>
          </cell>
          <cell r="E86">
            <v>-5.8823529411764795E-2</v>
          </cell>
          <cell r="F86">
            <v>8.3063646170442318E-2</v>
          </cell>
          <cell r="G86">
            <v>0.16361788617886172</v>
          </cell>
          <cell r="H86">
            <v>2.8037383177570162E-2</v>
          </cell>
          <cell r="I86">
            <v>0.79012345679012319</v>
          </cell>
          <cell r="J86">
            <v>-5.1724137931034454E-2</v>
          </cell>
          <cell r="K86">
            <v>0.18750000000000014</v>
          </cell>
          <cell r="L86">
            <v>0.35714285714285715</v>
          </cell>
          <cell r="M86">
            <v>1.5217391304347805</v>
          </cell>
          <cell r="N86">
            <v>0.32176656151419558</v>
          </cell>
          <cell r="O86">
            <v>0.17507418397626107</v>
          </cell>
          <cell r="P86">
            <v>7.8787878787878837E-2</v>
          </cell>
          <cell r="Q86">
            <v>6.9767441860465143E-2</v>
          </cell>
          <cell r="R86" t="str">
            <v xml:space="preserve">  NM</v>
          </cell>
          <cell r="S86">
            <v>0.16890080428954415</v>
          </cell>
          <cell r="T86">
            <v>9.6911745703770659E-5</v>
          </cell>
          <cell r="U86">
            <v>0.16901408450704242</v>
          </cell>
          <cell r="V86">
            <v>0.16883116883116858</v>
          </cell>
          <cell r="W86">
            <v>3.2258064516129059E-2</v>
          </cell>
          <cell r="X86">
            <v>0.15267175572519054</v>
          </cell>
          <cell r="Y86">
            <v>1.1305241521068947E-2</v>
          </cell>
          <cell r="Z86">
            <v>0.13670581150255931</v>
          </cell>
          <cell r="AA86" t="str">
            <v xml:space="preserve">  NM</v>
          </cell>
        </row>
        <row r="87">
          <cell r="A87" t="str">
            <v xml:space="preserve"> 4Q</v>
          </cell>
          <cell r="B87">
            <v>2.0789473684210527</v>
          </cell>
          <cell r="C87">
            <v>9.3220338983050807E-2</v>
          </cell>
          <cell r="D87">
            <v>-0.20329670329670327</v>
          </cell>
          <cell r="E87">
            <v>0.29069767441860467</v>
          </cell>
          <cell r="F87">
            <v>1.984126984126984E-2</v>
          </cell>
          <cell r="G87">
            <v>0.16420664206642066</v>
          </cell>
          <cell r="H87">
            <v>0.53296703296703296</v>
          </cell>
          <cell r="I87">
            <v>1.6818181818181821</v>
          </cell>
          <cell r="J87">
            <v>0.21641791044776149</v>
          </cell>
          <cell r="K87">
            <v>-0.19402985074626863</v>
          </cell>
          <cell r="L87">
            <v>-0.22916666666666663</v>
          </cell>
          <cell r="M87">
            <v>1.4749999999999996</v>
          </cell>
          <cell r="N87">
            <v>-3.7128712871287127E-2</v>
          </cell>
          <cell r="O87">
            <v>0.18406593406593383</v>
          </cell>
          <cell r="P87">
            <v>-0.5921787709497206</v>
          </cell>
          <cell r="Q87">
            <v>7.0312499999999889E-2</v>
          </cell>
          <cell r="R87" t="str">
            <v xml:space="preserve">  NM</v>
          </cell>
          <cell r="S87">
            <v>-0.11566265060240995</v>
          </cell>
          <cell r="T87">
            <v>-0.36303590521850088</v>
          </cell>
          <cell r="U87">
            <v>-0.43670886075949378</v>
          </cell>
          <cell r="V87">
            <v>8.171206225680902E-2</v>
          </cell>
          <cell r="W87">
            <v>3.2258064516129059E-2</v>
          </cell>
          <cell r="X87">
            <v>7.6388888888888534E-2</v>
          </cell>
          <cell r="Y87">
            <v>8.2051282051281756E-3</v>
          </cell>
          <cell r="Z87">
            <v>5.1203797897591552E-2</v>
          </cell>
          <cell r="AA87">
            <v>0</v>
          </cell>
        </row>
        <row r="89">
          <cell r="A89" t="str">
            <v>1997/96</v>
          </cell>
          <cell r="B89">
            <v>1.2900432900432899</v>
          </cell>
          <cell r="C89">
            <v>5.8280438545874169E-2</v>
          </cell>
          <cell r="D89">
            <v>2.8963414634146208E-2</v>
          </cell>
          <cell r="E89">
            <v>8.8888888888888989E-2</v>
          </cell>
          <cell r="F89">
            <v>5.5128205128205272E-2</v>
          </cell>
          <cell r="G89">
            <v>0.12418300653594773</v>
          </cell>
          <cell r="H89">
            <v>8.8028169014084334E-2</v>
          </cell>
          <cell r="I89">
            <v>1.2777777777777775</v>
          </cell>
          <cell r="J89">
            <v>9.3418259023354683E-2</v>
          </cell>
          <cell r="K89">
            <v>-1.1156186612576008E-2</v>
          </cell>
          <cell r="L89">
            <v>0.15030674846625761</v>
          </cell>
          <cell r="M89">
            <v>0.96153846153846101</v>
          </cell>
          <cell r="N89">
            <v>9.7457627118644155E-2</v>
          </cell>
          <cell r="O89">
            <v>0.18390804597701171</v>
          </cell>
          <cell r="P89">
            <v>4.914933837429114E-2</v>
          </cell>
          <cell r="Q89">
            <v>0.27674418604651174</v>
          </cell>
          <cell r="R89" t="str">
            <v xml:space="preserve">  NM</v>
          </cell>
          <cell r="S89">
            <v>0.10932260228034925</v>
          </cell>
          <cell r="T89">
            <v>-7.9470643557705625E-2</v>
          </cell>
          <cell r="U89">
            <v>2.1164021164021211E-2</v>
          </cell>
          <cell r="V89">
            <v>0.16341991341991388</v>
          </cell>
          <cell r="W89">
            <v>0.39130434782608714</v>
          </cell>
          <cell r="X89">
            <v>0.18405511811023673</v>
          </cell>
          <cell r="Y89">
            <v>4.1666666666666789E-2</v>
          </cell>
          <cell r="Z89">
            <v>0.13513751539031518</v>
          </cell>
          <cell r="AA89">
            <v>-3.7129629629629624</v>
          </cell>
        </row>
        <row r="91">
          <cell r="A91" t="str">
            <v>1998/97</v>
          </cell>
        </row>
        <row r="92">
          <cell r="A92" t="str">
            <v xml:space="preserve"> 1Q</v>
          </cell>
          <cell r="B92">
            <v>5.057971014492753</v>
          </cell>
          <cell r="C92">
            <v>0.14027149321266957</v>
          </cell>
          <cell r="D92">
            <v>-0.22189349112426027</v>
          </cell>
          <cell r="E92">
            <v>0.21359223300970864</v>
          </cell>
          <cell r="F92">
            <v>3.1440162271805364E-2</v>
          </cell>
          <cell r="G92">
            <v>0.36018957345971564</v>
          </cell>
          <cell r="H92">
            <v>0.58883248730964477</v>
          </cell>
          <cell r="I92">
            <v>3.5512820512820507</v>
          </cell>
          <cell r="J92">
            <v>1.103448275862069</v>
          </cell>
          <cell r="K92">
            <v>-0.14786324786324775</v>
          </cell>
          <cell r="L92">
            <v>-0.38846153846153841</v>
          </cell>
          <cell r="M92" t="str">
            <v xml:space="preserve">  NM</v>
          </cell>
          <cell r="N92">
            <v>0.14857142857142866</v>
          </cell>
          <cell r="O92">
            <v>0.21428571428571441</v>
          </cell>
          <cell r="P92">
            <v>-0.59171597633136086</v>
          </cell>
          <cell r="Q92">
            <v>3.6496350364963508E-2</v>
          </cell>
          <cell r="R92" t="str">
            <v xml:space="preserve">  NM</v>
          </cell>
          <cell r="S92">
            <v>-4.952830188679231E-2</v>
          </cell>
          <cell r="T92">
            <v>-9.8192130450195231E-2</v>
          </cell>
          <cell r="U92">
            <v>-0.14285714285714288</v>
          </cell>
          <cell r="V92">
            <v>7.6045627376428275E-3</v>
          </cell>
          <cell r="W92" t="str">
            <v>NM</v>
          </cell>
          <cell r="X92">
            <v>-0.10169491525423703</v>
          </cell>
          <cell r="Y92">
            <v>2.3517382413087908E-2</v>
          </cell>
          <cell r="Z92">
            <v>-0.10488135593220355</v>
          </cell>
          <cell r="AA92">
            <v>-9.9999999999999908E-2</v>
          </cell>
        </row>
        <row r="93">
          <cell r="A93" t="str">
            <v xml:space="preserve"> 2Q</v>
          </cell>
          <cell r="B93">
            <v>3.9176470588235293</v>
          </cell>
          <cell r="C93">
            <v>0.16849015317286642</v>
          </cell>
          <cell r="D93">
            <v>-9.6952908587257608E-2</v>
          </cell>
          <cell r="E93">
            <v>9.3189964157706154E-2</v>
          </cell>
          <cell r="F93">
            <v>6.198723792160421E-2</v>
          </cell>
          <cell r="G93">
            <v>0.33925549915397624</v>
          </cell>
          <cell r="H93">
            <v>0.52380952380952384</v>
          </cell>
          <cell r="I93">
            <v>1.7894736842105265</v>
          </cell>
          <cell r="J93">
            <v>1</v>
          </cell>
          <cell r="K93">
            <v>-3.7065637065636967E-2</v>
          </cell>
          <cell r="L93">
            <v>-0.24901960784313745</v>
          </cell>
          <cell r="M93" t="str">
            <v xml:space="preserve">  NM</v>
          </cell>
          <cell r="N93">
            <v>0.13131313131313119</v>
          </cell>
          <cell r="O93">
            <v>0.23776223776223718</v>
          </cell>
          <cell r="P93">
            <v>-0.51851851851851849</v>
          </cell>
          <cell r="Q93">
            <v>4.379562043795631E-2</v>
          </cell>
          <cell r="R93" t="str">
            <v xml:space="preserve">  NM</v>
          </cell>
          <cell r="S93">
            <v>6.088992974238825E-2</v>
          </cell>
          <cell r="T93">
            <v>-8.0526551009628716E-2</v>
          </cell>
          <cell r="U93">
            <v>-2.4539877300613626E-2</v>
          </cell>
          <cell r="V93">
            <v>0.11363636363636283</v>
          </cell>
          <cell r="W93">
            <v>9.3749999999999944E-2</v>
          </cell>
          <cell r="X93">
            <v>0.11148648648648579</v>
          </cell>
          <cell r="Y93">
            <v>0.15918367346938769</v>
          </cell>
          <cell r="Z93">
            <v>-3.9864864864865852E-2</v>
          </cell>
          <cell r="AA93">
            <v>-3.3333333333333368E-2</v>
          </cell>
        </row>
        <row r="94">
          <cell r="A94" t="str">
            <v xml:space="preserve"> 3Q</v>
          </cell>
          <cell r="B94">
            <v>2.1134751773049643</v>
          </cell>
          <cell r="C94">
            <v>0.55847255369928395</v>
          </cell>
          <cell r="D94">
            <v>-9.1412742382271581E-2</v>
          </cell>
          <cell r="E94">
            <v>0.37500000000000011</v>
          </cell>
          <cell r="F94">
            <v>0.28386454183266929</v>
          </cell>
          <cell r="G94">
            <v>0.50917030567685595</v>
          </cell>
          <cell r="H94">
            <v>0.48181818181818187</v>
          </cell>
          <cell r="I94">
            <v>1.903448275862069</v>
          </cell>
          <cell r="J94">
            <v>2.4545454545454546</v>
          </cell>
          <cell r="K94">
            <v>-7.1428571428571508E-2</v>
          </cell>
          <cell r="L94">
            <v>-0.14736842105263182</v>
          </cell>
          <cell r="M94" t="str">
            <v xml:space="preserve">  NM</v>
          </cell>
          <cell r="N94">
            <v>0.23389021479713615</v>
          </cell>
          <cell r="O94">
            <v>0.27525252525252558</v>
          </cell>
          <cell r="P94">
            <v>-0.6460674157303371</v>
          </cell>
          <cell r="Q94">
            <v>2.8985507246376708E-2</v>
          </cell>
          <cell r="R94" t="str">
            <v xml:space="preserve">  NM</v>
          </cell>
          <cell r="S94">
            <v>-2.2935779816513433E-2</v>
          </cell>
          <cell r="T94">
            <v>-8.1339442276147131E-2</v>
          </cell>
          <cell r="U94">
            <v>-0.10240963855421692</v>
          </cell>
          <cell r="V94">
            <v>2.5925925925926557E-2</v>
          </cell>
          <cell r="W94" t="str">
            <v>NM</v>
          </cell>
          <cell r="X94">
            <v>-8.2781456953641794E-2</v>
          </cell>
          <cell r="Y94">
            <v>2.8455284552845499E-2</v>
          </cell>
          <cell r="Z94">
            <v>-0.12026490066225153</v>
          </cell>
          <cell r="AA94">
            <v>-1.0704960835509136</v>
          </cell>
        </row>
        <row r="95">
          <cell r="A95" t="str">
            <v xml:space="preserve"> 4Q</v>
          </cell>
          <cell r="B95">
            <v>1.0641025641025641</v>
          </cell>
          <cell r="C95">
            <v>0.2403100775193798</v>
          </cell>
          <cell r="D95">
            <v>0.12758620689655181</v>
          </cell>
          <cell r="E95">
            <v>0.2297297297297298</v>
          </cell>
          <cell r="F95">
            <v>0.20622568093385218</v>
          </cell>
          <cell r="G95">
            <v>0.36529318541996852</v>
          </cell>
          <cell r="H95">
            <v>-4.6594982078852945E-2</v>
          </cell>
          <cell r="I95">
            <v>1.7683615819209042</v>
          </cell>
          <cell r="J95">
            <v>1.8650306748466252</v>
          </cell>
          <cell r="K95">
            <v>0.16666666666666655</v>
          </cell>
          <cell r="L95">
            <v>1.3513513513514189E-2</v>
          </cell>
          <cell r="M95" t="str">
            <v xml:space="preserve">  NM</v>
          </cell>
          <cell r="N95">
            <v>0.3804627249357328</v>
          </cell>
          <cell r="O95">
            <v>5.1044083526683055E-2</v>
          </cell>
          <cell r="P95">
            <v>-8.2191780821917762E-2</v>
          </cell>
          <cell r="Q95">
            <v>2.1897810218978155E-2</v>
          </cell>
          <cell r="R95" t="str">
            <v xml:space="preserve">  NM</v>
          </cell>
          <cell r="S95">
            <v>3.5422343324251787E-2</v>
          </cell>
          <cell r="T95">
            <v>0.44325842696629075</v>
          </cell>
          <cell r="U95">
            <v>0.49438202247191043</v>
          </cell>
          <cell r="V95">
            <v>-0.11151079136690521</v>
          </cell>
          <cell r="W95" t="str">
            <v>NM</v>
          </cell>
          <cell r="X95">
            <v>-0.20322580645161184</v>
          </cell>
          <cell r="Y95">
            <v>4.6795523906409044E-2</v>
          </cell>
          <cell r="Z95">
            <v>-0.23896774193548326</v>
          </cell>
          <cell r="AA95">
            <v>-0.2</v>
          </cell>
        </row>
        <row r="97">
          <cell r="A97" t="str">
            <v>Year</v>
          </cell>
          <cell r="B97">
            <v>2.3232514177693764</v>
          </cell>
          <cell r="C97">
            <v>0.27099236641221369</v>
          </cell>
          <cell r="D97">
            <v>-7.8518518518518474E-2</v>
          </cell>
          <cell r="E97">
            <v>0.2201933404940922</v>
          </cell>
          <cell r="F97">
            <v>0.1448359659781287</v>
          </cell>
          <cell r="G97">
            <v>0.39298018949181751</v>
          </cell>
          <cell r="H97">
            <v>0.35598705501618128</v>
          </cell>
          <cell r="I97">
            <v>2.0712945590994378</v>
          </cell>
          <cell r="J97">
            <v>1.6077669902912621</v>
          </cell>
          <cell r="K97">
            <v>-2.7897435897435884E-2</v>
          </cell>
          <cell r="L97">
            <v>-0.21013333333333331</v>
          </cell>
          <cell r="M97" t="str">
            <v xml:space="preserve">  NM</v>
          </cell>
          <cell r="N97">
            <v>0.22522522522522503</v>
          </cell>
          <cell r="O97">
            <v>0.1923543689320393</v>
          </cell>
          <cell r="P97">
            <v>-0.5243243243243243</v>
          </cell>
          <cell r="Q97">
            <v>3.2786885245901586E-2</v>
          </cell>
          <cell r="R97" t="str">
            <v xml:space="preserve">  NM</v>
          </cell>
          <cell r="S97">
            <v>4.8367593712213492E-3</v>
          </cell>
          <cell r="T97">
            <v>-4.8134777376654279E-3</v>
          </cell>
          <cell r="U97">
            <v>0</v>
          </cell>
          <cell r="V97">
            <v>7.4418604651167817E-3</v>
          </cell>
          <cell r="W97">
            <v>-0.7265625</v>
          </cell>
          <cell r="X97">
            <v>-7.0656691604322169E-2</v>
          </cell>
          <cell r="Y97">
            <v>3.439490445859858E-2</v>
          </cell>
          <cell r="Z97">
            <v>-0.12720641569133925</v>
          </cell>
          <cell r="AA97">
            <v>-1.3651877133105801</v>
          </cell>
        </row>
        <row r="99">
          <cell r="A99" t="str">
            <v>1999/98</v>
          </cell>
        </row>
        <row r="100">
          <cell r="A100" t="str">
            <v xml:space="preserve"> 1Q</v>
          </cell>
          <cell r="B100">
            <v>0.62440191387559829</v>
          </cell>
          <cell r="C100">
            <v>0.16865079365079366</v>
          </cell>
          <cell r="D100">
            <v>0.15589353612167292</v>
          </cell>
          <cell r="E100">
            <v>0.13200000000000003</v>
          </cell>
          <cell r="F100">
            <v>0.15634218289085536</v>
          </cell>
          <cell r="G100">
            <v>0.29268292682926828</v>
          </cell>
          <cell r="H100">
            <v>9.5846645367412026E-2</v>
          </cell>
          <cell r="I100">
            <v>0.74366197183098603</v>
          </cell>
          <cell r="J100">
            <v>1.2622950819672134</v>
          </cell>
          <cell r="K100">
            <v>0.1685055165496489</v>
          </cell>
          <cell r="L100">
            <v>0.1163522012578614</v>
          </cell>
          <cell r="M100">
            <v>-1.438848920863304E-2</v>
          </cell>
          <cell r="N100">
            <v>9.7014925373134289E-2</v>
          </cell>
          <cell r="O100">
            <v>9.0336134453780983E-2</v>
          </cell>
          <cell r="P100">
            <v>-0.27536231884057977</v>
          </cell>
          <cell r="Q100">
            <v>4.9295774647887404E-2</v>
          </cell>
          <cell r="R100" t="str">
            <v xml:space="preserve">  NM</v>
          </cell>
          <cell r="S100">
            <v>4.2183622828783469E-2</v>
          </cell>
          <cell r="T100">
            <v>-5.4382332643201567E-2</v>
          </cell>
          <cell r="U100">
            <v>-1.4492753623188354E-2</v>
          </cell>
          <cell r="V100">
            <v>7.1698113207546155E-2</v>
          </cell>
          <cell r="W100" t="str">
            <v>NM</v>
          </cell>
          <cell r="X100">
            <v>7.1698113207546155E-2</v>
          </cell>
          <cell r="Y100">
            <v>3.0969030969031055E-2</v>
          </cell>
          <cell r="Z100">
            <v>3.703703703703707E-2</v>
          </cell>
          <cell r="AA100">
            <v>-0.85185185185185186</v>
          </cell>
        </row>
        <row r="101">
          <cell r="A101" t="str">
            <v xml:space="preserve"> 2Q</v>
          </cell>
          <cell r="B101">
            <v>0.64593301435406703</v>
          </cell>
          <cell r="C101">
            <v>2.6217228464419449E-2</v>
          </cell>
          <cell r="D101">
            <v>0.14110429447852765</v>
          </cell>
          <cell r="E101">
            <v>0.12786885245901636</v>
          </cell>
          <cell r="F101">
            <v>8.4978540772532238E-2</v>
          </cell>
          <cell r="G101">
            <v>0.23310170562223609</v>
          </cell>
          <cell r="H101">
            <v>0.14488636363636345</v>
          </cell>
          <cell r="I101">
            <v>0.69541778975741242</v>
          </cell>
          <cell r="J101">
            <v>1.396825396825397</v>
          </cell>
          <cell r="K101">
            <v>0.1427425821972734</v>
          </cell>
          <cell r="L101">
            <v>0.13577023498694551</v>
          </cell>
          <cell r="M101">
            <v>-0.13114754098360673</v>
          </cell>
          <cell r="N101">
            <v>6.6964285714285712E-2</v>
          </cell>
          <cell r="O101">
            <v>-0.12052730696798555</v>
          </cell>
          <cell r="P101">
            <v>1.8307692307692305</v>
          </cell>
          <cell r="Q101">
            <v>3.4965034965034961E-2</v>
          </cell>
          <cell r="R101" t="str">
            <v xml:space="preserve">  NM</v>
          </cell>
          <cell r="S101">
            <v>0.11037527593818888</v>
          </cell>
          <cell r="T101">
            <v>-8.8075321654974989E-2</v>
          </cell>
          <cell r="U101">
            <v>1.2578616352201437E-2</v>
          </cell>
          <cell r="V101">
            <v>0.16326530612244736</v>
          </cell>
          <cell r="W101">
            <v>8.571428571428566E-2</v>
          </cell>
          <cell r="X101">
            <v>0.15501519756838752</v>
          </cell>
          <cell r="Y101">
            <v>1.1443661971831087E-2</v>
          </cell>
          <cell r="Z101">
            <v>0.13793103448275876</v>
          </cell>
          <cell r="AA101">
            <v>0.13793103448275876</v>
          </cell>
        </row>
        <row r="102">
          <cell r="A102" t="str">
            <v xml:space="preserve"> 3Q</v>
          </cell>
          <cell r="B102">
            <v>1.4214123006833712</v>
          </cell>
          <cell r="C102">
            <v>-0.11179173047473197</v>
          </cell>
          <cell r="D102">
            <v>-0.17073170731707313</v>
          </cell>
          <cell r="E102">
            <v>-6.4935064935064705E-3</v>
          </cell>
          <cell r="F102">
            <v>-0.10162916989914658</v>
          </cell>
          <cell r="G102">
            <v>0.28530092592592599</v>
          </cell>
          <cell r="H102">
            <v>0.38650306748466262</v>
          </cell>
          <cell r="I102">
            <v>1.178147268408551</v>
          </cell>
          <cell r="J102">
            <v>0.73421052631578965</v>
          </cell>
          <cell r="K102">
            <v>-0.1497975708502024</v>
          </cell>
          <cell r="L102">
            <v>-0.23456790123456778</v>
          </cell>
          <cell r="M102">
            <v>-0.25396825396825429</v>
          </cell>
          <cell r="N102">
            <v>-0.2011605415860736</v>
          </cell>
          <cell r="O102">
            <v>0.38019801980198042</v>
          </cell>
          <cell r="P102">
            <v>0.15873015873015872</v>
          </cell>
          <cell r="Q102">
            <v>-7.0422535211267356E-3</v>
          </cell>
          <cell r="R102" t="str">
            <v xml:space="preserve">  NM</v>
          </cell>
          <cell r="S102">
            <v>0.4765258215962444</v>
          </cell>
          <cell r="T102">
            <v>-8.6373384833708711E-2</v>
          </cell>
          <cell r="U102">
            <v>0.34899328859060408</v>
          </cell>
          <cell r="V102">
            <v>0.54512635379061392</v>
          </cell>
          <cell r="W102" t="str">
            <v>NM</v>
          </cell>
          <cell r="X102">
            <v>0.84837545126353786</v>
          </cell>
          <cell r="Y102">
            <v>0.27865612648221344</v>
          </cell>
          <cell r="Z102">
            <v>0.48148148148148145</v>
          </cell>
          <cell r="AA102">
            <v>0.48148148148148145</v>
          </cell>
        </row>
        <row r="103">
          <cell r="A103" t="str">
            <v xml:space="preserve"> 4Q</v>
          </cell>
          <cell r="B103">
            <v>0.66459627329192572</v>
          </cell>
          <cell r="C103">
            <v>-0.13437500000000002</v>
          </cell>
          <cell r="D103">
            <v>-0.20489296636085633</v>
          </cell>
          <cell r="E103">
            <v>0.14652014652014653</v>
          </cell>
          <cell r="F103">
            <v>-9.1129032258064499E-2</v>
          </cell>
          <cell r="G103">
            <v>0.12071967498549048</v>
          </cell>
          <cell r="H103">
            <v>0.45112781954887216</v>
          </cell>
          <cell r="I103">
            <v>0.49183673469387768</v>
          </cell>
          <cell r="J103">
            <v>0.54603854389721629</v>
          </cell>
          <cell r="K103">
            <v>-0.2857142857142857</v>
          </cell>
          <cell r="L103">
            <v>6.6666666666666166E-2</v>
          </cell>
          <cell r="M103">
            <v>0.16190476190476183</v>
          </cell>
          <cell r="N103">
            <v>-6.1452513966480521E-2</v>
          </cell>
          <cell r="O103">
            <v>-0.29580573951434835</v>
          </cell>
          <cell r="P103">
            <v>0.62686567164179108</v>
          </cell>
          <cell r="Q103">
            <v>2.1428571428571481E-2</v>
          </cell>
          <cell r="R103" t="str">
            <v xml:space="preserve">  NM</v>
          </cell>
          <cell r="S103">
            <v>-0.24999999999999953</v>
          </cell>
          <cell r="T103">
            <v>-0.87969924812030076</v>
          </cell>
          <cell r="U103">
            <v>-0.90977443609022557</v>
          </cell>
          <cell r="V103">
            <v>0.10526315789473742</v>
          </cell>
          <cell r="W103" t="str">
            <v>NM</v>
          </cell>
          <cell r="X103">
            <v>0.10526315789473742</v>
          </cell>
          <cell r="Y103">
            <v>9.7181729834791061E-3</v>
          </cell>
          <cell r="Z103">
            <v>9.4802694898942413E-2</v>
          </cell>
          <cell r="AA103">
            <v>-0.1666666666666666</v>
          </cell>
        </row>
        <row r="105">
          <cell r="A105" t="str">
            <v>Year</v>
          </cell>
          <cell r="B105">
            <v>0.83959044368600655</v>
          </cell>
          <cell r="C105">
            <v>-2.5740025740025742E-2</v>
          </cell>
          <cell r="D105">
            <v>-2.8938906752411644E-2</v>
          </cell>
          <cell r="E105">
            <v>9.6830985915493092E-2</v>
          </cell>
          <cell r="F105">
            <v>2.9717682020801895E-3</v>
          </cell>
          <cell r="G105">
            <v>0.23032926263719256</v>
          </cell>
          <cell r="H105">
            <v>0.26014319809069231</v>
          </cell>
          <cell r="I105">
            <v>0.76908979841172909</v>
          </cell>
          <cell r="J105">
            <v>0.88905435591958282</v>
          </cell>
          <cell r="K105">
            <v>-4.199198143068162E-2</v>
          </cell>
          <cell r="L105">
            <v>1.2829169480080992E-2</v>
          </cell>
          <cell r="M105">
            <v>-4.8484848484848637E-2</v>
          </cell>
          <cell r="N105">
            <v>-3.5714285714285629E-2</v>
          </cell>
          <cell r="O105">
            <v>1.8829516539440139E-2</v>
          </cell>
          <cell r="P105">
            <v>0.57575757575757591</v>
          </cell>
          <cell r="Q105">
            <v>2.4691358024691457E-2</v>
          </cell>
          <cell r="R105" t="str">
            <v xml:space="preserve">  NM</v>
          </cell>
          <cell r="S105">
            <v>0.10529482551143181</v>
          </cell>
          <cell r="T105">
            <v>-0.20308229513652842</v>
          </cell>
          <cell r="U105">
            <v>-0.11917098445595851</v>
          </cell>
          <cell r="V105">
            <v>0.22530009233610296</v>
          </cell>
          <cell r="W105" t="str">
            <v>NM</v>
          </cell>
          <cell r="X105">
            <v>0.32647584973166316</v>
          </cell>
          <cell r="Y105">
            <v>0.13990147783251233</v>
          </cell>
          <cell r="Z105">
            <v>0.19790951461643477</v>
          </cell>
          <cell r="AA105">
            <v>-9.3457943925233725E-2</v>
          </cell>
        </row>
        <row r="107">
          <cell r="A107" t="str">
            <v>2000E/99</v>
          </cell>
        </row>
        <row r="108">
          <cell r="A108" t="str">
            <v xml:space="preserve"> 1QA</v>
          </cell>
          <cell r="B108">
            <v>0.17525773195876274</v>
          </cell>
          <cell r="C108">
            <v>0.13921901528013575</v>
          </cell>
          <cell r="D108">
            <v>-0.16447368421052633</v>
          </cell>
          <cell r="E108">
            <v>2.4734982332155452E-2</v>
          </cell>
          <cell r="F108">
            <v>3.31632653061225E-2</v>
          </cell>
          <cell r="G108">
            <v>8.5175202156334298E-2</v>
          </cell>
          <cell r="H108">
            <v>1.1661807580175093E-2</v>
          </cell>
          <cell r="I108">
            <v>0.19709208400646183</v>
          </cell>
          <cell r="J108">
            <v>0.21739130434782608</v>
          </cell>
          <cell r="K108">
            <v>-0.14163090128755368</v>
          </cell>
          <cell r="L108">
            <v>-0.23943661971830982</v>
          </cell>
          <cell r="M108">
            <v>0.41605839416058354</v>
          </cell>
          <cell r="N108">
            <v>1.5873015873015775E-2</v>
          </cell>
          <cell r="O108">
            <v>5.2023121387283995E-2</v>
          </cell>
          <cell r="P108">
            <v>8.0000000000000071E-2</v>
          </cell>
          <cell r="Q108">
            <v>3.3557046979865772E-2</v>
          </cell>
          <cell r="R108" t="str">
            <v xml:space="preserve">  NM</v>
          </cell>
          <cell r="S108">
            <v>6.1904761904762802E-2</v>
          </cell>
          <cell r="T108">
            <v>-4.4447375362702005E-2</v>
          </cell>
          <cell r="U108">
            <v>1.4705882352941122E-2</v>
          </cell>
          <cell r="V108">
            <v>8.4507042253522499E-2</v>
          </cell>
          <cell r="W108" t="str">
            <v>NM</v>
          </cell>
          <cell r="X108">
            <v>8.4507042253522499E-2</v>
          </cell>
          <cell r="Y108">
            <v>4.8449612403100775E-3</v>
          </cell>
          <cell r="Z108">
            <v>7.1428571428571286E-2</v>
          </cell>
          <cell r="AA108">
            <v>6.5</v>
          </cell>
        </row>
        <row r="109">
          <cell r="A109" t="str">
            <v xml:space="preserve"> 2QA</v>
          </cell>
          <cell r="B109">
            <v>0.45348837209302334</v>
          </cell>
          <cell r="C109">
            <v>0.31751824817518259</v>
          </cell>
          <cell r="D109">
            <v>-0.13978494623655921</v>
          </cell>
          <cell r="E109">
            <v>5.8139534883721762E-3</v>
          </cell>
          <cell r="F109">
            <v>9.8101265822784847E-2</v>
          </cell>
          <cell r="G109">
            <v>0.22336065573770505</v>
          </cell>
          <cell r="H109">
            <v>4.2183622828784191E-2</v>
          </cell>
          <cell r="I109">
            <v>0.47217806041335464</v>
          </cell>
          <cell r="J109">
            <v>0.41721854304635758</v>
          </cell>
          <cell r="K109">
            <v>-0.19298245614035087</v>
          </cell>
          <cell r="L109">
            <v>3.4482758620689315E-2</v>
          </cell>
          <cell r="M109">
            <v>0.50000000000000067</v>
          </cell>
          <cell r="N109">
            <v>2.0920502092050507E-3</v>
          </cell>
          <cell r="O109">
            <v>0.35546038543897329</v>
          </cell>
          <cell r="P109">
            <v>-0.60869565217391308</v>
          </cell>
          <cell r="Q109">
            <v>3.3783783783783779E-2</v>
          </cell>
          <cell r="R109" t="str">
            <v xml:space="preserve">  NM</v>
          </cell>
          <cell r="S109">
            <v>9.7415506958251519E-2</v>
          </cell>
          <cell r="T109">
            <v>-2.6510036907013129E-2</v>
          </cell>
          <cell r="U109">
            <v>6.8322981366459715E-2</v>
          </cell>
          <cell r="V109">
            <v>0.11111111111111259</v>
          </cell>
          <cell r="W109">
            <v>1.190896739130435</v>
          </cell>
          <cell r="X109">
            <v>0.2190896739130451</v>
          </cell>
          <cell r="Y109">
            <v>0.13489991296779807</v>
          </cell>
          <cell r="Z109">
            <v>9.0909090909090814E-2</v>
          </cell>
          <cell r="AA109">
            <v>0.33333333333333326</v>
          </cell>
        </row>
        <row r="110">
          <cell r="A110" t="str">
            <v xml:space="preserve"> 3QA</v>
          </cell>
          <cell r="B110">
            <v>0.2765757290686735</v>
          </cell>
          <cell r="C110">
            <v>0.23448275862068957</v>
          </cell>
          <cell r="D110">
            <v>0.29044117647058831</v>
          </cell>
          <cell r="E110">
            <v>-4.9019607843137254E-2</v>
          </cell>
          <cell r="F110">
            <v>0.17271157167530199</v>
          </cell>
          <cell r="G110">
            <v>0.2224223322827554</v>
          </cell>
          <cell r="H110">
            <v>7.5221238938053062E-2</v>
          </cell>
          <cell r="I110">
            <v>0.2671755725190838</v>
          </cell>
          <cell r="J110">
            <v>0.41578148710166901</v>
          </cell>
          <cell r="K110">
            <v>0.18571428571428564</v>
          </cell>
          <cell r="L110">
            <v>0.64516129032258129</v>
          </cell>
          <cell r="M110">
            <v>0.16312056737588659</v>
          </cell>
          <cell r="N110">
            <v>0.24697336561743349</v>
          </cell>
          <cell r="O110">
            <v>0.1205164992826397</v>
          </cell>
          <cell r="P110">
            <v>1.4794520547945207</v>
          </cell>
          <cell r="Q110">
            <v>-4.255319148936168E-2</v>
          </cell>
          <cell r="R110" t="str">
            <v xml:space="preserve">  NM</v>
          </cell>
          <cell r="S110">
            <v>0.31478537360890257</v>
          </cell>
          <cell r="T110">
            <v>-3.1300570906049902E-2</v>
          </cell>
          <cell r="U110">
            <v>0.27363184079601988</v>
          </cell>
          <cell r="V110">
            <v>0.33411214953270962</v>
          </cell>
          <cell r="W110" t="str">
            <v>NM</v>
          </cell>
          <cell r="X110">
            <v>0.26449305542434975</v>
          </cell>
          <cell r="Y110">
            <v>7.1097372488407945E-2</v>
          </cell>
          <cell r="Z110">
            <v>0.15</v>
          </cell>
          <cell r="AA110">
            <v>0.15</v>
          </cell>
        </row>
        <row r="111">
          <cell r="A111" t="str">
            <v xml:space="preserve"> 4Q</v>
          </cell>
          <cell r="B111">
            <v>0.82898009950248719</v>
          </cell>
          <cell r="C111">
            <v>0.28829944370487331</v>
          </cell>
          <cell r="D111">
            <v>-0.61538461538461542</v>
          </cell>
          <cell r="E111">
            <v>5.4313099041533523E-2</v>
          </cell>
          <cell r="F111">
            <v>1.4833976763531298E-2</v>
          </cell>
          <cell r="G111">
            <v>0.35381558353832171</v>
          </cell>
          <cell r="H111">
            <v>0.21058071225279143</v>
          </cell>
          <cell r="I111">
            <v>0.82382468545885434</v>
          </cell>
          <cell r="J111">
            <v>0.21675900277008298</v>
          </cell>
          <cell r="K111" t="str">
            <v xml:space="preserve">  NM</v>
          </cell>
          <cell r="L111">
            <v>0.25</v>
          </cell>
          <cell r="M111">
            <v>0.43442622950819682</v>
          </cell>
          <cell r="N111">
            <v>-0.10714285714285712</v>
          </cell>
          <cell r="O111">
            <v>1.5656229996329818</v>
          </cell>
          <cell r="P111">
            <v>0.62385321100917424</v>
          </cell>
          <cell r="Q111">
            <v>-3.8531468531468542E-2</v>
          </cell>
          <cell r="R111" t="str">
            <v xml:space="preserve">  NM</v>
          </cell>
          <cell r="S111">
            <v>2.0103289013435823</v>
          </cell>
          <cell r="T111">
            <v>6.3625000000000069</v>
          </cell>
          <cell r="U111">
            <v>21.16354653614215</v>
          </cell>
          <cell r="V111">
            <v>1.1684292250887012</v>
          </cell>
          <cell r="W111" t="str">
            <v>NM</v>
          </cell>
          <cell r="X111">
            <v>1.434894334978811</v>
          </cell>
          <cell r="Y111">
            <v>0.33686236766121269</v>
          </cell>
          <cell r="Z111">
            <v>0.82135004610726026</v>
          </cell>
          <cell r="AA111">
            <v>1.3928227265990496</v>
          </cell>
        </row>
        <row r="113">
          <cell r="A113" t="str">
            <v>Year</v>
          </cell>
          <cell r="B113">
            <v>0.43027210884353739</v>
          </cell>
          <cell r="C113">
            <v>0.24294050718295895</v>
          </cell>
          <cell r="D113">
            <v>-0.15149006622516553</v>
          </cell>
          <cell r="E113">
            <v>8.8282504012840626E-3</v>
          </cell>
          <cell r="F113">
            <v>8.0363574986772518E-2</v>
          </cell>
          <cell r="G113">
            <v>0.22254276816339985</v>
          </cell>
          <cell r="H113">
            <v>8.6037976596955626E-2</v>
          </cell>
          <cell r="I113">
            <v>0.4372292282701733</v>
          </cell>
          <cell r="J113">
            <v>0.31631848640126159</v>
          </cell>
          <cell r="K113">
            <v>-0.25220264317180607</v>
          </cell>
          <cell r="L113">
            <v>0.15333333333333338</v>
          </cell>
          <cell r="M113">
            <v>0.38057324840764334</v>
          </cell>
          <cell r="N113">
            <v>3.0501089324618706E-2</v>
          </cell>
          <cell r="O113">
            <v>0.38782903940205871</v>
          </cell>
          <cell r="P113">
            <v>0.16346153846153855</v>
          </cell>
          <cell r="Q113">
            <v>-2.5989672977625358E-3</v>
          </cell>
          <cell r="R113" t="str">
            <v xml:space="preserve">  NM</v>
          </cell>
          <cell r="S113">
            <v>0.46050285078003383</v>
          </cell>
          <cell r="T113">
            <v>0.11694347827700763</v>
          </cell>
          <cell r="U113">
            <v>0.63129913418373662</v>
          </cell>
          <cell r="V113">
            <v>0.39486147584718639</v>
          </cell>
          <cell r="W113" t="str">
            <v>NM</v>
          </cell>
          <cell r="X113">
            <v>0.40485547802659505</v>
          </cell>
          <cell r="Y113">
            <v>0.10544511668107176</v>
          </cell>
          <cell r="Z113">
            <v>0.24716060615982455</v>
          </cell>
          <cell r="AA113">
            <v>0.73047891270083498</v>
          </cell>
        </row>
        <row r="115">
          <cell r="A115" t="str">
            <v>2001E/00E</v>
          </cell>
          <cell r="B115">
            <v>0.36093071019349282</v>
          </cell>
          <cell r="C115">
            <v>0.11024772475763638</v>
          </cell>
          <cell r="D115">
            <v>-0.63880975609756097</v>
          </cell>
          <cell r="E115">
            <v>0.1933174224343675</v>
          </cell>
          <cell r="F115">
            <v>-1.9703689200205248E-2</v>
          </cell>
          <cell r="G115">
            <v>0.16124029725224925</v>
          </cell>
          <cell r="H115">
            <v>0.16769460396630331</v>
          </cell>
          <cell r="I115">
            <v>0.39017741760148944</v>
          </cell>
          <cell r="J115">
            <v>0.16388680940260522</v>
          </cell>
          <cell r="K115" t="str">
            <v xml:space="preserve">  NM</v>
          </cell>
          <cell r="L115">
            <v>7.0000000000000118E-2</v>
          </cell>
          <cell r="M115">
            <v>0.78850125708532359</v>
          </cell>
          <cell r="N115">
            <v>1.5248726159077875E-2</v>
          </cell>
          <cell r="O115">
            <v>0.25347743798695438</v>
          </cell>
          <cell r="P115">
            <v>0.28099173553718992</v>
          </cell>
          <cell r="Q115">
            <v>-4.1939895425287713E-2</v>
          </cell>
          <cell r="R115" t="str">
            <v xml:space="preserve">  NM</v>
          </cell>
          <cell r="S115">
            <v>0.32224828398603528</v>
          </cell>
          <cell r="T115">
            <v>-3.0049429203941901E-4</v>
          </cell>
          <cell r="U115">
            <v>0.32185095592403856</v>
          </cell>
          <cell r="V115">
            <v>0.32242687146971416</v>
          </cell>
          <cell r="W115">
            <v>0.26006469214231787</v>
          </cell>
          <cell r="X115">
            <v>0.31546988694109851</v>
          </cell>
          <cell r="Y115">
            <v>0.1055512118842846</v>
          </cell>
          <cell r="Z115">
            <v>0.21247872035747453</v>
          </cell>
          <cell r="AA115">
            <v>0.1546922635309857</v>
          </cell>
        </row>
        <row r="116">
          <cell r="A116" t="str">
            <v>2002E/01E</v>
          </cell>
          <cell r="B116">
            <v>0.19006718046190724</v>
          </cell>
          <cell r="C116">
            <v>0.13474840872475452</v>
          </cell>
          <cell r="D116">
            <v>7.0000000000000048E-2</v>
          </cell>
          <cell r="E116">
            <v>0.12000000000000019</v>
          </cell>
          <cell r="F116">
            <v>0.12553727459743547</v>
          </cell>
          <cell r="G116">
            <v>0.16148828222549461</v>
          </cell>
          <cell r="H116">
            <v>0.13177989201607196</v>
          </cell>
          <cell r="I116">
            <v>0.19213844396879581</v>
          </cell>
          <cell r="J116">
            <v>0.12982813625604603</v>
          </cell>
          <cell r="K116" t="str">
            <v xml:space="preserve">  NM</v>
          </cell>
          <cell r="L116">
            <v>7.0000000000000048E-2</v>
          </cell>
          <cell r="M116">
            <v>0.14101390731910171</v>
          </cell>
          <cell r="N116">
            <v>0.12732686216003883</v>
          </cell>
          <cell r="O116">
            <v>0.23279863729764216</v>
          </cell>
          <cell r="P116" t="str">
            <v xml:space="preserve">  NM</v>
          </cell>
          <cell r="Q116">
            <v>2.0803829345557349E-2</v>
          </cell>
          <cell r="R116" t="str">
            <v xml:space="preserve">  NM</v>
          </cell>
          <cell r="S116">
            <v>0.24784054858614601</v>
          </cell>
          <cell r="T116">
            <v>0</v>
          </cell>
          <cell r="U116">
            <v>0.24784054858614607</v>
          </cell>
          <cell r="V116">
            <v>0.24784054858614604</v>
          </cell>
          <cell r="W116">
            <v>2.721232683064741E-2</v>
          </cell>
          <cell r="X116">
            <v>0.22426440596685054</v>
          </cell>
          <cell r="Y116">
            <v>2.8288543140028688E-3</v>
          </cell>
          <cell r="Z116">
            <v>0.22081090975819925</v>
          </cell>
          <cell r="AA116">
            <v>0.22081090975819925</v>
          </cell>
        </row>
        <row r="117">
          <cell r="A117" t="str">
            <v>2003E/02E</v>
          </cell>
          <cell r="B117">
            <v>0.18998820095703572</v>
          </cell>
          <cell r="C117">
            <v>0.11326201853070549</v>
          </cell>
          <cell r="D117">
            <v>7.000000000000009E-2</v>
          </cell>
          <cell r="E117">
            <v>0.10000000000000005</v>
          </cell>
          <cell r="F117">
            <v>0.10626354257548107</v>
          </cell>
          <cell r="G117">
            <v>0.15405607742696742</v>
          </cell>
          <cell r="H117">
            <v>0.15553974490817749</v>
          </cell>
          <cell r="I117">
            <v>0.17942535259323947</v>
          </cell>
          <cell r="J117">
            <v>0.11437590062066565</v>
          </cell>
          <cell r="K117" t="str">
            <v xml:space="preserve">  NM</v>
          </cell>
          <cell r="L117">
            <v>7.000000000000009E-2</v>
          </cell>
          <cell r="M117">
            <v>0.13007449516763839</v>
          </cell>
          <cell r="N117">
            <v>0.11908468114130175</v>
          </cell>
          <cell r="O117">
            <v>0.21149374485233294</v>
          </cell>
          <cell r="P117">
            <v>0.2857142857142857</v>
          </cell>
          <cell r="Q117">
            <v>2.0379850415426948E-2</v>
          </cell>
          <cell r="R117" t="str">
            <v xml:space="preserve">  NM</v>
          </cell>
          <cell r="S117">
            <v>0.24769774085127522</v>
          </cell>
          <cell r="T117">
            <v>0</v>
          </cell>
          <cell r="U117">
            <v>0.24769774085127508</v>
          </cell>
          <cell r="V117">
            <v>0.24769774085127516</v>
          </cell>
          <cell r="W117">
            <v>2.6491433289754441E-2</v>
          </cell>
          <cell r="X117">
            <v>0.22786447692520437</v>
          </cell>
          <cell r="Y117">
            <v>2.8208744710860765E-3</v>
          </cell>
          <cell r="Z117">
            <v>0.22441056841064683</v>
          </cell>
          <cell r="AA117">
            <v>0.22441056841064683</v>
          </cell>
        </row>
        <row r="118">
          <cell r="A118" t="str">
            <v>2004E/03E</v>
          </cell>
          <cell r="B118">
            <v>0.18445734940999015</v>
          </cell>
          <cell r="C118">
            <v>0.10580479109073593</v>
          </cell>
          <cell r="D118">
            <v>7.0000000000000034E-2</v>
          </cell>
          <cell r="E118">
            <v>8.0000000000000099E-2</v>
          </cell>
          <cell r="F118">
            <v>9.5715701505608555E-2</v>
          </cell>
          <cell r="G118">
            <v>0.14794929602616028</v>
          </cell>
          <cell r="H118">
            <v>0.13509101276537175</v>
          </cell>
          <cell r="I118">
            <v>0.17667100131595459</v>
          </cell>
          <cell r="J118">
            <v>0.10137323321202535</v>
          </cell>
          <cell r="K118" t="str">
            <v xml:space="preserve">  NM</v>
          </cell>
          <cell r="L118">
            <v>7.0000000000000034E-2</v>
          </cell>
          <cell r="M118">
            <v>0.12099566347673334</v>
          </cell>
          <cell r="N118">
            <v>0.1120758805253427</v>
          </cell>
          <cell r="O118">
            <v>0.21497603063605478</v>
          </cell>
          <cell r="P118">
            <v>0.27777777777777779</v>
          </cell>
          <cell r="Q118">
            <v>1.9972807584479037E-2</v>
          </cell>
          <cell r="R118" t="str">
            <v xml:space="preserve">  NM</v>
          </cell>
          <cell r="S118">
            <v>0.2456264438466042</v>
          </cell>
          <cell r="T118">
            <v>0</v>
          </cell>
          <cell r="U118">
            <v>0.24562644384660431</v>
          </cell>
          <cell r="V118">
            <v>0.24562644384660418</v>
          </cell>
          <cell r="W118">
            <v>2.580774902801981E-2</v>
          </cell>
          <cell r="X118">
            <v>0.22914989675975156</v>
          </cell>
          <cell r="Y118">
            <v>2.8129395218003208E-3</v>
          </cell>
          <cell r="Z118">
            <v>0.22570207096238887</v>
          </cell>
          <cell r="AA118">
            <v>0.22570207096238887</v>
          </cell>
        </row>
        <row r="119">
          <cell r="A119" t="str">
            <v>2005E/04E</v>
          </cell>
          <cell r="B119">
            <v>0.17093716715180127</v>
          </cell>
          <cell r="C119">
            <v>5.4225271450129231E-2</v>
          </cell>
          <cell r="D119">
            <v>7.0000000000000007E-2</v>
          </cell>
          <cell r="E119">
            <v>8.0000000000000029E-2</v>
          </cell>
          <cell r="F119">
            <v>6.2808035535739187E-2</v>
          </cell>
          <cell r="G119">
            <v>0.12847725591161571</v>
          </cell>
          <cell r="H119">
            <v>0.13533315995675632</v>
          </cell>
          <cell r="I119">
            <v>0.16306866003156056</v>
          </cell>
          <cell r="J119">
            <v>0.12847725591161571</v>
          </cell>
          <cell r="K119" t="str">
            <v xml:space="preserve">  NM</v>
          </cell>
          <cell r="L119">
            <v>7.0000000000000007E-2</v>
          </cell>
          <cell r="M119">
            <v>9.65415686821465E-2</v>
          </cell>
          <cell r="N119">
            <v>9.2074763785434485E-2</v>
          </cell>
          <cell r="O119">
            <v>0.14076520963048006</v>
          </cell>
          <cell r="P119">
            <v>0.2608695652173913</v>
          </cell>
          <cell r="Q119">
            <v>1.9581705939572234E-2</v>
          </cell>
          <cell r="R119" t="str">
            <v xml:space="preserve">  NM</v>
          </cell>
          <cell r="S119">
            <v>0.17123062828218052</v>
          </cell>
          <cell r="T119">
            <v>0</v>
          </cell>
          <cell r="U119">
            <v>0.17123062828218052</v>
          </cell>
          <cell r="V119">
            <v>0.17123062828218055</v>
          </cell>
          <cell r="W119">
            <v>2.5158465660327898E-2</v>
          </cell>
          <cell r="X119">
            <v>0.16209306990689357</v>
          </cell>
          <cell r="Y119">
            <v>2.8050490883590857E-3</v>
          </cell>
          <cell r="Z119">
            <v>0.15884245992113991</v>
          </cell>
          <cell r="AA119">
            <v>0.15884245992113991</v>
          </cell>
        </row>
        <row r="121">
          <cell r="A121" t="str">
            <v>See footnotes on "Exhibit 3".</v>
          </cell>
        </row>
        <row r="122">
          <cell r="A122" t="str">
            <v>E = Morgan Stanley Dean Witter Research Estimates       NM = Not Meaningful</v>
          </cell>
        </row>
      </sheetData>
      <sheetData sheetId="3" refreshError="1"/>
      <sheetData sheetId="4" refreshError="1">
        <row r="68">
          <cell r="A68" t="str">
            <v>Table 3</v>
          </cell>
        </row>
        <row r="69">
          <cell r="A69" t="str">
            <v>Alza</v>
          </cell>
        </row>
        <row r="70">
          <cell r="A70" t="str">
            <v xml:space="preserve">Quarterly Sales Comparisons 1995-2004E % Change </v>
          </cell>
        </row>
        <row r="71">
          <cell r="A71" t="str">
            <v>($ Millions)</v>
          </cell>
        </row>
        <row r="74">
          <cell r="L74" t="str">
            <v>Other</v>
          </cell>
        </row>
        <row r="75">
          <cell r="B75" t="str">
            <v>Ditropan</v>
          </cell>
          <cell r="I75" t="str">
            <v>Testo-</v>
          </cell>
          <cell r="L75" t="str">
            <v>New</v>
          </cell>
          <cell r="N75" t="str">
            <v>Contract</v>
          </cell>
        </row>
        <row r="76">
          <cell r="B76" t="str">
            <v>XL</v>
          </cell>
          <cell r="F76" t="str">
            <v>Ethyol</v>
          </cell>
          <cell r="G76" t="str">
            <v>Mycelex</v>
          </cell>
          <cell r="H76" t="str">
            <v>Elmiron</v>
          </cell>
          <cell r="I76" t="str">
            <v>derm</v>
          </cell>
          <cell r="L76" t="str">
            <v>Products</v>
          </cell>
          <cell r="M76" t="str">
            <v>Total</v>
          </cell>
          <cell r="N76" t="str">
            <v>Manuf.</v>
          </cell>
          <cell r="O76" t="str">
            <v>Total</v>
          </cell>
        </row>
        <row r="78">
          <cell r="A78" t="str">
            <v>1996/95</v>
          </cell>
        </row>
        <row r="79">
          <cell r="A79" t="str">
            <v xml:space="preserve"> 1Q</v>
          </cell>
          <cell r="B79" t="str">
            <v>NM</v>
          </cell>
          <cell r="F79" t="str">
            <v>NM</v>
          </cell>
          <cell r="G79" t="str">
            <v>NM</v>
          </cell>
          <cell r="H79" t="str">
            <v>NM</v>
          </cell>
          <cell r="I79" t="str">
            <v>NM</v>
          </cell>
          <cell r="K79" t="str">
            <v>NM</v>
          </cell>
          <cell r="L79" t="str">
            <v>NM</v>
          </cell>
          <cell r="M79">
            <v>1.3852645985401459</v>
          </cell>
          <cell r="N79">
            <v>-4.084562181913097E-2</v>
          </cell>
          <cell r="O79">
            <v>0.27635717909690505</v>
          </cell>
        </row>
        <row r="80">
          <cell r="A80" t="str">
            <v xml:space="preserve"> 2Q</v>
          </cell>
          <cell r="B80" t="str">
            <v>NM</v>
          </cell>
          <cell r="F80" t="str">
            <v>NM</v>
          </cell>
          <cell r="G80" t="str">
            <v>NM</v>
          </cell>
          <cell r="H80" t="str">
            <v>NM</v>
          </cell>
          <cell r="I80" t="str">
            <v>NM</v>
          </cell>
          <cell r="K80" t="str">
            <v>NM</v>
          </cell>
          <cell r="L80" t="str">
            <v>NM</v>
          </cell>
          <cell r="M80">
            <v>1.7666865315852205</v>
          </cell>
          <cell r="N80">
            <v>0.86483103879849832</v>
          </cell>
          <cell r="O80">
            <v>1.0213591228796031</v>
          </cell>
        </row>
        <row r="81">
          <cell r="A81" t="str">
            <v xml:space="preserve"> 3Q</v>
          </cell>
          <cell r="B81" t="str">
            <v>NM</v>
          </cell>
          <cell r="F81" t="str">
            <v>NM</v>
          </cell>
          <cell r="G81" t="str">
            <v>NM</v>
          </cell>
          <cell r="H81" t="str">
            <v>NM</v>
          </cell>
          <cell r="I81" t="str">
            <v>NM</v>
          </cell>
          <cell r="K81" t="str">
            <v>NM</v>
          </cell>
          <cell r="L81" t="str">
            <v>NM</v>
          </cell>
          <cell r="M81">
            <v>2.6885245901639343</v>
          </cell>
          <cell r="N81">
            <v>0.80617743037110123</v>
          </cell>
          <cell r="O81">
            <v>1.1770262035344303</v>
          </cell>
        </row>
        <row r="82">
          <cell r="A82" t="str">
            <v xml:space="preserve"> 4Q</v>
          </cell>
          <cell r="B82" t="str">
            <v>NM</v>
          </cell>
          <cell r="F82" t="str">
            <v>NM</v>
          </cell>
          <cell r="G82" t="str">
            <v>NM</v>
          </cell>
          <cell r="H82" t="str">
            <v>NM</v>
          </cell>
          <cell r="I82" t="str">
            <v>NM</v>
          </cell>
          <cell r="K82" t="str">
            <v>NM</v>
          </cell>
          <cell r="L82" t="str">
            <v>NM</v>
          </cell>
          <cell r="M82">
            <v>2.7262902514336131</v>
          </cell>
          <cell r="N82">
            <v>-8.4862995477520742E-2</v>
          </cell>
          <cell r="O82">
            <v>0.46148570448797627</v>
          </cell>
        </row>
        <row r="84">
          <cell r="A84" t="str">
            <v>1996/95</v>
          </cell>
          <cell r="B84" t="str">
            <v>NM</v>
          </cell>
          <cell r="C84" t="str">
            <v>NM</v>
          </cell>
          <cell r="D84" t="str">
            <v>NM</v>
          </cell>
          <cell r="E84" t="str">
            <v>NM</v>
          </cell>
          <cell r="F84" t="str">
            <v>NM</v>
          </cell>
          <cell r="G84" t="str">
            <v>NM</v>
          </cell>
          <cell r="H84" t="str">
            <v>NM</v>
          </cell>
          <cell r="I84" t="str">
            <v>NM</v>
          </cell>
          <cell r="J84">
            <v>0.49903512157468161</v>
          </cell>
          <cell r="K84" t="str">
            <v>NM</v>
          </cell>
          <cell r="L84" t="str">
            <v>NM</v>
          </cell>
          <cell r="M84">
            <v>2.1316179789772356</v>
          </cell>
          <cell r="N84">
            <v>0.35118050507285314</v>
          </cell>
          <cell r="O84">
            <v>0.70161832836199811</v>
          </cell>
        </row>
        <row r="86">
          <cell r="A86" t="str">
            <v>1997/96</v>
          </cell>
        </row>
        <row r="87">
          <cell r="A87" t="str">
            <v xml:space="preserve"> 1Q</v>
          </cell>
          <cell r="B87" t="str">
            <v>NM</v>
          </cell>
          <cell r="C87" t="str">
            <v>NM</v>
          </cell>
          <cell r="D87" t="str">
            <v>NM</v>
          </cell>
          <cell r="E87">
            <v>0.35802469135802473</v>
          </cell>
          <cell r="F87" t="str">
            <v>NM</v>
          </cell>
          <cell r="G87" t="str">
            <v>NM</v>
          </cell>
          <cell r="H87" t="str">
            <v>NM</v>
          </cell>
          <cell r="I87">
            <v>-7.6923076923076983E-2</v>
          </cell>
          <cell r="J87">
            <v>0.23436900652090542</v>
          </cell>
          <cell r="K87" t="str">
            <v>NM</v>
          </cell>
          <cell r="L87" t="str">
            <v>NM</v>
          </cell>
          <cell r="M87">
            <v>0.28029071435402131</v>
          </cell>
          <cell r="N87">
            <v>0.40136054421768702</v>
          </cell>
          <cell r="O87">
            <v>0.35103549707834797</v>
          </cell>
        </row>
        <row r="88">
          <cell r="A88" t="str">
            <v xml:space="preserve"> 2Q</v>
          </cell>
          <cell r="B88" t="str">
            <v>NM</v>
          </cell>
          <cell r="C88" t="str">
            <v>NM</v>
          </cell>
          <cell r="D88" t="str">
            <v>NM</v>
          </cell>
          <cell r="E88">
            <v>0.31889763779527563</v>
          </cell>
          <cell r="F88" t="str">
            <v>NM</v>
          </cell>
          <cell r="G88" t="str">
            <v>NM</v>
          </cell>
          <cell r="H88" t="str">
            <v>NM</v>
          </cell>
          <cell r="I88">
            <v>1.2500000000000011E-2</v>
          </cell>
          <cell r="J88">
            <v>0.47405541561712805</v>
          </cell>
          <cell r="K88" t="str">
            <v>NM</v>
          </cell>
          <cell r="L88" t="str">
            <v>NM</v>
          </cell>
          <cell r="M88">
            <v>0.76801292407108246</v>
          </cell>
          <cell r="N88">
            <v>-6.3758389261744916E-2</v>
          </cell>
          <cell r="O88">
            <v>0.13383651017014203</v>
          </cell>
        </row>
        <row r="89">
          <cell r="A89" t="str">
            <v xml:space="preserve"> 3Q</v>
          </cell>
          <cell r="B89" t="str">
            <v>NM</v>
          </cell>
          <cell r="C89" t="str">
            <v>NM</v>
          </cell>
          <cell r="D89" t="str">
            <v>NM</v>
          </cell>
          <cell r="E89">
            <v>0.35506003430531735</v>
          </cell>
          <cell r="F89" t="str">
            <v>NM</v>
          </cell>
          <cell r="G89" t="str">
            <v>NM</v>
          </cell>
          <cell r="H89" t="str">
            <v>NM</v>
          </cell>
          <cell r="I89">
            <v>-0.17837837837837842</v>
          </cell>
          <cell r="J89">
            <v>0.41276595744680816</v>
          </cell>
          <cell r="K89" t="str">
            <v>NM</v>
          </cell>
          <cell r="L89" t="str">
            <v>NM</v>
          </cell>
          <cell r="M89">
            <v>0.95454926624737935</v>
          </cell>
          <cell r="N89">
            <v>-5.8823529411764795E-2</v>
          </cell>
          <cell r="O89">
            <v>0.27944016794961501</v>
          </cell>
        </row>
        <row r="90">
          <cell r="A90" t="str">
            <v xml:space="preserve"> 4Q</v>
          </cell>
          <cell r="B90" t="str">
            <v>NM</v>
          </cell>
          <cell r="C90" t="str">
            <v>NM</v>
          </cell>
          <cell r="D90" t="str">
            <v>NM</v>
          </cell>
          <cell r="E90">
            <v>0.16949152542372881</v>
          </cell>
          <cell r="F90" t="str">
            <v>NM</v>
          </cell>
          <cell r="G90" t="str">
            <v>NM</v>
          </cell>
          <cell r="H90" t="str">
            <v>NM</v>
          </cell>
          <cell r="I90">
            <v>-1.5384615384615399E-2</v>
          </cell>
          <cell r="J90">
            <v>0.87381193124368151</v>
          </cell>
          <cell r="K90" t="str">
            <v>NM</v>
          </cell>
          <cell r="L90" t="str">
            <v>NM</v>
          </cell>
          <cell r="M90">
            <v>1.058952352767091</v>
          </cell>
          <cell r="N90">
            <v>0.29069767441860489</v>
          </cell>
          <cell r="O90">
            <v>0.67138876668133174</v>
          </cell>
        </row>
        <row r="92">
          <cell r="A92" t="str">
            <v>1997/96</v>
          </cell>
          <cell r="B92" t="str">
            <v>NM</v>
          </cell>
          <cell r="C92" t="str">
            <v>NM</v>
          </cell>
          <cell r="D92" t="str">
            <v>NM</v>
          </cell>
          <cell r="E92">
            <v>0.29434324065196554</v>
          </cell>
          <cell r="F92" t="str">
            <v>NM</v>
          </cell>
          <cell r="G92" t="str">
            <v>NM</v>
          </cell>
          <cell r="H92" t="str">
            <v>NM</v>
          </cell>
          <cell r="I92">
            <v>-6.567164179104483E-2</v>
          </cell>
          <cell r="J92">
            <v>0.5789564023343633</v>
          </cell>
          <cell r="K92" t="str">
            <v>NM</v>
          </cell>
          <cell r="L92" t="str">
            <v>NM</v>
          </cell>
          <cell r="M92">
            <v>0.81001606194143572</v>
          </cell>
          <cell r="N92">
            <v>8.8888888888888989E-2</v>
          </cell>
          <cell r="O92">
            <v>0.35010666706449234</v>
          </cell>
        </row>
        <row r="94">
          <cell r="A94" t="str">
            <v>1998/97</v>
          </cell>
        </row>
        <row r="95">
          <cell r="A95" t="str">
            <v xml:space="preserve"> 1Q</v>
          </cell>
          <cell r="B95" t="str">
            <v>NM</v>
          </cell>
          <cell r="C95" t="str">
            <v>NM</v>
          </cell>
          <cell r="D95" t="str">
            <v>NM</v>
          </cell>
          <cell r="E95">
            <v>0.92727272727272725</v>
          </cell>
          <cell r="F95">
            <v>1.3342939481268008</v>
          </cell>
          <cell r="G95" t="str">
            <v>NM</v>
          </cell>
          <cell r="H95" t="str">
            <v>NM</v>
          </cell>
          <cell r="I95">
            <v>0.66666666666666674</v>
          </cell>
          <cell r="J95">
            <v>1.5481665630826573</v>
          </cell>
          <cell r="K95" t="str">
            <v>NM</v>
          </cell>
          <cell r="L95" t="str">
            <v>NM</v>
          </cell>
          <cell r="M95">
            <v>2.1221989841649234</v>
          </cell>
          <cell r="N95">
            <v>0.21359223300970887</v>
          </cell>
          <cell r="O95">
            <v>0.96539955278333522</v>
          </cell>
        </row>
        <row r="96">
          <cell r="A96" t="str">
            <v xml:space="preserve"> 2Q</v>
          </cell>
          <cell r="B96" t="str">
            <v>NM</v>
          </cell>
          <cell r="C96" t="str">
            <v>NM</v>
          </cell>
          <cell r="D96" t="str">
            <v>NM</v>
          </cell>
          <cell r="E96">
            <v>0.76119402985074636</v>
          </cell>
          <cell r="F96">
            <v>0.12185686653771759</v>
          </cell>
          <cell r="G96" t="str">
            <v>NM</v>
          </cell>
          <cell r="H96" t="str">
            <v>NM</v>
          </cell>
          <cell r="I96">
            <v>0.35802469135802473</v>
          </cell>
          <cell r="J96">
            <v>1.9049897470950095</v>
          </cell>
          <cell r="K96" t="str">
            <v>NM</v>
          </cell>
          <cell r="L96" t="str">
            <v>NM</v>
          </cell>
          <cell r="M96">
            <v>1.5462962962962961</v>
          </cell>
          <cell r="N96">
            <v>9.3189964157706015E-2</v>
          </cell>
          <cell r="O96">
            <v>0.63146493365827228</v>
          </cell>
        </row>
        <row r="97">
          <cell r="A97" t="str">
            <v xml:space="preserve"> 3Q</v>
          </cell>
          <cell r="B97" t="str">
            <v>NM</v>
          </cell>
          <cell r="C97" t="str">
            <v>NM</v>
          </cell>
          <cell r="D97" t="str">
            <v>NM</v>
          </cell>
          <cell r="E97">
            <v>0.721518987341772</v>
          </cell>
          <cell r="F97">
            <v>0.66666666666666663</v>
          </cell>
          <cell r="G97">
            <v>0.13461538461538464</v>
          </cell>
          <cell r="H97" t="str">
            <v>NM</v>
          </cell>
          <cell r="I97">
            <v>0.38157894736842107</v>
          </cell>
          <cell r="J97">
            <v>1.4431057563587679</v>
          </cell>
          <cell r="K97" t="str">
            <v>NM</v>
          </cell>
          <cell r="L97" t="str">
            <v>NM</v>
          </cell>
          <cell r="M97">
            <v>0.88347348549854121</v>
          </cell>
          <cell r="N97">
            <v>0.37500000000000011</v>
          </cell>
          <cell r="O97">
            <v>0.63428721449199277</v>
          </cell>
        </row>
        <row r="98">
          <cell r="A98" t="str">
            <v xml:space="preserve"> 4Q</v>
          </cell>
          <cell r="B98" t="str">
            <v>NM</v>
          </cell>
          <cell r="C98" t="str">
            <v>NM</v>
          </cell>
          <cell r="D98" t="str">
            <v>NM</v>
          </cell>
          <cell r="E98">
            <v>0.30434782608695643</v>
          </cell>
          <cell r="F98">
            <v>0.46031746031746024</v>
          </cell>
          <cell r="G98">
            <v>-0.23214285714285712</v>
          </cell>
          <cell r="H98">
            <v>0.41666666666666669</v>
          </cell>
          <cell r="I98">
            <v>0.92708333333333348</v>
          </cell>
          <cell r="J98">
            <v>0.65119792790848141</v>
          </cell>
          <cell r="K98" t="str">
            <v>NM</v>
          </cell>
          <cell r="L98" t="str">
            <v>NM</v>
          </cell>
          <cell r="M98">
            <v>0.38848962226182931</v>
          </cell>
          <cell r="N98">
            <v>0.2297297297297296</v>
          </cell>
          <cell r="O98">
            <v>0.3266416312778575</v>
          </cell>
        </row>
        <row r="100">
          <cell r="A100" t="str">
            <v>1998/97</v>
          </cell>
          <cell r="B100" t="str">
            <v>NM</v>
          </cell>
          <cell r="C100" t="str">
            <v>NM</v>
          </cell>
          <cell r="D100" t="str">
            <v>NM</v>
          </cell>
          <cell r="E100">
            <v>0.66666666666666663</v>
          </cell>
          <cell r="F100">
            <v>0.57945736434108497</v>
          </cell>
          <cell r="G100">
            <v>1.3981481481481481</v>
          </cell>
          <cell r="H100" t="str">
            <v>NM</v>
          </cell>
          <cell r="I100">
            <v>0.59744408945686911</v>
          </cell>
          <cell r="J100">
            <v>1.1361017501902368</v>
          </cell>
          <cell r="K100" t="str">
            <v>NM</v>
          </cell>
          <cell r="L100" t="str">
            <v>NM</v>
          </cell>
          <cell r="M100">
            <v>1.0000455072925438</v>
          </cell>
          <cell r="N100">
            <v>0.2201933404940922</v>
          </cell>
          <cell r="O100">
            <v>0.59891269516790235</v>
          </cell>
        </row>
        <row r="102">
          <cell r="A102" t="str">
            <v>1999/1998</v>
          </cell>
        </row>
        <row r="103">
          <cell r="A103" t="str">
            <v xml:space="preserve"> 1Q</v>
          </cell>
          <cell r="B103" t="str">
            <v>NM</v>
          </cell>
          <cell r="C103" t="str">
            <v>NM</v>
          </cell>
          <cell r="D103" t="str">
            <v>NM</v>
          </cell>
          <cell r="E103">
            <v>0.34905660377358499</v>
          </cell>
          <cell r="F103">
            <v>4.9382716049382762E-2</v>
          </cell>
          <cell r="G103">
            <v>-0.15254237288135597</v>
          </cell>
          <cell r="H103">
            <v>-0.29999999999999993</v>
          </cell>
          <cell r="I103">
            <v>1.25</v>
          </cell>
          <cell r="J103">
            <v>6.0975609756099329E-2</v>
          </cell>
          <cell r="K103" t="str">
            <v>NM</v>
          </cell>
          <cell r="L103" t="str">
            <v>NM</v>
          </cell>
          <cell r="M103">
            <v>0.62440191387559829</v>
          </cell>
          <cell r="N103">
            <v>0.13200000000000003</v>
          </cell>
          <cell r="O103">
            <v>0.440119760479042</v>
          </cell>
        </row>
        <row r="104">
          <cell r="A104" t="str">
            <v xml:space="preserve"> 2Q</v>
          </cell>
          <cell r="B104" t="str">
            <v>NM</v>
          </cell>
          <cell r="C104" t="str">
            <v>NM</v>
          </cell>
          <cell r="D104" t="str">
            <v>NM</v>
          </cell>
          <cell r="E104">
            <v>0.18644067796610161</v>
          </cell>
          <cell r="F104">
            <v>0.48275862068965514</v>
          </cell>
          <cell r="G104">
            <v>-0.21428571428571433</v>
          </cell>
          <cell r="H104">
            <v>1.0810810810810809</v>
          </cell>
          <cell r="I104">
            <v>1.3636363636363635</v>
          </cell>
          <cell r="J104">
            <v>0.31764705882352917</v>
          </cell>
          <cell r="K104" t="str">
            <v>NM</v>
          </cell>
          <cell r="L104" t="str">
            <v>NM</v>
          </cell>
          <cell r="M104">
            <v>0.64593301435406703</v>
          </cell>
          <cell r="N104">
            <v>0.12786885245901636</v>
          </cell>
          <cell r="O104">
            <v>0.4273858921161825</v>
          </cell>
        </row>
        <row r="105">
          <cell r="A105" t="str">
            <v xml:space="preserve"> 3Q</v>
          </cell>
          <cell r="B105" t="str">
            <v>NM</v>
          </cell>
          <cell r="C105" t="str">
            <v>NM</v>
          </cell>
          <cell r="D105" t="str">
            <v>NM</v>
          </cell>
          <cell r="E105">
            <v>0.76470588235294124</v>
          </cell>
          <cell r="F105">
            <v>0.86315789473684201</v>
          </cell>
          <cell r="G105">
            <v>0.96610169491525411</v>
          </cell>
          <cell r="H105">
            <v>0.81818181818181823</v>
          </cell>
          <cell r="I105">
            <v>1.3809523809523809</v>
          </cell>
          <cell r="J105">
            <v>0.72602739726027576</v>
          </cell>
          <cell r="K105" t="str">
            <v>NM</v>
          </cell>
          <cell r="L105" t="str">
            <v>NM</v>
          </cell>
          <cell r="M105">
            <v>1.4214123006833712</v>
          </cell>
          <cell r="N105">
            <v>-6.4935064935064705E-3</v>
          </cell>
          <cell r="O105">
            <v>0.83266398929049534</v>
          </cell>
        </row>
        <row r="106">
          <cell r="A106" t="str">
            <v xml:space="preserve"> 4Q</v>
          </cell>
          <cell r="B106" t="str">
            <v>NM</v>
          </cell>
          <cell r="C106" t="str">
            <v>NM</v>
          </cell>
          <cell r="D106" t="str">
            <v>NM</v>
          </cell>
          <cell r="E106">
            <v>0.54444444444444451</v>
          </cell>
          <cell r="F106">
            <v>0.46739130434782622</v>
          </cell>
          <cell r="G106">
            <v>0.13953488372093037</v>
          </cell>
          <cell r="H106">
            <v>7.3529411764705885E-2</v>
          </cell>
          <cell r="I106">
            <v>0.64864864864864846</v>
          </cell>
          <cell r="J106">
            <v>-0.37254901960784664</v>
          </cell>
          <cell r="K106" t="str">
            <v>NM</v>
          </cell>
          <cell r="L106" t="str">
            <v>NM</v>
          </cell>
          <cell r="M106">
            <v>0.66459627329192572</v>
          </cell>
          <cell r="N106">
            <v>0.14652014652014653</v>
          </cell>
          <cell r="O106">
            <v>0.47751322751322767</v>
          </cell>
        </row>
        <row r="108">
          <cell r="A108" t="str">
            <v>Year</v>
          </cell>
          <cell r="B108" t="str">
            <v>NM</v>
          </cell>
          <cell r="C108" t="str">
            <v>NM</v>
          </cell>
          <cell r="D108" t="str">
            <v>NM</v>
          </cell>
          <cell r="E108">
            <v>0.47111111111111115</v>
          </cell>
          <cell r="F108">
            <v>0.48159509202454004</v>
          </cell>
          <cell r="G108">
            <v>0.12741312741312716</v>
          </cell>
          <cell r="H108">
            <v>0.3000000000000001</v>
          </cell>
          <cell r="I108">
            <v>1.0799999999999996</v>
          </cell>
          <cell r="J108">
            <v>7.1246819338421627E-2</v>
          </cell>
          <cell r="K108" t="str">
            <v>NM</v>
          </cell>
          <cell r="L108" t="str">
            <v>NM</v>
          </cell>
          <cell r="M108">
            <v>0.83959044368600655</v>
          </cell>
          <cell r="N108">
            <v>9.6830985915493092E-2</v>
          </cell>
          <cell r="O108">
            <v>0.54803040774015199</v>
          </cell>
        </row>
        <row r="110">
          <cell r="A110" t="str">
            <v>2000E/1999</v>
          </cell>
        </row>
        <row r="111">
          <cell r="A111" t="str">
            <v xml:space="preserve"> 1QA</v>
          </cell>
          <cell r="B111">
            <v>0.4909090909090908</v>
          </cell>
          <cell r="C111" t="str">
            <v>NM</v>
          </cell>
          <cell r="D111">
            <v>0.4909090909090908</v>
          </cell>
          <cell r="E111">
            <v>-9.0909090909090953E-2</v>
          </cell>
          <cell r="F111">
            <v>0.623529411764706</v>
          </cell>
          <cell r="G111">
            <v>-0.27999999999999997</v>
          </cell>
          <cell r="H111">
            <v>2.0408163265306048E-2</v>
          </cell>
          <cell r="I111">
            <v>0</v>
          </cell>
          <cell r="J111">
            <v>-0.18390804597701144</v>
          </cell>
          <cell r="K111" t="str">
            <v>NM</v>
          </cell>
          <cell r="L111" t="str">
            <v>NM</v>
          </cell>
          <cell r="M111">
            <v>0.17525773195876274</v>
          </cell>
          <cell r="N111">
            <v>2.4734982332155452E-2</v>
          </cell>
          <cell r="O111">
            <v>0.1309771309771309</v>
          </cell>
        </row>
        <row r="112">
          <cell r="A112" t="str">
            <v xml:space="preserve"> 2QA</v>
          </cell>
          <cell r="B112">
            <v>2.1736111111111112</v>
          </cell>
          <cell r="C112" t="str">
            <v>NM</v>
          </cell>
          <cell r="D112">
            <v>2.1736111111111112</v>
          </cell>
          <cell r="E112">
            <v>7.8571428571428542E-2</v>
          </cell>
          <cell r="F112">
            <v>-0.11627906976744186</v>
          </cell>
          <cell r="G112">
            <v>0.29870129870129869</v>
          </cell>
          <cell r="H112">
            <v>0.14285714285714293</v>
          </cell>
          <cell r="I112">
            <v>0.17307692307692296</v>
          </cell>
          <cell r="J112">
            <v>-0.40178571428571341</v>
          </cell>
          <cell r="K112" t="str">
            <v>NM</v>
          </cell>
          <cell r="L112" t="str">
            <v>NM</v>
          </cell>
          <cell r="M112">
            <v>0.45348837209302334</v>
          </cell>
          <cell r="N112">
            <v>5.8139534883721762E-3</v>
          </cell>
          <cell r="O112">
            <v>0.30426356589147296</v>
          </cell>
        </row>
        <row r="113">
          <cell r="A113" t="str">
            <v xml:space="preserve"> 3QA</v>
          </cell>
          <cell r="B113">
            <v>0.8858267716535434</v>
          </cell>
          <cell r="C113" t="str">
            <v>NM</v>
          </cell>
          <cell r="D113">
            <v>0.8858267716535434</v>
          </cell>
          <cell r="E113">
            <v>2.500000000000006E-2</v>
          </cell>
          <cell r="F113">
            <v>-0.30508474576271177</v>
          </cell>
          <cell r="G113">
            <v>-0.75</v>
          </cell>
          <cell r="H113">
            <v>0.10999999999999996</v>
          </cell>
          <cell r="I113">
            <v>-0.27999999999999997</v>
          </cell>
          <cell r="J113">
            <v>-0.29365079365079422</v>
          </cell>
          <cell r="K113" t="str">
            <v>NM</v>
          </cell>
          <cell r="L113" t="str">
            <v>NM</v>
          </cell>
          <cell r="M113">
            <v>0.2765757290686735</v>
          </cell>
          <cell r="N113">
            <v>-4.9019607843137254E-2</v>
          </cell>
          <cell r="O113">
            <v>0.20379839298758201</v>
          </cell>
        </row>
        <row r="114">
          <cell r="A114" t="str">
            <v xml:space="preserve"> 4Q</v>
          </cell>
          <cell r="B114">
            <v>1.0318725099601593</v>
          </cell>
          <cell r="C114" t="str">
            <v>NM</v>
          </cell>
          <cell r="D114">
            <v>1.0717131474103585</v>
          </cell>
          <cell r="E114">
            <v>1.014388489208633</v>
          </cell>
          <cell r="F114">
            <v>0.14814814814814814</v>
          </cell>
          <cell r="G114">
            <v>0.22448979591836726</v>
          </cell>
          <cell r="H114">
            <v>0.64383561643835618</v>
          </cell>
          <cell r="I114">
            <v>-0.26229508196721307</v>
          </cell>
          <cell r="J114">
            <v>-0.16145833333332954</v>
          </cell>
          <cell r="K114" t="str">
            <v>NM</v>
          </cell>
          <cell r="L114" t="str">
            <v>NM</v>
          </cell>
          <cell r="M114">
            <v>0.82898009950248719</v>
          </cell>
          <cell r="N114">
            <v>5.4313099041533523E-2</v>
          </cell>
          <cell r="O114">
            <v>0.61190689346463722</v>
          </cell>
        </row>
        <row r="116">
          <cell r="A116" t="str">
            <v>Year</v>
          </cell>
          <cell r="B116">
            <v>1.0414269275028769</v>
          </cell>
          <cell r="C116" t="str">
            <v>NM</v>
          </cell>
          <cell r="D116">
            <v>1.0529344073647871</v>
          </cell>
          <cell r="E116">
            <v>0.21903323262839877</v>
          </cell>
          <cell r="F116">
            <v>1.8633540372670926E-2</v>
          </cell>
          <cell r="G116">
            <v>-0.22945205479452044</v>
          </cell>
          <cell r="H116">
            <v>0.23411371237458181</v>
          </cell>
          <cell r="I116">
            <v>-0.10096153846153837</v>
          </cell>
          <cell r="J116">
            <v>-0.26959619952493979</v>
          </cell>
          <cell r="K116" t="str">
            <v>NM</v>
          </cell>
          <cell r="L116" t="str">
            <v>NM</v>
          </cell>
          <cell r="M116">
            <v>0.43027210884353739</v>
          </cell>
          <cell r="N116">
            <v>8.8282504012840626E-3</v>
          </cell>
          <cell r="O116">
            <v>0.31305803571428564</v>
          </cell>
        </row>
        <row r="118">
          <cell r="A118" t="str">
            <v>2001E/2000E</v>
          </cell>
          <cell r="B118">
            <v>0.29650507328072151</v>
          </cell>
          <cell r="C118">
            <v>5</v>
          </cell>
          <cell r="D118">
            <v>0.32286995515695061</v>
          </cell>
          <cell r="E118">
            <v>0.17999999999999994</v>
          </cell>
          <cell r="F118">
            <v>0.10000000000000003</v>
          </cell>
          <cell r="G118">
            <v>0.05</v>
          </cell>
          <cell r="H118">
            <v>0.14999999999999991</v>
          </cell>
          <cell r="I118">
            <v>6.9518716577540149E-2</v>
          </cell>
          <cell r="J118">
            <v>-8.6422764227642238E-2</v>
          </cell>
          <cell r="K118">
            <v>1.8634361233480174</v>
          </cell>
          <cell r="L118" t="str">
            <v>NM</v>
          </cell>
          <cell r="M118">
            <v>0.36093071019349282</v>
          </cell>
          <cell r="N118">
            <v>0.1933174224343675</v>
          </cell>
          <cell r="O118">
            <v>0.32511432214194674</v>
          </cell>
        </row>
        <row r="119">
          <cell r="A119" t="str">
            <v>2002E/2001E</v>
          </cell>
          <cell r="B119">
            <v>0.10000000000000013</v>
          </cell>
          <cell r="C119">
            <v>1</v>
          </cell>
          <cell r="D119">
            <v>0.1228813559322034</v>
          </cell>
          <cell r="E119">
            <v>0.12999999999999984</v>
          </cell>
          <cell r="F119" t="str">
            <v>NM</v>
          </cell>
          <cell r="G119">
            <v>5.0000000000000093E-2</v>
          </cell>
          <cell r="H119">
            <v>0.10000000000000012</v>
          </cell>
          <cell r="I119">
            <v>7.0000000000000104E-2</v>
          </cell>
          <cell r="J119">
            <v>2.4201299279167005E-2</v>
          </cell>
          <cell r="K119">
            <v>0.53846153846153844</v>
          </cell>
          <cell r="L119" t="str">
            <v>NM</v>
          </cell>
          <cell r="M119">
            <v>0.19006718046190724</v>
          </cell>
          <cell r="N119">
            <v>0.12000000000000019</v>
          </cell>
          <cell r="O119">
            <v>0.1765840537217197</v>
          </cell>
        </row>
        <row r="120">
          <cell r="A120" t="str">
            <v>2003E/2002E</v>
          </cell>
          <cell r="B120">
            <v>0.10000000000000014</v>
          </cell>
          <cell r="C120">
            <v>0.66666666666666663</v>
          </cell>
          <cell r="D120">
            <v>0.12566037735849081</v>
          </cell>
          <cell r="E120">
            <v>0.10000000000000012</v>
          </cell>
          <cell r="F120" t="str">
            <v>NM</v>
          </cell>
          <cell r="G120">
            <v>5.0000000000000065E-2</v>
          </cell>
          <cell r="H120">
            <v>0.10000000000000003</v>
          </cell>
          <cell r="I120">
            <v>7.0000000000000048E-2</v>
          </cell>
          <cell r="J120">
            <v>2.5896584831804906E-2</v>
          </cell>
          <cell r="K120">
            <v>0.27500000000000002</v>
          </cell>
          <cell r="L120">
            <v>1.25</v>
          </cell>
          <cell r="M120">
            <v>0.18998820095703572</v>
          </cell>
          <cell r="N120">
            <v>0.10000000000000005</v>
          </cell>
          <cell r="O120">
            <v>0.17350442855847609</v>
          </cell>
        </row>
        <row r="121">
          <cell r="A121" t="str">
            <v>2004E/2003E</v>
          </cell>
          <cell r="B121">
            <v>8.0000000000000016E-2</v>
          </cell>
          <cell r="C121">
            <v>0.35</v>
          </cell>
          <cell r="D121">
            <v>9.8102581293999347E-2</v>
          </cell>
          <cell r="E121">
            <v>0.10000000000000007</v>
          </cell>
          <cell r="F121" t="str">
            <v>NM</v>
          </cell>
          <cell r="G121">
            <v>5.0000000000000086E-2</v>
          </cell>
          <cell r="H121">
            <v>9.0000000000000052E-2</v>
          </cell>
          <cell r="I121">
            <v>7.0000000000000132E-2</v>
          </cell>
          <cell r="J121">
            <v>2.7510382089257806E-2</v>
          </cell>
          <cell r="K121">
            <v>0.21568627450980393</v>
          </cell>
          <cell r="L121">
            <v>0.66666666666666663</v>
          </cell>
          <cell r="M121">
            <v>0.18445734940999015</v>
          </cell>
          <cell r="N121">
            <v>8.0000000000000099E-2</v>
          </cell>
          <cell r="O121">
            <v>0.16652166334908378</v>
          </cell>
        </row>
        <row r="122">
          <cell r="A122" t="str">
            <v>2005E/2004E</v>
          </cell>
          <cell r="B122">
            <v>5.9999999999999977E-2</v>
          </cell>
          <cell r="C122">
            <v>0.22222222222222221</v>
          </cell>
          <cell r="D122">
            <v>7.3371432758178534E-2</v>
          </cell>
          <cell r="E122">
            <v>0.1000000000000001</v>
          </cell>
          <cell r="F122" t="str">
            <v>NM</v>
          </cell>
          <cell r="G122">
            <v>5.0000000000000031E-2</v>
          </cell>
          <cell r="H122">
            <v>8.0000000000000057E-2</v>
          </cell>
          <cell r="I122">
            <v>7.0000000000000118E-2</v>
          </cell>
          <cell r="J122">
            <v>2.9042033504096874E-2</v>
          </cell>
          <cell r="K122">
            <v>0.16129032258064516</v>
          </cell>
          <cell r="L122">
            <v>0.56666666666666665</v>
          </cell>
          <cell r="M122">
            <v>0.17093716715180127</v>
          </cell>
          <cell r="N122">
            <v>8.0000000000000029E-2</v>
          </cell>
          <cell r="O122">
            <v>0.15648105994744099</v>
          </cell>
        </row>
        <row r="124">
          <cell r="A124" t="str">
            <v>Notes:</v>
          </cell>
        </row>
        <row r="125">
          <cell r="A125" t="str">
            <v>(a) 1995-1998 sales are pro-forma for Sequus acquisition in early 1999.</v>
          </cell>
        </row>
        <row r="126">
          <cell r="A126" t="str">
            <v xml:space="preserve">E = Morgan Stanley Dean Witter Research Estimates       NM = Not Meaningful </v>
          </cell>
        </row>
      </sheetData>
      <sheetData sheetId="5" refreshError="1"/>
      <sheetData sheetId="6" refreshError="1"/>
      <sheetData sheetId="7" refreshError="1">
        <row r="1">
          <cell r="A1" t="str">
            <v>Exhibit 5</v>
          </cell>
        </row>
        <row r="2">
          <cell r="A2" t="str">
            <v>Alza - Annual Royalties &amp; Fees Model 1995-2005E</v>
          </cell>
        </row>
        <row r="3">
          <cell r="A3" t="str">
            <v>($ Millions)</v>
          </cell>
        </row>
        <row r="4">
          <cell r="B4">
            <v>1995</v>
          </cell>
          <cell r="C4">
            <v>1996</v>
          </cell>
          <cell r="D4" t="str">
            <v>1997</v>
          </cell>
          <cell r="E4" t="str">
            <v>1998</v>
          </cell>
          <cell r="F4" t="str">
            <v>1999</v>
          </cell>
          <cell r="G4" t="str">
            <v>2000E</v>
          </cell>
          <cell r="H4" t="str">
            <v xml:space="preserve"> 2001E</v>
          </cell>
          <cell r="I4" t="str">
            <v xml:space="preserve"> 2002E</v>
          </cell>
          <cell r="J4" t="str">
            <v xml:space="preserve"> 2003E</v>
          </cell>
          <cell r="K4" t="str">
            <v xml:space="preserve"> 2004E</v>
          </cell>
          <cell r="L4" t="str">
            <v xml:space="preserve"> 2005E</v>
          </cell>
        </row>
        <row r="5">
          <cell r="A5" t="str">
            <v>Procardia XL (nifedipine) - Pfizer</v>
          </cell>
        </row>
        <row r="6">
          <cell r="A6" t="str">
            <v xml:space="preserve">  Client's Alza Product Sales</v>
          </cell>
          <cell r="B6">
            <v>1134</v>
          </cell>
          <cell r="C6">
            <v>1004.9</v>
          </cell>
          <cell r="D6">
            <v>822</v>
          </cell>
          <cell r="E6">
            <v>713</v>
          </cell>
          <cell r="F6">
            <v>550</v>
          </cell>
          <cell r="G6">
            <v>272</v>
          </cell>
          <cell r="H6">
            <v>163.19999999999999</v>
          </cell>
          <cell r="I6">
            <v>114.23999999999998</v>
          </cell>
          <cell r="J6">
            <v>91.391999999999996</v>
          </cell>
          <cell r="K6">
            <v>77.683199999999999</v>
          </cell>
          <cell r="L6">
            <v>66.030720000000002</v>
          </cell>
        </row>
        <row r="7">
          <cell r="A7" t="str">
            <v xml:space="preserve">  Royalty Rate</v>
          </cell>
          <cell r="B7">
            <v>5.8000000000000003E-2</v>
          </cell>
          <cell r="C7">
            <v>6.3899999999999998E-2</v>
          </cell>
          <cell r="D7">
            <v>7.0000000000000007E-2</v>
          </cell>
          <cell r="E7">
            <v>7.0000000000000007E-2</v>
          </cell>
          <cell r="F7">
            <v>7.0000000000000007E-2</v>
          </cell>
          <cell r="G7">
            <v>7.0000000000000007E-2</v>
          </cell>
          <cell r="H7">
            <v>7.0000000000000007E-2</v>
          </cell>
          <cell r="I7">
            <v>7.0000000000000007E-2</v>
          </cell>
          <cell r="J7">
            <v>7.0000000000000007E-2</v>
          </cell>
          <cell r="K7">
            <v>7.0000000000000007E-2</v>
          </cell>
          <cell r="L7">
            <v>7.0000000000000007E-2</v>
          </cell>
        </row>
        <row r="8">
          <cell r="A8" t="str">
            <v xml:space="preserve">    Total Royalties</v>
          </cell>
          <cell r="B8">
            <v>65.772000000000006</v>
          </cell>
          <cell r="C8">
            <v>64.21311</v>
          </cell>
          <cell r="D8">
            <v>57.540000000000006</v>
          </cell>
          <cell r="E8">
            <v>49.910000000000004</v>
          </cell>
          <cell r="F8">
            <v>38.5</v>
          </cell>
          <cell r="G8">
            <v>19.040000000000003</v>
          </cell>
          <cell r="H8">
            <v>11.423999999999999</v>
          </cell>
          <cell r="I8">
            <v>7.9967999999999995</v>
          </cell>
          <cell r="J8">
            <v>6.3974400000000005</v>
          </cell>
          <cell r="K8">
            <v>5.4378240000000009</v>
          </cell>
          <cell r="L8">
            <v>4.6221504000000007</v>
          </cell>
        </row>
        <row r="10">
          <cell r="A10" t="str">
            <v>Glucotrol XL (glipizide) - Pfizer</v>
          </cell>
        </row>
        <row r="11">
          <cell r="A11" t="str">
            <v xml:space="preserve">  Client's Alza Product Sales</v>
          </cell>
          <cell r="B11">
            <v>81.800000000000011</v>
          </cell>
          <cell r="C11">
            <v>132.80000000000001</v>
          </cell>
          <cell r="D11">
            <v>175</v>
          </cell>
          <cell r="E11">
            <v>225</v>
          </cell>
          <cell r="F11">
            <v>256</v>
          </cell>
          <cell r="G11">
            <v>275.39999999999998</v>
          </cell>
          <cell r="H11">
            <v>291.92399999999998</v>
          </cell>
          <cell r="I11">
            <v>300.68171999999998</v>
          </cell>
          <cell r="J11">
            <v>309.70217159999999</v>
          </cell>
          <cell r="K11">
            <v>309.70217159999999</v>
          </cell>
          <cell r="L11">
            <v>309.70217159999999</v>
          </cell>
        </row>
        <row r="12">
          <cell r="A12" t="str">
            <v xml:space="preserve">  Royalty Rate</v>
          </cell>
          <cell r="B12">
            <v>7.0000000000000007E-2</v>
          </cell>
          <cell r="C12">
            <v>7.0000000000000007E-2</v>
          </cell>
          <cell r="D12">
            <v>7.0000000000000007E-2</v>
          </cell>
          <cell r="E12">
            <v>7.0000000000000007E-2</v>
          </cell>
          <cell r="F12">
            <v>7.0000000000000007E-2</v>
          </cell>
          <cell r="G12">
            <v>7.0000000000000021E-2</v>
          </cell>
          <cell r="H12">
            <v>7.0000000000000007E-2</v>
          </cell>
          <cell r="I12">
            <v>7.0000000000000007E-2</v>
          </cell>
          <cell r="J12">
            <v>7.0000000000000007E-2</v>
          </cell>
          <cell r="K12">
            <v>7.0000000000000007E-2</v>
          </cell>
          <cell r="L12">
            <v>7.0000000000000007E-2</v>
          </cell>
        </row>
        <row r="13">
          <cell r="A13" t="str">
            <v xml:space="preserve">    Total Royalties</v>
          </cell>
          <cell r="B13">
            <v>5.7260000000000018</v>
          </cell>
          <cell r="C13">
            <v>9.2960000000000012</v>
          </cell>
          <cell r="D13">
            <v>12.250000000000002</v>
          </cell>
          <cell r="E13">
            <v>15.750000000000002</v>
          </cell>
          <cell r="F13">
            <v>17.920000000000002</v>
          </cell>
          <cell r="G13">
            <v>19.278000000000002</v>
          </cell>
          <cell r="H13">
            <v>20.43468</v>
          </cell>
          <cell r="I13">
            <v>21.047720399999999</v>
          </cell>
          <cell r="J13">
            <v>21.679152011999999</v>
          </cell>
          <cell r="K13">
            <v>21.679152011999999</v>
          </cell>
          <cell r="L13">
            <v>21.679152011999999</v>
          </cell>
        </row>
        <row r="15">
          <cell r="A15" t="str">
            <v>Adalat CC (nifedipine) - Bayer</v>
          </cell>
        </row>
        <row r="16">
          <cell r="A16" t="str">
            <v xml:space="preserve">  Client's Alza Product Sales</v>
          </cell>
          <cell r="B16">
            <v>300</v>
          </cell>
          <cell r="C16">
            <v>300</v>
          </cell>
          <cell r="D16">
            <v>300</v>
          </cell>
          <cell r="E16">
            <v>300</v>
          </cell>
          <cell r="F16">
            <v>300</v>
          </cell>
          <cell r="G16">
            <v>120</v>
          </cell>
          <cell r="H16">
            <v>90</v>
          </cell>
          <cell r="I16">
            <v>76.5</v>
          </cell>
          <cell r="J16">
            <v>65.024999999999991</v>
          </cell>
          <cell r="K16">
            <v>55.271249999999988</v>
          </cell>
          <cell r="L16">
            <v>46.980562499999991</v>
          </cell>
        </row>
        <row r="17">
          <cell r="A17" t="str">
            <v xml:space="preserve">  Royalty Rate</v>
          </cell>
          <cell r="B17">
            <v>7.0000000000000007E-2</v>
          </cell>
          <cell r="C17">
            <v>7.0000000000000007E-2</v>
          </cell>
          <cell r="D17">
            <v>7.0000000000000007E-2</v>
          </cell>
          <cell r="E17">
            <v>7.0000000000000007E-2</v>
          </cell>
          <cell r="F17">
            <v>7.0000000000000007E-2</v>
          </cell>
          <cell r="G17">
            <v>7.0000000000000007E-2</v>
          </cell>
          <cell r="H17">
            <v>7.0000000000000007E-2</v>
          </cell>
          <cell r="I17">
            <v>7.0000000000000007E-2</v>
          </cell>
          <cell r="J17">
            <v>7.0000000000000007E-2</v>
          </cell>
          <cell r="K17">
            <v>7.0000000000000007E-2</v>
          </cell>
          <cell r="L17">
            <v>7.0000000000000007E-2</v>
          </cell>
        </row>
        <row r="18">
          <cell r="A18" t="str">
            <v xml:space="preserve">    Total Royalties</v>
          </cell>
          <cell r="B18">
            <v>21.000000000000004</v>
          </cell>
          <cell r="C18">
            <v>21.000000000000004</v>
          </cell>
          <cell r="D18">
            <v>21.000000000000004</v>
          </cell>
          <cell r="E18">
            <v>21.000000000000004</v>
          </cell>
          <cell r="F18">
            <v>21.000000000000004</v>
          </cell>
          <cell r="G18">
            <v>8.4</v>
          </cell>
          <cell r="H18">
            <v>6.3000000000000007</v>
          </cell>
          <cell r="I18">
            <v>5.3550000000000004</v>
          </cell>
          <cell r="J18">
            <v>4.5517500000000002</v>
          </cell>
          <cell r="K18">
            <v>3.8689874999999994</v>
          </cell>
          <cell r="L18">
            <v>3.2886393749999998</v>
          </cell>
        </row>
        <row r="20">
          <cell r="A20" t="str">
            <v>Duragesic - JNJ</v>
          </cell>
        </row>
        <row r="21">
          <cell r="A21" t="str">
            <v xml:space="preserve">  Client's Alza Product Sales</v>
          </cell>
          <cell r="B21">
            <v>125</v>
          </cell>
          <cell r="C21">
            <v>170</v>
          </cell>
          <cell r="D21">
            <v>250</v>
          </cell>
          <cell r="E21">
            <v>350</v>
          </cell>
          <cell r="F21">
            <v>450</v>
          </cell>
          <cell r="G21">
            <v>585</v>
          </cell>
          <cell r="H21">
            <v>731.25</v>
          </cell>
          <cell r="I21">
            <v>840.93749999999989</v>
          </cell>
          <cell r="J21">
            <v>941.84999999999991</v>
          </cell>
          <cell r="K21">
            <v>1036.0350000000001</v>
          </cell>
          <cell r="L21">
            <v>828.82800000000009</v>
          </cell>
        </row>
        <row r="22">
          <cell r="A22" t="str">
            <v xml:space="preserve">  Royalty Rate</v>
          </cell>
          <cell r="B22">
            <v>7.0000000000000007E-2</v>
          </cell>
          <cell r="C22">
            <v>7.0000000000000007E-2</v>
          </cell>
          <cell r="D22">
            <v>7.0000000000000007E-2</v>
          </cell>
          <cell r="E22">
            <v>9.8000000000000004E-2</v>
          </cell>
          <cell r="F22">
            <v>0.11</v>
          </cell>
          <cell r="G22">
            <v>0.11</v>
          </cell>
          <cell r="H22">
            <v>0.11</v>
          </cell>
          <cell r="I22">
            <v>0.11</v>
          </cell>
          <cell r="J22">
            <v>0.11</v>
          </cell>
          <cell r="K22">
            <v>0.11</v>
          </cell>
          <cell r="L22">
            <v>0.11</v>
          </cell>
        </row>
        <row r="23">
          <cell r="A23" t="str">
            <v xml:space="preserve">    Total Royalties</v>
          </cell>
          <cell r="B23">
            <v>8.75</v>
          </cell>
          <cell r="C23">
            <v>11.9</v>
          </cell>
          <cell r="D23">
            <v>17.5</v>
          </cell>
          <cell r="E23">
            <v>34.300000000000004</v>
          </cell>
          <cell r="F23">
            <v>49.5</v>
          </cell>
          <cell r="G23">
            <v>64.349999999999994</v>
          </cell>
          <cell r="H23">
            <v>80.4375</v>
          </cell>
          <cell r="I23">
            <v>92.503124999999983</v>
          </cell>
          <cell r="J23">
            <v>103.6035</v>
          </cell>
          <cell r="K23">
            <v>113.96385000000001</v>
          </cell>
          <cell r="L23">
            <v>91.171080000000003</v>
          </cell>
        </row>
        <row r="25">
          <cell r="A25" t="str">
            <v>Nicoderm CQ - SmithKline Beecham</v>
          </cell>
        </row>
        <row r="26">
          <cell r="A26" t="str">
            <v xml:space="preserve">  Client's Alza Product Sales</v>
          </cell>
          <cell r="B26">
            <v>0</v>
          </cell>
          <cell r="C26">
            <v>100</v>
          </cell>
          <cell r="D26">
            <v>200</v>
          </cell>
          <cell r="E26">
            <v>225</v>
          </cell>
          <cell r="F26">
            <v>236.25</v>
          </cell>
          <cell r="G26">
            <v>248.0625</v>
          </cell>
          <cell r="H26">
            <v>260.46562499999999</v>
          </cell>
          <cell r="I26">
            <v>273.48890625000001</v>
          </cell>
          <cell r="J26">
            <v>287.16335156250005</v>
          </cell>
          <cell r="K26">
            <v>301.52151914062506</v>
          </cell>
          <cell r="L26">
            <v>316.59759509765632</v>
          </cell>
        </row>
        <row r="27">
          <cell r="A27" t="str">
            <v xml:space="preserve">  Royalty Rate</v>
          </cell>
          <cell r="B27">
            <v>0.09</v>
          </cell>
          <cell r="C27">
            <v>0.09</v>
          </cell>
          <cell r="D27">
            <v>0.09</v>
          </cell>
          <cell r="E27">
            <v>0.06</v>
          </cell>
          <cell r="F27">
            <v>0.06</v>
          </cell>
          <cell r="G27">
            <v>0.06</v>
          </cell>
          <cell r="H27">
            <v>0.06</v>
          </cell>
          <cell r="I27">
            <v>0.06</v>
          </cell>
          <cell r="J27">
            <v>0.06</v>
          </cell>
          <cell r="K27">
            <v>0.06</v>
          </cell>
          <cell r="L27">
            <v>0.06</v>
          </cell>
        </row>
        <row r="28">
          <cell r="A28" t="str">
            <v xml:space="preserve">    Total Royalties</v>
          </cell>
          <cell r="B28">
            <v>0</v>
          </cell>
          <cell r="C28">
            <v>9</v>
          </cell>
          <cell r="D28">
            <v>18</v>
          </cell>
          <cell r="E28">
            <v>13.5</v>
          </cell>
          <cell r="F28">
            <v>14.174999999999999</v>
          </cell>
          <cell r="G28">
            <v>14.883749999999999</v>
          </cell>
          <cell r="H28">
            <v>15.627937499999998</v>
          </cell>
          <cell r="I28">
            <v>16.409334375</v>
          </cell>
          <cell r="J28">
            <v>17.229801093750002</v>
          </cell>
          <cell r="K28">
            <v>18.091291148437502</v>
          </cell>
          <cell r="L28">
            <v>18.99585570585938</v>
          </cell>
        </row>
        <row r="30">
          <cell r="A30" t="str">
            <v>Covera-HS (verapamil) - Searle</v>
          </cell>
        </row>
        <row r="31">
          <cell r="A31" t="str">
            <v xml:space="preserve">  Client's Alza Product Sales</v>
          </cell>
          <cell r="B31">
            <v>0</v>
          </cell>
          <cell r="C31">
            <v>21</v>
          </cell>
          <cell r="D31">
            <v>55</v>
          </cell>
          <cell r="E31">
            <v>81</v>
          </cell>
          <cell r="F31">
            <v>93.149999999999991</v>
          </cell>
          <cell r="G31">
            <v>102.465</v>
          </cell>
          <cell r="H31">
            <v>110.66220000000001</v>
          </cell>
          <cell r="I31">
            <v>116.19531000000002</v>
          </cell>
          <cell r="J31">
            <v>122.00507550000003</v>
          </cell>
          <cell r="K31">
            <v>128.10532927500003</v>
          </cell>
          <cell r="L31">
            <v>134.51059573875003</v>
          </cell>
        </row>
        <row r="32">
          <cell r="A32" t="str">
            <v xml:space="preserve">  Royalty Rate</v>
          </cell>
          <cell r="B32">
            <v>7.0000000000000007E-2</v>
          </cell>
          <cell r="C32">
            <v>7.0000000000000007E-2</v>
          </cell>
          <cell r="D32">
            <v>7.0000000000000007E-2</v>
          </cell>
          <cell r="E32">
            <v>7.0000000000000007E-2</v>
          </cell>
          <cell r="F32">
            <v>7.0000000000000007E-2</v>
          </cell>
          <cell r="G32">
            <v>7.0000000000000007E-2</v>
          </cell>
          <cell r="H32">
            <v>7.0000000000000007E-2</v>
          </cell>
          <cell r="I32">
            <v>7.0000000000000007E-2</v>
          </cell>
          <cell r="J32">
            <v>7.0000000000000007E-2</v>
          </cell>
          <cell r="K32">
            <v>7.0000000000000007E-2</v>
          </cell>
          <cell r="L32">
            <v>7.0000000000000007E-2</v>
          </cell>
        </row>
        <row r="33">
          <cell r="A33" t="str">
            <v xml:space="preserve">    Total Royalties</v>
          </cell>
          <cell r="B33">
            <v>0</v>
          </cell>
          <cell r="C33">
            <v>1.4700000000000002</v>
          </cell>
          <cell r="D33">
            <v>3.8500000000000005</v>
          </cell>
          <cell r="E33">
            <v>5.6700000000000008</v>
          </cell>
          <cell r="F33">
            <v>6.5205000000000002</v>
          </cell>
          <cell r="G33">
            <v>7.1725500000000011</v>
          </cell>
          <cell r="H33">
            <v>7.746354000000002</v>
          </cell>
          <cell r="I33">
            <v>8.1336717000000025</v>
          </cell>
          <cell r="J33">
            <v>8.5403552850000022</v>
          </cell>
          <cell r="K33">
            <v>8.9673730492500034</v>
          </cell>
          <cell r="L33">
            <v>9.415741701712502</v>
          </cell>
        </row>
        <row r="35">
          <cell r="A35" t="str">
            <v>DynaCirc CR (isradipine) - Novartis</v>
          </cell>
        </row>
        <row r="36">
          <cell r="A36" t="str">
            <v xml:space="preserve">  Client's Product Sales</v>
          </cell>
          <cell r="B36">
            <v>231</v>
          </cell>
          <cell r="C36">
            <v>260</v>
          </cell>
          <cell r="D36">
            <v>280</v>
          </cell>
          <cell r="E36">
            <v>285</v>
          </cell>
          <cell r="F36">
            <v>290.7</v>
          </cell>
          <cell r="G36">
            <v>296.51400000000001</v>
          </cell>
          <cell r="H36">
            <v>302.44427999999999</v>
          </cell>
          <cell r="I36">
            <v>308.4931656</v>
          </cell>
          <cell r="J36">
            <v>314.66302891200002</v>
          </cell>
          <cell r="K36">
            <v>320.95628949024001</v>
          </cell>
          <cell r="L36">
            <v>327.37541528004482</v>
          </cell>
        </row>
        <row r="37">
          <cell r="A37" t="str">
            <v xml:space="preserve">  Penetration Rate</v>
          </cell>
          <cell r="B37">
            <v>0</v>
          </cell>
          <cell r="C37">
            <v>0</v>
          </cell>
          <cell r="D37">
            <v>0.03</v>
          </cell>
          <cell r="E37">
            <v>0.05</v>
          </cell>
          <cell r="F37">
            <v>7.0000000000000007E-2</v>
          </cell>
          <cell r="G37">
            <v>0.1</v>
          </cell>
          <cell r="H37">
            <v>0.12000000000000001</v>
          </cell>
          <cell r="I37">
            <v>0.14000000000000001</v>
          </cell>
          <cell r="J37">
            <v>0.16</v>
          </cell>
          <cell r="K37">
            <v>0.18</v>
          </cell>
          <cell r="L37">
            <v>0.19999999999999998</v>
          </cell>
        </row>
        <row r="38">
          <cell r="A38" t="str">
            <v xml:space="preserve">  Client's Alza Product Sales</v>
          </cell>
          <cell r="B38">
            <v>0</v>
          </cell>
          <cell r="C38">
            <v>0</v>
          </cell>
          <cell r="D38">
            <v>8.4</v>
          </cell>
          <cell r="E38">
            <v>14.25</v>
          </cell>
          <cell r="F38">
            <v>20.349</v>
          </cell>
          <cell r="G38">
            <v>29.651400000000002</v>
          </cell>
          <cell r="H38">
            <v>36.293313600000005</v>
          </cell>
          <cell r="I38">
            <v>43.189043184000006</v>
          </cell>
          <cell r="J38">
            <v>50.346084625920007</v>
          </cell>
          <cell r="K38">
            <v>57.772132108243198</v>
          </cell>
          <cell r="L38">
            <v>65.475083056008955</v>
          </cell>
        </row>
        <row r="39">
          <cell r="A39" t="str">
            <v xml:space="preserve">  Royalty Rate</v>
          </cell>
          <cell r="B39">
            <v>0.04</v>
          </cell>
          <cell r="C39">
            <v>0.04</v>
          </cell>
          <cell r="D39">
            <v>0.04</v>
          </cell>
          <cell r="E39">
            <v>0.04</v>
          </cell>
          <cell r="F39">
            <v>0.04</v>
          </cell>
          <cell r="G39">
            <v>0.04</v>
          </cell>
          <cell r="H39">
            <v>0.04</v>
          </cell>
          <cell r="I39">
            <v>0.04</v>
          </cell>
          <cell r="J39">
            <v>0.04</v>
          </cell>
          <cell r="K39">
            <v>0.04</v>
          </cell>
          <cell r="L39">
            <v>0.04</v>
          </cell>
        </row>
        <row r="40">
          <cell r="A40" t="str">
            <v xml:space="preserve">    Total Royalties</v>
          </cell>
          <cell r="B40">
            <v>0</v>
          </cell>
          <cell r="C40">
            <v>0</v>
          </cell>
          <cell r="D40">
            <v>0.33600000000000002</v>
          </cell>
          <cell r="E40">
            <v>0.57000000000000006</v>
          </cell>
          <cell r="F40">
            <v>0.81396000000000002</v>
          </cell>
          <cell r="G40">
            <v>1.1860560000000002</v>
          </cell>
          <cell r="H40">
            <v>1.4517325440000002</v>
          </cell>
          <cell r="I40">
            <v>1.7275617273600004</v>
          </cell>
          <cell r="J40">
            <v>2.0138433850368003</v>
          </cell>
          <cell r="K40">
            <v>2.3108852843297281</v>
          </cell>
          <cell r="L40">
            <v>2.6190033222403581</v>
          </cell>
        </row>
        <row r="42">
          <cell r="A42" t="str">
            <v>Transderm Nitro (nitroglycerin) - Novartis</v>
          </cell>
        </row>
        <row r="43">
          <cell r="A43" t="str">
            <v xml:space="preserve">  Client's Alza Product Sales</v>
          </cell>
          <cell r="B43">
            <v>0</v>
          </cell>
          <cell r="C43">
            <v>300</v>
          </cell>
          <cell r="D43">
            <v>275</v>
          </cell>
          <cell r="E43">
            <v>250</v>
          </cell>
          <cell r="F43">
            <v>212.5</v>
          </cell>
          <cell r="G43">
            <v>180.625</v>
          </cell>
          <cell r="H43">
            <v>153.53125</v>
          </cell>
          <cell r="I43">
            <v>130.50156250000001</v>
          </cell>
          <cell r="J43">
            <v>110.926328125</v>
          </cell>
          <cell r="K43">
            <v>94.287378906249998</v>
          </cell>
          <cell r="L43">
            <v>80.144272070312496</v>
          </cell>
        </row>
        <row r="44">
          <cell r="A44" t="str">
            <v xml:space="preserve">  Royalty Rate</v>
          </cell>
          <cell r="B44">
            <v>0.04</v>
          </cell>
          <cell r="C44">
            <v>0.04</v>
          </cell>
          <cell r="D44">
            <v>0.04</v>
          </cell>
          <cell r="E44">
            <v>0.04</v>
          </cell>
          <cell r="F44">
            <v>0.04</v>
          </cell>
          <cell r="G44">
            <v>0.04</v>
          </cell>
          <cell r="H44">
            <v>0.04</v>
          </cell>
          <cell r="I44">
            <v>0.04</v>
          </cell>
          <cell r="J44">
            <v>0.04</v>
          </cell>
          <cell r="K44">
            <v>0.04</v>
          </cell>
          <cell r="L44">
            <v>0.04</v>
          </cell>
        </row>
        <row r="45">
          <cell r="A45" t="str">
            <v xml:space="preserve">    Total Royalties</v>
          </cell>
          <cell r="B45">
            <v>0</v>
          </cell>
          <cell r="C45">
            <v>12</v>
          </cell>
          <cell r="D45">
            <v>11</v>
          </cell>
          <cell r="E45">
            <v>10</v>
          </cell>
          <cell r="F45">
            <v>8.5</v>
          </cell>
          <cell r="G45">
            <v>7.2250000000000005</v>
          </cell>
          <cell r="H45">
            <v>6.1412500000000003</v>
          </cell>
          <cell r="I45">
            <v>5.2200625</v>
          </cell>
          <cell r="J45">
            <v>4.4370531250000003</v>
          </cell>
          <cell r="K45">
            <v>3.7714951562499999</v>
          </cell>
          <cell r="L45">
            <v>3.2057708828124998</v>
          </cell>
        </row>
        <row r="47">
          <cell r="A47" t="str">
            <v>Transderm Scop (scopolamine) - Novartis</v>
          </cell>
        </row>
        <row r="48">
          <cell r="A48" t="str">
            <v xml:space="preserve">  Client's Alza Product Sales</v>
          </cell>
          <cell r="B48">
            <v>0</v>
          </cell>
          <cell r="C48">
            <v>0</v>
          </cell>
          <cell r="D48">
            <v>20</v>
          </cell>
          <cell r="E48">
            <v>20</v>
          </cell>
          <cell r="F48">
            <v>20</v>
          </cell>
          <cell r="G48">
            <v>20</v>
          </cell>
          <cell r="H48">
            <v>20</v>
          </cell>
          <cell r="I48">
            <v>20</v>
          </cell>
          <cell r="J48">
            <v>20</v>
          </cell>
          <cell r="K48">
            <v>20</v>
          </cell>
          <cell r="L48">
            <v>20</v>
          </cell>
        </row>
        <row r="49">
          <cell r="A49" t="str">
            <v xml:space="preserve">  Royalty Rate</v>
          </cell>
          <cell r="B49">
            <v>0.05</v>
          </cell>
          <cell r="C49">
            <v>0.05</v>
          </cell>
          <cell r="D49">
            <v>0.05</v>
          </cell>
          <cell r="E49">
            <v>0.05</v>
          </cell>
          <cell r="F49">
            <v>0.05</v>
          </cell>
          <cell r="G49">
            <v>0.05</v>
          </cell>
          <cell r="H49">
            <v>0.05</v>
          </cell>
          <cell r="I49">
            <v>0.05</v>
          </cell>
          <cell r="J49">
            <v>0.05</v>
          </cell>
          <cell r="K49">
            <v>0.05</v>
          </cell>
          <cell r="L49">
            <v>0.05</v>
          </cell>
        </row>
        <row r="50">
          <cell r="A50" t="str">
            <v xml:space="preserve">    Total Royalties</v>
          </cell>
          <cell r="B50">
            <v>0</v>
          </cell>
          <cell r="C50">
            <v>0</v>
          </cell>
          <cell r="D50">
            <v>1</v>
          </cell>
          <cell r="E50">
            <v>1</v>
          </cell>
          <cell r="F50">
            <v>1</v>
          </cell>
          <cell r="G50">
            <v>1</v>
          </cell>
          <cell r="H50">
            <v>1</v>
          </cell>
          <cell r="I50">
            <v>1</v>
          </cell>
          <cell r="J50">
            <v>1</v>
          </cell>
          <cell r="K50">
            <v>1</v>
          </cell>
          <cell r="L50">
            <v>1</v>
          </cell>
        </row>
        <row r="52">
          <cell r="A52" t="str">
            <v>IVOMEC SR Bolus (ivermectin) - Merial</v>
          </cell>
        </row>
        <row r="53">
          <cell r="A53" t="str">
            <v xml:space="preserve">  Client's Product Sales (U.S.)</v>
          </cell>
          <cell r="B53">
            <v>330</v>
          </cell>
          <cell r="C53">
            <v>330</v>
          </cell>
          <cell r="D53">
            <v>330</v>
          </cell>
          <cell r="E53">
            <v>330</v>
          </cell>
          <cell r="F53">
            <v>330</v>
          </cell>
          <cell r="G53">
            <v>330</v>
          </cell>
          <cell r="H53">
            <v>330</v>
          </cell>
          <cell r="I53">
            <v>330</v>
          </cell>
          <cell r="J53">
            <v>330</v>
          </cell>
          <cell r="K53">
            <v>330</v>
          </cell>
          <cell r="L53">
            <v>330</v>
          </cell>
        </row>
        <row r="54">
          <cell r="A54" t="str">
            <v xml:space="preserve">  Penetration Rate</v>
          </cell>
          <cell r="B54">
            <v>0</v>
          </cell>
          <cell r="C54">
            <v>0</v>
          </cell>
          <cell r="D54">
            <v>0.05</v>
          </cell>
          <cell r="E54">
            <v>0.1</v>
          </cell>
          <cell r="F54">
            <v>0.15000000000000002</v>
          </cell>
          <cell r="G54">
            <v>0.2</v>
          </cell>
          <cell r="H54">
            <v>0.25</v>
          </cell>
          <cell r="I54">
            <v>0.3</v>
          </cell>
          <cell r="J54">
            <v>0.35</v>
          </cell>
          <cell r="K54">
            <v>0.39999999999999997</v>
          </cell>
          <cell r="L54">
            <v>0.44999999999999996</v>
          </cell>
        </row>
        <row r="55">
          <cell r="A55" t="str">
            <v xml:space="preserve">  Client's Alza Product Sales</v>
          </cell>
          <cell r="B55">
            <v>0</v>
          </cell>
          <cell r="C55">
            <v>0</v>
          </cell>
          <cell r="D55">
            <v>16.5</v>
          </cell>
          <cell r="E55">
            <v>33</v>
          </cell>
          <cell r="F55">
            <v>49.500000000000007</v>
          </cell>
          <cell r="G55">
            <v>66</v>
          </cell>
          <cell r="H55">
            <v>82.5</v>
          </cell>
          <cell r="I55">
            <v>99</v>
          </cell>
          <cell r="J55">
            <v>115.49999999999999</v>
          </cell>
          <cell r="K55">
            <v>132</v>
          </cell>
          <cell r="L55">
            <v>148.49999999999997</v>
          </cell>
        </row>
        <row r="56">
          <cell r="A56" t="str">
            <v xml:space="preserve">  Royalty Rate</v>
          </cell>
          <cell r="B56">
            <v>0.02</v>
          </cell>
          <cell r="C56">
            <v>0.02</v>
          </cell>
          <cell r="D56">
            <v>0.02</v>
          </cell>
          <cell r="E56">
            <v>0.02</v>
          </cell>
          <cell r="F56">
            <v>0.02</v>
          </cell>
          <cell r="G56">
            <v>0.02</v>
          </cell>
          <cell r="H56">
            <v>0.02</v>
          </cell>
          <cell r="I56">
            <v>0.02</v>
          </cell>
          <cell r="J56">
            <v>0.02</v>
          </cell>
          <cell r="K56">
            <v>0.02</v>
          </cell>
          <cell r="L56">
            <v>0.02</v>
          </cell>
        </row>
        <row r="57">
          <cell r="A57" t="str">
            <v xml:space="preserve">    Total Royalties</v>
          </cell>
          <cell r="B57">
            <v>0</v>
          </cell>
          <cell r="C57">
            <v>0</v>
          </cell>
          <cell r="D57">
            <v>0.33</v>
          </cell>
          <cell r="E57">
            <v>0.66</v>
          </cell>
          <cell r="F57">
            <v>0.99000000000000021</v>
          </cell>
          <cell r="G57">
            <v>1.32</v>
          </cell>
          <cell r="H57">
            <v>1.6500000000000001</v>
          </cell>
          <cell r="I57">
            <v>1.98</v>
          </cell>
          <cell r="J57">
            <v>2.3099999999999996</v>
          </cell>
          <cell r="K57">
            <v>2.64</v>
          </cell>
          <cell r="L57">
            <v>2.9699999999999993</v>
          </cell>
        </row>
        <row r="59">
          <cell r="A59" t="str">
            <v xml:space="preserve">E = Morgan Stanley Dean Witter Research Estimates </v>
          </cell>
        </row>
        <row r="62">
          <cell r="A62" t="str">
            <v>Table 5 (continued)</v>
          </cell>
        </row>
        <row r="63">
          <cell r="A63" t="str">
            <v>Alza - Annual Royalties &amp; Fees Model 1995-2005E</v>
          </cell>
        </row>
        <row r="64">
          <cell r="A64" t="str">
            <v>($ Millions)</v>
          </cell>
        </row>
        <row r="65">
          <cell r="B65">
            <v>1995</v>
          </cell>
          <cell r="C65">
            <v>1996</v>
          </cell>
          <cell r="D65" t="str">
            <v>1997</v>
          </cell>
          <cell r="E65" t="str">
            <v>1998</v>
          </cell>
          <cell r="F65" t="str">
            <v>1999</v>
          </cell>
          <cell r="G65" t="str">
            <v>2000E</v>
          </cell>
          <cell r="H65" t="str">
            <v xml:space="preserve"> 2001E</v>
          </cell>
          <cell r="I65" t="str">
            <v xml:space="preserve"> 2002E</v>
          </cell>
          <cell r="J65" t="str">
            <v xml:space="preserve"> 2003E</v>
          </cell>
          <cell r="K65" t="str">
            <v xml:space="preserve"> 2004E</v>
          </cell>
        </row>
        <row r="66">
          <cell r="A66" t="str">
            <v>Catapres-TTS (clonidine) - Boehringer Ingel.</v>
          </cell>
        </row>
        <row r="67">
          <cell r="A67" t="str">
            <v xml:space="preserve">  Client's Alza Product Sales</v>
          </cell>
          <cell r="B67">
            <v>70</v>
          </cell>
          <cell r="C67">
            <v>90</v>
          </cell>
          <cell r="D67">
            <v>105</v>
          </cell>
          <cell r="E67">
            <v>113.4</v>
          </cell>
          <cell r="F67">
            <v>121.33800000000001</v>
          </cell>
          <cell r="G67">
            <v>129.83166000000003</v>
          </cell>
          <cell r="H67">
            <v>137.62155960000004</v>
          </cell>
          <cell r="I67">
            <v>145.87885317600006</v>
          </cell>
          <cell r="J67">
            <v>153.17279583480007</v>
          </cell>
          <cell r="K67">
            <v>160.83143562654007</v>
          </cell>
        </row>
        <row r="68">
          <cell r="A68" t="str">
            <v xml:space="preserve">  Royalty Rate</v>
          </cell>
          <cell r="B68">
            <v>0.09</v>
          </cell>
          <cell r="C68">
            <v>0.09</v>
          </cell>
          <cell r="D68">
            <v>0.09</v>
          </cell>
          <cell r="E68">
            <v>0.09</v>
          </cell>
          <cell r="F68">
            <v>0.09</v>
          </cell>
          <cell r="G68">
            <v>0.09</v>
          </cell>
          <cell r="H68">
            <v>0.09</v>
          </cell>
          <cell r="I68">
            <v>0.09</v>
          </cell>
          <cell r="J68">
            <v>0.09</v>
          </cell>
          <cell r="K68">
            <v>0.09</v>
          </cell>
        </row>
        <row r="69">
          <cell r="A69" t="str">
            <v xml:space="preserve">    Total Royalties</v>
          </cell>
          <cell r="B69">
            <v>6.3</v>
          </cell>
          <cell r="C69">
            <v>8.1</v>
          </cell>
          <cell r="D69">
            <v>9.4499999999999993</v>
          </cell>
          <cell r="E69">
            <v>10.206</v>
          </cell>
          <cell r="F69">
            <v>10.92042</v>
          </cell>
          <cell r="G69">
            <v>11.684849400000003</v>
          </cell>
          <cell r="H69">
            <v>12.385940364000003</v>
          </cell>
          <cell r="I69">
            <v>13.129096785840005</v>
          </cell>
          <cell r="J69">
            <v>13.785551625132006</v>
          </cell>
          <cell r="K69">
            <v>14.474829206388605</v>
          </cell>
        </row>
        <row r="71">
          <cell r="A71" t="str">
            <v>Efidac (24 Hr. Sudafed) - WLA</v>
          </cell>
        </row>
        <row r="72">
          <cell r="A72" t="str">
            <v xml:space="preserve">  Client's Product Sales (U.S.)</v>
          </cell>
          <cell r="B72">
            <v>122</v>
          </cell>
          <cell r="C72">
            <v>134</v>
          </cell>
          <cell r="D72">
            <v>140.70000000000002</v>
          </cell>
          <cell r="E72">
            <v>147.73500000000001</v>
          </cell>
          <cell r="F72">
            <v>155.12175000000002</v>
          </cell>
          <cell r="G72">
            <v>162.87783750000003</v>
          </cell>
          <cell r="H72">
            <v>171.02172937500004</v>
          </cell>
          <cell r="I72">
            <v>179.57281584375005</v>
          </cell>
          <cell r="J72">
            <v>188.55145663593757</v>
          </cell>
          <cell r="K72">
            <v>197.97902946773445</v>
          </cell>
        </row>
        <row r="73">
          <cell r="A73" t="str">
            <v xml:space="preserve">  Penetration Rate</v>
          </cell>
          <cell r="B73">
            <v>0</v>
          </cell>
          <cell r="C73">
            <v>0</v>
          </cell>
          <cell r="D73">
            <v>0</v>
          </cell>
          <cell r="E73">
            <v>0.05</v>
          </cell>
          <cell r="F73">
            <v>0.1</v>
          </cell>
          <cell r="G73">
            <v>0.15000000000000002</v>
          </cell>
          <cell r="H73">
            <v>0.2</v>
          </cell>
          <cell r="I73">
            <v>0.25</v>
          </cell>
          <cell r="J73">
            <v>0.3</v>
          </cell>
          <cell r="K73">
            <v>0.35</v>
          </cell>
        </row>
        <row r="74">
          <cell r="A74" t="str">
            <v xml:space="preserve">  Client's Alza Product Sales</v>
          </cell>
          <cell r="B74">
            <v>0</v>
          </cell>
          <cell r="C74">
            <v>0</v>
          </cell>
          <cell r="D74">
            <v>0</v>
          </cell>
          <cell r="E74">
            <v>7.386750000000001</v>
          </cell>
          <cell r="F74">
            <v>15.512175000000003</v>
          </cell>
          <cell r="G74">
            <v>24.431675625000008</v>
          </cell>
          <cell r="H74">
            <v>34.204345875000008</v>
          </cell>
          <cell r="I74">
            <v>44.893203960937512</v>
          </cell>
          <cell r="J74">
            <v>56.565436990781272</v>
          </cell>
          <cell r="K74">
            <v>69.292660313707046</v>
          </cell>
        </row>
        <row r="75">
          <cell r="A75" t="str">
            <v xml:space="preserve">  Royalty Rate</v>
          </cell>
          <cell r="B75">
            <v>0.05</v>
          </cell>
          <cell r="C75">
            <v>0.05</v>
          </cell>
          <cell r="D75">
            <v>0.05</v>
          </cell>
          <cell r="E75">
            <v>0.05</v>
          </cell>
          <cell r="F75">
            <v>0.05</v>
          </cell>
          <cell r="G75">
            <v>0.05</v>
          </cell>
          <cell r="H75">
            <v>0.05</v>
          </cell>
          <cell r="I75">
            <v>0.05</v>
          </cell>
          <cell r="J75">
            <v>0.05</v>
          </cell>
          <cell r="K75">
            <v>0.05</v>
          </cell>
        </row>
        <row r="76">
          <cell r="A76" t="str">
            <v xml:space="preserve">    Total Royalties</v>
          </cell>
          <cell r="B76">
            <v>0</v>
          </cell>
          <cell r="C76">
            <v>0</v>
          </cell>
          <cell r="D76">
            <v>0</v>
          </cell>
          <cell r="E76">
            <v>0.3693375000000001</v>
          </cell>
          <cell r="F76">
            <v>0.77560875000000018</v>
          </cell>
          <cell r="G76">
            <v>1.2215837812500006</v>
          </cell>
          <cell r="H76">
            <v>1.7102172937500004</v>
          </cell>
          <cell r="I76">
            <v>2.2446601980468759</v>
          </cell>
          <cell r="J76">
            <v>2.828271849539064</v>
          </cell>
          <cell r="K76">
            <v>3.4646330156853526</v>
          </cell>
        </row>
        <row r="78">
          <cell r="A78" t="str">
            <v>Alpress LP (prazosin) - Pfizer (Fr)</v>
          </cell>
        </row>
        <row r="79">
          <cell r="A79" t="str">
            <v xml:space="preserve">  Client's Alza Product Sales</v>
          </cell>
          <cell r="B79">
            <v>8</v>
          </cell>
          <cell r="C79">
            <v>8</v>
          </cell>
          <cell r="D79">
            <v>8</v>
          </cell>
          <cell r="E79">
            <v>8</v>
          </cell>
          <cell r="F79">
            <v>8</v>
          </cell>
          <cell r="G79">
            <v>8</v>
          </cell>
          <cell r="H79">
            <v>8</v>
          </cell>
          <cell r="I79">
            <v>8</v>
          </cell>
          <cell r="J79">
            <v>8</v>
          </cell>
          <cell r="K79">
            <v>8</v>
          </cell>
        </row>
        <row r="80">
          <cell r="A80" t="str">
            <v xml:space="preserve">  Royalty Rate</v>
          </cell>
          <cell r="B80">
            <v>7.0000000000000007E-2</v>
          </cell>
          <cell r="C80">
            <v>7.0000000000000007E-2</v>
          </cell>
          <cell r="D80">
            <v>7.0000000000000007E-2</v>
          </cell>
          <cell r="E80">
            <v>7.0000000000000007E-2</v>
          </cell>
          <cell r="F80">
            <v>7.0000000000000007E-2</v>
          </cell>
          <cell r="G80">
            <v>7.0000000000000007E-2</v>
          </cell>
          <cell r="H80">
            <v>7.0000000000000007E-2</v>
          </cell>
          <cell r="I80">
            <v>7.0000000000000007E-2</v>
          </cell>
          <cell r="J80">
            <v>7.0000000000000007E-2</v>
          </cell>
          <cell r="K80">
            <v>7.0000000000000007E-2</v>
          </cell>
        </row>
        <row r="81">
          <cell r="A81" t="str">
            <v xml:space="preserve">    Total Royalties</v>
          </cell>
          <cell r="B81">
            <v>0.56000000000000005</v>
          </cell>
          <cell r="C81">
            <v>0.56000000000000005</v>
          </cell>
          <cell r="D81">
            <v>0.56000000000000005</v>
          </cell>
          <cell r="E81">
            <v>0.56000000000000005</v>
          </cell>
          <cell r="F81">
            <v>0.56000000000000005</v>
          </cell>
          <cell r="G81">
            <v>0.56000000000000005</v>
          </cell>
          <cell r="H81">
            <v>0.56000000000000005</v>
          </cell>
          <cell r="I81">
            <v>0.56000000000000005</v>
          </cell>
          <cell r="J81">
            <v>0.56000000000000005</v>
          </cell>
          <cell r="K81">
            <v>0.56000000000000005</v>
          </cell>
        </row>
        <row r="83">
          <cell r="A83" t="str">
            <v>Teczem - Hoechst (U.S.)</v>
          </cell>
        </row>
        <row r="84">
          <cell r="A84" t="str">
            <v xml:space="preserve">  Client's Alza Product Sales</v>
          </cell>
          <cell r="B84">
            <v>0</v>
          </cell>
          <cell r="C84">
            <v>0</v>
          </cell>
          <cell r="D84">
            <v>0</v>
          </cell>
          <cell r="E84">
            <v>5</v>
          </cell>
          <cell r="F84">
            <v>10</v>
          </cell>
          <cell r="G84">
            <v>15</v>
          </cell>
          <cell r="H84">
            <v>20</v>
          </cell>
          <cell r="I84">
            <v>25</v>
          </cell>
          <cell r="J84">
            <v>30</v>
          </cell>
          <cell r="K84">
            <v>30</v>
          </cell>
        </row>
        <row r="85">
          <cell r="A85" t="str">
            <v xml:space="preserve">  Royalty Rate</v>
          </cell>
          <cell r="B85">
            <v>0.03</v>
          </cell>
          <cell r="C85">
            <v>0.03</v>
          </cell>
          <cell r="D85">
            <v>0.03</v>
          </cell>
          <cell r="E85">
            <v>0.03</v>
          </cell>
          <cell r="F85">
            <v>0.03</v>
          </cell>
          <cell r="G85">
            <v>0.03</v>
          </cell>
          <cell r="H85">
            <v>0.03</v>
          </cell>
          <cell r="I85">
            <v>0.03</v>
          </cell>
          <cell r="J85">
            <v>0.03</v>
          </cell>
          <cell r="K85">
            <v>0.03</v>
          </cell>
        </row>
        <row r="86">
          <cell r="A86" t="str">
            <v xml:space="preserve">    Total Royalties</v>
          </cell>
          <cell r="B86">
            <v>0</v>
          </cell>
          <cell r="C86">
            <v>0</v>
          </cell>
          <cell r="D86">
            <v>0</v>
          </cell>
          <cell r="E86">
            <v>0.15</v>
          </cell>
          <cell r="F86">
            <v>0.3</v>
          </cell>
          <cell r="G86">
            <v>0.44999999999999996</v>
          </cell>
          <cell r="H86">
            <v>0.6</v>
          </cell>
          <cell r="I86">
            <v>0.75</v>
          </cell>
          <cell r="J86">
            <v>0.89999999999999991</v>
          </cell>
          <cell r="K86">
            <v>0.89999999999999991</v>
          </cell>
        </row>
        <row r="88">
          <cell r="A88" t="str">
            <v>Cardura XL - Pfizer</v>
          </cell>
        </row>
        <row r="89">
          <cell r="A89" t="str">
            <v xml:space="preserve">  Client's Alza Product Sales</v>
          </cell>
          <cell r="B89">
            <v>0</v>
          </cell>
          <cell r="C89">
            <v>0</v>
          </cell>
          <cell r="D89">
            <v>0</v>
          </cell>
          <cell r="E89">
            <v>3</v>
          </cell>
          <cell r="F89">
            <v>6</v>
          </cell>
          <cell r="G89">
            <v>8</v>
          </cell>
          <cell r="H89">
            <v>8.8000000000000007</v>
          </cell>
          <cell r="I89">
            <v>9.6800000000000015</v>
          </cell>
          <cell r="J89">
            <v>10.648000000000003</v>
          </cell>
          <cell r="K89">
            <v>11.712800000000005</v>
          </cell>
        </row>
        <row r="90">
          <cell r="A90" t="str">
            <v xml:space="preserve">  Royalty Rate</v>
          </cell>
          <cell r="B90">
            <v>0.09</v>
          </cell>
          <cell r="C90">
            <v>0.09</v>
          </cell>
          <cell r="D90">
            <v>0.09</v>
          </cell>
          <cell r="E90">
            <v>0.09</v>
          </cell>
          <cell r="F90">
            <v>0.09</v>
          </cell>
          <cell r="G90">
            <v>0.09</v>
          </cell>
          <cell r="H90">
            <v>0.09</v>
          </cell>
          <cell r="I90">
            <v>0.09</v>
          </cell>
          <cell r="J90">
            <v>0.09</v>
          </cell>
          <cell r="K90">
            <v>0.09</v>
          </cell>
        </row>
        <row r="91">
          <cell r="A91" t="str">
            <v xml:space="preserve">    Total Royalties</v>
          </cell>
          <cell r="B91">
            <v>0</v>
          </cell>
          <cell r="C91">
            <v>0</v>
          </cell>
          <cell r="D91">
            <v>0</v>
          </cell>
          <cell r="E91">
            <v>0.27</v>
          </cell>
          <cell r="F91">
            <v>0.54</v>
          </cell>
          <cell r="G91">
            <v>0.72</v>
          </cell>
          <cell r="H91">
            <v>0.79200000000000004</v>
          </cell>
          <cell r="I91">
            <v>0.87120000000000009</v>
          </cell>
          <cell r="J91">
            <v>0.95832000000000028</v>
          </cell>
          <cell r="K91">
            <v>1.0541520000000004</v>
          </cell>
        </row>
        <row r="93">
          <cell r="A93" t="str">
            <v>Volmax (albuterol) - Glaxo</v>
          </cell>
        </row>
        <row r="94">
          <cell r="A94" t="str">
            <v xml:space="preserve">  Client's Alza Product Sales</v>
          </cell>
          <cell r="B94">
            <v>40</v>
          </cell>
          <cell r="C94">
            <v>40</v>
          </cell>
          <cell r="D94">
            <v>45</v>
          </cell>
          <cell r="E94">
            <v>50</v>
          </cell>
          <cell r="F94">
            <v>52</v>
          </cell>
          <cell r="G94">
            <v>54</v>
          </cell>
          <cell r="H94">
            <v>54</v>
          </cell>
          <cell r="I94">
            <v>54</v>
          </cell>
          <cell r="J94">
            <v>54</v>
          </cell>
          <cell r="K94">
            <v>54</v>
          </cell>
        </row>
        <row r="95">
          <cell r="A95" t="str">
            <v xml:space="preserve">  Royalty Rate</v>
          </cell>
          <cell r="B95">
            <v>7.0000000000000007E-2</v>
          </cell>
          <cell r="C95">
            <v>7.0000000000000007E-2</v>
          </cell>
          <cell r="D95">
            <v>7.0000000000000007E-2</v>
          </cell>
          <cell r="E95">
            <v>7.0000000000000007E-2</v>
          </cell>
          <cell r="F95">
            <v>7.0000000000000007E-2</v>
          </cell>
          <cell r="G95">
            <v>7.0000000000000007E-2</v>
          </cell>
          <cell r="H95">
            <v>7.0000000000000007E-2</v>
          </cell>
          <cell r="I95">
            <v>7.0000000000000007E-2</v>
          </cell>
          <cell r="J95">
            <v>7.0000000000000007E-2</v>
          </cell>
          <cell r="K95">
            <v>7.0000000000000007E-2</v>
          </cell>
        </row>
        <row r="96">
          <cell r="A96" t="str">
            <v xml:space="preserve">    Total Royalties</v>
          </cell>
          <cell r="B96">
            <v>2.8000000000000003</v>
          </cell>
          <cell r="C96">
            <v>2.8000000000000003</v>
          </cell>
          <cell r="D96">
            <v>3.1500000000000004</v>
          </cell>
          <cell r="E96">
            <v>3.5000000000000004</v>
          </cell>
          <cell r="F96">
            <v>3.6400000000000006</v>
          </cell>
          <cell r="G96">
            <v>3.7800000000000002</v>
          </cell>
          <cell r="H96">
            <v>3.7800000000000002</v>
          </cell>
          <cell r="I96">
            <v>3.7800000000000002</v>
          </cell>
          <cell r="J96">
            <v>3.7800000000000002</v>
          </cell>
          <cell r="K96">
            <v>3.7800000000000002</v>
          </cell>
        </row>
        <row r="98">
          <cell r="A98" t="str">
            <v>OROS hydromorphone - Knoll (BASF)</v>
          </cell>
        </row>
        <row r="99">
          <cell r="A99" t="str">
            <v xml:space="preserve">  Client's Product Sales (U.S. Dilaudid)</v>
          </cell>
          <cell r="B99">
            <v>0</v>
          </cell>
          <cell r="C99">
            <v>0</v>
          </cell>
          <cell r="D99">
            <v>17</v>
          </cell>
          <cell r="E99">
            <v>19</v>
          </cell>
          <cell r="F99">
            <v>15</v>
          </cell>
          <cell r="G99">
            <v>15</v>
          </cell>
          <cell r="H99">
            <v>5</v>
          </cell>
          <cell r="I99">
            <v>4</v>
          </cell>
          <cell r="J99">
            <v>3</v>
          </cell>
          <cell r="K99">
            <v>2</v>
          </cell>
        </row>
        <row r="100">
          <cell r="A100" t="str">
            <v xml:space="preserve">  Penetration Rate</v>
          </cell>
          <cell r="B100" t="str">
            <v>NM</v>
          </cell>
          <cell r="C100" t="str">
            <v>NM</v>
          </cell>
          <cell r="D100" t="str">
            <v>NM</v>
          </cell>
          <cell r="E100" t="str">
            <v>NM</v>
          </cell>
          <cell r="F100" t="str">
            <v>NM</v>
          </cell>
          <cell r="G100" t="str">
            <v>NM</v>
          </cell>
          <cell r="H100" t="str">
            <v>NM</v>
          </cell>
          <cell r="I100" t="str">
            <v>NM</v>
          </cell>
          <cell r="J100" t="str">
            <v>NM</v>
          </cell>
          <cell r="K100" t="str">
            <v>NM</v>
          </cell>
        </row>
        <row r="101">
          <cell r="A101" t="str">
            <v xml:space="preserve">  Client's Alza Product Sales</v>
          </cell>
          <cell r="B101">
            <v>0</v>
          </cell>
          <cell r="C101">
            <v>0</v>
          </cell>
          <cell r="D101">
            <v>0</v>
          </cell>
          <cell r="E101">
            <v>0</v>
          </cell>
          <cell r="F101">
            <v>0</v>
          </cell>
          <cell r="G101">
            <v>0</v>
          </cell>
          <cell r="H101">
            <v>18</v>
          </cell>
          <cell r="I101">
            <v>35</v>
          </cell>
          <cell r="J101">
            <v>50</v>
          </cell>
          <cell r="K101">
            <v>65</v>
          </cell>
        </row>
        <row r="102">
          <cell r="A102" t="str">
            <v xml:space="preserve">  Royalty Rate</v>
          </cell>
          <cell r="B102">
            <v>0</v>
          </cell>
          <cell r="C102">
            <v>0</v>
          </cell>
          <cell r="D102">
            <v>0</v>
          </cell>
          <cell r="E102">
            <v>0</v>
          </cell>
          <cell r="F102">
            <v>0</v>
          </cell>
          <cell r="G102">
            <v>0</v>
          </cell>
          <cell r="H102">
            <v>0.2</v>
          </cell>
          <cell r="I102">
            <v>0.2</v>
          </cell>
          <cell r="J102">
            <v>0.2</v>
          </cell>
          <cell r="K102">
            <v>0.2</v>
          </cell>
        </row>
        <row r="103">
          <cell r="A103" t="str">
            <v xml:space="preserve">    Total Royalties</v>
          </cell>
          <cell r="B103">
            <v>0</v>
          </cell>
          <cell r="C103">
            <v>0</v>
          </cell>
          <cell r="D103">
            <v>0</v>
          </cell>
          <cell r="E103">
            <v>0</v>
          </cell>
          <cell r="F103">
            <v>0</v>
          </cell>
          <cell r="G103">
            <v>0</v>
          </cell>
          <cell r="H103">
            <v>3.6</v>
          </cell>
          <cell r="I103">
            <v>7</v>
          </cell>
          <cell r="J103">
            <v>10</v>
          </cell>
          <cell r="K103">
            <v>13</v>
          </cell>
        </row>
        <row r="105">
          <cell r="A105" t="str">
            <v>Ethyol - U.S. Bioscience</v>
          </cell>
        </row>
        <row r="106">
          <cell r="A106" t="str">
            <v xml:space="preserve">  Client's Alza Product Sales</v>
          </cell>
          <cell r="B106">
            <v>0</v>
          </cell>
          <cell r="C106">
            <v>9.35</v>
          </cell>
          <cell r="D106">
            <v>20.64</v>
          </cell>
          <cell r="E106">
            <v>32.599999999999994</v>
          </cell>
          <cell r="F106">
            <v>48.3</v>
          </cell>
          <cell r="G106">
            <v>49.2</v>
          </cell>
          <cell r="H106">
            <v>54.120000000000005</v>
          </cell>
          <cell r="I106">
            <v>48.707999999999998</v>
          </cell>
          <cell r="J106">
            <v>56.014199999999995</v>
          </cell>
          <cell r="K106">
            <v>62.735903999999998</v>
          </cell>
        </row>
        <row r="107">
          <cell r="A107" t="str">
            <v xml:space="preserve">  Royalty Rate</v>
          </cell>
          <cell r="B107">
            <v>0</v>
          </cell>
          <cell r="C107">
            <v>0</v>
          </cell>
          <cell r="D107">
            <v>0</v>
          </cell>
          <cell r="E107">
            <v>0</v>
          </cell>
          <cell r="F107">
            <v>0</v>
          </cell>
          <cell r="G107">
            <v>0</v>
          </cell>
          <cell r="H107">
            <v>0</v>
          </cell>
          <cell r="I107">
            <v>0.3</v>
          </cell>
          <cell r="J107">
            <v>0.27500000000000002</v>
          </cell>
          <cell r="K107">
            <v>0.25</v>
          </cell>
        </row>
        <row r="108">
          <cell r="A108" t="str">
            <v xml:space="preserve">    Total Royalties</v>
          </cell>
          <cell r="B108">
            <v>0</v>
          </cell>
          <cell r="C108">
            <v>0</v>
          </cell>
          <cell r="D108">
            <v>0</v>
          </cell>
          <cell r="E108">
            <v>0</v>
          </cell>
          <cell r="F108">
            <v>0</v>
          </cell>
          <cell r="G108">
            <v>0</v>
          </cell>
          <cell r="H108">
            <v>0</v>
          </cell>
          <cell r="I108">
            <v>14.612399999999999</v>
          </cell>
          <cell r="J108">
            <v>15.403905</v>
          </cell>
          <cell r="K108">
            <v>15.683975999999999</v>
          </cell>
        </row>
        <row r="110">
          <cell r="A110" t="str">
            <v>Viadur - Bayer</v>
          </cell>
        </row>
        <row r="111">
          <cell r="A111" t="str">
            <v xml:space="preserve">  Client's Alza Product Sales</v>
          </cell>
          <cell r="B111">
            <v>0</v>
          </cell>
          <cell r="C111">
            <v>0</v>
          </cell>
          <cell r="D111">
            <v>0</v>
          </cell>
          <cell r="E111">
            <v>0</v>
          </cell>
          <cell r="F111">
            <v>0</v>
          </cell>
          <cell r="G111">
            <v>0</v>
          </cell>
          <cell r="H111">
            <v>25</v>
          </cell>
          <cell r="I111">
            <v>50</v>
          </cell>
          <cell r="J111">
            <v>75</v>
          </cell>
          <cell r="K111">
            <v>93.8</v>
          </cell>
        </row>
        <row r="112">
          <cell r="A112" t="str">
            <v xml:space="preserve">  Royalty Rate</v>
          </cell>
          <cell r="B112">
            <v>0</v>
          </cell>
          <cell r="C112">
            <v>0</v>
          </cell>
          <cell r="D112">
            <v>0</v>
          </cell>
          <cell r="E112">
            <v>0</v>
          </cell>
          <cell r="F112">
            <v>0</v>
          </cell>
          <cell r="G112">
            <v>0</v>
          </cell>
          <cell r="H112">
            <v>0.11</v>
          </cell>
          <cell r="I112">
            <v>0.11</v>
          </cell>
          <cell r="J112">
            <v>0.11</v>
          </cell>
          <cell r="K112">
            <v>0.11</v>
          </cell>
        </row>
        <row r="113">
          <cell r="A113" t="str">
            <v xml:space="preserve">    Total Royalties</v>
          </cell>
          <cell r="B113">
            <v>0</v>
          </cell>
          <cell r="C113">
            <v>0</v>
          </cell>
          <cell r="D113">
            <v>0</v>
          </cell>
          <cell r="E113">
            <v>0</v>
          </cell>
          <cell r="F113">
            <v>0</v>
          </cell>
          <cell r="G113">
            <v>0</v>
          </cell>
          <cell r="H113">
            <v>2.75</v>
          </cell>
          <cell r="I113">
            <v>5.5</v>
          </cell>
          <cell r="J113">
            <v>8.25</v>
          </cell>
          <cell r="K113">
            <v>10.318</v>
          </cell>
        </row>
        <row r="115">
          <cell r="A115" t="str">
            <v>Other (a)</v>
          </cell>
          <cell r="B115">
            <v>27.391999999999982</v>
          </cell>
          <cell r="C115">
            <v>30.960889999999978</v>
          </cell>
          <cell r="D115">
            <v>28.433999999999969</v>
          </cell>
          <cell r="E115">
            <v>51.484662500000013</v>
          </cell>
          <cell r="F115">
            <v>44.244511249999988</v>
          </cell>
          <cell r="G115">
            <v>118</v>
          </cell>
          <cell r="H115">
            <v>135</v>
          </cell>
          <cell r="I115">
            <v>145.80000000000001</v>
          </cell>
          <cell r="J115">
            <v>167.67</v>
          </cell>
          <cell r="K115">
            <v>192.82049999999998</v>
          </cell>
        </row>
        <row r="116">
          <cell r="A116" t="str">
            <v>Nonrecurring/Crescendo</v>
          </cell>
          <cell r="B116">
            <v>7.4</v>
          </cell>
          <cell r="C116">
            <v>9.5</v>
          </cell>
          <cell r="D116">
            <v>4</v>
          </cell>
          <cell r="E116">
            <v>14.2</v>
          </cell>
          <cell r="F116">
            <v>7.2</v>
          </cell>
          <cell r="G116">
            <v>2</v>
          </cell>
          <cell r="H116">
            <v>0</v>
          </cell>
          <cell r="I116">
            <v>0</v>
          </cell>
          <cell r="J116">
            <v>0</v>
          </cell>
          <cell r="K116">
            <v>0</v>
          </cell>
        </row>
        <row r="118">
          <cell r="A118" t="str">
            <v>Total - Reported</v>
          </cell>
          <cell r="B118">
            <v>145.69999999999999</v>
          </cell>
          <cell r="C118">
            <v>180.8</v>
          </cell>
          <cell r="D118">
            <v>188.4</v>
          </cell>
          <cell r="E118">
            <v>233.1</v>
          </cell>
          <cell r="F118">
            <v>227.1</v>
          </cell>
          <cell r="G118">
            <v>282.27178918124997</v>
          </cell>
          <cell r="H118">
            <v>313.39161170174998</v>
          </cell>
          <cell r="I118">
            <v>355.62063268624695</v>
          </cell>
          <cell r="J118">
            <v>395.89894337545786</v>
          </cell>
          <cell r="K118">
            <v>437.78694837234121</v>
          </cell>
        </row>
        <row r="120">
          <cell r="A120" t="str">
            <v>Notes:</v>
          </cell>
        </row>
        <row r="121">
          <cell r="A121" t="str">
            <v xml:space="preserve">(a) Other includes milestone payments and royalties on Muro, Baxter Infusor, and ENACT AirWatch as well as Hexalen and </v>
          </cell>
        </row>
        <row r="122">
          <cell r="A122" t="str">
            <v xml:space="preserve">NeuTrexin, until the two products were sent back to U.S. Bioscience in mid-1999. </v>
          </cell>
        </row>
        <row r="124">
          <cell r="A124" t="str">
            <v xml:space="preserve">E = Morgan Stanley Dean Witter Research Estimates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RELPE"/>
      <sheetName val="SALESCAT"/>
      <sheetName val="MATCASH"/>
      <sheetName val="FinSum"/>
      <sheetName val="LXK"/>
      <sheetName val=" Capital"/>
      <sheetName val="New Business"/>
      <sheetName val="FutureAcq"/>
      <sheetName val="Credit Output"/>
      <sheetName val="CalcsMO"/>
      <sheetName val="yearly"/>
      <sheetName val="OnAir"/>
      <sheetName val="Aladdin Macro1"/>
      <sheetName val="DATA"/>
      <sheetName val="Scenario"/>
      <sheetName val="WY"/>
      <sheetName val="Gas"/>
      <sheetName val="Off Peak"/>
      <sheetName val="Peak"/>
      <sheetName val="Annual"/>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Sainsbury"/>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DCF"/>
      <sheetName val="SNAPSHOT"/>
      <sheetName val="Changes to model"/>
      <sheetName val="MW-Cache"/>
      <sheetName val="__FDSCACHE__"/>
      <sheetName val="Tables"/>
      <sheetName val="Page 3"/>
      <sheetName val="Scenarios"/>
      <sheetName val="MW Valuation"/>
      <sheetName val="FILINGS"/>
      <sheetName val="R&amp;D day 2012"/>
      <sheetName val="MWA RR_NOVN.VX"/>
      <sheetName val="Gross Margin"/>
      <sheetName val="Yrly Sales"/>
      <sheetName val="Qrtly Sales"/>
      <sheetName val="Pipeline"/>
      <sheetName val=" Qrtly P&amp;L"/>
      <sheetName val="FX"/>
      <sheetName val="Annual P&amp;L"/>
      <sheetName val="Div P&amp;L"/>
      <sheetName val="Div SOP"/>
      <sheetName val="R&amp;D charts"/>
      <sheetName val="Alcon"/>
      <sheetName val="Alcon P&amp;L Pro Forma"/>
      <sheetName val="BalanceSheet"/>
      <sheetName val="CashFlow"/>
      <sheetName val="buyback flex"/>
      <sheetName val=" Qrtly P&amp;L (ex Alcon)"/>
      <sheetName val="Galvus"/>
      <sheetName val="Telbivudine"/>
      <sheetName val="mwareTaxoPres"/>
      <sheetName val="By division"/>
      <sheetName val="mwareDates"/>
      <sheetName val="mwareSettings"/>
      <sheetName val="Sheet1"/>
      <sheetName val="Currency"/>
      <sheetName val="C1500"/>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Incremental Growth"/>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mwarePreview"/>
      <sheetName val="Product concentration"/>
      <sheetName val="div p&amp;L new"/>
      <sheetName val="Restructuring and synergies"/>
      <sheetName val="Sandoz"/>
      <sheetName val=" Yrly P&amp;L"/>
      <sheetName val="IFRS adjustments"/>
      <sheetName val="CashFlowSt"/>
      <sheetName val="FutureProducts"/>
      <sheetName val="GVAT Adjusted CHF"/>
      <sheetName val="GVAT Adjusted $"/>
      <sheetName val="GVAT RI Valuation"/>
      <sheetName val="GVAT Reported $"/>
      <sheetName val="GVAT pensions CHF"/>
      <sheetName val="GVAT Reported CHF"/>
      <sheetName val="GVAT options CHF"/>
      <sheetName val="Zelnorm"/>
      <sheetName val="Gleevec"/>
      <sheetName val="Elidel"/>
      <sheetName val="Novartisfeed"/>
      <sheetName val="Disclaimer"/>
      <sheetName val="mwareDates_38456_582518"/>
      <sheetName val="RI Valuation"/>
      <sheetName val="Convergence Valuation"/>
      <sheetName val="Report"/>
      <sheetName val="mwareValPrintout"/>
      <sheetName val="Model_Template"/>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Key metrics"/>
      <sheetName val="QPreview"/>
      <sheetName val="RI GW"/>
      <sheetName val="Chiron acquisition"/>
      <sheetName val="DCF 2020"/>
      <sheetName val="cons"/>
      <sheetName val="Product DCF"/>
      <sheetName val="Open Platform"/>
      <sheetName val="Sheet3"/>
      <sheetName val="sales sheet for model"/>
      <sheetName val="MWare_Cached"/>
      <sheetName val="Intrinsic Value"/>
      <sheetName val="Residual Income"/>
      <sheetName val="Primary Care"/>
      <sheetName val="SOP PE"/>
      <sheetName val="SOP EBITDA"/>
      <sheetName val=" Qrtly P&amp;Lold"/>
      <sheetName val=" Yrly P&amp;L old"/>
      <sheetName val="Div summary"/>
      <sheetName val="Summaryunhide"/>
      <sheetName val=" Qrtly P&amp;L (ex disc)"/>
      <sheetName val=" Yrly P&amp;L (ex disc)"/>
      <sheetName val="Novartis"/>
      <sheetName val="Summary PF"/>
      <sheetName val="Sales Charts"/>
      <sheetName val="Summary (continuing)"/>
      <sheetName val="DCF new"/>
      <sheetName val="SOTP"/>
      <sheetName val="NOVN Snapshot"/>
      <sheetName val="BullBear"/>
      <sheetName val="R3020"/>
      <sheetName val="Pipeline_Patents Chart"/>
      <sheetName val="Pipeline_new"/>
      <sheetName val="PPC - hard coded"/>
      <sheetName val="Pensions"/>
      <sheetName val="GSK Lilly deal assumptions"/>
      <sheetName val="Trial data summary"/>
      <sheetName val="Merger - Amyl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sheetData sheetId="37" refreshError="1"/>
      <sheetData sheetId="38" refreshError="1"/>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row r="42">
          <cell r="D42">
            <v>56225</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sheetData sheetId="149"/>
      <sheetData sheetId="150"/>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ARTIS"/>
      <sheetName val="NOVARTIS$"/>
      <sheetName val="Tableau"/>
      <sheetName val="Bilan$"/>
      <sheetName val="fraisfi"/>
      <sheetName val="fraisfi$"/>
      <sheetName val="CAtrimLikeNOVA (2)"/>
      <sheetName val="trimestriels (2)"/>
      <sheetName val="sem (2)"/>
      <sheetName val="Glivec"/>
      <sheetName val="produits"/>
      <sheetName val="trim.CA"/>
      <sheetName val="Bilan"/>
      <sheetName val="CAtrimLikeNOVA"/>
      <sheetName val="trimestriels"/>
      <sheetName val="sem"/>
      <sheetName val="RopSem"/>
      <sheetName val="Feuil1"/>
      <sheetName val="Continuing"/>
      <sheetName val="Oncologie"/>
      <sheetName val="Feuil2"/>
      <sheetName val="Chiron"/>
      <sheetName val="Feuil7"/>
      <sheetName val="CFD1"/>
      <sheetName val="CFD2"/>
      <sheetName val="CFD3"/>
      <sheetName val="EVA"/>
      <sheetName val="CFAgro1"/>
      <sheetName val="CFAgro2"/>
      <sheetName val="Feuil13"/>
      <sheetName val="semestres"/>
      <sheetName val="fusion"/>
      <sheetName val="CFNovaNew1"/>
      <sheetName val="CFNovaNew2"/>
      <sheetName val="CFNovaNew3"/>
      <sheetName val="+AHP"/>
      <sheetName val="valosnew"/>
      <sheetName val="graphs"/>
      <sheetName val="Feuil3"/>
      <sheetName val="NOVARTISnew"/>
      <sheetName val="trimestres"/>
    </sheetNames>
    <sheetDataSet>
      <sheetData sheetId="0"/>
      <sheetData sheetId="1" refreshError="1"/>
      <sheetData sheetId="2" refreshError="1">
        <row r="35">
          <cell r="A35" t="str">
            <v>en MCHF</v>
          </cell>
          <cell r="B35">
            <v>1996</v>
          </cell>
          <cell r="C35">
            <v>1997</v>
          </cell>
          <cell r="D35">
            <v>1998</v>
          </cell>
          <cell r="E35">
            <v>1999</v>
          </cell>
          <cell r="F35">
            <v>2000</v>
          </cell>
          <cell r="G35">
            <v>2001</v>
          </cell>
          <cell r="H35">
            <v>2002</v>
          </cell>
          <cell r="I35" t="str">
            <v>2003e</v>
          </cell>
        </row>
        <row r="36">
          <cell r="A36" t="str">
            <v>Capitaux propres 100%</v>
          </cell>
          <cell r="C36">
            <v>27029</v>
          </cell>
          <cell r="D36">
            <v>31590</v>
          </cell>
          <cell r="E36">
            <v>37437</v>
          </cell>
          <cell r="F36">
            <v>36940</v>
          </cell>
          <cell r="G36">
            <v>42349</v>
          </cell>
          <cell r="H36">
            <v>39774</v>
          </cell>
          <cell r="I36" t="e">
            <v>#REF!</v>
          </cell>
        </row>
        <row r="37">
          <cell r="A37" t="str">
            <v>+Provisions</v>
          </cell>
          <cell r="C37">
            <v>0</v>
          </cell>
          <cell r="D37">
            <v>1973</v>
          </cell>
          <cell r="E37">
            <v>1442</v>
          </cell>
          <cell r="F37">
            <v>961</v>
          </cell>
          <cell r="G37">
            <v>787</v>
          </cell>
          <cell r="H37">
            <v>716</v>
          </cell>
          <cell r="I37">
            <v>516</v>
          </cell>
        </row>
        <row r="38">
          <cell r="A38" t="str">
            <v>+Endettement net</v>
          </cell>
          <cell r="C38">
            <v>1383</v>
          </cell>
          <cell r="D38">
            <v>-10764</v>
          </cell>
          <cell r="E38">
            <v>-12678</v>
          </cell>
          <cell r="F38">
            <v>-14461</v>
          </cell>
          <cell r="G38">
            <v>-14278</v>
          </cell>
          <cell r="H38">
            <v>-9786</v>
          </cell>
          <cell r="I38" t="e">
            <v>#REF!</v>
          </cell>
        </row>
        <row r="39">
          <cell r="A39" t="str">
            <v>=Capitaux investis</v>
          </cell>
          <cell r="C39">
            <v>28412</v>
          </cell>
          <cell r="D39">
            <v>22799</v>
          </cell>
          <cell r="E39">
            <v>26201</v>
          </cell>
          <cell r="F39">
            <v>23440</v>
          </cell>
          <cell r="G39">
            <v>28858</v>
          </cell>
          <cell r="H39">
            <v>30704</v>
          </cell>
          <cell r="I39" t="e">
            <v>#REF!</v>
          </cell>
        </row>
        <row r="40">
          <cell r="A40" t="str">
            <v>Actif immobilisé</v>
          </cell>
          <cell r="C40">
            <v>0</v>
          </cell>
          <cell r="D40">
            <v>26272</v>
          </cell>
          <cell r="E40">
            <v>30848</v>
          </cell>
          <cell r="F40">
            <v>25257</v>
          </cell>
          <cell r="G40">
            <v>32585</v>
          </cell>
          <cell r="H40">
            <v>33984</v>
          </cell>
          <cell r="I40">
            <v>33989.550000000003</v>
          </cell>
        </row>
        <row r="41">
          <cell r="A41" t="str">
            <v>+ BFR</v>
          </cell>
          <cell r="C41">
            <v>0</v>
          </cell>
          <cell r="D41">
            <v>7091</v>
          </cell>
          <cell r="E41">
            <v>8229</v>
          </cell>
          <cell r="F41">
            <v>4332</v>
          </cell>
          <cell r="G41">
            <v>2551</v>
          </cell>
          <cell r="H41">
            <v>3087</v>
          </cell>
          <cell r="I41">
            <v>3459.4198312710914</v>
          </cell>
        </row>
        <row r="42">
          <cell r="A42" t="str">
            <v>+ Autres / Divers</v>
          </cell>
          <cell r="C42">
            <v>5694</v>
          </cell>
          <cell r="D42">
            <v>-10564</v>
          </cell>
          <cell r="E42">
            <v>-12876</v>
          </cell>
          <cell r="F42">
            <v>-6149</v>
          </cell>
          <cell r="G42">
            <v>-6278</v>
          </cell>
          <cell r="H42">
            <v>-6367</v>
          </cell>
          <cell r="I42" t="e">
            <v>#REF!</v>
          </cell>
        </row>
        <row r="43">
          <cell r="A43" t="str">
            <v>=Capitaux employés</v>
          </cell>
          <cell r="C43">
            <v>5694</v>
          </cell>
          <cell r="D43">
            <v>22799</v>
          </cell>
          <cell r="E43">
            <v>26201</v>
          </cell>
          <cell r="F43">
            <v>23440</v>
          </cell>
          <cell r="G43">
            <v>28858</v>
          </cell>
          <cell r="H43">
            <v>30704</v>
          </cell>
          <cell r="I43" t="e">
            <v>#REF!</v>
          </cell>
        </row>
      </sheetData>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stions"/>
      <sheetName val="Grille_Novartis"/>
      <sheetName val="EVA NOV"/>
      <sheetName val="Input NOV"/>
      <sheetName val="Output NOV"/>
      <sheetName val="Output UK NOV"/>
      <sheetName val="Formule NOV"/>
      <sheetName val="Sclérose en plaques SEO"/>
      <sheetName val="Grille SEO"/>
      <sheetName val="Input SEO 2"/>
      <sheetName val="Output UK SEO 2"/>
      <sheetName val="Input SEO"/>
      <sheetName val="Output SEO"/>
      <sheetName val="Output UK SEO"/>
      <sheetName val="Formule SEO"/>
      <sheetName val="P&amp;L FGAAP IPSEN"/>
      <sheetName val="P&amp;L IFRS IPSEN"/>
      <sheetName val="Liens DCF EVA IPSEN"/>
      <sheetName val="Input IPSEN"/>
      <sheetName val="Output IPSEN"/>
      <sheetName val="Output UK IPSEN"/>
      <sheetName val="MOP_Roche 90-03 ROG"/>
      <sheetName val="Grille_Roche 90-03 ROG"/>
      <sheetName val="Grille ROG"/>
      <sheetName val="EVA ROG"/>
      <sheetName val="Input ROG"/>
      <sheetName val="Output ROG"/>
      <sheetName val="Output UK ROG"/>
      <sheetName val="Accounts ALT"/>
      <sheetName val="Input ALT"/>
      <sheetName val="Output ALT"/>
      <sheetName val="Output UK ALT"/>
      <sheetName val="liens_ratios"/>
      <sheetName val="Multiples GSK"/>
      <sheetName val="Multiples NOV"/>
      <sheetName val="Multiples ALT"/>
      <sheetName val="Multiples IPSEN"/>
      <sheetName val="Sortie comparables IPSEN"/>
      <sheetName val="Multipes NOV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ociates Income"/>
      <sheetName val="iQ_CoreIndustrials"/>
      <sheetName val="Cover Sheet"/>
      <sheetName val="Info"/>
      <sheetName val="Sales"/>
      <sheetName val="QPL"/>
      <sheetName val="Notes"/>
      <sheetName val="BS&amp;CF"/>
      <sheetName val="Key Ratios"/>
      <sheetName val="Chiron Acquisition"/>
      <sheetName val="Generic aqcn impact"/>
      <sheetName val="DCF inputs"/>
      <sheetName val="DCF"/>
      <sheetName val="Out--&gt;"/>
      <sheetName val="Out1"/>
      <sheetName val="Out2"/>
      <sheetName val="Out2 FY"/>
      <sheetName val="Out3"/>
      <sheetName val="Out3&amp;4"/>
      <sheetName val="Out4"/>
      <sheetName val="Out BSCF"/>
      <sheetName val="OutFix"/>
      <sheetName val="A1"/>
      <sheetName val="Valuation"/>
      <sheetName val="Out2-OLD"/>
      <sheetName val="WyethMerger"/>
      <sheetName val="Pipeline"/>
      <sheetName val="-----&gt;OLD Sheets---&gt;"/>
      <sheetName val="Other"/>
    </sheetNames>
    <sheetDataSet>
      <sheetData sheetId="0" refreshError="1"/>
      <sheetData sheetId="1" refreshError="1"/>
      <sheetData sheetId="2" refreshError="1"/>
      <sheetData sheetId="3"/>
      <sheetData sheetId="4"/>
      <sheetData sheetId="5"/>
      <sheetData sheetId="6" refreshError="1"/>
      <sheetData sheetId="7"/>
      <sheetData sheetId="8" refreshError="1"/>
      <sheetData sheetId="9" refreshError="1"/>
      <sheetData sheetId="10" refreshError="1"/>
      <sheetData sheetId="11" refreshError="1">
        <row r="1">
          <cell r="A1" t="str">
            <v>Fill in all the Blue boxes</v>
          </cell>
        </row>
        <row r="2">
          <cell r="A2" t="str">
            <v>Income Statement &amp; Balance Sheet assumptions</v>
          </cell>
        </row>
        <row r="3">
          <cell r="C3" t="str">
            <v>Yr -3</v>
          </cell>
          <cell r="D3" t="str">
            <v>Yr -2</v>
          </cell>
          <cell r="E3" t="str">
            <v>Yr -1</v>
          </cell>
          <cell r="F3" t="str">
            <v>Current Yr</v>
          </cell>
          <cell r="G3" t="str">
            <v>Yr 1</v>
          </cell>
          <cell r="H3" t="str">
            <v>Yr 2</v>
          </cell>
          <cell r="I3" t="str">
            <v>Yr 3</v>
          </cell>
          <cell r="J3" t="str">
            <v>Yr 4</v>
          </cell>
          <cell r="K3" t="str">
            <v>Yr 5</v>
          </cell>
        </row>
        <row r="4">
          <cell r="C4">
            <v>2002</v>
          </cell>
          <cell r="D4">
            <v>2003</v>
          </cell>
          <cell r="E4">
            <v>2004</v>
          </cell>
          <cell r="F4">
            <v>2005</v>
          </cell>
          <cell r="G4">
            <v>2006</v>
          </cell>
          <cell r="H4">
            <v>2007</v>
          </cell>
          <cell r="I4">
            <v>2008</v>
          </cell>
          <cell r="J4">
            <v>2009</v>
          </cell>
          <cell r="K4">
            <v>2010</v>
          </cell>
        </row>
        <row r="5">
          <cell r="B5" t="str">
            <v>S_Name</v>
          </cell>
          <cell r="C5" t="str">
            <v>S_02</v>
          </cell>
          <cell r="D5" t="str">
            <v>S_03</v>
          </cell>
          <cell r="E5" t="str">
            <v>S_04</v>
          </cell>
          <cell r="F5" t="str">
            <v>S_05</v>
          </cell>
          <cell r="G5" t="str">
            <v>S_06</v>
          </cell>
          <cell r="H5" t="str">
            <v>S_07</v>
          </cell>
          <cell r="I5" t="str">
            <v>S_08</v>
          </cell>
          <cell r="J5" t="str">
            <v>S_09</v>
          </cell>
          <cell r="K5" t="str">
            <v>S_10</v>
          </cell>
        </row>
        <row r="6">
          <cell r="B6" t="str">
            <v>PL_Name</v>
          </cell>
          <cell r="C6" t="str">
            <v>QPL_02</v>
          </cell>
          <cell r="D6" t="str">
            <v>QPL_03</v>
          </cell>
          <cell r="E6" t="str">
            <v>QPL_04</v>
          </cell>
          <cell r="F6" t="str">
            <v>QPL_05</v>
          </cell>
          <cell r="G6" t="str">
            <v>QPL_06</v>
          </cell>
          <cell r="H6" t="str">
            <v>QPL_07</v>
          </cell>
          <cell r="I6" t="str">
            <v>QPL_08</v>
          </cell>
          <cell r="J6" t="str">
            <v>QPL_09</v>
          </cell>
          <cell r="K6" t="str">
            <v>QPL_10</v>
          </cell>
        </row>
        <row r="7">
          <cell r="B7" t="str">
            <v>M_Name</v>
          </cell>
          <cell r="C7" t="str">
            <v>M_02</v>
          </cell>
          <cell r="D7" t="str">
            <v>M_03</v>
          </cell>
          <cell r="E7" t="str">
            <v>M_04</v>
          </cell>
          <cell r="F7" t="str">
            <v>M_05</v>
          </cell>
          <cell r="G7" t="str">
            <v>M_06</v>
          </cell>
          <cell r="H7" t="str">
            <v>M_07</v>
          </cell>
          <cell r="I7" t="str">
            <v>M_08</v>
          </cell>
          <cell r="J7" t="str">
            <v>M_09</v>
          </cell>
          <cell r="K7" t="str">
            <v>M_10</v>
          </cell>
        </row>
        <row r="8">
          <cell r="A8" t="str">
            <v>Income Statement</v>
          </cell>
        </row>
        <row r="9">
          <cell r="A9" t="str">
            <v>Sales</v>
          </cell>
          <cell r="B9" t="str">
            <v>QPL_SalesTotalOngoing</v>
          </cell>
          <cell r="C9">
            <v>20668</v>
          </cell>
          <cell r="D9">
            <v>24864</v>
          </cell>
          <cell r="E9">
            <v>28247</v>
          </cell>
          <cell r="F9">
            <v>31006.413959987298</v>
          </cell>
          <cell r="G9">
            <v>32935.703935725629</v>
          </cell>
          <cell r="H9">
            <v>34920.760197005715</v>
          </cell>
          <cell r="I9">
            <v>37172.80293237458</v>
          </cell>
          <cell r="J9">
            <v>39908.751340183735</v>
          </cell>
          <cell r="K9">
            <v>42737.826119556536</v>
          </cell>
        </row>
        <row r="10">
          <cell r="A10" t="str">
            <v>EBITA</v>
          </cell>
          <cell r="B10" t="str">
            <v>QPL_ebita</v>
          </cell>
          <cell r="C10">
            <v>5628.8764702040016</v>
          </cell>
          <cell r="D10">
            <v>6170.7764485827292</v>
          </cell>
          <cell r="E10">
            <v>6854.8785298072617</v>
          </cell>
          <cell r="F10">
            <v>7832.351854212</v>
          </cell>
          <cell r="G10">
            <v>8650.9833690932919</v>
          </cell>
          <cell r="H10">
            <v>9263.3902173339138</v>
          </cell>
          <cell r="I10">
            <v>10323.041689354652</v>
          </cell>
          <cell r="J10">
            <v>10829.897947838219</v>
          </cell>
          <cell r="K10">
            <v>11854.463611552799</v>
          </cell>
        </row>
        <row r="11">
          <cell r="A11" t="str">
            <v>Depreciation</v>
          </cell>
          <cell r="B11" t="str">
            <v>M_CF_DEP</v>
          </cell>
          <cell r="C11">
            <v>651.16476952552694</v>
          </cell>
          <cell r="D11">
            <v>768</v>
          </cell>
          <cell r="E11">
            <v>796</v>
          </cell>
          <cell r="F11">
            <v>886.62016051059686</v>
          </cell>
          <cell r="G11">
            <v>968.21598672108985</v>
          </cell>
          <cell r="H11">
            <v>1054.8888918151047</v>
          </cell>
          <cell r="I11">
            <v>1146.7856291756461</v>
          </cell>
          <cell r="J11">
            <v>1244.6087947871579</v>
          </cell>
          <cell r="K11">
            <v>1349.6318246297467</v>
          </cell>
        </row>
        <row r="12">
          <cell r="A12" t="str">
            <v>Investment in Working Capital</v>
          </cell>
          <cell r="B12" t="str">
            <v>M_CF_CHANGE_IN_WC</v>
          </cell>
          <cell r="C12">
            <v>-152</v>
          </cell>
          <cell r="D12">
            <v>457</v>
          </cell>
          <cell r="E12">
            <v>132</v>
          </cell>
          <cell r="F12">
            <v>-614.02331549698192</v>
          </cell>
          <cell r="G12">
            <v>-107.60992514144255</v>
          </cell>
          <cell r="H12">
            <v>-4.586926051930277</v>
          </cell>
          <cell r="I12">
            <v>-133.73412828241817</v>
          </cell>
          <cell r="J12">
            <v>-648.41977265077185</v>
          </cell>
          <cell r="K12">
            <v>-670.49072271135446</v>
          </cell>
        </row>
        <row r="13">
          <cell r="A13" t="str">
            <v>Capital Expenditure</v>
          </cell>
          <cell r="B13" t="str">
            <v>bs_capex</v>
          </cell>
          <cell r="C13">
            <v>1183.2729629212217</v>
          </cell>
          <cell r="D13">
            <v>1329</v>
          </cell>
          <cell r="E13">
            <v>1269</v>
          </cell>
          <cell r="F13">
            <v>1550.3206979993649</v>
          </cell>
          <cell r="G13">
            <v>1646.7851967862816</v>
          </cell>
          <cell r="H13">
            <v>1746.0380098502858</v>
          </cell>
          <cell r="I13">
            <v>1858.640146618729</v>
          </cell>
          <cell r="J13">
            <v>1995.4375670091868</v>
          </cell>
          <cell r="K13">
            <v>2136.891305977827</v>
          </cell>
        </row>
        <row r="14">
          <cell r="A14" t="str">
            <v>Tax rate (%)</v>
          </cell>
          <cell r="B14" t="str">
            <v>QPL_TAX_RATE</v>
          </cell>
          <cell r="C14">
            <v>0.17254408060453399</v>
          </cell>
          <cell r="D14">
            <v>0.16611775708635462</v>
          </cell>
          <cell r="E14">
            <v>0.16315553563424473</v>
          </cell>
          <cell r="F14">
            <v>0.157</v>
          </cell>
          <cell r="G14">
            <v>0.158</v>
          </cell>
          <cell r="H14">
            <v>0.158</v>
          </cell>
          <cell r="I14">
            <v>0.158</v>
          </cell>
          <cell r="J14">
            <v>0.158</v>
          </cell>
          <cell r="K14">
            <v>0.158</v>
          </cell>
        </row>
        <row r="16">
          <cell r="A16" t="str">
            <v>Balance Sheet</v>
          </cell>
        </row>
        <row r="17">
          <cell r="A17" t="str">
            <v xml:space="preserve">Goodwill </v>
          </cell>
          <cell r="B17" t="str">
            <v>M_BS_GW</v>
          </cell>
          <cell r="C17">
            <v>1703.863857374392</v>
          </cell>
          <cell r="D17">
            <v>1476.863857374392</v>
          </cell>
          <cell r="E17">
            <v>2006.863857374392</v>
          </cell>
          <cell r="F17">
            <v>2006.863857374392</v>
          </cell>
          <cell r="G17">
            <v>2006.863857374392</v>
          </cell>
          <cell r="H17">
            <v>2006.863857374392</v>
          </cell>
          <cell r="I17">
            <v>2006.863857374392</v>
          </cell>
          <cell r="J17">
            <v>2006.863857374392</v>
          </cell>
          <cell r="K17">
            <v>2006.863857374392</v>
          </cell>
        </row>
        <row r="18">
          <cell r="A18" t="str">
            <v xml:space="preserve">Tangible Fixed Assets </v>
          </cell>
          <cell r="B18" t="str">
            <v>M_BS_TA</v>
          </cell>
          <cell r="C18">
            <v>6321</v>
          </cell>
          <cell r="D18">
            <v>7597</v>
          </cell>
          <cell r="E18">
            <v>8497</v>
          </cell>
          <cell r="F18">
            <v>9160.7005374887704</v>
          </cell>
          <cell r="G18">
            <v>9839.2697475539608</v>
          </cell>
          <cell r="H18">
            <v>10530.418865589143</v>
          </cell>
          <cell r="I18">
            <v>11242.273383032225</v>
          </cell>
          <cell r="J18">
            <v>11993.102155254253</v>
          </cell>
          <cell r="K18">
            <v>12780.361636602334</v>
          </cell>
        </row>
        <row r="19">
          <cell r="A19" t="str">
            <v xml:space="preserve">Intangible Assets </v>
          </cell>
          <cell r="B19" t="str">
            <v>M_BS_IA</v>
          </cell>
          <cell r="C19">
            <v>2691.1361426256076</v>
          </cell>
          <cell r="D19">
            <v>3231.1361426256076</v>
          </cell>
          <cell r="E19">
            <v>3730.1361426256076</v>
          </cell>
          <cell r="F19">
            <v>3370.6554554294976</v>
          </cell>
          <cell r="G19">
            <v>3011.1747682333876</v>
          </cell>
          <cell r="H19">
            <v>2651.6940810372776</v>
          </cell>
          <cell r="I19">
            <v>2292.2133938411675</v>
          </cell>
          <cell r="J19">
            <v>1932.7327066450575</v>
          </cell>
          <cell r="K19">
            <v>1573.2520194489475</v>
          </cell>
        </row>
        <row r="20">
          <cell r="A20" t="str">
            <v>Net Working Capital (asset = positive)</v>
          </cell>
          <cell r="B20" t="str">
            <v>bs_wcap</v>
          </cell>
          <cell r="C20">
            <v>2842</v>
          </cell>
          <cell r="D20">
            <v>2473</v>
          </cell>
          <cell r="E20">
            <v>3069</v>
          </cell>
          <cell r="F20">
            <v>3683.0233154969819</v>
          </cell>
          <cell r="G20">
            <v>3790.6332406384245</v>
          </cell>
          <cell r="H20">
            <v>3795.2201666903547</v>
          </cell>
          <cell r="I20">
            <v>3928.9542949727729</v>
          </cell>
          <cell r="J20">
            <v>4577.3740676235448</v>
          </cell>
          <cell r="K20">
            <v>5247.8647903348992</v>
          </cell>
        </row>
        <row r="22">
          <cell r="A22" t="str">
            <v>Growth assumptions</v>
          </cell>
        </row>
        <row r="23">
          <cell r="A23" t="str">
            <v>Terminal Growth Assumption</v>
          </cell>
          <cell r="C23">
            <v>0.04</v>
          </cell>
        </row>
        <row r="24">
          <cell r="A24" t="str">
            <v>Stage 1 growth final year</v>
          </cell>
          <cell r="C24">
            <v>2010</v>
          </cell>
        </row>
        <row r="25">
          <cell r="A25" t="str">
            <v>Stage 2 growth final year</v>
          </cell>
          <cell r="C25">
            <v>2015</v>
          </cell>
        </row>
        <row r="28">
          <cell r="A28" t="str">
            <v>Components of enterprise value</v>
          </cell>
        </row>
        <row r="29">
          <cell r="A29" t="str">
            <v>Net (Cash)/Debt</v>
          </cell>
          <cell r="B29" t="str">
            <v>BS_NET_DEBT</v>
          </cell>
          <cell r="F29">
            <v>-9252.5292060796455</v>
          </cell>
        </row>
        <row r="30">
          <cell r="A30" t="str">
            <v>Minorities</v>
          </cell>
          <cell r="B30" t="str">
            <v>M_BS_MIN_INT</v>
          </cell>
          <cell r="F30">
            <v>156</v>
          </cell>
        </row>
        <row r="31">
          <cell r="A31" t="str">
            <v>Options</v>
          </cell>
          <cell r="F31">
            <v>0</v>
          </cell>
          <cell r="G31" t="str">
            <v>enter as positive</v>
          </cell>
        </row>
        <row r="32">
          <cell r="A32" t="str">
            <v>Preference Stock</v>
          </cell>
          <cell r="F32">
            <v>0</v>
          </cell>
          <cell r="G32" t="str">
            <v>enter as positive</v>
          </cell>
        </row>
        <row r="33">
          <cell r="A33" t="str">
            <v>Net pensions economic position</v>
          </cell>
          <cell r="F33">
            <v>0</v>
          </cell>
          <cell r="G33" t="str">
            <v>enter as positive</v>
          </cell>
        </row>
        <row r="35">
          <cell r="A35" t="str">
            <v>Number of shares outstanding (m)</v>
          </cell>
          <cell r="B35" t="str">
            <v>QPL_SH_BASIC_WAVG</v>
          </cell>
          <cell r="F35">
            <v>2330.3353898305086</v>
          </cell>
        </row>
        <row r="36">
          <cell r="A36" t="str">
            <v>Exchange Rate - (USD per CHF)</v>
          </cell>
          <cell r="B36" t="str">
            <v>S_CHFPERUSD</v>
          </cell>
          <cell r="F36">
            <v>1.2130000000000001</v>
          </cell>
        </row>
        <row r="38">
          <cell r="A38" t="str">
            <v>WACC assumptions</v>
          </cell>
        </row>
        <row r="39">
          <cell r="C39" t="str">
            <v>10 year risk free rate</v>
          </cell>
          <cell r="D39" t="str">
            <v>% group sales</v>
          </cell>
        </row>
        <row r="40">
          <cell r="A40" t="str">
            <v>Europe</v>
          </cell>
          <cell r="C40">
            <v>4.2099999999999999E-2</v>
          </cell>
          <cell r="D40">
            <v>0.36425107091018516</v>
          </cell>
        </row>
        <row r="41">
          <cell r="A41" t="str">
            <v>North America</v>
          </cell>
          <cell r="C41">
            <v>3.9699999999999999E-2</v>
          </cell>
          <cell r="D41">
            <v>0.47031543172726309</v>
          </cell>
        </row>
        <row r="42">
          <cell r="A42" t="str">
            <v>Asia &amp; ROW</v>
          </cell>
          <cell r="C42">
            <v>2.9899999999999999E-2</v>
          </cell>
          <cell r="D42">
            <v>0.16543349736255178</v>
          </cell>
        </row>
        <row r="43">
          <cell r="A43" t="str">
            <v>Weighted average nominal risk free rate</v>
          </cell>
          <cell r="C43">
            <v>3.895295429603144E-2</v>
          </cell>
        </row>
        <row r="46">
          <cell r="A46" t="str">
            <v>Equity Beta</v>
          </cell>
          <cell r="C46">
            <v>0.94199999999999995</v>
          </cell>
        </row>
        <row r="47">
          <cell r="A47" t="str">
            <v>Equity Market Risk Premium</v>
          </cell>
          <cell r="C47">
            <v>0.05</v>
          </cell>
        </row>
        <row r="48">
          <cell r="A48" t="str">
            <v>Corporate Debt Premium</v>
          </cell>
          <cell r="C48">
            <v>1.4E-2</v>
          </cell>
        </row>
        <row r="49">
          <cell r="A49" t="str">
            <v>Marginal Corporate Tax Rate</v>
          </cell>
          <cell r="C49">
            <v>0.3</v>
          </cell>
        </row>
        <row r="50">
          <cell r="A50" t="str">
            <v>Equity/EV</v>
          </cell>
          <cell r="C50">
            <v>1</v>
          </cell>
        </row>
        <row r="51">
          <cell r="A51" t="str">
            <v>Debt/EV</v>
          </cell>
          <cell r="C51">
            <v>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NOLABOeuroSY"/>
      <sheetName val="Tableau"/>
      <sheetName val="FicheTech"/>
      <sheetName val="semestriels"/>
      <sheetName val="page4"/>
      <sheetName val="TABFi"/>
      <sheetName val="bilan"/>
      <sheetName val="grdsagrégats"/>
      <sheetName val="redev1"/>
      <sheetName val="redevances"/>
      <sheetName val="CalculsTop3"/>
      <sheetName val="redevance"/>
      <sheetName val="Ambien"/>
      <sheetName val="Avapro"/>
      <sheetName val="Plavix"/>
      <sheetName val="Arixtra"/>
      <sheetName val="Eloxatine"/>
      <sheetName val="portefeuilleEuro"/>
      <sheetName val="newcompta"/>
      <sheetName val="trim"/>
      <sheetName val="TOP15"/>
      <sheetName val="Feuil1"/>
      <sheetName val="Feuil3"/>
      <sheetName val="VM"/>
      <sheetName val="calendrier"/>
      <sheetName val="synergies"/>
      <sheetName val="graphs"/>
      <sheetName val="Feuil2"/>
      <sheetName val="CFD"/>
      <sheetName val="CFD2"/>
      <sheetName val="CFD3"/>
      <sheetName val="EVA"/>
      <sheetName val="impactLorex"/>
      <sheetName val="comparaisons"/>
      <sheetName val="compar2"/>
      <sheetName val="brevets"/>
      <sheetName val="effectifs"/>
      <sheetName val="PErelatif"/>
      <sheetName val="qualité"/>
      <sheetName val="+Searle"/>
      <sheetName val="synthèsereco"/>
      <sheetName val="Feuil7"/>
      <sheetName val="redev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row r="5">
          <cell r="C5">
            <v>5.1500000000000004E-2</v>
          </cell>
        </row>
        <row r="6">
          <cell r="C6">
            <v>1.0300000000000002E-2</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ndard2"/>
      <sheetName val="Products"/>
      <sheetName val="Other"/>
      <sheetName val="Valuation"/>
      <sheetName val="Output"/>
      <sheetName val="Quarterly"/>
      <sheetName val="Model"/>
    </sheetNames>
    <sheetDataSet>
      <sheetData sheetId="0"/>
      <sheetData sheetId="1"/>
      <sheetData sheetId="2" refreshError="1">
        <row r="3">
          <cell r="D3" t="e">
            <v>#VALUE!</v>
          </cell>
        </row>
      </sheetData>
      <sheetData sheetId="3"/>
      <sheetData sheetId="4"/>
      <sheetData sheetId="5"/>
      <sheetData sheetId="6"/>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8 MASTER"/>
    </sheetNames>
    <definedNames>
      <definedName name="Print_Presentation"/>
    </definedNames>
    <sheetDataSet>
      <sheetData sheetId="0"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SEPR RR"/>
      <sheetName val="CAT Ready Reckoner"/>
      <sheetName val="Disclaimer"/>
      <sheetName val="In-licensing Deals"/>
      <sheetName val="EPS Changes"/>
      <sheetName val="Work in progress"/>
      <sheetName val="notes"/>
      <sheetName val="Toprol XL scenario"/>
      <sheetName val="Sales"/>
      <sheetName val="MERCK"/>
      <sheetName val="QPL"/>
      <sheetName val="BS&amp;CF"/>
      <sheetName val="Key Ratios"/>
      <sheetName val="Jamie DCF"/>
      <sheetName val="Jamie Product DCF"/>
      <sheetName val="DCF inputs"/>
      <sheetName val="Old DCF - New Assumptions"/>
      <sheetName val="DCF"/>
      <sheetName val="OUT -&gt;&gt;"/>
      <sheetName val="Out1"/>
      <sheetName val="Out2"/>
      <sheetName val="Out3 &amp;4"/>
      <sheetName val="Out3"/>
      <sheetName val="Out4"/>
      <sheetName val="AZN IMS"/>
      <sheetName val="Out5"/>
      <sheetName val="Info"/>
      <sheetName val="iQ_Measure_Validations_Errors"/>
      <sheetName val="iQ_CoreIndustrials"/>
      <sheetName val="Note charts"/>
      <sheetName val="Shire Ready reckoner"/>
      <sheetName val="Pipeline onlt scenario"/>
      <sheetName val="AGI valuations"/>
      <sheetName val="scenario"/>
      <sheetName val="Scenario DCF"/>
      <sheetName val="Cash payouts"/>
      <sheetName val="Out Lazards"/>
      <sheetName val="Out for IMS"/>
      <sheetName val="INCOME STATEMENT"/>
      <sheetName val="PRODUCT SALES"/>
      <sheetName val="TOPROL X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7">
          <cell r="B77" t="str">
            <v>PBT (£m)</v>
          </cell>
          <cell r="F77">
            <v>1.3571830985915494</v>
          </cell>
          <cell r="G77">
            <v>2.0675675675675675</v>
          </cell>
          <cell r="L77">
            <v>1.2656162070906021</v>
          </cell>
          <cell r="M77">
            <v>0.29752530933633298</v>
          </cell>
          <cell r="N77">
            <v>0.2373453318335208</v>
          </cell>
          <cell r="O77">
            <v>0.23046655424395729</v>
          </cell>
          <cell r="P77">
            <v>0.31197301854974707</v>
          </cell>
          <cell r="Q77">
            <v>1.2501405283867342</v>
          </cell>
          <cell r="R77">
            <v>0.35505617977528092</v>
          </cell>
          <cell r="S77">
            <v>0.36573033707865171</v>
          </cell>
          <cell r="T77">
            <v>0.37218468468468469</v>
          </cell>
          <cell r="U77">
            <v>0.31756756756756754</v>
          </cell>
          <cell r="V77">
            <v>1.4121621621621621</v>
          </cell>
          <cell r="W77">
            <v>631.67701863354034</v>
          </cell>
          <cell r="X77">
            <v>14.373835378783001</v>
          </cell>
          <cell r="Y77">
            <v>8003.2679738562092</v>
          </cell>
          <cell r="Z77">
            <v>1744.8560956357962</v>
          </cell>
          <cell r="AA77">
            <v>8209.3333333333339</v>
          </cell>
          <cell r="AB77">
            <v>1729.0582065335645</v>
          </cell>
          <cell r="AC77">
            <v>713.10344827586209</v>
          </cell>
          <cell r="AD77">
            <v>1979.6173586178647</v>
          </cell>
          <cell r="AE77">
            <v>17557.381774098947</v>
          </cell>
          <cell r="AF77" t="str">
            <v xml:space="preserve">nm </v>
          </cell>
          <cell r="AG77">
            <v>760.27397260273972</v>
          </cell>
          <cell r="AH77" t="str">
            <v xml:space="preserve">nm </v>
          </cell>
          <cell r="AI77">
            <v>717.6056338028169</v>
          </cell>
          <cell r="AJ77" t="str">
            <v xml:space="preserve">nm </v>
          </cell>
          <cell r="AK77">
            <v>758.27290780141846</v>
          </cell>
          <cell r="AL77">
            <v>20.041237124904992</v>
          </cell>
          <cell r="AM77">
            <v>759.45758865248229</v>
          </cell>
          <cell r="AN77">
            <v>-90.510656507649657</v>
          </cell>
          <cell r="AO77">
            <v>2995.6101028594571</v>
          </cell>
          <cell r="AP77">
            <v>-63.509703148536751</v>
          </cell>
          <cell r="AQ77">
            <v>921.67832167832171</v>
          </cell>
          <cell r="AR77">
            <v>29.248894239223059</v>
          </cell>
          <cell r="AS77">
            <v>729.45205479452056</v>
          </cell>
          <cell r="AT77">
            <v>-95.845325549219268</v>
          </cell>
          <cell r="AU77">
            <v>595.48387096774195</v>
          </cell>
          <cell r="AV77">
            <v>-21.675094449287997</v>
          </cell>
          <cell r="AW77">
            <v>668.78980891719743</v>
          </cell>
          <cell r="AX77">
            <v>-6.8025977760137035</v>
          </cell>
          <cell r="AY77">
            <v>2915.4040563577819</v>
          </cell>
          <cell r="AZ77">
            <v>284.47952265772983</v>
          </cell>
          <cell r="BA77">
            <v>747.00312499999995</v>
          </cell>
          <cell r="BB77">
            <v>-1.6399156238046795</v>
          </cell>
          <cell r="BC77">
            <v>567.70186335403719</v>
          </cell>
          <cell r="BD77">
            <v>-81.0488733893594</v>
          </cell>
          <cell r="BE77">
            <v>1314.7049883540371</v>
          </cell>
          <cell r="BG77">
            <v>668.9440993788819</v>
          </cell>
          <cell r="BH77">
            <v>-27.421087851911906</v>
          </cell>
          <cell r="BI77">
            <v>1983.649087732919</v>
          </cell>
          <cell r="BK77">
            <v>514.5</v>
          </cell>
          <cell r="BL77">
            <v>-29.467605633802815</v>
          </cell>
          <cell r="BM77">
            <v>2498.1490877329188</v>
          </cell>
          <cell r="BN77">
            <v>319.51582730076098</v>
          </cell>
          <cell r="BO77">
            <v>589.13043478260863</v>
          </cell>
          <cell r="BP77">
            <v>-11.910973084886136</v>
          </cell>
          <cell r="BQ77">
            <v>575.69060773480658</v>
          </cell>
          <cell r="BR77">
            <v>-80.253488140713586</v>
          </cell>
          <cell r="BS77">
            <v>1164.8210425174152</v>
          </cell>
          <cell r="BT77">
            <v>-11.400576339508014</v>
          </cell>
          <cell r="BU77">
            <v>651.78571428571422</v>
          </cell>
          <cell r="BV77">
            <v>-12.746588003133954</v>
          </cell>
          <cell r="BW77">
            <v>1816.6067568031294</v>
          </cell>
          <cell r="BX77">
            <v>-8.4209617498778293</v>
          </cell>
          <cell r="BY77">
            <v>733.37988826815638</v>
          </cell>
          <cell r="BZ77">
            <v>29.183984694937848</v>
          </cell>
          <cell r="CA77">
            <v>2548.2093663911846</v>
          </cell>
          <cell r="CB77">
            <v>280.93009098326905</v>
          </cell>
          <cell r="CC77">
            <v>786.24338624338634</v>
          </cell>
          <cell r="CD77">
            <v>52.816984692592101</v>
          </cell>
          <cell r="CE77">
            <v>941.33476856835307</v>
          </cell>
          <cell r="CF77">
            <v>-62.318711353507787</v>
          </cell>
          <cell r="CG77">
            <v>1727.5781548117393</v>
          </cell>
          <cell r="CH77">
            <v>48.312752925384267</v>
          </cell>
          <cell r="CI77">
            <v>964.15532691669432</v>
          </cell>
          <cell r="CJ77">
            <v>47.925200842013389</v>
          </cell>
          <cell r="CK77">
            <v>2691.7334817284336</v>
          </cell>
          <cell r="CL77">
            <v>48.173701966481453</v>
          </cell>
          <cell r="CM77">
            <v>959.21663053266911</v>
          </cell>
          <cell r="CN77">
            <v>30.793964475602955</v>
          </cell>
          <cell r="CO77">
            <v>3650.9501122611027</v>
          </cell>
          <cell r="CP77">
            <v>43.275123324408675</v>
          </cell>
          <cell r="CQ77">
            <v>1168</v>
          </cell>
          <cell r="CR77">
            <v>48.554508748317616</v>
          </cell>
          <cell r="CS77">
            <v>1207.1038251366119</v>
          </cell>
          <cell r="CT77">
            <v>28.233213670887647</v>
          </cell>
          <cell r="CU77">
            <v>2375.1038251366117</v>
          </cell>
          <cell r="CV77">
            <v>37.481700525174546</v>
          </cell>
          <cell r="CW77">
            <v>1166.4000000000001</v>
          </cell>
          <cell r="CX77">
            <v>20.97635800344235</v>
          </cell>
          <cell r="CY77">
            <v>3541.5038251366118</v>
          </cell>
          <cell r="CZ77">
            <v>31.569631584123925</v>
          </cell>
          <cell r="DA77">
            <v>1093.9349606035971</v>
          </cell>
          <cell r="DB77">
            <v>14.044619930757108</v>
          </cell>
          <cell r="DC77">
            <v>4635.4387857402089</v>
          </cell>
          <cell r="DD77">
            <v>26.96527323594114</v>
          </cell>
          <cell r="DE77">
            <v>1035.2692639905354</v>
          </cell>
          <cell r="DF77">
            <v>-11.363932877522657</v>
          </cell>
          <cell r="DG77">
            <v>1075.7367328911544</v>
          </cell>
          <cell r="DH77">
            <v>-10.882832902181411</v>
          </cell>
          <cell r="DI77">
            <v>2111.0059968816895</v>
          </cell>
          <cell r="DJ77">
            <v>-11.119422463130922</v>
          </cell>
          <cell r="DK77">
            <v>1052.4522258383065</v>
          </cell>
          <cell r="DL77">
            <v>-9.769185027580038</v>
          </cell>
          <cell r="DM77">
            <v>3163.4582227199962</v>
          </cell>
          <cell r="DN77">
            <v>-10.674719584752463</v>
          </cell>
          <cell r="DO77">
            <v>1198.7680621645352</v>
          </cell>
          <cell r="DP77">
            <v>9.5831201430014303</v>
          </cell>
          <cell r="DQ77">
            <v>4362.2262848845312</v>
          </cell>
          <cell r="DR77">
            <v>-5.8939943656714657</v>
          </cell>
          <cell r="DS77">
            <v>1090.1812197309496</v>
          </cell>
          <cell r="DT77">
            <v>5.3041230576817586</v>
          </cell>
          <cell r="DU77">
            <v>1137.6502096039594</v>
          </cell>
          <cell r="DV77">
            <v>5.7554487840538959</v>
          </cell>
          <cell r="DW77">
            <v>2227.831429334909</v>
          </cell>
          <cell r="DX77">
            <v>5.5341118227892432</v>
          </cell>
          <cell r="DY77">
            <v>1117.7483299438511</v>
          </cell>
          <cell r="DZ77">
            <v>6.2041869932418541</v>
          </cell>
          <cell r="EA77">
            <v>3345.5797592787603</v>
          </cell>
          <cell r="EB77">
            <v>5.7570394086688088</v>
          </cell>
          <cell r="EC77">
            <v>1195.5236051411869</v>
          </cell>
          <cell r="ED77">
            <v>-0.27064927117678073</v>
          </cell>
          <cell r="EE77">
            <v>4541.103364419947</v>
          </cell>
          <cell r="EF77">
            <v>4.1005914836476824</v>
          </cell>
          <cell r="EG77">
            <v>1092.6356801016784</v>
          </cell>
          <cell r="EH77">
            <v>0.22514241910483335</v>
          </cell>
          <cell r="EI77">
            <v>1140.104669974688</v>
          </cell>
          <cell r="EJ77">
            <v>0.21574824581477131</v>
          </cell>
          <cell r="EK77">
            <v>2232.7403500763667</v>
          </cell>
          <cell r="EL77">
            <v>0.22034525039998981</v>
          </cell>
          <cell r="EM77" t="e">
            <v>#DIV/0!</v>
          </cell>
          <cell r="EN77" t="str">
            <v xml:space="preserve">nm </v>
          </cell>
          <cell r="EO77" t="e">
            <v>#DIV/0!</v>
          </cell>
          <cell r="EP77" t="str">
            <v xml:space="preserve">nm </v>
          </cell>
          <cell r="EQ77" t="e">
            <v>#DIV/0!</v>
          </cell>
          <cell r="ER77" t="str">
            <v xml:space="preserve">nm </v>
          </cell>
          <cell r="ES77">
            <v>5034.9290645569454</v>
          </cell>
          <cell r="ET77">
            <v>10.874575196992389</v>
          </cell>
          <cell r="EU77" t="e">
            <v>#DIV/0!</v>
          </cell>
          <cell r="EV77" t="str">
            <v xml:space="preserve">nm </v>
          </cell>
          <cell r="EW77" t="e">
            <v>#DIV/0!</v>
          </cell>
          <cell r="EX77" t="str">
            <v xml:space="preserve">nm </v>
          </cell>
          <cell r="EY77" t="e">
            <v>#DIV/0!</v>
          </cell>
          <cell r="EZ77" t="str">
            <v xml:space="preserve">nm </v>
          </cell>
          <cell r="FA77" t="e">
            <v>#DIV/0!</v>
          </cell>
          <cell r="FB77" t="str">
            <v xml:space="preserve">nm </v>
          </cell>
          <cell r="FC77" t="e">
            <v>#DIV/0!</v>
          </cell>
          <cell r="FD77" t="str">
            <v xml:space="preserve">nm </v>
          </cell>
          <cell r="FE77" t="e">
            <v>#DIV/0!</v>
          </cell>
          <cell r="FF77" t="str">
            <v xml:space="preserve">nm </v>
          </cell>
          <cell r="FG77">
            <v>5441.2893405935947</v>
          </cell>
          <cell r="FH77">
            <v>8.0708242524645684</v>
          </cell>
          <cell r="FI77" t="e">
            <v>#DIV/0!</v>
          </cell>
          <cell r="FJ77" t="str">
            <v xml:space="preserve">nm </v>
          </cell>
          <cell r="FK77" t="e">
            <v>#DIV/0!</v>
          </cell>
          <cell r="FL77" t="str">
            <v xml:space="preserve">nm </v>
          </cell>
          <cell r="FM77" t="e">
            <v>#DIV/0!</v>
          </cell>
          <cell r="FN77" t="str">
            <v xml:space="preserve">nm </v>
          </cell>
          <cell r="FO77" t="e">
            <v>#DIV/0!</v>
          </cell>
          <cell r="FP77" t="str">
            <v xml:space="preserve">nm </v>
          </cell>
          <cell r="FQ77" t="e">
            <v>#DIV/0!</v>
          </cell>
          <cell r="FR77" t="str">
            <v xml:space="preserve">nm </v>
          </cell>
          <cell r="FS77" t="e">
            <v>#DIV/0!</v>
          </cell>
          <cell r="FT77" t="str">
            <v xml:space="preserve">nm </v>
          </cell>
          <cell r="FU77">
            <v>5046.2411319587573</v>
          </cell>
          <cell r="FV77">
            <v>-7.2601948528570865</v>
          </cell>
          <cell r="FW77" t="e">
            <v>#DIV/0!</v>
          </cell>
          <cell r="FX77" t="str">
            <v xml:space="preserve">nm </v>
          </cell>
          <cell r="FY77" t="e">
            <v>#DIV/0!</v>
          </cell>
          <cell r="FZ77" t="str">
            <v xml:space="preserve">nm </v>
          </cell>
          <cell r="GA77" t="e">
            <v>#DIV/0!</v>
          </cell>
          <cell r="GB77" t="str">
            <v xml:space="preserve">nm </v>
          </cell>
          <cell r="GC77" t="e">
            <v>#DIV/0!</v>
          </cell>
          <cell r="GD77" t="str">
            <v xml:space="preserve">nm </v>
          </cell>
          <cell r="GE77" t="e">
            <v>#DIV/0!</v>
          </cell>
          <cell r="GF77" t="str">
            <v xml:space="preserve">nm </v>
          </cell>
          <cell r="GG77" t="e">
            <v>#DIV/0!</v>
          </cell>
          <cell r="GH77" t="str">
            <v xml:space="preserve">nm </v>
          </cell>
          <cell r="GI77">
            <v>4548.3767903452654</v>
          </cell>
          <cell r="GJ77">
            <v>-9.8660434290471581</v>
          </cell>
          <cell r="GM77">
            <v>4.7186846976608132</v>
          </cell>
          <cell r="GN77">
            <v>7.6459950501422069</v>
          </cell>
          <cell r="GO77">
            <v>3.5783218957628815</v>
          </cell>
        </row>
      </sheetData>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Disclaimer"/>
      <sheetName val="IFRS"/>
      <sheetName val="EPS Changes"/>
      <sheetName val="Info"/>
      <sheetName val="Work in progress"/>
      <sheetName val="Notes"/>
      <sheetName val="Ambien Paediatric"/>
      <sheetName val="Selected Items"/>
      <sheetName val="Guidance"/>
      <sheetName val="Sales"/>
      <sheetName val="Out Lazards"/>
      <sheetName val="Sanofi-Pasteur MSD"/>
      <sheetName val="QPL"/>
      <sheetName val="BS&amp;CF"/>
      <sheetName val="Plavix Rx"/>
      <sheetName val="Plavix and Avapro"/>
      <sheetName val="Acomplia Scenarios"/>
      <sheetName val="Lovenox scenario"/>
      <sheetName val="BMY ready reckoner"/>
      <sheetName val="BMY NPV"/>
      <sheetName val="Consolidation diagram"/>
      <sheetName val="BMY ready reckoner (2)"/>
      <sheetName val="BMY Products"/>
      <sheetName val="Patent scenarios"/>
      <sheetName val="OUT--&gt;&gt;"/>
      <sheetName val="Out1 "/>
      <sheetName val="Out2"/>
      <sheetName val="Out4"/>
      <sheetName val="SNY IMS"/>
      <sheetName val="BMY ready reckoner JC"/>
      <sheetName val="Change to Plavix numbers"/>
      <sheetName val="DCF inputs"/>
      <sheetName val="DCF"/>
      <sheetName val="Key Ratios"/>
      <sheetName val="Plavix deal summ"/>
      <sheetName val="Currency sens"/>
      <sheetName val="iQ_CoreIndustrialsBKP"/>
      <sheetName val="iQ_Measure_Validations_Errors"/>
      <sheetName val="Out for IMS"/>
      <sheetName val="ELSAAuto"/>
      <sheetName val="Events calendar"/>
      <sheetName val="Shareholders"/>
      <sheetName val="Options expense"/>
      <sheetName val="Out sales"/>
      <sheetName val="Out patents-comments"/>
      <sheetName val="Drug1"/>
      <sheetName val="Drug2"/>
      <sheetName val="Sales drivers"/>
      <sheetName val="Sales drivers 2"/>
      <sheetName val="Old ELSA"/>
      <sheetName val="Aventis"/>
      <sheetName val="Offer-BS"/>
      <sheetName val="Offer-Valu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row r="65">
          <cell r="B65" t="str">
            <v>Other Associates</v>
          </cell>
          <cell r="H65">
            <v>2</v>
          </cell>
          <cell r="I65">
            <v>8</v>
          </cell>
          <cell r="J65">
            <v>14</v>
          </cell>
          <cell r="K65">
            <v>18</v>
          </cell>
          <cell r="L65">
            <v>2</v>
          </cell>
          <cell r="M65">
            <v>-1</v>
          </cell>
          <cell r="N65">
            <v>0</v>
          </cell>
          <cell r="O65">
            <v>5.5555555555555554</v>
          </cell>
          <cell r="P65">
            <v>0</v>
          </cell>
          <cell r="Q65">
            <v>-8600</v>
          </cell>
          <cell r="R65">
            <v>-151</v>
          </cell>
          <cell r="S65">
            <v>-855</v>
          </cell>
          <cell r="T65">
            <v>30.913147883256059</v>
          </cell>
          <cell r="V65">
            <v>30.913147883256059</v>
          </cell>
          <cell r="X65" t="e">
            <v>#REF!</v>
          </cell>
          <cell r="Y65">
            <v>-88.901783197533604</v>
          </cell>
          <cell r="Z65">
            <v>30.913147883256059</v>
          </cell>
          <cell r="AB65" t="e">
            <v>#REF!</v>
          </cell>
          <cell r="AD65">
            <v>34.421099687080904</v>
          </cell>
          <cell r="AF65">
            <v>173</v>
          </cell>
          <cell r="AG65">
            <v>-214.56953642384107</v>
          </cell>
          <cell r="AH65">
            <v>2</v>
          </cell>
          <cell r="AI65">
            <v>37.711864406779668</v>
          </cell>
          <cell r="AJ65">
            <v>59</v>
          </cell>
          <cell r="AK65">
            <v>36.97478991596639</v>
          </cell>
          <cell r="AL65">
            <v>63</v>
          </cell>
          <cell r="AM65">
            <v>42.195540308747859</v>
          </cell>
          <cell r="AN65">
            <v>31</v>
          </cell>
          <cell r="AO65">
            <v>4.3831168831168776</v>
          </cell>
          <cell r="AP65">
            <v>180</v>
          </cell>
          <cell r="AQ65">
            <v>4.0462427745664744</v>
          </cell>
          <cell r="AR65">
            <v>-114</v>
          </cell>
          <cell r="AS65">
            <v>151.85185185185185</v>
          </cell>
          <cell r="AT65">
            <v>0</v>
          </cell>
          <cell r="AU65">
            <v>23.728813559322038</v>
          </cell>
          <cell r="AV65">
            <v>0</v>
          </cell>
          <cell r="AW65">
            <v>-1.1102230246251565E-14</v>
          </cell>
          <cell r="AX65">
            <v>-1.6799999999999997</v>
          </cell>
          <cell r="AY65">
            <v>54.838709677419281</v>
          </cell>
          <cell r="AZ65">
            <v>-115.68</v>
          </cell>
          <cell r="BA65">
            <v>40</v>
          </cell>
          <cell r="BB65">
            <v>0</v>
          </cell>
          <cell r="BC65">
            <v>15.808823529411754</v>
          </cell>
          <cell r="BD65">
            <v>0</v>
          </cell>
          <cell r="BE65">
            <v>7.8767123287670993</v>
          </cell>
          <cell r="BF65">
            <v>0</v>
          </cell>
          <cell r="BG65">
            <v>25</v>
          </cell>
          <cell r="BH65">
            <v>0</v>
          </cell>
          <cell r="BI65">
            <v>64.062499999999972</v>
          </cell>
          <cell r="BJ65">
            <v>0</v>
          </cell>
          <cell r="BK65">
            <v>25</v>
          </cell>
          <cell r="BL65">
            <v>0</v>
          </cell>
          <cell r="BM65">
            <v>23</v>
          </cell>
          <cell r="BN65">
            <v>0</v>
          </cell>
          <cell r="BO65">
            <v>23</v>
          </cell>
          <cell r="BP65">
            <v>0</v>
          </cell>
          <cell r="BQ65">
            <v>23</v>
          </cell>
          <cell r="BR65">
            <v>0</v>
          </cell>
          <cell r="BS65">
            <v>23.000000000000085</v>
          </cell>
          <cell r="BT65">
            <v>0</v>
          </cell>
          <cell r="BU65">
            <v>23</v>
          </cell>
          <cell r="BV65">
            <v>0</v>
          </cell>
          <cell r="BW65">
            <v>19.999999999999996</v>
          </cell>
          <cell r="BX65">
            <v>0</v>
          </cell>
          <cell r="BY65">
            <v>19.999999999999996</v>
          </cell>
          <cell r="BZ65">
            <v>0</v>
          </cell>
          <cell r="CA65">
            <v>19.999999999999996</v>
          </cell>
          <cell r="CB65">
            <v>0</v>
          </cell>
          <cell r="CC65">
            <v>19.999999999999996</v>
          </cell>
          <cell r="CD65">
            <v>0</v>
          </cell>
          <cell r="CE65">
            <v>20</v>
          </cell>
          <cell r="CF65">
            <v>0</v>
          </cell>
          <cell r="CG65">
            <v>14.999999999999991</v>
          </cell>
          <cell r="CH65">
            <v>0</v>
          </cell>
          <cell r="CI65">
            <v>14.999999999999991</v>
          </cell>
          <cell r="CJ65">
            <v>0</v>
          </cell>
          <cell r="CK65">
            <v>14.999999999999991</v>
          </cell>
          <cell r="CL65">
            <v>0</v>
          </cell>
          <cell r="CM65">
            <v>14.999999999999968</v>
          </cell>
          <cell r="CN65">
            <v>0</v>
          </cell>
          <cell r="CO65">
            <v>15</v>
          </cell>
          <cell r="CP65">
            <v>0</v>
          </cell>
          <cell r="CQ65">
            <v>12.999999999999989</v>
          </cell>
          <cell r="CR65">
            <v>0</v>
          </cell>
          <cell r="CS65">
            <v>12.999999999999989</v>
          </cell>
          <cell r="CT65">
            <v>0</v>
          </cell>
          <cell r="CU65">
            <v>12.999999999999989</v>
          </cell>
          <cell r="CV65">
            <v>0</v>
          </cell>
          <cell r="CW65">
            <v>13.000000000000034</v>
          </cell>
          <cell r="CX65">
            <v>0</v>
          </cell>
          <cell r="CY65">
            <v>13</v>
          </cell>
          <cell r="CZ65">
            <v>0</v>
          </cell>
          <cell r="DA65">
            <v>12.999999999999989</v>
          </cell>
          <cell r="DB65">
            <v>0</v>
          </cell>
          <cell r="DC65">
            <v>12.999999999999989</v>
          </cell>
          <cell r="DD65">
            <v>0</v>
          </cell>
          <cell r="DE65">
            <v>12.999999999999989</v>
          </cell>
          <cell r="DF65">
            <v>0</v>
          </cell>
          <cell r="DG65">
            <v>12.999999999999989</v>
          </cell>
          <cell r="DH65">
            <v>0</v>
          </cell>
          <cell r="DI65">
            <v>13</v>
          </cell>
          <cell r="DJ65" t="e">
            <v>#DIV/0!</v>
          </cell>
          <cell r="DK65">
            <v>14.819067763960048</v>
          </cell>
          <cell r="DL65">
            <v>8148.6486477346134</v>
          </cell>
          <cell r="DM65">
            <v>10.002428740822165</v>
          </cell>
          <cell r="DO65" t="str">
            <v>Contains Merrem and Actonel, Zentiva</v>
          </cell>
        </row>
        <row r="99">
          <cell r="B99" t="str">
            <v>Co. focus EPS (basic)</v>
          </cell>
          <cell r="H99">
            <v>0.86520960190680496</v>
          </cell>
          <cell r="I99">
            <v>1.4181535483531726</v>
          </cell>
          <cell r="J99">
            <v>1.8702460113277606</v>
          </cell>
          <cell r="K99">
            <v>5.5960741617001988</v>
          </cell>
          <cell r="L99">
            <v>-3.190746719344304</v>
          </cell>
          <cell r="M99">
            <v>2.4053274423558948</v>
          </cell>
          <cell r="N99">
            <v>15.298350675450809</v>
          </cell>
          <cell r="O99">
            <v>173.37648203723711</v>
          </cell>
          <cell r="P99">
            <v>-8.2535714285714281</v>
          </cell>
          <cell r="Q99">
            <v>158.67209636330929</v>
          </cell>
          <cell r="R99">
            <v>3.2919162783817768</v>
          </cell>
          <cell r="S99">
            <v>36.859382236853115</v>
          </cell>
          <cell r="T99">
            <v>0.82752877905887201</v>
          </cell>
          <cell r="V99">
            <v>0.925326271164434</v>
          </cell>
          <cell r="X99" t="e">
            <v>#REF!</v>
          </cell>
          <cell r="Y99" t="e">
            <v>#REF!</v>
          </cell>
          <cell r="Z99">
            <v>1.1197212861472685</v>
          </cell>
          <cell r="AB99" t="e">
            <v>#REF!</v>
          </cell>
          <cell r="AD99">
            <v>0.89742698660671261</v>
          </cell>
          <cell r="AF99">
            <v>3.7686758570184908</v>
          </cell>
          <cell r="AG99">
            <v>14.482737054026083</v>
          </cell>
          <cell r="AH99">
            <v>1.0602823420678411</v>
          </cell>
          <cell r="AI99">
            <v>28.126340605782186</v>
          </cell>
          <cell r="AJ99">
            <v>1.1626296811501424</v>
          </cell>
          <cell r="AK99">
            <v>25.645376920627672</v>
          </cell>
          <cell r="AL99">
            <v>1.4382341460776293</v>
          </cell>
          <cell r="AM99">
            <v>28.445726974281094</v>
          </cell>
          <cell r="AN99">
            <v>1.0812530898165815</v>
          </cell>
          <cell r="AO99">
            <v>20.483683458744562</v>
          </cell>
          <cell r="AP99">
            <v>647</v>
          </cell>
          <cell r="AQ99">
            <v>25.779376218668798</v>
          </cell>
          <cell r="AR99">
            <v>1.5687295447783396</v>
          </cell>
          <cell r="AS99">
            <v>47.953944203096611</v>
          </cell>
          <cell r="AT99">
            <v>1.3306092124814264</v>
          </cell>
          <cell r="AU99">
            <v>14.448240403178819</v>
          </cell>
          <cell r="AV99">
            <v>1.2358242771121317</v>
          </cell>
          <cell r="AW99">
            <v>-14.073499055596226</v>
          </cell>
          <cell r="AX99">
            <v>0.88978931346880141</v>
          </cell>
          <cell r="AY99">
            <v>-17.707581892807269</v>
          </cell>
          <cell r="AZ99">
            <v>357.54029850746264</v>
          </cell>
          <cell r="BA99">
            <v>4.9330594622850183</v>
          </cell>
          <cell r="BB99">
            <v>2.395837337099175</v>
          </cell>
          <cell r="BC99">
            <v>52.724690184738321</v>
          </cell>
          <cell r="BD99">
            <v>2.4679971415646658</v>
          </cell>
          <cell r="BE99">
            <v>85.478735485541051</v>
          </cell>
          <cell r="BF99">
            <v>2.4984578852433561</v>
          </cell>
          <cell r="BG99">
            <v>102.16934814403716</v>
          </cell>
          <cell r="BH99">
            <v>-2.3750898133214031</v>
          </cell>
          <cell r="BI99">
            <v>-366.92721269737757</v>
          </cell>
          <cell r="BJ99">
            <v>677.15379302255963</v>
          </cell>
          <cell r="BK99">
            <v>8.9095966532910804</v>
          </cell>
          <cell r="BL99">
            <v>4.7897448309984156</v>
          </cell>
          <cell r="BM99">
            <v>99.919450157569088</v>
          </cell>
          <cell r="BN99">
            <v>5.0035606508337773</v>
          </cell>
          <cell r="BO99">
            <v>102.73770040355922</v>
          </cell>
          <cell r="BP99">
            <v>4.7419566991114834</v>
          </cell>
          <cell r="BQ99">
            <v>89.795342443789281</v>
          </cell>
          <cell r="BR99">
            <v>-9.3951661883594415</v>
          </cell>
          <cell r="BS99">
            <v>295.57098580709817</v>
          </cell>
          <cell r="BT99">
            <v>783.15780037436559</v>
          </cell>
          <cell r="BU99">
            <v>13.657816438279012</v>
          </cell>
          <cell r="BV99">
            <v>5.9425153689154815</v>
          </cell>
          <cell r="BW99">
            <v>24.067472873638916</v>
          </cell>
          <cell r="BX99">
            <v>6.2752251222602018</v>
          </cell>
          <cell r="BY99">
            <v>25.415190504676275</v>
          </cell>
          <cell r="BZ99">
            <v>5.2503971865112984</v>
          </cell>
          <cell r="CA99">
            <v>10.722166389564105</v>
          </cell>
          <cell r="CB99">
            <v>-12.454782168114473</v>
          </cell>
          <cell r="CC99">
            <v>32.565852678006685</v>
          </cell>
          <cell r="CD99">
            <v>821.19464505109568</v>
          </cell>
          <cell r="CE99">
            <v>11.345434731449437</v>
          </cell>
          <cell r="CF99">
            <v>8.4195851011535687</v>
          </cell>
          <cell r="CG99">
            <v>41.683859080875315</v>
          </cell>
          <cell r="CH99">
            <v>8.7725248315213484</v>
          </cell>
          <cell r="CI99">
            <v>39.796177198526905</v>
          </cell>
          <cell r="CJ99">
            <v>5.8160400562261971</v>
          </cell>
          <cell r="CK99">
            <v>10.773334847277493</v>
          </cell>
          <cell r="CL99">
            <v>-18.424521216366703</v>
          </cell>
          <cell r="CM99">
            <v>47.931300344500421</v>
          </cell>
          <cell r="CN99">
            <v>859.62373827686918</v>
          </cell>
          <cell r="CO99">
            <v>4.6413847815983136</v>
          </cell>
          <cell r="CP99">
            <v>14.644481600709996</v>
          </cell>
          <cell r="CQ99">
            <v>73.933530272216771</v>
          </cell>
          <cell r="CR99">
            <v>14.188983015998458</v>
          </cell>
          <cell r="CS99">
            <v>61.743435196840323</v>
          </cell>
          <cell r="CT99">
            <v>6.4992381795141165</v>
          </cell>
          <cell r="CU99">
            <v>11.746791918266466</v>
          </cell>
          <cell r="CV99">
            <v>-31.220602148828348</v>
          </cell>
          <cell r="CW99">
            <v>69.451362031023891</v>
          </cell>
          <cell r="CX99">
            <v>845.10139042699427</v>
          </cell>
          <cell r="CY99">
            <v>2.7619526753914556</v>
          </cell>
          <cell r="CZ99">
            <v>23.462425501215527</v>
          </cell>
          <cell r="DA99">
            <v>60.213424694241262</v>
          </cell>
          <cell r="DB99">
            <v>19.699859175094922</v>
          </cell>
          <cell r="DC99">
            <v>38.839120132026402</v>
          </cell>
          <cell r="DD99">
            <v>5.4153225109510839</v>
          </cell>
          <cell r="DE99">
            <v>-16.677580335178089</v>
          </cell>
          <cell r="DF99">
            <v>-45.467165145060129</v>
          </cell>
          <cell r="DG99">
            <v>45.631928968949843</v>
          </cell>
          <cell r="DH99">
            <v>390.53301092719278</v>
          </cell>
          <cell r="DI99">
            <v>-5.771542073765672</v>
          </cell>
          <cell r="DK99">
            <v>0.11287390152856625</v>
          </cell>
          <cell r="DL99">
            <v>9.8141743415248284E-2</v>
          </cell>
        </row>
      </sheetData>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BZ4" t="str">
            <v>Bristol-Myers Squibb</v>
          </cell>
          <cell r="DO4" t="str">
            <v>Bristol-Myers Squibb</v>
          </cell>
        </row>
        <row r="5">
          <cell r="BZ5" t="str">
            <v>Quarterly Sales Comparisons 1999-2006E</v>
          </cell>
          <cell r="DO5" t="str">
            <v>Quarterly Sales Comparisons 1999-2006E</v>
          </cell>
        </row>
        <row r="6">
          <cell r="BZ6" t="str">
            <v>($ Millions)</v>
          </cell>
          <cell r="DO6" t="str">
            <v>($ Millions)</v>
          </cell>
        </row>
        <row r="7">
          <cell r="CC7" t="str">
            <v>Central Nervous System (a)</v>
          </cell>
          <cell r="CR7" t="str">
            <v>Glucophage (a)</v>
          </cell>
          <cell r="DR7" t="str">
            <v>All</v>
          </cell>
          <cell r="DZ7" t="str">
            <v>Consumer Medicines</v>
          </cell>
        </row>
        <row r="8">
          <cell r="CI8" t="str">
            <v>Sine-</v>
          </cell>
          <cell r="CS8" t="str">
            <v>Gluco-</v>
          </cell>
          <cell r="DA8" t="str">
            <v>Derma-</v>
          </cell>
          <cell r="DE8" t="str">
            <v>Diagnos.</v>
          </cell>
          <cell r="DI8" t="str">
            <v>New</v>
          </cell>
          <cell r="DR8" t="str">
            <v>Other</v>
          </cell>
          <cell r="DV8" t="str">
            <v>Total</v>
          </cell>
          <cell r="DZ8" t="str">
            <v>Anale-</v>
          </cell>
          <cell r="ED8" t="str">
            <v>Other</v>
          </cell>
          <cell r="EL8" t="str">
            <v>Total</v>
          </cell>
        </row>
        <row r="9">
          <cell r="CA9" t="str">
            <v>Buspar</v>
          </cell>
          <cell r="CC9" t="str">
            <v>Buspar</v>
          </cell>
          <cell r="CD9" t="str">
            <v>Serzone</v>
          </cell>
          <cell r="CF9" t="str">
            <v>Serzone</v>
          </cell>
          <cell r="CG9" t="str">
            <v>Other</v>
          </cell>
          <cell r="CI9" t="str">
            <v>met</v>
          </cell>
          <cell r="CJ9" t="str">
            <v>Other</v>
          </cell>
          <cell r="CL9" t="str">
            <v>Total CNS</v>
          </cell>
          <cell r="CN9" t="str">
            <v>Total</v>
          </cell>
          <cell r="CP9" t="str">
            <v>Regular</v>
          </cell>
          <cell r="CR9" t="str">
            <v>Regular</v>
          </cell>
          <cell r="CS9" t="str">
            <v>Vance</v>
          </cell>
          <cell r="CT9" t="str">
            <v>Total</v>
          </cell>
          <cell r="CV9" t="str">
            <v>XR</v>
          </cell>
          <cell r="CW9" t="str">
            <v>Total</v>
          </cell>
          <cell r="CY9" t="str">
            <v>Dermatological</v>
          </cell>
          <cell r="DA9" t="str">
            <v>tological</v>
          </cell>
          <cell r="DC9" t="str">
            <v>Diagnostics (b)</v>
          </cell>
          <cell r="DE9" t="str">
            <v>tics (b)</v>
          </cell>
          <cell r="DG9" t="str">
            <v>New Product</v>
          </cell>
          <cell r="DI9" t="str">
            <v>Prod.</v>
          </cell>
          <cell r="DL9" t="str">
            <v>All Other Pharma</v>
          </cell>
          <cell r="DP9" t="str">
            <v>Erbitux</v>
          </cell>
          <cell r="DR9" t="str">
            <v>Pharma</v>
          </cell>
          <cell r="DT9" t="str">
            <v>Total Pharma</v>
          </cell>
          <cell r="DV9" t="str">
            <v>Pharma</v>
          </cell>
          <cell r="DX9" t="str">
            <v>Analegiscs</v>
          </cell>
          <cell r="DZ9" t="str">
            <v>giscs</v>
          </cell>
          <cell r="EB9" t="str">
            <v>CM</v>
          </cell>
          <cell r="ED9" t="str">
            <v>CM</v>
          </cell>
          <cell r="EF9" t="str">
            <v>Total C.M.</v>
          </cell>
          <cell r="EH9" t="str">
            <v>Total</v>
          </cell>
          <cell r="EL9" t="str">
            <v>Medicines</v>
          </cell>
        </row>
        <row r="10">
          <cell r="CA10" t="str">
            <v>U.S.</v>
          </cell>
          <cell r="CB10" t="str">
            <v>Intl</v>
          </cell>
          <cell r="CC10" t="str">
            <v>WW</v>
          </cell>
          <cell r="CD10" t="str">
            <v>U.S.</v>
          </cell>
          <cell r="CE10" t="str">
            <v>Intl</v>
          </cell>
          <cell r="CF10" t="str">
            <v>WW</v>
          </cell>
          <cell r="CG10" t="str">
            <v>U.S.</v>
          </cell>
          <cell r="CH10" t="str">
            <v>Intl</v>
          </cell>
          <cell r="CI10" t="str">
            <v>WW</v>
          </cell>
          <cell r="CJ10" t="str">
            <v>WW</v>
          </cell>
          <cell r="CL10" t="str">
            <v>U.S.</v>
          </cell>
          <cell r="CM10" t="str">
            <v>Intl</v>
          </cell>
          <cell r="CN10" t="str">
            <v>WW</v>
          </cell>
          <cell r="CP10" t="str">
            <v>U.S.</v>
          </cell>
          <cell r="CQ10" t="str">
            <v>Intl</v>
          </cell>
          <cell r="CR10" t="str">
            <v>WW</v>
          </cell>
          <cell r="CS10" t="str">
            <v>WW</v>
          </cell>
          <cell r="CT10" t="str">
            <v>U.S.</v>
          </cell>
          <cell r="CU10" t="str">
            <v>Intl</v>
          </cell>
          <cell r="CW10" t="str">
            <v>WW</v>
          </cell>
          <cell r="CY10" t="str">
            <v>U.S.</v>
          </cell>
          <cell r="CZ10" t="str">
            <v>Intl</v>
          </cell>
          <cell r="DA10" t="str">
            <v>WW</v>
          </cell>
          <cell r="DC10" t="str">
            <v>U.S.</v>
          </cell>
          <cell r="DD10" t="str">
            <v>Intl</v>
          </cell>
          <cell r="DE10" t="str">
            <v>WW</v>
          </cell>
          <cell r="DG10" t="str">
            <v>U.S.</v>
          </cell>
          <cell r="DH10" t="str">
            <v>Intl</v>
          </cell>
          <cell r="DI10" t="str">
            <v>WW</v>
          </cell>
          <cell r="DJ10" t="str">
            <v>Intl</v>
          </cell>
          <cell r="DL10" t="str">
            <v>U.S.</v>
          </cell>
          <cell r="DR10" t="str">
            <v>WW</v>
          </cell>
          <cell r="DT10" t="str">
            <v>U.S.</v>
          </cell>
          <cell r="DU10" t="str">
            <v>Intl</v>
          </cell>
          <cell r="DV10" t="str">
            <v>WW</v>
          </cell>
          <cell r="DX10" t="str">
            <v>U.S.</v>
          </cell>
          <cell r="DY10" t="str">
            <v>Intl</v>
          </cell>
          <cell r="DZ10" t="str">
            <v>WW</v>
          </cell>
          <cell r="EB10" t="str">
            <v>U.S.</v>
          </cell>
          <cell r="EC10" t="str">
            <v>Intl</v>
          </cell>
          <cell r="ED10" t="str">
            <v>WW</v>
          </cell>
          <cell r="EF10" t="str">
            <v>U.S.</v>
          </cell>
          <cell r="EG10" t="str">
            <v>Intl</v>
          </cell>
          <cell r="EH10" t="str">
            <v>WW</v>
          </cell>
          <cell r="EJ10" t="str">
            <v>U.S.</v>
          </cell>
          <cell r="EK10" t="str">
            <v>Intl</v>
          </cell>
          <cell r="EL10" t="str">
            <v>WW</v>
          </cell>
        </row>
        <row r="12">
          <cell r="BZ12">
            <v>1998</v>
          </cell>
          <cell r="DO12">
            <v>1998</v>
          </cell>
        </row>
        <row r="13">
          <cell r="BZ13" t="str">
            <v xml:space="preserve"> 1Q</v>
          </cell>
          <cell r="CA13">
            <v>135</v>
          </cell>
          <cell r="CB13">
            <v>10</v>
          </cell>
          <cell r="CC13">
            <v>145</v>
          </cell>
          <cell r="CD13">
            <v>56</v>
          </cell>
          <cell r="CE13">
            <v>8</v>
          </cell>
          <cell r="CF13">
            <v>64</v>
          </cell>
          <cell r="CG13">
            <v>47</v>
          </cell>
          <cell r="CH13">
            <v>21</v>
          </cell>
          <cell r="CJ13">
            <v>68</v>
          </cell>
          <cell r="CL13">
            <v>238</v>
          </cell>
          <cell r="CM13">
            <v>39</v>
          </cell>
          <cell r="CN13">
            <v>277</v>
          </cell>
          <cell r="CP13">
            <v>180</v>
          </cell>
          <cell r="CQ13">
            <v>1</v>
          </cell>
          <cell r="CR13">
            <v>181</v>
          </cell>
          <cell r="CY13">
            <v>65</v>
          </cell>
          <cell r="CZ13">
            <v>26</v>
          </cell>
          <cell r="DA13">
            <v>91</v>
          </cell>
          <cell r="DC13">
            <v>9</v>
          </cell>
          <cell r="DD13">
            <v>0</v>
          </cell>
          <cell r="DE13">
            <v>9</v>
          </cell>
          <cell r="DG13">
            <v>0</v>
          </cell>
          <cell r="DH13">
            <v>0</v>
          </cell>
          <cell r="DI13">
            <v>0</v>
          </cell>
          <cell r="DJ13">
            <v>49</v>
          </cell>
          <cell r="DL13">
            <v>245</v>
          </cell>
          <cell r="DO13" t="str">
            <v xml:space="preserve"> 1Q</v>
          </cell>
          <cell r="DR13">
            <v>294</v>
          </cell>
          <cell r="DT13">
            <v>1702</v>
          </cell>
          <cell r="DU13">
            <v>1011</v>
          </cell>
          <cell r="DV13">
            <v>2713</v>
          </cell>
          <cell r="DX13">
            <v>73</v>
          </cell>
          <cell r="DY13">
            <v>104</v>
          </cell>
          <cell r="DZ13">
            <v>177</v>
          </cell>
          <cell r="EB13">
            <v>55</v>
          </cell>
          <cell r="EC13">
            <v>111</v>
          </cell>
          <cell r="ED13">
            <v>166</v>
          </cell>
          <cell r="EF13">
            <v>128</v>
          </cell>
          <cell r="EG13">
            <v>215</v>
          </cell>
          <cell r="EH13">
            <v>343</v>
          </cell>
          <cell r="EJ13">
            <v>1830</v>
          </cell>
          <cell r="EK13">
            <v>1226</v>
          </cell>
          <cell r="EL13">
            <v>3056</v>
          </cell>
        </row>
        <row r="14">
          <cell r="BZ14" t="str">
            <v xml:space="preserve"> 2Q</v>
          </cell>
          <cell r="CA14">
            <v>73</v>
          </cell>
          <cell r="CB14">
            <v>11</v>
          </cell>
          <cell r="CC14">
            <v>84</v>
          </cell>
          <cell r="CD14">
            <v>62</v>
          </cell>
          <cell r="CE14">
            <v>9</v>
          </cell>
          <cell r="CF14">
            <v>71</v>
          </cell>
          <cell r="CG14">
            <v>67</v>
          </cell>
          <cell r="CH14">
            <v>21</v>
          </cell>
          <cell r="CJ14">
            <v>88</v>
          </cell>
          <cell r="CL14">
            <v>202</v>
          </cell>
          <cell r="CM14">
            <v>41</v>
          </cell>
          <cell r="CN14">
            <v>243</v>
          </cell>
          <cell r="CP14">
            <v>236</v>
          </cell>
          <cell r="CQ14">
            <v>2</v>
          </cell>
          <cell r="CR14">
            <v>238</v>
          </cell>
          <cell r="CY14">
            <v>64</v>
          </cell>
          <cell r="CZ14">
            <v>26</v>
          </cell>
          <cell r="DA14">
            <v>90</v>
          </cell>
          <cell r="DC14">
            <v>9</v>
          </cell>
          <cell r="DD14">
            <v>1</v>
          </cell>
          <cell r="DE14">
            <v>10</v>
          </cell>
          <cell r="DG14">
            <v>0</v>
          </cell>
          <cell r="DH14">
            <v>0</v>
          </cell>
          <cell r="DI14">
            <v>0</v>
          </cell>
          <cell r="DJ14">
            <v>46</v>
          </cell>
          <cell r="DL14">
            <v>281</v>
          </cell>
          <cell r="DO14" t="str">
            <v xml:space="preserve"> 2Q</v>
          </cell>
          <cell r="DR14">
            <v>327</v>
          </cell>
          <cell r="DT14">
            <v>1599</v>
          </cell>
          <cell r="DU14">
            <v>1092</v>
          </cell>
          <cell r="DV14">
            <v>2691</v>
          </cell>
          <cell r="DX14">
            <v>59</v>
          </cell>
          <cell r="DY14">
            <v>112</v>
          </cell>
          <cell r="DZ14">
            <v>171</v>
          </cell>
          <cell r="EB14">
            <v>26</v>
          </cell>
          <cell r="EC14">
            <v>99</v>
          </cell>
          <cell r="ED14">
            <v>125</v>
          </cell>
          <cell r="EF14">
            <v>85</v>
          </cell>
          <cell r="EG14">
            <v>211</v>
          </cell>
          <cell r="EH14">
            <v>296</v>
          </cell>
          <cell r="EJ14">
            <v>1684</v>
          </cell>
          <cell r="EK14">
            <v>1303</v>
          </cell>
          <cell r="EL14">
            <v>2987</v>
          </cell>
        </row>
        <row r="15">
          <cell r="BZ15" t="str">
            <v xml:space="preserve"> 3Q</v>
          </cell>
          <cell r="CA15">
            <v>129</v>
          </cell>
          <cell r="CB15">
            <v>9</v>
          </cell>
          <cell r="CC15">
            <v>138</v>
          </cell>
          <cell r="CD15">
            <v>52</v>
          </cell>
          <cell r="CE15">
            <v>9</v>
          </cell>
          <cell r="CF15">
            <v>61</v>
          </cell>
          <cell r="CG15">
            <v>50</v>
          </cell>
          <cell r="CH15">
            <v>21</v>
          </cell>
          <cell r="CJ15">
            <v>71</v>
          </cell>
          <cell r="CL15">
            <v>231</v>
          </cell>
          <cell r="CM15">
            <v>39</v>
          </cell>
          <cell r="CN15">
            <v>270</v>
          </cell>
          <cell r="CP15">
            <v>220</v>
          </cell>
          <cell r="CQ15">
            <v>2</v>
          </cell>
          <cell r="CR15">
            <v>222</v>
          </cell>
          <cell r="CY15">
            <v>52</v>
          </cell>
          <cell r="CZ15">
            <v>25</v>
          </cell>
          <cell r="DA15">
            <v>77</v>
          </cell>
          <cell r="DC15">
            <v>9</v>
          </cell>
          <cell r="DD15">
            <v>1</v>
          </cell>
          <cell r="DE15">
            <v>10</v>
          </cell>
          <cell r="DG15">
            <v>0</v>
          </cell>
          <cell r="DH15">
            <v>0</v>
          </cell>
          <cell r="DI15">
            <v>0</v>
          </cell>
          <cell r="DJ15">
            <v>33</v>
          </cell>
          <cell r="DL15">
            <v>286</v>
          </cell>
          <cell r="DO15" t="str">
            <v xml:space="preserve"> 3Q</v>
          </cell>
          <cell r="DR15">
            <v>319</v>
          </cell>
          <cell r="DT15">
            <v>1815</v>
          </cell>
          <cell r="DU15">
            <v>997</v>
          </cell>
          <cell r="DV15">
            <v>2812</v>
          </cell>
          <cell r="DX15">
            <v>67</v>
          </cell>
          <cell r="DY15">
            <v>95</v>
          </cell>
          <cell r="DZ15">
            <v>162</v>
          </cell>
          <cell r="EB15">
            <v>36</v>
          </cell>
          <cell r="EC15">
            <v>90</v>
          </cell>
          <cell r="ED15">
            <v>126</v>
          </cell>
          <cell r="EF15">
            <v>103</v>
          </cell>
          <cell r="EG15">
            <v>185</v>
          </cell>
          <cell r="EH15">
            <v>288</v>
          </cell>
          <cell r="EJ15">
            <v>1918</v>
          </cell>
          <cell r="EK15">
            <v>1182</v>
          </cell>
          <cell r="EL15">
            <v>3100</v>
          </cell>
        </row>
        <row r="16">
          <cell r="BZ16" t="str">
            <v xml:space="preserve"> 4Q </v>
          </cell>
          <cell r="CA16">
            <v>152</v>
          </cell>
          <cell r="CB16">
            <v>11</v>
          </cell>
          <cell r="CC16">
            <v>163</v>
          </cell>
          <cell r="CD16">
            <v>51</v>
          </cell>
          <cell r="CE16">
            <v>10</v>
          </cell>
          <cell r="CF16">
            <v>61</v>
          </cell>
          <cell r="CG16">
            <v>65</v>
          </cell>
          <cell r="CH16">
            <v>9</v>
          </cell>
          <cell r="CJ16">
            <v>74</v>
          </cell>
          <cell r="CL16">
            <v>268</v>
          </cell>
          <cell r="CM16">
            <v>30</v>
          </cell>
          <cell r="CN16">
            <v>298</v>
          </cell>
          <cell r="CP16">
            <v>219</v>
          </cell>
          <cell r="CQ16">
            <v>2</v>
          </cell>
          <cell r="CR16">
            <v>221</v>
          </cell>
          <cell r="CY16">
            <v>86</v>
          </cell>
          <cell r="CZ16">
            <v>25</v>
          </cell>
          <cell r="DA16">
            <v>111</v>
          </cell>
          <cell r="DC16">
            <v>10</v>
          </cell>
          <cell r="DD16">
            <v>2</v>
          </cell>
          <cell r="DE16">
            <v>12</v>
          </cell>
          <cell r="DG16">
            <v>0</v>
          </cell>
          <cell r="DH16">
            <v>0</v>
          </cell>
          <cell r="DI16">
            <v>0</v>
          </cell>
          <cell r="DJ16">
            <v>51</v>
          </cell>
          <cell r="DL16">
            <v>288</v>
          </cell>
          <cell r="DO16" t="str">
            <v xml:space="preserve"> 4Q </v>
          </cell>
          <cell r="DR16">
            <v>339</v>
          </cell>
          <cell r="DT16">
            <v>1897</v>
          </cell>
          <cell r="DU16">
            <v>1164</v>
          </cell>
          <cell r="DV16">
            <v>3061</v>
          </cell>
          <cell r="DX16">
            <v>76</v>
          </cell>
          <cell r="DY16">
            <v>163</v>
          </cell>
          <cell r="DZ16">
            <v>239</v>
          </cell>
          <cell r="EB16">
            <v>40</v>
          </cell>
          <cell r="EC16">
            <v>91</v>
          </cell>
          <cell r="ED16">
            <v>131</v>
          </cell>
          <cell r="EF16">
            <v>116</v>
          </cell>
          <cell r="EG16">
            <v>254</v>
          </cell>
          <cell r="EH16">
            <v>370</v>
          </cell>
          <cell r="EJ16">
            <v>2013</v>
          </cell>
          <cell r="EK16">
            <v>1418</v>
          </cell>
          <cell r="EL16">
            <v>3431</v>
          </cell>
        </row>
        <row r="18">
          <cell r="BZ18" t="str">
            <v>Year</v>
          </cell>
          <cell r="CA18">
            <v>489</v>
          </cell>
          <cell r="CB18">
            <v>41</v>
          </cell>
          <cell r="CC18">
            <v>530</v>
          </cell>
          <cell r="CD18">
            <v>221</v>
          </cell>
          <cell r="CE18">
            <v>36</v>
          </cell>
          <cell r="CF18">
            <v>257</v>
          </cell>
          <cell r="CG18">
            <v>229</v>
          </cell>
          <cell r="CH18">
            <v>72</v>
          </cell>
          <cell r="CJ18">
            <v>301</v>
          </cell>
          <cell r="CL18">
            <v>939</v>
          </cell>
          <cell r="CM18">
            <v>149</v>
          </cell>
          <cell r="CN18">
            <v>1088</v>
          </cell>
          <cell r="CP18">
            <v>855</v>
          </cell>
          <cell r="CQ18">
            <v>7</v>
          </cell>
          <cell r="CR18">
            <v>862</v>
          </cell>
          <cell r="CY18">
            <v>267</v>
          </cell>
          <cell r="CZ18">
            <v>102</v>
          </cell>
          <cell r="DA18">
            <v>369</v>
          </cell>
          <cell r="DC18">
            <v>37</v>
          </cell>
          <cell r="DD18">
            <v>4</v>
          </cell>
          <cell r="DE18">
            <v>41</v>
          </cell>
          <cell r="DG18">
            <v>0</v>
          </cell>
          <cell r="DH18">
            <v>0</v>
          </cell>
          <cell r="DI18">
            <v>0</v>
          </cell>
          <cell r="DJ18">
            <v>179</v>
          </cell>
          <cell r="DL18">
            <v>1100</v>
          </cell>
          <cell r="DO18" t="str">
            <v>Year</v>
          </cell>
          <cell r="DR18">
            <v>1279</v>
          </cell>
          <cell r="DT18">
            <v>7013</v>
          </cell>
          <cell r="DU18">
            <v>4264</v>
          </cell>
          <cell r="DV18">
            <v>11277</v>
          </cell>
          <cell r="DX18">
            <v>275</v>
          </cell>
          <cell r="DY18">
            <v>474</v>
          </cell>
          <cell r="DZ18">
            <v>749</v>
          </cell>
          <cell r="EB18">
            <v>157</v>
          </cell>
          <cell r="EC18">
            <v>391</v>
          </cell>
          <cell r="ED18">
            <v>548</v>
          </cell>
          <cell r="EF18">
            <v>432</v>
          </cell>
          <cell r="EG18">
            <v>865</v>
          </cell>
          <cell r="EH18">
            <v>1297</v>
          </cell>
          <cell r="EJ18">
            <v>7445</v>
          </cell>
          <cell r="EK18">
            <v>5129</v>
          </cell>
          <cell r="EL18">
            <v>12574</v>
          </cell>
        </row>
        <row r="20">
          <cell r="BZ20" t="str">
            <v>1999/98</v>
          </cell>
          <cell r="DO20" t="str">
            <v>1999/98</v>
          </cell>
        </row>
        <row r="21">
          <cell r="BZ21" t="str">
            <v xml:space="preserve"> 1Q</v>
          </cell>
          <cell r="CA21">
            <v>-9.6296296296296324E-2</v>
          </cell>
          <cell r="CB21">
            <v>-9.9999999999999978E-2</v>
          </cell>
          <cell r="CC21">
            <v>-9.6551724137931033E-2</v>
          </cell>
          <cell r="CD21">
            <v>-3.5714285714285698E-2</v>
          </cell>
          <cell r="CE21">
            <v>0.125</v>
          </cell>
          <cell r="CF21">
            <v>-1.5625E-2</v>
          </cell>
          <cell r="CG21">
            <v>8.5106382978723305E-2</v>
          </cell>
          <cell r="CH21">
            <v>-0.52380952380952384</v>
          </cell>
          <cell r="CJ21">
            <v>-0.10294117647058823</v>
          </cell>
          <cell r="CL21">
            <v>-4.621848739495793E-2</v>
          </cell>
          <cell r="CM21">
            <v>-0.28205128205128205</v>
          </cell>
          <cell r="CN21">
            <v>-7.9422382671480149E-2</v>
          </cell>
          <cell r="CP21">
            <v>0.55000000000000004</v>
          </cell>
          <cell r="CQ21">
            <v>2</v>
          </cell>
          <cell r="CR21">
            <v>0.55801104972375692</v>
          </cell>
          <cell r="CY21">
            <v>-7.6923076923076872E-2</v>
          </cell>
          <cell r="CZ21">
            <v>-0.11538461538461542</v>
          </cell>
          <cell r="DA21">
            <v>-8.7912087912087919E-2</v>
          </cell>
          <cell r="DC21">
            <v>-0.11111111111111116</v>
          </cell>
          <cell r="DD21" t="str">
            <v>NM</v>
          </cell>
          <cell r="DE21">
            <v>-0.1111111111111111</v>
          </cell>
          <cell r="DG21" t="str">
            <v>NM</v>
          </cell>
          <cell r="DH21" t="str">
            <v>NM</v>
          </cell>
          <cell r="DI21" t="str">
            <v>NM</v>
          </cell>
          <cell r="DJ21">
            <v>0</v>
          </cell>
          <cell r="DL21">
            <v>-0.83265306122448979</v>
          </cell>
          <cell r="DO21" t="str">
            <v xml:space="preserve"> 1Q</v>
          </cell>
          <cell r="DR21">
            <v>-0.69387755102040816</v>
          </cell>
          <cell r="DT21">
            <v>0.19682726204465334</v>
          </cell>
          <cell r="DU21">
            <v>4.4510385756676561E-2</v>
          </cell>
          <cell r="DV21">
            <v>0.14006634721710284</v>
          </cell>
          <cell r="DX21">
            <v>-0.1095890410958904</v>
          </cell>
          <cell r="DY21">
            <v>0.48076923076923078</v>
          </cell>
          <cell r="DZ21">
            <v>0.23728813559322035</v>
          </cell>
          <cell r="EB21">
            <v>-0.29090909090909089</v>
          </cell>
          <cell r="EC21">
            <v>-0.27927927927927926</v>
          </cell>
          <cell r="ED21">
            <v>-0.28313253012048195</v>
          </cell>
          <cell r="EF21">
            <v>-0.1875</v>
          </cell>
          <cell r="EG21">
            <v>8.8372093023255813E-2</v>
          </cell>
          <cell r="EH21">
            <v>-1.4577259475218658E-2</v>
          </cell>
          <cell r="EJ21">
            <v>0.16994535519125684</v>
          </cell>
          <cell r="EK21">
            <v>5.2202283849918436E-2</v>
          </cell>
          <cell r="EL21">
            <v>0.12270942408376963</v>
          </cell>
        </row>
        <row r="22">
          <cell r="BZ22" t="str">
            <v xml:space="preserve"> 2Q</v>
          </cell>
          <cell r="CA22">
            <v>0.68493150684931514</v>
          </cell>
          <cell r="CB22">
            <v>-0.18181818181818177</v>
          </cell>
          <cell r="CC22">
            <v>0.5714285714285714</v>
          </cell>
          <cell r="CD22">
            <v>0.20967741935483875</v>
          </cell>
          <cell r="CE22">
            <v>0</v>
          </cell>
          <cell r="CF22">
            <v>0.18309859154929578</v>
          </cell>
          <cell r="CG22">
            <v>-1.4925373134328401E-2</v>
          </cell>
          <cell r="CH22">
            <v>-0.4285714285714286</v>
          </cell>
          <cell r="CJ22">
            <v>-0.11363636363636363</v>
          </cell>
          <cell r="CL22">
            <v>0.30693069306930698</v>
          </cell>
          <cell r="CM22">
            <v>-0.26829268292682928</v>
          </cell>
          <cell r="CN22">
            <v>0.20987654320987653</v>
          </cell>
          <cell r="CP22">
            <v>0.47033898305084754</v>
          </cell>
          <cell r="CQ22">
            <v>0.5</v>
          </cell>
          <cell r="CR22">
            <v>0.47058823529411764</v>
          </cell>
          <cell r="CY22">
            <v>0.28125</v>
          </cell>
          <cell r="CZ22">
            <v>-0.23076923076923073</v>
          </cell>
          <cell r="DA22">
            <v>0.13333333333333333</v>
          </cell>
          <cell r="DC22">
            <v>0.22222222222222232</v>
          </cell>
          <cell r="DD22">
            <v>1</v>
          </cell>
          <cell r="DE22">
            <v>0.3</v>
          </cell>
          <cell r="DG22" t="str">
            <v>NM</v>
          </cell>
          <cell r="DH22" t="str">
            <v>NM</v>
          </cell>
          <cell r="DI22" t="str">
            <v>NM</v>
          </cell>
          <cell r="DJ22">
            <v>0</v>
          </cell>
          <cell r="DL22">
            <v>-0.83274021352313166</v>
          </cell>
          <cell r="DO22" t="str">
            <v xml:space="preserve"> 2Q</v>
          </cell>
          <cell r="DR22">
            <v>-0.7155963302752294</v>
          </cell>
          <cell r="DT22">
            <v>0.28517823639774859</v>
          </cell>
          <cell r="DU22">
            <v>5.4945054945054949E-3</v>
          </cell>
          <cell r="DV22">
            <v>0.17168338907469341</v>
          </cell>
          <cell r="DX22">
            <v>0</v>
          </cell>
          <cell r="DY22">
            <v>0.16071428571428573</v>
          </cell>
          <cell r="DZ22">
            <v>0.10526315789473684</v>
          </cell>
          <cell r="EB22">
            <v>0.26923076923076922</v>
          </cell>
          <cell r="EC22">
            <v>-0.39393939393939392</v>
          </cell>
          <cell r="ED22">
            <v>-0.25600000000000001</v>
          </cell>
          <cell r="EF22">
            <v>8.2352941176470587E-2</v>
          </cell>
          <cell r="EG22">
            <v>-9.9526066350710901E-2</v>
          </cell>
          <cell r="EH22">
            <v>-4.72972972972973E-2</v>
          </cell>
          <cell r="EJ22">
            <v>0.27494061757719718</v>
          </cell>
          <cell r="EK22">
            <v>-1.1511895625479662E-2</v>
          </cell>
          <cell r="EL22">
            <v>0.14998326079678606</v>
          </cell>
        </row>
        <row r="23">
          <cell r="BZ23" t="str">
            <v xml:space="preserve"> 3Q</v>
          </cell>
          <cell r="CA23">
            <v>0.13178294573643412</v>
          </cell>
          <cell r="CB23">
            <v>0</v>
          </cell>
          <cell r="CC23">
            <v>0.12318840579710146</v>
          </cell>
          <cell r="CD23">
            <v>0.48076923076923084</v>
          </cell>
          <cell r="CE23">
            <v>0</v>
          </cell>
          <cell r="CF23">
            <v>0.4098360655737705</v>
          </cell>
          <cell r="CG23">
            <v>0</v>
          </cell>
          <cell r="CH23">
            <v>-0.47619047619047616</v>
          </cell>
          <cell r="CJ23">
            <v>-0.14084507042253522</v>
          </cell>
          <cell r="CL23">
            <v>0.18181818181818188</v>
          </cell>
          <cell r="CM23">
            <v>-0.25641025641025639</v>
          </cell>
          <cell r="CN23">
            <v>0.11851851851851852</v>
          </cell>
          <cell r="CP23">
            <v>0.56363636363636371</v>
          </cell>
          <cell r="CQ23">
            <v>1.5</v>
          </cell>
          <cell r="CR23">
            <v>0.57207207207207211</v>
          </cell>
          <cell r="CY23">
            <v>0.26923076923076916</v>
          </cell>
          <cell r="CZ23">
            <v>-7.999999999999996E-2</v>
          </cell>
          <cell r="DA23">
            <v>0.15584415584415584</v>
          </cell>
          <cell r="DC23">
            <v>0.33333333333333326</v>
          </cell>
          <cell r="DD23">
            <v>0</v>
          </cell>
          <cell r="DE23">
            <v>0.3</v>
          </cell>
          <cell r="DG23" t="str">
            <v>NM</v>
          </cell>
          <cell r="DH23" t="str">
            <v>NM</v>
          </cell>
          <cell r="DI23" t="str">
            <v>NM</v>
          </cell>
          <cell r="DJ23">
            <v>6.0606060606060608E-2</v>
          </cell>
          <cell r="DL23">
            <v>-0.71678321678321677</v>
          </cell>
          <cell r="DO23" t="str">
            <v xml:space="preserve"> 3Q</v>
          </cell>
          <cell r="DR23">
            <v>-0.63636363636363635</v>
          </cell>
          <cell r="DT23">
            <v>0.21707988980716253</v>
          </cell>
          <cell r="DU23">
            <v>2.2066198595787363E-2</v>
          </cell>
          <cell r="DV23">
            <v>0.14793741109530584</v>
          </cell>
          <cell r="DX23">
            <v>4.4776119402985072E-2</v>
          </cell>
          <cell r="DY23">
            <v>0.41052631578947368</v>
          </cell>
          <cell r="DZ23">
            <v>0.25925925925925924</v>
          </cell>
          <cell r="EB23">
            <v>0.1111111111111111</v>
          </cell>
          <cell r="EC23">
            <v>-0.15555555555555556</v>
          </cell>
          <cell r="ED23">
            <v>-7.9365079365079361E-2</v>
          </cell>
          <cell r="EF23">
            <v>6.7961165048543687E-2</v>
          </cell>
          <cell r="EG23">
            <v>0.13513513513513514</v>
          </cell>
          <cell r="EH23">
            <v>0.1111111111111111</v>
          </cell>
          <cell r="EJ23">
            <v>0.20907194994786235</v>
          </cell>
          <cell r="EK23">
            <v>3.976311336717428E-2</v>
          </cell>
          <cell r="EL23">
            <v>0.14451612903225808</v>
          </cell>
        </row>
        <row r="24">
          <cell r="BZ24" t="str">
            <v xml:space="preserve"> 4Q </v>
          </cell>
          <cell r="CA24">
            <v>0.16447368421052633</v>
          </cell>
          <cell r="CB24">
            <v>-9.0909090909090939E-2</v>
          </cell>
          <cell r="CC24">
            <v>0.14723926380368099</v>
          </cell>
          <cell r="CD24">
            <v>0.74509803921568629</v>
          </cell>
          <cell r="CE24">
            <v>0</v>
          </cell>
          <cell r="CF24">
            <v>0.62295081967213117</v>
          </cell>
          <cell r="CG24">
            <v>-3.0769230769230771E-2</v>
          </cell>
          <cell r="CH24">
            <v>0.33333333333333326</v>
          </cell>
          <cell r="CJ24">
            <v>1.3513513513513514E-2</v>
          </cell>
          <cell r="CL24">
            <v>0.22761194029850751</v>
          </cell>
          <cell r="CM24">
            <v>6.6666666666666652E-2</v>
          </cell>
          <cell r="CN24">
            <v>0.21140939597315436</v>
          </cell>
          <cell r="CP24">
            <v>0.51598173515981727</v>
          </cell>
          <cell r="CQ24">
            <v>1</v>
          </cell>
          <cell r="CR24">
            <v>0.52036199095022628</v>
          </cell>
          <cell r="CY24">
            <v>0</v>
          </cell>
          <cell r="CZ24">
            <v>0</v>
          </cell>
          <cell r="DA24">
            <v>0</v>
          </cell>
          <cell r="DC24">
            <v>0</v>
          </cell>
          <cell r="DD24">
            <v>0</v>
          </cell>
          <cell r="DE24">
            <v>0</v>
          </cell>
          <cell r="DG24" t="str">
            <v>NM</v>
          </cell>
          <cell r="DH24" t="str">
            <v>NM</v>
          </cell>
          <cell r="DI24" t="str">
            <v>NM</v>
          </cell>
          <cell r="DJ24">
            <v>-0.11764705882352941</v>
          </cell>
          <cell r="DL24">
            <v>-0.70486111111111116</v>
          </cell>
          <cell r="DO24" t="str">
            <v xml:space="preserve"> 4Q </v>
          </cell>
          <cell r="DR24">
            <v>-0.74926253687315636</v>
          </cell>
          <cell r="DT24">
            <v>0.22509225092250923</v>
          </cell>
          <cell r="DU24">
            <v>1.804123711340206E-2</v>
          </cell>
          <cell r="DV24">
            <v>0.14635739954263313</v>
          </cell>
          <cell r="DX24">
            <v>0</v>
          </cell>
          <cell r="DY24">
            <v>9.202453987730061E-2</v>
          </cell>
          <cell r="DZ24">
            <v>6.2761506276150625E-2</v>
          </cell>
          <cell r="EB24">
            <v>0.15</v>
          </cell>
          <cell r="EC24">
            <v>-5.4945054945054944E-2</v>
          </cell>
          <cell r="ED24">
            <v>7.6335877862595417E-3</v>
          </cell>
          <cell r="EF24">
            <v>5.1724137931034482E-2</v>
          </cell>
          <cell r="EG24">
            <v>3.937007874015748E-2</v>
          </cell>
          <cell r="EH24">
            <v>4.3243243243243246E-2</v>
          </cell>
          <cell r="EJ24">
            <v>0.21510183805265773</v>
          </cell>
          <cell r="EK24">
            <v>2.1861777150916785E-2</v>
          </cell>
          <cell r="EL24">
            <v>0.13523754007577965</v>
          </cell>
        </row>
        <row r="26">
          <cell r="BZ26" t="str">
            <v>Year</v>
          </cell>
          <cell r="CA26">
            <v>0.16155419222903888</v>
          </cell>
          <cell r="CB26">
            <v>-9.7560975609756073E-2</v>
          </cell>
          <cell r="CC26">
            <v>0.14150943396226415</v>
          </cell>
          <cell r="CD26">
            <v>0.33484162895927594</v>
          </cell>
          <cell r="CE26">
            <v>2.7777777777777679E-2</v>
          </cell>
          <cell r="CF26">
            <v>0.29182879377431908</v>
          </cell>
          <cell r="CG26">
            <v>4.366812227074135E-3</v>
          </cell>
          <cell r="CH26">
            <v>-0.375</v>
          </cell>
          <cell r="CJ26">
            <v>-8.6378737541528236E-2</v>
          </cell>
          <cell r="CL26">
            <v>0.16400425985090528</v>
          </cell>
          <cell r="CM26">
            <v>-0.20134228187919467</v>
          </cell>
          <cell r="CN26">
            <v>0.11397058823529412</v>
          </cell>
          <cell r="CP26">
            <v>0.52280701754385972</v>
          </cell>
          <cell r="CQ26">
            <v>1.1428571428571428</v>
          </cell>
          <cell r="CR26">
            <v>0.52784222737819031</v>
          </cell>
          <cell r="CY26">
            <v>0.101123595505618</v>
          </cell>
          <cell r="CZ26">
            <v>-0.10784313725490191</v>
          </cell>
          <cell r="DA26">
            <v>4.3360433604336043E-2</v>
          </cell>
          <cell r="DC26">
            <v>0.10810810810810811</v>
          </cell>
          <cell r="DD26">
            <v>0.25</v>
          </cell>
          <cell r="DE26">
            <v>0.12195121951219512</v>
          </cell>
          <cell r="DG26" t="str">
            <v>NM</v>
          </cell>
          <cell r="DH26" t="str">
            <v>NM</v>
          </cell>
          <cell r="DI26" t="str">
            <v>NM</v>
          </cell>
          <cell r="DJ26">
            <v>-2.23463687150838E-2</v>
          </cell>
          <cell r="DL26">
            <v>-0.76909090909090905</v>
          </cell>
          <cell r="DO26" t="str">
            <v>Year</v>
          </cell>
          <cell r="DR26">
            <v>-0.69976544175136823</v>
          </cell>
          <cell r="DT26">
            <v>0.22985883359475259</v>
          </cell>
          <cell r="DU26">
            <v>2.2045028142589119E-2</v>
          </cell>
          <cell r="DV26">
            <v>0.15128136915846413</v>
          </cell>
          <cell r="DX26">
            <v>-1.8181818181818181E-2</v>
          </cell>
          <cell r="DY26">
            <v>0.25738396624472576</v>
          </cell>
          <cell r="DZ26">
            <v>0.15620827770360482</v>
          </cell>
          <cell r="EB26">
            <v>6.369426751592357E-3</v>
          </cell>
          <cell r="EC26">
            <v>-0.22762148337595908</v>
          </cell>
          <cell r="ED26">
            <v>-0.16058394160583941</v>
          </cell>
          <cell r="EF26">
            <v>-9.2592592592592587E-3</v>
          </cell>
          <cell r="EG26">
            <v>3.8150289017341042E-2</v>
          </cell>
          <cell r="EH26">
            <v>2.2359290670778721E-2</v>
          </cell>
          <cell r="EJ26">
            <v>0.21598388179986569</v>
          </cell>
          <cell r="EK26">
            <v>2.4761162019886918E-2</v>
          </cell>
          <cell r="EL26">
            <v>0.13798313981231111</v>
          </cell>
        </row>
        <row r="28">
          <cell r="BZ28">
            <v>1999</v>
          </cell>
          <cell r="DO28">
            <v>1999</v>
          </cell>
        </row>
        <row r="29">
          <cell r="BZ29" t="str">
            <v xml:space="preserve"> 1Q</v>
          </cell>
          <cell r="CA29">
            <v>122</v>
          </cell>
          <cell r="CB29">
            <v>9</v>
          </cell>
          <cell r="CC29">
            <v>131</v>
          </cell>
          <cell r="CD29">
            <v>54</v>
          </cell>
          <cell r="CE29">
            <v>9</v>
          </cell>
          <cell r="CF29">
            <v>63</v>
          </cell>
          <cell r="CG29">
            <v>51</v>
          </cell>
          <cell r="CH29">
            <v>10</v>
          </cell>
          <cell r="CJ29">
            <v>61</v>
          </cell>
          <cell r="CL29">
            <v>227</v>
          </cell>
          <cell r="CM29">
            <v>28</v>
          </cell>
          <cell r="CN29">
            <v>255</v>
          </cell>
          <cell r="CP29">
            <v>279</v>
          </cell>
          <cell r="CQ29">
            <v>3</v>
          </cell>
          <cell r="CR29">
            <v>282</v>
          </cell>
          <cell r="CT29">
            <v>279</v>
          </cell>
          <cell r="CU29">
            <v>3</v>
          </cell>
          <cell r="CW29">
            <v>282</v>
          </cell>
          <cell r="CY29">
            <v>60</v>
          </cell>
          <cell r="CZ29">
            <v>23</v>
          </cell>
          <cell r="DA29">
            <v>83</v>
          </cell>
          <cell r="DC29">
            <v>8</v>
          </cell>
          <cell r="DD29">
            <v>0</v>
          </cell>
          <cell r="DE29">
            <v>8</v>
          </cell>
          <cell r="DJ29">
            <v>49</v>
          </cell>
          <cell r="DL29">
            <v>41</v>
          </cell>
          <cell r="DO29" t="str">
            <v xml:space="preserve"> 1Q</v>
          </cell>
          <cell r="DR29">
            <v>90</v>
          </cell>
          <cell r="DT29">
            <v>2037</v>
          </cell>
          <cell r="DU29">
            <v>1056</v>
          </cell>
          <cell r="DV29">
            <v>3093</v>
          </cell>
          <cell r="DX29">
            <v>65</v>
          </cell>
          <cell r="DY29">
            <v>154</v>
          </cell>
          <cell r="DZ29">
            <v>219</v>
          </cell>
          <cell r="EB29">
            <v>39</v>
          </cell>
          <cell r="EC29">
            <v>80</v>
          </cell>
          <cell r="ED29">
            <v>119</v>
          </cell>
          <cell r="EF29">
            <v>104</v>
          </cell>
          <cell r="EG29">
            <v>234</v>
          </cell>
          <cell r="EH29">
            <v>338</v>
          </cell>
          <cell r="EJ29">
            <v>2141</v>
          </cell>
          <cell r="EK29">
            <v>1290</v>
          </cell>
          <cell r="EL29">
            <v>3431</v>
          </cell>
        </row>
        <row r="30">
          <cell r="BZ30" t="str">
            <v xml:space="preserve"> 2Q</v>
          </cell>
          <cell r="CA30">
            <v>123</v>
          </cell>
          <cell r="CB30">
            <v>9</v>
          </cell>
          <cell r="CC30">
            <v>132</v>
          </cell>
          <cell r="CD30">
            <v>75</v>
          </cell>
          <cell r="CE30">
            <v>9</v>
          </cell>
          <cell r="CF30">
            <v>84</v>
          </cell>
          <cell r="CG30">
            <v>66</v>
          </cell>
          <cell r="CH30">
            <v>12</v>
          </cell>
          <cell r="CJ30">
            <v>78</v>
          </cell>
          <cell r="CL30">
            <v>264</v>
          </cell>
          <cell r="CM30">
            <v>30</v>
          </cell>
          <cell r="CN30">
            <v>294</v>
          </cell>
          <cell r="CP30">
            <v>347</v>
          </cell>
          <cell r="CQ30">
            <v>3</v>
          </cell>
          <cell r="CR30">
            <v>350</v>
          </cell>
          <cell r="CT30">
            <v>347</v>
          </cell>
          <cell r="CU30">
            <v>3</v>
          </cell>
          <cell r="CW30">
            <v>350</v>
          </cell>
          <cell r="CY30">
            <v>82</v>
          </cell>
          <cell r="CZ30">
            <v>20</v>
          </cell>
          <cell r="DA30">
            <v>102</v>
          </cell>
          <cell r="DC30">
            <v>11</v>
          </cell>
          <cell r="DD30">
            <v>2</v>
          </cell>
          <cell r="DE30">
            <v>13</v>
          </cell>
          <cell r="DJ30">
            <v>46</v>
          </cell>
          <cell r="DL30">
            <v>47</v>
          </cell>
          <cell r="DO30" t="str">
            <v xml:space="preserve"> 2Q</v>
          </cell>
          <cell r="DR30">
            <v>93</v>
          </cell>
          <cell r="DT30">
            <v>2055</v>
          </cell>
          <cell r="DU30">
            <v>1098</v>
          </cell>
          <cell r="DV30">
            <v>3153</v>
          </cell>
          <cell r="DX30">
            <v>59</v>
          </cell>
          <cell r="DY30">
            <v>130</v>
          </cell>
          <cell r="DZ30">
            <v>189</v>
          </cell>
          <cell r="EB30">
            <v>33</v>
          </cell>
          <cell r="EC30">
            <v>60</v>
          </cell>
          <cell r="ED30">
            <v>93</v>
          </cell>
          <cell r="EF30">
            <v>92</v>
          </cell>
          <cell r="EG30">
            <v>190</v>
          </cell>
          <cell r="EH30">
            <v>282</v>
          </cell>
          <cell r="EJ30">
            <v>2147</v>
          </cell>
          <cell r="EK30">
            <v>1288</v>
          </cell>
          <cell r="EL30">
            <v>3435</v>
          </cell>
        </row>
        <row r="31">
          <cell r="BZ31" t="str">
            <v xml:space="preserve"> 3Q</v>
          </cell>
          <cell r="CA31">
            <v>146</v>
          </cell>
          <cell r="CB31">
            <v>9</v>
          </cell>
          <cell r="CC31">
            <v>155</v>
          </cell>
          <cell r="CD31">
            <v>77</v>
          </cell>
          <cell r="CE31">
            <v>9</v>
          </cell>
          <cell r="CF31">
            <v>86</v>
          </cell>
          <cell r="CG31">
            <v>50</v>
          </cell>
          <cell r="CH31">
            <v>11</v>
          </cell>
          <cell r="CJ31">
            <v>61</v>
          </cell>
          <cell r="CL31">
            <v>273</v>
          </cell>
          <cell r="CM31">
            <v>29</v>
          </cell>
          <cell r="CN31">
            <v>302</v>
          </cell>
          <cell r="CP31">
            <v>344</v>
          </cell>
          <cell r="CQ31">
            <v>5</v>
          </cell>
          <cell r="CR31">
            <v>349</v>
          </cell>
          <cell r="CT31">
            <v>344</v>
          </cell>
          <cell r="CU31">
            <v>5</v>
          </cell>
          <cell r="CW31">
            <v>349</v>
          </cell>
          <cell r="CY31">
            <v>66</v>
          </cell>
          <cell r="CZ31">
            <v>23</v>
          </cell>
          <cell r="DA31">
            <v>89</v>
          </cell>
          <cell r="DC31">
            <v>12</v>
          </cell>
          <cell r="DD31">
            <v>1</v>
          </cell>
          <cell r="DE31">
            <v>13</v>
          </cell>
          <cell r="DJ31">
            <v>35</v>
          </cell>
          <cell r="DL31">
            <v>81</v>
          </cell>
          <cell r="DO31" t="str">
            <v xml:space="preserve"> 3Q</v>
          </cell>
          <cell r="DR31">
            <v>116</v>
          </cell>
          <cell r="DT31">
            <v>2209</v>
          </cell>
          <cell r="DU31">
            <v>1019</v>
          </cell>
          <cell r="DV31">
            <v>3228</v>
          </cell>
          <cell r="DX31">
            <v>70</v>
          </cell>
          <cell r="DY31">
            <v>134</v>
          </cell>
          <cell r="DZ31">
            <v>204</v>
          </cell>
          <cell r="EB31">
            <v>40</v>
          </cell>
          <cell r="EC31">
            <v>76</v>
          </cell>
          <cell r="ED31">
            <v>116</v>
          </cell>
          <cell r="EF31">
            <v>110</v>
          </cell>
          <cell r="EG31">
            <v>210</v>
          </cell>
          <cell r="EH31">
            <v>320</v>
          </cell>
          <cell r="EJ31">
            <v>2319</v>
          </cell>
          <cell r="EK31">
            <v>1229</v>
          </cell>
          <cell r="EL31">
            <v>3548</v>
          </cell>
        </row>
        <row r="32">
          <cell r="BZ32" t="str">
            <v xml:space="preserve"> 4Q </v>
          </cell>
          <cell r="CA32">
            <v>177</v>
          </cell>
          <cell r="CB32">
            <v>10</v>
          </cell>
          <cell r="CC32">
            <v>187</v>
          </cell>
          <cell r="CD32">
            <v>89</v>
          </cell>
          <cell r="CE32">
            <v>10</v>
          </cell>
          <cell r="CF32">
            <v>99</v>
          </cell>
          <cell r="CG32">
            <v>63</v>
          </cell>
          <cell r="CH32">
            <v>12</v>
          </cell>
          <cell r="CJ32">
            <v>75</v>
          </cell>
          <cell r="CL32">
            <v>329</v>
          </cell>
          <cell r="CM32">
            <v>32</v>
          </cell>
          <cell r="CN32">
            <v>361</v>
          </cell>
          <cell r="CP32">
            <v>332</v>
          </cell>
          <cell r="CQ32">
            <v>4</v>
          </cell>
          <cell r="CR32">
            <v>336</v>
          </cell>
          <cell r="CT32">
            <v>332</v>
          </cell>
          <cell r="CU32">
            <v>4</v>
          </cell>
          <cell r="CW32">
            <v>336</v>
          </cell>
          <cell r="CY32">
            <v>86</v>
          </cell>
          <cell r="CZ32">
            <v>25</v>
          </cell>
          <cell r="DA32">
            <v>111</v>
          </cell>
          <cell r="DC32">
            <v>10</v>
          </cell>
          <cell r="DD32">
            <v>2</v>
          </cell>
          <cell r="DE32">
            <v>12</v>
          </cell>
          <cell r="DJ32">
            <v>45</v>
          </cell>
          <cell r="DL32">
            <v>85</v>
          </cell>
          <cell r="DO32" t="str">
            <v xml:space="preserve"> 4Q </v>
          </cell>
          <cell r="DR32">
            <v>85</v>
          </cell>
          <cell r="DT32">
            <v>2324</v>
          </cell>
          <cell r="DU32">
            <v>1185</v>
          </cell>
          <cell r="DV32">
            <v>3509</v>
          </cell>
          <cell r="DX32">
            <v>76</v>
          </cell>
          <cell r="DY32">
            <v>178</v>
          </cell>
          <cell r="DZ32">
            <v>254</v>
          </cell>
          <cell r="EB32">
            <v>46</v>
          </cell>
          <cell r="EC32">
            <v>86</v>
          </cell>
          <cell r="ED32">
            <v>132</v>
          </cell>
          <cell r="EF32">
            <v>122</v>
          </cell>
          <cell r="EG32">
            <v>264</v>
          </cell>
          <cell r="EH32">
            <v>386</v>
          </cell>
          <cell r="EJ32">
            <v>2446</v>
          </cell>
          <cell r="EK32">
            <v>1449</v>
          </cell>
          <cell r="EL32">
            <v>3895</v>
          </cell>
        </row>
        <row r="34">
          <cell r="BZ34" t="str">
            <v>Year</v>
          </cell>
          <cell r="CA34">
            <v>568</v>
          </cell>
          <cell r="CB34">
            <v>37</v>
          </cell>
          <cell r="CC34">
            <v>605</v>
          </cell>
          <cell r="CD34">
            <v>295</v>
          </cell>
          <cell r="CE34">
            <v>37</v>
          </cell>
          <cell r="CF34">
            <v>332</v>
          </cell>
          <cell r="CG34">
            <v>230</v>
          </cell>
          <cell r="CH34">
            <v>45</v>
          </cell>
          <cell r="CJ34">
            <v>275</v>
          </cell>
          <cell r="CL34">
            <v>1093</v>
          </cell>
          <cell r="CM34">
            <v>119</v>
          </cell>
          <cell r="CN34">
            <v>1212</v>
          </cell>
          <cell r="CP34">
            <v>1302</v>
          </cell>
          <cell r="CQ34">
            <v>15</v>
          </cell>
          <cell r="CR34">
            <v>1317</v>
          </cell>
          <cell r="CT34">
            <v>1302</v>
          </cell>
          <cell r="CU34">
            <v>15</v>
          </cell>
          <cell r="CW34">
            <v>1317</v>
          </cell>
          <cell r="CY34">
            <v>294</v>
          </cell>
          <cell r="CZ34">
            <v>91</v>
          </cell>
          <cell r="DA34">
            <v>385</v>
          </cell>
          <cell r="DC34">
            <v>41</v>
          </cell>
          <cell r="DD34">
            <v>5</v>
          </cell>
          <cell r="DE34">
            <v>46</v>
          </cell>
          <cell r="DJ34">
            <v>175</v>
          </cell>
          <cell r="DL34">
            <v>254</v>
          </cell>
          <cell r="DO34" t="str">
            <v>Year</v>
          </cell>
          <cell r="DR34">
            <v>384</v>
          </cell>
          <cell r="DT34">
            <v>8625</v>
          </cell>
          <cell r="DU34">
            <v>4358</v>
          </cell>
          <cell r="DV34">
            <v>12983</v>
          </cell>
          <cell r="DX34">
            <v>270</v>
          </cell>
          <cell r="DY34">
            <v>596</v>
          </cell>
          <cell r="DZ34">
            <v>866</v>
          </cell>
          <cell r="EB34">
            <v>158</v>
          </cell>
          <cell r="EC34">
            <v>302</v>
          </cell>
          <cell r="ED34">
            <v>460</v>
          </cell>
          <cell r="EF34">
            <v>428</v>
          </cell>
          <cell r="EG34">
            <v>898</v>
          </cell>
          <cell r="EH34">
            <v>1326</v>
          </cell>
          <cell r="EJ34">
            <v>9053</v>
          </cell>
          <cell r="EK34">
            <v>5256</v>
          </cell>
          <cell r="EL34">
            <v>14309</v>
          </cell>
        </row>
        <row r="36">
          <cell r="BZ36" t="str">
            <v>2000E/99</v>
          </cell>
          <cell r="DO36" t="str">
            <v>2000E/99</v>
          </cell>
        </row>
        <row r="37">
          <cell r="BZ37" t="str">
            <v>1QA</v>
          </cell>
          <cell r="CA37">
            <v>0.27049180327868849</v>
          </cell>
          <cell r="CB37">
            <v>-0.11111111111111116</v>
          </cell>
          <cell r="CC37">
            <v>0.24427480916030531</v>
          </cell>
          <cell r="CD37">
            <v>0.44444444444444442</v>
          </cell>
          <cell r="CE37">
            <v>0</v>
          </cell>
          <cell r="CF37">
            <v>0.38095238095238093</v>
          </cell>
          <cell r="CG37">
            <v>-0.25490196078431371</v>
          </cell>
          <cell r="CH37">
            <v>-9.9999999999999978E-2</v>
          </cell>
          <cell r="CJ37">
            <v>-0.22950819672131151</v>
          </cell>
          <cell r="CL37">
            <v>0.19383259911894268</v>
          </cell>
          <cell r="CM37">
            <v>-7.1428571428571397E-2</v>
          </cell>
          <cell r="CN37">
            <v>0.16470588235294126</v>
          </cell>
          <cell r="CP37">
            <v>0.51254480286738358</v>
          </cell>
          <cell r="CQ37">
            <v>0.33333333333333326</v>
          </cell>
          <cell r="CR37">
            <v>0.5106382978723405</v>
          </cell>
          <cell r="CW37">
            <v>0.5106382978723405</v>
          </cell>
          <cell r="CY37">
            <v>0</v>
          </cell>
          <cell r="CZ37">
            <v>-0.13043478260869568</v>
          </cell>
          <cell r="DA37">
            <v>-3.6144578313253017E-2</v>
          </cell>
          <cell r="DC37">
            <v>0.125</v>
          </cell>
          <cell r="DE37">
            <v>0.125</v>
          </cell>
          <cell r="DJ37">
            <v>-4.081632653061229E-2</v>
          </cell>
          <cell r="DL37">
            <v>0.43902439024390238</v>
          </cell>
          <cell r="DO37" t="str">
            <v>1QA</v>
          </cell>
          <cell r="DR37">
            <v>0.17777777777777781</v>
          </cell>
          <cell r="DT37">
            <v>0.19931271477663226</v>
          </cell>
          <cell r="DU37">
            <v>-4.4507575757575801E-2</v>
          </cell>
          <cell r="DV37">
            <v>0.11606854186873594</v>
          </cell>
          <cell r="DX37">
            <v>4.6153846153846212E-2</v>
          </cell>
          <cell r="DY37">
            <v>-6.4935064935064402E-3</v>
          </cell>
          <cell r="DZ37">
            <v>9.1324200913243114E-3</v>
          </cell>
          <cell r="EB37">
            <v>-2.5641025641025661E-2</v>
          </cell>
          <cell r="EC37">
            <v>-9.9999999999999978E-2</v>
          </cell>
          <cell r="ED37">
            <v>-7.5630252100840289E-2</v>
          </cell>
          <cell r="EF37">
            <v>1.9230769230769162E-2</v>
          </cell>
          <cell r="EG37">
            <v>-3.8461538461538436E-2</v>
          </cell>
          <cell r="EH37">
            <v>-2.0710059171597628E-2</v>
          </cell>
          <cell r="EJ37">
            <v>0.19056515646893968</v>
          </cell>
          <cell r="EK37">
            <v>-4.3410852713178349E-2</v>
          </cell>
          <cell r="EL37">
            <v>0.10259399591955698</v>
          </cell>
        </row>
        <row r="38">
          <cell r="BZ38" t="str">
            <v>2QA</v>
          </cell>
          <cell r="CA38">
            <v>0.51219512195121952</v>
          </cell>
          <cell r="CB38">
            <v>-0.11111111111111116</v>
          </cell>
          <cell r="CC38">
            <v>0.46969696969696972</v>
          </cell>
          <cell r="CD38">
            <v>0.12000000000000011</v>
          </cell>
          <cell r="CE38">
            <v>0</v>
          </cell>
          <cell r="CF38">
            <v>0.10714285714285721</v>
          </cell>
          <cell r="CG38">
            <v>-0.46969696969696972</v>
          </cell>
          <cell r="CH38">
            <v>-0.66666666666666674</v>
          </cell>
          <cell r="CJ38">
            <v>-0.5</v>
          </cell>
          <cell r="CL38">
            <v>0.15530303030303028</v>
          </cell>
          <cell r="CM38">
            <v>-0.30000000000000004</v>
          </cell>
          <cell r="CN38">
            <v>0.10884353741496589</v>
          </cell>
          <cell r="CP38">
            <v>0.38328530259366</v>
          </cell>
          <cell r="CQ38">
            <v>0.66666666666666674</v>
          </cell>
          <cell r="CR38">
            <v>0.38571428571428568</v>
          </cell>
          <cell r="CW38">
            <v>0.38571428571428568</v>
          </cell>
          <cell r="CY38">
            <v>-0.15853658536585369</v>
          </cell>
          <cell r="CZ38">
            <v>0.14999999999999991</v>
          </cell>
          <cell r="DA38">
            <v>-9.8039215686274495E-2</v>
          </cell>
          <cell r="DC38">
            <v>0</v>
          </cell>
          <cell r="DE38">
            <v>-0.15384615384615385</v>
          </cell>
          <cell r="DJ38">
            <v>-8.6956521739130488E-2</v>
          </cell>
          <cell r="DL38">
            <v>0.44680851063829796</v>
          </cell>
          <cell r="DO38" t="str">
            <v>2QA</v>
          </cell>
          <cell r="DR38">
            <v>0.18279569892473124</v>
          </cell>
          <cell r="DT38">
            <v>0.18345498783454994</v>
          </cell>
          <cell r="DU38">
            <v>-3.0965391621129323E-2</v>
          </cell>
          <cell r="DV38">
            <v>0.10878528385664454</v>
          </cell>
          <cell r="DX38">
            <v>6.7796610169491567E-2</v>
          </cell>
          <cell r="DY38">
            <v>0.15384615384615374</v>
          </cell>
          <cell r="DZ38">
            <v>0.12698412698412698</v>
          </cell>
          <cell r="EB38">
            <v>-6.0606060606060552E-2</v>
          </cell>
          <cell r="EC38">
            <v>8.3333333333333259E-2</v>
          </cell>
          <cell r="ED38">
            <v>3.2258064516129004E-2</v>
          </cell>
          <cell r="EF38">
            <v>2.1739130434782705E-2</v>
          </cell>
          <cell r="EG38">
            <v>0.13157894736842102</v>
          </cell>
          <cell r="EH38">
            <v>9.5744680851063801E-2</v>
          </cell>
          <cell r="EJ38">
            <v>0.17652538425710285</v>
          </cell>
          <cell r="EK38">
            <v>-6.9875776397515521E-3</v>
          </cell>
          <cell r="EL38">
            <v>0.10771470160116459</v>
          </cell>
        </row>
        <row r="39">
          <cell r="BZ39" t="str">
            <v>3QA</v>
          </cell>
          <cell r="CA39">
            <v>0.13698630136986312</v>
          </cell>
          <cell r="CB39">
            <v>0</v>
          </cell>
          <cell r="CC39">
            <v>0.12903225806451624</v>
          </cell>
          <cell r="CD39">
            <v>0.16883116883116878</v>
          </cell>
          <cell r="CE39">
            <v>0</v>
          </cell>
          <cell r="CF39">
            <v>0.15116279069767447</v>
          </cell>
          <cell r="CG39">
            <v>-9.9999999999999978E-2</v>
          </cell>
          <cell r="CH39">
            <v>-0.36363636363636365</v>
          </cell>
          <cell r="CJ39">
            <v>-0.14754098360655743</v>
          </cell>
          <cell r="CL39">
            <v>0.10256410256410264</v>
          </cell>
          <cell r="CM39">
            <v>-0.13793103448275867</v>
          </cell>
          <cell r="CN39">
            <v>7.9470198675496651E-2</v>
          </cell>
          <cell r="CP39">
            <v>0.24709302325581395</v>
          </cell>
          <cell r="CQ39">
            <v>0.19999999999999996</v>
          </cell>
          <cell r="CR39">
            <v>0.24641833810888247</v>
          </cell>
          <cell r="CW39">
            <v>0.40114613180515768</v>
          </cell>
          <cell r="CY39">
            <v>0.10606060606060597</v>
          </cell>
          <cell r="CZ39">
            <v>-8.6956521739130488E-2</v>
          </cell>
          <cell r="DA39">
            <v>5.6179775280898792E-2</v>
          </cell>
          <cell r="DC39">
            <v>-1</v>
          </cell>
          <cell r="DE39" t="str">
            <v>NM</v>
          </cell>
          <cell r="DJ39">
            <v>5.7142857142857162E-2</v>
          </cell>
          <cell r="DL39">
            <v>-9.8765432098765427E-2</v>
          </cell>
          <cell r="DO39" t="str">
            <v>3QA</v>
          </cell>
          <cell r="DR39">
            <v>-5.1724137931034475E-2</v>
          </cell>
          <cell r="DT39">
            <v>0.17564508827523762</v>
          </cell>
          <cell r="DU39">
            <v>1.0794896957801781E-2</v>
          </cell>
          <cell r="DV39">
            <v>0.12360594795539037</v>
          </cell>
          <cell r="DX39">
            <v>-0.11428571428571432</v>
          </cell>
          <cell r="DY39">
            <v>1.4925373134328401E-2</v>
          </cell>
          <cell r="DZ39">
            <v>-2.9411764705882359E-2</v>
          </cell>
          <cell r="EB39">
            <v>-0.19999999999999996</v>
          </cell>
          <cell r="EC39">
            <v>-0.11842105263157898</v>
          </cell>
          <cell r="ED39">
            <v>-0.14655172413793105</v>
          </cell>
          <cell r="EF39">
            <v>-0.1454545454545455</v>
          </cell>
          <cell r="EG39">
            <v>-3.3333333333333326E-2</v>
          </cell>
          <cell r="EH39">
            <v>-7.1875000000000022E-2</v>
          </cell>
          <cell r="EJ39">
            <v>0.16041397153945658</v>
          </cell>
          <cell r="EK39">
            <v>3.2546786004881145E-3</v>
          </cell>
          <cell r="EL39">
            <v>0.1059751972942502</v>
          </cell>
        </row>
        <row r="40">
          <cell r="BZ40" t="str">
            <v>4QA</v>
          </cell>
          <cell r="CA40">
            <v>-3.9548022598870025E-2</v>
          </cell>
          <cell r="CB40">
            <v>-0.30000000000000004</v>
          </cell>
          <cell r="CC40">
            <v>-5.3475935828876997E-2</v>
          </cell>
          <cell r="CD40">
            <v>-0.1797752808988764</v>
          </cell>
          <cell r="CE40">
            <v>-9.9999999999999978E-2</v>
          </cell>
          <cell r="CF40">
            <v>-0.17171717171717171</v>
          </cell>
          <cell r="CG40">
            <v>-0.31746031746031744</v>
          </cell>
          <cell r="CH40">
            <v>-0.5</v>
          </cell>
          <cell r="CJ40">
            <v>-0.34666666666666668</v>
          </cell>
          <cell r="CL40">
            <v>-0.1306990881458967</v>
          </cell>
          <cell r="CM40">
            <v>-0.3125</v>
          </cell>
          <cell r="CN40">
            <v>-0.14681440443213301</v>
          </cell>
          <cell r="CP40">
            <v>0.14457831325301207</v>
          </cell>
          <cell r="CQ40">
            <v>0.5</v>
          </cell>
          <cell r="CR40">
            <v>0.14880952380952372</v>
          </cell>
          <cell r="CW40">
            <v>0.46428571428571419</v>
          </cell>
          <cell r="DA40">
            <v>0.25225225225225234</v>
          </cell>
          <cell r="DE40" t="str">
            <v>NM</v>
          </cell>
          <cell r="DJ40">
            <v>-0.11111111111111116</v>
          </cell>
          <cell r="DL40">
            <v>-0.3294117647058824</v>
          </cell>
          <cell r="DO40" t="str">
            <v>4QA</v>
          </cell>
          <cell r="DR40">
            <v>0.14117647058823524</v>
          </cell>
          <cell r="DT40">
            <v>0.17168674698795172</v>
          </cell>
          <cell r="DU40">
            <v>-0.10042194092827006</v>
          </cell>
          <cell r="DV40">
            <v>7.9908805927614734E-2</v>
          </cell>
          <cell r="DX40">
            <v>-0.19736842105263153</v>
          </cell>
          <cell r="DY40">
            <v>-5.6179775280898903E-2</v>
          </cell>
          <cell r="DZ40">
            <v>-9.8425196850393748E-2</v>
          </cell>
          <cell r="EB40">
            <v>-0.21739130434782605</v>
          </cell>
          <cell r="EC40">
            <v>-0.12790697674418605</v>
          </cell>
          <cell r="ED40">
            <v>-0.15909090909090906</v>
          </cell>
          <cell r="EF40">
            <v>-0.20491803278688525</v>
          </cell>
          <cell r="EG40">
            <v>-7.9545454545454586E-2</v>
          </cell>
          <cell r="EH40">
            <v>-0.11917098445595853</v>
          </cell>
          <cell r="EJ40">
            <v>0.15290269828291092</v>
          </cell>
          <cell r="EK40">
            <v>-9.661835748792269E-2</v>
          </cell>
          <cell r="EL40">
            <v>6.0179717586649417E-2</v>
          </cell>
        </row>
        <row r="42">
          <cell r="BZ42" t="str">
            <v>Year</v>
          </cell>
          <cell r="CA42">
            <v>0.19190140845070422</v>
          </cell>
          <cell r="CB42">
            <v>-0.13513513513513514</v>
          </cell>
          <cell r="CC42">
            <v>0.17190082644628099</v>
          </cell>
          <cell r="CD42">
            <v>0.10169491525423729</v>
          </cell>
          <cell r="CE42">
            <v>-5.4054054054054057E-2</v>
          </cell>
          <cell r="CF42">
            <v>8.7349397590361449E-2</v>
          </cell>
          <cell r="CG42">
            <v>-0.3</v>
          </cell>
          <cell r="CH42">
            <v>-0.42222222222222222</v>
          </cell>
          <cell r="CJ42">
            <v>-0.32</v>
          </cell>
          <cell r="CL42">
            <v>6.4043915827996345E-2</v>
          </cell>
          <cell r="CM42">
            <v>-0.21848739495798319</v>
          </cell>
          <cell r="CN42">
            <v>3.6303630363036306E-2</v>
          </cell>
          <cell r="CP42">
            <v>0.31413210445468509</v>
          </cell>
          <cell r="CQ42">
            <v>0.4</v>
          </cell>
          <cell r="CR42">
            <v>0.31511009870918755</v>
          </cell>
          <cell r="CW42">
            <v>0.43659832953682615</v>
          </cell>
          <cell r="DA42">
            <v>5.1948051948051951E-2</v>
          </cell>
          <cell r="DE42">
            <v>-0.56521739130434778</v>
          </cell>
          <cell r="DJ42">
            <v>-5.1428571428571428E-2</v>
          </cell>
          <cell r="DL42">
            <v>1.1811023622047244E-2</v>
          </cell>
          <cell r="DO42" t="str">
            <v>Year</v>
          </cell>
          <cell r="DR42">
            <v>0.1015625</v>
          </cell>
          <cell r="DT42">
            <v>0.18202898550724639</v>
          </cell>
          <cell r="DU42">
            <v>-4.3368517668655349E-2</v>
          </cell>
          <cell r="DV42">
            <v>0.10640067780944309</v>
          </cell>
          <cell r="DX42">
            <v>-5.9259259259259262E-2</v>
          </cell>
          <cell r="DY42">
            <v>1.8456375838926176E-2</v>
          </cell>
          <cell r="DZ42">
            <v>-5.7736720554272519E-3</v>
          </cell>
          <cell r="EB42">
            <v>-0.13291139240506328</v>
          </cell>
          <cell r="EC42">
            <v>-7.6158940397350994E-2</v>
          </cell>
          <cell r="ED42">
            <v>-9.5652173913043481E-2</v>
          </cell>
          <cell r="EF42">
            <v>-8.6448598130841117E-2</v>
          </cell>
          <cell r="EG42">
            <v>-1.3363028953229399E-2</v>
          </cell>
          <cell r="EH42">
            <v>-3.6953242835595777E-2</v>
          </cell>
          <cell r="EJ42">
            <v>0.16933613166905997</v>
          </cell>
          <cell r="EK42">
            <v>-3.8242009132420089E-2</v>
          </cell>
          <cell r="EL42">
            <v>9.3116220560486379E-2</v>
          </cell>
        </row>
        <row r="43">
          <cell r="CC43" t="str">
            <v xml:space="preserve"> </v>
          </cell>
        </row>
        <row r="44">
          <cell r="BZ44" t="str">
            <v>2000</v>
          </cell>
          <cell r="CC44" t="str">
            <v xml:space="preserve"> </v>
          </cell>
          <cell r="DO44" t="str">
            <v>2000</v>
          </cell>
        </row>
        <row r="45">
          <cell r="BZ45" t="str">
            <v>1QA</v>
          </cell>
          <cell r="CA45">
            <v>155</v>
          </cell>
          <cell r="CB45">
            <v>8</v>
          </cell>
          <cell r="CC45">
            <v>163</v>
          </cell>
          <cell r="CD45">
            <v>78</v>
          </cell>
          <cell r="CE45">
            <v>9</v>
          </cell>
          <cell r="CF45">
            <v>87</v>
          </cell>
          <cell r="CG45">
            <v>38</v>
          </cell>
          <cell r="CH45">
            <v>9</v>
          </cell>
          <cell r="CJ45">
            <v>47</v>
          </cell>
          <cell r="CL45">
            <v>271</v>
          </cell>
          <cell r="CM45">
            <v>26</v>
          </cell>
          <cell r="CN45">
            <v>297</v>
          </cell>
          <cell r="CP45">
            <v>422</v>
          </cell>
          <cell r="CQ45">
            <v>4</v>
          </cell>
          <cell r="CR45">
            <v>426</v>
          </cell>
          <cell r="CS45">
            <v>0</v>
          </cell>
          <cell r="CV45">
            <v>0</v>
          </cell>
          <cell r="CW45">
            <v>426</v>
          </cell>
          <cell r="CY45">
            <v>60</v>
          </cell>
          <cell r="CZ45">
            <v>20</v>
          </cell>
          <cell r="DA45">
            <v>80</v>
          </cell>
          <cell r="DC45">
            <v>9</v>
          </cell>
          <cell r="DD45">
            <v>0</v>
          </cell>
          <cell r="DE45">
            <v>9</v>
          </cell>
          <cell r="DJ45">
            <v>47</v>
          </cell>
          <cell r="DL45">
            <v>59</v>
          </cell>
          <cell r="DO45" t="str">
            <v>1QA</v>
          </cell>
          <cell r="DR45">
            <v>106</v>
          </cell>
          <cell r="DT45">
            <v>2443</v>
          </cell>
          <cell r="DU45">
            <v>1009</v>
          </cell>
          <cell r="DV45">
            <v>3452</v>
          </cell>
          <cell r="DX45">
            <v>68</v>
          </cell>
          <cell r="DY45">
            <v>153</v>
          </cell>
          <cell r="DZ45">
            <v>221</v>
          </cell>
          <cell r="EB45">
            <v>38</v>
          </cell>
          <cell r="EC45">
            <v>72</v>
          </cell>
          <cell r="ED45">
            <v>110</v>
          </cell>
          <cell r="EF45">
            <v>106</v>
          </cell>
          <cell r="EG45">
            <v>225</v>
          </cell>
          <cell r="EH45">
            <v>331</v>
          </cell>
          <cell r="EJ45">
            <v>2549</v>
          </cell>
          <cell r="EK45">
            <v>1234</v>
          </cell>
          <cell r="EL45">
            <v>3783</v>
          </cell>
        </row>
        <row r="46">
          <cell r="BZ46" t="str">
            <v>2QA</v>
          </cell>
          <cell r="CA46">
            <v>186</v>
          </cell>
          <cell r="CB46">
            <v>8</v>
          </cell>
          <cell r="CC46">
            <v>194</v>
          </cell>
          <cell r="CD46">
            <v>84</v>
          </cell>
          <cell r="CE46">
            <v>9</v>
          </cell>
          <cell r="CF46">
            <v>93</v>
          </cell>
          <cell r="CG46">
            <v>35</v>
          </cell>
          <cell r="CH46">
            <v>4</v>
          </cell>
          <cell r="CJ46">
            <v>39</v>
          </cell>
          <cell r="CL46">
            <v>305</v>
          </cell>
          <cell r="CM46">
            <v>21</v>
          </cell>
          <cell r="CN46">
            <v>326</v>
          </cell>
          <cell r="CP46">
            <v>480</v>
          </cell>
          <cell r="CQ46">
            <v>5</v>
          </cell>
          <cell r="CR46">
            <v>485</v>
          </cell>
          <cell r="CS46">
            <v>0</v>
          </cell>
          <cell r="CV46">
            <v>0</v>
          </cell>
          <cell r="CW46">
            <v>485</v>
          </cell>
          <cell r="CY46">
            <v>69</v>
          </cell>
          <cell r="CZ46">
            <v>23</v>
          </cell>
          <cell r="DA46">
            <v>92</v>
          </cell>
          <cell r="DC46">
            <v>11</v>
          </cell>
          <cell r="DD46">
            <v>0</v>
          </cell>
          <cell r="DE46">
            <v>11</v>
          </cell>
          <cell r="DJ46">
            <v>42</v>
          </cell>
          <cell r="DL46">
            <v>68</v>
          </cell>
          <cell r="DO46" t="str">
            <v>2QA</v>
          </cell>
          <cell r="DR46">
            <v>110</v>
          </cell>
          <cell r="DT46">
            <v>2432</v>
          </cell>
          <cell r="DU46">
            <v>1064</v>
          </cell>
          <cell r="DV46">
            <v>3496</v>
          </cell>
          <cell r="DX46">
            <v>63</v>
          </cell>
          <cell r="DY46">
            <v>150</v>
          </cell>
          <cell r="DZ46">
            <v>213</v>
          </cell>
          <cell r="EB46">
            <v>31</v>
          </cell>
          <cell r="EC46">
            <v>65</v>
          </cell>
          <cell r="ED46">
            <v>96</v>
          </cell>
          <cell r="EF46">
            <v>94</v>
          </cell>
          <cell r="EG46">
            <v>215</v>
          </cell>
          <cell r="EH46">
            <v>309</v>
          </cell>
          <cell r="EJ46">
            <v>2526</v>
          </cell>
          <cell r="EK46">
            <v>1279</v>
          </cell>
          <cell r="EL46">
            <v>3805</v>
          </cell>
        </row>
        <row r="47">
          <cell r="BZ47" t="str">
            <v>3QA</v>
          </cell>
          <cell r="CA47">
            <v>166</v>
          </cell>
          <cell r="CB47">
            <v>9</v>
          </cell>
          <cell r="CC47">
            <v>175</v>
          </cell>
          <cell r="CD47">
            <v>90</v>
          </cell>
          <cell r="CE47">
            <v>9</v>
          </cell>
          <cell r="CF47">
            <v>99</v>
          </cell>
          <cell r="CG47">
            <v>45</v>
          </cell>
          <cell r="CH47">
            <v>7</v>
          </cell>
          <cell r="CJ47">
            <v>52</v>
          </cell>
          <cell r="CL47">
            <v>301</v>
          </cell>
          <cell r="CM47">
            <v>25</v>
          </cell>
          <cell r="CN47">
            <v>326</v>
          </cell>
          <cell r="CP47">
            <v>429</v>
          </cell>
          <cell r="CQ47">
            <v>6</v>
          </cell>
          <cell r="CR47">
            <v>435</v>
          </cell>
          <cell r="CS47">
            <v>54</v>
          </cell>
          <cell r="CV47">
            <v>0</v>
          </cell>
          <cell r="CW47">
            <v>489</v>
          </cell>
          <cell r="CY47">
            <v>73</v>
          </cell>
          <cell r="CZ47">
            <v>21</v>
          </cell>
          <cell r="DA47">
            <v>94</v>
          </cell>
          <cell r="DC47">
            <v>0</v>
          </cell>
          <cell r="DD47">
            <v>0</v>
          </cell>
          <cell r="DE47">
            <v>0</v>
          </cell>
          <cell r="DJ47">
            <v>37</v>
          </cell>
          <cell r="DL47">
            <v>73</v>
          </cell>
          <cell r="DO47" t="str">
            <v>3QA</v>
          </cell>
          <cell r="DR47">
            <v>110</v>
          </cell>
          <cell r="DT47">
            <v>2597</v>
          </cell>
          <cell r="DU47">
            <v>1030</v>
          </cell>
          <cell r="DV47">
            <v>3627</v>
          </cell>
          <cell r="DX47">
            <v>62</v>
          </cell>
          <cell r="DY47">
            <v>136</v>
          </cell>
          <cell r="DZ47">
            <v>198</v>
          </cell>
          <cell r="EB47">
            <v>32</v>
          </cell>
          <cell r="EC47">
            <v>67</v>
          </cell>
          <cell r="ED47">
            <v>99</v>
          </cell>
          <cell r="EF47">
            <v>94</v>
          </cell>
          <cell r="EG47">
            <v>203</v>
          </cell>
          <cell r="EH47">
            <v>297</v>
          </cell>
          <cell r="EJ47">
            <v>2691</v>
          </cell>
          <cell r="EK47">
            <v>1233</v>
          </cell>
          <cell r="EL47">
            <v>3924</v>
          </cell>
        </row>
        <row r="48">
          <cell r="BZ48" t="str">
            <v>4QA</v>
          </cell>
          <cell r="CA48">
            <v>170</v>
          </cell>
          <cell r="CB48">
            <v>7</v>
          </cell>
          <cell r="CC48">
            <v>177</v>
          </cell>
          <cell r="CD48">
            <v>73</v>
          </cell>
          <cell r="CE48">
            <v>9</v>
          </cell>
          <cell r="CF48">
            <v>82</v>
          </cell>
          <cell r="CG48">
            <v>43</v>
          </cell>
          <cell r="CH48">
            <v>6</v>
          </cell>
          <cell r="CJ48">
            <v>49</v>
          </cell>
          <cell r="CL48">
            <v>286</v>
          </cell>
          <cell r="CM48">
            <v>22</v>
          </cell>
          <cell r="CN48">
            <v>308</v>
          </cell>
          <cell r="CP48">
            <v>380</v>
          </cell>
          <cell r="CQ48">
            <v>6</v>
          </cell>
          <cell r="CR48">
            <v>386</v>
          </cell>
          <cell r="CS48">
            <v>56</v>
          </cell>
          <cell r="CV48">
            <v>50</v>
          </cell>
          <cell r="CW48">
            <v>492</v>
          </cell>
          <cell r="CY48">
            <v>118</v>
          </cell>
          <cell r="CZ48">
            <v>21</v>
          </cell>
          <cell r="DA48">
            <v>139</v>
          </cell>
          <cell r="DC48">
            <v>0</v>
          </cell>
          <cell r="DD48">
            <v>0</v>
          </cell>
          <cell r="DE48">
            <v>0</v>
          </cell>
          <cell r="DJ48">
            <v>40</v>
          </cell>
          <cell r="DL48">
            <v>57</v>
          </cell>
          <cell r="DO48" t="str">
            <v>4QA</v>
          </cell>
          <cell r="DR48">
            <v>97</v>
          </cell>
          <cell r="DT48">
            <v>2723</v>
          </cell>
          <cell r="DU48">
            <v>1066</v>
          </cell>
          <cell r="DV48">
            <v>3789.4</v>
          </cell>
          <cell r="DX48">
            <v>61</v>
          </cell>
          <cell r="DY48">
            <v>168</v>
          </cell>
          <cell r="DZ48">
            <v>229</v>
          </cell>
          <cell r="EB48">
            <v>36</v>
          </cell>
          <cell r="EC48">
            <v>75</v>
          </cell>
          <cell r="ED48">
            <v>111</v>
          </cell>
          <cell r="EF48">
            <v>97</v>
          </cell>
          <cell r="EG48">
            <v>243</v>
          </cell>
          <cell r="EH48">
            <v>340</v>
          </cell>
          <cell r="EJ48">
            <v>2820</v>
          </cell>
          <cell r="EK48">
            <v>1309</v>
          </cell>
          <cell r="EL48">
            <v>4129.3999999999996</v>
          </cell>
        </row>
        <row r="50">
          <cell r="BZ50" t="str">
            <v>Year</v>
          </cell>
          <cell r="CA50">
            <v>677</v>
          </cell>
          <cell r="CB50">
            <v>32</v>
          </cell>
          <cell r="CC50">
            <v>709</v>
          </cell>
          <cell r="CD50">
            <v>325</v>
          </cell>
          <cell r="CE50">
            <v>35</v>
          </cell>
          <cell r="CF50">
            <v>361</v>
          </cell>
          <cell r="CG50">
            <v>161</v>
          </cell>
          <cell r="CH50">
            <v>26</v>
          </cell>
          <cell r="CJ50">
            <v>187</v>
          </cell>
          <cell r="CK50">
            <v>0</v>
          </cell>
          <cell r="CL50">
            <v>1163</v>
          </cell>
          <cell r="CM50">
            <v>93</v>
          </cell>
          <cell r="CN50">
            <v>1256</v>
          </cell>
          <cell r="CP50">
            <v>1711</v>
          </cell>
          <cell r="CQ50">
            <v>21</v>
          </cell>
          <cell r="CR50">
            <v>1732</v>
          </cell>
          <cell r="CS50">
            <v>110</v>
          </cell>
          <cell r="CV50">
            <v>50</v>
          </cell>
          <cell r="CW50">
            <v>1892</v>
          </cell>
          <cell r="CY50">
            <v>320</v>
          </cell>
          <cell r="CZ50">
            <v>85</v>
          </cell>
          <cell r="DA50">
            <v>405</v>
          </cell>
          <cell r="DC50">
            <v>20</v>
          </cell>
          <cell r="DD50">
            <v>0</v>
          </cell>
          <cell r="DE50">
            <v>20</v>
          </cell>
          <cell r="DJ50">
            <v>166</v>
          </cell>
          <cell r="DL50">
            <v>257</v>
          </cell>
          <cell r="DO50" t="str">
            <v>Year</v>
          </cell>
          <cell r="DR50">
            <v>423</v>
          </cell>
          <cell r="DT50">
            <v>10195</v>
          </cell>
          <cell r="DU50">
            <v>4169</v>
          </cell>
          <cell r="DV50">
            <v>14364.4</v>
          </cell>
          <cell r="DX50">
            <v>254</v>
          </cell>
          <cell r="DY50">
            <v>607</v>
          </cell>
          <cell r="DZ50">
            <v>861</v>
          </cell>
          <cell r="EB50">
            <v>137</v>
          </cell>
          <cell r="EC50">
            <v>279</v>
          </cell>
          <cell r="ED50">
            <v>416</v>
          </cell>
          <cell r="EF50">
            <v>391</v>
          </cell>
          <cell r="EG50">
            <v>886</v>
          </cell>
          <cell r="EH50">
            <v>1277</v>
          </cell>
          <cell r="EJ50">
            <v>10586</v>
          </cell>
          <cell r="EK50">
            <v>5055</v>
          </cell>
          <cell r="EL50">
            <v>15641.4</v>
          </cell>
        </row>
        <row r="52">
          <cell r="BZ52" t="str">
            <v>2001/00</v>
          </cell>
          <cell r="DO52" t="str">
            <v>2001/00</v>
          </cell>
        </row>
        <row r="53">
          <cell r="BZ53" t="str">
            <v>1QA</v>
          </cell>
          <cell r="CC53">
            <v>0.24539877300613488</v>
          </cell>
          <cell r="CF53">
            <v>0.10344827586206895</v>
          </cell>
          <cell r="CJ53">
            <v>-0.34042553191489366</v>
          </cell>
          <cell r="CK53" t="e">
            <v>#DIV/0!</v>
          </cell>
          <cell r="CN53">
            <v>0.11111111111111116</v>
          </cell>
          <cell r="CR53">
            <v>0.21830985915492951</v>
          </cell>
          <cell r="CS53" t="str">
            <v>NM</v>
          </cell>
          <cell r="CW53">
            <v>0.30751173708920199</v>
          </cell>
          <cell r="DA53">
            <v>0.22500000000000009</v>
          </cell>
          <cell r="DJ53">
            <v>-1</v>
          </cell>
          <cell r="DL53">
            <v>-1</v>
          </cell>
          <cell r="DO53" t="str">
            <v>1QA</v>
          </cell>
          <cell r="DR53">
            <v>-0.24528301886792447</v>
          </cell>
          <cell r="DT53">
            <v>-1</v>
          </cell>
          <cell r="DU53">
            <v>-1</v>
          </cell>
          <cell r="DV53">
            <v>7.8505214368482124E-2</v>
          </cell>
          <cell r="DX53">
            <v>-1</v>
          </cell>
          <cell r="DY53">
            <v>-1</v>
          </cell>
          <cell r="DZ53">
            <v>-8.5972850678733059E-2</v>
          </cell>
          <cell r="EA53" t="e">
            <v>#DIV/0!</v>
          </cell>
          <cell r="EB53">
            <v>-1</v>
          </cell>
          <cell r="EC53">
            <v>-1</v>
          </cell>
          <cell r="ED53">
            <v>-0.15454545454545454</v>
          </cell>
          <cell r="EF53">
            <v>-1</v>
          </cell>
          <cell r="EG53">
            <v>-1</v>
          </cell>
          <cell r="EH53">
            <v>-0.10876132930513593</v>
          </cell>
          <cell r="EJ53">
            <v>-1</v>
          </cell>
          <cell r="EK53">
            <v>-1</v>
          </cell>
          <cell r="EL53">
            <v>6.2120010573618822E-2</v>
          </cell>
        </row>
        <row r="54">
          <cell r="BZ54" t="str">
            <v>2QA</v>
          </cell>
          <cell r="CC54">
            <v>-0.54123711340206193</v>
          </cell>
          <cell r="CF54">
            <v>1.0752688172043001E-2</v>
          </cell>
          <cell r="CJ54">
            <v>-0.38461538461538458</v>
          </cell>
          <cell r="CK54" t="e">
            <v>#DIV/0!</v>
          </cell>
          <cell r="CN54">
            <v>-0.36503067484662577</v>
          </cell>
          <cell r="CR54">
            <v>6.5979381443298957E-2</v>
          </cell>
          <cell r="CS54" t="str">
            <v>NM</v>
          </cell>
          <cell r="CW54">
            <v>0.57319587628865976</v>
          </cell>
          <cell r="DA54">
            <v>-8.6956521739130488E-2</v>
          </cell>
          <cell r="DJ54">
            <v>-1</v>
          </cell>
          <cell r="DL54">
            <v>-1</v>
          </cell>
          <cell r="DO54" t="str">
            <v>2QA</v>
          </cell>
          <cell r="DR54">
            <v>-1.8181818181818188E-2</v>
          </cell>
          <cell r="DV54">
            <v>8.4954233409610946E-2</v>
          </cell>
          <cell r="DZ54">
            <v>-2.3474178403755874E-2</v>
          </cell>
          <cell r="EA54" t="e">
            <v>#DIV/0!</v>
          </cell>
          <cell r="EB54">
            <v>-1</v>
          </cell>
          <cell r="EC54">
            <v>-1</v>
          </cell>
          <cell r="ED54">
            <v>-0.10416666666666663</v>
          </cell>
          <cell r="EF54">
            <v>-1</v>
          </cell>
          <cell r="EG54">
            <v>-1</v>
          </cell>
          <cell r="EH54">
            <v>-4.8543689320388328E-2</v>
          </cell>
          <cell r="EJ54">
            <v>-1</v>
          </cell>
          <cell r="EK54">
            <v>-1</v>
          </cell>
          <cell r="EL54">
            <v>7.411300919842323E-2</v>
          </cell>
        </row>
        <row r="55">
          <cell r="BZ55" t="str">
            <v>3QA</v>
          </cell>
          <cell r="CC55">
            <v>-0.84</v>
          </cell>
          <cell r="CF55">
            <v>-2.0202020202020221E-2</v>
          </cell>
          <cell r="CJ55">
            <v>-0.34615384615384615</v>
          </cell>
          <cell r="CK55" t="e">
            <v>#DIV/0!</v>
          </cell>
          <cell r="CN55">
            <v>-0.51226993865030668</v>
          </cell>
          <cell r="CR55">
            <v>0.16091954022988508</v>
          </cell>
          <cell r="CS55">
            <v>0.7592592592592593</v>
          </cell>
          <cell r="CW55">
            <v>0.4355828220858895</v>
          </cell>
          <cell r="DA55">
            <v>-9.5744680851063801E-2</v>
          </cell>
          <cell r="DJ55">
            <v>-1</v>
          </cell>
          <cell r="DL55">
            <v>-1</v>
          </cell>
          <cell r="DO55" t="str">
            <v>3QA</v>
          </cell>
          <cell r="DR55">
            <v>-0.30000000000000004</v>
          </cell>
          <cell r="DV55">
            <v>5.7071960297766733E-2</v>
          </cell>
          <cell r="DZ55">
            <v>-5.0505050505050497E-2</v>
          </cell>
          <cell r="EA55" t="e">
            <v>#DIV/0!</v>
          </cell>
          <cell r="EB55">
            <v>-1</v>
          </cell>
          <cell r="EC55">
            <v>-1</v>
          </cell>
          <cell r="ED55">
            <v>-0.10101010101010099</v>
          </cell>
          <cell r="EF55">
            <v>-1</v>
          </cell>
          <cell r="EG55">
            <v>-1</v>
          </cell>
          <cell r="EH55">
            <v>-6.7340067340067367E-2</v>
          </cell>
          <cell r="EJ55">
            <v>-1</v>
          </cell>
          <cell r="EK55">
            <v>-1</v>
          </cell>
          <cell r="EL55">
            <v>4.7655453618756338E-2</v>
          </cell>
        </row>
        <row r="56">
          <cell r="BZ56" t="str">
            <v>4QA</v>
          </cell>
          <cell r="CC56">
            <v>-0.89830508474576276</v>
          </cell>
          <cell r="CF56">
            <v>0.48780487804878048</v>
          </cell>
          <cell r="CJ56">
            <v>-0.67346938775510201</v>
          </cell>
          <cell r="CN56">
            <v>-0.4935064935064935</v>
          </cell>
          <cell r="CR56">
            <v>0.31606217616580312</v>
          </cell>
          <cell r="CS56">
            <v>0.3392857142857143</v>
          </cell>
          <cell r="CW56">
            <v>0.34146341463414642</v>
          </cell>
          <cell r="DA56">
            <v>-1</v>
          </cell>
          <cell r="DJ56">
            <v>-1</v>
          </cell>
          <cell r="DL56">
            <v>-1</v>
          </cell>
          <cell r="DO56" t="str">
            <v>4QA</v>
          </cell>
          <cell r="DR56">
            <v>0.63917525773195871</v>
          </cell>
          <cell r="DV56">
            <v>3.8950757375837863E-2</v>
          </cell>
          <cell r="DZ56">
            <v>-8.7336244541484712E-3</v>
          </cell>
          <cell r="ED56">
            <v>-6.3063063063063057E-2</v>
          </cell>
          <cell r="EH56">
            <v>-2.6470588235294117E-2</v>
          </cell>
          <cell r="EL56">
            <v>3.3564198188599015E-2</v>
          </cell>
        </row>
        <row r="58">
          <cell r="BZ58" t="str">
            <v>Year</v>
          </cell>
          <cell r="CC58">
            <v>-0.52327221438645988</v>
          </cell>
          <cell r="CF58">
            <v>0.13296398891966765</v>
          </cell>
          <cell r="CJ58">
            <v>-0.3</v>
          </cell>
          <cell r="CN58">
            <v>-0.321656050955414</v>
          </cell>
          <cell r="CR58">
            <v>0.18302540415704383</v>
          </cell>
          <cell r="CS58">
            <v>1.9909090909090907</v>
          </cell>
          <cell r="CW58">
            <v>0.41754756871035942</v>
          </cell>
          <cell r="DA58">
            <v>-0.34074074074074079</v>
          </cell>
          <cell r="DO58" t="str">
            <v>Year</v>
          </cell>
          <cell r="DR58">
            <v>2.3640661938533203E-3</v>
          </cell>
          <cell r="DV58">
            <v>6.4228230904179812E-2</v>
          </cell>
          <cell r="DZ58">
            <v>-4.181184668989546E-2</v>
          </cell>
          <cell r="ED58">
            <v>-0.10576923076923073</v>
          </cell>
          <cell r="EH58">
            <v>-6.2646828504306917E-2</v>
          </cell>
          <cell r="EL58">
            <v>5.3869858196836623E-2</v>
          </cell>
        </row>
        <row r="59">
          <cell r="CC59" t="str">
            <v xml:space="preserve"> </v>
          </cell>
        </row>
        <row r="60">
          <cell r="BZ60" t="str">
            <v>2001</v>
          </cell>
          <cell r="CC60" t="str">
            <v xml:space="preserve"> </v>
          </cell>
          <cell r="DO60" t="str">
            <v>2001</v>
          </cell>
        </row>
        <row r="61">
          <cell r="BZ61" t="str">
            <v>1QA</v>
          </cell>
          <cell r="CC61">
            <v>203</v>
          </cell>
          <cell r="CF61">
            <v>96</v>
          </cell>
          <cell r="CJ61">
            <v>31</v>
          </cell>
          <cell r="CN61">
            <v>330</v>
          </cell>
          <cell r="CR61">
            <v>519</v>
          </cell>
          <cell r="CS61">
            <v>24</v>
          </cell>
          <cell r="CV61">
            <v>14</v>
          </cell>
          <cell r="CW61">
            <v>557</v>
          </cell>
          <cell r="DA61">
            <v>98</v>
          </cell>
          <cell r="DO61" t="str">
            <v>1QA</v>
          </cell>
          <cell r="DR61">
            <v>80</v>
          </cell>
          <cell r="DV61">
            <v>3723</v>
          </cell>
          <cell r="DZ61">
            <v>202</v>
          </cell>
          <cell r="ED61">
            <v>93</v>
          </cell>
          <cell r="EH61">
            <v>295</v>
          </cell>
          <cell r="EJ61">
            <v>0</v>
          </cell>
          <cell r="EK61">
            <v>0</v>
          </cell>
          <cell r="EL61">
            <v>4018</v>
          </cell>
        </row>
        <row r="62">
          <cell r="BZ62" t="str">
            <v>2QA</v>
          </cell>
          <cell r="CC62">
            <v>89</v>
          </cell>
          <cell r="CF62">
            <v>94</v>
          </cell>
          <cell r="CJ62">
            <v>24</v>
          </cell>
          <cell r="CN62">
            <v>207</v>
          </cell>
          <cell r="CR62">
            <v>517</v>
          </cell>
          <cell r="CS62">
            <v>135</v>
          </cell>
          <cell r="CV62">
            <v>111</v>
          </cell>
          <cell r="CW62">
            <v>763</v>
          </cell>
          <cell r="DA62">
            <v>84</v>
          </cell>
          <cell r="DO62" t="str">
            <v>2QA</v>
          </cell>
          <cell r="DR62">
            <v>108</v>
          </cell>
          <cell r="DV62">
            <v>3793</v>
          </cell>
          <cell r="DZ62">
            <v>208</v>
          </cell>
          <cell r="ED62">
            <v>86</v>
          </cell>
          <cell r="EH62">
            <v>294</v>
          </cell>
          <cell r="EJ62">
            <v>0</v>
          </cell>
          <cell r="EK62">
            <v>0</v>
          </cell>
          <cell r="EL62">
            <v>4087</v>
          </cell>
        </row>
        <row r="63">
          <cell r="BZ63" t="str">
            <v>3QA</v>
          </cell>
          <cell r="CC63">
            <v>28</v>
          </cell>
          <cell r="CF63">
            <v>97</v>
          </cell>
          <cell r="CJ63">
            <v>34</v>
          </cell>
          <cell r="CN63">
            <v>159</v>
          </cell>
          <cell r="CR63">
            <v>505</v>
          </cell>
          <cell r="CS63">
            <v>95</v>
          </cell>
          <cell r="CV63">
            <v>102</v>
          </cell>
          <cell r="CW63">
            <v>702</v>
          </cell>
          <cell r="DA63">
            <v>85</v>
          </cell>
          <cell r="DO63" t="str">
            <v>3QA</v>
          </cell>
          <cell r="DR63">
            <v>77</v>
          </cell>
          <cell r="DV63">
            <v>3834</v>
          </cell>
          <cell r="DZ63">
            <v>188</v>
          </cell>
          <cell r="ED63">
            <v>89</v>
          </cell>
          <cell r="EH63">
            <v>277</v>
          </cell>
          <cell r="EJ63">
            <v>0</v>
          </cell>
          <cell r="EK63">
            <v>0</v>
          </cell>
          <cell r="EL63">
            <v>4111</v>
          </cell>
        </row>
        <row r="64">
          <cell r="BZ64" t="str">
            <v>4QA</v>
          </cell>
          <cell r="CC64">
            <v>18</v>
          </cell>
          <cell r="CF64">
            <v>122</v>
          </cell>
          <cell r="CJ64">
            <v>16</v>
          </cell>
          <cell r="CN64">
            <v>156</v>
          </cell>
          <cell r="CR64">
            <v>508</v>
          </cell>
          <cell r="CS64">
            <v>75</v>
          </cell>
          <cell r="CV64">
            <v>77</v>
          </cell>
          <cell r="CW64">
            <v>660</v>
          </cell>
          <cell r="DA64">
            <v>0</v>
          </cell>
          <cell r="DO64" t="str">
            <v>4QA</v>
          </cell>
          <cell r="DR64">
            <v>159</v>
          </cell>
          <cell r="DV64">
            <v>3937</v>
          </cell>
          <cell r="DZ64">
            <v>227</v>
          </cell>
          <cell r="ED64">
            <v>104</v>
          </cell>
          <cell r="EH64">
            <v>331</v>
          </cell>
          <cell r="EJ64">
            <v>0</v>
          </cell>
          <cell r="EK64">
            <v>0</v>
          </cell>
          <cell r="EL64">
            <v>4268</v>
          </cell>
        </row>
        <row r="66">
          <cell r="BZ66" t="str">
            <v>Year</v>
          </cell>
          <cell r="CC66">
            <v>338</v>
          </cell>
          <cell r="CF66">
            <v>409</v>
          </cell>
          <cell r="CJ66">
            <v>105</v>
          </cell>
          <cell r="CN66">
            <v>852</v>
          </cell>
          <cell r="CR66">
            <v>2049</v>
          </cell>
          <cell r="CS66">
            <v>329</v>
          </cell>
          <cell r="CV66">
            <v>304</v>
          </cell>
          <cell r="CW66">
            <v>2682</v>
          </cell>
          <cell r="DA66">
            <v>267</v>
          </cell>
          <cell r="DO66" t="str">
            <v>Year</v>
          </cell>
          <cell r="DR66">
            <v>424</v>
          </cell>
          <cell r="DV66">
            <v>15287</v>
          </cell>
          <cell r="DZ66">
            <v>825</v>
          </cell>
          <cell r="ED66">
            <v>372</v>
          </cell>
          <cell r="EH66">
            <v>1197</v>
          </cell>
          <cell r="EL66">
            <v>16484</v>
          </cell>
        </row>
        <row r="69">
          <cell r="BZ69" t="str">
            <v>2002E/01</v>
          </cell>
          <cell r="DO69" t="str">
            <v>2002E/01</v>
          </cell>
        </row>
        <row r="70">
          <cell r="BZ70" t="str">
            <v>1QE</v>
          </cell>
          <cell r="CC70">
            <v>-0.94</v>
          </cell>
          <cell r="CF70">
            <v>-7.0000000000000007E-2</v>
          </cell>
          <cell r="CJ70">
            <v>-0.1</v>
          </cell>
          <cell r="CN70">
            <v>-0.51709090909090905</v>
          </cell>
          <cell r="CR70">
            <v>-0.47976878612716767</v>
          </cell>
          <cell r="CS70">
            <v>2.3333333333333335</v>
          </cell>
          <cell r="CV70">
            <v>4.7142857142857144</v>
          </cell>
          <cell r="CW70">
            <v>-0.2280071813285458</v>
          </cell>
          <cell r="DI70" t="str">
            <v>NM</v>
          </cell>
          <cell r="DO70" t="str">
            <v>1QE</v>
          </cell>
          <cell r="DR70">
            <v>1.25</v>
          </cell>
          <cell r="DV70">
            <v>-1.6825141015310185E-2</v>
          </cell>
          <cell r="DZ70">
            <v>-0.04</v>
          </cell>
          <cell r="ED70">
            <v>0.03</v>
          </cell>
          <cell r="EH70">
            <v>-7.5288135593220229E-2</v>
          </cell>
          <cell r="EL70">
            <v>-2.1117471378795383E-2</v>
          </cell>
        </row>
        <row r="71">
          <cell r="BZ71" t="str">
            <v>2QE</v>
          </cell>
          <cell r="CC71">
            <v>-0.88</v>
          </cell>
          <cell r="CF71">
            <v>-0.1</v>
          </cell>
          <cell r="CJ71">
            <v>-7.0000000000000007E-2</v>
          </cell>
          <cell r="CN71">
            <v>-0.3545893719806763</v>
          </cell>
          <cell r="CR71">
            <v>-0.8646034816247582</v>
          </cell>
          <cell r="CS71">
            <v>-0.40740740740740744</v>
          </cell>
          <cell r="CV71">
            <v>-0.18918918918918914</v>
          </cell>
          <cell r="CW71">
            <v>-0.68545216251638275</v>
          </cell>
          <cell r="DI71" t="str">
            <v>NM</v>
          </cell>
          <cell r="DO71" t="str">
            <v>2QE</v>
          </cell>
          <cell r="DR71">
            <v>0.64814814814814814</v>
          </cell>
          <cell r="DV71">
            <v>-6.1639862905351839E-2</v>
          </cell>
          <cell r="DZ71">
            <v>-0.04</v>
          </cell>
          <cell r="ED71">
            <v>-0.08</v>
          </cell>
          <cell r="EH71">
            <v>-0.13605442176870752</v>
          </cell>
          <cell r="EL71">
            <v>-6.6992904330804959E-2</v>
          </cell>
        </row>
        <row r="72">
          <cell r="BZ72" t="str">
            <v>3QE</v>
          </cell>
          <cell r="CC72">
            <v>-0.7</v>
          </cell>
          <cell r="CF72">
            <v>-0.1</v>
          </cell>
          <cell r="CJ72">
            <v>-0.25</v>
          </cell>
          <cell r="CN72">
            <v>-4.9056603773585006E-2</v>
          </cell>
          <cell r="CR72">
            <v>-0.9</v>
          </cell>
          <cell r="CS72">
            <v>0</v>
          </cell>
          <cell r="CV72">
            <v>0</v>
          </cell>
          <cell r="CW72">
            <v>-0.64743589743589736</v>
          </cell>
          <cell r="DI72" t="str">
            <v>NM</v>
          </cell>
          <cell r="DO72" t="str">
            <v>3QE</v>
          </cell>
          <cell r="DR72">
            <v>1.2077922077922079</v>
          </cell>
          <cell r="DV72">
            <v>-3.7149191444966201E-2</v>
          </cell>
          <cell r="DZ72">
            <v>-0.08</v>
          </cell>
          <cell r="ED72">
            <v>-0.08</v>
          </cell>
          <cell r="EH72">
            <v>-0.10873646209386278</v>
          </cell>
          <cell r="EL72">
            <v>-4.1972756020433044E-2</v>
          </cell>
        </row>
        <row r="73">
          <cell r="BZ73" t="str">
            <v>4QE</v>
          </cell>
          <cell r="CC73">
            <v>-0.76500000000000101</v>
          </cell>
          <cell r="CF73">
            <v>-0.25770491803278683</v>
          </cell>
          <cell r="CJ73">
            <v>0.56749999999999989</v>
          </cell>
          <cell r="CN73">
            <v>5.044871794871808E-2</v>
          </cell>
          <cell r="CR73">
            <v>-0.92167322834645682</v>
          </cell>
          <cell r="CS73">
            <v>0.20599999999999974</v>
          </cell>
          <cell r="CV73">
            <v>0.12623376623376581</v>
          </cell>
          <cell r="CW73">
            <v>-0.67127272727272747</v>
          </cell>
          <cell r="DI73" t="str">
            <v>NM</v>
          </cell>
          <cell r="DO73" t="str">
            <v>4QE</v>
          </cell>
          <cell r="DR73">
            <v>1.8867924528301883E-2</v>
          </cell>
          <cell r="DV73">
            <v>-6.7785115570231147E-2</v>
          </cell>
          <cell r="DZ73">
            <v>-0.17180616740088106</v>
          </cell>
          <cell r="ED73">
            <v>-0.36951923076923088</v>
          </cell>
          <cell r="EH73">
            <v>-0.23392749244712996</v>
          </cell>
          <cell r="EL73">
            <v>-8.0670103092783441E-2</v>
          </cell>
        </row>
        <row r="75">
          <cell r="BZ75" t="str">
            <v>2002/01E</v>
          </cell>
          <cell r="CC75">
            <v>-0.89500000000000002</v>
          </cell>
          <cell r="CF75">
            <v>-0.14000000000000001</v>
          </cell>
          <cell r="CI75" t="str">
            <v>NM</v>
          </cell>
          <cell r="CJ75">
            <v>-0.04</v>
          </cell>
          <cell r="CN75">
            <v>-0.28634976525821598</v>
          </cell>
          <cell r="CR75">
            <v>-0.79</v>
          </cell>
          <cell r="CS75">
            <v>0.05</v>
          </cell>
          <cell r="CV75">
            <v>0.18</v>
          </cell>
          <cell r="CW75">
            <v>-0.57700969425801651</v>
          </cell>
          <cell r="DI75" t="str">
            <v>NM</v>
          </cell>
          <cell r="DO75" t="str">
            <v>2002/01E</v>
          </cell>
          <cell r="DR75">
            <v>0.62735849056603776</v>
          </cell>
          <cell r="DV75">
            <v>-4.6166023418590947E-2</v>
          </cell>
          <cell r="DZ75">
            <v>-0.05</v>
          </cell>
          <cell r="EA75" t="str">
            <v>%</v>
          </cell>
          <cell r="ED75">
            <v>-0.08</v>
          </cell>
          <cell r="EH75">
            <v>-0.14182121971595654</v>
          </cell>
          <cell r="EL75">
            <v>-5.3112108711477798E-2</v>
          </cell>
        </row>
        <row r="77">
          <cell r="BZ77" t="str">
            <v>2002E</v>
          </cell>
          <cell r="DO77" t="str">
            <v>2002E</v>
          </cell>
        </row>
        <row r="78">
          <cell r="BZ78" t="str">
            <v>1QE</v>
          </cell>
          <cell r="CC78">
            <v>12.18000000000001</v>
          </cell>
          <cell r="CF78">
            <v>89.28</v>
          </cell>
          <cell r="CI78">
            <v>30</v>
          </cell>
          <cell r="CJ78">
            <v>27.900000000000002</v>
          </cell>
          <cell r="CN78">
            <v>159.36000000000001</v>
          </cell>
          <cell r="CR78">
            <v>270</v>
          </cell>
          <cell r="CS78">
            <v>80</v>
          </cell>
          <cell r="CV78">
            <v>80</v>
          </cell>
          <cell r="CW78">
            <v>430</v>
          </cell>
          <cell r="DI78">
            <v>0</v>
          </cell>
          <cell r="DO78" t="str">
            <v>1QE</v>
          </cell>
          <cell r="DP78">
            <v>0</v>
          </cell>
          <cell r="DR78">
            <v>180</v>
          </cell>
          <cell r="DV78">
            <v>3660.36</v>
          </cell>
          <cell r="DZ78">
            <v>177</v>
          </cell>
          <cell r="ED78">
            <v>95.79</v>
          </cell>
          <cell r="EH78">
            <v>272.79000000000002</v>
          </cell>
          <cell r="EL78">
            <v>3933.15</v>
          </cell>
        </row>
        <row r="79">
          <cell r="BZ79" t="str">
            <v>2QA</v>
          </cell>
          <cell r="CC79">
            <v>10.68</v>
          </cell>
          <cell r="CF79">
            <v>84.600000000000009</v>
          </cell>
          <cell r="CI79">
            <v>16</v>
          </cell>
          <cell r="CJ79">
            <v>22.32</v>
          </cell>
          <cell r="CN79">
            <v>133.6</v>
          </cell>
          <cell r="CR79">
            <v>70</v>
          </cell>
          <cell r="CS79">
            <v>80</v>
          </cell>
          <cell r="CV79">
            <v>90</v>
          </cell>
          <cell r="CW79">
            <v>240</v>
          </cell>
          <cell r="DI79">
            <v>0</v>
          </cell>
          <cell r="DO79" t="str">
            <v>2QA</v>
          </cell>
          <cell r="DP79">
            <v>0</v>
          </cell>
          <cell r="DR79">
            <v>178</v>
          </cell>
          <cell r="DV79">
            <v>3559.2000000000003</v>
          </cell>
          <cell r="DZ79">
            <v>155</v>
          </cell>
          <cell r="ED79">
            <v>99</v>
          </cell>
          <cell r="EH79">
            <v>254</v>
          </cell>
          <cell r="EL79">
            <v>3813.2000000000003</v>
          </cell>
        </row>
        <row r="80">
          <cell r="BZ80" t="str">
            <v>3QE</v>
          </cell>
          <cell r="CC80">
            <v>8.4000000000000021</v>
          </cell>
          <cell r="CF80">
            <v>87.3</v>
          </cell>
          <cell r="CI80">
            <v>30</v>
          </cell>
          <cell r="CJ80">
            <v>25.5</v>
          </cell>
          <cell r="CN80">
            <v>151.19999999999999</v>
          </cell>
          <cell r="CR80">
            <v>50.499999999999986</v>
          </cell>
          <cell r="CS80">
            <v>95</v>
          </cell>
          <cell r="CV80">
            <v>102</v>
          </cell>
          <cell r="CW80">
            <v>247.5</v>
          </cell>
          <cell r="DI80">
            <v>0</v>
          </cell>
          <cell r="DO80" t="str">
            <v>3QE</v>
          </cell>
          <cell r="DP80">
            <v>0</v>
          </cell>
          <cell r="DR80">
            <v>170</v>
          </cell>
          <cell r="DV80">
            <v>3691.5699999999997</v>
          </cell>
          <cell r="DZ80">
            <v>165</v>
          </cell>
          <cell r="ED80">
            <v>81.88000000000001</v>
          </cell>
          <cell r="EH80">
            <v>246.88</v>
          </cell>
          <cell r="EL80">
            <v>3938.45</v>
          </cell>
        </row>
        <row r="81">
          <cell r="BZ81" t="str">
            <v>4QE</v>
          </cell>
          <cell r="CC81">
            <v>4.2299999999999827</v>
          </cell>
          <cell r="CF81">
            <v>90.56</v>
          </cell>
          <cell r="CI81">
            <v>44</v>
          </cell>
          <cell r="CJ81">
            <v>25.08</v>
          </cell>
          <cell r="CN81">
            <v>163.87</v>
          </cell>
          <cell r="CR81">
            <v>39.789999999999907</v>
          </cell>
          <cell r="CS81">
            <v>90.449999999999989</v>
          </cell>
          <cell r="CV81">
            <v>86.71999999999997</v>
          </cell>
          <cell r="CW81">
            <v>216.95999999999987</v>
          </cell>
          <cell r="DI81">
            <v>40</v>
          </cell>
          <cell r="DO81" t="str">
            <v>4QE</v>
          </cell>
          <cell r="DP81">
            <v>0</v>
          </cell>
          <cell r="DR81">
            <v>162</v>
          </cell>
          <cell r="DV81">
            <v>3670.13</v>
          </cell>
          <cell r="DZ81">
            <v>188</v>
          </cell>
          <cell r="ED81">
            <v>65.569999999999993</v>
          </cell>
          <cell r="EH81">
            <v>253.57</v>
          </cell>
          <cell r="EL81">
            <v>3923.7000000000003</v>
          </cell>
        </row>
        <row r="83">
          <cell r="BZ83" t="str">
            <v>2002E</v>
          </cell>
          <cell r="CC83">
            <v>35.489999999999995</v>
          </cell>
          <cell r="CF83">
            <v>351.74</v>
          </cell>
          <cell r="CI83">
            <v>120</v>
          </cell>
          <cell r="CJ83">
            <v>100.8</v>
          </cell>
          <cell r="CN83">
            <v>608.03</v>
          </cell>
          <cell r="CR83">
            <v>430.28999999999991</v>
          </cell>
          <cell r="CS83">
            <v>345.45</v>
          </cell>
          <cell r="CV83">
            <v>358.71999999999997</v>
          </cell>
          <cell r="CW83">
            <v>1134.4599999999998</v>
          </cell>
          <cell r="DI83">
            <v>40</v>
          </cell>
          <cell r="DO83" t="str">
            <v>2002E</v>
          </cell>
          <cell r="DP83">
            <v>0</v>
          </cell>
          <cell r="DR83">
            <v>690</v>
          </cell>
          <cell r="DV83">
            <v>14581.26</v>
          </cell>
          <cell r="DZ83">
            <v>685</v>
          </cell>
          <cell r="ED83">
            <v>342.24</v>
          </cell>
          <cell r="EH83">
            <v>1027.24</v>
          </cell>
          <cell r="EL83">
            <v>15608.5</v>
          </cell>
        </row>
        <row r="84">
          <cell r="CQ84">
            <v>593.54999999999995</v>
          </cell>
          <cell r="CZ84">
            <v>765.56</v>
          </cell>
        </row>
        <row r="86">
          <cell r="BZ86" t="str">
            <v>2002E</v>
          </cell>
          <cell r="DO86" t="str">
            <v>2002E</v>
          </cell>
        </row>
        <row r="87">
          <cell r="BZ87" t="str">
            <v>1QA</v>
          </cell>
          <cell r="CC87">
            <v>12</v>
          </cell>
          <cell r="CF87">
            <v>89</v>
          </cell>
          <cell r="CI87">
            <v>30</v>
          </cell>
          <cell r="CJ87">
            <v>21</v>
          </cell>
          <cell r="CN87">
            <v>152</v>
          </cell>
          <cell r="CR87">
            <v>69</v>
          </cell>
          <cell r="CS87">
            <v>33</v>
          </cell>
          <cell r="CV87">
            <v>62</v>
          </cell>
          <cell r="CW87">
            <v>164</v>
          </cell>
          <cell r="DI87">
            <v>0</v>
          </cell>
          <cell r="DO87" t="str">
            <v>1QA</v>
          </cell>
          <cell r="DP87">
            <v>0</v>
          </cell>
          <cell r="DR87">
            <v>157</v>
          </cell>
          <cell r="DV87">
            <v>3325</v>
          </cell>
          <cell r="DZ87">
            <v>177</v>
          </cell>
          <cell r="ED87">
            <v>96</v>
          </cell>
          <cell r="EH87">
            <v>273</v>
          </cell>
          <cell r="EL87">
            <v>3598</v>
          </cell>
        </row>
        <row r="88">
          <cell r="BZ88" t="str">
            <v>2QA</v>
          </cell>
          <cell r="CC88">
            <v>3</v>
          </cell>
          <cell r="CF88">
            <v>19</v>
          </cell>
          <cell r="CI88">
            <v>16</v>
          </cell>
          <cell r="CJ88">
            <v>25</v>
          </cell>
          <cell r="CN88">
            <v>63</v>
          </cell>
          <cell r="CR88">
            <v>13</v>
          </cell>
          <cell r="CS88">
            <v>26</v>
          </cell>
          <cell r="CV88">
            <v>60</v>
          </cell>
          <cell r="CW88">
            <v>99</v>
          </cell>
          <cell r="DI88">
            <v>0</v>
          </cell>
          <cell r="DO88" t="str">
            <v>2QA</v>
          </cell>
          <cell r="DP88">
            <v>0</v>
          </cell>
          <cell r="DR88">
            <v>178</v>
          </cell>
          <cell r="DV88">
            <v>3012</v>
          </cell>
          <cell r="DZ88">
            <v>155</v>
          </cell>
          <cell r="ED88">
            <v>99</v>
          </cell>
          <cell r="EH88">
            <v>254</v>
          </cell>
          <cell r="EL88">
            <v>3266</v>
          </cell>
        </row>
        <row r="89">
          <cell r="BZ89" t="str">
            <v>3QE</v>
          </cell>
          <cell r="CC89">
            <v>8</v>
          </cell>
          <cell r="CF89">
            <v>27.299999999999997</v>
          </cell>
          <cell r="CI89">
            <v>30</v>
          </cell>
          <cell r="CJ89">
            <v>25.5</v>
          </cell>
          <cell r="CN89">
            <v>90.8</v>
          </cell>
          <cell r="CR89">
            <v>10</v>
          </cell>
          <cell r="CS89">
            <v>33</v>
          </cell>
          <cell r="CV89">
            <v>63</v>
          </cell>
          <cell r="CW89">
            <v>106</v>
          </cell>
          <cell r="DI89">
            <v>0</v>
          </cell>
          <cell r="DO89" t="str">
            <v>3QE</v>
          </cell>
          <cell r="DP89">
            <v>0</v>
          </cell>
          <cell r="DR89">
            <v>170</v>
          </cell>
          <cell r="DV89">
            <v>3141.65</v>
          </cell>
          <cell r="DZ89">
            <v>165</v>
          </cell>
          <cell r="ED89">
            <v>81.88000000000001</v>
          </cell>
          <cell r="EH89">
            <v>246.88</v>
          </cell>
          <cell r="EL89">
            <v>3388.53</v>
          </cell>
        </row>
        <row r="90">
          <cell r="BZ90" t="str">
            <v>4QE</v>
          </cell>
          <cell r="CC90">
            <v>12.489999999999995</v>
          </cell>
          <cell r="CF90">
            <v>36.44</v>
          </cell>
          <cell r="CI90">
            <v>44</v>
          </cell>
          <cell r="CJ90">
            <v>29.299999999999997</v>
          </cell>
          <cell r="CN90">
            <v>122.22999999999999</v>
          </cell>
          <cell r="CR90">
            <v>8</v>
          </cell>
          <cell r="CS90">
            <v>68.449999999999989</v>
          </cell>
          <cell r="CV90">
            <v>63.71999999999997</v>
          </cell>
          <cell r="CW90">
            <v>140.16999999999996</v>
          </cell>
          <cell r="DI90">
            <v>40</v>
          </cell>
          <cell r="DO90" t="str">
            <v>4QE</v>
          </cell>
          <cell r="DP90">
            <v>0</v>
          </cell>
          <cell r="DR90">
            <v>152</v>
          </cell>
          <cell r="DV90">
            <v>3361.4200000000005</v>
          </cell>
          <cell r="DZ90">
            <v>188</v>
          </cell>
          <cell r="ED90">
            <v>65.360000000000014</v>
          </cell>
          <cell r="EH90">
            <v>253.36</v>
          </cell>
          <cell r="EL90">
            <v>3614.7800000000007</v>
          </cell>
        </row>
        <row r="92">
          <cell r="BZ92" t="str">
            <v>2002E</v>
          </cell>
          <cell r="CC92">
            <v>35.489999999999995</v>
          </cell>
          <cell r="CF92">
            <v>171.74</v>
          </cell>
          <cell r="CI92">
            <v>120</v>
          </cell>
          <cell r="CJ92">
            <v>100.8</v>
          </cell>
          <cell r="CN92">
            <v>428.03000000000003</v>
          </cell>
          <cell r="CR92">
            <v>100</v>
          </cell>
          <cell r="CS92">
            <v>160.44999999999999</v>
          </cell>
          <cell r="CV92">
            <v>248.71999999999997</v>
          </cell>
          <cell r="CW92">
            <v>509.16999999999996</v>
          </cell>
          <cell r="DI92">
            <v>40</v>
          </cell>
          <cell r="DO92" t="str">
            <v>2002E</v>
          </cell>
          <cell r="DP92">
            <v>0</v>
          </cell>
          <cell r="DQ92">
            <v>0</v>
          </cell>
          <cell r="DR92">
            <v>657</v>
          </cell>
          <cell r="DV92">
            <v>12840.07</v>
          </cell>
          <cell r="DZ92">
            <v>685</v>
          </cell>
          <cell r="EA92">
            <v>0</v>
          </cell>
          <cell r="EB92">
            <v>0</v>
          </cell>
          <cell r="EC92">
            <v>0</v>
          </cell>
          <cell r="ED92">
            <v>342.24</v>
          </cell>
          <cell r="EF92">
            <v>0</v>
          </cell>
          <cell r="EG92">
            <v>0</v>
          </cell>
          <cell r="EH92">
            <v>1027.24</v>
          </cell>
          <cell r="EJ92">
            <v>0</v>
          </cell>
          <cell r="EK92">
            <v>0</v>
          </cell>
          <cell r="EL92">
            <v>13867.31</v>
          </cell>
        </row>
        <row r="94">
          <cell r="BZ94" t="str">
            <v>2003/02E</v>
          </cell>
          <cell r="CC94">
            <v>-0.2</v>
          </cell>
          <cell r="CF94">
            <v>-0.45</v>
          </cell>
          <cell r="CI94">
            <v>0.05</v>
          </cell>
          <cell r="CJ94">
            <v>0</v>
          </cell>
          <cell r="CN94">
            <v>-0.26212686874002916</v>
          </cell>
          <cell r="CR94">
            <v>-0.75</v>
          </cell>
          <cell r="CS94">
            <v>0.15</v>
          </cell>
          <cell r="CV94">
            <v>0.2</v>
          </cell>
          <cell r="CW94">
            <v>-0.17555136364437704</v>
          </cell>
          <cell r="DI94" t="str">
            <v>NM</v>
          </cell>
          <cell r="DO94" t="str">
            <v>2003/02E</v>
          </cell>
          <cell r="DP94" t="str">
            <v>NM</v>
          </cell>
          <cell r="DR94">
            <v>-0.05</v>
          </cell>
          <cell r="DV94">
            <v>2.7218038770311981E-2</v>
          </cell>
          <cell r="DZ94">
            <v>-0.03</v>
          </cell>
          <cell r="ED94">
            <v>-0.03</v>
          </cell>
          <cell r="EH94">
            <v>-3.0000000000000068E-2</v>
          </cell>
          <cell r="EL94">
            <v>2.3452356088028946E-2</v>
          </cell>
        </row>
        <row r="95">
          <cell r="BZ95" t="str">
            <v>2004/03E</v>
          </cell>
          <cell r="CC95">
            <v>0</v>
          </cell>
          <cell r="CF95">
            <v>-0.8</v>
          </cell>
          <cell r="CI95">
            <v>0</v>
          </cell>
          <cell r="CJ95">
            <v>0</v>
          </cell>
          <cell r="CN95">
            <v>-0.34495919973074729</v>
          </cell>
          <cell r="CR95">
            <v>-0.1</v>
          </cell>
          <cell r="CS95">
            <v>-0.4</v>
          </cell>
          <cell r="CV95">
            <v>-0.3</v>
          </cell>
          <cell r="CW95">
            <v>-0.31947201123912655</v>
          </cell>
          <cell r="DI95" t="str">
            <v>NM</v>
          </cell>
          <cell r="DO95" t="str">
            <v>2004/03E</v>
          </cell>
          <cell r="DP95" t="str">
            <v>NM</v>
          </cell>
          <cell r="DR95">
            <v>0</v>
          </cell>
          <cell r="DV95">
            <v>4.7380497474942468E-2</v>
          </cell>
          <cell r="DZ95">
            <v>0</v>
          </cell>
          <cell r="ED95">
            <v>0</v>
          </cell>
          <cell r="EH95">
            <v>0</v>
          </cell>
          <cell r="EL95">
            <v>4.4425109690528417E-2</v>
          </cell>
        </row>
        <row r="96">
          <cell r="BZ96" t="str">
            <v>2005/04E</v>
          </cell>
          <cell r="CC96">
            <v>0</v>
          </cell>
          <cell r="CF96">
            <v>-0.1</v>
          </cell>
          <cell r="CI96">
            <v>0</v>
          </cell>
          <cell r="CJ96">
            <v>0</v>
          </cell>
          <cell r="CN96">
            <v>-1.3165561579864721E-2</v>
          </cell>
          <cell r="CR96">
            <v>-0.1</v>
          </cell>
          <cell r="CS96">
            <v>-0.8</v>
          </cell>
          <cell r="CV96">
            <v>-0.8</v>
          </cell>
          <cell r="CW96">
            <v>-0.69352613285251685</v>
          </cell>
          <cell r="DI96" t="str">
            <v>NM</v>
          </cell>
          <cell r="DO96" t="str">
            <v>2005/04E</v>
          </cell>
          <cell r="DP96" t="e">
            <v>#DIV/0!</v>
          </cell>
          <cell r="DR96">
            <v>0</v>
          </cell>
          <cell r="DV96">
            <v>3.9587809309156209E-2</v>
          </cell>
          <cell r="DZ96">
            <v>0</v>
          </cell>
          <cell r="ED96">
            <v>0</v>
          </cell>
          <cell r="EH96">
            <v>0</v>
          </cell>
          <cell r="EL96">
            <v>3.722352868656547E-2</v>
          </cell>
        </row>
        <row r="97">
          <cell r="BZ97" t="str">
            <v>2006/05E</v>
          </cell>
          <cell r="CC97">
            <v>0</v>
          </cell>
          <cell r="CF97">
            <v>-0.1</v>
          </cell>
          <cell r="CI97">
            <v>0</v>
          </cell>
          <cell r="CJ97">
            <v>0</v>
          </cell>
          <cell r="CN97">
            <v>-1.2007085444694922E-2</v>
          </cell>
          <cell r="CR97">
            <v>-0.1</v>
          </cell>
          <cell r="CS97">
            <v>-0.1</v>
          </cell>
          <cell r="CV97">
            <v>-0.1</v>
          </cell>
          <cell r="CW97">
            <v>-9.9999999999999908E-2</v>
          </cell>
          <cell r="DI97" t="str">
            <v>NM</v>
          </cell>
          <cell r="DO97" t="str">
            <v>2006/05E</v>
          </cell>
          <cell r="DP97">
            <v>0.71428571428571419</v>
          </cell>
          <cell r="DR97">
            <v>0</v>
          </cell>
          <cell r="DV97">
            <v>1.7729598277320124E-2</v>
          </cell>
          <cell r="DZ97">
            <v>0</v>
          </cell>
          <cell r="ED97">
            <v>0</v>
          </cell>
          <cell r="EH97">
            <v>0</v>
          </cell>
          <cell r="EL97">
            <v>1.6708743210584361E-2</v>
          </cell>
        </row>
        <row r="98">
          <cell r="BZ98" t="str">
            <v>2007/06E</v>
          </cell>
          <cell r="CC98">
            <v>0</v>
          </cell>
          <cell r="CF98">
            <v>-0.1</v>
          </cell>
          <cell r="CI98">
            <v>0</v>
          </cell>
          <cell r="CJ98">
            <v>0</v>
          </cell>
          <cell r="CN98">
            <v>-1.0937706881318687E-2</v>
          </cell>
          <cell r="CR98">
            <v>-0.1</v>
          </cell>
          <cell r="CS98">
            <v>-0.1</v>
          </cell>
          <cell r="CV98">
            <v>-0.1</v>
          </cell>
          <cell r="CW98">
            <v>-9.9999999999999964E-2</v>
          </cell>
          <cell r="DI98" t="str">
            <v>NM</v>
          </cell>
          <cell r="DO98" t="str">
            <v>2007/06E</v>
          </cell>
          <cell r="DP98">
            <v>0.66666666666666674</v>
          </cell>
          <cell r="DR98">
            <v>0</v>
          </cell>
          <cell r="DV98">
            <v>3.7927502331943884E-2</v>
          </cell>
          <cell r="DZ98">
            <v>0</v>
          </cell>
          <cell r="ED98">
            <v>0</v>
          </cell>
          <cell r="EH98">
            <v>0</v>
          </cell>
          <cell r="EL98">
            <v>3.5779558706704802E-2</v>
          </cell>
        </row>
        <row r="100">
          <cell r="BZ100" t="str">
            <v>2003E</v>
          </cell>
          <cell r="CC100">
            <v>28.391999999999996</v>
          </cell>
          <cell r="CF100">
            <v>193.45700000000002</v>
          </cell>
          <cell r="CI100">
            <v>126</v>
          </cell>
          <cell r="CJ100">
            <v>100.8</v>
          </cell>
          <cell r="CN100">
            <v>448.64900000000006</v>
          </cell>
          <cell r="CR100">
            <v>107.57249999999998</v>
          </cell>
          <cell r="CS100">
            <v>397.26749999999998</v>
          </cell>
          <cell r="CV100">
            <v>430.46399999999994</v>
          </cell>
          <cell r="CW100">
            <v>935.30399999999986</v>
          </cell>
          <cell r="DI100">
            <v>300</v>
          </cell>
          <cell r="DO100" t="str">
            <v>2003E</v>
          </cell>
          <cell r="DP100">
            <v>0</v>
          </cell>
          <cell r="DR100">
            <v>655.5</v>
          </cell>
          <cell r="DV100">
            <v>14978.1333</v>
          </cell>
          <cell r="DZ100">
            <v>664.44999999999993</v>
          </cell>
          <cell r="ED100">
            <v>331.97280000000001</v>
          </cell>
          <cell r="EH100">
            <v>996.42279999999994</v>
          </cell>
          <cell r="EL100">
            <v>15974.5561</v>
          </cell>
        </row>
        <row r="101">
          <cell r="BZ101" t="str">
            <v>2004E</v>
          </cell>
          <cell r="CC101">
            <v>28.391999999999996</v>
          </cell>
          <cell r="CF101">
            <v>38.691399999999994</v>
          </cell>
          <cell r="CI101">
            <v>126</v>
          </cell>
          <cell r="CJ101">
            <v>100.8</v>
          </cell>
          <cell r="CN101">
            <v>293.88339999999999</v>
          </cell>
          <cell r="CR101">
            <v>96.815249999999978</v>
          </cell>
          <cell r="CS101">
            <v>238.36049999999997</v>
          </cell>
          <cell r="CV101">
            <v>301.32479999999993</v>
          </cell>
          <cell r="CW101">
            <v>636.50054999999986</v>
          </cell>
          <cell r="DI101">
            <v>1025</v>
          </cell>
          <cell r="DO101" t="str">
            <v>2004E</v>
          </cell>
          <cell r="DP101">
            <v>0</v>
          </cell>
          <cell r="DR101">
            <v>655.5</v>
          </cell>
          <cell r="DV101">
            <v>15687.804707000001</v>
          </cell>
          <cell r="DZ101">
            <v>664.44999999999993</v>
          </cell>
          <cell r="ED101">
            <v>331.97280000000001</v>
          </cell>
          <cell r="EH101">
            <v>996.42279999999994</v>
          </cell>
          <cell r="EL101">
            <v>16684.227507</v>
          </cell>
        </row>
        <row r="102">
          <cell r="BZ102" t="str">
            <v>2005E</v>
          </cell>
          <cell r="CC102">
            <v>28.391999999999996</v>
          </cell>
          <cell r="CF102">
            <v>34.822259999999993</v>
          </cell>
          <cell r="CI102">
            <v>126</v>
          </cell>
          <cell r="CJ102">
            <v>100.8</v>
          </cell>
          <cell r="CN102">
            <v>290.01425999999998</v>
          </cell>
          <cell r="CR102">
            <v>87.133724999999984</v>
          </cell>
          <cell r="CS102">
            <v>47.672099999999986</v>
          </cell>
          <cell r="CV102">
            <v>60.264959999999974</v>
          </cell>
          <cell r="CW102">
            <v>195.07078499999994</v>
          </cell>
          <cell r="DI102">
            <v>1675</v>
          </cell>
          <cell r="DO102" t="str">
            <v>2005E</v>
          </cell>
          <cell r="DP102">
            <v>175</v>
          </cell>
          <cell r="DR102">
            <v>655.5</v>
          </cell>
          <cell r="DV102">
            <v>16308.85052822</v>
          </cell>
          <cell r="DZ102">
            <v>664.44999999999993</v>
          </cell>
          <cell r="ED102">
            <v>331.97280000000001</v>
          </cell>
          <cell r="EH102">
            <v>996.42279999999994</v>
          </cell>
          <cell r="EL102">
            <v>17305.273328219999</v>
          </cell>
        </row>
        <row r="103">
          <cell r="BZ103" t="str">
            <v>2006E</v>
          </cell>
          <cell r="CC103">
            <v>28.391999999999996</v>
          </cell>
          <cell r="CF103">
            <v>31.340033999999996</v>
          </cell>
          <cell r="CI103">
            <v>126</v>
          </cell>
          <cell r="CJ103">
            <v>100.8</v>
          </cell>
          <cell r="CN103">
            <v>286.53203400000001</v>
          </cell>
          <cell r="CR103">
            <v>78.420352499999993</v>
          </cell>
          <cell r="CS103">
            <v>42.904889999999988</v>
          </cell>
          <cell r="CV103">
            <v>54.238463999999979</v>
          </cell>
          <cell r="CW103">
            <v>175.56370649999997</v>
          </cell>
          <cell r="DI103">
            <v>2325</v>
          </cell>
          <cell r="DO103" t="str">
            <v>2006E</v>
          </cell>
          <cell r="DP103">
            <v>300</v>
          </cell>
          <cell r="DR103">
            <v>655.5</v>
          </cell>
          <cell r="DV103">
            <v>16597.999896450201</v>
          </cell>
          <cell r="DZ103">
            <v>664.44999999999993</v>
          </cell>
          <cell r="ED103">
            <v>331.97280000000001</v>
          </cell>
          <cell r="EH103">
            <v>996.42279999999994</v>
          </cell>
          <cell r="EL103">
            <v>17594.422696450201</v>
          </cell>
        </row>
        <row r="104">
          <cell r="BZ104" t="str">
            <v>2007E</v>
          </cell>
          <cell r="CC104">
            <v>28.391999999999996</v>
          </cell>
          <cell r="CF104">
            <v>28.206030599999998</v>
          </cell>
          <cell r="CI104">
            <v>126</v>
          </cell>
          <cell r="CJ104">
            <v>100.8</v>
          </cell>
          <cell r="CN104">
            <v>283.39803059999997</v>
          </cell>
          <cell r="CR104">
            <v>70.578317249999998</v>
          </cell>
          <cell r="CS104">
            <v>38.614400999999987</v>
          </cell>
          <cell r="CV104">
            <v>48.814617599999984</v>
          </cell>
          <cell r="CW104">
            <v>158.00733584999998</v>
          </cell>
          <cell r="DI104">
            <v>2900</v>
          </cell>
          <cell r="DO104" t="str">
            <v>2007E</v>
          </cell>
          <cell r="DP104">
            <v>500</v>
          </cell>
          <cell r="DR104">
            <v>655.5</v>
          </cell>
          <cell r="DV104">
            <v>17227.52057622842</v>
          </cell>
          <cell r="DZ104">
            <v>664.44999999999993</v>
          </cell>
          <cell r="ED104">
            <v>331.97280000000001</v>
          </cell>
          <cell r="EH104">
            <v>996.42279999999994</v>
          </cell>
          <cell r="EL104">
            <v>18223.943376228421</v>
          </cell>
        </row>
        <row r="105">
          <cell r="BZ105" t="str">
            <v>(a) Future patent expirations include the following:</v>
          </cell>
        </row>
        <row r="106">
          <cell r="BZ106" t="str">
            <v xml:space="preserve">      Stadol (8/01); Duricef (2002); Monopril (12/4/02); Cefzil (5/05); and Serzone (2003).  </v>
          </cell>
        </row>
        <row r="107">
          <cell r="BZ107" t="str">
            <v xml:space="preserve">(b) Diagnostics was sold to Bracco in 3Q94.  Under an agreement with Bracco, Isovue sales will continue to </v>
          </cell>
        </row>
        <row r="108">
          <cell r="BZ108" t="str">
            <v xml:space="preserve">      be recorded as sales on BMY's income statement from 3Q94 forward. </v>
          </cell>
        </row>
        <row r="109">
          <cell r="BZ109" t="str">
            <v xml:space="preserve">(c) Analgesics include sales of UPSA, a French pharmaceutical firm acquired in 3Q94 with annual sales </v>
          </cell>
        </row>
        <row r="110">
          <cell r="BZ110" t="str">
            <v xml:space="preserve">      approximating $350 million.  Some 36% of UPSA sales are abroad, and it has an Rx presence.  About </v>
          </cell>
        </row>
        <row r="111">
          <cell r="BZ111" t="str">
            <v xml:space="preserve">      80-90% of UPSA's sales appear in Non-Prescription Healthcare beginning 4Q94. </v>
          </cell>
        </row>
        <row r="113">
          <cell r="BZ113" t="str">
            <v>E = Morgan Stanley  Research Estimates          NM = Not Meaningful        A = Actual</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Ventilation (S)"/>
      <sheetName val="Trim Sem (S)"/>
      <sheetName val="Accounts (FY)"/>
      <sheetName val="P&amp;L IFRS"/>
      <sheetName val="Sales Y"/>
      <sheetName val="Sales Q"/>
      <sheetName val="Guidance"/>
      <sheetName val="DCF"/>
      <sheetName val="Valuation"/>
      <sheetName val="Output P&amp;L"/>
      <sheetName val="Consensus"/>
      <sheetName val="Dysport-Azzalure"/>
      <sheetName val="Sales Geo"/>
      <sheetName val="APAM"/>
      <sheetName val="APAM Chart"/>
      <sheetName val="Output RiskCheck"/>
      <sheetName val="Milestones and royalties"/>
      <sheetName val="NPV's"/>
      <sheetName val="TasQ"/>
      <sheetName val="Pipeline"/>
      <sheetName val="Deals and patents"/>
      <sheetName val="OB-1"/>
      <sheetName val="IB 1001"/>
      <sheetName val="Board"/>
      <sheetName val="Capital"/>
      <sheetName val="Model Account (S)"/>
      <sheetName val="Modeles (S)"/>
      <sheetName val="Geog"/>
      <sheetName val="Margins"/>
      <sheetName val="Margins (2)"/>
      <sheetName val="GLP-1"/>
      <sheetName val="Febuxostat"/>
      <sheetName val="Liens DCF EVA"/>
      <sheetName val="Somatuline"/>
      <sheetName val="Increlex"/>
      <sheetName val="Tercica"/>
      <sheetName val="Tanakan"/>
      <sheetName val="VALO"/>
      <sheetName val="Nutropin Aq"/>
      <sheetName val="Decapeptyl"/>
      <sheetName val="Cosmetic companies"/>
      <sheetName val="Botox"/>
      <sheetName val="Acteurs toxbot"/>
      <sheetName val="Diflomotecan"/>
      <sheetName val="Ipsen tox bot patents"/>
      <sheetName val="Nisis"/>
      <sheetName val="Reglementaire"/>
      <sheetName val="Questions"/>
      <sheetName val="P&amp;L FGAAP"/>
      <sheetName val="Output sales"/>
      <sheetName val="Sortie comparables"/>
      <sheetName val="Growth vs sector"/>
      <sheetName val="News"/>
      <sheetName val="Sortie CA"/>
      <sheetName val="Dysport-Reloxin"/>
      <sheetName val="Sortie P&amp;L"/>
      <sheetName val="MOP"/>
      <sheetName val="Medicis deal"/>
      <sheetName val="NPV Tanakan"/>
      <sheetName val="APAM Outline"/>
      <sheetName val="Recovered_Sheet1"/>
      <sheetName val="#REF"/>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row r="3">
          <cell r="G3">
            <v>0</v>
          </cell>
        </row>
        <row r="9">
          <cell r="G9">
            <v>1</v>
          </cell>
        </row>
        <row r="10">
          <cell r="G10">
            <v>0</v>
          </cell>
        </row>
        <row r="20">
          <cell r="G20">
            <v>0</v>
          </cell>
        </row>
        <row r="25">
          <cell r="G25">
            <v>0</v>
          </cell>
        </row>
        <row r="29">
          <cell r="G29" t="str">
            <v/>
          </cell>
        </row>
        <row r="30">
          <cell r="G30" t="str">
            <v/>
          </cell>
        </row>
        <row r="36">
          <cell r="G36">
            <v>0</v>
          </cell>
        </row>
        <row r="37">
          <cell r="G37">
            <v>0</v>
          </cell>
        </row>
        <row r="38">
          <cell r="G38">
            <v>0</v>
          </cell>
        </row>
        <row r="39">
          <cell r="G39">
            <v>0</v>
          </cell>
        </row>
        <row r="42">
          <cell r="G42">
            <v>0</v>
          </cell>
        </row>
        <row r="43">
          <cell r="G43">
            <v>0</v>
          </cell>
        </row>
        <row r="44">
          <cell r="G44">
            <v>0</v>
          </cell>
        </row>
        <row r="45">
          <cell r="G45">
            <v>0</v>
          </cell>
        </row>
        <row r="46">
          <cell r="G46">
            <v>0</v>
          </cell>
        </row>
        <row r="48">
          <cell r="G48">
            <v>0</v>
          </cell>
        </row>
        <row r="49">
          <cell r="G49">
            <v>0</v>
          </cell>
        </row>
        <row r="50">
          <cell r="G50">
            <v>0</v>
          </cell>
        </row>
        <row r="52">
          <cell r="G52">
            <v>0</v>
          </cell>
        </row>
        <row r="54">
          <cell r="G54">
            <v>0</v>
          </cell>
        </row>
        <row r="55">
          <cell r="G55">
            <v>0</v>
          </cell>
        </row>
        <row r="56">
          <cell r="G56">
            <v>0</v>
          </cell>
        </row>
        <row r="57">
          <cell r="G57">
            <v>0</v>
          </cell>
        </row>
        <row r="58">
          <cell r="G58">
            <v>0</v>
          </cell>
        </row>
        <row r="60">
          <cell r="G60">
            <v>0</v>
          </cell>
        </row>
        <row r="61">
          <cell r="G61">
            <v>0</v>
          </cell>
        </row>
        <row r="66">
          <cell r="G66">
            <v>0</v>
          </cell>
        </row>
        <row r="72">
          <cell r="G72">
            <v>0</v>
          </cell>
        </row>
        <row r="74">
          <cell r="G74">
            <v>0</v>
          </cell>
        </row>
        <row r="75">
          <cell r="G75">
            <v>0</v>
          </cell>
        </row>
        <row r="76">
          <cell r="G76">
            <v>0</v>
          </cell>
        </row>
        <row r="79">
          <cell r="G79">
            <v>0</v>
          </cell>
        </row>
        <row r="80">
          <cell r="G80" t="str">
            <v>N.A</v>
          </cell>
        </row>
        <row r="81">
          <cell r="G81" t="str">
            <v>N.A</v>
          </cell>
        </row>
        <row r="82">
          <cell r="G82" t="str">
            <v>N.A</v>
          </cell>
        </row>
        <row r="83">
          <cell r="G83" t="str">
            <v>N.A</v>
          </cell>
        </row>
        <row r="84">
          <cell r="G84" t="str">
            <v>N.A</v>
          </cell>
        </row>
        <row r="85">
          <cell r="G85" t="str">
            <v>N.A</v>
          </cell>
        </row>
        <row r="86">
          <cell r="G86">
            <v>0</v>
          </cell>
        </row>
        <row r="87">
          <cell r="G87">
            <v>0</v>
          </cell>
        </row>
        <row r="88">
          <cell r="G88">
            <v>0</v>
          </cell>
        </row>
        <row r="89">
          <cell r="G89">
            <v>0</v>
          </cell>
        </row>
        <row r="90">
          <cell r="G90" t="str">
            <v>N.A</v>
          </cell>
        </row>
        <row r="91">
          <cell r="G91" t="str">
            <v>N.A</v>
          </cell>
        </row>
        <row r="92">
          <cell r="G92" t="str">
            <v>N.A</v>
          </cell>
        </row>
        <row r="93">
          <cell r="G93" t="str">
            <v>N.A</v>
          </cell>
        </row>
        <row r="94">
          <cell r="G94" t="str">
            <v>N.A</v>
          </cell>
        </row>
        <row r="96">
          <cell r="G96">
            <v>0</v>
          </cell>
        </row>
        <row r="98">
          <cell r="G98">
            <v>0</v>
          </cell>
        </row>
        <row r="99">
          <cell r="G99">
            <v>0</v>
          </cell>
        </row>
        <row r="100">
          <cell r="G100">
            <v>0</v>
          </cell>
        </row>
        <row r="101">
          <cell r="G101" t="str">
            <v>N.A</v>
          </cell>
        </row>
        <row r="102">
          <cell r="G102" t="str">
            <v>N.A</v>
          </cell>
        </row>
        <row r="103">
          <cell r="G103" t="str">
            <v>N.A</v>
          </cell>
        </row>
        <row r="105">
          <cell r="G105" t="str">
            <v>N.A</v>
          </cell>
        </row>
        <row r="107">
          <cell r="G107" t="str">
            <v>N.A</v>
          </cell>
        </row>
        <row r="109">
          <cell r="G109">
            <v>0</v>
          </cell>
        </row>
        <row r="110">
          <cell r="G110">
            <v>0</v>
          </cell>
        </row>
        <row r="112">
          <cell r="G112">
            <v>0</v>
          </cell>
        </row>
        <row r="113">
          <cell r="G113">
            <v>0</v>
          </cell>
        </row>
        <row r="115">
          <cell r="G115">
            <v>0</v>
          </cell>
        </row>
        <row r="116">
          <cell r="G116">
            <v>0</v>
          </cell>
        </row>
        <row r="117">
          <cell r="G117">
            <v>0</v>
          </cell>
        </row>
        <row r="118">
          <cell r="G118">
            <v>0</v>
          </cell>
        </row>
        <row r="122">
          <cell r="G122">
            <v>0</v>
          </cell>
        </row>
        <row r="125">
          <cell r="G125">
            <v>0</v>
          </cell>
        </row>
        <row r="127">
          <cell r="G127">
            <v>0</v>
          </cell>
        </row>
        <row r="129">
          <cell r="G129">
            <v>0</v>
          </cell>
        </row>
        <row r="130">
          <cell r="G130">
            <v>0</v>
          </cell>
        </row>
        <row r="131">
          <cell r="G131">
            <v>0</v>
          </cell>
        </row>
        <row r="134">
          <cell r="G134">
            <v>0</v>
          </cell>
        </row>
        <row r="139">
          <cell r="G139">
            <v>0</v>
          </cell>
        </row>
        <row r="140">
          <cell r="G140">
            <v>1</v>
          </cell>
        </row>
        <row r="143">
          <cell r="G143">
            <v>0</v>
          </cell>
        </row>
        <row r="145">
          <cell r="G145">
            <v>0</v>
          </cell>
        </row>
        <row r="146">
          <cell r="G146" t="str">
            <v>NC</v>
          </cell>
        </row>
        <row r="149">
          <cell r="G149" t="str">
            <v>Non</v>
          </cell>
        </row>
        <row r="152">
          <cell r="G152">
            <v>0</v>
          </cell>
        </row>
        <row r="194">
          <cell r="G194">
            <v>0</v>
          </cell>
        </row>
        <row r="208">
          <cell r="G208">
            <v>0</v>
          </cell>
        </row>
        <row r="211">
          <cell r="G211" t="e">
            <v>#DIV/0!</v>
          </cell>
        </row>
        <row r="212">
          <cell r="G212">
            <v>0</v>
          </cell>
        </row>
        <row r="213">
          <cell r="G213">
            <v>0</v>
          </cell>
        </row>
        <row r="216">
          <cell r="G216">
            <v>0</v>
          </cell>
        </row>
        <row r="220">
          <cell r="G220" t="e">
            <v>#DIV/0!</v>
          </cell>
        </row>
        <row r="221">
          <cell r="G221" t="e">
            <v>#VALUE!</v>
          </cell>
        </row>
        <row r="222">
          <cell r="G222">
            <v>0</v>
          </cell>
        </row>
        <row r="223">
          <cell r="G223" t="str">
            <v/>
          </cell>
        </row>
        <row r="225">
          <cell r="G225" t="e">
            <v>#DIV/0!</v>
          </cell>
        </row>
        <row r="229">
          <cell r="G229">
            <v>0</v>
          </cell>
        </row>
        <row r="234">
          <cell r="G234" t="str">
            <v>NO</v>
          </cell>
        </row>
        <row r="249">
          <cell r="G249">
            <v>0</v>
          </cell>
        </row>
        <row r="256">
          <cell r="G256">
            <v>0</v>
          </cell>
        </row>
        <row r="264">
          <cell r="G264">
            <v>0</v>
          </cell>
        </row>
        <row r="265">
          <cell r="G265">
            <v>0</v>
          </cell>
        </row>
        <row r="267">
          <cell r="G267">
            <v>0</v>
          </cell>
        </row>
        <row r="268">
          <cell r="G268">
            <v>0</v>
          </cell>
        </row>
        <row r="269">
          <cell r="G269">
            <v>0</v>
          </cell>
        </row>
        <row r="271">
          <cell r="G271">
            <v>0</v>
          </cell>
        </row>
        <row r="272">
          <cell r="G272">
            <v>0</v>
          </cell>
        </row>
        <row r="274">
          <cell r="G274">
            <v>0</v>
          </cell>
        </row>
        <row r="275">
          <cell r="G275">
            <v>0</v>
          </cell>
        </row>
        <row r="281">
          <cell r="G281" t="str">
            <v>nc</v>
          </cell>
        </row>
        <row r="282">
          <cell r="G282" t="str">
            <v>nc</v>
          </cell>
        </row>
        <row r="283">
          <cell r="G283" t="str">
            <v>nc</v>
          </cell>
        </row>
      </sheetData>
      <sheetData sheetId="27" refreshError="1">
        <row r="4">
          <cell r="I4" t="str">
            <v>T1</v>
          </cell>
          <cell r="J4" t="str">
            <v>T2</v>
          </cell>
          <cell r="K4" t="str">
            <v>S1</v>
          </cell>
          <cell r="L4" t="str">
            <v>T3</v>
          </cell>
          <cell r="M4" t="str">
            <v>9 Mois</v>
          </cell>
          <cell r="N4" t="str">
            <v>T4</v>
          </cell>
          <cell r="O4" t="str">
            <v>S2</v>
          </cell>
          <cell r="P4" t="str">
            <v>Ex</v>
          </cell>
        </row>
        <row r="5">
          <cell r="I5">
            <v>0</v>
          </cell>
        </row>
        <row r="6">
          <cell r="A6">
            <v>445154</v>
          </cell>
          <cell r="I6" t="str">
            <v>Q1</v>
          </cell>
          <cell r="J6" t="str">
            <v>Q2</v>
          </cell>
          <cell r="K6" t="str">
            <v>S1</v>
          </cell>
          <cell r="L6" t="str">
            <v>Q3</v>
          </cell>
          <cell r="M6" t="str">
            <v>9 Months</v>
          </cell>
          <cell r="N6" t="str">
            <v>Q4</v>
          </cell>
          <cell r="O6" t="str">
            <v>S2</v>
          </cell>
          <cell r="P6" t="str">
            <v>FY</v>
          </cell>
        </row>
        <row r="11">
          <cell r="I11">
            <v>1</v>
          </cell>
          <cell r="J11">
            <v>1</v>
          </cell>
          <cell r="K11">
            <v>1</v>
          </cell>
          <cell r="L11">
            <v>1</v>
          </cell>
          <cell r="M11">
            <v>1</v>
          </cell>
          <cell r="N11">
            <v>1</v>
          </cell>
          <cell r="O11">
            <v>1</v>
          </cell>
          <cell r="P11">
            <v>1</v>
          </cell>
        </row>
        <row r="13">
          <cell r="P13">
            <v>0</v>
          </cell>
        </row>
        <row r="14">
          <cell r="I14" t="str">
            <v>N.A</v>
          </cell>
          <cell r="J14" t="str">
            <v>N.A</v>
          </cell>
          <cell r="K14" t="str">
            <v>N.A</v>
          </cell>
          <cell r="L14" t="str">
            <v>N.A</v>
          </cell>
          <cell r="M14" t="str">
            <v>N.A</v>
          </cell>
          <cell r="N14" t="str">
            <v>N.A</v>
          </cell>
          <cell r="O14" t="str">
            <v>N.A</v>
          </cell>
          <cell r="P14" t="str">
            <v>N.A</v>
          </cell>
        </row>
        <row r="15">
          <cell r="I15" t="str">
            <v/>
          </cell>
          <cell r="J15" t="str">
            <v/>
          </cell>
          <cell r="K15" t="str">
            <v/>
          </cell>
          <cell r="L15" t="str">
            <v/>
          </cell>
          <cell r="M15" t="str">
            <v/>
          </cell>
          <cell r="N15" t="str">
            <v/>
          </cell>
          <cell r="O15" t="str">
            <v/>
          </cell>
        </row>
        <row r="16">
          <cell r="I16" t="str">
            <v>N.A</v>
          </cell>
          <cell r="J16" t="str">
            <v>N.A</v>
          </cell>
          <cell r="K16" t="str">
            <v>N.A</v>
          </cell>
          <cell r="L16" t="str">
            <v>N.A</v>
          </cell>
          <cell r="M16" t="str">
            <v>N.A</v>
          </cell>
          <cell r="N16" t="str">
            <v>N.A</v>
          </cell>
          <cell r="O16" t="str">
            <v>N.A</v>
          </cell>
          <cell r="P16" t="str">
            <v>N.A</v>
          </cell>
        </row>
        <row r="17">
          <cell r="P17">
            <v>0</v>
          </cell>
        </row>
        <row r="18">
          <cell r="I18" t="str">
            <v>N.A</v>
          </cell>
          <cell r="J18" t="str">
            <v>N.A</v>
          </cell>
          <cell r="K18" t="str">
            <v>N.A</v>
          </cell>
          <cell r="L18" t="str">
            <v>N.A</v>
          </cell>
          <cell r="M18" t="str">
            <v>N.A</v>
          </cell>
          <cell r="N18" t="str">
            <v>N.A</v>
          </cell>
          <cell r="O18" t="str">
            <v>N.A</v>
          </cell>
          <cell r="P18" t="str">
            <v>N.A</v>
          </cell>
        </row>
        <row r="19">
          <cell r="I19" t="str">
            <v/>
          </cell>
          <cell r="J19" t="str">
            <v/>
          </cell>
          <cell r="K19" t="str">
            <v/>
          </cell>
          <cell r="L19" t="str">
            <v/>
          </cell>
          <cell r="M19" t="str">
            <v/>
          </cell>
          <cell r="N19" t="str">
            <v/>
          </cell>
          <cell r="O19" t="str">
            <v/>
          </cell>
        </row>
        <row r="20">
          <cell r="I20" t="str">
            <v/>
          </cell>
          <cell r="J20" t="str">
            <v/>
          </cell>
          <cell r="K20" t="str">
            <v/>
          </cell>
          <cell r="L20" t="str">
            <v/>
          </cell>
          <cell r="M20" t="str">
            <v/>
          </cell>
          <cell r="N20" t="str">
            <v/>
          </cell>
          <cell r="O20" t="str">
            <v/>
          </cell>
          <cell r="P20" t="e">
            <v>#DIV/0!</v>
          </cell>
        </row>
        <row r="21">
          <cell r="P21">
            <v>0</v>
          </cell>
        </row>
        <row r="22">
          <cell r="I22" t="str">
            <v>N.A</v>
          </cell>
          <cell r="J22" t="str">
            <v>N.A</v>
          </cell>
          <cell r="K22" t="str">
            <v>N.A</v>
          </cell>
          <cell r="L22" t="str">
            <v>N.A</v>
          </cell>
          <cell r="M22" t="str">
            <v>N.A</v>
          </cell>
          <cell r="N22" t="str">
            <v>N.A</v>
          </cell>
          <cell r="O22" t="str">
            <v>N.A</v>
          </cell>
          <cell r="P22" t="str">
            <v>N.A</v>
          </cell>
        </row>
        <row r="23">
          <cell r="I23" t="str">
            <v/>
          </cell>
          <cell r="J23" t="str">
            <v/>
          </cell>
          <cell r="K23" t="str">
            <v/>
          </cell>
          <cell r="L23" t="str">
            <v/>
          </cell>
          <cell r="M23" t="str">
            <v/>
          </cell>
          <cell r="N23" t="str">
            <v/>
          </cell>
          <cell r="O23" t="str">
            <v/>
          </cell>
        </row>
        <row r="24">
          <cell r="I24" t="str">
            <v/>
          </cell>
          <cell r="J24" t="str">
            <v/>
          </cell>
          <cell r="K24" t="str">
            <v/>
          </cell>
          <cell r="L24" t="str">
            <v/>
          </cell>
          <cell r="M24" t="str">
            <v/>
          </cell>
          <cell r="N24" t="str">
            <v/>
          </cell>
          <cell r="O24" t="str">
            <v/>
          </cell>
          <cell r="P24" t="e">
            <v>#DIV/0!</v>
          </cell>
        </row>
        <row r="25">
          <cell r="P25">
            <v>0</v>
          </cell>
        </row>
        <row r="26">
          <cell r="I26" t="str">
            <v>N.A</v>
          </cell>
          <cell r="J26" t="str">
            <v>N.A</v>
          </cell>
          <cell r="K26" t="str">
            <v>N.A</v>
          </cell>
          <cell r="L26" t="str">
            <v>N.A</v>
          </cell>
          <cell r="M26" t="str">
            <v>N.A</v>
          </cell>
          <cell r="N26" t="str">
            <v>N.A</v>
          </cell>
          <cell r="O26" t="str">
            <v>N.A</v>
          </cell>
          <cell r="P26" t="str">
            <v>N.A</v>
          </cell>
        </row>
        <row r="27">
          <cell r="I27" t="str">
            <v/>
          </cell>
          <cell r="J27" t="str">
            <v/>
          </cell>
          <cell r="K27" t="str">
            <v/>
          </cell>
          <cell r="L27" t="str">
            <v/>
          </cell>
          <cell r="M27" t="str">
            <v/>
          </cell>
          <cell r="N27" t="str">
            <v/>
          </cell>
          <cell r="O27" t="str">
            <v/>
          </cell>
        </row>
        <row r="28">
          <cell r="I28" t="str">
            <v/>
          </cell>
          <cell r="J28" t="str">
            <v/>
          </cell>
          <cell r="K28" t="str">
            <v/>
          </cell>
          <cell r="L28" t="str">
            <v/>
          </cell>
          <cell r="M28" t="str">
            <v/>
          </cell>
          <cell r="N28" t="str">
            <v/>
          </cell>
          <cell r="O28" t="str">
            <v/>
          </cell>
          <cell r="P28" t="e">
            <v>#DIV/0!</v>
          </cell>
        </row>
        <row r="31">
          <cell r="P31">
            <v>0</v>
          </cell>
        </row>
        <row r="32">
          <cell r="I32" t="str">
            <v>N.A</v>
          </cell>
          <cell r="J32" t="str">
            <v>N.A</v>
          </cell>
          <cell r="K32" t="str">
            <v>N.A</v>
          </cell>
          <cell r="L32" t="str">
            <v>N.A</v>
          </cell>
          <cell r="M32" t="str">
            <v>N.A</v>
          </cell>
          <cell r="N32" t="str">
            <v>N.A</v>
          </cell>
          <cell r="O32" t="str">
            <v>N.A</v>
          </cell>
          <cell r="P32" t="str">
            <v>N.A</v>
          </cell>
        </row>
        <row r="33">
          <cell r="I33" t="str">
            <v/>
          </cell>
          <cell r="J33" t="str">
            <v/>
          </cell>
          <cell r="K33" t="str">
            <v/>
          </cell>
          <cell r="L33" t="str">
            <v/>
          </cell>
          <cell r="M33" t="str">
            <v/>
          </cell>
          <cell r="N33" t="str">
            <v/>
          </cell>
          <cell r="O33" t="str">
            <v/>
          </cell>
        </row>
        <row r="34">
          <cell r="I34" t="str">
            <v/>
          </cell>
          <cell r="J34" t="str">
            <v/>
          </cell>
          <cell r="K34" t="str">
            <v/>
          </cell>
          <cell r="L34" t="str">
            <v/>
          </cell>
          <cell r="M34" t="str">
            <v/>
          </cell>
          <cell r="N34" t="str">
            <v/>
          </cell>
          <cell r="O34" t="str">
            <v/>
          </cell>
          <cell r="P34" t="e">
            <v>#DIV/0!</v>
          </cell>
        </row>
        <row r="70">
          <cell r="I70">
            <v>0</v>
          </cell>
        </row>
        <row r="71">
          <cell r="I71" t="str">
            <v>T1</v>
          </cell>
          <cell r="J71" t="str">
            <v>T2</v>
          </cell>
          <cell r="K71" t="str">
            <v>S1</v>
          </cell>
          <cell r="L71" t="str">
            <v>T3</v>
          </cell>
          <cell r="M71" t="str">
            <v>9 Mois</v>
          </cell>
          <cell r="N71" t="str">
            <v>T4</v>
          </cell>
          <cell r="O71" t="str">
            <v>S2</v>
          </cell>
          <cell r="P71" t="str">
            <v>Ex</v>
          </cell>
        </row>
        <row r="72">
          <cell r="I72">
            <v>0</v>
          </cell>
        </row>
        <row r="73">
          <cell r="I73" t="str">
            <v>Q1</v>
          </cell>
          <cell r="J73" t="str">
            <v>Q2</v>
          </cell>
          <cell r="K73" t="str">
            <v>S1</v>
          </cell>
          <cell r="L73" t="str">
            <v>Q3</v>
          </cell>
          <cell r="M73" t="str">
            <v>9 Months</v>
          </cell>
          <cell r="N73" t="str">
            <v>Q4</v>
          </cell>
          <cell r="O73" t="str">
            <v>S2</v>
          </cell>
          <cell r="P73" t="str">
            <v>FY</v>
          </cell>
        </row>
        <row r="74">
          <cell r="I74">
            <v>0</v>
          </cell>
          <cell r="J74">
            <v>0</v>
          </cell>
          <cell r="K74">
            <v>0</v>
          </cell>
          <cell r="L74">
            <v>0</v>
          </cell>
          <cell r="M74">
            <v>0</v>
          </cell>
          <cell r="N74">
            <v>0</v>
          </cell>
          <cell r="O74">
            <v>0</v>
          </cell>
          <cell r="P74">
            <v>0</v>
          </cell>
        </row>
        <row r="75">
          <cell r="I75">
            <v>0</v>
          </cell>
          <cell r="J75">
            <v>0</v>
          </cell>
          <cell r="K75">
            <v>0</v>
          </cell>
          <cell r="L75">
            <v>0</v>
          </cell>
          <cell r="M75">
            <v>0</v>
          </cell>
          <cell r="N75">
            <v>0</v>
          </cell>
          <cell r="O75">
            <v>0</v>
          </cell>
          <cell r="P75">
            <v>0</v>
          </cell>
        </row>
        <row r="76">
          <cell r="I76" t="str">
            <v>N.A</v>
          </cell>
          <cell r="J76" t="str">
            <v>N.A</v>
          </cell>
          <cell r="K76" t="str">
            <v>N.A</v>
          </cell>
          <cell r="L76" t="str">
            <v>N.A</v>
          </cell>
          <cell r="M76" t="str">
            <v>N.A</v>
          </cell>
          <cell r="N76" t="str">
            <v>N.A</v>
          </cell>
          <cell r="O76" t="str">
            <v>N.A</v>
          </cell>
          <cell r="P76" t="str">
            <v>N.A</v>
          </cell>
        </row>
        <row r="77">
          <cell r="I77" t="str">
            <v xml:space="preserve"> </v>
          </cell>
        </row>
        <row r="78">
          <cell r="I78" t="str">
            <v xml:space="preserve"> </v>
          </cell>
        </row>
        <row r="79">
          <cell r="I79" t="str">
            <v xml:space="preserve"> </v>
          </cell>
        </row>
        <row r="80">
          <cell r="I80" t="str">
            <v xml:space="preserve"> </v>
          </cell>
        </row>
        <row r="81">
          <cell r="I81" t="str">
            <v xml:space="preserve"> </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inancials"/>
      <sheetName val="DCF"/>
      <sheetName val="Revenue Model"/>
      <sheetName val="Annual Revs"/>
      <sheetName val="dclinks"/>
      <sheetName val="Cimzia model"/>
      <sheetName val="AED model"/>
      <sheetName val="Pro forma"/>
      <sheetName val="DNP model"/>
      <sheetName val="RLS"/>
      <sheetName val="Synergies"/>
      <sheetName val="Early pipe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2">
          <cell r="B22" t="str">
            <v>Other</v>
          </cell>
          <cell r="C22">
            <v>0.23</v>
          </cell>
          <cell r="D22">
            <v>0.31</v>
          </cell>
        </row>
        <row r="23">
          <cell r="B23" t="str">
            <v>Antiinfectives</v>
          </cell>
          <cell r="C23">
            <v>0.30199999999999999</v>
          </cell>
          <cell r="D23">
            <v>0.38500000000000001</v>
          </cell>
        </row>
        <row r="24">
          <cell r="B24" t="str">
            <v>CV</v>
          </cell>
          <cell r="C24">
            <v>0.26200000000000001</v>
          </cell>
          <cell r="D24">
            <v>0.41</v>
          </cell>
        </row>
        <row r="25">
          <cell r="B25" t="str">
            <v>CNS</v>
          </cell>
          <cell r="C25">
            <v>0.20300000000000001</v>
          </cell>
          <cell r="D25">
            <v>0.22600000000000001</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Products "/>
      <sheetName val="Cash Statem. M61"/>
      <sheetName val="sapactivexlhiddensheet"/>
    </sheetNames>
    <sheetDataSet>
      <sheetData sheetId="0" refreshError="1"/>
      <sheetData sheetId="1" refreshError="1">
        <row r="24">
          <cell r="D24" t="e">
            <v>#REF!</v>
          </cell>
          <cell r="E24" t="e">
            <v>#REF!</v>
          </cell>
          <cell r="F24" t="e">
            <v>#REF!</v>
          </cell>
          <cell r="G24">
            <v>12</v>
          </cell>
        </row>
        <row r="30">
          <cell r="B30" t="str">
            <v>8611000</v>
          </cell>
        </row>
        <row r="32">
          <cell r="B32" t="str">
            <v>=&gt;</v>
          </cell>
        </row>
        <row r="33">
          <cell r="B33" t="str">
            <v>8612000</v>
          </cell>
        </row>
        <row r="35">
          <cell r="B35" t="str">
            <v>=&gt;</v>
          </cell>
        </row>
        <row r="36">
          <cell r="B36" t="str">
            <v>8613000</v>
          </cell>
        </row>
        <row r="38">
          <cell r="B38" t="str">
            <v>=&gt;</v>
          </cell>
        </row>
        <row r="40">
          <cell r="B40" t="str">
            <v>8614000</v>
          </cell>
        </row>
        <row r="42">
          <cell r="B42" t="str">
            <v>II.) LOANS</v>
          </cell>
        </row>
        <row r="44">
          <cell r="B44" t="str">
            <v>=&gt;</v>
          </cell>
        </row>
        <row r="45">
          <cell r="B45" t="str">
            <v>8621000</v>
          </cell>
        </row>
        <row r="47">
          <cell r="B47" t="str">
            <v>=&gt;</v>
          </cell>
        </row>
        <row r="48">
          <cell r="B48" t="str">
            <v>8622000</v>
          </cell>
        </row>
        <row r="50">
          <cell r="B50" t="str">
            <v>=&gt;</v>
          </cell>
        </row>
        <row r="51">
          <cell r="B51" t="str">
            <v>8623000</v>
          </cell>
        </row>
        <row r="53">
          <cell r="B53" t="str">
            <v>=&gt;</v>
          </cell>
        </row>
        <row r="54">
          <cell r="B54" t="str">
            <v>8624000</v>
          </cell>
        </row>
        <row r="56">
          <cell r="B56" t="str">
            <v>III.) CREDIT LINE</v>
          </cell>
        </row>
        <row r="58">
          <cell r="B58" t="str">
            <v>=&gt;</v>
          </cell>
        </row>
        <row r="59">
          <cell r="B59" t="str">
            <v>8631000</v>
          </cell>
        </row>
        <row r="60">
          <cell r="B60" t="str">
            <v>=&gt;</v>
          </cell>
        </row>
        <row r="61">
          <cell r="B61" t="str">
            <v>8632000</v>
          </cell>
        </row>
        <row r="64">
          <cell r="B64" t="str">
            <v>IV.) PAYMENTS (in total)</v>
          </cell>
        </row>
        <row r="66">
          <cell r="B66" t="str">
            <v>=&gt;</v>
          </cell>
        </row>
        <row r="67">
          <cell r="B67" t="str">
            <v>8641000</v>
          </cell>
        </row>
        <row r="68">
          <cell r="B68" t="str">
            <v>=&gt;</v>
          </cell>
        </row>
        <row r="69">
          <cell r="B69" t="str">
            <v>8642000</v>
          </cell>
        </row>
      </sheetData>
      <sheetData sheetId="2" refreshError="1">
        <row r="39">
          <cell r="B39" t="str">
            <v>X</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rst Take"/>
      <sheetName val="TableFormat"/>
      <sheetName val="Params"/>
    </sheetNames>
    <sheetDataSet>
      <sheetData sheetId="0"/>
      <sheetData sheetId="1"/>
      <sheetData sheetId="2" refreshError="1">
        <row r="22">
          <cell r="G22">
            <v>1</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 annuel"/>
      <sheetName val="Stilnox"/>
      <sheetName val="Preview CA"/>
      <sheetName val="CA trim"/>
      <sheetName val="P&amp;L annuel"/>
      <sheetName val="Semestrielle"/>
      <sheetName val="#REF"/>
    </sheetNames>
    <sheetDataSet>
      <sheetData sheetId="0"/>
      <sheetData sheetId="1"/>
      <sheetData sheetId="2"/>
      <sheetData sheetId="3"/>
      <sheetData sheetId="4" refreshError="1">
        <row r="1">
          <cell r="B1" t="str">
            <v>P&amp;L</v>
          </cell>
        </row>
      </sheetData>
      <sheetData sheetId="5"/>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
      <sheetName val="Comptes Thorsman"/>
      <sheetName val="Comptes Lexel"/>
      <sheetName val="Wacc"/>
      <sheetName val="Projections et DCF"/>
      <sheetName val="Impact Schneider"/>
      <sheetName val="Synergies"/>
      <sheetName val="Multi. acquisition"/>
      <sheetName val="LBO model"/>
      <sheetName val="correspon"/>
      <sheetName val="correspon (2)"/>
      <sheetName val="premia"/>
    </sheetNames>
    <sheetDataSet>
      <sheetData sheetId="0"/>
      <sheetData sheetId="1"/>
      <sheetData sheetId="2"/>
      <sheetData sheetId="3"/>
      <sheetData sheetId="4" refreshError="1">
        <row r="28">
          <cell r="S28" t="b">
            <v>0</v>
          </cell>
        </row>
      </sheetData>
      <sheetData sheetId="5"/>
      <sheetData sheetId="6"/>
      <sheetData sheetId="7"/>
      <sheetData sheetId="8"/>
      <sheetData sheetId="9"/>
      <sheetData sheetId="10"/>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parité euro"/>
      <sheetName val="Lien IBES manuel"/>
      <sheetName val="Graph"/>
      <sheetName val="calcul de PER sectoriels"/>
      <sheetName val="Tableaux de synthèse"/>
      <sheetName val="PE Exane"/>
      <sheetName val="Liens_data"/>
      <sheetName val="indice pharmer"/>
      <sheetName val="mini CDR prév"/>
      <sheetName val="données IBES datastream"/>
      <sheetName val="Chiffres du matin"/>
      <sheetName val="Poids dans l'indice"/>
      <sheetName val="BaseBloom"/>
      <sheetName val="TriRatios"/>
      <sheetName val="TriTaille"/>
      <sheetName val="BasePerfs"/>
      <sheetName val="TriPerfs"/>
      <sheetName val="GraphesPerfs"/>
      <sheetName val="Tableau PE+EPS"/>
      <sheetName val="#REF"/>
      <sheetName val="SANOFI"/>
    </sheetNames>
    <sheetDataSet>
      <sheetData sheetId="0" refreshError="1"/>
      <sheetData sheetId="1" refreshError="1"/>
      <sheetData sheetId="2" refreshError="1">
        <row r="21">
          <cell r="C21">
            <v>426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vincent.meunier@morganstanley.com" TargetMode="External" Type="http://schemas.openxmlformats.org/officeDocument/2006/relationships/hyperlink"/>
<Relationship Id="rId2" Target="mailto:thibault.boutherin@morganstanley.com" TargetMode="External" Type="http://schemas.openxmlformats.org/officeDocument/2006/relationships/hyperlink"/>
<Relationship Id="rId3" Target="https://www.novartis.com/investors" TargetMode="External" Type="http://schemas.openxmlformats.org/officeDocument/2006/relationships/hyperlink"/>
<Relationship Id="rId4" Target="../printerSettings/printerSettings2.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3.vml" Type="http://schemas.openxmlformats.org/officeDocument/2006/relationships/vmlDrawing"/>
<Relationship Id="rId4" Target="../ctrlProps/ctrlProp3.xml" Type="http://schemas.openxmlformats.org/officeDocument/2006/relationships/ctrlProp"/>
<Relationship Id="rId5" Target="../ctrlProps/ctrlProp4.xml" Type="http://schemas.openxmlformats.org/officeDocument/2006/relationships/ctrlProp"/>
<Relationship Id="rId6"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7.xml" Type="http://schemas.openxmlformats.org/officeDocument/2006/relationships/drawing"/>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9.xml" Type="http://schemas.openxmlformats.org/officeDocument/2006/relationships/drawing"/>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10.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13.xml" Type="http://schemas.openxmlformats.org/officeDocument/2006/relationships/drawing"/>
<Relationship Id="rId3" Target="../drawings/vmlDrawing5.vml" Type="http://schemas.openxmlformats.org/officeDocument/2006/relationships/vmlDrawing"/>
<Relationship Id="rId4" Target="../activeX/activeX1.xml" Type="http://schemas.openxmlformats.org/officeDocument/2006/relationships/control"/>
<Relationship Id="rId5" Target="../media/image9.emf" Type="http://schemas.openxmlformats.org/officeDocument/2006/relationships/image"/>
<Relationship Id="rId6" Target="../activeX/activeX2.xml" Type="http://schemas.openxmlformats.org/officeDocument/2006/relationships/control"/>
<Relationship Id="rId7" Target="../activeX/activeX3.xml" Type="http://schemas.openxmlformats.org/officeDocument/2006/relationships/control"/>
<Relationship Id="rId8" Target="../ctrlProps/ctrlProp5.xml" Type="http://schemas.openxmlformats.org/officeDocument/2006/relationships/ctrlProp"/>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14.xml" Type="http://schemas.openxmlformats.org/officeDocument/2006/relationships/drawing"/>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2"/>
  <sheetViews>
    <sheetView showGridLines="0" tabSelected="1" workbookViewId="0">
      <selection activeCell="Z1" sqref="Z1"/>
    </sheetView>
  </sheetViews>
  <sheetFormatPr defaultRowHeight="12.75"/>
  <cols>
    <col min="1" max="1" width="25.7109375" style="1401" customWidth="1"/>
    <col min="2" max="5" width="9.140625" style="1401"/>
    <col min="6" max="6" width="18.7109375" style="1401" customWidth="1"/>
    <col min="7" max="256" width="9.140625" style="1401"/>
    <col min="257" max="257" width="100.7109375" style="1401" customWidth="1"/>
    <col min="258" max="512" width="9.140625" style="1401"/>
    <col min="513" max="513" width="100.7109375" style="1401" customWidth="1"/>
    <col min="514" max="768" width="9.140625" style="1401"/>
    <col min="769" max="769" width="100.7109375" style="1401" customWidth="1"/>
    <col min="770" max="1024" width="9.140625" style="1401"/>
    <col min="1025" max="1025" width="100.7109375" style="1401" customWidth="1"/>
    <col min="1026" max="1280" width="9.140625" style="1401"/>
    <col min="1281" max="1281" width="100.7109375" style="1401" customWidth="1"/>
    <col min="1282" max="1536" width="9.140625" style="1401"/>
    <col min="1537" max="1537" width="100.7109375" style="1401" customWidth="1"/>
    <col min="1538" max="1792" width="9.140625" style="1401"/>
    <col min="1793" max="1793" width="100.7109375" style="1401" customWidth="1"/>
    <col min="1794" max="2048" width="9.140625" style="1401"/>
    <col min="2049" max="2049" width="100.7109375" style="1401" customWidth="1"/>
    <col min="2050" max="2304" width="9.140625" style="1401"/>
    <col min="2305" max="2305" width="100.7109375" style="1401" customWidth="1"/>
    <col min="2306" max="2560" width="9.140625" style="1401"/>
    <col min="2561" max="2561" width="100.7109375" style="1401" customWidth="1"/>
    <col min="2562" max="2816" width="9.140625" style="1401"/>
    <col min="2817" max="2817" width="100.7109375" style="1401" customWidth="1"/>
    <col min="2818" max="3072" width="9.140625" style="1401"/>
    <col min="3073" max="3073" width="100.7109375" style="1401" customWidth="1"/>
    <col min="3074" max="3328" width="9.140625" style="1401"/>
    <col min="3329" max="3329" width="100.7109375" style="1401" customWidth="1"/>
    <col min="3330" max="3584" width="9.140625" style="1401"/>
    <col min="3585" max="3585" width="100.7109375" style="1401" customWidth="1"/>
    <col min="3586" max="3840" width="9.140625" style="1401"/>
    <col min="3841" max="3841" width="100.7109375" style="1401" customWidth="1"/>
    <col min="3842" max="4096" width="9.140625" style="1401"/>
    <col min="4097" max="4097" width="100.7109375" style="1401" customWidth="1"/>
    <col min="4098" max="4352" width="9.140625" style="1401"/>
    <col min="4353" max="4353" width="100.7109375" style="1401" customWidth="1"/>
    <col min="4354" max="4608" width="9.140625" style="1401"/>
    <col min="4609" max="4609" width="100.7109375" style="1401" customWidth="1"/>
    <col min="4610" max="4864" width="9.140625" style="1401"/>
    <col min="4865" max="4865" width="100.7109375" style="1401" customWidth="1"/>
    <col min="4866" max="5120" width="9.140625" style="1401"/>
    <col min="5121" max="5121" width="100.7109375" style="1401" customWidth="1"/>
    <col min="5122" max="5376" width="9.140625" style="1401"/>
    <col min="5377" max="5377" width="100.7109375" style="1401" customWidth="1"/>
    <col min="5378" max="5632" width="9.140625" style="1401"/>
    <col min="5633" max="5633" width="100.7109375" style="1401" customWidth="1"/>
    <col min="5634" max="5888" width="9.140625" style="1401"/>
    <col min="5889" max="5889" width="100.7109375" style="1401" customWidth="1"/>
    <col min="5890" max="6144" width="9.140625" style="1401"/>
    <col min="6145" max="6145" width="100.7109375" style="1401" customWidth="1"/>
    <col min="6146" max="6400" width="9.140625" style="1401"/>
    <col min="6401" max="6401" width="100.7109375" style="1401" customWidth="1"/>
    <col min="6402" max="6656" width="9.140625" style="1401"/>
    <col min="6657" max="6657" width="100.7109375" style="1401" customWidth="1"/>
    <col min="6658" max="6912" width="9.140625" style="1401"/>
    <col min="6913" max="6913" width="100.7109375" style="1401" customWidth="1"/>
    <col min="6914" max="7168" width="9.140625" style="1401"/>
    <col min="7169" max="7169" width="100.7109375" style="1401" customWidth="1"/>
    <col min="7170" max="7424" width="9.140625" style="1401"/>
    <col min="7425" max="7425" width="100.7109375" style="1401" customWidth="1"/>
    <col min="7426" max="7680" width="9.140625" style="1401"/>
    <col min="7681" max="7681" width="100.7109375" style="1401" customWidth="1"/>
    <col min="7682" max="7936" width="9.140625" style="1401"/>
    <col min="7937" max="7937" width="100.7109375" style="1401" customWidth="1"/>
    <col min="7938" max="8192" width="9.140625" style="1401"/>
    <col min="8193" max="8193" width="100.7109375" style="1401" customWidth="1"/>
    <col min="8194" max="8448" width="9.140625" style="1401"/>
    <col min="8449" max="8449" width="100.7109375" style="1401" customWidth="1"/>
    <col min="8450" max="8704" width="9.140625" style="1401"/>
    <col min="8705" max="8705" width="100.7109375" style="1401" customWidth="1"/>
    <col min="8706" max="8960" width="9.140625" style="1401"/>
    <col min="8961" max="8961" width="100.7109375" style="1401" customWidth="1"/>
    <col min="8962" max="9216" width="9.140625" style="1401"/>
    <col min="9217" max="9217" width="100.7109375" style="1401" customWidth="1"/>
    <col min="9218" max="9472" width="9.140625" style="1401"/>
    <col min="9473" max="9473" width="100.7109375" style="1401" customWidth="1"/>
    <col min="9474" max="9728" width="9.140625" style="1401"/>
    <col min="9729" max="9729" width="100.7109375" style="1401" customWidth="1"/>
    <col min="9730" max="9984" width="9.140625" style="1401"/>
    <col min="9985" max="9985" width="100.7109375" style="1401" customWidth="1"/>
    <col min="9986" max="10240" width="9.140625" style="1401"/>
    <col min="10241" max="10241" width="100.7109375" style="1401" customWidth="1"/>
    <col min="10242" max="10496" width="9.140625" style="1401"/>
    <col min="10497" max="10497" width="100.7109375" style="1401" customWidth="1"/>
    <col min="10498" max="10752" width="9.140625" style="1401"/>
    <col min="10753" max="10753" width="100.7109375" style="1401" customWidth="1"/>
    <col min="10754" max="11008" width="9.140625" style="1401"/>
    <col min="11009" max="11009" width="100.7109375" style="1401" customWidth="1"/>
    <col min="11010" max="11264" width="9.140625" style="1401"/>
    <col min="11265" max="11265" width="100.7109375" style="1401" customWidth="1"/>
    <col min="11266" max="11520" width="9.140625" style="1401"/>
    <col min="11521" max="11521" width="100.7109375" style="1401" customWidth="1"/>
    <col min="11522" max="11776" width="9.140625" style="1401"/>
    <col min="11777" max="11777" width="100.7109375" style="1401" customWidth="1"/>
    <col min="11778" max="12032" width="9.140625" style="1401"/>
    <col min="12033" max="12033" width="100.7109375" style="1401" customWidth="1"/>
    <col min="12034" max="12288" width="9.140625" style="1401"/>
    <col min="12289" max="12289" width="100.7109375" style="1401" customWidth="1"/>
    <col min="12290" max="12544" width="9.140625" style="1401"/>
    <col min="12545" max="12545" width="100.7109375" style="1401" customWidth="1"/>
    <col min="12546" max="12800" width="9.140625" style="1401"/>
    <col min="12801" max="12801" width="100.7109375" style="1401" customWidth="1"/>
    <col min="12802" max="13056" width="9.140625" style="1401"/>
    <col min="13057" max="13057" width="100.7109375" style="1401" customWidth="1"/>
    <col min="13058" max="13312" width="9.140625" style="1401"/>
    <col min="13313" max="13313" width="100.7109375" style="1401" customWidth="1"/>
    <col min="13314" max="13568" width="9.140625" style="1401"/>
    <col min="13569" max="13569" width="100.7109375" style="1401" customWidth="1"/>
    <col min="13570" max="13824" width="9.140625" style="1401"/>
    <col min="13825" max="13825" width="100.7109375" style="1401" customWidth="1"/>
    <col min="13826" max="14080" width="9.140625" style="1401"/>
    <col min="14081" max="14081" width="100.7109375" style="1401" customWidth="1"/>
    <col min="14082" max="14336" width="9.140625" style="1401"/>
    <col min="14337" max="14337" width="100.7109375" style="1401" customWidth="1"/>
    <col min="14338" max="14592" width="9.140625" style="1401"/>
    <col min="14593" max="14593" width="100.7109375" style="1401" customWidth="1"/>
    <col min="14594" max="14848" width="9.140625" style="1401"/>
    <col min="14849" max="14849" width="100.7109375" style="1401" customWidth="1"/>
    <col min="14850" max="15104" width="9.140625" style="1401"/>
    <col min="15105" max="15105" width="100.7109375" style="1401" customWidth="1"/>
    <col min="15106" max="15360" width="9.140625" style="1401"/>
    <col min="15361" max="15361" width="100.7109375" style="1401" customWidth="1"/>
    <col min="15362" max="15616" width="9.140625" style="1401"/>
    <col min="15617" max="15617" width="100.7109375" style="1401" customWidth="1"/>
    <col min="15618" max="15872" width="9.140625" style="1401"/>
    <col min="15873" max="15873" width="100.7109375" style="1401" customWidth="1"/>
    <col min="15874" max="16128" width="9.140625" style="1401"/>
    <col min="16129" max="16129" width="100.7109375" style="1401" customWidth="1"/>
    <col min="16130" max="16384" width="9.140625" style="1401"/>
  </cols>
  <sheetData>
    <row r="1" spans="1:8" ht="30" customHeight="1">
      <c r="A1" s="1399"/>
      <c r="B1" s="1400"/>
      <c r="C1" s="1400"/>
      <c r="D1" s="1400"/>
      <c r="E1" s="1400"/>
      <c r="F1" s="1400"/>
      <c r="G1" s="1400"/>
      <c r="H1" s="1400"/>
    </row>
    <row r="2" spans="1:8" ht="14.25">
      <c r="A2" s="1402" t="s">
        <v>2126</v>
      </c>
      <c r="B2" s="1400"/>
      <c r="C2" s="1400"/>
      <c r="D2" s="1400"/>
      <c r="E2" s="1400"/>
      <c r="F2" s="1400"/>
      <c r="G2" s="1400"/>
      <c r="H2" s="1400"/>
    </row>
    <row r="3" spans="1:8" ht="14.25">
      <c r="A3" s="1402" t="s">
        <v>2127</v>
      </c>
      <c r="B3" s="1400"/>
      <c r="C3" s="1400"/>
      <c r="D3" s="1400"/>
      <c r="E3" s="1400"/>
      <c r="F3" s="1400"/>
      <c r="G3" s="1400"/>
      <c r="H3" s="1400"/>
    </row>
    <row r="4" spans="1:8" ht="14.25">
      <c r="A4" s="1402" t="s">
        <v>2128</v>
      </c>
      <c r="B4" s="1400"/>
      <c r="C4" s="1400"/>
      <c r="D4" s="1400"/>
      <c r="E4" s="1400"/>
      <c r="F4" s="1400"/>
      <c r="G4" s="1400"/>
      <c r="H4" s="1400"/>
    </row>
    <row r="5" spans="1:8" ht="14.25">
      <c r="A5" s="1402" t="s">
        <v>2129</v>
      </c>
      <c r="B5" s="1400"/>
      <c r="C5" s="1400"/>
      <c r="D5" s="1400"/>
      <c r="E5" s="1400"/>
      <c r="F5" s="1400"/>
      <c r="G5" s="1400"/>
      <c r="H5" s="1400"/>
    </row>
    <row r="6" spans="1:8" ht="14.25">
      <c r="A6" s="1402"/>
      <c r="B6" s="1400"/>
      <c r="C6" s="1400"/>
      <c r="D6" s="1400"/>
      <c r="E6" s="1400"/>
      <c r="F6" s="1400"/>
      <c r="G6" s="1400"/>
      <c r="H6" s="1400"/>
    </row>
    <row r="7" spans="1:8">
      <c r="A7" s="1399" t="s">
        <v>2130</v>
      </c>
      <c r="B7" s="1400"/>
      <c r="C7" s="1400"/>
      <c r="D7" s="1400"/>
      <c r="E7" s="1400"/>
      <c r="F7" s="1400"/>
      <c r="G7" s="1400"/>
      <c r="H7" s="1400"/>
    </row>
    <row r="8" spans="1:8">
      <c r="A8" s="1399" t="s">
        <v>2131</v>
      </c>
      <c r="B8" s="1400"/>
      <c r="C8" s="1400"/>
      <c r="D8" s="1400"/>
      <c r="E8" s="1400"/>
      <c r="F8" s="1400"/>
      <c r="G8" s="1400"/>
      <c r="H8" s="1400"/>
    </row>
    <row r="9" spans="1:8">
      <c r="A9" s="1399"/>
      <c r="B9" s="1400"/>
      <c r="C9" s="1400"/>
      <c r="D9" s="1400"/>
      <c r="E9" s="1400"/>
      <c r="F9" s="1400"/>
      <c r="G9" s="1400"/>
      <c r="H9" s="1400"/>
    </row>
    <row r="10" spans="1:8">
      <c r="A10" s="1403" t="s">
        <v>2132</v>
      </c>
      <c r="B10" s="1400"/>
      <c r="C10" s="1400"/>
      <c r="D10" s="1400"/>
      <c r="E10" s="1400"/>
      <c r="F10" s="1400"/>
      <c r="G10" s="1400"/>
      <c r="H10" s="1400"/>
    </row>
    <row r="11" spans="1:8">
      <c r="A11" s="1403" t="s">
        <v>2133</v>
      </c>
      <c r="B11" s="1400"/>
      <c r="C11" s="1400"/>
      <c r="D11" s="1400"/>
      <c r="E11" s="1400"/>
      <c r="F11" s="1400"/>
      <c r="G11" s="1400"/>
      <c r="H11" s="1400"/>
    </row>
    <row r="12" spans="1:8">
      <c r="A12" s="1403" t="s">
        <v>2134</v>
      </c>
      <c r="B12" s="1400"/>
      <c r="C12" s="1400"/>
      <c r="D12" s="1400"/>
      <c r="E12" s="1400"/>
      <c r="F12" s="1400"/>
      <c r="G12" s="1400"/>
      <c r="H12" s="1400"/>
    </row>
    <row r="13" spans="1:8">
      <c r="A13" s="1403" t="s">
        <v>2135</v>
      </c>
      <c r="B13" s="1400"/>
      <c r="C13" s="1400"/>
      <c r="D13" s="1400"/>
      <c r="E13" s="1400"/>
      <c r="F13" s="1400"/>
      <c r="G13" s="1400"/>
      <c r="H13" s="1400"/>
    </row>
    <row r="14" spans="1:8">
      <c r="A14" s="1403" t="s">
        <v>2136</v>
      </c>
      <c r="B14" s="1400"/>
      <c r="C14" s="1400"/>
      <c r="D14" s="1400"/>
      <c r="E14" s="1400"/>
      <c r="F14" s="1400"/>
      <c r="G14" s="1400"/>
      <c r="H14" s="1400"/>
    </row>
    <row r="15" spans="1:8">
      <c r="A15" s="1403" t="s">
        <v>2137</v>
      </c>
      <c r="B15" s="1400"/>
      <c r="C15" s="1400"/>
      <c r="D15" s="1400"/>
      <c r="E15" s="1400"/>
      <c r="F15" s="1400"/>
      <c r="G15" s="1400"/>
      <c r="H15" s="1400"/>
    </row>
    <row r="16" spans="1:8">
      <c r="A16" s="1403"/>
      <c r="B16" s="1400"/>
      <c r="C16" s="1400"/>
      <c r="D16" s="1400"/>
      <c r="E16" s="1400"/>
      <c r="F16" s="1400"/>
      <c r="G16" s="1400"/>
      <c r="H16" s="1400"/>
    </row>
    <row r="17" spans="1:8">
      <c r="A17" s="1403" t="s">
        <v>2123</v>
      </c>
      <c r="B17" s="1400"/>
      <c r="C17" s="1400"/>
      <c r="D17" s="1400"/>
      <c r="E17" s="1400"/>
      <c r="F17" s="1400"/>
      <c r="G17" s="1400"/>
      <c r="H17" s="1400"/>
    </row>
    <row r="18" spans="1:8">
      <c r="A18" s="1403"/>
      <c r="B18" s="1400"/>
      <c r="C18" s="1400"/>
      <c r="D18" s="1400"/>
      <c r="E18" s="1400"/>
      <c r="F18" s="1400"/>
      <c r="G18" s="1400"/>
      <c r="H18" s="1400"/>
    </row>
    <row r="19" spans="1:8">
      <c r="A19" s="1403" t="s">
        <v>2124</v>
      </c>
      <c r="B19" s="1400"/>
      <c r="C19" s="1400"/>
      <c r="D19" s="1400"/>
      <c r="E19" s="1400"/>
      <c r="F19" s="1400"/>
      <c r="G19" s="1400"/>
      <c r="H19" s="1400"/>
    </row>
    <row r="20" spans="1:8">
      <c r="A20" s="1399"/>
      <c r="B20" s="1400"/>
      <c r="C20" s="1400"/>
      <c r="D20" s="1400"/>
      <c r="E20" s="1400"/>
      <c r="F20" s="1400"/>
      <c r="G20" s="1400"/>
      <c r="H20" s="1400"/>
    </row>
    <row r="21" spans="1:8">
      <c r="A21" s="1404" t="s">
        <v>2125</v>
      </c>
      <c r="B21" s="1400"/>
      <c r="C21" s="1400"/>
      <c r="D21" s="1400"/>
      <c r="E21" s="1400"/>
      <c r="F21" s="1400"/>
      <c r="G21" s="1400"/>
      <c r="H21" s="1400"/>
    </row>
    <row r="22" spans="1:8" ht="15">
      <c r="A22" s="1405"/>
      <c r="B22" s="1405"/>
      <c r="C22" s="1405"/>
      <c r="D22" s="1405"/>
      <c r="E22" s="1405"/>
      <c r="F22" s="1405"/>
      <c r="G22" s="1405"/>
      <c r="H22" s="1405"/>
    </row>
    <row r="23" spans="1:8" ht="15">
      <c r="A23" s="1406" t="s">
        <v>2417</v>
      </c>
      <c r="B23" s="1405"/>
      <c r="C23" s="1405"/>
      <c r="D23" s="1405"/>
      <c r="E23" s="1405"/>
      <c r="F23" s="1405"/>
      <c r="G23" s="1405"/>
      <c r="H23" s="1405"/>
    </row>
    <row r="24" spans="1:8" ht="15">
      <c r="A24" s="1406" t="s">
        <v>2418</v>
      </c>
      <c r="B24" s="1405"/>
      <c r="C24" s="1405"/>
      <c r="D24" s="1405"/>
      <c r="E24" s="1405"/>
      <c r="F24" s="1405"/>
      <c r="G24" s="1405"/>
      <c r="H24" s="1405"/>
    </row>
    <row r="25" spans="1:8" ht="15">
      <c r="A25" s="1406" t="s">
        <v>2419</v>
      </c>
      <c r="B25" s="1405"/>
      <c r="C25" s="1405"/>
      <c r="D25" s="1405"/>
      <c r="E25" s="1405"/>
      <c r="F25" s="1405"/>
      <c r="G25" s="1405"/>
      <c r="H25" s="1405"/>
    </row>
    <row r="26" spans="1:8" ht="15">
      <c r="A26" s="1406" t="s">
        <v>2420</v>
      </c>
      <c r="B26" s="1405"/>
      <c r="C26" s="1405"/>
      <c r="D26" s="1405"/>
      <c r="E26" s="1405"/>
      <c r="F26" s="1405"/>
      <c r="G26" s="1405"/>
      <c r="H26" s="1405"/>
    </row>
    <row r="27" spans="1:8" ht="15">
      <c r="A27" s="1405"/>
      <c r="B27" s="1405"/>
      <c r="C27" s="1405"/>
      <c r="D27" s="1405"/>
      <c r="E27" s="1405"/>
      <c r="F27" s="1405"/>
      <c r="G27" s="1405"/>
      <c r="H27" s="1405"/>
    </row>
    <row r="28" spans="1:8" ht="15">
      <c r="A28" s="1405"/>
      <c r="B28" s="1405"/>
      <c r="C28" s="1405"/>
      <c r="D28" s="1405"/>
      <c r="E28" s="1405"/>
      <c r="F28" s="1405"/>
      <c r="G28" s="1405"/>
      <c r="H28" s="1405"/>
    </row>
    <row r="29" spans="1:8" ht="15">
      <c r="A29" s="1406" t="s">
        <v>2411</v>
      </c>
      <c r="B29" s="1405"/>
      <c r="C29" s="1405"/>
      <c r="D29" s="1405"/>
      <c r="E29" s="1405"/>
      <c r="F29" s="1405"/>
      <c r="G29" s="1405"/>
      <c r="H29" s="1405"/>
    </row>
    <row r="30" spans="1:8" ht="15">
      <c r="A30" s="1406" t="s">
        <v>2412</v>
      </c>
      <c r="B30" s="1405"/>
      <c r="C30" s="1405"/>
      <c r="D30" s="1405"/>
      <c r="E30" s="1405"/>
      <c r="F30" s="1405"/>
      <c r="G30" s="1405"/>
      <c r="H30" s="1405"/>
    </row>
    <row r="31" spans="1:8" ht="15">
      <c r="A31" s="1406" t="s">
        <v>2413</v>
      </c>
      <c r="B31" s="1405"/>
      <c r="C31" s="1405"/>
      <c r="D31" s="1405"/>
      <c r="E31" s="1405"/>
      <c r="F31" s="1405"/>
      <c r="G31" s="1405"/>
      <c r="H31" s="1405"/>
    </row>
    <row r="32" spans="1:8" ht="15">
      <c r="A32" s="1406" t="s">
        <v>2414</v>
      </c>
      <c r="B32" s="1405"/>
      <c r="C32" s="1405"/>
      <c r="D32" s="1405"/>
      <c r="E32" s="1405"/>
      <c r="F32" s="1405"/>
      <c r="G32" s="1405"/>
      <c r="H32" s="1405"/>
    </row>
    <row r="33" spans="1:8" ht="15">
      <c r="A33" s="1406" t="s">
        <v>2415</v>
      </c>
      <c r="B33" s="1405"/>
      <c r="C33" s="1405"/>
      <c r="D33" s="1405"/>
      <c r="E33" s="1405"/>
      <c r="F33" s="1405"/>
      <c r="G33" s="1405"/>
      <c r="H33" s="1405"/>
    </row>
    <row r="34" spans="1:8" ht="15">
      <c r="A34" s="1406" t="s">
        <v>2416</v>
      </c>
      <c r="B34" s="1405"/>
      <c r="C34" s="1405"/>
      <c r="D34" s="1405"/>
      <c r="E34" s="1405"/>
      <c r="F34" s="1405"/>
      <c r="G34" s="1405"/>
      <c r="H34" s="1405"/>
    </row>
    <row r="35" spans="1:8" ht="15">
      <c r="A35" s="1405"/>
      <c r="B35" s="1405"/>
      <c r="C35" s="1405"/>
      <c r="D35" s="1405"/>
      <c r="E35" s="1405"/>
      <c r="F35" s="1405"/>
      <c r="G35" s="1405"/>
      <c r="H35" s="1405"/>
    </row>
    <row r="36" spans="1:8" ht="15">
      <c r="A36" s="1406" t="s">
        <v>2407</v>
      </c>
      <c r="B36" s="1405"/>
      <c r="C36" s="1405"/>
      <c r="D36" s="1405"/>
      <c r="E36" s="1405"/>
      <c r="F36" s="1405"/>
      <c r="G36" s="1405"/>
      <c r="H36" s="1405"/>
    </row>
    <row r="37" spans="1:8" ht="15">
      <c r="A37" s="1406" t="s">
        <v>2408</v>
      </c>
      <c r="B37" s="1405"/>
      <c r="C37" s="1405"/>
      <c r="D37" s="1405"/>
      <c r="E37" s="1405"/>
      <c r="F37" s="1405"/>
      <c r="G37" s="1405"/>
      <c r="H37" s="1405"/>
    </row>
    <row r="38" spans="1:8" ht="15">
      <c r="A38" s="1406" t="s">
        <v>2409</v>
      </c>
      <c r="B38" s="1405"/>
      <c r="C38" s="1405"/>
      <c r="D38" s="1405"/>
      <c r="E38" s="1405"/>
      <c r="F38" s="1405"/>
      <c r="G38" s="1405"/>
      <c r="H38" s="1405"/>
    </row>
    <row r="39" spans="1:8" ht="15">
      <c r="A39" s="1406" t="s">
        <v>2410</v>
      </c>
      <c r="B39" s="1405"/>
      <c r="C39" s="1405"/>
      <c r="D39" s="1405"/>
      <c r="E39" s="1405"/>
      <c r="F39" s="1405"/>
      <c r="G39" s="1405"/>
      <c r="H39" s="1405"/>
    </row>
    <row r="40" spans="1:8" ht="15">
      <c r="A40" s="1405"/>
      <c r="B40" s="1405"/>
      <c r="C40" s="1405"/>
      <c r="D40" s="1405"/>
      <c r="E40" s="1405"/>
      <c r="F40" s="1405"/>
      <c r="G40" s="1405"/>
      <c r="H40" s="1405"/>
    </row>
    <row r="41" spans="1:8" ht="15">
      <c r="A41" s="1406" t="s">
        <v>2401</v>
      </c>
      <c r="B41" s="1405"/>
      <c r="C41" s="1405"/>
      <c r="D41" s="1405"/>
      <c r="E41" s="1405"/>
      <c r="F41" s="1405"/>
      <c r="G41" s="1405"/>
      <c r="H41" s="1405"/>
    </row>
    <row r="42" spans="1:8" ht="15">
      <c r="A42" s="1406" t="s">
        <v>2402</v>
      </c>
      <c r="B42" s="1405"/>
      <c r="C42" s="1405"/>
      <c r="D42" s="1405"/>
      <c r="E42" s="1405"/>
      <c r="F42" s="1405"/>
      <c r="G42" s="1405"/>
      <c r="H42" s="1405"/>
    </row>
    <row r="43" spans="1:8" ht="15">
      <c r="A43" s="1406" t="s">
        <v>2403</v>
      </c>
      <c r="B43" s="1405"/>
      <c r="C43" s="1405"/>
      <c r="D43" s="1405"/>
      <c r="E43" s="1405"/>
      <c r="F43" s="1405"/>
      <c r="G43" s="1405"/>
      <c r="H43" s="1405"/>
    </row>
    <row r="44" spans="1:8" ht="15">
      <c r="A44" s="1406" t="s">
        <v>2404</v>
      </c>
      <c r="B44" s="1405"/>
      <c r="C44" s="1405"/>
      <c r="D44" s="1405"/>
      <c r="E44" s="1405"/>
      <c r="F44" s="1405"/>
      <c r="G44" s="1405"/>
      <c r="H44" s="1405"/>
    </row>
    <row r="45" spans="1:8" ht="15">
      <c r="A45" s="1406" t="s">
        <v>2405</v>
      </c>
      <c r="B45" s="1405"/>
      <c r="C45" s="1405"/>
      <c r="D45" s="1405"/>
      <c r="E45" s="1405"/>
      <c r="F45" s="1405"/>
      <c r="G45" s="1405"/>
      <c r="H45" s="1405"/>
    </row>
    <row r="46" spans="1:8" ht="15">
      <c r="A46" s="1406" t="s">
        <v>2406</v>
      </c>
      <c r="B46" s="1405"/>
      <c r="C46" s="1405"/>
      <c r="D46" s="1405"/>
      <c r="E46" s="1405"/>
      <c r="F46" s="1405"/>
      <c r="G46" s="1405"/>
      <c r="H46" s="1405"/>
    </row>
    <row r="47" spans="1:8" ht="15">
      <c r="A47" s="1405"/>
      <c r="B47" s="1405"/>
      <c r="C47" s="1405"/>
      <c r="D47" s="1405"/>
      <c r="E47" s="1405"/>
      <c r="F47" s="1405"/>
      <c r="G47" s="1405"/>
      <c r="H47" s="1405"/>
    </row>
    <row r="48" spans="1:8" ht="15.75">
      <c r="A48" s="1407" t="s">
        <v>2138</v>
      </c>
      <c r="B48" s="1405"/>
      <c r="C48" s="1405"/>
      <c r="D48" s="1405"/>
      <c r="E48" s="1405"/>
      <c r="F48" s="1405"/>
      <c r="G48" s="1405"/>
      <c r="H48" s="1405"/>
    </row>
    <row r="49" spans="1:8" ht="15">
      <c r="A49" s="1405"/>
      <c r="B49" s="1405"/>
      <c r="C49" s="1405"/>
      <c r="D49" s="1405"/>
      <c r="E49" s="1405"/>
      <c r="F49" s="1405"/>
      <c r="G49" s="1405"/>
      <c r="H49" s="1405"/>
    </row>
    <row r="50" spans="1:8" ht="15">
      <c r="A50" s="1406" t="s">
        <v>2397</v>
      </c>
      <c r="B50" s="1405"/>
      <c r="C50" s="1405"/>
      <c r="D50" s="1405"/>
      <c r="E50" s="1405"/>
      <c r="F50" s="1405"/>
      <c r="G50" s="1405"/>
      <c r="H50" s="1405"/>
    </row>
    <row r="51" spans="1:8" ht="15">
      <c r="A51" s="1406" t="s">
        <v>2398</v>
      </c>
      <c r="B51" s="1405"/>
      <c r="C51" s="1405"/>
      <c r="D51" s="1405"/>
      <c r="E51" s="1405"/>
      <c r="F51" s="1405"/>
      <c r="G51" s="1405"/>
      <c r="H51" s="1405"/>
    </row>
    <row r="52" spans="1:8" ht="15">
      <c r="A52" s="1406" t="s">
        <v>2399</v>
      </c>
      <c r="B52" s="1405"/>
      <c r="C52" s="1405"/>
      <c r="D52" s="1405"/>
      <c r="E52" s="1405"/>
      <c r="F52" s="1405"/>
      <c r="G52" s="1405"/>
      <c r="H52" s="1405"/>
    </row>
    <row r="53" spans="1:8" ht="15">
      <c r="A53" s="1406" t="s">
        <v>2400</v>
      </c>
      <c r="B53" s="1405"/>
      <c r="C53" s="1405"/>
      <c r="D53" s="1405"/>
      <c r="E53" s="1405"/>
      <c r="F53" s="1405"/>
      <c r="G53" s="1405"/>
      <c r="H53" s="1405"/>
    </row>
    <row r="54" spans="1:8" ht="15">
      <c r="A54" s="1405"/>
      <c r="B54" s="1405"/>
      <c r="C54" s="1405"/>
      <c r="D54" s="1405"/>
      <c r="E54" s="1405"/>
      <c r="F54" s="1405"/>
      <c r="G54" s="1405"/>
      <c r="H54" s="1405"/>
    </row>
    <row r="55" spans="1:8" ht="15">
      <c r="A55" s="1406" t="s">
        <v>2139</v>
      </c>
      <c r="B55" s="1405"/>
      <c r="C55" s="1405"/>
      <c r="D55" s="1405"/>
      <c r="E55" s="1405"/>
      <c r="F55" s="1405"/>
      <c r="G55" s="1405"/>
      <c r="H55" s="1405"/>
    </row>
    <row r="56" spans="1:8" ht="15">
      <c r="A56" s="1405"/>
      <c r="B56" s="1405"/>
      <c r="C56" s="1405"/>
      <c r="D56" s="1405"/>
      <c r="E56" s="1405"/>
      <c r="F56" s="1405"/>
      <c r="G56" s="1405"/>
      <c r="H56" s="1405"/>
    </row>
    <row r="57" spans="1:8" ht="15.75">
      <c r="A57" s="1407" t="s">
        <v>2140</v>
      </c>
      <c r="B57" s="1405"/>
      <c r="C57" s="1405"/>
      <c r="D57" s="1405"/>
      <c r="E57" s="1405"/>
      <c r="F57" s="1405"/>
      <c r="G57" s="1405"/>
      <c r="H57" s="1405"/>
    </row>
    <row r="58" spans="1:8" ht="15">
      <c r="A58" s="1405"/>
      <c r="B58" s="1405"/>
      <c r="C58" s="1405"/>
      <c r="D58" s="1405"/>
      <c r="E58" s="1405"/>
      <c r="F58" s="1405"/>
      <c r="G58" s="1405"/>
      <c r="H58" s="1405"/>
    </row>
    <row r="59" spans="1:8" ht="15">
      <c r="A59" s="1406" t="s">
        <v>2395</v>
      </c>
      <c r="B59" s="1405"/>
      <c r="C59" s="1405"/>
      <c r="D59" s="1405"/>
      <c r="E59" s="1405"/>
      <c r="F59" s="1405"/>
      <c r="G59" s="1405"/>
      <c r="H59" s="1405"/>
    </row>
    <row r="60" spans="1:8" ht="15">
      <c r="A60" s="1406" t="s">
        <v>2396</v>
      </c>
      <c r="B60" s="1405"/>
      <c r="C60" s="1405"/>
      <c r="D60" s="1405"/>
      <c r="E60" s="1405"/>
      <c r="F60" s="1405"/>
      <c r="G60" s="1405"/>
      <c r="H60" s="1405"/>
    </row>
    <row r="61" spans="1:8" ht="15">
      <c r="A61" s="1405"/>
      <c r="B61" s="1405"/>
      <c r="C61" s="1405"/>
      <c r="D61" s="1405"/>
      <c r="E61" s="1405"/>
      <c r="F61" s="1405"/>
      <c r="G61" s="1405"/>
      <c r="H61" s="1405"/>
    </row>
    <row r="62" spans="1:8" ht="15.75">
      <c r="A62" s="1407" t="s">
        <v>2141</v>
      </c>
      <c r="B62" s="1405"/>
      <c r="C62" s="1405"/>
      <c r="D62" s="1405"/>
      <c r="E62" s="1405"/>
      <c r="F62" s="1405"/>
      <c r="G62" s="1405"/>
      <c r="H62" s="1405"/>
    </row>
    <row r="63" spans="1:8" ht="15">
      <c r="A63" s="1405"/>
      <c r="B63" s="1405"/>
      <c r="C63" s="1405"/>
      <c r="D63" s="1405"/>
      <c r="E63" s="1405"/>
      <c r="F63" s="1405"/>
      <c r="G63" s="1405"/>
      <c r="H63" s="1405"/>
    </row>
    <row r="64" spans="1:8" ht="15">
      <c r="A64" s="1406" t="s">
        <v>2393</v>
      </c>
      <c r="B64" s="1405"/>
      <c r="C64" s="1405"/>
      <c r="D64" s="1405"/>
      <c r="E64" s="1405"/>
      <c r="F64" s="1405"/>
      <c r="G64" s="1405"/>
      <c r="H64" s="1405"/>
    </row>
    <row r="65" spans="1:8" ht="15">
      <c r="A65" s="1406" t="s">
        <v>2394</v>
      </c>
      <c r="B65" s="1405"/>
      <c r="C65" s="1405"/>
      <c r="D65" s="1405"/>
      <c r="E65" s="1405"/>
      <c r="F65" s="1405"/>
      <c r="G65" s="1405"/>
      <c r="H65" s="1405"/>
    </row>
    <row r="66" spans="1:8" ht="15">
      <c r="A66" s="1405"/>
      <c r="B66" s="1405"/>
      <c r="C66" s="1405"/>
      <c r="D66" s="1405"/>
      <c r="E66" s="1405"/>
      <c r="F66" s="1405"/>
      <c r="G66" s="1405"/>
      <c r="H66" s="1405"/>
    </row>
    <row r="67" spans="1:8" ht="15">
      <c r="A67" s="1406" t="s">
        <v>2391</v>
      </c>
      <c r="B67" s="1405"/>
      <c r="C67" s="1405"/>
      <c r="D67" s="1405"/>
      <c r="E67" s="1405"/>
      <c r="F67" s="1405"/>
      <c r="G67" s="1405"/>
      <c r="H67" s="1405"/>
    </row>
    <row r="68" spans="1:8" ht="15">
      <c r="A68" s="1406" t="s">
        <v>2392</v>
      </c>
      <c r="B68" s="1405"/>
      <c r="C68" s="1405"/>
      <c r="D68" s="1405"/>
      <c r="E68" s="1405"/>
      <c r="F68" s="1405"/>
      <c r="G68" s="1405"/>
      <c r="H68" s="1405"/>
    </row>
    <row r="69" spans="1:8" ht="15">
      <c r="A69" s="1405"/>
      <c r="B69" s="1405"/>
      <c r="C69" s="1405"/>
      <c r="D69" s="1405"/>
      <c r="E69" s="1405"/>
      <c r="F69" s="1405"/>
      <c r="G69" s="1405"/>
      <c r="H69" s="1405"/>
    </row>
    <row r="70" spans="1:8" ht="15">
      <c r="A70" s="1406" t="s">
        <v>2389</v>
      </c>
      <c r="B70" s="1405"/>
      <c r="C70" s="1405"/>
      <c r="D70" s="1405"/>
      <c r="E70" s="1405"/>
      <c r="F70" s="1405"/>
      <c r="G70" s="1405"/>
      <c r="H70" s="1405"/>
    </row>
    <row r="71" spans="1:8" ht="15">
      <c r="A71" s="1406" t="s">
        <v>2390</v>
      </c>
      <c r="B71" s="1405"/>
      <c r="C71" s="1405"/>
      <c r="D71" s="1405"/>
      <c r="E71" s="1405"/>
      <c r="F71" s="1405"/>
      <c r="G71" s="1405"/>
      <c r="H71" s="1405"/>
    </row>
    <row r="72" spans="1:8" ht="15">
      <c r="A72" s="1405"/>
      <c r="B72" s="1405"/>
      <c r="C72" s="1405"/>
      <c r="D72" s="1405"/>
      <c r="E72" s="1405"/>
      <c r="F72" s="1405"/>
      <c r="G72" s="1405"/>
      <c r="H72" s="1405"/>
    </row>
    <row r="73" spans="1:8" ht="15">
      <c r="A73" s="1406" t="s">
        <v>2386</v>
      </c>
      <c r="B73" s="1405"/>
      <c r="C73" s="1405"/>
      <c r="D73" s="1405"/>
      <c r="E73" s="1405"/>
      <c r="F73" s="1405"/>
      <c r="G73" s="1405"/>
      <c r="H73" s="1405"/>
    </row>
    <row r="74" spans="1:8" ht="15">
      <c r="A74" s="1406" t="s">
        <v>2387</v>
      </c>
      <c r="B74" s="1405"/>
      <c r="C74" s="1405"/>
      <c r="D74" s="1405"/>
      <c r="E74" s="1405"/>
      <c r="F74" s="1405"/>
      <c r="G74" s="1405"/>
      <c r="H74" s="1405"/>
    </row>
    <row r="75" spans="1:8" ht="15">
      <c r="A75" s="1406" t="s">
        <v>2388</v>
      </c>
      <c r="B75" s="1405"/>
      <c r="C75" s="1405"/>
      <c r="D75" s="1405"/>
      <c r="E75" s="1405"/>
      <c r="F75" s="1405"/>
      <c r="G75" s="1405"/>
      <c r="H75" s="1405"/>
    </row>
    <row r="76" spans="1:8" ht="15">
      <c r="A76" s="1405"/>
      <c r="B76" s="1405"/>
      <c r="C76" s="1405"/>
      <c r="D76" s="1405"/>
      <c r="E76" s="1405"/>
      <c r="F76" s="1405"/>
      <c r="G76" s="1405"/>
      <c r="H76" s="1405"/>
    </row>
    <row r="77" spans="1:8" ht="15">
      <c r="A77" s="1406" t="s">
        <v>2142</v>
      </c>
      <c r="B77" s="1405"/>
      <c r="C77" s="1405"/>
      <c r="D77" s="1405"/>
      <c r="E77" s="1405"/>
      <c r="F77" s="1405"/>
      <c r="G77" s="1405"/>
      <c r="H77" s="1405"/>
    </row>
    <row r="78" spans="1:8" ht="15">
      <c r="A78" s="1405"/>
      <c r="B78" s="1405"/>
      <c r="C78" s="1405"/>
      <c r="D78" s="1405"/>
      <c r="E78" s="1405"/>
      <c r="F78" s="1405"/>
      <c r="G78" s="1405"/>
      <c r="H78" s="1405"/>
    </row>
    <row r="79" spans="1:8" ht="15">
      <c r="A79" s="1406" t="s">
        <v>2381</v>
      </c>
      <c r="B79" s="1405"/>
      <c r="C79" s="1405"/>
      <c r="D79" s="1405"/>
      <c r="E79" s="1405"/>
      <c r="F79" s="1405"/>
      <c r="G79" s="1405"/>
      <c r="H79" s="1405"/>
    </row>
    <row r="80" spans="1:8" ht="15">
      <c r="A80" s="1406" t="s">
        <v>2382</v>
      </c>
      <c r="B80" s="1405"/>
      <c r="C80" s="1405"/>
      <c r="D80" s="1405"/>
      <c r="E80" s="1405"/>
      <c r="F80" s="1405"/>
      <c r="G80" s="1405"/>
      <c r="H80" s="1405"/>
    </row>
    <row r="81" spans="1:8" ht="15">
      <c r="A81" s="1406" t="s">
        <v>2383</v>
      </c>
      <c r="B81" s="1405"/>
      <c r="C81" s="1405"/>
      <c r="D81" s="1405"/>
      <c r="E81" s="1405"/>
      <c r="F81" s="1405"/>
      <c r="G81" s="1405"/>
      <c r="H81" s="1405"/>
    </row>
    <row r="82" spans="1:8" ht="15">
      <c r="A82" s="1406" t="s">
        <v>2384</v>
      </c>
      <c r="B82" s="1405"/>
      <c r="C82" s="1405"/>
      <c r="D82" s="1405"/>
      <c r="E82" s="1405"/>
      <c r="F82" s="1405"/>
      <c r="G82" s="1405"/>
      <c r="H82" s="1405"/>
    </row>
    <row r="83" spans="1:8" ht="15">
      <c r="A83" s="1406" t="s">
        <v>2385</v>
      </c>
      <c r="B83" s="1405"/>
      <c r="C83" s="1405"/>
      <c r="D83" s="1405"/>
      <c r="E83" s="1405"/>
      <c r="F83" s="1405"/>
      <c r="G83" s="1405"/>
      <c r="H83" s="1405"/>
    </row>
    <row r="84" spans="1:8" ht="15">
      <c r="A84" s="1406" t="s">
        <v>2268</v>
      </c>
      <c r="B84" s="1405"/>
      <c r="C84" s="1405"/>
      <c r="D84" s="1405"/>
      <c r="E84" s="1405"/>
      <c r="F84" s="1405"/>
      <c r="G84" s="1405"/>
      <c r="H84" s="1405"/>
    </row>
    <row r="85" spans="1:8" ht="15">
      <c r="A85" s="1405"/>
      <c r="B85" s="1405"/>
      <c r="C85" s="1405"/>
      <c r="D85" s="1405"/>
      <c r="E85" s="1405"/>
      <c r="F85" s="1405"/>
      <c r="G85" s="1405"/>
      <c r="H85" s="1405"/>
    </row>
    <row r="86" spans="1:8" ht="15">
      <c r="A86" s="1406" t="s">
        <v>2374</v>
      </c>
      <c r="B86" s="1405"/>
      <c r="C86" s="1405"/>
      <c r="D86" s="1405"/>
      <c r="E86" s="1405"/>
      <c r="F86" s="1405"/>
      <c r="G86" s="1405"/>
      <c r="H86" s="1405"/>
    </row>
    <row r="87" spans="1:8" ht="15">
      <c r="A87" s="1406" t="s">
        <v>2375</v>
      </c>
      <c r="B87" s="1405"/>
      <c r="C87" s="1405"/>
      <c r="D87" s="1405"/>
      <c r="E87" s="1405"/>
      <c r="F87" s="1405"/>
      <c r="G87" s="1405"/>
      <c r="H87" s="1405"/>
    </row>
    <row r="88" spans="1:8" ht="15">
      <c r="A88" s="1406" t="s">
        <v>2376</v>
      </c>
      <c r="B88" s="1405"/>
      <c r="C88" s="1405"/>
      <c r="D88" s="1405"/>
      <c r="E88" s="1405"/>
      <c r="F88" s="1405"/>
      <c r="G88" s="1405"/>
      <c r="H88" s="1405"/>
    </row>
    <row r="89" spans="1:8" ht="15">
      <c r="A89" s="1406" t="s">
        <v>2377</v>
      </c>
      <c r="B89" s="1405"/>
      <c r="C89" s="1405"/>
      <c r="D89" s="1405"/>
      <c r="E89" s="1405"/>
      <c r="F89" s="1405"/>
      <c r="G89" s="1405"/>
      <c r="H89" s="1405"/>
    </row>
    <row r="90" spans="1:8" ht="15">
      <c r="A90" s="1406" t="s">
        <v>2378</v>
      </c>
      <c r="B90" s="1405"/>
      <c r="C90" s="1405"/>
      <c r="D90" s="1405"/>
      <c r="E90" s="1405"/>
      <c r="F90" s="1405"/>
      <c r="G90" s="1405"/>
      <c r="H90" s="1405"/>
    </row>
    <row r="91" spans="1:8" ht="15">
      <c r="A91" s="1406" t="s">
        <v>2379</v>
      </c>
      <c r="B91" s="1405"/>
      <c r="C91" s="1405"/>
      <c r="D91" s="1405"/>
      <c r="E91" s="1405"/>
      <c r="F91" s="1405"/>
      <c r="G91" s="1405"/>
      <c r="H91" s="1405"/>
    </row>
    <row r="92" spans="1:8" ht="15">
      <c r="A92" s="1406" t="s">
        <v>2380</v>
      </c>
      <c r="B92" s="1405"/>
      <c r="C92" s="1405"/>
      <c r="D92" s="1405"/>
      <c r="E92" s="1405"/>
      <c r="F92" s="1405"/>
      <c r="G92" s="1405"/>
      <c r="H92" s="1405"/>
    </row>
    <row r="93" spans="1:8" ht="15">
      <c r="A93" s="1405"/>
      <c r="B93" s="1405"/>
      <c r="C93" s="1405"/>
      <c r="D93" s="1405"/>
      <c r="E93" s="1405"/>
      <c r="F93" s="1405"/>
      <c r="G93" s="1405"/>
      <c r="H93" s="1405"/>
    </row>
    <row r="94" spans="1:8" ht="15">
      <c r="A94" s="1406" t="s">
        <v>2372</v>
      </c>
      <c r="B94" s="1405"/>
      <c r="C94" s="1405"/>
      <c r="D94" s="1405"/>
      <c r="E94" s="1405"/>
      <c r="F94" s="1405"/>
      <c r="G94" s="1405"/>
      <c r="H94" s="1405"/>
    </row>
    <row r="95" spans="1:8" ht="15">
      <c r="A95" s="1406" t="s">
        <v>2373</v>
      </c>
      <c r="B95" s="1405"/>
      <c r="C95" s="1405"/>
      <c r="D95" s="1405"/>
      <c r="E95" s="1405"/>
      <c r="F95" s="1405"/>
      <c r="G95" s="1405"/>
      <c r="H95" s="1405"/>
    </row>
    <row r="96" spans="1:8" ht="15">
      <c r="A96" s="1405"/>
      <c r="B96" s="1405"/>
      <c r="C96" s="1405"/>
      <c r="D96" s="1405"/>
      <c r="E96" s="1405"/>
      <c r="F96" s="1405"/>
      <c r="G96" s="1405"/>
      <c r="H96" s="1405"/>
    </row>
    <row r="97" spans="1:8" ht="15.75">
      <c r="A97" s="1407" t="s">
        <v>2143</v>
      </c>
      <c r="B97" s="1405"/>
      <c r="C97" s="1405"/>
      <c r="D97" s="1405"/>
      <c r="E97" s="1405"/>
      <c r="F97" s="1405"/>
      <c r="G97" s="1405"/>
      <c r="H97" s="1405"/>
    </row>
    <row r="98" spans="1:8" ht="15">
      <c r="A98" s="1405"/>
      <c r="B98" s="1405"/>
      <c r="C98" s="1405"/>
      <c r="D98" s="1405"/>
      <c r="E98" s="1405"/>
      <c r="F98" s="1405"/>
      <c r="G98" s="1405"/>
      <c r="H98" s="1405"/>
    </row>
    <row r="99" spans="1:8" ht="15">
      <c r="A99" s="1406" t="s">
        <v>2363</v>
      </c>
      <c r="B99" s="1405"/>
      <c r="C99" s="1405"/>
      <c r="D99" s="1405"/>
      <c r="E99" s="1405"/>
      <c r="F99" s="1405"/>
      <c r="G99" s="1405"/>
      <c r="H99" s="1405"/>
    </row>
    <row r="100" spans="1:8" ht="15">
      <c r="A100" s="1406" t="s">
        <v>2364</v>
      </c>
      <c r="B100" s="1405"/>
      <c r="C100" s="1405"/>
      <c r="D100" s="1405"/>
      <c r="E100" s="1405"/>
      <c r="F100" s="1405"/>
      <c r="G100" s="1405"/>
      <c r="H100" s="1405"/>
    </row>
    <row r="101" spans="1:8" ht="15">
      <c r="A101" s="1406" t="s">
        <v>2365</v>
      </c>
      <c r="B101" s="1405"/>
      <c r="C101" s="1405"/>
      <c r="D101" s="1405"/>
      <c r="E101" s="1405"/>
      <c r="F101" s="1405"/>
      <c r="G101" s="1405"/>
      <c r="H101" s="1405"/>
    </row>
    <row r="102" spans="1:8" ht="15">
      <c r="A102" s="1406" t="s">
        <v>2366</v>
      </c>
      <c r="B102" s="1405"/>
      <c r="C102" s="1405"/>
      <c r="D102" s="1405"/>
      <c r="E102" s="1405"/>
      <c r="F102" s="1405"/>
      <c r="G102" s="1405"/>
      <c r="H102" s="1405"/>
    </row>
    <row r="103" spans="1:8" ht="15">
      <c r="A103" s="1406" t="s">
        <v>2367</v>
      </c>
      <c r="B103" s="1405"/>
      <c r="C103" s="1405"/>
      <c r="D103" s="1405"/>
      <c r="E103" s="1405"/>
      <c r="F103" s="1405"/>
      <c r="G103" s="1405"/>
      <c r="H103" s="1405"/>
    </row>
    <row r="104" spans="1:8" ht="15">
      <c r="A104" s="1406" t="s">
        <v>2368</v>
      </c>
      <c r="B104" s="1405"/>
      <c r="C104" s="1405"/>
      <c r="D104" s="1405"/>
      <c r="E104" s="1405"/>
      <c r="F104" s="1405"/>
      <c r="G104" s="1405"/>
      <c r="H104" s="1405"/>
    </row>
    <row r="105" spans="1:8" ht="15">
      <c r="A105" s="1406" t="s">
        <v>2369</v>
      </c>
      <c r="B105" s="1405"/>
      <c r="C105" s="1405"/>
      <c r="D105" s="1405"/>
      <c r="E105" s="1405"/>
      <c r="F105" s="1405"/>
      <c r="G105" s="1405"/>
      <c r="H105" s="1405"/>
    </row>
    <row r="106" spans="1:8" ht="15">
      <c r="A106" s="1406" t="s">
        <v>2370</v>
      </c>
      <c r="B106" s="1405"/>
      <c r="C106" s="1405"/>
      <c r="D106" s="1405"/>
      <c r="E106" s="1405"/>
      <c r="F106" s="1405"/>
      <c r="G106" s="1405"/>
      <c r="H106" s="1405"/>
    </row>
    <row r="107" spans="1:8" ht="15">
      <c r="A107" s="1406" t="s">
        <v>2371</v>
      </c>
      <c r="B107" s="1405"/>
      <c r="C107" s="1405"/>
      <c r="D107" s="1405"/>
      <c r="E107" s="1405"/>
      <c r="F107" s="1405"/>
      <c r="G107" s="1405"/>
      <c r="H107" s="1405"/>
    </row>
    <row r="108" spans="1:8" ht="15">
      <c r="A108" s="1405"/>
      <c r="B108" s="1405"/>
      <c r="C108" s="1405"/>
      <c r="D108" s="1405"/>
      <c r="E108" s="1405"/>
      <c r="F108" s="1405"/>
      <c r="G108" s="1405"/>
      <c r="H108" s="1405"/>
    </row>
    <row r="109" spans="1:8" ht="15.75">
      <c r="A109" s="1422" t="s">
        <v>2144</v>
      </c>
      <c r="B109" s="1422"/>
      <c r="C109" s="1422"/>
      <c r="D109" s="1422"/>
      <c r="E109" s="1422"/>
      <c r="F109" s="1422"/>
      <c r="G109" s="1422"/>
      <c r="H109" s="1422"/>
    </row>
    <row r="110" spans="1:8">
      <c r="A110" s="1418" t="s">
        <v>2145</v>
      </c>
      <c r="B110" s="1418"/>
      <c r="C110" s="1418"/>
      <c r="D110" s="1418"/>
      <c r="E110" s="1418"/>
      <c r="F110" s="1418"/>
      <c r="G110" s="1418"/>
      <c r="H110" s="1418"/>
    </row>
    <row r="111" spans="1:8" ht="15">
      <c r="A111" s="1423"/>
      <c r="B111" s="1423"/>
      <c r="C111" s="1423"/>
      <c r="D111" s="1423"/>
      <c r="E111" s="1423"/>
      <c r="F111" s="1423"/>
      <c r="G111" s="1423"/>
      <c r="H111" s="1423"/>
    </row>
    <row r="112" spans="1:8">
      <c r="A112" s="1418" t="s">
        <v>2361</v>
      </c>
      <c r="B112" s="1418"/>
      <c r="C112" s="1418"/>
      <c r="D112" s="1418"/>
      <c r="E112" s="1418"/>
      <c r="F112" s="1418"/>
      <c r="G112" s="1418"/>
      <c r="H112" s="1418"/>
    </row>
    <row r="113" spans="1:8">
      <c r="A113" s="1406" t="s">
        <v>2362</v>
      </c>
      <c r="B113" s="1406"/>
      <c r="C113" s="1406"/>
      <c r="D113" s="1406"/>
      <c r="E113" s="1406"/>
      <c r="F113" s="1406"/>
      <c r="G113" s="1406"/>
      <c r="H113" s="1406"/>
    </row>
    <row r="114" spans="1:8" ht="15">
      <c r="A114" s="1423"/>
      <c r="B114" s="1423"/>
      <c r="C114" s="1423"/>
      <c r="D114" s="1423"/>
      <c r="E114" s="1423"/>
      <c r="F114" s="1423"/>
      <c r="G114" s="1423"/>
      <c r="H114" s="1423"/>
    </row>
    <row r="115" spans="1:8">
      <c r="A115" s="1418" t="s">
        <v>2354</v>
      </c>
      <c r="B115" s="1418"/>
      <c r="C115" s="1418"/>
      <c r="D115" s="1418"/>
      <c r="E115" s="1418"/>
      <c r="F115" s="1418"/>
      <c r="G115" s="1418"/>
      <c r="H115" s="1418"/>
    </row>
    <row r="116" spans="1:8">
      <c r="A116" s="1406" t="s">
        <v>2355</v>
      </c>
      <c r="B116" s="1406"/>
      <c r="C116" s="1406"/>
      <c r="D116" s="1406"/>
      <c r="E116" s="1406"/>
      <c r="F116" s="1406"/>
      <c r="G116" s="1406"/>
      <c r="H116" s="1406"/>
    </row>
    <row r="117" spans="1:8">
      <c r="A117" s="1406" t="s">
        <v>2356</v>
      </c>
      <c r="B117" s="1406"/>
      <c r="C117" s="1406"/>
      <c r="D117" s="1406"/>
      <c r="E117" s="1406"/>
      <c r="F117" s="1406"/>
      <c r="G117" s="1406"/>
      <c r="H117" s="1406"/>
    </row>
    <row r="118" spans="1:8">
      <c r="A118" s="1406" t="s">
        <v>2357</v>
      </c>
      <c r="B118" s="1406"/>
      <c r="C118" s="1406"/>
      <c r="D118" s="1406"/>
      <c r="E118" s="1406"/>
      <c r="F118" s="1406"/>
      <c r="G118" s="1406"/>
      <c r="H118" s="1406"/>
    </row>
    <row r="119" spans="1:8">
      <c r="A119" s="1406" t="s">
        <v>2358</v>
      </c>
      <c r="B119" s="1406"/>
      <c r="C119" s="1406"/>
      <c r="D119" s="1406"/>
      <c r="E119" s="1406"/>
      <c r="F119" s="1406"/>
      <c r="G119" s="1406"/>
      <c r="H119" s="1406"/>
    </row>
    <row r="120" spans="1:8">
      <c r="A120" s="1406" t="s">
        <v>2359</v>
      </c>
      <c r="B120" s="1406"/>
      <c r="C120" s="1406"/>
      <c r="D120" s="1406"/>
      <c r="E120" s="1406"/>
      <c r="F120" s="1406"/>
      <c r="G120" s="1406"/>
      <c r="H120" s="1406"/>
    </row>
    <row r="121" spans="1:8">
      <c r="A121" s="1406" t="s">
        <v>2360</v>
      </c>
      <c r="B121" s="1406"/>
      <c r="C121" s="1406"/>
      <c r="D121" s="1406"/>
      <c r="E121" s="1406"/>
      <c r="F121" s="1406"/>
      <c r="G121" s="1406"/>
      <c r="H121" s="1406"/>
    </row>
    <row r="122" spans="1:8" ht="15">
      <c r="A122" s="1424"/>
      <c r="B122" s="1424"/>
      <c r="C122" s="1424"/>
      <c r="D122" s="1424"/>
      <c r="E122" s="1424"/>
      <c r="F122" s="1424"/>
      <c r="G122" s="1424"/>
      <c r="H122" s="1424"/>
    </row>
    <row r="123" spans="1:8">
      <c r="A123" s="1408"/>
      <c r="B123" s="1419" t="s">
        <v>2146</v>
      </c>
      <c r="C123" s="1420"/>
      <c r="D123" s="1419" t="s">
        <v>2147</v>
      </c>
      <c r="E123" s="1421"/>
      <c r="F123" s="1420"/>
      <c r="G123" s="1419" t="s">
        <v>2148</v>
      </c>
      <c r="H123" s="1420"/>
    </row>
    <row r="124" spans="1:8">
      <c r="A124" s="1408" t="s">
        <v>2149</v>
      </c>
      <c r="B124" s="1408" t="s">
        <v>670</v>
      </c>
      <c r="C124" s="1408" t="s">
        <v>2150</v>
      </c>
      <c r="D124" s="1408" t="s">
        <v>670</v>
      </c>
      <c r="E124" s="1408" t="s">
        <v>2151</v>
      </c>
      <c r="F124" s="1408" t="s">
        <v>2152</v>
      </c>
      <c r="G124" s="1408" t="s">
        <v>670</v>
      </c>
      <c r="H124" s="1408" t="s">
        <v>2153</v>
      </c>
    </row>
    <row r="125" spans="1:8">
      <c r="A125" s="1408" t="s">
        <v>2154</v>
      </c>
      <c r="B125" s="1408">
        <v>1189</v>
      </c>
      <c r="C125" s="1409">
        <v>0.38</v>
      </c>
      <c r="D125" s="1408">
        <v>315</v>
      </c>
      <c r="E125" s="1409">
        <v>0.41</v>
      </c>
      <c r="F125" s="1409">
        <v>0.26</v>
      </c>
      <c r="G125" s="1408">
        <v>555</v>
      </c>
      <c r="H125" s="1409">
        <v>0.39</v>
      </c>
    </row>
    <row r="126" spans="1:8">
      <c r="A126" s="1408" t="s">
        <v>2155</v>
      </c>
      <c r="B126" s="1408">
        <v>1355</v>
      </c>
      <c r="C126" s="1409">
        <v>0.43</v>
      </c>
      <c r="D126" s="1408">
        <v>364</v>
      </c>
      <c r="E126" s="1409">
        <v>0.47</v>
      </c>
      <c r="F126" s="1409">
        <v>0.27</v>
      </c>
      <c r="G126" s="1408">
        <v>644</v>
      </c>
      <c r="H126" s="1409">
        <v>0.45</v>
      </c>
    </row>
    <row r="127" spans="1:8">
      <c r="A127" s="1408" t="s">
        <v>2156</v>
      </c>
      <c r="B127" s="1408">
        <v>53</v>
      </c>
      <c r="C127" s="1409">
        <v>0.02</v>
      </c>
      <c r="D127" s="1408">
        <v>4</v>
      </c>
      <c r="E127" s="1409">
        <v>0.01</v>
      </c>
      <c r="F127" s="1409">
        <v>0.08</v>
      </c>
      <c r="G127" s="1408">
        <v>7</v>
      </c>
      <c r="H127" s="1409">
        <v>0</v>
      </c>
    </row>
    <row r="128" spans="1:8">
      <c r="A128" s="1408" t="s">
        <v>2157</v>
      </c>
      <c r="B128" s="1408">
        <v>545</v>
      </c>
      <c r="C128" s="1409">
        <v>0.17</v>
      </c>
      <c r="D128" s="1408">
        <v>84</v>
      </c>
      <c r="E128" s="1409">
        <v>0.11</v>
      </c>
      <c r="F128" s="1409">
        <v>0.15</v>
      </c>
      <c r="G128" s="1408">
        <v>214</v>
      </c>
      <c r="H128" s="1409">
        <v>0.15</v>
      </c>
    </row>
    <row r="129" spans="1:8">
      <c r="A129" s="1408" t="s">
        <v>13</v>
      </c>
      <c r="B129" s="1410">
        <v>3142</v>
      </c>
      <c r="C129" s="1408"/>
      <c r="D129" s="1408">
        <v>767</v>
      </c>
      <c r="E129" s="1408"/>
      <c r="F129" s="1408"/>
      <c r="G129" s="1408">
        <v>1420</v>
      </c>
      <c r="H129" s="1408"/>
    </row>
    <row r="130" spans="1:8" ht="15">
      <c r="A130" s="1417"/>
      <c r="B130" s="1417"/>
      <c r="C130" s="1417"/>
      <c r="D130" s="1417"/>
      <c r="E130" s="1417"/>
      <c r="F130" s="1417"/>
      <c r="G130" s="1417"/>
      <c r="H130" s="1417"/>
    </row>
    <row r="131" spans="1:8">
      <c r="A131" s="1418" t="s">
        <v>2350</v>
      </c>
      <c r="B131" s="1418"/>
      <c r="C131" s="1418"/>
      <c r="D131" s="1418"/>
      <c r="E131" s="1418"/>
      <c r="F131" s="1418"/>
      <c r="G131" s="1418"/>
      <c r="H131" s="1418"/>
    </row>
    <row r="132" spans="1:8">
      <c r="A132" s="1406" t="s">
        <v>2351</v>
      </c>
      <c r="B132" s="1406"/>
      <c r="C132" s="1406"/>
      <c r="D132" s="1406"/>
      <c r="E132" s="1406"/>
      <c r="F132" s="1406"/>
      <c r="G132" s="1406"/>
      <c r="H132" s="1406"/>
    </row>
    <row r="133" spans="1:8">
      <c r="A133" s="1406" t="s">
        <v>2352</v>
      </c>
      <c r="B133" s="1406"/>
      <c r="C133" s="1406"/>
      <c r="D133" s="1406"/>
      <c r="E133" s="1406"/>
      <c r="F133" s="1406"/>
      <c r="G133" s="1406"/>
      <c r="H133" s="1406"/>
    </row>
    <row r="134" spans="1:8">
      <c r="A134" s="1406" t="s">
        <v>2353</v>
      </c>
      <c r="B134" s="1406"/>
      <c r="C134" s="1406"/>
      <c r="D134" s="1406"/>
      <c r="E134" s="1406"/>
      <c r="F134" s="1406"/>
      <c r="G134" s="1406"/>
      <c r="H134" s="1406"/>
    </row>
    <row r="135" spans="1:8" ht="15">
      <c r="A135" s="1405"/>
      <c r="B135" s="1405"/>
      <c r="C135" s="1405"/>
      <c r="D135" s="1405"/>
      <c r="E135" s="1405"/>
      <c r="F135" s="1405"/>
      <c r="G135" s="1405"/>
      <c r="H135" s="1405"/>
    </row>
    <row r="136" spans="1:8" ht="15.75">
      <c r="A136" s="1407" t="s">
        <v>2158</v>
      </c>
      <c r="B136" s="1405"/>
      <c r="C136" s="1405"/>
      <c r="D136" s="1405"/>
      <c r="E136" s="1405"/>
      <c r="F136" s="1405"/>
      <c r="G136" s="1405"/>
      <c r="H136" s="1405"/>
    </row>
    <row r="137" spans="1:8" ht="15">
      <c r="A137" s="1405"/>
      <c r="B137" s="1405"/>
      <c r="C137" s="1405"/>
      <c r="D137" s="1405"/>
      <c r="E137" s="1405"/>
      <c r="F137" s="1405"/>
      <c r="G137" s="1405"/>
      <c r="H137" s="1405"/>
    </row>
    <row r="138" spans="1:8" ht="15">
      <c r="A138" s="1406" t="s">
        <v>2348</v>
      </c>
      <c r="B138" s="1405"/>
      <c r="C138" s="1405"/>
      <c r="D138" s="1405"/>
      <c r="E138" s="1405"/>
      <c r="F138" s="1405"/>
      <c r="G138" s="1405"/>
      <c r="H138" s="1405"/>
    </row>
    <row r="139" spans="1:8" ht="15">
      <c r="A139" s="1406" t="s">
        <v>2349</v>
      </c>
      <c r="B139" s="1405"/>
      <c r="C139" s="1405"/>
      <c r="D139" s="1405"/>
      <c r="E139" s="1405"/>
      <c r="F139" s="1405"/>
      <c r="G139" s="1405"/>
      <c r="H139" s="1405"/>
    </row>
    <row r="140" spans="1:8" ht="15">
      <c r="A140" s="1405"/>
      <c r="B140" s="1405"/>
      <c r="C140" s="1405"/>
      <c r="D140" s="1405"/>
      <c r="E140" s="1405"/>
      <c r="F140" s="1405"/>
      <c r="G140" s="1405"/>
      <c r="H140" s="1405"/>
    </row>
    <row r="141" spans="1:8" ht="15">
      <c r="A141" s="1406" t="s">
        <v>2345</v>
      </c>
      <c r="B141" s="1405"/>
      <c r="C141" s="1405"/>
      <c r="D141" s="1405"/>
      <c r="E141" s="1405"/>
      <c r="F141" s="1405"/>
      <c r="G141" s="1405"/>
      <c r="H141" s="1405"/>
    </row>
    <row r="142" spans="1:8" ht="15">
      <c r="A142" s="1406" t="s">
        <v>2346</v>
      </c>
      <c r="B142" s="1405"/>
      <c r="C142" s="1405"/>
      <c r="D142" s="1405"/>
      <c r="E142" s="1405"/>
      <c r="F142" s="1405"/>
      <c r="G142" s="1405"/>
      <c r="H142" s="1405"/>
    </row>
    <row r="143" spans="1:8" ht="15">
      <c r="A143" s="1406" t="s">
        <v>2347</v>
      </c>
      <c r="B143" s="1405"/>
      <c r="C143" s="1405"/>
      <c r="D143" s="1405"/>
      <c r="E143" s="1405"/>
      <c r="F143" s="1405"/>
      <c r="G143" s="1405"/>
      <c r="H143" s="1405"/>
    </row>
    <row r="144" spans="1:8" ht="15">
      <c r="A144" s="1405"/>
      <c r="B144" s="1405"/>
      <c r="C144" s="1405"/>
      <c r="D144" s="1405"/>
      <c r="E144" s="1405"/>
      <c r="F144" s="1405"/>
      <c r="G144" s="1405"/>
      <c r="H144" s="1405"/>
    </row>
    <row r="145" spans="1:8" ht="15">
      <c r="A145" s="1406" t="s">
        <v>2342</v>
      </c>
      <c r="B145" s="1405"/>
      <c r="C145" s="1405"/>
      <c r="D145" s="1405"/>
      <c r="E145" s="1405"/>
      <c r="F145" s="1405"/>
      <c r="G145" s="1405"/>
      <c r="H145" s="1405"/>
    </row>
    <row r="146" spans="1:8" ht="15">
      <c r="A146" s="1406" t="s">
        <v>2343</v>
      </c>
      <c r="B146" s="1405"/>
      <c r="C146" s="1405"/>
      <c r="D146" s="1405"/>
      <c r="E146" s="1405"/>
      <c r="F146" s="1405"/>
      <c r="G146" s="1405"/>
      <c r="H146" s="1405"/>
    </row>
    <row r="147" spans="1:8" ht="15">
      <c r="A147" s="1406" t="s">
        <v>2344</v>
      </c>
      <c r="B147" s="1405"/>
      <c r="C147" s="1405"/>
      <c r="D147" s="1405"/>
      <c r="E147" s="1405"/>
      <c r="F147" s="1405"/>
      <c r="G147" s="1405"/>
      <c r="H147" s="1405"/>
    </row>
    <row r="148" spans="1:8" ht="15">
      <c r="A148" s="1405"/>
      <c r="B148" s="1405"/>
      <c r="C148" s="1405"/>
      <c r="D148" s="1405"/>
      <c r="E148" s="1405"/>
      <c r="F148" s="1405"/>
      <c r="G148" s="1405"/>
      <c r="H148" s="1405"/>
    </row>
    <row r="149" spans="1:8" ht="15">
      <c r="A149" s="1406" t="s">
        <v>2339</v>
      </c>
      <c r="B149" s="1405"/>
      <c r="C149" s="1405"/>
      <c r="D149" s="1405"/>
      <c r="E149" s="1405"/>
      <c r="F149" s="1405"/>
      <c r="G149" s="1405"/>
      <c r="H149" s="1405"/>
    </row>
    <row r="150" spans="1:8" ht="15">
      <c r="A150" s="1406" t="s">
        <v>2340</v>
      </c>
      <c r="B150" s="1405"/>
      <c r="C150" s="1405"/>
      <c r="D150" s="1405"/>
      <c r="E150" s="1405"/>
      <c r="F150" s="1405"/>
      <c r="G150" s="1405"/>
      <c r="H150" s="1405"/>
    </row>
    <row r="151" spans="1:8" ht="15">
      <c r="A151" s="1406" t="s">
        <v>2341</v>
      </c>
      <c r="B151" s="1405"/>
      <c r="C151" s="1405"/>
      <c r="D151" s="1405"/>
      <c r="E151" s="1405"/>
      <c r="F151" s="1405"/>
      <c r="G151" s="1405"/>
      <c r="H151" s="1405"/>
    </row>
    <row r="152" spans="1:8" ht="15">
      <c r="A152" s="1405"/>
      <c r="B152" s="1405"/>
      <c r="C152" s="1405"/>
      <c r="D152" s="1405"/>
      <c r="E152" s="1405"/>
      <c r="F152" s="1405"/>
      <c r="G152" s="1405"/>
      <c r="H152" s="1405"/>
    </row>
    <row r="153" spans="1:8" ht="15">
      <c r="A153" s="1406" t="s">
        <v>2337</v>
      </c>
      <c r="B153" s="1405"/>
      <c r="C153" s="1405"/>
      <c r="D153" s="1405"/>
      <c r="E153" s="1405"/>
      <c r="F153" s="1405"/>
      <c r="G153" s="1405"/>
      <c r="H153" s="1405"/>
    </row>
    <row r="154" spans="1:8" ht="15">
      <c r="A154" s="1406" t="s">
        <v>2338</v>
      </c>
      <c r="B154" s="1405"/>
      <c r="C154" s="1405"/>
      <c r="D154" s="1405"/>
      <c r="E154" s="1405"/>
      <c r="F154" s="1405"/>
      <c r="G154" s="1405"/>
      <c r="H154" s="1405"/>
    </row>
    <row r="155" spans="1:8" ht="15">
      <c r="A155" s="1405"/>
      <c r="B155" s="1405"/>
      <c r="C155" s="1405"/>
      <c r="D155" s="1405"/>
      <c r="E155" s="1405"/>
      <c r="F155" s="1405"/>
      <c r="G155" s="1405"/>
      <c r="H155" s="1405"/>
    </row>
    <row r="156" spans="1:8" ht="15.75">
      <c r="A156" s="1407" t="s">
        <v>2159</v>
      </c>
      <c r="B156" s="1405"/>
      <c r="C156" s="1405"/>
      <c r="D156" s="1405"/>
      <c r="E156" s="1405"/>
      <c r="F156" s="1405"/>
      <c r="G156" s="1405"/>
      <c r="H156" s="1405"/>
    </row>
    <row r="157" spans="1:8" ht="15">
      <c r="A157" s="1405"/>
      <c r="B157" s="1405"/>
      <c r="C157" s="1405"/>
      <c r="D157" s="1405"/>
      <c r="E157" s="1405"/>
      <c r="F157" s="1405"/>
      <c r="G157" s="1405"/>
      <c r="H157" s="1405"/>
    </row>
    <row r="158" spans="1:8" ht="15">
      <c r="A158" s="1406" t="s">
        <v>2335</v>
      </c>
      <c r="B158" s="1405"/>
      <c r="C158" s="1405"/>
      <c r="D158" s="1405"/>
      <c r="E158" s="1405"/>
      <c r="F158" s="1405"/>
      <c r="G158" s="1405"/>
      <c r="H158" s="1405"/>
    </row>
    <row r="159" spans="1:8" ht="15">
      <c r="A159" s="1406" t="s">
        <v>2336</v>
      </c>
      <c r="B159" s="1405"/>
      <c r="C159" s="1405"/>
      <c r="D159" s="1405"/>
      <c r="E159" s="1405"/>
      <c r="F159" s="1405"/>
      <c r="G159" s="1405"/>
      <c r="H159" s="1405"/>
    </row>
    <row r="160" spans="1:8" ht="15">
      <c r="A160" s="1405"/>
      <c r="B160" s="1405"/>
      <c r="C160" s="1405"/>
      <c r="D160" s="1405"/>
      <c r="E160" s="1405"/>
      <c r="F160" s="1405"/>
      <c r="G160" s="1405"/>
      <c r="H160" s="1405"/>
    </row>
    <row r="161" spans="1:8" ht="15">
      <c r="A161" s="1406" t="s">
        <v>2333</v>
      </c>
      <c r="B161" s="1405"/>
      <c r="C161" s="1405"/>
      <c r="D161" s="1405"/>
      <c r="E161" s="1405"/>
      <c r="F161" s="1405"/>
      <c r="G161" s="1405"/>
      <c r="H161" s="1405"/>
    </row>
    <row r="162" spans="1:8" ht="15">
      <c r="A162" s="1406" t="s">
        <v>2334</v>
      </c>
      <c r="B162" s="1405"/>
      <c r="C162" s="1405"/>
      <c r="D162" s="1405"/>
      <c r="E162" s="1405"/>
      <c r="F162" s="1405"/>
      <c r="G162" s="1405"/>
      <c r="H162" s="1405"/>
    </row>
    <row r="163" spans="1:8" ht="15">
      <c r="A163" s="1405"/>
      <c r="B163" s="1405"/>
      <c r="C163" s="1405"/>
      <c r="D163" s="1405"/>
      <c r="E163" s="1405"/>
      <c r="F163" s="1405"/>
      <c r="G163" s="1405"/>
      <c r="H163" s="1405"/>
    </row>
    <row r="164" spans="1:8" ht="15">
      <c r="A164" s="1406" t="s">
        <v>2331</v>
      </c>
      <c r="B164" s="1405"/>
      <c r="C164" s="1405"/>
      <c r="D164" s="1405"/>
      <c r="E164" s="1405"/>
      <c r="F164" s="1405"/>
      <c r="G164" s="1405"/>
      <c r="H164" s="1405"/>
    </row>
    <row r="165" spans="1:8" ht="15">
      <c r="A165" s="1406" t="s">
        <v>2332</v>
      </c>
      <c r="B165" s="1405"/>
      <c r="C165" s="1405"/>
      <c r="D165" s="1405"/>
      <c r="E165" s="1405"/>
      <c r="F165" s="1405"/>
      <c r="G165" s="1405"/>
      <c r="H165" s="1405"/>
    </row>
    <row r="166" spans="1:8" ht="15">
      <c r="A166" s="1405"/>
      <c r="B166" s="1405"/>
      <c r="C166" s="1405"/>
      <c r="D166" s="1405"/>
      <c r="E166" s="1405"/>
      <c r="F166" s="1405"/>
      <c r="G166" s="1405"/>
      <c r="H166" s="1405"/>
    </row>
    <row r="167" spans="1:8" ht="15">
      <c r="A167" s="1406" t="s">
        <v>2328</v>
      </c>
      <c r="B167" s="1405"/>
      <c r="C167" s="1405"/>
      <c r="D167" s="1405"/>
      <c r="E167" s="1405"/>
      <c r="F167" s="1405"/>
      <c r="G167" s="1405"/>
      <c r="H167" s="1405"/>
    </row>
    <row r="168" spans="1:8" ht="15">
      <c r="A168" s="1406" t="s">
        <v>2329</v>
      </c>
      <c r="B168" s="1405"/>
      <c r="C168" s="1405"/>
      <c r="D168" s="1405"/>
      <c r="E168" s="1405"/>
      <c r="F168" s="1405"/>
      <c r="G168" s="1405"/>
      <c r="H168" s="1405"/>
    </row>
    <row r="169" spans="1:8" ht="15">
      <c r="A169" s="1406" t="s">
        <v>2330</v>
      </c>
      <c r="B169" s="1405"/>
      <c r="C169" s="1405"/>
      <c r="D169" s="1405"/>
      <c r="E169" s="1405"/>
      <c r="F169" s="1405"/>
      <c r="G169" s="1405"/>
      <c r="H169" s="1405"/>
    </row>
    <row r="170" spans="1:8" ht="15">
      <c r="A170" s="1405"/>
      <c r="B170" s="1405"/>
      <c r="C170" s="1405"/>
      <c r="D170" s="1405"/>
      <c r="E170" s="1405"/>
      <c r="F170" s="1405"/>
      <c r="G170" s="1405"/>
      <c r="H170" s="1405"/>
    </row>
    <row r="171" spans="1:8" ht="15">
      <c r="A171" s="1405"/>
      <c r="B171" s="1405"/>
      <c r="C171" s="1405"/>
      <c r="D171" s="1405"/>
      <c r="E171" s="1405"/>
      <c r="F171" s="1405"/>
      <c r="G171" s="1405"/>
      <c r="H171" s="1405"/>
    </row>
    <row r="172" spans="1:8" ht="15">
      <c r="A172" s="1406" t="s">
        <v>2160</v>
      </c>
      <c r="B172" s="1405"/>
      <c r="C172" s="1405"/>
      <c r="D172" s="1405"/>
      <c r="E172" s="1405"/>
      <c r="F172" s="1405"/>
      <c r="G172" s="1405"/>
      <c r="H172" s="1405"/>
    </row>
    <row r="173" spans="1:8" ht="15">
      <c r="A173" s="1405"/>
      <c r="B173" s="1405"/>
      <c r="C173" s="1405"/>
      <c r="D173" s="1405"/>
      <c r="E173" s="1405"/>
      <c r="F173" s="1405"/>
      <c r="G173" s="1405"/>
      <c r="H173" s="1405"/>
    </row>
    <row r="174" spans="1:8" ht="15.75">
      <c r="A174" s="1407" t="s">
        <v>2161</v>
      </c>
      <c r="B174" s="1405"/>
      <c r="C174" s="1405"/>
      <c r="D174" s="1405"/>
      <c r="E174" s="1405"/>
      <c r="F174" s="1405"/>
      <c r="G174" s="1405"/>
      <c r="H174" s="1405"/>
    </row>
    <row r="175" spans="1:8" ht="15">
      <c r="A175" s="1405"/>
      <c r="B175" s="1405"/>
      <c r="C175" s="1405"/>
      <c r="D175" s="1405"/>
      <c r="E175" s="1405"/>
      <c r="F175" s="1405"/>
      <c r="G175" s="1405"/>
      <c r="H175" s="1405"/>
    </row>
    <row r="176" spans="1:8" ht="15">
      <c r="A176" s="1405"/>
      <c r="B176" s="1405"/>
      <c r="C176" s="1405"/>
      <c r="D176" s="1405"/>
      <c r="E176" s="1405"/>
      <c r="F176" s="1405"/>
      <c r="G176" s="1405"/>
      <c r="H176" s="1405"/>
    </row>
    <row r="177" spans="1:8" ht="15">
      <c r="A177" s="1405"/>
      <c r="B177" s="1405"/>
      <c r="C177" s="1405"/>
      <c r="D177" s="1405"/>
      <c r="E177" s="1405"/>
      <c r="F177" s="1405"/>
      <c r="G177" s="1405"/>
      <c r="H177" s="1405"/>
    </row>
    <row r="178" spans="1:8" ht="15">
      <c r="A178" s="1405"/>
      <c r="B178" s="1405"/>
      <c r="C178" s="1405"/>
      <c r="D178" s="1405"/>
      <c r="E178" s="1405"/>
      <c r="F178" s="1405"/>
      <c r="G178" s="1405"/>
      <c r="H178" s="1405"/>
    </row>
    <row r="179" spans="1:8" ht="15">
      <c r="A179" s="1405"/>
      <c r="B179" s="1405"/>
      <c r="C179" s="1405"/>
      <c r="D179" s="1405"/>
      <c r="E179" s="1405"/>
      <c r="F179" s="1405"/>
      <c r="G179" s="1405"/>
      <c r="H179" s="1405"/>
    </row>
    <row r="180" spans="1:8" ht="15">
      <c r="A180" s="1405"/>
      <c r="B180" s="1405"/>
      <c r="C180" s="1405"/>
      <c r="D180" s="1405"/>
      <c r="E180" s="1405"/>
      <c r="F180" s="1405"/>
      <c r="G180" s="1405"/>
      <c r="H180" s="1405"/>
    </row>
    <row r="181" spans="1:8" ht="15">
      <c r="A181" s="1405"/>
      <c r="B181" s="1405"/>
      <c r="C181" s="1405"/>
      <c r="D181" s="1405"/>
      <c r="E181" s="1405"/>
      <c r="F181" s="1405"/>
      <c r="G181" s="1405"/>
      <c r="H181" s="1405"/>
    </row>
    <row r="182" spans="1:8" ht="15">
      <c r="A182" s="1405"/>
      <c r="B182" s="1405"/>
      <c r="C182" s="1405"/>
      <c r="D182" s="1405"/>
      <c r="E182" s="1405"/>
      <c r="F182" s="1405"/>
      <c r="G182" s="1405"/>
      <c r="H182" s="1405"/>
    </row>
    <row r="183" spans="1:8" ht="15">
      <c r="A183" s="1405"/>
      <c r="B183" s="1405"/>
      <c r="C183" s="1405"/>
      <c r="D183" s="1405"/>
      <c r="E183" s="1405"/>
      <c r="F183" s="1405"/>
      <c r="G183" s="1405"/>
      <c r="H183" s="1405"/>
    </row>
    <row r="184" spans="1:8" ht="15">
      <c r="A184" s="1405"/>
      <c r="B184" s="1405"/>
      <c r="C184" s="1405"/>
      <c r="D184" s="1405"/>
      <c r="E184" s="1405"/>
      <c r="F184" s="1405"/>
      <c r="G184" s="1405"/>
      <c r="H184" s="1405"/>
    </row>
    <row r="185" spans="1:8" ht="15">
      <c r="A185" s="1405"/>
      <c r="B185" s="1405"/>
      <c r="C185" s="1405"/>
      <c r="D185" s="1405"/>
      <c r="E185" s="1405"/>
      <c r="F185" s="1405"/>
      <c r="G185" s="1405"/>
      <c r="H185" s="1405"/>
    </row>
    <row r="186" spans="1:8" ht="15">
      <c r="A186" s="1405"/>
      <c r="B186" s="1405"/>
      <c r="C186" s="1405"/>
      <c r="D186" s="1405"/>
      <c r="E186" s="1405"/>
      <c r="F186" s="1405"/>
      <c r="G186" s="1405"/>
      <c r="H186" s="1405"/>
    </row>
    <row r="187" spans="1:8" ht="15">
      <c r="A187" s="1405"/>
      <c r="B187" s="1405"/>
      <c r="C187" s="1405"/>
      <c r="D187" s="1405"/>
      <c r="E187" s="1405"/>
      <c r="F187" s="1405"/>
      <c r="G187" s="1405"/>
      <c r="H187" s="1405"/>
    </row>
    <row r="188" spans="1:8" ht="15">
      <c r="A188" s="1405"/>
      <c r="B188" s="1405"/>
      <c r="C188" s="1405"/>
      <c r="D188" s="1405"/>
      <c r="E188" s="1405"/>
      <c r="F188" s="1405"/>
      <c r="G188" s="1405"/>
      <c r="H188" s="1405"/>
    </row>
    <row r="189" spans="1:8" ht="15">
      <c r="A189" s="1405"/>
      <c r="B189" s="1405"/>
      <c r="C189" s="1405"/>
      <c r="D189" s="1405"/>
      <c r="E189" s="1405"/>
      <c r="F189" s="1405"/>
      <c r="G189" s="1405"/>
      <c r="H189" s="1405"/>
    </row>
    <row r="190" spans="1:8" ht="15">
      <c r="A190" s="1405"/>
      <c r="B190" s="1405"/>
      <c r="C190" s="1405"/>
      <c r="D190" s="1405"/>
      <c r="E190" s="1405"/>
      <c r="F190" s="1405"/>
      <c r="G190" s="1405"/>
      <c r="H190" s="1405"/>
    </row>
    <row r="191" spans="1:8" ht="15">
      <c r="A191" s="1405"/>
      <c r="B191" s="1405"/>
      <c r="C191" s="1405"/>
      <c r="D191" s="1405"/>
      <c r="E191" s="1405"/>
      <c r="F191" s="1405"/>
      <c r="G191" s="1405"/>
      <c r="H191" s="1405"/>
    </row>
    <row r="192" spans="1:8" ht="15">
      <c r="A192" s="1405"/>
      <c r="B192" s="1405"/>
      <c r="C192" s="1405"/>
      <c r="D192" s="1405"/>
      <c r="E192" s="1405"/>
      <c r="F192" s="1405"/>
      <c r="G192" s="1405"/>
      <c r="H192" s="1405"/>
    </row>
    <row r="193" spans="1:8" ht="15">
      <c r="A193" s="1405"/>
      <c r="B193" s="1405"/>
      <c r="C193" s="1405"/>
      <c r="D193" s="1405"/>
      <c r="E193" s="1405"/>
      <c r="F193" s="1405"/>
      <c r="G193" s="1405"/>
      <c r="H193" s="1405"/>
    </row>
    <row r="194" spans="1:8" ht="15">
      <c r="A194" s="1405"/>
      <c r="B194" s="1405"/>
      <c r="C194" s="1405"/>
      <c r="D194" s="1405"/>
      <c r="E194" s="1405"/>
      <c r="F194" s="1405"/>
      <c r="G194" s="1405"/>
      <c r="H194" s="1405"/>
    </row>
    <row r="195" spans="1:8" ht="15">
      <c r="A195" s="1405"/>
      <c r="B195" s="1405"/>
      <c r="C195" s="1405"/>
      <c r="D195" s="1405"/>
      <c r="E195" s="1405"/>
      <c r="F195" s="1405"/>
      <c r="G195" s="1405"/>
      <c r="H195" s="1405"/>
    </row>
    <row r="196" spans="1:8" ht="15">
      <c r="A196" s="1405"/>
      <c r="B196" s="1405"/>
      <c r="C196" s="1405"/>
      <c r="D196" s="1405"/>
      <c r="E196" s="1405"/>
      <c r="F196" s="1405"/>
      <c r="G196" s="1405"/>
      <c r="H196" s="1405"/>
    </row>
    <row r="197" spans="1:8" ht="15">
      <c r="A197" s="1405"/>
      <c r="B197" s="1405"/>
      <c r="C197" s="1405"/>
      <c r="D197" s="1405"/>
      <c r="E197" s="1405"/>
      <c r="F197" s="1405"/>
      <c r="G197" s="1405"/>
      <c r="H197" s="1405"/>
    </row>
    <row r="198" spans="1:8" ht="15">
      <c r="A198" s="1405"/>
      <c r="B198" s="1405"/>
      <c r="C198" s="1405"/>
      <c r="D198" s="1405"/>
      <c r="E198" s="1405"/>
      <c r="F198" s="1405"/>
      <c r="G198" s="1405"/>
      <c r="H198" s="1405"/>
    </row>
    <row r="199" spans="1:8" ht="15">
      <c r="A199" s="1405"/>
      <c r="B199" s="1405"/>
      <c r="C199" s="1405"/>
      <c r="D199" s="1405"/>
      <c r="E199" s="1405"/>
      <c r="F199" s="1405"/>
      <c r="G199" s="1405"/>
      <c r="H199" s="1405"/>
    </row>
    <row r="200" spans="1:8" ht="15">
      <c r="A200" s="1405"/>
      <c r="B200" s="1405"/>
      <c r="C200" s="1405"/>
      <c r="D200" s="1405"/>
      <c r="E200" s="1405"/>
      <c r="F200" s="1405"/>
      <c r="G200" s="1405"/>
      <c r="H200" s="1405"/>
    </row>
    <row r="201" spans="1:8" ht="15.75">
      <c r="A201" s="1407" t="s">
        <v>2162</v>
      </c>
      <c r="B201" s="1405"/>
      <c r="C201" s="1405"/>
      <c r="D201" s="1405"/>
      <c r="E201" s="1405"/>
      <c r="F201" s="1405"/>
      <c r="G201" s="1405"/>
      <c r="H201" s="1405"/>
    </row>
    <row r="202" spans="1:8" ht="15">
      <c r="A202" s="1405"/>
      <c r="B202" s="1405"/>
      <c r="C202" s="1405"/>
      <c r="D202" s="1405"/>
      <c r="E202" s="1405"/>
      <c r="F202" s="1405"/>
      <c r="G202" s="1405"/>
      <c r="H202" s="1405"/>
    </row>
    <row r="203" spans="1:8" ht="15">
      <c r="A203" s="1406" t="s">
        <v>2323</v>
      </c>
      <c r="B203" s="1405"/>
      <c r="C203" s="1405"/>
      <c r="D203" s="1405"/>
      <c r="E203" s="1405"/>
      <c r="F203" s="1405"/>
      <c r="G203" s="1405"/>
      <c r="H203" s="1405"/>
    </row>
    <row r="204" spans="1:8" ht="15">
      <c r="A204" s="1406" t="s">
        <v>2324</v>
      </c>
      <c r="B204" s="1405"/>
      <c r="C204" s="1405"/>
      <c r="D204" s="1405"/>
      <c r="E204" s="1405"/>
      <c r="F204" s="1405"/>
      <c r="G204" s="1405"/>
      <c r="H204" s="1405"/>
    </row>
    <row r="205" spans="1:8" ht="15">
      <c r="A205" s="1406" t="s">
        <v>2325</v>
      </c>
      <c r="B205" s="1405"/>
      <c r="C205" s="1405"/>
      <c r="D205" s="1405"/>
      <c r="E205" s="1405"/>
      <c r="F205" s="1405"/>
      <c r="G205" s="1405"/>
      <c r="H205" s="1405"/>
    </row>
    <row r="206" spans="1:8" ht="15">
      <c r="A206" s="1406" t="s">
        <v>2326</v>
      </c>
      <c r="B206" s="1405"/>
      <c r="C206" s="1405"/>
      <c r="D206" s="1405"/>
      <c r="E206" s="1405"/>
      <c r="F206" s="1405"/>
      <c r="G206" s="1405"/>
      <c r="H206" s="1405"/>
    </row>
    <row r="207" spans="1:8" ht="15">
      <c r="A207" s="1406" t="s">
        <v>2327</v>
      </c>
      <c r="B207" s="1405"/>
      <c r="C207" s="1405"/>
      <c r="D207" s="1405"/>
      <c r="E207" s="1405"/>
      <c r="F207" s="1405"/>
      <c r="G207" s="1405"/>
      <c r="H207" s="1405"/>
    </row>
    <row r="208" spans="1:8" ht="15">
      <c r="A208" s="1405"/>
      <c r="B208" s="1405"/>
      <c r="C208" s="1405"/>
      <c r="D208" s="1405"/>
      <c r="E208" s="1405"/>
      <c r="F208" s="1405"/>
      <c r="G208" s="1405"/>
      <c r="H208" s="1405"/>
    </row>
    <row r="209" spans="1:8" ht="15">
      <c r="A209" s="1406" t="s">
        <v>2320</v>
      </c>
      <c r="B209" s="1405"/>
      <c r="C209" s="1405"/>
      <c r="D209" s="1405"/>
      <c r="E209" s="1405"/>
      <c r="F209" s="1405"/>
      <c r="G209" s="1405"/>
      <c r="H209" s="1405"/>
    </row>
    <row r="210" spans="1:8" ht="15">
      <c r="A210" s="1406" t="s">
        <v>2321</v>
      </c>
      <c r="B210" s="1405"/>
      <c r="C210" s="1405"/>
      <c r="D210" s="1405"/>
      <c r="E210" s="1405"/>
      <c r="F210" s="1405"/>
      <c r="G210" s="1405"/>
      <c r="H210" s="1405"/>
    </row>
    <row r="211" spans="1:8" ht="15">
      <c r="A211" s="1406" t="s">
        <v>2322</v>
      </c>
      <c r="B211" s="1405"/>
      <c r="C211" s="1405"/>
      <c r="D211" s="1405"/>
      <c r="E211" s="1405"/>
      <c r="F211" s="1405"/>
      <c r="G211" s="1405"/>
      <c r="H211" s="1405"/>
    </row>
    <row r="212" spans="1:8" ht="15.75">
      <c r="A212" s="1407" t="s">
        <v>2163</v>
      </c>
      <c r="B212" s="1405"/>
      <c r="C212" s="1405"/>
      <c r="D212" s="1405"/>
      <c r="E212" s="1405"/>
      <c r="F212" s="1405"/>
      <c r="G212" s="1405"/>
      <c r="H212" s="1405"/>
    </row>
    <row r="213" spans="1:8" ht="15">
      <c r="A213" s="1405"/>
      <c r="B213" s="1405"/>
      <c r="C213" s="1405"/>
      <c r="D213" s="1405"/>
      <c r="E213" s="1405"/>
      <c r="F213" s="1405"/>
      <c r="G213" s="1405"/>
      <c r="H213" s="1405"/>
    </row>
    <row r="214" spans="1:8" ht="15">
      <c r="A214" s="1406" t="s">
        <v>2318</v>
      </c>
      <c r="B214" s="1405"/>
      <c r="C214" s="1405"/>
      <c r="D214" s="1405"/>
      <c r="E214" s="1405"/>
      <c r="F214" s="1405"/>
      <c r="G214" s="1405"/>
      <c r="H214" s="1405"/>
    </row>
    <row r="215" spans="1:8" ht="15">
      <c r="A215" s="1406" t="s">
        <v>2319</v>
      </c>
      <c r="B215" s="1405"/>
      <c r="C215" s="1405"/>
      <c r="D215" s="1405"/>
      <c r="E215" s="1405"/>
      <c r="F215" s="1405"/>
      <c r="G215" s="1405"/>
      <c r="H215" s="1405"/>
    </row>
    <row r="216" spans="1:8" ht="15">
      <c r="A216" s="1405"/>
      <c r="B216" s="1405"/>
      <c r="C216" s="1405"/>
      <c r="D216" s="1405"/>
      <c r="E216" s="1405"/>
      <c r="F216" s="1405"/>
      <c r="G216" s="1405"/>
      <c r="H216" s="1405"/>
    </row>
    <row r="217" spans="1:8" ht="15">
      <c r="A217" s="1406" t="s">
        <v>2311</v>
      </c>
      <c r="B217" s="1405"/>
      <c r="C217" s="1405"/>
      <c r="D217" s="1405"/>
      <c r="E217" s="1405"/>
      <c r="F217" s="1405"/>
      <c r="G217" s="1405"/>
      <c r="H217" s="1405"/>
    </row>
    <row r="218" spans="1:8" ht="15">
      <c r="A218" s="1406" t="s">
        <v>2312</v>
      </c>
      <c r="B218" s="1405"/>
      <c r="C218" s="1405"/>
      <c r="D218" s="1405"/>
      <c r="E218" s="1405"/>
      <c r="F218" s="1405"/>
      <c r="G218" s="1405"/>
      <c r="H218" s="1405"/>
    </row>
    <row r="219" spans="1:8" ht="15">
      <c r="A219" s="1406" t="s">
        <v>2313</v>
      </c>
      <c r="B219" s="1405"/>
      <c r="C219" s="1405"/>
      <c r="D219" s="1405"/>
      <c r="E219" s="1405"/>
      <c r="F219" s="1405"/>
      <c r="G219" s="1405"/>
      <c r="H219" s="1405"/>
    </row>
    <row r="220" spans="1:8" ht="15">
      <c r="A220" s="1406" t="s">
        <v>2314</v>
      </c>
      <c r="B220" s="1405"/>
      <c r="C220" s="1405"/>
      <c r="D220" s="1405"/>
      <c r="E220" s="1405"/>
      <c r="F220" s="1405"/>
      <c r="G220" s="1405"/>
      <c r="H220" s="1405"/>
    </row>
    <row r="221" spans="1:8" ht="15">
      <c r="A221" s="1406" t="s">
        <v>2315</v>
      </c>
      <c r="B221" s="1405"/>
      <c r="C221" s="1405"/>
      <c r="D221" s="1405"/>
      <c r="E221" s="1405"/>
      <c r="F221" s="1405"/>
      <c r="G221" s="1405"/>
      <c r="H221" s="1405"/>
    </row>
    <row r="222" spans="1:8" ht="15">
      <c r="A222" s="1406" t="s">
        <v>2316</v>
      </c>
      <c r="B222" s="1405"/>
      <c r="C222" s="1405"/>
      <c r="D222" s="1405"/>
      <c r="E222" s="1405"/>
      <c r="F222" s="1405"/>
      <c r="G222" s="1405"/>
      <c r="H222" s="1405"/>
    </row>
    <row r="223" spans="1:8" ht="15">
      <c r="A223" s="1406" t="s">
        <v>2317</v>
      </c>
      <c r="B223" s="1405"/>
      <c r="C223" s="1405"/>
      <c r="D223" s="1405"/>
      <c r="E223" s="1405"/>
      <c r="F223" s="1405"/>
      <c r="G223" s="1405"/>
      <c r="H223" s="1405"/>
    </row>
    <row r="224" spans="1:8" ht="15">
      <c r="A224" s="1405"/>
      <c r="B224" s="1405"/>
      <c r="C224" s="1405"/>
      <c r="D224" s="1405"/>
      <c r="E224" s="1405"/>
      <c r="F224" s="1405"/>
      <c r="G224" s="1405"/>
      <c r="H224" s="1405"/>
    </row>
    <row r="225" spans="1:8" ht="15">
      <c r="A225" s="1406" t="s">
        <v>2308</v>
      </c>
      <c r="B225" s="1405"/>
      <c r="C225" s="1405"/>
      <c r="D225" s="1405"/>
      <c r="E225" s="1405"/>
      <c r="F225" s="1405"/>
      <c r="G225" s="1405"/>
      <c r="H225" s="1405"/>
    </row>
    <row r="226" spans="1:8" ht="15">
      <c r="A226" s="1406" t="s">
        <v>2309</v>
      </c>
      <c r="B226" s="1405"/>
      <c r="C226" s="1405"/>
      <c r="D226" s="1405"/>
      <c r="E226" s="1405"/>
      <c r="F226" s="1405"/>
      <c r="G226" s="1405"/>
      <c r="H226" s="1405"/>
    </row>
    <row r="227" spans="1:8" ht="15">
      <c r="A227" s="1406" t="s">
        <v>2310</v>
      </c>
      <c r="B227" s="1405"/>
      <c r="C227" s="1405"/>
      <c r="D227" s="1405"/>
      <c r="E227" s="1405"/>
      <c r="F227" s="1405"/>
      <c r="G227" s="1405"/>
      <c r="H227" s="1405"/>
    </row>
    <row r="228" spans="1:8" ht="15">
      <c r="A228" s="1405"/>
      <c r="B228" s="1405"/>
      <c r="C228" s="1405"/>
      <c r="D228" s="1405"/>
      <c r="E228" s="1405"/>
      <c r="F228" s="1405"/>
      <c r="G228" s="1405"/>
      <c r="H228" s="1405"/>
    </row>
    <row r="229" spans="1:8" ht="15">
      <c r="A229" s="1406" t="s">
        <v>2303</v>
      </c>
      <c r="B229" s="1405"/>
      <c r="C229" s="1405"/>
      <c r="D229" s="1405"/>
      <c r="E229" s="1405"/>
      <c r="F229" s="1405"/>
      <c r="G229" s="1405"/>
      <c r="H229" s="1405"/>
    </row>
    <row r="230" spans="1:8" ht="15">
      <c r="A230" s="1406" t="s">
        <v>2304</v>
      </c>
      <c r="B230" s="1405"/>
      <c r="C230" s="1405"/>
      <c r="D230" s="1405"/>
      <c r="E230" s="1405"/>
      <c r="F230" s="1405"/>
      <c r="G230" s="1405"/>
      <c r="H230" s="1405"/>
    </row>
    <row r="231" spans="1:8" ht="15">
      <c r="A231" s="1406" t="s">
        <v>2305</v>
      </c>
      <c r="B231" s="1405"/>
      <c r="C231" s="1405"/>
      <c r="D231" s="1405"/>
      <c r="E231" s="1405"/>
      <c r="F231" s="1405"/>
      <c r="G231" s="1405"/>
      <c r="H231" s="1405"/>
    </row>
    <row r="232" spans="1:8" ht="15">
      <c r="A232" s="1406" t="s">
        <v>2306</v>
      </c>
      <c r="B232" s="1405"/>
      <c r="C232" s="1405"/>
      <c r="D232" s="1405"/>
      <c r="E232" s="1405"/>
      <c r="F232" s="1405"/>
      <c r="G232" s="1405"/>
      <c r="H232" s="1405"/>
    </row>
    <row r="233" spans="1:8" ht="15">
      <c r="A233" s="1406" t="s">
        <v>2307</v>
      </c>
      <c r="B233" s="1405"/>
      <c r="C233" s="1405"/>
      <c r="D233" s="1405"/>
      <c r="E233" s="1405"/>
      <c r="F233" s="1405"/>
      <c r="G233" s="1405"/>
      <c r="H233" s="1405"/>
    </row>
    <row r="234" spans="1:8" ht="15">
      <c r="A234" s="1405"/>
      <c r="B234" s="1405"/>
      <c r="C234" s="1405"/>
      <c r="D234" s="1405"/>
      <c r="E234" s="1405"/>
      <c r="F234" s="1405"/>
      <c r="G234" s="1405"/>
      <c r="H234" s="1405"/>
    </row>
    <row r="235" spans="1:8" ht="15">
      <c r="A235" s="1406" t="s">
        <v>2297</v>
      </c>
      <c r="B235" s="1405"/>
      <c r="C235" s="1405"/>
      <c r="D235" s="1405"/>
      <c r="E235" s="1405"/>
      <c r="F235" s="1405"/>
      <c r="G235" s="1405"/>
      <c r="H235" s="1405"/>
    </row>
    <row r="236" spans="1:8" ht="15">
      <c r="A236" s="1406" t="s">
        <v>2298</v>
      </c>
      <c r="B236" s="1405"/>
      <c r="C236" s="1405"/>
      <c r="D236" s="1405"/>
      <c r="E236" s="1405"/>
      <c r="F236" s="1405"/>
      <c r="G236" s="1405"/>
      <c r="H236" s="1405"/>
    </row>
    <row r="237" spans="1:8" ht="15">
      <c r="A237" s="1406" t="s">
        <v>2299</v>
      </c>
      <c r="B237" s="1405"/>
      <c r="C237" s="1405"/>
      <c r="D237" s="1405"/>
      <c r="E237" s="1405"/>
      <c r="F237" s="1405"/>
      <c r="G237" s="1405"/>
      <c r="H237" s="1405"/>
    </row>
    <row r="238" spans="1:8" ht="15">
      <c r="A238" s="1406" t="s">
        <v>2300</v>
      </c>
      <c r="B238" s="1405"/>
      <c r="C238" s="1405"/>
      <c r="D238" s="1405"/>
      <c r="E238" s="1405"/>
      <c r="F238" s="1405"/>
      <c r="G238" s="1405"/>
      <c r="H238" s="1405"/>
    </row>
    <row r="239" spans="1:8" ht="15">
      <c r="A239" s="1406" t="s">
        <v>2301</v>
      </c>
      <c r="B239" s="1405"/>
      <c r="C239" s="1405"/>
      <c r="D239" s="1405"/>
      <c r="E239" s="1405"/>
      <c r="F239" s="1405"/>
      <c r="G239" s="1405"/>
      <c r="H239" s="1405"/>
    </row>
    <row r="240" spans="1:8" ht="15">
      <c r="A240" s="1406" t="s">
        <v>2302</v>
      </c>
      <c r="B240" s="1405"/>
      <c r="C240" s="1405"/>
      <c r="D240" s="1405"/>
      <c r="E240" s="1405"/>
      <c r="F240" s="1405"/>
      <c r="G240" s="1405"/>
      <c r="H240" s="1405"/>
    </row>
    <row r="241" spans="1:8" ht="15">
      <c r="A241" s="1405"/>
      <c r="B241" s="1405"/>
      <c r="C241" s="1405"/>
      <c r="D241" s="1405"/>
      <c r="E241" s="1405"/>
      <c r="F241" s="1405"/>
      <c r="G241" s="1405"/>
      <c r="H241" s="1405"/>
    </row>
    <row r="242" spans="1:8" ht="15">
      <c r="A242" s="1406" t="s">
        <v>2287</v>
      </c>
      <c r="B242" s="1405"/>
      <c r="C242" s="1405"/>
      <c r="D242" s="1405"/>
      <c r="E242" s="1405"/>
      <c r="F242" s="1405"/>
      <c r="G242" s="1405"/>
      <c r="H242" s="1405"/>
    </row>
    <row r="243" spans="1:8" ht="15">
      <c r="A243" s="1406" t="s">
        <v>2288</v>
      </c>
      <c r="B243" s="1405"/>
      <c r="C243" s="1405"/>
      <c r="D243" s="1405"/>
      <c r="E243" s="1405"/>
      <c r="F243" s="1405"/>
      <c r="G243" s="1405"/>
      <c r="H243" s="1405"/>
    </row>
    <row r="244" spans="1:8" ht="15">
      <c r="A244" s="1406" t="s">
        <v>2289</v>
      </c>
      <c r="B244" s="1405"/>
      <c r="C244" s="1405"/>
      <c r="D244" s="1405"/>
      <c r="E244" s="1405"/>
      <c r="F244" s="1405"/>
      <c r="G244" s="1405"/>
      <c r="H244" s="1405"/>
    </row>
    <row r="245" spans="1:8" ht="15">
      <c r="A245" s="1406" t="s">
        <v>2290</v>
      </c>
      <c r="B245" s="1405"/>
      <c r="C245" s="1405"/>
      <c r="D245" s="1405"/>
      <c r="E245" s="1405"/>
      <c r="F245" s="1405"/>
      <c r="G245" s="1405"/>
      <c r="H245" s="1405"/>
    </row>
    <row r="246" spans="1:8" ht="15">
      <c r="A246" s="1406" t="s">
        <v>2291</v>
      </c>
      <c r="B246" s="1405"/>
      <c r="C246" s="1405"/>
      <c r="D246" s="1405"/>
      <c r="E246" s="1405"/>
      <c r="F246" s="1405"/>
      <c r="G246" s="1405"/>
      <c r="H246" s="1405"/>
    </row>
    <row r="247" spans="1:8" ht="15">
      <c r="A247" s="1406" t="s">
        <v>2292</v>
      </c>
      <c r="B247" s="1405"/>
      <c r="C247" s="1405"/>
      <c r="D247" s="1405"/>
      <c r="E247" s="1405"/>
      <c r="F247" s="1405"/>
      <c r="G247" s="1405"/>
      <c r="H247" s="1405"/>
    </row>
    <row r="248" spans="1:8" ht="15">
      <c r="A248" s="1406" t="s">
        <v>2293</v>
      </c>
      <c r="B248" s="1405"/>
      <c r="C248" s="1405"/>
      <c r="D248" s="1405"/>
      <c r="E248" s="1405"/>
      <c r="F248" s="1405"/>
      <c r="G248" s="1405"/>
      <c r="H248" s="1405"/>
    </row>
    <row r="249" spans="1:8" ht="15">
      <c r="A249" s="1406" t="s">
        <v>2294</v>
      </c>
      <c r="B249" s="1405"/>
      <c r="C249" s="1405"/>
      <c r="D249" s="1405"/>
      <c r="E249" s="1405"/>
      <c r="F249" s="1405"/>
      <c r="G249" s="1405"/>
      <c r="H249" s="1405"/>
    </row>
    <row r="250" spans="1:8" ht="15">
      <c r="A250" s="1406" t="s">
        <v>2295</v>
      </c>
      <c r="B250" s="1405"/>
      <c r="C250" s="1405"/>
      <c r="D250" s="1405"/>
      <c r="E250" s="1405"/>
      <c r="F250" s="1405"/>
      <c r="G250" s="1405"/>
      <c r="H250" s="1405"/>
    </row>
    <row r="251" spans="1:8" ht="15">
      <c r="A251" s="1406" t="s">
        <v>2296</v>
      </c>
      <c r="B251" s="1405"/>
      <c r="C251" s="1405"/>
      <c r="D251" s="1405"/>
      <c r="E251" s="1405"/>
      <c r="F251" s="1405"/>
      <c r="G251" s="1405"/>
      <c r="H251" s="1405"/>
    </row>
    <row r="252" spans="1:8" ht="15">
      <c r="A252" s="1405"/>
      <c r="B252" s="1405"/>
      <c r="C252" s="1405"/>
      <c r="D252" s="1405"/>
      <c r="E252" s="1405"/>
      <c r="F252" s="1405"/>
      <c r="G252" s="1405"/>
      <c r="H252" s="1405"/>
    </row>
    <row r="253" spans="1:8" ht="15">
      <c r="A253" s="1406" t="s">
        <v>2285</v>
      </c>
      <c r="B253" s="1405"/>
      <c r="C253" s="1405"/>
      <c r="D253" s="1405"/>
      <c r="E253" s="1405"/>
      <c r="F253" s="1405"/>
      <c r="G253" s="1405"/>
      <c r="H253" s="1405"/>
    </row>
    <row r="254" spans="1:8" ht="15">
      <c r="A254" s="1406" t="s">
        <v>2286</v>
      </c>
      <c r="B254" s="1405"/>
      <c r="C254" s="1405"/>
      <c r="D254" s="1405"/>
      <c r="E254" s="1405"/>
      <c r="F254" s="1405"/>
      <c r="G254" s="1405"/>
      <c r="H254" s="1405"/>
    </row>
    <row r="255" spans="1:8" ht="15">
      <c r="A255" s="1405"/>
      <c r="B255" s="1405"/>
      <c r="C255" s="1405"/>
      <c r="D255" s="1405"/>
      <c r="E255" s="1405"/>
      <c r="F255" s="1405"/>
      <c r="G255" s="1405"/>
      <c r="H255" s="1405"/>
    </row>
    <row r="256" spans="1:8" ht="15">
      <c r="A256" s="1406" t="s">
        <v>2269</v>
      </c>
      <c r="B256" s="1405"/>
      <c r="C256" s="1405"/>
      <c r="D256" s="1405"/>
      <c r="E256" s="1405"/>
      <c r="F256" s="1405"/>
      <c r="G256" s="1405"/>
      <c r="H256" s="1405"/>
    </row>
    <row r="257" spans="1:8" ht="15">
      <c r="A257" s="1406" t="s">
        <v>2270</v>
      </c>
      <c r="B257" s="1405"/>
      <c r="C257" s="1405"/>
      <c r="D257" s="1405"/>
      <c r="E257" s="1405"/>
      <c r="F257" s="1405"/>
      <c r="G257" s="1405"/>
      <c r="H257" s="1405"/>
    </row>
    <row r="258" spans="1:8" ht="15">
      <c r="A258" s="1406" t="s">
        <v>2271</v>
      </c>
      <c r="B258" s="1405"/>
      <c r="C258" s="1405"/>
      <c r="D258" s="1405"/>
      <c r="E258" s="1405"/>
      <c r="F258" s="1405"/>
      <c r="G258" s="1405"/>
      <c r="H258" s="1405"/>
    </row>
    <row r="259" spans="1:8" ht="15">
      <c r="A259" s="1406" t="s">
        <v>2272</v>
      </c>
      <c r="B259" s="1405"/>
      <c r="C259" s="1405"/>
      <c r="D259" s="1405"/>
      <c r="E259" s="1405"/>
      <c r="F259" s="1405"/>
      <c r="G259" s="1405"/>
      <c r="H259" s="1405"/>
    </row>
    <row r="260" spans="1:8" ht="15">
      <c r="A260" s="1406" t="s">
        <v>2273</v>
      </c>
      <c r="B260" s="1405"/>
      <c r="C260" s="1405"/>
      <c r="D260" s="1405"/>
      <c r="E260" s="1405"/>
      <c r="F260" s="1405"/>
      <c r="G260" s="1405"/>
      <c r="H260" s="1405"/>
    </row>
    <row r="261" spans="1:8" ht="15">
      <c r="A261" s="1406" t="s">
        <v>2274</v>
      </c>
      <c r="B261" s="1405"/>
      <c r="C261" s="1405"/>
      <c r="D261" s="1405"/>
      <c r="E261" s="1405"/>
      <c r="F261" s="1405"/>
      <c r="G261" s="1405"/>
      <c r="H261" s="1405"/>
    </row>
    <row r="262" spans="1:8" ht="15">
      <c r="A262" s="1406" t="s">
        <v>2275</v>
      </c>
      <c r="B262" s="1405"/>
      <c r="C262" s="1405"/>
      <c r="D262" s="1405"/>
      <c r="E262" s="1405"/>
      <c r="F262" s="1405"/>
      <c r="G262" s="1405"/>
      <c r="H262" s="1405"/>
    </row>
    <row r="263" spans="1:8" ht="15">
      <c r="A263" s="1406" t="s">
        <v>2276</v>
      </c>
      <c r="B263" s="1405"/>
      <c r="C263" s="1405"/>
      <c r="D263" s="1405"/>
      <c r="E263" s="1405"/>
      <c r="F263" s="1405"/>
      <c r="G263" s="1405"/>
      <c r="H263" s="1405"/>
    </row>
    <row r="264" spans="1:8" ht="15">
      <c r="A264" s="1406" t="s">
        <v>2277</v>
      </c>
      <c r="B264" s="1405"/>
      <c r="C264" s="1405"/>
      <c r="D264" s="1405"/>
      <c r="E264" s="1405"/>
      <c r="F264" s="1405"/>
      <c r="G264" s="1405"/>
      <c r="H264" s="1405"/>
    </row>
    <row r="265" spans="1:8" ht="15">
      <c r="A265" s="1406" t="s">
        <v>2278</v>
      </c>
      <c r="B265" s="1405"/>
      <c r="C265" s="1405"/>
      <c r="D265" s="1405"/>
      <c r="E265" s="1405"/>
      <c r="F265" s="1405"/>
      <c r="G265" s="1405"/>
      <c r="H265" s="1405"/>
    </row>
    <row r="266" spans="1:8" ht="15">
      <c r="A266" s="1406" t="s">
        <v>2279</v>
      </c>
      <c r="B266" s="1405"/>
      <c r="C266" s="1405"/>
      <c r="D266" s="1405"/>
      <c r="E266" s="1405"/>
      <c r="F266" s="1405"/>
      <c r="G266" s="1405"/>
      <c r="H266" s="1405"/>
    </row>
    <row r="267" spans="1:8" ht="15">
      <c r="A267" s="1406" t="s">
        <v>2280</v>
      </c>
      <c r="B267" s="1405"/>
      <c r="C267" s="1405"/>
      <c r="D267" s="1405"/>
      <c r="E267" s="1405"/>
      <c r="F267" s="1405"/>
      <c r="G267" s="1405"/>
      <c r="H267" s="1405"/>
    </row>
    <row r="268" spans="1:8" ht="15">
      <c r="A268" s="1406" t="s">
        <v>2281</v>
      </c>
      <c r="B268" s="1405"/>
      <c r="C268" s="1405"/>
      <c r="D268" s="1405"/>
      <c r="E268" s="1405"/>
      <c r="F268" s="1405"/>
      <c r="G268" s="1405"/>
      <c r="H268" s="1405"/>
    </row>
    <row r="269" spans="1:8" ht="15">
      <c r="A269" s="1406" t="s">
        <v>2282</v>
      </c>
      <c r="B269" s="1405"/>
      <c r="C269" s="1405"/>
      <c r="D269" s="1405"/>
      <c r="E269" s="1405"/>
      <c r="F269" s="1405"/>
      <c r="G269" s="1405"/>
      <c r="H269" s="1405"/>
    </row>
    <row r="270" spans="1:8" ht="15">
      <c r="A270" s="1406" t="s">
        <v>2283</v>
      </c>
      <c r="B270" s="1405"/>
      <c r="C270" s="1405"/>
      <c r="D270" s="1405"/>
      <c r="E270" s="1405"/>
      <c r="F270" s="1405"/>
      <c r="G270" s="1405"/>
      <c r="H270" s="1405"/>
    </row>
    <row r="271" spans="1:8" ht="15">
      <c r="A271" s="1406" t="s">
        <v>2284</v>
      </c>
      <c r="B271" s="1405"/>
      <c r="C271" s="1405"/>
      <c r="D271" s="1405"/>
      <c r="E271" s="1405"/>
      <c r="F271" s="1405"/>
      <c r="G271" s="1405"/>
      <c r="H271" s="1405"/>
    </row>
    <row r="272" spans="1:8" ht="15">
      <c r="A272" s="1405"/>
      <c r="B272" s="1405"/>
      <c r="C272" s="1405"/>
      <c r="D272" s="1405"/>
      <c r="E272" s="1405"/>
      <c r="F272" s="1405"/>
      <c r="G272" s="1405"/>
      <c r="H272" s="1405"/>
    </row>
    <row r="273" spans="1:8" ht="15">
      <c r="A273" s="1406" t="s">
        <v>2262</v>
      </c>
      <c r="B273" s="1405"/>
      <c r="C273" s="1405"/>
      <c r="D273" s="1405"/>
      <c r="E273" s="1405"/>
      <c r="F273" s="1405"/>
      <c r="G273" s="1405"/>
      <c r="H273" s="1405"/>
    </row>
    <row r="274" spans="1:8" ht="15">
      <c r="A274" s="1406" t="s">
        <v>2263</v>
      </c>
      <c r="B274" s="1405"/>
      <c r="C274" s="1405"/>
      <c r="D274" s="1405"/>
      <c r="E274" s="1405"/>
      <c r="F274" s="1405"/>
      <c r="G274" s="1405"/>
      <c r="H274" s="1405"/>
    </row>
    <row r="275" spans="1:8" ht="15">
      <c r="A275" s="1406" t="s">
        <v>2264</v>
      </c>
      <c r="B275" s="1405"/>
      <c r="C275" s="1405"/>
      <c r="D275" s="1405"/>
      <c r="E275" s="1405"/>
      <c r="F275" s="1405"/>
      <c r="G275" s="1405"/>
      <c r="H275" s="1405"/>
    </row>
    <row r="276" spans="1:8" ht="15">
      <c r="A276" s="1406" t="s">
        <v>2265</v>
      </c>
      <c r="B276" s="1405"/>
      <c r="C276" s="1405"/>
      <c r="D276" s="1405"/>
      <c r="E276" s="1405"/>
      <c r="F276" s="1405"/>
      <c r="G276" s="1405"/>
      <c r="H276" s="1405"/>
    </row>
    <row r="277" spans="1:8" ht="15">
      <c r="A277" s="1406" t="s">
        <v>2266</v>
      </c>
      <c r="B277" s="1405"/>
      <c r="C277" s="1405"/>
      <c r="D277" s="1405"/>
      <c r="E277" s="1405"/>
      <c r="F277" s="1405"/>
      <c r="G277" s="1405"/>
      <c r="H277" s="1405"/>
    </row>
    <row r="278" spans="1:8" ht="15">
      <c r="A278" s="1406" t="s">
        <v>2267</v>
      </c>
      <c r="B278" s="1405"/>
      <c r="C278" s="1405"/>
      <c r="D278" s="1405"/>
      <c r="E278" s="1405"/>
      <c r="F278" s="1405"/>
      <c r="G278" s="1405"/>
      <c r="H278" s="1405"/>
    </row>
    <row r="279" spans="1:8" ht="15">
      <c r="A279" s="1406" t="s">
        <v>2268</v>
      </c>
      <c r="B279" s="1405"/>
      <c r="C279" s="1405"/>
      <c r="D279" s="1405"/>
      <c r="E279" s="1405"/>
      <c r="F279" s="1405"/>
      <c r="G279" s="1405"/>
      <c r="H279" s="1405"/>
    </row>
    <row r="280" spans="1:8" ht="15">
      <c r="A280" s="1405"/>
      <c r="B280" s="1405"/>
      <c r="C280" s="1405"/>
      <c r="D280" s="1405"/>
      <c r="E280" s="1405"/>
      <c r="F280" s="1405"/>
      <c r="G280" s="1405"/>
      <c r="H280" s="1405"/>
    </row>
    <row r="281" spans="1:8" ht="15">
      <c r="A281" s="1406" t="s">
        <v>2253</v>
      </c>
      <c r="B281" s="1405"/>
      <c r="C281" s="1405"/>
      <c r="D281" s="1405"/>
      <c r="E281" s="1405"/>
      <c r="F281" s="1405"/>
      <c r="G281" s="1405"/>
      <c r="H281" s="1405"/>
    </row>
    <row r="282" spans="1:8" ht="15">
      <c r="A282" s="1406" t="s">
        <v>2254</v>
      </c>
      <c r="B282" s="1405"/>
      <c r="C282" s="1405"/>
      <c r="D282" s="1405"/>
      <c r="E282" s="1405"/>
      <c r="F282" s="1405"/>
      <c r="G282" s="1405"/>
      <c r="H282" s="1405"/>
    </row>
    <row r="283" spans="1:8" ht="15">
      <c r="A283" s="1406" t="s">
        <v>2255</v>
      </c>
      <c r="B283" s="1405"/>
      <c r="C283" s="1405"/>
      <c r="D283" s="1405"/>
      <c r="E283" s="1405"/>
      <c r="F283" s="1405"/>
      <c r="G283" s="1405"/>
      <c r="H283" s="1405"/>
    </row>
    <row r="284" spans="1:8" ht="15">
      <c r="A284" s="1406" t="s">
        <v>2256</v>
      </c>
      <c r="B284" s="1405"/>
      <c r="C284" s="1405"/>
      <c r="D284" s="1405"/>
      <c r="E284" s="1405"/>
      <c r="F284" s="1405"/>
      <c r="G284" s="1405"/>
      <c r="H284" s="1405"/>
    </row>
    <row r="285" spans="1:8" ht="15">
      <c r="A285" s="1406" t="s">
        <v>2257</v>
      </c>
      <c r="B285" s="1405"/>
      <c r="C285" s="1405"/>
      <c r="D285" s="1405"/>
      <c r="E285" s="1405"/>
      <c r="F285" s="1405"/>
      <c r="G285" s="1405"/>
      <c r="H285" s="1405"/>
    </row>
    <row r="286" spans="1:8" ht="15">
      <c r="A286" s="1406" t="s">
        <v>2258</v>
      </c>
      <c r="B286" s="1405"/>
      <c r="C286" s="1405"/>
      <c r="D286" s="1405"/>
      <c r="E286" s="1405"/>
      <c r="F286" s="1405"/>
      <c r="G286" s="1405"/>
      <c r="H286" s="1405"/>
    </row>
    <row r="287" spans="1:8" ht="15">
      <c r="A287" s="1406" t="s">
        <v>2259</v>
      </c>
      <c r="B287" s="1405"/>
      <c r="C287" s="1405"/>
      <c r="D287" s="1405"/>
      <c r="E287" s="1405"/>
      <c r="F287" s="1405"/>
      <c r="G287" s="1405"/>
      <c r="H287" s="1405"/>
    </row>
    <row r="288" spans="1:8" ht="15">
      <c r="A288" s="1406" t="s">
        <v>2260</v>
      </c>
      <c r="B288" s="1405"/>
      <c r="C288" s="1405"/>
      <c r="D288" s="1405"/>
      <c r="E288" s="1405"/>
      <c r="F288" s="1405"/>
      <c r="G288" s="1405"/>
      <c r="H288" s="1405"/>
    </row>
    <row r="289" spans="1:8" ht="15">
      <c r="A289" s="1406" t="s">
        <v>2261</v>
      </c>
      <c r="B289" s="1405"/>
      <c r="C289" s="1405"/>
      <c r="D289" s="1405"/>
      <c r="E289" s="1405"/>
      <c r="F289" s="1405"/>
      <c r="G289" s="1405"/>
      <c r="H289" s="1405"/>
    </row>
    <row r="290" spans="1:8" ht="15">
      <c r="A290" s="1405"/>
      <c r="B290" s="1405"/>
      <c r="C290" s="1405"/>
      <c r="D290" s="1405"/>
      <c r="E290" s="1405"/>
      <c r="F290" s="1405"/>
      <c r="G290" s="1405"/>
      <c r="H290" s="1405"/>
    </row>
    <row r="291" spans="1:8" ht="15">
      <c r="A291" s="1406" t="s">
        <v>2246</v>
      </c>
      <c r="B291" s="1405"/>
      <c r="C291" s="1405"/>
      <c r="D291" s="1405"/>
      <c r="E291" s="1405"/>
      <c r="F291" s="1405"/>
      <c r="G291" s="1405"/>
      <c r="H291" s="1405"/>
    </row>
    <row r="292" spans="1:8" ht="15">
      <c r="A292" s="1406" t="s">
        <v>2247</v>
      </c>
      <c r="B292" s="1405"/>
      <c r="C292" s="1405"/>
      <c r="D292" s="1405"/>
      <c r="E292" s="1405"/>
      <c r="F292" s="1405"/>
      <c r="G292" s="1405"/>
      <c r="H292" s="1405"/>
    </row>
    <row r="293" spans="1:8" ht="15">
      <c r="A293" s="1406" t="s">
        <v>2248</v>
      </c>
      <c r="B293" s="1405"/>
      <c r="C293" s="1405"/>
      <c r="D293" s="1405"/>
      <c r="E293" s="1405"/>
      <c r="F293" s="1405"/>
      <c r="G293" s="1405"/>
      <c r="H293" s="1405"/>
    </row>
    <row r="294" spans="1:8" ht="15">
      <c r="A294" s="1406" t="s">
        <v>2249</v>
      </c>
      <c r="B294" s="1405"/>
      <c r="C294" s="1405"/>
      <c r="D294" s="1405"/>
      <c r="E294" s="1405"/>
      <c r="F294" s="1405"/>
      <c r="G294" s="1405"/>
      <c r="H294" s="1405"/>
    </row>
    <row r="295" spans="1:8" ht="15">
      <c r="A295" s="1406" t="s">
        <v>2250</v>
      </c>
      <c r="B295" s="1405"/>
      <c r="C295" s="1405"/>
      <c r="D295" s="1405"/>
      <c r="E295" s="1405"/>
      <c r="F295" s="1405"/>
      <c r="G295" s="1405"/>
      <c r="H295" s="1405"/>
    </row>
    <row r="296" spans="1:8" ht="15">
      <c r="A296" s="1406" t="s">
        <v>2251</v>
      </c>
      <c r="B296" s="1405"/>
      <c r="C296" s="1405"/>
      <c r="D296" s="1405"/>
      <c r="E296" s="1405"/>
      <c r="F296" s="1405"/>
      <c r="G296" s="1405"/>
      <c r="H296" s="1405"/>
    </row>
    <row r="297" spans="1:8" ht="15">
      <c r="A297" s="1406" t="s">
        <v>2252</v>
      </c>
      <c r="B297" s="1405"/>
      <c r="C297" s="1405"/>
      <c r="D297" s="1405"/>
      <c r="E297" s="1405"/>
      <c r="F297" s="1405"/>
      <c r="G297" s="1405"/>
      <c r="H297" s="1405"/>
    </row>
    <row r="298" spans="1:8" ht="15">
      <c r="A298" s="1405"/>
      <c r="B298" s="1405"/>
      <c r="C298" s="1405"/>
      <c r="D298" s="1405"/>
      <c r="E298" s="1405"/>
      <c r="F298" s="1405"/>
      <c r="G298" s="1405"/>
      <c r="H298" s="1405"/>
    </row>
    <row r="299" spans="1:8" ht="15">
      <c r="A299" s="1406" t="s">
        <v>2243</v>
      </c>
      <c r="B299" s="1405"/>
      <c r="C299" s="1405"/>
      <c r="D299" s="1405"/>
      <c r="E299" s="1405"/>
      <c r="F299" s="1405"/>
      <c r="G299" s="1405"/>
      <c r="H299" s="1405"/>
    </row>
    <row r="300" spans="1:8" ht="15">
      <c r="A300" s="1406" t="s">
        <v>2244</v>
      </c>
      <c r="B300" s="1405"/>
      <c r="C300" s="1405"/>
      <c r="D300" s="1405"/>
      <c r="E300" s="1405"/>
      <c r="F300" s="1405"/>
      <c r="G300" s="1405"/>
      <c r="H300" s="1405"/>
    </row>
    <row r="301" spans="1:8" ht="15">
      <c r="A301" s="1406" t="s">
        <v>2245</v>
      </c>
      <c r="B301" s="1405"/>
      <c r="C301" s="1405"/>
      <c r="D301" s="1405"/>
      <c r="E301" s="1405"/>
      <c r="F301" s="1405"/>
      <c r="G301" s="1405"/>
      <c r="H301" s="1405"/>
    </row>
    <row r="302" spans="1:8" ht="15">
      <c r="A302" s="1405"/>
      <c r="B302" s="1405"/>
      <c r="C302" s="1405"/>
      <c r="D302" s="1405"/>
      <c r="E302" s="1405"/>
      <c r="F302" s="1405"/>
      <c r="G302" s="1405"/>
      <c r="H302" s="1405"/>
    </row>
    <row r="303" spans="1:8" ht="15">
      <c r="A303" s="1406" t="s">
        <v>2241</v>
      </c>
      <c r="B303" s="1405"/>
      <c r="C303" s="1405"/>
      <c r="D303" s="1405"/>
      <c r="E303" s="1405"/>
      <c r="F303" s="1405"/>
      <c r="G303" s="1405"/>
      <c r="H303" s="1405"/>
    </row>
    <row r="304" spans="1:8" ht="15">
      <c r="A304" s="1406" t="s">
        <v>2242</v>
      </c>
      <c r="B304" s="1405"/>
      <c r="C304" s="1405"/>
      <c r="D304" s="1405"/>
      <c r="E304" s="1405"/>
      <c r="F304" s="1405"/>
      <c r="G304" s="1405"/>
      <c r="H304" s="1405"/>
    </row>
    <row r="305" spans="1:8" ht="15">
      <c r="A305" s="1405"/>
      <c r="B305" s="1405"/>
      <c r="C305" s="1405"/>
      <c r="D305" s="1405"/>
      <c r="E305" s="1405"/>
      <c r="F305" s="1405"/>
      <c r="G305" s="1405"/>
      <c r="H305" s="1405"/>
    </row>
    <row r="306" spans="1:8" ht="15">
      <c r="A306" s="1406" t="s">
        <v>2228</v>
      </c>
      <c r="B306" s="1405"/>
      <c r="C306" s="1405"/>
      <c r="D306" s="1405"/>
      <c r="E306" s="1405"/>
      <c r="F306" s="1405"/>
      <c r="G306" s="1405"/>
      <c r="H306" s="1405"/>
    </row>
    <row r="307" spans="1:8" ht="15">
      <c r="A307" s="1406" t="s">
        <v>2229</v>
      </c>
      <c r="B307" s="1405"/>
      <c r="C307" s="1405"/>
      <c r="D307" s="1405"/>
      <c r="E307" s="1405"/>
      <c r="F307" s="1405"/>
      <c r="G307" s="1405"/>
      <c r="H307" s="1405"/>
    </row>
    <row r="308" spans="1:8" ht="15">
      <c r="A308" s="1406" t="s">
        <v>2230</v>
      </c>
      <c r="B308" s="1405"/>
      <c r="C308" s="1405"/>
      <c r="D308" s="1405"/>
      <c r="E308" s="1405"/>
      <c r="F308" s="1405"/>
      <c r="G308" s="1405"/>
      <c r="H308" s="1405"/>
    </row>
    <row r="309" spans="1:8" ht="15">
      <c r="A309" s="1406" t="s">
        <v>2231</v>
      </c>
      <c r="B309" s="1405"/>
      <c r="C309" s="1405"/>
      <c r="D309" s="1405"/>
      <c r="E309" s="1405"/>
      <c r="F309" s="1405"/>
      <c r="G309" s="1405"/>
      <c r="H309" s="1405"/>
    </row>
    <row r="310" spans="1:8" ht="15">
      <c r="A310" s="1406" t="s">
        <v>2232</v>
      </c>
      <c r="B310" s="1405"/>
      <c r="C310" s="1405"/>
      <c r="D310" s="1405"/>
      <c r="E310" s="1405"/>
      <c r="F310" s="1405"/>
      <c r="G310" s="1405"/>
      <c r="H310" s="1405"/>
    </row>
    <row r="311" spans="1:8" ht="15">
      <c r="A311" s="1406" t="s">
        <v>2233</v>
      </c>
      <c r="B311" s="1405"/>
      <c r="C311" s="1405"/>
      <c r="D311" s="1405"/>
      <c r="E311" s="1405"/>
      <c r="F311" s="1405"/>
      <c r="G311" s="1405"/>
      <c r="H311" s="1405"/>
    </row>
    <row r="312" spans="1:8" ht="15">
      <c r="A312" s="1406" t="s">
        <v>2234</v>
      </c>
      <c r="B312" s="1405"/>
      <c r="C312" s="1405"/>
      <c r="D312" s="1405"/>
      <c r="E312" s="1405"/>
      <c r="F312" s="1405"/>
      <c r="G312" s="1405"/>
      <c r="H312" s="1405"/>
    </row>
    <row r="313" spans="1:8" ht="15">
      <c r="A313" s="1406" t="s">
        <v>2235</v>
      </c>
      <c r="B313" s="1405"/>
      <c r="C313" s="1405"/>
      <c r="D313" s="1405"/>
      <c r="E313" s="1405"/>
      <c r="F313" s="1405"/>
      <c r="G313" s="1405"/>
      <c r="H313" s="1405"/>
    </row>
    <row r="314" spans="1:8" ht="15">
      <c r="A314" s="1406" t="s">
        <v>2236</v>
      </c>
      <c r="B314" s="1405"/>
      <c r="C314" s="1405"/>
      <c r="D314" s="1405"/>
      <c r="E314" s="1405"/>
      <c r="F314" s="1405"/>
      <c r="G314" s="1405"/>
      <c r="H314" s="1405"/>
    </row>
    <row r="315" spans="1:8" ht="15">
      <c r="A315" s="1406" t="s">
        <v>2237</v>
      </c>
      <c r="B315" s="1405"/>
      <c r="C315" s="1405"/>
      <c r="D315" s="1405"/>
      <c r="E315" s="1405"/>
      <c r="F315" s="1405"/>
      <c r="G315" s="1405"/>
      <c r="H315" s="1405"/>
    </row>
    <row r="316" spans="1:8" ht="15">
      <c r="A316" s="1406" t="s">
        <v>2238</v>
      </c>
      <c r="B316" s="1405"/>
      <c r="C316" s="1405"/>
      <c r="D316" s="1405"/>
      <c r="E316" s="1405"/>
      <c r="F316" s="1405"/>
      <c r="G316" s="1405"/>
      <c r="H316" s="1405"/>
    </row>
    <row r="317" spans="1:8" ht="15">
      <c r="A317" s="1406" t="s">
        <v>2239</v>
      </c>
      <c r="B317" s="1405"/>
      <c r="C317" s="1405"/>
      <c r="D317" s="1405"/>
      <c r="E317" s="1405"/>
      <c r="F317" s="1405"/>
      <c r="G317" s="1405"/>
      <c r="H317" s="1405"/>
    </row>
    <row r="318" spans="1:8" ht="15">
      <c r="A318" s="1406" t="s">
        <v>2240</v>
      </c>
      <c r="B318" s="1405"/>
      <c r="C318" s="1405"/>
      <c r="D318" s="1405"/>
      <c r="E318" s="1405"/>
      <c r="F318" s="1405"/>
      <c r="G318" s="1405"/>
      <c r="H318" s="1405"/>
    </row>
    <row r="319" spans="1:8" ht="15">
      <c r="A319" s="1405"/>
      <c r="B319" s="1405"/>
      <c r="C319" s="1405"/>
      <c r="D319" s="1405"/>
      <c r="E319" s="1405"/>
      <c r="F319" s="1405"/>
      <c r="G319" s="1405"/>
      <c r="H319" s="1405"/>
    </row>
    <row r="320" spans="1:8" ht="15">
      <c r="A320" s="1406" t="s">
        <v>2220</v>
      </c>
      <c r="B320" s="1405"/>
      <c r="C320" s="1405"/>
      <c r="D320" s="1405"/>
      <c r="E320" s="1405"/>
      <c r="F320" s="1405"/>
      <c r="G320" s="1405"/>
      <c r="H320" s="1405"/>
    </row>
    <row r="321" spans="1:8" ht="15">
      <c r="A321" s="1406" t="s">
        <v>2221</v>
      </c>
      <c r="B321" s="1405"/>
      <c r="C321" s="1405"/>
      <c r="D321" s="1405"/>
      <c r="E321" s="1405"/>
      <c r="F321" s="1405"/>
      <c r="G321" s="1405"/>
      <c r="H321" s="1405"/>
    </row>
    <row r="322" spans="1:8" ht="15">
      <c r="A322" s="1406" t="s">
        <v>2222</v>
      </c>
      <c r="B322" s="1405"/>
      <c r="C322" s="1405"/>
      <c r="D322" s="1405"/>
      <c r="E322" s="1405"/>
      <c r="F322" s="1405"/>
      <c r="G322" s="1405"/>
      <c r="H322" s="1405"/>
    </row>
    <row r="323" spans="1:8" ht="15">
      <c r="A323" s="1406" t="s">
        <v>2223</v>
      </c>
      <c r="B323" s="1405"/>
      <c r="C323" s="1405"/>
      <c r="D323" s="1405"/>
      <c r="E323" s="1405"/>
      <c r="F323" s="1405"/>
      <c r="G323" s="1405"/>
      <c r="H323" s="1405"/>
    </row>
    <row r="324" spans="1:8" ht="15">
      <c r="A324" s="1406" t="s">
        <v>2224</v>
      </c>
      <c r="B324" s="1405"/>
      <c r="C324" s="1405"/>
      <c r="D324" s="1405"/>
      <c r="E324" s="1405"/>
      <c r="F324" s="1405"/>
      <c r="G324" s="1405"/>
      <c r="H324" s="1405"/>
    </row>
    <row r="325" spans="1:8" ht="15">
      <c r="A325" s="1406" t="s">
        <v>2225</v>
      </c>
      <c r="B325" s="1405"/>
      <c r="C325" s="1405"/>
      <c r="D325" s="1405"/>
      <c r="E325" s="1405"/>
      <c r="F325" s="1405"/>
      <c r="G325" s="1405"/>
      <c r="H325" s="1405"/>
    </row>
    <row r="326" spans="1:8" ht="15">
      <c r="A326" s="1406" t="s">
        <v>2226</v>
      </c>
      <c r="B326" s="1405"/>
      <c r="C326" s="1405"/>
      <c r="D326" s="1405"/>
      <c r="E326" s="1405"/>
      <c r="F326" s="1405"/>
      <c r="G326" s="1405"/>
      <c r="H326" s="1405"/>
    </row>
    <row r="327" spans="1:8" ht="15">
      <c r="A327" s="1406" t="s">
        <v>2227</v>
      </c>
      <c r="B327" s="1405"/>
      <c r="C327" s="1405"/>
      <c r="D327" s="1405"/>
      <c r="E327" s="1405"/>
      <c r="F327" s="1405"/>
      <c r="G327" s="1405"/>
      <c r="H327" s="1405"/>
    </row>
    <row r="328" spans="1:8" ht="15">
      <c r="A328" s="1405"/>
      <c r="B328" s="1405"/>
      <c r="C328" s="1405"/>
      <c r="D328" s="1405"/>
      <c r="E328" s="1405"/>
      <c r="F328" s="1405"/>
      <c r="G328" s="1405"/>
      <c r="H328" s="1405"/>
    </row>
    <row r="329" spans="1:8" ht="15">
      <c r="A329" s="1406" t="s">
        <v>2185</v>
      </c>
      <c r="B329" s="1405"/>
      <c r="C329" s="1405"/>
      <c r="D329" s="1405"/>
      <c r="E329" s="1405"/>
      <c r="F329" s="1405"/>
      <c r="G329" s="1405"/>
      <c r="H329" s="1405"/>
    </row>
    <row r="330" spans="1:8" ht="15">
      <c r="A330" s="1406" t="s">
        <v>2186</v>
      </c>
      <c r="B330" s="1405"/>
      <c r="C330" s="1405"/>
      <c r="D330" s="1405"/>
      <c r="E330" s="1405"/>
      <c r="F330" s="1405"/>
      <c r="G330" s="1405"/>
      <c r="H330" s="1405"/>
    </row>
    <row r="331" spans="1:8" ht="15">
      <c r="A331" s="1406" t="s">
        <v>2187</v>
      </c>
      <c r="B331" s="1405"/>
      <c r="C331" s="1405"/>
      <c r="D331" s="1405"/>
      <c r="E331" s="1405"/>
      <c r="F331" s="1405"/>
      <c r="G331" s="1405"/>
      <c r="H331" s="1405"/>
    </row>
    <row r="332" spans="1:8" ht="15">
      <c r="A332" s="1406" t="s">
        <v>2188</v>
      </c>
      <c r="B332" s="1405"/>
      <c r="C332" s="1405"/>
      <c r="D332" s="1405"/>
      <c r="E332" s="1405"/>
      <c r="F332" s="1405"/>
      <c r="G332" s="1405"/>
      <c r="H332" s="1405"/>
    </row>
    <row r="333" spans="1:8" ht="15">
      <c r="A333" s="1406" t="s">
        <v>2189</v>
      </c>
      <c r="B333" s="1405"/>
      <c r="C333" s="1405"/>
      <c r="D333" s="1405"/>
      <c r="E333" s="1405"/>
      <c r="F333" s="1405"/>
      <c r="G333" s="1405"/>
      <c r="H333" s="1405"/>
    </row>
    <row r="334" spans="1:8" ht="15">
      <c r="A334" s="1406" t="s">
        <v>2190</v>
      </c>
      <c r="B334" s="1405"/>
      <c r="C334" s="1405"/>
      <c r="D334" s="1405"/>
      <c r="E334" s="1405"/>
      <c r="F334" s="1405"/>
      <c r="G334" s="1405"/>
      <c r="H334" s="1405"/>
    </row>
    <row r="335" spans="1:8" ht="15">
      <c r="A335" s="1406" t="s">
        <v>2191</v>
      </c>
      <c r="B335" s="1405"/>
      <c r="C335" s="1405"/>
      <c r="D335" s="1405"/>
      <c r="E335" s="1405"/>
      <c r="F335" s="1405"/>
      <c r="G335" s="1405"/>
      <c r="H335" s="1405"/>
    </row>
    <row r="336" spans="1:8" ht="15">
      <c r="A336" s="1406" t="s">
        <v>2192</v>
      </c>
      <c r="B336" s="1405"/>
      <c r="C336" s="1405"/>
      <c r="D336" s="1405"/>
      <c r="E336" s="1405"/>
      <c r="F336" s="1405"/>
      <c r="G336" s="1405"/>
      <c r="H336" s="1405"/>
    </row>
    <row r="337" spans="1:8" ht="15">
      <c r="A337" s="1406" t="s">
        <v>2193</v>
      </c>
      <c r="B337" s="1405"/>
      <c r="C337" s="1405"/>
      <c r="D337" s="1405"/>
      <c r="E337" s="1405"/>
      <c r="F337" s="1405"/>
      <c r="G337" s="1405"/>
      <c r="H337" s="1405"/>
    </row>
    <row r="338" spans="1:8" ht="15">
      <c r="A338" s="1406" t="s">
        <v>2194</v>
      </c>
      <c r="B338" s="1405"/>
      <c r="C338" s="1405"/>
      <c r="D338" s="1405"/>
      <c r="E338" s="1405"/>
      <c r="F338" s="1405"/>
      <c r="G338" s="1405"/>
      <c r="H338" s="1405"/>
    </row>
    <row r="339" spans="1:8" ht="15">
      <c r="A339" s="1406" t="s">
        <v>2195</v>
      </c>
      <c r="B339" s="1405"/>
      <c r="C339" s="1405"/>
      <c r="D339" s="1405"/>
      <c r="E339" s="1405"/>
      <c r="F339" s="1405"/>
      <c r="G339" s="1405"/>
      <c r="H339" s="1405"/>
    </row>
    <row r="340" spans="1:8" ht="15">
      <c r="A340" s="1406" t="s">
        <v>2196</v>
      </c>
      <c r="B340" s="1405"/>
      <c r="C340" s="1405"/>
      <c r="D340" s="1405"/>
      <c r="E340" s="1405"/>
      <c r="F340" s="1405"/>
      <c r="G340" s="1405"/>
      <c r="H340" s="1405"/>
    </row>
    <row r="341" spans="1:8" ht="15">
      <c r="A341" s="1406" t="s">
        <v>2197</v>
      </c>
      <c r="B341" s="1405"/>
      <c r="C341" s="1405"/>
      <c r="D341" s="1405"/>
      <c r="E341" s="1405"/>
      <c r="F341" s="1405"/>
      <c r="G341" s="1405"/>
      <c r="H341" s="1405"/>
    </row>
    <row r="342" spans="1:8" ht="15">
      <c r="A342" s="1406" t="s">
        <v>2198</v>
      </c>
      <c r="B342" s="1405"/>
      <c r="C342" s="1405"/>
      <c r="D342" s="1405"/>
      <c r="E342" s="1405"/>
      <c r="F342" s="1405"/>
      <c r="G342" s="1405"/>
      <c r="H342" s="1405"/>
    </row>
    <row r="343" spans="1:8" ht="15">
      <c r="A343" s="1406" t="s">
        <v>2199</v>
      </c>
      <c r="B343" s="1405"/>
      <c r="C343" s="1405"/>
      <c r="D343" s="1405"/>
      <c r="E343" s="1405"/>
      <c r="F343" s="1405"/>
      <c r="G343" s="1405"/>
      <c r="H343" s="1405"/>
    </row>
    <row r="344" spans="1:8" ht="15">
      <c r="A344" s="1406" t="s">
        <v>2200</v>
      </c>
      <c r="B344" s="1405"/>
      <c r="C344" s="1405"/>
      <c r="D344" s="1405"/>
      <c r="E344" s="1405"/>
      <c r="F344" s="1405"/>
      <c r="G344" s="1405"/>
      <c r="H344" s="1405"/>
    </row>
    <row r="345" spans="1:8" ht="15">
      <c r="A345" s="1406" t="s">
        <v>2201</v>
      </c>
      <c r="B345" s="1405"/>
      <c r="C345" s="1405"/>
      <c r="D345" s="1405"/>
      <c r="E345" s="1405"/>
      <c r="F345" s="1405"/>
      <c r="G345" s="1405"/>
      <c r="H345" s="1405"/>
    </row>
    <row r="346" spans="1:8" ht="15">
      <c r="A346" s="1406" t="s">
        <v>2202</v>
      </c>
      <c r="B346" s="1405"/>
      <c r="C346" s="1405"/>
      <c r="D346" s="1405"/>
      <c r="E346" s="1405"/>
      <c r="F346" s="1405"/>
      <c r="G346" s="1405"/>
      <c r="H346" s="1405"/>
    </row>
    <row r="347" spans="1:8" ht="15">
      <c r="A347" s="1406" t="s">
        <v>2203</v>
      </c>
      <c r="B347" s="1405"/>
      <c r="C347" s="1405"/>
      <c r="D347" s="1405"/>
      <c r="E347" s="1405"/>
      <c r="F347" s="1405"/>
      <c r="G347" s="1405"/>
      <c r="H347" s="1405"/>
    </row>
    <row r="348" spans="1:8" ht="15">
      <c r="A348" s="1406" t="s">
        <v>2204</v>
      </c>
      <c r="B348" s="1405"/>
      <c r="C348" s="1405"/>
      <c r="D348" s="1405"/>
      <c r="E348" s="1405"/>
      <c r="F348" s="1405"/>
      <c r="G348" s="1405"/>
      <c r="H348" s="1405"/>
    </row>
    <row r="349" spans="1:8" ht="15">
      <c r="A349" s="1406" t="s">
        <v>2205</v>
      </c>
      <c r="B349" s="1405"/>
      <c r="C349" s="1405"/>
      <c r="D349" s="1405"/>
      <c r="E349" s="1405"/>
      <c r="F349" s="1405"/>
      <c r="G349" s="1405"/>
      <c r="H349" s="1405"/>
    </row>
    <row r="350" spans="1:8" ht="15">
      <c r="A350" s="1406" t="s">
        <v>2206</v>
      </c>
      <c r="B350" s="1405"/>
      <c r="C350" s="1405"/>
      <c r="D350" s="1405"/>
      <c r="E350" s="1405"/>
      <c r="F350" s="1405"/>
      <c r="G350" s="1405"/>
      <c r="H350" s="1405"/>
    </row>
    <row r="351" spans="1:8" ht="15">
      <c r="A351" s="1406" t="s">
        <v>2207</v>
      </c>
      <c r="B351" s="1405"/>
      <c r="C351" s="1405"/>
      <c r="D351" s="1405"/>
      <c r="E351" s="1405"/>
      <c r="F351" s="1405"/>
      <c r="G351" s="1405"/>
      <c r="H351" s="1405"/>
    </row>
    <row r="352" spans="1:8" ht="15">
      <c r="A352" s="1406" t="s">
        <v>2208</v>
      </c>
      <c r="B352" s="1405"/>
      <c r="C352" s="1405"/>
      <c r="D352" s="1405"/>
      <c r="E352" s="1405"/>
      <c r="F352" s="1405"/>
      <c r="G352" s="1405"/>
      <c r="H352" s="1405"/>
    </row>
    <row r="353" spans="1:8" ht="15">
      <c r="A353" s="1406" t="s">
        <v>2209</v>
      </c>
      <c r="B353" s="1405"/>
      <c r="C353" s="1405"/>
      <c r="D353" s="1405"/>
      <c r="E353" s="1405"/>
      <c r="F353" s="1405"/>
      <c r="G353" s="1405"/>
      <c r="H353" s="1405"/>
    </row>
    <row r="354" spans="1:8" ht="15">
      <c r="A354" s="1406" t="s">
        <v>2210</v>
      </c>
      <c r="B354" s="1405"/>
      <c r="C354" s="1405"/>
      <c r="D354" s="1405"/>
      <c r="E354" s="1405"/>
      <c r="F354" s="1405"/>
      <c r="G354" s="1405"/>
      <c r="H354" s="1405"/>
    </row>
    <row r="355" spans="1:8" ht="15">
      <c r="A355" s="1406" t="s">
        <v>2211</v>
      </c>
      <c r="B355" s="1405"/>
      <c r="C355" s="1405"/>
      <c r="D355" s="1405"/>
      <c r="E355" s="1405"/>
      <c r="F355" s="1405"/>
      <c r="G355" s="1405"/>
      <c r="H355" s="1405"/>
    </row>
    <row r="356" spans="1:8" ht="15">
      <c r="A356" s="1406" t="s">
        <v>2212</v>
      </c>
      <c r="B356" s="1405"/>
      <c r="C356" s="1405"/>
      <c r="D356" s="1405"/>
      <c r="E356" s="1405"/>
      <c r="F356" s="1405"/>
      <c r="G356" s="1405"/>
      <c r="H356" s="1405"/>
    </row>
    <row r="357" spans="1:8" ht="15">
      <c r="A357" s="1406" t="s">
        <v>2213</v>
      </c>
      <c r="B357" s="1405"/>
      <c r="C357" s="1405"/>
      <c r="D357" s="1405"/>
      <c r="E357" s="1405"/>
      <c r="F357" s="1405"/>
      <c r="G357" s="1405"/>
      <c r="H357" s="1405"/>
    </row>
    <row r="358" spans="1:8" ht="15">
      <c r="A358" s="1406" t="s">
        <v>2214</v>
      </c>
      <c r="B358" s="1405"/>
      <c r="C358" s="1405"/>
      <c r="D358" s="1405"/>
      <c r="E358" s="1405"/>
      <c r="F358" s="1405"/>
      <c r="G358" s="1405"/>
      <c r="H358" s="1405"/>
    </row>
    <row r="359" spans="1:8" ht="15">
      <c r="A359" s="1406" t="s">
        <v>2215</v>
      </c>
      <c r="B359" s="1405"/>
      <c r="C359" s="1405"/>
      <c r="D359" s="1405"/>
      <c r="E359" s="1405"/>
      <c r="F359" s="1405"/>
      <c r="G359" s="1405"/>
      <c r="H359" s="1405"/>
    </row>
    <row r="360" spans="1:8" ht="15">
      <c r="A360" s="1406" t="s">
        <v>2216</v>
      </c>
      <c r="B360" s="1405"/>
      <c r="C360" s="1405"/>
      <c r="D360" s="1405"/>
      <c r="E360" s="1405"/>
      <c r="F360" s="1405"/>
      <c r="G360" s="1405"/>
      <c r="H360" s="1405"/>
    </row>
    <row r="361" spans="1:8" ht="15">
      <c r="A361" s="1406" t="s">
        <v>2217</v>
      </c>
      <c r="B361" s="1405"/>
      <c r="C361" s="1405"/>
      <c r="D361" s="1405"/>
      <c r="E361" s="1405"/>
      <c r="F361" s="1405"/>
      <c r="G361" s="1405"/>
      <c r="H361" s="1405"/>
    </row>
    <row r="362" spans="1:8" ht="15">
      <c r="A362" s="1406" t="s">
        <v>2218</v>
      </c>
      <c r="B362" s="1405"/>
      <c r="C362" s="1405"/>
      <c r="D362" s="1405"/>
      <c r="E362" s="1405"/>
      <c r="F362" s="1405"/>
      <c r="G362" s="1405"/>
      <c r="H362" s="1405"/>
    </row>
    <row r="363" spans="1:8" ht="15">
      <c r="A363" s="1406" t="s">
        <v>2219</v>
      </c>
      <c r="B363" s="1405"/>
      <c r="C363" s="1405"/>
      <c r="D363" s="1405"/>
      <c r="E363" s="1405"/>
      <c r="F363" s="1405"/>
      <c r="G363" s="1405"/>
      <c r="H363" s="1405"/>
    </row>
    <row r="364" spans="1:8" ht="15">
      <c r="A364" s="1405"/>
      <c r="B364" s="1405"/>
      <c r="C364" s="1405"/>
      <c r="D364" s="1405"/>
      <c r="E364" s="1405"/>
      <c r="F364" s="1405"/>
      <c r="G364" s="1405"/>
      <c r="H364" s="1405"/>
    </row>
    <row r="365" spans="1:8" ht="15">
      <c r="A365" s="1406" t="s">
        <v>2177</v>
      </c>
      <c r="B365" s="1405"/>
      <c r="C365" s="1405"/>
      <c r="D365" s="1405"/>
      <c r="E365" s="1405"/>
      <c r="F365" s="1405"/>
      <c r="G365" s="1405"/>
      <c r="H365" s="1405"/>
    </row>
    <row r="366" spans="1:8" ht="15">
      <c r="A366" s="1406" t="s">
        <v>2181</v>
      </c>
      <c r="B366" s="1405"/>
      <c r="C366" s="1405"/>
      <c r="D366" s="1405"/>
      <c r="E366" s="1405"/>
      <c r="F366" s="1405"/>
      <c r="G366" s="1405"/>
      <c r="H366" s="1405"/>
    </row>
    <row r="367" spans="1:8" ht="15">
      <c r="A367" s="1406" t="s">
        <v>2182</v>
      </c>
      <c r="B367" s="1405"/>
      <c r="C367" s="1405"/>
      <c r="D367" s="1405"/>
      <c r="E367" s="1405"/>
      <c r="F367" s="1405"/>
      <c r="G367" s="1405"/>
      <c r="H367" s="1405"/>
    </row>
    <row r="368" spans="1:8" ht="15">
      <c r="A368" s="1406" t="s">
        <v>2183</v>
      </c>
      <c r="B368" s="1405"/>
      <c r="C368" s="1405"/>
      <c r="D368" s="1405"/>
      <c r="E368" s="1405"/>
      <c r="F368" s="1405"/>
      <c r="G368" s="1405"/>
      <c r="H368" s="1405"/>
    </row>
    <row r="369" spans="1:8" ht="15">
      <c r="A369" s="1406" t="s">
        <v>2184</v>
      </c>
      <c r="B369" s="1405"/>
      <c r="C369" s="1405"/>
      <c r="D369" s="1405"/>
      <c r="E369" s="1405"/>
      <c r="F369" s="1405"/>
      <c r="G369" s="1405"/>
      <c r="H369" s="1405"/>
    </row>
    <row r="370" spans="1:8" ht="15">
      <c r="A370" s="1405"/>
      <c r="B370" s="1405"/>
      <c r="C370" s="1405"/>
      <c r="D370" s="1405"/>
      <c r="E370" s="1405"/>
      <c r="F370" s="1405"/>
      <c r="G370" s="1405"/>
      <c r="H370" s="1405"/>
    </row>
    <row r="371" spans="1:8" ht="15">
      <c r="A371" s="1406" t="s">
        <v>2177</v>
      </c>
      <c r="B371" s="1405"/>
      <c r="C371" s="1405"/>
      <c r="D371" s="1405"/>
      <c r="E371" s="1405"/>
      <c r="F371" s="1405"/>
      <c r="G371" s="1405"/>
      <c r="H371" s="1405"/>
    </row>
    <row r="372" spans="1:8" ht="15">
      <c r="A372" s="1406" t="s">
        <v>2178</v>
      </c>
      <c r="B372" s="1405"/>
      <c r="C372" s="1405"/>
      <c r="D372" s="1405"/>
      <c r="E372" s="1405"/>
      <c r="F372" s="1405"/>
      <c r="G372" s="1405"/>
      <c r="H372" s="1405"/>
    </row>
    <row r="373" spans="1:8" ht="15">
      <c r="A373" s="1406" t="s">
        <v>2179</v>
      </c>
      <c r="B373" s="1405"/>
      <c r="C373" s="1405"/>
      <c r="D373" s="1405"/>
      <c r="E373" s="1405"/>
      <c r="F373" s="1405"/>
      <c r="G373" s="1405"/>
      <c r="H373" s="1405"/>
    </row>
    <row r="374" spans="1:8" ht="15">
      <c r="A374" s="1406" t="s">
        <v>2180</v>
      </c>
      <c r="B374" s="1405"/>
      <c r="C374" s="1405"/>
      <c r="D374" s="1405"/>
      <c r="E374" s="1405"/>
      <c r="F374" s="1405"/>
      <c r="G374" s="1405"/>
      <c r="H374" s="1405"/>
    </row>
    <row r="375" spans="1:8" ht="15">
      <c r="A375" s="1405"/>
      <c r="B375" s="1405"/>
      <c r="C375" s="1405"/>
      <c r="D375" s="1405"/>
      <c r="E375" s="1405"/>
      <c r="F375" s="1405"/>
      <c r="G375" s="1405"/>
      <c r="H375" s="1405"/>
    </row>
    <row r="376" spans="1:8" ht="15">
      <c r="A376" s="1406" t="s">
        <v>2171</v>
      </c>
      <c r="B376" s="1405"/>
      <c r="C376" s="1405"/>
      <c r="D376" s="1405"/>
      <c r="E376" s="1405"/>
      <c r="F376" s="1405"/>
      <c r="G376" s="1405"/>
      <c r="H376" s="1405"/>
    </row>
    <row r="377" spans="1:8" ht="15">
      <c r="A377" s="1406" t="s">
        <v>2172</v>
      </c>
      <c r="B377" s="1405"/>
      <c r="C377" s="1405"/>
      <c r="D377" s="1405"/>
      <c r="E377" s="1405"/>
      <c r="F377" s="1405"/>
      <c r="G377" s="1405"/>
      <c r="H377" s="1405"/>
    </row>
    <row r="378" spans="1:8" ht="15">
      <c r="A378" s="1406" t="s">
        <v>2173</v>
      </c>
      <c r="B378" s="1405"/>
      <c r="C378" s="1405"/>
      <c r="D378" s="1405"/>
      <c r="E378" s="1405"/>
      <c r="F378" s="1405"/>
      <c r="G378" s="1405"/>
      <c r="H378" s="1405"/>
    </row>
    <row r="379" spans="1:8" ht="15">
      <c r="A379" s="1406" t="s">
        <v>2174</v>
      </c>
      <c r="B379" s="1405"/>
      <c r="C379" s="1405"/>
      <c r="D379" s="1405"/>
      <c r="E379" s="1405"/>
      <c r="F379" s="1405"/>
      <c r="G379" s="1405"/>
      <c r="H379" s="1405"/>
    </row>
    <row r="380" spans="1:8" ht="15">
      <c r="A380" s="1406" t="s">
        <v>2175</v>
      </c>
      <c r="B380" s="1405"/>
      <c r="C380" s="1405"/>
      <c r="D380" s="1405"/>
      <c r="E380" s="1405"/>
      <c r="F380" s="1405"/>
      <c r="G380" s="1405"/>
      <c r="H380" s="1405"/>
    </row>
    <row r="381" spans="1:8" ht="15">
      <c r="A381" s="1406" t="s">
        <v>2176</v>
      </c>
      <c r="B381" s="1405"/>
      <c r="C381" s="1405"/>
      <c r="D381" s="1405"/>
      <c r="E381" s="1405"/>
      <c r="F381" s="1405"/>
      <c r="G381" s="1405"/>
      <c r="H381" s="1405"/>
    </row>
    <row r="382" spans="1:8" ht="15">
      <c r="A382" s="1405"/>
      <c r="B382" s="1405"/>
      <c r="C382" s="1405"/>
      <c r="D382" s="1405"/>
      <c r="E382" s="1405"/>
      <c r="F382" s="1405"/>
      <c r="G382" s="1405"/>
      <c r="H382" s="1405"/>
    </row>
    <row r="383" spans="1:8" ht="15">
      <c r="A383" s="1406" t="s">
        <v>2166</v>
      </c>
      <c r="B383" s="1405"/>
      <c r="C383" s="1405"/>
      <c r="D383" s="1405"/>
      <c r="E383" s="1405"/>
      <c r="F383" s="1405"/>
      <c r="G383" s="1405"/>
      <c r="H383" s="1405"/>
    </row>
    <row r="384" spans="1:8" ht="15">
      <c r="A384" s="1406" t="s">
        <v>2167</v>
      </c>
      <c r="B384" s="1405"/>
      <c r="C384" s="1405"/>
      <c r="D384" s="1405"/>
      <c r="E384" s="1405"/>
      <c r="F384" s="1405"/>
      <c r="G384" s="1405"/>
      <c r="H384" s="1405"/>
    </row>
    <row r="385" spans="1:8" ht="15">
      <c r="A385" s="1406" t="s">
        <v>2168</v>
      </c>
      <c r="B385" s="1405"/>
      <c r="C385" s="1405"/>
      <c r="D385" s="1405"/>
      <c r="E385" s="1405"/>
      <c r="F385" s="1405"/>
      <c r="G385" s="1405"/>
      <c r="H385" s="1405"/>
    </row>
    <row r="386" spans="1:8" ht="15">
      <c r="A386" s="1406" t="s">
        <v>2169</v>
      </c>
      <c r="B386" s="1405"/>
      <c r="C386" s="1405"/>
      <c r="D386" s="1405"/>
      <c r="E386" s="1405"/>
      <c r="F386" s="1405"/>
      <c r="G386" s="1405"/>
      <c r="H386" s="1405"/>
    </row>
    <row r="387" spans="1:8" ht="15">
      <c r="A387" s="1406" t="s">
        <v>2170</v>
      </c>
      <c r="B387" s="1405"/>
      <c r="C387" s="1405"/>
      <c r="D387" s="1405"/>
      <c r="E387" s="1405"/>
      <c r="F387" s="1405"/>
      <c r="G387" s="1405"/>
      <c r="H387" s="1405"/>
    </row>
    <row r="388" spans="1:8" ht="15">
      <c r="A388" s="1405"/>
      <c r="B388" s="1405"/>
      <c r="C388" s="1405"/>
      <c r="D388" s="1405"/>
      <c r="E388" s="1405"/>
      <c r="F388" s="1405"/>
      <c r="G388" s="1405"/>
      <c r="H388" s="1405"/>
    </row>
    <row r="389" spans="1:8" ht="15">
      <c r="A389" s="1406" t="s">
        <v>2164</v>
      </c>
      <c r="B389" s="1405"/>
      <c r="C389" s="1405"/>
      <c r="D389" s="1405"/>
      <c r="E389" s="1405"/>
      <c r="F389" s="1405"/>
      <c r="G389" s="1405"/>
      <c r="H389" s="1405"/>
    </row>
    <row r="390" spans="1:8" ht="15">
      <c r="A390" s="1406" t="s">
        <v>2165</v>
      </c>
      <c r="B390" s="1405"/>
      <c r="C390" s="1405"/>
      <c r="D390" s="1405"/>
      <c r="E390" s="1405"/>
      <c r="F390" s="1405"/>
      <c r="G390" s="1405"/>
      <c r="H390" s="1405"/>
    </row>
    <row r="392" spans="1:8">
      <c r="A392" s="1401" t="s">
        <v>2421</v>
      </c>
    </row>
  </sheetData>
  <mergeCells count="12">
    <mergeCell ref="A115:H115"/>
    <mergeCell ref="A122:H122"/>
    <mergeCell ref="A109:H109"/>
    <mergeCell ref="A110:H110"/>
    <mergeCell ref="A111:H111"/>
    <mergeCell ref="A112:H112"/>
    <mergeCell ref="A114:H114"/>
    <mergeCell ref="A130:H130"/>
    <mergeCell ref="A131:H131"/>
    <mergeCell ref="B123:C123"/>
    <mergeCell ref="D123:F123"/>
    <mergeCell ref="G123:H123"/>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3"/>
  </sheetPr>
  <dimension ref="A1:D21"/>
  <sheetViews>
    <sheetView workbookViewId="0">
      <selection activeCell="B21" sqref="B21"/>
    </sheetView>
  </sheetViews>
  <sheetFormatPr defaultRowHeight="12.75"/>
  <cols>
    <col min="1" max="1" width="3.42578125" style="111" customWidth="1"/>
    <col min="2" max="2" width="39.140625" style="111" customWidth="1"/>
    <col min="3" max="3" width="47.5703125" style="111" customWidth="1"/>
    <col min="4" max="4" width="38.7109375" style="111" customWidth="1"/>
    <col min="5" max="16384" width="9.140625" style="111"/>
  </cols>
  <sheetData>
    <row r="1" spans="1:4" ht="40.5" customHeight="1">
      <c r="A1" s="110"/>
      <c r="B1" s="110"/>
      <c r="C1" s="110"/>
      <c r="D1" s="110"/>
    </row>
    <row r="2" spans="1:4" ht="26.25">
      <c r="A2" s="128"/>
      <c r="B2" s="128" t="s">
        <v>487</v>
      </c>
      <c r="C2" s="129"/>
      <c r="D2" s="129"/>
    </row>
    <row r="3" spans="1:4" ht="20.25">
      <c r="A3" s="130"/>
      <c r="B3" s="130"/>
      <c r="C3" s="131"/>
      <c r="D3" s="132" t="s">
        <v>495</v>
      </c>
    </row>
    <row r="4" spans="1:4" ht="10.5" customHeight="1">
      <c r="A4" s="112"/>
      <c r="B4" s="112"/>
      <c r="C4" s="113"/>
      <c r="D4" s="114"/>
    </row>
    <row r="5" spans="1:4" ht="21" customHeight="1">
      <c r="A5" s="115"/>
      <c r="B5" s="115"/>
      <c r="C5" s="116" t="s">
        <v>496</v>
      </c>
      <c r="D5" s="117" t="s">
        <v>497</v>
      </c>
    </row>
    <row r="6" spans="1:4" ht="21" customHeight="1">
      <c r="A6" s="115"/>
      <c r="B6" s="115"/>
      <c r="C6" s="116" t="s">
        <v>944</v>
      </c>
      <c r="D6" s="117" t="s">
        <v>943</v>
      </c>
    </row>
    <row r="7" spans="1:4" ht="21" customHeight="1">
      <c r="A7" s="115"/>
      <c r="B7" s="115"/>
      <c r="C7" s="116"/>
      <c r="D7" s="117"/>
    </row>
    <row r="8" spans="1:4" ht="20.25" customHeight="1">
      <c r="A8" s="112"/>
      <c r="B8" s="112"/>
      <c r="C8" s="118"/>
      <c r="D8" s="117"/>
    </row>
    <row r="9" spans="1:4" ht="20.25" customHeight="1">
      <c r="A9" s="112"/>
      <c r="B9" s="112"/>
      <c r="C9" s="116"/>
      <c r="D9" s="117"/>
    </row>
    <row r="10" spans="1:4" ht="8.25" customHeight="1">
      <c r="A10" s="112"/>
      <c r="B10" s="112"/>
      <c r="C10" s="119"/>
      <c r="D10" s="117"/>
    </row>
    <row r="11" spans="1:4" ht="20.25" customHeight="1">
      <c r="A11" s="112"/>
      <c r="B11" s="112"/>
      <c r="C11" s="118"/>
      <c r="D11" s="117"/>
    </row>
    <row r="12" spans="1:4" ht="20.25" customHeight="1">
      <c r="A12" s="112"/>
      <c r="B12" s="112"/>
      <c r="C12" s="116"/>
      <c r="D12" s="117"/>
    </row>
    <row r="13" spans="1:4" ht="20.25" customHeight="1">
      <c r="A13" s="112"/>
      <c r="B13" s="112"/>
      <c r="C13" s="119"/>
      <c r="D13" s="117"/>
    </row>
    <row r="14" spans="1:4" ht="26.25">
      <c r="A14" s="110"/>
      <c r="B14" s="133" t="s">
        <v>807</v>
      </c>
      <c r="C14" s="120"/>
      <c r="D14" s="110"/>
    </row>
    <row r="15" spans="1:4" ht="18">
      <c r="A15" s="115"/>
      <c r="B15" s="115"/>
      <c r="C15" s="115"/>
      <c r="D15" s="115"/>
    </row>
    <row r="16" spans="1:4" ht="18">
      <c r="A16" s="115"/>
      <c r="B16" s="115"/>
      <c r="C16" s="115"/>
      <c r="D16" s="115"/>
    </row>
    <row r="17" spans="1:4" ht="18.75">
      <c r="A17" s="110"/>
      <c r="B17" s="1396" t="s">
        <v>1857</v>
      </c>
      <c r="C17" s="122"/>
      <c r="D17" s="110"/>
    </row>
    <row r="18" spans="1:4" ht="18">
      <c r="A18" s="110"/>
      <c r="B18" s="121"/>
      <c r="C18" s="123"/>
      <c r="D18" s="110"/>
    </row>
    <row r="19" spans="1:4" ht="15">
      <c r="A19" s="124" t="s">
        <v>498</v>
      </c>
      <c r="B19" s="124"/>
      <c r="C19" s="125"/>
      <c r="D19" s="125"/>
    </row>
    <row r="20" spans="1:4" ht="15">
      <c r="A20" s="126" t="s">
        <v>499</v>
      </c>
      <c r="B20" s="126"/>
      <c r="C20" s="127"/>
      <c r="D20" s="127"/>
    </row>
    <row r="21" spans="1:4" ht="15">
      <c r="A21" s="126" t="s">
        <v>500</v>
      </c>
      <c r="B21" s="126"/>
      <c r="C21" s="127"/>
      <c r="D21" s="127"/>
    </row>
  </sheetData>
  <hyperlinks>
    <hyperlink ref="D5" r:id="rId1" display="mailto:vincent.meunier@morganstanley.com"/>
    <hyperlink ref="D6" r:id="rId2"/>
    <hyperlink ref="B17" r:id="rId3"/>
  </hyperlinks>
  <pageMargins left="0.75" right="0.75" top="1" bottom="1" header="0.5" footer="0.5"/>
  <pageSetup orientation="portrait" r:id="rId4"/>
  <headerFooter alignWithMargins="0"/>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pageSetUpPr fitToPage="1"/>
  </sheetPr>
  <dimension ref="B2:AU261"/>
  <sheetViews>
    <sheetView topLeftCell="A109" workbookViewId="0">
      <selection activeCell="B175" sqref="B175"/>
    </sheetView>
  </sheetViews>
  <sheetFormatPr defaultRowHeight="12.75"/>
  <cols>
    <col min="1" max="1" width="2.42578125" style="16" customWidth="1"/>
    <col min="2" max="2" width="45" style="16" customWidth="1"/>
    <col min="3" max="4" width="15.5703125" style="16" hidden="1" customWidth="1"/>
    <col min="5" max="12" width="15.5703125" style="16" customWidth="1"/>
    <col min="13" max="14" width="15.5703125" style="16" hidden="1" customWidth="1"/>
    <col min="15" max="16" width="12.5703125" style="16" customWidth="1"/>
    <col min="17" max="18" width="9.140625" style="16"/>
    <col min="19" max="19" width="29.42578125" style="53" customWidth="1"/>
    <col min="20" max="20" width="44.5703125" style="53" customWidth="1"/>
    <col min="21" max="21" width="2.7109375" style="18" bestFit="1" customWidth="1"/>
    <col min="22" max="22" width="3.28515625" style="18" bestFit="1" customWidth="1"/>
    <col min="23" max="23" width="12.5703125" style="18" customWidth="1"/>
    <col min="24" max="24" width="13.28515625" style="18" customWidth="1"/>
    <col min="25" max="25" width="16.7109375" style="18" bestFit="1" customWidth="1"/>
    <col min="26" max="26" width="14.7109375" style="18" bestFit="1" customWidth="1"/>
    <col min="27" max="43" width="9.140625" style="18"/>
    <col min="44" max="47" width="9.140625" style="17"/>
    <col min="48" max="16384" width="9.140625" style="16"/>
  </cols>
  <sheetData>
    <row r="2" spans="2:47" ht="33">
      <c r="B2" s="372" t="s">
        <v>485</v>
      </c>
      <c r="C2" s="1334" t="s">
        <v>433</v>
      </c>
      <c r="D2" s="1334" t="s">
        <v>514</v>
      </c>
      <c r="E2" s="1334">
        <v>2016</v>
      </c>
      <c r="F2" s="1334">
        <v>2017</v>
      </c>
      <c r="G2" s="1335">
        <v>2018</v>
      </c>
      <c r="H2" s="1335">
        <v>2019</v>
      </c>
      <c r="I2" s="1335">
        <v>2020</v>
      </c>
      <c r="J2" s="1335">
        <v>2021</v>
      </c>
      <c r="K2" s="1335">
        <v>2022</v>
      </c>
      <c r="L2" s="1335">
        <v>2023</v>
      </c>
      <c r="M2" s="1334" t="s">
        <v>484</v>
      </c>
      <c r="N2" s="1334" t="s">
        <v>868</v>
      </c>
      <c r="O2" s="1336" t="s">
        <v>945</v>
      </c>
      <c r="P2" s="1336" t="s">
        <v>946</v>
      </c>
      <c r="S2" s="60"/>
      <c r="T2" s="60"/>
      <c r="U2" s="59"/>
      <c r="V2" s="59"/>
      <c r="W2" s="59"/>
      <c r="X2" s="59"/>
      <c r="Y2" s="59"/>
      <c r="Z2" s="59"/>
      <c r="AR2" s="18"/>
      <c r="AS2" s="18"/>
      <c r="AT2" s="18"/>
      <c r="AU2" s="18"/>
    </row>
    <row r="3" spans="2:47" ht="16.5">
      <c r="B3" s="56" t="s">
        <v>16</v>
      </c>
      <c r="C3" s="104">
        <f>Sales!F34</f>
        <v>31791</v>
      </c>
      <c r="D3" s="104">
        <f>Sales!G34</f>
        <v>33345</v>
      </c>
      <c r="E3" s="104">
        <f>Sales!H34</f>
        <v>32562</v>
      </c>
      <c r="F3" s="104">
        <f>Sales!I34</f>
        <v>32278</v>
      </c>
      <c r="G3" s="104">
        <f>Sales!J34</f>
        <v>34608.226549138832</v>
      </c>
      <c r="H3" s="104">
        <f>Sales!K34</f>
        <v>34903.528721070914</v>
      </c>
      <c r="I3" s="104">
        <f>Sales!L34</f>
        <v>35712.701477290568</v>
      </c>
      <c r="J3" s="104">
        <f>Sales!M34</f>
        <v>36964.895436166611</v>
      </c>
      <c r="K3" s="104">
        <f>Sales!N34</f>
        <v>37353.759981921139</v>
      </c>
      <c r="L3" s="104">
        <f>Sales!O34</f>
        <v>35962.968281720292</v>
      </c>
      <c r="M3" s="104">
        <f>Sales!P34</f>
        <v>35796.094777698003</v>
      </c>
      <c r="N3" s="104">
        <f>Sales!Q34</f>
        <v>35473.622561165685</v>
      </c>
      <c r="O3" s="55">
        <f>((K3/G3)^(1/4))-1</f>
        <v>1.9268833152963571E-2</v>
      </c>
      <c r="P3" s="55">
        <f>((L3/G3)^(1/5))-1</f>
        <v>7.7092312439215327E-3</v>
      </c>
      <c r="S3" s="60"/>
      <c r="T3" s="60"/>
      <c r="U3" s="59"/>
      <c r="V3" s="59"/>
      <c r="W3" s="59"/>
      <c r="X3" s="59"/>
      <c r="Y3" s="59"/>
      <c r="Z3" s="59"/>
      <c r="AA3" s="59"/>
      <c r="AB3" s="59"/>
      <c r="AC3" s="59"/>
      <c r="AD3" s="59"/>
      <c r="AE3" s="59"/>
      <c r="AF3" s="59"/>
      <c r="AG3" s="59"/>
      <c r="AH3" s="59"/>
      <c r="AR3" s="18"/>
      <c r="AS3" s="18"/>
      <c r="AT3" s="18"/>
      <c r="AU3" s="18"/>
    </row>
    <row r="4" spans="2:47" ht="16.5">
      <c r="B4" s="56" t="s">
        <v>59</v>
      </c>
      <c r="C4" s="104">
        <f>Sales!F424</f>
        <v>10827</v>
      </c>
      <c r="D4" s="104">
        <f>Sales!G424</f>
        <v>5999</v>
      </c>
      <c r="E4" s="104">
        <f>Sales!H424</f>
        <v>5812</v>
      </c>
      <c r="F4" s="104">
        <f>Sales!I424</f>
        <v>6771</v>
      </c>
      <c r="G4" s="104">
        <f>Sales!J424</f>
        <v>7265.9763227608937</v>
      </c>
      <c r="H4" s="104">
        <f>Sales!K424</f>
        <v>7502.308976512948</v>
      </c>
      <c r="I4" s="104">
        <f>Sales!L424</f>
        <v>7785.9140338280413</v>
      </c>
      <c r="J4" s="104">
        <f>Sales!M424</f>
        <v>8085.7194284217767</v>
      </c>
      <c r="K4" s="104">
        <f>Sales!N424</f>
        <v>8402.5573380253536</v>
      </c>
      <c r="L4" s="104">
        <f>Sales!O424</f>
        <v>8737.3077201111009</v>
      </c>
      <c r="M4" s="104">
        <f>Sales!P424</f>
        <v>9090.9011495708382</v>
      </c>
      <c r="N4" s="104">
        <f>Sales!Q424</f>
        <v>9464.3218351930518</v>
      </c>
      <c r="O4" s="55">
        <f>((K4/G4)^(1/4))-1</f>
        <v>3.7001480932892461E-2</v>
      </c>
      <c r="P4" s="55">
        <f>((L4/G4)^(1/5))-1</f>
        <v>3.7568386008305144E-2</v>
      </c>
      <c r="S4" s="60"/>
      <c r="T4" s="60"/>
      <c r="U4" s="59"/>
      <c r="V4" s="59"/>
      <c r="W4" s="59"/>
      <c r="X4" s="59"/>
      <c r="Y4" s="59"/>
      <c r="Z4" s="59"/>
      <c r="AA4" s="59"/>
      <c r="AB4" s="59"/>
      <c r="AC4" s="59"/>
      <c r="AD4" s="59"/>
      <c r="AE4" s="59"/>
      <c r="AF4" s="59"/>
      <c r="AG4" s="59"/>
      <c r="AH4" s="59"/>
      <c r="AR4" s="18"/>
      <c r="AS4" s="18"/>
      <c r="AT4" s="18"/>
      <c r="AU4" s="18"/>
    </row>
    <row r="5" spans="2:47" ht="16.5">
      <c r="B5" s="56" t="s">
        <v>71</v>
      </c>
      <c r="C5" s="104">
        <f>Sales!F502</f>
        <v>9562</v>
      </c>
      <c r="D5" s="104">
        <f>Sales!G502</f>
        <v>10070</v>
      </c>
      <c r="E5" s="104">
        <f>Sales!H502</f>
        <v>10144</v>
      </c>
      <c r="F5" s="104">
        <f>Sales!I502</f>
        <v>10060</v>
      </c>
      <c r="G5" s="104">
        <f>Sales!J502</f>
        <v>10383.657422316164</v>
      </c>
      <c r="H5" s="104">
        <f>Sales!K502</f>
        <v>10905.531828098057</v>
      </c>
      <c r="I5" s="104">
        <f>Sales!L502</f>
        <v>11485.135402675887</v>
      </c>
      <c r="J5" s="104">
        <f>Sales!M502</f>
        <v>11954.423347448699</v>
      </c>
      <c r="K5" s="104">
        <f>Sales!N502</f>
        <v>12450.263318833948</v>
      </c>
      <c r="L5" s="104">
        <f>Sales!O502</f>
        <v>12974.699216456931</v>
      </c>
      <c r="M5" s="104">
        <f>Sales!P502</f>
        <v>13529.960990814401</v>
      </c>
      <c r="N5" s="104">
        <f>Sales!Q502</f>
        <v>14118.482698188973</v>
      </c>
      <c r="O5" s="55">
        <f>((K5/G5)^(1/4))-1</f>
        <v>4.6422444843339905E-2</v>
      </c>
      <c r="P5" s="55">
        <f>((L5/G5)^(1/5))-1</f>
        <v>4.5561033695839193E-2</v>
      </c>
      <c r="S5" s="60"/>
      <c r="T5" s="60"/>
      <c r="U5" s="59"/>
      <c r="V5" s="59"/>
      <c r="W5" s="101"/>
      <c r="X5" s="59"/>
      <c r="Y5" s="59"/>
      <c r="Z5" s="59"/>
      <c r="AA5" s="59"/>
      <c r="AB5" s="59"/>
      <c r="AC5" s="59"/>
      <c r="AD5" s="59"/>
      <c r="AE5" s="59"/>
      <c r="AF5" s="59"/>
      <c r="AG5" s="59"/>
      <c r="AH5" s="59"/>
      <c r="AR5" s="18"/>
      <c r="AS5" s="18"/>
      <c r="AT5" s="18"/>
      <c r="AU5" s="18"/>
    </row>
    <row r="6" spans="2:47" ht="16.5">
      <c r="B6" s="56" t="s">
        <v>478</v>
      </c>
      <c r="C6" s="104">
        <f>C7-C3-C4-C5</f>
        <v>0</v>
      </c>
      <c r="D6" s="104">
        <f t="shared" ref="D6:M6" si="0">D7-D3-D4-D5</f>
        <v>0</v>
      </c>
      <c r="E6" s="104">
        <f t="shared" si="0"/>
        <v>0</v>
      </c>
      <c r="F6" s="104">
        <f t="shared" si="0"/>
        <v>0</v>
      </c>
      <c r="G6" s="104">
        <f t="shared" si="0"/>
        <v>0</v>
      </c>
      <c r="H6" s="104">
        <f t="shared" si="0"/>
        <v>0</v>
      </c>
      <c r="I6" s="104">
        <f t="shared" si="0"/>
        <v>0</v>
      </c>
      <c r="J6" s="104">
        <f t="shared" si="0"/>
        <v>0</v>
      </c>
      <c r="K6" s="104">
        <f t="shared" si="0"/>
        <v>0</v>
      </c>
      <c r="L6" s="104">
        <f t="shared" si="0"/>
        <v>0</v>
      </c>
      <c r="M6" s="104">
        <f t="shared" si="0"/>
        <v>0</v>
      </c>
      <c r="N6" s="104">
        <f>N7-N3-N4-N5</f>
        <v>0</v>
      </c>
      <c r="O6" s="55"/>
      <c r="P6" s="55"/>
      <c r="S6" s="60"/>
      <c r="T6" s="60"/>
      <c r="U6" s="59"/>
      <c r="V6" s="59"/>
      <c r="W6" s="101"/>
      <c r="X6" s="59"/>
      <c r="Y6" s="59"/>
      <c r="Z6" s="59"/>
      <c r="AA6" s="59"/>
      <c r="AB6" s="59"/>
      <c r="AC6" s="59"/>
      <c r="AD6" s="59"/>
      <c r="AE6" s="59"/>
      <c r="AF6" s="59"/>
      <c r="AG6" s="59"/>
      <c r="AH6" s="59"/>
      <c r="AR6" s="18"/>
      <c r="AS6" s="18"/>
      <c r="AT6" s="18"/>
      <c r="AU6" s="18"/>
    </row>
    <row r="7" spans="2:47" ht="16.5">
      <c r="B7" s="78" t="s">
        <v>13</v>
      </c>
      <c r="C7" s="104">
        <f>C47</f>
        <v>52180</v>
      </c>
      <c r="D7" s="104">
        <f t="shared" ref="D7:M7" si="1">D47</f>
        <v>49414</v>
      </c>
      <c r="E7" s="104">
        <f t="shared" si="1"/>
        <v>48518</v>
      </c>
      <c r="F7" s="104">
        <f t="shared" si="1"/>
        <v>49109</v>
      </c>
      <c r="G7" s="104">
        <f t="shared" si="1"/>
        <v>52257.86029421589</v>
      </c>
      <c r="H7" s="104">
        <f t="shared" si="1"/>
        <v>53311.369525681919</v>
      </c>
      <c r="I7" s="104">
        <f t="shared" si="1"/>
        <v>54983.750913794494</v>
      </c>
      <c r="J7" s="104">
        <f t="shared" si="1"/>
        <v>57005.038212037085</v>
      </c>
      <c r="K7" s="104">
        <f t="shared" si="1"/>
        <v>58206.58063878044</v>
      </c>
      <c r="L7" s="104">
        <f t="shared" si="1"/>
        <v>57674.975218288324</v>
      </c>
      <c r="M7" s="104">
        <f t="shared" si="1"/>
        <v>58416.956918083248</v>
      </c>
      <c r="N7" s="104">
        <f>N47</f>
        <v>59056.427094547711</v>
      </c>
      <c r="O7" s="55">
        <f>((K7/G7)^(1/4))-1</f>
        <v>2.7318516478024524E-2</v>
      </c>
      <c r="P7" s="55">
        <f>((L7/G7)^(1/5))-1</f>
        <v>1.9922467058719251E-2</v>
      </c>
      <c r="S7" s="102"/>
      <c r="T7" s="102"/>
      <c r="U7" s="99"/>
      <c r="V7" s="99"/>
      <c r="W7" s="101"/>
      <c r="X7" s="99"/>
      <c r="Y7" s="100"/>
      <c r="Z7" s="99"/>
      <c r="AA7" s="99"/>
      <c r="AB7" s="99"/>
      <c r="AC7" s="99"/>
      <c r="AD7" s="99"/>
      <c r="AE7" s="99"/>
      <c r="AF7" s="99"/>
      <c r="AG7" s="99"/>
      <c r="AH7" s="99"/>
      <c r="AR7" s="18"/>
      <c r="AS7" s="18"/>
      <c r="AT7" s="18"/>
      <c r="AU7" s="18"/>
    </row>
    <row r="8" spans="2:47" ht="16.5">
      <c r="B8" s="71" t="s">
        <v>483</v>
      </c>
      <c r="C8" s="104"/>
      <c r="D8" s="104" t="s">
        <v>426</v>
      </c>
      <c r="E8" s="104" t="s">
        <v>426</v>
      </c>
      <c r="F8" s="104" t="s">
        <v>426</v>
      </c>
      <c r="G8" s="104" t="s">
        <v>426</v>
      </c>
      <c r="H8" s="104" t="s">
        <v>426</v>
      </c>
      <c r="I8" s="104" t="s">
        <v>426</v>
      </c>
      <c r="J8" s="104"/>
      <c r="K8" s="104"/>
      <c r="L8" s="104"/>
      <c r="M8" s="104"/>
      <c r="N8" s="104"/>
      <c r="O8" s="55" t="s">
        <v>426</v>
      </c>
      <c r="P8" s="55" t="s">
        <v>426</v>
      </c>
      <c r="S8" s="60"/>
      <c r="T8" s="102"/>
      <c r="U8" s="59"/>
      <c r="V8" s="59"/>
      <c r="W8" s="101"/>
      <c r="X8" s="59"/>
      <c r="Y8" s="95"/>
      <c r="Z8" s="59"/>
      <c r="AA8" s="59"/>
      <c r="AB8" s="59"/>
      <c r="AC8" s="59"/>
      <c r="AD8" s="59"/>
      <c r="AE8" s="59"/>
      <c r="AF8" s="59"/>
      <c r="AG8" s="59"/>
      <c r="AH8" s="59"/>
    </row>
    <row r="9" spans="2:47" ht="16.5">
      <c r="B9" s="78" t="s">
        <v>16</v>
      </c>
      <c r="C9" s="84">
        <f t="shared" ref="C9:M9" si="2">C3/C7</f>
        <v>0.60925642008432346</v>
      </c>
      <c r="D9" s="84">
        <f t="shared" si="2"/>
        <v>0.67480875865139434</v>
      </c>
      <c r="E9" s="84">
        <f t="shared" si="2"/>
        <v>0.67113236324663017</v>
      </c>
      <c r="F9" s="84">
        <f t="shared" si="2"/>
        <v>0.657272597690851</v>
      </c>
      <c r="G9" s="84">
        <f t="shared" si="2"/>
        <v>0.66225877512572795</v>
      </c>
      <c r="H9" s="84">
        <f t="shared" si="2"/>
        <v>0.65471078742887456</v>
      </c>
      <c r="I9" s="84">
        <f t="shared" si="2"/>
        <v>0.64951373603598317</v>
      </c>
      <c r="J9" s="84">
        <f t="shared" si="2"/>
        <v>0.64844962121893934</v>
      </c>
      <c r="K9" s="84">
        <f t="shared" si="2"/>
        <v>0.64174462014410105</v>
      </c>
      <c r="L9" s="84">
        <f t="shared" si="2"/>
        <v>0.62354544836140113</v>
      </c>
      <c r="M9" s="84">
        <f t="shared" si="2"/>
        <v>0.61276890591706179</v>
      </c>
      <c r="N9" s="84">
        <f>N3/N7</f>
        <v>0.60067336116310244</v>
      </c>
      <c r="O9" s="84">
        <f>((K9/G9)^(1/4))-1</f>
        <v>-7.8356256564495741E-3</v>
      </c>
      <c r="P9" s="84">
        <f>((L9/G9)^(1/5))-1</f>
        <v>-1.1974670829655087E-2</v>
      </c>
      <c r="S9" s="102"/>
      <c r="T9" s="102"/>
      <c r="U9" s="59"/>
      <c r="V9" s="59"/>
      <c r="W9" s="101"/>
      <c r="X9" s="99"/>
      <c r="Y9" s="100"/>
      <c r="Z9" s="99"/>
      <c r="AA9" s="99"/>
      <c r="AB9" s="99"/>
      <c r="AC9" s="99"/>
      <c r="AD9" s="99"/>
      <c r="AE9" s="99"/>
      <c r="AF9" s="99"/>
      <c r="AG9" s="99"/>
      <c r="AH9" s="99"/>
    </row>
    <row r="10" spans="2:47" ht="16.5">
      <c r="B10" s="78" t="s">
        <v>59</v>
      </c>
      <c r="C10" s="84">
        <f t="shared" ref="C10:M10" si="3">C4/C$7</f>
        <v>0.20749329244921424</v>
      </c>
      <c r="D10" s="84">
        <f t="shared" si="3"/>
        <v>0.12140284130003642</v>
      </c>
      <c r="E10" s="84">
        <f t="shared" si="3"/>
        <v>0.11979059318191186</v>
      </c>
      <c r="F10" s="84">
        <f t="shared" si="3"/>
        <v>0.13787696756195403</v>
      </c>
      <c r="G10" s="84">
        <f t="shared" si="3"/>
        <v>0.13904083102241216</v>
      </c>
      <c r="H10" s="84">
        <f t="shared" si="3"/>
        <v>0.14072624738891443</v>
      </c>
      <c r="I10" s="84">
        <f t="shared" si="3"/>
        <v>0.14160390850808047</v>
      </c>
      <c r="J10" s="84">
        <f t="shared" si="3"/>
        <v>0.14184218942799359</v>
      </c>
      <c r="K10" s="84">
        <f t="shared" si="3"/>
        <v>0.14435751500625182</v>
      </c>
      <c r="L10" s="84">
        <f t="shared" si="3"/>
        <v>0.15149217987597094</v>
      </c>
      <c r="M10" s="84">
        <f t="shared" si="3"/>
        <v>0.15562092976391767</v>
      </c>
      <c r="N10" s="84">
        <f>N4/N$7</f>
        <v>0.1602589641943786</v>
      </c>
      <c r="O10" s="84">
        <f>((K10/G10)^(1/4))-1</f>
        <v>9.4254744751065545E-3</v>
      </c>
      <c r="P10" s="84">
        <f>((L10/G10)^(1/5))-1</f>
        <v>1.7301235652229296E-2</v>
      </c>
      <c r="S10" s="102"/>
      <c r="T10" s="102"/>
      <c r="U10" s="59"/>
      <c r="V10" s="59"/>
      <c r="W10" s="101"/>
      <c r="X10" s="99"/>
      <c r="Y10" s="100"/>
      <c r="Z10" s="99"/>
      <c r="AA10" s="99"/>
      <c r="AB10" s="99"/>
      <c r="AC10" s="99"/>
      <c r="AD10" s="99"/>
      <c r="AE10" s="99"/>
      <c r="AF10" s="99"/>
      <c r="AG10" s="99"/>
      <c r="AH10" s="99"/>
    </row>
    <row r="11" spans="2:47" ht="16.5">
      <c r="B11" s="78" t="s">
        <v>71</v>
      </c>
      <c r="C11" s="84">
        <f t="shared" ref="C11:M11" si="4">C5/C$7</f>
        <v>0.18325028746646224</v>
      </c>
      <c r="D11" s="84">
        <f t="shared" si="4"/>
        <v>0.20378840004856924</v>
      </c>
      <c r="E11" s="84">
        <f t="shared" si="4"/>
        <v>0.20907704357145801</v>
      </c>
      <c r="F11" s="84">
        <f t="shared" si="4"/>
        <v>0.20485043474719503</v>
      </c>
      <c r="G11" s="84">
        <f t="shared" si="4"/>
        <v>0.19870039385185981</v>
      </c>
      <c r="H11" s="84">
        <f t="shared" si="4"/>
        <v>0.20456296518221104</v>
      </c>
      <c r="I11" s="84">
        <f t="shared" si="4"/>
        <v>0.20888235545593636</v>
      </c>
      <c r="J11" s="84">
        <f t="shared" si="4"/>
        <v>0.20970818935306712</v>
      </c>
      <c r="K11" s="84">
        <f t="shared" si="4"/>
        <v>0.21389786484964715</v>
      </c>
      <c r="L11" s="84">
        <f t="shared" si="4"/>
        <v>0.22496237176262793</v>
      </c>
      <c r="M11" s="84">
        <f t="shared" si="4"/>
        <v>0.23161016431902048</v>
      </c>
      <c r="N11" s="84">
        <f>N5/N$7</f>
        <v>0.23906767464251893</v>
      </c>
      <c r="O11" s="84">
        <f>((K11/G11)^(1/4))-1</f>
        <v>1.8595915540206454E-2</v>
      </c>
      <c r="P11" s="84">
        <f>((L11/G11)^(1/5))-1</f>
        <v>2.5137760432964118E-2</v>
      </c>
      <c r="S11" s="102"/>
      <c r="T11" s="102"/>
      <c r="U11" s="59"/>
      <c r="V11" s="59"/>
      <c r="W11" s="101"/>
      <c r="X11" s="99"/>
      <c r="Y11" s="100"/>
      <c r="Z11" s="99"/>
      <c r="AA11" s="99"/>
      <c r="AB11" s="99"/>
      <c r="AC11" s="99"/>
      <c r="AD11" s="99"/>
      <c r="AE11" s="99"/>
      <c r="AF11" s="99"/>
      <c r="AG11" s="99"/>
      <c r="AH11" s="99"/>
    </row>
    <row r="12" spans="2:47" ht="16.5">
      <c r="B12" s="56" t="s">
        <v>426</v>
      </c>
      <c r="C12" s="55"/>
      <c r="D12" s="55" t="s">
        <v>426</v>
      </c>
      <c r="E12" s="63" t="s">
        <v>426</v>
      </c>
      <c r="F12" s="63" t="s">
        <v>426</v>
      </c>
      <c r="G12" s="63" t="s">
        <v>426</v>
      </c>
      <c r="H12" s="63" t="s">
        <v>426</v>
      </c>
      <c r="I12" s="63" t="s">
        <v>426</v>
      </c>
      <c r="J12" s="63"/>
      <c r="K12" s="63"/>
      <c r="L12" s="63"/>
      <c r="M12" s="63"/>
      <c r="N12" s="63"/>
      <c r="O12" s="55" t="s">
        <v>426</v>
      </c>
      <c r="P12" s="55" t="s">
        <v>426</v>
      </c>
    </row>
    <row r="13" spans="2:47" ht="33">
      <c r="B13" s="372" t="s">
        <v>482</v>
      </c>
      <c r="C13" s="1334" t="s">
        <v>433</v>
      </c>
      <c r="D13" s="1334" t="s">
        <v>514</v>
      </c>
      <c r="E13" s="1334">
        <v>2016</v>
      </c>
      <c r="F13" s="1334">
        <v>2017</v>
      </c>
      <c r="G13" s="1335">
        <v>2018</v>
      </c>
      <c r="H13" s="1335">
        <v>2019</v>
      </c>
      <c r="I13" s="1335">
        <v>2020</v>
      </c>
      <c r="J13" s="1335">
        <v>2021</v>
      </c>
      <c r="K13" s="1335">
        <v>2022</v>
      </c>
      <c r="L13" s="1335">
        <v>2023</v>
      </c>
      <c r="M13" s="1334" t="str">
        <f t="shared" ref="M13" si="5">M2</f>
        <v>FY24E</v>
      </c>
      <c r="N13" s="1334" t="str">
        <f>N2</f>
        <v>FY25E</v>
      </c>
      <c r="O13" s="1336" t="s">
        <v>945</v>
      </c>
      <c r="P13" s="1336" t="s">
        <v>946</v>
      </c>
      <c r="S13" s="60"/>
      <c r="T13" s="60"/>
      <c r="U13" s="59"/>
      <c r="V13" s="59"/>
      <c r="W13" s="59"/>
      <c r="X13" s="59"/>
      <c r="Y13" s="59"/>
      <c r="Z13" s="59"/>
      <c r="AR13" s="18"/>
      <c r="AS13" s="18"/>
      <c r="AT13" s="18"/>
      <c r="AU13" s="18"/>
    </row>
    <row r="14" spans="2:47" ht="16.5">
      <c r="B14" s="178" t="s">
        <v>53</v>
      </c>
      <c r="C14" s="103">
        <f>Sales!F332</f>
        <v>2345</v>
      </c>
      <c r="D14" s="103">
        <f>Sales!G332</f>
        <v>1284</v>
      </c>
      <c r="E14" s="103">
        <f>Sales!H332</f>
        <v>1073</v>
      </c>
      <c r="F14" s="103">
        <f>Sales!I332</f>
        <v>957</v>
      </c>
      <c r="G14" s="103">
        <f>Sales!J332</f>
        <v>893.8850013716351</v>
      </c>
      <c r="H14" s="103">
        <f>Sales!K332</f>
        <v>804.49650123447168</v>
      </c>
      <c r="I14" s="103">
        <f>Sales!L332</f>
        <v>724.04685111102447</v>
      </c>
      <c r="J14" s="103">
        <f>Sales!M332</f>
        <v>651.64216599992199</v>
      </c>
      <c r="K14" s="103">
        <f>Sales!N332</f>
        <v>586.4779493999298</v>
      </c>
      <c r="L14" s="103">
        <f>Sales!O332</f>
        <v>527.83015445993692</v>
      </c>
      <c r="M14" s="103">
        <f>Sales!P332</f>
        <v>475.04713901394319</v>
      </c>
      <c r="N14" s="103">
        <f>Sales!Q332</f>
        <v>427.54242511254887</v>
      </c>
      <c r="O14" s="55">
        <f t="shared" ref="O14:O27" si="6">((K14/G14)^(1/4))-1</f>
        <v>-9.9999999999999978E-2</v>
      </c>
      <c r="P14" s="55">
        <f t="shared" ref="P14:P27" si="7">((L14/G14)^(1/5))-1</f>
        <v>-9.9999999999999978E-2</v>
      </c>
      <c r="S14" s="102"/>
      <c r="T14" s="102"/>
      <c r="U14" s="59"/>
      <c r="V14" s="99"/>
      <c r="W14" s="101"/>
      <c r="X14" s="99"/>
      <c r="Y14" s="100"/>
      <c r="Z14" s="99"/>
      <c r="AA14" s="99"/>
      <c r="AB14" s="99"/>
      <c r="AC14" s="99"/>
      <c r="AD14" s="99"/>
      <c r="AE14" s="99"/>
      <c r="AF14" s="99"/>
      <c r="AG14" s="99"/>
      <c r="AH14" s="99"/>
    </row>
    <row r="15" spans="2:47" ht="16.5">
      <c r="B15" s="178" t="s">
        <v>54</v>
      </c>
      <c r="C15" s="103">
        <f>Sales!F340</f>
        <v>1396</v>
      </c>
      <c r="D15" s="103">
        <f>Sales!G340</f>
        <v>1047</v>
      </c>
      <c r="E15" s="103">
        <f>Sales!H340</f>
        <v>926</v>
      </c>
      <c r="F15" s="103">
        <f>Sales!I340</f>
        <v>960</v>
      </c>
      <c r="G15" s="103">
        <f>Sales!J340</f>
        <v>804.62857857304118</v>
      </c>
      <c r="H15" s="103">
        <f>Sales!K340</f>
        <v>571.64000500112877</v>
      </c>
      <c r="I15" s="103">
        <f>Sales!L340</f>
        <v>517.2760045010159</v>
      </c>
      <c r="J15" s="103">
        <f>Sales!M340</f>
        <v>468.34840405091433</v>
      </c>
      <c r="K15" s="103">
        <f>Sales!N340</f>
        <v>424.31356364582291</v>
      </c>
      <c r="L15" s="103">
        <f>Sales!O340</f>
        <v>384.68220728124061</v>
      </c>
      <c r="M15" s="103">
        <f>Sales!P340</f>
        <v>349.01398655311658</v>
      </c>
      <c r="N15" s="103">
        <f>Sales!Q340</f>
        <v>316.91258789780494</v>
      </c>
      <c r="O15" s="55">
        <f t="shared" si="6"/>
        <v>-0.14783662408285336</v>
      </c>
      <c r="P15" s="55">
        <f t="shared" si="7"/>
        <v>-0.13721749701596186</v>
      </c>
      <c r="S15" s="102"/>
      <c r="T15" s="102"/>
      <c r="U15" s="59"/>
      <c r="V15" s="99"/>
      <c r="W15" s="101"/>
      <c r="X15" s="99"/>
      <c r="Y15" s="100"/>
      <c r="Z15" s="99"/>
      <c r="AA15" s="99"/>
      <c r="AB15" s="99"/>
      <c r="AC15" s="99"/>
      <c r="AD15" s="99"/>
      <c r="AE15" s="99"/>
      <c r="AF15" s="99"/>
      <c r="AG15" s="99"/>
      <c r="AH15" s="99"/>
    </row>
    <row r="16" spans="2:47" ht="16.5">
      <c r="B16" s="85" t="s">
        <v>48</v>
      </c>
      <c r="C16" s="103">
        <f>Sales!F304</f>
        <v>777</v>
      </c>
      <c r="D16" s="63">
        <f>Sales!G304</f>
        <v>755</v>
      </c>
      <c r="E16" s="63">
        <f>Sales!H304</f>
        <v>835</v>
      </c>
      <c r="F16" s="63">
        <f>Sales!I304</f>
        <v>920</v>
      </c>
      <c r="G16" s="63">
        <f>Sales!J304</f>
        <v>1025.3663797576471</v>
      </c>
      <c r="H16" s="63">
        <f>Sales!K304</f>
        <v>1025.3663797576471</v>
      </c>
      <c r="I16" s="63">
        <f>Sales!L304</f>
        <v>922.82974178188238</v>
      </c>
      <c r="J16" s="63">
        <f>Sales!M304</f>
        <v>830.54676760369421</v>
      </c>
      <c r="K16" s="63">
        <f>Sales!N304</f>
        <v>747.49209084332483</v>
      </c>
      <c r="L16" s="63">
        <f>Sales!O304</f>
        <v>672.74288175899233</v>
      </c>
      <c r="M16" s="63">
        <f>Sales!P304</f>
        <v>605.46859358309314</v>
      </c>
      <c r="N16" s="63">
        <f>Sales!Q304</f>
        <v>544.92173422478379</v>
      </c>
      <c r="O16" s="55">
        <f t="shared" si="6"/>
        <v>-7.5978913527693148E-2</v>
      </c>
      <c r="P16" s="55">
        <f t="shared" si="7"/>
        <v>-8.083388115987844E-2</v>
      </c>
      <c r="S16" s="102"/>
      <c r="T16" s="102"/>
      <c r="U16" s="59"/>
      <c r="V16" s="59"/>
      <c r="W16" s="101"/>
      <c r="X16" s="99"/>
      <c r="Y16" s="100"/>
      <c r="Z16" s="99"/>
      <c r="AA16" s="99"/>
      <c r="AB16" s="99"/>
      <c r="AC16" s="99"/>
      <c r="AD16" s="99"/>
      <c r="AE16" s="99"/>
      <c r="AF16" s="99"/>
      <c r="AG16" s="99"/>
      <c r="AH16" s="99"/>
    </row>
    <row r="17" spans="2:35" ht="16.5">
      <c r="B17" s="85" t="s">
        <v>481</v>
      </c>
      <c r="C17" s="103">
        <f>Sales!F292</f>
        <v>220</v>
      </c>
      <c r="D17" s="63">
        <f>Sales!G292</f>
        <v>166</v>
      </c>
      <c r="E17" s="63">
        <f>Sales!H292</f>
        <v>143</v>
      </c>
      <c r="F17" s="63">
        <f>Sales!I292</f>
        <v>112</v>
      </c>
      <c r="G17" s="63">
        <f>Sales!J292</f>
        <v>100.8</v>
      </c>
      <c r="H17" s="63">
        <f>Sales!K292</f>
        <v>100.8</v>
      </c>
      <c r="I17" s="63">
        <f>Sales!L292</f>
        <v>100.8</v>
      </c>
      <c r="J17" s="63">
        <f>Sales!M292</f>
        <v>100.8</v>
      </c>
      <c r="K17" s="63">
        <f>Sales!N292</f>
        <v>100.8</v>
      </c>
      <c r="L17" s="63">
        <f>Sales!O292</f>
        <v>100.8</v>
      </c>
      <c r="M17" s="63">
        <f>Sales!P292</f>
        <v>95.759999999999991</v>
      </c>
      <c r="N17" s="63">
        <f>Sales!Q292</f>
        <v>86.183999999999997</v>
      </c>
      <c r="O17" s="55">
        <f t="shared" si="6"/>
        <v>0</v>
      </c>
      <c r="P17" s="55">
        <f t="shared" si="7"/>
        <v>0</v>
      </c>
      <c r="S17" s="102"/>
      <c r="T17" s="102"/>
      <c r="U17" s="99"/>
      <c r="V17" s="99"/>
      <c r="W17" s="101"/>
      <c r="X17" s="99"/>
      <c r="Y17" s="100"/>
      <c r="Z17" s="99"/>
      <c r="AA17" s="99"/>
      <c r="AB17" s="99"/>
      <c r="AC17" s="99"/>
      <c r="AD17" s="99"/>
      <c r="AE17" s="99"/>
      <c r="AF17" s="99"/>
      <c r="AG17" s="99"/>
      <c r="AH17" s="99"/>
    </row>
    <row r="18" spans="2:35" ht="16.5">
      <c r="B18" s="85" t="s">
        <v>480</v>
      </c>
      <c r="C18" s="103">
        <f>Sales!F295</f>
        <v>146</v>
      </c>
      <c r="D18" s="63">
        <f>Sales!G295</f>
        <v>150</v>
      </c>
      <c r="E18" s="63">
        <f>Sales!H295</f>
        <v>149</v>
      </c>
      <c r="F18" s="63">
        <f>Sales!I295</f>
        <v>151</v>
      </c>
      <c r="G18" s="63">
        <f>Sales!J295</f>
        <v>166.1</v>
      </c>
      <c r="H18" s="63">
        <f>Sales!K295</f>
        <v>182.70999999999998</v>
      </c>
      <c r="I18" s="63">
        <f>Sales!L295</f>
        <v>197.32679999999999</v>
      </c>
      <c r="J18" s="63">
        <f>Sales!M295</f>
        <v>207.19314</v>
      </c>
      <c r="K18" s="63">
        <f>Sales!N295</f>
        <v>217.552797</v>
      </c>
      <c r="L18" s="63">
        <f>Sales!O295</f>
        <v>228.43043685000001</v>
      </c>
      <c r="M18" s="63">
        <f>Sales!P295</f>
        <v>239.85195869250001</v>
      </c>
      <c r="N18" s="63">
        <f>Sales!Q295</f>
        <v>191.88156695399999</v>
      </c>
      <c r="O18" s="55">
        <f t="shared" si="6"/>
        <v>6.9790556066397391E-2</v>
      </c>
      <c r="P18" s="55">
        <f t="shared" si="7"/>
        <v>6.5802826301998074E-2</v>
      </c>
      <c r="S18" s="102"/>
      <c r="T18" s="102"/>
      <c r="U18" s="99"/>
      <c r="V18" s="99"/>
      <c r="W18" s="101"/>
      <c r="X18" s="99"/>
      <c r="Y18" s="100"/>
      <c r="Z18" s="99"/>
      <c r="AA18" s="99"/>
      <c r="AB18" s="99"/>
      <c r="AC18" s="99"/>
      <c r="AD18" s="99"/>
      <c r="AE18" s="99"/>
      <c r="AF18" s="99"/>
      <c r="AG18" s="99"/>
      <c r="AH18" s="59"/>
    </row>
    <row r="19" spans="2:35" ht="16.5">
      <c r="B19" s="85" t="s">
        <v>479</v>
      </c>
      <c r="C19" s="103">
        <f>Sales!F289</f>
        <v>118</v>
      </c>
      <c r="D19" s="63">
        <f>Sales!G289</f>
        <v>260</v>
      </c>
      <c r="E19" s="63">
        <f>Sales!H289</f>
        <v>363</v>
      </c>
      <c r="F19" s="63">
        <f>Sales!I289</f>
        <v>411</v>
      </c>
      <c r="G19" s="63">
        <f>Sales!J289</f>
        <v>493.2</v>
      </c>
      <c r="H19" s="63">
        <f>Sales!K289</f>
        <v>567.17999999999995</v>
      </c>
      <c r="I19" s="63">
        <f>Sales!L289</f>
        <v>623.89799999999991</v>
      </c>
      <c r="J19" s="63">
        <f>Sales!M289</f>
        <v>655.09289999999987</v>
      </c>
      <c r="K19" s="63">
        <f>Sales!N289</f>
        <v>687.84754499999985</v>
      </c>
      <c r="L19" s="63">
        <f>Sales!O289</f>
        <v>722.23992224999984</v>
      </c>
      <c r="M19" s="63">
        <f>Sales!P289</f>
        <v>758.35191836249987</v>
      </c>
      <c r="N19" s="63">
        <f>Sales!Q289</f>
        <v>606.68153468999992</v>
      </c>
      <c r="O19" s="55">
        <f t="shared" si="6"/>
        <v>8.6719051694691185E-2</v>
      </c>
      <c r="P19" s="55">
        <f t="shared" si="7"/>
        <v>7.9273924522393679E-2</v>
      </c>
      <c r="S19" s="102"/>
      <c r="T19" s="102"/>
      <c r="U19" s="99"/>
      <c r="V19" s="99"/>
      <c r="W19" s="101"/>
      <c r="X19" s="99"/>
      <c r="Y19" s="100"/>
      <c r="Z19" s="99"/>
      <c r="AA19" s="99"/>
      <c r="AB19" s="99"/>
      <c r="AC19" s="99"/>
      <c r="AD19" s="99"/>
      <c r="AE19" s="99"/>
      <c r="AF19" s="99"/>
      <c r="AG19" s="99"/>
      <c r="AH19" s="59"/>
    </row>
    <row r="20" spans="2:35" ht="16.5">
      <c r="B20" s="85" t="s">
        <v>478</v>
      </c>
      <c r="C20" s="103">
        <f>Sales!F312</f>
        <v>327</v>
      </c>
      <c r="D20" s="63">
        <f>Sales!G312</f>
        <v>263</v>
      </c>
      <c r="E20" s="63">
        <f>Sales!H312</f>
        <v>31</v>
      </c>
      <c r="F20" s="63">
        <f>Sales!I312</f>
        <v>23</v>
      </c>
      <c r="G20" s="63">
        <f>Sales!J312</f>
        <v>20.7</v>
      </c>
      <c r="H20" s="63">
        <f>Sales!K312</f>
        <v>18.63</v>
      </c>
      <c r="I20" s="63">
        <f>Sales!L312</f>
        <v>16.766999999999999</v>
      </c>
      <c r="J20" s="63">
        <f>Sales!M312</f>
        <v>15.090299999999999</v>
      </c>
      <c r="K20" s="63">
        <f>Sales!N312</f>
        <v>13.58127</v>
      </c>
      <c r="L20" s="63">
        <f>Sales!O312</f>
        <v>12.223143</v>
      </c>
      <c r="M20" s="63">
        <f>Sales!P312</f>
        <v>11.0008287</v>
      </c>
      <c r="N20" s="63">
        <f>Sales!Q312</f>
        <v>9.90074583</v>
      </c>
      <c r="O20" s="55">
        <f t="shared" si="6"/>
        <v>-9.9999999999999978E-2</v>
      </c>
      <c r="P20" s="55">
        <f t="shared" si="7"/>
        <v>-9.9999999999999978E-2</v>
      </c>
      <c r="S20" s="102"/>
      <c r="T20" s="102"/>
      <c r="U20" s="99"/>
      <c r="V20" s="99"/>
      <c r="W20" s="101"/>
      <c r="X20" s="99"/>
      <c r="Y20" s="100"/>
      <c r="Z20" s="99"/>
      <c r="AA20" s="99"/>
      <c r="AB20" s="99"/>
      <c r="AC20" s="99"/>
      <c r="AD20" s="99"/>
      <c r="AE20" s="99"/>
      <c r="AF20" s="99"/>
      <c r="AG20" s="99"/>
      <c r="AH20" s="59"/>
    </row>
    <row r="21" spans="2:35" ht="16.5">
      <c r="B21" s="85" t="s">
        <v>477</v>
      </c>
      <c r="C21" s="103">
        <f>Sales!F391</f>
        <v>3676</v>
      </c>
      <c r="D21" s="63">
        <f>Sales!G391</f>
        <v>1861</v>
      </c>
      <c r="E21" s="63">
        <f>Sales!H391</f>
        <v>1913</v>
      </c>
      <c r="F21" s="63">
        <f>Sales!I391</f>
        <v>2965</v>
      </c>
      <c r="G21" s="63">
        <f>Sales!J391</f>
        <v>2876.05</v>
      </c>
      <c r="H21" s="63">
        <f>Sales!K391</f>
        <v>2789.7685000000001</v>
      </c>
      <c r="I21" s="63">
        <f>Sales!L391</f>
        <v>2706.0754449999999</v>
      </c>
      <c r="J21" s="63">
        <f>Sales!M391</f>
        <v>2624.8931816499999</v>
      </c>
      <c r="K21" s="63">
        <f>Sales!N391</f>
        <v>2546.1463862004998</v>
      </c>
      <c r="L21" s="63">
        <f>Sales!O391</f>
        <v>2469.761994614485</v>
      </c>
      <c r="M21" s="63">
        <f>Sales!P391</f>
        <v>2395.6691347760507</v>
      </c>
      <c r="N21" s="63">
        <f>Sales!Q391</f>
        <v>2323.7990607327692</v>
      </c>
      <c r="O21" s="55">
        <f t="shared" si="6"/>
        <v>-3.0000000000000027E-2</v>
      </c>
      <c r="P21" s="55">
        <f t="shared" si="7"/>
        <v>-3.0000000000000027E-2</v>
      </c>
      <c r="S21" s="102"/>
      <c r="T21" s="102"/>
      <c r="U21" s="99"/>
      <c r="V21" s="99"/>
      <c r="W21" s="101"/>
      <c r="X21" s="99"/>
      <c r="Y21" s="100"/>
      <c r="Z21" s="99"/>
      <c r="AA21" s="99"/>
      <c r="AB21" s="99"/>
      <c r="AC21" s="99"/>
      <c r="AD21" s="99"/>
      <c r="AE21" s="99"/>
      <c r="AF21" s="99"/>
      <c r="AG21" s="99"/>
      <c r="AH21" s="59"/>
    </row>
    <row r="22" spans="2:35" ht="16.5">
      <c r="B22" s="80" t="s">
        <v>476</v>
      </c>
      <c r="C22" s="67">
        <f>Sales!F315+Sales!F394</f>
        <v>10129</v>
      </c>
      <c r="D22" s="67">
        <f>Sales!G315+Sales!G394</f>
        <v>6709</v>
      </c>
      <c r="E22" s="67">
        <f>Sales!H315+Sales!H394</f>
        <v>7877</v>
      </c>
      <c r="F22" s="67">
        <f>Sales!I315+Sales!I394</f>
        <v>9099</v>
      </c>
      <c r="G22" s="67">
        <f>Sales!J315+Sales!J394</f>
        <v>9118.4249414872884</v>
      </c>
      <c r="H22" s="67">
        <f>Sales!K315+Sales!K394</f>
        <v>8853.5136199954632</v>
      </c>
      <c r="I22" s="67">
        <f>Sales!L315+Sales!L394</f>
        <v>8641.2836366442025</v>
      </c>
      <c r="J22" s="67">
        <f>Sales!M315+Sales!M394</f>
        <v>8431.0463685558316</v>
      </c>
      <c r="K22" s="67">
        <f>Sales!N315+Sales!N394</f>
        <v>7862.3958225739825</v>
      </c>
      <c r="L22" s="67">
        <f>Sales!O315+Sales!O394</f>
        <v>7007.3892317228419</v>
      </c>
      <c r="M22" s="67">
        <f>Sales!P315+Sales!P394</f>
        <v>6577.0417519563543</v>
      </c>
      <c r="N22" s="67">
        <f>Sales!Q315+Sales!Q394</f>
        <v>6092.553656633102</v>
      </c>
      <c r="O22" s="72">
        <f t="shared" si="6"/>
        <v>-3.6373423640326918E-2</v>
      </c>
      <c r="P22" s="72">
        <f t="shared" si="7"/>
        <v>-5.1303534022720365E-2</v>
      </c>
      <c r="S22" s="60"/>
      <c r="T22" s="60"/>
      <c r="U22" s="59"/>
      <c r="V22" s="59"/>
      <c r="W22" s="101"/>
      <c r="X22" s="59"/>
      <c r="Y22" s="95"/>
      <c r="Z22" s="59"/>
      <c r="AA22" s="59"/>
      <c r="AB22" s="59"/>
      <c r="AC22" s="59"/>
      <c r="AD22" s="59"/>
      <c r="AE22" s="59"/>
      <c r="AF22" s="59"/>
      <c r="AG22" s="59"/>
      <c r="AH22" s="59"/>
    </row>
    <row r="23" spans="2:35" ht="16.5">
      <c r="B23" s="85" t="s">
        <v>475</v>
      </c>
      <c r="C23" s="63">
        <f>Sales!F54</f>
        <v>4746</v>
      </c>
      <c r="D23" s="63">
        <f>Sales!G54</f>
        <v>4658</v>
      </c>
      <c r="E23" s="63">
        <f>Sales!H54</f>
        <v>3323</v>
      </c>
      <c r="F23" s="63">
        <f>Sales!I54</f>
        <v>1943</v>
      </c>
      <c r="G23" s="63">
        <f>Sales!J54</f>
        <v>1398.4362749215202</v>
      </c>
      <c r="H23" s="63">
        <f>Sales!K54</f>
        <v>1118.7490199372162</v>
      </c>
      <c r="I23" s="63">
        <f>Sales!L54</f>
        <v>933.38066694663371</v>
      </c>
      <c r="J23" s="63">
        <f>Sales!M54</f>
        <v>779.32876690463866</v>
      </c>
      <c r="K23" s="63">
        <f>Sales!N54</f>
        <v>701.39589021417487</v>
      </c>
      <c r="L23" s="63">
        <f>Sales!O54</f>
        <v>631.25630119275729</v>
      </c>
      <c r="M23" s="63">
        <f>Sales!P54</f>
        <v>568.13067107348161</v>
      </c>
      <c r="N23" s="63">
        <f>Sales!Q54</f>
        <v>511.3176039661335</v>
      </c>
      <c r="O23" s="55">
        <f t="shared" si="6"/>
        <v>-0.1584495937298912</v>
      </c>
      <c r="P23" s="55">
        <f t="shared" si="7"/>
        <v>-0.14707153380946414</v>
      </c>
      <c r="S23" s="102"/>
      <c r="T23" s="102"/>
      <c r="U23" s="99"/>
      <c r="V23" s="99"/>
      <c r="W23" s="101"/>
      <c r="X23" s="99"/>
      <c r="Y23" s="100"/>
      <c r="Z23" s="99"/>
      <c r="AA23" s="99"/>
      <c r="AB23" s="99"/>
      <c r="AC23" s="99"/>
      <c r="AD23" s="99"/>
      <c r="AE23" s="99"/>
      <c r="AF23" s="99"/>
      <c r="AG23" s="99"/>
      <c r="AH23" s="99"/>
    </row>
    <row r="24" spans="2:35" ht="16.5">
      <c r="B24" s="85" t="s">
        <v>19</v>
      </c>
      <c r="C24" s="63">
        <f>Sales!F62</f>
        <v>1529</v>
      </c>
      <c r="D24" s="63">
        <f>Sales!G62</f>
        <v>1632</v>
      </c>
      <c r="E24" s="63">
        <f>Sales!H62</f>
        <v>1739</v>
      </c>
      <c r="F24" s="63">
        <f>Sales!I62</f>
        <v>1841</v>
      </c>
      <c r="G24" s="63">
        <f>Sales!J62</f>
        <v>1996.94000587357</v>
      </c>
      <c r="H24" s="63">
        <f>Sales!K62</f>
        <v>2056.8482060497772</v>
      </c>
      <c r="I24" s="63">
        <f>Sales!L62</f>
        <v>2118.5536522312705</v>
      </c>
      <c r="J24" s="63">
        <f>Sales!M62</f>
        <v>2182.1102617982087</v>
      </c>
      <c r="K24" s="63">
        <f>Sales!N62</f>
        <v>2247.5735696521551</v>
      </c>
      <c r="L24" s="63">
        <f>Sales!O62</f>
        <v>833.87822554627746</v>
      </c>
      <c r="M24" s="63">
        <f>Sales!P62</f>
        <v>397.61187548781874</v>
      </c>
      <c r="N24" s="63">
        <f>Sales!Q62</f>
        <v>198.80593774390937</v>
      </c>
      <c r="O24" s="55">
        <f t="shared" si="6"/>
        <v>3.0000000000000027E-2</v>
      </c>
      <c r="P24" s="55">
        <f t="shared" si="7"/>
        <v>-0.160254813303216</v>
      </c>
      <c r="S24" s="60"/>
      <c r="T24" s="60"/>
      <c r="U24" s="59"/>
      <c r="V24" s="59"/>
      <c r="W24" s="101"/>
      <c r="X24" s="59"/>
      <c r="Y24" s="95"/>
      <c r="Z24" s="59"/>
      <c r="AA24" s="59"/>
      <c r="AB24" s="59"/>
      <c r="AC24" s="59"/>
      <c r="AD24" s="59"/>
      <c r="AE24" s="59"/>
      <c r="AF24" s="59"/>
      <c r="AG24" s="59"/>
      <c r="AH24" s="59"/>
    </row>
    <row r="25" spans="2:35" ht="16.5">
      <c r="B25" s="85" t="s">
        <v>21</v>
      </c>
      <c r="C25" s="63">
        <f>Sales!F82</f>
        <v>1650</v>
      </c>
      <c r="D25" s="63">
        <f>Sales!G82</f>
        <v>1630</v>
      </c>
      <c r="E25" s="63">
        <f>Sales!H82</f>
        <v>1646</v>
      </c>
      <c r="F25" s="63">
        <f>Sales!I82</f>
        <v>1612</v>
      </c>
      <c r="G25" s="63">
        <f>Sales!J82</f>
        <v>1602.8601546230848</v>
      </c>
      <c r="H25" s="63">
        <f>Sales!K82</f>
        <v>1547.0909515306232</v>
      </c>
      <c r="I25" s="63">
        <f>Sales!L82</f>
        <v>1493.6227325000109</v>
      </c>
      <c r="J25" s="63">
        <f>Sales!M82</f>
        <v>1442.3501978500105</v>
      </c>
      <c r="K25" s="63">
        <f>Sales!N82</f>
        <v>1393.1731178930104</v>
      </c>
      <c r="L25" s="63">
        <f>Sales!O82</f>
        <v>1345.9960833351502</v>
      </c>
      <c r="M25" s="63">
        <f>Sales!P82</f>
        <v>1300.7282680784469</v>
      </c>
      <c r="N25" s="63">
        <f>Sales!Q82</f>
        <v>1257.283203806378</v>
      </c>
      <c r="O25" s="55">
        <f t="shared" si="6"/>
        <v>-3.444423050175216E-2</v>
      </c>
      <c r="P25" s="55">
        <f t="shared" si="7"/>
        <v>-3.4328014285322617E-2</v>
      </c>
      <c r="S25" s="102"/>
      <c r="T25" s="102"/>
      <c r="U25" s="99"/>
      <c r="V25" s="99"/>
      <c r="W25" s="101"/>
      <c r="X25" s="99"/>
      <c r="Y25" s="100"/>
      <c r="Z25" s="99"/>
      <c r="AA25" s="99"/>
      <c r="AB25" s="99"/>
      <c r="AC25" s="99"/>
      <c r="AD25" s="99"/>
      <c r="AE25" s="99"/>
      <c r="AF25" s="99"/>
      <c r="AG25" s="99"/>
      <c r="AH25" s="99"/>
    </row>
    <row r="26" spans="2:35" ht="16.5">
      <c r="B26" s="85" t="s">
        <v>22</v>
      </c>
      <c r="C26" s="63">
        <f>Sales!F90</f>
        <v>926</v>
      </c>
      <c r="D26" s="63">
        <f>Sales!G90</f>
        <v>917</v>
      </c>
      <c r="E26" s="63">
        <f>Sales!H90</f>
        <v>956</v>
      </c>
      <c r="F26" s="63">
        <f>Sales!I90</f>
        <v>1059</v>
      </c>
      <c r="G26" s="63">
        <f>Sales!J90</f>
        <v>1139.838043382573</v>
      </c>
      <c r="H26" s="63">
        <f>Sales!K90</f>
        <v>879.24718468405024</v>
      </c>
      <c r="I26" s="63">
        <f>Sales!L90</f>
        <v>674.80160022457176</v>
      </c>
      <c r="J26" s="63">
        <f>Sales!M90</f>
        <v>359.64880011228587</v>
      </c>
      <c r="K26" s="63">
        <f>Sales!N90</f>
        <v>106.97036002245716</v>
      </c>
      <c r="L26" s="63">
        <f>Sales!O90</f>
        <v>96.273324020211447</v>
      </c>
      <c r="M26" s="63">
        <f>Sales!P90</f>
        <v>86.645991618190294</v>
      </c>
      <c r="N26" s="63">
        <f>Sales!Q90</f>
        <v>77.981392456371267</v>
      </c>
      <c r="O26" s="55">
        <f t="shared" si="6"/>
        <v>-0.44651599174034617</v>
      </c>
      <c r="P26" s="55">
        <f t="shared" si="7"/>
        <v>-0.3899961672017771</v>
      </c>
      <c r="S26" s="102"/>
      <c r="T26" s="102"/>
      <c r="U26" s="99"/>
      <c r="V26" s="99"/>
      <c r="W26" s="101"/>
      <c r="X26" s="99"/>
      <c r="Y26" s="100"/>
      <c r="Z26" s="99"/>
      <c r="AA26" s="99"/>
      <c r="AB26" s="99"/>
      <c r="AC26" s="99"/>
      <c r="AD26" s="99"/>
      <c r="AE26" s="99"/>
      <c r="AF26" s="99"/>
      <c r="AG26" s="99"/>
      <c r="AH26" s="99"/>
    </row>
    <row r="27" spans="2:35" ht="16.5">
      <c r="B27" s="85" t="s">
        <v>416</v>
      </c>
      <c r="C27" s="63">
        <f>Sales!F74</f>
        <v>1575</v>
      </c>
      <c r="D27" s="63">
        <f>Sales!G74</f>
        <v>1607</v>
      </c>
      <c r="E27" s="63">
        <f>Sales!H74</f>
        <v>1516</v>
      </c>
      <c r="F27" s="63">
        <f>Sales!I74</f>
        <v>1525</v>
      </c>
      <c r="G27" s="63">
        <f>Sales!J74</f>
        <v>1476.6615714175678</v>
      </c>
      <c r="H27" s="63">
        <f>Sales!K74</f>
        <v>1103.5242571340543</v>
      </c>
      <c r="I27" s="63">
        <f>Sales!L74</f>
        <v>609.07647999383801</v>
      </c>
      <c r="J27" s="63">
        <f>Sales!M74</f>
        <v>360.99733599568663</v>
      </c>
      <c r="K27" s="63">
        <f>Sales!N74</f>
        <v>288.79786879654927</v>
      </c>
      <c r="L27" s="63">
        <f>Sales!O74</f>
        <v>259.91808191689438</v>
      </c>
      <c r="M27" s="63">
        <f>Sales!P74</f>
        <v>233.92627372520494</v>
      </c>
      <c r="N27" s="63">
        <f>Sales!Q74</f>
        <v>210.53364635268446</v>
      </c>
      <c r="O27" s="55">
        <f t="shared" si="6"/>
        <v>-0.33498988245918515</v>
      </c>
      <c r="P27" s="55">
        <f t="shared" si="7"/>
        <v>-0.29350172777892991</v>
      </c>
      <c r="S27" s="102"/>
      <c r="T27" s="102"/>
      <c r="U27" s="99"/>
      <c r="V27" s="99"/>
      <c r="W27" s="101"/>
      <c r="X27" s="99"/>
      <c r="Y27" s="100"/>
      <c r="Z27" s="99"/>
      <c r="AA27" s="99"/>
      <c r="AB27" s="99"/>
      <c r="AC27" s="99"/>
      <c r="AD27" s="99"/>
      <c r="AE27" s="99"/>
      <c r="AF27" s="99"/>
      <c r="AG27" s="99"/>
      <c r="AH27" s="99"/>
      <c r="AI27" s="29"/>
    </row>
    <row r="28" spans="2:35" ht="16.5">
      <c r="B28" s="85" t="s">
        <v>27</v>
      </c>
      <c r="C28" s="63">
        <f>Sales!F130</f>
        <v>380</v>
      </c>
      <c r="D28" s="63">
        <f>Sales!G130</f>
        <v>304</v>
      </c>
      <c r="E28" s="63">
        <f>Sales!H130</f>
        <v>0</v>
      </c>
      <c r="F28" s="63">
        <f>Sales!I130</f>
        <v>0</v>
      </c>
      <c r="G28" s="63">
        <f>Sales!J130</f>
        <v>0</v>
      </c>
      <c r="H28" s="63">
        <f>Sales!K130</f>
        <v>0</v>
      </c>
      <c r="I28" s="63">
        <f>Sales!L130</f>
        <v>0</v>
      </c>
      <c r="J28" s="63">
        <f>Sales!M130</f>
        <v>0</v>
      </c>
      <c r="K28" s="63">
        <f>Sales!N130</f>
        <v>0</v>
      </c>
      <c r="L28" s="63">
        <f>Sales!O130</f>
        <v>0</v>
      </c>
      <c r="M28" s="63">
        <f>Sales!P130</f>
        <v>0</v>
      </c>
      <c r="N28" s="63">
        <f>Sales!Q130</f>
        <v>0</v>
      </c>
      <c r="O28" s="55"/>
      <c r="P28" s="55"/>
      <c r="S28" s="102"/>
      <c r="T28" s="102"/>
      <c r="U28" s="99"/>
      <c r="V28" s="99"/>
      <c r="W28" s="101"/>
      <c r="X28" s="99"/>
      <c r="Y28" s="100"/>
      <c r="Z28" s="99"/>
      <c r="AA28" s="99"/>
      <c r="AB28" s="99"/>
      <c r="AC28" s="99"/>
      <c r="AD28" s="99"/>
      <c r="AE28" s="99"/>
      <c r="AF28" s="99"/>
      <c r="AG28" s="99"/>
      <c r="AH28" s="99"/>
      <c r="AI28" s="29"/>
    </row>
    <row r="29" spans="2:35" ht="16.5">
      <c r="B29" s="85" t="s">
        <v>474</v>
      </c>
      <c r="C29" s="63">
        <f>Sales!F114</f>
        <v>279</v>
      </c>
      <c r="D29" s="63">
        <f>Sales!G114</f>
        <v>410</v>
      </c>
      <c r="E29" s="63">
        <f>Sales!H114</f>
        <v>581</v>
      </c>
      <c r="F29" s="63">
        <f>Sales!I114</f>
        <v>777</v>
      </c>
      <c r="G29" s="63">
        <f>Sales!J114</f>
        <v>930.7356040557147</v>
      </c>
      <c r="H29" s="63">
        <f>Sales!K114</f>
        <v>1023.8091644612863</v>
      </c>
      <c r="I29" s="63">
        <f>Sales!L114</f>
        <v>1126.190080907415</v>
      </c>
      <c r="J29" s="63">
        <f>Sales!M114</f>
        <v>1182.4995849527859</v>
      </c>
      <c r="K29" s="63">
        <f>Sales!N114</f>
        <v>1217.9745725013695</v>
      </c>
      <c r="L29" s="63">
        <f>Sales!O114</f>
        <v>1254.5138096764106</v>
      </c>
      <c r="M29" s="63">
        <f>Sales!P114</f>
        <v>1292.1492239667029</v>
      </c>
      <c r="N29" s="63">
        <f>Sales!Q114</f>
        <v>1330.913700685704</v>
      </c>
      <c r="O29" s="55">
        <f t="shared" ref="O29:O42" si="8">((K29/G29)^(1/4))-1</f>
        <v>6.9554633556504708E-2</v>
      </c>
      <c r="P29" s="55">
        <f t="shared" ref="P29:P42" si="9">((L29/G29)^(1/5))-1</f>
        <v>6.1524015107412344E-2</v>
      </c>
      <c r="S29" s="102"/>
      <c r="T29" s="102"/>
      <c r="U29" s="99"/>
      <c r="V29" s="99"/>
      <c r="W29" s="101"/>
      <c r="X29" s="99"/>
      <c r="Y29" s="100"/>
      <c r="Z29" s="99"/>
      <c r="AA29" s="99"/>
      <c r="AB29" s="99"/>
      <c r="AC29" s="99"/>
      <c r="AD29" s="99"/>
      <c r="AE29" s="99"/>
      <c r="AF29" s="99"/>
      <c r="AG29" s="99"/>
      <c r="AH29" s="99"/>
      <c r="AI29" s="29"/>
    </row>
    <row r="30" spans="2:35" ht="16.5">
      <c r="B30" s="85" t="s">
        <v>413</v>
      </c>
      <c r="C30" s="63">
        <f>Sales!F134</f>
        <v>31</v>
      </c>
      <c r="D30" s="63">
        <f>Sales!G134</f>
        <v>79</v>
      </c>
      <c r="E30" s="63">
        <f>Sales!H134</f>
        <v>91</v>
      </c>
      <c r="F30" s="63">
        <f>Sales!I134</f>
        <v>0</v>
      </c>
      <c r="G30" s="63">
        <f>Sales!J134</f>
        <v>0</v>
      </c>
      <c r="H30" s="63">
        <f>Sales!K134</f>
        <v>0</v>
      </c>
      <c r="I30" s="63">
        <f>Sales!L134</f>
        <v>0</v>
      </c>
      <c r="J30" s="63">
        <f>Sales!M134</f>
        <v>0</v>
      </c>
      <c r="K30" s="63">
        <f>Sales!N134</f>
        <v>0</v>
      </c>
      <c r="L30" s="63">
        <f>Sales!O134</f>
        <v>0</v>
      </c>
      <c r="M30" s="63">
        <f>Sales!P134</f>
        <v>0</v>
      </c>
      <c r="N30" s="63">
        <f>Sales!Q134</f>
        <v>0</v>
      </c>
      <c r="O30" s="55" t="e">
        <f t="shared" si="8"/>
        <v>#DIV/0!</v>
      </c>
      <c r="P30" s="55" t="e">
        <f t="shared" si="9"/>
        <v>#DIV/0!</v>
      </c>
      <c r="S30" s="102"/>
      <c r="T30" s="102"/>
      <c r="U30" s="99"/>
      <c r="V30" s="99"/>
      <c r="W30" s="101"/>
      <c r="X30" s="99"/>
      <c r="Y30" s="100"/>
      <c r="Z30" s="99"/>
      <c r="AA30" s="99"/>
      <c r="AB30" s="99"/>
      <c r="AC30" s="99"/>
      <c r="AD30" s="99"/>
      <c r="AE30" s="99"/>
      <c r="AF30" s="99"/>
      <c r="AG30" s="99"/>
      <c r="AH30" s="99"/>
      <c r="AI30" s="29"/>
    </row>
    <row r="31" spans="2:35" ht="16.5">
      <c r="B31" s="85" t="s">
        <v>23</v>
      </c>
      <c r="C31" s="63"/>
      <c r="D31" s="63">
        <f>Sales!G98</f>
        <v>565</v>
      </c>
      <c r="E31" s="63">
        <f>Sales!H98</f>
        <v>729</v>
      </c>
      <c r="F31" s="63">
        <f>Sales!I98</f>
        <v>808</v>
      </c>
      <c r="G31" s="63">
        <f>Sales!J98</f>
        <v>894.6259981334963</v>
      </c>
      <c r="H31" s="63">
        <f>Sales!K98</f>
        <v>939.35729804017114</v>
      </c>
      <c r="I31" s="63">
        <f>Sales!L98</f>
        <v>976.92346294217964</v>
      </c>
      <c r="J31" s="63">
        <f>Sales!M98</f>
        <v>1016.0858850892887</v>
      </c>
      <c r="K31" s="63">
        <f>Sales!N98</f>
        <v>842.46924991875312</v>
      </c>
      <c r="L31" s="63">
        <f>Sales!O98</f>
        <v>630.24899239969079</v>
      </c>
      <c r="M31" s="63">
        <f>Sales!P98</f>
        <v>649.1564621716816</v>
      </c>
      <c r="N31" s="63">
        <f>Sales!Q98</f>
        <v>668.63115603683207</v>
      </c>
      <c r="O31" s="55">
        <f t="shared" si="8"/>
        <v>-1.490495216624832E-2</v>
      </c>
      <c r="P31" s="55">
        <f t="shared" si="9"/>
        <v>-6.7660403637080702E-2</v>
      </c>
      <c r="S31" s="102"/>
      <c r="T31" s="102"/>
      <c r="U31" s="99"/>
      <c r="V31" s="99"/>
      <c r="W31" s="101"/>
      <c r="X31" s="99"/>
      <c r="Y31" s="100"/>
      <c r="Z31" s="99"/>
      <c r="AA31" s="99"/>
      <c r="AB31" s="99"/>
      <c r="AC31" s="99"/>
      <c r="AD31" s="99"/>
      <c r="AE31" s="99"/>
      <c r="AF31" s="99"/>
      <c r="AG31" s="99"/>
      <c r="AH31" s="99"/>
      <c r="AI31" s="29"/>
    </row>
    <row r="32" spans="2:35" ht="16.5">
      <c r="B32" s="85" t="s">
        <v>486</v>
      </c>
      <c r="C32" s="63"/>
      <c r="D32" s="63">
        <f>Sales!G106</f>
        <v>453</v>
      </c>
      <c r="E32" s="63">
        <f>Sales!H106</f>
        <v>672</v>
      </c>
      <c r="F32" s="63">
        <f>Sales!I106</f>
        <v>873</v>
      </c>
      <c r="G32" s="63">
        <f>Sales!J106</f>
        <v>1050.2739471276084</v>
      </c>
      <c r="H32" s="63">
        <f>Sales!K106</f>
        <v>1102.7876444839887</v>
      </c>
      <c r="I32" s="63">
        <f>Sales!L106</f>
        <v>1157.9270267081884</v>
      </c>
      <c r="J32" s="63">
        <f>Sales!M106</f>
        <v>1215.8233780435976</v>
      </c>
      <c r="K32" s="63">
        <f>Sales!N106</f>
        <v>1276.6145469457776</v>
      </c>
      <c r="L32" s="63">
        <f>Sales!O106</f>
        <v>1314.912983354151</v>
      </c>
      <c r="M32" s="63">
        <f>Sales!P106</f>
        <v>1354.3603728547755</v>
      </c>
      <c r="N32" s="63">
        <f>Sales!Q106</f>
        <v>1394.9911840404188</v>
      </c>
      <c r="O32" s="55">
        <f t="shared" si="8"/>
        <v>5.0000000000000044E-2</v>
      </c>
      <c r="P32" s="55">
        <f t="shared" si="9"/>
        <v>4.5969170797945047E-2</v>
      </c>
      <c r="S32" s="102"/>
      <c r="T32" s="102"/>
      <c r="U32" s="99"/>
      <c r="V32" s="99"/>
      <c r="W32" s="101"/>
      <c r="X32" s="99"/>
      <c r="Y32" s="100"/>
      <c r="Z32" s="99"/>
      <c r="AA32" s="99"/>
      <c r="AB32" s="99"/>
      <c r="AC32" s="99"/>
      <c r="AD32" s="99"/>
      <c r="AE32" s="99"/>
      <c r="AF32" s="99"/>
      <c r="AG32" s="99"/>
      <c r="AH32" s="99"/>
      <c r="AI32" s="29"/>
    </row>
    <row r="33" spans="2:47" ht="16.5">
      <c r="B33" s="85" t="s">
        <v>29</v>
      </c>
      <c r="C33" s="63">
        <f>Sales!F146</f>
        <v>587</v>
      </c>
      <c r="D33" s="63">
        <f>Sales!G146</f>
        <v>819</v>
      </c>
      <c r="E33" s="63">
        <f>Sales!H146</f>
        <v>902</v>
      </c>
      <c r="F33" s="63">
        <f>Sales!I146</f>
        <v>893</v>
      </c>
      <c r="G33" s="63">
        <f>Sales!J146</f>
        <v>946.58</v>
      </c>
      <c r="H33" s="63">
        <f>Sales!K146</f>
        <v>993.90900000000011</v>
      </c>
      <c r="I33" s="63">
        <f>Sales!L146</f>
        <v>1043.60445</v>
      </c>
      <c r="J33" s="63">
        <f>Sales!M146</f>
        <v>1095.7846724999999</v>
      </c>
      <c r="K33" s="63">
        <f>Sales!N146</f>
        <v>1150.5739061249999</v>
      </c>
      <c r="L33" s="63">
        <f>Sales!O146</f>
        <v>1208.1026014312499</v>
      </c>
      <c r="M33" s="63">
        <f>Sales!P146</f>
        <v>1268.5077315028125</v>
      </c>
      <c r="N33" s="63">
        <f>Sales!Q146</f>
        <v>1331.9331180779532</v>
      </c>
      <c r="O33" s="55">
        <f t="shared" si="8"/>
        <v>5.0000000000000044E-2</v>
      </c>
      <c r="P33" s="55">
        <f t="shared" si="9"/>
        <v>5.0000000000000044E-2</v>
      </c>
      <c r="S33" s="102"/>
      <c r="T33" s="102"/>
      <c r="U33" s="99"/>
      <c r="V33" s="99"/>
      <c r="W33" s="101"/>
      <c r="X33" s="99"/>
      <c r="Y33" s="100"/>
      <c r="Z33" s="99"/>
      <c r="AA33" s="99"/>
      <c r="AB33" s="99"/>
      <c r="AC33" s="99"/>
      <c r="AD33" s="99"/>
      <c r="AE33" s="99"/>
      <c r="AF33" s="99"/>
      <c r="AG33" s="99"/>
      <c r="AH33" s="99"/>
      <c r="AI33" s="29"/>
    </row>
    <row r="34" spans="2:47" ht="16.5">
      <c r="B34" s="80" t="s">
        <v>473</v>
      </c>
      <c r="C34" s="67">
        <f>Sales!F150</f>
        <v>11703</v>
      </c>
      <c r="D34" s="67">
        <f>Sales!G150</f>
        <v>13476</v>
      </c>
      <c r="E34" s="67">
        <f>Sales!H150</f>
        <v>12790</v>
      </c>
      <c r="F34" s="67">
        <f>Sales!I150</f>
        <v>12274</v>
      </c>
      <c r="G34" s="67">
        <f>Sales!J150</f>
        <v>12879.511396802407</v>
      </c>
      <c r="H34" s="67">
        <f>Sales!K150</f>
        <v>12696.138503315166</v>
      </c>
      <c r="I34" s="67">
        <f>Sales!L150</f>
        <v>12479.186718297808</v>
      </c>
      <c r="J34" s="67">
        <f>Sales!M150</f>
        <v>12421.801104065513</v>
      </c>
      <c r="K34" s="67">
        <f>Sales!N150</f>
        <v>12002.532575662828</v>
      </c>
      <c r="L34" s="67">
        <f>Sales!O150</f>
        <v>10478.48593859918</v>
      </c>
      <c r="M34" s="67">
        <f>Sales!P150</f>
        <v>10407.886667022294</v>
      </c>
      <c r="N34" s="67">
        <f>Sales!Q150</f>
        <v>10119.246968297975</v>
      </c>
      <c r="O34" s="72">
        <f t="shared" si="8"/>
        <v>-1.747552770275429E-2</v>
      </c>
      <c r="P34" s="72">
        <f t="shared" si="9"/>
        <v>-4.0423000932274689E-2</v>
      </c>
      <c r="S34" s="102"/>
      <c r="T34" s="102"/>
      <c r="U34" s="99"/>
      <c r="V34" s="99"/>
      <c r="W34" s="101"/>
      <c r="X34" s="99"/>
      <c r="Y34" s="100"/>
      <c r="Z34" s="99"/>
      <c r="AA34" s="99"/>
      <c r="AB34" s="99"/>
      <c r="AC34" s="99"/>
      <c r="AD34" s="99"/>
      <c r="AE34" s="99"/>
      <c r="AF34" s="99"/>
      <c r="AG34" s="99"/>
      <c r="AH34" s="99"/>
      <c r="AI34" s="29"/>
    </row>
    <row r="35" spans="2:47" ht="16.5">
      <c r="B35" s="85" t="s">
        <v>32</v>
      </c>
      <c r="C35" s="63">
        <f>Sales!F154</f>
        <v>2477</v>
      </c>
      <c r="D35" s="63">
        <f>Sales!G154</f>
        <v>2776</v>
      </c>
      <c r="E35" s="63">
        <f>Sales!H154</f>
        <v>3109</v>
      </c>
      <c r="F35" s="63">
        <f>Sales!I154</f>
        <v>3185</v>
      </c>
      <c r="G35" s="63">
        <f>Sales!J154</f>
        <v>3343.8173382953637</v>
      </c>
      <c r="H35" s="63">
        <f>Sales!K154</f>
        <v>2542.8597052101318</v>
      </c>
      <c r="I35" s="63">
        <f>Sales!L154</f>
        <v>1858.2607641681054</v>
      </c>
      <c r="J35" s="63">
        <f>Sales!M154</f>
        <v>1247.9744349176738</v>
      </c>
      <c r="K35" s="63">
        <f>Sales!N154</f>
        <v>998.37954793413905</v>
      </c>
      <c r="L35" s="63">
        <f>Sales!O154</f>
        <v>798.70363834731131</v>
      </c>
      <c r="M35" s="63">
        <f>Sales!P154</f>
        <v>638.9629106778491</v>
      </c>
      <c r="N35" s="63">
        <f>Sales!Q154</f>
        <v>511.17032854227926</v>
      </c>
      <c r="O35" s="55">
        <f t="shared" si="8"/>
        <v>-0.26079774577193271</v>
      </c>
      <c r="P35" s="55">
        <f t="shared" si="9"/>
        <v>-0.24901956354415522</v>
      </c>
      <c r="S35" s="60"/>
      <c r="T35" s="60"/>
      <c r="U35" s="59"/>
      <c r="V35" s="59"/>
      <c r="W35" s="101"/>
      <c r="X35" s="59"/>
      <c r="Y35" s="95"/>
      <c r="Z35" s="59"/>
      <c r="AA35" s="59"/>
      <c r="AB35" s="59"/>
      <c r="AC35" s="59"/>
      <c r="AD35" s="59"/>
      <c r="AE35" s="59"/>
      <c r="AF35" s="59"/>
      <c r="AG35" s="59"/>
      <c r="AH35" s="59"/>
      <c r="AI35" s="29"/>
    </row>
    <row r="36" spans="2:47" ht="16.5">
      <c r="B36" s="80" t="s">
        <v>34</v>
      </c>
      <c r="C36" s="67">
        <f>Sales!F193</f>
        <v>4100</v>
      </c>
      <c r="D36" s="67">
        <f>Sales!G193</f>
        <v>3939</v>
      </c>
      <c r="E36" s="67">
        <f>Sales!H193</f>
        <v>3233</v>
      </c>
      <c r="F36" s="67">
        <f>Sales!I193</f>
        <v>3287</v>
      </c>
      <c r="G36" s="67">
        <f>Sales!J193</f>
        <v>3479.939498714828</v>
      </c>
      <c r="H36" s="67">
        <f>Sales!K193</f>
        <v>2856.1546113984282</v>
      </c>
      <c r="I36" s="67">
        <f>Sales!L193</f>
        <v>2559.1020117655607</v>
      </c>
      <c r="J36" s="67">
        <f>Sales!M193</f>
        <v>2548.967136018352</v>
      </c>
      <c r="K36" s="67">
        <f>Sales!N193</f>
        <v>2980.0480884157173</v>
      </c>
      <c r="L36" s="67">
        <f>Sales!O193</f>
        <v>3565.6895553317941</v>
      </c>
      <c r="M36" s="67">
        <f>Sales!P193</f>
        <v>3842.1263552938062</v>
      </c>
      <c r="N36" s="67">
        <f>Sales!Q193</f>
        <v>4043.9486305510072</v>
      </c>
      <c r="O36" s="72">
        <f t="shared" si="8"/>
        <v>-3.8026973501404049E-2</v>
      </c>
      <c r="P36" s="72">
        <f t="shared" si="9"/>
        <v>4.8803805732529071E-3</v>
      </c>
      <c r="S36" s="102"/>
      <c r="T36" s="102"/>
      <c r="U36" s="99"/>
      <c r="V36" s="99"/>
      <c r="W36" s="101"/>
      <c r="X36" s="99"/>
      <c r="Y36" s="100"/>
      <c r="Z36" s="99"/>
      <c r="AA36" s="99"/>
      <c r="AB36" s="179"/>
      <c r="AC36" s="179"/>
      <c r="AD36" s="179"/>
      <c r="AE36" s="179"/>
      <c r="AF36" s="179"/>
      <c r="AG36" s="179"/>
      <c r="AH36" s="179"/>
      <c r="AI36" s="29"/>
    </row>
    <row r="37" spans="2:47" ht="16.5">
      <c r="B37" s="85" t="s">
        <v>35</v>
      </c>
      <c r="C37" s="63">
        <f>Sales!F197</f>
        <v>2441</v>
      </c>
      <c r="D37" s="63">
        <f>Sales!G197</f>
        <v>2060</v>
      </c>
      <c r="E37" s="63">
        <f>Sales!H197</f>
        <v>1835</v>
      </c>
      <c r="F37" s="63">
        <f>Sales!I197</f>
        <v>1888</v>
      </c>
      <c r="G37" s="63">
        <f>Sales!J197</f>
        <v>1966.5702204210054</v>
      </c>
      <c r="H37" s="63">
        <f>Sales!K197</f>
        <v>1868.241709399955</v>
      </c>
      <c r="I37" s="63">
        <f>Sales!L197</f>
        <v>1774.8296239299571</v>
      </c>
      <c r="J37" s="63">
        <f>Sales!M197</f>
        <v>1686.0881427334591</v>
      </c>
      <c r="K37" s="63">
        <f>Sales!N197</f>
        <v>1348.8705141867674</v>
      </c>
      <c r="L37" s="63">
        <f>Sales!O197</f>
        <v>1079.096411349414</v>
      </c>
      <c r="M37" s="63">
        <f>Sales!P197</f>
        <v>863.27712907953128</v>
      </c>
      <c r="N37" s="63">
        <f>Sales!Q197</f>
        <v>690.62170326362502</v>
      </c>
      <c r="O37" s="55">
        <f t="shared" si="8"/>
        <v>-8.9950111657208121E-2</v>
      </c>
      <c r="P37" s="55">
        <f t="shared" si="9"/>
        <v>-0.11310918341037413</v>
      </c>
      <c r="S37" s="102"/>
      <c r="T37" s="102"/>
      <c r="U37" s="59"/>
      <c r="V37" s="59"/>
      <c r="W37" s="101"/>
      <c r="X37" s="99"/>
      <c r="Y37" s="100"/>
      <c r="Z37" s="99"/>
      <c r="AA37" s="99"/>
      <c r="AB37" s="99"/>
      <c r="AC37" s="99"/>
      <c r="AD37" s="99"/>
      <c r="AE37" s="99"/>
      <c r="AF37" s="99"/>
      <c r="AG37" s="99"/>
      <c r="AH37" s="99"/>
    </row>
    <row r="38" spans="2:47" ht="16.5">
      <c r="B38" s="80" t="s">
        <v>36</v>
      </c>
      <c r="C38" s="67">
        <f>Sales!F253</f>
        <v>2504</v>
      </c>
      <c r="D38" s="67">
        <f>Sales!G253</f>
        <v>2110</v>
      </c>
      <c r="E38" s="67">
        <f>Sales!H253</f>
        <v>1835</v>
      </c>
      <c r="F38" s="67">
        <f>Sales!I253</f>
        <v>1888</v>
      </c>
      <c r="G38" s="67">
        <f>Sales!J253</f>
        <v>1966.5702204210054</v>
      </c>
      <c r="H38" s="67">
        <f>Sales!K253</f>
        <v>1968.241709399955</v>
      </c>
      <c r="I38" s="67">
        <f>Sales!L253</f>
        <v>2004.8296239299571</v>
      </c>
      <c r="J38" s="67">
        <f>Sales!M253</f>
        <v>2146.0881427334589</v>
      </c>
      <c r="K38" s="67">
        <f>Sales!N253</f>
        <v>2130.8705141867672</v>
      </c>
      <c r="L38" s="67">
        <f>Sales!O253</f>
        <v>1978.3964113494139</v>
      </c>
      <c r="M38" s="67">
        <f>Sales!P253</f>
        <v>1852.5071290795313</v>
      </c>
      <c r="N38" s="67">
        <f>Sales!Q253</f>
        <v>1729.3132032636249</v>
      </c>
      <c r="O38" s="72">
        <f t="shared" si="8"/>
        <v>2.0262443693679799E-2</v>
      </c>
      <c r="P38" s="72">
        <f t="shared" si="9"/>
        <v>1.1998397786350257E-3</v>
      </c>
      <c r="S38" s="102"/>
      <c r="T38" s="102"/>
      <c r="U38" s="59"/>
      <c r="V38" s="59"/>
      <c r="W38" s="101"/>
      <c r="X38" s="99"/>
      <c r="Y38" s="100"/>
      <c r="Z38" s="99"/>
      <c r="AA38" s="99"/>
      <c r="AB38" s="99"/>
      <c r="AC38" s="99"/>
      <c r="AD38" s="99"/>
      <c r="AE38" s="99"/>
      <c r="AF38" s="99"/>
      <c r="AG38" s="99"/>
      <c r="AH38" s="99"/>
    </row>
    <row r="39" spans="2:47" ht="16.5">
      <c r="B39" s="85" t="s">
        <v>51</v>
      </c>
      <c r="C39" s="63">
        <f>Sales!F319</f>
        <v>0</v>
      </c>
      <c r="D39" s="63">
        <f>Sales!G319</f>
        <v>21</v>
      </c>
      <c r="E39" s="63">
        <f>Sales!H319</f>
        <v>170</v>
      </c>
      <c r="F39" s="63">
        <f>Sales!I319</f>
        <v>507</v>
      </c>
      <c r="G39" s="63">
        <f>Sales!J319</f>
        <v>912.6</v>
      </c>
      <c r="H39" s="63">
        <f>Sales!K319</f>
        <v>1323.27</v>
      </c>
      <c r="I39" s="63">
        <f>Sales!L319</f>
        <v>1786.4144999999999</v>
      </c>
      <c r="J39" s="63">
        <f>Sales!M319</f>
        <v>2233.0181249999996</v>
      </c>
      <c r="K39" s="63">
        <f>Sales!N319</f>
        <v>2456.3199374999995</v>
      </c>
      <c r="L39" s="63">
        <f>Sales!O319</f>
        <v>2579.1359343749996</v>
      </c>
      <c r="M39" s="63">
        <f>Sales!P319</f>
        <v>2708.0927310937495</v>
      </c>
      <c r="N39" s="63">
        <f>Sales!Q319</f>
        <v>2843.4973676484369</v>
      </c>
      <c r="O39" s="55">
        <f t="shared" si="8"/>
        <v>0.28085838954470366</v>
      </c>
      <c r="P39" s="55">
        <f t="shared" si="9"/>
        <v>0.23094529758424831</v>
      </c>
    </row>
    <row r="40" spans="2:47" ht="16.5">
      <c r="B40" s="80" t="s">
        <v>472</v>
      </c>
      <c r="C40" s="67">
        <f>Sales!F328</f>
        <v>1224</v>
      </c>
      <c r="D40" s="67">
        <f>Sales!G328</f>
        <v>1161</v>
      </c>
      <c r="E40" s="67">
        <f>Sales!H328</f>
        <v>184</v>
      </c>
      <c r="F40" s="67">
        <f>Sales!I328</f>
        <v>524</v>
      </c>
      <c r="G40" s="67">
        <f>Sales!J328</f>
        <v>980.11</v>
      </c>
      <c r="H40" s="67">
        <f>Sales!K328</f>
        <v>1541.3053</v>
      </c>
      <c r="I40" s="67">
        <f>Sales!L328</f>
        <v>2254.9908589999995</v>
      </c>
      <c r="J40" s="67">
        <f>Sales!M328</f>
        <v>2927.1517747699995</v>
      </c>
      <c r="K40" s="67">
        <f>Sales!N328</f>
        <v>3319.7775967630996</v>
      </c>
      <c r="L40" s="67">
        <f>Sales!O328</f>
        <v>3527.5598234159925</v>
      </c>
      <c r="M40" s="67">
        <f>Sales!P328</f>
        <v>3703.5318368059725</v>
      </c>
      <c r="N40" s="67">
        <f>Sales!Q328</f>
        <v>3888.2902715320265</v>
      </c>
      <c r="O40" s="72">
        <f t="shared" si="8"/>
        <v>0.35662102147922603</v>
      </c>
      <c r="P40" s="72">
        <f t="shared" si="9"/>
        <v>0.29193276753490638</v>
      </c>
    </row>
    <row r="41" spans="2:47" ht="16.5">
      <c r="B41" s="85" t="s">
        <v>41</v>
      </c>
      <c r="C41" s="63">
        <f>Sales!F268</f>
        <v>0</v>
      </c>
      <c r="D41" s="63">
        <f>Sales!G268</f>
        <v>261</v>
      </c>
      <c r="E41" s="63">
        <f>Sales!H268</f>
        <v>1128</v>
      </c>
      <c r="F41" s="63">
        <f>Sales!I268</f>
        <v>2071</v>
      </c>
      <c r="G41" s="63">
        <f>Sales!J268</f>
        <v>2899.4</v>
      </c>
      <c r="H41" s="63">
        <f>Sales!K268</f>
        <v>3624.25</v>
      </c>
      <c r="I41" s="63">
        <f>Sales!L268</f>
        <v>4349.1000000000004</v>
      </c>
      <c r="J41" s="63">
        <f>Sales!M268</f>
        <v>5001.4650000000001</v>
      </c>
      <c r="K41" s="63">
        <f>Sales!N268</f>
        <v>5501.6115</v>
      </c>
      <c r="L41" s="63">
        <f>Sales!O268</f>
        <v>5776.6920749999999</v>
      </c>
      <c r="M41" s="63">
        <f>Sales!P268</f>
        <v>6065.5266787499995</v>
      </c>
      <c r="N41" s="63">
        <f>Sales!Q268</f>
        <v>6368.8030126874992</v>
      </c>
      <c r="O41" s="55">
        <f t="shared" si="8"/>
        <v>0.17366849297218123</v>
      </c>
      <c r="P41" s="55">
        <f t="shared" si="9"/>
        <v>0.14782113371690464</v>
      </c>
    </row>
    <row r="42" spans="2:47" s="82" customFormat="1" ht="16.5">
      <c r="B42" s="80" t="s">
        <v>471</v>
      </c>
      <c r="C42" s="67">
        <f>Sales!F285</f>
        <v>2131</v>
      </c>
      <c r="D42" s="67">
        <f>Sales!G285</f>
        <v>2137</v>
      </c>
      <c r="E42" s="67">
        <f>Sales!H285</f>
        <v>3015</v>
      </c>
      <c r="F42" s="67">
        <f>Sales!I285</f>
        <v>2473</v>
      </c>
      <c r="G42" s="67">
        <f>Sales!J285</f>
        <v>3385.82</v>
      </c>
      <c r="H42" s="67">
        <f>Sales!K285</f>
        <v>4159.3119999999999</v>
      </c>
      <c r="I42" s="67">
        <f>Sales!L285</f>
        <v>4910.9151000000002</v>
      </c>
      <c r="J42" s="67">
        <f>Sales!M285</f>
        <v>5591.3708550000001</v>
      </c>
      <c r="K42" s="67">
        <f>Sales!N285</f>
        <v>6121.0126477499998</v>
      </c>
      <c r="L42" s="67">
        <f>Sales!O285</f>
        <v>6427.0632801374995</v>
      </c>
      <c r="M42" s="67">
        <f>Sales!P285</f>
        <v>6390.7122813187498</v>
      </c>
      <c r="N42" s="67">
        <f>Sales!Q285</f>
        <v>6531.3958139718743</v>
      </c>
      <c r="O42" s="72">
        <f t="shared" si="8"/>
        <v>0.15955099450345522</v>
      </c>
      <c r="P42" s="72">
        <f t="shared" si="9"/>
        <v>0.13676250920287081</v>
      </c>
      <c r="S42" s="102"/>
      <c r="T42" s="102"/>
      <c r="U42" s="59"/>
      <c r="V42" s="59"/>
      <c r="W42" s="101"/>
      <c r="X42" s="99"/>
      <c r="Y42" s="100"/>
      <c r="Z42" s="99"/>
      <c r="AA42" s="99"/>
      <c r="AB42" s="99"/>
      <c r="AC42" s="99"/>
      <c r="AD42" s="99"/>
      <c r="AE42" s="99"/>
      <c r="AF42" s="99"/>
      <c r="AG42" s="99"/>
      <c r="AH42" s="99"/>
      <c r="AI42" s="18"/>
      <c r="AJ42" s="32"/>
      <c r="AK42" s="32"/>
      <c r="AL42" s="32"/>
      <c r="AM42" s="32"/>
      <c r="AN42" s="32"/>
      <c r="AO42" s="32"/>
      <c r="AP42" s="32"/>
      <c r="AQ42" s="32"/>
      <c r="AR42" s="26"/>
      <c r="AS42" s="26"/>
      <c r="AT42" s="26"/>
      <c r="AU42" s="26"/>
    </row>
    <row r="43" spans="2:47" ht="16.5">
      <c r="B43" s="79" t="s">
        <v>470</v>
      </c>
      <c r="C43" s="98">
        <f t="shared" ref="C43:J43" si="10">C3-C22-C34-C36-C38-C44-C42-C40</f>
        <v>0</v>
      </c>
      <c r="D43" s="98">
        <f t="shared" si="10"/>
        <v>3813</v>
      </c>
      <c r="E43" s="98">
        <f t="shared" si="10"/>
        <v>3628</v>
      </c>
      <c r="F43" s="98">
        <f t="shared" si="10"/>
        <v>2733</v>
      </c>
      <c r="G43" s="98">
        <f t="shared" si="10"/>
        <v>2797.8504917133005</v>
      </c>
      <c r="H43" s="98">
        <f t="shared" si="10"/>
        <v>2828.8629769619001</v>
      </c>
      <c r="I43" s="98">
        <f t="shared" si="10"/>
        <v>2862.3935276530392</v>
      </c>
      <c r="J43" s="98">
        <f t="shared" si="10"/>
        <v>2898.470055023457</v>
      </c>
      <c r="K43" s="63">
        <f>K3-K22-K34-K36-K37-K44-K42</f>
        <v>7038.9003333318415</v>
      </c>
      <c r="L43" s="63">
        <f>L3-L22-L34-L36-L37-L44-L42</f>
        <v>7405.2438645795628</v>
      </c>
      <c r="M43" s="63">
        <f>M3-M22-M34-M36-M37-M44-M42</f>
        <v>7715.0505930272657</v>
      </c>
      <c r="N43" s="63">
        <f>N3-N22-N34-N36-N37-N44-N42</f>
        <v>7995.8557884480997</v>
      </c>
      <c r="O43" s="55"/>
      <c r="P43" s="55"/>
      <c r="S43" s="60"/>
      <c r="T43" s="60"/>
      <c r="U43" s="59"/>
      <c r="V43" s="59"/>
      <c r="W43" s="96"/>
      <c r="X43" s="59"/>
      <c r="Y43" s="95"/>
      <c r="Z43" s="59"/>
      <c r="AA43" s="94"/>
      <c r="AB43" s="180"/>
      <c r="AC43" s="180"/>
      <c r="AD43" s="180"/>
      <c r="AE43" s="180"/>
      <c r="AF43" s="180"/>
      <c r="AG43" s="180"/>
      <c r="AH43" s="180"/>
    </row>
    <row r="44" spans="2:47" ht="16.5">
      <c r="B44" s="79" t="s">
        <v>469</v>
      </c>
      <c r="C44" s="63"/>
      <c r="D44" s="63"/>
      <c r="E44" s="63"/>
      <c r="F44" s="63"/>
      <c r="G44" s="63"/>
      <c r="H44" s="63"/>
      <c r="I44" s="63"/>
      <c r="J44" s="63"/>
      <c r="K44" s="63"/>
      <c r="L44" s="63"/>
      <c r="M44" s="63"/>
      <c r="N44" s="63"/>
      <c r="O44" s="97"/>
      <c r="P44" s="97"/>
      <c r="S44" s="60"/>
      <c r="T44" s="60"/>
      <c r="U44" s="59"/>
      <c r="V44" s="59"/>
      <c r="W44" s="96"/>
      <c r="X44" s="59"/>
      <c r="Y44" s="95"/>
      <c r="Z44" s="59"/>
      <c r="AA44" s="59"/>
      <c r="AB44" s="59"/>
      <c r="AC44" s="59"/>
      <c r="AD44" s="59"/>
      <c r="AE44" s="59"/>
      <c r="AF44" s="59"/>
      <c r="AG44" s="59"/>
      <c r="AH44" s="59"/>
    </row>
    <row r="45" spans="2:47" ht="16.5">
      <c r="B45" s="56"/>
      <c r="C45" s="63"/>
      <c r="D45" s="63"/>
      <c r="E45" s="63"/>
      <c r="F45" s="63"/>
      <c r="G45" s="63"/>
      <c r="H45" s="63"/>
      <c r="I45" s="63"/>
      <c r="J45" s="63"/>
      <c r="K45" s="63"/>
      <c r="L45" s="63"/>
      <c r="M45" s="63"/>
      <c r="N45" s="63"/>
      <c r="O45" s="63"/>
      <c r="P45" s="63"/>
      <c r="S45" s="60"/>
      <c r="T45" s="60"/>
      <c r="U45" s="59"/>
      <c r="V45" s="59"/>
      <c r="W45" s="96"/>
      <c r="X45" s="59"/>
      <c r="Y45" s="95"/>
      <c r="Z45" s="59"/>
      <c r="AA45" s="94"/>
      <c r="AB45" s="180"/>
      <c r="AC45" s="180"/>
      <c r="AD45" s="180"/>
      <c r="AE45" s="180"/>
      <c r="AF45" s="180"/>
      <c r="AG45" s="180"/>
      <c r="AH45" s="180"/>
    </row>
    <row r="46" spans="2:47" s="17" customFormat="1" ht="33">
      <c r="B46" s="372" t="s">
        <v>468</v>
      </c>
      <c r="C46" s="1334" t="str">
        <f t="shared" ref="C46:M46" si="11">C13</f>
        <v>FY14</v>
      </c>
      <c r="D46" s="1334" t="str">
        <f t="shared" si="11"/>
        <v>FY15</v>
      </c>
      <c r="E46" s="1334">
        <v>2016</v>
      </c>
      <c r="F46" s="1334">
        <v>2017</v>
      </c>
      <c r="G46" s="1335">
        <v>2018</v>
      </c>
      <c r="H46" s="1335">
        <v>2019</v>
      </c>
      <c r="I46" s="1335">
        <v>2020</v>
      </c>
      <c r="J46" s="1335">
        <v>2021</v>
      </c>
      <c r="K46" s="1335">
        <v>2022</v>
      </c>
      <c r="L46" s="1335">
        <v>2023</v>
      </c>
      <c r="M46" s="1334" t="str">
        <f t="shared" si="11"/>
        <v>FY24E</v>
      </c>
      <c r="N46" s="1334" t="str">
        <f>N13</f>
        <v>FY25E</v>
      </c>
      <c r="O46" s="1336" t="s">
        <v>945</v>
      </c>
      <c r="P46" s="1336" t="s">
        <v>946</v>
      </c>
      <c r="S46" s="60"/>
      <c r="T46" s="60"/>
      <c r="U46" s="59"/>
      <c r="V46" s="59"/>
      <c r="W46" s="59"/>
      <c r="X46" s="59"/>
      <c r="Y46" s="59"/>
      <c r="Z46" s="59"/>
      <c r="AA46" s="18"/>
      <c r="AB46" s="18"/>
      <c r="AC46" s="18"/>
      <c r="AD46" s="18"/>
      <c r="AE46" s="18"/>
      <c r="AF46" s="18"/>
      <c r="AG46" s="18"/>
      <c r="AH46" s="18"/>
      <c r="AI46" s="18"/>
      <c r="AJ46" s="18"/>
      <c r="AK46" s="18"/>
      <c r="AL46" s="18"/>
      <c r="AM46" s="18"/>
      <c r="AN46" s="18"/>
      <c r="AO46" s="18"/>
      <c r="AP46" s="18"/>
      <c r="AQ46" s="18"/>
      <c r="AR46" s="18"/>
      <c r="AS46" s="18"/>
      <c r="AT46" s="18"/>
      <c r="AU46" s="18"/>
    </row>
    <row r="47" spans="2:47" s="17" customFormat="1" ht="16.5">
      <c r="B47" s="88" t="s">
        <v>467</v>
      </c>
      <c r="C47" s="87">
        <f>'P&amp;L'!F3</f>
        <v>52180</v>
      </c>
      <c r="D47" s="87">
        <f>'P&amp;L'!G3</f>
        <v>49414</v>
      </c>
      <c r="E47" s="87">
        <f>'P&amp;L'!H3</f>
        <v>48518</v>
      </c>
      <c r="F47" s="87">
        <f>'P&amp;L'!I3</f>
        <v>49109</v>
      </c>
      <c r="G47" s="87">
        <f>'P&amp;L'!J3</f>
        <v>52257.86029421589</v>
      </c>
      <c r="H47" s="87">
        <f>'P&amp;L'!K3</f>
        <v>53311.369525681919</v>
      </c>
      <c r="I47" s="87">
        <f>'P&amp;L'!L3</f>
        <v>54983.750913794494</v>
      </c>
      <c r="J47" s="87">
        <f>'P&amp;L'!M3</f>
        <v>57005.038212037085</v>
      </c>
      <c r="K47" s="87">
        <f>'P&amp;L'!N3</f>
        <v>58206.58063878044</v>
      </c>
      <c r="L47" s="87">
        <f>'P&amp;L'!O3</f>
        <v>57674.975218288324</v>
      </c>
      <c r="M47" s="87">
        <f>'P&amp;L'!P3</f>
        <v>58416.956918083248</v>
      </c>
      <c r="N47" s="87">
        <f>'P&amp;L'!Q3</f>
        <v>59056.427094547711</v>
      </c>
      <c r="O47" s="86">
        <f>((K47/G47)^(1/4))-1</f>
        <v>2.7318516478024524E-2</v>
      </c>
      <c r="P47" s="86">
        <f>((L47/G47)^(1/5))-1</f>
        <v>1.9922467058719251E-2</v>
      </c>
      <c r="Q47" s="26"/>
      <c r="S47" s="53"/>
      <c r="T47" s="53"/>
      <c r="U47" s="18"/>
      <c r="V47" s="18"/>
      <c r="W47" s="18"/>
      <c r="X47" s="18"/>
      <c r="Y47" s="18"/>
      <c r="Z47" s="18"/>
      <c r="AA47" s="18"/>
      <c r="AB47" s="18"/>
      <c r="AC47" s="18"/>
      <c r="AD47" s="18"/>
      <c r="AE47" s="18"/>
      <c r="AF47" s="18"/>
      <c r="AG47" s="18"/>
      <c r="AH47" s="18"/>
      <c r="AI47" s="18"/>
      <c r="AJ47" s="18"/>
      <c r="AK47" s="18"/>
      <c r="AL47" s="18"/>
      <c r="AM47" s="18"/>
      <c r="AN47" s="18"/>
      <c r="AO47" s="18"/>
      <c r="AP47" s="18"/>
      <c r="AQ47" s="18"/>
    </row>
    <row r="48" spans="2:47" s="17" customFormat="1" ht="16.5">
      <c r="B48" s="92" t="s">
        <v>89</v>
      </c>
      <c r="C48" s="90">
        <f>'P&amp;L'!F10</f>
        <v>913</v>
      </c>
      <c r="D48" s="90">
        <f>'P&amp;L'!G10</f>
        <v>919</v>
      </c>
      <c r="E48" s="90">
        <f>'P&amp;L'!H10</f>
        <v>868</v>
      </c>
      <c r="F48" s="90">
        <f>'P&amp;L'!I10</f>
        <v>1026</v>
      </c>
      <c r="G48" s="90">
        <f>'P&amp;L'!J10</f>
        <v>1092.2384797969426</v>
      </c>
      <c r="H48" s="90">
        <f>'P&amp;L'!K10</f>
        <v>1102.4781542087978</v>
      </c>
      <c r="I48" s="90">
        <f>'P&amp;L'!L10</f>
        <v>1127.2473916124395</v>
      </c>
      <c r="J48" s="90">
        <f>'P&amp;L'!M10</f>
        <v>1163.9432806667512</v>
      </c>
      <c r="K48" s="90">
        <f>'P&amp;L'!N10</f>
        <v>1176.7258520521075</v>
      </c>
      <c r="L48" s="90">
        <f>'P&amp;L'!O10</f>
        <v>1140.1100612441649</v>
      </c>
      <c r="M48" s="90">
        <f>'P&amp;L'!P10</f>
        <v>1137.6663862443468</v>
      </c>
      <c r="N48" s="90">
        <f>'P&amp;L'!Q10</f>
        <v>1131.0249421034346</v>
      </c>
      <c r="O48" s="89">
        <f>((K48/G48)^(1/4))-1</f>
        <v>1.8801218012284293E-2</v>
      </c>
      <c r="P48" s="89">
        <f>((L48/G48)^(1/5))-1</f>
        <v>8.6160182732284429E-3</v>
      </c>
      <c r="S48" s="53"/>
      <c r="T48" s="53"/>
      <c r="U48" s="18"/>
      <c r="V48" s="18"/>
      <c r="W48" s="18"/>
      <c r="X48" s="18"/>
      <c r="Y48" s="18"/>
      <c r="Z48" s="18"/>
      <c r="AA48" s="18"/>
      <c r="AB48" s="18"/>
      <c r="AC48" s="18"/>
      <c r="AD48" s="18"/>
      <c r="AE48" s="18"/>
      <c r="AF48" s="18"/>
      <c r="AG48" s="18"/>
      <c r="AH48" s="18"/>
      <c r="AI48" s="18"/>
      <c r="AJ48" s="18"/>
      <c r="AK48" s="18"/>
      <c r="AL48" s="18"/>
      <c r="AM48" s="18"/>
      <c r="AN48" s="18"/>
      <c r="AO48" s="18"/>
      <c r="AP48" s="18"/>
      <c r="AQ48" s="18"/>
    </row>
    <row r="49" spans="2:43" s="17" customFormat="1" ht="16.5">
      <c r="B49" s="91" t="s">
        <v>426</v>
      </c>
      <c r="C49" s="89"/>
      <c r="D49" s="89"/>
      <c r="E49" s="90"/>
      <c r="F49" s="90"/>
      <c r="G49" s="90"/>
      <c r="H49" s="90"/>
      <c r="I49" s="90"/>
      <c r="J49" s="90"/>
      <c r="K49" s="90"/>
      <c r="L49" s="90"/>
      <c r="M49" s="90"/>
      <c r="N49" s="90"/>
      <c r="O49" s="89" t="s">
        <v>426</v>
      </c>
      <c r="P49" s="89" t="s">
        <v>426</v>
      </c>
      <c r="S49" s="53"/>
      <c r="T49" s="53"/>
      <c r="U49" s="18"/>
      <c r="V49" s="18"/>
      <c r="W49" s="18"/>
      <c r="X49" s="18"/>
      <c r="Y49" s="18"/>
      <c r="Z49" s="18"/>
      <c r="AA49" s="18"/>
      <c r="AB49" s="18"/>
      <c r="AC49" s="18"/>
      <c r="AD49" s="18"/>
      <c r="AE49" s="18"/>
      <c r="AF49" s="18"/>
      <c r="AG49" s="18"/>
      <c r="AH49" s="18"/>
      <c r="AI49" s="18"/>
      <c r="AJ49" s="18"/>
      <c r="AK49" s="18"/>
      <c r="AL49" s="18"/>
      <c r="AM49" s="18"/>
      <c r="AN49" s="18"/>
      <c r="AO49" s="18"/>
      <c r="AP49" s="18"/>
      <c r="AQ49" s="18"/>
    </row>
    <row r="50" spans="2:43" s="17" customFormat="1" ht="16.5">
      <c r="B50" s="88" t="s">
        <v>97</v>
      </c>
      <c r="C50" s="87">
        <f>'P&amp;L'!F17</f>
        <v>38821</v>
      </c>
      <c r="D50" s="87">
        <f>'P&amp;L'!G17</f>
        <v>36900</v>
      </c>
      <c r="E50" s="87">
        <f>'P&amp;L'!H17</f>
        <v>35806</v>
      </c>
      <c r="F50" s="87">
        <f>'P&amp;L'!I17</f>
        <v>36578</v>
      </c>
      <c r="G50" s="87">
        <f>'P&amp;L'!J17</f>
        <v>39052.992349520835</v>
      </c>
      <c r="H50" s="87">
        <f>'P&amp;L'!K17</f>
        <v>39891.131269113699</v>
      </c>
      <c r="I50" s="87">
        <f>'P&amp;L'!L17</f>
        <v>41259.857208309804</v>
      </c>
      <c r="J50" s="87">
        <f>'P&amp;L'!M17</f>
        <v>42994.565296814326</v>
      </c>
      <c r="K50" s="87">
        <f>'P&amp;L'!N17</f>
        <v>44259.300417410705</v>
      </c>
      <c r="L50" s="87">
        <f>'P&amp;L'!O17</f>
        <v>43912.185136768327</v>
      </c>
      <c r="M50" s="87">
        <f>'P&amp;L'!P17</f>
        <v>44515.49852540846</v>
      </c>
      <c r="N50" s="87">
        <f>'P&amp;L'!Q17</f>
        <v>44891.814480071764</v>
      </c>
      <c r="O50" s="86">
        <f>((K50/G50)^(1/4))-1</f>
        <v>3.1781073598319054E-2</v>
      </c>
      <c r="P50" s="86">
        <f>((L50/G50)^(1/5))-1</f>
        <v>2.3731688220621328E-2</v>
      </c>
      <c r="S50" s="53"/>
      <c r="T50" s="53"/>
      <c r="U50" s="18"/>
      <c r="V50" s="18"/>
      <c r="W50" s="18"/>
      <c r="X50" s="18"/>
      <c r="Y50" s="18"/>
      <c r="Z50" s="18"/>
      <c r="AA50" s="18"/>
      <c r="AB50" s="18"/>
      <c r="AC50" s="18"/>
      <c r="AD50" s="18"/>
      <c r="AE50" s="18"/>
      <c r="AF50" s="18"/>
      <c r="AG50" s="18"/>
      <c r="AH50" s="18"/>
      <c r="AI50" s="18"/>
      <c r="AJ50" s="18"/>
      <c r="AK50" s="18"/>
      <c r="AL50" s="18"/>
      <c r="AM50" s="18"/>
      <c r="AN50" s="18"/>
      <c r="AO50" s="18"/>
      <c r="AP50" s="18"/>
      <c r="AQ50" s="18"/>
    </row>
    <row r="51" spans="2:43" s="21" customFormat="1" ht="16.5">
      <c r="B51" s="181" t="s">
        <v>98</v>
      </c>
      <c r="C51" s="182">
        <f t="shared" ref="C51:M51" si="12">C50/C47</f>
        <v>0.74398236872364887</v>
      </c>
      <c r="D51" s="182">
        <f t="shared" si="12"/>
        <v>0.74675193265066575</v>
      </c>
      <c r="E51" s="182">
        <f t="shared" si="12"/>
        <v>0.73799414650232908</v>
      </c>
      <c r="F51" s="182">
        <f t="shared" si="12"/>
        <v>0.7448329226821967</v>
      </c>
      <c r="G51" s="182">
        <f t="shared" si="12"/>
        <v>0.74731326789212948</v>
      </c>
      <c r="H51" s="182">
        <f t="shared" si="12"/>
        <v>0.74826686359833183</v>
      </c>
      <c r="I51" s="182">
        <f t="shared" si="12"/>
        <v>0.75040091886416582</v>
      </c>
      <c r="J51" s="182">
        <f t="shared" si="12"/>
        <v>0.75422395362478101</v>
      </c>
      <c r="K51" s="182">
        <f t="shared" si="12"/>
        <v>0.76038310327960945</v>
      </c>
      <c r="L51" s="182">
        <f t="shared" si="12"/>
        <v>0.76137328140271288</v>
      </c>
      <c r="M51" s="182">
        <f t="shared" si="12"/>
        <v>0.76203042530667109</v>
      </c>
      <c r="N51" s="182">
        <f>N50/N47</f>
        <v>0.76015120942215497</v>
      </c>
      <c r="O51" s="183" t="s">
        <v>426</v>
      </c>
      <c r="P51" s="183" t="s">
        <v>426</v>
      </c>
      <c r="S51" s="53"/>
      <c r="T51" s="53"/>
      <c r="U51" s="18"/>
      <c r="V51" s="18"/>
      <c r="W51" s="18"/>
      <c r="X51" s="18"/>
      <c r="Y51" s="18"/>
      <c r="Z51" s="18"/>
      <c r="AA51" s="18"/>
      <c r="AB51" s="18"/>
      <c r="AC51" s="18"/>
      <c r="AD51" s="18"/>
      <c r="AE51" s="18"/>
      <c r="AF51" s="18"/>
      <c r="AG51" s="18"/>
      <c r="AH51" s="18"/>
      <c r="AI51" s="18"/>
      <c r="AJ51" s="29"/>
      <c r="AK51" s="29"/>
      <c r="AL51" s="29"/>
      <c r="AM51" s="29"/>
      <c r="AN51" s="29"/>
      <c r="AO51" s="29"/>
      <c r="AP51" s="29"/>
      <c r="AQ51" s="29"/>
    </row>
    <row r="52" spans="2:43" s="17" customFormat="1" ht="16.5">
      <c r="B52" s="91" t="s">
        <v>426</v>
      </c>
      <c r="C52" s="89"/>
      <c r="D52" s="89"/>
      <c r="E52" s="90"/>
      <c r="F52" s="90"/>
      <c r="G52" s="90"/>
      <c r="H52" s="90"/>
      <c r="I52" s="90"/>
      <c r="J52" s="90"/>
      <c r="K52" s="90"/>
      <c r="L52" s="90"/>
      <c r="M52" s="90"/>
      <c r="N52" s="90"/>
      <c r="O52" s="89" t="s">
        <v>426</v>
      </c>
      <c r="P52" s="89" t="s">
        <v>426</v>
      </c>
      <c r="S52" s="53"/>
      <c r="T52" s="53"/>
      <c r="U52" s="18"/>
      <c r="V52" s="18"/>
      <c r="W52" s="18"/>
      <c r="X52" s="18"/>
      <c r="Y52" s="18"/>
      <c r="Z52" s="18"/>
      <c r="AA52" s="18"/>
      <c r="AB52" s="18"/>
      <c r="AC52" s="18"/>
      <c r="AD52" s="18"/>
      <c r="AE52" s="18"/>
      <c r="AF52" s="18"/>
      <c r="AG52" s="18"/>
      <c r="AH52" s="18"/>
      <c r="AI52" s="18"/>
      <c r="AJ52" s="18"/>
      <c r="AK52" s="18"/>
      <c r="AL52" s="18"/>
      <c r="AM52" s="18"/>
      <c r="AN52" s="18"/>
      <c r="AO52" s="18"/>
      <c r="AP52" s="18"/>
      <c r="AQ52" s="18"/>
    </row>
    <row r="53" spans="2:43" s="17" customFormat="1" ht="16.5">
      <c r="B53" s="92" t="s">
        <v>101</v>
      </c>
      <c r="C53" s="90">
        <f>'P&amp;L'!F26</f>
        <v>-12355</v>
      </c>
      <c r="D53" s="90">
        <f>'P&amp;L'!G26</f>
        <v>-11729</v>
      </c>
      <c r="E53" s="90">
        <f>'P&amp;L'!H26</f>
        <v>-11991</v>
      </c>
      <c r="F53" s="90">
        <f>'P&amp;L'!I26</f>
        <v>-12851.281569965869</v>
      </c>
      <c r="G53" s="90">
        <f>'P&amp;L'!J26</f>
        <v>-13194.019422565412</v>
      </c>
      <c r="H53" s="90">
        <f>'P&amp;L'!K26</f>
        <v>-13329.596750739251</v>
      </c>
      <c r="I53" s="90">
        <f>'P&amp;L'!L26</f>
        <v>-13193.577371216063</v>
      </c>
      <c r="J53" s="90">
        <f>'P&amp;L'!M26</f>
        <v>-13635.652970879959</v>
      </c>
      <c r="K53" s="90">
        <f>'P&amp;L'!N26</f>
        <v>-13602.214361270449</v>
      </c>
      <c r="L53" s="90">
        <f>'P&amp;L'!O26</f>
        <v>-13458.003570443878</v>
      </c>
      <c r="M53" s="90">
        <f>'P&amp;L'!P26</f>
        <v>-13618.42645995722</v>
      </c>
      <c r="N53" s="90">
        <f>'P&amp;L'!Q26</f>
        <v>-13753.108023929804</v>
      </c>
      <c r="O53" s="89">
        <f>((K53/G53)^(1/4))-1</f>
        <v>7.6463217741524758E-3</v>
      </c>
      <c r="P53" s="89">
        <f>((L53/G53)^(1/5))-1</f>
        <v>3.9699268042672209E-3</v>
      </c>
      <c r="S53" s="53"/>
      <c r="T53" s="53"/>
      <c r="U53" s="18"/>
      <c r="V53" s="18"/>
      <c r="W53" s="18"/>
      <c r="X53" s="18"/>
      <c r="Y53" s="18"/>
      <c r="Z53" s="18"/>
      <c r="AA53" s="18"/>
      <c r="AB53" s="18"/>
      <c r="AC53" s="18"/>
      <c r="AD53" s="18"/>
      <c r="AE53" s="18"/>
      <c r="AF53" s="18"/>
      <c r="AG53" s="18"/>
      <c r="AH53" s="18"/>
      <c r="AI53" s="18"/>
      <c r="AJ53" s="18"/>
      <c r="AK53" s="18"/>
      <c r="AL53" s="18"/>
      <c r="AM53" s="18"/>
      <c r="AN53" s="18"/>
      <c r="AO53" s="18"/>
      <c r="AP53" s="18"/>
      <c r="AQ53" s="18"/>
    </row>
    <row r="54" spans="2:43" s="17" customFormat="1" ht="16.5">
      <c r="B54" s="92" t="s">
        <v>95</v>
      </c>
      <c r="C54" s="93">
        <f t="shared" ref="C54:M54" si="13">-C53/C47</f>
        <v>0.23677654273668072</v>
      </c>
      <c r="D54" s="93">
        <f t="shared" si="13"/>
        <v>0.23736188124822924</v>
      </c>
      <c r="E54" s="93">
        <f t="shared" si="13"/>
        <v>0.24714538934003874</v>
      </c>
      <c r="F54" s="93">
        <f t="shared" si="13"/>
        <v>0.26168892809802419</v>
      </c>
      <c r="G54" s="93">
        <f t="shared" si="13"/>
        <v>0.25247913612004086</v>
      </c>
      <c r="H54" s="93">
        <f t="shared" si="13"/>
        <v>0.25003290797693589</v>
      </c>
      <c r="I54" s="93">
        <f t="shared" si="13"/>
        <v>0.23995411647891079</v>
      </c>
      <c r="J54" s="93">
        <f t="shared" si="13"/>
        <v>0.23920083905847953</v>
      </c>
      <c r="K54" s="93">
        <f t="shared" si="13"/>
        <v>0.23368860036089978</v>
      </c>
      <c r="L54" s="93">
        <f t="shared" si="13"/>
        <v>0.2333421647691743</v>
      </c>
      <c r="M54" s="93">
        <f t="shared" si="13"/>
        <v>0.2331245442835036</v>
      </c>
      <c r="N54" s="93">
        <f>-N53/N47</f>
        <v>0.23288080062668637</v>
      </c>
      <c r="O54" s="89" t="s">
        <v>426</v>
      </c>
      <c r="P54" s="89" t="s">
        <v>426</v>
      </c>
      <c r="S54" s="53"/>
      <c r="T54" s="53"/>
      <c r="U54" s="18"/>
      <c r="V54" s="18"/>
      <c r="W54" s="18"/>
      <c r="X54" s="18"/>
      <c r="Y54" s="18"/>
      <c r="Z54" s="18"/>
      <c r="AA54" s="18"/>
      <c r="AB54" s="18"/>
      <c r="AC54" s="18"/>
      <c r="AD54" s="18"/>
      <c r="AE54" s="18"/>
      <c r="AF54" s="18"/>
      <c r="AG54" s="18"/>
      <c r="AH54" s="18"/>
      <c r="AI54" s="18"/>
      <c r="AJ54" s="18"/>
      <c r="AK54" s="18"/>
      <c r="AL54" s="18"/>
      <c r="AM54" s="18"/>
      <c r="AN54" s="18"/>
      <c r="AO54" s="18"/>
      <c r="AP54" s="18"/>
      <c r="AQ54" s="18"/>
    </row>
    <row r="55" spans="2:43" s="17" customFormat="1" ht="16.5">
      <c r="B55" s="91" t="s">
        <v>426</v>
      </c>
      <c r="C55" s="89"/>
      <c r="D55" s="89"/>
      <c r="E55" s="90"/>
      <c r="F55" s="90"/>
      <c r="G55" s="90"/>
      <c r="H55" s="90"/>
      <c r="I55" s="90"/>
      <c r="J55" s="90"/>
      <c r="K55" s="90"/>
      <c r="L55" s="90"/>
      <c r="M55" s="90"/>
      <c r="N55" s="90"/>
      <c r="O55" s="89" t="s">
        <v>426</v>
      </c>
      <c r="P55" s="89" t="s">
        <v>426</v>
      </c>
      <c r="S55" s="53"/>
      <c r="T55" s="53"/>
      <c r="U55" s="18"/>
      <c r="V55" s="18"/>
      <c r="W55" s="18"/>
      <c r="X55" s="18"/>
      <c r="Y55" s="18"/>
      <c r="Z55" s="18"/>
      <c r="AA55" s="18"/>
      <c r="AB55" s="18"/>
      <c r="AC55" s="18"/>
      <c r="AD55" s="18"/>
      <c r="AE55" s="18"/>
      <c r="AF55" s="18"/>
      <c r="AG55" s="18"/>
      <c r="AH55" s="18"/>
      <c r="AI55" s="18"/>
      <c r="AJ55" s="18"/>
      <c r="AK55" s="18"/>
      <c r="AL55" s="18"/>
      <c r="AM55" s="18"/>
      <c r="AN55" s="18"/>
      <c r="AO55" s="18"/>
      <c r="AP55" s="18"/>
      <c r="AQ55" s="18"/>
    </row>
    <row r="56" spans="2:43" s="17" customFormat="1" ht="16.5">
      <c r="B56" s="92" t="s">
        <v>105</v>
      </c>
      <c r="C56" s="90">
        <f>'P&amp;L'!F31</f>
        <v>-8723</v>
      </c>
      <c r="D56" s="90">
        <f>'P&amp;L'!G31</f>
        <v>-8738</v>
      </c>
      <c r="E56" s="90">
        <f>'P&amp;L'!H31</f>
        <v>-8402</v>
      </c>
      <c r="F56" s="90">
        <f>'P&amp;L'!I31</f>
        <v>-8313</v>
      </c>
      <c r="G56" s="90">
        <f>'P&amp;L'!J31</f>
        <v>-8940.9875763963992</v>
      </c>
      <c r="H56" s="90">
        <f>'P&amp;L'!K31</f>
        <v>-9076.4274523986951</v>
      </c>
      <c r="I56" s="90">
        <f>'P&amp;L'!L31</f>
        <v>-9355.1995898894456</v>
      </c>
      <c r="J56" s="90">
        <f>'P&amp;L'!M31</f>
        <v>-9506.4687746860873</v>
      </c>
      <c r="K56" s="90">
        <f>'P&amp;L'!N31</f>
        <v>-9658.7921387266051</v>
      </c>
      <c r="L56" s="90">
        <f>'P&amp;L'!O31</f>
        <v>-9621.2453087787017</v>
      </c>
      <c r="M56" s="90">
        <f>'P&amp;L'!P31</f>
        <v>-9556.9998805525756</v>
      </c>
      <c r="N56" s="90">
        <f>'P&amp;L'!Q31</f>
        <v>-9501.3207323582301</v>
      </c>
      <c r="O56" s="89">
        <f>((K56/G56)^(1/4))-1</f>
        <v>1.9493197061144274E-2</v>
      </c>
      <c r="P56" s="89">
        <f>((L56/G56)^(1/5))-1</f>
        <v>1.477359774771192E-2</v>
      </c>
      <c r="S56" s="53"/>
      <c r="T56" s="53"/>
      <c r="U56" s="18"/>
      <c r="V56" s="18"/>
      <c r="W56" s="18"/>
      <c r="X56" s="18"/>
      <c r="Y56" s="18"/>
      <c r="Z56" s="18"/>
      <c r="AA56" s="18"/>
      <c r="AB56" s="18"/>
      <c r="AC56" s="18"/>
      <c r="AD56" s="18"/>
      <c r="AE56" s="18"/>
      <c r="AF56" s="18"/>
      <c r="AG56" s="18"/>
      <c r="AH56" s="18"/>
      <c r="AI56" s="18"/>
      <c r="AJ56" s="18"/>
      <c r="AK56" s="18"/>
      <c r="AL56" s="18"/>
      <c r="AM56" s="18"/>
      <c r="AN56" s="18"/>
      <c r="AO56" s="18"/>
      <c r="AP56" s="18"/>
      <c r="AQ56" s="18"/>
    </row>
    <row r="57" spans="2:43" s="21" customFormat="1" ht="16.5">
      <c r="B57" s="181" t="s">
        <v>95</v>
      </c>
      <c r="C57" s="182">
        <f t="shared" ref="C57:M57" si="14">-C56/C47</f>
        <v>0.16717133001149867</v>
      </c>
      <c r="D57" s="182">
        <f t="shared" si="14"/>
        <v>0.17683247662605739</v>
      </c>
      <c r="E57" s="182">
        <f t="shared" si="14"/>
        <v>0.17317284306855188</v>
      </c>
      <c r="F57" s="182">
        <f t="shared" si="14"/>
        <v>0.16927650736117617</v>
      </c>
      <c r="G57" s="182">
        <f t="shared" si="14"/>
        <v>0.17109364076634465</v>
      </c>
      <c r="H57" s="182">
        <f t="shared" si="14"/>
        <v>0.1702531286131426</v>
      </c>
      <c r="I57" s="182">
        <f t="shared" si="14"/>
        <v>0.1701448052272182</v>
      </c>
      <c r="J57" s="182">
        <f t="shared" si="14"/>
        <v>0.16676541359950739</v>
      </c>
      <c r="K57" s="182">
        <f t="shared" si="14"/>
        <v>0.16593986509304387</v>
      </c>
      <c r="L57" s="182">
        <f t="shared" si="14"/>
        <v>0.166818369186362</v>
      </c>
      <c r="M57" s="182">
        <f t="shared" si="14"/>
        <v>0.16359975570028643</v>
      </c>
      <c r="N57" s="182">
        <f>-N56/N47</f>
        <v>0.16088546496635966</v>
      </c>
      <c r="O57" s="184" t="s">
        <v>426</v>
      </c>
      <c r="P57" s="183" t="s">
        <v>426</v>
      </c>
      <c r="S57" s="53"/>
      <c r="T57" s="53"/>
      <c r="U57" s="18"/>
      <c r="V57" s="18"/>
      <c r="W57" s="18"/>
      <c r="X57" s="18"/>
      <c r="Y57" s="18"/>
      <c r="Z57" s="18"/>
      <c r="AA57" s="18"/>
      <c r="AB57" s="18"/>
      <c r="AC57" s="18"/>
      <c r="AD57" s="18"/>
      <c r="AE57" s="18"/>
      <c r="AF57" s="18"/>
      <c r="AG57" s="18"/>
      <c r="AH57" s="18"/>
      <c r="AI57" s="18"/>
      <c r="AJ57" s="29"/>
      <c r="AK57" s="29"/>
      <c r="AL57" s="29"/>
      <c r="AM57" s="29"/>
      <c r="AN57" s="29"/>
      <c r="AO57" s="29"/>
      <c r="AP57" s="29"/>
      <c r="AQ57" s="29"/>
    </row>
    <row r="58" spans="2:43" s="17" customFormat="1" ht="16.5">
      <c r="B58" s="91" t="s">
        <v>426</v>
      </c>
      <c r="C58" s="89"/>
      <c r="D58" s="89"/>
      <c r="E58" s="90"/>
      <c r="F58" s="90"/>
      <c r="G58" s="90"/>
      <c r="H58" s="90"/>
      <c r="I58" s="90"/>
      <c r="J58" s="90"/>
      <c r="K58" s="90"/>
      <c r="L58" s="90"/>
      <c r="M58" s="90"/>
      <c r="N58" s="90"/>
      <c r="O58" s="89" t="s">
        <v>426</v>
      </c>
      <c r="P58" s="89" t="s">
        <v>426</v>
      </c>
      <c r="S58" s="53"/>
      <c r="T58" s="53"/>
      <c r="U58" s="18"/>
      <c r="V58" s="18"/>
      <c r="W58" s="18"/>
      <c r="X58" s="18"/>
      <c r="Y58" s="18"/>
      <c r="Z58" s="18"/>
      <c r="AA58" s="18"/>
      <c r="AB58" s="18"/>
      <c r="AC58" s="18"/>
      <c r="AD58" s="18"/>
      <c r="AE58" s="18"/>
      <c r="AF58" s="18"/>
      <c r="AG58" s="18"/>
      <c r="AH58" s="18"/>
      <c r="AI58" s="18"/>
      <c r="AJ58" s="18"/>
      <c r="AK58" s="18"/>
      <c r="AL58" s="18"/>
      <c r="AM58" s="18"/>
      <c r="AN58" s="18"/>
      <c r="AO58" s="18"/>
      <c r="AP58" s="18"/>
      <c r="AQ58" s="18"/>
    </row>
    <row r="59" spans="2:43" s="17" customFormat="1" ht="16.5">
      <c r="B59" s="92" t="s">
        <v>108</v>
      </c>
      <c r="C59" s="90">
        <f>'P&amp;L'!F36</f>
        <v>-2552</v>
      </c>
      <c r="D59" s="90">
        <f>'P&amp;L'!G36</f>
        <v>-2389</v>
      </c>
      <c r="E59" s="90">
        <f>'P&amp;L'!H36</f>
        <v>-2120</v>
      </c>
      <c r="F59" s="90">
        <f>'P&amp;L'!I36</f>
        <v>-2148.7184300341301</v>
      </c>
      <c r="G59" s="90">
        <f>'P&amp;L'!J36</f>
        <v>-2224.9048009284475</v>
      </c>
      <c r="H59" s="90">
        <f>'P&amp;L'!K36</f>
        <v>-2215.6432976237043</v>
      </c>
      <c r="I59" s="90">
        <f>'P&amp;L'!L36</f>
        <v>-2171.5703723503734</v>
      </c>
      <c r="J59" s="90">
        <f>'P&amp;L'!M36</f>
        <v>-2207.1356708908238</v>
      </c>
      <c r="K59" s="90">
        <f>'P&amp;L'!N36</f>
        <v>-2258.7518890244414</v>
      </c>
      <c r="L59" s="90">
        <f>'P&amp;L'!O36</f>
        <v>-2267.9116311892258</v>
      </c>
      <c r="M59" s="90">
        <f>'P&amp;L'!P36</f>
        <v>-2309.8261759006064</v>
      </c>
      <c r="N59" s="90">
        <f>'P&amp;L'!Q36</f>
        <v>-2350.1386676879038</v>
      </c>
      <c r="O59" s="89">
        <f>((K59/G59)^(1/4))-1</f>
        <v>3.7817003105971025E-3</v>
      </c>
      <c r="P59" s="89">
        <f>((L59/G59)^(1/5))-1</f>
        <v>3.8363988472680521E-3</v>
      </c>
      <c r="S59" s="53"/>
      <c r="T59" s="53"/>
      <c r="U59" s="18"/>
      <c r="V59" s="18"/>
      <c r="W59" s="18"/>
      <c r="X59" s="18"/>
      <c r="Y59" s="18"/>
      <c r="Z59" s="18"/>
      <c r="AA59" s="18"/>
      <c r="AB59" s="18"/>
      <c r="AC59" s="18"/>
      <c r="AD59" s="18"/>
      <c r="AE59" s="18"/>
      <c r="AF59" s="18"/>
      <c r="AG59" s="18"/>
      <c r="AH59" s="18"/>
      <c r="AI59" s="18"/>
      <c r="AJ59" s="18"/>
      <c r="AK59" s="18"/>
      <c r="AL59" s="18"/>
      <c r="AM59" s="18"/>
      <c r="AN59" s="18"/>
      <c r="AO59" s="18"/>
      <c r="AP59" s="18"/>
      <c r="AQ59" s="18"/>
    </row>
    <row r="60" spans="2:43" s="21" customFormat="1" ht="16.5">
      <c r="B60" s="181" t="s">
        <v>95</v>
      </c>
      <c r="C60" s="182">
        <f t="shared" ref="C60:M60" si="15">-C59/C47</f>
        <v>4.8907627443464927E-2</v>
      </c>
      <c r="D60" s="182">
        <f t="shared" si="15"/>
        <v>4.8346622414700287E-2</v>
      </c>
      <c r="E60" s="182">
        <f t="shared" si="15"/>
        <v>4.3695123459334677E-2</v>
      </c>
      <c r="F60" s="182">
        <f t="shared" si="15"/>
        <v>4.3754066057833191E-2</v>
      </c>
      <c r="G60" s="182">
        <f t="shared" si="15"/>
        <v>4.2575505166152182E-2</v>
      </c>
      <c r="H60" s="182">
        <f t="shared" si="15"/>
        <v>4.1560427303529553E-2</v>
      </c>
      <c r="I60" s="182">
        <f t="shared" si="15"/>
        <v>3.9494765931030053E-2</v>
      </c>
      <c r="J60" s="182">
        <f t="shared" si="15"/>
        <v>3.8718256142222338E-2</v>
      </c>
      <c r="K60" s="182">
        <f t="shared" si="15"/>
        <v>3.8805782168202747E-2</v>
      </c>
      <c r="L60" s="182">
        <f t="shared" si="15"/>
        <v>3.932228184937455E-2</v>
      </c>
      <c r="M60" s="182">
        <f t="shared" si="15"/>
        <v>3.9540337219886722E-2</v>
      </c>
      <c r="N60" s="182">
        <f>-N59/N47</f>
        <v>3.979479936917614E-2</v>
      </c>
      <c r="O60" s="184" t="s">
        <v>426</v>
      </c>
      <c r="P60" s="183" t="s">
        <v>426</v>
      </c>
      <c r="S60" s="53"/>
      <c r="T60" s="53"/>
      <c r="U60" s="18"/>
      <c r="V60" s="18"/>
      <c r="W60" s="18"/>
      <c r="X60" s="18"/>
      <c r="Y60" s="18"/>
      <c r="Z60" s="18"/>
      <c r="AA60" s="18"/>
      <c r="AB60" s="18"/>
      <c r="AC60" s="18"/>
      <c r="AD60" s="18"/>
      <c r="AE60" s="18"/>
      <c r="AF60" s="18"/>
      <c r="AG60" s="18"/>
      <c r="AH60" s="18"/>
      <c r="AI60" s="18"/>
      <c r="AJ60" s="29"/>
      <c r="AK60" s="29"/>
      <c r="AL60" s="29"/>
      <c r="AM60" s="29"/>
      <c r="AN60" s="29"/>
      <c r="AO60" s="29"/>
      <c r="AP60" s="29"/>
      <c r="AQ60" s="29"/>
    </row>
    <row r="61" spans="2:43" s="17" customFormat="1" ht="16.5">
      <c r="B61" s="91" t="s">
        <v>426</v>
      </c>
      <c r="C61" s="89"/>
      <c r="D61" s="89"/>
      <c r="E61" s="90"/>
      <c r="F61" s="90"/>
      <c r="G61" s="90"/>
      <c r="H61" s="90"/>
      <c r="I61" s="90"/>
      <c r="J61" s="90"/>
      <c r="K61" s="90"/>
      <c r="L61" s="90"/>
      <c r="M61" s="90"/>
      <c r="N61" s="90"/>
      <c r="O61" s="89" t="s">
        <v>426</v>
      </c>
      <c r="P61" s="89" t="s">
        <v>426</v>
      </c>
      <c r="S61" s="53"/>
      <c r="T61" s="53"/>
      <c r="U61" s="18"/>
      <c r="V61" s="18"/>
      <c r="W61" s="18"/>
      <c r="X61" s="18"/>
      <c r="Y61" s="18"/>
      <c r="Z61" s="18"/>
      <c r="AA61" s="18"/>
      <c r="AB61" s="18"/>
      <c r="AC61" s="18"/>
      <c r="AD61" s="18"/>
      <c r="AE61" s="18"/>
      <c r="AF61" s="18"/>
      <c r="AG61" s="18"/>
      <c r="AH61" s="18"/>
      <c r="AI61" s="18"/>
      <c r="AJ61" s="18"/>
      <c r="AK61" s="18"/>
      <c r="AL61" s="18"/>
      <c r="AM61" s="18"/>
      <c r="AN61" s="18"/>
      <c r="AO61" s="18"/>
      <c r="AP61" s="18"/>
      <c r="AQ61" s="18"/>
    </row>
    <row r="62" spans="2:43" s="17" customFormat="1" ht="16.5">
      <c r="B62" s="92" t="s">
        <v>111</v>
      </c>
      <c r="C62" s="90">
        <f>'P&amp;L'!F41</f>
        <v>-718</v>
      </c>
      <c r="D62" s="90">
        <f>'P&amp;L'!G41</f>
        <v>-254</v>
      </c>
      <c r="E62" s="90">
        <f>'P&amp;L'!H41</f>
        <v>-306</v>
      </c>
      <c r="F62" s="90">
        <f>'P&amp;L'!I41</f>
        <v>-415</v>
      </c>
      <c r="G62" s="90">
        <f>'P&amp;L'!J41</f>
        <v>-303</v>
      </c>
      <c r="H62" s="90">
        <f>'P&amp;L'!K41</f>
        <v>-313</v>
      </c>
      <c r="I62" s="90">
        <f>'P&amp;L'!L41</f>
        <v>-313</v>
      </c>
      <c r="J62" s="90">
        <f>'P&amp;L'!M41</f>
        <v>-313</v>
      </c>
      <c r="K62" s="90">
        <f>'P&amp;L'!N41</f>
        <v>-313</v>
      </c>
      <c r="L62" s="90">
        <f>'P&amp;L'!O41</f>
        <v>-313</v>
      </c>
      <c r="M62" s="90">
        <f>'P&amp;L'!P41</f>
        <v>-313</v>
      </c>
      <c r="N62" s="90">
        <f>'P&amp;L'!Q41</f>
        <v>-313</v>
      </c>
      <c r="O62" s="89">
        <f>((K62/G62)^(1/4))-1</f>
        <v>8.1506332754166522E-3</v>
      </c>
      <c r="P62" s="89">
        <f>((L62/G62)^(1/5))-1</f>
        <v>6.5152092442650744E-3</v>
      </c>
      <c r="S62" s="53"/>
      <c r="T62" s="53"/>
      <c r="U62" s="18"/>
      <c r="V62" s="18"/>
      <c r="W62" s="18"/>
      <c r="X62" s="18"/>
      <c r="Y62" s="18"/>
      <c r="Z62" s="18"/>
      <c r="AA62" s="18"/>
      <c r="AB62" s="18"/>
      <c r="AC62" s="18"/>
      <c r="AD62" s="18"/>
      <c r="AE62" s="18"/>
      <c r="AF62" s="18"/>
      <c r="AG62" s="18"/>
      <c r="AH62" s="18"/>
      <c r="AI62" s="18"/>
      <c r="AJ62" s="18"/>
      <c r="AK62" s="18"/>
      <c r="AL62" s="18"/>
      <c r="AM62" s="18"/>
      <c r="AN62" s="18"/>
      <c r="AO62" s="18"/>
      <c r="AP62" s="18"/>
      <c r="AQ62" s="18"/>
    </row>
    <row r="63" spans="2:43" s="17" customFormat="1" ht="16.5">
      <c r="B63" s="91" t="s">
        <v>426</v>
      </c>
      <c r="C63" s="89"/>
      <c r="D63" s="89"/>
      <c r="E63" s="90"/>
      <c r="F63" s="90"/>
      <c r="G63" s="90"/>
      <c r="H63" s="90"/>
      <c r="I63" s="90"/>
      <c r="J63" s="90"/>
      <c r="K63" s="90"/>
      <c r="L63" s="90"/>
      <c r="M63" s="90"/>
      <c r="N63" s="90"/>
      <c r="O63" s="89" t="s">
        <v>426</v>
      </c>
      <c r="P63" s="89" t="s">
        <v>426</v>
      </c>
      <c r="S63" s="53"/>
      <c r="T63" s="53"/>
      <c r="U63" s="18"/>
      <c r="V63" s="18"/>
      <c r="W63" s="18"/>
      <c r="X63" s="18"/>
      <c r="Y63" s="18"/>
      <c r="Z63" s="18"/>
      <c r="AA63" s="18"/>
      <c r="AB63" s="18"/>
      <c r="AC63" s="18"/>
      <c r="AD63" s="18"/>
      <c r="AE63" s="18"/>
      <c r="AF63" s="18"/>
      <c r="AG63" s="18"/>
      <c r="AH63" s="18"/>
      <c r="AI63" s="18"/>
      <c r="AJ63" s="18"/>
      <c r="AK63" s="18"/>
      <c r="AL63" s="18"/>
      <c r="AM63" s="18"/>
      <c r="AN63" s="18"/>
      <c r="AO63" s="18"/>
      <c r="AP63" s="18"/>
      <c r="AQ63" s="18"/>
    </row>
    <row r="64" spans="2:43" s="17" customFormat="1" ht="16.5">
      <c r="B64" s="88" t="s">
        <v>120</v>
      </c>
      <c r="C64" s="87">
        <f>'P&amp;L'!F50</f>
        <v>14473</v>
      </c>
      <c r="D64" s="87">
        <f>'P&amp;L'!G50</f>
        <v>13790</v>
      </c>
      <c r="E64" s="87">
        <f>'P&amp;L'!H50</f>
        <v>12987</v>
      </c>
      <c r="F64" s="87">
        <f>'P&amp;L'!I50</f>
        <v>12850</v>
      </c>
      <c r="G64" s="87">
        <f>'P&amp;L'!J50</f>
        <v>14390.080549630573</v>
      </c>
      <c r="H64" s="87">
        <f>'P&amp;L'!K50</f>
        <v>14956.463768352045</v>
      </c>
      <c r="I64" s="87">
        <f>'P&amp;L'!L50</f>
        <v>16226.509874853924</v>
      </c>
      <c r="J64" s="87">
        <f>'P&amp;L'!M50</f>
        <v>17332.307880357461</v>
      </c>
      <c r="K64" s="87">
        <f>'P&amp;L'!N50</f>
        <v>18426.542028389209</v>
      </c>
      <c r="L64" s="87">
        <f>'P&amp;L'!O50</f>
        <v>18252.024626356528</v>
      </c>
      <c r="M64" s="87">
        <f>'P&amp;L'!P50</f>
        <v>18717.246008998056</v>
      </c>
      <c r="N64" s="87">
        <f>'P&amp;L'!Q50</f>
        <v>18974.247056095825</v>
      </c>
      <c r="O64" s="86">
        <f>((K64/G64)^(1/4))-1</f>
        <v>6.3763670507948067E-2</v>
      </c>
      <c r="P64" s="86">
        <f>((L64/G64)^(1/5))-1</f>
        <v>4.8695885857186871E-2</v>
      </c>
      <c r="Q64" s="26"/>
      <c r="S64" s="53"/>
      <c r="T64" s="53"/>
      <c r="U64" s="18"/>
      <c r="V64" s="18"/>
      <c r="W64" s="18"/>
      <c r="X64" s="18"/>
      <c r="Y64" s="18"/>
      <c r="Z64" s="18"/>
      <c r="AA64" s="18"/>
      <c r="AB64" s="18"/>
      <c r="AC64" s="18"/>
      <c r="AD64" s="18"/>
      <c r="AE64" s="18"/>
      <c r="AF64" s="18"/>
      <c r="AG64" s="18"/>
      <c r="AH64" s="18"/>
      <c r="AI64" s="18"/>
      <c r="AJ64" s="18"/>
      <c r="AK64" s="18"/>
      <c r="AL64" s="18"/>
      <c r="AM64" s="18"/>
      <c r="AN64" s="18"/>
      <c r="AO64" s="18"/>
      <c r="AP64" s="18"/>
      <c r="AQ64" s="18"/>
    </row>
    <row r="65" spans="2:47" s="21" customFormat="1" ht="16.5">
      <c r="B65" s="181" t="s">
        <v>121</v>
      </c>
      <c r="C65" s="184">
        <f t="shared" ref="C65:M65" si="16">C64/C47</f>
        <v>0.27736680720582596</v>
      </c>
      <c r="D65" s="184">
        <f t="shared" si="16"/>
        <v>0.27907070870603473</v>
      </c>
      <c r="E65" s="184">
        <f t="shared" si="16"/>
        <v>0.26767385300300917</v>
      </c>
      <c r="F65" s="184">
        <f t="shared" si="16"/>
        <v>0.2616628316601845</v>
      </c>
      <c r="G65" s="184">
        <f t="shared" si="16"/>
        <v>0.27536681503248084</v>
      </c>
      <c r="H65" s="184">
        <f t="shared" si="16"/>
        <v>0.28054923183218922</v>
      </c>
      <c r="I65" s="184">
        <f t="shared" si="16"/>
        <v>0.29511464032882062</v>
      </c>
      <c r="J65" s="184">
        <f t="shared" si="16"/>
        <v>0.30404870207941725</v>
      </c>
      <c r="K65" s="184">
        <f t="shared" si="16"/>
        <v>0.31657145680384513</v>
      </c>
      <c r="L65" s="184">
        <f t="shared" si="16"/>
        <v>0.3164635018441922</v>
      </c>
      <c r="M65" s="184">
        <f t="shared" si="16"/>
        <v>0.32040775481072764</v>
      </c>
      <c r="N65" s="184">
        <f>N64/N47</f>
        <v>0.32129012860392958</v>
      </c>
      <c r="O65" s="183" t="s">
        <v>426</v>
      </c>
      <c r="P65" s="183" t="s">
        <v>426</v>
      </c>
      <c r="S65" s="53"/>
      <c r="T65" s="53"/>
      <c r="U65" s="18"/>
      <c r="V65" s="18"/>
      <c r="W65" s="18"/>
      <c r="X65" s="18"/>
      <c r="Y65" s="18"/>
      <c r="Z65" s="18"/>
      <c r="AA65" s="18"/>
      <c r="AB65" s="18"/>
      <c r="AC65" s="18"/>
      <c r="AD65" s="18"/>
      <c r="AE65" s="18"/>
      <c r="AF65" s="18"/>
      <c r="AG65" s="18"/>
      <c r="AH65" s="18"/>
      <c r="AI65" s="18"/>
      <c r="AJ65" s="29"/>
      <c r="AK65" s="29"/>
      <c r="AL65" s="29"/>
      <c r="AM65" s="29"/>
      <c r="AN65" s="29"/>
      <c r="AO65" s="29"/>
      <c r="AP65" s="29"/>
      <c r="AQ65" s="29"/>
    </row>
    <row r="66" spans="2:47" s="17" customFormat="1" ht="16.5">
      <c r="B66" s="91" t="s">
        <v>426</v>
      </c>
      <c r="C66" s="89"/>
      <c r="D66" s="89" t="s">
        <v>426</v>
      </c>
      <c r="E66" s="90" t="s">
        <v>426</v>
      </c>
      <c r="F66" s="90" t="s">
        <v>426</v>
      </c>
      <c r="G66" s="90" t="s">
        <v>426</v>
      </c>
      <c r="H66" s="90" t="s">
        <v>426</v>
      </c>
      <c r="I66" s="90" t="s">
        <v>426</v>
      </c>
      <c r="J66" s="90" t="s">
        <v>426</v>
      </c>
      <c r="K66" s="90"/>
      <c r="L66" s="90"/>
      <c r="M66" s="90"/>
      <c r="N66" s="90"/>
      <c r="O66" s="89" t="s">
        <v>426</v>
      </c>
      <c r="P66" s="89" t="s">
        <v>426</v>
      </c>
      <c r="S66" s="53"/>
      <c r="T66" s="53"/>
      <c r="U66" s="18"/>
      <c r="V66" s="18"/>
      <c r="W66" s="18"/>
      <c r="X66" s="18"/>
      <c r="Y66" s="18"/>
      <c r="Z66" s="18"/>
      <c r="AA66" s="18"/>
      <c r="AB66" s="18"/>
      <c r="AC66" s="18"/>
      <c r="AD66" s="18"/>
      <c r="AE66" s="18"/>
      <c r="AF66" s="18"/>
      <c r="AG66" s="18"/>
      <c r="AH66" s="18"/>
      <c r="AI66" s="18"/>
      <c r="AJ66" s="18"/>
      <c r="AK66" s="18"/>
      <c r="AL66" s="18"/>
      <c r="AM66" s="18"/>
      <c r="AN66" s="18"/>
      <c r="AO66" s="18"/>
      <c r="AP66" s="18"/>
      <c r="AQ66" s="18"/>
    </row>
    <row r="67" spans="2:47" s="17" customFormat="1" ht="16.5">
      <c r="B67" s="181" t="s">
        <v>867</v>
      </c>
      <c r="C67" s="185">
        <f t="shared" ref="C67:N67" si="17">C68-C64</f>
        <v>-3384</v>
      </c>
      <c r="D67" s="185">
        <f t="shared" si="17"/>
        <v>-4813</v>
      </c>
      <c r="E67" s="185">
        <f t="shared" si="17"/>
        <v>-4719</v>
      </c>
      <c r="F67" s="185">
        <f t="shared" si="17"/>
        <v>-4221</v>
      </c>
      <c r="G67" s="185">
        <f t="shared" si="17"/>
        <v>-3898</v>
      </c>
      <c r="H67" s="185">
        <f t="shared" si="17"/>
        <v>-3598</v>
      </c>
      <c r="I67" s="185">
        <f t="shared" si="17"/>
        <v>-4497</v>
      </c>
      <c r="J67" s="185">
        <f t="shared" si="17"/>
        <v>-4342.9999999999945</v>
      </c>
      <c r="K67" s="185">
        <f t="shared" si="17"/>
        <v>-4242.9999999999982</v>
      </c>
      <c r="L67" s="185">
        <f t="shared" si="17"/>
        <v>-3953.0000000000018</v>
      </c>
      <c r="M67" s="185">
        <f t="shared" si="17"/>
        <v>-3953.0000000000073</v>
      </c>
      <c r="N67" s="185">
        <f t="shared" si="17"/>
        <v>-5261.0000000000018</v>
      </c>
      <c r="O67" s="90" t="s">
        <v>426</v>
      </c>
      <c r="P67" s="90" t="s">
        <v>426</v>
      </c>
      <c r="S67" s="53"/>
      <c r="T67" s="53"/>
      <c r="U67" s="18"/>
      <c r="V67" s="18"/>
      <c r="W67" s="18"/>
      <c r="X67" s="18"/>
      <c r="Y67" s="18"/>
      <c r="Z67" s="18"/>
      <c r="AA67" s="18"/>
      <c r="AB67" s="18"/>
      <c r="AC67" s="18"/>
      <c r="AD67" s="18"/>
      <c r="AE67" s="18"/>
      <c r="AF67" s="18"/>
      <c r="AG67" s="18"/>
      <c r="AH67" s="18"/>
      <c r="AI67" s="18"/>
      <c r="AJ67" s="18"/>
      <c r="AK67" s="18"/>
      <c r="AL67" s="18"/>
      <c r="AM67" s="18"/>
      <c r="AN67" s="18"/>
      <c r="AO67" s="18"/>
      <c r="AP67" s="18"/>
      <c r="AQ67" s="18"/>
    </row>
    <row r="68" spans="2:47" s="17" customFormat="1" ht="16.5">
      <c r="B68" s="88" t="s">
        <v>466</v>
      </c>
      <c r="C68" s="87">
        <f>'P&amp;L'!F81</f>
        <v>11089</v>
      </c>
      <c r="D68" s="87">
        <f>'P&amp;L'!G81</f>
        <v>8977</v>
      </c>
      <c r="E68" s="87">
        <f>'P&amp;L'!H81</f>
        <v>8268</v>
      </c>
      <c r="F68" s="87">
        <f>'P&amp;L'!I81</f>
        <v>8629</v>
      </c>
      <c r="G68" s="87">
        <f>'P&amp;L'!J81</f>
        <v>10492.080549630573</v>
      </c>
      <c r="H68" s="87">
        <f>'P&amp;L'!K81</f>
        <v>11358.463768352045</v>
      </c>
      <c r="I68" s="87">
        <f>'P&amp;L'!L81</f>
        <v>11729.509874853924</v>
      </c>
      <c r="J68" s="87">
        <f>'P&amp;L'!M81</f>
        <v>12989.307880357466</v>
      </c>
      <c r="K68" s="87">
        <f>'P&amp;L'!N81</f>
        <v>14183.542028389211</v>
      </c>
      <c r="L68" s="87">
        <f>'P&amp;L'!O81</f>
        <v>14299.024626356526</v>
      </c>
      <c r="M68" s="87">
        <f>'P&amp;L'!P81</f>
        <v>14764.246008998049</v>
      </c>
      <c r="N68" s="87">
        <f>'P&amp;L'!Q81</f>
        <v>13713.247056095823</v>
      </c>
      <c r="O68" s="86">
        <f>((K68/G68)^(1/4))-1</f>
        <v>7.8278065850627243E-2</v>
      </c>
      <c r="P68" s="86">
        <f>((L68/G68)^(1/5))-1</f>
        <v>6.387097296407207E-2</v>
      </c>
      <c r="S68" s="53"/>
      <c r="T68" s="53"/>
      <c r="U68" s="18"/>
      <c r="V68" s="18"/>
      <c r="W68" s="18"/>
      <c r="X68" s="18"/>
      <c r="Y68" s="18"/>
      <c r="Z68" s="18"/>
      <c r="AA68" s="18"/>
      <c r="AB68" s="18"/>
      <c r="AC68" s="18"/>
      <c r="AD68" s="18"/>
      <c r="AE68" s="18"/>
      <c r="AF68" s="18"/>
      <c r="AG68" s="18"/>
      <c r="AH68" s="18"/>
      <c r="AI68" s="18"/>
      <c r="AJ68" s="18"/>
      <c r="AK68" s="18"/>
      <c r="AL68" s="18"/>
      <c r="AM68" s="18"/>
      <c r="AN68" s="18"/>
      <c r="AO68" s="18"/>
      <c r="AP68" s="18"/>
      <c r="AQ68" s="18"/>
    </row>
    <row r="69" spans="2:47" s="21" customFormat="1" ht="16.5">
      <c r="B69" s="181" t="s">
        <v>147</v>
      </c>
      <c r="C69" s="184">
        <f t="shared" ref="C69:N69" si="18">C68/C47</f>
        <v>0.21251437332311229</v>
      </c>
      <c r="D69" s="184">
        <f t="shared" si="18"/>
        <v>0.18166916258550209</v>
      </c>
      <c r="E69" s="184">
        <f t="shared" si="18"/>
        <v>0.17041098149140524</v>
      </c>
      <c r="F69" s="184">
        <f t="shared" si="18"/>
        <v>0.17571117310472623</v>
      </c>
      <c r="G69" s="184">
        <f t="shared" si="18"/>
        <v>0.20077516550733859</v>
      </c>
      <c r="H69" s="184">
        <f t="shared" si="18"/>
        <v>0.21305893788529073</v>
      </c>
      <c r="I69" s="184">
        <f t="shared" si="18"/>
        <v>0.21332684074689398</v>
      </c>
      <c r="J69" s="184">
        <f t="shared" si="18"/>
        <v>0.22786245370176186</v>
      </c>
      <c r="K69" s="184">
        <f t="shared" si="18"/>
        <v>0.24367591898946475</v>
      </c>
      <c r="L69" s="184">
        <f t="shared" si="18"/>
        <v>0.24792424395914447</v>
      </c>
      <c r="M69" s="184">
        <f t="shared" si="18"/>
        <v>0.25273904680967224</v>
      </c>
      <c r="N69" s="184">
        <f t="shared" si="18"/>
        <v>0.2322058365322591</v>
      </c>
      <c r="O69" s="185"/>
      <c r="P69" s="185"/>
      <c r="S69" s="53"/>
      <c r="T69" s="53"/>
      <c r="U69" s="18"/>
      <c r="V69" s="18"/>
      <c r="W69" s="18"/>
      <c r="X69" s="18"/>
      <c r="Y69" s="18"/>
      <c r="Z69" s="18"/>
      <c r="AA69" s="18"/>
      <c r="AB69" s="18"/>
      <c r="AC69" s="18"/>
      <c r="AD69" s="18"/>
      <c r="AE69" s="18"/>
      <c r="AF69" s="18"/>
      <c r="AG69" s="18"/>
      <c r="AH69" s="18"/>
      <c r="AI69" s="18"/>
      <c r="AJ69" s="29"/>
      <c r="AK69" s="29"/>
      <c r="AL69" s="29"/>
      <c r="AM69" s="29"/>
      <c r="AN69" s="29"/>
      <c r="AO69" s="29"/>
      <c r="AP69" s="29"/>
      <c r="AQ69" s="29"/>
    </row>
    <row r="70" spans="2:47" ht="17.25">
      <c r="B70" s="64"/>
      <c r="C70" s="63"/>
      <c r="D70" s="63"/>
      <c r="E70" s="63"/>
      <c r="F70" s="63"/>
      <c r="G70" s="63"/>
      <c r="H70" s="63"/>
      <c r="I70" s="63"/>
      <c r="J70" s="63"/>
      <c r="K70" s="63"/>
      <c r="L70" s="63"/>
      <c r="M70" s="63"/>
      <c r="N70" s="63"/>
      <c r="O70" s="63"/>
      <c r="P70" s="63"/>
    </row>
    <row r="71" spans="2:47" ht="33">
      <c r="B71" s="372" t="s">
        <v>213</v>
      </c>
      <c r="C71" s="1334" t="str">
        <f t="shared" ref="C71:N71" si="19">C13</f>
        <v>FY14</v>
      </c>
      <c r="D71" s="1334" t="str">
        <f t="shared" si="19"/>
        <v>FY15</v>
      </c>
      <c r="E71" s="1334">
        <v>2016</v>
      </c>
      <c r="F71" s="1334">
        <v>2017</v>
      </c>
      <c r="G71" s="1335">
        <v>2018</v>
      </c>
      <c r="H71" s="1335">
        <v>2019</v>
      </c>
      <c r="I71" s="1335">
        <v>2020</v>
      </c>
      <c r="J71" s="1335">
        <v>2021</v>
      </c>
      <c r="K71" s="1335">
        <v>2022</v>
      </c>
      <c r="L71" s="1335">
        <v>2023</v>
      </c>
      <c r="M71" s="1334" t="str">
        <f t="shared" si="19"/>
        <v>FY24E</v>
      </c>
      <c r="N71" s="1334" t="str">
        <f t="shared" si="19"/>
        <v>FY25E</v>
      </c>
      <c r="O71" s="1336" t="s">
        <v>945</v>
      </c>
      <c r="P71" s="1336" t="s">
        <v>946</v>
      </c>
      <c r="S71" s="60"/>
      <c r="T71" s="60"/>
      <c r="U71" s="59"/>
      <c r="V71" s="59"/>
      <c r="W71" s="59"/>
      <c r="X71" s="59"/>
      <c r="Y71" s="59"/>
      <c r="Z71" s="59"/>
      <c r="AR71" s="18"/>
      <c r="AS71" s="18"/>
      <c r="AT71" s="18"/>
      <c r="AU71" s="18"/>
    </row>
    <row r="72" spans="2:47" ht="16.5">
      <c r="B72" s="81" t="s">
        <v>465</v>
      </c>
      <c r="C72" s="66">
        <f>'P&amp;L'!F196</f>
        <v>31791</v>
      </c>
      <c r="D72" s="66">
        <f>'P&amp;L'!G196</f>
        <v>33345</v>
      </c>
      <c r="E72" s="66">
        <f>'P&amp;L'!H196</f>
        <v>32562</v>
      </c>
      <c r="F72" s="66">
        <f>'P&amp;L'!I196</f>
        <v>32278</v>
      </c>
      <c r="G72" s="66">
        <f>'P&amp;L'!J196</f>
        <v>34608.226549138832</v>
      </c>
      <c r="H72" s="66">
        <f>'P&amp;L'!K196</f>
        <v>34903.528721070914</v>
      </c>
      <c r="I72" s="66">
        <f>'P&amp;L'!L196</f>
        <v>35712.701477290568</v>
      </c>
      <c r="J72" s="66">
        <f>'P&amp;L'!M196</f>
        <v>36964.895436166611</v>
      </c>
      <c r="K72" s="66">
        <f>'P&amp;L'!N196</f>
        <v>37353.759981921139</v>
      </c>
      <c r="L72" s="66">
        <f>'P&amp;L'!O196</f>
        <v>35962.968281720292</v>
      </c>
      <c r="M72" s="66">
        <f>'P&amp;L'!P196</f>
        <v>35796.094777698003</v>
      </c>
      <c r="N72" s="66">
        <f>'P&amp;L'!Q196</f>
        <v>35473.622561165685</v>
      </c>
      <c r="O72" s="84">
        <f>((K72/G72)^(1/4))-1</f>
        <v>1.9268833152963571E-2</v>
      </c>
      <c r="P72" s="84">
        <f>((L72/G72)^(1/5))-1</f>
        <v>7.7092312439215327E-3</v>
      </c>
      <c r="Q72" s="22"/>
    </row>
    <row r="73" spans="2:47" ht="16.5">
      <c r="B73" s="79" t="s">
        <v>214</v>
      </c>
      <c r="C73" s="63">
        <f>'P&amp;L'!F198</f>
        <v>262</v>
      </c>
      <c r="D73" s="63">
        <f>'P&amp;L'!G198</f>
        <v>518</v>
      </c>
      <c r="E73" s="63">
        <f>'P&amp;L'!H198</f>
        <v>624</v>
      </c>
      <c r="F73" s="63">
        <f>'P&amp;L'!I198</f>
        <v>668</v>
      </c>
      <c r="G73" s="63">
        <f>'P&amp;L'!J198</f>
        <v>716.22452862087914</v>
      </c>
      <c r="H73" s="63">
        <f>'P&amp;L'!K198</f>
        <v>722.33586918877779</v>
      </c>
      <c r="I73" s="63">
        <f>'P&amp;L'!L198</f>
        <v>739.08186959632246</v>
      </c>
      <c r="J73" s="63">
        <f>'P&amp;L'!M198</f>
        <v>764.99628698678032</v>
      </c>
      <c r="K73" s="63">
        <f>'P&amp;L'!N198</f>
        <v>773.04392056271513</v>
      </c>
      <c r="L73" s="63">
        <f>'P&amp;L'!O198</f>
        <v>744.26119376012002</v>
      </c>
      <c r="M73" s="63">
        <f>'P&amp;L'!P198</f>
        <v>740.80771149086888</v>
      </c>
      <c r="N73" s="63">
        <f>'P&amp;L'!Q198</f>
        <v>734.13408113447781</v>
      </c>
      <c r="O73" s="55" t="s">
        <v>426</v>
      </c>
      <c r="P73" s="55" t="s">
        <v>426</v>
      </c>
    </row>
    <row r="74" spans="2:47" ht="16.5">
      <c r="B74" s="85" t="s">
        <v>215</v>
      </c>
      <c r="C74" s="65">
        <f>'P&amp;L'!F199</f>
        <v>32053</v>
      </c>
      <c r="D74" s="65">
        <f>'P&amp;L'!G199</f>
        <v>33863</v>
      </c>
      <c r="E74" s="65">
        <f>'P&amp;L'!H199</f>
        <v>33186</v>
      </c>
      <c r="F74" s="65">
        <f>'P&amp;L'!I199</f>
        <v>32946</v>
      </c>
      <c r="G74" s="65">
        <f>'P&amp;L'!J199</f>
        <v>35324.45107775971</v>
      </c>
      <c r="H74" s="65">
        <f>'P&amp;L'!K199</f>
        <v>35625.864590259691</v>
      </c>
      <c r="I74" s="65">
        <f>'P&amp;L'!L199</f>
        <v>36451.783346886892</v>
      </c>
      <c r="J74" s="65">
        <f>'P&amp;L'!M199</f>
        <v>37729.891723153392</v>
      </c>
      <c r="K74" s="65">
        <f>'P&amp;L'!N199</f>
        <v>38126.803902483851</v>
      </c>
      <c r="L74" s="65">
        <f>'P&amp;L'!O199</f>
        <v>36707.22947548041</v>
      </c>
      <c r="M74" s="65">
        <f>'P&amp;L'!P199</f>
        <v>36536.902489188869</v>
      </c>
      <c r="N74" s="65">
        <f>'P&amp;L'!Q199</f>
        <v>36207.756642300163</v>
      </c>
      <c r="O74" s="84">
        <f>((K74/G74)^(1/4))-1</f>
        <v>1.9268833152963571E-2</v>
      </c>
      <c r="P74" s="84">
        <f>((L74/G74)^(1/5))-1</f>
        <v>7.7092312439215327E-3</v>
      </c>
      <c r="Q74" s="22"/>
    </row>
    <row r="75" spans="2:47" ht="16.5">
      <c r="B75" s="79" t="s">
        <v>250</v>
      </c>
      <c r="C75" s="65">
        <f>'P&amp;L'!F200</f>
        <v>629</v>
      </c>
      <c r="D75" s="65">
        <f>'P&amp;L'!G200</f>
        <v>764</v>
      </c>
      <c r="E75" s="65">
        <f>'P&amp;L'!H200</f>
        <v>765</v>
      </c>
      <c r="F75" s="65">
        <f>'P&amp;L'!I200</f>
        <v>898</v>
      </c>
      <c r="G75" s="65">
        <f>'P&amp;L'!J200</f>
        <v>962.8287824873496</v>
      </c>
      <c r="H75" s="65">
        <f>'P&amp;L'!K200</f>
        <v>971.04432714299764</v>
      </c>
      <c r="I75" s="65">
        <f>'P&amp;L'!L200</f>
        <v>993.55616601421798</v>
      </c>
      <c r="J75" s="65">
        <f>'P&amp;L'!M200</f>
        <v>1028.3932121468993</v>
      </c>
      <c r="K75" s="65">
        <f>'P&amp;L'!N200</f>
        <v>1039.2117375229316</v>
      </c>
      <c r="L75" s="65">
        <f>'P&amp;L'!O200</f>
        <v>1000.5187904140537</v>
      </c>
      <c r="M75" s="65">
        <f>'P&amp;L'!P200</f>
        <v>995.87623490838371</v>
      </c>
      <c r="N75" s="65">
        <f>'P&amp;L'!Q200</f>
        <v>986.90479769275623</v>
      </c>
      <c r="O75" s="84">
        <f>((K75/G75)^(1/4))-1</f>
        <v>1.9268833152963571E-2</v>
      </c>
      <c r="P75" s="84">
        <f>((L75/G75)^(1/5))-1</f>
        <v>7.7092312439215327E-3</v>
      </c>
    </row>
    <row r="76" spans="2:47" ht="16.5">
      <c r="B76" s="81" t="s">
        <v>222</v>
      </c>
      <c r="C76" s="66">
        <f>'P&amp;L'!F208</f>
        <v>26100</v>
      </c>
      <c r="D76" s="66">
        <f>'P&amp;L'!G208</f>
        <v>27975</v>
      </c>
      <c r="E76" s="66">
        <f>'P&amp;L'!H208</f>
        <v>27109</v>
      </c>
      <c r="F76" s="66">
        <f>'P&amp;L'!I208</f>
        <v>27213</v>
      </c>
      <c r="G76" s="66">
        <f>'P&amp;L'!J208</f>
        <v>29192.593417673597</v>
      </c>
      <c r="H76" s="66">
        <f>'P&amp;L'!K208</f>
        <v>29476.589058304224</v>
      </c>
      <c r="I76" s="66">
        <f>'P&amp;L'!L208</f>
        <v>30267.086515965704</v>
      </c>
      <c r="J76" s="66">
        <f>'P&amp;L'!M208</f>
        <v>31476.200534375468</v>
      </c>
      <c r="K76" s="66">
        <f>'P&amp;L'!N208</f>
        <v>32106.155003423686</v>
      </c>
      <c r="L76" s="66">
        <f>'P&amp;L'!O208</f>
        <v>31234.413975184812</v>
      </c>
      <c r="M76" s="66">
        <f>'P&amp;L'!P208</f>
        <v>31089.481664111612</v>
      </c>
      <c r="N76" s="66">
        <f>'P&amp;L'!Q208</f>
        <v>30809.409378983095</v>
      </c>
      <c r="O76" s="69">
        <f>((K76/G76)^(1/4))-1</f>
        <v>2.4068257742648536E-2</v>
      </c>
      <c r="P76" s="69">
        <f>((L76/G76)^(1/5))-1</f>
        <v>1.3612917770855493E-2</v>
      </c>
    </row>
    <row r="77" spans="2:47" s="22" customFormat="1" ht="16.5">
      <c r="B77" s="85" t="s">
        <v>98</v>
      </c>
      <c r="C77" s="186">
        <f t="shared" ref="C77:M77" si="20">C76/C72</f>
        <v>0.82098707181277719</v>
      </c>
      <c r="D77" s="186">
        <f t="shared" si="20"/>
        <v>0.83895636527215478</v>
      </c>
      <c r="E77" s="186">
        <f t="shared" si="20"/>
        <v>0.83253485658129112</v>
      </c>
      <c r="F77" s="186">
        <f t="shared" si="20"/>
        <v>0.84308197533924034</v>
      </c>
      <c r="G77" s="186">
        <f t="shared" si="20"/>
        <v>0.8435160171014312</v>
      </c>
      <c r="H77" s="186">
        <f t="shared" si="20"/>
        <v>0.84451601710143132</v>
      </c>
      <c r="I77" s="186">
        <f t="shared" si="20"/>
        <v>0.84751601710143132</v>
      </c>
      <c r="J77" s="186">
        <f t="shared" si="20"/>
        <v>0.85151601710143132</v>
      </c>
      <c r="K77" s="186">
        <f t="shared" si="20"/>
        <v>0.85951601710143122</v>
      </c>
      <c r="L77" s="186">
        <f t="shared" si="20"/>
        <v>0.86851601710143134</v>
      </c>
      <c r="M77" s="186">
        <f t="shared" si="20"/>
        <v>0.86851601710143123</v>
      </c>
      <c r="N77" s="186">
        <f>N76/N72</f>
        <v>0.86851601710143134</v>
      </c>
      <c r="O77" s="186" t="s">
        <v>426</v>
      </c>
      <c r="P77" s="84" t="s">
        <v>426</v>
      </c>
      <c r="S77" s="53"/>
      <c r="T77" s="53"/>
      <c r="U77" s="18"/>
      <c r="V77" s="18"/>
      <c r="W77" s="18"/>
      <c r="X77" s="18"/>
      <c r="Y77" s="18"/>
      <c r="Z77" s="18"/>
      <c r="AA77" s="18"/>
      <c r="AB77" s="18"/>
      <c r="AC77" s="18"/>
      <c r="AD77" s="18"/>
      <c r="AE77" s="18"/>
      <c r="AF77" s="18"/>
      <c r="AG77" s="18"/>
      <c r="AH77" s="18"/>
      <c r="AI77" s="18"/>
      <c r="AJ77" s="29"/>
      <c r="AK77" s="29"/>
      <c r="AL77" s="29"/>
      <c r="AM77" s="29"/>
      <c r="AN77" s="29"/>
      <c r="AO77" s="29"/>
      <c r="AP77" s="29"/>
      <c r="AQ77" s="29"/>
      <c r="AR77" s="21"/>
      <c r="AS77" s="21"/>
      <c r="AT77" s="21"/>
      <c r="AU77" s="21"/>
    </row>
    <row r="78" spans="2:47" ht="16.5">
      <c r="B78" s="79" t="s">
        <v>223</v>
      </c>
      <c r="C78" s="63">
        <f>'P&amp;L'!F216</f>
        <v>-8176</v>
      </c>
      <c r="D78" s="63">
        <f>'P&amp;L'!G216</f>
        <v>-8387</v>
      </c>
      <c r="E78" s="63">
        <f>'P&amp;L'!H216</f>
        <v>-8428</v>
      </c>
      <c r="F78" s="63">
        <f>'P&amp;L'!I216</f>
        <v>-8922</v>
      </c>
      <c r="G78" s="63">
        <f>'P&amp;L'!J216</f>
        <v>-9067.3553558743733</v>
      </c>
      <c r="H78" s="63">
        <f>'P&amp;L'!K216</f>
        <v>-9074.9174674784372</v>
      </c>
      <c r="I78" s="63">
        <f>'P&amp;L'!L216</f>
        <v>-8749.6118619361896</v>
      </c>
      <c r="J78" s="63">
        <f>'P&amp;L'!M216</f>
        <v>-9056.3993818608196</v>
      </c>
      <c r="K78" s="63">
        <f>'P&amp;L'!N216</f>
        <v>-8964.9023956610727</v>
      </c>
      <c r="L78" s="63">
        <f>'P&amp;L'!O216</f>
        <v>-8631.1123876128695</v>
      </c>
      <c r="M78" s="63">
        <f>'P&amp;L'!P216</f>
        <v>-8591.0627466475198</v>
      </c>
      <c r="N78" s="63">
        <f>'P&amp;L'!Q216</f>
        <v>-8513.6694146797636</v>
      </c>
      <c r="O78" s="55">
        <f>((K78/G78)^(1/4))-1</f>
        <v>-2.8368236860484286E-3</v>
      </c>
      <c r="P78" s="55">
        <f>((L78/G78)^(1/5))-1</f>
        <v>-9.8129844671406286E-3</v>
      </c>
    </row>
    <row r="79" spans="2:47" s="22" customFormat="1" ht="16.5">
      <c r="B79" s="85" t="s">
        <v>95</v>
      </c>
      <c r="C79" s="187">
        <f t="shared" ref="C79:M79" si="21">-C78/C72</f>
        <v>0.25717970494794123</v>
      </c>
      <c r="D79" s="187">
        <f t="shared" si="21"/>
        <v>0.251521967311441</v>
      </c>
      <c r="E79" s="187">
        <f t="shared" si="21"/>
        <v>0.2588293102389288</v>
      </c>
      <c r="F79" s="187">
        <f t="shared" si="21"/>
        <v>0.27641117789206271</v>
      </c>
      <c r="G79" s="187">
        <f t="shared" si="21"/>
        <v>0.26200000000000001</v>
      </c>
      <c r="H79" s="187">
        <f t="shared" si="21"/>
        <v>0.26</v>
      </c>
      <c r="I79" s="187">
        <f t="shared" si="21"/>
        <v>0.24500000000000002</v>
      </c>
      <c r="J79" s="187">
        <f t="shared" si="21"/>
        <v>0.245</v>
      </c>
      <c r="K79" s="187">
        <f t="shared" si="21"/>
        <v>0.24</v>
      </c>
      <c r="L79" s="187">
        <f t="shared" si="21"/>
        <v>0.24</v>
      </c>
      <c r="M79" s="187">
        <f t="shared" si="21"/>
        <v>0.23999999999999996</v>
      </c>
      <c r="N79" s="187">
        <f>-N78/N72</f>
        <v>0.24</v>
      </c>
      <c r="O79" s="84" t="s">
        <v>426</v>
      </c>
      <c r="P79" s="84" t="s">
        <v>426</v>
      </c>
      <c r="S79" s="53"/>
      <c r="T79" s="53"/>
      <c r="U79" s="18"/>
      <c r="V79" s="18"/>
      <c r="W79" s="18"/>
      <c r="X79" s="18"/>
      <c r="Y79" s="18"/>
      <c r="Z79" s="18"/>
      <c r="AA79" s="18"/>
      <c r="AB79" s="18"/>
      <c r="AC79" s="18"/>
      <c r="AD79" s="18"/>
      <c r="AE79" s="18"/>
      <c r="AF79" s="18"/>
      <c r="AG79" s="18"/>
      <c r="AH79" s="18"/>
      <c r="AI79" s="29"/>
      <c r="AJ79" s="29"/>
      <c r="AK79" s="29"/>
      <c r="AL79" s="29"/>
      <c r="AM79" s="29"/>
      <c r="AN79" s="29"/>
      <c r="AO79" s="29"/>
      <c r="AP79" s="29"/>
      <c r="AQ79" s="29"/>
      <c r="AR79" s="21"/>
      <c r="AS79" s="21"/>
      <c r="AT79" s="21"/>
      <c r="AU79" s="21"/>
    </row>
    <row r="80" spans="2:47" ht="16.5">
      <c r="B80" s="79" t="s">
        <v>226</v>
      </c>
      <c r="C80" s="63">
        <f>'P&amp;L'!F221</f>
        <v>-6997</v>
      </c>
      <c r="D80" s="63">
        <f>'P&amp;L'!G221</f>
        <v>-7502</v>
      </c>
      <c r="E80" s="63">
        <f>'P&amp;L'!H221</f>
        <v>-7112</v>
      </c>
      <c r="F80" s="63">
        <f>'P&amp;L'!I221</f>
        <v>-7034</v>
      </c>
      <c r="G80" s="63">
        <f>'P&amp;L'!J221</f>
        <v>-7440.7687080648484</v>
      </c>
      <c r="H80" s="63">
        <f>'P&amp;L'!K221</f>
        <v>-7504.2586750302462</v>
      </c>
      <c r="I80" s="63">
        <f>'P&amp;L'!L221</f>
        <v>-7678.230817617472</v>
      </c>
      <c r="J80" s="63">
        <f>'P&amp;L'!M221</f>
        <v>-7762.6280415949877</v>
      </c>
      <c r="K80" s="63">
        <f>'P&amp;L'!N221</f>
        <v>-7844.289596203439</v>
      </c>
      <c r="L80" s="63">
        <f>'P&amp;L'!O221</f>
        <v>-7732.0381805698626</v>
      </c>
      <c r="M80" s="63">
        <f>'P&amp;L'!P221</f>
        <v>-7588.7720928719764</v>
      </c>
      <c r="N80" s="63">
        <f>'P&amp;L'!Q221</f>
        <v>-7449.4607378447936</v>
      </c>
      <c r="O80" s="55">
        <f>((K80/G80)^(1/4))-1</f>
        <v>1.3290458998220567E-2</v>
      </c>
      <c r="P80" s="55">
        <f>((L80/G80)^(1/5))-1</f>
        <v>7.7092312439215327E-3</v>
      </c>
    </row>
    <row r="81" spans="2:47" s="22" customFormat="1" ht="16.5">
      <c r="B81" s="85" t="s">
        <v>95</v>
      </c>
      <c r="C81" s="84">
        <f t="shared" ref="C81:M81" si="22">-C80/C72</f>
        <v>0.22009373722122613</v>
      </c>
      <c r="D81" s="84">
        <f t="shared" si="22"/>
        <v>0.22498125656020393</v>
      </c>
      <c r="E81" s="84">
        <f t="shared" si="22"/>
        <v>0.21841410232786684</v>
      </c>
      <c r="F81" s="84">
        <f t="shared" si="22"/>
        <v>0.2179193258566206</v>
      </c>
      <c r="G81" s="84">
        <f t="shared" si="22"/>
        <v>0.215</v>
      </c>
      <c r="H81" s="84">
        <f t="shared" si="22"/>
        <v>0.215</v>
      </c>
      <c r="I81" s="84">
        <f t="shared" si="22"/>
        <v>0.215</v>
      </c>
      <c r="J81" s="84">
        <f t="shared" si="22"/>
        <v>0.21</v>
      </c>
      <c r="K81" s="84">
        <f t="shared" si="22"/>
        <v>0.21</v>
      </c>
      <c r="L81" s="84">
        <f t="shared" si="22"/>
        <v>0.215</v>
      </c>
      <c r="M81" s="84">
        <f t="shared" si="22"/>
        <v>0.21199999999999999</v>
      </c>
      <c r="N81" s="84">
        <f>-N80/N72</f>
        <v>0.21</v>
      </c>
      <c r="O81" s="84" t="s">
        <v>426</v>
      </c>
      <c r="P81" s="84" t="s">
        <v>426</v>
      </c>
      <c r="S81" s="53"/>
      <c r="T81" s="53"/>
      <c r="U81" s="18"/>
      <c r="V81" s="18"/>
      <c r="W81" s="18"/>
      <c r="X81" s="18"/>
      <c r="Y81" s="18"/>
      <c r="Z81" s="18"/>
      <c r="AA81" s="18"/>
      <c r="AB81" s="18"/>
      <c r="AC81" s="18"/>
      <c r="AD81" s="18"/>
      <c r="AE81" s="18"/>
      <c r="AF81" s="18"/>
      <c r="AG81" s="18"/>
      <c r="AH81" s="18"/>
      <c r="AI81" s="29"/>
      <c r="AJ81" s="29"/>
      <c r="AK81" s="29"/>
      <c r="AL81" s="29"/>
      <c r="AM81" s="29"/>
      <c r="AN81" s="29"/>
      <c r="AO81" s="29"/>
      <c r="AP81" s="29"/>
      <c r="AQ81" s="29"/>
      <c r="AR81" s="21"/>
      <c r="AS81" s="21"/>
      <c r="AT81" s="21"/>
      <c r="AU81" s="21"/>
    </row>
    <row r="82" spans="2:47" ht="16.5">
      <c r="B82" s="79" t="s">
        <v>229</v>
      </c>
      <c r="C82" s="63">
        <f>'P&amp;L'!F226</f>
        <v>-1008</v>
      </c>
      <c r="D82" s="63">
        <f>'P&amp;L'!G226</f>
        <v>-1031</v>
      </c>
      <c r="E82" s="63">
        <f>'P&amp;L'!H226</f>
        <v>-978</v>
      </c>
      <c r="F82" s="63">
        <f>'P&amp;L'!I226</f>
        <v>-968</v>
      </c>
      <c r="G82" s="63">
        <f>'P&amp;L'!J226</f>
        <v>-1003.6385699250262</v>
      </c>
      <c r="H82" s="63">
        <f>'P&amp;L'!K226</f>
        <v>-977.29880418998562</v>
      </c>
      <c r="I82" s="63">
        <f>'P&amp;L'!L226</f>
        <v>-928.53023840955473</v>
      </c>
      <c r="J82" s="63">
        <f>'P&amp;L'!M226</f>
        <v>-924.1223859041653</v>
      </c>
      <c r="K82" s="63">
        <f>'P&amp;L'!N226</f>
        <v>-933.84399954802848</v>
      </c>
      <c r="L82" s="63">
        <f>'P&amp;L'!O226</f>
        <v>-899.07420704300739</v>
      </c>
      <c r="M82" s="63">
        <f>'P&amp;L'!P226</f>
        <v>-894.90236944245009</v>
      </c>
      <c r="N82" s="63">
        <f>'P&amp;L'!Q226</f>
        <v>-886.84056402914212</v>
      </c>
      <c r="O82" s="55">
        <f>((K82/G82)^(1/4))-1</f>
        <v>-1.7858081557945882E-2</v>
      </c>
      <c r="P82" s="55">
        <f>((L82/G82)^(1/5))-1</f>
        <v>-2.1764004686498528E-2</v>
      </c>
    </row>
    <row r="83" spans="2:47" s="22" customFormat="1" ht="16.5">
      <c r="B83" s="85" t="s">
        <v>95</v>
      </c>
      <c r="C83" s="84">
        <f t="shared" ref="C83:M83" si="23">-C82/C72</f>
        <v>3.1707086911390014E-2</v>
      </c>
      <c r="D83" s="84">
        <f t="shared" si="23"/>
        <v>3.0919178287599339E-2</v>
      </c>
      <c r="E83" s="84">
        <f t="shared" si="23"/>
        <v>3.0035010134512621E-2</v>
      </c>
      <c r="F83" s="84">
        <f t="shared" si="23"/>
        <v>2.9989466509697006E-2</v>
      </c>
      <c r="G83" s="84">
        <f t="shared" si="23"/>
        <v>2.9000000000000001E-2</v>
      </c>
      <c r="H83" s="84">
        <f t="shared" si="23"/>
        <v>2.8000000000000001E-2</v>
      </c>
      <c r="I83" s="84">
        <f t="shared" si="23"/>
        <v>2.5999999999999999E-2</v>
      </c>
      <c r="J83" s="84">
        <f t="shared" si="23"/>
        <v>2.5000000000000001E-2</v>
      </c>
      <c r="K83" s="84">
        <f t="shared" si="23"/>
        <v>2.5000000000000001E-2</v>
      </c>
      <c r="L83" s="84">
        <f t="shared" si="23"/>
        <v>2.5000000000000001E-2</v>
      </c>
      <c r="M83" s="84">
        <f t="shared" si="23"/>
        <v>2.5000000000000001E-2</v>
      </c>
      <c r="N83" s="84">
        <f>-N82/N72</f>
        <v>2.5000000000000001E-2</v>
      </c>
      <c r="O83" s="84" t="s">
        <v>426</v>
      </c>
      <c r="P83" s="84" t="s">
        <v>426</v>
      </c>
      <c r="S83" s="53"/>
      <c r="T83" s="53"/>
      <c r="U83" s="18"/>
      <c r="V83" s="18"/>
      <c r="W83" s="18"/>
      <c r="X83" s="18"/>
      <c r="Y83" s="18"/>
      <c r="Z83" s="18"/>
      <c r="AA83" s="18"/>
      <c r="AB83" s="18"/>
      <c r="AC83" s="18"/>
      <c r="AD83" s="18"/>
      <c r="AE83" s="18"/>
      <c r="AF83" s="18"/>
      <c r="AG83" s="18"/>
      <c r="AH83" s="18"/>
      <c r="AI83" s="18"/>
      <c r="AJ83" s="29"/>
      <c r="AK83" s="29"/>
      <c r="AL83" s="29"/>
      <c r="AM83" s="29"/>
      <c r="AN83" s="29"/>
      <c r="AO83" s="29"/>
      <c r="AP83" s="29"/>
      <c r="AQ83" s="29"/>
      <c r="AR83" s="21"/>
      <c r="AS83" s="21"/>
      <c r="AT83" s="21"/>
      <c r="AU83" s="21"/>
    </row>
    <row r="84" spans="2:47" ht="16.5">
      <c r="B84" s="79" t="s">
        <v>232</v>
      </c>
      <c r="C84" s="63">
        <f>'P&amp;L'!F231</f>
        <v>-405</v>
      </c>
      <c r="D84" s="63">
        <f>'P&amp;L'!G231</f>
        <v>-193</v>
      </c>
      <c r="E84" s="63">
        <f>'P&amp;L'!H231</f>
        <v>-237</v>
      </c>
      <c r="F84" s="63">
        <f>'P&amp;L'!I231</f>
        <v>-270</v>
      </c>
      <c r="G84" s="63">
        <f>'P&amp;L'!J231</f>
        <v>-270</v>
      </c>
      <c r="H84" s="63">
        <f>'P&amp;L'!K231</f>
        <v>-270</v>
      </c>
      <c r="I84" s="63">
        <f>'P&amp;L'!L231</f>
        <v>-270</v>
      </c>
      <c r="J84" s="63">
        <f>'P&amp;L'!M231</f>
        <v>-270</v>
      </c>
      <c r="K84" s="63">
        <f>'P&amp;L'!N231</f>
        <v>-270</v>
      </c>
      <c r="L84" s="63">
        <f>'P&amp;L'!O231</f>
        <v>-270</v>
      </c>
      <c r="M84" s="63">
        <f>'P&amp;L'!P231</f>
        <v>-270</v>
      </c>
      <c r="N84" s="63">
        <f>'P&amp;L'!Q231</f>
        <v>-270</v>
      </c>
      <c r="O84" s="55">
        <f>((K84/G84)^(1/4))-1</f>
        <v>0</v>
      </c>
      <c r="P84" s="55">
        <f>((L84/G84)^(1/5))-1</f>
        <v>0</v>
      </c>
    </row>
    <row r="85" spans="2:47" ht="16.5">
      <c r="B85" s="80" t="s">
        <v>235</v>
      </c>
      <c r="C85" s="67">
        <f>'P&amp;L'!F240</f>
        <v>9514</v>
      </c>
      <c r="D85" s="67">
        <f>'P&amp;L'!G240</f>
        <v>10862</v>
      </c>
      <c r="E85" s="67">
        <f>'P&amp;L'!H240</f>
        <v>10354</v>
      </c>
      <c r="F85" s="67">
        <f>'P&amp;L'!I240</f>
        <v>10019</v>
      </c>
      <c r="G85" s="67">
        <f>'P&amp;L'!J240</f>
        <v>11410.83078380935</v>
      </c>
      <c r="H85" s="67">
        <f>'P&amp;L'!K240</f>
        <v>11650.114111605551</v>
      </c>
      <c r="I85" s="67">
        <f>'P&amp;L'!L240</f>
        <v>12640.713598002492</v>
      </c>
      <c r="J85" s="67">
        <f>'P&amp;L'!M240</f>
        <v>13463.050725015497</v>
      </c>
      <c r="K85" s="67">
        <f>'P&amp;L'!N240</f>
        <v>14093.119012011148</v>
      </c>
      <c r="L85" s="67">
        <f>'P&amp;L'!O240</f>
        <v>13702.189199959073</v>
      </c>
      <c r="M85" s="67">
        <f>'P&amp;L'!P240</f>
        <v>13744.744455149665</v>
      </c>
      <c r="N85" s="67">
        <f>'P&amp;L'!Q240</f>
        <v>13689.438662429395</v>
      </c>
      <c r="O85" s="72">
        <f>((K85/G85)^(1/4))-1</f>
        <v>5.4198669087164308E-2</v>
      </c>
      <c r="P85" s="72">
        <f>((L85/G85)^(1/5))-1</f>
        <v>3.727650029306373E-2</v>
      </c>
    </row>
    <row r="86" spans="2:47" s="22" customFormat="1" ht="16.5">
      <c r="B86" s="85" t="s">
        <v>121</v>
      </c>
      <c r="C86" s="84">
        <f t="shared" ref="C86:M86" si="24">C85/C72</f>
        <v>0.29926708816960773</v>
      </c>
      <c r="D86" s="84">
        <f t="shared" si="24"/>
        <v>0.32574598890388362</v>
      </c>
      <c r="E86" s="84">
        <f t="shared" si="24"/>
        <v>0.31797801117867452</v>
      </c>
      <c r="F86" s="84">
        <f t="shared" si="24"/>
        <v>0.31039717454613047</v>
      </c>
      <c r="G86" s="84">
        <f t="shared" si="24"/>
        <v>0.3297144038168951</v>
      </c>
      <c r="H86" s="84">
        <f t="shared" si="24"/>
        <v>0.33378040955992205</v>
      </c>
      <c r="I86" s="84">
        <f t="shared" si="24"/>
        <v>0.35395568173526792</v>
      </c>
      <c r="J86" s="84">
        <f t="shared" si="24"/>
        <v>0.36421178975778168</v>
      </c>
      <c r="K86" s="84">
        <f t="shared" si="24"/>
        <v>0.37728782909222747</v>
      </c>
      <c r="L86" s="84">
        <f t="shared" si="24"/>
        <v>0.38100829421590859</v>
      </c>
      <c r="M86" s="84">
        <f t="shared" si="24"/>
        <v>0.38397329486659632</v>
      </c>
      <c r="N86" s="84">
        <f>N85/N72</f>
        <v>0.38590472790945635</v>
      </c>
      <c r="O86" s="84" t="s">
        <v>426</v>
      </c>
      <c r="P86" s="84" t="s">
        <v>426</v>
      </c>
      <c r="S86" s="53"/>
      <c r="T86" s="53"/>
      <c r="U86" s="18"/>
      <c r="V86" s="18"/>
      <c r="W86" s="18"/>
      <c r="X86" s="18"/>
      <c r="Y86" s="18"/>
      <c r="Z86" s="18"/>
      <c r="AA86" s="18"/>
      <c r="AB86" s="18"/>
      <c r="AC86" s="18"/>
      <c r="AD86" s="18"/>
      <c r="AE86" s="18"/>
      <c r="AF86" s="18"/>
      <c r="AG86" s="18"/>
      <c r="AH86" s="18"/>
      <c r="AI86" s="29"/>
      <c r="AJ86" s="29"/>
      <c r="AK86" s="29"/>
      <c r="AL86" s="29"/>
      <c r="AM86" s="29"/>
      <c r="AN86" s="29"/>
      <c r="AO86" s="29"/>
      <c r="AP86" s="29"/>
      <c r="AQ86" s="29"/>
      <c r="AR86" s="21"/>
      <c r="AS86" s="21"/>
      <c r="AT86" s="21"/>
      <c r="AU86" s="21"/>
    </row>
    <row r="87" spans="2:47" ht="16.5">
      <c r="B87" s="85" t="s">
        <v>867</v>
      </c>
      <c r="C87" s="65">
        <f>C88-C85</f>
        <v>-1043</v>
      </c>
      <c r="D87" s="65">
        <f t="shared" ref="D87:N87" si="25">D88-D85</f>
        <v>-3047</v>
      </c>
      <c r="E87" s="65">
        <f t="shared" si="25"/>
        <v>-2928</v>
      </c>
      <c r="F87" s="65">
        <f t="shared" si="25"/>
        <v>-2424</v>
      </c>
      <c r="G87" s="65">
        <f t="shared" si="25"/>
        <v>-2543.0000000000018</v>
      </c>
      <c r="H87" s="65">
        <f t="shared" si="25"/>
        <v>-2243</v>
      </c>
      <c r="I87" s="65">
        <f t="shared" si="25"/>
        <v>-2242.9999999999964</v>
      </c>
      <c r="J87" s="65">
        <f t="shared" si="25"/>
        <v>-2243.0000000000055</v>
      </c>
      <c r="K87" s="65">
        <f t="shared" si="25"/>
        <v>-3282.2117375229336</v>
      </c>
      <c r="L87" s="65">
        <f t="shared" si="25"/>
        <v>-2953.5187904140548</v>
      </c>
      <c r="M87" s="65">
        <f t="shared" si="25"/>
        <v>-2948.8762349083863</v>
      </c>
      <c r="N87" s="65">
        <f t="shared" si="25"/>
        <v>-2939.9047976927541</v>
      </c>
      <c r="O87" s="55" t="s">
        <v>426</v>
      </c>
      <c r="P87" s="55" t="s">
        <v>426</v>
      </c>
    </row>
    <row r="88" spans="2:47" ht="16.5">
      <c r="B88" s="80" t="s">
        <v>248</v>
      </c>
      <c r="C88" s="67">
        <f>'P&amp;L'!F260</f>
        <v>8471</v>
      </c>
      <c r="D88" s="67">
        <f>'P&amp;L'!G260</f>
        <v>7815</v>
      </c>
      <c r="E88" s="67">
        <f>'P&amp;L'!H260</f>
        <v>7426</v>
      </c>
      <c r="F88" s="67">
        <f>'P&amp;L'!I260</f>
        <v>7595</v>
      </c>
      <c r="G88" s="67">
        <f>'P&amp;L'!J260</f>
        <v>8867.8307838093478</v>
      </c>
      <c r="H88" s="67">
        <f>'P&amp;L'!K260</f>
        <v>9407.1141116055514</v>
      </c>
      <c r="I88" s="67">
        <f>'P&amp;L'!L260</f>
        <v>10397.713598002496</v>
      </c>
      <c r="J88" s="67">
        <f>'P&amp;L'!M260</f>
        <v>11220.050725015491</v>
      </c>
      <c r="K88" s="67">
        <f>'P&amp;L'!N260</f>
        <v>10810.907274488214</v>
      </c>
      <c r="L88" s="67">
        <f>'P&amp;L'!O260</f>
        <v>10748.670409545019</v>
      </c>
      <c r="M88" s="67">
        <f>'P&amp;L'!P260</f>
        <v>10795.868220241278</v>
      </c>
      <c r="N88" s="67">
        <f>'P&amp;L'!Q260</f>
        <v>10749.533864736641</v>
      </c>
      <c r="O88" s="72">
        <f>((K88/G88)^(1/4))-1</f>
        <v>5.0778519789190124E-2</v>
      </c>
      <c r="P88" s="72">
        <f>((L88/G88)^(1/5))-1</f>
        <v>3.9219936684434575E-2</v>
      </c>
      <c r="Q88" s="82"/>
    </row>
    <row r="89" spans="2:47" s="22" customFormat="1" ht="16.5">
      <c r="B89" s="85" t="s">
        <v>147</v>
      </c>
      <c r="C89" s="186">
        <f t="shared" ref="C89:N89" si="26">C88/C72</f>
        <v>0.26645906074046116</v>
      </c>
      <c r="D89" s="186">
        <f t="shared" si="26"/>
        <v>0.23436797121007646</v>
      </c>
      <c r="E89" s="186">
        <f t="shared" si="26"/>
        <v>0.22805724464099256</v>
      </c>
      <c r="F89" s="186">
        <f t="shared" si="26"/>
        <v>0.23529958485655864</v>
      </c>
      <c r="G89" s="186">
        <f t="shared" si="26"/>
        <v>0.25623476462217071</v>
      </c>
      <c r="H89" s="186">
        <f t="shared" si="26"/>
        <v>0.26951756616879169</v>
      </c>
      <c r="I89" s="186">
        <f t="shared" si="26"/>
        <v>0.29114889571191699</v>
      </c>
      <c r="J89" s="186">
        <f t="shared" si="26"/>
        <v>0.30353259741775829</v>
      </c>
      <c r="K89" s="186">
        <f t="shared" si="26"/>
        <v>0.28941951974100033</v>
      </c>
      <c r="L89" s="186">
        <f t="shared" si="26"/>
        <v>0.2988816252691936</v>
      </c>
      <c r="M89" s="186">
        <f t="shared" si="26"/>
        <v>0.30159346395985676</v>
      </c>
      <c r="N89" s="186">
        <f t="shared" si="26"/>
        <v>0.30302892934607029</v>
      </c>
      <c r="O89" s="84" t="s">
        <v>426</v>
      </c>
      <c r="P89" s="84" t="s">
        <v>426</v>
      </c>
      <c r="S89" s="53"/>
      <c r="T89" s="53"/>
      <c r="U89" s="18"/>
      <c r="V89" s="18"/>
      <c r="W89" s="18"/>
      <c r="X89" s="18"/>
      <c r="Y89" s="18"/>
      <c r="Z89" s="18"/>
      <c r="AA89" s="18"/>
      <c r="AB89" s="18"/>
      <c r="AC89" s="18"/>
      <c r="AD89" s="18"/>
      <c r="AE89" s="18"/>
      <c r="AF89" s="18"/>
      <c r="AG89" s="18"/>
      <c r="AH89" s="18"/>
      <c r="AI89" s="29"/>
      <c r="AJ89" s="29"/>
      <c r="AK89" s="29"/>
      <c r="AL89" s="29"/>
      <c r="AM89" s="29"/>
      <c r="AN89" s="29"/>
      <c r="AO89" s="29"/>
      <c r="AP89" s="29"/>
      <c r="AQ89" s="29"/>
      <c r="AR89" s="21"/>
      <c r="AS89" s="21"/>
      <c r="AT89" s="21"/>
      <c r="AU89" s="21"/>
    </row>
    <row r="90" spans="2:47" ht="17.25">
      <c r="B90" s="83"/>
      <c r="C90" s="63"/>
      <c r="D90" s="63"/>
      <c r="E90" s="63"/>
      <c r="F90" s="63"/>
      <c r="G90" s="63"/>
      <c r="H90" s="63"/>
      <c r="I90" s="63"/>
      <c r="J90" s="63"/>
      <c r="K90" s="63"/>
      <c r="L90" s="63"/>
      <c r="M90" s="63"/>
      <c r="N90" s="63"/>
      <c r="O90" s="55"/>
      <c r="P90" s="55"/>
    </row>
    <row r="91" spans="2:47" ht="33">
      <c r="B91" s="372" t="s">
        <v>249</v>
      </c>
      <c r="C91" s="1334" t="str">
        <f t="shared" ref="C91:N91" si="27">C71</f>
        <v>FY14</v>
      </c>
      <c r="D91" s="1334" t="str">
        <f t="shared" si="27"/>
        <v>FY15</v>
      </c>
      <c r="E91" s="1334">
        <v>2016</v>
      </c>
      <c r="F91" s="1334">
        <v>2017</v>
      </c>
      <c r="G91" s="1335">
        <v>2018</v>
      </c>
      <c r="H91" s="1335">
        <v>2019</v>
      </c>
      <c r="I91" s="1335">
        <v>2020</v>
      </c>
      <c r="J91" s="1335">
        <v>2021</v>
      </c>
      <c r="K91" s="1335">
        <v>2022</v>
      </c>
      <c r="L91" s="1335">
        <v>2023</v>
      </c>
      <c r="M91" s="1334" t="str">
        <f t="shared" si="27"/>
        <v>FY24E</v>
      </c>
      <c r="N91" s="1334" t="str">
        <f t="shared" si="27"/>
        <v>FY25E</v>
      </c>
      <c r="O91" s="1336" t="s">
        <v>945</v>
      </c>
      <c r="P91" s="1336" t="s">
        <v>946</v>
      </c>
      <c r="S91" s="60"/>
      <c r="T91" s="60"/>
      <c r="U91" s="59"/>
      <c r="V91" s="59"/>
      <c r="W91" s="59"/>
      <c r="X91" s="59"/>
      <c r="Y91" s="59"/>
      <c r="Z91" s="59"/>
      <c r="AR91" s="18"/>
      <c r="AS91" s="18"/>
      <c r="AT91" s="18"/>
      <c r="AU91" s="18"/>
    </row>
    <row r="92" spans="2:47" ht="16.5">
      <c r="B92" s="81" t="s">
        <v>464</v>
      </c>
      <c r="C92" s="66">
        <f>'P&amp;L'!F267</f>
        <v>10827</v>
      </c>
      <c r="D92" s="66">
        <f>'P&amp;L'!G267</f>
        <v>5999</v>
      </c>
      <c r="E92" s="66">
        <f>'P&amp;L'!H267</f>
        <v>5812</v>
      </c>
      <c r="F92" s="66">
        <f>'P&amp;L'!I267</f>
        <v>6771</v>
      </c>
      <c r="G92" s="66">
        <f>'P&amp;L'!J267</f>
        <v>7265.9763227608937</v>
      </c>
      <c r="H92" s="66">
        <f>'P&amp;L'!K267</f>
        <v>7502.308976512948</v>
      </c>
      <c r="I92" s="66">
        <f>'P&amp;L'!L267</f>
        <v>7785.9140338280413</v>
      </c>
      <c r="J92" s="66">
        <f>'P&amp;L'!M267</f>
        <v>8085.7194284217767</v>
      </c>
      <c r="K92" s="66">
        <f>'P&amp;L'!N267</f>
        <v>8402.5573380253536</v>
      </c>
      <c r="L92" s="66">
        <f>'P&amp;L'!O267</f>
        <v>8737.3077201111009</v>
      </c>
      <c r="M92" s="66">
        <f>'P&amp;L'!P267</f>
        <v>9090.9011495708382</v>
      </c>
      <c r="N92" s="66">
        <f>'P&amp;L'!Q267</f>
        <v>9464.3218351930518</v>
      </c>
      <c r="O92" s="84">
        <f>((K92/G92)^(1/4))-1</f>
        <v>3.7001480932892461E-2</v>
      </c>
      <c r="P92" s="84">
        <f>((L92/G92)^(1/5))-1</f>
        <v>3.7568386008305144E-2</v>
      </c>
      <c r="Q92" s="82"/>
    </row>
    <row r="93" spans="2:47" ht="16.5">
      <c r="B93" s="79" t="s">
        <v>214</v>
      </c>
      <c r="C93" s="63">
        <f>'P&amp;L'!F269</f>
        <v>49</v>
      </c>
      <c r="D93" s="63">
        <f>'P&amp;L'!G269</f>
        <v>0</v>
      </c>
      <c r="E93" s="63">
        <f>'P&amp;L'!H269</f>
        <v>0</v>
      </c>
      <c r="F93" s="63">
        <f>'P&amp;L'!I269</f>
        <v>3</v>
      </c>
      <c r="G93" s="63">
        <f>'P&amp;L'!J269</f>
        <v>0</v>
      </c>
      <c r="H93" s="63">
        <f>'P&amp;L'!K269</f>
        <v>0</v>
      </c>
      <c r="I93" s="63">
        <f>'P&amp;L'!L269</f>
        <v>0</v>
      </c>
      <c r="J93" s="63">
        <f>'P&amp;L'!M269</f>
        <v>0</v>
      </c>
      <c r="K93" s="63">
        <f>'P&amp;L'!N269</f>
        <v>0</v>
      </c>
      <c r="L93" s="63">
        <f>'P&amp;L'!O269</f>
        <v>0</v>
      </c>
      <c r="M93" s="63">
        <f>'P&amp;L'!P269</f>
        <v>0</v>
      </c>
      <c r="N93" s="63">
        <f>'P&amp;L'!Q269</f>
        <v>0</v>
      </c>
      <c r="O93" s="55" t="s">
        <v>426</v>
      </c>
      <c r="P93" s="55" t="s">
        <v>426</v>
      </c>
    </row>
    <row r="94" spans="2:47" ht="16.5">
      <c r="B94" s="79" t="s">
        <v>215</v>
      </c>
      <c r="C94" s="63">
        <f>'P&amp;L'!F270</f>
        <v>10876</v>
      </c>
      <c r="D94" s="63">
        <f>'P&amp;L'!G270</f>
        <v>5999</v>
      </c>
      <c r="E94" s="63">
        <f>'P&amp;L'!H270</f>
        <v>5812</v>
      </c>
      <c r="F94" s="63">
        <f>'P&amp;L'!I270</f>
        <v>6774</v>
      </c>
      <c r="G94" s="63">
        <f>'P&amp;L'!J270</f>
        <v>7265.9763227608937</v>
      </c>
      <c r="H94" s="63">
        <f>'P&amp;L'!K270</f>
        <v>7502.308976512948</v>
      </c>
      <c r="I94" s="63">
        <f>'P&amp;L'!L270</f>
        <v>7785.9140338280413</v>
      </c>
      <c r="J94" s="63">
        <f>'P&amp;L'!M270</f>
        <v>8085.7194284217767</v>
      </c>
      <c r="K94" s="63">
        <f>'P&amp;L'!N270</f>
        <v>8402.5573380253536</v>
      </c>
      <c r="L94" s="63">
        <f>'P&amp;L'!O270</f>
        <v>8737.3077201111009</v>
      </c>
      <c r="M94" s="63">
        <f>'P&amp;L'!P270</f>
        <v>9090.9011495708382</v>
      </c>
      <c r="N94" s="63">
        <f>'P&amp;L'!Q270</f>
        <v>9464.3218351930518</v>
      </c>
      <c r="O94" s="84">
        <f>((K94/G94)^(1/4))-1</f>
        <v>3.7001480932892461E-2</v>
      </c>
      <c r="P94" s="84">
        <f>((L94/G94)^(1/5))-1</f>
        <v>3.7568386008305144E-2</v>
      </c>
    </row>
    <row r="95" spans="2:47" ht="16.5">
      <c r="B95" s="79" t="s">
        <v>250</v>
      </c>
      <c r="C95" s="63">
        <f>'P&amp;L'!F271</f>
        <v>34</v>
      </c>
      <c r="D95" s="63">
        <f>'P&amp;L'!G271</f>
        <v>23</v>
      </c>
      <c r="E95" s="63">
        <f>'P&amp;L'!H271</f>
        <v>4</v>
      </c>
      <c r="F95" s="63">
        <f>'P&amp;L'!I271</f>
        <v>3</v>
      </c>
      <c r="G95" s="63">
        <f>'P&amp;L'!J271</f>
        <v>3.2193071877540511</v>
      </c>
      <c r="H95" s="63">
        <f>'P&amp;L'!K271</f>
        <v>3.3240181553003758</v>
      </c>
      <c r="I95" s="63">
        <f>'P&amp;L'!L271</f>
        <v>3.4496739183996636</v>
      </c>
      <c r="J95" s="63">
        <f>'P&amp;L'!M271</f>
        <v>3.5825075004084077</v>
      </c>
      <c r="K95" s="63">
        <f>'P&amp;L'!N271</f>
        <v>3.7228876109992703</v>
      </c>
      <c r="L95" s="63">
        <f>'P&amp;L'!O271</f>
        <v>3.8712041294245019</v>
      </c>
      <c r="M95" s="63">
        <f>'P&amp;L'!P271</f>
        <v>4.0278693617947887</v>
      </c>
      <c r="N95" s="63">
        <f>'P&amp;L'!Q271</f>
        <v>4.1933193775777813</v>
      </c>
      <c r="O95" s="84"/>
      <c r="P95" s="84"/>
    </row>
    <row r="96" spans="2:47" ht="16.5">
      <c r="B96" s="81" t="s">
        <v>222</v>
      </c>
      <c r="C96" s="66">
        <f>'P&amp;L'!F276</f>
        <v>7799</v>
      </c>
      <c r="D96" s="66">
        <f>'P&amp;L'!G276</f>
        <v>3764</v>
      </c>
      <c r="E96" s="66">
        <f>'P&amp;L'!H276</f>
        <v>3600</v>
      </c>
      <c r="F96" s="66">
        <f>'P&amp;L'!I276</f>
        <v>4204</v>
      </c>
      <c r="G96" s="66">
        <f>'P&amp;L'!J276</f>
        <v>4544.4545089133117</v>
      </c>
      <c r="H96" s="66">
        <f>'P&amp;L'!K276</f>
        <v>4729.778673358458</v>
      </c>
      <c r="I96" s="66">
        <f>'P&amp;L'!L276</f>
        <v>4955.2909994330339</v>
      </c>
      <c r="J96" s="66">
        <f>'P&amp;L'!M276</f>
        <v>5178.4429416903458</v>
      </c>
      <c r="K96" s="66">
        <f>'P&amp;L'!N276</f>
        <v>5431.7749279753771</v>
      </c>
      <c r="L96" s="66">
        <f>'P&amp;L'!O276</f>
        <v>5683.1212222016402</v>
      </c>
      <c r="M96" s="66">
        <f>'P&amp;L'!P276</f>
        <v>6004.0226280785482</v>
      </c>
      <c r="N96" s="66">
        <f>'P&amp;L'!Q276</f>
        <v>6345.2889489569225</v>
      </c>
      <c r="O96" s="69">
        <f>((K96/G96)^(1/4))-1</f>
        <v>4.5598620131504397E-2</v>
      </c>
      <c r="P96" s="69">
        <f>((L96/G96)^(1/5))-1</f>
        <v>4.5733526570542526E-2</v>
      </c>
    </row>
    <row r="97" spans="2:47" s="22" customFormat="1" ht="16.5">
      <c r="B97" s="85" t="s">
        <v>252</v>
      </c>
      <c r="C97" s="84">
        <f t="shared" ref="C97:M97" si="28">C96/C92</f>
        <v>0.72032880761060314</v>
      </c>
      <c r="D97" s="84">
        <f t="shared" si="28"/>
        <v>0.62743790631771967</v>
      </c>
      <c r="E97" s="84">
        <f t="shared" si="28"/>
        <v>0.61940812112869925</v>
      </c>
      <c r="F97" s="84">
        <f t="shared" si="28"/>
        <v>0.62088317826022743</v>
      </c>
      <c r="G97" s="84">
        <f t="shared" si="28"/>
        <v>0.62544306601683641</v>
      </c>
      <c r="H97" s="84">
        <f t="shared" si="28"/>
        <v>0.63044306601683653</v>
      </c>
      <c r="I97" s="84">
        <f t="shared" si="28"/>
        <v>0.63644306601683653</v>
      </c>
      <c r="J97" s="84">
        <f t="shared" si="28"/>
        <v>0.64044306601683654</v>
      </c>
      <c r="K97" s="84">
        <f t="shared" si="28"/>
        <v>0.64644306601683643</v>
      </c>
      <c r="L97" s="84">
        <f t="shared" si="28"/>
        <v>0.65044306601683655</v>
      </c>
      <c r="M97" s="84">
        <f t="shared" si="28"/>
        <v>0.66044306601683656</v>
      </c>
      <c r="N97" s="84">
        <f>N96/N92</f>
        <v>0.67044306601683645</v>
      </c>
      <c r="O97" s="186" t="s">
        <v>426</v>
      </c>
      <c r="P97" s="84" t="s">
        <v>426</v>
      </c>
      <c r="S97" s="53"/>
      <c r="T97" s="53"/>
      <c r="U97" s="18"/>
      <c r="V97" s="18"/>
      <c r="W97" s="18"/>
      <c r="X97" s="18"/>
      <c r="Y97" s="18"/>
      <c r="Z97" s="18"/>
      <c r="AA97" s="18"/>
      <c r="AB97" s="18"/>
      <c r="AC97" s="18"/>
      <c r="AD97" s="18"/>
      <c r="AE97" s="18"/>
      <c r="AF97" s="18"/>
      <c r="AG97" s="18"/>
      <c r="AH97" s="18"/>
      <c r="AI97" s="29"/>
      <c r="AJ97" s="29"/>
      <c r="AK97" s="29"/>
      <c r="AL97" s="29"/>
      <c r="AM97" s="29"/>
      <c r="AN97" s="29"/>
      <c r="AO97" s="29"/>
      <c r="AP97" s="29"/>
      <c r="AQ97" s="29"/>
      <c r="AR97" s="21"/>
      <c r="AS97" s="21"/>
      <c r="AT97" s="21"/>
      <c r="AU97" s="21"/>
    </row>
    <row r="98" spans="2:47" ht="16.5">
      <c r="B98" s="79" t="s">
        <v>223</v>
      </c>
      <c r="C98" s="63">
        <f>'P&amp;L'!F284</f>
        <v>-2454</v>
      </c>
      <c r="D98" s="63">
        <f>'P&amp;L'!G284</f>
        <v>-1663</v>
      </c>
      <c r="E98" s="63">
        <f>'P&amp;L'!H284</f>
        <v>-1882</v>
      </c>
      <c r="F98" s="63">
        <f>'P&amp;L'!I284</f>
        <v>-2118.2815699658699</v>
      </c>
      <c r="G98" s="63">
        <f>'P&amp;L'!J284</f>
        <v>-2361.4423048972903</v>
      </c>
      <c r="H98" s="63">
        <f>'P&amp;L'!K284</f>
        <v>-2400.7388724841435</v>
      </c>
      <c r="I98" s="63">
        <f>'P&amp;L'!L284</f>
        <v>-2491.4924908249732</v>
      </c>
      <c r="J98" s="63">
        <f>'P&amp;L'!M284</f>
        <v>-2547.0016199528595</v>
      </c>
      <c r="K98" s="63">
        <f>'P&amp;L'!N284</f>
        <v>-2520.7672014076061</v>
      </c>
      <c r="L98" s="63">
        <f>'P&amp;L'!O284</f>
        <v>-2621.1923160333304</v>
      </c>
      <c r="M98" s="63">
        <f>'P&amp;L'!P284</f>
        <v>-2727.2703448712514</v>
      </c>
      <c r="N98" s="63">
        <f>'P&amp;L'!Q284</f>
        <v>-2839.2965505579155</v>
      </c>
      <c r="O98" s="55">
        <f>((K98/G98)^(1/4))-1</f>
        <v>1.6456623145218785E-2</v>
      </c>
      <c r="P98" s="55">
        <f>((L98/G98)^(1/5))-1</f>
        <v>2.1090673377766711E-2</v>
      </c>
    </row>
    <row r="99" spans="2:47" s="22" customFormat="1" ht="16.5">
      <c r="B99" s="85" t="s">
        <v>95</v>
      </c>
      <c r="C99" s="84">
        <f t="shared" ref="C99:M99" si="29">-C98/C92</f>
        <v>0.22665558326406207</v>
      </c>
      <c r="D99" s="84">
        <f t="shared" si="29"/>
        <v>0.27721286881146856</v>
      </c>
      <c r="E99" s="84">
        <f t="shared" si="29"/>
        <v>0.32381280110117</v>
      </c>
      <c r="F99" s="84">
        <f t="shared" si="29"/>
        <v>0.312846192580988</v>
      </c>
      <c r="G99" s="84">
        <f t="shared" si="29"/>
        <v>0.32500000000000001</v>
      </c>
      <c r="H99" s="84">
        <f t="shared" si="29"/>
        <v>0.32</v>
      </c>
      <c r="I99" s="84">
        <f t="shared" si="29"/>
        <v>0.32</v>
      </c>
      <c r="J99" s="84">
        <f t="shared" si="29"/>
        <v>0.315</v>
      </c>
      <c r="K99" s="84">
        <f t="shared" si="29"/>
        <v>0.3</v>
      </c>
      <c r="L99" s="84">
        <f t="shared" si="29"/>
        <v>0.3</v>
      </c>
      <c r="M99" s="84">
        <f t="shared" si="29"/>
        <v>0.3</v>
      </c>
      <c r="N99" s="84">
        <f>-N98/N92</f>
        <v>0.3</v>
      </c>
      <c r="O99" s="84" t="s">
        <v>426</v>
      </c>
      <c r="P99" s="84" t="s">
        <v>426</v>
      </c>
      <c r="S99" s="53"/>
      <c r="T99" s="53"/>
      <c r="U99" s="18"/>
      <c r="V99" s="18"/>
      <c r="W99" s="18"/>
      <c r="X99" s="18"/>
      <c r="Y99" s="18"/>
      <c r="Z99" s="18"/>
      <c r="AA99" s="18"/>
      <c r="AB99" s="18"/>
      <c r="AC99" s="18"/>
      <c r="AD99" s="18"/>
      <c r="AE99" s="18"/>
      <c r="AF99" s="18"/>
      <c r="AG99" s="18"/>
      <c r="AH99" s="18"/>
      <c r="AI99" s="29"/>
      <c r="AJ99" s="29"/>
      <c r="AK99" s="29"/>
      <c r="AL99" s="29"/>
      <c r="AM99" s="29"/>
      <c r="AN99" s="29"/>
      <c r="AO99" s="29"/>
      <c r="AP99" s="29"/>
      <c r="AQ99" s="29"/>
      <c r="AR99" s="21"/>
      <c r="AS99" s="21"/>
      <c r="AT99" s="21"/>
      <c r="AU99" s="21"/>
    </row>
    <row r="100" spans="2:47" ht="16.5">
      <c r="B100" s="79" t="s">
        <v>226</v>
      </c>
      <c r="C100" s="63">
        <f>'P&amp;L'!F289</f>
        <v>-903</v>
      </c>
      <c r="D100" s="63">
        <f>'P&amp;L'!G289</f>
        <v>-455</v>
      </c>
      <c r="E100" s="63">
        <f>'P&amp;L'!H289</f>
        <v>-486</v>
      </c>
      <c r="F100" s="63">
        <f>'P&amp;L'!I289</f>
        <v>-505</v>
      </c>
      <c r="G100" s="63">
        <f>'P&amp;L'!J289</f>
        <v>-617.60798743467603</v>
      </c>
      <c r="H100" s="63">
        <f>'P&amp;L'!K289</f>
        <v>-645.19857198011346</v>
      </c>
      <c r="I100" s="63">
        <f>'P&amp;L'!L289</f>
        <v>-700.73226304452373</v>
      </c>
      <c r="J100" s="63">
        <f>'P&amp;L'!M289</f>
        <v>-727.71474855795987</v>
      </c>
      <c r="K100" s="63">
        <f>'P&amp;L'!N289</f>
        <v>-756.23016042228176</v>
      </c>
      <c r="L100" s="63">
        <f>'P&amp;L'!O289</f>
        <v>-786.35769480999909</v>
      </c>
      <c r="M100" s="63">
        <f>'P&amp;L'!P289</f>
        <v>-818.18110346137541</v>
      </c>
      <c r="N100" s="63">
        <f>'P&amp;L'!Q289</f>
        <v>-851.78896516737461</v>
      </c>
      <c r="O100" s="55">
        <f>((K100/G100)^(1/4))-1</f>
        <v>5.192620109011381E-2</v>
      </c>
      <c r="P100" s="55">
        <f>((L100/G100)^(1/5))-1</f>
        <v>4.9497594196944883E-2</v>
      </c>
    </row>
    <row r="101" spans="2:47" s="22" customFormat="1" ht="16.5">
      <c r="B101" s="85" t="s">
        <v>95</v>
      </c>
      <c r="C101" s="84">
        <f t="shared" ref="C101:M101" si="30">-C100/C92</f>
        <v>8.3402604599612087E-2</v>
      </c>
      <c r="D101" s="84">
        <f t="shared" si="30"/>
        <v>7.5845974329054849E-2</v>
      </c>
      <c r="E101" s="84">
        <f t="shared" si="30"/>
        <v>8.3620096352374398E-2</v>
      </c>
      <c r="F101" s="84">
        <f t="shared" si="30"/>
        <v>7.4582779500812282E-2</v>
      </c>
      <c r="G101" s="84">
        <f t="shared" si="30"/>
        <v>8.5000000000000006E-2</v>
      </c>
      <c r="H101" s="84">
        <f t="shared" si="30"/>
        <v>8.5999999999999993E-2</v>
      </c>
      <c r="I101" s="84">
        <f t="shared" si="30"/>
        <v>0.09</v>
      </c>
      <c r="J101" s="84">
        <f t="shared" si="30"/>
        <v>0.09</v>
      </c>
      <c r="K101" s="84">
        <f t="shared" si="30"/>
        <v>0.09</v>
      </c>
      <c r="L101" s="84">
        <f t="shared" si="30"/>
        <v>0.09</v>
      </c>
      <c r="M101" s="84">
        <f t="shared" si="30"/>
        <v>0.09</v>
      </c>
      <c r="N101" s="84">
        <f>-N100/N92</f>
        <v>0.09</v>
      </c>
      <c r="O101" s="84" t="s">
        <v>426</v>
      </c>
      <c r="P101" s="84" t="s">
        <v>426</v>
      </c>
      <c r="S101" s="53"/>
      <c r="T101" s="53"/>
      <c r="U101" s="18"/>
      <c r="V101" s="18"/>
      <c r="W101" s="18"/>
      <c r="X101" s="18"/>
      <c r="Y101" s="18"/>
      <c r="Z101" s="18"/>
      <c r="AA101" s="18"/>
      <c r="AB101" s="18"/>
      <c r="AC101" s="18"/>
      <c r="AD101" s="18"/>
      <c r="AE101" s="18"/>
      <c r="AF101" s="18"/>
      <c r="AG101" s="18"/>
      <c r="AH101" s="18"/>
      <c r="AI101" s="29"/>
      <c r="AJ101" s="29"/>
      <c r="AK101" s="29"/>
      <c r="AL101" s="29"/>
      <c r="AM101" s="29"/>
      <c r="AN101" s="29"/>
      <c r="AO101" s="29"/>
      <c r="AP101" s="29"/>
      <c r="AQ101" s="29"/>
      <c r="AR101" s="21"/>
      <c r="AS101" s="21"/>
      <c r="AT101" s="21"/>
      <c r="AU101" s="21"/>
    </row>
    <row r="102" spans="2:47" ht="16.5">
      <c r="B102" s="79" t="s">
        <v>229</v>
      </c>
      <c r="C102" s="63">
        <f>'P&amp;L'!F294</f>
        <v>-568</v>
      </c>
      <c r="D102" s="63">
        <f>'P&amp;L'!G294</f>
        <v>-418</v>
      </c>
      <c r="E102" s="63">
        <f>'P&amp;L'!H294</f>
        <v>-410</v>
      </c>
      <c r="F102" s="63">
        <f>'P&amp;L'!I294</f>
        <v>-413.71843003412999</v>
      </c>
      <c r="G102" s="63">
        <f>'P&amp;L'!J294</f>
        <v>-457.75650833393632</v>
      </c>
      <c r="H102" s="63">
        <f>'P&amp;L'!K294</f>
        <v>-450.13853859077688</v>
      </c>
      <c r="I102" s="63">
        <f>'P&amp;L'!L294</f>
        <v>-428.22527186054225</v>
      </c>
      <c r="J102" s="63">
        <f>'P&amp;L'!M294</f>
        <v>-444.7145685631977</v>
      </c>
      <c r="K102" s="63">
        <f>'P&amp;L'!N294</f>
        <v>-462.14065359139443</v>
      </c>
      <c r="L102" s="63">
        <f>'P&amp;L'!O294</f>
        <v>-480.55192460611056</v>
      </c>
      <c r="M102" s="63">
        <f>'P&amp;L'!P294</f>
        <v>-499.99956322639611</v>
      </c>
      <c r="N102" s="63">
        <f>'P&amp;L'!Q294</f>
        <v>-520.53770093561786</v>
      </c>
      <c r="O102" s="55">
        <f>((K102/G102)^(1/4))-1</f>
        <v>2.3858135845868933E-3</v>
      </c>
      <c r="P102" s="55">
        <f>((L102/G102)^(1/5))-1</f>
        <v>9.7669654391170369E-3</v>
      </c>
    </row>
    <row r="103" spans="2:47" s="22" customFormat="1" ht="16.5">
      <c r="B103" s="85" t="s">
        <v>95</v>
      </c>
      <c r="C103" s="84">
        <f t="shared" ref="C103:M103" si="31">-C102/C92</f>
        <v>5.2461438995104831E-2</v>
      </c>
      <c r="D103" s="84">
        <f t="shared" si="31"/>
        <v>6.9678279713285551E-2</v>
      </c>
      <c r="E103" s="84">
        <f t="shared" si="31"/>
        <v>7.0543702684101858E-2</v>
      </c>
      <c r="F103" s="84">
        <f t="shared" si="31"/>
        <v>6.1101525629025252E-2</v>
      </c>
      <c r="G103" s="84">
        <f t="shared" si="31"/>
        <v>6.3E-2</v>
      </c>
      <c r="H103" s="84">
        <f t="shared" si="31"/>
        <v>0.06</v>
      </c>
      <c r="I103" s="84">
        <f t="shared" si="31"/>
        <v>5.5E-2</v>
      </c>
      <c r="J103" s="84">
        <f t="shared" si="31"/>
        <v>5.5E-2</v>
      </c>
      <c r="K103" s="84">
        <f t="shared" si="31"/>
        <v>5.5E-2</v>
      </c>
      <c r="L103" s="84">
        <f t="shared" si="31"/>
        <v>5.5E-2</v>
      </c>
      <c r="M103" s="84">
        <f t="shared" si="31"/>
        <v>5.5E-2</v>
      </c>
      <c r="N103" s="84">
        <f>-N102/N92</f>
        <v>5.5E-2</v>
      </c>
      <c r="O103" s="84" t="s">
        <v>426</v>
      </c>
      <c r="P103" s="84" t="s">
        <v>426</v>
      </c>
      <c r="S103" s="53"/>
      <c r="T103" s="53"/>
      <c r="U103" s="18"/>
      <c r="V103" s="18"/>
      <c r="W103" s="18"/>
      <c r="X103" s="18"/>
      <c r="Y103" s="18"/>
      <c r="Z103" s="18"/>
      <c r="AA103" s="18"/>
      <c r="AB103" s="18"/>
      <c r="AC103" s="18"/>
      <c r="AD103" s="18"/>
      <c r="AE103" s="18"/>
      <c r="AF103" s="18"/>
      <c r="AG103" s="18"/>
      <c r="AH103" s="18"/>
      <c r="AI103" s="29"/>
      <c r="AJ103" s="29"/>
      <c r="AK103" s="29"/>
      <c r="AL103" s="29"/>
      <c r="AM103" s="29"/>
      <c r="AN103" s="29"/>
      <c r="AO103" s="29"/>
      <c r="AP103" s="29"/>
      <c r="AQ103" s="29"/>
      <c r="AR103" s="21"/>
      <c r="AS103" s="21"/>
      <c r="AT103" s="21"/>
      <c r="AU103" s="21"/>
    </row>
    <row r="104" spans="2:47" ht="16.5">
      <c r="B104" s="79" t="s">
        <v>232</v>
      </c>
      <c r="C104" s="63">
        <f>'P&amp;L'!F299</f>
        <v>-63</v>
      </c>
      <c r="D104" s="63">
        <f>'P&amp;L'!G299</f>
        <v>7</v>
      </c>
      <c r="E104" s="63">
        <f>'P&amp;L'!H299</f>
        <v>28</v>
      </c>
      <c r="F104" s="63">
        <f>'P&amp;L'!I299</f>
        <v>1</v>
      </c>
      <c r="G104" s="63">
        <f>'P&amp;L'!J299</f>
        <v>1</v>
      </c>
      <c r="H104" s="63">
        <f>'P&amp;L'!K299</f>
        <v>1</v>
      </c>
      <c r="I104" s="63">
        <f>'P&amp;L'!L299</f>
        <v>1</v>
      </c>
      <c r="J104" s="63">
        <f>'P&amp;L'!M299</f>
        <v>1</v>
      </c>
      <c r="K104" s="63">
        <f>'P&amp;L'!N299</f>
        <v>1</v>
      </c>
      <c r="L104" s="63">
        <f>'P&amp;L'!O299</f>
        <v>1</v>
      </c>
      <c r="M104" s="63">
        <f>'P&amp;L'!P299</f>
        <v>1</v>
      </c>
      <c r="N104" s="63">
        <f>'P&amp;L'!Q299</f>
        <v>1</v>
      </c>
      <c r="O104" s="55">
        <f>((K104/G104)^(1/4))-1</f>
        <v>0</v>
      </c>
      <c r="P104" s="55">
        <f>((L104/G104)^(1/5))-1</f>
        <v>0</v>
      </c>
    </row>
    <row r="105" spans="2:47" ht="16.5">
      <c r="B105" s="80" t="s">
        <v>235</v>
      </c>
      <c r="C105" s="67">
        <f>'P&amp;L'!F308</f>
        <v>3811</v>
      </c>
      <c r="D105" s="67">
        <f>'P&amp;L'!G308</f>
        <v>1235</v>
      </c>
      <c r="E105" s="67">
        <f>'P&amp;L'!H308</f>
        <v>850</v>
      </c>
      <c r="F105" s="67">
        <f>'P&amp;L'!I308</f>
        <v>1168</v>
      </c>
      <c r="G105" s="67">
        <f>'P&amp;L'!J308</f>
        <v>1108.6477082474089</v>
      </c>
      <c r="H105" s="67">
        <f>'P&amp;L'!K308</f>
        <v>1234.7026903034243</v>
      </c>
      <c r="I105" s="67">
        <f>'P&amp;L'!L308</f>
        <v>1335.8409737029942</v>
      </c>
      <c r="J105" s="67">
        <f>'P&amp;L'!M308</f>
        <v>1460.0120046163288</v>
      </c>
      <c r="K105" s="67">
        <f>'P&amp;L'!N308</f>
        <v>1693.6369125540946</v>
      </c>
      <c r="L105" s="67">
        <f>'P&amp;L'!O308</f>
        <v>1796.0192867522005</v>
      </c>
      <c r="M105" s="67">
        <f>'P&amp;L'!P308</f>
        <v>1959.5716165195254</v>
      </c>
      <c r="N105" s="67">
        <f>'P&amp;L'!Q308</f>
        <v>2134.6657322960141</v>
      </c>
      <c r="O105" s="72">
        <f>((K105/G105)^(1/4))-1</f>
        <v>0.11174884448316091</v>
      </c>
      <c r="P105" s="72">
        <f>((L105/G105)^(1/5))-1</f>
        <v>0.10129454105578328</v>
      </c>
      <c r="Q105" s="207"/>
    </row>
    <row r="106" spans="2:47" s="22" customFormat="1" ht="16.5">
      <c r="B106" s="85" t="s">
        <v>121</v>
      </c>
      <c r="C106" s="84">
        <f t="shared" ref="C106:M106" si="32">C105/C92</f>
        <v>0.35199039438440932</v>
      </c>
      <c r="D106" s="84">
        <f t="shared" si="32"/>
        <v>0.20586764460743456</v>
      </c>
      <c r="E106" s="84">
        <f t="shared" si="32"/>
        <v>0.14624913971094289</v>
      </c>
      <c r="F106" s="84">
        <f t="shared" si="32"/>
        <v>0.17250036922168069</v>
      </c>
      <c r="G106" s="84">
        <f t="shared" si="32"/>
        <v>0.15258069377057229</v>
      </c>
      <c r="H106" s="84">
        <f t="shared" si="32"/>
        <v>0.16457635831433201</v>
      </c>
      <c r="I106" s="84">
        <f t="shared" si="32"/>
        <v>0.17157150308866323</v>
      </c>
      <c r="J106" s="84">
        <f t="shared" si="32"/>
        <v>0.1805667408498372</v>
      </c>
      <c r="K106" s="84">
        <f t="shared" si="32"/>
        <v>0.20156207740346208</v>
      </c>
      <c r="L106" s="84">
        <f t="shared" si="32"/>
        <v>0.2055575177486553</v>
      </c>
      <c r="M106" s="84">
        <f t="shared" si="32"/>
        <v>0.21555306611292682</v>
      </c>
      <c r="N106" s="84">
        <f>N105/N92</f>
        <v>0.22554872599093853</v>
      </c>
      <c r="O106" s="84" t="s">
        <v>426</v>
      </c>
      <c r="P106" s="84" t="s">
        <v>426</v>
      </c>
      <c r="S106" s="53"/>
      <c r="T106" s="53"/>
      <c r="U106" s="18"/>
      <c r="V106" s="18"/>
      <c r="W106" s="18"/>
      <c r="X106" s="18"/>
      <c r="Y106" s="18"/>
      <c r="Z106" s="18"/>
      <c r="AA106" s="18"/>
      <c r="AB106" s="18"/>
      <c r="AC106" s="18"/>
      <c r="AD106" s="18"/>
      <c r="AE106" s="18"/>
      <c r="AF106" s="18"/>
      <c r="AG106" s="18"/>
      <c r="AH106" s="18"/>
      <c r="AI106" s="29"/>
      <c r="AJ106" s="29"/>
      <c r="AK106" s="29"/>
      <c r="AL106" s="29"/>
      <c r="AM106" s="29"/>
      <c r="AN106" s="29"/>
      <c r="AO106" s="29"/>
      <c r="AP106" s="29"/>
      <c r="AQ106" s="29"/>
      <c r="AR106" s="21"/>
      <c r="AS106" s="21"/>
      <c r="AT106" s="21"/>
      <c r="AU106" s="21"/>
    </row>
    <row r="107" spans="2:47" ht="16.5">
      <c r="B107" s="85" t="s">
        <v>867</v>
      </c>
      <c r="C107" s="65">
        <f>C108-C105</f>
        <v>-2214</v>
      </c>
      <c r="D107" s="65">
        <f t="shared" ref="D107:N107" si="33">D108-D105</f>
        <v>-954</v>
      </c>
      <c r="E107" s="65">
        <f t="shared" si="33"/>
        <v>-982</v>
      </c>
      <c r="F107" s="65">
        <f t="shared" si="33"/>
        <v>-1171</v>
      </c>
      <c r="G107" s="65">
        <f t="shared" si="33"/>
        <v>-900.99999999999955</v>
      </c>
      <c r="H107" s="65">
        <f t="shared" si="33"/>
        <v>-901.00000000000091</v>
      </c>
      <c r="I107" s="65">
        <f t="shared" si="33"/>
        <v>-1799.9999999999995</v>
      </c>
      <c r="J107" s="65">
        <f t="shared" si="33"/>
        <v>-1800</v>
      </c>
      <c r="K107" s="65">
        <f t="shared" si="33"/>
        <v>-1799.9999999999995</v>
      </c>
      <c r="L107" s="65">
        <f t="shared" si="33"/>
        <v>-1800</v>
      </c>
      <c r="M107" s="65">
        <f t="shared" si="33"/>
        <v>-1800</v>
      </c>
      <c r="N107" s="65">
        <f t="shared" si="33"/>
        <v>-3527.9999999999995</v>
      </c>
      <c r="O107" s="55" t="s">
        <v>426</v>
      </c>
      <c r="P107" s="55" t="s">
        <v>426</v>
      </c>
    </row>
    <row r="108" spans="2:47" ht="16.5">
      <c r="B108" s="80" t="s">
        <v>253</v>
      </c>
      <c r="C108" s="67">
        <f>'P&amp;L'!F321</f>
        <v>1597</v>
      </c>
      <c r="D108" s="67">
        <f>'P&amp;L'!G321</f>
        <v>281</v>
      </c>
      <c r="E108" s="67">
        <f>'P&amp;L'!H321</f>
        <v>-132</v>
      </c>
      <c r="F108" s="67">
        <f>'P&amp;L'!I321</f>
        <v>-3</v>
      </c>
      <c r="G108" s="67">
        <f>'P&amp;L'!J321</f>
        <v>207.64770824740935</v>
      </c>
      <c r="H108" s="67">
        <f>'P&amp;L'!K321</f>
        <v>333.70269030342342</v>
      </c>
      <c r="I108" s="67">
        <f>'P&amp;L'!L321</f>
        <v>-464.15902629700531</v>
      </c>
      <c r="J108" s="67">
        <f>'P&amp;L'!M321</f>
        <v>-339.9879953836712</v>
      </c>
      <c r="K108" s="67">
        <f>'P&amp;L'!N321</f>
        <v>-106.36308744590497</v>
      </c>
      <c r="L108" s="67">
        <f>'P&amp;L'!O321</f>
        <v>-3.9807132477994855</v>
      </c>
      <c r="M108" s="67">
        <f>'P&amp;L'!P321</f>
        <v>159.57161651952538</v>
      </c>
      <c r="N108" s="67">
        <f>'P&amp;L'!Q321</f>
        <v>-1393.3342677039855</v>
      </c>
      <c r="O108" s="72" t="e">
        <f>((K108/G108)^(1/4))-1</f>
        <v>#NUM!</v>
      </c>
      <c r="P108" s="72">
        <f>((L108/G108)^(1/5))-1</f>
        <v>-1.4534472270048171</v>
      </c>
    </row>
    <row r="109" spans="2:47" s="22" customFormat="1" ht="16.5">
      <c r="B109" s="85" t="s">
        <v>254</v>
      </c>
      <c r="C109" s="186">
        <f t="shared" ref="C109:N109" si="34">C108/C92</f>
        <v>0.1475016163295465</v>
      </c>
      <c r="D109" s="186">
        <f t="shared" si="34"/>
        <v>4.6841140190031674E-2</v>
      </c>
      <c r="E109" s="186">
        <f t="shared" si="34"/>
        <v>-2.2711631108052306E-2</v>
      </c>
      <c r="F109" s="186">
        <f t="shared" si="34"/>
        <v>-4.4306601683650863E-4</v>
      </c>
      <c r="G109" s="186">
        <f t="shared" si="34"/>
        <v>2.857808765450371E-2</v>
      </c>
      <c r="H109" s="186">
        <f t="shared" si="34"/>
        <v>4.4479998270949311E-2</v>
      </c>
      <c r="I109" s="186">
        <f t="shared" si="34"/>
        <v>-5.9615226199562311E-2</v>
      </c>
      <c r="J109" s="186">
        <f t="shared" si="34"/>
        <v>-4.2047958551293965E-2</v>
      </c>
      <c r="K109" s="186">
        <f t="shared" si="34"/>
        <v>-1.2658418522723329E-2</v>
      </c>
      <c r="L109" s="186">
        <f t="shared" si="34"/>
        <v>-4.5559952508446939E-4</v>
      </c>
      <c r="M109" s="186">
        <f t="shared" si="34"/>
        <v>1.7552893150428593E-2</v>
      </c>
      <c r="N109" s="186">
        <f t="shared" si="34"/>
        <v>-0.14721966264110717</v>
      </c>
      <c r="O109" s="63" t="s">
        <v>426</v>
      </c>
      <c r="P109" s="63" t="s">
        <v>426</v>
      </c>
      <c r="S109" s="53"/>
      <c r="T109" s="53"/>
      <c r="U109" s="18"/>
      <c r="V109" s="18"/>
      <c r="W109" s="18"/>
      <c r="X109" s="18"/>
      <c r="Y109" s="18"/>
      <c r="Z109" s="18"/>
      <c r="AA109" s="18"/>
      <c r="AB109" s="18"/>
      <c r="AC109" s="18"/>
      <c r="AD109" s="18"/>
      <c r="AE109" s="18"/>
      <c r="AF109" s="18"/>
      <c r="AG109" s="18"/>
      <c r="AH109" s="18"/>
      <c r="AI109" s="29"/>
      <c r="AJ109" s="29"/>
      <c r="AK109" s="29"/>
      <c r="AL109" s="29"/>
      <c r="AM109" s="29"/>
      <c r="AN109" s="29"/>
      <c r="AO109" s="29"/>
      <c r="AP109" s="29"/>
      <c r="AQ109" s="29"/>
      <c r="AR109" s="21"/>
      <c r="AS109" s="21"/>
      <c r="AT109" s="21"/>
      <c r="AU109" s="21"/>
    </row>
    <row r="110" spans="2:47" ht="17.25">
      <c r="B110" s="83"/>
      <c r="C110" s="63"/>
      <c r="D110" s="63"/>
      <c r="E110" s="63"/>
      <c r="F110" s="63"/>
      <c r="G110" s="63"/>
      <c r="H110" s="63"/>
      <c r="I110" s="63"/>
      <c r="J110" s="63"/>
      <c r="K110" s="63"/>
      <c r="L110" s="63"/>
      <c r="M110" s="63"/>
      <c r="N110" s="63"/>
      <c r="O110" s="55"/>
      <c r="P110" s="55"/>
    </row>
    <row r="111" spans="2:47" ht="33">
      <c r="B111" s="372" t="s">
        <v>255</v>
      </c>
      <c r="C111" s="1334" t="str">
        <f t="shared" ref="C111:N111" si="35">C91</f>
        <v>FY14</v>
      </c>
      <c r="D111" s="1334" t="str">
        <f t="shared" si="35"/>
        <v>FY15</v>
      </c>
      <c r="E111" s="1334">
        <v>2016</v>
      </c>
      <c r="F111" s="1334">
        <v>2017</v>
      </c>
      <c r="G111" s="1335">
        <v>2018</v>
      </c>
      <c r="H111" s="1335">
        <v>2019</v>
      </c>
      <c r="I111" s="1335">
        <v>2020</v>
      </c>
      <c r="J111" s="1335">
        <v>2021</v>
      </c>
      <c r="K111" s="1335">
        <v>2022</v>
      </c>
      <c r="L111" s="1335">
        <v>2023</v>
      </c>
      <c r="M111" s="1334" t="str">
        <f t="shared" si="35"/>
        <v>FY24E</v>
      </c>
      <c r="N111" s="1334" t="str">
        <f t="shared" si="35"/>
        <v>FY25E</v>
      </c>
      <c r="O111" s="1336" t="s">
        <v>945</v>
      </c>
      <c r="P111" s="1336" t="s">
        <v>946</v>
      </c>
      <c r="S111" s="60"/>
      <c r="T111" s="60"/>
      <c r="U111" s="59"/>
      <c r="V111" s="59"/>
      <c r="W111" s="59"/>
      <c r="X111" s="59"/>
      <c r="Y111" s="59"/>
      <c r="Z111" s="59"/>
      <c r="AR111" s="18"/>
      <c r="AS111" s="18"/>
      <c r="AT111" s="18"/>
      <c r="AU111" s="18"/>
    </row>
    <row r="112" spans="2:47" s="82" customFormat="1" ht="16.5">
      <c r="B112" s="81" t="s">
        <v>256</v>
      </c>
      <c r="C112" s="66">
        <f>'P&amp;L'!F325</f>
        <v>9562</v>
      </c>
      <c r="D112" s="66">
        <f>'P&amp;L'!G325</f>
        <v>10070</v>
      </c>
      <c r="E112" s="66">
        <f>'P&amp;L'!H325</f>
        <v>10144</v>
      </c>
      <c r="F112" s="66">
        <f>'P&amp;L'!I325</f>
        <v>10060</v>
      </c>
      <c r="G112" s="66">
        <f>'P&amp;L'!J325</f>
        <v>10383.657422316164</v>
      </c>
      <c r="H112" s="66">
        <f>'P&amp;L'!K325</f>
        <v>10905.531828098057</v>
      </c>
      <c r="I112" s="66">
        <f>'P&amp;L'!L325</f>
        <v>11485.135402675887</v>
      </c>
      <c r="J112" s="66">
        <f>'P&amp;L'!M325</f>
        <v>11954.423347448699</v>
      </c>
      <c r="K112" s="66">
        <f>'P&amp;L'!N325</f>
        <v>12450.263318833948</v>
      </c>
      <c r="L112" s="66">
        <f>'P&amp;L'!O325</f>
        <v>12974.699216456931</v>
      </c>
      <c r="M112" s="66">
        <f>'P&amp;L'!P325</f>
        <v>13529.960990814401</v>
      </c>
      <c r="N112" s="66">
        <f>'P&amp;L'!Q325</f>
        <v>14118.482698188973</v>
      </c>
      <c r="O112" s="84">
        <f>((K112/G112)^(1/4))-1</f>
        <v>4.6422444843339905E-2</v>
      </c>
      <c r="P112" s="84">
        <f>((L112/G112)^(1/5))-1</f>
        <v>4.5561033695839193E-2</v>
      </c>
      <c r="S112" s="30"/>
      <c r="T112" s="30"/>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26"/>
      <c r="AS112" s="26"/>
      <c r="AT112" s="26"/>
      <c r="AU112" s="26"/>
    </row>
    <row r="113" spans="2:47" ht="16.5">
      <c r="B113" s="79" t="s">
        <v>214</v>
      </c>
      <c r="C113" s="63">
        <f>'P&amp;L'!F327</f>
        <v>286</v>
      </c>
      <c r="D113" s="63">
        <f>'P&amp;L'!G327</f>
        <v>128</v>
      </c>
      <c r="E113" s="63">
        <f>'P&amp;L'!H327</f>
        <v>104</v>
      </c>
      <c r="F113" s="63">
        <f>'P&amp;L'!I327</f>
        <v>118</v>
      </c>
      <c r="G113" s="63">
        <f>'P&amp;L'!J327</f>
        <v>121.79637930748582</v>
      </c>
      <c r="H113" s="63">
        <f>'P&amp;L'!K327</f>
        <v>127.91776895781021</v>
      </c>
      <c r="I113" s="63">
        <f>'P&amp;L'!L327</f>
        <v>134.71629995186427</v>
      </c>
      <c r="J113" s="63">
        <f>'P&amp;L'!M327</f>
        <v>140.22087027822528</v>
      </c>
      <c r="K113" s="63">
        <f>'P&amp;L'!N327</f>
        <v>146.03688584715761</v>
      </c>
      <c r="L113" s="63">
        <f>'P&amp;L'!O327</f>
        <v>152.18832082921645</v>
      </c>
      <c r="M113" s="63">
        <f>'P&amp;L'!P327</f>
        <v>158.70133170140147</v>
      </c>
      <c r="N113" s="63">
        <f>'P&amp;L'!Q327</f>
        <v>165.60446902448294</v>
      </c>
      <c r="O113" s="55" t="s">
        <v>426</v>
      </c>
      <c r="P113" s="55" t="s">
        <v>426</v>
      </c>
    </row>
    <row r="114" spans="2:47" s="22" customFormat="1" ht="16.5">
      <c r="B114" s="85" t="s">
        <v>215</v>
      </c>
      <c r="C114" s="65">
        <f>'P&amp;L'!F328</f>
        <v>9848</v>
      </c>
      <c r="D114" s="65">
        <f>'P&amp;L'!G328</f>
        <v>10198</v>
      </c>
      <c r="E114" s="65">
        <f>'P&amp;L'!H328</f>
        <v>10248</v>
      </c>
      <c r="F114" s="65">
        <f>'P&amp;L'!I328</f>
        <v>10178</v>
      </c>
      <c r="G114" s="65">
        <f>'P&amp;L'!J328</f>
        <v>10505.453801623649</v>
      </c>
      <c r="H114" s="65">
        <f>'P&amp;L'!K328</f>
        <v>11033.449597055867</v>
      </c>
      <c r="I114" s="65">
        <f>'P&amp;L'!L328</f>
        <v>11619.851702627751</v>
      </c>
      <c r="J114" s="65">
        <f>'P&amp;L'!M328</f>
        <v>12094.644217726924</v>
      </c>
      <c r="K114" s="65">
        <f>'P&amp;L'!N328</f>
        <v>12596.300204681105</v>
      </c>
      <c r="L114" s="65">
        <f>'P&amp;L'!O328</f>
        <v>13126.887537286148</v>
      </c>
      <c r="M114" s="65">
        <f>'P&amp;L'!P328</f>
        <v>13688.662322515802</v>
      </c>
      <c r="N114" s="65">
        <f>'P&amp;L'!Q328</f>
        <v>14284.087167213456</v>
      </c>
      <c r="O114" s="84">
        <f>((K114/G114)^(1/4))-1</f>
        <v>4.6422444843339905E-2</v>
      </c>
      <c r="P114" s="84">
        <f>((L114/G114)^(1/5))-1</f>
        <v>4.5561033695839193E-2</v>
      </c>
      <c r="S114" s="31"/>
      <c r="T114" s="31"/>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1"/>
      <c r="AS114" s="21"/>
      <c r="AT114" s="21"/>
      <c r="AU114" s="21"/>
    </row>
    <row r="115" spans="2:47" ht="16.5">
      <c r="B115" s="79" t="s">
        <v>250</v>
      </c>
      <c r="C115" s="63">
        <f>'P&amp;L'!F329</f>
        <v>12</v>
      </c>
      <c r="D115" s="63">
        <f>'P&amp;L'!G329</f>
        <v>25</v>
      </c>
      <c r="E115" s="63">
        <f>'P&amp;L'!H329</f>
        <v>37</v>
      </c>
      <c r="F115" s="63">
        <f>'P&amp;L'!I329</f>
        <v>37</v>
      </c>
      <c r="G115" s="63">
        <f>'P&amp;L'!J329</f>
        <v>38.190390121838774</v>
      </c>
      <c r="H115" s="63">
        <f>'P&amp;L'!K329</f>
        <v>40.109808910499815</v>
      </c>
      <c r="I115" s="63">
        <f>'P&amp;L'!L329</f>
        <v>42.241551679821853</v>
      </c>
      <c r="J115" s="63">
        <f>'P&amp;L'!M329</f>
        <v>43.967561019443522</v>
      </c>
      <c r="K115" s="63">
        <f>'P&amp;L'!N329</f>
        <v>45.791226918176541</v>
      </c>
      <c r="L115" s="63">
        <f>'P&amp;L'!O329</f>
        <v>47.720066700686516</v>
      </c>
      <c r="M115" s="63">
        <f>'P&amp;L'!P329</f>
        <v>49.76228197416826</v>
      </c>
      <c r="N115" s="63">
        <f>'P&amp;L'!Q329</f>
        <v>51.926825033100585</v>
      </c>
      <c r="O115" s="84"/>
      <c r="P115" s="84"/>
    </row>
    <row r="116" spans="2:47" ht="16.5">
      <c r="B116" s="81" t="s">
        <v>222</v>
      </c>
      <c r="C116" s="66">
        <f>'P&amp;L'!F336</f>
        <v>4554</v>
      </c>
      <c r="D116" s="66">
        <f>'P&amp;L'!G336</f>
        <v>4885</v>
      </c>
      <c r="E116" s="66">
        <f>'P&amp;L'!H336</f>
        <v>4889</v>
      </c>
      <c r="F116" s="66">
        <f>'P&amp;L'!I336</f>
        <v>4999</v>
      </c>
      <c r="G116" s="66">
        <f>'P&amp;L'!J336</f>
        <v>5144.142332141083</v>
      </c>
      <c r="H116" s="66">
        <f>'P&amp;L'!K336</f>
        <v>5511.7381736363577</v>
      </c>
      <c r="I116" s="66">
        <f>'P&amp;L'!L336</f>
        <v>5862.099875956249</v>
      </c>
      <c r="J116" s="66">
        <f>'P&amp;L'!M336</f>
        <v>6161.4001050220168</v>
      </c>
      <c r="K116" s="66">
        <f>'P&amp;L'!N336</f>
        <v>6541.4624053706475</v>
      </c>
      <c r="L116" s="66">
        <f>'P&amp;L'!O336</f>
        <v>6817.0049879229391</v>
      </c>
      <c r="M116" s="66">
        <f>'P&amp;L'!P336</f>
        <v>7244.043328899058</v>
      </c>
      <c r="N116" s="66">
        <f>'P&amp;L'!Q336</f>
        <v>7559.1422971158499</v>
      </c>
      <c r="O116" s="69">
        <f>((K116/G116)^(1/4))-1</f>
        <v>6.1916743121946727E-2</v>
      </c>
      <c r="P116" s="69">
        <f>((L116/G116)^(1/5))-1</f>
        <v>5.7928037454815007E-2</v>
      </c>
    </row>
    <row r="117" spans="2:47" s="22" customFormat="1" ht="16.5">
      <c r="B117" s="85" t="s">
        <v>98</v>
      </c>
      <c r="C117" s="186">
        <f>C116/C112</f>
        <v>0.47626019661158753</v>
      </c>
      <c r="D117" s="186">
        <f t="shared" ref="D117:N117" si="36">D116/D112</f>
        <v>0.48510427010923535</v>
      </c>
      <c r="E117" s="186">
        <f t="shared" si="36"/>
        <v>0.4819597791798107</v>
      </c>
      <c r="F117" s="186">
        <f t="shared" si="36"/>
        <v>0.49691848906560637</v>
      </c>
      <c r="G117" s="186">
        <f t="shared" si="36"/>
        <v>0.49540755467196818</v>
      </c>
      <c r="H117" s="186">
        <f t="shared" si="36"/>
        <v>0.50540755467196818</v>
      </c>
      <c r="I117" s="186">
        <f t="shared" si="36"/>
        <v>0.51040755467196808</v>
      </c>
      <c r="J117" s="186">
        <f t="shared" si="36"/>
        <v>0.51540755467196808</v>
      </c>
      <c r="K117" s="186">
        <f t="shared" si="36"/>
        <v>0.5254075546719682</v>
      </c>
      <c r="L117" s="186">
        <f t="shared" si="36"/>
        <v>0.52540755467196831</v>
      </c>
      <c r="M117" s="186">
        <f t="shared" si="36"/>
        <v>0.53540755467196821</v>
      </c>
      <c r="N117" s="186">
        <f t="shared" si="36"/>
        <v>0.53540755467196821</v>
      </c>
      <c r="O117" s="186" t="s">
        <v>426</v>
      </c>
      <c r="P117" s="84" t="s">
        <v>426</v>
      </c>
      <c r="S117" s="53"/>
      <c r="T117" s="53"/>
      <c r="U117" s="18"/>
      <c r="V117" s="18"/>
      <c r="W117" s="18"/>
      <c r="X117" s="18"/>
      <c r="Y117" s="18"/>
      <c r="Z117" s="18"/>
      <c r="AA117" s="18"/>
      <c r="AB117" s="18"/>
      <c r="AC117" s="18"/>
      <c r="AD117" s="18"/>
      <c r="AE117" s="18"/>
      <c r="AF117" s="18"/>
      <c r="AG117" s="18"/>
      <c r="AH117" s="18"/>
      <c r="AI117" s="29"/>
      <c r="AJ117" s="29"/>
      <c r="AK117" s="29"/>
      <c r="AL117" s="29"/>
      <c r="AM117" s="29"/>
      <c r="AN117" s="29"/>
      <c r="AO117" s="29"/>
      <c r="AP117" s="29"/>
      <c r="AQ117" s="29"/>
      <c r="AR117" s="21"/>
      <c r="AS117" s="21"/>
      <c r="AT117" s="21"/>
      <c r="AU117" s="21"/>
    </row>
    <row r="118" spans="2:47" ht="16.5">
      <c r="B118" s="79" t="s">
        <v>223</v>
      </c>
      <c r="C118" s="63">
        <f>'P&amp;L'!F344</f>
        <v>-1725</v>
      </c>
      <c r="D118" s="63">
        <f>'P&amp;L'!G344</f>
        <v>-1679</v>
      </c>
      <c r="E118" s="63">
        <f>'P&amp;L'!H344</f>
        <v>-1681</v>
      </c>
      <c r="F118" s="63">
        <f>'P&amp;L'!I344</f>
        <v>-1811</v>
      </c>
      <c r="G118" s="63">
        <f>'P&amp;L'!J344</f>
        <v>-1765.2217617937481</v>
      </c>
      <c r="H118" s="63">
        <f>'P&amp;L'!K344</f>
        <v>-1853.94041077667</v>
      </c>
      <c r="I118" s="63">
        <f>'P&amp;L'!L344</f>
        <v>-1952.473018454901</v>
      </c>
      <c r="J118" s="63">
        <f>'P&amp;L'!M344</f>
        <v>-2032.2519690662789</v>
      </c>
      <c r="K118" s="63">
        <f>'P&amp;L'!N344</f>
        <v>-2116.5447642017712</v>
      </c>
      <c r="L118" s="63">
        <f>'P&amp;L'!O344</f>
        <v>-2205.6988667976784</v>
      </c>
      <c r="M118" s="63">
        <f>'P&amp;L'!P344</f>
        <v>-2300.0933684384486</v>
      </c>
      <c r="N118" s="63">
        <f>'P&amp;L'!Q344</f>
        <v>-2400.1420586921254</v>
      </c>
      <c r="O118" s="55">
        <f>((K118/G118)^(1/4))-1</f>
        <v>4.6422444843339905E-2</v>
      </c>
      <c r="P118" s="55">
        <f>((L118/G118)^(1/5))-1</f>
        <v>4.5561033695839193E-2</v>
      </c>
    </row>
    <row r="119" spans="2:47" s="22" customFormat="1" ht="16.5">
      <c r="B119" s="85" t="s">
        <v>95</v>
      </c>
      <c r="C119" s="186">
        <f>-C118/C112</f>
        <v>0.18040158962560135</v>
      </c>
      <c r="D119" s="186">
        <f t="shared" ref="D119:N119" si="37">-D118/D112</f>
        <v>0.16673286991062561</v>
      </c>
      <c r="E119" s="186">
        <f t="shared" si="37"/>
        <v>0.16571372239747634</v>
      </c>
      <c r="F119" s="186">
        <f t="shared" si="37"/>
        <v>0.18001988071570577</v>
      </c>
      <c r="G119" s="186">
        <f t="shared" si="37"/>
        <v>0.17</v>
      </c>
      <c r="H119" s="186">
        <f t="shared" si="37"/>
        <v>0.17</v>
      </c>
      <c r="I119" s="186">
        <f t="shared" si="37"/>
        <v>0.17</v>
      </c>
      <c r="J119" s="186">
        <f t="shared" si="37"/>
        <v>0.17</v>
      </c>
      <c r="K119" s="186">
        <f t="shared" si="37"/>
        <v>0.17</v>
      </c>
      <c r="L119" s="186">
        <f t="shared" si="37"/>
        <v>0.17</v>
      </c>
      <c r="M119" s="186">
        <f t="shared" si="37"/>
        <v>0.17000000000000004</v>
      </c>
      <c r="N119" s="186">
        <f t="shared" si="37"/>
        <v>0.17</v>
      </c>
      <c r="O119" s="84" t="s">
        <v>426</v>
      </c>
      <c r="P119" s="84" t="s">
        <v>426</v>
      </c>
      <c r="S119" s="53"/>
      <c r="T119" s="53"/>
      <c r="U119" s="18"/>
      <c r="V119" s="18"/>
      <c r="W119" s="18"/>
      <c r="X119" s="18"/>
      <c r="Y119" s="18"/>
      <c r="Z119" s="18"/>
      <c r="AA119" s="18"/>
      <c r="AB119" s="18"/>
      <c r="AC119" s="18"/>
      <c r="AD119" s="18"/>
      <c r="AE119" s="18"/>
      <c r="AF119" s="18"/>
      <c r="AG119" s="18"/>
      <c r="AH119" s="18"/>
      <c r="AI119" s="29"/>
      <c r="AJ119" s="29"/>
      <c r="AK119" s="29"/>
      <c r="AL119" s="29"/>
      <c r="AM119" s="29"/>
      <c r="AN119" s="29"/>
      <c r="AO119" s="29"/>
      <c r="AP119" s="29"/>
      <c r="AQ119" s="29"/>
      <c r="AR119" s="21"/>
      <c r="AS119" s="21"/>
      <c r="AT119" s="21"/>
      <c r="AU119" s="21"/>
    </row>
    <row r="120" spans="2:47" ht="16.5">
      <c r="B120" s="79" t="s">
        <v>226</v>
      </c>
      <c r="C120" s="63">
        <f>'P&amp;L'!F349</f>
        <v>-823</v>
      </c>
      <c r="D120" s="63">
        <f>'P&amp;L'!G349</f>
        <v>-781</v>
      </c>
      <c r="E120" s="63">
        <f>'P&amp;L'!H349</f>
        <v>-804</v>
      </c>
      <c r="F120" s="63">
        <f>'P&amp;L'!I349</f>
        <v>-774</v>
      </c>
      <c r="G120" s="63">
        <f>'P&amp;L'!J349</f>
        <v>-882.61088089687405</v>
      </c>
      <c r="H120" s="63">
        <f>'P&amp;L'!K349</f>
        <v>-926.97020538833499</v>
      </c>
      <c r="I120" s="63">
        <f>'P&amp;L'!L349</f>
        <v>-976.23650922745048</v>
      </c>
      <c r="J120" s="63">
        <f>'P&amp;L'!M349</f>
        <v>-1016.1259845331394</v>
      </c>
      <c r="K120" s="63">
        <f>'P&amp;L'!N349</f>
        <v>-1058.2723821008856</v>
      </c>
      <c r="L120" s="63">
        <f>'P&amp;L'!O349</f>
        <v>-1102.8494333988392</v>
      </c>
      <c r="M120" s="63">
        <f>'P&amp;L'!P349</f>
        <v>-1150.0466842192243</v>
      </c>
      <c r="N120" s="63">
        <f>'P&amp;L'!Q349</f>
        <v>-1200.0710293460627</v>
      </c>
      <c r="O120" s="55">
        <f>((K120/G120)^(1/4))-1</f>
        <v>4.6422444843339905E-2</v>
      </c>
      <c r="P120" s="55">
        <f>((L120/G120)^(1/5))-1</f>
        <v>4.5561033695839193E-2</v>
      </c>
    </row>
    <row r="121" spans="2:47" s="22" customFormat="1" ht="16.5">
      <c r="B121" s="85" t="s">
        <v>95</v>
      </c>
      <c r="C121" s="186">
        <f>-C120/C112</f>
        <v>8.6069859861953563E-2</v>
      </c>
      <c r="D121" s="186">
        <f t="shared" ref="D121:N121" si="38">-D120/D112</f>
        <v>7.75571002979146E-2</v>
      </c>
      <c r="E121" s="186">
        <f t="shared" si="38"/>
        <v>7.925867507886436E-2</v>
      </c>
      <c r="F121" s="186">
        <f t="shared" si="38"/>
        <v>7.6938369781312133E-2</v>
      </c>
      <c r="G121" s="186">
        <f t="shared" si="38"/>
        <v>8.5000000000000006E-2</v>
      </c>
      <c r="H121" s="186">
        <f t="shared" si="38"/>
        <v>8.5000000000000006E-2</v>
      </c>
      <c r="I121" s="186">
        <f t="shared" si="38"/>
        <v>8.5000000000000006E-2</v>
      </c>
      <c r="J121" s="186">
        <f t="shared" si="38"/>
        <v>8.5000000000000006E-2</v>
      </c>
      <c r="K121" s="186">
        <f t="shared" si="38"/>
        <v>8.5000000000000006E-2</v>
      </c>
      <c r="L121" s="186">
        <f t="shared" si="38"/>
        <v>8.5000000000000006E-2</v>
      </c>
      <c r="M121" s="186">
        <f t="shared" si="38"/>
        <v>8.500000000000002E-2</v>
      </c>
      <c r="N121" s="186">
        <f t="shared" si="38"/>
        <v>8.5000000000000006E-2</v>
      </c>
      <c r="O121" s="84" t="s">
        <v>426</v>
      </c>
      <c r="P121" s="84" t="s">
        <v>426</v>
      </c>
      <c r="S121" s="53"/>
      <c r="T121" s="53"/>
      <c r="U121" s="18"/>
      <c r="V121" s="18"/>
      <c r="W121" s="18"/>
      <c r="X121" s="18"/>
      <c r="Y121" s="18"/>
      <c r="Z121" s="18"/>
      <c r="AA121" s="18"/>
      <c r="AB121" s="18"/>
      <c r="AC121" s="18"/>
      <c r="AD121" s="18"/>
      <c r="AE121" s="18"/>
      <c r="AF121" s="18"/>
      <c r="AG121" s="18"/>
      <c r="AH121" s="18"/>
      <c r="AI121" s="29"/>
      <c r="AJ121" s="29"/>
      <c r="AK121" s="29"/>
      <c r="AL121" s="29"/>
      <c r="AM121" s="29"/>
      <c r="AN121" s="29"/>
      <c r="AO121" s="29"/>
      <c r="AP121" s="29"/>
      <c r="AQ121" s="29"/>
      <c r="AR121" s="21"/>
      <c r="AS121" s="21"/>
      <c r="AT121" s="21"/>
      <c r="AU121" s="21"/>
    </row>
    <row r="122" spans="2:47" ht="16.5">
      <c r="B122" s="79" t="s">
        <v>229</v>
      </c>
      <c r="C122" s="63">
        <f>'P&amp;L'!F354</f>
        <v>-376</v>
      </c>
      <c r="D122" s="63">
        <f>'P&amp;L'!G354</f>
        <v>-346</v>
      </c>
      <c r="E122" s="63">
        <f>'P&amp;L'!H354</f>
        <v>-300</v>
      </c>
      <c r="F122" s="63">
        <f>'P&amp;L'!I354</f>
        <v>-315</v>
      </c>
      <c r="G122" s="63">
        <f>'P&amp;L'!J354</f>
        <v>-311.50972266948492</v>
      </c>
      <c r="H122" s="63">
        <f>'P&amp;L'!K354</f>
        <v>-327.16595484294169</v>
      </c>
      <c r="I122" s="63">
        <f>'P&amp;L'!L354</f>
        <v>-344.55406208027659</v>
      </c>
      <c r="J122" s="63">
        <f>'P&amp;L'!M354</f>
        <v>-358.63270042346096</v>
      </c>
      <c r="K122" s="63">
        <f>'P&amp;L'!N354</f>
        <v>-373.50789956501842</v>
      </c>
      <c r="L122" s="63">
        <f>'P&amp;L'!O354</f>
        <v>-389.24097649370793</v>
      </c>
      <c r="M122" s="63">
        <f>'P&amp;L'!P354</f>
        <v>-405.89882972443201</v>
      </c>
      <c r="N122" s="63">
        <f>'P&amp;L'!Q354</f>
        <v>-423.55448094566918</v>
      </c>
      <c r="O122" s="55">
        <f>((K122/G122)^(1/4))-1</f>
        <v>4.6422444843339905E-2</v>
      </c>
      <c r="P122" s="55">
        <f>((L122/G122)^(1/5))-1</f>
        <v>4.5561033695839193E-2</v>
      </c>
    </row>
    <row r="123" spans="2:47" s="22" customFormat="1" ht="16.5">
      <c r="B123" s="85" t="s">
        <v>95</v>
      </c>
      <c r="C123" s="186">
        <f>-C122/C112</f>
        <v>3.9322317506797738E-2</v>
      </c>
      <c r="D123" s="186">
        <f t="shared" ref="D123:N123" si="39">-D122/D112</f>
        <v>3.4359483614697123E-2</v>
      </c>
      <c r="E123" s="186">
        <f t="shared" si="39"/>
        <v>2.9574132492113565E-2</v>
      </c>
      <c r="F123" s="186">
        <f t="shared" si="39"/>
        <v>3.1312127236580514E-2</v>
      </c>
      <c r="G123" s="186">
        <f t="shared" si="39"/>
        <v>0.03</v>
      </c>
      <c r="H123" s="186">
        <f t="shared" si="39"/>
        <v>2.9999999999999995E-2</v>
      </c>
      <c r="I123" s="186">
        <f t="shared" si="39"/>
        <v>0.03</v>
      </c>
      <c r="J123" s="186">
        <f t="shared" si="39"/>
        <v>0.03</v>
      </c>
      <c r="K123" s="186">
        <f t="shared" si="39"/>
        <v>0.03</v>
      </c>
      <c r="L123" s="186">
        <f t="shared" si="39"/>
        <v>0.03</v>
      </c>
      <c r="M123" s="186">
        <f t="shared" si="39"/>
        <v>0.03</v>
      </c>
      <c r="N123" s="186">
        <f t="shared" si="39"/>
        <v>0.03</v>
      </c>
      <c r="O123" s="84" t="s">
        <v>426</v>
      </c>
      <c r="P123" s="84" t="s">
        <v>426</v>
      </c>
      <c r="S123" s="53"/>
      <c r="T123" s="53"/>
      <c r="U123" s="18"/>
      <c r="V123" s="18"/>
      <c r="W123" s="18"/>
      <c r="X123" s="18"/>
      <c r="Y123" s="18"/>
      <c r="Z123" s="18"/>
      <c r="AA123" s="18"/>
      <c r="AB123" s="18"/>
      <c r="AC123" s="18"/>
      <c r="AD123" s="18"/>
      <c r="AE123" s="18"/>
      <c r="AF123" s="18"/>
      <c r="AG123" s="18"/>
      <c r="AH123" s="18"/>
      <c r="AI123" s="29"/>
      <c r="AJ123" s="29"/>
      <c r="AK123" s="29"/>
      <c r="AL123" s="29"/>
      <c r="AM123" s="29"/>
      <c r="AN123" s="29"/>
      <c r="AO123" s="29"/>
      <c r="AP123" s="29"/>
      <c r="AQ123" s="29"/>
      <c r="AR123" s="21"/>
      <c r="AS123" s="21"/>
      <c r="AT123" s="21"/>
      <c r="AU123" s="21"/>
    </row>
    <row r="124" spans="2:47" ht="16.5">
      <c r="B124" s="79" t="s">
        <v>232</v>
      </c>
      <c r="C124" s="63">
        <f>'P&amp;L'!F359</f>
        <v>-59</v>
      </c>
      <c r="D124" s="63">
        <f>'P&amp;L'!G359</f>
        <v>-34</v>
      </c>
      <c r="E124" s="63">
        <f>'P&amp;L'!H359</f>
        <v>-33</v>
      </c>
      <c r="F124" s="63">
        <f>'P&amp;L'!I359</f>
        <v>-19</v>
      </c>
      <c r="G124" s="63">
        <f>'P&amp;L'!J359</f>
        <v>-19</v>
      </c>
      <c r="H124" s="63">
        <f>'P&amp;L'!K359</f>
        <v>-19</v>
      </c>
      <c r="I124" s="63">
        <f>'P&amp;L'!L359</f>
        <v>-19</v>
      </c>
      <c r="J124" s="63">
        <f>'P&amp;L'!M359</f>
        <v>-19</v>
      </c>
      <c r="K124" s="63">
        <f>'P&amp;L'!N359</f>
        <v>-19</v>
      </c>
      <c r="L124" s="63">
        <f>'P&amp;L'!O359</f>
        <v>-19</v>
      </c>
      <c r="M124" s="63">
        <f>'P&amp;L'!P359</f>
        <v>-19</v>
      </c>
      <c r="N124" s="63">
        <f>'P&amp;L'!Q359</f>
        <v>-19</v>
      </c>
      <c r="O124" s="55">
        <f>((K124/G124)^(1/4))-1</f>
        <v>0</v>
      </c>
      <c r="P124" s="55">
        <f>((L124/G124)^(1/5))-1</f>
        <v>0</v>
      </c>
    </row>
    <row r="125" spans="2:47" ht="16.5">
      <c r="B125" s="80" t="s">
        <v>235</v>
      </c>
      <c r="C125" s="67">
        <f>'P&amp;L'!F368</f>
        <v>1571</v>
      </c>
      <c r="D125" s="67">
        <f>'P&amp;L'!G368</f>
        <v>2045</v>
      </c>
      <c r="E125" s="67">
        <f>'P&amp;L'!H368</f>
        <v>2071</v>
      </c>
      <c r="F125" s="67">
        <f>'P&amp;L'!I368</f>
        <v>2080</v>
      </c>
      <c r="G125" s="67">
        <f>'P&amp;L'!J368</f>
        <v>2165.7999667809763</v>
      </c>
      <c r="H125" s="67">
        <f>'P&amp;L'!K368</f>
        <v>2384.6616026284114</v>
      </c>
      <c r="I125" s="67">
        <f>'P&amp;L'!L368</f>
        <v>2569.8362861936212</v>
      </c>
      <c r="J125" s="67">
        <f>'P&amp;L'!M368</f>
        <v>2735.3894509991374</v>
      </c>
      <c r="K125" s="67">
        <f>'P&amp;L'!N368</f>
        <v>2974.1373595029718</v>
      </c>
      <c r="L125" s="67">
        <f>'P&amp;L'!O368</f>
        <v>3100.2157112327136</v>
      </c>
      <c r="M125" s="67">
        <f>'P&amp;L'!P368</f>
        <v>3369.0044465169531</v>
      </c>
      <c r="N125" s="67">
        <f>'P&amp;L'!Q368</f>
        <v>3516.3747281319929</v>
      </c>
      <c r="O125" s="72">
        <f>((K125/G125)^(1/4))-1</f>
        <v>8.2519354543872048E-2</v>
      </c>
      <c r="P125" s="72">
        <f>((L125/G125)^(1/5))-1</f>
        <v>7.4372080860439116E-2</v>
      </c>
    </row>
    <row r="126" spans="2:47" s="22" customFormat="1" ht="16.5">
      <c r="B126" s="85" t="s">
        <v>121</v>
      </c>
      <c r="C126" s="186">
        <f>C125/C112</f>
        <v>0.164296172348881</v>
      </c>
      <c r="D126" s="186">
        <f t="shared" ref="D126:N126" si="40">D125/D112</f>
        <v>0.20307845084409137</v>
      </c>
      <c r="E126" s="186">
        <f t="shared" si="40"/>
        <v>0.20416009463722398</v>
      </c>
      <c r="F126" s="186">
        <f t="shared" si="40"/>
        <v>0.20675944333996024</v>
      </c>
      <c r="G126" s="186">
        <f t="shared" si="40"/>
        <v>0.20857775624668826</v>
      </c>
      <c r="H126" s="186">
        <f t="shared" si="40"/>
        <v>0.21866531960269381</v>
      </c>
      <c r="I126" s="186">
        <f t="shared" si="40"/>
        <v>0.2237532424384725</v>
      </c>
      <c r="J126" s="186">
        <f t="shared" si="40"/>
        <v>0.22881818482552915</v>
      </c>
      <c r="K126" s="186">
        <f t="shared" si="40"/>
        <v>0.23888148253088676</v>
      </c>
      <c r="L126" s="186">
        <f t="shared" si="40"/>
        <v>0.23894316619690439</v>
      </c>
      <c r="M126" s="186">
        <f t="shared" si="40"/>
        <v>0.24900326385302937</v>
      </c>
      <c r="N126" s="186">
        <f t="shared" si="40"/>
        <v>0.24906180099530459</v>
      </c>
      <c r="O126" s="84" t="s">
        <v>426</v>
      </c>
      <c r="P126" s="84" t="s">
        <v>426</v>
      </c>
      <c r="S126" s="53"/>
      <c r="T126" s="53"/>
      <c r="U126" s="18"/>
      <c r="V126" s="18"/>
      <c r="W126" s="18"/>
      <c r="X126" s="18"/>
      <c r="Y126" s="18"/>
      <c r="Z126" s="18"/>
      <c r="AA126" s="18"/>
      <c r="AB126" s="18"/>
      <c r="AC126" s="18"/>
      <c r="AD126" s="18"/>
      <c r="AE126" s="18"/>
      <c r="AF126" s="18"/>
      <c r="AG126" s="18"/>
      <c r="AH126" s="18"/>
      <c r="AI126" s="29"/>
      <c r="AJ126" s="29"/>
      <c r="AK126" s="29"/>
      <c r="AL126" s="29"/>
      <c r="AM126" s="29"/>
      <c r="AN126" s="29"/>
      <c r="AO126" s="29"/>
      <c r="AP126" s="29"/>
      <c r="AQ126" s="29"/>
      <c r="AR126" s="21"/>
      <c r="AS126" s="21"/>
      <c r="AT126" s="21"/>
      <c r="AU126" s="21"/>
    </row>
    <row r="127" spans="2:47" ht="16.5">
      <c r="B127" s="85" t="s">
        <v>867</v>
      </c>
      <c r="C127" s="65">
        <f>C128-C125</f>
        <v>-483</v>
      </c>
      <c r="D127" s="65">
        <f t="shared" ref="D127:N127" si="41">D128-D125</f>
        <v>-745</v>
      </c>
      <c r="E127" s="65">
        <f t="shared" si="41"/>
        <v>-626</v>
      </c>
      <c r="F127" s="65">
        <f t="shared" si="41"/>
        <v>-712</v>
      </c>
      <c r="G127" s="65">
        <f t="shared" si="41"/>
        <v>-454</v>
      </c>
      <c r="H127" s="65">
        <f t="shared" si="41"/>
        <v>-454</v>
      </c>
      <c r="I127" s="65">
        <f t="shared" si="41"/>
        <v>-454</v>
      </c>
      <c r="J127" s="65">
        <f t="shared" si="41"/>
        <v>-300</v>
      </c>
      <c r="K127" s="65">
        <f t="shared" si="41"/>
        <v>-200</v>
      </c>
      <c r="L127" s="65">
        <f t="shared" si="41"/>
        <v>-200</v>
      </c>
      <c r="M127" s="65">
        <f t="shared" si="41"/>
        <v>-200</v>
      </c>
      <c r="N127" s="65">
        <f t="shared" si="41"/>
        <v>220</v>
      </c>
      <c r="O127" s="55" t="s">
        <v>426</v>
      </c>
      <c r="P127" s="55" t="s">
        <v>426</v>
      </c>
    </row>
    <row r="128" spans="2:47" ht="16.5">
      <c r="B128" s="80" t="s">
        <v>259</v>
      </c>
      <c r="C128" s="67">
        <f>'P&amp;L'!F383</f>
        <v>1088</v>
      </c>
      <c r="D128" s="67">
        <f>'P&amp;L'!G383</f>
        <v>1300</v>
      </c>
      <c r="E128" s="67">
        <f>'P&amp;L'!H383</f>
        <v>1445</v>
      </c>
      <c r="F128" s="67">
        <f>'P&amp;L'!I383</f>
        <v>1368</v>
      </c>
      <c r="G128" s="67">
        <f>'P&amp;L'!J383</f>
        <v>1711.7999667809763</v>
      </c>
      <c r="H128" s="67">
        <f>'P&amp;L'!K383</f>
        <v>1930.6616026284114</v>
      </c>
      <c r="I128" s="67">
        <f>'P&amp;L'!L383</f>
        <v>2115.8362861936212</v>
      </c>
      <c r="J128" s="67">
        <f>'P&amp;L'!M383</f>
        <v>2435.3894509991374</v>
      </c>
      <c r="K128" s="67">
        <f>'P&amp;L'!N383</f>
        <v>2774.1373595029718</v>
      </c>
      <c r="L128" s="67">
        <f>'P&amp;L'!O383</f>
        <v>2900.2157112327136</v>
      </c>
      <c r="M128" s="67">
        <f>'P&amp;L'!P383</f>
        <v>3169.0044465169531</v>
      </c>
      <c r="N128" s="67">
        <f>'P&amp;L'!Q383</f>
        <v>3736.3747281319929</v>
      </c>
      <c r="O128" s="72">
        <f>((K128/G128)^(1/4))-1</f>
        <v>0.12828479843810925</v>
      </c>
      <c r="P128" s="72">
        <f>((L128/G128)^(1/5))-1</f>
        <v>0.11120825092629039</v>
      </c>
    </row>
    <row r="129" spans="2:47" s="22" customFormat="1" ht="16.5">
      <c r="B129" s="85" t="s">
        <v>254</v>
      </c>
      <c r="C129" s="186">
        <f>C128/C112</f>
        <v>0.11378372725371261</v>
      </c>
      <c r="D129" s="186">
        <f t="shared" ref="D129:N129" si="42">D128/D112</f>
        <v>0.12909632571996027</v>
      </c>
      <c r="E129" s="186">
        <f t="shared" si="42"/>
        <v>0.14244873817034701</v>
      </c>
      <c r="F129" s="186">
        <f t="shared" si="42"/>
        <v>0.13598409542743539</v>
      </c>
      <c r="G129" s="186">
        <f t="shared" si="42"/>
        <v>0.16485520440052659</v>
      </c>
      <c r="H129" s="186">
        <f t="shared" si="42"/>
        <v>0.17703507110529629</v>
      </c>
      <c r="I129" s="186">
        <f t="shared" si="42"/>
        <v>0.18422388696442002</v>
      </c>
      <c r="J129" s="186">
        <f t="shared" si="42"/>
        <v>0.20372287146070461</v>
      </c>
      <c r="K129" s="186">
        <f t="shared" si="42"/>
        <v>0.2228175652563458</v>
      </c>
      <c r="L129" s="186">
        <f t="shared" si="42"/>
        <v>0.22352855066991609</v>
      </c>
      <c r="M129" s="186">
        <f t="shared" si="42"/>
        <v>0.23422125523262155</v>
      </c>
      <c r="N129" s="186">
        <f t="shared" si="42"/>
        <v>0.26464421198825216</v>
      </c>
      <c r="O129" s="65" t="s">
        <v>426</v>
      </c>
      <c r="P129" s="65" t="s">
        <v>426</v>
      </c>
      <c r="S129" s="53"/>
      <c r="T129" s="53"/>
      <c r="U129" s="18"/>
      <c r="V129" s="18"/>
      <c r="W129" s="18"/>
      <c r="X129" s="18"/>
      <c r="Y129" s="18"/>
      <c r="Z129" s="18"/>
      <c r="AA129" s="18"/>
      <c r="AB129" s="18"/>
      <c r="AC129" s="18"/>
      <c r="AD129" s="18"/>
      <c r="AE129" s="18"/>
      <c r="AF129" s="18"/>
      <c r="AG129" s="18"/>
      <c r="AH129" s="18"/>
      <c r="AI129" s="29"/>
      <c r="AJ129" s="29"/>
      <c r="AK129" s="29"/>
      <c r="AL129" s="29"/>
      <c r="AM129" s="29"/>
      <c r="AN129" s="29"/>
      <c r="AO129" s="29"/>
      <c r="AP129" s="29"/>
      <c r="AQ129" s="29"/>
      <c r="AR129" s="21"/>
      <c r="AS129" s="21"/>
      <c r="AT129" s="21"/>
      <c r="AU129" s="21"/>
    </row>
    <row r="130" spans="2:47" ht="17.25">
      <c r="B130" s="83"/>
      <c r="C130" s="63"/>
      <c r="D130" s="63"/>
      <c r="E130" s="63"/>
      <c r="F130" s="63"/>
      <c r="G130" s="63"/>
      <c r="H130" s="63"/>
      <c r="I130" s="63"/>
      <c r="J130" s="63"/>
      <c r="K130" s="63"/>
      <c r="L130" s="63"/>
      <c r="M130" s="63"/>
      <c r="N130" s="63"/>
      <c r="O130" s="63"/>
      <c r="P130" s="63"/>
    </row>
    <row r="131" spans="2:47" ht="33">
      <c r="B131" s="372" t="s">
        <v>260</v>
      </c>
      <c r="C131" s="1334" t="str">
        <f t="shared" ref="C131:N131" si="43">C111</f>
        <v>FY14</v>
      </c>
      <c r="D131" s="1334" t="str">
        <f t="shared" si="43"/>
        <v>FY15</v>
      </c>
      <c r="E131" s="1334">
        <v>2016</v>
      </c>
      <c r="F131" s="1334">
        <v>2017</v>
      </c>
      <c r="G131" s="1335">
        <v>2018</v>
      </c>
      <c r="H131" s="1335">
        <v>2019</v>
      </c>
      <c r="I131" s="1335">
        <v>2020</v>
      </c>
      <c r="J131" s="1335">
        <v>2021</v>
      </c>
      <c r="K131" s="1335">
        <v>2022</v>
      </c>
      <c r="L131" s="1335">
        <v>2023</v>
      </c>
      <c r="M131" s="1334" t="str">
        <f t="shared" si="43"/>
        <v>FY24E</v>
      </c>
      <c r="N131" s="1334" t="str">
        <f t="shared" si="43"/>
        <v>FY25E</v>
      </c>
      <c r="O131" s="1336" t="s">
        <v>945</v>
      </c>
      <c r="P131" s="1336" t="s">
        <v>946</v>
      </c>
      <c r="S131" s="60"/>
      <c r="T131" s="60"/>
      <c r="U131" s="59"/>
      <c r="V131" s="59"/>
      <c r="W131" s="59"/>
      <c r="X131" s="59"/>
      <c r="Y131" s="59"/>
      <c r="Z131" s="59"/>
      <c r="AR131" s="18"/>
      <c r="AS131" s="18"/>
      <c r="AT131" s="18"/>
      <c r="AU131" s="18"/>
    </row>
    <row r="132" spans="2:47" ht="16.5">
      <c r="B132" s="81" t="s">
        <v>261</v>
      </c>
      <c r="C132" s="66">
        <f>'P&amp;L'!F391</f>
        <v>-358</v>
      </c>
      <c r="D132" s="66">
        <f>'P&amp;L'!G391</f>
        <v>-620</v>
      </c>
      <c r="E132" s="66">
        <f>'P&amp;L'!H391</f>
        <v>-728</v>
      </c>
      <c r="F132" s="66">
        <f>'P&amp;L'!I391</f>
        <v>-789</v>
      </c>
      <c r="G132" s="66">
        <f>'P&amp;L'!J391</f>
        <v>-838.02090792836498</v>
      </c>
      <c r="H132" s="66">
        <f>'P&amp;L'!K391</f>
        <v>-850.25363814658795</v>
      </c>
      <c r="I132" s="66">
        <f>'P&amp;L'!L391</f>
        <v>-873.79816954818671</v>
      </c>
      <c r="J132" s="66">
        <f>'P&amp;L'!M391</f>
        <v>-905.21715726500565</v>
      </c>
      <c r="K132" s="66">
        <f>'P&amp;L'!N391</f>
        <v>-919.08080640987271</v>
      </c>
      <c r="L132" s="66">
        <f>'P&amp;L'!O391</f>
        <v>-896.44951458933645</v>
      </c>
      <c r="M132" s="66">
        <f>'P&amp;L'!P391</f>
        <v>-899.50904319227038</v>
      </c>
      <c r="N132" s="66">
        <f>'P&amp;L'!Q391</f>
        <v>-899.73855015896072</v>
      </c>
      <c r="O132" s="69">
        <f>((K132/G132)^(1/4))-1</f>
        <v>2.3351217628524656E-2</v>
      </c>
      <c r="P132" s="69">
        <f>((L132/G132)^(1/5))-1</f>
        <v>1.3571047430284588E-2</v>
      </c>
      <c r="Q132" s="82"/>
    </row>
    <row r="133" spans="2:47" ht="16.5">
      <c r="B133" s="79" t="s">
        <v>267</v>
      </c>
      <c r="C133" s="63">
        <f>'P&amp;L'!F394</f>
        <v>238</v>
      </c>
      <c r="D133" s="63">
        <f>'P&amp;L'!G394</f>
        <v>107</v>
      </c>
      <c r="E133" s="63">
        <f>'P&amp;L'!H394</f>
        <v>62</v>
      </c>
      <c r="F133" s="63">
        <f>'P&amp;L'!I394</f>
        <v>88</v>
      </c>
      <c r="G133" s="63">
        <f>'P&amp;L'!J394</f>
        <v>88</v>
      </c>
      <c r="H133" s="63">
        <f>'P&amp;L'!K394</f>
        <v>88</v>
      </c>
      <c r="I133" s="63">
        <f>'P&amp;L'!L394</f>
        <v>88</v>
      </c>
      <c r="J133" s="63">
        <f>'P&amp;L'!M394</f>
        <v>88</v>
      </c>
      <c r="K133" s="63">
        <f>'P&amp;L'!N394</f>
        <v>88</v>
      </c>
      <c r="L133" s="63">
        <f>'P&amp;L'!O394</f>
        <v>88</v>
      </c>
      <c r="M133" s="63">
        <f>'P&amp;L'!P394</f>
        <v>88</v>
      </c>
      <c r="N133" s="63">
        <f>'P&amp;L'!Q394</f>
        <v>88</v>
      </c>
      <c r="O133" s="63" t="s">
        <v>426</v>
      </c>
      <c r="P133" s="63" t="s">
        <v>426</v>
      </c>
    </row>
    <row r="134" spans="2:47" ht="16.5">
      <c r="B134" s="79" t="s">
        <v>270</v>
      </c>
      <c r="C134" s="63">
        <f>'P&amp;L'!F397</f>
        <v>488</v>
      </c>
      <c r="D134" s="63">
        <f>'P&amp;L'!G397</f>
        <v>789</v>
      </c>
      <c r="E134" s="63">
        <f>'P&amp;L'!H397</f>
        <v>874</v>
      </c>
      <c r="F134" s="63">
        <f>'P&amp;L'!I397</f>
        <v>863</v>
      </c>
      <c r="G134" s="63">
        <f>'P&amp;L'!J397</f>
        <v>921.82299872120154</v>
      </c>
      <c r="H134" s="63">
        <f>'P&amp;L'!K397</f>
        <v>935.27900196124676</v>
      </c>
      <c r="I134" s="63">
        <f>'P&amp;L'!L397</f>
        <v>961.1779865030054</v>
      </c>
      <c r="J134" s="63">
        <f>'P&amp;L'!M397</f>
        <v>995.73887299150635</v>
      </c>
      <c r="K134" s="63">
        <f>'P&amp;L'!N397</f>
        <v>1010.9888870508601</v>
      </c>
      <c r="L134" s="63">
        <f>'P&amp;L'!O397</f>
        <v>986.09446604827019</v>
      </c>
      <c r="M134" s="63">
        <f>'P&amp;L'!P397</f>
        <v>989.45994751149749</v>
      </c>
      <c r="N134" s="63">
        <f>'P&amp;L'!Q397</f>
        <v>989.71240517485683</v>
      </c>
      <c r="O134" s="63" t="s">
        <v>426</v>
      </c>
      <c r="P134" s="63" t="s">
        <v>426</v>
      </c>
    </row>
    <row r="135" spans="2:47" ht="16.5">
      <c r="B135" s="81" t="s">
        <v>97</v>
      </c>
      <c r="C135" s="66">
        <f>'P&amp;L'!F401</f>
        <v>368</v>
      </c>
      <c r="D135" s="66">
        <f>'P&amp;L'!G401</f>
        <v>276</v>
      </c>
      <c r="E135" s="66">
        <f>'P&amp;L'!H401</f>
        <v>208</v>
      </c>
      <c r="F135" s="66">
        <f>'P&amp;L'!I401</f>
        <v>162</v>
      </c>
      <c r="G135" s="66">
        <f>'P&amp;L'!J401</f>
        <v>171.80209079283657</v>
      </c>
      <c r="H135" s="66">
        <f>'P&amp;L'!K401</f>
        <v>173.02536381465882</v>
      </c>
      <c r="I135" s="66">
        <f>'P&amp;L'!L401</f>
        <v>175.37981695481858</v>
      </c>
      <c r="J135" s="66">
        <f>'P&amp;L'!M401</f>
        <v>178.52171572650082</v>
      </c>
      <c r="K135" s="66">
        <f>'P&amp;L'!N401</f>
        <v>179.90808064098735</v>
      </c>
      <c r="L135" s="66">
        <f>'P&amp;L'!O401</f>
        <v>177.64495145893363</v>
      </c>
      <c r="M135" s="66">
        <f>'P&amp;L'!P401</f>
        <v>177.95090431922699</v>
      </c>
      <c r="N135" s="66">
        <f>'P&amp;L'!Q401</f>
        <v>177.97385501589622</v>
      </c>
      <c r="O135" s="63" t="s">
        <v>426</v>
      </c>
      <c r="P135" s="63" t="s">
        <v>426</v>
      </c>
    </row>
    <row r="136" spans="2:47" ht="16.5">
      <c r="B136" s="79" t="s">
        <v>274</v>
      </c>
      <c r="C136" s="63">
        <f>'P&amp;L'!F406</f>
        <v>0</v>
      </c>
      <c r="D136" s="63">
        <f>'P&amp;L'!G406</f>
        <v>0</v>
      </c>
      <c r="E136" s="63">
        <f>'P&amp;L'!H406</f>
        <v>0</v>
      </c>
      <c r="F136" s="63">
        <f>'P&amp;L'!I406</f>
        <v>0</v>
      </c>
      <c r="G136" s="63">
        <f>'P&amp;L'!J406</f>
        <v>0</v>
      </c>
      <c r="H136" s="63">
        <f>'P&amp;L'!K406</f>
        <v>0</v>
      </c>
      <c r="I136" s="63">
        <f>'P&amp;L'!L406</f>
        <v>0</v>
      </c>
      <c r="J136" s="63">
        <f>'P&amp;L'!M406</f>
        <v>0</v>
      </c>
      <c r="K136" s="63">
        <f>'P&amp;L'!N406</f>
        <v>0</v>
      </c>
      <c r="L136" s="63">
        <f>'P&amp;L'!O406</f>
        <v>0</v>
      </c>
      <c r="M136" s="63">
        <f>'P&amp;L'!P406</f>
        <v>0</v>
      </c>
      <c r="N136" s="63">
        <f>'P&amp;L'!Q406</f>
        <v>0</v>
      </c>
      <c r="O136" s="63" t="s">
        <v>426</v>
      </c>
      <c r="P136" s="63" t="s">
        <v>426</v>
      </c>
    </row>
    <row r="137" spans="2:47" ht="16.5">
      <c r="B137" s="79" t="s">
        <v>275</v>
      </c>
      <c r="C137" s="63">
        <f>'P&amp;L'!F407</f>
        <v>-600</v>
      </c>
      <c r="D137" s="63">
        <f>'P&amp;L'!G407</f>
        <v>-594</v>
      </c>
      <c r="E137" s="63">
        <f>'P&amp;L'!H407</f>
        <v>-432</v>
      </c>
      <c r="F137" s="63">
        <f>'P&amp;L'!I407</f>
        <v>-452</v>
      </c>
      <c r="G137" s="63">
        <f>'P&amp;L'!J407</f>
        <v>-452</v>
      </c>
      <c r="H137" s="63">
        <f>'P&amp;L'!K407</f>
        <v>-461.04</v>
      </c>
      <c r="I137" s="63">
        <f>'P&amp;L'!L407</f>
        <v>-470.26080000000002</v>
      </c>
      <c r="J137" s="63">
        <f>'P&amp;L'!M407</f>
        <v>-479.66601600000001</v>
      </c>
      <c r="K137" s="63">
        <f>'P&amp;L'!N407</f>
        <v>-489.25933632000005</v>
      </c>
      <c r="L137" s="63">
        <f>'P&amp;L'!O407</f>
        <v>-499.04452304640006</v>
      </c>
      <c r="M137" s="63">
        <f>'P&amp;L'!P407</f>
        <v>-509.0254135073281</v>
      </c>
      <c r="N137" s="63">
        <f>'P&amp;L'!Q407</f>
        <v>-519.20592177747471</v>
      </c>
      <c r="O137" s="63" t="s">
        <v>426</v>
      </c>
      <c r="P137" s="63" t="s">
        <v>426</v>
      </c>
    </row>
    <row r="138" spans="2:47" ht="16.5">
      <c r="B138" s="79" t="s">
        <v>277</v>
      </c>
      <c r="C138" s="63">
        <f>'P&amp;L'!F410</f>
        <v>-191</v>
      </c>
      <c r="D138" s="63">
        <f>'P&amp;L'!G410</f>
        <v>-34</v>
      </c>
      <c r="E138" s="63">
        <f>'P&amp;L'!H410</f>
        <v>-64</v>
      </c>
      <c r="F138" s="63">
        <f>'P&amp;L'!I410</f>
        <v>-127</v>
      </c>
      <c r="G138" s="63">
        <f>'P&amp;L'!J410</f>
        <v>-15</v>
      </c>
      <c r="H138" s="63">
        <f>'P&amp;L'!K410</f>
        <v>-25</v>
      </c>
      <c r="I138" s="63">
        <f>'P&amp;L'!L410</f>
        <v>-25</v>
      </c>
      <c r="J138" s="63">
        <f>'P&amp;L'!M410</f>
        <v>-25</v>
      </c>
      <c r="K138" s="63">
        <f>'P&amp;L'!N410</f>
        <v>-25</v>
      </c>
      <c r="L138" s="63">
        <f>'P&amp;L'!O410</f>
        <v>-25</v>
      </c>
      <c r="M138" s="63">
        <f>'P&amp;L'!P410</f>
        <v>-25</v>
      </c>
      <c r="N138" s="63">
        <f>'P&amp;L'!Q410</f>
        <v>-25</v>
      </c>
      <c r="O138" s="55" t="s">
        <v>426</v>
      </c>
      <c r="P138" s="55" t="s">
        <v>426</v>
      </c>
    </row>
    <row r="139" spans="2:47" ht="16.5">
      <c r="B139" s="80" t="s">
        <v>120</v>
      </c>
      <c r="C139" s="67">
        <f>'P&amp;L'!F423</f>
        <v>-423</v>
      </c>
      <c r="D139" s="67">
        <f>'P&amp;L'!G423</f>
        <v>-352</v>
      </c>
      <c r="E139" s="67">
        <f>'P&amp;L'!H423</f>
        <v>-288</v>
      </c>
      <c r="F139" s="67">
        <f>'P&amp;L'!I423</f>
        <v>-417</v>
      </c>
      <c r="G139" s="67">
        <f>'P&amp;L'!J423</f>
        <v>-295.19790920716343</v>
      </c>
      <c r="H139" s="67">
        <f>'P&amp;L'!K423</f>
        <v>-313.0146361853412</v>
      </c>
      <c r="I139" s="67">
        <f>'P&amp;L'!L423</f>
        <v>-319.88098304518144</v>
      </c>
      <c r="J139" s="67">
        <f>'P&amp;L'!M423</f>
        <v>-326.1443002734992</v>
      </c>
      <c r="K139" s="67">
        <f>'P&amp;L'!N423</f>
        <v>-334.35125567901275</v>
      </c>
      <c r="L139" s="67">
        <f>'P&amp;L'!O423</f>
        <v>-346.39957158746643</v>
      </c>
      <c r="M139" s="67">
        <f>'P&amp;L'!P423</f>
        <v>-356.07450918810105</v>
      </c>
      <c r="N139" s="67">
        <f>'P&amp;L'!Q423</f>
        <v>-366.23206676157849</v>
      </c>
      <c r="O139" s="72">
        <f>((K139/G139)^(1/4))-1</f>
        <v>3.1626335512395576E-2</v>
      </c>
      <c r="P139" s="72">
        <f>((L139/G139)^(1/5))-1</f>
        <v>3.2506546193794783E-2</v>
      </c>
      <c r="Q139" s="82"/>
    </row>
    <row r="140" spans="2:47" ht="16.5">
      <c r="B140" s="85" t="s">
        <v>867</v>
      </c>
      <c r="C140" s="65">
        <f>C141-C139</f>
        <v>356</v>
      </c>
      <c r="D140" s="65">
        <f t="shared" ref="D140:N140" si="44">D141-D139</f>
        <v>-67</v>
      </c>
      <c r="E140" s="65">
        <f t="shared" si="44"/>
        <v>-183</v>
      </c>
      <c r="F140" s="65">
        <f t="shared" si="44"/>
        <v>86</v>
      </c>
      <c r="G140" s="65">
        <f t="shared" si="44"/>
        <v>0</v>
      </c>
      <c r="H140" s="65">
        <f t="shared" si="44"/>
        <v>0</v>
      </c>
      <c r="I140" s="65">
        <f t="shared" si="44"/>
        <v>0</v>
      </c>
      <c r="J140" s="65">
        <f t="shared" si="44"/>
        <v>0</v>
      </c>
      <c r="K140" s="65">
        <f t="shared" si="44"/>
        <v>0</v>
      </c>
      <c r="L140" s="65">
        <f t="shared" si="44"/>
        <v>0</v>
      </c>
      <c r="M140" s="65">
        <f t="shared" si="44"/>
        <v>0</v>
      </c>
      <c r="N140" s="65">
        <f t="shared" si="44"/>
        <v>0</v>
      </c>
      <c r="O140" s="63" t="s">
        <v>426</v>
      </c>
      <c r="P140" s="63" t="s">
        <v>426</v>
      </c>
    </row>
    <row r="141" spans="2:47" ht="16.5">
      <c r="B141" s="80" t="s">
        <v>283</v>
      </c>
      <c r="C141" s="67">
        <f>'P&amp;L'!F435</f>
        <v>-67</v>
      </c>
      <c r="D141" s="67">
        <f>'P&amp;L'!G435</f>
        <v>-419</v>
      </c>
      <c r="E141" s="67">
        <f>'P&amp;L'!H435</f>
        <v>-471</v>
      </c>
      <c r="F141" s="67">
        <f>'P&amp;L'!I435</f>
        <v>-331</v>
      </c>
      <c r="G141" s="67">
        <f>'P&amp;L'!J435</f>
        <v>-295.19790920716343</v>
      </c>
      <c r="H141" s="67">
        <f>'P&amp;L'!K435</f>
        <v>-313.0146361853412</v>
      </c>
      <c r="I141" s="67">
        <f>'P&amp;L'!L435</f>
        <v>-319.88098304518132</v>
      </c>
      <c r="J141" s="67">
        <f>'P&amp;L'!M435</f>
        <v>-326.14430027349931</v>
      </c>
      <c r="K141" s="67">
        <f>'P&amp;L'!N435</f>
        <v>-334.3512556790127</v>
      </c>
      <c r="L141" s="67">
        <f>'P&amp;L'!O435</f>
        <v>-346.39957158746631</v>
      </c>
      <c r="M141" s="67">
        <f>'P&amp;L'!P435</f>
        <v>-356.07450918810099</v>
      </c>
      <c r="N141" s="67">
        <f>'P&amp;L'!Q435</f>
        <v>-366.23206676157861</v>
      </c>
      <c r="O141" s="72">
        <f>((K141/G141)^(1/4))-1</f>
        <v>3.1626335512395576E-2</v>
      </c>
      <c r="P141" s="72">
        <f>((L141/G141)^(1/5))-1</f>
        <v>3.2506546193794783E-2</v>
      </c>
      <c r="Q141" s="82"/>
    </row>
    <row r="142" spans="2:47" ht="16.5">
      <c r="B142" s="79"/>
      <c r="C142" s="63"/>
      <c r="D142" s="63"/>
      <c r="E142" s="63"/>
      <c r="F142" s="63"/>
      <c r="G142" s="63"/>
      <c r="H142" s="63"/>
      <c r="I142" s="63"/>
      <c r="J142" s="63"/>
      <c r="K142" s="63"/>
      <c r="L142" s="63"/>
      <c r="M142" s="63"/>
      <c r="N142" s="63"/>
      <c r="O142" s="63"/>
      <c r="P142" s="63"/>
    </row>
    <row r="143" spans="2:47" ht="33">
      <c r="B143" s="372" t="s">
        <v>423</v>
      </c>
      <c r="C143" s="1334" t="s">
        <v>433</v>
      </c>
      <c r="D143" s="1334" t="s">
        <v>514</v>
      </c>
      <c r="E143" s="1334">
        <v>2016</v>
      </c>
      <c r="F143" s="1334">
        <v>2017</v>
      </c>
      <c r="G143" s="1335">
        <v>2018</v>
      </c>
      <c r="H143" s="1335">
        <v>2019</v>
      </c>
      <c r="I143" s="1335">
        <v>2020</v>
      </c>
      <c r="J143" s="1335">
        <v>2021</v>
      </c>
      <c r="K143" s="1335">
        <v>2022</v>
      </c>
      <c r="L143" s="1335">
        <v>2023</v>
      </c>
      <c r="M143" s="1334" t="str">
        <f t="shared" ref="M143:N143" si="45">M2</f>
        <v>FY24E</v>
      </c>
      <c r="N143" s="1334" t="str">
        <f t="shared" si="45"/>
        <v>FY25E</v>
      </c>
      <c r="O143" s="1336" t="s">
        <v>945</v>
      </c>
      <c r="P143" s="1336" t="s">
        <v>946</v>
      </c>
      <c r="S143" s="60"/>
      <c r="T143" s="60"/>
      <c r="U143" s="59"/>
      <c r="V143" s="59"/>
      <c r="W143" s="59"/>
      <c r="X143" s="59"/>
      <c r="Y143" s="59"/>
      <c r="Z143" s="59"/>
      <c r="AR143" s="18"/>
      <c r="AS143" s="18"/>
      <c r="AT143" s="18"/>
      <c r="AU143" s="18"/>
    </row>
    <row r="144" spans="2:47" ht="16.5">
      <c r="B144" s="71" t="s">
        <v>463</v>
      </c>
      <c r="C144" s="66">
        <f>'P&amp;L'!F3</f>
        <v>52180</v>
      </c>
      <c r="D144" s="66">
        <f>'P&amp;L'!G3</f>
        <v>49414</v>
      </c>
      <c r="E144" s="66">
        <f>'P&amp;L'!H3</f>
        <v>48518</v>
      </c>
      <c r="F144" s="66">
        <f>'P&amp;L'!I3</f>
        <v>49109</v>
      </c>
      <c r="G144" s="66">
        <f>'P&amp;L'!J3</f>
        <v>52257.86029421589</v>
      </c>
      <c r="H144" s="66">
        <f>'P&amp;L'!K3</f>
        <v>53311.369525681919</v>
      </c>
      <c r="I144" s="66">
        <f>'P&amp;L'!L3</f>
        <v>54983.750913794494</v>
      </c>
      <c r="J144" s="66">
        <f>'P&amp;L'!M3</f>
        <v>57005.038212037085</v>
      </c>
      <c r="K144" s="66">
        <f>'P&amp;L'!N3</f>
        <v>58206.58063878044</v>
      </c>
      <c r="L144" s="66">
        <f>'P&amp;L'!O3</f>
        <v>57674.975218288324</v>
      </c>
      <c r="M144" s="66">
        <f>'P&amp;L'!P3</f>
        <v>58416.956918083248</v>
      </c>
      <c r="N144" s="66">
        <f>'P&amp;L'!Q3</f>
        <v>59056.427094547711</v>
      </c>
      <c r="O144" s="69">
        <f>((K144/G144)^(1/4))-1</f>
        <v>2.7318516478024524E-2</v>
      </c>
      <c r="P144" s="69">
        <f>((L144/G144)^(1/5))-1</f>
        <v>1.9922467058719251E-2</v>
      </c>
    </row>
    <row r="145" spans="2:16" ht="16.5">
      <c r="B145" s="78" t="s">
        <v>462</v>
      </c>
      <c r="C145" s="63">
        <f>'P&amp;L'!F10</f>
        <v>913</v>
      </c>
      <c r="D145" s="63">
        <f>'P&amp;L'!G10</f>
        <v>919</v>
      </c>
      <c r="E145" s="63">
        <f>'P&amp;L'!H10</f>
        <v>868</v>
      </c>
      <c r="F145" s="63">
        <f>'P&amp;L'!I10</f>
        <v>1026</v>
      </c>
      <c r="G145" s="63">
        <f>'P&amp;L'!J10</f>
        <v>1092.2384797969426</v>
      </c>
      <c r="H145" s="63">
        <f>'P&amp;L'!K10</f>
        <v>1102.4781542087978</v>
      </c>
      <c r="I145" s="63">
        <f>'P&amp;L'!L10</f>
        <v>1127.2473916124395</v>
      </c>
      <c r="J145" s="63">
        <f>'P&amp;L'!M10</f>
        <v>1163.9432806667512</v>
      </c>
      <c r="K145" s="63">
        <f>'P&amp;L'!N10</f>
        <v>1176.7258520521075</v>
      </c>
      <c r="L145" s="63">
        <f>'P&amp;L'!O10</f>
        <v>1140.1100612441649</v>
      </c>
      <c r="M145" s="63">
        <f>'P&amp;L'!P10</f>
        <v>1137.6663862443468</v>
      </c>
      <c r="N145" s="63">
        <f>'P&amp;L'!Q10</f>
        <v>1131.0249421034346</v>
      </c>
      <c r="O145" s="55">
        <f>((K145/G145)^(1/4))-1</f>
        <v>1.8801218012284293E-2</v>
      </c>
      <c r="P145" s="55">
        <f>((L145/G145)^(1/5))-1</f>
        <v>8.6160182732284429E-3</v>
      </c>
    </row>
    <row r="146" spans="2:16" ht="16.5">
      <c r="B146" s="71" t="s">
        <v>461</v>
      </c>
      <c r="C146" s="66">
        <f>'P&amp;L'!F17</f>
        <v>38821</v>
      </c>
      <c r="D146" s="66">
        <f>'P&amp;L'!G17</f>
        <v>36900</v>
      </c>
      <c r="E146" s="66">
        <f>'P&amp;L'!H17</f>
        <v>35806</v>
      </c>
      <c r="F146" s="66">
        <f>'P&amp;L'!I17</f>
        <v>36578</v>
      </c>
      <c r="G146" s="66">
        <f>'P&amp;L'!J17</f>
        <v>39052.992349520835</v>
      </c>
      <c r="H146" s="66">
        <f>'P&amp;L'!K17</f>
        <v>39891.131269113699</v>
      </c>
      <c r="I146" s="66">
        <f>'P&amp;L'!L17</f>
        <v>41259.857208309804</v>
      </c>
      <c r="J146" s="66">
        <f>'P&amp;L'!M17</f>
        <v>42994.565296814326</v>
      </c>
      <c r="K146" s="66">
        <f>'P&amp;L'!N17</f>
        <v>44259.300417410705</v>
      </c>
      <c r="L146" s="66">
        <f>'P&amp;L'!O17</f>
        <v>43912.185136768327</v>
      </c>
      <c r="M146" s="66">
        <f>'P&amp;L'!P17</f>
        <v>44515.49852540846</v>
      </c>
      <c r="N146" s="66">
        <f>'P&amp;L'!Q17</f>
        <v>44891.814480071764</v>
      </c>
      <c r="O146" s="69">
        <f>((K146/G146)^(1/4))-1</f>
        <v>3.1781073598319054E-2</v>
      </c>
      <c r="P146" s="69">
        <f>((L146/G146)^(1/5))-1</f>
        <v>2.3731688220621328E-2</v>
      </c>
    </row>
    <row r="147" spans="2:16" ht="16.5">
      <c r="B147" s="78" t="s">
        <v>455</v>
      </c>
      <c r="C147" s="186">
        <f t="shared" ref="C147:M147" si="46">C146/C144</f>
        <v>0.74398236872364887</v>
      </c>
      <c r="D147" s="186">
        <f t="shared" si="46"/>
        <v>0.74675193265066575</v>
      </c>
      <c r="E147" s="186">
        <f t="shared" si="46"/>
        <v>0.73799414650232908</v>
      </c>
      <c r="F147" s="186">
        <f t="shared" si="46"/>
        <v>0.7448329226821967</v>
      </c>
      <c r="G147" s="186">
        <f t="shared" si="46"/>
        <v>0.74731326789212948</v>
      </c>
      <c r="H147" s="186">
        <f t="shared" si="46"/>
        <v>0.74826686359833183</v>
      </c>
      <c r="I147" s="186">
        <f t="shared" si="46"/>
        <v>0.75040091886416582</v>
      </c>
      <c r="J147" s="186">
        <f t="shared" si="46"/>
        <v>0.75422395362478101</v>
      </c>
      <c r="K147" s="186">
        <f t="shared" si="46"/>
        <v>0.76038310327960945</v>
      </c>
      <c r="L147" s="186">
        <f t="shared" si="46"/>
        <v>0.76137328140271288</v>
      </c>
      <c r="M147" s="186">
        <f t="shared" si="46"/>
        <v>0.76203042530667109</v>
      </c>
      <c r="N147" s="186">
        <f>N146/N144</f>
        <v>0.76015120942215497</v>
      </c>
      <c r="O147" s="55" t="s">
        <v>426</v>
      </c>
      <c r="P147" s="55" t="s">
        <v>426</v>
      </c>
    </row>
    <row r="148" spans="2:16" ht="16.5">
      <c r="B148" s="56" t="s">
        <v>460</v>
      </c>
      <c r="C148" s="63">
        <f>'P&amp;L'!F26</f>
        <v>-12355</v>
      </c>
      <c r="D148" s="63">
        <f>'P&amp;L'!G26</f>
        <v>-11729</v>
      </c>
      <c r="E148" s="63">
        <f>'P&amp;L'!H26</f>
        <v>-11991</v>
      </c>
      <c r="F148" s="63">
        <f>'P&amp;L'!I26</f>
        <v>-12851.281569965869</v>
      </c>
      <c r="G148" s="63">
        <f>'P&amp;L'!J26</f>
        <v>-13194.019422565412</v>
      </c>
      <c r="H148" s="63">
        <f>'P&amp;L'!K26</f>
        <v>-13329.596750739251</v>
      </c>
      <c r="I148" s="63">
        <f>'P&amp;L'!L26</f>
        <v>-13193.577371216063</v>
      </c>
      <c r="J148" s="63">
        <f>'P&amp;L'!M26</f>
        <v>-13635.652970879959</v>
      </c>
      <c r="K148" s="63">
        <f>'P&amp;L'!N26</f>
        <v>-13602.214361270449</v>
      </c>
      <c r="L148" s="63">
        <f>'P&amp;L'!O26</f>
        <v>-13458.003570443878</v>
      </c>
      <c r="M148" s="63">
        <f>'P&amp;L'!P26</f>
        <v>-13618.42645995722</v>
      </c>
      <c r="N148" s="63">
        <f>'P&amp;L'!Q26</f>
        <v>-13753.108023929804</v>
      </c>
      <c r="O148" s="55">
        <f>((K148/G148)^(1/4))-1</f>
        <v>7.6463217741524758E-3</v>
      </c>
      <c r="P148" s="55">
        <f>((L148/G148)^(1/5))-1</f>
        <v>3.9699268042672209E-3</v>
      </c>
    </row>
    <row r="149" spans="2:16" ht="16.5">
      <c r="B149" s="78" t="s">
        <v>455</v>
      </c>
      <c r="C149" s="186">
        <f t="shared" ref="C149:M149" si="47">-C148/C144</f>
        <v>0.23677654273668072</v>
      </c>
      <c r="D149" s="186">
        <f t="shared" si="47"/>
        <v>0.23736188124822924</v>
      </c>
      <c r="E149" s="186">
        <f t="shared" si="47"/>
        <v>0.24714538934003874</v>
      </c>
      <c r="F149" s="186">
        <f t="shared" si="47"/>
        <v>0.26168892809802419</v>
      </c>
      <c r="G149" s="186">
        <f t="shared" si="47"/>
        <v>0.25247913612004086</v>
      </c>
      <c r="H149" s="186">
        <f t="shared" si="47"/>
        <v>0.25003290797693589</v>
      </c>
      <c r="I149" s="186">
        <f t="shared" si="47"/>
        <v>0.23995411647891079</v>
      </c>
      <c r="J149" s="186">
        <f t="shared" si="47"/>
        <v>0.23920083905847953</v>
      </c>
      <c r="K149" s="186">
        <f t="shared" si="47"/>
        <v>0.23368860036089978</v>
      </c>
      <c r="L149" s="186">
        <f t="shared" si="47"/>
        <v>0.2333421647691743</v>
      </c>
      <c r="M149" s="186">
        <f t="shared" si="47"/>
        <v>0.2331245442835036</v>
      </c>
      <c r="N149" s="186">
        <f>-N148/N144</f>
        <v>0.23288080062668637</v>
      </c>
      <c r="O149" s="55" t="s">
        <v>426</v>
      </c>
      <c r="P149" s="55" t="s">
        <v>426</v>
      </c>
    </row>
    <row r="150" spans="2:16" ht="16.5">
      <c r="B150" s="56" t="s">
        <v>105</v>
      </c>
      <c r="C150" s="63">
        <f>'P&amp;L'!F31</f>
        <v>-8723</v>
      </c>
      <c r="D150" s="63">
        <f>'P&amp;L'!G31</f>
        <v>-8738</v>
      </c>
      <c r="E150" s="63">
        <f>'P&amp;L'!H31</f>
        <v>-8402</v>
      </c>
      <c r="F150" s="63">
        <f>'P&amp;L'!I31</f>
        <v>-8313</v>
      </c>
      <c r="G150" s="63">
        <f>'P&amp;L'!J31</f>
        <v>-8940.9875763963992</v>
      </c>
      <c r="H150" s="63">
        <f>'P&amp;L'!K31</f>
        <v>-9076.4274523986951</v>
      </c>
      <c r="I150" s="63">
        <f>'P&amp;L'!L31</f>
        <v>-9355.1995898894456</v>
      </c>
      <c r="J150" s="63">
        <f>'P&amp;L'!M31</f>
        <v>-9506.4687746860873</v>
      </c>
      <c r="K150" s="63">
        <f>'P&amp;L'!N31</f>
        <v>-9658.7921387266051</v>
      </c>
      <c r="L150" s="63">
        <f>'P&amp;L'!O31</f>
        <v>-9621.2453087787017</v>
      </c>
      <c r="M150" s="63">
        <f>'P&amp;L'!P31</f>
        <v>-9556.9998805525756</v>
      </c>
      <c r="N150" s="63">
        <f>'P&amp;L'!Q31</f>
        <v>-9501.3207323582301</v>
      </c>
      <c r="O150" s="55">
        <f>((K150/G150)^(1/4))-1</f>
        <v>1.9493197061144274E-2</v>
      </c>
      <c r="P150" s="55">
        <f>((L150/G150)^(1/5))-1</f>
        <v>1.477359774771192E-2</v>
      </c>
    </row>
    <row r="151" spans="2:16" ht="16.5">
      <c r="B151" s="78" t="s">
        <v>455</v>
      </c>
      <c r="C151" s="186">
        <f t="shared" ref="C151:M151" si="48">-C150/C144</f>
        <v>0.16717133001149867</v>
      </c>
      <c r="D151" s="186">
        <f t="shared" si="48"/>
        <v>0.17683247662605739</v>
      </c>
      <c r="E151" s="186">
        <f t="shared" si="48"/>
        <v>0.17317284306855188</v>
      </c>
      <c r="F151" s="186">
        <f t="shared" si="48"/>
        <v>0.16927650736117617</v>
      </c>
      <c r="G151" s="186">
        <f t="shared" si="48"/>
        <v>0.17109364076634465</v>
      </c>
      <c r="H151" s="186">
        <f t="shared" si="48"/>
        <v>0.1702531286131426</v>
      </c>
      <c r="I151" s="186">
        <f t="shared" si="48"/>
        <v>0.1701448052272182</v>
      </c>
      <c r="J151" s="186">
        <f t="shared" si="48"/>
        <v>0.16676541359950739</v>
      </c>
      <c r="K151" s="186">
        <f t="shared" si="48"/>
        <v>0.16593986509304387</v>
      </c>
      <c r="L151" s="186">
        <f t="shared" si="48"/>
        <v>0.166818369186362</v>
      </c>
      <c r="M151" s="186">
        <f t="shared" si="48"/>
        <v>0.16359975570028643</v>
      </c>
      <c r="N151" s="186">
        <f>-N150/N144</f>
        <v>0.16088546496635966</v>
      </c>
      <c r="O151" s="55" t="s">
        <v>426</v>
      </c>
      <c r="P151" s="55" t="s">
        <v>426</v>
      </c>
    </row>
    <row r="152" spans="2:16" ht="16.5">
      <c r="B152" s="56" t="s">
        <v>459</v>
      </c>
      <c r="C152" s="63">
        <f>'P&amp;L'!F36</f>
        <v>-2552</v>
      </c>
      <c r="D152" s="63">
        <f>'P&amp;L'!G36</f>
        <v>-2389</v>
      </c>
      <c r="E152" s="63">
        <f>'P&amp;L'!H36</f>
        <v>-2120</v>
      </c>
      <c r="F152" s="63">
        <f>'P&amp;L'!I36</f>
        <v>-2148.7184300341301</v>
      </c>
      <c r="G152" s="63">
        <f>'P&amp;L'!J36</f>
        <v>-2224.9048009284475</v>
      </c>
      <c r="H152" s="63">
        <f>'P&amp;L'!K36</f>
        <v>-2215.6432976237043</v>
      </c>
      <c r="I152" s="63">
        <f>'P&amp;L'!L36</f>
        <v>-2171.5703723503734</v>
      </c>
      <c r="J152" s="63">
        <f>'P&amp;L'!M36</f>
        <v>-2207.1356708908238</v>
      </c>
      <c r="K152" s="63">
        <f>'P&amp;L'!N36</f>
        <v>-2258.7518890244414</v>
      </c>
      <c r="L152" s="63">
        <f>'P&amp;L'!O36</f>
        <v>-2267.9116311892258</v>
      </c>
      <c r="M152" s="63">
        <f>'P&amp;L'!P36</f>
        <v>-2309.8261759006064</v>
      </c>
      <c r="N152" s="63">
        <f>'P&amp;L'!Q36</f>
        <v>-2350.1386676879038</v>
      </c>
      <c r="O152" s="55">
        <f>((K152/G152)^(1/4))-1</f>
        <v>3.7817003105971025E-3</v>
      </c>
      <c r="P152" s="55">
        <f>((L152/G152)^(1/5))-1</f>
        <v>3.8363988472680521E-3</v>
      </c>
    </row>
    <row r="153" spans="2:16" ht="16.5">
      <c r="B153" s="78" t="s">
        <v>455</v>
      </c>
      <c r="C153" s="186">
        <f t="shared" ref="C153:M153" si="49">-C152/C144</f>
        <v>4.8907627443464927E-2</v>
      </c>
      <c r="D153" s="186">
        <f t="shared" si="49"/>
        <v>4.8346622414700287E-2</v>
      </c>
      <c r="E153" s="186">
        <f t="shared" si="49"/>
        <v>4.3695123459334677E-2</v>
      </c>
      <c r="F153" s="186">
        <f t="shared" si="49"/>
        <v>4.3754066057833191E-2</v>
      </c>
      <c r="G153" s="186">
        <f t="shared" si="49"/>
        <v>4.2575505166152182E-2</v>
      </c>
      <c r="H153" s="186">
        <f t="shared" si="49"/>
        <v>4.1560427303529553E-2</v>
      </c>
      <c r="I153" s="186">
        <f t="shared" si="49"/>
        <v>3.9494765931030053E-2</v>
      </c>
      <c r="J153" s="186">
        <f t="shared" si="49"/>
        <v>3.8718256142222338E-2</v>
      </c>
      <c r="K153" s="186">
        <f t="shared" si="49"/>
        <v>3.8805782168202747E-2</v>
      </c>
      <c r="L153" s="186">
        <f t="shared" si="49"/>
        <v>3.932228184937455E-2</v>
      </c>
      <c r="M153" s="186">
        <f t="shared" si="49"/>
        <v>3.9540337219886722E-2</v>
      </c>
      <c r="N153" s="186">
        <f>-N152/N144</f>
        <v>3.979479936917614E-2</v>
      </c>
      <c r="O153" s="55" t="s">
        <v>426</v>
      </c>
      <c r="P153" s="55" t="s">
        <v>426</v>
      </c>
    </row>
    <row r="154" spans="2:16" ht="16.5">
      <c r="B154" s="56" t="s">
        <v>458</v>
      </c>
      <c r="C154" s="63">
        <f>'P&amp;L'!F41</f>
        <v>-718</v>
      </c>
      <c r="D154" s="63">
        <f>'P&amp;L'!G41</f>
        <v>-254</v>
      </c>
      <c r="E154" s="63">
        <f>'P&amp;L'!H41</f>
        <v>-306</v>
      </c>
      <c r="F154" s="63">
        <f>'P&amp;L'!I41</f>
        <v>-415</v>
      </c>
      <c r="G154" s="63">
        <f>'P&amp;L'!J41</f>
        <v>-303</v>
      </c>
      <c r="H154" s="63">
        <f>'P&amp;L'!K41</f>
        <v>-313</v>
      </c>
      <c r="I154" s="63">
        <f>'P&amp;L'!L41</f>
        <v>-313</v>
      </c>
      <c r="J154" s="63">
        <f>'P&amp;L'!M41</f>
        <v>-313</v>
      </c>
      <c r="K154" s="63">
        <f>'P&amp;L'!N41</f>
        <v>-313</v>
      </c>
      <c r="L154" s="63">
        <f>'P&amp;L'!O41</f>
        <v>-313</v>
      </c>
      <c r="M154" s="63">
        <f>'P&amp;L'!P41</f>
        <v>-313</v>
      </c>
      <c r="N154" s="63">
        <f>'P&amp;L'!Q41</f>
        <v>-313</v>
      </c>
      <c r="O154" s="55">
        <f>((K154/G154)^(1/4))-1</f>
        <v>8.1506332754166522E-3</v>
      </c>
      <c r="P154" s="55">
        <f>((L154/G154)^(1/5))-1</f>
        <v>6.5152092442650744E-3</v>
      </c>
    </row>
    <row r="155" spans="2:16" ht="16.5">
      <c r="B155" s="75" t="s">
        <v>457</v>
      </c>
      <c r="C155" s="67">
        <f>'P&amp;L'!F50</f>
        <v>14473</v>
      </c>
      <c r="D155" s="67">
        <f>'P&amp;L'!G50</f>
        <v>13790</v>
      </c>
      <c r="E155" s="67">
        <f>'P&amp;L'!H50</f>
        <v>12987</v>
      </c>
      <c r="F155" s="67">
        <f>'P&amp;L'!I50</f>
        <v>12850</v>
      </c>
      <c r="G155" s="67">
        <f>'P&amp;L'!J50</f>
        <v>14390.080549630573</v>
      </c>
      <c r="H155" s="67">
        <f>'P&amp;L'!K50</f>
        <v>14956.463768352045</v>
      </c>
      <c r="I155" s="67">
        <f>'P&amp;L'!L50</f>
        <v>16226.509874853924</v>
      </c>
      <c r="J155" s="67">
        <f>'P&amp;L'!M50</f>
        <v>17332.307880357461</v>
      </c>
      <c r="K155" s="67">
        <f>'P&amp;L'!N50</f>
        <v>18426.542028389209</v>
      </c>
      <c r="L155" s="67">
        <f>'P&amp;L'!O50</f>
        <v>18252.024626356528</v>
      </c>
      <c r="M155" s="67">
        <f>'P&amp;L'!P50</f>
        <v>18717.246008998056</v>
      </c>
      <c r="N155" s="67">
        <f>'P&amp;L'!Q50</f>
        <v>18974.247056095825</v>
      </c>
      <c r="O155" s="72">
        <f>((K155/G155)^(1/4))-1</f>
        <v>6.3763670507948067E-2</v>
      </c>
      <c r="P155" s="72">
        <f>((L155/G155)^(1/5))-1</f>
        <v>4.8695885857186871E-2</v>
      </c>
    </row>
    <row r="156" spans="2:16" ht="16.5">
      <c r="B156" s="78" t="s">
        <v>455</v>
      </c>
      <c r="C156" s="186">
        <f t="shared" ref="C156:M156" si="50">C155/C144</f>
        <v>0.27736680720582596</v>
      </c>
      <c r="D156" s="186">
        <f t="shared" si="50"/>
        <v>0.27907070870603473</v>
      </c>
      <c r="E156" s="186">
        <f t="shared" si="50"/>
        <v>0.26767385300300917</v>
      </c>
      <c r="F156" s="186">
        <f t="shared" si="50"/>
        <v>0.2616628316601845</v>
      </c>
      <c r="G156" s="186">
        <f t="shared" si="50"/>
        <v>0.27536681503248084</v>
      </c>
      <c r="H156" s="186">
        <f t="shared" si="50"/>
        <v>0.28054923183218922</v>
      </c>
      <c r="I156" s="186">
        <f t="shared" si="50"/>
        <v>0.29511464032882062</v>
      </c>
      <c r="J156" s="186">
        <f t="shared" si="50"/>
        <v>0.30404870207941725</v>
      </c>
      <c r="K156" s="186">
        <f t="shared" si="50"/>
        <v>0.31657145680384513</v>
      </c>
      <c r="L156" s="186">
        <f t="shared" si="50"/>
        <v>0.3164635018441922</v>
      </c>
      <c r="M156" s="186">
        <f t="shared" si="50"/>
        <v>0.32040775481072764</v>
      </c>
      <c r="N156" s="186">
        <f>N155/N144</f>
        <v>0.32129012860392958</v>
      </c>
      <c r="O156" s="55" t="s">
        <v>426</v>
      </c>
      <c r="P156" s="55" t="s">
        <v>426</v>
      </c>
    </row>
    <row r="157" spans="2:16" ht="16.5">
      <c r="B157" s="75" t="s">
        <v>456</v>
      </c>
      <c r="C157" s="67">
        <f>'P&amp;L'!F81</f>
        <v>11089</v>
      </c>
      <c r="D157" s="67">
        <f>'P&amp;L'!G81</f>
        <v>8977</v>
      </c>
      <c r="E157" s="67">
        <f>'P&amp;L'!H81</f>
        <v>8268</v>
      </c>
      <c r="F157" s="67">
        <f>'P&amp;L'!I81</f>
        <v>8629</v>
      </c>
      <c r="G157" s="67">
        <f>'P&amp;L'!J81</f>
        <v>10492.080549630573</v>
      </c>
      <c r="H157" s="67">
        <f>'P&amp;L'!K81</f>
        <v>11358.463768352045</v>
      </c>
      <c r="I157" s="67">
        <f>'P&amp;L'!L81</f>
        <v>11729.509874853924</v>
      </c>
      <c r="J157" s="67">
        <f>'P&amp;L'!M81</f>
        <v>12989.307880357466</v>
      </c>
      <c r="K157" s="67">
        <f>'P&amp;L'!N81</f>
        <v>14183.542028389211</v>
      </c>
      <c r="L157" s="67">
        <f>'P&amp;L'!O81</f>
        <v>14299.024626356526</v>
      </c>
      <c r="M157" s="67">
        <f>'P&amp;L'!P81</f>
        <v>14764.246008998049</v>
      </c>
      <c r="N157" s="67">
        <f>'P&amp;L'!Q81</f>
        <v>13713.247056095823</v>
      </c>
      <c r="O157" s="72">
        <f>((K157/G157)^(1/4))-1</f>
        <v>7.8278065850627243E-2</v>
      </c>
      <c r="P157" s="72">
        <f>((L157/G157)^(1/5))-1</f>
        <v>6.387097296407207E-2</v>
      </c>
    </row>
    <row r="158" spans="2:16" ht="16.5">
      <c r="B158" s="78" t="s">
        <v>455</v>
      </c>
      <c r="C158" s="186">
        <f t="shared" ref="C158:M158" si="51">C157/C$144</f>
        <v>0.21251437332311229</v>
      </c>
      <c r="D158" s="186">
        <f t="shared" si="51"/>
        <v>0.18166916258550209</v>
      </c>
      <c r="E158" s="186">
        <f t="shared" si="51"/>
        <v>0.17041098149140524</v>
      </c>
      <c r="F158" s="186">
        <f t="shared" si="51"/>
        <v>0.17571117310472623</v>
      </c>
      <c r="G158" s="186">
        <f t="shared" si="51"/>
        <v>0.20077516550733859</v>
      </c>
      <c r="H158" s="186">
        <f t="shared" si="51"/>
        <v>0.21305893788529073</v>
      </c>
      <c r="I158" s="186">
        <f t="shared" si="51"/>
        <v>0.21332684074689398</v>
      </c>
      <c r="J158" s="186">
        <f t="shared" si="51"/>
        <v>0.22786245370176186</v>
      </c>
      <c r="K158" s="186">
        <f t="shared" si="51"/>
        <v>0.24367591898946475</v>
      </c>
      <c r="L158" s="186">
        <f t="shared" si="51"/>
        <v>0.24792424395914447</v>
      </c>
      <c r="M158" s="186">
        <f t="shared" si="51"/>
        <v>0.25273904680967224</v>
      </c>
      <c r="N158" s="186">
        <f>N157/N$144</f>
        <v>0.2322058365322591</v>
      </c>
      <c r="O158" s="55" t="s">
        <v>426</v>
      </c>
      <c r="P158" s="55" t="s">
        <v>426</v>
      </c>
    </row>
    <row r="159" spans="2:16" ht="16.5">
      <c r="B159" s="78" t="s">
        <v>150</v>
      </c>
      <c r="C159" s="65">
        <f>'P&amp;L'!F104</f>
        <v>945</v>
      </c>
      <c r="D159" s="65">
        <f>'P&amp;L'!G104</f>
        <v>981</v>
      </c>
      <c r="E159" s="65">
        <f>'P&amp;L'!H104</f>
        <v>1134</v>
      </c>
      <c r="F159" s="65">
        <f>'P&amp;L'!I104</f>
        <v>1334</v>
      </c>
      <c r="G159" s="65">
        <f>'P&amp;L'!J104</f>
        <v>967.6728154727773</v>
      </c>
      <c r="H159" s="65">
        <f>'P&amp;L'!K104</f>
        <v>923.29140044895848</v>
      </c>
      <c r="I159" s="65">
        <f>'P&amp;L'!L104</f>
        <v>1000.3643842473371</v>
      </c>
      <c r="J159" s="65">
        <f>'P&amp;L'!M104</f>
        <v>1059.008707267355</v>
      </c>
      <c r="K159" s="65">
        <f>'P&amp;L'!N104</f>
        <v>1128.0091426307229</v>
      </c>
      <c r="L159" s="65">
        <f>'P&amp;L'!O104</f>
        <v>1200.4595997622591</v>
      </c>
      <c r="M159" s="65">
        <f>'P&amp;L'!P104</f>
        <v>1276.5325797503722</v>
      </c>
      <c r="N159" s="65">
        <f>'P&amp;L'!Q104</f>
        <v>1356.409208737891</v>
      </c>
      <c r="O159" s="55">
        <f>((K159/G159)^(1/4))-1</f>
        <v>3.9072903766368849E-2</v>
      </c>
      <c r="P159" s="55">
        <f>((L159/G159)^(1/5))-1</f>
        <v>4.4056019484649322E-2</v>
      </c>
    </row>
    <row r="160" spans="2:16" ht="16.5">
      <c r="B160" s="56" t="s">
        <v>156</v>
      </c>
      <c r="C160" s="65">
        <f>'P&amp;L'!F107</f>
        <v>-735</v>
      </c>
      <c r="D160" s="65">
        <f>'P&amp;L'!G107</f>
        <v>-679</v>
      </c>
      <c r="E160" s="65">
        <f>'P&amp;L'!H107</f>
        <v>-806</v>
      </c>
      <c r="F160" s="65">
        <f>'P&amp;L'!I107</f>
        <v>-738</v>
      </c>
      <c r="G160" s="65">
        <f>'P&amp;L'!J107</f>
        <v>-830</v>
      </c>
      <c r="H160" s="65">
        <f>'P&amp;L'!K107</f>
        <v>-750</v>
      </c>
      <c r="I160" s="65">
        <f>'P&amp;L'!L107</f>
        <v>-700</v>
      </c>
      <c r="J160" s="65">
        <f>'P&amp;L'!M107</f>
        <v>-600</v>
      </c>
      <c r="K160" s="65">
        <f>'P&amp;L'!N107</f>
        <v>-500</v>
      </c>
      <c r="L160" s="65">
        <f>'P&amp;L'!O107</f>
        <v>-400</v>
      </c>
      <c r="M160" s="65">
        <f>'P&amp;L'!P107</f>
        <v>-200</v>
      </c>
      <c r="N160" s="65">
        <f>'P&amp;L'!Q107</f>
        <v>-200</v>
      </c>
      <c r="O160" s="55" t="s">
        <v>426</v>
      </c>
      <c r="P160" s="55" t="s">
        <v>426</v>
      </c>
    </row>
    <row r="161" spans="2:47" ht="16.5">
      <c r="B161" s="71" t="s">
        <v>454</v>
      </c>
      <c r="C161" s="66">
        <f>'P&amp;L'!F115</f>
        <v>14683</v>
      </c>
      <c r="D161" s="66">
        <f>'P&amp;L'!G115</f>
        <v>14092</v>
      </c>
      <c r="E161" s="66">
        <f>'P&amp;L'!H115</f>
        <v>13315</v>
      </c>
      <c r="F161" s="66">
        <f>'P&amp;L'!I115</f>
        <v>13446</v>
      </c>
      <c r="G161" s="66">
        <f>'P&amp;L'!J115</f>
        <v>14527.75336510335</v>
      </c>
      <c r="H161" s="66">
        <f>'P&amp;L'!K115</f>
        <v>15129.755168801003</v>
      </c>
      <c r="I161" s="66">
        <f>'P&amp;L'!L115</f>
        <v>16526.87425910126</v>
      </c>
      <c r="J161" s="66">
        <f>'P&amp;L'!M115</f>
        <v>17791.316587624817</v>
      </c>
      <c r="K161" s="66">
        <f>'P&amp;L'!N115</f>
        <v>19054.551171019932</v>
      </c>
      <c r="L161" s="66">
        <f>'P&amp;L'!O115</f>
        <v>19052.484226118788</v>
      </c>
      <c r="M161" s="66">
        <f>'P&amp;L'!P115</f>
        <v>19793.778588748428</v>
      </c>
      <c r="N161" s="66">
        <f>'P&amp;L'!Q115</f>
        <v>20130.656264833717</v>
      </c>
      <c r="O161" s="55">
        <f>((K161/G161)^(1/4))-1</f>
        <v>7.0163332065970918E-2</v>
      </c>
      <c r="P161" s="55">
        <f>((L161/G161)^(1/5))-1</f>
        <v>5.5724573472795136E-2</v>
      </c>
    </row>
    <row r="162" spans="2:47" ht="16.5">
      <c r="B162" s="56" t="s">
        <v>453</v>
      </c>
      <c r="C162" s="65">
        <f>'P&amp;L'!F119</f>
        <v>-2028</v>
      </c>
      <c r="D162" s="65">
        <f>'P&amp;L'!G119</f>
        <v>-2051</v>
      </c>
      <c r="E162" s="65">
        <f>'P&amp;L'!H119</f>
        <v>-2001</v>
      </c>
      <c r="F162" s="65">
        <f>'P&amp;L'!I119</f>
        <v>-2056</v>
      </c>
      <c r="G162" s="65">
        <f>'P&amp;L'!J119</f>
        <v>-2324.4405384165361</v>
      </c>
      <c r="H162" s="65">
        <f>'P&amp;L'!K119</f>
        <v>-2420.7608270081605</v>
      </c>
      <c r="I162" s="65">
        <f>'P&amp;L'!L119</f>
        <v>-2644.2998814562015</v>
      </c>
      <c r="J162" s="65">
        <f>'P&amp;L'!M119</f>
        <v>-2846.6106540199708</v>
      </c>
      <c r="K162" s="65">
        <f>'P&amp;L'!N119</f>
        <v>-3048.7281873631891</v>
      </c>
      <c r="L162" s="65">
        <f>'P&amp;L'!O119</f>
        <v>-3048.3974761790059</v>
      </c>
      <c r="M162" s="65">
        <f>'P&amp;L'!P119</f>
        <v>-3167.0045741997487</v>
      </c>
      <c r="N162" s="65">
        <f>'P&amp;L'!Q119</f>
        <v>-3220.9050023733948</v>
      </c>
      <c r="O162" s="55">
        <f>((K162/G162)^(1/4))-1</f>
        <v>7.0163332065970918E-2</v>
      </c>
      <c r="P162" s="55">
        <f>((L162/G162)^(1/5))-1</f>
        <v>5.5724573472795136E-2</v>
      </c>
    </row>
    <row r="163" spans="2:47" ht="16.5">
      <c r="B163" s="56" t="s">
        <v>452</v>
      </c>
      <c r="C163" s="186">
        <f t="shared" ref="C163:M163" si="52">-C162/C161</f>
        <v>0.1381189130286726</v>
      </c>
      <c r="D163" s="186">
        <f t="shared" si="52"/>
        <v>0.1455435708203236</v>
      </c>
      <c r="E163" s="186">
        <f t="shared" si="52"/>
        <v>0.15028163725122043</v>
      </c>
      <c r="F163" s="186">
        <f t="shared" si="52"/>
        <v>0.15290792800832961</v>
      </c>
      <c r="G163" s="186">
        <f t="shared" si="52"/>
        <v>0.16</v>
      </c>
      <c r="H163" s="186">
        <f t="shared" si="52"/>
        <v>0.16</v>
      </c>
      <c r="I163" s="186">
        <f t="shared" si="52"/>
        <v>0.16</v>
      </c>
      <c r="J163" s="186">
        <f t="shared" si="52"/>
        <v>0.16</v>
      </c>
      <c r="K163" s="186">
        <f t="shared" si="52"/>
        <v>0.16</v>
      </c>
      <c r="L163" s="186">
        <f t="shared" si="52"/>
        <v>0.16</v>
      </c>
      <c r="M163" s="186">
        <f t="shared" si="52"/>
        <v>0.16</v>
      </c>
      <c r="N163" s="186">
        <f>-N162/N161</f>
        <v>0.16</v>
      </c>
      <c r="O163" s="55" t="s">
        <v>426</v>
      </c>
      <c r="P163" s="55" t="s">
        <v>426</v>
      </c>
    </row>
    <row r="164" spans="2:47" ht="16.5">
      <c r="B164" s="78" t="s">
        <v>451</v>
      </c>
      <c r="C164" s="65">
        <f>'P&amp;L'!F126</f>
        <v>12655</v>
      </c>
      <c r="D164" s="65">
        <f>'P&amp;L'!G126</f>
        <v>12041</v>
      </c>
      <c r="E164" s="65">
        <f>'P&amp;L'!H126</f>
        <v>11314</v>
      </c>
      <c r="F164" s="65">
        <f>'P&amp;L'!I126</f>
        <v>11390</v>
      </c>
      <c r="G164" s="65">
        <f>'P&amp;L'!J126</f>
        <v>12203.312826686813</v>
      </c>
      <c r="H164" s="65">
        <f>'P&amp;L'!K126</f>
        <v>12708.994341792843</v>
      </c>
      <c r="I164" s="65">
        <f>'P&amp;L'!L126</f>
        <v>13882.574377645058</v>
      </c>
      <c r="J164" s="65">
        <f>'P&amp;L'!M126</f>
        <v>14944.705933604846</v>
      </c>
      <c r="K164" s="65">
        <f>'P&amp;L'!N126</f>
        <v>16005.822983656743</v>
      </c>
      <c r="L164" s="65">
        <f>'P&amp;L'!O126</f>
        <v>16004.086749939783</v>
      </c>
      <c r="M164" s="65">
        <f>'P&amp;L'!P126</f>
        <v>16626.774014548679</v>
      </c>
      <c r="N164" s="65">
        <f>'P&amp;L'!Q126</f>
        <v>16909.751262460322</v>
      </c>
      <c r="O164" s="55">
        <f>((K164/G164)^(1/4))-1</f>
        <v>7.0163332065970918E-2</v>
      </c>
      <c r="P164" s="55">
        <f>((L164/G164)^(1/5))-1</f>
        <v>5.5724573472795358E-2</v>
      </c>
    </row>
    <row r="165" spans="2:47" ht="16.5">
      <c r="B165" s="56" t="s">
        <v>169</v>
      </c>
      <c r="C165" s="65">
        <f>'P&amp;L'!F129</f>
        <v>-70</v>
      </c>
      <c r="D165" s="65">
        <f>'P&amp;L'!G129</f>
        <v>-11</v>
      </c>
      <c r="E165" s="65">
        <f>'P&amp;L'!H129</f>
        <v>14</v>
      </c>
      <c r="F165" s="65">
        <f>'P&amp;L'!I129</f>
        <v>0</v>
      </c>
      <c r="G165" s="65">
        <f>'P&amp;L'!J129</f>
        <v>0</v>
      </c>
      <c r="H165" s="65">
        <f>'P&amp;L'!K129</f>
        <v>0</v>
      </c>
      <c r="I165" s="65">
        <f>'P&amp;L'!L129</f>
        <v>0</v>
      </c>
      <c r="J165" s="65">
        <f>'P&amp;L'!M129</f>
        <v>0</v>
      </c>
      <c r="K165" s="65">
        <f>'P&amp;L'!N129</f>
        <v>0</v>
      </c>
      <c r="L165" s="65">
        <f>'P&amp;L'!O129</f>
        <v>0</v>
      </c>
      <c r="M165" s="65">
        <f>'P&amp;L'!P129</f>
        <v>0</v>
      </c>
      <c r="N165" s="65">
        <f>'P&amp;L'!Q129</f>
        <v>0</v>
      </c>
      <c r="O165" s="55" t="s">
        <v>426</v>
      </c>
      <c r="P165" s="55" t="s">
        <v>426</v>
      </c>
    </row>
    <row r="166" spans="2:47" ht="16.5">
      <c r="B166" s="75" t="s">
        <v>450</v>
      </c>
      <c r="C166" s="67">
        <f>'P&amp;L'!F130</f>
        <v>12585</v>
      </c>
      <c r="D166" s="67">
        <f>'P&amp;L'!G130</f>
        <v>12030</v>
      </c>
      <c r="E166" s="67">
        <f>'P&amp;L'!H130</f>
        <v>11314</v>
      </c>
      <c r="F166" s="67">
        <f>'P&amp;L'!I130</f>
        <v>11390</v>
      </c>
      <c r="G166" s="67">
        <f>'P&amp;L'!J130</f>
        <v>12203.312826686813</v>
      </c>
      <c r="H166" s="67">
        <f>'P&amp;L'!K130</f>
        <v>12708.994341792843</v>
      </c>
      <c r="I166" s="67">
        <f>'P&amp;L'!L130</f>
        <v>13882.574377645058</v>
      </c>
      <c r="J166" s="67">
        <f>'P&amp;L'!M130</f>
        <v>14944.705933604846</v>
      </c>
      <c r="K166" s="67">
        <f>'P&amp;L'!N130</f>
        <v>16005.822983656743</v>
      </c>
      <c r="L166" s="67">
        <f>'P&amp;L'!O130</f>
        <v>16004.086749939783</v>
      </c>
      <c r="M166" s="67">
        <f>'P&amp;L'!P130</f>
        <v>16626.774014548679</v>
      </c>
      <c r="N166" s="67">
        <f>'P&amp;L'!Q130</f>
        <v>16909.751262460322</v>
      </c>
      <c r="O166" s="77">
        <f t="shared" ref="O166:O171" si="53">((K166/G166)^(1/4))-1</f>
        <v>7.0163332065970918E-2</v>
      </c>
      <c r="P166" s="77">
        <f t="shared" ref="P166:P171" si="54">((L166/G166)^(1/5))-1</f>
        <v>5.5724573472795358E-2</v>
      </c>
    </row>
    <row r="167" spans="2:47" ht="16.5">
      <c r="B167" s="71" t="s">
        <v>449</v>
      </c>
      <c r="C167" s="66">
        <f>'P&amp;L'!F142</f>
        <v>10657</v>
      </c>
      <c r="D167" s="66">
        <f>'P&amp;L'!G142</f>
        <v>7028</v>
      </c>
      <c r="E167" s="66">
        <f>'P&amp;L'!H142</f>
        <v>6698</v>
      </c>
      <c r="F167" s="66">
        <f>'P&amp;L'!I142</f>
        <v>7703</v>
      </c>
      <c r="G167" s="66">
        <f>'P&amp;L'!J142</f>
        <v>8858.2973142076135</v>
      </c>
      <c r="H167" s="66">
        <f>'P&amp;L'!K142</f>
        <v>9606.5902476103165</v>
      </c>
      <c r="I167" s="66">
        <f>'P&amp;L'!L142</f>
        <v>10011.357512853403</v>
      </c>
      <c r="J167" s="66">
        <f>'P&amp;L'!M142</f>
        <v>11208.052168227348</v>
      </c>
      <c r="K167" s="66">
        <f>'P&amp;L'!N142</f>
        <v>12354.705745363128</v>
      </c>
      <c r="L167" s="66">
        <f>'P&amp;L'!O142</f>
        <v>12581.030916222255</v>
      </c>
      <c r="M167" s="66">
        <f>'P&amp;L'!P142</f>
        <v>13193.987125457681</v>
      </c>
      <c r="N167" s="66">
        <f>'P&amp;L'!Q142</f>
        <v>12341.784544157048</v>
      </c>
      <c r="O167" s="55">
        <f t="shared" si="53"/>
        <v>8.6727202816884619E-2</v>
      </c>
      <c r="P167" s="55">
        <f t="shared" si="54"/>
        <v>7.2687439659977704E-2</v>
      </c>
    </row>
    <row r="168" spans="2:47" ht="16.5">
      <c r="B168" s="56" t="s">
        <v>448</v>
      </c>
      <c r="C168" s="65">
        <f>'P&amp;L'!F140</f>
        <v>2426</v>
      </c>
      <c r="D168" s="65">
        <f>'P&amp;L'!G140</f>
        <v>2403</v>
      </c>
      <c r="E168" s="65">
        <f>'P&amp;L'!H140</f>
        <v>2378</v>
      </c>
      <c r="F168" s="65">
        <f>'P&amp;L'!I140</f>
        <v>2346</v>
      </c>
      <c r="G168" s="65">
        <f>'P&amp;L'!J140</f>
        <v>2313.71</v>
      </c>
      <c r="H168" s="65">
        <f>'P&amp;L'!K140</f>
        <v>2305.2469999999998</v>
      </c>
      <c r="I168" s="65">
        <f>'P&amp;L'!L140</f>
        <v>2295.9629</v>
      </c>
      <c r="J168" s="65">
        <f>'P&amp;L'!M140</f>
        <v>2286.1040300000004</v>
      </c>
      <c r="K168" s="65">
        <f>'P&amp;L'!N140</f>
        <v>2275.8428210000002</v>
      </c>
      <c r="L168" s="65">
        <f>'P&amp;L'!O140</f>
        <v>2265.2999747000003</v>
      </c>
      <c r="M168" s="65">
        <f>'P&amp;L'!P140</f>
        <v>2254.5599822900008</v>
      </c>
      <c r="N168" s="65">
        <f>'P&amp;L'!Q140</f>
        <v>2243.6819876030013</v>
      </c>
      <c r="O168" s="55">
        <f t="shared" si="53"/>
        <v>-4.1169625374068985E-3</v>
      </c>
      <c r="P168" s="55">
        <f t="shared" si="54"/>
        <v>-4.2200917763859369E-3</v>
      </c>
    </row>
    <row r="169" spans="2:47" ht="16.5">
      <c r="B169" s="56" t="s">
        <v>447</v>
      </c>
      <c r="C169" s="65">
        <f>'P&amp;L'!F141</f>
        <v>2470</v>
      </c>
      <c r="D169" s="65">
        <f>'P&amp;L'!G141</f>
        <v>2438</v>
      </c>
      <c r="E169" s="65">
        <f>'P&amp;L'!H141</f>
        <v>2400</v>
      </c>
      <c r="F169" s="65">
        <f>'P&amp;L'!I141</f>
        <v>2371</v>
      </c>
      <c r="G169" s="65">
        <f>'P&amp;L'!J141</f>
        <v>2338.71</v>
      </c>
      <c r="H169" s="65">
        <f>'P&amp;L'!K141</f>
        <v>2330.2469999999998</v>
      </c>
      <c r="I169" s="65">
        <f>'P&amp;L'!L141</f>
        <v>2320.9629</v>
      </c>
      <c r="J169" s="65">
        <f>'P&amp;L'!M141</f>
        <v>2311.1040300000004</v>
      </c>
      <c r="K169" s="65">
        <f>'P&amp;L'!N141</f>
        <v>2300.8428210000002</v>
      </c>
      <c r="L169" s="65">
        <f>'P&amp;L'!O141</f>
        <v>2290.2999747000003</v>
      </c>
      <c r="M169" s="65">
        <f>'P&amp;L'!P141</f>
        <v>2279.5599822900008</v>
      </c>
      <c r="N169" s="65">
        <f>'P&amp;L'!Q141</f>
        <v>2268.6819876030013</v>
      </c>
      <c r="O169" s="55">
        <f t="shared" si="53"/>
        <v>-4.0726829359605254E-3</v>
      </c>
      <c r="P169" s="55">
        <f t="shared" si="54"/>
        <v>-4.1746006280484194E-3</v>
      </c>
    </row>
    <row r="170" spans="2:47" ht="16.5">
      <c r="B170" s="56" t="s">
        <v>446</v>
      </c>
      <c r="C170" s="76">
        <f>'P&amp;L'!F144</f>
        <v>4.3928276999175599</v>
      </c>
      <c r="D170" s="76">
        <f>'P&amp;L'!G144</f>
        <v>2.9246774864752392</v>
      </c>
      <c r="E170" s="76">
        <f>'P&amp;L'!H144</f>
        <v>2.8166526492851136</v>
      </c>
      <c r="F170" s="76">
        <f>'P&amp;L'!I144</f>
        <v>3.2834612105711849</v>
      </c>
      <c r="G170" s="76">
        <f>'P&amp;L'!J144</f>
        <v>3.8286117595582909</v>
      </c>
      <c r="H170" s="76">
        <f>'P&amp;L'!K144</f>
        <v>4.1672715538119416</v>
      </c>
      <c r="I170" s="76">
        <f>'P&amp;L'!L144</f>
        <v>4.3604178067744055</v>
      </c>
      <c r="J170" s="76">
        <f>'P&amp;L'!M144</f>
        <v>4.9026868511435788</v>
      </c>
      <c r="K170" s="76">
        <f>'P&amp;L'!N144</f>
        <v>5.4286287398065998</v>
      </c>
      <c r="L170" s="76">
        <f>'P&amp;L'!O144</f>
        <v>5.5538034947836845</v>
      </c>
      <c r="M170" s="76">
        <f>'P&amp;L'!P144</f>
        <v>5.8521339991390642</v>
      </c>
      <c r="N170" s="76">
        <f>'P&amp;L'!Q144</f>
        <v>5.5006835248261625</v>
      </c>
      <c r="O170" s="55">
        <f t="shared" si="53"/>
        <v>9.1219713497433519E-2</v>
      </c>
      <c r="P170" s="55">
        <f t="shared" si="54"/>
        <v>7.7233463741561259E-2</v>
      </c>
    </row>
    <row r="171" spans="2:47" ht="16.5">
      <c r="B171" s="75" t="s">
        <v>445</v>
      </c>
      <c r="C171" s="74">
        <f>'P&amp;L'!F133</f>
        <v>5.1875515251442703</v>
      </c>
      <c r="D171" s="74">
        <f>'P&amp;L'!G133</f>
        <v>5.0062421972534334</v>
      </c>
      <c r="E171" s="74">
        <f>'P&amp;L'!H133</f>
        <v>4.7577796467619846</v>
      </c>
      <c r="F171" s="74">
        <f>'P&amp;L'!I133</f>
        <v>4.8550724637681162</v>
      </c>
      <c r="G171" s="74">
        <f>'P&amp;L'!J133</f>
        <v>5.2743484821722744</v>
      </c>
      <c r="H171" s="74">
        <f>'P&amp;L'!K133</f>
        <v>5.5130727170636566</v>
      </c>
      <c r="I171" s="74">
        <f>'P&amp;L'!L133</f>
        <v>6.0465151147020091</v>
      </c>
      <c r="J171" s="74">
        <f>'P&amp;L'!M133</f>
        <v>6.5371941685457085</v>
      </c>
      <c r="K171" s="74">
        <f>'P&amp;L'!N133</f>
        <v>7.0329210945349114</v>
      </c>
      <c r="L171" s="74">
        <f>'P&amp;L'!O133</f>
        <v>7.0648862970385391</v>
      </c>
      <c r="M171" s="74">
        <f>'P&amp;L'!P133</f>
        <v>7.3747312757944625</v>
      </c>
      <c r="N171" s="74">
        <f>'P&amp;L'!Q133</f>
        <v>7.5366078418829581</v>
      </c>
      <c r="O171" s="73">
        <f t="shared" si="53"/>
        <v>7.4587368003210752E-2</v>
      </c>
      <c r="P171" s="72">
        <f t="shared" si="54"/>
        <v>6.0198709327362598E-2</v>
      </c>
    </row>
    <row r="172" spans="2:47" ht="16.5">
      <c r="B172" s="188" t="s">
        <v>122</v>
      </c>
      <c r="C172" s="84"/>
      <c r="D172" s="84">
        <f t="shared" ref="D172:N172" si="55">D171/C171-1</f>
        <v>-3.4950848586664307E-2</v>
      </c>
      <c r="E172" s="84">
        <f t="shared" si="55"/>
        <v>-4.9630549362506327E-2</v>
      </c>
      <c r="F172" s="84">
        <f t="shared" si="55"/>
        <v>2.0449206190611635E-2</v>
      </c>
      <c r="G172" s="84">
        <f t="shared" si="55"/>
        <v>8.6358344089214611E-2</v>
      </c>
      <c r="H172" s="84">
        <f t="shared" si="55"/>
        <v>4.526136938017844E-2</v>
      </c>
      <c r="I172" s="84">
        <f t="shared" si="55"/>
        <v>9.6759543183110974E-2</v>
      </c>
      <c r="J172" s="84">
        <f t="shared" si="55"/>
        <v>8.1150719800670013E-2</v>
      </c>
      <c r="K172" s="84">
        <f t="shared" si="55"/>
        <v>7.5831757969563984E-2</v>
      </c>
      <c r="L172" s="84">
        <f t="shared" si="55"/>
        <v>4.5450819188725955E-3</v>
      </c>
      <c r="M172" s="84">
        <f t="shared" si="55"/>
        <v>4.38570368621225E-2</v>
      </c>
      <c r="N172" s="84">
        <f t="shared" si="55"/>
        <v>2.1950164695466512E-2</v>
      </c>
      <c r="O172" s="55" t="s">
        <v>426</v>
      </c>
      <c r="P172" s="55" t="s">
        <v>426</v>
      </c>
    </row>
    <row r="173" spans="2:47" ht="16.5">
      <c r="B173" s="71" t="s">
        <v>444</v>
      </c>
      <c r="C173" s="70">
        <f>'P&amp;L'!F181</f>
        <v>2.6</v>
      </c>
      <c r="D173" s="70">
        <f>'P&amp;L'!G181</f>
        <v>2.7300000000000004</v>
      </c>
      <c r="E173" s="70">
        <f>'P&amp;L'!H181</f>
        <v>2.8665000000000007</v>
      </c>
      <c r="F173" s="70">
        <f>'P&amp;L'!I181</f>
        <v>3.0098250000000011</v>
      </c>
      <c r="G173" s="70">
        <f>'P&amp;L'!J181</f>
        <v>3.1603162500000015</v>
      </c>
      <c r="H173" s="70">
        <f>'P&amp;L'!K181</f>
        <v>3.3183320625000019</v>
      </c>
      <c r="I173" s="70">
        <f>'P&amp;L'!L181</f>
        <v>3.4842486656250022</v>
      </c>
      <c r="J173" s="70">
        <f>'P&amp;L'!M181</f>
        <v>3.6584610989062525</v>
      </c>
      <c r="K173" s="70">
        <f>'P&amp;L'!N181</f>
        <v>3.8413841538515654</v>
      </c>
      <c r="L173" s="70">
        <f>'P&amp;L'!O181</f>
        <v>4.0334533615441437</v>
      </c>
      <c r="M173" s="70">
        <f>'P&amp;L'!P181</f>
        <v>4.2351260296213509</v>
      </c>
      <c r="N173" s="70">
        <f>'P&amp;L'!Q181</f>
        <v>0</v>
      </c>
      <c r="O173" s="69">
        <f>((K173/G173)^(1/4))-1</f>
        <v>5.0000000000000044E-2</v>
      </c>
      <c r="P173" s="69">
        <f>((L173/G173)^(1/5))-1</f>
        <v>5.0000000000000044E-2</v>
      </c>
    </row>
    <row r="174" spans="2:47" ht="16.5">
      <c r="B174" s="188" t="s">
        <v>122</v>
      </c>
      <c r="C174" s="84"/>
      <c r="D174" s="84">
        <f t="shared" ref="D174:N174" si="56">D173/C173-1</f>
        <v>5.0000000000000044E-2</v>
      </c>
      <c r="E174" s="84">
        <f t="shared" si="56"/>
        <v>5.0000000000000044E-2</v>
      </c>
      <c r="F174" s="84">
        <f t="shared" si="56"/>
        <v>5.0000000000000044E-2</v>
      </c>
      <c r="G174" s="84">
        <f t="shared" si="56"/>
        <v>5.0000000000000044E-2</v>
      </c>
      <c r="H174" s="84">
        <f t="shared" si="56"/>
        <v>5.0000000000000044E-2</v>
      </c>
      <c r="I174" s="84">
        <f t="shared" si="56"/>
        <v>5.0000000000000044E-2</v>
      </c>
      <c r="J174" s="84">
        <f t="shared" si="56"/>
        <v>5.0000000000000044E-2</v>
      </c>
      <c r="K174" s="84">
        <f t="shared" si="56"/>
        <v>5.0000000000000044E-2</v>
      </c>
      <c r="L174" s="84">
        <f t="shared" si="56"/>
        <v>5.0000000000000044E-2</v>
      </c>
      <c r="M174" s="84">
        <f t="shared" si="56"/>
        <v>5.0000000000000044E-2</v>
      </c>
      <c r="N174" s="84">
        <f t="shared" si="56"/>
        <v>-1</v>
      </c>
      <c r="O174" s="69" t="s">
        <v>426</v>
      </c>
      <c r="P174" s="69" t="s">
        <v>426</v>
      </c>
    </row>
    <row r="175" spans="2:47" ht="17.25">
      <c r="B175" s="68"/>
      <c r="C175" s="56"/>
      <c r="D175" s="56"/>
      <c r="E175" s="56"/>
      <c r="F175" s="56"/>
      <c r="G175" s="56"/>
      <c r="H175" s="56"/>
      <c r="I175" s="56"/>
      <c r="J175" s="56"/>
      <c r="K175" s="56"/>
      <c r="L175" s="56"/>
      <c r="M175" s="56"/>
      <c r="N175" s="56"/>
      <c r="O175" s="55"/>
      <c r="P175" s="55"/>
    </row>
    <row r="176" spans="2:47" ht="16.5">
      <c r="B176" s="372" t="s">
        <v>443</v>
      </c>
      <c r="C176" s="1334" t="s">
        <v>433</v>
      </c>
      <c r="D176" s="1334" t="s">
        <v>514</v>
      </c>
      <c r="E176" s="1334">
        <v>2016</v>
      </c>
      <c r="F176" s="1334">
        <v>2017</v>
      </c>
      <c r="G176" s="1335">
        <v>2018</v>
      </c>
      <c r="H176" s="1335">
        <v>2019</v>
      </c>
      <c r="I176" s="1335">
        <v>2020</v>
      </c>
      <c r="J176" s="1335">
        <v>2021</v>
      </c>
      <c r="K176" s="1335">
        <v>2022</v>
      </c>
      <c r="L176" s="1335">
        <v>2023</v>
      </c>
      <c r="M176" s="62" t="str">
        <f t="shared" ref="M176:N176" si="57">M2</f>
        <v>FY24E</v>
      </c>
      <c r="N176" s="62" t="str">
        <f t="shared" si="57"/>
        <v>FY25E</v>
      </c>
      <c r="O176" s="61"/>
      <c r="P176" s="61"/>
      <c r="S176" s="60"/>
      <c r="T176" s="60"/>
      <c r="U176" s="59"/>
      <c r="V176" s="59"/>
      <c r="W176" s="59"/>
      <c r="X176" s="59"/>
      <c r="Y176" s="59"/>
      <c r="Z176" s="59"/>
      <c r="AR176" s="18"/>
      <c r="AS176" s="18"/>
      <c r="AT176" s="18"/>
      <c r="AU176" s="18"/>
    </row>
    <row r="177" spans="2:17" ht="16.5">
      <c r="B177" s="57" t="s">
        <v>313</v>
      </c>
      <c r="C177" s="57">
        <f>'BS CF Shares'!F2</f>
        <v>15983</v>
      </c>
      <c r="D177" s="57">
        <f>'BS CF Shares'!G2</f>
        <v>15982</v>
      </c>
      <c r="E177" s="57">
        <f>'BS CF Shares'!H2</f>
        <v>15641</v>
      </c>
      <c r="F177" s="57">
        <f>'BS CF Shares'!I2</f>
        <v>16464</v>
      </c>
      <c r="G177" s="57">
        <f>'BS CF Shares'!J2</f>
        <v>16247.844730951945</v>
      </c>
      <c r="H177" s="57">
        <f>'BS CF Shares'!K2</f>
        <v>15705.866238618866</v>
      </c>
      <c r="I177" s="57">
        <f>'BS CF Shares'!L2</f>
        <v>14855.800684264455</v>
      </c>
      <c r="J177" s="57">
        <f>'BS CF Shares'!M2</f>
        <v>13968.426732858483</v>
      </c>
      <c r="K177" s="57">
        <f>'BS CF Shares'!N2</f>
        <v>13025.711020025403</v>
      </c>
      <c r="L177" s="57">
        <f>'BS CF Shares'!O2</f>
        <v>11993.715505302998</v>
      </c>
      <c r="M177" s="57">
        <f>'BS CF Shares'!P2</f>
        <v>10896.900137870014</v>
      </c>
      <c r="N177" s="57">
        <f>'BS CF Shares'!Q2</f>
        <v>9732.3426824737526</v>
      </c>
      <c r="O177" s="57"/>
      <c r="P177" s="57"/>
    </row>
    <row r="178" spans="2:17" ht="16.5">
      <c r="B178" s="57" t="s">
        <v>314</v>
      </c>
      <c r="C178" s="57">
        <f>'BS CF Shares'!F3</f>
        <v>29311</v>
      </c>
      <c r="D178" s="57">
        <f>'BS CF Shares'!G3</f>
        <v>31174</v>
      </c>
      <c r="E178" s="57">
        <f>'BS CF Shares'!H3</f>
        <v>30980</v>
      </c>
      <c r="F178" s="57">
        <f>'BS CF Shares'!I3</f>
        <v>31750</v>
      </c>
      <c r="G178" s="57">
        <f>'BS CF Shares'!J3</f>
        <v>29158.566047793382</v>
      </c>
      <c r="H178" s="57">
        <f>'BS CF Shares'!K3</f>
        <v>26625.869988257869</v>
      </c>
      <c r="I178" s="57">
        <f>'BS CF Shares'!L3</f>
        <v>24151.451233688898</v>
      </c>
      <c r="J178" s="57">
        <f>'BS CF Shares'!M3</f>
        <v>21666.926042628715</v>
      </c>
      <c r="K178" s="57">
        <f>'BS CF Shares'!N3</f>
        <v>19176.393139434811</v>
      </c>
      <c r="L178" s="57">
        <f>'BS CF Shares'!O3</f>
        <v>16688.518263343369</v>
      </c>
      <c r="M178" s="57">
        <f>'BS CF Shares'!P3</f>
        <v>14196.933478752951</v>
      </c>
      <c r="N178" s="57">
        <f>'BS CF Shares'!Q3</f>
        <v>11702.151343280213</v>
      </c>
      <c r="O178" s="57"/>
      <c r="P178" s="57"/>
    </row>
    <row r="179" spans="2:17" ht="16.5">
      <c r="B179" s="57" t="s">
        <v>442</v>
      </c>
      <c r="C179" s="57">
        <f>'BS CF Shares'!F4</f>
        <v>23832</v>
      </c>
      <c r="D179" s="57">
        <f>'BS CF Shares'!G4</f>
        <v>34217</v>
      </c>
      <c r="E179" s="57">
        <f>'BS CF Shares'!H4</f>
        <v>31340</v>
      </c>
      <c r="F179" s="57">
        <f>'BS CF Shares'!I4</f>
        <v>29997</v>
      </c>
      <c r="G179" s="57">
        <f>'BS CF Shares'!J4</f>
        <v>36105.566047793385</v>
      </c>
      <c r="H179" s="57">
        <f>'BS CF Shares'!K4</f>
        <v>33572.869988257873</v>
      </c>
      <c r="I179" s="57">
        <f>'BS CF Shares'!L4</f>
        <v>31098.451233688902</v>
      </c>
      <c r="J179" s="57">
        <f>'BS CF Shares'!M4</f>
        <v>28613.926042628715</v>
      </c>
      <c r="K179" s="57">
        <f>'BS CF Shares'!N4</f>
        <v>26123.393139434811</v>
      </c>
      <c r="L179" s="57">
        <f>'BS CF Shares'!O4</f>
        <v>23635.518263343369</v>
      </c>
      <c r="M179" s="57">
        <f>'BS CF Shares'!P4</f>
        <v>21143.933478752951</v>
      </c>
      <c r="N179" s="57">
        <f>'BS CF Shares'!Q4</f>
        <v>18649.151343280213</v>
      </c>
      <c r="O179" s="57"/>
      <c r="P179" s="57"/>
    </row>
    <row r="180" spans="2:17" ht="16.5">
      <c r="B180" s="57" t="s">
        <v>805</v>
      </c>
      <c r="C180" s="57">
        <f>'BS CF Shares'!F5</f>
        <v>8432</v>
      </c>
      <c r="D180" s="57">
        <f>'BS CF Shares'!G5</f>
        <v>15314</v>
      </c>
      <c r="E180" s="57">
        <f>'BS CF Shares'!H5</f>
        <v>14304</v>
      </c>
      <c r="F180" s="57">
        <f>'BS CF Shares'!I5</f>
        <v>15370</v>
      </c>
      <c r="G180" s="57">
        <f>'BS CF Shares'!J5</f>
        <v>2650</v>
      </c>
      <c r="H180" s="57">
        <f>'BS CF Shares'!K5</f>
        <v>2697.2975874793765</v>
      </c>
      <c r="I180" s="57">
        <f>'BS CF Shares'!L5</f>
        <v>2602.9425878194961</v>
      </c>
      <c r="J180" s="57">
        <f>'BS CF Shares'!M5</f>
        <v>2482.2762122492968</v>
      </c>
      <c r="K180" s="57">
        <f>'BS CF Shares'!N5</f>
        <v>2312.8673541185049</v>
      </c>
      <c r="L180" s="57">
        <f>'BS CF Shares'!O5</f>
        <v>2093.2445530811733</v>
      </c>
      <c r="M180" s="57">
        <f>'BS CF Shares'!P5</f>
        <v>1815.7727619919751</v>
      </c>
      <c r="N180" s="57">
        <f>'BS CF Shares'!Q5</f>
        <v>1471.9227463483169</v>
      </c>
      <c r="O180" s="57"/>
      <c r="P180" s="57"/>
    </row>
    <row r="181" spans="2:17" ht="16.5">
      <c r="B181" s="57" t="s">
        <v>441</v>
      </c>
      <c r="C181" s="57">
        <f>'BS CF Shares'!F7</f>
        <v>1720</v>
      </c>
      <c r="D181" s="57">
        <f>'BS CF Shares'!G7</f>
        <v>2466</v>
      </c>
      <c r="E181" s="57">
        <f>'BS CF Shares'!H7</f>
        <v>2196</v>
      </c>
      <c r="F181" s="57">
        <f>'BS CF Shares'!I7</f>
        <v>2243</v>
      </c>
      <c r="G181" s="57">
        <f>'BS CF Shares'!J7</f>
        <v>3417.3233982707443</v>
      </c>
      <c r="H181" s="57">
        <f>'BS CF Shares'!K7</f>
        <v>6228.4951252850333</v>
      </c>
      <c r="I181" s="57">
        <f>'BS CF Shares'!L7</f>
        <v>8436.6673122841767</v>
      </c>
      <c r="J181" s="57">
        <f>'BS CF Shares'!M7</f>
        <v>10390.800765925989</v>
      </c>
      <c r="K181" s="57">
        <f>'BS CF Shares'!N7</f>
        <v>13016.759317473603</v>
      </c>
      <c r="L181" s="57">
        <f>'BS CF Shares'!O7</f>
        <v>16993.986720025125</v>
      </c>
      <c r="M181" s="57">
        <f>'BS CF Shares'!P7</f>
        <v>19978.890713756795</v>
      </c>
      <c r="N181" s="57">
        <f>'BS CF Shares'!Q7</f>
        <v>23053.405920067729</v>
      </c>
      <c r="O181" s="57"/>
      <c r="P181" s="57"/>
    </row>
    <row r="182" spans="2:17" ht="16.5">
      <c r="B182" s="57" t="s">
        <v>317</v>
      </c>
      <c r="C182" s="57">
        <f>'BS CF Shares'!F6</f>
        <v>7994</v>
      </c>
      <c r="D182" s="57">
        <f>'BS CF Shares'!G6</f>
        <v>8957</v>
      </c>
      <c r="E182" s="57">
        <f>'BS CF Shares'!H6</f>
        <v>10034</v>
      </c>
      <c r="F182" s="57">
        <f>'BS CF Shares'!I6</f>
        <v>8229</v>
      </c>
      <c r="G182" s="57">
        <f>'BS CF Shares'!J6</f>
        <v>8229</v>
      </c>
      <c r="H182" s="57">
        <f>'BS CF Shares'!K6</f>
        <v>8229</v>
      </c>
      <c r="I182" s="57">
        <f>'BS CF Shares'!L6</f>
        <v>8229</v>
      </c>
      <c r="J182" s="57">
        <f>'BS CF Shares'!M6</f>
        <v>8229</v>
      </c>
      <c r="K182" s="57">
        <f>'BS CF Shares'!N6</f>
        <v>8229</v>
      </c>
      <c r="L182" s="57">
        <f>'BS CF Shares'!O6</f>
        <v>8229</v>
      </c>
      <c r="M182" s="57">
        <f>'BS CF Shares'!P6</f>
        <v>8229</v>
      </c>
      <c r="N182" s="57">
        <f>'BS CF Shares'!Q6</f>
        <v>8229</v>
      </c>
      <c r="O182" s="57"/>
      <c r="P182" s="57"/>
    </row>
    <row r="183" spans="2:17" ht="16.5">
      <c r="B183" s="57" t="s">
        <v>319</v>
      </c>
      <c r="C183" s="57">
        <f>'BS CF Shares'!F8</f>
        <v>554</v>
      </c>
      <c r="D183" s="57">
        <f>'BS CF Shares'!G8</f>
        <v>601</v>
      </c>
      <c r="E183" s="57">
        <f>'BS CF Shares'!H8</f>
        <v>698</v>
      </c>
      <c r="F183" s="57">
        <f>'BS CF Shares'!I8</f>
        <v>818</v>
      </c>
      <c r="G183" s="57">
        <f>'BS CF Shares'!J8</f>
        <v>818</v>
      </c>
      <c r="H183" s="57">
        <f>'BS CF Shares'!K8</f>
        <v>818</v>
      </c>
      <c r="I183" s="57">
        <f>'BS CF Shares'!L8</f>
        <v>818</v>
      </c>
      <c r="J183" s="57">
        <f>'BS CF Shares'!M8</f>
        <v>818</v>
      </c>
      <c r="K183" s="57">
        <f>'BS CF Shares'!N8</f>
        <v>818</v>
      </c>
      <c r="L183" s="57">
        <f>'BS CF Shares'!O8</f>
        <v>818</v>
      </c>
      <c r="M183" s="57">
        <f>'BS CF Shares'!P8</f>
        <v>818</v>
      </c>
      <c r="N183" s="57">
        <f>'BS CF Shares'!Q8</f>
        <v>818</v>
      </c>
      <c r="O183" s="57"/>
      <c r="P183" s="57"/>
    </row>
    <row r="184" spans="2:17" ht="16.5">
      <c r="B184" s="54" t="s">
        <v>440</v>
      </c>
      <c r="C184" s="54">
        <f>'BS CF Shares'!F9</f>
        <v>87826</v>
      </c>
      <c r="D184" s="54">
        <f>'BS CF Shares'!G9</f>
        <v>108711</v>
      </c>
      <c r="E184" s="54">
        <f>'BS CF Shares'!H9</f>
        <v>105193</v>
      </c>
      <c r="F184" s="54">
        <f>'BS CF Shares'!I9</f>
        <v>104871</v>
      </c>
      <c r="G184" s="54">
        <f>'BS CF Shares'!J9</f>
        <v>96626.300224809456</v>
      </c>
      <c r="H184" s="54">
        <f>'BS CF Shares'!K9</f>
        <v>93877.398927899019</v>
      </c>
      <c r="I184" s="54">
        <f>'BS CF Shares'!L9</f>
        <v>90192.313051745936</v>
      </c>
      <c r="J184" s="54">
        <f>'BS CF Shares'!M9</f>
        <v>86169.355796291202</v>
      </c>
      <c r="K184" s="54">
        <f>'BS CF Shares'!N9</f>
        <v>82702.123970487126</v>
      </c>
      <c r="L184" s="54">
        <f>'BS CF Shares'!O9</f>
        <v>80451.98330509603</v>
      </c>
      <c r="M184" s="54">
        <f>'BS CF Shares'!P9</f>
        <v>77079.430571124685</v>
      </c>
      <c r="N184" s="54">
        <f>'BS CF Shares'!Q9</f>
        <v>73655.974035450228</v>
      </c>
      <c r="O184" s="54"/>
      <c r="P184" s="54"/>
    </row>
    <row r="185" spans="2:17" ht="16.5">
      <c r="B185" s="57" t="s">
        <v>321</v>
      </c>
      <c r="C185" s="63">
        <f>'BS CF Shares'!F10</f>
        <v>6093</v>
      </c>
      <c r="D185" s="63">
        <f>'BS CF Shares'!G10</f>
        <v>6226</v>
      </c>
      <c r="E185" s="63">
        <f>'BS CF Shares'!H10</f>
        <v>6255</v>
      </c>
      <c r="F185" s="63">
        <f>'BS CF Shares'!I10</f>
        <v>6867</v>
      </c>
      <c r="G185" s="63">
        <f>'BS CF Shares'!J10</f>
        <v>7307.3108114679699</v>
      </c>
      <c r="H185" s="63">
        <f>'BS CF Shares'!K10</f>
        <v>7454.6249064908216</v>
      </c>
      <c r="I185" s="63">
        <f>'BS CF Shares'!L10</f>
        <v>7688.4770108335906</v>
      </c>
      <c r="J185" s="63">
        <f>'BS CF Shares'!M10</f>
        <v>7971.1172575710898</v>
      </c>
      <c r="K185" s="63">
        <f>'BS CF Shares'!N10</f>
        <v>8139.1311011526459</v>
      </c>
      <c r="L185" s="63">
        <f>'BS CF Shares'!O10</f>
        <v>8064.7957568670899</v>
      </c>
      <c r="M185" s="63">
        <f>'BS CF Shares'!P10</f>
        <v>8168.5483955380414</v>
      </c>
      <c r="N185" s="63">
        <f>'BS CF Shares'!Q10</f>
        <v>8257.9666631016535</v>
      </c>
      <c r="O185" s="63"/>
      <c r="P185" s="63"/>
      <c r="Q185" s="17"/>
    </row>
    <row r="186" spans="2:17" ht="16.5">
      <c r="B186" s="57" t="s">
        <v>439</v>
      </c>
      <c r="C186" s="63">
        <f>'BS CF Shares'!F12</f>
        <v>8275</v>
      </c>
      <c r="D186" s="63">
        <f>'BS CF Shares'!G12</f>
        <v>8180</v>
      </c>
      <c r="E186" s="63">
        <f>'BS CF Shares'!H12</f>
        <v>8202</v>
      </c>
      <c r="F186" s="63">
        <f>'BS CF Shares'!I12</f>
        <v>8600</v>
      </c>
      <c r="G186" s="63">
        <f>'BS CF Shares'!J12</f>
        <v>9151.4304614277753</v>
      </c>
      <c r="H186" s="63">
        <f>'BS CF Shares'!K12</f>
        <v>9335.921682804872</v>
      </c>
      <c r="I186" s="63">
        <f>'BS CF Shares'!L12</f>
        <v>9628.7901985101034</v>
      </c>
      <c r="J186" s="63">
        <f>'BS CF Shares'!M12</f>
        <v>9982.7593439801039</v>
      </c>
      <c r="K186" s="63">
        <f>'BS CF Shares'!N12</f>
        <v>10193.17423473318</v>
      </c>
      <c r="L186" s="63">
        <f>'BS CF Shares'!O12</f>
        <v>10100.079147962279</v>
      </c>
      <c r="M186" s="63">
        <f>'BS CF Shares'!P12</f>
        <v>10230.015465505629</v>
      </c>
      <c r="N186" s="63">
        <f>'BS CF Shares'!Q12</f>
        <v>10341.999898452632</v>
      </c>
      <c r="O186" s="63"/>
      <c r="P186" s="63"/>
      <c r="Q186" s="17"/>
    </row>
    <row r="187" spans="2:17" ht="16.5">
      <c r="B187" s="57" t="s">
        <v>323</v>
      </c>
      <c r="C187" s="63">
        <f>'BS CF Shares'!F14</f>
        <v>2530</v>
      </c>
      <c r="D187" s="63">
        <f>'BS CF Shares'!G14</f>
        <v>2992</v>
      </c>
      <c r="E187" s="63">
        <f>'BS CF Shares'!H14</f>
        <v>2697</v>
      </c>
      <c r="F187" s="63">
        <f>'BS CF Shares'!I14</f>
        <v>3256</v>
      </c>
      <c r="G187" s="63">
        <f>'BS CF Shares'!J14</f>
        <v>3256</v>
      </c>
      <c r="H187" s="63">
        <f>'BS CF Shares'!K14</f>
        <v>3256</v>
      </c>
      <c r="I187" s="63">
        <f>'BS CF Shares'!L14</f>
        <v>3256</v>
      </c>
      <c r="J187" s="63">
        <f>'BS CF Shares'!M14</f>
        <v>3256</v>
      </c>
      <c r="K187" s="63">
        <f>'BS CF Shares'!N14</f>
        <v>3256</v>
      </c>
      <c r="L187" s="63">
        <f>'BS CF Shares'!O14</f>
        <v>3256</v>
      </c>
      <c r="M187" s="63">
        <f>'BS CF Shares'!P14</f>
        <v>3256</v>
      </c>
      <c r="N187" s="63">
        <f>'BS CF Shares'!Q14</f>
        <v>3256</v>
      </c>
      <c r="O187" s="63"/>
      <c r="P187" s="63"/>
      <c r="Q187" s="17"/>
    </row>
    <row r="188" spans="2:17" ht="16.5">
      <c r="B188" s="57" t="s">
        <v>438</v>
      </c>
      <c r="C188" s="63">
        <f>'BS CF Shares'!F15</f>
        <v>839</v>
      </c>
      <c r="D188" s="63">
        <f>'BS CF Shares'!G15</f>
        <v>773</v>
      </c>
      <c r="E188" s="63">
        <f>'BS CF Shares'!H15</f>
        <v>770</v>
      </c>
      <c r="F188" s="63">
        <f>'BS CF Shares'!I15</f>
        <v>625</v>
      </c>
      <c r="G188" s="63">
        <f>'BS CF Shares'!J15</f>
        <v>625</v>
      </c>
      <c r="H188" s="63">
        <f>'BS CF Shares'!K15</f>
        <v>625</v>
      </c>
      <c r="I188" s="63">
        <f>'BS CF Shares'!L15</f>
        <v>625</v>
      </c>
      <c r="J188" s="63">
        <f>'BS CF Shares'!M15</f>
        <v>625</v>
      </c>
      <c r="K188" s="63">
        <f>'BS CF Shares'!N15</f>
        <v>625</v>
      </c>
      <c r="L188" s="63">
        <f>'BS CF Shares'!O15</f>
        <v>625</v>
      </c>
      <c r="M188" s="63">
        <f>'BS CF Shares'!P15</f>
        <v>625</v>
      </c>
      <c r="N188" s="63">
        <f>'BS CF Shares'!Q15</f>
        <v>625</v>
      </c>
      <c r="O188" s="63"/>
      <c r="P188" s="63"/>
      <c r="Q188" s="17"/>
    </row>
    <row r="189" spans="2:17" ht="16.5">
      <c r="B189" s="57" t="s">
        <v>325</v>
      </c>
      <c r="C189" s="63">
        <f>'BS CF Shares'!F16</f>
        <v>13023</v>
      </c>
      <c r="D189" s="63">
        <f>'BS CF Shares'!G16</f>
        <v>4674</v>
      </c>
      <c r="E189" s="63">
        <f>'BS CF Shares'!H16</f>
        <v>7007</v>
      </c>
      <c r="F189" s="63">
        <f>'BS CF Shares'!I16</f>
        <v>8860</v>
      </c>
      <c r="G189" s="63">
        <f>'BS CF Shares'!J16</f>
        <v>18917.994000435414</v>
      </c>
      <c r="H189" s="63">
        <f>'BS CF Shares'!K16</f>
        <v>24793.356789184483</v>
      </c>
      <c r="I189" s="63">
        <f>'BS CF Shares'!L16</f>
        <v>31665.023251377715</v>
      </c>
      <c r="J189" s="63">
        <f>'BS CF Shares'!M16</f>
        <v>39762.825836505974</v>
      </c>
      <c r="K189" s="63">
        <f>'BS CF Shares'!N16</f>
        <v>48511.735039367733</v>
      </c>
      <c r="L189" s="63">
        <f>'BS CF Shares'!O16</f>
        <v>56617.806720354056</v>
      </c>
      <c r="M189" s="63">
        <f>'BS CF Shares'!P16</f>
        <v>65759.932722470709</v>
      </c>
      <c r="N189" s="63">
        <f>'BS CF Shares'!Q16</f>
        <v>74034.346573306015</v>
      </c>
      <c r="O189" s="63"/>
      <c r="P189" s="63"/>
      <c r="Q189" s="17"/>
    </row>
    <row r="190" spans="2:17" ht="16.5">
      <c r="B190" s="54" t="s">
        <v>326</v>
      </c>
      <c r="C190" s="66">
        <f>'BS CF Shares'!F17</f>
        <v>30760</v>
      </c>
      <c r="D190" s="66">
        <f>'BS CF Shares'!G17</f>
        <v>22845</v>
      </c>
      <c r="E190" s="66">
        <f>'BS CF Shares'!H17</f>
        <v>24931</v>
      </c>
      <c r="F190" s="66">
        <f>'BS CF Shares'!I17</f>
        <v>28208</v>
      </c>
      <c r="G190" s="66">
        <f>'BS CF Shares'!J17</f>
        <v>39257.735273331156</v>
      </c>
      <c r="H190" s="66">
        <f>'BS CF Shares'!K17</f>
        <v>45464.903378480172</v>
      </c>
      <c r="I190" s="66">
        <f>'BS CF Shares'!L17</f>
        <v>52863.290460721408</v>
      </c>
      <c r="J190" s="66">
        <f>'BS CF Shares'!M17</f>
        <v>61597.702438057167</v>
      </c>
      <c r="K190" s="66">
        <f>'BS CF Shares'!N17</f>
        <v>70725.040375253564</v>
      </c>
      <c r="L190" s="66">
        <f>'BS CF Shares'!O17</f>
        <v>78663.681625183424</v>
      </c>
      <c r="M190" s="66">
        <f>'BS CF Shares'!P17</f>
        <v>88039.496583514381</v>
      </c>
      <c r="N190" s="66">
        <f>'BS CF Shares'!Q17</f>
        <v>96515.313134860306</v>
      </c>
      <c r="O190" s="66"/>
      <c r="P190" s="66"/>
      <c r="Q190" s="17"/>
    </row>
    <row r="191" spans="2:17" ht="16.5">
      <c r="B191" s="57" t="s">
        <v>327</v>
      </c>
      <c r="C191" s="65">
        <f>'BS CF Shares'!F18</f>
        <v>6801</v>
      </c>
      <c r="D191" s="65">
        <f>'BS CF Shares'!G18</f>
        <v>0</v>
      </c>
      <c r="E191" s="65">
        <f>'BS CF Shares'!H18</f>
        <v>0</v>
      </c>
      <c r="F191" s="65">
        <f>'BS CF Shares'!I18</f>
        <v>0</v>
      </c>
      <c r="G191" s="65">
        <f>'BS CF Shares'!J18</f>
        <v>0</v>
      </c>
      <c r="H191" s="65">
        <f>'BS CF Shares'!K18</f>
        <v>0</v>
      </c>
      <c r="I191" s="65">
        <f>'BS CF Shares'!L18</f>
        <v>0</v>
      </c>
      <c r="J191" s="65">
        <f>'BS CF Shares'!M18</f>
        <v>0</v>
      </c>
      <c r="K191" s="65">
        <f>'BS CF Shares'!N18</f>
        <v>0</v>
      </c>
      <c r="L191" s="65">
        <f>'BS CF Shares'!O18</f>
        <v>0</v>
      </c>
      <c r="M191" s="65">
        <f>'BS CF Shares'!P18</f>
        <v>0</v>
      </c>
      <c r="N191" s="65">
        <f>'BS CF Shares'!Q18</f>
        <v>0</v>
      </c>
      <c r="O191" s="66"/>
      <c r="P191" s="66"/>
      <c r="Q191" s="17"/>
    </row>
    <row r="192" spans="2:17" ht="16.5">
      <c r="B192" s="58" t="s">
        <v>328</v>
      </c>
      <c r="C192" s="67">
        <f>'BS CF Shares'!F19</f>
        <v>125387</v>
      </c>
      <c r="D192" s="67">
        <f>'BS CF Shares'!G19</f>
        <v>131556</v>
      </c>
      <c r="E192" s="67">
        <f>'BS CF Shares'!H19</f>
        <v>130124</v>
      </c>
      <c r="F192" s="67">
        <f>'BS CF Shares'!I19</f>
        <v>133079</v>
      </c>
      <c r="G192" s="67">
        <f>'BS CF Shares'!J19</f>
        <v>135884.03549814061</v>
      </c>
      <c r="H192" s="67">
        <f>'BS CF Shares'!K19</f>
        <v>139342.30230637919</v>
      </c>
      <c r="I192" s="67">
        <f>'BS CF Shares'!L19</f>
        <v>143055.60351246735</v>
      </c>
      <c r="J192" s="67">
        <f>'BS CF Shares'!M19</f>
        <v>147767.05823434837</v>
      </c>
      <c r="K192" s="67">
        <f>'BS CF Shares'!N19</f>
        <v>153427.16434574069</v>
      </c>
      <c r="L192" s="67">
        <f>'BS CF Shares'!O19</f>
        <v>159115.66493027945</v>
      </c>
      <c r="M192" s="67">
        <f>'BS CF Shares'!P19</f>
        <v>165118.92715463907</v>
      </c>
      <c r="N192" s="67">
        <f>'BS CF Shares'!Q19</f>
        <v>170171.28717031053</v>
      </c>
      <c r="O192" s="66"/>
      <c r="P192" s="66"/>
      <c r="Q192" s="17"/>
    </row>
    <row r="193" spans="2:47" ht="16.5">
      <c r="B193" s="57" t="s">
        <v>329</v>
      </c>
      <c r="C193" s="65">
        <f>'BS CF Shares'!F20</f>
        <v>5419</v>
      </c>
      <c r="D193" s="65">
        <f>'BS CF Shares'!G20</f>
        <v>5668</v>
      </c>
      <c r="E193" s="65">
        <f>'BS CF Shares'!H20</f>
        <v>4873</v>
      </c>
      <c r="F193" s="65">
        <f>'BS CF Shares'!I20</f>
        <v>5169</v>
      </c>
      <c r="G193" s="65">
        <f>'BS CF Shares'!J20</f>
        <v>5500.4353552465318</v>
      </c>
      <c r="H193" s="65">
        <f>'BS CF Shares'!K20</f>
        <v>5611.3231602812075</v>
      </c>
      <c r="I193" s="65">
        <f>'BS CF Shares'!L20</f>
        <v>5787.350760011479</v>
      </c>
      <c r="J193" s="65">
        <f>'BS CF Shares'!M20</f>
        <v>6000.1026801201342</v>
      </c>
      <c r="K193" s="65">
        <f>'BS CF Shares'!N20</f>
        <v>6126.5718162018384</v>
      </c>
      <c r="L193" s="65">
        <f>'BS CF Shares'!O20</f>
        <v>6070.617339048491</v>
      </c>
      <c r="M193" s="65">
        <f>'BS CF Shares'!P20</f>
        <v>6148.7151094416968</v>
      </c>
      <c r="N193" s="65">
        <f>'BS CF Shares'!Q20</f>
        <v>6216.0229622211227</v>
      </c>
      <c r="O193" s="65"/>
      <c r="P193" s="65"/>
      <c r="Q193" s="17"/>
    </row>
    <row r="194" spans="2:47" ht="16.5">
      <c r="B194" s="57" t="s">
        <v>330</v>
      </c>
      <c r="C194" s="65">
        <f>'BS CF Shares'!F22</f>
        <v>6612</v>
      </c>
      <c r="D194" s="65">
        <f>'BS CF Shares'!G22</f>
        <v>5604</v>
      </c>
      <c r="E194" s="65">
        <f>'BS CF Shares'!H22</f>
        <v>5905</v>
      </c>
      <c r="F194" s="65">
        <f>'BS CF Shares'!I22</f>
        <v>5308</v>
      </c>
      <c r="G194" s="65">
        <f>'BS CF Shares'!J22</f>
        <v>5308</v>
      </c>
      <c r="H194" s="65">
        <f>'BS CF Shares'!K22</f>
        <v>5308</v>
      </c>
      <c r="I194" s="65">
        <f>'BS CF Shares'!L22</f>
        <v>5308</v>
      </c>
      <c r="J194" s="65">
        <f>'BS CF Shares'!M22</f>
        <v>5308</v>
      </c>
      <c r="K194" s="65">
        <f>'BS CF Shares'!N22</f>
        <v>5308</v>
      </c>
      <c r="L194" s="65">
        <f>'BS CF Shares'!O22</f>
        <v>5308</v>
      </c>
      <c r="M194" s="65">
        <f>'BS CF Shares'!P22</f>
        <v>5308</v>
      </c>
      <c r="N194" s="65">
        <f>'BS CF Shares'!Q22</f>
        <v>5308</v>
      </c>
      <c r="O194" s="65"/>
      <c r="P194" s="65"/>
      <c r="Q194" s="17"/>
    </row>
    <row r="195" spans="2:47" ht="16.5">
      <c r="B195" s="57" t="s">
        <v>331</v>
      </c>
      <c r="C195" s="65">
        <f>'BS CF Shares'!F23</f>
        <v>12524</v>
      </c>
      <c r="D195" s="65">
        <f>'BS CF Shares'!G23</f>
        <v>12436</v>
      </c>
      <c r="E195" s="65">
        <f>'BS CF Shares'!H23</f>
        <v>11431</v>
      </c>
      <c r="F195" s="65">
        <f>'BS CF Shares'!I23</f>
        <v>12926</v>
      </c>
      <c r="G195" s="65">
        <f>'BS CF Shares'!J23</f>
        <v>13754.812807490167</v>
      </c>
      <c r="H195" s="65">
        <f>'BS CF Shares'!K23</f>
        <v>14032.107403713464</v>
      </c>
      <c r="I195" s="65">
        <f>'BS CF Shares'!L23</f>
        <v>14472.29559371414</v>
      </c>
      <c r="J195" s="65">
        <f>'BS CF Shares'!M23</f>
        <v>15004.319451196145</v>
      </c>
      <c r="K195" s="65">
        <f>'BS CF Shares'!N23</f>
        <v>15320.577925367574</v>
      </c>
      <c r="L195" s="65">
        <f>'BS CF Shares'!O23</f>
        <v>15180.653844948891</v>
      </c>
      <c r="M195" s="65">
        <f>'BS CF Shares'!P23</f>
        <v>15375.95115199137</v>
      </c>
      <c r="N195" s="65">
        <f>'BS CF Shares'!Q23</f>
        <v>15544.266358999856</v>
      </c>
      <c r="O195" s="65"/>
      <c r="P195" s="65"/>
      <c r="Q195" s="17"/>
    </row>
    <row r="196" spans="2:47" ht="16.5">
      <c r="B196" s="54" t="s">
        <v>332</v>
      </c>
      <c r="C196" s="66">
        <f>'BS CF Shares'!F24</f>
        <v>24555</v>
      </c>
      <c r="D196" s="66">
        <f>'BS CF Shares'!G24</f>
        <v>23708</v>
      </c>
      <c r="E196" s="66">
        <f>'BS CF Shares'!H24</f>
        <v>22209</v>
      </c>
      <c r="F196" s="66">
        <f>'BS CF Shares'!I24</f>
        <v>23403</v>
      </c>
      <c r="G196" s="66">
        <f>'BS CF Shares'!J24</f>
        <v>24563.248162736701</v>
      </c>
      <c r="H196" s="66">
        <f>'BS CF Shares'!K24</f>
        <v>24951.430563994672</v>
      </c>
      <c r="I196" s="66">
        <f>'BS CF Shares'!L24</f>
        <v>25567.64635372562</v>
      </c>
      <c r="J196" s="66">
        <f>'BS CF Shares'!M24</f>
        <v>26312.422131316278</v>
      </c>
      <c r="K196" s="66">
        <f>'BS CF Shares'!N24</f>
        <v>26755.14974156941</v>
      </c>
      <c r="L196" s="66">
        <f>'BS CF Shares'!O24</f>
        <v>26559.271183997382</v>
      </c>
      <c r="M196" s="66">
        <f>'BS CF Shares'!P24</f>
        <v>26832.666261433067</v>
      </c>
      <c r="N196" s="66">
        <f>'BS CF Shares'!Q24</f>
        <v>27068.289321220978</v>
      </c>
      <c r="O196" s="66"/>
      <c r="P196" s="66"/>
      <c r="Q196" s="17"/>
    </row>
    <row r="197" spans="2:47" ht="16.5">
      <c r="B197" s="57" t="s">
        <v>333</v>
      </c>
      <c r="C197" s="65">
        <f>'BS CF Shares'!F25</f>
        <v>13799</v>
      </c>
      <c r="D197" s="65">
        <f>'BS CF Shares'!G25</f>
        <v>16327</v>
      </c>
      <c r="E197" s="65">
        <f>'BS CF Shares'!H25</f>
        <v>17897</v>
      </c>
      <c r="F197" s="65">
        <f>'BS CF Shares'!I25</f>
        <v>23224</v>
      </c>
      <c r="G197" s="65">
        <f>'BS CF Shares'!J25</f>
        <v>23224</v>
      </c>
      <c r="H197" s="65">
        <f>'BS CF Shares'!K25</f>
        <v>23224</v>
      </c>
      <c r="I197" s="65">
        <f>'BS CF Shares'!L25</f>
        <v>23224</v>
      </c>
      <c r="J197" s="65">
        <f>'BS CF Shares'!M25</f>
        <v>23224</v>
      </c>
      <c r="K197" s="65">
        <f>'BS CF Shares'!N25</f>
        <v>23224</v>
      </c>
      <c r="L197" s="65">
        <f>'BS CF Shares'!O25</f>
        <v>23224</v>
      </c>
      <c r="M197" s="65">
        <f>'BS CF Shares'!P25</f>
        <v>23224</v>
      </c>
      <c r="N197" s="65">
        <f>'BS CF Shares'!Q25</f>
        <v>23224</v>
      </c>
      <c r="O197" s="65"/>
      <c r="P197" s="65"/>
      <c r="Q197" s="17"/>
    </row>
    <row r="198" spans="2:47" ht="16.5">
      <c r="B198" s="57" t="s">
        <v>334</v>
      </c>
      <c r="C198" s="65">
        <f>'BS CF Shares'!F26</f>
        <v>6099</v>
      </c>
      <c r="D198" s="65">
        <f>'BS CF Shares'!G26</f>
        <v>6355</v>
      </c>
      <c r="E198" s="65">
        <f>'BS CF Shares'!H26</f>
        <v>6657</v>
      </c>
      <c r="F198" s="65">
        <f>'BS CF Shares'!I26</f>
        <v>5168</v>
      </c>
      <c r="G198" s="65">
        <f>'BS CF Shares'!J26</f>
        <v>5168</v>
      </c>
      <c r="H198" s="65">
        <f>'BS CF Shares'!K26</f>
        <v>5168</v>
      </c>
      <c r="I198" s="65">
        <f>'BS CF Shares'!L26</f>
        <v>5168</v>
      </c>
      <c r="J198" s="65">
        <f>'BS CF Shares'!M26</f>
        <v>5168</v>
      </c>
      <c r="K198" s="65">
        <f>'BS CF Shares'!N26</f>
        <v>5168</v>
      </c>
      <c r="L198" s="65">
        <f>'BS CF Shares'!O26</f>
        <v>5168</v>
      </c>
      <c r="M198" s="65">
        <f>'BS CF Shares'!P26</f>
        <v>5168</v>
      </c>
      <c r="N198" s="65">
        <f>'BS CF Shares'!Q26</f>
        <v>5168</v>
      </c>
      <c r="O198" s="65"/>
      <c r="P198" s="65"/>
      <c r="Q198" s="17"/>
    </row>
    <row r="199" spans="2:47" ht="16.5">
      <c r="B199" s="57" t="s">
        <v>335</v>
      </c>
      <c r="C199" s="65">
        <f>'BS CF Shares'!F27</f>
        <v>7672</v>
      </c>
      <c r="D199" s="65">
        <f>'BS CF Shares'!G27</f>
        <v>8044</v>
      </c>
      <c r="E199" s="65">
        <f>'BS CF Shares'!H27</f>
        <v>8470</v>
      </c>
      <c r="F199" s="65">
        <f>'BS CF Shares'!I27</f>
        <v>7057</v>
      </c>
      <c r="G199" s="65">
        <f>'BS CF Shares'!J27</f>
        <v>7057</v>
      </c>
      <c r="H199" s="65">
        <f>'BS CF Shares'!K27</f>
        <v>7057</v>
      </c>
      <c r="I199" s="65">
        <f>'BS CF Shares'!L27</f>
        <v>7057</v>
      </c>
      <c r="J199" s="65">
        <f>'BS CF Shares'!M27</f>
        <v>7057</v>
      </c>
      <c r="K199" s="65">
        <f>'BS CF Shares'!N27</f>
        <v>7057</v>
      </c>
      <c r="L199" s="65">
        <f>'BS CF Shares'!O27</f>
        <v>7057</v>
      </c>
      <c r="M199" s="65">
        <f>'BS CF Shares'!P27</f>
        <v>7057</v>
      </c>
      <c r="N199" s="65">
        <f>'BS CF Shares'!Q27</f>
        <v>7057</v>
      </c>
      <c r="O199" s="65"/>
      <c r="P199" s="65"/>
      <c r="Q199" s="17"/>
    </row>
    <row r="200" spans="2:47" ht="16.5">
      <c r="B200" s="54" t="s">
        <v>336</v>
      </c>
      <c r="C200" s="66">
        <f>'BS CF Shares'!F28</f>
        <v>27570</v>
      </c>
      <c r="D200" s="66">
        <f>'BS CF Shares'!G28</f>
        <v>30726</v>
      </c>
      <c r="E200" s="66">
        <f>'BS CF Shares'!H28</f>
        <v>33024</v>
      </c>
      <c r="F200" s="66">
        <f>'BS CF Shares'!I28</f>
        <v>35449</v>
      </c>
      <c r="G200" s="66">
        <f>'BS CF Shares'!J28</f>
        <v>35449</v>
      </c>
      <c r="H200" s="66">
        <f>'BS CF Shares'!K28</f>
        <v>35449</v>
      </c>
      <c r="I200" s="66">
        <f>'BS CF Shares'!L28</f>
        <v>35449</v>
      </c>
      <c r="J200" s="66">
        <f>'BS CF Shares'!M28</f>
        <v>35449</v>
      </c>
      <c r="K200" s="66">
        <f>'BS CF Shares'!N28</f>
        <v>35449</v>
      </c>
      <c r="L200" s="66">
        <f>'BS CF Shares'!O28</f>
        <v>35449</v>
      </c>
      <c r="M200" s="66">
        <f>'BS CF Shares'!P28</f>
        <v>35449</v>
      </c>
      <c r="N200" s="66">
        <f>'BS CF Shares'!Q28</f>
        <v>35449</v>
      </c>
      <c r="O200" s="66"/>
      <c r="P200" s="66"/>
      <c r="Q200" s="17"/>
    </row>
    <row r="201" spans="2:47" ht="16.5">
      <c r="B201" s="57" t="s">
        <v>337</v>
      </c>
      <c r="C201" s="65">
        <f>'BS CF Shares'!F29</f>
        <v>2418</v>
      </c>
      <c r="D201" s="65">
        <f>'BS CF Shares'!G29</f>
        <v>0</v>
      </c>
      <c r="E201" s="65">
        <f>'BS CF Shares'!H29</f>
        <v>0</v>
      </c>
      <c r="F201" s="65">
        <f>'BS CF Shares'!I29</f>
        <v>0</v>
      </c>
      <c r="G201" s="65">
        <f>'BS CF Shares'!J29</f>
        <v>0</v>
      </c>
      <c r="H201" s="65">
        <f>'BS CF Shares'!K29</f>
        <v>0</v>
      </c>
      <c r="I201" s="65">
        <f>'BS CF Shares'!L29</f>
        <v>0</v>
      </c>
      <c r="J201" s="65">
        <f>'BS CF Shares'!M29</f>
        <v>0</v>
      </c>
      <c r="K201" s="65">
        <f>'BS CF Shares'!N29</f>
        <v>0</v>
      </c>
      <c r="L201" s="65">
        <f>'BS CF Shares'!O29</f>
        <v>0</v>
      </c>
      <c r="M201" s="65">
        <f>'BS CF Shares'!P29</f>
        <v>0</v>
      </c>
      <c r="N201" s="65">
        <f>'BS CF Shares'!Q29</f>
        <v>0</v>
      </c>
      <c r="O201" s="66"/>
      <c r="P201" s="66"/>
      <c r="Q201" s="17"/>
    </row>
    <row r="202" spans="2:47" ht="16.5">
      <c r="B202" s="58" t="s">
        <v>338</v>
      </c>
      <c r="C202" s="67">
        <f>'BS CF Shares'!F30</f>
        <v>54543</v>
      </c>
      <c r="D202" s="67">
        <f>'BS CF Shares'!G30</f>
        <v>54434</v>
      </c>
      <c r="E202" s="67">
        <f>'BS CF Shares'!H30</f>
        <v>55233</v>
      </c>
      <c r="F202" s="67">
        <f>'BS CF Shares'!I30</f>
        <v>58852</v>
      </c>
      <c r="G202" s="67">
        <f>'BS CF Shares'!J30</f>
        <v>60012.248162736701</v>
      </c>
      <c r="H202" s="67">
        <f>'BS CF Shares'!K30</f>
        <v>60400.430563994669</v>
      </c>
      <c r="I202" s="67">
        <f>'BS CF Shares'!L30</f>
        <v>61016.64635372562</v>
      </c>
      <c r="J202" s="67">
        <f>'BS CF Shares'!M30</f>
        <v>61761.422131316278</v>
      </c>
      <c r="K202" s="67">
        <f>'BS CF Shares'!N30</f>
        <v>62204.14974156941</v>
      </c>
      <c r="L202" s="67">
        <f>'BS CF Shares'!O30</f>
        <v>62008.271183997378</v>
      </c>
      <c r="M202" s="67">
        <f>'BS CF Shares'!P30</f>
        <v>62281.666261433071</v>
      </c>
      <c r="N202" s="67">
        <f>'BS CF Shares'!Q30</f>
        <v>62517.289321220975</v>
      </c>
      <c r="O202" s="66"/>
      <c r="P202" s="66"/>
      <c r="Q202" s="17"/>
    </row>
    <row r="203" spans="2:47" ht="16.5">
      <c r="B203" s="54" t="s">
        <v>437</v>
      </c>
      <c r="C203" s="66">
        <f t="shared" ref="C203:M203" si="58">C192-C202</f>
        <v>70844</v>
      </c>
      <c r="D203" s="66">
        <f t="shared" si="58"/>
        <v>77122</v>
      </c>
      <c r="E203" s="66">
        <f t="shared" si="58"/>
        <v>74891</v>
      </c>
      <c r="F203" s="66">
        <f t="shared" si="58"/>
        <v>74227</v>
      </c>
      <c r="G203" s="66">
        <f t="shared" si="58"/>
        <v>75871.787335403904</v>
      </c>
      <c r="H203" s="66">
        <f t="shared" si="58"/>
        <v>78941.871742384523</v>
      </c>
      <c r="I203" s="66">
        <f t="shared" si="58"/>
        <v>82038.95715874173</v>
      </c>
      <c r="J203" s="66">
        <f t="shared" si="58"/>
        <v>86005.636103032099</v>
      </c>
      <c r="K203" s="66">
        <f t="shared" si="58"/>
        <v>91223.014604171272</v>
      </c>
      <c r="L203" s="66">
        <f t="shared" si="58"/>
        <v>97107.393746282076</v>
      </c>
      <c r="M203" s="66">
        <f t="shared" si="58"/>
        <v>102837.260893206</v>
      </c>
      <c r="N203" s="66">
        <f>N192-N202</f>
        <v>107653.99784908956</v>
      </c>
      <c r="O203" s="66"/>
      <c r="P203" s="66"/>
      <c r="Q203" s="17"/>
    </row>
    <row r="204" spans="2:47" ht="16.5">
      <c r="B204" s="58" t="s">
        <v>436</v>
      </c>
      <c r="C204" s="67">
        <f>'BS CF Shares'!F34</f>
        <v>70766</v>
      </c>
      <c r="D204" s="67">
        <f>'BS CF Shares'!G34</f>
        <v>77046</v>
      </c>
      <c r="E204" s="67">
        <f>'BS CF Shares'!H34</f>
        <v>74832</v>
      </c>
      <c r="F204" s="67">
        <f>'BS CF Shares'!I34</f>
        <v>74168</v>
      </c>
      <c r="G204" s="67">
        <f>'BS CF Shares'!J34</f>
        <v>135825.03549814061</v>
      </c>
      <c r="H204" s="67">
        <f>'BS CF Shares'!K34</f>
        <v>139283.30230637919</v>
      </c>
      <c r="I204" s="67">
        <f>'BS CF Shares'!L34</f>
        <v>142996.60351246735</v>
      </c>
      <c r="J204" s="67">
        <f>'BS CF Shares'!M34</f>
        <v>147708.05823434837</v>
      </c>
      <c r="K204" s="67">
        <f>'BS CF Shares'!N34</f>
        <v>153368.16434574069</v>
      </c>
      <c r="L204" s="67">
        <f>'BS CF Shares'!O34</f>
        <v>159056.66493027945</v>
      </c>
      <c r="M204" s="67">
        <f>'BS CF Shares'!P34</f>
        <v>165059.92715463907</v>
      </c>
      <c r="N204" s="67">
        <f>'BS CF Shares'!Q34</f>
        <v>170112.28717031053</v>
      </c>
      <c r="O204" s="66"/>
      <c r="P204" s="66"/>
      <c r="Q204" s="17"/>
    </row>
    <row r="205" spans="2:47" ht="16.5">
      <c r="B205" s="57" t="s">
        <v>343</v>
      </c>
      <c r="C205" s="65">
        <f>'BS CF Shares'!F35</f>
        <v>78</v>
      </c>
      <c r="D205" s="65">
        <f>'BS CF Shares'!G35</f>
        <v>76</v>
      </c>
      <c r="E205" s="65">
        <f>'BS CF Shares'!H35</f>
        <v>59</v>
      </c>
      <c r="F205" s="65">
        <f>'BS CF Shares'!I35</f>
        <v>59</v>
      </c>
      <c r="G205" s="65">
        <f>'BS CF Shares'!J35</f>
        <v>59</v>
      </c>
      <c r="H205" s="65">
        <f>'BS CF Shares'!K35</f>
        <v>59</v>
      </c>
      <c r="I205" s="65">
        <f>'BS CF Shares'!L35</f>
        <v>59</v>
      </c>
      <c r="J205" s="65">
        <f>'BS CF Shares'!M35</f>
        <v>59</v>
      </c>
      <c r="K205" s="65">
        <f>'BS CF Shares'!N35</f>
        <v>59</v>
      </c>
      <c r="L205" s="65">
        <f>'BS CF Shares'!O35</f>
        <v>59</v>
      </c>
      <c r="M205" s="65">
        <f>'BS CF Shares'!P35</f>
        <v>59</v>
      </c>
      <c r="N205" s="65">
        <f>'BS CF Shares'!Q35</f>
        <v>59</v>
      </c>
      <c r="O205" s="65"/>
      <c r="P205" s="65"/>
      <c r="Q205" s="17"/>
    </row>
    <row r="206" spans="2:47" ht="16.5">
      <c r="B206" s="57" t="s">
        <v>435</v>
      </c>
      <c r="C206" s="54">
        <f t="shared" ref="C206:M206" si="59">C204+C205</f>
        <v>70844</v>
      </c>
      <c r="D206" s="54">
        <f t="shared" si="59"/>
        <v>77122</v>
      </c>
      <c r="E206" s="54">
        <f t="shared" si="59"/>
        <v>74891</v>
      </c>
      <c r="F206" s="54">
        <f t="shared" si="59"/>
        <v>74227</v>
      </c>
      <c r="G206" s="54">
        <f t="shared" si="59"/>
        <v>135884.03549814061</v>
      </c>
      <c r="H206" s="54">
        <f t="shared" si="59"/>
        <v>139342.30230637919</v>
      </c>
      <c r="I206" s="54">
        <f t="shared" si="59"/>
        <v>143055.60351246735</v>
      </c>
      <c r="J206" s="54">
        <f t="shared" si="59"/>
        <v>147767.05823434837</v>
      </c>
      <c r="K206" s="54">
        <f t="shared" si="59"/>
        <v>153427.16434574069</v>
      </c>
      <c r="L206" s="54">
        <f t="shared" si="59"/>
        <v>159115.66493027945</v>
      </c>
      <c r="M206" s="54">
        <f t="shared" si="59"/>
        <v>165118.92715463907</v>
      </c>
      <c r="N206" s="54">
        <f>N204+N205</f>
        <v>170171.28717031053</v>
      </c>
      <c r="O206" s="57"/>
      <c r="P206" s="57"/>
      <c r="Q206" s="17"/>
    </row>
    <row r="207" spans="2:47" ht="16.5">
      <c r="B207" s="57"/>
      <c r="C207" s="57"/>
      <c r="D207" s="57"/>
      <c r="E207" s="57"/>
      <c r="F207" s="57"/>
      <c r="G207" s="57"/>
      <c r="H207" s="57"/>
      <c r="I207" s="57"/>
      <c r="J207" s="57"/>
      <c r="K207" s="57"/>
      <c r="L207" s="57"/>
      <c r="M207" s="57"/>
      <c r="N207" s="57"/>
      <c r="O207" s="57"/>
      <c r="P207" s="57"/>
      <c r="Q207" s="17"/>
    </row>
    <row r="208" spans="2:47" ht="16.5">
      <c r="B208" s="372" t="s">
        <v>434</v>
      </c>
      <c r="C208" s="1334" t="s">
        <v>433</v>
      </c>
      <c r="D208" s="1334" t="s">
        <v>514</v>
      </c>
      <c r="E208" s="1334">
        <v>2016</v>
      </c>
      <c r="F208" s="1334">
        <v>2017</v>
      </c>
      <c r="G208" s="1335">
        <v>2018</v>
      </c>
      <c r="H208" s="1335">
        <v>2019</v>
      </c>
      <c r="I208" s="1335">
        <v>2020</v>
      </c>
      <c r="J208" s="1335">
        <v>2021</v>
      </c>
      <c r="K208" s="1335">
        <v>2022</v>
      </c>
      <c r="L208" s="1335">
        <v>2023</v>
      </c>
      <c r="M208" s="62" t="str">
        <f t="shared" ref="M208" si="60">M2</f>
        <v>FY24E</v>
      </c>
      <c r="N208" s="62" t="str">
        <f>N2</f>
        <v>FY25E</v>
      </c>
      <c r="O208" s="61"/>
      <c r="P208" s="61"/>
      <c r="S208" s="60"/>
      <c r="T208" s="60"/>
      <c r="U208" s="59"/>
      <c r="V208" s="59"/>
      <c r="W208" s="59"/>
      <c r="X208" s="59"/>
      <c r="Y208" s="59"/>
      <c r="Z208" s="59"/>
      <c r="AR208" s="18"/>
      <c r="AS208" s="18"/>
      <c r="AT208" s="18"/>
      <c r="AU208" s="18"/>
    </row>
    <row r="209" spans="2:16" ht="16.5">
      <c r="B209" s="54" t="s">
        <v>347</v>
      </c>
      <c r="C209" s="54">
        <f>'BS CF Shares'!F40</f>
        <v>10656</v>
      </c>
      <c r="D209" s="54">
        <f>'BS CF Shares'!G40</f>
        <v>7028</v>
      </c>
      <c r="E209" s="54">
        <f>'BS CF Shares'!H40</f>
        <v>6698</v>
      </c>
      <c r="F209" s="54">
        <f>'BS CF Shares'!I40</f>
        <v>7703</v>
      </c>
      <c r="G209" s="54">
        <f>'BS CF Shares'!J40</f>
        <v>8858.2973142076135</v>
      </c>
      <c r="H209" s="54">
        <f>'BS CF Shares'!K40</f>
        <v>9606.5902476103165</v>
      </c>
      <c r="I209" s="54">
        <f>'BS CF Shares'!L40</f>
        <v>10011.357512853403</v>
      </c>
      <c r="J209" s="54">
        <f>'BS CF Shares'!M40</f>
        <v>11208.052168227348</v>
      </c>
      <c r="K209" s="54">
        <f>'BS CF Shares'!N40</f>
        <v>12354.705745363128</v>
      </c>
      <c r="L209" s="54">
        <f>'BS CF Shares'!O40</f>
        <v>12581.030916222255</v>
      </c>
      <c r="M209" s="54">
        <f>'BS CF Shares'!P40</f>
        <v>13193.987125457681</v>
      </c>
      <c r="N209" s="54">
        <f>'BS CF Shares'!Q40</f>
        <v>12341.784544157048</v>
      </c>
      <c r="O209" s="54"/>
      <c r="P209" s="54"/>
    </row>
    <row r="210" spans="2:16" ht="16.5">
      <c r="B210" s="57" t="s">
        <v>169</v>
      </c>
      <c r="C210" s="57">
        <f>'BS CF Shares'!F41</f>
        <v>71</v>
      </c>
      <c r="D210" s="57">
        <f>'BS CF Shares'!G41</f>
        <v>0</v>
      </c>
      <c r="E210" s="57">
        <f>'BS CF Shares'!H41</f>
        <v>0</v>
      </c>
      <c r="F210" s="57">
        <f>'BS CF Shares'!I41</f>
        <v>0</v>
      </c>
      <c r="G210" s="57">
        <f>'BS CF Shares'!J41</f>
        <v>0</v>
      </c>
      <c r="H210" s="57">
        <f>'BS CF Shares'!K41</f>
        <v>0</v>
      </c>
      <c r="I210" s="57">
        <f>'BS CF Shares'!L41</f>
        <v>0</v>
      </c>
      <c r="J210" s="57">
        <f>'BS CF Shares'!M41</f>
        <v>0</v>
      </c>
      <c r="K210" s="57">
        <f>'BS CF Shares'!N41</f>
        <v>0</v>
      </c>
      <c r="L210" s="57">
        <f>'BS CF Shares'!O41</f>
        <v>0</v>
      </c>
      <c r="M210" s="57">
        <f>'BS CF Shares'!P41</f>
        <v>0</v>
      </c>
      <c r="N210" s="57">
        <f>'BS CF Shares'!Q41</f>
        <v>0</v>
      </c>
      <c r="O210" s="57"/>
      <c r="P210" s="57"/>
    </row>
    <row r="211" spans="2:16" ht="16.5">
      <c r="B211" s="57" t="s">
        <v>348</v>
      </c>
      <c r="C211" s="57">
        <f>'BS CF Shares'!F42</f>
        <v>1545</v>
      </c>
      <c r="D211" s="57">
        <f>'BS CF Shares'!G42</f>
        <v>1106</v>
      </c>
      <c r="E211" s="57">
        <f>'BS CF Shares'!H42</f>
        <v>1119</v>
      </c>
      <c r="F211" s="57">
        <f>'BS CF Shares'!I42</f>
        <v>1296</v>
      </c>
      <c r="G211" s="57">
        <f>'BS CF Shares'!J42</f>
        <v>1502.2843398363786</v>
      </c>
      <c r="H211" s="57">
        <f>'BS CF Shares'!K42</f>
        <v>1629.1878197701703</v>
      </c>
      <c r="I211" s="57">
        <f>'BS CF Shares'!L42</f>
        <v>1697.8325606593492</v>
      </c>
      <c r="J211" s="57">
        <f>'BS CF Shares'!M42</f>
        <v>1900.7807770677957</v>
      </c>
      <c r="K211" s="57">
        <f>'BS CF Shares'!N42</f>
        <v>2095.2424948276648</v>
      </c>
      <c r="L211" s="57">
        <f>'BS CF Shares'!O42</f>
        <v>2133.6251261429552</v>
      </c>
      <c r="M211" s="57">
        <f>'BS CF Shares'!P42</f>
        <v>2237.5767639665069</v>
      </c>
      <c r="N211" s="57">
        <f>'BS CF Shares'!Q42</f>
        <v>2093.0511800032418</v>
      </c>
      <c r="O211" s="57"/>
      <c r="P211" s="57"/>
    </row>
    <row r="212" spans="2:16" ht="16.5">
      <c r="B212" s="57" t="s">
        <v>432</v>
      </c>
      <c r="C212" s="57">
        <f>'BS CF Shares'!F43+'BS CF Shares'!F44</f>
        <v>4682</v>
      </c>
      <c r="D212" s="57">
        <f>'BS CF Shares'!E43+'BS CF Shares'!E44</f>
        <v>4405</v>
      </c>
      <c r="E212" s="57">
        <f>'BS CF Shares'!F43+'BS CF Shares'!F44</f>
        <v>4682</v>
      </c>
      <c r="F212" s="57">
        <f>'BS CF Shares'!G43+'BS CF Shares'!G44</f>
        <v>5471</v>
      </c>
      <c r="G212" s="57">
        <f>'BS CF Shares'!H43+'BS CF Shares'!H44</f>
        <v>6043</v>
      </c>
      <c r="H212" s="57">
        <f>'BS CF Shares'!I43+'BS CF Shares'!I44</f>
        <v>6076</v>
      </c>
      <c r="I212" s="57">
        <f>'BS CF Shares'!J43+'BS CF Shares'!J44</f>
        <v>6182.8910778745321</v>
      </c>
      <c r="J212" s="57">
        <f>'BS CF Shares'!K43+'BS CF Shares'!K44</f>
        <v>6273.7627304751268</v>
      </c>
      <c r="K212" s="57">
        <f>'BS CF Shares'!L43+'BS CF Shares'!L44</f>
        <v>6348.7405726303014</v>
      </c>
      <c r="L212" s="57">
        <f>'BS CF Shares'!M43+'BS CF Shares'!M44</f>
        <v>6426.4747156467156</v>
      </c>
      <c r="M212" s="57">
        <f>'BS CF Shares'!N43+'BS CF Shares'!N44</f>
        <v>6505.8473256086891</v>
      </c>
      <c r="N212" s="57">
        <f>'BS CF Shares'!O43+'BS CF Shares'!O44</f>
        <v>6584.4950190881727</v>
      </c>
      <c r="O212" s="57"/>
      <c r="P212" s="57"/>
    </row>
    <row r="213" spans="2:16" ht="16.5">
      <c r="B213" s="57" t="s">
        <v>356</v>
      </c>
      <c r="C213" s="57">
        <f>'BS CF Shares'!F50</f>
        <v>735</v>
      </c>
      <c r="D213" s="57">
        <f>'BS CF Shares'!G50</f>
        <v>1109</v>
      </c>
      <c r="E213" s="57">
        <f>'BS CF Shares'!H50</f>
        <v>1154</v>
      </c>
      <c r="F213" s="57">
        <f>'BS CF Shares'!I50</f>
        <v>738</v>
      </c>
      <c r="G213" s="57">
        <f>'BS CF Shares'!J50</f>
        <v>830</v>
      </c>
      <c r="H213" s="57">
        <f>'BS CF Shares'!K50</f>
        <v>750</v>
      </c>
      <c r="I213" s="57">
        <f>'BS CF Shares'!L50</f>
        <v>700</v>
      </c>
      <c r="J213" s="57">
        <f>'BS CF Shares'!M50</f>
        <v>600</v>
      </c>
      <c r="K213" s="57">
        <f>'BS CF Shares'!N50</f>
        <v>500</v>
      </c>
      <c r="L213" s="57">
        <f>'BS CF Shares'!O50</f>
        <v>400</v>
      </c>
      <c r="M213" s="57">
        <f>'BS CF Shares'!P50</f>
        <v>200</v>
      </c>
      <c r="N213" s="57">
        <f>'BS CF Shares'!Q50</f>
        <v>200</v>
      </c>
      <c r="O213" s="57"/>
      <c r="P213" s="57"/>
    </row>
    <row r="214" spans="2:16" ht="16.5">
      <c r="B214" s="57" t="s">
        <v>353</v>
      </c>
      <c r="C214" s="57">
        <f>'BS CF Shares'!F47</f>
        <v>-622</v>
      </c>
      <c r="D214" s="57">
        <f>'BS CF Shares'!G47</f>
        <v>-869</v>
      </c>
      <c r="E214" s="57">
        <f>'BS CF Shares'!H47</f>
        <v>-935</v>
      </c>
      <c r="F214" s="57">
        <f>'BS CF Shares'!I47</f>
        <v>-1043</v>
      </c>
      <c r="G214" s="57">
        <f>'BS CF Shares'!J47</f>
        <v>0</v>
      </c>
      <c r="H214" s="57">
        <f>'BS CF Shares'!K47</f>
        <v>0</v>
      </c>
      <c r="I214" s="57">
        <f>'BS CF Shares'!L47</f>
        <v>0</v>
      </c>
      <c r="J214" s="57">
        <f>'BS CF Shares'!M47</f>
        <v>0</v>
      </c>
      <c r="K214" s="57">
        <f>'BS CF Shares'!N47</f>
        <v>0</v>
      </c>
      <c r="L214" s="57">
        <f>'BS CF Shares'!O47</f>
        <v>0</v>
      </c>
      <c r="M214" s="57">
        <f>'BS CF Shares'!P47</f>
        <v>0</v>
      </c>
      <c r="N214" s="57">
        <f>'BS CF Shares'!Q47</f>
        <v>0</v>
      </c>
      <c r="O214" s="57"/>
      <c r="P214" s="57"/>
    </row>
    <row r="215" spans="2:16" ht="16.5">
      <c r="B215" s="57" t="s">
        <v>29</v>
      </c>
      <c r="C215" s="57">
        <f>'BS CF Shares'!F45+'BS CF Shares'!F46+'BS CF Shares'!F48+'BS CF Shares'!F49</f>
        <v>385</v>
      </c>
      <c r="D215" s="57">
        <f>'BS CF Shares'!G45+'BS CF Shares'!G46+'BS CF Shares'!G48+'BS CF Shares'!G49</f>
        <v>2253</v>
      </c>
      <c r="E215" s="57">
        <f>'BS CF Shares'!H45+'BS CF Shares'!H46+'BS CF Shares'!H48+'BS CF Shares'!H49</f>
        <v>1056</v>
      </c>
      <c r="F215" s="57">
        <f>'BS CF Shares'!I45+'BS CF Shares'!I46+'BS CF Shares'!I48+'BS CF Shares'!I49</f>
        <v>-9</v>
      </c>
      <c r="G215" s="57">
        <f>'BS CF Shares'!J45+'BS CF Shares'!J46+'BS CF Shares'!J48+'BS CF Shares'!J49</f>
        <v>-817.29758747937672</v>
      </c>
      <c r="H215" s="57">
        <f>'BS CF Shares'!K45+'BS CF Shares'!K46+'BS CF Shares'!K48+'BS CF Shares'!K49</f>
        <v>-752.64500034011996</v>
      </c>
      <c r="I215" s="57">
        <f>'BS CF Shares'!L45+'BS CF Shares'!L46+'BS CF Shares'!L48+'BS CF Shares'!L49</f>
        <v>-811.03362442980085</v>
      </c>
      <c r="J215" s="57">
        <f>'BS CF Shares'!M45+'BS CF Shares'!M46+'BS CF Shares'!M48+'BS CF Shares'!M49</f>
        <v>-855.4611418692084</v>
      </c>
      <c r="K215" s="57">
        <f>'BS CF Shares'!N45+'BS CF Shares'!N46+'BS CF Shares'!N48+'BS CF Shares'!N49</f>
        <v>-907.73419896266887</v>
      </c>
      <c r="L215" s="57">
        <f>'BS CF Shares'!O45+'BS CF Shares'!O46+'BS CF Shares'!O48+'BS CF Shares'!O49</f>
        <v>-962.62090891080243</v>
      </c>
      <c r="M215" s="57">
        <f>'BS CF Shares'!P45+'BS CF Shares'!P46+'BS CF Shares'!P48+'BS CF Shares'!P49</f>
        <v>-1020.2519543563426</v>
      </c>
      <c r="N215" s="57">
        <f>'BS CF Shares'!Q45+'BS CF Shares'!Q46+'BS CF Shares'!Q48+'BS CF Shares'!Q49</f>
        <v>-1080.7645520741598</v>
      </c>
      <c r="O215" s="57"/>
      <c r="P215" s="57"/>
    </row>
    <row r="216" spans="2:16" ht="16.5">
      <c r="B216" s="57" t="s">
        <v>362</v>
      </c>
      <c r="C216" s="57">
        <f>'BS CF Shares'!F58</f>
        <v>479</v>
      </c>
      <c r="D216" s="57">
        <f>'BS CF Shares'!G58</f>
        <v>432</v>
      </c>
      <c r="E216" s="57">
        <f>'BS CF Shares'!H58</f>
        <v>899</v>
      </c>
      <c r="F216" s="57">
        <f>'BS CF Shares'!I58</f>
        <v>987</v>
      </c>
      <c r="G216" s="57">
        <f>'BS CF Shares'!J58</f>
        <v>828</v>
      </c>
      <c r="H216" s="57">
        <f>'BS CF Shares'!K58</f>
        <v>770.00000000000011</v>
      </c>
      <c r="I216" s="57">
        <f>'BS CF Shares'!L58</f>
        <v>847.00000000000023</v>
      </c>
      <c r="J216" s="57">
        <f>'BS CF Shares'!M58</f>
        <v>931.70000000000027</v>
      </c>
      <c r="K216" s="57">
        <f>'BS CF Shares'!N58</f>
        <v>1024.8700000000003</v>
      </c>
      <c r="L216" s="57">
        <f>'BS CF Shares'!O58</f>
        <v>1127.3570000000004</v>
      </c>
      <c r="M216" s="57">
        <f>'BS CF Shares'!P58</f>
        <v>1240.0927000000006</v>
      </c>
      <c r="N216" s="57">
        <f>'BS CF Shares'!Q58</f>
        <v>1364.1019700000008</v>
      </c>
      <c r="O216" s="57"/>
      <c r="P216" s="57"/>
    </row>
    <row r="217" spans="2:16" ht="16.5">
      <c r="B217" s="57" t="s">
        <v>431</v>
      </c>
      <c r="C217" s="57">
        <f>'BS CF Shares'!F53+'BS CF Shares'!F54+'BS CF Shares'!F55</f>
        <v>-104</v>
      </c>
      <c r="D217" s="57">
        <f>'BS CF Shares'!G53+'BS CF Shares'!G54+'BS CF Shares'!G55</f>
        <v>79</v>
      </c>
      <c r="E217" s="57">
        <f>'BS CF Shares'!H53+'BS CF Shares'!H54+'BS CF Shares'!H55</f>
        <v>-835</v>
      </c>
      <c r="F217" s="57">
        <f>'BS CF Shares'!I53+'BS CF Shares'!I54+'BS CF Shares'!I55</f>
        <v>-883</v>
      </c>
      <c r="G217" s="57">
        <f>'BS CF Shares'!J53+'BS CF Shares'!J54+'BS CF Shares'!J55</f>
        <v>-878.15</v>
      </c>
      <c r="H217" s="57">
        <f>'BS CF Shares'!K53+'BS CF Shares'!K54+'BS CF Shares'!K55</f>
        <v>-873.0575</v>
      </c>
      <c r="I217" s="57">
        <f>'BS CF Shares'!L53+'BS CF Shares'!L54+'BS CF Shares'!L55</f>
        <v>-867.710375</v>
      </c>
      <c r="J217" s="57">
        <f>'BS CF Shares'!M53+'BS CF Shares'!M54+'BS CF Shares'!M55</f>
        <v>-862.09589374999996</v>
      </c>
      <c r="K217" s="57">
        <f>'BS CF Shares'!N53+'BS CF Shares'!N54+'BS CF Shares'!N55</f>
        <v>-856.20068843749993</v>
      </c>
      <c r="L217" s="57">
        <f>'BS CF Shares'!O53+'BS CF Shares'!O54+'BS CF Shares'!O55</f>
        <v>-850.01072285937494</v>
      </c>
      <c r="M217" s="57">
        <f>'BS CF Shares'!P53+'BS CF Shares'!P54+'BS CF Shares'!P55</f>
        <v>-843.51125900234365</v>
      </c>
      <c r="N217" s="57">
        <f>'BS CF Shares'!Q53+'BS CF Shares'!Q54+'BS CF Shares'!Q55</f>
        <v>-836.68682195246083</v>
      </c>
      <c r="O217" s="57"/>
      <c r="P217" s="57"/>
    </row>
    <row r="218" spans="2:16" ht="16.5">
      <c r="B218" s="57" t="s">
        <v>363</v>
      </c>
      <c r="C218" s="57">
        <f>'BS CF Shares'!F59</f>
        <v>-2179</v>
      </c>
      <c r="D218" s="57">
        <f>'BS CF Shares'!G59</f>
        <v>-2454</v>
      </c>
      <c r="E218" s="57">
        <f>'BS CF Shares'!H59</f>
        <v>-2111</v>
      </c>
      <c r="F218" s="57">
        <f>'BS CF Shares'!I59</f>
        <v>-1611</v>
      </c>
      <c r="G218" s="57">
        <f>'BS CF Shares'!J59</f>
        <v>-1502.2843398363786</v>
      </c>
      <c r="H218" s="57">
        <f>'BS CF Shares'!K59</f>
        <v>-1629.1878197701703</v>
      </c>
      <c r="I218" s="57">
        <f>'BS CF Shares'!L59</f>
        <v>-1697.8325606593492</v>
      </c>
      <c r="J218" s="57">
        <f>'BS CF Shares'!M59</f>
        <v>-1900.7807770677957</v>
      </c>
      <c r="K218" s="57">
        <f>'BS CF Shares'!N59</f>
        <v>-2095.2424948276648</v>
      </c>
      <c r="L218" s="57">
        <f>'BS CF Shares'!O59</f>
        <v>-2133.6251261429552</v>
      </c>
      <c r="M218" s="57">
        <f>'BS CF Shares'!P59</f>
        <v>-2237.5767639665069</v>
      </c>
      <c r="N218" s="57">
        <f>'BS CF Shares'!Q59</f>
        <v>-2093.0511800032418</v>
      </c>
      <c r="O218" s="57"/>
      <c r="P218" s="57"/>
    </row>
    <row r="219" spans="2:16" ht="16.5">
      <c r="B219" s="54" t="s">
        <v>364</v>
      </c>
      <c r="C219" s="54">
        <f>'BS CF Shares'!F60</f>
        <v>15648</v>
      </c>
      <c r="D219" s="54">
        <f>'BS CF Shares'!G60</f>
        <v>14155</v>
      </c>
      <c r="E219" s="54">
        <f>'BS CF Shares'!H60</f>
        <v>13088</v>
      </c>
      <c r="F219" s="54">
        <f>'BS CF Shares'!I60</f>
        <v>13254</v>
      </c>
      <c r="G219" s="54">
        <f>'BS CF Shares'!J60</f>
        <v>15003.740804602769</v>
      </c>
      <c r="H219" s="54">
        <f>'BS CF Shares'!K60</f>
        <v>15774.650477745326</v>
      </c>
      <c r="I219" s="54">
        <f>'BS CF Shares'!L60</f>
        <v>16228.354086053903</v>
      </c>
      <c r="J219" s="54">
        <f>'BS CF Shares'!M60</f>
        <v>17448.669848254853</v>
      </c>
      <c r="K219" s="54">
        <f>'BS CF Shares'!N60</f>
        <v>18621.488183571644</v>
      </c>
      <c r="L219" s="54">
        <f>'BS CF Shares'!O60</f>
        <v>18880.251303540252</v>
      </c>
      <c r="M219" s="54">
        <f>'BS CF Shares'!P60</f>
        <v>19434.471117893645</v>
      </c>
      <c r="N219" s="54">
        <f>'BS CF Shares'!Q60</f>
        <v>18733.121137417642</v>
      </c>
      <c r="O219" s="54"/>
      <c r="P219" s="54"/>
    </row>
    <row r="220" spans="2:16" ht="16.5">
      <c r="B220" s="57" t="s">
        <v>430</v>
      </c>
      <c r="C220" s="57">
        <f>'BS CF Shares'!F62+'BS CF Shares'!F63+'BS CF Shares'!F64</f>
        <v>-731</v>
      </c>
      <c r="D220" s="57">
        <f>'BS CF Shares'!G62+'BS CF Shares'!G63+'BS CF Shares'!G64</f>
        <v>-617</v>
      </c>
      <c r="E220" s="57">
        <f>'BS CF Shares'!H62+'BS CF Shares'!H63+'BS CF Shares'!H64</f>
        <v>-1051</v>
      </c>
      <c r="F220" s="57">
        <f>'BS CF Shares'!I62+'BS CF Shares'!I63+'BS CF Shares'!I64</f>
        <v>-393</v>
      </c>
      <c r="G220" s="57">
        <f>'BS CF Shares'!J62+'BS CF Shares'!J63+'BS CF Shares'!J64</f>
        <v>660.30591764921337</v>
      </c>
      <c r="H220" s="57">
        <f>'BS CF Shares'!K62+'BS CF Shares'!K63+'BS CF Shares'!K64</f>
        <v>220.91751136527273</v>
      </c>
      <c r="I220" s="57">
        <f>'BS CF Shares'!L62+'BS CF Shares'!L63+'BS CF Shares'!L64</f>
        <v>350.69302031772895</v>
      </c>
      <c r="J220" s="57">
        <f>'BS CF Shares'!M62+'BS CF Shares'!M63+'BS CF Shares'!M64</f>
        <v>423.85747209884448</v>
      </c>
      <c r="K220" s="57">
        <f>'BS CF Shares'!N62+'BS CF Shares'!N63+'BS CF Shares'!N64</f>
        <v>251.95959825292812</v>
      </c>
      <c r="L220" s="57">
        <f>'BS CF Shares'!O62+'BS CF Shares'!O63+'BS CF Shares'!O64</f>
        <v>-111.47595390311017</v>
      </c>
      <c r="M220" s="57">
        <f>'BS CF Shares'!P62+'BS CF Shares'!P63+'BS CF Shares'!P64</f>
        <v>155.59118582109568</v>
      </c>
      <c r="N220" s="57">
        <f>'BS CF Shares'!Q62+'BS CF Shares'!Q63+'BS CF Shares'!Q64</f>
        <v>134.09484773118947</v>
      </c>
      <c r="O220" s="57"/>
      <c r="P220" s="57"/>
    </row>
    <row r="221" spans="2:16" ht="16.5">
      <c r="B221" s="57" t="s">
        <v>29</v>
      </c>
      <c r="C221" s="57">
        <f>'BS CF Shares'!F61+'BS CF Shares'!F65+'BS CF Shares'!F66</f>
        <v>-1020</v>
      </c>
      <c r="D221" s="57">
        <f>'BS CF Shares'!G61+'BS CF Shares'!G65+'BS CF Shares'!G66</f>
        <v>-1641</v>
      </c>
      <c r="E221" s="57">
        <f>'BS CF Shares'!H61+'BS CF Shares'!H65+'BS CF Shares'!H66</f>
        <v>-562</v>
      </c>
      <c r="F221" s="57">
        <f>'BS CF Shares'!I61+'BS CF Shares'!I65+'BS CF Shares'!I66</f>
        <v>-240</v>
      </c>
      <c r="G221" s="57">
        <f>'BS CF Shares'!J61+'BS CF Shares'!J65+'BS CF Shares'!J66</f>
        <v>828.81280749016696</v>
      </c>
      <c r="H221" s="57">
        <f>'BS CF Shares'!K61+'BS CF Shares'!K65+'BS CF Shares'!K66</f>
        <v>277.29459622329705</v>
      </c>
      <c r="I221" s="57">
        <f>'BS CF Shares'!L61+'BS CF Shares'!L65+'BS CF Shares'!L66</f>
        <v>440.1881900006756</v>
      </c>
      <c r="J221" s="57">
        <f>'BS CF Shares'!M61+'BS CF Shares'!M65+'BS CF Shares'!M66</f>
        <v>532.02385748200504</v>
      </c>
      <c r="K221" s="57">
        <f>'BS CF Shares'!N61+'BS CF Shares'!N65+'BS CF Shares'!N66</f>
        <v>316.25847417142904</v>
      </c>
      <c r="L221" s="57">
        <f>'BS CF Shares'!O61+'BS CF Shares'!O65+'BS CF Shares'!O66</f>
        <v>-139.92408041868293</v>
      </c>
      <c r="M221" s="57">
        <f>'BS CF Shares'!P61+'BS CF Shares'!P65+'BS CF Shares'!P66</f>
        <v>195.29730704247959</v>
      </c>
      <c r="N221" s="57">
        <f>'BS CF Shares'!Q61+'BS CF Shares'!Q65+'BS CF Shares'!Q66</f>
        <v>168.31520700848523</v>
      </c>
      <c r="O221" s="57"/>
      <c r="P221" s="57"/>
    </row>
    <row r="222" spans="2:16" ht="16.5">
      <c r="B222" s="58" t="s">
        <v>369</v>
      </c>
      <c r="C222" s="58">
        <f>'BS CF Shares'!F67</f>
        <v>13897</v>
      </c>
      <c r="D222" s="58">
        <f>'BS CF Shares'!G67</f>
        <v>11897</v>
      </c>
      <c r="E222" s="58">
        <f>'BS CF Shares'!H67</f>
        <v>11475</v>
      </c>
      <c r="F222" s="58">
        <f>'BS CF Shares'!I67</f>
        <v>12621</v>
      </c>
      <c r="G222" s="58">
        <f>'BS CF Shares'!J67</f>
        <v>16492.859529742149</v>
      </c>
      <c r="H222" s="58">
        <f>'BS CF Shares'!K67</f>
        <v>16272.862585333896</v>
      </c>
      <c r="I222" s="58">
        <f>'BS CF Shares'!L67</f>
        <v>17019.23529637231</v>
      </c>
      <c r="J222" s="58">
        <f>'BS CF Shares'!M67</f>
        <v>18404.551177835703</v>
      </c>
      <c r="K222" s="58">
        <f>'BS CF Shares'!N67</f>
        <v>19189.706255996003</v>
      </c>
      <c r="L222" s="58">
        <f>'BS CF Shares'!O67</f>
        <v>18628.851269218459</v>
      </c>
      <c r="M222" s="58">
        <f>'BS CF Shares'!P67</f>
        <v>19785.359610757216</v>
      </c>
      <c r="N222" s="58">
        <f>'BS CF Shares'!Q67</f>
        <v>19035.531192157316</v>
      </c>
      <c r="O222" s="54"/>
      <c r="P222" s="54"/>
    </row>
    <row r="223" spans="2:16" ht="16.5">
      <c r="B223" s="54" t="s">
        <v>370</v>
      </c>
      <c r="C223" s="57"/>
      <c r="D223" s="57"/>
      <c r="E223" s="57"/>
      <c r="F223" s="57"/>
      <c r="G223" s="57"/>
      <c r="H223" s="57"/>
      <c r="I223" s="57"/>
      <c r="J223" s="57"/>
      <c r="K223" s="57"/>
      <c r="L223" s="57"/>
      <c r="M223" s="57"/>
      <c r="N223" s="57"/>
      <c r="O223" s="57"/>
      <c r="P223" s="57"/>
    </row>
    <row r="224" spans="2:16" ht="16.5">
      <c r="B224" s="57" t="s">
        <v>371</v>
      </c>
      <c r="C224" s="57">
        <f>'BS CF Shares'!F69</f>
        <v>-2624</v>
      </c>
      <c r="D224" s="57">
        <f>'BS CF Shares'!G69</f>
        <v>-2367</v>
      </c>
      <c r="E224" s="57">
        <f>'BS CF Shares'!H69</f>
        <v>-1862</v>
      </c>
      <c r="F224" s="57">
        <f>'BS CF Shares'!I69</f>
        <v>-1696</v>
      </c>
      <c r="G224" s="57">
        <f>'BS CF Shares'!J69</f>
        <v>-1567.7358088264766</v>
      </c>
      <c r="H224" s="57">
        <f>'BS CF Shares'!K69</f>
        <v>-1332.784238142048</v>
      </c>
      <c r="I224" s="57">
        <f>'BS CF Shares'!L69</f>
        <v>-1099.6750182758899</v>
      </c>
      <c r="J224" s="57">
        <f>'BS CF Shares'!M69</f>
        <v>-1140.1007642407417</v>
      </c>
      <c r="K224" s="57">
        <f>'BS CF Shares'!N69</f>
        <v>-1164.1316127756088</v>
      </c>
      <c r="L224" s="57">
        <f>'BS CF Shares'!O69</f>
        <v>-1153.4995043657666</v>
      </c>
      <c r="M224" s="57">
        <f>'BS CF Shares'!P69</f>
        <v>-1168.3391383616649</v>
      </c>
      <c r="N224" s="57">
        <f>'BS CF Shares'!Q69</f>
        <v>-1181.1285418909542</v>
      </c>
      <c r="O224" s="57"/>
      <c r="P224" s="57"/>
    </row>
    <row r="225" spans="2:16" ht="16.5">
      <c r="B225" s="57" t="s">
        <v>373</v>
      </c>
      <c r="C225" s="57">
        <f>'BS CF Shares'!F72</f>
        <v>-780</v>
      </c>
      <c r="D225" s="57">
        <f>'BS CF Shares'!G72</f>
        <v>-1138</v>
      </c>
      <c r="E225" s="57">
        <f>'BS CF Shares'!H72</f>
        <v>-1017</v>
      </c>
      <c r="F225" s="57">
        <f>'BS CF Shares'!I72</f>
        <v>-1050</v>
      </c>
      <c r="G225" s="57">
        <f>'BS CF Shares'!J72</f>
        <v>-783.86790441323831</v>
      </c>
      <c r="H225" s="57">
        <f>'BS CF Shares'!K72</f>
        <v>-666.39211907102401</v>
      </c>
      <c r="I225" s="57">
        <f>'BS CF Shares'!L72</f>
        <v>-549.83750913794495</v>
      </c>
      <c r="J225" s="57">
        <f>'BS CF Shares'!M72</f>
        <v>-570.05038212037084</v>
      </c>
      <c r="K225" s="57">
        <f>'BS CF Shares'!N72</f>
        <v>-582.0658063878044</v>
      </c>
      <c r="L225" s="57">
        <f>'BS CF Shares'!O72</f>
        <v>-576.7497521828833</v>
      </c>
      <c r="M225" s="57">
        <f>'BS CF Shares'!P72</f>
        <v>-584.16956918083247</v>
      </c>
      <c r="N225" s="57">
        <f>'BS CF Shares'!Q72</f>
        <v>-590.56427094547712</v>
      </c>
      <c r="O225" s="57"/>
      <c r="P225" s="57"/>
    </row>
    <row r="226" spans="2:16" ht="16.5">
      <c r="B226" s="57" t="s">
        <v>429</v>
      </c>
      <c r="C226" s="57">
        <f>'BS CF Shares'!F74+'BS CF Shares'!F75</f>
        <v>-299</v>
      </c>
      <c r="D226" s="57">
        <f>'BS CF Shares'!G74+'BS CF Shares'!G75</f>
        <v>-346</v>
      </c>
      <c r="E226" s="57">
        <f>'BS CF Shares'!H74+'BS CF Shares'!H75</f>
        <v>-396</v>
      </c>
      <c r="F226" s="57">
        <f>'BS CF Shares'!I74+'BS CF Shares'!I75</f>
        <v>-510</v>
      </c>
      <c r="G226" s="57">
        <f>'BS CF Shares'!J74+'BS CF Shares'!J75</f>
        <v>0</v>
      </c>
      <c r="H226" s="57">
        <f>'BS CF Shares'!K74+'BS CF Shares'!K75</f>
        <v>0</v>
      </c>
      <c r="I226" s="57">
        <f>'BS CF Shares'!L74+'BS CF Shares'!L75</f>
        <v>0</v>
      </c>
      <c r="J226" s="57">
        <f>'BS CF Shares'!M74+'BS CF Shares'!M75</f>
        <v>0</v>
      </c>
      <c r="K226" s="57">
        <f>'BS CF Shares'!N74+'BS CF Shares'!N75</f>
        <v>0</v>
      </c>
      <c r="L226" s="57">
        <f>'BS CF Shares'!O74+'BS CF Shares'!O75</f>
        <v>0</v>
      </c>
      <c r="M226" s="57">
        <f>'BS CF Shares'!P74+'BS CF Shares'!P75</f>
        <v>0</v>
      </c>
      <c r="N226" s="57">
        <f>'BS CF Shares'!Q74+'BS CF Shares'!Q75</f>
        <v>0</v>
      </c>
      <c r="O226" s="57"/>
      <c r="P226" s="57"/>
    </row>
    <row r="227" spans="2:16" ht="16.5">
      <c r="B227" s="57" t="s">
        <v>428</v>
      </c>
      <c r="C227" s="57">
        <f>'BS CF Shares'!F71+'BS CF Shares'!F76</f>
        <v>739</v>
      </c>
      <c r="D227" s="57">
        <f>'BS CF Shares'!G71+'BS CF Shares'!G76</f>
        <v>1025</v>
      </c>
      <c r="E227" s="57">
        <f>'BS CF Shares'!H71+'BS CF Shares'!H76</f>
        <v>1255</v>
      </c>
      <c r="F227" s="57">
        <f>'BS CF Shares'!I71+'BS CF Shares'!I76</f>
        <v>1062</v>
      </c>
      <c r="G227" s="57">
        <f>'BS CF Shares'!J71+'BS CF Shares'!J76</f>
        <v>13000</v>
      </c>
      <c r="H227" s="57">
        <f>'BS CF Shares'!K71+'BS CF Shares'!K76</f>
        <v>0</v>
      </c>
      <c r="I227" s="57">
        <f>'BS CF Shares'!L71+'BS CF Shares'!L76</f>
        <v>0</v>
      </c>
      <c r="J227" s="57">
        <f>'BS CF Shares'!M71+'BS CF Shares'!M76</f>
        <v>0</v>
      </c>
      <c r="K227" s="57">
        <f>'BS CF Shares'!N71+'BS CF Shares'!N76</f>
        <v>0</v>
      </c>
      <c r="L227" s="57">
        <f>'BS CF Shares'!O71+'BS CF Shares'!O76</f>
        <v>0</v>
      </c>
      <c r="M227" s="57">
        <f>'BS CF Shares'!P71+'BS CF Shares'!P76</f>
        <v>0</v>
      </c>
      <c r="N227" s="57">
        <f>'BS CF Shares'!Q71+'BS CF Shares'!Q76</f>
        <v>0</v>
      </c>
      <c r="O227" s="57"/>
      <c r="P227" s="57"/>
    </row>
    <row r="228" spans="2:16" ht="16.5">
      <c r="B228" s="57" t="s">
        <v>378</v>
      </c>
      <c r="C228" s="57">
        <f>'BS CF Shares'!F77+'BS CF Shares'!F78</f>
        <v>1928</v>
      </c>
      <c r="D228" s="57">
        <f>'BS CF Shares'!G77+'BS CF Shares'!G78</f>
        <v>-16507</v>
      </c>
      <c r="E228" s="57">
        <f>'BS CF Shares'!H77+'BS CF Shares'!H78</f>
        <v>-765</v>
      </c>
      <c r="F228" s="57">
        <f>'BS CF Shares'!I77+'BS CF Shares'!I78</f>
        <v>-754</v>
      </c>
      <c r="G228" s="57">
        <f>'BS CF Shares'!J77+'BS CF Shares'!J78</f>
        <v>-8700</v>
      </c>
      <c r="H228" s="57">
        <f>'BS CF Shares'!K77+'BS CF Shares'!K78</f>
        <v>0</v>
      </c>
      <c r="I228" s="57">
        <f>'BS CF Shares'!L77+'BS CF Shares'!L78</f>
        <v>0</v>
      </c>
      <c r="J228" s="57">
        <f>'BS CF Shares'!M77+'BS CF Shares'!M78</f>
        <v>0</v>
      </c>
      <c r="K228" s="57">
        <f>'BS CF Shares'!N77+'BS CF Shares'!N78</f>
        <v>0</v>
      </c>
      <c r="L228" s="57">
        <f>'BS CF Shares'!O77+'BS CF Shares'!O78</f>
        <v>0</v>
      </c>
      <c r="M228" s="57">
        <f>'BS CF Shares'!P77+'BS CF Shares'!P78</f>
        <v>0</v>
      </c>
      <c r="N228" s="57">
        <f>'BS CF Shares'!Q77+'BS CF Shares'!Q78</f>
        <v>0</v>
      </c>
      <c r="O228" s="57"/>
      <c r="P228" s="57"/>
    </row>
    <row r="229" spans="2:16" ht="16.5">
      <c r="B229" s="57" t="s">
        <v>379</v>
      </c>
      <c r="C229" s="57">
        <f>'BS CF Shares'!F79</f>
        <v>-169</v>
      </c>
      <c r="D229" s="57">
        <f>'BS CF Shares'!G79</f>
        <v>-595</v>
      </c>
      <c r="E229" s="57">
        <f>'BS CF Shares'!H79</f>
        <v>-530</v>
      </c>
      <c r="F229" s="57">
        <f>'BS CF Shares'!I79</f>
        <v>-580</v>
      </c>
      <c r="G229" s="57">
        <f>'BS CF Shares'!J79</f>
        <v>0</v>
      </c>
      <c r="H229" s="57">
        <f>'BS CF Shares'!K79</f>
        <v>0</v>
      </c>
      <c r="I229" s="57">
        <f>'BS CF Shares'!L79</f>
        <v>0</v>
      </c>
      <c r="J229" s="57">
        <f>'BS CF Shares'!M79</f>
        <v>0</v>
      </c>
      <c r="K229" s="57">
        <f>'BS CF Shares'!N79</f>
        <v>0</v>
      </c>
      <c r="L229" s="57">
        <f>'BS CF Shares'!O79</f>
        <v>0</v>
      </c>
      <c r="M229" s="57">
        <f>'BS CF Shares'!P79</f>
        <v>0</v>
      </c>
      <c r="N229" s="57">
        <f>'BS CF Shares'!Q79</f>
        <v>0</v>
      </c>
      <c r="O229" s="57"/>
      <c r="P229" s="57"/>
    </row>
    <row r="230" spans="2:16" ht="16.5">
      <c r="B230" s="57" t="s">
        <v>380</v>
      </c>
      <c r="C230" s="57">
        <f>'BS CF Shares'!F80</f>
        <v>2086</v>
      </c>
      <c r="D230" s="57">
        <f>'BS CF Shares'!G80</f>
        <v>262</v>
      </c>
      <c r="E230" s="57">
        <f>'BS CF Shares'!H80</f>
        <v>622</v>
      </c>
      <c r="F230" s="57">
        <f>'BS CF Shares'!I80</f>
        <v>549</v>
      </c>
      <c r="G230" s="57">
        <f>'BS CF Shares'!J80</f>
        <v>0</v>
      </c>
      <c r="H230" s="57">
        <f>'BS CF Shares'!K80</f>
        <v>0</v>
      </c>
      <c r="I230" s="57">
        <f>'BS CF Shares'!L80</f>
        <v>0</v>
      </c>
      <c r="J230" s="57">
        <f>'BS CF Shares'!M80</f>
        <v>0</v>
      </c>
      <c r="K230" s="57">
        <f>'BS CF Shares'!N80</f>
        <v>0</v>
      </c>
      <c r="L230" s="57">
        <f>'BS CF Shares'!O80</f>
        <v>0</v>
      </c>
      <c r="M230" s="57">
        <f>'BS CF Shares'!P80</f>
        <v>0</v>
      </c>
      <c r="N230" s="57">
        <f>'BS CF Shares'!Q80</f>
        <v>0</v>
      </c>
      <c r="O230" s="57"/>
      <c r="P230" s="57"/>
    </row>
    <row r="231" spans="2:16" ht="16.5">
      <c r="B231" s="57" t="s">
        <v>806</v>
      </c>
      <c r="C231" s="57">
        <f>'BS CF Shares'!F81</f>
        <v>0</v>
      </c>
      <c r="D231" s="57">
        <f>'BS CF Shares'!G81</f>
        <v>8882</v>
      </c>
      <c r="E231" s="57">
        <f>'BS CF Shares'!H81</f>
        <v>-748</v>
      </c>
      <c r="F231" s="57">
        <f>'BS CF Shares'!I81</f>
        <v>-140</v>
      </c>
      <c r="G231" s="57">
        <f>'BS CF Shares'!J81</f>
        <v>0</v>
      </c>
      <c r="H231" s="57">
        <f>'BS CF Shares'!K81</f>
        <v>0</v>
      </c>
      <c r="I231" s="57">
        <f>'BS CF Shares'!L81</f>
        <v>0</v>
      </c>
      <c r="J231" s="57">
        <f>'BS CF Shares'!M81</f>
        <v>0</v>
      </c>
      <c r="K231" s="57">
        <f>'BS CF Shares'!N81</f>
        <v>0</v>
      </c>
      <c r="L231" s="57">
        <f>'BS CF Shares'!O81</f>
        <v>0</v>
      </c>
      <c r="M231" s="57">
        <f>'BS CF Shares'!P81</f>
        <v>0</v>
      </c>
      <c r="N231" s="57">
        <f>'BS CF Shares'!Q81</f>
        <v>0</v>
      </c>
      <c r="O231" s="57"/>
      <c r="P231" s="57"/>
    </row>
    <row r="232" spans="2:16" ht="16.5">
      <c r="B232" s="58" t="s">
        <v>381</v>
      </c>
      <c r="C232" s="58">
        <f>'BS CF Shares'!F82</f>
        <v>881</v>
      </c>
      <c r="D232" s="58">
        <f>'BS CF Shares'!G82</f>
        <v>-10784</v>
      </c>
      <c r="E232" s="58">
        <f>'BS CF Shares'!H82</f>
        <v>-3441</v>
      </c>
      <c r="F232" s="58">
        <f>'BS CF Shares'!I82</f>
        <v>-3119</v>
      </c>
      <c r="G232" s="58">
        <f>'BS CF Shares'!J82</f>
        <v>1948.3962867602859</v>
      </c>
      <c r="H232" s="58">
        <f>'BS CF Shares'!K82</f>
        <v>-1999.1763572130722</v>
      </c>
      <c r="I232" s="58">
        <f>'BS CF Shares'!L82</f>
        <v>-1649.512527413835</v>
      </c>
      <c r="J232" s="58">
        <f>'BS CF Shares'!M82</f>
        <v>-1710.1511463611125</v>
      </c>
      <c r="K232" s="58">
        <f>'BS CF Shares'!N82</f>
        <v>-1746.1974191634131</v>
      </c>
      <c r="L232" s="58">
        <f>'BS CF Shares'!O82</f>
        <v>-1730.24925654865</v>
      </c>
      <c r="M232" s="58">
        <f>'BS CF Shares'!P82</f>
        <v>-1752.5087075424974</v>
      </c>
      <c r="N232" s="58">
        <f>'BS CF Shares'!Q82</f>
        <v>-1771.6928128364314</v>
      </c>
      <c r="O232" s="54"/>
      <c r="P232" s="54"/>
    </row>
    <row r="233" spans="2:16" ht="16.5">
      <c r="B233" s="54" t="s">
        <v>382</v>
      </c>
      <c r="C233" s="57"/>
      <c r="D233" s="57"/>
      <c r="E233" s="57"/>
      <c r="F233" s="57"/>
      <c r="G233" s="57"/>
      <c r="H233" s="57"/>
      <c r="I233" s="57"/>
      <c r="J233" s="57"/>
      <c r="K233" s="57"/>
      <c r="L233" s="57"/>
      <c r="M233" s="57"/>
      <c r="N233" s="57"/>
      <c r="O233" s="57"/>
      <c r="P233" s="57"/>
    </row>
    <row r="234" spans="2:16" ht="16.5">
      <c r="B234" s="57" t="s">
        <v>383</v>
      </c>
      <c r="C234" s="57">
        <f>'BS CF Shares'!F84</f>
        <v>-6915</v>
      </c>
      <c r="D234" s="57">
        <f>'BS CF Shares'!G84</f>
        <v>-6071</v>
      </c>
      <c r="E234" s="57">
        <f>'BS CF Shares'!H84</f>
        <v>-1109</v>
      </c>
      <c r="F234" s="57">
        <f>'BS CF Shares'!I84</f>
        <v>-5490</v>
      </c>
      <c r="G234" s="57">
        <f>'BS CF Shares'!J84</f>
        <v>-1500</v>
      </c>
      <c r="H234" s="57">
        <f>'BS CF Shares'!K84</f>
        <v>-1500</v>
      </c>
      <c r="I234" s="57">
        <f>'BS CF Shares'!L84</f>
        <v>-1500</v>
      </c>
      <c r="J234" s="57">
        <f>'BS CF Shares'!M84</f>
        <v>-1500</v>
      </c>
      <c r="K234" s="57">
        <f>'BS CF Shares'!N84</f>
        <v>-1500</v>
      </c>
      <c r="L234" s="57">
        <f>'BS CF Shares'!O84</f>
        <v>-1500</v>
      </c>
      <c r="M234" s="57">
        <f>'BS CF Shares'!P84</f>
        <v>-1500</v>
      </c>
      <c r="N234" s="57">
        <f>'BS CF Shares'!Q84</f>
        <v>-1500</v>
      </c>
      <c r="O234" s="57"/>
      <c r="P234" s="57"/>
    </row>
    <row r="235" spans="2:16" ht="16.5">
      <c r="B235" s="57" t="s">
        <v>384</v>
      </c>
      <c r="C235" s="57">
        <f>'BS CF Shares'!F85</f>
        <v>2400</v>
      </c>
      <c r="D235" s="57">
        <f>'BS CF Shares'!G85</f>
        <v>1581</v>
      </c>
      <c r="E235" s="57">
        <f>'BS CF Shares'!H85</f>
        <v>214</v>
      </c>
      <c r="F235" s="57">
        <f>'BS CF Shares'!I85</f>
        <v>252</v>
      </c>
      <c r="G235" s="57">
        <f>'BS CF Shares'!J85</f>
        <v>0</v>
      </c>
      <c r="H235" s="57">
        <f>'BS CF Shares'!K85</f>
        <v>0</v>
      </c>
      <c r="I235" s="57">
        <f>'BS CF Shares'!L85</f>
        <v>0</v>
      </c>
      <c r="J235" s="57">
        <f>'BS CF Shares'!M85</f>
        <v>0</v>
      </c>
      <c r="K235" s="57">
        <f>'BS CF Shares'!N85</f>
        <v>0</v>
      </c>
      <c r="L235" s="57">
        <f>'BS CF Shares'!O85</f>
        <v>0</v>
      </c>
      <c r="M235" s="57">
        <f>'BS CF Shares'!P85</f>
        <v>0</v>
      </c>
      <c r="N235" s="57">
        <f>'BS CF Shares'!Q85</f>
        <v>0</v>
      </c>
      <c r="O235" s="57"/>
      <c r="P235" s="57"/>
    </row>
    <row r="236" spans="2:16" ht="16.5">
      <c r="B236" s="57" t="s">
        <v>386</v>
      </c>
      <c r="C236" s="57">
        <f>'BS CF Shares'!F87</f>
        <v>6024</v>
      </c>
      <c r="D236" s="57">
        <f>'BS CF Shares'!G87</f>
        <v>4596</v>
      </c>
      <c r="E236" s="57">
        <f>'BS CF Shares'!H87</f>
        <v>1935</v>
      </c>
      <c r="F236" s="57">
        <f>'BS CF Shares'!I87</f>
        <v>4943</v>
      </c>
      <c r="G236" s="57">
        <f>'BS CF Shares'!J87</f>
        <v>0</v>
      </c>
      <c r="H236" s="57">
        <f>'BS CF Shares'!K87</f>
        <v>0</v>
      </c>
      <c r="I236" s="57">
        <f>'BS CF Shares'!L87</f>
        <v>0</v>
      </c>
      <c r="J236" s="57">
        <f>'BS CF Shares'!M87</f>
        <v>0</v>
      </c>
      <c r="K236" s="57">
        <f>'BS CF Shares'!N87</f>
        <v>0</v>
      </c>
      <c r="L236" s="57">
        <f>'BS CF Shares'!O87</f>
        <v>0</v>
      </c>
      <c r="M236" s="57">
        <f>'BS CF Shares'!P87</f>
        <v>0</v>
      </c>
      <c r="N236" s="57">
        <f>'BS CF Shares'!Q87</f>
        <v>0</v>
      </c>
      <c r="O236" s="57"/>
      <c r="P236" s="57"/>
    </row>
    <row r="237" spans="2:16" ht="16.5">
      <c r="B237" s="57" t="s">
        <v>387</v>
      </c>
      <c r="C237" s="57">
        <f>'BS CF Shares'!F88</f>
        <v>-2599</v>
      </c>
      <c r="D237" s="57">
        <f>'BS CF Shares'!G88</f>
        <v>-3086</v>
      </c>
      <c r="E237" s="57">
        <f>'BS CF Shares'!H88</f>
        <v>-1696</v>
      </c>
      <c r="F237" s="57">
        <f>'BS CF Shares'!I88</f>
        <v>-188</v>
      </c>
      <c r="G237" s="57">
        <f>'BS CF Shares'!J88</f>
        <v>0</v>
      </c>
      <c r="H237" s="57">
        <f>'BS CF Shares'!K88</f>
        <v>0</v>
      </c>
      <c r="I237" s="57">
        <f>'BS CF Shares'!L88</f>
        <v>0</v>
      </c>
      <c r="J237" s="57">
        <f>'BS CF Shares'!M88</f>
        <v>0</v>
      </c>
      <c r="K237" s="57">
        <f>'BS CF Shares'!N88</f>
        <v>0</v>
      </c>
      <c r="L237" s="57">
        <f>'BS CF Shares'!O88</f>
        <v>0</v>
      </c>
      <c r="M237" s="57">
        <f>'BS CF Shares'!P88</f>
        <v>0</v>
      </c>
      <c r="N237" s="57">
        <f>'BS CF Shares'!Q88</f>
        <v>0</v>
      </c>
      <c r="O237" s="57"/>
      <c r="P237" s="57"/>
    </row>
    <row r="238" spans="2:16" ht="16.5">
      <c r="B238" s="57" t="s">
        <v>388</v>
      </c>
      <c r="C238" s="57">
        <f>'BS CF Shares'!F89</f>
        <v>-107</v>
      </c>
      <c r="D238" s="57">
        <f>'BS CF Shares'!G89</f>
        <v>451</v>
      </c>
      <c r="E238" s="57">
        <f>'BS CF Shares'!H89</f>
        <v>1816</v>
      </c>
      <c r="F238" s="57">
        <f>'BS CF Shares'!I89</f>
        <v>-755</v>
      </c>
      <c r="G238" s="57">
        <f>'BS CF Shares'!J89</f>
        <v>0</v>
      </c>
      <c r="H238" s="57">
        <f>'BS CF Shares'!K89</f>
        <v>0</v>
      </c>
      <c r="I238" s="57">
        <f>'BS CF Shares'!L89</f>
        <v>0</v>
      </c>
      <c r="J238" s="57">
        <f>'BS CF Shares'!M89</f>
        <v>0</v>
      </c>
      <c r="K238" s="57">
        <f>'BS CF Shares'!N89</f>
        <v>0</v>
      </c>
      <c r="L238" s="57">
        <f>'BS CF Shares'!O89</f>
        <v>0</v>
      </c>
      <c r="M238" s="57">
        <f>'BS CF Shares'!P89</f>
        <v>0</v>
      </c>
      <c r="N238" s="57">
        <f>'BS CF Shares'!Q89</f>
        <v>0</v>
      </c>
      <c r="O238" s="57"/>
      <c r="P238" s="57"/>
    </row>
    <row r="239" spans="2:16" ht="16.5">
      <c r="B239" s="57" t="s">
        <v>427</v>
      </c>
      <c r="C239" s="57">
        <f>'BS CF Shares'!F90</f>
        <v>-6810</v>
      </c>
      <c r="D239" s="57">
        <f>'BS CF Shares'!G90</f>
        <v>-6643</v>
      </c>
      <c r="E239" s="57">
        <f>'BS CF Shares'!H90</f>
        <v>-6475</v>
      </c>
      <c r="F239" s="57">
        <f>'BS CF Shares'!I90</f>
        <v>-6495</v>
      </c>
      <c r="G239" s="57">
        <f>'BS CF Shares'!J90</f>
        <v>-6883.2618160670208</v>
      </c>
      <c r="H239" s="57">
        <f>'BS CF Shares'!K90</f>
        <v>-6898.3234393717539</v>
      </c>
      <c r="I239" s="57">
        <f>'BS CF Shares'!L90</f>
        <v>-6998.0563067652411</v>
      </c>
      <c r="J239" s="57">
        <f>'BS CF Shares'!M90</f>
        <v>-7096.5974463463299</v>
      </c>
      <c r="K239" s="57">
        <f>'BS CF Shares'!N90</f>
        <v>-7194.599633970829</v>
      </c>
      <c r="L239" s="57">
        <f>'BS CF Shares'!O90</f>
        <v>-7292.5303316834879</v>
      </c>
      <c r="M239" s="57">
        <f>'BS CF Shares'!P90</f>
        <v>-7390.7249010980713</v>
      </c>
      <c r="N239" s="57">
        <f>'BS CF Shares'!Q90</f>
        <v>-7489.4245284855742</v>
      </c>
      <c r="O239" s="57"/>
      <c r="P239" s="57"/>
    </row>
    <row r="240" spans="2:16" ht="16.5">
      <c r="B240" s="58" t="s">
        <v>391</v>
      </c>
      <c r="C240" s="58">
        <f>'BS CF Shares'!F100</f>
        <v>-8147</v>
      </c>
      <c r="D240" s="58">
        <f>'BS CF Shares'!G100</f>
        <v>-9176</v>
      </c>
      <c r="E240" s="58">
        <f>'BS CF Shares'!H100</f>
        <v>-5314</v>
      </c>
      <c r="F240" s="58">
        <f>'BS CF Shares'!I100</f>
        <v>-7733</v>
      </c>
      <c r="G240" s="58">
        <f>'BS CF Shares'!J100</f>
        <v>-8383.2618160670208</v>
      </c>
      <c r="H240" s="58">
        <f>'BS CF Shares'!K100</f>
        <v>-8398.3234393717539</v>
      </c>
      <c r="I240" s="58">
        <f>'BS CF Shares'!L100</f>
        <v>-8498.0563067652402</v>
      </c>
      <c r="J240" s="58">
        <f>'BS CF Shares'!M100</f>
        <v>-8596.5974463463299</v>
      </c>
      <c r="K240" s="58">
        <f>'BS CF Shares'!N100</f>
        <v>-8694.599633970829</v>
      </c>
      <c r="L240" s="58">
        <f>'BS CF Shares'!O100</f>
        <v>-8792.530331683487</v>
      </c>
      <c r="M240" s="58">
        <f>'BS CF Shares'!P100</f>
        <v>-8890.7249010980704</v>
      </c>
      <c r="N240" s="58">
        <f>'BS CF Shares'!Q100</f>
        <v>-8989.4245284855751</v>
      </c>
      <c r="O240" s="54"/>
      <c r="P240" s="54"/>
    </row>
    <row r="241" spans="2:16" ht="16.5">
      <c r="B241" s="57" t="s">
        <v>393</v>
      </c>
      <c r="C241" s="57">
        <f>'BS CF Shares'!F102</f>
        <v>-295</v>
      </c>
      <c r="D241" s="57">
        <f>'BS CF Shares'!G102</f>
        <v>-286</v>
      </c>
      <c r="E241" s="57">
        <f>'BS CF Shares'!H102</f>
        <v>-387</v>
      </c>
      <c r="F241" s="57">
        <f>'BS CF Shares'!I102</f>
        <v>84</v>
      </c>
      <c r="G241" s="57">
        <f>'BS CF Shares'!J102</f>
        <v>0</v>
      </c>
      <c r="H241" s="57">
        <f>'BS CF Shares'!K102</f>
        <v>0</v>
      </c>
      <c r="I241" s="57">
        <f>'BS CF Shares'!L102</f>
        <v>0</v>
      </c>
      <c r="J241" s="57">
        <f>'BS CF Shares'!M102</f>
        <v>0</v>
      </c>
      <c r="K241" s="54">
        <f>'BS CF Shares'!N102</f>
        <v>0</v>
      </c>
      <c r="L241" s="54">
        <f>'BS CF Shares'!O102</f>
        <v>0</v>
      </c>
      <c r="M241" s="54">
        <f>'BS CF Shares'!P102</f>
        <v>0</v>
      </c>
      <c r="N241" s="54">
        <f>'BS CF Shares'!Q102</f>
        <v>0</v>
      </c>
      <c r="O241" s="54"/>
      <c r="P241" s="54"/>
    </row>
    <row r="242" spans="2:16" ht="16.5">
      <c r="B242" s="54" t="s">
        <v>394</v>
      </c>
      <c r="C242" s="54">
        <f>'BS CF Shares'!F103</f>
        <v>6336</v>
      </c>
      <c r="D242" s="54">
        <f>'BS CF Shares'!G103</f>
        <v>-8349</v>
      </c>
      <c r="E242" s="54">
        <f>'BS CF Shares'!H103</f>
        <v>2333</v>
      </c>
      <c r="F242" s="54">
        <f>'BS CF Shares'!I103</f>
        <v>1853</v>
      </c>
      <c r="G242" s="54">
        <f>'BS CF Shares'!J103</f>
        <v>10057.994000435414</v>
      </c>
      <c r="H242" s="54">
        <f>'BS CF Shares'!K103</f>
        <v>5875.3627887490693</v>
      </c>
      <c r="I242" s="54">
        <f>'BS CF Shares'!L103</f>
        <v>6871.6664621932341</v>
      </c>
      <c r="J242" s="54">
        <f>'BS CF Shares'!M103</f>
        <v>8097.80258512826</v>
      </c>
      <c r="K242" s="54">
        <f>'BS CF Shares'!N103</f>
        <v>8748.9092028617615</v>
      </c>
      <c r="L242" s="54">
        <f>'BS CF Shares'!O103</f>
        <v>8106.0716809863225</v>
      </c>
      <c r="M242" s="54">
        <f>'BS CF Shares'!P103</f>
        <v>9142.1260021166472</v>
      </c>
      <c r="N242" s="54">
        <f>'BS CF Shares'!Q103</f>
        <v>8274.4138508353099</v>
      </c>
      <c r="O242" s="54"/>
      <c r="P242" s="54"/>
    </row>
    <row r="243" spans="2:16" ht="16.5">
      <c r="B243" s="54" t="s">
        <v>395</v>
      </c>
      <c r="C243" s="54">
        <f>'BS CF Shares'!F104</f>
        <v>6687</v>
      </c>
      <c r="D243" s="54">
        <f>'BS CF Shares'!G104</f>
        <v>13023</v>
      </c>
      <c r="E243" s="54">
        <f>'BS CF Shares'!H104</f>
        <v>4674</v>
      </c>
      <c r="F243" s="54">
        <f>'BS CF Shares'!I104</f>
        <v>7007</v>
      </c>
      <c r="G243" s="54">
        <f>'BS CF Shares'!J104</f>
        <v>8860</v>
      </c>
      <c r="H243" s="54">
        <f>'BS CF Shares'!K104</f>
        <v>18917.994000435414</v>
      </c>
      <c r="I243" s="54">
        <f>'BS CF Shares'!L104</f>
        <v>24793.356789184483</v>
      </c>
      <c r="J243" s="54">
        <f>'BS CF Shares'!M104</f>
        <v>31665.023251377715</v>
      </c>
      <c r="K243" s="54">
        <f>'BS CF Shares'!N104</f>
        <v>39762.825836505974</v>
      </c>
      <c r="L243" s="54">
        <f>'BS CF Shares'!O104</f>
        <v>48511.735039367733</v>
      </c>
      <c r="M243" s="54">
        <f>'BS CF Shares'!P104</f>
        <v>56617.806720354056</v>
      </c>
      <c r="N243" s="54">
        <f>'BS CF Shares'!Q104</f>
        <v>65759.932722470709</v>
      </c>
      <c r="O243" s="54"/>
      <c r="P243" s="54"/>
    </row>
    <row r="244" spans="2:16" ht="16.5">
      <c r="B244" s="54" t="s">
        <v>396</v>
      </c>
      <c r="C244" s="54">
        <f>'BS CF Shares'!F105</f>
        <v>13023</v>
      </c>
      <c r="D244" s="54">
        <f>'BS CF Shares'!G105</f>
        <v>4674</v>
      </c>
      <c r="E244" s="54">
        <f>'BS CF Shares'!H105</f>
        <v>7007</v>
      </c>
      <c r="F244" s="54">
        <f>'BS CF Shares'!I105</f>
        <v>8860</v>
      </c>
      <c r="G244" s="54">
        <f>'BS CF Shares'!J105</f>
        <v>18917.994000435414</v>
      </c>
      <c r="H244" s="54">
        <f>'BS CF Shares'!K105</f>
        <v>24793.356789184483</v>
      </c>
      <c r="I244" s="54">
        <f>'BS CF Shares'!L105</f>
        <v>31665.023251377715</v>
      </c>
      <c r="J244" s="54">
        <f>'BS CF Shares'!M105</f>
        <v>39762.825836505974</v>
      </c>
      <c r="K244" s="54">
        <f>'BS CF Shares'!N105</f>
        <v>48511.735039367733</v>
      </c>
      <c r="L244" s="54">
        <f>'BS CF Shares'!O105</f>
        <v>56617.806720354056</v>
      </c>
      <c r="M244" s="54">
        <f>'BS CF Shares'!P105</f>
        <v>65759.932722470709</v>
      </c>
      <c r="N244" s="54">
        <f>'BS CF Shares'!Q105</f>
        <v>74034.346573306015</v>
      </c>
      <c r="O244" s="54"/>
      <c r="P244" s="54"/>
    </row>
    <row r="245" spans="2:16">
      <c r="B245" s="17"/>
      <c r="C245" s="17"/>
      <c r="D245" s="17"/>
      <c r="E245" s="17"/>
      <c r="F245" s="17"/>
      <c r="G245" s="17"/>
      <c r="H245" s="17"/>
      <c r="I245" s="17"/>
      <c r="J245" s="17"/>
      <c r="K245" s="17"/>
      <c r="L245" s="17"/>
      <c r="M245" s="17"/>
      <c r="N245" s="17"/>
      <c r="O245" s="17"/>
      <c r="P245" s="17"/>
    </row>
    <row r="246" spans="2:16">
      <c r="B246" s="17"/>
      <c r="C246" s="17"/>
      <c r="D246" s="17"/>
      <c r="E246" s="17"/>
      <c r="F246" s="17"/>
      <c r="G246" s="17"/>
      <c r="H246" s="17"/>
      <c r="I246" s="17"/>
      <c r="J246" s="17"/>
      <c r="K246" s="17"/>
      <c r="L246" s="17"/>
      <c r="M246" s="17"/>
      <c r="N246" s="17"/>
      <c r="O246" s="17"/>
      <c r="P246" s="17"/>
    </row>
    <row r="247" spans="2:16">
      <c r="B247" s="17"/>
      <c r="C247" s="17"/>
      <c r="D247" s="17"/>
      <c r="E247" s="17"/>
      <c r="F247" s="17"/>
      <c r="G247" s="17"/>
      <c r="H247" s="17"/>
      <c r="I247" s="17"/>
      <c r="J247" s="17"/>
      <c r="K247" s="17"/>
      <c r="L247" s="17"/>
      <c r="M247" s="17"/>
      <c r="N247" s="17"/>
      <c r="O247" s="17"/>
      <c r="P247" s="17"/>
    </row>
    <row r="248" spans="2:16">
      <c r="B248" s="17"/>
      <c r="C248" s="17"/>
      <c r="D248" s="17"/>
      <c r="E248" s="17"/>
      <c r="F248" s="17"/>
      <c r="G248" s="17"/>
      <c r="H248" s="17"/>
      <c r="I248" s="17"/>
      <c r="J248" s="17"/>
      <c r="K248" s="17"/>
      <c r="L248" s="17"/>
      <c r="M248" s="17"/>
      <c r="N248" s="17"/>
      <c r="O248" s="17"/>
      <c r="P248" s="17"/>
    </row>
    <row r="249" spans="2:16">
      <c r="B249" s="17"/>
      <c r="C249" s="17"/>
      <c r="D249" s="17"/>
      <c r="E249" s="17"/>
      <c r="F249" s="17"/>
      <c r="G249" s="17"/>
      <c r="H249" s="17"/>
      <c r="I249" s="17"/>
      <c r="J249" s="17"/>
      <c r="K249" s="17"/>
      <c r="L249" s="17"/>
      <c r="M249" s="17"/>
      <c r="N249" s="17"/>
      <c r="O249" s="17"/>
      <c r="P249" s="17"/>
    </row>
    <row r="250" spans="2:16">
      <c r="B250" s="17"/>
      <c r="C250" s="17"/>
      <c r="D250" s="17"/>
      <c r="E250" s="17"/>
      <c r="F250" s="17"/>
      <c r="G250" s="17"/>
      <c r="H250" s="17"/>
      <c r="I250" s="17"/>
      <c r="J250" s="17"/>
      <c r="K250" s="17"/>
      <c r="L250" s="17"/>
      <c r="M250" s="17"/>
      <c r="N250" s="17"/>
      <c r="O250" s="17"/>
      <c r="P250" s="17"/>
    </row>
    <row r="251" spans="2:16">
      <c r="B251" s="17"/>
      <c r="C251" s="17"/>
      <c r="D251" s="17"/>
      <c r="E251" s="17"/>
      <c r="F251" s="17"/>
      <c r="G251" s="17"/>
      <c r="H251" s="17"/>
      <c r="I251" s="17"/>
      <c r="J251" s="17"/>
      <c r="K251" s="17"/>
      <c r="L251" s="17"/>
      <c r="M251" s="17"/>
      <c r="N251" s="17"/>
      <c r="O251" s="17"/>
      <c r="P251" s="17"/>
    </row>
    <row r="252" spans="2:16">
      <c r="B252" s="17"/>
      <c r="C252" s="17"/>
      <c r="D252" s="17"/>
      <c r="E252" s="17"/>
      <c r="F252" s="17"/>
      <c r="G252" s="17"/>
      <c r="H252" s="17"/>
      <c r="I252" s="17"/>
      <c r="J252" s="17"/>
      <c r="K252" s="17"/>
      <c r="L252" s="17"/>
      <c r="M252" s="17"/>
      <c r="N252" s="17"/>
      <c r="O252" s="17"/>
      <c r="P252" s="17"/>
    </row>
    <row r="253" spans="2:16">
      <c r="B253" s="17"/>
      <c r="C253" s="17"/>
      <c r="D253" s="17"/>
      <c r="E253" s="17"/>
      <c r="F253" s="17"/>
      <c r="G253" s="17"/>
      <c r="H253" s="17"/>
      <c r="I253" s="17"/>
      <c r="J253" s="17"/>
      <c r="K253" s="17"/>
      <c r="L253" s="17"/>
      <c r="M253" s="17"/>
      <c r="N253" s="17"/>
      <c r="O253" s="17"/>
      <c r="P253" s="17"/>
    </row>
    <row r="254" spans="2:16">
      <c r="B254" s="17"/>
      <c r="C254" s="17"/>
      <c r="D254" s="17"/>
      <c r="E254" s="17"/>
      <c r="F254" s="17"/>
      <c r="G254" s="17"/>
      <c r="H254" s="17"/>
      <c r="I254" s="17"/>
      <c r="J254" s="17"/>
      <c r="K254" s="17"/>
      <c r="L254" s="17"/>
      <c r="M254" s="17"/>
      <c r="N254" s="17"/>
      <c r="O254" s="17"/>
      <c r="P254" s="17"/>
    </row>
    <row r="255" spans="2:16">
      <c r="B255" s="17"/>
      <c r="C255" s="17"/>
      <c r="D255" s="17"/>
      <c r="E255" s="17"/>
      <c r="F255" s="17"/>
      <c r="G255" s="17"/>
      <c r="H255" s="17"/>
      <c r="I255" s="17"/>
      <c r="J255" s="17"/>
      <c r="K255" s="17"/>
      <c r="L255" s="17"/>
      <c r="M255" s="17"/>
      <c r="N255" s="17"/>
      <c r="O255" s="17"/>
      <c r="P255" s="17"/>
    </row>
    <row r="256" spans="2:16">
      <c r="B256" s="17"/>
      <c r="C256" s="17"/>
      <c r="D256" s="17"/>
      <c r="E256" s="17"/>
      <c r="F256" s="17"/>
      <c r="G256" s="17"/>
      <c r="H256" s="17"/>
      <c r="I256" s="17"/>
      <c r="J256" s="17"/>
      <c r="K256" s="17"/>
      <c r="L256" s="17"/>
      <c r="M256" s="17"/>
      <c r="N256" s="17"/>
      <c r="O256" s="17"/>
      <c r="P256" s="17"/>
    </row>
    <row r="257" spans="2:16">
      <c r="B257" s="17"/>
      <c r="C257" s="17"/>
      <c r="D257" s="17"/>
      <c r="E257" s="17"/>
      <c r="F257" s="17"/>
      <c r="G257" s="17"/>
      <c r="H257" s="17"/>
      <c r="I257" s="17"/>
      <c r="J257" s="17"/>
      <c r="K257" s="17"/>
      <c r="L257" s="17"/>
      <c r="M257" s="17"/>
      <c r="N257" s="17"/>
      <c r="O257" s="17"/>
      <c r="P257" s="17"/>
    </row>
    <row r="258" spans="2:16">
      <c r="B258" s="17"/>
      <c r="C258" s="17"/>
      <c r="D258" s="17"/>
      <c r="E258" s="17"/>
      <c r="F258" s="17"/>
      <c r="G258" s="17"/>
      <c r="H258" s="17"/>
      <c r="I258" s="17"/>
      <c r="J258" s="17"/>
      <c r="K258" s="17"/>
      <c r="L258" s="17"/>
      <c r="M258" s="17"/>
      <c r="N258" s="17"/>
      <c r="O258" s="17"/>
      <c r="P258" s="17"/>
    </row>
    <row r="259" spans="2:16">
      <c r="B259" s="17"/>
      <c r="C259" s="17"/>
      <c r="D259" s="17"/>
      <c r="E259" s="17"/>
      <c r="F259" s="17"/>
      <c r="G259" s="17"/>
      <c r="H259" s="17"/>
      <c r="I259" s="17"/>
      <c r="J259" s="17"/>
      <c r="K259" s="17"/>
      <c r="L259" s="17"/>
      <c r="M259" s="17"/>
      <c r="N259" s="17"/>
      <c r="O259" s="17"/>
      <c r="P259" s="17"/>
    </row>
    <row r="260" spans="2:16">
      <c r="B260" s="17"/>
      <c r="C260" s="17"/>
      <c r="D260" s="17"/>
      <c r="E260" s="17"/>
      <c r="F260" s="17"/>
      <c r="G260" s="17"/>
      <c r="H260" s="17"/>
      <c r="I260" s="17"/>
      <c r="J260" s="17"/>
      <c r="K260" s="17"/>
      <c r="L260" s="17"/>
      <c r="M260" s="17"/>
      <c r="N260" s="17"/>
      <c r="O260" s="17"/>
      <c r="P260" s="17"/>
    </row>
    <row r="261" spans="2:16">
      <c r="B261" s="17"/>
      <c r="C261" s="17"/>
      <c r="D261" s="17"/>
      <c r="E261" s="17"/>
      <c r="F261" s="17"/>
      <c r="G261" s="17"/>
      <c r="H261" s="17"/>
      <c r="I261" s="17"/>
      <c r="J261" s="17"/>
      <c r="K261" s="17"/>
      <c r="L261" s="17"/>
      <c r="M261" s="17"/>
      <c r="N261" s="17"/>
      <c r="O261" s="17"/>
      <c r="P261" s="17"/>
    </row>
  </sheetData>
  <pageMargins left="0" right="0" top="0" bottom="0" header="0" footer="0"/>
  <pageSetup paperSize="5" scale="15"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AY536"/>
  <sheetViews>
    <sheetView zoomScaleNormal="100" workbookViewId="0">
      <pane xSplit="8" ySplit="1" topLeftCell="I2" activePane="bottomRight" state="frozen"/>
      <selection pane="topRight" activeCell="I1" sqref="I1"/>
      <selection pane="bottomLeft" activeCell="A2" sqref="A2"/>
      <selection pane="bottomRight" sqref="A1:XFD1048576"/>
    </sheetView>
  </sheetViews>
  <sheetFormatPr defaultRowHeight="12.75" customHeight="1" outlineLevelRow="1" outlineLevelCol="1"/>
  <cols>
    <col min="1" max="1" width="37.85546875" style="1025" bestFit="1" customWidth="1"/>
    <col min="2" max="4" width="9.140625" style="4" hidden="1" customWidth="1" outlineLevel="1"/>
    <col min="5" max="5" width="11.28515625" style="4" hidden="1" customWidth="1" outlineLevel="1"/>
    <col min="6" max="6" width="9.7109375" style="4" hidden="1" customWidth="1" outlineLevel="1"/>
    <col min="7" max="8" width="9.140625" style="4" hidden="1" customWidth="1" outlineLevel="1"/>
    <col min="9" max="9" width="9.140625" style="4" customWidth="1" collapsed="1"/>
    <col min="10" max="17" width="9.140625" style="4" customWidth="1"/>
    <col min="18" max="18" width="13" style="1020" customWidth="1"/>
    <col min="19" max="21" width="13" style="4" customWidth="1"/>
    <col min="22" max="22" width="9.140625" style="4" customWidth="1"/>
    <col min="23" max="25" width="9.140625" style="4" hidden="1" customWidth="1"/>
    <col min="26" max="26" width="8.140625" style="4" hidden="1" customWidth="1"/>
    <col min="27" max="27" width="9.140625" style="157" hidden="1" customWidth="1"/>
    <col min="28" max="28" width="9.140625" style="4" hidden="1" customWidth="1"/>
    <col min="29" max="29" width="9" style="4" hidden="1" customWidth="1"/>
    <col min="30" max="30" width="9.140625" style="4" hidden="1" customWidth="1"/>
    <col min="31" max="31" width="8.140625" style="157" hidden="1" customWidth="1"/>
    <col min="32" max="34" width="8.140625" style="4" hidden="1" customWidth="1"/>
    <col min="35" max="35" width="8.140625" style="157" customWidth="1"/>
    <col min="36" max="37" width="8.140625" style="4" customWidth="1"/>
    <col min="38" max="38" width="8.140625" style="492" customWidth="1"/>
    <col min="39" max="41" width="8.140625" style="429" customWidth="1"/>
    <col min="42" max="42" width="8.140625" style="492" customWidth="1"/>
    <col min="43" max="16384" width="9.140625" style="1025"/>
  </cols>
  <sheetData>
    <row r="1" spans="1:45" ht="12.75" customHeight="1">
      <c r="A1" s="1024" t="s">
        <v>12</v>
      </c>
      <c r="B1" s="3">
        <v>2010</v>
      </c>
      <c r="C1" s="3">
        <v>2011</v>
      </c>
      <c r="D1" s="3">
        <v>2012</v>
      </c>
      <c r="E1" s="3">
        <v>2013</v>
      </c>
      <c r="F1" s="3">
        <v>2014</v>
      </c>
      <c r="G1" s="3">
        <v>2015</v>
      </c>
      <c r="H1" s="3">
        <v>2016</v>
      </c>
      <c r="I1" s="3">
        <v>2017</v>
      </c>
      <c r="J1" s="1246">
        <v>2018</v>
      </c>
      <c r="K1" s="1246">
        <v>2019</v>
      </c>
      <c r="L1" s="1246">
        <v>2020</v>
      </c>
      <c r="M1" s="1246">
        <v>2021</v>
      </c>
      <c r="N1" s="1246">
        <v>2022</v>
      </c>
      <c r="O1" s="1246">
        <v>2023</v>
      </c>
      <c r="P1" s="1246">
        <v>2024</v>
      </c>
      <c r="Q1" s="1246">
        <v>2025</v>
      </c>
      <c r="R1" s="1017" t="s">
        <v>1479</v>
      </c>
      <c r="S1"/>
      <c r="T1"/>
      <c r="U1"/>
      <c r="W1" s="3" t="s">
        <v>0</v>
      </c>
      <c r="X1" s="3" t="s">
        <v>1</v>
      </c>
      <c r="Y1" s="3" t="s">
        <v>2</v>
      </c>
      <c r="Z1" s="3" t="s">
        <v>3</v>
      </c>
      <c r="AA1" s="156" t="s">
        <v>4</v>
      </c>
      <c r="AB1" s="3" t="s">
        <v>5</v>
      </c>
      <c r="AC1" s="3" t="s">
        <v>6</v>
      </c>
      <c r="AD1" s="3" t="s">
        <v>7</v>
      </c>
      <c r="AE1" s="156" t="s">
        <v>8</v>
      </c>
      <c r="AF1" s="3" t="s">
        <v>9</v>
      </c>
      <c r="AG1" s="3" t="s">
        <v>10</v>
      </c>
      <c r="AH1" s="3" t="s">
        <v>11</v>
      </c>
      <c r="AI1" s="156" t="s">
        <v>894</v>
      </c>
      <c r="AJ1" s="3" t="s">
        <v>896</v>
      </c>
      <c r="AK1" s="3" t="s">
        <v>942</v>
      </c>
      <c r="AL1" s="474" t="s">
        <v>947</v>
      </c>
      <c r="AM1" s="534" t="s">
        <v>1480</v>
      </c>
      <c r="AN1" s="534" t="s">
        <v>1481</v>
      </c>
      <c r="AO1" s="534" t="s">
        <v>1482</v>
      </c>
      <c r="AP1" s="474" t="s">
        <v>1483</v>
      </c>
    </row>
    <row r="2" spans="1:45" ht="12.75" customHeight="1">
      <c r="A2" s="1024" t="s">
        <v>13</v>
      </c>
      <c r="B2" s="3">
        <f>B34+B424+B502+B528+B533</f>
        <v>50624</v>
      </c>
      <c r="C2" s="3">
        <f>C34+C424+C502+C528+C533</f>
        <v>58566</v>
      </c>
      <c r="D2" s="3">
        <f>D34+D424+D502+D528+D533</f>
        <v>56673</v>
      </c>
      <c r="E2" s="3">
        <f>E34+E424+E502+E528+E533</f>
        <v>57355</v>
      </c>
      <c r="F2" s="3">
        <f t="shared" ref="F2:Q2" si="0">F34+F424+F502</f>
        <v>52180</v>
      </c>
      <c r="G2" s="3">
        <f t="shared" si="0"/>
        <v>49414</v>
      </c>
      <c r="H2" s="3">
        <f t="shared" si="0"/>
        <v>48518</v>
      </c>
      <c r="I2" s="136">
        <f t="shared" si="0"/>
        <v>49109</v>
      </c>
      <c r="J2" s="136">
        <f t="shared" si="0"/>
        <v>52257.86029421589</v>
      </c>
      <c r="K2" s="136">
        <f t="shared" si="0"/>
        <v>53311.369525681919</v>
      </c>
      <c r="L2" s="136">
        <f t="shared" si="0"/>
        <v>54983.750913794494</v>
      </c>
      <c r="M2" s="136">
        <f t="shared" si="0"/>
        <v>57005.038212037085</v>
      </c>
      <c r="N2" s="136">
        <f t="shared" si="0"/>
        <v>58206.58063878044</v>
      </c>
      <c r="O2" s="136">
        <f t="shared" si="0"/>
        <v>57674.975218288324</v>
      </c>
      <c r="P2" s="136">
        <f t="shared" si="0"/>
        <v>58416.956918083248</v>
      </c>
      <c r="Q2" s="136">
        <f t="shared" si="0"/>
        <v>59056.427094547711</v>
      </c>
      <c r="R2" s="402">
        <f>(N2/J2)^(1/($N$1-$J$1))-1</f>
        <v>2.7318516478024524E-2</v>
      </c>
      <c r="S2" s="1026"/>
      <c r="T2" s="1026"/>
      <c r="U2" s="1026"/>
      <c r="W2" s="3">
        <f t="shared" ref="W2:AP2" si="1">W34+W424+W502</f>
        <v>12767</v>
      </c>
      <c r="X2" s="3">
        <f t="shared" si="1"/>
        <v>13347</v>
      </c>
      <c r="Y2" s="3">
        <f t="shared" si="1"/>
        <v>12991</v>
      </c>
      <c r="Z2" s="3">
        <f t="shared" si="1"/>
        <v>13075</v>
      </c>
      <c r="AA2" s="156">
        <f t="shared" si="1"/>
        <v>11935</v>
      </c>
      <c r="AB2" s="3">
        <f t="shared" si="1"/>
        <v>12694</v>
      </c>
      <c r="AC2" s="3">
        <f t="shared" si="1"/>
        <v>12265</v>
      </c>
      <c r="AD2" s="136">
        <f t="shared" si="1"/>
        <v>12520</v>
      </c>
      <c r="AE2" s="156">
        <f t="shared" si="1"/>
        <v>11600</v>
      </c>
      <c r="AF2" s="3">
        <f t="shared" si="1"/>
        <v>12470</v>
      </c>
      <c r="AG2" s="3">
        <f t="shared" si="1"/>
        <v>12126</v>
      </c>
      <c r="AH2" s="136">
        <f t="shared" si="1"/>
        <v>12322</v>
      </c>
      <c r="AI2" s="156">
        <f t="shared" si="1"/>
        <v>11539</v>
      </c>
      <c r="AJ2" s="3">
        <f t="shared" si="1"/>
        <v>12242</v>
      </c>
      <c r="AK2" s="136">
        <f t="shared" si="1"/>
        <v>12413.050232664675</v>
      </c>
      <c r="AL2" s="554">
        <f t="shared" si="1"/>
        <v>12914.949767335325</v>
      </c>
      <c r="AM2" s="136">
        <f t="shared" si="1"/>
        <v>12694</v>
      </c>
      <c r="AN2" s="136">
        <f t="shared" si="1"/>
        <v>13104.529357901018</v>
      </c>
      <c r="AO2" s="136">
        <f t="shared" si="1"/>
        <v>13088.832761004065</v>
      </c>
      <c r="AP2" s="554">
        <f t="shared" si="1"/>
        <v>13370.498175310804</v>
      </c>
      <c r="AS2" s="1052"/>
    </row>
    <row r="3" spans="1:45" s="1028" customFormat="1" ht="9.75" customHeight="1">
      <c r="A3" s="1027" t="s">
        <v>14</v>
      </c>
      <c r="B3" s="1318"/>
      <c r="C3" s="1319">
        <f>C2/B2-1</f>
        <v>0.15688211125158036</v>
      </c>
      <c r="D3" s="1319">
        <f>D2/C2-1</f>
        <v>-3.2322507939760325E-2</v>
      </c>
      <c r="E3" s="1319">
        <f>E2/D2-1</f>
        <v>1.2033949146859957E-2</v>
      </c>
      <c r="F3" s="1319">
        <f>F2/E2-1</f>
        <v>-9.0227530293784275E-2</v>
      </c>
      <c r="G3" s="1319">
        <f t="shared" ref="G3:Q3" si="2">G2/F2-1</f>
        <v>-5.3008815638175499E-2</v>
      </c>
      <c r="H3" s="1319">
        <f t="shared" si="2"/>
        <v>-1.8132513052980914E-2</v>
      </c>
      <c r="I3" s="1319">
        <f t="shared" si="2"/>
        <v>1.2181046209654101E-2</v>
      </c>
      <c r="J3" s="1319">
        <f t="shared" si="2"/>
        <v>6.4119821096253027E-2</v>
      </c>
      <c r="K3" s="1319">
        <f t="shared" si="2"/>
        <v>2.0159823336330485E-2</v>
      </c>
      <c r="L3" s="1319">
        <f t="shared" si="2"/>
        <v>3.137006989300728E-2</v>
      </c>
      <c r="M3" s="1319">
        <f t="shared" si="2"/>
        <v>3.6761538902859492E-2</v>
      </c>
      <c r="N3" s="1319">
        <f t="shared" si="2"/>
        <v>2.1077828634621376E-2</v>
      </c>
      <c r="O3" s="1319">
        <f t="shared" si="2"/>
        <v>-9.1330810822090047E-3</v>
      </c>
      <c r="P3" s="1319">
        <f t="shared" si="2"/>
        <v>1.2864881120220106E-2</v>
      </c>
      <c r="Q3" s="1319">
        <f t="shared" si="2"/>
        <v>1.0946653338365087E-2</v>
      </c>
      <c r="R3" s="1320"/>
      <c r="S3" s="1307"/>
      <c r="T3" s="1307"/>
      <c r="U3" s="1307"/>
      <c r="V3" s="1307"/>
      <c r="W3" s="1319"/>
      <c r="X3" s="1319"/>
      <c r="Y3" s="1319"/>
      <c r="Z3" s="1319"/>
      <c r="AA3" s="1321">
        <f t="shared" ref="AA3:AH3" si="3">AA2/W2-1</f>
        <v>-6.5168011279078897E-2</v>
      </c>
      <c r="AB3" s="1319">
        <f t="shared" si="3"/>
        <v>-4.8924852026672627E-2</v>
      </c>
      <c r="AC3" s="1319">
        <f t="shared" si="3"/>
        <v>-5.588484335309063E-2</v>
      </c>
      <c r="AD3" s="1319">
        <f t="shared" si="3"/>
        <v>-4.2447418738049691E-2</v>
      </c>
      <c r="AE3" s="1321">
        <f t="shared" si="3"/>
        <v>-2.8068705488060286E-2</v>
      </c>
      <c r="AF3" s="1319">
        <f t="shared" si="3"/>
        <v>-1.7646132030880723E-2</v>
      </c>
      <c r="AG3" s="1319">
        <f t="shared" si="3"/>
        <v>-1.1333061557276758E-2</v>
      </c>
      <c r="AH3" s="1319">
        <f t="shared" si="3"/>
        <v>-1.5814696485622948E-2</v>
      </c>
      <c r="AI3" s="1321">
        <f>AI2/AE2-1</f>
        <v>-5.2586206896552135E-3</v>
      </c>
      <c r="AJ3" s="1319">
        <f>AJ2/AF2-1</f>
        <v>-1.8283881315156347E-2</v>
      </c>
      <c r="AK3" s="1319">
        <f>AK2/AG2-1</f>
        <v>2.3672293638848263E-2</v>
      </c>
      <c r="AL3" s="1322">
        <f>AL2/AH2-1</f>
        <v>4.8121227668830091E-2</v>
      </c>
      <c r="AM3" s="1323">
        <f t="shared" ref="AM3:AP3" si="4">AM2/AI2-1</f>
        <v>0.100095328884652</v>
      </c>
      <c r="AN3" s="1323">
        <f t="shared" si="4"/>
        <v>7.0456572284023578E-2</v>
      </c>
      <c r="AO3" s="1323">
        <f t="shared" si="4"/>
        <v>5.4441294901158344E-2</v>
      </c>
      <c r="AP3" s="1322">
        <f t="shared" si="4"/>
        <v>3.5272952367779054E-2</v>
      </c>
    </row>
    <row r="4" spans="1:45" s="1028" customFormat="1" ht="9.75" customHeight="1">
      <c r="A4" s="1027" t="s">
        <v>15</v>
      </c>
      <c r="B4" s="1319"/>
      <c r="C4" s="1319"/>
      <c r="D4" s="1319"/>
      <c r="E4" s="1319"/>
      <c r="F4" s="1319"/>
      <c r="G4" s="1319">
        <v>0.05</v>
      </c>
      <c r="H4" s="1319">
        <v>0</v>
      </c>
      <c r="I4" s="1319">
        <v>0.02</v>
      </c>
      <c r="J4" s="1319">
        <f t="shared" ref="J4:Q4" si="5">J3-J5</f>
        <v>2.3254474538859787E-2</v>
      </c>
      <c r="K4" s="1319">
        <f t="shared" si="5"/>
        <v>2.0159823336330485E-2</v>
      </c>
      <c r="L4" s="1319">
        <f t="shared" si="5"/>
        <v>3.137006989300728E-2</v>
      </c>
      <c r="M4" s="1319">
        <f t="shared" si="5"/>
        <v>3.6761538902859492E-2</v>
      </c>
      <c r="N4" s="1319">
        <f t="shared" si="5"/>
        <v>2.1077828634621376E-2</v>
      </c>
      <c r="O4" s="1319">
        <f t="shared" si="5"/>
        <v>-9.1330810822090047E-3</v>
      </c>
      <c r="P4" s="1319">
        <f t="shared" si="5"/>
        <v>1.2864881120220106E-2</v>
      </c>
      <c r="Q4" s="1319">
        <f t="shared" si="5"/>
        <v>1.0946653338365087E-2</v>
      </c>
      <c r="R4" s="1324"/>
      <c r="S4" s="1325"/>
      <c r="T4" s="1325"/>
      <c r="U4" s="1325"/>
      <c r="V4" s="1325"/>
      <c r="W4" s="1319"/>
      <c r="X4" s="1319"/>
      <c r="Y4" s="1319"/>
      <c r="Z4" s="1319"/>
      <c r="AA4" s="1321">
        <v>0.03</v>
      </c>
      <c r="AB4" s="1319">
        <v>0.06</v>
      </c>
      <c r="AC4" s="1319">
        <v>0.06</v>
      </c>
      <c r="AD4" s="1319">
        <f>AD3-AD5</f>
        <v>2.7552581261950315E-2</v>
      </c>
      <c r="AE4" s="1321">
        <v>0.01</v>
      </c>
      <c r="AF4" s="1319">
        <v>0</v>
      </c>
      <c r="AG4" s="1319">
        <v>0.01</v>
      </c>
      <c r="AH4" s="1319">
        <v>0</v>
      </c>
      <c r="AI4" s="1321">
        <v>0.02</v>
      </c>
      <c r="AJ4" s="1319">
        <v>0</v>
      </c>
      <c r="AK4" s="1319">
        <v>0.02</v>
      </c>
      <c r="AL4" s="1322">
        <v>0.02</v>
      </c>
      <c r="AM4" s="1323">
        <v>0.04</v>
      </c>
      <c r="AN4" s="1323">
        <f t="shared" ref="AN4:AP4" si="6">AN3-AN5</f>
        <v>1.7054304945041232E-2</v>
      </c>
      <c r="AO4" s="1323">
        <f t="shared" si="6"/>
        <v>2.9820871040427816E-2</v>
      </c>
      <c r="AP4" s="1322">
        <f t="shared" si="6"/>
        <v>9.9295862225709589E-3</v>
      </c>
    </row>
    <row r="5" spans="1:45" s="1028" customFormat="1" ht="9.75" customHeight="1">
      <c r="A5" s="1027" t="s">
        <v>494</v>
      </c>
      <c r="B5" s="1319"/>
      <c r="C5" s="1319"/>
      <c r="D5" s="1319"/>
      <c r="E5" s="1319"/>
      <c r="F5" s="1319"/>
      <c r="G5" s="1319">
        <f>G3-G4</f>
        <v>-0.1030088156381755</v>
      </c>
      <c r="H5" s="1319">
        <f>H3-H4</f>
        <v>-1.8132513052980914E-2</v>
      </c>
      <c r="I5" s="1319">
        <f>I3-I4</f>
        <v>-7.8189537903458999E-3</v>
      </c>
      <c r="J5" s="1319">
        <f>AVERAGE(AM5:AP5)</f>
        <v>4.086534655739324E-2</v>
      </c>
      <c r="K5" s="1319"/>
      <c r="L5" s="1319"/>
      <c r="M5" s="1319"/>
      <c r="N5" s="1319"/>
      <c r="O5" s="1319"/>
      <c r="P5" s="1319"/>
      <c r="Q5" s="1319"/>
      <c r="R5" s="1324"/>
      <c r="S5" s="1325"/>
      <c r="T5" s="1325"/>
      <c r="U5" s="1325"/>
      <c r="V5" s="1325"/>
      <c r="W5" s="1319"/>
      <c r="X5" s="1319"/>
      <c r="Y5" s="1319"/>
      <c r="Z5" s="1319"/>
      <c r="AA5" s="1321">
        <f>AA3-AA4</f>
        <v>-9.5168011279078896E-2</v>
      </c>
      <c r="AB5" s="1319">
        <f>AB3-AB4</f>
        <v>-0.10892485202667263</v>
      </c>
      <c r="AC5" s="1319">
        <f>AC3-AC4</f>
        <v>-0.11588484335309063</v>
      </c>
      <c r="AD5" s="1319">
        <v>-7.0000000000000007E-2</v>
      </c>
      <c r="AE5" s="1321">
        <f t="shared" ref="AE5:AP5" si="7">AE32</f>
        <v>0</v>
      </c>
      <c r="AF5" s="1319">
        <f t="shared" si="7"/>
        <v>0</v>
      </c>
      <c r="AG5" s="1319">
        <f t="shared" si="7"/>
        <v>0</v>
      </c>
      <c r="AH5" s="1319">
        <f t="shared" si="7"/>
        <v>0</v>
      </c>
      <c r="AI5" s="1321">
        <f t="shared" si="7"/>
        <v>-1.2029934572321434E-2</v>
      </c>
      <c r="AJ5" s="1319">
        <f t="shared" si="7"/>
        <v>-1.3818166159451507E-2</v>
      </c>
      <c r="AK5" s="1319">
        <f t="shared" si="7"/>
        <v>1.0437037023717358E-2</v>
      </c>
      <c r="AL5" s="1322">
        <f t="shared" si="7"/>
        <v>2.7010921615556321E-2</v>
      </c>
      <c r="AM5" s="1323">
        <f>AM3-AM4</f>
        <v>6.0095328884652001E-2</v>
      </c>
      <c r="AN5" s="1323">
        <f t="shared" si="7"/>
        <v>5.3402267338982345E-2</v>
      </c>
      <c r="AO5" s="1323">
        <f t="shared" si="7"/>
        <v>2.4620423860730527E-2</v>
      </c>
      <c r="AP5" s="1322">
        <f t="shared" si="7"/>
        <v>2.5343366145208095E-2</v>
      </c>
      <c r="AR5" s="1300"/>
      <c r="AS5" s="1300"/>
    </row>
    <row r="6" spans="1:45" s="1029" customFormat="1" ht="12.75" customHeight="1" outlineLevel="1">
      <c r="A6" s="1029" t="s">
        <v>1795</v>
      </c>
      <c r="B6" s="1302">
        <v>1.32664</v>
      </c>
      <c r="C6" s="1302">
        <f>1/FX!B97</f>
        <v>1.3909153753176502</v>
      </c>
      <c r="D6" s="1302">
        <f>1/FX!C97</f>
        <v>1.2851306528078177</v>
      </c>
      <c r="E6" s="1302">
        <f>1/FX!D97</f>
        <v>1.3279471795729854</v>
      </c>
      <c r="F6" s="1302">
        <f>1/FX!E97</f>
        <v>1.3263531786717104</v>
      </c>
      <c r="G6" s="1302">
        <f>1/FX!F97</f>
        <v>1.1095084877399313</v>
      </c>
      <c r="H6" s="1302">
        <f>1/FX!G97</f>
        <v>1.1063366538184105</v>
      </c>
      <c r="I6" s="1302">
        <f>1/FX!H97</f>
        <v>1.1276550638478298</v>
      </c>
      <c r="J6" s="1302">
        <f>1/FX!I97</f>
        <v>1.2311791187096752</v>
      </c>
      <c r="K6" s="1302">
        <f>1/FX!J97</f>
        <v>1.23205056335512</v>
      </c>
      <c r="L6" s="1302">
        <f>1/FX!K97</f>
        <v>1.23205056335512</v>
      </c>
      <c r="M6" s="1302">
        <f>1/FX!L97</f>
        <v>1.23205056335512</v>
      </c>
      <c r="N6" s="1302">
        <f>1/FX!M97</f>
        <v>1.23205056335512</v>
      </c>
      <c r="O6" s="1302">
        <f>1/FX!N97</f>
        <v>1.23205056335512</v>
      </c>
      <c r="P6" s="1302">
        <f>1/FX!O97</f>
        <v>1.23205056335512</v>
      </c>
      <c r="Q6" s="1302">
        <f>1/FX!P97</f>
        <v>1.23205056335512</v>
      </c>
      <c r="R6" s="1303"/>
      <c r="S6" s="1302"/>
      <c r="T6" s="1302"/>
      <c r="U6" s="1302"/>
      <c r="V6" s="1302"/>
      <c r="W6" s="1302">
        <f>1/FX!N84</f>
        <v>1.3703003835470775</v>
      </c>
      <c r="X6" s="1302">
        <f>1/FX!O84</f>
        <v>1.3715803073985784</v>
      </c>
      <c r="Y6" s="1302">
        <f>1/FX!P84</f>
        <v>1.3246471802235475</v>
      </c>
      <c r="Z6" s="1302">
        <f>1/FX!Q84</f>
        <v>1.24857974054513</v>
      </c>
      <c r="AA6" s="1304">
        <f>1/FX!R84</f>
        <v>1.1254645354870223</v>
      </c>
      <c r="AB6" s="1302">
        <f>1/FX!S84</f>
        <v>1.1064651867325972</v>
      </c>
      <c r="AC6" s="1302">
        <f>1/FX!T84</f>
        <v>1.1122839527457287</v>
      </c>
      <c r="AD6" s="1302">
        <f>1/FX!U84</f>
        <v>1.0946931465640868</v>
      </c>
      <c r="AE6" s="1304">
        <f>1/FX!V84</f>
        <v>1.1037405768148254</v>
      </c>
      <c r="AF6" s="1302">
        <f>1/FX!W84</f>
        <v>1.1291881588812909</v>
      </c>
      <c r="AG6" s="1302">
        <f>1/FX!X84</f>
        <v>1.1162483339993616</v>
      </c>
      <c r="AH6" s="1302">
        <f>1/FX!Y84</f>
        <v>1.0773551792234208</v>
      </c>
      <c r="AI6" s="1304">
        <f>1/FX!Z84</f>
        <v>1.0653303163178776</v>
      </c>
      <c r="AJ6" s="1302">
        <f>1/FX!AA84</f>
        <v>1.1008184585239125</v>
      </c>
      <c r="AK6" s="1302">
        <f>1/FX!AB84</f>
        <v>1.1751281771059179</v>
      </c>
      <c r="AL6" s="1305">
        <f>1/FX!AC84</f>
        <v>1.1776898436027887</v>
      </c>
      <c r="AM6" s="1306">
        <f>1/FX!AD84</f>
        <v>1.2285721657147282</v>
      </c>
      <c r="AN6" s="1306">
        <f>1/FX!AE84</f>
        <v>1.23205056335512</v>
      </c>
      <c r="AO6" s="1306">
        <f>1/FX!AF84</f>
        <v>1.23205056335512</v>
      </c>
      <c r="AP6" s="1305">
        <f>1/FX!AG84</f>
        <v>1.23205056335512</v>
      </c>
      <c r="AR6" s="1301"/>
      <c r="AS6" s="1301"/>
    </row>
    <row r="7" spans="1:45" s="1028" customFormat="1" ht="12.75" customHeight="1" outlineLevel="1">
      <c r="A7" s="1029" t="s">
        <v>1000</v>
      </c>
      <c r="B7" s="1302">
        <v>0.96210000000000007</v>
      </c>
      <c r="C7" s="1302">
        <f>1/FX!B98</f>
        <v>1.1277517141826054</v>
      </c>
      <c r="D7" s="1302">
        <f>1/FX!C98</f>
        <v>1.0663481840090425</v>
      </c>
      <c r="E7" s="1302">
        <f>1/FX!D98</f>
        <v>1.0789814415192058</v>
      </c>
      <c r="F7" s="1302">
        <f>1/FX!E98</f>
        <v>1.0922396373764403</v>
      </c>
      <c r="G7" s="1302">
        <f>1/FX!F98</f>
        <v>1.0386588836494317</v>
      </c>
      <c r="H7" s="1302">
        <f>1/FX!G98</f>
        <v>1.0149296146312252</v>
      </c>
      <c r="I7" s="1302">
        <f>1/FX!H98</f>
        <v>1.0157027647429255</v>
      </c>
      <c r="J7" s="1302">
        <f>1/FX!I98</f>
        <v>1.0478720338672241</v>
      </c>
      <c r="K7" s="1302">
        <f>1/FX!J98</f>
        <v>1.0458063166701526</v>
      </c>
      <c r="L7" s="1302">
        <f>1/FX!K98</f>
        <v>1.0458063166701526</v>
      </c>
      <c r="M7" s="1302">
        <f>1/FX!L98</f>
        <v>1.0458063166701526</v>
      </c>
      <c r="N7" s="1302">
        <f>1/FX!M98</f>
        <v>1.0458063166701526</v>
      </c>
      <c r="O7" s="1302">
        <f>1/FX!N98</f>
        <v>1.0458063166701526</v>
      </c>
      <c r="P7" s="1302">
        <f>1/FX!O98</f>
        <v>1.0458063166701526</v>
      </c>
      <c r="Q7" s="1302">
        <f>1/FX!P98</f>
        <v>1.0458063166701526</v>
      </c>
      <c r="R7" s="1018"/>
      <c r="S7" s="5"/>
      <c r="T7" s="5"/>
      <c r="U7" s="5"/>
      <c r="V7" s="5"/>
      <c r="W7" s="1302">
        <f>1/FX!N85</f>
        <v>1.1200340490350904</v>
      </c>
      <c r="X7" s="1302">
        <f>1/FX!O85</f>
        <v>1.1248214345972576</v>
      </c>
      <c r="Y7" s="1302">
        <f>1/FX!P85</f>
        <v>1.0933382898002471</v>
      </c>
      <c r="Z7" s="1302">
        <f>1/FX!Q85</f>
        <v>1.0366669085556119</v>
      </c>
      <c r="AA7" s="1304">
        <f>1/FX!R85</f>
        <v>1.0486907096490032</v>
      </c>
      <c r="AB7" s="1302">
        <f>1/FX!S85</f>
        <v>1.0622702840510738</v>
      </c>
      <c r="AC7" s="1302">
        <f>1/FX!T85</f>
        <v>1.0364949885467303</v>
      </c>
      <c r="AD7" s="1302">
        <f>1/FX!U85</f>
        <v>1.0093159865559109</v>
      </c>
      <c r="AE7" s="1304">
        <f>1/FX!V85</f>
        <v>1.0069378014520043</v>
      </c>
      <c r="AF7" s="1302">
        <f>1/FX!W85</f>
        <v>1.0299297587904506</v>
      </c>
      <c r="AG7" s="1302">
        <f>1/FX!X85</f>
        <v>1.0249472152184163</v>
      </c>
      <c r="AH7" s="1302">
        <f>1/FX!Y85</f>
        <v>0.99839258793342711</v>
      </c>
      <c r="AI7" s="1304">
        <f>1/FX!Z85</f>
        <v>0.99596633633783171</v>
      </c>
      <c r="AJ7" s="1302">
        <f>1/FX!AA85</f>
        <v>1.0157233982042009</v>
      </c>
      <c r="AK7" s="1302">
        <f>1/FX!AB85</f>
        <v>1.0386696718842505</v>
      </c>
      <c r="AL7" s="1305">
        <f>1/FX!AC85</f>
        <v>1.013335495115723</v>
      </c>
      <c r="AM7" s="1306">
        <f>1/FX!AD85</f>
        <v>1.0541184407480024</v>
      </c>
      <c r="AN7" s="1306">
        <f>1/FX!AE85</f>
        <v>1.0458063166701526</v>
      </c>
      <c r="AO7" s="1306">
        <f>1/FX!AF85</f>
        <v>1.0458063166701526</v>
      </c>
      <c r="AP7" s="1305">
        <f>1/FX!AG85</f>
        <v>1.0458063166701526</v>
      </c>
    </row>
    <row r="8" spans="1:45" s="1029" customFormat="1" ht="12.75" customHeight="1" outlineLevel="1">
      <c r="A8" s="1029" t="s">
        <v>1827</v>
      </c>
      <c r="B8" s="1302"/>
      <c r="C8" s="1302">
        <f>1/FX!B100</f>
        <v>1.2546925501375143E-2</v>
      </c>
      <c r="D8" s="1302">
        <f>1/FX!C100</f>
        <v>1.2525583504307547E-2</v>
      </c>
      <c r="E8" s="1302">
        <f>1/FX!D100</f>
        <v>1.0242700795345717E-2</v>
      </c>
      <c r="F8" s="1302">
        <f>1/FX!E100</f>
        <v>9.4409984799992443E-3</v>
      </c>
      <c r="G8" s="1302">
        <f>1/FX!F100</f>
        <v>8.2611856453638222E-3</v>
      </c>
      <c r="H8" s="1302">
        <f>1/FX!G100</f>
        <v>9.1929931006586776E-3</v>
      </c>
      <c r="I8" s="1302">
        <f>1/FX!H100</f>
        <v>8.9161843010959769E-3</v>
      </c>
      <c r="J8" s="1302">
        <f>1/FX!I100</f>
        <v>9.3313939586222652E-3</v>
      </c>
      <c r="K8" s="1302">
        <f>1/FX!J100</f>
        <v>9.3663653819135492E-3</v>
      </c>
      <c r="L8" s="1302">
        <f>1/FX!K100</f>
        <v>9.3663653819135492E-3</v>
      </c>
      <c r="M8" s="1302">
        <f>1/FX!L100</f>
        <v>9.3663653819135492E-3</v>
      </c>
      <c r="N8" s="1302">
        <f>1/FX!M100</f>
        <v>9.3663653819135492E-3</v>
      </c>
      <c r="O8" s="1302">
        <f>1/FX!N100</f>
        <v>9.3663653819135492E-3</v>
      </c>
      <c r="P8" s="1302">
        <f>1/FX!O100</f>
        <v>9.3663653819135492E-3</v>
      </c>
      <c r="Q8" s="1302">
        <f>1/FX!P100</f>
        <v>9.3663653819135492E-3</v>
      </c>
      <c r="R8" s="1303"/>
      <c r="S8" s="1302"/>
      <c r="T8" s="1302"/>
      <c r="U8" s="1302"/>
      <c r="V8" s="1302"/>
      <c r="W8" s="1302">
        <f>1/FX!N87</f>
        <v>9.7248641436479127E-3</v>
      </c>
      <c r="X8" s="1302">
        <f>1/FX!O87</f>
        <v>9.7904357233418674E-3</v>
      </c>
      <c r="Y8" s="1302">
        <f>1/FX!P87</f>
        <v>9.6132863307720334E-3</v>
      </c>
      <c r="Z8" s="1302">
        <f>1/FX!Q87</f>
        <v>8.7305439827344757E-3</v>
      </c>
      <c r="AA8" s="1304">
        <f>1/FX!R87</f>
        <v>8.3912187573947621E-3</v>
      </c>
      <c r="AB8" s="1302">
        <f>1/FX!S87</f>
        <v>8.2401034297782498E-3</v>
      </c>
      <c r="AC8" s="1302">
        <f>1/FX!T87</f>
        <v>8.1858381725279997E-3</v>
      </c>
      <c r="AD8" s="1302">
        <f>1/FX!U87</f>
        <v>8.2339970209398764E-3</v>
      </c>
      <c r="AE8" s="1304">
        <f>1/FX!V87</f>
        <v>8.6773467450404623E-3</v>
      </c>
      <c r="AF8" s="1302">
        <f>1/FX!W87</f>
        <v>9.2608799132440755E-3</v>
      </c>
      <c r="AG8" s="1302">
        <f>1/FX!X87</f>
        <v>9.7687158827597792E-3</v>
      </c>
      <c r="AH8" s="1302">
        <f>1/FX!Y87</f>
        <v>9.1223147326295155E-3</v>
      </c>
      <c r="AI8" s="1304">
        <f>1/FX!Z87</f>
        <v>8.8014378028794787E-3</v>
      </c>
      <c r="AJ8" s="1302">
        <f>1/FX!AA87</f>
        <v>8.9981220919194155E-3</v>
      </c>
      <c r="AK8" s="1302">
        <f>1/FX!AB87</f>
        <v>9.0110304023154741E-3</v>
      </c>
      <c r="AL8" s="1305">
        <f>1/FX!AC87</f>
        <v>8.8577803642496435E-3</v>
      </c>
      <c r="AM8" s="1306">
        <f>1/FX!AD87</f>
        <v>9.2280292159404968E-3</v>
      </c>
      <c r="AN8" s="1306">
        <f>1/FX!AE87</f>
        <v>9.3663653819135492E-3</v>
      </c>
      <c r="AO8" s="1306">
        <f>1/FX!AF87</f>
        <v>9.3663653819135492E-3</v>
      </c>
      <c r="AP8" s="1305">
        <f>1/FX!AG87</f>
        <v>9.3663653819135492E-3</v>
      </c>
    </row>
    <row r="9" spans="1:45" s="1029" customFormat="1" ht="12.75" customHeight="1" outlineLevel="1">
      <c r="A9" s="1029" t="s">
        <v>1828</v>
      </c>
      <c r="B9" s="1302"/>
      <c r="C9" s="1302">
        <f>1/FX!B101</f>
        <v>0.15473361061596352</v>
      </c>
      <c r="D9" s="1302">
        <f>1/FX!C101</f>
        <v>0.15849769544350822</v>
      </c>
      <c r="E9" s="1302">
        <f>1/FX!D101</f>
        <v>0.16265663834272401</v>
      </c>
      <c r="F9" s="1302">
        <f>1/FX!E101</f>
        <v>0.16229629785914954</v>
      </c>
      <c r="G9" s="1302">
        <f>1/FX!F101</f>
        <v>0.1591155720045698</v>
      </c>
      <c r="H9" s="1302">
        <f>1/FX!G101</f>
        <v>0.15051332569729062</v>
      </c>
      <c r="I9" s="1302">
        <f>1/FX!H101</f>
        <v>0.14796270156219019</v>
      </c>
      <c r="J9" s="1302">
        <f>1/FX!I101</f>
        <v>0.15821971180279495</v>
      </c>
      <c r="K9" s="1302">
        <f>1/FX!J101</f>
        <v>0.15855398763278897</v>
      </c>
      <c r="L9" s="1302">
        <f>1/FX!K101</f>
        <v>0.15855398763278897</v>
      </c>
      <c r="M9" s="1302">
        <f>1/FX!L101</f>
        <v>0.15855398763278897</v>
      </c>
      <c r="N9" s="1302">
        <f>1/FX!M101</f>
        <v>0.15855398763278897</v>
      </c>
      <c r="O9" s="1302">
        <f>1/FX!N101</f>
        <v>0.15855398763278897</v>
      </c>
      <c r="P9" s="1302">
        <f>1/FX!O101</f>
        <v>0.15855398763278897</v>
      </c>
      <c r="Q9" s="1302">
        <f>1/FX!P101</f>
        <v>0.15855398763278897</v>
      </c>
      <c r="R9" s="1303"/>
      <c r="S9" s="1302"/>
      <c r="T9" s="1302"/>
      <c r="U9" s="1302"/>
      <c r="V9" s="1302"/>
      <c r="W9" s="1302">
        <f>1/FX!N88</f>
        <v>0.16391319812679994</v>
      </c>
      <c r="X9" s="1302">
        <f>1/FX!O88</f>
        <v>0.16047140078695174</v>
      </c>
      <c r="Y9" s="1302">
        <f>1/FX!P88</f>
        <v>0.16221231645676393</v>
      </c>
      <c r="Z9" s="1302">
        <f>1/FX!Q88</f>
        <v>0.16264605615843025</v>
      </c>
      <c r="AA9" s="1304">
        <f>1/FX!R88</f>
        <v>0.16035946176950253</v>
      </c>
      <c r="AB9" s="1302">
        <f>1/FX!S88</f>
        <v>0.16119334658342641</v>
      </c>
      <c r="AC9" s="1302">
        <f>1/FX!T88</f>
        <v>0.15864252761966405</v>
      </c>
      <c r="AD9" s="1302">
        <f>1/FX!U88</f>
        <v>0.15641937285216648</v>
      </c>
      <c r="AE9" s="1304">
        <f>1/FX!V88</f>
        <v>0.15290028913444673</v>
      </c>
      <c r="AF9" s="1302">
        <f>1/FX!W88</f>
        <v>0.1530446706784776</v>
      </c>
      <c r="AG9" s="1302">
        <f>1/FX!X88</f>
        <v>0.15001275108384213</v>
      </c>
      <c r="AH9" s="1302">
        <f>1/FX!Y88</f>
        <v>0.14630535097190642</v>
      </c>
      <c r="AI9" s="1304">
        <f>1/FX!Z88</f>
        <v>0.14516189906602833</v>
      </c>
      <c r="AJ9" s="1302">
        <f>1/FX!AA88</f>
        <v>0.14575708415868283</v>
      </c>
      <c r="AK9" s="1302">
        <f>1/FX!AB88</f>
        <v>0.14991582226579775</v>
      </c>
      <c r="AL9" s="1305">
        <f>1/FX!AC88</f>
        <v>0.15119809369443468</v>
      </c>
      <c r="AM9" s="1306">
        <f>1/FX!AD88</f>
        <v>0.15722528811534045</v>
      </c>
      <c r="AN9" s="1306">
        <f>1/FX!AE88</f>
        <v>0.15855398763278897</v>
      </c>
      <c r="AO9" s="1306">
        <f>1/FX!AF88</f>
        <v>0.15855398763278897</v>
      </c>
      <c r="AP9" s="1305">
        <f>1/FX!AG88</f>
        <v>0.15855398763278897</v>
      </c>
    </row>
    <row r="10" spans="1:45" s="1029" customFormat="1" ht="12.75" customHeight="1" outlineLevel="1">
      <c r="A10" s="1029" t="s">
        <v>1829</v>
      </c>
      <c r="B10" s="1302"/>
      <c r="C10" s="1302">
        <f>1/FX!B99</f>
        <v>1.6035920461834507</v>
      </c>
      <c r="D10" s="1302">
        <f>1/FX!C99</f>
        <v>1.5847860538827259</v>
      </c>
      <c r="E10" s="1302">
        <f>1/FX!D99</f>
        <v>1.5637216575449568</v>
      </c>
      <c r="F10" s="1302">
        <f>1/FX!E99</f>
        <v>1.6463615409944021</v>
      </c>
      <c r="G10" s="1302">
        <f>1/FX!F99</f>
        <v>1.5281173594132029</v>
      </c>
      <c r="H10" s="1302">
        <f>1/FX!G99</f>
        <v>1.3500742540839745</v>
      </c>
      <c r="I10" s="1302">
        <f>1/FX!H99</f>
        <v>1.2878300064391499</v>
      </c>
      <c r="J10" s="1302">
        <f>1/FX!I99</f>
        <v>1.4075090608395793</v>
      </c>
      <c r="K10" s="1302">
        <f>1/FX!J99</f>
        <v>1.4130281192595733</v>
      </c>
      <c r="L10" s="1302">
        <f>1/FX!K99</f>
        <v>1.4130281192595733</v>
      </c>
      <c r="M10" s="1302">
        <f>1/FX!L99</f>
        <v>1.4130281192595733</v>
      </c>
      <c r="N10" s="1302">
        <f>1/FX!M99</f>
        <v>1.4130281192595733</v>
      </c>
      <c r="O10" s="1302">
        <f>1/FX!N99</f>
        <v>1.4130281192595733</v>
      </c>
      <c r="P10" s="1302">
        <f>1/FX!O99</f>
        <v>1.4130281192595733</v>
      </c>
      <c r="Q10" s="1302">
        <f>1/FX!P99</f>
        <v>1.4130281192595733</v>
      </c>
      <c r="R10" s="1303"/>
      <c r="S10" s="1302"/>
      <c r="T10" s="1302"/>
      <c r="U10" s="1302"/>
      <c r="V10" s="1302"/>
      <c r="W10" s="1302">
        <f>1/FX!N86</f>
        <v>1.654807214959457</v>
      </c>
      <c r="X10" s="1302">
        <f>1/FX!O86</f>
        <v>1.6832183134152499</v>
      </c>
      <c r="Y10" s="1302">
        <f>1/FX!P86</f>
        <v>1.6691704223001167</v>
      </c>
      <c r="Z10" s="1302">
        <f>1/FX!Q86</f>
        <v>1.582528881152081</v>
      </c>
      <c r="AA10" s="1304">
        <f>1/FX!R86</f>
        <v>1.5144631228229593</v>
      </c>
      <c r="AB10" s="1302">
        <f>1/FX!S86</f>
        <v>1.5325670498084289</v>
      </c>
      <c r="AC10" s="1302">
        <f>1/FX!T86</f>
        <v>1.5489467162329615</v>
      </c>
      <c r="AD10" s="1302">
        <f>1/FX!U86</f>
        <v>1.5163002274450339</v>
      </c>
      <c r="AE10" s="1304">
        <f>1/FX!V86</f>
        <v>1.43184421534937</v>
      </c>
      <c r="AF10" s="1302">
        <f>1/FX!W86</f>
        <v>1.434102968593145</v>
      </c>
      <c r="AG10" s="1302">
        <f>1/FX!X86</f>
        <v>1.3131976362442546</v>
      </c>
      <c r="AH10" s="1302">
        <f>1/FX!Y86</f>
        <v>1.2416190712689348</v>
      </c>
      <c r="AI10" s="1304">
        <f>1/FX!Z86</f>
        <v>1.2391573729863692</v>
      </c>
      <c r="AJ10" s="1302">
        <f>1/FX!AA86</f>
        <v>1.2797542871768621</v>
      </c>
      <c r="AK10" s="1302">
        <f>1/FX!AB86</f>
        <v>1.3082155939298794</v>
      </c>
      <c r="AL10" s="1305">
        <f>1/FX!AC86</f>
        <v>1.3274923669188901</v>
      </c>
      <c r="AM10" s="1306">
        <f>1/FX!AD86</f>
        <v>1.3912075681691709</v>
      </c>
      <c r="AN10" s="1306">
        <f>1/FX!AE86</f>
        <v>1.4130281192595733</v>
      </c>
      <c r="AO10" s="1306">
        <f>1/FX!AF86</f>
        <v>1.4130281192595733</v>
      </c>
      <c r="AP10" s="1305">
        <f>1/FX!AG86</f>
        <v>1.4130281192595733</v>
      </c>
    </row>
    <row r="11" spans="1:45" s="1029" customFormat="1" ht="12.75" customHeight="1" outlineLevel="1">
      <c r="A11" s="1029" t="s">
        <v>1830</v>
      </c>
      <c r="B11" s="1302"/>
      <c r="C11" s="1302">
        <f>1/FX!B102</f>
        <v>1.0110610074211877</v>
      </c>
      <c r="D11" s="1302">
        <f>1/FX!C102</f>
        <v>1.0003801444548928</v>
      </c>
      <c r="E11" s="1302">
        <f>1/FX!D102</f>
        <v>0.97084550935409653</v>
      </c>
      <c r="F11" s="1302">
        <f>1/FX!E102</f>
        <v>0.90531328366181107</v>
      </c>
      <c r="G11" s="1302">
        <f>1/FX!F102</f>
        <v>0.78189139528519491</v>
      </c>
      <c r="H11" s="1302">
        <f>1/FX!G102</f>
        <v>0.75481952265213381</v>
      </c>
      <c r="I11" s="1302">
        <f>1/FX!H102</f>
        <v>0.77032700381311858</v>
      </c>
      <c r="J11" s="1302">
        <f>1/FX!I102</f>
        <v>0.78830937201304641</v>
      </c>
      <c r="K11" s="1302">
        <f>1/FX!J102</f>
        <v>0.78752559458182392</v>
      </c>
      <c r="L11" s="1302">
        <f>1/FX!K102</f>
        <v>0.78752559458182392</v>
      </c>
      <c r="M11" s="1302">
        <f>1/FX!L102</f>
        <v>0.78752559458182392</v>
      </c>
      <c r="N11" s="1302">
        <f>1/FX!M102</f>
        <v>0.78752559458182392</v>
      </c>
      <c r="O11" s="1302">
        <f>1/FX!N102</f>
        <v>0.78752559458182392</v>
      </c>
      <c r="P11" s="1302">
        <f>1/FX!O102</f>
        <v>0.78752559458182392</v>
      </c>
      <c r="Q11" s="1302">
        <f>1/FX!P102</f>
        <v>0.78752559458182392</v>
      </c>
      <c r="R11" s="1303"/>
      <c r="S11" s="1302"/>
      <c r="T11" s="1302"/>
      <c r="U11" s="1302"/>
      <c r="V11" s="1302"/>
      <c r="W11" s="1302">
        <f>1/FX!N89</f>
        <v>0.9067745123820059</v>
      </c>
      <c r="X11" s="1302">
        <f>1/FX!O89</f>
        <v>0.9172039953406036</v>
      </c>
      <c r="Y11" s="1302">
        <f>1/FX!P89</f>
        <v>0.91859418346163024</v>
      </c>
      <c r="Z11" s="1302">
        <f>1/FX!Q89</f>
        <v>0.87997958447364022</v>
      </c>
      <c r="AA11" s="1304">
        <f>1/FX!R89</f>
        <v>0.80627605279495584</v>
      </c>
      <c r="AB11" s="1302">
        <f>1/FX!S89</f>
        <v>0.81347108110306676</v>
      </c>
      <c r="AC11" s="1302">
        <f>1/FX!T89</f>
        <v>0.76432731552960231</v>
      </c>
      <c r="AD11" s="1302">
        <f>1/FX!U89</f>
        <v>0.74851419931436092</v>
      </c>
      <c r="AE11" s="1304">
        <f>1/FX!V89</f>
        <v>0.72879391894354029</v>
      </c>
      <c r="AF11" s="1302">
        <f>1/FX!W89</f>
        <v>0.77613237713824468</v>
      </c>
      <c r="AG11" s="1302">
        <f>1/FX!X89</f>
        <v>0.76681236101525951</v>
      </c>
      <c r="AH11" s="1302">
        <f>1/FX!Y89</f>
        <v>0.74909172628188314</v>
      </c>
      <c r="AI11" s="1304">
        <f>1/FX!Z89</f>
        <v>0.755366881694439</v>
      </c>
      <c r="AJ11" s="1302">
        <f>1/FX!AA89</f>
        <v>0.74378198262525286</v>
      </c>
      <c r="AK11" s="1302">
        <f>1/FX!AB89</f>
        <v>0.79774716201447116</v>
      </c>
      <c r="AL11" s="1305">
        <f>1/FX!AC89</f>
        <v>0.78696161988179836</v>
      </c>
      <c r="AM11" s="1306">
        <f>1/FX!AD89</f>
        <v>0.79067009290373591</v>
      </c>
      <c r="AN11" s="1306">
        <f>1/FX!AE89</f>
        <v>0.78752559458182392</v>
      </c>
      <c r="AO11" s="1306">
        <f>1/FX!AF89</f>
        <v>0.78752559458182392</v>
      </c>
      <c r="AP11" s="1305">
        <f>1/FX!AG89</f>
        <v>0.78752559458182392</v>
      </c>
    </row>
    <row r="12" spans="1:45" s="1029" customFormat="1" ht="12.75" customHeight="1" outlineLevel="1">
      <c r="B12" s="1302"/>
      <c r="C12" s="1302"/>
      <c r="D12" s="1302"/>
      <c r="E12" s="1302"/>
      <c r="F12" s="1302"/>
      <c r="G12" s="1302"/>
      <c r="H12" s="1302"/>
      <c r="I12" s="1302"/>
      <c r="J12" s="1302"/>
      <c r="K12" s="1302"/>
      <c r="L12" s="1302"/>
      <c r="M12" s="1302"/>
      <c r="N12" s="1302"/>
      <c r="O12" s="1302"/>
      <c r="P12" s="1302"/>
      <c r="Q12" s="1302"/>
      <c r="R12" s="1303"/>
      <c r="S12" s="1302"/>
      <c r="T12" s="1302"/>
      <c r="U12" s="1302"/>
      <c r="V12" s="1302"/>
      <c r="W12" s="1302"/>
      <c r="X12" s="1302"/>
      <c r="Y12" s="1302"/>
      <c r="Z12" s="1302"/>
      <c r="AA12" s="1304"/>
      <c r="AB12" s="1302"/>
      <c r="AC12" s="1302"/>
      <c r="AD12" s="1302"/>
      <c r="AE12" s="1304"/>
      <c r="AF12" s="1302"/>
      <c r="AG12" s="1302"/>
      <c r="AH12" s="1302"/>
      <c r="AI12" s="1304"/>
      <c r="AJ12" s="1302"/>
      <c r="AK12" s="1302"/>
      <c r="AL12" s="1305"/>
      <c r="AM12" s="1306"/>
      <c r="AN12" s="1306"/>
      <c r="AO12" s="1306"/>
      <c r="AP12" s="1305"/>
    </row>
    <row r="13" spans="1:45" s="1029" customFormat="1" ht="12.75" customHeight="1" outlineLevel="1">
      <c r="A13" s="1029" t="s">
        <v>586</v>
      </c>
      <c r="B13" s="1302"/>
      <c r="C13" s="1302"/>
      <c r="D13" s="1302"/>
      <c r="E13" s="1302"/>
      <c r="F13" s="1302"/>
      <c r="G13" s="1302"/>
      <c r="H13" s="1302"/>
      <c r="I13" s="1302"/>
      <c r="J13" s="1302"/>
      <c r="K13" s="1302"/>
      <c r="L13" s="1302"/>
      <c r="M13" s="1302"/>
      <c r="N13" s="1302"/>
      <c r="O13" s="1302"/>
      <c r="P13" s="1302"/>
      <c r="Q13" s="1302"/>
      <c r="R13" s="1303"/>
      <c r="S13" s="1302"/>
      <c r="T13" s="1302"/>
      <c r="U13" s="1302"/>
      <c r="V13" s="1302"/>
      <c r="W13" s="1302"/>
      <c r="X13" s="1302"/>
      <c r="Y13" s="1302"/>
      <c r="Z13" s="1302"/>
      <c r="AA13" s="1304"/>
      <c r="AB13" s="1302"/>
      <c r="AC13" s="1302"/>
      <c r="AD13" s="1302"/>
      <c r="AE13" s="1304"/>
      <c r="AF13" s="1302"/>
      <c r="AG13" s="1302"/>
      <c r="AH13" s="1302"/>
      <c r="AI13" s="1304"/>
      <c r="AJ13" s="1302"/>
      <c r="AK13" s="1302"/>
      <c r="AL13" s="1305"/>
      <c r="AM13" s="1306"/>
      <c r="AN13" s="1306"/>
      <c r="AO13" s="1306"/>
      <c r="AP13" s="1305"/>
    </row>
    <row r="14" spans="1:45" s="1029" customFormat="1" ht="12.75" customHeight="1" outlineLevel="1">
      <c r="A14" s="1029" t="s">
        <v>1795</v>
      </c>
      <c r="B14" s="1302"/>
      <c r="C14" s="1302"/>
      <c r="D14" s="1307">
        <f>D6/C6-1</f>
        <v>-7.605403203316663E-2</v>
      </c>
      <c r="E14" s="1307">
        <f t="shared" ref="E14:Q14" si="8">E6/D6-1</f>
        <v>3.3316866788306587E-2</v>
      </c>
      <c r="F14" s="1307">
        <f t="shared" si="8"/>
        <v>-1.2003496266979052E-3</v>
      </c>
      <c r="G14" s="1307">
        <f t="shared" si="8"/>
        <v>-0.16348940419394209</v>
      </c>
      <c r="H14" s="1307">
        <f t="shared" si="8"/>
        <v>-2.8587739134666723E-3</v>
      </c>
      <c r="I14" s="1307">
        <f t="shared" si="8"/>
        <v>1.9269369731031549E-2</v>
      </c>
      <c r="J14" s="1307">
        <f t="shared" si="8"/>
        <v>9.1804717755264997E-2</v>
      </c>
      <c r="K14" s="1307">
        <f t="shared" si="8"/>
        <v>7.0781304864730998E-4</v>
      </c>
      <c r="L14" s="1307">
        <f t="shared" si="8"/>
        <v>0</v>
      </c>
      <c r="M14" s="1307">
        <f t="shared" si="8"/>
        <v>0</v>
      </c>
      <c r="N14" s="1307">
        <f t="shared" si="8"/>
        <v>0</v>
      </c>
      <c r="O14" s="1307">
        <f t="shared" si="8"/>
        <v>0</v>
      </c>
      <c r="P14" s="1307">
        <f t="shared" si="8"/>
        <v>0</v>
      </c>
      <c r="Q14" s="1307">
        <f t="shared" si="8"/>
        <v>0</v>
      </c>
      <c r="R14" s="1303"/>
      <c r="S14" s="1302"/>
      <c r="T14" s="1302"/>
      <c r="U14" s="1302"/>
      <c r="V14" s="1305"/>
      <c r="W14" s="1308"/>
      <c r="X14" s="1308"/>
      <c r="Y14" s="1308"/>
      <c r="Z14" s="1309"/>
      <c r="AA14" s="1308">
        <f t="shared" ref="AA14:AA19" si="9">AA6/W6-1</f>
        <v>-0.17867312233124233</v>
      </c>
      <c r="AB14" s="1308">
        <f t="shared" ref="AB14:AB19" si="10">AB6/X6-1</f>
        <v>-0.19329172286587759</v>
      </c>
      <c r="AC14" s="1308">
        <f t="shared" ref="AC14:AC19" si="11">AC6/Y6-1</f>
        <v>-0.16031682296110006</v>
      </c>
      <c r="AD14" s="1309">
        <f>AD6/Z6-1</f>
        <v>-0.12324931198535727</v>
      </c>
      <c r="AE14" s="1308">
        <f t="shared" ref="AE14:AE19" si="12">AE6/AA6-1</f>
        <v>-1.930221520733777E-2</v>
      </c>
      <c r="AF14" s="1308">
        <f t="shared" ref="AF14:AF19" si="13">AF6/AB6-1</f>
        <v>2.0536545045574117E-2</v>
      </c>
      <c r="AG14" s="1308">
        <f t="shared" ref="AG14:AG19" si="14">AG6/AC6-1</f>
        <v>3.5641809304600702E-3</v>
      </c>
      <c r="AH14" s="1308">
        <f>AH6/AD6-1</f>
        <v>-1.5838198489763644E-2</v>
      </c>
      <c r="AI14" s="1353">
        <f t="shared" ref="AI14:AI19" si="15">AI6/AE6-1</f>
        <v>-3.4800080112839749E-2</v>
      </c>
      <c r="AJ14" s="1308">
        <f t="shared" ref="AJ14:AJ19" si="16">AJ6/AF6-1</f>
        <v>-2.5123979678891462E-2</v>
      </c>
      <c r="AK14" s="1308">
        <f t="shared" ref="AK14:AK19" si="17">AK6/AG6-1</f>
        <v>5.2747978485753189E-2</v>
      </c>
      <c r="AL14" s="1309">
        <f>AL6/AH6-1</f>
        <v>9.3130535142264881E-2</v>
      </c>
      <c r="AM14" s="1308">
        <f t="shared" ref="AM14:AO14" si="18">AM6/AI6-1</f>
        <v>0.15323120622443809</v>
      </c>
      <c r="AN14" s="1308">
        <f t="shared" si="18"/>
        <v>0.11921321251024142</v>
      </c>
      <c r="AO14" s="1308">
        <f t="shared" si="18"/>
        <v>4.8439299948869863E-2</v>
      </c>
      <c r="AP14" s="1309">
        <f>AP6/AL6-1</f>
        <v>4.6158774356099608E-2</v>
      </c>
    </row>
    <row r="15" spans="1:45" s="1029" customFormat="1" ht="12.75" customHeight="1" outlineLevel="1">
      <c r="A15" s="1029" t="s">
        <v>1000</v>
      </c>
      <c r="B15" s="1302"/>
      <c r="C15" s="1302"/>
      <c r="D15" s="1307">
        <f t="shared" ref="D15:Q15" si="19">D7/C7-1</f>
        <v>-5.4447738275501756E-2</v>
      </c>
      <c r="E15" s="1307">
        <f t="shared" si="19"/>
        <v>1.1847216227880875E-2</v>
      </c>
      <c r="F15" s="1307">
        <f t="shared" si="19"/>
        <v>1.2287695920484953E-2</v>
      </c>
      <c r="G15" s="1307">
        <f t="shared" si="19"/>
        <v>-4.9055859074762731E-2</v>
      </c>
      <c r="H15" s="1307">
        <f t="shared" si="19"/>
        <v>-2.2846065625348855E-2</v>
      </c>
      <c r="I15" s="1307">
        <f t="shared" si="19"/>
        <v>7.6177707355729041E-4</v>
      </c>
      <c r="J15" s="1307">
        <f t="shared" si="19"/>
        <v>3.1671932223636956E-2</v>
      </c>
      <c r="K15" s="1307">
        <f t="shared" si="19"/>
        <v>-1.9713449069233002E-3</v>
      </c>
      <c r="L15" s="1307">
        <f t="shared" si="19"/>
        <v>0</v>
      </c>
      <c r="M15" s="1307">
        <f t="shared" si="19"/>
        <v>0</v>
      </c>
      <c r="N15" s="1307">
        <f t="shared" si="19"/>
        <v>0</v>
      </c>
      <c r="O15" s="1307">
        <f t="shared" si="19"/>
        <v>0</v>
      </c>
      <c r="P15" s="1307">
        <f t="shared" si="19"/>
        <v>0</v>
      </c>
      <c r="Q15" s="1307">
        <f t="shared" si="19"/>
        <v>0</v>
      </c>
      <c r="R15" s="1303"/>
      <c r="S15" s="1302"/>
      <c r="T15" s="1302"/>
      <c r="U15" s="1302"/>
      <c r="V15" s="1305"/>
      <c r="W15" s="1308"/>
      <c r="X15" s="1308"/>
      <c r="Y15" s="1308"/>
      <c r="Z15" s="1309"/>
      <c r="AA15" s="1308">
        <f t="shared" si="9"/>
        <v>-6.3697473704080187E-2</v>
      </c>
      <c r="AB15" s="1308">
        <f t="shared" si="10"/>
        <v>-5.5609849370073738E-2</v>
      </c>
      <c r="AC15" s="1308">
        <f t="shared" si="11"/>
        <v>-5.1990588625504097E-2</v>
      </c>
      <c r="AD15" s="1309">
        <f t="shared" ref="AD15:AD19" si="20">AD7/Z7-1</f>
        <v>-2.6383519888571572E-2</v>
      </c>
      <c r="AE15" s="1308">
        <f t="shared" si="12"/>
        <v>-3.9814320669412262E-2</v>
      </c>
      <c r="AF15" s="1308">
        <f t="shared" si="13"/>
        <v>-3.0444723669845519E-2</v>
      </c>
      <c r="AG15" s="1308">
        <f t="shared" si="14"/>
        <v>-1.1141176229424121E-2</v>
      </c>
      <c r="AH15" s="1308">
        <f t="shared" ref="AH15:AH19" si="21">AH7/AD7-1</f>
        <v>-1.082257565319833E-2</v>
      </c>
      <c r="AI15" s="1353">
        <f t="shared" si="15"/>
        <v>-1.0895871719535877E-2</v>
      </c>
      <c r="AJ15" s="1308">
        <f t="shared" si="16"/>
        <v>-1.3793523747613223E-2</v>
      </c>
      <c r="AK15" s="1308">
        <f t="shared" si="17"/>
        <v>1.3388452070587809E-2</v>
      </c>
      <c r="AL15" s="1309">
        <f t="shared" ref="AL15:AL19" si="22">AL7/AH7-1</f>
        <v>1.4966965262859455E-2</v>
      </c>
      <c r="AM15" s="1308">
        <f t="shared" ref="AM15:AP15" si="23">AM7/AI7-1</f>
        <v>5.8387620433031806E-2</v>
      </c>
      <c r="AN15" s="1308">
        <f t="shared" si="23"/>
        <v>2.9617234888098753E-2</v>
      </c>
      <c r="AO15" s="1308">
        <f t="shared" si="23"/>
        <v>6.8709475005228615E-3</v>
      </c>
      <c r="AP15" s="1309">
        <f t="shared" si="23"/>
        <v>3.2043505542773243E-2</v>
      </c>
    </row>
    <row r="16" spans="1:45" s="1029" customFormat="1" ht="12.75" customHeight="1" outlineLevel="1">
      <c r="A16" s="1029" t="s">
        <v>1827</v>
      </c>
      <c r="B16" s="1302"/>
      <c r="C16" s="1302"/>
      <c r="D16" s="1307">
        <f t="shared" ref="D16:Q16" si="24">D8/C8-1</f>
        <v>-1.7009742398850225E-3</v>
      </c>
      <c r="E16" s="1307">
        <f t="shared" si="24"/>
        <v>-0.1822575936823021</v>
      </c>
      <c r="F16" s="1307">
        <f t="shared" si="24"/>
        <v>-7.8270597898433825E-2</v>
      </c>
      <c r="G16" s="1307">
        <f t="shared" si="24"/>
        <v>-0.12496695525741852</v>
      </c>
      <c r="H16" s="1307">
        <f t="shared" si="24"/>
        <v>0.11279342884853172</v>
      </c>
      <c r="I16" s="1307">
        <f t="shared" si="24"/>
        <v>-3.0110846003231218E-2</v>
      </c>
      <c r="J16" s="1307">
        <f t="shared" si="24"/>
        <v>4.6568088265655394E-2</v>
      </c>
      <c r="K16" s="1307">
        <f t="shared" si="24"/>
        <v>3.7477169484383399E-3</v>
      </c>
      <c r="L16" s="1307">
        <f t="shared" si="24"/>
        <v>0</v>
      </c>
      <c r="M16" s="1307">
        <f t="shared" si="24"/>
        <v>0</v>
      </c>
      <c r="N16" s="1307">
        <f t="shared" si="24"/>
        <v>0</v>
      </c>
      <c r="O16" s="1307">
        <f t="shared" si="24"/>
        <v>0</v>
      </c>
      <c r="P16" s="1307">
        <f t="shared" si="24"/>
        <v>0</v>
      </c>
      <c r="Q16" s="1307">
        <f t="shared" si="24"/>
        <v>0</v>
      </c>
      <c r="R16" s="1303"/>
      <c r="S16" s="1302"/>
      <c r="T16" s="1302"/>
      <c r="U16" s="1302"/>
      <c r="V16" s="1305"/>
      <c r="W16" s="1308"/>
      <c r="X16" s="1308"/>
      <c r="Y16" s="1308"/>
      <c r="Z16" s="1309"/>
      <c r="AA16" s="1308">
        <f t="shared" si="9"/>
        <v>-0.13713768815210248</v>
      </c>
      <c r="AB16" s="1308">
        <f t="shared" si="10"/>
        <v>-0.15835171563073469</v>
      </c>
      <c r="AC16" s="1308">
        <f t="shared" si="11"/>
        <v>-0.14848701153057164</v>
      </c>
      <c r="AD16" s="1309">
        <f t="shared" si="20"/>
        <v>-5.6874687622738174E-2</v>
      </c>
      <c r="AE16" s="1308">
        <f t="shared" si="12"/>
        <v>3.4098501769310952E-2</v>
      </c>
      <c r="AF16" s="1308">
        <f t="shared" si="13"/>
        <v>0.12387908624750055</v>
      </c>
      <c r="AG16" s="1308">
        <f t="shared" si="14"/>
        <v>0.19336782341287662</v>
      </c>
      <c r="AH16" s="1308">
        <f t="shared" si="21"/>
        <v>0.10788414295396986</v>
      </c>
      <c r="AI16" s="1353">
        <f t="shared" si="15"/>
        <v>1.4300576142118659E-2</v>
      </c>
      <c r="AJ16" s="1308">
        <f t="shared" si="16"/>
        <v>-2.8372878580240291E-2</v>
      </c>
      <c r="AK16" s="1308">
        <f t="shared" si="17"/>
        <v>-7.7562444187930457E-2</v>
      </c>
      <c r="AL16" s="1309">
        <f t="shared" si="22"/>
        <v>-2.8998601356480469E-2</v>
      </c>
      <c r="AM16" s="1308">
        <f t="shared" ref="AM16:AP16" si="25">AM8/AI8-1</f>
        <v>4.8468377850884092E-2</v>
      </c>
      <c r="AN16" s="1308">
        <f t="shared" si="25"/>
        <v>4.0924460263195073E-2</v>
      </c>
      <c r="AO16" s="1308">
        <f t="shared" si="25"/>
        <v>3.9433334894394267E-2</v>
      </c>
      <c r="AP16" s="1309">
        <f t="shared" si="25"/>
        <v>5.7416756427668414E-2</v>
      </c>
    </row>
    <row r="17" spans="1:43" s="1029" customFormat="1" ht="12.75" customHeight="1" outlineLevel="1">
      <c r="A17" s="1029" t="s">
        <v>1828</v>
      </c>
      <c r="B17" s="1302"/>
      <c r="C17" s="1302"/>
      <c r="D17" s="1307">
        <f t="shared" ref="D17:Q17" si="26">D9/C9-1</f>
        <v>2.4326226296669695E-2</v>
      </c>
      <c r="E17" s="1307">
        <f t="shared" si="26"/>
        <v>2.6239768897448279E-2</v>
      </c>
      <c r="F17" s="1307">
        <f t="shared" si="26"/>
        <v>-2.2153444657772026E-3</v>
      </c>
      <c r="G17" s="1307">
        <f t="shared" si="26"/>
        <v>-1.9598265003802906E-2</v>
      </c>
      <c r="H17" s="1307">
        <f t="shared" si="26"/>
        <v>-5.4062881457209722E-2</v>
      </c>
      <c r="I17" s="1307">
        <f t="shared" si="26"/>
        <v>-1.6946168209917789E-2</v>
      </c>
      <c r="J17" s="1307">
        <f t="shared" si="26"/>
        <v>6.9321593430717643E-2</v>
      </c>
      <c r="K17" s="1307">
        <f t="shared" si="26"/>
        <v>2.1127318852069976E-3</v>
      </c>
      <c r="L17" s="1307">
        <f t="shared" si="26"/>
        <v>0</v>
      </c>
      <c r="M17" s="1307">
        <f t="shared" si="26"/>
        <v>0</v>
      </c>
      <c r="N17" s="1307">
        <f t="shared" si="26"/>
        <v>0</v>
      </c>
      <c r="O17" s="1307">
        <f t="shared" si="26"/>
        <v>0</v>
      </c>
      <c r="P17" s="1307">
        <f t="shared" si="26"/>
        <v>0</v>
      </c>
      <c r="Q17" s="1307">
        <f t="shared" si="26"/>
        <v>0</v>
      </c>
      <c r="R17" s="1303"/>
      <c r="S17" s="1302"/>
      <c r="T17" s="1302"/>
      <c r="U17" s="1302"/>
      <c r="V17" s="1305"/>
      <c r="W17" s="1308"/>
      <c r="X17" s="1308"/>
      <c r="Y17" s="1308"/>
      <c r="Z17" s="1309"/>
      <c r="AA17" s="1308">
        <f t="shared" si="9"/>
        <v>-2.1680599231236553E-2</v>
      </c>
      <c r="AB17" s="1308">
        <f t="shared" si="10"/>
        <v>4.498906303143313E-3</v>
      </c>
      <c r="AC17" s="1308">
        <f t="shared" si="11"/>
        <v>-2.2006891431399889E-2</v>
      </c>
      <c r="AD17" s="1309">
        <f t="shared" si="20"/>
        <v>-3.8283641505567734E-2</v>
      </c>
      <c r="AE17" s="1308">
        <f t="shared" si="12"/>
        <v>-4.6515325960481579E-2</v>
      </c>
      <c r="AF17" s="1308">
        <f t="shared" si="13"/>
        <v>-5.0552185171808039E-2</v>
      </c>
      <c r="AG17" s="1308">
        <f t="shared" si="14"/>
        <v>-5.439762379802271E-2</v>
      </c>
      <c r="AH17" s="1308">
        <f t="shared" si="21"/>
        <v>-6.4659649862034208E-2</v>
      </c>
      <c r="AI17" s="1353">
        <f t="shared" si="15"/>
        <v>-5.0610696109370634E-2</v>
      </c>
      <c r="AJ17" s="1308">
        <f t="shared" si="16"/>
        <v>-4.761738182379982E-2</v>
      </c>
      <c r="AK17" s="1308">
        <f t="shared" si="17"/>
        <v>-6.4613719396566793E-4</v>
      </c>
      <c r="AL17" s="1309">
        <f t="shared" si="22"/>
        <v>3.3441994363335059E-2</v>
      </c>
      <c r="AM17" s="1308">
        <f t="shared" ref="AM17:AP17" si="27">AM9/AI9-1</f>
        <v>8.3102998286244345E-2</v>
      </c>
      <c r="AN17" s="1308">
        <f t="shared" si="27"/>
        <v>8.7796099571904263E-2</v>
      </c>
      <c r="AO17" s="1308">
        <f t="shared" si="27"/>
        <v>5.7620104645631942E-2</v>
      </c>
      <c r="AP17" s="1309">
        <f t="shared" si="27"/>
        <v>4.86507055652452E-2</v>
      </c>
    </row>
    <row r="18" spans="1:43" s="1029" customFormat="1" ht="12.75" customHeight="1" outlineLevel="1">
      <c r="A18" s="1029" t="s">
        <v>1829</v>
      </c>
      <c r="B18" s="1302"/>
      <c r="C18" s="1302"/>
      <c r="D18" s="1307">
        <f t="shared" ref="D18:Q18" si="28">D10/C10-1</f>
        <v>-1.1727416798732015E-2</v>
      </c>
      <c r="E18" s="1307">
        <f t="shared" si="28"/>
        <v>-1.3291634089132254E-2</v>
      </c>
      <c r="F18" s="1307">
        <f t="shared" si="28"/>
        <v>5.2848205465920284E-2</v>
      </c>
      <c r="G18" s="1307">
        <f t="shared" si="28"/>
        <v>-7.1821515892420362E-2</v>
      </c>
      <c r="H18" s="1307">
        <f t="shared" si="28"/>
        <v>-0.11651140812744709</v>
      </c>
      <c r="I18" s="1307">
        <f t="shared" si="28"/>
        <v>-4.6104314230521637E-2</v>
      </c>
      <c r="J18" s="1307">
        <f t="shared" si="28"/>
        <v>9.2930785741933475E-2</v>
      </c>
      <c r="K18" s="1307">
        <f t="shared" si="28"/>
        <v>3.9211530309453124E-3</v>
      </c>
      <c r="L18" s="1307">
        <f t="shared" si="28"/>
        <v>0</v>
      </c>
      <c r="M18" s="1307">
        <f t="shared" si="28"/>
        <v>0</v>
      </c>
      <c r="N18" s="1307">
        <f t="shared" si="28"/>
        <v>0</v>
      </c>
      <c r="O18" s="1307">
        <f t="shared" si="28"/>
        <v>0</v>
      </c>
      <c r="P18" s="1307">
        <f t="shared" si="28"/>
        <v>0</v>
      </c>
      <c r="Q18" s="1307">
        <f t="shared" si="28"/>
        <v>0</v>
      </c>
      <c r="R18" s="1303"/>
      <c r="S18" s="1302"/>
      <c r="T18" s="1302"/>
      <c r="U18" s="1302"/>
      <c r="V18" s="1305"/>
      <c r="W18" s="1308"/>
      <c r="X18" s="1308"/>
      <c r="Y18" s="1308"/>
      <c r="Z18" s="1309"/>
      <c r="AA18" s="1308">
        <f t="shared" si="9"/>
        <v>-8.4809934878085635E-2</v>
      </c>
      <c r="AB18" s="1308">
        <f t="shared" si="10"/>
        <v>-8.9501915708812274E-2</v>
      </c>
      <c r="AC18" s="1308">
        <f t="shared" si="11"/>
        <v>-7.2026022304832682E-2</v>
      </c>
      <c r="AD18" s="1309">
        <f t="shared" si="20"/>
        <v>-4.1849886277483095E-2</v>
      </c>
      <c r="AE18" s="1308">
        <f t="shared" si="12"/>
        <v>-5.4553264604811025E-2</v>
      </c>
      <c r="AF18" s="1308">
        <f t="shared" si="13"/>
        <v>-6.4247812992972775E-2</v>
      </c>
      <c r="AG18" s="1308">
        <f t="shared" si="14"/>
        <v>-0.15219960604070926</v>
      </c>
      <c r="AH18" s="1308">
        <f t="shared" si="21"/>
        <v>-0.18115222249813734</v>
      </c>
      <c r="AI18" s="1353">
        <f t="shared" si="15"/>
        <v>-0.13457249070631983</v>
      </c>
      <c r="AJ18" s="1308">
        <f t="shared" si="16"/>
        <v>-0.107627335551574</v>
      </c>
      <c r="AK18" s="1308">
        <f t="shared" si="17"/>
        <v>-3.7938252223966851E-3</v>
      </c>
      <c r="AL18" s="1309">
        <f t="shared" si="22"/>
        <v>6.9162352316473941E-2</v>
      </c>
      <c r="AM18" s="1308">
        <f t="shared" ref="AM18:AP18" si="29">AM10/AI10-1</f>
        <v>0.12270450751252104</v>
      </c>
      <c r="AN18" s="1308">
        <f t="shared" si="29"/>
        <v>0.10414017238943041</v>
      </c>
      <c r="AO18" s="1308">
        <f t="shared" si="29"/>
        <v>8.0118694362018017E-2</v>
      </c>
      <c r="AP18" s="1309">
        <f t="shared" si="29"/>
        <v>6.4434082238236767E-2</v>
      </c>
    </row>
    <row r="19" spans="1:43" s="1029" customFormat="1" ht="12.75" customHeight="1" outlineLevel="1">
      <c r="A19" s="1029" t="s">
        <v>1830</v>
      </c>
      <c r="B19" s="1302"/>
      <c r="C19" s="1302"/>
      <c r="D19" s="1307">
        <f t="shared" ref="D19:Q19" si="30">D11/C11-1</f>
        <v>-1.0564014325443627E-2</v>
      </c>
      <c r="E19" s="1307">
        <f t="shared" si="30"/>
        <v>-2.9523411939457955E-2</v>
      </c>
      <c r="F19" s="1307">
        <f t="shared" si="30"/>
        <v>-6.7500158429824819E-2</v>
      </c>
      <c r="G19" s="1307">
        <f t="shared" si="30"/>
        <v>-0.13633058368192641</v>
      </c>
      <c r="H19" s="1307">
        <f t="shared" si="30"/>
        <v>-3.4623571504053485E-2</v>
      </c>
      <c r="I19" s="1307">
        <f t="shared" si="30"/>
        <v>2.0544621191695756E-2</v>
      </c>
      <c r="J19" s="1307">
        <f t="shared" si="30"/>
        <v>2.3343811278736304E-2</v>
      </c>
      <c r="K19" s="1307">
        <f t="shared" si="30"/>
        <v>-9.9425106315942369E-4</v>
      </c>
      <c r="L19" s="1307">
        <f t="shared" si="30"/>
        <v>0</v>
      </c>
      <c r="M19" s="1307">
        <f t="shared" si="30"/>
        <v>0</v>
      </c>
      <c r="N19" s="1307">
        <f t="shared" si="30"/>
        <v>0</v>
      </c>
      <c r="O19" s="1307">
        <f t="shared" si="30"/>
        <v>0</v>
      </c>
      <c r="P19" s="1307">
        <f t="shared" si="30"/>
        <v>0</v>
      </c>
      <c r="Q19" s="1307">
        <f t="shared" si="30"/>
        <v>0</v>
      </c>
      <c r="R19" s="1303"/>
      <c r="S19" s="1302"/>
      <c r="T19" s="1302"/>
      <c r="U19" s="1302"/>
      <c r="V19" s="1305"/>
      <c r="W19" s="1308"/>
      <c r="X19" s="1308"/>
      <c r="Y19" s="1308"/>
      <c r="Z19" s="1309"/>
      <c r="AA19" s="1308">
        <f t="shared" si="9"/>
        <v>-0.11083070621719471</v>
      </c>
      <c r="AB19" s="1308">
        <f t="shared" si="10"/>
        <v>-0.11309688440575927</v>
      </c>
      <c r="AC19" s="1308">
        <f t="shared" si="11"/>
        <v>-0.1679379977681642</v>
      </c>
      <c r="AD19" s="1309">
        <f t="shared" si="20"/>
        <v>-0.14939594904115339</v>
      </c>
      <c r="AE19" s="1308">
        <f t="shared" si="12"/>
        <v>-9.6098766151895165E-2</v>
      </c>
      <c r="AF19" s="1308">
        <f t="shared" si="13"/>
        <v>-4.5900468783955817E-2</v>
      </c>
      <c r="AG19" s="1308">
        <f t="shared" si="14"/>
        <v>3.2512844107046579E-3</v>
      </c>
      <c r="AH19" s="1308">
        <f t="shared" si="21"/>
        <v>7.7156447807036344E-4</v>
      </c>
      <c r="AI19" s="1353">
        <f t="shared" si="15"/>
        <v>3.6461559379390662E-2</v>
      </c>
      <c r="AJ19" s="1308">
        <f t="shared" si="16"/>
        <v>-4.1681542306319153E-2</v>
      </c>
      <c r="AK19" s="1308">
        <f t="shared" si="17"/>
        <v>4.0342073983071991E-2</v>
      </c>
      <c r="AL19" s="1309">
        <f t="shared" si="22"/>
        <v>5.0554414461206898E-2</v>
      </c>
      <c r="AM19" s="1308">
        <f t="shared" ref="AM19:AP19" si="31">AM11/AI11-1</f>
        <v>4.673650919153971E-2</v>
      </c>
      <c r="AN19" s="1308">
        <f t="shared" si="31"/>
        <v>5.8812411403370568E-2</v>
      </c>
      <c r="AO19" s="1308">
        <f t="shared" si="31"/>
        <v>-1.2813041423846316E-2</v>
      </c>
      <c r="AP19" s="1309">
        <f t="shared" si="31"/>
        <v>7.1664829106943273E-4</v>
      </c>
    </row>
    <row r="20" spans="1:43" s="1029" customFormat="1" ht="12.75" customHeight="1" outlineLevel="1">
      <c r="A20" s="1029" t="s">
        <v>1833</v>
      </c>
      <c r="B20" s="1302"/>
      <c r="C20" s="1302"/>
      <c r="D20" s="1302"/>
      <c r="E20" s="1302"/>
      <c r="F20" s="1302"/>
      <c r="G20" s="1302"/>
      <c r="H20" s="1302"/>
      <c r="I20" s="1302"/>
      <c r="J20" s="1302"/>
      <c r="K20" s="1302"/>
      <c r="L20" s="1302"/>
      <c r="M20" s="1302"/>
      <c r="N20" s="1302"/>
      <c r="O20" s="1302"/>
      <c r="P20" s="1302"/>
      <c r="Q20" s="1302"/>
      <c r="R20" s="1303"/>
      <c r="S20" s="1302"/>
      <c r="T20" s="1302"/>
      <c r="U20" s="1302"/>
      <c r="V20" s="1305"/>
      <c r="W20" s="1302"/>
      <c r="X20" s="1302"/>
      <c r="Y20" s="1302"/>
      <c r="Z20" s="1302"/>
      <c r="AA20" s="1304"/>
      <c r="AB20" s="1302"/>
      <c r="AC20" s="1302"/>
      <c r="AD20" s="1302"/>
      <c r="AE20" s="1304"/>
      <c r="AF20" s="1302"/>
      <c r="AG20" s="1302"/>
      <c r="AH20" s="1302"/>
      <c r="AI20" s="1304"/>
      <c r="AJ20" s="1302"/>
      <c r="AK20" s="1302"/>
      <c r="AL20" s="1305"/>
      <c r="AM20" s="1342">
        <v>0.06</v>
      </c>
      <c r="AN20" s="1342">
        <v>0.06</v>
      </c>
      <c r="AO20" s="1342">
        <v>0.03</v>
      </c>
      <c r="AP20" s="1343">
        <v>0.03</v>
      </c>
    </row>
    <row r="21" spans="1:43" s="1029" customFormat="1" ht="12.75" customHeight="1" outlineLevel="1">
      <c r="B21" s="1302"/>
      <c r="C21" s="1302"/>
      <c r="D21" s="1302"/>
      <c r="E21" s="1302"/>
      <c r="F21" s="1302"/>
      <c r="G21" s="1302"/>
      <c r="H21" s="1302"/>
      <c r="I21" s="1302"/>
      <c r="J21" s="1302"/>
      <c r="K21" s="1302"/>
      <c r="L21" s="1302"/>
      <c r="M21" s="1302"/>
      <c r="N21" s="1302"/>
      <c r="O21" s="1302"/>
      <c r="P21" s="1302"/>
      <c r="Q21" s="1302"/>
      <c r="R21" s="1303"/>
      <c r="S21" s="1302"/>
      <c r="T21" s="1302"/>
      <c r="U21" s="1302"/>
      <c r="V21" s="1302"/>
      <c r="W21" s="1302"/>
      <c r="X21" s="1302"/>
      <c r="Y21" s="1302"/>
      <c r="Z21" s="1302"/>
      <c r="AA21" s="1304"/>
      <c r="AB21" s="1302"/>
      <c r="AC21" s="1302"/>
      <c r="AD21" s="1302"/>
      <c r="AE21" s="1304"/>
      <c r="AF21" s="1302"/>
      <c r="AG21" s="1302"/>
      <c r="AH21" s="1302"/>
      <c r="AI21" s="1304"/>
      <c r="AJ21" s="1302"/>
      <c r="AK21" s="1302"/>
      <c r="AL21" s="1305"/>
      <c r="AM21" s="1306"/>
      <c r="AN21" s="1306"/>
      <c r="AO21" s="1306"/>
      <c r="AP21" s="1305"/>
    </row>
    <row r="22" spans="1:43" s="1029" customFormat="1" ht="12.75" customHeight="1" outlineLevel="1">
      <c r="A22" s="1029" t="s">
        <v>501</v>
      </c>
      <c r="B22" s="108"/>
      <c r="C22" s="108"/>
      <c r="D22" s="108"/>
      <c r="E22" s="108"/>
      <c r="F22" s="108"/>
      <c r="G22" s="108"/>
      <c r="H22" s="108"/>
      <c r="I22" s="108"/>
      <c r="J22" s="108"/>
      <c r="K22" s="108"/>
      <c r="L22" s="108"/>
      <c r="M22" s="108"/>
      <c r="N22" s="108"/>
      <c r="O22" s="108"/>
      <c r="P22" s="108"/>
      <c r="Q22" s="108"/>
      <c r="R22" s="1021"/>
      <c r="S22" s="109"/>
      <c r="T22" s="109"/>
      <c r="U22" s="109"/>
      <c r="V22" s="109"/>
      <c r="W22" s="108"/>
      <c r="X22" s="108"/>
      <c r="Y22" s="108"/>
      <c r="Z22" s="108"/>
      <c r="AA22" s="158"/>
      <c r="AB22" s="108"/>
      <c r="AC22" s="108"/>
      <c r="AD22" s="137"/>
      <c r="AE22" s="158"/>
      <c r="AF22" s="108"/>
      <c r="AG22" s="108"/>
      <c r="AH22" s="2"/>
      <c r="AI22" s="158"/>
      <c r="AJ22" s="108"/>
      <c r="AK22" s="2"/>
      <c r="AL22" s="485"/>
      <c r="AM22" s="2"/>
      <c r="AN22" s="2"/>
      <c r="AO22" s="2"/>
      <c r="AP22" s="485"/>
      <c r="AQ22" s="1030"/>
    </row>
    <row r="23" spans="1:43" s="1029" customFormat="1" ht="12.75" customHeight="1" outlineLevel="1">
      <c r="A23" s="1029" t="s">
        <v>400</v>
      </c>
      <c r="B23" s="108"/>
      <c r="C23" s="108"/>
      <c r="D23" s="108"/>
      <c r="E23" s="108"/>
      <c r="F23" s="108"/>
      <c r="G23" s="108"/>
      <c r="H23" s="108"/>
      <c r="I23" s="108">
        <v>0.37</v>
      </c>
      <c r="J23" s="137">
        <f>I23</f>
        <v>0.37</v>
      </c>
      <c r="K23" s="137">
        <f t="shared" ref="K23:Q23" si="32">J23</f>
        <v>0.37</v>
      </c>
      <c r="L23" s="137">
        <f t="shared" si="32"/>
        <v>0.37</v>
      </c>
      <c r="M23" s="137">
        <f t="shared" si="32"/>
        <v>0.37</v>
      </c>
      <c r="N23" s="137">
        <f t="shared" si="32"/>
        <v>0.37</v>
      </c>
      <c r="O23" s="137">
        <f t="shared" si="32"/>
        <v>0.37</v>
      </c>
      <c r="P23" s="137">
        <f t="shared" si="32"/>
        <v>0.37</v>
      </c>
      <c r="Q23" s="137">
        <f t="shared" si="32"/>
        <v>0.37</v>
      </c>
      <c r="R23" s="1021"/>
      <c r="S23" s="109"/>
      <c r="T23" s="109"/>
      <c r="U23" s="109"/>
      <c r="V23" s="109"/>
      <c r="W23" s="108"/>
      <c r="X23" s="108"/>
      <c r="Y23" s="108"/>
      <c r="Z23" s="108"/>
      <c r="AA23" s="158"/>
      <c r="AB23" s="108"/>
      <c r="AC23" s="108"/>
      <c r="AD23" s="137"/>
      <c r="AE23" s="158"/>
      <c r="AF23" s="108"/>
      <c r="AG23" s="108"/>
      <c r="AH23" s="2"/>
      <c r="AI23" s="158">
        <f>I23</f>
        <v>0.37</v>
      </c>
      <c r="AJ23" s="108">
        <f>I23</f>
        <v>0.37</v>
      </c>
      <c r="AK23" s="2">
        <f>I23</f>
        <v>0.37</v>
      </c>
      <c r="AL23" s="485">
        <f>I23</f>
        <v>0.37</v>
      </c>
      <c r="AM23" s="2">
        <f>M23</f>
        <v>0.37</v>
      </c>
      <c r="AN23" s="2">
        <f>M23</f>
        <v>0.37</v>
      </c>
      <c r="AO23" s="2">
        <f>M23</f>
        <v>0.37</v>
      </c>
      <c r="AP23" s="485">
        <f>M23</f>
        <v>0.37</v>
      </c>
      <c r="AQ23" s="1030"/>
    </row>
    <row r="24" spans="1:43" s="1029" customFormat="1" ht="12.75" customHeight="1" outlineLevel="1">
      <c r="A24" s="1029" t="s">
        <v>674</v>
      </c>
      <c r="B24" s="108"/>
      <c r="C24" s="108"/>
      <c r="D24" s="108"/>
      <c r="E24" s="108"/>
      <c r="F24" s="108"/>
      <c r="G24" s="108"/>
      <c r="H24" s="108"/>
      <c r="I24" s="108">
        <v>0.26</v>
      </c>
      <c r="J24" s="137">
        <f t="shared" ref="J24:Q30" si="33">I24</f>
        <v>0.26</v>
      </c>
      <c r="K24" s="137">
        <f t="shared" si="33"/>
        <v>0.26</v>
      </c>
      <c r="L24" s="137">
        <f t="shared" si="33"/>
        <v>0.26</v>
      </c>
      <c r="M24" s="137">
        <f t="shared" si="33"/>
        <v>0.26</v>
      </c>
      <c r="N24" s="137">
        <f t="shared" si="33"/>
        <v>0.26</v>
      </c>
      <c r="O24" s="137">
        <f t="shared" si="33"/>
        <v>0.26</v>
      </c>
      <c r="P24" s="137">
        <f t="shared" si="33"/>
        <v>0.26</v>
      </c>
      <c r="Q24" s="137">
        <f t="shared" si="33"/>
        <v>0.26</v>
      </c>
      <c r="R24" s="1021"/>
      <c r="S24" s="109"/>
      <c r="T24" s="109"/>
      <c r="U24" s="109"/>
      <c r="V24" s="109"/>
      <c r="W24" s="108"/>
      <c r="X24" s="108"/>
      <c r="Y24" s="108"/>
      <c r="Z24" s="108"/>
      <c r="AA24" s="158"/>
      <c r="AB24" s="108"/>
      <c r="AC24" s="108"/>
      <c r="AD24" s="137"/>
      <c r="AE24" s="158"/>
      <c r="AF24" s="108"/>
      <c r="AG24" s="108"/>
      <c r="AH24" s="2"/>
      <c r="AI24" s="158">
        <f t="shared" ref="AI24:AI30" si="34">I24</f>
        <v>0.26</v>
      </c>
      <c r="AJ24" s="108">
        <f t="shared" ref="AJ24:AJ30" si="35">I24</f>
        <v>0.26</v>
      </c>
      <c r="AK24" s="2">
        <f t="shared" ref="AK24:AK30" si="36">I24</f>
        <v>0.26</v>
      </c>
      <c r="AL24" s="485">
        <f t="shared" ref="AL24:AL30" si="37">I24</f>
        <v>0.26</v>
      </c>
      <c r="AM24" s="2">
        <f t="shared" ref="AM24:AM30" si="38">M24</f>
        <v>0.26</v>
      </c>
      <c r="AN24" s="2">
        <f t="shared" ref="AN24:AN30" si="39">M24</f>
        <v>0.26</v>
      </c>
      <c r="AO24" s="2">
        <f t="shared" ref="AO24:AO30" si="40">M24</f>
        <v>0.26</v>
      </c>
      <c r="AP24" s="485">
        <f t="shared" ref="AP24:AP30" si="41">M24</f>
        <v>0.26</v>
      </c>
      <c r="AQ24" s="1030"/>
    </row>
    <row r="25" spans="1:43" s="1029" customFormat="1" ht="12.75" customHeight="1" outlineLevel="1">
      <c r="A25" s="1029" t="s">
        <v>672</v>
      </c>
      <c r="B25" s="108"/>
      <c r="C25" s="108"/>
      <c r="D25" s="108"/>
      <c r="E25" s="108"/>
      <c r="F25" s="108"/>
      <c r="G25" s="108"/>
      <c r="H25" s="108"/>
      <c r="I25" s="108">
        <v>0.02</v>
      </c>
      <c r="J25" s="137">
        <f t="shared" si="33"/>
        <v>0.02</v>
      </c>
      <c r="K25" s="137">
        <f t="shared" si="33"/>
        <v>0.02</v>
      </c>
      <c r="L25" s="137">
        <f t="shared" si="33"/>
        <v>0.02</v>
      </c>
      <c r="M25" s="137">
        <f t="shared" si="33"/>
        <v>0.02</v>
      </c>
      <c r="N25" s="137">
        <f t="shared" si="33"/>
        <v>0.02</v>
      </c>
      <c r="O25" s="137">
        <f t="shared" si="33"/>
        <v>0.02</v>
      </c>
      <c r="P25" s="137">
        <f t="shared" si="33"/>
        <v>0.02</v>
      </c>
      <c r="Q25" s="137">
        <f t="shared" si="33"/>
        <v>0.02</v>
      </c>
      <c r="R25" s="1021"/>
      <c r="S25" s="109"/>
      <c r="T25" s="109"/>
      <c r="U25" s="109"/>
      <c r="V25" s="109"/>
      <c r="W25" s="108"/>
      <c r="X25" s="108"/>
      <c r="Y25" s="108"/>
      <c r="Z25" s="108"/>
      <c r="AA25" s="158"/>
      <c r="AB25" s="108"/>
      <c r="AC25" s="108"/>
      <c r="AD25" s="137"/>
      <c r="AE25" s="158"/>
      <c r="AF25" s="108"/>
      <c r="AG25" s="108"/>
      <c r="AH25" s="2"/>
      <c r="AI25" s="158">
        <f t="shared" si="34"/>
        <v>0.02</v>
      </c>
      <c r="AJ25" s="108">
        <f t="shared" si="35"/>
        <v>0.02</v>
      </c>
      <c r="AK25" s="2">
        <f t="shared" si="36"/>
        <v>0.02</v>
      </c>
      <c r="AL25" s="485">
        <f t="shared" si="37"/>
        <v>0.02</v>
      </c>
      <c r="AM25" s="2">
        <f t="shared" si="38"/>
        <v>0.02</v>
      </c>
      <c r="AN25" s="2">
        <f t="shared" si="39"/>
        <v>0.02</v>
      </c>
      <c r="AO25" s="2">
        <f t="shared" si="40"/>
        <v>0.02</v>
      </c>
      <c r="AP25" s="485">
        <f t="shared" si="41"/>
        <v>0.02</v>
      </c>
      <c r="AQ25" s="1030"/>
    </row>
    <row r="26" spans="1:43" s="1029" customFormat="1" ht="12.75" customHeight="1" outlineLevel="1">
      <c r="A26" s="1029" t="s">
        <v>676</v>
      </c>
      <c r="B26" s="108"/>
      <c r="C26" s="108"/>
      <c r="D26" s="108"/>
      <c r="E26" s="108"/>
      <c r="F26" s="108"/>
      <c r="G26" s="108"/>
      <c r="H26" s="108"/>
      <c r="I26" s="108">
        <v>0.06</v>
      </c>
      <c r="J26" s="137">
        <f t="shared" si="33"/>
        <v>0.06</v>
      </c>
      <c r="K26" s="137">
        <f t="shared" si="33"/>
        <v>0.06</v>
      </c>
      <c r="L26" s="137">
        <f t="shared" si="33"/>
        <v>0.06</v>
      </c>
      <c r="M26" s="137">
        <f t="shared" si="33"/>
        <v>0.06</v>
      </c>
      <c r="N26" s="137">
        <f t="shared" si="33"/>
        <v>0.06</v>
      </c>
      <c r="O26" s="137">
        <f t="shared" si="33"/>
        <v>0.06</v>
      </c>
      <c r="P26" s="137">
        <f t="shared" si="33"/>
        <v>0.06</v>
      </c>
      <c r="Q26" s="137">
        <f t="shared" si="33"/>
        <v>0.06</v>
      </c>
      <c r="R26" s="1021"/>
      <c r="S26" s="109"/>
      <c r="T26" s="109"/>
      <c r="U26" s="109"/>
      <c r="V26" s="109"/>
      <c r="W26" s="108"/>
      <c r="X26" s="108"/>
      <c r="Y26" s="108"/>
      <c r="Z26" s="108"/>
      <c r="AA26" s="158"/>
      <c r="AB26" s="108"/>
      <c r="AC26" s="108"/>
      <c r="AD26" s="137"/>
      <c r="AE26" s="158"/>
      <c r="AF26" s="108"/>
      <c r="AG26" s="108"/>
      <c r="AH26" s="2"/>
      <c r="AI26" s="158">
        <f t="shared" si="34"/>
        <v>0.06</v>
      </c>
      <c r="AJ26" s="108">
        <f t="shared" si="35"/>
        <v>0.06</v>
      </c>
      <c r="AK26" s="2">
        <f t="shared" si="36"/>
        <v>0.06</v>
      </c>
      <c r="AL26" s="485">
        <f t="shared" si="37"/>
        <v>0.06</v>
      </c>
      <c r="AM26" s="2">
        <f t="shared" si="38"/>
        <v>0.06</v>
      </c>
      <c r="AN26" s="2">
        <f t="shared" si="39"/>
        <v>0.06</v>
      </c>
      <c r="AO26" s="2">
        <f t="shared" si="40"/>
        <v>0.06</v>
      </c>
      <c r="AP26" s="485">
        <f t="shared" si="41"/>
        <v>0.06</v>
      </c>
      <c r="AQ26" s="1030"/>
    </row>
    <row r="27" spans="1:43" s="1029" customFormat="1" ht="12.75" customHeight="1" outlineLevel="1">
      <c r="A27" s="1029" t="s">
        <v>673</v>
      </c>
      <c r="B27" s="108"/>
      <c r="C27" s="108"/>
      <c r="D27" s="108"/>
      <c r="E27" s="108"/>
      <c r="F27" s="108"/>
      <c r="G27" s="108"/>
      <c r="H27" s="108"/>
      <c r="I27" s="108">
        <v>0.04</v>
      </c>
      <c r="J27" s="137">
        <f t="shared" si="33"/>
        <v>0.04</v>
      </c>
      <c r="K27" s="137">
        <f t="shared" si="33"/>
        <v>0.04</v>
      </c>
      <c r="L27" s="137">
        <f t="shared" si="33"/>
        <v>0.04</v>
      </c>
      <c r="M27" s="137">
        <f t="shared" si="33"/>
        <v>0.04</v>
      </c>
      <c r="N27" s="137">
        <f t="shared" si="33"/>
        <v>0.04</v>
      </c>
      <c r="O27" s="137">
        <f t="shared" si="33"/>
        <v>0.04</v>
      </c>
      <c r="P27" s="137">
        <f t="shared" si="33"/>
        <v>0.04</v>
      </c>
      <c r="Q27" s="137">
        <f t="shared" si="33"/>
        <v>0.04</v>
      </c>
      <c r="R27" s="1021"/>
      <c r="S27" s="109"/>
      <c r="T27" s="109"/>
      <c r="U27" s="109"/>
      <c r="V27" s="109"/>
      <c r="W27" s="108"/>
      <c r="X27" s="108"/>
      <c r="Y27" s="108"/>
      <c r="Z27" s="108"/>
      <c r="AA27" s="158"/>
      <c r="AB27" s="108"/>
      <c r="AC27" s="108"/>
      <c r="AD27" s="137"/>
      <c r="AE27" s="158"/>
      <c r="AF27" s="108"/>
      <c r="AG27" s="108"/>
      <c r="AH27" s="2"/>
      <c r="AI27" s="158">
        <f t="shared" si="34"/>
        <v>0.04</v>
      </c>
      <c r="AJ27" s="108">
        <f t="shared" si="35"/>
        <v>0.04</v>
      </c>
      <c r="AK27" s="2">
        <f t="shared" si="36"/>
        <v>0.04</v>
      </c>
      <c r="AL27" s="485">
        <f t="shared" si="37"/>
        <v>0.04</v>
      </c>
      <c r="AM27" s="2">
        <f t="shared" si="38"/>
        <v>0.04</v>
      </c>
      <c r="AN27" s="2">
        <f t="shared" si="39"/>
        <v>0.04</v>
      </c>
      <c r="AO27" s="2">
        <f t="shared" si="40"/>
        <v>0.04</v>
      </c>
      <c r="AP27" s="485">
        <f t="shared" si="41"/>
        <v>0.04</v>
      </c>
      <c r="AQ27" s="1030"/>
    </row>
    <row r="28" spans="1:43" s="1029" customFormat="1" ht="12.75" customHeight="1" outlineLevel="1">
      <c r="A28" s="1029" t="s">
        <v>675</v>
      </c>
      <c r="B28" s="108"/>
      <c r="C28" s="108"/>
      <c r="D28" s="108"/>
      <c r="E28" s="108"/>
      <c r="F28" s="108"/>
      <c r="G28" s="108"/>
      <c r="H28" s="108"/>
      <c r="I28" s="108">
        <v>0.02</v>
      </c>
      <c r="J28" s="137">
        <f t="shared" si="33"/>
        <v>0.02</v>
      </c>
      <c r="K28" s="137">
        <f t="shared" si="33"/>
        <v>0.02</v>
      </c>
      <c r="L28" s="137">
        <f t="shared" si="33"/>
        <v>0.02</v>
      </c>
      <c r="M28" s="137">
        <f t="shared" si="33"/>
        <v>0.02</v>
      </c>
      <c r="N28" s="137">
        <f t="shared" si="33"/>
        <v>0.02</v>
      </c>
      <c r="O28" s="137">
        <f t="shared" si="33"/>
        <v>0.02</v>
      </c>
      <c r="P28" s="137">
        <f t="shared" si="33"/>
        <v>0.02</v>
      </c>
      <c r="Q28" s="137">
        <f t="shared" si="33"/>
        <v>0.02</v>
      </c>
      <c r="R28" s="1021"/>
      <c r="S28" s="109"/>
      <c r="T28" s="109"/>
      <c r="U28" s="109"/>
      <c r="V28" s="109"/>
      <c r="W28" s="108"/>
      <c r="X28" s="108"/>
      <c r="Y28" s="108"/>
      <c r="Z28" s="108"/>
      <c r="AA28" s="158"/>
      <c r="AB28" s="108"/>
      <c r="AC28" s="108"/>
      <c r="AD28" s="137"/>
      <c r="AE28" s="158"/>
      <c r="AF28" s="108"/>
      <c r="AG28" s="108"/>
      <c r="AH28" s="2"/>
      <c r="AI28" s="158">
        <f t="shared" si="34"/>
        <v>0.02</v>
      </c>
      <c r="AJ28" s="108">
        <f t="shared" si="35"/>
        <v>0.02</v>
      </c>
      <c r="AK28" s="2">
        <f t="shared" si="36"/>
        <v>0.02</v>
      </c>
      <c r="AL28" s="485">
        <f t="shared" si="37"/>
        <v>0.02</v>
      </c>
      <c r="AM28" s="2">
        <f t="shared" si="38"/>
        <v>0.02</v>
      </c>
      <c r="AN28" s="2">
        <f t="shared" si="39"/>
        <v>0.02</v>
      </c>
      <c r="AO28" s="2">
        <f t="shared" si="40"/>
        <v>0.02</v>
      </c>
      <c r="AP28" s="485">
        <f t="shared" si="41"/>
        <v>0.02</v>
      </c>
      <c r="AQ28" s="1030"/>
    </row>
    <row r="29" spans="1:43" s="1029" customFormat="1" ht="12.75" customHeight="1" outlineLevel="1">
      <c r="A29" s="1029" t="s">
        <v>671</v>
      </c>
      <c r="B29" s="108"/>
      <c r="C29" s="108"/>
      <c r="D29" s="108"/>
      <c r="E29" s="108"/>
      <c r="F29" s="108"/>
      <c r="G29" s="108"/>
      <c r="H29" s="108"/>
      <c r="I29" s="108">
        <v>0.03</v>
      </c>
      <c r="J29" s="137">
        <f t="shared" si="33"/>
        <v>0.03</v>
      </c>
      <c r="K29" s="137">
        <f t="shared" si="33"/>
        <v>0.03</v>
      </c>
      <c r="L29" s="137">
        <f t="shared" si="33"/>
        <v>0.03</v>
      </c>
      <c r="M29" s="137">
        <f t="shared" si="33"/>
        <v>0.03</v>
      </c>
      <c r="N29" s="137">
        <f t="shared" si="33"/>
        <v>0.03</v>
      </c>
      <c r="O29" s="137">
        <f t="shared" si="33"/>
        <v>0.03</v>
      </c>
      <c r="P29" s="137">
        <f t="shared" si="33"/>
        <v>0.03</v>
      </c>
      <c r="Q29" s="137">
        <f t="shared" si="33"/>
        <v>0.03</v>
      </c>
      <c r="R29" s="1021"/>
      <c r="S29" s="109"/>
      <c r="T29" s="109"/>
      <c r="U29" s="109"/>
      <c r="V29" s="109"/>
      <c r="W29" s="108"/>
      <c r="X29" s="108"/>
      <c r="Y29" s="108"/>
      <c r="Z29" s="108"/>
      <c r="AA29" s="158"/>
      <c r="AB29" s="108"/>
      <c r="AC29" s="108"/>
      <c r="AD29" s="137"/>
      <c r="AE29" s="158"/>
      <c r="AF29" s="108"/>
      <c r="AG29" s="108"/>
      <c r="AH29" s="2"/>
      <c r="AI29" s="158">
        <f t="shared" si="34"/>
        <v>0.03</v>
      </c>
      <c r="AJ29" s="108">
        <f t="shared" si="35"/>
        <v>0.03</v>
      </c>
      <c r="AK29" s="2">
        <f t="shared" si="36"/>
        <v>0.03</v>
      </c>
      <c r="AL29" s="485">
        <f t="shared" si="37"/>
        <v>0.03</v>
      </c>
      <c r="AM29" s="2">
        <f t="shared" si="38"/>
        <v>0.03</v>
      </c>
      <c r="AN29" s="2">
        <f t="shared" si="39"/>
        <v>0.03</v>
      </c>
      <c r="AO29" s="2">
        <f t="shared" si="40"/>
        <v>0.03</v>
      </c>
      <c r="AP29" s="485">
        <f t="shared" si="41"/>
        <v>0.03</v>
      </c>
      <c r="AQ29" s="1030"/>
    </row>
    <row r="30" spans="1:43" s="1029" customFormat="1" ht="12.75" customHeight="1" outlineLevel="1">
      <c r="A30" s="1029" t="s">
        <v>29</v>
      </c>
      <c r="B30" s="108"/>
      <c r="C30" s="108"/>
      <c r="D30" s="108"/>
      <c r="E30" s="108"/>
      <c r="F30" s="108"/>
      <c r="G30" s="108"/>
      <c r="H30" s="108"/>
      <c r="I30" s="108">
        <f>1-SUM(I23:I29)</f>
        <v>0.19999999999999996</v>
      </c>
      <c r="J30" s="137">
        <f t="shared" si="33"/>
        <v>0.19999999999999996</v>
      </c>
      <c r="K30" s="137">
        <f t="shared" si="33"/>
        <v>0.19999999999999996</v>
      </c>
      <c r="L30" s="137">
        <f t="shared" si="33"/>
        <v>0.19999999999999996</v>
      </c>
      <c r="M30" s="137">
        <f t="shared" si="33"/>
        <v>0.19999999999999996</v>
      </c>
      <c r="N30" s="137">
        <f t="shared" si="33"/>
        <v>0.19999999999999996</v>
      </c>
      <c r="O30" s="137">
        <f t="shared" si="33"/>
        <v>0.19999999999999996</v>
      </c>
      <c r="P30" s="137">
        <f t="shared" si="33"/>
        <v>0.19999999999999996</v>
      </c>
      <c r="Q30" s="137">
        <f t="shared" si="33"/>
        <v>0.19999999999999996</v>
      </c>
      <c r="R30" s="1021"/>
      <c r="S30" s="109"/>
      <c r="T30" s="109"/>
      <c r="U30" s="109"/>
      <c r="V30" s="109"/>
      <c r="W30" s="108"/>
      <c r="X30" s="108"/>
      <c r="Y30" s="108"/>
      <c r="Z30" s="108"/>
      <c r="AA30" s="158"/>
      <c r="AB30" s="108"/>
      <c r="AC30" s="108"/>
      <c r="AD30" s="137"/>
      <c r="AE30" s="158"/>
      <c r="AF30" s="108"/>
      <c r="AG30" s="108"/>
      <c r="AH30" s="2"/>
      <c r="AI30" s="158">
        <f t="shared" si="34"/>
        <v>0.19999999999999996</v>
      </c>
      <c r="AJ30" s="108">
        <f t="shared" si="35"/>
        <v>0.19999999999999996</v>
      </c>
      <c r="AK30" s="2">
        <f t="shared" si="36"/>
        <v>0.19999999999999996</v>
      </c>
      <c r="AL30" s="485">
        <f t="shared" si="37"/>
        <v>0.19999999999999996</v>
      </c>
      <c r="AM30" s="2">
        <f t="shared" si="38"/>
        <v>0.19999999999999996</v>
      </c>
      <c r="AN30" s="2">
        <f t="shared" si="39"/>
        <v>0.19999999999999996</v>
      </c>
      <c r="AO30" s="2">
        <f t="shared" si="40"/>
        <v>0.19999999999999996</v>
      </c>
      <c r="AP30" s="485">
        <f t="shared" si="41"/>
        <v>0.19999999999999996</v>
      </c>
      <c r="AQ30" s="1030"/>
    </row>
    <row r="31" spans="1:43" s="1029" customFormat="1" ht="12.75" customHeight="1" outlineLevel="1">
      <c r="B31" s="108"/>
      <c r="C31" s="108"/>
      <c r="D31" s="108"/>
      <c r="E31" s="108"/>
      <c r="F31" s="108"/>
      <c r="G31" s="108"/>
      <c r="H31" s="108"/>
      <c r="I31" s="108"/>
      <c r="J31" s="108"/>
      <c r="K31" s="108"/>
      <c r="L31" s="108"/>
      <c r="M31" s="108"/>
      <c r="N31" s="108"/>
      <c r="O31" s="108"/>
      <c r="P31" s="108"/>
      <c r="Q31" s="108"/>
      <c r="R31" s="1021"/>
      <c r="S31" s="109"/>
      <c r="T31" s="109"/>
      <c r="U31" s="109"/>
      <c r="V31" s="109"/>
      <c r="W31" s="108"/>
      <c r="X31" s="108"/>
      <c r="Y31" s="108"/>
      <c r="Z31" s="108"/>
      <c r="AA31" s="158"/>
      <c r="AB31" s="108"/>
      <c r="AC31" s="108"/>
      <c r="AD31" s="137"/>
      <c r="AE31" s="158"/>
      <c r="AF31" s="108"/>
      <c r="AG31" s="108"/>
      <c r="AH31" s="2"/>
      <c r="AI31" s="158"/>
      <c r="AJ31" s="108"/>
      <c r="AK31" s="2"/>
      <c r="AL31" s="485"/>
      <c r="AM31" s="2"/>
      <c r="AN31" s="2"/>
      <c r="AO31" s="2"/>
      <c r="AP31" s="485"/>
      <c r="AQ31" s="1030"/>
    </row>
    <row r="32" spans="1:43" s="1293" customFormat="1" ht="12.75" customHeight="1" outlineLevel="1">
      <c r="A32" s="1293" t="s">
        <v>502</v>
      </c>
      <c r="B32" s="1294"/>
      <c r="C32" s="1294"/>
      <c r="D32" s="1294"/>
      <c r="E32" s="1294"/>
      <c r="F32" s="1294"/>
      <c r="G32" s="1294"/>
      <c r="H32" s="1294"/>
      <c r="I32" s="1294">
        <f>AVERAGE(AI32:AL32)</f>
        <v>2.8999644768751848E-3</v>
      </c>
      <c r="J32" s="1294">
        <f>AVERAGE(AM32:AP32)</f>
        <v>4.1615582850108732E-2</v>
      </c>
      <c r="K32" s="1294"/>
      <c r="L32" s="1294"/>
      <c r="M32" s="1294"/>
      <c r="N32" s="1294"/>
      <c r="O32" s="1294"/>
      <c r="P32" s="1294"/>
      <c r="Q32" s="1294"/>
      <c r="R32" s="1295"/>
      <c r="S32" s="1296"/>
      <c r="T32" s="1296"/>
      <c r="U32" s="1296"/>
      <c r="V32" s="1296"/>
      <c r="W32" s="1297"/>
      <c r="X32" s="1297"/>
      <c r="Y32" s="1297"/>
      <c r="Z32" s="1297"/>
      <c r="AA32" s="1298"/>
      <c r="AB32" s="1297"/>
      <c r="AC32" s="1297"/>
      <c r="AD32" s="1297"/>
      <c r="AE32" s="1298"/>
      <c r="AF32" s="1297"/>
      <c r="AG32" s="1297"/>
      <c r="AH32" s="1352"/>
      <c r="AI32" s="1354">
        <f>SUMPRODUCT(AI14:AI20,AI24:AI30)</f>
        <v>-1.2029934572321434E-2</v>
      </c>
      <c r="AJ32" s="1316">
        <f t="shared" ref="AJ32:AL32" si="42">SUMPRODUCT(AJ14:AJ20,AJ24:AJ30)</f>
        <v>-1.3818166159451507E-2</v>
      </c>
      <c r="AK32" s="1316">
        <f t="shared" si="42"/>
        <v>1.0437037023717358E-2</v>
      </c>
      <c r="AL32" s="1317">
        <f t="shared" si="42"/>
        <v>2.7010921615556321E-2</v>
      </c>
      <c r="AM32" s="1316">
        <f>SUMPRODUCT(AM14:AM20,AM24:AM30)</f>
        <v>6.3096274055513962E-2</v>
      </c>
      <c r="AN32" s="1316">
        <f t="shared" ref="AN32:AP32" si="43">SUMPRODUCT(AN14:AN20,AN24:AN30)</f>
        <v>5.3402267338982345E-2</v>
      </c>
      <c r="AO32" s="1316">
        <f t="shared" si="43"/>
        <v>2.4620423860730527E-2</v>
      </c>
      <c r="AP32" s="1317">
        <f t="shared" si="43"/>
        <v>2.5343366145208095E-2</v>
      </c>
      <c r="AQ32" s="1299"/>
    </row>
    <row r="33" spans="1:45" s="1029" customFormat="1" ht="12.75" customHeight="1">
      <c r="B33" s="108"/>
      <c r="C33" s="108"/>
      <c r="D33" s="108"/>
      <c r="E33" s="108"/>
      <c r="F33" s="108"/>
      <c r="G33" s="108"/>
      <c r="H33" s="108"/>
      <c r="I33" s="107"/>
      <c r="J33" s="107"/>
      <c r="K33" s="107"/>
      <c r="L33" s="611"/>
      <c r="M33" s="107"/>
      <c r="N33" s="107"/>
      <c r="O33" s="107"/>
      <c r="P33" s="107"/>
      <c r="Q33" s="107"/>
      <c r="R33" s="1021"/>
      <c r="S33" s="109"/>
      <c r="T33" s="109"/>
      <c r="U33" s="109"/>
      <c r="V33" s="109"/>
      <c r="W33" s="108"/>
      <c r="X33" s="108"/>
      <c r="Y33" s="108"/>
      <c r="Z33" s="108"/>
      <c r="AA33" s="158"/>
      <c r="AB33" s="108"/>
      <c r="AC33" s="108"/>
      <c r="AD33" s="108"/>
      <c r="AE33" s="158"/>
      <c r="AF33" s="108"/>
      <c r="AG33" s="108"/>
      <c r="AH33" s="108"/>
      <c r="AI33"/>
      <c r="AJ33"/>
      <c r="AK33"/>
      <c r="AL33"/>
      <c r="AM33" s="535"/>
      <c r="AN33" s="535"/>
      <c r="AO33" s="535"/>
      <c r="AP33" s="475"/>
    </row>
    <row r="34" spans="1:45" ht="12.75" customHeight="1">
      <c r="A34" s="1031" t="s">
        <v>829</v>
      </c>
      <c r="B34" s="6">
        <f>B150+B193+B253+B285+B315+B328+B394+B399+B402+B405+B408+B411+B414+B419+B421+B416</f>
        <v>30306</v>
      </c>
      <c r="C34" s="6">
        <f>C150+C193+C253+C285+C315+C328+C394+C399+C402+C405+C408+C411+C414+C419+C421+C416</f>
        <v>32508</v>
      </c>
      <c r="D34" s="6">
        <f>D150+D193+D253+D285+D315+D328+D394+D399+D402+D405+D408+D411+D414+D419+D421+D416</f>
        <v>32153</v>
      </c>
      <c r="E34" s="6">
        <f>E150+E193+E253+E285+E315+E328+E394+E399+E402+E405+E408+E411+E414+E419+E421+E416</f>
        <v>32214</v>
      </c>
      <c r="F34" s="6">
        <f>F150+F193+F253+F285+F315+F328+F394</f>
        <v>31791</v>
      </c>
      <c r="G34" s="6">
        <f>G150+G193+G253+G285+G315+G328+G394+G245</f>
        <v>33345</v>
      </c>
      <c r="H34" s="6">
        <f t="shared" ref="H34:Q34" si="44">H150+H193+H249+H285+H315+H328+H394</f>
        <v>32562</v>
      </c>
      <c r="I34" s="134">
        <f t="shared" si="44"/>
        <v>32278</v>
      </c>
      <c r="J34" s="134">
        <f t="shared" si="44"/>
        <v>34608.226549138832</v>
      </c>
      <c r="K34" s="134">
        <f t="shared" si="44"/>
        <v>34903.528721070914</v>
      </c>
      <c r="L34" s="134">
        <f t="shared" si="44"/>
        <v>35712.701477290568</v>
      </c>
      <c r="M34" s="134">
        <f t="shared" si="44"/>
        <v>36964.895436166611</v>
      </c>
      <c r="N34" s="134">
        <f t="shared" si="44"/>
        <v>37353.759981921139</v>
      </c>
      <c r="O34" s="134">
        <f t="shared" si="44"/>
        <v>35962.968281720292</v>
      </c>
      <c r="P34" s="134">
        <f t="shared" si="44"/>
        <v>35796.094777698003</v>
      </c>
      <c r="Q34" s="134">
        <f t="shared" si="44"/>
        <v>35473.622561165685</v>
      </c>
      <c r="R34" s="402">
        <f>(N34/J34)^(1/($N$1-$J$1))-1</f>
        <v>1.9268833152963571E-2</v>
      </c>
      <c r="S34" s="1026"/>
      <c r="T34" s="1026"/>
      <c r="U34" s="1026"/>
      <c r="W34" s="6">
        <f>W150+W193+W253+W285+W315+W328+W394</f>
        <v>7807</v>
      </c>
      <c r="X34" s="6">
        <f>X150+X193+X253+X285+X315+X328+X394</f>
        <v>8199</v>
      </c>
      <c r="Y34" s="6">
        <f>Y150+Y193+Y253+Y285+Y315+Y328+Y394</f>
        <v>7925</v>
      </c>
      <c r="Z34" s="6">
        <f>Z150+Z193+Z253+Z285+Z315+Z328+Z394</f>
        <v>7860</v>
      </c>
      <c r="AA34" s="159">
        <f>AA150+AA193+AA253+AA285+AA315+AA328+AA394+AA245</f>
        <v>7960</v>
      </c>
      <c r="AB34" s="134">
        <f>AB150+AB193+AB253+AB285+AB315+AB328+AB394+AB245</f>
        <v>8633</v>
      </c>
      <c r="AC34" s="134">
        <f>AC150+AC193+AC253+AC285+AC315+AC328+AC394+AC245</f>
        <v>8254</v>
      </c>
      <c r="AD34" s="134">
        <f>AD150+AD193+AD253+AD285+AD315+AD328+AD394+AD245</f>
        <v>8498</v>
      </c>
      <c r="AE34" s="159">
        <f t="shared" ref="AE34:AP34" si="45">AE150+AE193+AE249+AE285+AE315+AE328+AE394</f>
        <v>7729</v>
      </c>
      <c r="AF34" s="134">
        <f t="shared" si="45"/>
        <v>8387</v>
      </c>
      <c r="AG34" s="134">
        <f t="shared" si="45"/>
        <v>8173</v>
      </c>
      <c r="AH34" s="134">
        <f t="shared" si="45"/>
        <v>8273</v>
      </c>
      <c r="AI34" s="159">
        <f t="shared" si="45"/>
        <v>7518</v>
      </c>
      <c r="AJ34" s="134">
        <f t="shared" si="45"/>
        <v>8084</v>
      </c>
      <c r="AK34" s="134">
        <f t="shared" si="45"/>
        <v>8117.0502326646756</v>
      </c>
      <c r="AL34" s="477">
        <f t="shared" si="45"/>
        <v>8558.9497673353253</v>
      </c>
      <c r="AM34" s="536">
        <f t="shared" si="45"/>
        <v>8398</v>
      </c>
      <c r="AN34" s="536">
        <f t="shared" si="45"/>
        <v>8715.9647722058362</v>
      </c>
      <c r="AO34" s="536">
        <f t="shared" si="45"/>
        <v>8631.9910790673421</v>
      </c>
      <c r="AP34" s="477">
        <f t="shared" si="45"/>
        <v>8862.2706978656515</v>
      </c>
      <c r="AS34" s="1052"/>
    </row>
    <row r="35" spans="1:45" s="1028" customFormat="1" ht="12.75" customHeight="1">
      <c r="A35" s="1032" t="s">
        <v>14</v>
      </c>
      <c r="B35" s="1327"/>
      <c r="C35" s="1328">
        <f>C34/B34-1</f>
        <v>7.265887942981597E-2</v>
      </c>
      <c r="D35" s="1328">
        <f>D34/C34-1</f>
        <v>-1.0920388827365568E-2</v>
      </c>
      <c r="E35" s="1328">
        <f>E34/D34-1</f>
        <v>1.8971791123689741E-3</v>
      </c>
      <c r="F35" s="1328">
        <f>F34/E34-1</f>
        <v>-1.3130936859750419E-2</v>
      </c>
      <c r="G35" s="1328">
        <f t="shared" ref="G35:Q35" si="46">G34/F34-1</f>
        <v>4.8881758988392976E-2</v>
      </c>
      <c r="H35" s="1328">
        <f t="shared" si="46"/>
        <v>-2.348178137651824E-2</v>
      </c>
      <c r="I35" s="1328">
        <f t="shared" si="46"/>
        <v>-8.7218229838461614E-3</v>
      </c>
      <c r="J35" s="1328">
        <f t="shared" si="46"/>
        <v>7.2192408115088647E-2</v>
      </c>
      <c r="K35" s="1328">
        <f t="shared" si="46"/>
        <v>8.5327161018433628E-3</v>
      </c>
      <c r="L35" s="1328">
        <f t="shared" si="46"/>
        <v>2.3183121760727898E-2</v>
      </c>
      <c r="M35" s="1328">
        <f t="shared" si="46"/>
        <v>3.5062986194766221E-2</v>
      </c>
      <c r="N35" s="1328">
        <f t="shared" si="46"/>
        <v>1.0519833511393184E-2</v>
      </c>
      <c r="O35" s="1328">
        <f t="shared" si="46"/>
        <v>-3.7232977372933185E-2</v>
      </c>
      <c r="P35" s="1328">
        <f t="shared" si="46"/>
        <v>-4.6401482412425921E-3</v>
      </c>
      <c r="Q35" s="1328">
        <f t="shared" si="46"/>
        <v>-9.0085865102029761E-3</v>
      </c>
      <c r="R35" s="1320"/>
      <c r="S35" s="1307"/>
      <c r="T35" s="1307"/>
      <c r="U35" s="1307"/>
      <c r="V35" s="1307"/>
      <c r="W35" s="1328">
        <v>-8.8866319664846483E-3</v>
      </c>
      <c r="X35" s="1328">
        <v>9.6047284817140088E-3</v>
      </c>
      <c r="Y35" s="1328">
        <v>4.0542252628912312E-3</v>
      </c>
      <c r="Z35" s="1328">
        <v>-5.5628979935119505E-2</v>
      </c>
      <c r="AA35" s="1329">
        <f t="shared" ref="AA35:AH35" si="47">AA34/W34-1</f>
        <v>1.9597796848981774E-2</v>
      </c>
      <c r="AB35" s="1328">
        <f t="shared" si="47"/>
        <v>5.2933284546895942E-2</v>
      </c>
      <c r="AC35" s="1328">
        <f t="shared" si="47"/>
        <v>4.1514195583596258E-2</v>
      </c>
      <c r="AD35" s="1328">
        <f t="shared" si="47"/>
        <v>8.1170483460559772E-2</v>
      </c>
      <c r="AE35" s="1329">
        <f t="shared" si="47"/>
        <v>-2.902010050251258E-2</v>
      </c>
      <c r="AF35" s="1328">
        <f t="shared" si="47"/>
        <v>-2.8495308699177602E-2</v>
      </c>
      <c r="AG35" s="1328">
        <f t="shared" si="47"/>
        <v>-9.8134237945238789E-3</v>
      </c>
      <c r="AH35" s="1328">
        <f t="shared" si="47"/>
        <v>-2.6476818074841146E-2</v>
      </c>
      <c r="AI35" s="1329">
        <f>AI34/AE34-1</f>
        <v>-2.7299780049165445E-2</v>
      </c>
      <c r="AJ35" s="1328">
        <f>AJ34/AF34-1</f>
        <v>-3.6127339930845381E-2</v>
      </c>
      <c r="AK35" s="1328">
        <f>AK34/AG34-1</f>
        <v>-6.8456830215739561E-3</v>
      </c>
      <c r="AL35" s="1330">
        <f>AL34/AH34-1</f>
        <v>3.4564217011401555E-2</v>
      </c>
      <c r="AM35" s="1331">
        <f t="shared" ref="AM35:AP35" si="48">AM34/AI34-1</f>
        <v>0.11705240755520085</v>
      </c>
      <c r="AN35" s="1331">
        <f t="shared" si="48"/>
        <v>7.8174761529667958E-2</v>
      </c>
      <c r="AO35" s="1331">
        <f t="shared" si="48"/>
        <v>6.3439406144172761E-2</v>
      </c>
      <c r="AP35" s="1330">
        <f t="shared" si="48"/>
        <v>3.5439036187352224E-2</v>
      </c>
    </row>
    <row r="36" spans="1:45" s="1028" customFormat="1" ht="12.75" customHeight="1">
      <c r="A36" s="1032" t="s">
        <v>15</v>
      </c>
      <c r="B36" s="1328"/>
      <c r="C36" s="1328">
        <v>0.04</v>
      </c>
      <c r="D36" s="1328">
        <v>0.02</v>
      </c>
      <c r="E36" s="1328">
        <v>0.03</v>
      </c>
      <c r="F36" s="1328">
        <v>0.01</v>
      </c>
      <c r="G36" s="1328">
        <v>0.06</v>
      </c>
      <c r="H36" s="1328">
        <v>0</v>
      </c>
      <c r="I36" s="1327">
        <v>0.02</v>
      </c>
      <c r="J36" s="1327">
        <f t="shared" ref="J36:Q36" si="49">J35-J37</f>
        <v>3.2087791890058191E-2</v>
      </c>
      <c r="K36" s="1327">
        <f t="shared" si="49"/>
        <v>8.5327161018433628E-3</v>
      </c>
      <c r="L36" s="1327">
        <f t="shared" si="49"/>
        <v>2.3183121760727898E-2</v>
      </c>
      <c r="M36" s="1327">
        <f t="shared" si="49"/>
        <v>3.5062986194766221E-2</v>
      </c>
      <c r="N36" s="1327">
        <f t="shared" si="49"/>
        <v>1.0519833511393184E-2</v>
      </c>
      <c r="O36" s="1327">
        <f t="shared" si="49"/>
        <v>-3.7232977372933185E-2</v>
      </c>
      <c r="P36" s="1327">
        <f t="shared" si="49"/>
        <v>-4.6401482412425921E-3</v>
      </c>
      <c r="Q36" s="1327">
        <f t="shared" si="49"/>
        <v>-9.0085865102029761E-3</v>
      </c>
      <c r="R36" s="1320"/>
      <c r="S36" s="1307"/>
      <c r="T36" s="1307"/>
      <c r="U36" s="1307"/>
      <c r="V36" s="1307"/>
      <c r="W36" s="1328">
        <v>0.01</v>
      </c>
      <c r="X36" s="1328">
        <v>0.01</v>
      </c>
      <c r="Y36" s="1328">
        <v>0.01</v>
      </c>
      <c r="Z36" s="1328">
        <v>0</v>
      </c>
      <c r="AA36" s="1329">
        <v>0.01</v>
      </c>
      <c r="AB36" s="1328">
        <v>0.06</v>
      </c>
      <c r="AC36" s="1328">
        <v>7.0000000000000007E-2</v>
      </c>
      <c r="AD36" s="1328">
        <v>0.09</v>
      </c>
      <c r="AE36" s="1329">
        <v>0.01</v>
      </c>
      <c r="AF36" s="1328">
        <v>-0.01</v>
      </c>
      <c r="AG36" s="1328">
        <v>-0.01</v>
      </c>
      <c r="AH36" s="1328">
        <v>-0.01</v>
      </c>
      <c r="AI36" s="1329">
        <f>AI35-AI37</f>
        <v>-1.5269845476844011E-2</v>
      </c>
      <c r="AJ36" s="1328">
        <v>0.01</v>
      </c>
      <c r="AK36" s="1327">
        <v>0.02</v>
      </c>
      <c r="AL36" s="1332">
        <v>0.04</v>
      </c>
      <c r="AM36" s="1333">
        <v>0.06</v>
      </c>
      <c r="AN36" s="1333">
        <f>AN35-AN37</f>
        <v>2.4772494190685612E-2</v>
      </c>
      <c r="AO36" s="1333">
        <f>AO35-AO37</f>
        <v>3.881898228344223E-2</v>
      </c>
      <c r="AP36" s="1332">
        <f>AP35-AP37</f>
        <v>1.0095670042144129E-2</v>
      </c>
    </row>
    <row r="37" spans="1:45" s="1028" customFormat="1" ht="12.75" customHeight="1">
      <c r="A37" s="1032" t="s">
        <v>494</v>
      </c>
      <c r="B37" s="8"/>
      <c r="C37" s="8"/>
      <c r="D37" s="8"/>
      <c r="E37" s="8"/>
      <c r="F37" s="8"/>
      <c r="G37" s="8">
        <f>G35-G36</f>
        <v>-1.1118241011607022E-2</v>
      </c>
      <c r="H37" s="8">
        <f>H35-H36</f>
        <v>-2.348178137651824E-2</v>
      </c>
      <c r="I37" s="1327">
        <f>I35-I36</f>
        <v>-2.8721822983846162E-2</v>
      </c>
      <c r="J37" s="1357">
        <f>AVERAGE(AM37:AP37)</f>
        <v>4.0104616225030455E-2</v>
      </c>
      <c r="K37" s="1357"/>
      <c r="L37" s="1357"/>
      <c r="M37" s="1357"/>
      <c r="N37" s="1357"/>
      <c r="O37" s="1357"/>
      <c r="P37" s="1357"/>
      <c r="Q37" s="1357"/>
      <c r="R37" s="1018"/>
      <c r="S37" s="5"/>
      <c r="T37" s="5"/>
      <c r="U37" s="5"/>
      <c r="V37" s="5"/>
      <c r="W37" s="8"/>
      <c r="X37" s="8"/>
      <c r="Y37" s="8"/>
      <c r="Z37" s="8"/>
      <c r="AA37" s="160"/>
      <c r="AB37" s="8"/>
      <c r="AC37" s="8"/>
      <c r="AD37" s="8"/>
      <c r="AE37" s="1329">
        <f>AE35-AE36</f>
        <v>-3.9020100502512582E-2</v>
      </c>
      <c r="AF37" s="1328">
        <f>AF35-AF36</f>
        <v>-1.84953086991776E-2</v>
      </c>
      <c r="AG37" s="1328">
        <f>AG35-AG36</f>
        <v>1.8657620547612129E-4</v>
      </c>
      <c r="AH37" s="1328">
        <f>AH35-AH36</f>
        <v>-1.6476818074841144E-2</v>
      </c>
      <c r="AI37" s="1329">
        <f t="shared" ref="AI37:AP37" si="50">AI5</f>
        <v>-1.2029934572321434E-2</v>
      </c>
      <c r="AJ37" s="1328">
        <f t="shared" si="50"/>
        <v>-1.3818166159451507E-2</v>
      </c>
      <c r="AK37" s="1328">
        <f t="shared" si="50"/>
        <v>1.0437037023717358E-2</v>
      </c>
      <c r="AL37" s="1330">
        <f t="shared" si="50"/>
        <v>2.7010921615556321E-2</v>
      </c>
      <c r="AM37" s="1329">
        <f>AM35-AM36</f>
        <v>5.7052407555200857E-2</v>
      </c>
      <c r="AN37" s="1358">
        <f t="shared" si="50"/>
        <v>5.3402267338982345E-2</v>
      </c>
      <c r="AO37" s="1358">
        <f t="shared" si="50"/>
        <v>2.4620423860730527E-2</v>
      </c>
      <c r="AP37" s="1359">
        <f t="shared" si="50"/>
        <v>2.5343366145208095E-2</v>
      </c>
    </row>
    <row r="38" spans="1:45" s="1028" customFormat="1" ht="12.75" customHeight="1">
      <c r="A38" s="1032" t="s">
        <v>18</v>
      </c>
      <c r="B38" s="8">
        <f t="shared" ref="B38:Q38" si="51">B34/B$2</f>
        <v>0.59864886219974711</v>
      </c>
      <c r="C38" s="8">
        <f t="shared" si="51"/>
        <v>0.55506607929515417</v>
      </c>
      <c r="D38" s="8">
        <f t="shared" si="51"/>
        <v>0.56734247348825717</v>
      </c>
      <c r="E38" s="8">
        <f t="shared" si="51"/>
        <v>0.5616598378519746</v>
      </c>
      <c r="F38" s="8">
        <f t="shared" si="51"/>
        <v>0.60925642008432346</v>
      </c>
      <c r="G38" s="8">
        <f t="shared" si="51"/>
        <v>0.67480875865139434</v>
      </c>
      <c r="H38" s="8">
        <f t="shared" si="51"/>
        <v>0.67113236324663017</v>
      </c>
      <c r="I38" s="8">
        <f t="shared" si="51"/>
        <v>0.657272597690851</v>
      </c>
      <c r="J38" s="8">
        <f t="shared" si="51"/>
        <v>0.66225877512572795</v>
      </c>
      <c r="K38" s="8">
        <f t="shared" si="51"/>
        <v>0.65471078742887456</v>
      </c>
      <c r="L38" s="8">
        <f t="shared" si="51"/>
        <v>0.64951373603598317</v>
      </c>
      <c r="M38" s="8">
        <f t="shared" si="51"/>
        <v>0.64844962121893934</v>
      </c>
      <c r="N38" s="8">
        <f t="shared" si="51"/>
        <v>0.64174462014410105</v>
      </c>
      <c r="O38" s="8">
        <f t="shared" si="51"/>
        <v>0.62354544836140113</v>
      </c>
      <c r="P38" s="8">
        <f t="shared" si="51"/>
        <v>0.61276890591706179</v>
      </c>
      <c r="Q38" s="8">
        <f t="shared" si="51"/>
        <v>0.60067336116310244</v>
      </c>
      <c r="R38" s="1018"/>
      <c r="S38" s="5"/>
      <c r="T38" s="5"/>
      <c r="U38" s="5"/>
      <c r="V38" s="5"/>
      <c r="W38" s="8">
        <f t="shared" ref="W38:AP38" si="52">W34/W$2</f>
        <v>0.61149839429779906</v>
      </c>
      <c r="X38" s="8">
        <f t="shared" si="52"/>
        <v>0.61429534726904922</v>
      </c>
      <c r="Y38" s="8">
        <f t="shared" si="52"/>
        <v>0.61003771842044496</v>
      </c>
      <c r="Z38" s="8">
        <f t="shared" si="52"/>
        <v>0.60114722753346084</v>
      </c>
      <c r="AA38" s="160">
        <f t="shared" si="52"/>
        <v>0.66694595726853789</v>
      </c>
      <c r="AB38" s="8">
        <f t="shared" si="52"/>
        <v>0.68008507956514885</v>
      </c>
      <c r="AC38" s="8">
        <f t="shared" si="52"/>
        <v>0.67297187117814916</v>
      </c>
      <c r="AD38" s="8">
        <f t="shared" si="52"/>
        <v>0.67875399361022359</v>
      </c>
      <c r="AE38" s="160">
        <f t="shared" si="52"/>
        <v>0.66629310344827586</v>
      </c>
      <c r="AF38" s="8">
        <f t="shared" si="52"/>
        <v>0.67257417802726549</v>
      </c>
      <c r="AG38" s="8">
        <f t="shared" si="52"/>
        <v>0.67400626752432791</v>
      </c>
      <c r="AH38" s="8">
        <f t="shared" si="52"/>
        <v>0.6714007466320403</v>
      </c>
      <c r="AI38" s="160">
        <f t="shared" si="52"/>
        <v>0.65152959528555332</v>
      </c>
      <c r="AJ38" s="8">
        <f t="shared" si="52"/>
        <v>0.66034961607580456</v>
      </c>
      <c r="AK38" s="8">
        <f t="shared" si="52"/>
        <v>0.65391262264490257</v>
      </c>
      <c r="AL38" s="478">
        <f t="shared" si="52"/>
        <v>0.66271645817645708</v>
      </c>
      <c r="AM38" s="430">
        <f t="shared" si="52"/>
        <v>0.66157239640775167</v>
      </c>
      <c r="AN38" s="430">
        <f t="shared" si="52"/>
        <v>0.66511085855599872</v>
      </c>
      <c r="AO38" s="430">
        <f t="shared" si="52"/>
        <v>0.65949280861658499</v>
      </c>
      <c r="AP38" s="478">
        <f t="shared" si="52"/>
        <v>0.66282277456424266</v>
      </c>
    </row>
    <row r="39" spans="1:45" s="1033" customFormat="1" ht="12.75" hidden="1" customHeight="1" outlineLevel="1">
      <c r="A39" s="1033" t="s">
        <v>74</v>
      </c>
      <c r="B39" s="9"/>
      <c r="C39" s="9">
        <v>11595</v>
      </c>
      <c r="D39" s="9">
        <v>10238</v>
      </c>
      <c r="E39" s="9">
        <v>10993</v>
      </c>
      <c r="F39" s="9">
        <v>11245</v>
      </c>
      <c r="G39" s="9">
        <v>10139</v>
      </c>
      <c r="H39" s="9">
        <v>11217</v>
      </c>
      <c r="I39" s="9">
        <v>11289</v>
      </c>
      <c r="J39" s="9"/>
      <c r="K39" s="9"/>
      <c r="L39" s="9"/>
      <c r="M39" s="9"/>
      <c r="N39" s="9"/>
      <c r="O39" s="9"/>
      <c r="P39" s="9"/>
      <c r="Q39" s="9"/>
      <c r="R39" s="1020"/>
      <c r="S39" s="4"/>
      <c r="T39" s="4"/>
      <c r="U39" s="4"/>
      <c r="V39" s="4"/>
      <c r="W39" s="9">
        <v>2845</v>
      </c>
      <c r="X39" s="9">
        <v>2934</v>
      </c>
      <c r="Y39" s="9">
        <v>2733</v>
      </c>
      <c r="Z39" s="9">
        <v>2733</v>
      </c>
      <c r="AA39" s="161">
        <v>2572</v>
      </c>
      <c r="AB39" s="9">
        <v>2647</v>
      </c>
      <c r="AC39" s="9">
        <v>2540</v>
      </c>
      <c r="AD39" s="9">
        <f>G39-AC39-AB39-AA39</f>
        <v>2380</v>
      </c>
      <c r="AE39" s="161">
        <v>2698</v>
      </c>
      <c r="AF39" s="9">
        <v>2890</v>
      </c>
      <c r="AG39" s="9">
        <v>2797</v>
      </c>
      <c r="AH39" s="9">
        <f>H39-AE39-AF39-AG39</f>
        <v>2832</v>
      </c>
      <c r="AI39" s="161">
        <v>2625</v>
      </c>
      <c r="AJ39" s="9">
        <v>2768</v>
      </c>
      <c r="AK39" s="9">
        <v>2887</v>
      </c>
      <c r="AL39" s="479">
        <f>I39-AI39-AJ39-AK39</f>
        <v>3009</v>
      </c>
      <c r="AM39" s="161">
        <v>3092</v>
      </c>
      <c r="AN39" s="537"/>
      <c r="AO39" s="537"/>
      <c r="AP39" s="479"/>
    </row>
    <row r="40" spans="1:45" s="1035" customFormat="1" ht="9.75" hidden="1" customHeight="1" outlineLevel="1">
      <c r="A40" s="1034" t="s">
        <v>14</v>
      </c>
      <c r="B40" s="51"/>
      <c r="C40" s="52"/>
      <c r="D40" s="52">
        <f t="shared" ref="D40:I40" si="53">D39/C39-1</f>
        <v>-0.11703320396722727</v>
      </c>
      <c r="E40" s="52">
        <f t="shared" si="53"/>
        <v>7.3744872045321319E-2</v>
      </c>
      <c r="F40" s="52">
        <f t="shared" si="53"/>
        <v>2.2923678704630301E-2</v>
      </c>
      <c r="G40" s="52">
        <f t="shared" si="53"/>
        <v>-9.8354824366385096E-2</v>
      </c>
      <c r="H40" s="52">
        <f t="shared" si="53"/>
        <v>0.10632212249728767</v>
      </c>
      <c r="I40" s="52">
        <f t="shared" si="53"/>
        <v>6.4188285637871711E-3</v>
      </c>
      <c r="J40" s="51"/>
      <c r="K40" s="51"/>
      <c r="L40" s="51"/>
      <c r="M40" s="51"/>
      <c r="N40" s="51"/>
      <c r="O40" s="51"/>
      <c r="P40" s="51"/>
      <c r="Q40" s="51"/>
      <c r="R40" s="1018"/>
      <c r="S40" s="5"/>
      <c r="T40" s="5"/>
      <c r="U40" s="5"/>
      <c r="V40" s="5"/>
      <c r="W40" s="52">
        <v>3.3418089357065028E-2</v>
      </c>
      <c r="X40" s="52">
        <v>8.3056478405315604E-2</v>
      </c>
      <c r="Y40" s="52">
        <v>1.8256333830104277E-2</v>
      </c>
      <c r="Z40" s="52">
        <v>-4.0042149631190682E-2</v>
      </c>
      <c r="AA40" s="162">
        <f>AA39/W39-1</f>
        <v>-9.5957820738137078E-2</v>
      </c>
      <c r="AB40" s="52">
        <f>AB39/X39-1</f>
        <v>-9.7818677573278778E-2</v>
      </c>
      <c r="AC40" s="52">
        <f>AC39/Y39-1</f>
        <v>-7.0618368093669948E-2</v>
      </c>
      <c r="AD40" s="52">
        <v>-4.0042149631190682E-2</v>
      </c>
      <c r="AE40" s="162">
        <f t="shared" ref="AE40:AM40" si="54">AE39/AA39-1</f>
        <v>4.8989113530326645E-2</v>
      </c>
      <c r="AF40" s="52">
        <f t="shared" si="54"/>
        <v>9.1802040045334321E-2</v>
      </c>
      <c r="AG40" s="52">
        <f t="shared" si="54"/>
        <v>0.10118110236220468</v>
      </c>
      <c r="AH40" s="52">
        <f t="shared" si="54"/>
        <v>0.18991596638655461</v>
      </c>
      <c r="AI40" s="162">
        <f t="shared" si="54"/>
        <v>-2.7057079318013377E-2</v>
      </c>
      <c r="AJ40" s="52">
        <f t="shared" si="54"/>
        <v>-4.2214532871972299E-2</v>
      </c>
      <c r="AK40" s="52">
        <f t="shared" si="54"/>
        <v>3.2177332856632157E-2</v>
      </c>
      <c r="AL40" s="494">
        <f t="shared" si="54"/>
        <v>6.25E-2</v>
      </c>
      <c r="AM40" s="162">
        <f t="shared" si="54"/>
        <v>0.17790476190476201</v>
      </c>
      <c r="AN40" s="538"/>
      <c r="AO40" s="538"/>
      <c r="AP40" s="480"/>
    </row>
    <row r="41" spans="1:45" s="1035" customFormat="1" ht="9.75" hidden="1" customHeight="1" outlineLevel="1">
      <c r="A41" s="1034" t="s">
        <v>15</v>
      </c>
      <c r="B41" s="51"/>
      <c r="C41" s="52">
        <v>0.02</v>
      </c>
      <c r="D41" s="52">
        <v>-0.05</v>
      </c>
      <c r="E41" s="52">
        <v>0.05</v>
      </c>
      <c r="F41" s="52">
        <v>0.03</v>
      </c>
      <c r="G41" s="52">
        <v>7.0000000000000007E-2</v>
      </c>
      <c r="H41" s="52">
        <v>7.0000000000000007E-2</v>
      </c>
      <c r="I41" s="52">
        <v>0</v>
      </c>
      <c r="J41" s="51"/>
      <c r="K41" s="51"/>
      <c r="L41" s="51"/>
      <c r="M41" s="51"/>
      <c r="N41" s="51"/>
      <c r="O41" s="51"/>
      <c r="P41" s="51"/>
      <c r="Q41" s="51"/>
      <c r="R41" s="1018"/>
      <c r="S41" s="5"/>
      <c r="T41" s="5"/>
      <c r="U41" s="5"/>
      <c r="V41" s="5"/>
      <c r="W41" s="52">
        <v>0.01</v>
      </c>
      <c r="X41" s="52">
        <v>0.04</v>
      </c>
      <c r="Y41" s="52">
        <v>0.02</v>
      </c>
      <c r="Z41" s="52">
        <v>0.05</v>
      </c>
      <c r="AA41" s="162">
        <v>0.04</v>
      </c>
      <c r="AB41" s="52">
        <v>0.05</v>
      </c>
      <c r="AC41" s="52">
        <v>0.11</v>
      </c>
      <c r="AD41" s="52">
        <v>0.1</v>
      </c>
      <c r="AE41" s="162">
        <v>0.09</v>
      </c>
      <c r="AF41" s="52">
        <v>0.09</v>
      </c>
      <c r="AG41" s="52">
        <v>0.06</v>
      </c>
      <c r="AH41" s="52">
        <v>0.05</v>
      </c>
      <c r="AI41" s="162">
        <v>0.01</v>
      </c>
      <c r="AJ41" s="52">
        <v>-0.01</v>
      </c>
      <c r="AK41" s="52">
        <v>-0.01</v>
      </c>
      <c r="AL41" s="494">
        <v>-0.01</v>
      </c>
      <c r="AM41" s="162">
        <v>0.05</v>
      </c>
      <c r="AN41" s="538"/>
      <c r="AO41" s="538"/>
      <c r="AP41" s="480"/>
    </row>
    <row r="42" spans="1:45" s="1035" customFormat="1" ht="9.75" hidden="1" customHeight="1" outlineLevel="1">
      <c r="A42" s="1034" t="s">
        <v>18</v>
      </c>
      <c r="B42" s="51"/>
      <c r="C42" s="52">
        <f>C39/C$34</f>
        <v>0.35668143226282761</v>
      </c>
      <c r="D42" s="52">
        <f t="shared" ref="D42:I42" si="55">D39/D$34</f>
        <v>0.31841507790874879</v>
      </c>
      <c r="E42" s="52">
        <f t="shared" si="55"/>
        <v>0.34124914633389208</v>
      </c>
      <c r="F42" s="52">
        <f t="shared" si="55"/>
        <v>0.35371646063351264</v>
      </c>
      <c r="G42" s="52">
        <f t="shared" si="55"/>
        <v>0.30406357774778825</v>
      </c>
      <c r="H42" s="52">
        <f t="shared" si="55"/>
        <v>0.34448129721761561</v>
      </c>
      <c r="I42" s="52">
        <f t="shared" si="55"/>
        <v>0.34974285891319162</v>
      </c>
      <c r="J42" s="51"/>
      <c r="K42" s="51"/>
      <c r="L42" s="51"/>
      <c r="M42" s="51"/>
      <c r="N42" s="51"/>
      <c r="O42" s="51"/>
      <c r="P42" s="51"/>
      <c r="Q42" s="51"/>
      <c r="R42" s="1018"/>
      <c r="S42" s="5"/>
      <c r="T42" s="5"/>
      <c r="U42" s="5"/>
      <c r="V42" s="5"/>
      <c r="W42" s="52"/>
      <c r="X42" s="52"/>
      <c r="Y42" s="52"/>
      <c r="Z42" s="52"/>
      <c r="AA42" s="162"/>
      <c r="AB42" s="52"/>
      <c r="AC42" s="52"/>
      <c r="AD42" s="52"/>
      <c r="AE42" s="162"/>
      <c r="AF42" s="52"/>
      <c r="AG42" s="52"/>
      <c r="AH42" s="52"/>
      <c r="AI42" s="162"/>
      <c r="AJ42" s="52"/>
      <c r="AK42" s="52"/>
      <c r="AL42" s="494"/>
      <c r="AM42" s="162"/>
      <c r="AN42" s="538"/>
      <c r="AO42" s="538"/>
      <c r="AP42" s="480"/>
    </row>
    <row r="43" spans="1:45" s="1033" customFormat="1" ht="12.75" hidden="1" customHeight="1" outlineLevel="1">
      <c r="A43" s="1033" t="s">
        <v>72</v>
      </c>
      <c r="B43" s="9"/>
      <c r="C43" s="9">
        <v>9973</v>
      </c>
      <c r="D43" s="9">
        <v>10392</v>
      </c>
      <c r="E43" s="9">
        <v>10256</v>
      </c>
      <c r="F43" s="9">
        <v>9772</v>
      </c>
      <c r="G43" s="9">
        <v>10279</v>
      </c>
      <c r="H43" s="9">
        <v>10897</v>
      </c>
      <c r="I43" s="9">
        <v>11116</v>
      </c>
      <c r="J43" s="9"/>
      <c r="K43" s="9"/>
      <c r="L43" s="9"/>
      <c r="M43" s="9"/>
      <c r="N43" s="9"/>
      <c r="O43" s="9"/>
      <c r="P43" s="9"/>
      <c r="Q43" s="9"/>
      <c r="R43" s="1020"/>
      <c r="S43" s="4"/>
      <c r="T43" s="4"/>
      <c r="U43" s="4"/>
      <c r="V43" s="4"/>
      <c r="W43" s="9">
        <v>2408</v>
      </c>
      <c r="X43" s="9">
        <v>2535</v>
      </c>
      <c r="Y43" s="9">
        <v>2455</v>
      </c>
      <c r="Z43" s="9">
        <v>2374</v>
      </c>
      <c r="AA43" s="161">
        <v>2659</v>
      </c>
      <c r="AB43" s="9">
        <v>3168</v>
      </c>
      <c r="AC43" s="9">
        <v>2673</v>
      </c>
      <c r="AD43" s="9">
        <f>G43-AC43-AB43-AA43</f>
        <v>1779</v>
      </c>
      <c r="AE43" s="161">
        <v>2545</v>
      </c>
      <c r="AF43" s="9">
        <v>2846</v>
      </c>
      <c r="AG43" s="9">
        <v>2710</v>
      </c>
      <c r="AH43" s="9">
        <f>H43-AE43-AF43-AG43</f>
        <v>2796</v>
      </c>
      <c r="AI43" s="161">
        <v>2542</v>
      </c>
      <c r="AJ43" s="9">
        <v>2853</v>
      </c>
      <c r="AK43" s="9">
        <v>2806</v>
      </c>
      <c r="AL43" s="479">
        <f>I43-AI43-AJ43-AK43</f>
        <v>2915</v>
      </c>
      <c r="AM43" s="161">
        <v>2652</v>
      </c>
      <c r="AN43" s="537"/>
      <c r="AO43" s="537"/>
      <c r="AP43" s="479"/>
    </row>
    <row r="44" spans="1:45" s="1035" customFormat="1" ht="9.75" hidden="1" customHeight="1" outlineLevel="1">
      <c r="A44" s="1034" t="s">
        <v>14</v>
      </c>
      <c r="B44" s="51"/>
      <c r="C44" s="52"/>
      <c r="D44" s="52">
        <f t="shared" ref="D44:I44" si="56">D43/C43-1</f>
        <v>4.2013436277950511E-2</v>
      </c>
      <c r="E44" s="52">
        <f t="shared" si="56"/>
        <v>-1.3086989992301734E-2</v>
      </c>
      <c r="F44" s="52">
        <f t="shared" si="56"/>
        <v>-4.7191887675506972E-2</v>
      </c>
      <c r="G44" s="52">
        <f t="shared" si="56"/>
        <v>5.1882930822758855E-2</v>
      </c>
      <c r="H44" s="52">
        <f t="shared" si="56"/>
        <v>6.0122580017511362E-2</v>
      </c>
      <c r="I44" s="52">
        <f t="shared" si="56"/>
        <v>2.00972744792145E-2</v>
      </c>
      <c r="J44" s="51"/>
      <c r="K44" s="51"/>
      <c r="L44" s="51"/>
      <c r="M44" s="51"/>
      <c r="N44" s="51"/>
      <c r="O44" s="51"/>
      <c r="P44" s="51"/>
      <c r="Q44" s="51"/>
      <c r="R44" s="1018"/>
      <c r="S44" s="5"/>
      <c r="T44" s="5"/>
      <c r="U44" s="5"/>
      <c r="V44" s="5"/>
      <c r="W44" s="52">
        <v>-3.7954454654414715E-2</v>
      </c>
      <c r="X44" s="52">
        <v>-3.3917682926829285E-2</v>
      </c>
      <c r="Y44" s="52">
        <v>-3.989049667579192E-2</v>
      </c>
      <c r="Z44" s="52">
        <v>-7.6982892690513172E-2</v>
      </c>
      <c r="AA44" s="162">
        <f>AA43/W43-1</f>
        <v>0.10423588039867115</v>
      </c>
      <c r="AB44" s="52">
        <f>AB43/X43-1</f>
        <v>0.24970414201183422</v>
      </c>
      <c r="AC44" s="52">
        <f>AC43/Y43-1</f>
        <v>8.8798370672097837E-2</v>
      </c>
      <c r="AD44" s="52">
        <v>-7.6982892690513172E-2</v>
      </c>
      <c r="AE44" s="162">
        <f t="shared" ref="AE44:AM44" si="57">AE43/AA43-1</f>
        <v>-4.2873260624294862E-2</v>
      </c>
      <c r="AF44" s="52">
        <f t="shared" si="57"/>
        <v>-0.10164141414141414</v>
      </c>
      <c r="AG44" s="52">
        <f t="shared" si="57"/>
        <v>1.3842124953236112E-2</v>
      </c>
      <c r="AH44" s="52">
        <f t="shared" si="57"/>
        <v>0.57166947723440131</v>
      </c>
      <c r="AI44" s="162">
        <f t="shared" si="57"/>
        <v>-1.1787819253438192E-3</v>
      </c>
      <c r="AJ44" s="52">
        <f t="shared" si="57"/>
        <v>2.4595924104005018E-3</v>
      </c>
      <c r="AK44" s="52">
        <f t="shared" si="57"/>
        <v>3.54243542435424E-2</v>
      </c>
      <c r="AL44" s="494">
        <f t="shared" si="57"/>
        <v>4.2560801144492233E-2</v>
      </c>
      <c r="AM44" s="162">
        <f t="shared" si="57"/>
        <v>4.3273013375294989E-2</v>
      </c>
      <c r="AN44" s="538"/>
      <c r="AO44" s="538"/>
      <c r="AP44" s="480"/>
    </row>
    <row r="45" spans="1:45" s="1035" customFormat="1" ht="9.75" hidden="1" customHeight="1" outlineLevel="1">
      <c r="A45" s="1034" t="s">
        <v>18</v>
      </c>
      <c r="B45" s="51"/>
      <c r="C45" s="52">
        <f>C43/C$34</f>
        <v>0.30678602190230098</v>
      </c>
      <c r="D45" s="52">
        <f t="shared" ref="D45:I45" si="58">D43/D$34</f>
        <v>0.32320467763505739</v>
      </c>
      <c r="E45" s="52">
        <f t="shared" si="58"/>
        <v>0.31837089464208107</v>
      </c>
      <c r="F45" s="52">
        <f t="shared" si="58"/>
        <v>0.30738259255764211</v>
      </c>
      <c r="G45" s="52">
        <f t="shared" si="58"/>
        <v>0.30826210826210826</v>
      </c>
      <c r="H45" s="52">
        <f t="shared" si="58"/>
        <v>0.33465389103863397</v>
      </c>
      <c r="I45" s="52">
        <f t="shared" si="58"/>
        <v>0.34438317120019829</v>
      </c>
      <c r="J45" s="51"/>
      <c r="K45" s="51"/>
      <c r="L45" s="51"/>
      <c r="M45" s="51"/>
      <c r="N45" s="51"/>
      <c r="O45" s="51"/>
      <c r="P45" s="51"/>
      <c r="Q45" s="51"/>
      <c r="R45" s="1018"/>
      <c r="S45" s="5"/>
      <c r="T45" s="5"/>
      <c r="U45" s="5"/>
      <c r="V45" s="5"/>
      <c r="W45" s="52"/>
      <c r="X45" s="52"/>
      <c r="Y45" s="52"/>
      <c r="Z45" s="52"/>
      <c r="AA45" s="162"/>
      <c r="AB45" s="52"/>
      <c r="AC45" s="52"/>
      <c r="AD45" s="52"/>
      <c r="AE45" s="162"/>
      <c r="AF45" s="52"/>
      <c r="AG45" s="52"/>
      <c r="AH45" s="52"/>
      <c r="AI45" s="162"/>
      <c r="AJ45" s="52"/>
      <c r="AK45" s="52"/>
      <c r="AL45" s="494"/>
      <c r="AM45" s="162"/>
      <c r="AN45" s="538"/>
      <c r="AO45" s="538"/>
      <c r="AP45" s="480"/>
    </row>
    <row r="46" spans="1:45" s="1033" customFormat="1" ht="12.75" hidden="1" customHeight="1" outlineLevel="1">
      <c r="A46" s="1033" t="s">
        <v>303</v>
      </c>
      <c r="B46" s="9"/>
      <c r="C46" s="9">
        <v>7928</v>
      </c>
      <c r="D46" s="9">
        <v>8434</v>
      </c>
      <c r="E46" s="9">
        <v>7947</v>
      </c>
      <c r="F46" s="9">
        <v>7655</v>
      </c>
      <c r="G46" s="9">
        <v>7224</v>
      </c>
      <c r="H46" s="9">
        <v>7696</v>
      </c>
      <c r="I46" s="9">
        <v>7875</v>
      </c>
      <c r="J46" s="9"/>
      <c r="K46" s="9"/>
      <c r="L46" s="9"/>
      <c r="M46" s="9"/>
      <c r="N46" s="9"/>
      <c r="O46" s="9"/>
      <c r="P46" s="9"/>
      <c r="Q46" s="9"/>
      <c r="R46" s="1020"/>
      <c r="S46" s="4"/>
      <c r="T46" s="4"/>
      <c r="U46" s="4"/>
      <c r="V46" s="4"/>
      <c r="W46" s="9">
        <v>1889</v>
      </c>
      <c r="X46" s="9">
        <v>1976</v>
      </c>
      <c r="Y46" s="9">
        <v>1910</v>
      </c>
      <c r="Z46" s="9">
        <v>1880</v>
      </c>
      <c r="AA46" s="161">
        <v>1922</v>
      </c>
      <c r="AB46" s="9">
        <v>1952</v>
      </c>
      <c r="AC46" s="9">
        <v>1687</v>
      </c>
      <c r="AD46" s="9">
        <f>G46-AC46-AB46-AA46</f>
        <v>1663</v>
      </c>
      <c r="AE46" s="161">
        <v>1846</v>
      </c>
      <c r="AF46" s="9">
        <v>1961</v>
      </c>
      <c r="AG46" s="9">
        <v>1929</v>
      </c>
      <c r="AH46" s="9">
        <f>H46-AE46-AF46-AG46</f>
        <v>1960</v>
      </c>
      <c r="AI46" s="161">
        <v>1874</v>
      </c>
      <c r="AJ46" s="9">
        <v>1961</v>
      </c>
      <c r="AK46" s="9">
        <v>1925</v>
      </c>
      <c r="AL46" s="479">
        <f>I46-AI46-AJ46-AK46</f>
        <v>2115</v>
      </c>
      <c r="AM46" s="161">
        <v>1989</v>
      </c>
      <c r="AN46" s="537"/>
      <c r="AO46" s="537"/>
      <c r="AP46" s="479"/>
    </row>
    <row r="47" spans="1:45" s="1035" customFormat="1" ht="9.75" hidden="1" customHeight="1" outlineLevel="1">
      <c r="A47" s="1034" t="s">
        <v>14</v>
      </c>
      <c r="B47" s="51"/>
      <c r="C47" s="52"/>
      <c r="D47" s="52">
        <f t="shared" ref="D47:I47" si="59">D46/C46-1</f>
        <v>6.3824419778002017E-2</v>
      </c>
      <c r="E47" s="52">
        <f t="shared" si="59"/>
        <v>-5.7742470950913005E-2</v>
      </c>
      <c r="F47" s="52">
        <f t="shared" si="59"/>
        <v>-3.6743425191896328E-2</v>
      </c>
      <c r="G47" s="52">
        <f t="shared" si="59"/>
        <v>-5.6303069888961499E-2</v>
      </c>
      <c r="H47" s="52">
        <f t="shared" si="59"/>
        <v>6.5337763012181638E-2</v>
      </c>
      <c r="I47" s="52">
        <f t="shared" si="59"/>
        <v>2.3258835758835694E-2</v>
      </c>
      <c r="J47" s="51"/>
      <c r="K47" s="51"/>
      <c r="L47" s="51"/>
      <c r="M47" s="51"/>
      <c r="N47" s="51"/>
      <c r="O47" s="51"/>
      <c r="P47" s="51"/>
      <c r="Q47" s="51"/>
      <c r="R47" s="1018"/>
      <c r="S47" s="5"/>
      <c r="T47" s="5"/>
      <c r="U47" s="5"/>
      <c r="V47" s="5"/>
      <c r="W47" s="52">
        <v>-1.9210799584631344E-2</v>
      </c>
      <c r="X47" s="52">
        <v>-1.9354838709677469E-2</v>
      </c>
      <c r="Y47" s="52">
        <v>4.7343503419252642E-3</v>
      </c>
      <c r="Z47" s="52">
        <v>-0.10688836104513066</v>
      </c>
      <c r="AA47" s="162">
        <f>AA46/W46-1</f>
        <v>1.7469560614081558E-2</v>
      </c>
      <c r="AB47" s="52">
        <f>AB46/X46-1</f>
        <v>-1.2145748987854255E-2</v>
      </c>
      <c r="AC47" s="52">
        <f>AC46/Y46-1</f>
        <v>-0.1167539267015707</v>
      </c>
      <c r="AD47" s="52">
        <v>-0.10688836104513066</v>
      </c>
      <c r="AE47" s="162">
        <f t="shared" ref="AE47:AM47" si="60">AE46/AA46-1</f>
        <v>-3.9542143600416191E-2</v>
      </c>
      <c r="AF47" s="52">
        <f t="shared" si="60"/>
        <v>4.6106557377050272E-3</v>
      </c>
      <c r="AG47" s="52">
        <f t="shared" si="60"/>
        <v>0.14344991108476579</v>
      </c>
      <c r="AH47" s="52">
        <f t="shared" si="60"/>
        <v>0.17859290438965725</v>
      </c>
      <c r="AI47" s="162">
        <f t="shared" si="60"/>
        <v>1.5167930660888507E-2</v>
      </c>
      <c r="AJ47" s="52">
        <f t="shared" si="60"/>
        <v>0</v>
      </c>
      <c r="AK47" s="52">
        <f t="shared" si="60"/>
        <v>-2.0736132711249855E-3</v>
      </c>
      <c r="AL47" s="494">
        <f t="shared" si="60"/>
        <v>7.9081632653061229E-2</v>
      </c>
      <c r="AM47" s="162">
        <f t="shared" si="60"/>
        <v>6.1366061899679858E-2</v>
      </c>
      <c r="AN47" s="538"/>
      <c r="AO47" s="538"/>
      <c r="AP47" s="480"/>
    </row>
    <row r="48" spans="1:45" s="1035" customFormat="1" ht="9.75" hidden="1" customHeight="1" outlineLevel="1">
      <c r="A48" s="1034" t="s">
        <v>15</v>
      </c>
      <c r="B48" s="51"/>
      <c r="C48" s="52">
        <v>0.09</v>
      </c>
      <c r="D48" s="52">
        <v>0.08</v>
      </c>
      <c r="E48" s="52">
        <v>0.04</v>
      </c>
      <c r="F48" s="52">
        <v>0</v>
      </c>
      <c r="G48" s="52">
        <v>0.03</v>
      </c>
      <c r="H48" s="52">
        <v>0</v>
      </c>
      <c r="I48" s="52">
        <v>0.04</v>
      </c>
      <c r="J48" s="51"/>
      <c r="K48" s="51"/>
      <c r="L48" s="51"/>
      <c r="M48" s="51"/>
      <c r="N48" s="51"/>
      <c r="O48" s="51"/>
      <c r="P48" s="51"/>
      <c r="Q48" s="51"/>
      <c r="R48" s="1018"/>
      <c r="S48" s="5"/>
      <c r="T48" s="5"/>
      <c r="U48" s="5"/>
      <c r="V48" s="5"/>
      <c r="W48" s="52">
        <v>0.04</v>
      </c>
      <c r="X48" s="52">
        <v>0</v>
      </c>
      <c r="Y48" s="52">
        <v>0.02</v>
      </c>
      <c r="Z48" s="52">
        <v>-0.05</v>
      </c>
      <c r="AA48" s="162">
        <v>0.01</v>
      </c>
      <c r="AB48" s="52">
        <v>0.02</v>
      </c>
      <c r="AC48" s="52">
        <v>-0.02</v>
      </c>
      <c r="AD48" s="52">
        <v>0.09</v>
      </c>
      <c r="AE48" s="162">
        <v>-0.02</v>
      </c>
      <c r="AF48" s="52">
        <v>0</v>
      </c>
      <c r="AG48" s="52">
        <v>0.04</v>
      </c>
      <c r="AH48" s="52">
        <v>-0.03</v>
      </c>
      <c r="AI48" s="162">
        <v>0.04</v>
      </c>
      <c r="AJ48" s="52">
        <v>0.03</v>
      </c>
      <c r="AK48" s="52">
        <v>0.03</v>
      </c>
      <c r="AL48" s="494">
        <v>0.08</v>
      </c>
      <c r="AM48" s="162">
        <v>0.03</v>
      </c>
      <c r="AN48" s="538"/>
      <c r="AO48" s="538"/>
      <c r="AP48" s="480"/>
    </row>
    <row r="49" spans="1:43" s="1035" customFormat="1" ht="9.75" hidden="1" customHeight="1" outlineLevel="1">
      <c r="A49" s="1034" t="s">
        <v>18</v>
      </c>
      <c r="B49" s="51"/>
      <c r="C49" s="52">
        <f>C46/C$34</f>
        <v>0.24387842992494155</v>
      </c>
      <c r="D49" s="52">
        <f t="shared" ref="D49:I49" si="61">D46/D$34</f>
        <v>0.26230833825770533</v>
      </c>
      <c r="E49" s="52">
        <f t="shared" si="61"/>
        <v>0.24669398398211959</v>
      </c>
      <c r="F49" s="52">
        <f t="shared" si="61"/>
        <v>0.24079141895505018</v>
      </c>
      <c r="G49" s="52">
        <f t="shared" si="61"/>
        <v>0.21664417453891138</v>
      </c>
      <c r="H49" s="52">
        <f t="shared" si="61"/>
        <v>0.23634911860450833</v>
      </c>
      <c r="I49" s="52">
        <f t="shared" si="61"/>
        <v>0.24397422392961149</v>
      </c>
      <c r="J49" s="51"/>
      <c r="K49" s="51"/>
      <c r="L49" s="51"/>
      <c r="M49" s="51"/>
      <c r="N49" s="51"/>
      <c r="O49" s="51"/>
      <c r="P49" s="51"/>
      <c r="Q49" s="51"/>
      <c r="R49" s="1018"/>
      <c r="S49" s="5"/>
      <c r="T49" s="5"/>
      <c r="U49" s="5"/>
      <c r="V49" s="5"/>
      <c r="W49" s="52"/>
      <c r="X49" s="52"/>
      <c r="Y49" s="52"/>
      <c r="Z49" s="52"/>
      <c r="AA49" s="162"/>
      <c r="AB49" s="52"/>
      <c r="AC49" s="52"/>
      <c r="AD49" s="52"/>
      <c r="AE49" s="162"/>
      <c r="AF49" s="52"/>
      <c r="AG49" s="52"/>
      <c r="AH49" s="52"/>
      <c r="AI49" s="162"/>
      <c r="AJ49" s="52"/>
      <c r="AK49" s="52"/>
      <c r="AL49" s="494"/>
      <c r="AM49" s="162"/>
      <c r="AN49" s="538"/>
      <c r="AO49" s="538"/>
      <c r="AP49" s="480"/>
    </row>
    <row r="50" spans="1:43" s="1033" customFormat="1" ht="12.75" hidden="1" customHeight="1" outlineLevel="1">
      <c r="A50" s="1033" t="s">
        <v>75</v>
      </c>
      <c r="B50" s="9"/>
      <c r="C50" s="9">
        <v>3012</v>
      </c>
      <c r="D50" s="9">
        <v>3059</v>
      </c>
      <c r="E50" s="9">
        <v>3018</v>
      </c>
      <c r="F50" s="9">
        <v>3119</v>
      </c>
      <c r="G50" s="9">
        <v>2803</v>
      </c>
      <c r="H50" s="9">
        <v>2752</v>
      </c>
      <c r="I50" s="9">
        <v>2745</v>
      </c>
      <c r="J50" s="9"/>
      <c r="K50" s="9"/>
      <c r="L50" s="9"/>
      <c r="M50" s="9"/>
      <c r="N50" s="9"/>
      <c r="O50" s="9"/>
      <c r="P50" s="9"/>
      <c r="Q50" s="9"/>
      <c r="R50" s="1020"/>
      <c r="S50" s="4"/>
      <c r="T50" s="4"/>
      <c r="U50" s="4"/>
      <c r="V50" s="4"/>
      <c r="W50" s="9">
        <v>665</v>
      </c>
      <c r="X50" s="9">
        <v>754</v>
      </c>
      <c r="Y50" s="9">
        <v>827</v>
      </c>
      <c r="Z50" s="9">
        <v>873</v>
      </c>
      <c r="AA50" s="161">
        <v>807</v>
      </c>
      <c r="AB50" s="9">
        <v>866</v>
      </c>
      <c r="AC50" s="9">
        <v>693</v>
      </c>
      <c r="AD50" s="9">
        <f>G50-AC50-AB50-AA50</f>
        <v>437</v>
      </c>
      <c r="AE50" s="161">
        <v>640</v>
      </c>
      <c r="AF50" s="9">
        <v>690</v>
      </c>
      <c r="AG50" s="9">
        <v>737</v>
      </c>
      <c r="AH50" s="9">
        <f>H50-AE50-AF50-AG50</f>
        <v>685</v>
      </c>
      <c r="AI50" s="161">
        <v>651</v>
      </c>
      <c r="AJ50" s="9">
        <v>693</v>
      </c>
      <c r="AK50" s="9">
        <v>737</v>
      </c>
      <c r="AL50" s="479">
        <f>I50-AI50-AJ50-AK50</f>
        <v>664</v>
      </c>
      <c r="AM50" s="161">
        <v>665</v>
      </c>
      <c r="AN50" s="537"/>
      <c r="AO50" s="537"/>
      <c r="AP50" s="479"/>
    </row>
    <row r="51" spans="1:43" s="1035" customFormat="1" ht="9.75" hidden="1" customHeight="1" outlineLevel="1">
      <c r="A51" s="1034" t="s">
        <v>14</v>
      </c>
      <c r="B51" s="51"/>
      <c r="C51" s="52"/>
      <c r="D51" s="52">
        <f t="shared" ref="D51:I51" si="62">D50/C50-1</f>
        <v>1.5604249667994674E-2</v>
      </c>
      <c r="E51" s="52">
        <f t="shared" si="62"/>
        <v>-1.3403072899640378E-2</v>
      </c>
      <c r="F51" s="52">
        <f t="shared" si="62"/>
        <v>3.3465871438038475E-2</v>
      </c>
      <c r="G51" s="52">
        <f t="shared" si="62"/>
        <v>-0.10131452388586082</v>
      </c>
      <c r="H51" s="52">
        <f t="shared" si="62"/>
        <v>-1.819479129504098E-2</v>
      </c>
      <c r="I51" s="52">
        <f t="shared" si="62"/>
        <v>-2.5436046511627675E-3</v>
      </c>
      <c r="J51" s="51"/>
      <c r="K51" s="51"/>
      <c r="L51" s="51"/>
      <c r="M51" s="51"/>
      <c r="N51" s="51"/>
      <c r="O51" s="51"/>
      <c r="P51" s="51"/>
      <c r="Q51" s="51"/>
      <c r="R51" s="1018"/>
      <c r="S51" s="5"/>
      <c r="T51" s="5"/>
      <c r="U51" s="5"/>
      <c r="V51" s="5"/>
      <c r="W51" s="52">
        <v>-4.3165467625899234E-2</v>
      </c>
      <c r="X51" s="52">
        <v>-2.4579560155239322E-2</v>
      </c>
      <c r="Y51" s="52">
        <v>0.10119840213049258</v>
      </c>
      <c r="Z51" s="52">
        <v>9.2615769712140139E-2</v>
      </c>
      <c r="AA51" s="162">
        <f>AA50/W50-1</f>
        <v>0.21353383458646613</v>
      </c>
      <c r="AB51" s="52">
        <f>AB50/X50-1</f>
        <v>0.14854111405835546</v>
      </c>
      <c r="AC51" s="52">
        <f>AC50/Y50-1</f>
        <v>-0.16203143893591299</v>
      </c>
      <c r="AD51" s="52">
        <v>9.2615769712140139E-2</v>
      </c>
      <c r="AE51" s="162">
        <f t="shared" ref="AE51:AM51" si="63">AE50/AA50-1</f>
        <v>-0.20693928128872363</v>
      </c>
      <c r="AF51" s="52">
        <f t="shared" si="63"/>
        <v>-0.20323325635103928</v>
      </c>
      <c r="AG51" s="52">
        <f t="shared" si="63"/>
        <v>6.3492063492063489E-2</v>
      </c>
      <c r="AH51" s="52">
        <f t="shared" si="63"/>
        <v>0.56750572082379858</v>
      </c>
      <c r="AI51" s="162">
        <f t="shared" si="63"/>
        <v>1.7187499999999911E-2</v>
      </c>
      <c r="AJ51" s="52">
        <f t="shared" si="63"/>
        <v>4.3478260869564966E-3</v>
      </c>
      <c r="AK51" s="52">
        <f t="shared" si="63"/>
        <v>0</v>
      </c>
      <c r="AL51" s="494">
        <f t="shared" si="63"/>
        <v>-3.065693430656935E-2</v>
      </c>
      <c r="AM51" s="162">
        <f t="shared" si="63"/>
        <v>2.1505376344086002E-2</v>
      </c>
      <c r="AN51" s="538"/>
      <c r="AO51" s="538"/>
      <c r="AP51" s="480"/>
    </row>
    <row r="52" spans="1:43" s="1035" customFormat="1" ht="9.75" hidden="1" customHeight="1" outlineLevel="1">
      <c r="A52" s="1034" t="s">
        <v>15</v>
      </c>
      <c r="B52" s="51"/>
      <c r="C52" s="52">
        <v>0.1</v>
      </c>
      <c r="D52" s="52">
        <v>0.09</v>
      </c>
      <c r="E52" s="52">
        <v>0.08</v>
      </c>
      <c r="F52" s="52">
        <v>0.13</v>
      </c>
      <c r="G52" s="52">
        <v>0.1</v>
      </c>
      <c r="H52" s="52">
        <v>0.05</v>
      </c>
      <c r="I52" s="52">
        <v>7.0000000000000007E-2</v>
      </c>
      <c r="J52" s="51"/>
      <c r="K52" s="51"/>
      <c r="L52" s="51"/>
      <c r="M52" s="51"/>
      <c r="N52" s="51"/>
      <c r="O52" s="51"/>
      <c r="P52" s="51"/>
      <c r="Q52" s="51"/>
      <c r="R52" s="1018"/>
      <c r="S52" s="5"/>
      <c r="T52" s="5"/>
      <c r="U52" s="5"/>
      <c r="V52" s="5"/>
      <c r="W52" s="52">
        <v>0.1</v>
      </c>
      <c r="X52" s="52">
        <v>0.06</v>
      </c>
      <c r="Y52" s="52">
        <v>0.16</v>
      </c>
      <c r="Z52" s="52">
        <v>0.19</v>
      </c>
      <c r="AA52" s="162">
        <v>0.18</v>
      </c>
      <c r="AB52" s="52">
        <v>0.17</v>
      </c>
      <c r="AC52" s="52">
        <v>0.11</v>
      </c>
      <c r="AD52" s="52">
        <v>-0.01</v>
      </c>
      <c r="AE52" s="162">
        <v>0.02</v>
      </c>
      <c r="AF52" s="52">
        <v>-0.01</v>
      </c>
      <c r="AG52" s="52">
        <v>0.03</v>
      </c>
      <c r="AH52" s="52">
        <v>7.0000000000000007E-2</v>
      </c>
      <c r="AI52" s="162">
        <v>0.06</v>
      </c>
      <c r="AJ52" s="52">
        <v>0.11</v>
      </c>
      <c r="AK52" s="52">
        <v>0.01</v>
      </c>
      <c r="AL52" s="494">
        <v>0.11</v>
      </c>
      <c r="AM52" s="162">
        <v>0.1</v>
      </c>
      <c r="AN52" s="538"/>
      <c r="AO52" s="538"/>
      <c r="AP52" s="480"/>
    </row>
    <row r="53" spans="1:43" s="1035" customFormat="1" ht="9.75" hidden="1" customHeight="1" outlineLevel="1">
      <c r="A53" s="1034" t="s">
        <v>18</v>
      </c>
      <c r="B53" s="51"/>
      <c r="C53" s="52">
        <f>C50/C$34</f>
        <v>9.2654115909929863E-2</v>
      </c>
      <c r="D53" s="52">
        <f t="shared" ref="D53:I53" si="64">D50/D$34</f>
        <v>9.5138867290766024E-2</v>
      </c>
      <c r="E53" s="52">
        <f t="shared" si="64"/>
        <v>9.3685975041907246E-2</v>
      </c>
      <c r="F53" s="52">
        <f t="shared" si="64"/>
        <v>9.8109527853795106E-2</v>
      </c>
      <c r="G53" s="52">
        <f t="shared" si="64"/>
        <v>8.4060578797420904E-2</v>
      </c>
      <c r="H53" s="52">
        <f t="shared" si="64"/>
        <v>8.4515693139242065E-2</v>
      </c>
      <c r="I53" s="52">
        <f t="shared" si="64"/>
        <v>8.5042443769750301E-2</v>
      </c>
      <c r="J53" s="51"/>
      <c r="K53" s="51"/>
      <c r="L53" s="51"/>
      <c r="M53" s="51"/>
      <c r="N53" s="51"/>
      <c r="O53" s="51"/>
      <c r="P53" s="51"/>
      <c r="Q53" s="51"/>
      <c r="R53" s="1018"/>
      <c r="S53" s="5"/>
      <c r="T53" s="5"/>
      <c r="U53" s="5"/>
      <c r="V53" s="5"/>
      <c r="W53" s="52"/>
      <c r="X53" s="52"/>
      <c r="Y53" s="52"/>
      <c r="Z53" s="52"/>
      <c r="AA53" s="162"/>
      <c r="AB53" s="52"/>
      <c r="AC53" s="52"/>
      <c r="AD53" s="52"/>
      <c r="AE53" s="162"/>
      <c r="AF53" s="52"/>
      <c r="AG53" s="52"/>
      <c r="AH53" s="52"/>
      <c r="AI53" s="162"/>
      <c r="AJ53" s="52"/>
      <c r="AK53" s="52"/>
      <c r="AL53" s="494"/>
      <c r="AM53" s="162"/>
      <c r="AN53" s="538"/>
      <c r="AO53" s="538"/>
      <c r="AP53" s="480"/>
    </row>
    <row r="54" spans="1:43" ht="12.75" customHeight="1" collapsed="1">
      <c r="A54" s="1036" t="s">
        <v>17</v>
      </c>
      <c r="B54" s="4">
        <f t="shared" ref="B54:Q54" si="65">+B57+B59</f>
        <v>4265</v>
      </c>
      <c r="C54" s="4">
        <f t="shared" si="65"/>
        <v>4659</v>
      </c>
      <c r="D54" s="4">
        <f t="shared" si="65"/>
        <v>4675</v>
      </c>
      <c r="E54" s="4">
        <f t="shared" si="65"/>
        <v>4693</v>
      </c>
      <c r="F54" s="4">
        <f t="shared" si="65"/>
        <v>4746</v>
      </c>
      <c r="G54" s="4">
        <f t="shared" si="65"/>
        <v>4658</v>
      </c>
      <c r="H54" s="4">
        <f t="shared" si="65"/>
        <v>3323</v>
      </c>
      <c r="I54" s="107">
        <f t="shared" si="65"/>
        <v>1943</v>
      </c>
      <c r="J54" s="107">
        <f t="shared" si="65"/>
        <v>1398.4362749215202</v>
      </c>
      <c r="K54" s="107">
        <f t="shared" si="65"/>
        <v>1118.7490199372162</v>
      </c>
      <c r="L54" s="107">
        <f t="shared" si="65"/>
        <v>933.38066694663371</v>
      </c>
      <c r="M54" s="107">
        <f t="shared" si="65"/>
        <v>779.32876690463866</v>
      </c>
      <c r="N54" s="107">
        <f t="shared" si="65"/>
        <v>701.39589021417487</v>
      </c>
      <c r="O54" s="107">
        <f t="shared" si="65"/>
        <v>631.25630119275729</v>
      </c>
      <c r="P54" s="107">
        <f t="shared" si="65"/>
        <v>568.13067107348161</v>
      </c>
      <c r="Q54" s="107">
        <f t="shared" si="65"/>
        <v>511.3176039661335</v>
      </c>
      <c r="R54" s="402">
        <f>(N54/J54)^(1/($N$1-$J$1))-1</f>
        <v>-0.1584495937298912</v>
      </c>
      <c r="S54" s="1026"/>
      <c r="T54" s="1026"/>
      <c r="U54" s="1026"/>
      <c r="W54" s="4">
        <f t="shared" ref="W54:AO54" si="66">+W57+W59</f>
        <v>1097</v>
      </c>
      <c r="X54" s="4">
        <f t="shared" si="66"/>
        <v>1199</v>
      </c>
      <c r="Y54" s="4">
        <f t="shared" si="66"/>
        <v>1213</v>
      </c>
      <c r="Z54" s="4">
        <f t="shared" si="66"/>
        <v>1237</v>
      </c>
      <c r="AA54" s="157">
        <f t="shared" si="66"/>
        <v>1070</v>
      </c>
      <c r="AB54" s="4">
        <f t="shared" si="66"/>
        <v>1184</v>
      </c>
      <c r="AC54" s="4">
        <f t="shared" si="66"/>
        <v>1185</v>
      </c>
      <c r="AD54" s="107">
        <f t="shared" si="66"/>
        <v>1219</v>
      </c>
      <c r="AE54" s="157">
        <f t="shared" si="66"/>
        <v>834</v>
      </c>
      <c r="AF54" s="4">
        <f t="shared" si="66"/>
        <v>891</v>
      </c>
      <c r="AG54" s="4">
        <f t="shared" si="66"/>
        <v>834</v>
      </c>
      <c r="AH54" s="107">
        <f t="shared" si="66"/>
        <v>764</v>
      </c>
      <c r="AI54" s="157">
        <f t="shared" si="66"/>
        <v>544</v>
      </c>
      <c r="AJ54" s="4">
        <f t="shared" si="66"/>
        <v>506</v>
      </c>
      <c r="AK54" s="107">
        <f t="shared" si="66"/>
        <v>445</v>
      </c>
      <c r="AL54" s="481">
        <f t="shared" si="66"/>
        <v>448</v>
      </c>
      <c r="AM54" s="157">
        <f t="shared" si="66"/>
        <v>392</v>
      </c>
      <c r="AN54" s="396">
        <f t="shared" si="66"/>
        <v>364.47147945477406</v>
      </c>
      <c r="AO54" s="396">
        <f t="shared" si="66"/>
        <v>330.01891837463671</v>
      </c>
      <c r="AP54" s="481">
        <f t="shared" ref="AP54" si="67">+AP57+AP59</f>
        <v>311.94587709210941</v>
      </c>
      <c r="AQ54" s="1350"/>
    </row>
    <row r="55" spans="1:43" s="1038" customFormat="1" ht="9.75" hidden="1" customHeight="1" outlineLevel="1">
      <c r="A55" s="1037" t="s">
        <v>14</v>
      </c>
      <c r="B55" s="10"/>
      <c r="C55" s="10">
        <f>C54/B54-1</f>
        <v>9.237983587338805E-2</v>
      </c>
      <c r="D55" s="10">
        <f>D54/C54-1</f>
        <v>3.4342133505043115E-3</v>
      </c>
      <c r="E55" s="10">
        <f>E54/D54-1</f>
        <v>3.8502673796791953E-3</v>
      </c>
      <c r="F55" s="10">
        <f>F54/E54-1</f>
        <v>1.129341572554865E-2</v>
      </c>
      <c r="G55" s="10">
        <f>G54/F54-1</f>
        <v>-1.8541930046354849E-2</v>
      </c>
      <c r="H55" s="10">
        <f t="shared" ref="H55:Q55" si="68">H54/G54-1</f>
        <v>-0.28660369257191931</v>
      </c>
      <c r="I55" s="10">
        <f t="shared" si="68"/>
        <v>-0.41528739091182665</v>
      </c>
      <c r="J55" s="10">
        <f t="shared" si="68"/>
        <v>-0.28026954455917641</v>
      </c>
      <c r="K55" s="10">
        <f t="shared" si="68"/>
        <v>-0.19999999999999996</v>
      </c>
      <c r="L55" s="10">
        <f t="shared" si="68"/>
        <v>-0.16569252771366472</v>
      </c>
      <c r="M55" s="10">
        <f t="shared" si="68"/>
        <v>-0.16504723688561573</v>
      </c>
      <c r="N55" s="10">
        <f t="shared" si="68"/>
        <v>-9.9999999999999867E-2</v>
      </c>
      <c r="O55" s="10">
        <f t="shared" si="68"/>
        <v>-0.10000000000000009</v>
      </c>
      <c r="P55" s="10">
        <f t="shared" si="68"/>
        <v>-9.9999999999999978E-2</v>
      </c>
      <c r="Q55" s="10">
        <f t="shared" si="68"/>
        <v>-9.9999999999999867E-2</v>
      </c>
      <c r="R55" s="1019"/>
      <c r="S55" s="10"/>
      <c r="T55" s="10"/>
      <c r="U55" s="10"/>
      <c r="V55" s="10"/>
      <c r="W55" s="10">
        <v>-4.02449693788276E-2</v>
      </c>
      <c r="X55" s="10">
        <v>7.5630252100840067E-3</v>
      </c>
      <c r="Y55" s="10">
        <v>7.0609002647837649E-2</v>
      </c>
      <c r="Z55" s="10">
        <v>8.1499592502036755E-3</v>
      </c>
      <c r="AA55" s="163">
        <f t="shared" ref="AA55:AH55" si="69">AA54/W54-1</f>
        <v>-2.4612579762990028E-2</v>
      </c>
      <c r="AB55" s="10">
        <f t="shared" si="69"/>
        <v>-1.2510425354462007E-2</v>
      </c>
      <c r="AC55" s="10">
        <f t="shared" si="69"/>
        <v>-2.3083264633140921E-2</v>
      </c>
      <c r="AD55" s="10">
        <f t="shared" si="69"/>
        <v>-1.4551333872271588E-2</v>
      </c>
      <c r="AE55" s="163">
        <f t="shared" si="69"/>
        <v>-0.22056074766355138</v>
      </c>
      <c r="AF55" s="10">
        <f t="shared" si="69"/>
        <v>-0.24746621621621623</v>
      </c>
      <c r="AG55" s="10">
        <f t="shared" si="69"/>
        <v>-0.29620253164556964</v>
      </c>
      <c r="AH55" s="10">
        <f t="shared" si="69"/>
        <v>-0.37325676784249384</v>
      </c>
      <c r="AI55" s="163">
        <f>AI54/AE54-1</f>
        <v>-0.34772182254196637</v>
      </c>
      <c r="AJ55" s="10">
        <f>AJ54/AF54-1</f>
        <v>-0.4320987654320988</v>
      </c>
      <c r="AK55" s="10">
        <f>AK54/AG54-1</f>
        <v>-0.46642685851318944</v>
      </c>
      <c r="AL55" s="482">
        <f>AL54/AH54-1</f>
        <v>-0.41361256544502623</v>
      </c>
      <c r="AM55" s="163">
        <f t="shared" ref="AM55:AP55" si="70">AM54/AI54-1</f>
        <v>-0.27941176470588236</v>
      </c>
      <c r="AN55" s="428">
        <f t="shared" si="70"/>
        <v>-0.27970063348858887</v>
      </c>
      <c r="AO55" s="428">
        <f t="shared" si="70"/>
        <v>-0.25838445309070401</v>
      </c>
      <c r="AP55" s="482">
        <f t="shared" si="70"/>
        <v>-0.30369223863368433</v>
      </c>
      <c r="AQ55" s="1350"/>
    </row>
    <row r="56" spans="1:43" s="1038" customFormat="1" ht="9.75" hidden="1" customHeight="1" outlineLevel="1">
      <c r="A56" s="1037" t="s">
        <v>15</v>
      </c>
      <c r="B56" s="10"/>
      <c r="C56" s="10">
        <v>0.03</v>
      </c>
      <c r="D56" s="10">
        <v>0.04</v>
      </c>
      <c r="E56" s="10">
        <v>0.04</v>
      </c>
      <c r="F56" s="10">
        <v>0.06</v>
      </c>
      <c r="G56" s="10">
        <v>0.05</v>
      </c>
      <c r="H56" s="10">
        <v>-0.28000000000000003</v>
      </c>
      <c r="I56" s="10">
        <v>-0.41</v>
      </c>
      <c r="J56" s="10">
        <f t="shared" ref="J56:Q56" si="71">J55-((J60-J61)*J59/J54)</f>
        <v>-0.30025770093351356</v>
      </c>
      <c r="K56" s="10">
        <f t="shared" si="71"/>
        <v>-0.19999999999999998</v>
      </c>
      <c r="L56" s="10">
        <f t="shared" si="71"/>
        <v>-0.16569252771366469</v>
      </c>
      <c r="M56" s="10">
        <f t="shared" si="71"/>
        <v>-0.16504723688561562</v>
      </c>
      <c r="N56" s="10">
        <f t="shared" si="71"/>
        <v>-9.9999999999999881E-2</v>
      </c>
      <c r="O56" s="10">
        <f t="shared" si="71"/>
        <v>-0.1000000000000001</v>
      </c>
      <c r="P56" s="10">
        <f t="shared" si="71"/>
        <v>-9.9999999999999992E-2</v>
      </c>
      <c r="Q56" s="10">
        <f t="shared" si="71"/>
        <v>-9.9999999999999964E-2</v>
      </c>
      <c r="R56" s="1019"/>
      <c r="S56" s="10"/>
      <c r="T56" s="10"/>
      <c r="U56" s="10"/>
      <c r="V56" s="10"/>
      <c r="W56" s="10">
        <v>-0.04</v>
      </c>
      <c r="X56" s="10">
        <v>0</v>
      </c>
      <c r="Y56" s="10">
        <v>7.0000000000000007E-2</v>
      </c>
      <c r="Z56" s="10">
        <v>0.05</v>
      </c>
      <c r="AA56" s="163">
        <v>0.05</v>
      </c>
      <c r="AB56" s="10">
        <v>0.06</v>
      </c>
      <c r="AC56" s="10">
        <v>0.05</v>
      </c>
      <c r="AD56" s="10">
        <v>0.04</v>
      </c>
      <c r="AE56" s="163">
        <v>-0.2</v>
      </c>
      <c r="AF56" s="10">
        <v>-0.25</v>
      </c>
      <c r="AG56" s="10">
        <v>-0.3</v>
      </c>
      <c r="AH56" s="10">
        <v>-0.36</v>
      </c>
      <c r="AI56" s="163">
        <v>-0.34</v>
      </c>
      <c r="AJ56" s="10">
        <v>-0.42</v>
      </c>
      <c r="AK56" s="10">
        <v>-0.47</v>
      </c>
      <c r="AL56" s="482">
        <v>-0.43</v>
      </c>
      <c r="AM56" s="163">
        <v>-0.32</v>
      </c>
      <c r="AN56" s="428">
        <f t="shared" ref="AN56:AO56" si="72">AN55-((AN60-AN61)*AN59/AN54)</f>
        <v>-0.30594458533871061</v>
      </c>
      <c r="AO56" s="428">
        <f t="shared" si="72"/>
        <v>-0.27043088066092652</v>
      </c>
      <c r="AP56" s="482"/>
      <c r="AQ56" s="1350"/>
    </row>
    <row r="57" spans="1:43" s="1038" customFormat="1" ht="12.75" hidden="1" customHeight="1" outlineLevel="1">
      <c r="A57" s="2" t="s">
        <v>72</v>
      </c>
      <c r="B57" s="4">
        <v>1285</v>
      </c>
      <c r="C57" s="4">
        <v>1459</v>
      </c>
      <c r="D57" s="4">
        <v>1698</v>
      </c>
      <c r="E57" s="4">
        <v>1939</v>
      </c>
      <c r="F57" s="4">
        <v>2170</v>
      </c>
      <c r="G57" s="4">
        <v>2533</v>
      </c>
      <c r="H57" s="4">
        <v>1214</v>
      </c>
      <c r="I57" s="107">
        <v>627</v>
      </c>
      <c r="J57" s="107">
        <f t="shared" ref="J57:Q57" si="73">I57*(1+J58)</f>
        <v>438.9</v>
      </c>
      <c r="K57" s="107">
        <f t="shared" si="73"/>
        <v>351.12</v>
      </c>
      <c r="L57" s="107">
        <f t="shared" si="73"/>
        <v>280.89600000000002</v>
      </c>
      <c r="M57" s="107">
        <f t="shared" si="73"/>
        <v>224.71680000000003</v>
      </c>
      <c r="N57" s="107">
        <f t="shared" si="73"/>
        <v>202.24512000000004</v>
      </c>
      <c r="O57" s="107">
        <f t="shared" si="73"/>
        <v>182.02060800000004</v>
      </c>
      <c r="P57" s="107">
        <f t="shared" si="73"/>
        <v>163.81854720000004</v>
      </c>
      <c r="Q57" s="107">
        <f t="shared" si="73"/>
        <v>147.43669248000003</v>
      </c>
      <c r="R57" s="1019">
        <f>(N57/J57)^(1/($N$1-$J$1))-1</f>
        <v>-0.17609314243715291</v>
      </c>
      <c r="S57" s="10"/>
      <c r="T57" s="10"/>
      <c r="U57" s="10"/>
      <c r="V57" s="10"/>
      <c r="W57" s="4">
        <v>420</v>
      </c>
      <c r="X57" s="4">
        <v>541</v>
      </c>
      <c r="Y57" s="4">
        <v>585</v>
      </c>
      <c r="Z57" s="4">
        <v>624</v>
      </c>
      <c r="AA57" s="157">
        <v>534</v>
      </c>
      <c r="AB57" s="4">
        <v>657</v>
      </c>
      <c r="AC57" s="4">
        <v>665</v>
      </c>
      <c r="AD57" s="107">
        <f>G57-AC57-AB57-AA57</f>
        <v>677</v>
      </c>
      <c r="AE57" s="157">
        <v>319</v>
      </c>
      <c r="AF57" s="4">
        <v>340</v>
      </c>
      <c r="AG57" s="4">
        <v>298</v>
      </c>
      <c r="AH57" s="107">
        <f>H57-AE57-AF57-AG57</f>
        <v>257</v>
      </c>
      <c r="AI57" s="157">
        <v>179</v>
      </c>
      <c r="AJ57" s="4">
        <v>178</v>
      </c>
      <c r="AK57" s="107">
        <v>141</v>
      </c>
      <c r="AL57" s="481">
        <f>I57-AI57-AJ57-AK57</f>
        <v>129</v>
      </c>
      <c r="AM57" s="157">
        <v>110</v>
      </c>
      <c r="AN57" s="396">
        <f t="shared" ref="AN57:AO57" si="74">AJ57*(1+AN58)</f>
        <v>115.7</v>
      </c>
      <c r="AO57" s="396">
        <f t="shared" si="74"/>
        <v>105.75</v>
      </c>
      <c r="AP57" s="481">
        <f>J57-AM57-AN57-AO57</f>
        <v>107.44999999999999</v>
      </c>
      <c r="AQ57" s="1350"/>
    </row>
    <row r="58" spans="1:43" s="1038" customFormat="1" ht="9.75" hidden="1" customHeight="1" outlineLevel="1">
      <c r="A58" s="2" t="s">
        <v>14</v>
      </c>
      <c r="B58" s="10"/>
      <c r="C58" s="10">
        <f t="shared" ref="C58:I58" si="75">C57/B57-1</f>
        <v>0.13540856031128401</v>
      </c>
      <c r="D58" s="10">
        <f t="shared" si="75"/>
        <v>0.163810829335161</v>
      </c>
      <c r="E58" s="10">
        <f t="shared" si="75"/>
        <v>0.14193168433451109</v>
      </c>
      <c r="F58" s="10">
        <f t="shared" si="75"/>
        <v>0.11913357400722013</v>
      </c>
      <c r="G58" s="10">
        <f t="shared" si="75"/>
        <v>0.1672811059907835</v>
      </c>
      <c r="H58" s="10">
        <f t="shared" si="75"/>
        <v>-0.52072641136991704</v>
      </c>
      <c r="I58" s="10">
        <f t="shared" si="75"/>
        <v>-0.4835255354200988</v>
      </c>
      <c r="J58" s="50">
        <v>-0.3</v>
      </c>
      <c r="K58" s="50">
        <v>-0.2</v>
      </c>
      <c r="L58" s="50">
        <v>-0.2</v>
      </c>
      <c r="M58" s="50">
        <v>-0.2</v>
      </c>
      <c r="N58" s="50">
        <v>-0.1</v>
      </c>
      <c r="O58" s="50">
        <v>-0.1</v>
      </c>
      <c r="P58" s="50">
        <v>-0.1</v>
      </c>
      <c r="Q58" s="50">
        <v>-0.1</v>
      </c>
      <c r="R58" s="1019"/>
      <c r="S58" s="10"/>
      <c r="T58" s="10"/>
      <c r="U58" s="10"/>
      <c r="V58" s="10"/>
      <c r="W58" s="10">
        <v>3.9603960396039639E-2</v>
      </c>
      <c r="X58" s="10">
        <v>6.7061143984220806E-2</v>
      </c>
      <c r="Y58" s="10">
        <v>0.23940677966101687</v>
      </c>
      <c r="Z58" s="10">
        <v>0.1223021582733812</v>
      </c>
      <c r="AA58" s="163">
        <f t="shared" ref="AA58:AG58" si="76">AA57/W57-1</f>
        <v>0.27142857142857135</v>
      </c>
      <c r="AB58" s="10">
        <f t="shared" si="76"/>
        <v>0.21441774491682075</v>
      </c>
      <c r="AC58" s="10">
        <f t="shared" si="76"/>
        <v>0.13675213675213671</v>
      </c>
      <c r="AD58" s="10">
        <f t="shared" si="76"/>
        <v>8.4935897435897356E-2</v>
      </c>
      <c r="AE58" s="163">
        <f t="shared" si="76"/>
        <v>-0.40262172284644193</v>
      </c>
      <c r="AF58" s="10">
        <f t="shared" si="76"/>
        <v>-0.48249619482496198</v>
      </c>
      <c r="AG58" s="10">
        <f t="shared" si="76"/>
        <v>-0.5518796992481203</v>
      </c>
      <c r="AH58" s="10">
        <f t="shared" ref="AH58:AM58" si="77">AH57/AD57-1</f>
        <v>-0.62038404726735596</v>
      </c>
      <c r="AI58" s="163">
        <f t="shared" si="77"/>
        <v>-0.43887147335423193</v>
      </c>
      <c r="AJ58" s="428">
        <f t="shared" si="77"/>
        <v>-0.47647058823529409</v>
      </c>
      <c r="AK58" s="428">
        <f t="shared" si="77"/>
        <v>-0.52684563758389258</v>
      </c>
      <c r="AL58" s="482">
        <f t="shared" si="77"/>
        <v>-0.49805447470817121</v>
      </c>
      <c r="AM58" s="163">
        <f t="shared" si="77"/>
        <v>-0.38547486033519551</v>
      </c>
      <c r="AN58" s="539">
        <v>-0.35</v>
      </c>
      <c r="AO58" s="539">
        <v>-0.25</v>
      </c>
      <c r="AP58" s="482">
        <f>AP57/AL57-1</f>
        <v>-0.16705426356589159</v>
      </c>
      <c r="AQ58" s="1350"/>
    </row>
    <row r="59" spans="1:43" s="1038" customFormat="1" ht="12.75" hidden="1" customHeight="1" outlineLevel="1">
      <c r="A59" s="2" t="s">
        <v>73</v>
      </c>
      <c r="B59" s="4">
        <v>2980</v>
      </c>
      <c r="C59" s="4">
        <v>3200</v>
      </c>
      <c r="D59" s="4">
        <v>2977</v>
      </c>
      <c r="E59" s="4">
        <v>2754</v>
      </c>
      <c r="F59" s="4">
        <v>2576</v>
      </c>
      <c r="G59" s="4">
        <v>2125</v>
      </c>
      <c r="H59" s="4">
        <v>2109</v>
      </c>
      <c r="I59" s="107">
        <v>1316</v>
      </c>
      <c r="J59" s="107">
        <f t="shared" ref="J59:Q59" si="78">I59*(1+J61)*(1+J$32)</f>
        <v>959.5362749215202</v>
      </c>
      <c r="K59" s="107">
        <f t="shared" si="78"/>
        <v>767.62901993721619</v>
      </c>
      <c r="L59" s="107">
        <f t="shared" si="78"/>
        <v>652.48466694663375</v>
      </c>
      <c r="M59" s="107">
        <f t="shared" si="78"/>
        <v>554.61196690463862</v>
      </c>
      <c r="N59" s="107">
        <f t="shared" si="78"/>
        <v>499.15077021417477</v>
      </c>
      <c r="O59" s="107">
        <f t="shared" si="78"/>
        <v>449.23569319275731</v>
      </c>
      <c r="P59" s="107">
        <f t="shared" si="78"/>
        <v>404.3121238734816</v>
      </c>
      <c r="Q59" s="107">
        <f t="shared" si="78"/>
        <v>363.88091148613347</v>
      </c>
      <c r="R59" s="1019">
        <f>(N59/J59)^(1/($N$1-$J$1))-1</f>
        <v>-0.15073625014941416</v>
      </c>
      <c r="S59" s="10"/>
      <c r="T59" s="10"/>
      <c r="U59" s="10"/>
      <c r="V59" s="10"/>
      <c r="W59" s="4">
        <v>677</v>
      </c>
      <c r="X59" s="4">
        <v>658</v>
      </c>
      <c r="Y59" s="4">
        <v>628</v>
      </c>
      <c r="Z59" s="4">
        <v>613</v>
      </c>
      <c r="AA59" s="157">
        <v>536</v>
      </c>
      <c r="AB59" s="4">
        <v>527</v>
      </c>
      <c r="AC59" s="4">
        <v>520</v>
      </c>
      <c r="AD59" s="107">
        <f>G59-AC59-AB59-AA59</f>
        <v>542</v>
      </c>
      <c r="AE59" s="157">
        <v>515</v>
      </c>
      <c r="AF59" s="4">
        <v>551</v>
      </c>
      <c r="AG59" s="4">
        <v>536</v>
      </c>
      <c r="AH59" s="107">
        <f>H59-AE59-AF59-AG59</f>
        <v>507</v>
      </c>
      <c r="AI59" s="157">
        <v>365</v>
      </c>
      <c r="AJ59" s="4">
        <v>328</v>
      </c>
      <c r="AK59" s="107">
        <v>304</v>
      </c>
      <c r="AL59" s="481">
        <f>I59-AI59-AJ59-AK59</f>
        <v>319</v>
      </c>
      <c r="AM59" s="157">
        <v>282</v>
      </c>
      <c r="AN59" s="396">
        <f>AJ59*(1+AN61)*(1+AN$32)</f>
        <v>248.77147945477404</v>
      </c>
      <c r="AO59" s="396">
        <f>AK59*(1+AO61)*(1+AO$32)</f>
        <v>224.26891837463671</v>
      </c>
      <c r="AP59" s="481">
        <f>J59-AM59-AN59-AO59</f>
        <v>204.49587709210942</v>
      </c>
      <c r="AQ59" s="1350"/>
    </row>
    <row r="60" spans="1:43" s="1038" customFormat="1" ht="9.75" hidden="1" customHeight="1" outlineLevel="1">
      <c r="A60" s="2" t="s">
        <v>14</v>
      </c>
      <c r="B60" s="10"/>
      <c r="C60" s="10">
        <f>C59/B59-1</f>
        <v>7.3825503355704702E-2</v>
      </c>
      <c r="D60" s="10">
        <f>D59/C59-1</f>
        <v>-6.9687500000000013E-2</v>
      </c>
      <c r="E60" s="10">
        <f>E59/D59-1</f>
        <v>-7.4907625125965716E-2</v>
      </c>
      <c r="F60" s="10">
        <f>F59/E59-1</f>
        <v>-6.4633260711692064E-2</v>
      </c>
      <c r="G60" s="10">
        <f t="shared" ref="G60:Q60" si="79">G59/F59-1</f>
        <v>-0.17507763975155277</v>
      </c>
      <c r="H60" s="10">
        <f t="shared" si="79"/>
        <v>-7.5294117647058956E-3</v>
      </c>
      <c r="I60" s="10">
        <f t="shared" si="79"/>
        <v>-0.37600758653390232</v>
      </c>
      <c r="J60" s="10">
        <f t="shared" si="79"/>
        <v>-0.27086909200492382</v>
      </c>
      <c r="K60" s="10">
        <f t="shared" si="79"/>
        <v>-0.19999999999999996</v>
      </c>
      <c r="L60" s="10">
        <f t="shared" si="79"/>
        <v>-0.15000000000000002</v>
      </c>
      <c r="M60" s="10">
        <f t="shared" si="79"/>
        <v>-0.15000000000000013</v>
      </c>
      <c r="N60" s="10">
        <f t="shared" si="79"/>
        <v>-9.9999999999999978E-2</v>
      </c>
      <c r="O60" s="10">
        <f t="shared" si="79"/>
        <v>-9.9999999999999978E-2</v>
      </c>
      <c r="P60" s="10">
        <f t="shared" si="79"/>
        <v>-9.9999999999999978E-2</v>
      </c>
      <c r="Q60" s="10">
        <f t="shared" si="79"/>
        <v>-9.9999999999999867E-2</v>
      </c>
      <c r="R60" s="1019"/>
      <c r="S60" s="10"/>
      <c r="T60" s="10"/>
      <c r="U60" s="10"/>
      <c r="V60" s="10"/>
      <c r="W60" s="10">
        <v>-8.3897158322056797E-2</v>
      </c>
      <c r="X60" s="10">
        <v>-3.6603221083455373E-2</v>
      </c>
      <c r="Y60" s="10">
        <v>-4.9924357034795808E-2</v>
      </c>
      <c r="Z60" s="10">
        <v>-8.6438152011922509E-2</v>
      </c>
      <c r="AA60" s="163">
        <f t="shared" ref="AA60:AH60" si="80">AA59/W59-1</f>
        <v>-0.2082717872968981</v>
      </c>
      <c r="AB60" s="10">
        <f t="shared" si="80"/>
        <v>-0.19908814589665658</v>
      </c>
      <c r="AC60" s="10">
        <f t="shared" si="80"/>
        <v>-0.17197452229299359</v>
      </c>
      <c r="AD60" s="10">
        <f t="shared" si="80"/>
        <v>-0.11582381729200653</v>
      </c>
      <c r="AE60" s="163">
        <f t="shared" si="80"/>
        <v>-3.917910447761197E-2</v>
      </c>
      <c r="AF60" s="10">
        <f t="shared" si="80"/>
        <v>4.5540796963946972E-2</v>
      </c>
      <c r="AG60" s="10">
        <f t="shared" si="80"/>
        <v>3.076923076923066E-2</v>
      </c>
      <c r="AH60" s="10">
        <f t="shared" si="80"/>
        <v>-6.4575645756457578E-2</v>
      </c>
      <c r="AI60" s="163">
        <f>AI59/AE59-1</f>
        <v>-0.29126213592233008</v>
      </c>
      <c r="AJ60" s="10">
        <f>AJ59/AF59-1</f>
        <v>-0.40471869328493648</v>
      </c>
      <c r="AK60" s="10">
        <f>AK59/AG59-1</f>
        <v>-0.43283582089552242</v>
      </c>
      <c r="AL60" s="482">
        <f>AL59/AH59-1</f>
        <v>-0.3708086785009862</v>
      </c>
      <c r="AM60" s="163">
        <f t="shared" ref="AM60" si="81">AM59/AI59-1</f>
        <v>-0.22739726027397256</v>
      </c>
      <c r="AN60" s="428">
        <f t="shared" ref="AN60" si="82">AN59/AJ59-1</f>
        <v>-0.24155036751593284</v>
      </c>
      <c r="AO60" s="428">
        <f t="shared" ref="AO60" si="83">AO59/AK59-1</f>
        <v>-0.26227329482027395</v>
      </c>
      <c r="AP60" s="482">
        <f>AP59/AL59-1</f>
        <v>-0.35894709375514289</v>
      </c>
      <c r="AQ60" s="1350"/>
    </row>
    <row r="61" spans="1:43" s="1038" customFormat="1" ht="9.75" hidden="1" customHeight="1" outlineLevel="1">
      <c r="A61" s="2" t="s">
        <v>15</v>
      </c>
      <c r="B61" s="10"/>
      <c r="C61" s="10">
        <v>0.02</v>
      </c>
      <c r="D61" s="10">
        <v>-0.02</v>
      </c>
      <c r="E61" s="10">
        <v>-0.06</v>
      </c>
      <c r="F61" s="10">
        <v>-0.05</v>
      </c>
      <c r="G61" s="10">
        <v>-0.05</v>
      </c>
      <c r="H61" s="10">
        <v>0.01</v>
      </c>
      <c r="I61" s="10">
        <v>-0.41</v>
      </c>
      <c r="J61" s="50">
        <v>-0.3</v>
      </c>
      <c r="K61" s="50">
        <v>-0.2</v>
      </c>
      <c r="L61" s="50">
        <v>-0.15</v>
      </c>
      <c r="M61" s="50">
        <v>-0.15</v>
      </c>
      <c r="N61" s="50">
        <v>-0.1</v>
      </c>
      <c r="O61" s="50">
        <v>-0.1</v>
      </c>
      <c r="P61" s="50">
        <v>-0.1</v>
      </c>
      <c r="Q61" s="50">
        <v>-0.1</v>
      </c>
      <c r="R61" s="1019"/>
      <c r="S61" s="10"/>
      <c r="T61" s="10"/>
      <c r="U61" s="10"/>
      <c r="V61" s="10"/>
      <c r="W61" s="10">
        <v>-0.08</v>
      </c>
      <c r="X61" s="10">
        <v>-0.05</v>
      </c>
      <c r="Y61" s="10">
        <v>-0.04</v>
      </c>
      <c r="Z61" s="10">
        <v>0.01</v>
      </c>
      <c r="AA61" s="163">
        <v>-0.09</v>
      </c>
      <c r="AB61" s="10">
        <v>-0.06</v>
      </c>
      <c r="AC61" s="10">
        <v>-0.04</v>
      </c>
      <c r="AD61" s="10">
        <v>-0.01</v>
      </c>
      <c r="AE61" s="163">
        <v>0.01</v>
      </c>
      <c r="AF61" s="10">
        <v>0.05</v>
      </c>
      <c r="AG61" s="10">
        <v>0.03</v>
      </c>
      <c r="AH61" s="10">
        <v>-0.04</v>
      </c>
      <c r="AI61" s="163">
        <v>-0.27</v>
      </c>
      <c r="AJ61" s="10">
        <v>-0.39</v>
      </c>
      <c r="AK61" s="10">
        <v>-0.43</v>
      </c>
      <c r="AL61" s="482">
        <v>-0.39</v>
      </c>
      <c r="AM61" s="163">
        <v>-0.28000000000000003</v>
      </c>
      <c r="AN61" s="539">
        <v>-0.28000000000000003</v>
      </c>
      <c r="AO61" s="539">
        <v>-0.28000000000000003</v>
      </c>
      <c r="AP61" s="482"/>
      <c r="AQ61" s="1350"/>
    </row>
    <row r="62" spans="1:43" ht="12.75" customHeight="1" collapsed="1">
      <c r="A62" s="1036" t="s">
        <v>19</v>
      </c>
      <c r="B62" s="4">
        <v>399</v>
      </c>
      <c r="C62" s="4">
        <f t="shared" ref="C62:Q62" si="84">+C65+C67</f>
        <v>716</v>
      </c>
      <c r="D62" s="4">
        <f t="shared" si="84"/>
        <v>998</v>
      </c>
      <c r="E62" s="4">
        <f t="shared" si="84"/>
        <v>1266</v>
      </c>
      <c r="F62" s="4">
        <f t="shared" si="84"/>
        <v>1529</v>
      </c>
      <c r="G62" s="4">
        <f t="shared" si="84"/>
        <v>1632</v>
      </c>
      <c r="H62" s="4">
        <f t="shared" si="84"/>
        <v>1739</v>
      </c>
      <c r="I62" s="107">
        <f t="shared" si="84"/>
        <v>1841</v>
      </c>
      <c r="J62" s="107">
        <f t="shared" si="84"/>
        <v>1996.94000587357</v>
      </c>
      <c r="K62" s="107">
        <f t="shared" si="84"/>
        <v>2056.8482060497772</v>
      </c>
      <c r="L62" s="107">
        <f t="shared" si="84"/>
        <v>2118.5536522312705</v>
      </c>
      <c r="M62" s="107">
        <f t="shared" si="84"/>
        <v>2182.1102617982087</v>
      </c>
      <c r="N62" s="107">
        <f t="shared" si="84"/>
        <v>2247.5735696521551</v>
      </c>
      <c r="O62" s="135">
        <f t="shared" si="84"/>
        <v>833.87822554627746</v>
      </c>
      <c r="P62" s="107">
        <f t="shared" si="84"/>
        <v>397.61187548781874</v>
      </c>
      <c r="Q62" s="107">
        <f t="shared" si="84"/>
        <v>198.80593774390937</v>
      </c>
      <c r="R62" s="402">
        <f>(N62/J62)^(1/($N$1-$J$1))-1</f>
        <v>3.0000000000000027E-2</v>
      </c>
      <c r="S62" s="1026"/>
      <c r="T62" s="1026"/>
      <c r="U62" s="1026"/>
      <c r="W62" s="4">
        <f t="shared" ref="W62:AD62" si="85">+W65+W67</f>
        <v>337</v>
      </c>
      <c r="X62" s="4">
        <f t="shared" si="85"/>
        <v>373</v>
      </c>
      <c r="Y62" s="4">
        <f t="shared" si="85"/>
        <v>391</v>
      </c>
      <c r="Z62" s="4">
        <f t="shared" si="85"/>
        <v>428</v>
      </c>
      <c r="AA62" s="157">
        <f t="shared" si="85"/>
        <v>372</v>
      </c>
      <c r="AB62" s="4">
        <f t="shared" si="85"/>
        <v>412</v>
      </c>
      <c r="AC62" s="4">
        <f t="shared" si="85"/>
        <v>416</v>
      </c>
      <c r="AD62" s="107">
        <f t="shared" si="85"/>
        <v>432</v>
      </c>
      <c r="AE62" s="157">
        <f t="shared" ref="AE62:AP62" si="86">+AE65+AE67</f>
        <v>382</v>
      </c>
      <c r="AF62" s="4">
        <f t="shared" si="86"/>
        <v>458</v>
      </c>
      <c r="AG62" s="4">
        <f t="shared" si="86"/>
        <v>441</v>
      </c>
      <c r="AH62" s="107">
        <f t="shared" si="86"/>
        <v>458</v>
      </c>
      <c r="AI62" s="157">
        <f t="shared" si="86"/>
        <v>411</v>
      </c>
      <c r="AJ62" s="4">
        <f t="shared" si="86"/>
        <v>463</v>
      </c>
      <c r="AK62" s="107">
        <f t="shared" si="86"/>
        <v>482</v>
      </c>
      <c r="AL62" s="481">
        <f t="shared" si="86"/>
        <v>485</v>
      </c>
      <c r="AM62" s="157">
        <f t="shared" si="86"/>
        <v>466</v>
      </c>
      <c r="AN62" s="396">
        <f t="shared" si="86"/>
        <v>505.27123926510626</v>
      </c>
      <c r="AO62" s="396">
        <f t="shared" si="86"/>
        <v>517.96636530894114</v>
      </c>
      <c r="AP62" s="481">
        <f t="shared" si="86"/>
        <v>507.70240129952288</v>
      </c>
      <c r="AQ62" s="1350"/>
    </row>
    <row r="63" spans="1:43" s="1038" customFormat="1" ht="9.75" hidden="1" customHeight="1" outlineLevel="1">
      <c r="A63" s="1037" t="s">
        <v>14</v>
      </c>
      <c r="B63" s="10"/>
      <c r="C63" s="10">
        <f t="shared" ref="C63:Q63" si="87">C62/B62-1</f>
        <v>0.79448621553884702</v>
      </c>
      <c r="D63" s="10">
        <f t="shared" si="87"/>
        <v>0.3938547486033519</v>
      </c>
      <c r="E63" s="10">
        <f t="shared" si="87"/>
        <v>0.26853707414829664</v>
      </c>
      <c r="F63" s="10">
        <f t="shared" si="87"/>
        <v>0.20774091627172186</v>
      </c>
      <c r="G63" s="10">
        <f t="shared" si="87"/>
        <v>6.7364290385873105E-2</v>
      </c>
      <c r="H63" s="10">
        <f t="shared" si="87"/>
        <v>6.5563725490196179E-2</v>
      </c>
      <c r="I63" s="10">
        <f t="shared" si="87"/>
        <v>5.8654399079931085E-2</v>
      </c>
      <c r="J63" s="10">
        <f t="shared" si="87"/>
        <v>8.4703968426708354E-2</v>
      </c>
      <c r="K63" s="10">
        <f t="shared" si="87"/>
        <v>3.0000000000000027E-2</v>
      </c>
      <c r="L63" s="10">
        <f t="shared" si="87"/>
        <v>3.0000000000000027E-2</v>
      </c>
      <c r="M63" s="10">
        <f t="shared" si="87"/>
        <v>3.0000000000000027E-2</v>
      </c>
      <c r="N63" s="10">
        <f t="shared" si="87"/>
        <v>3.0000000000000027E-2</v>
      </c>
      <c r="O63" s="10">
        <f t="shared" si="87"/>
        <v>-0.62898735026710062</v>
      </c>
      <c r="P63" s="10">
        <f t="shared" si="87"/>
        <v>-0.52317752963588737</v>
      </c>
      <c r="Q63" s="10">
        <f t="shared" si="87"/>
        <v>-0.5</v>
      </c>
      <c r="R63" s="1019"/>
      <c r="S63" s="10"/>
      <c r="T63" s="10"/>
      <c r="U63" s="10"/>
      <c r="V63" s="10"/>
      <c r="W63" s="10">
        <v>0.18661971830985924</v>
      </c>
      <c r="X63" s="10">
        <v>0.18412698412698414</v>
      </c>
      <c r="Y63" s="10">
        <v>0.2412698412698413</v>
      </c>
      <c r="Z63" s="10">
        <v>0.21590909090909083</v>
      </c>
      <c r="AA63" s="163">
        <f t="shared" ref="AA63:AH63" si="88">AA62/W62-1</f>
        <v>0.10385756676557856</v>
      </c>
      <c r="AB63" s="10">
        <f t="shared" si="88"/>
        <v>0.10455764075067031</v>
      </c>
      <c r="AC63" s="10">
        <f t="shared" si="88"/>
        <v>6.3938618925831303E-2</v>
      </c>
      <c r="AD63" s="10">
        <f t="shared" si="88"/>
        <v>9.3457943925232545E-3</v>
      </c>
      <c r="AE63" s="163">
        <f t="shared" si="88"/>
        <v>2.6881720430107503E-2</v>
      </c>
      <c r="AF63" s="10">
        <f t="shared" si="88"/>
        <v>0.11165048543689315</v>
      </c>
      <c r="AG63" s="10">
        <f t="shared" si="88"/>
        <v>6.0096153846153744E-2</v>
      </c>
      <c r="AH63" s="10">
        <f t="shared" si="88"/>
        <v>6.0185185185185119E-2</v>
      </c>
      <c r="AI63" s="163">
        <f>AI62/AE62-1</f>
        <v>7.5916230366492199E-2</v>
      </c>
      <c r="AJ63" s="10">
        <f>AJ62/AF62-1</f>
        <v>1.0917030567685559E-2</v>
      </c>
      <c r="AK63" s="10">
        <f>AK62/AG62-1</f>
        <v>9.2970521541950069E-2</v>
      </c>
      <c r="AL63" s="482">
        <f>AL62/AH62-1</f>
        <v>5.8951965065502154E-2</v>
      </c>
      <c r="AM63" s="163">
        <f t="shared" ref="AM63:AP63" si="89">AM62/AI62-1</f>
        <v>0.13381995133819946</v>
      </c>
      <c r="AN63" s="428">
        <f t="shared" si="89"/>
        <v>9.129857292679544E-2</v>
      </c>
      <c r="AO63" s="428">
        <f t="shared" si="89"/>
        <v>7.4619015163778224E-2</v>
      </c>
      <c r="AP63" s="482">
        <f t="shared" si="89"/>
        <v>4.6809074844377019E-2</v>
      </c>
      <c r="AQ63" s="1350"/>
    </row>
    <row r="64" spans="1:43" s="1038" customFormat="1" ht="9.75" hidden="1" customHeight="1" outlineLevel="1">
      <c r="A64" s="1037" t="s">
        <v>15</v>
      </c>
      <c r="B64" s="10"/>
      <c r="C64" s="10"/>
      <c r="D64" s="10"/>
      <c r="E64" s="10"/>
      <c r="F64" s="10"/>
      <c r="G64" s="10">
        <v>0.16</v>
      </c>
      <c r="H64" s="10">
        <v>0.1</v>
      </c>
      <c r="I64" s="10">
        <v>0.09</v>
      </c>
      <c r="J64" s="10">
        <f t="shared" ref="J64:Q64" si="90">J63-((J68-J69)*J67/J62)</f>
        <v>5.9557973230112637E-2</v>
      </c>
      <c r="K64" s="10">
        <f t="shared" si="90"/>
        <v>3.0000000000000009E-2</v>
      </c>
      <c r="L64" s="10">
        <f t="shared" si="90"/>
        <v>3.0000000000000009E-2</v>
      </c>
      <c r="M64" s="10">
        <f t="shared" si="90"/>
        <v>3.0000000000000009E-2</v>
      </c>
      <c r="N64" s="10">
        <f t="shared" si="90"/>
        <v>3.0000000000000009E-2</v>
      </c>
      <c r="O64" s="10">
        <f t="shared" si="90"/>
        <v>-0.62898735026710062</v>
      </c>
      <c r="P64" s="10">
        <f t="shared" si="90"/>
        <v>-0.52317752963588737</v>
      </c>
      <c r="Q64" s="10">
        <f t="shared" si="90"/>
        <v>-0.5</v>
      </c>
      <c r="R64" s="1019"/>
      <c r="S64" s="10"/>
      <c r="T64" s="10"/>
      <c r="U64" s="10"/>
      <c r="V64" s="10"/>
      <c r="W64" s="10">
        <v>0.21</v>
      </c>
      <c r="X64" s="10">
        <v>0.18</v>
      </c>
      <c r="Y64" s="10">
        <v>0.25</v>
      </c>
      <c r="Z64" s="10">
        <v>0.3</v>
      </c>
      <c r="AA64" s="163">
        <v>0.2</v>
      </c>
      <c r="AB64" s="10">
        <v>0.21</v>
      </c>
      <c r="AC64" s="10">
        <v>0.16</v>
      </c>
      <c r="AD64" s="10">
        <v>0.08</v>
      </c>
      <c r="AE64" s="163">
        <v>0.06</v>
      </c>
      <c r="AF64" s="10">
        <v>0.15</v>
      </c>
      <c r="AG64" s="10">
        <v>0.08</v>
      </c>
      <c r="AH64" s="10">
        <v>0.09</v>
      </c>
      <c r="AI64" s="163">
        <v>0.09</v>
      </c>
      <c r="AJ64" s="10">
        <v>7.0000000000000007E-2</v>
      </c>
      <c r="AK64" s="10">
        <v>0.12</v>
      </c>
      <c r="AL64" s="482">
        <v>0.06</v>
      </c>
      <c r="AM64" s="163">
        <v>0.08</v>
      </c>
      <c r="AN64" s="428">
        <f t="shared" ref="AN64:AO64" si="91">AN63-((AN68-AN69)*AN67/AN62)</f>
        <v>5.9274168411204933E-2</v>
      </c>
      <c r="AO64" s="428">
        <f t="shared" si="91"/>
        <v>5.9843845749965811E-2</v>
      </c>
      <c r="AP64" s="482"/>
      <c r="AQ64" s="1350"/>
    </row>
    <row r="65" spans="1:43" s="1038" customFormat="1" ht="12.75" hidden="1" customHeight="1" outlineLevel="1">
      <c r="A65" s="2" t="s">
        <v>72</v>
      </c>
      <c r="B65" s="4"/>
      <c r="C65" s="4">
        <v>255</v>
      </c>
      <c r="D65" s="4">
        <v>351</v>
      </c>
      <c r="E65" s="4">
        <v>428</v>
      </c>
      <c r="F65" s="4">
        <v>540</v>
      </c>
      <c r="G65" s="4">
        <v>661</v>
      </c>
      <c r="H65" s="4">
        <v>722</v>
      </c>
      <c r="I65" s="107">
        <v>810</v>
      </c>
      <c r="J65" s="107">
        <f t="shared" ref="J65:Q65" si="92">I65+I65*J66</f>
        <v>858.6</v>
      </c>
      <c r="K65" s="107">
        <f t="shared" si="92"/>
        <v>884.35800000000006</v>
      </c>
      <c r="L65" s="107">
        <f t="shared" si="92"/>
        <v>910.8887400000001</v>
      </c>
      <c r="M65" s="107">
        <f t="shared" si="92"/>
        <v>938.21540220000009</v>
      </c>
      <c r="N65" s="107">
        <f t="shared" si="92"/>
        <v>966.36186426600011</v>
      </c>
      <c r="O65" s="135">
        <f t="shared" si="92"/>
        <v>193.27237285319995</v>
      </c>
      <c r="P65" s="107">
        <f t="shared" si="92"/>
        <v>77.308949141279982</v>
      </c>
      <c r="Q65" s="107">
        <f t="shared" si="92"/>
        <v>38.654474570639991</v>
      </c>
      <c r="R65" s="1019">
        <f>(N65/J65)^(1/($N$1-$J$1))-1</f>
        <v>3.0000000000000027E-2</v>
      </c>
      <c r="S65" s="10"/>
      <c r="T65" s="10"/>
      <c r="U65" s="10"/>
      <c r="V65" s="10"/>
      <c r="W65" s="4">
        <v>116</v>
      </c>
      <c r="X65" s="4">
        <v>131</v>
      </c>
      <c r="Y65" s="4">
        <v>141</v>
      </c>
      <c r="Z65" s="4">
        <v>152</v>
      </c>
      <c r="AA65" s="157">
        <v>143</v>
      </c>
      <c r="AB65" s="4">
        <v>169</v>
      </c>
      <c r="AC65" s="4">
        <v>184</v>
      </c>
      <c r="AD65" s="107">
        <f>G65-AC65-AB65-AA65</f>
        <v>165</v>
      </c>
      <c r="AE65" s="157">
        <v>164</v>
      </c>
      <c r="AF65" s="4">
        <v>185</v>
      </c>
      <c r="AG65" s="4">
        <v>182</v>
      </c>
      <c r="AH65" s="107">
        <f>H65-AE65-AF65-AG65</f>
        <v>191</v>
      </c>
      <c r="AI65" s="157">
        <v>180</v>
      </c>
      <c r="AJ65" s="4">
        <v>207</v>
      </c>
      <c r="AK65" s="107">
        <v>212</v>
      </c>
      <c r="AL65" s="481">
        <f>I65-AI65-AJ65-AK65</f>
        <v>211</v>
      </c>
      <c r="AM65" s="157">
        <v>198</v>
      </c>
      <c r="AN65" s="396">
        <f t="shared" ref="AN65:AO65" si="93">AJ65+AJ65*AN66</f>
        <v>219.42</v>
      </c>
      <c r="AO65" s="396">
        <f t="shared" si="93"/>
        <v>224.72</v>
      </c>
      <c r="AP65" s="481">
        <f>J65-AM65-AN65-AO65</f>
        <v>216.46000000000006</v>
      </c>
      <c r="AQ65" s="1350"/>
    </row>
    <row r="66" spans="1:43" s="1038" customFormat="1" ht="9.75" hidden="1" customHeight="1" outlineLevel="1">
      <c r="A66" s="2" t="s">
        <v>14</v>
      </c>
      <c r="B66" s="10"/>
      <c r="C66" s="10"/>
      <c r="D66" s="10">
        <f t="shared" ref="D66:I66" si="94">D65/C65-1</f>
        <v>0.37647058823529411</v>
      </c>
      <c r="E66" s="10">
        <f t="shared" si="94"/>
        <v>0.21937321937321941</v>
      </c>
      <c r="F66" s="10">
        <f t="shared" si="94"/>
        <v>0.26168224299065423</v>
      </c>
      <c r="G66" s="10">
        <f t="shared" si="94"/>
        <v>0.22407407407407409</v>
      </c>
      <c r="H66" s="10">
        <f t="shared" si="94"/>
        <v>9.2284417549167941E-2</v>
      </c>
      <c r="I66" s="10">
        <f t="shared" si="94"/>
        <v>0.12188365650969524</v>
      </c>
      <c r="J66" s="50">
        <v>0.06</v>
      </c>
      <c r="K66" s="50">
        <v>0.03</v>
      </c>
      <c r="L66" s="50">
        <v>0.03</v>
      </c>
      <c r="M66" s="50">
        <v>0.03</v>
      </c>
      <c r="N66" s="50">
        <v>0.03</v>
      </c>
      <c r="O66" s="50">
        <v>-0.8</v>
      </c>
      <c r="P66" s="50">
        <v>-0.6</v>
      </c>
      <c r="Q66" s="50">
        <v>-0.5</v>
      </c>
      <c r="R66" s="1019"/>
      <c r="S66" s="10"/>
      <c r="T66" s="10"/>
      <c r="U66" s="10"/>
      <c r="V66" s="10"/>
      <c r="W66" s="10">
        <v>0.20833333333333326</v>
      </c>
      <c r="X66" s="10">
        <v>0.23584905660377364</v>
      </c>
      <c r="Y66" s="10">
        <v>0.27027027027027017</v>
      </c>
      <c r="Z66" s="10">
        <v>0.32173913043478253</v>
      </c>
      <c r="AA66" s="163">
        <f t="shared" ref="AA66:AG66" si="95">AA65/W65-1</f>
        <v>0.23275862068965525</v>
      </c>
      <c r="AB66" s="10">
        <f t="shared" si="95"/>
        <v>0.29007633587786263</v>
      </c>
      <c r="AC66" s="10">
        <f t="shared" si="95"/>
        <v>0.30496453900709231</v>
      </c>
      <c r="AD66" s="10">
        <f t="shared" si="95"/>
        <v>8.5526315789473673E-2</v>
      </c>
      <c r="AE66" s="163">
        <f t="shared" si="95"/>
        <v>0.14685314685314688</v>
      </c>
      <c r="AF66" s="10">
        <f t="shared" si="95"/>
        <v>9.4674556213017791E-2</v>
      </c>
      <c r="AG66" s="10">
        <f t="shared" si="95"/>
        <v>-1.0869565217391353E-2</v>
      </c>
      <c r="AH66" s="10">
        <f t="shared" ref="AH66:AM66" si="96">AH65/AD65-1</f>
        <v>0.15757575757575748</v>
      </c>
      <c r="AI66" s="163">
        <f t="shared" si="96"/>
        <v>9.7560975609756184E-2</v>
      </c>
      <c r="AJ66" s="428">
        <f t="shared" si="96"/>
        <v>0.11891891891891881</v>
      </c>
      <c r="AK66" s="428">
        <f t="shared" si="96"/>
        <v>0.16483516483516492</v>
      </c>
      <c r="AL66" s="482">
        <f t="shared" si="96"/>
        <v>0.10471204188481686</v>
      </c>
      <c r="AM66" s="163">
        <f t="shared" si="96"/>
        <v>0.10000000000000009</v>
      </c>
      <c r="AN66" s="539">
        <v>0.06</v>
      </c>
      <c r="AO66" s="539">
        <v>0.06</v>
      </c>
      <c r="AP66" s="482">
        <f>AP65/AL65-1</f>
        <v>2.5876777251185201E-2</v>
      </c>
      <c r="AQ66" s="1350"/>
    </row>
    <row r="67" spans="1:43" s="1038" customFormat="1" ht="12.75" hidden="1" customHeight="1" outlineLevel="1">
      <c r="A67" s="2" t="s">
        <v>73</v>
      </c>
      <c r="B67" s="4"/>
      <c r="C67" s="4">
        <v>461</v>
      </c>
      <c r="D67" s="4">
        <v>647</v>
      </c>
      <c r="E67" s="4">
        <v>838</v>
      </c>
      <c r="F67" s="4">
        <v>989</v>
      </c>
      <c r="G67" s="4">
        <v>971</v>
      </c>
      <c r="H67" s="4">
        <v>1017</v>
      </c>
      <c r="I67" s="107">
        <v>1031</v>
      </c>
      <c r="J67" s="107">
        <f t="shared" ref="J67:Q67" si="97">I67*(1+J69)*(1+J$32)</f>
        <v>1138.3400058735701</v>
      </c>
      <c r="K67" s="107">
        <f t="shared" si="97"/>
        <v>1172.4902060497773</v>
      </c>
      <c r="L67" s="107">
        <f t="shared" si="97"/>
        <v>1207.6649122312706</v>
      </c>
      <c r="M67" s="107">
        <f t="shared" si="97"/>
        <v>1243.8948595982088</v>
      </c>
      <c r="N67" s="107">
        <f t="shared" si="97"/>
        <v>1281.211705386155</v>
      </c>
      <c r="O67" s="135">
        <f t="shared" si="97"/>
        <v>640.60585269307751</v>
      </c>
      <c r="P67" s="107">
        <f t="shared" si="97"/>
        <v>320.30292634653875</v>
      </c>
      <c r="Q67" s="107">
        <f t="shared" si="97"/>
        <v>160.15146317326938</v>
      </c>
      <c r="R67" s="1019">
        <f>(N67/J67)^(1/($N$1-$J$1))-1</f>
        <v>3.0000000000000027E-2</v>
      </c>
      <c r="S67" s="10"/>
      <c r="T67" s="10"/>
      <c r="U67" s="10"/>
      <c r="V67" s="10"/>
      <c r="W67" s="4">
        <v>221</v>
      </c>
      <c r="X67" s="4">
        <v>242</v>
      </c>
      <c r="Y67" s="4">
        <v>250</v>
      </c>
      <c r="Z67" s="4">
        <v>276</v>
      </c>
      <c r="AA67" s="157">
        <v>229</v>
      </c>
      <c r="AB67" s="4">
        <v>243</v>
      </c>
      <c r="AC67" s="4">
        <v>232</v>
      </c>
      <c r="AD67" s="107">
        <f>G67-AC67-AB67-AA67</f>
        <v>267</v>
      </c>
      <c r="AE67" s="157">
        <v>218</v>
      </c>
      <c r="AF67" s="4">
        <v>273</v>
      </c>
      <c r="AG67" s="4">
        <v>259</v>
      </c>
      <c r="AH67" s="107">
        <f>H67-AE67-AF67-AG67</f>
        <v>267</v>
      </c>
      <c r="AI67" s="157">
        <v>231</v>
      </c>
      <c r="AJ67" s="4">
        <v>256</v>
      </c>
      <c r="AK67" s="107">
        <v>270</v>
      </c>
      <c r="AL67" s="481">
        <f>I67-AI67-AJ67-AK67</f>
        <v>274</v>
      </c>
      <c r="AM67" s="157">
        <v>268</v>
      </c>
      <c r="AN67" s="396">
        <f>AJ67*(1+AN69)*(1+AN$32)</f>
        <v>285.85123926510624</v>
      </c>
      <c r="AO67" s="396">
        <f>AK67*(1+AO69)*(1+AO$32)</f>
        <v>293.24636530894111</v>
      </c>
      <c r="AP67" s="481">
        <f>J67-AM67-AN67-AO67</f>
        <v>291.24240129952284</v>
      </c>
      <c r="AQ67" s="1350"/>
    </row>
    <row r="68" spans="1:43" s="1038" customFormat="1" ht="9.75" hidden="1" customHeight="1" outlineLevel="1">
      <c r="A68" s="2" t="s">
        <v>14</v>
      </c>
      <c r="B68" s="10"/>
      <c r="C68" s="10"/>
      <c r="D68" s="10">
        <f t="shared" ref="D68:Q68" si="98">D67/C67-1</f>
        <v>0.40347071583514094</v>
      </c>
      <c r="E68" s="10">
        <f t="shared" si="98"/>
        <v>0.295208655332303</v>
      </c>
      <c r="F68" s="10">
        <f t="shared" si="98"/>
        <v>0.18019093078758952</v>
      </c>
      <c r="G68" s="10">
        <f t="shared" si="98"/>
        <v>-1.8200202224469164E-2</v>
      </c>
      <c r="H68" s="10">
        <f t="shared" si="98"/>
        <v>4.7373841400617955E-2</v>
      </c>
      <c r="I68" s="10">
        <f t="shared" si="98"/>
        <v>1.3765978367748177E-2</v>
      </c>
      <c r="J68" s="10">
        <f t="shared" si="98"/>
        <v>0.10411251782111552</v>
      </c>
      <c r="K68" s="10">
        <f t="shared" si="98"/>
        <v>3.0000000000000027E-2</v>
      </c>
      <c r="L68" s="10">
        <f t="shared" si="98"/>
        <v>3.0000000000000027E-2</v>
      </c>
      <c r="M68" s="10">
        <f t="shared" si="98"/>
        <v>3.0000000000000027E-2</v>
      </c>
      <c r="N68" s="10">
        <f t="shared" si="98"/>
        <v>3.0000000000000027E-2</v>
      </c>
      <c r="O68" s="10">
        <f t="shared" si="98"/>
        <v>-0.5</v>
      </c>
      <c r="P68" s="10">
        <f t="shared" si="98"/>
        <v>-0.5</v>
      </c>
      <c r="Q68" s="10">
        <f t="shared" si="98"/>
        <v>-0.5</v>
      </c>
      <c r="R68" s="1019"/>
      <c r="S68" s="10"/>
      <c r="T68" s="10"/>
      <c r="U68" s="10"/>
      <c r="V68" s="10"/>
      <c r="W68" s="10">
        <v>0.17553191489361697</v>
      </c>
      <c r="X68" s="10">
        <v>0.15789473684210531</v>
      </c>
      <c r="Y68" s="10">
        <v>0.22549019607843146</v>
      </c>
      <c r="Z68" s="10">
        <v>0.16455696202531644</v>
      </c>
      <c r="AA68" s="163">
        <f t="shared" ref="AA68:AH68" si="99">AA67/W67-1</f>
        <v>3.6199095022624528E-2</v>
      </c>
      <c r="AB68" s="10">
        <f t="shared" si="99"/>
        <v>4.1322314049587749E-3</v>
      </c>
      <c r="AC68" s="10">
        <f t="shared" si="99"/>
        <v>-7.1999999999999953E-2</v>
      </c>
      <c r="AD68" s="10">
        <f t="shared" si="99"/>
        <v>-3.2608695652173947E-2</v>
      </c>
      <c r="AE68" s="163">
        <f t="shared" si="99"/>
        <v>-4.8034934497816595E-2</v>
      </c>
      <c r="AF68" s="10">
        <f t="shared" si="99"/>
        <v>0.12345679012345689</v>
      </c>
      <c r="AG68" s="10">
        <f t="shared" si="99"/>
        <v>0.11637931034482762</v>
      </c>
      <c r="AH68" s="10">
        <f t="shared" si="99"/>
        <v>0</v>
      </c>
      <c r="AI68" s="163">
        <f>AI67/AE67-1</f>
        <v>5.9633027522935755E-2</v>
      </c>
      <c r="AJ68" s="10">
        <f>AJ67/AF67-1</f>
        <v>-6.2271062271062272E-2</v>
      </c>
      <c r="AK68" s="10">
        <f>AK67/AG67-1</f>
        <v>4.2471042471042386E-2</v>
      </c>
      <c r="AL68" s="482">
        <f>AL67/AH67-1</f>
        <v>2.621722846441954E-2</v>
      </c>
      <c r="AM68" s="163">
        <f t="shared" ref="AM68" si="100">AM67/AI67-1</f>
        <v>0.16017316017316019</v>
      </c>
      <c r="AN68" s="428">
        <f t="shared" ref="AN68" si="101">AN67/AJ67-1</f>
        <v>0.11660640337932127</v>
      </c>
      <c r="AO68" s="428">
        <f t="shared" ref="AO68" si="102">AO67/AK67-1</f>
        <v>8.6097649292374401E-2</v>
      </c>
      <c r="AP68" s="482">
        <f>AP67/AL67-1</f>
        <v>6.2928471896068761E-2</v>
      </c>
      <c r="AQ68" s="1350"/>
    </row>
    <row r="69" spans="1:43" s="1038" customFormat="1" ht="9.75" hidden="1" customHeight="1" outlineLevel="1">
      <c r="A69" s="2" t="s">
        <v>15</v>
      </c>
      <c r="B69" s="10"/>
      <c r="C69" s="10">
        <v>0.66</v>
      </c>
      <c r="D69" s="10">
        <v>0.47</v>
      </c>
      <c r="E69" s="10">
        <v>0.36</v>
      </c>
      <c r="F69" s="10">
        <v>0.23</v>
      </c>
      <c r="G69" s="10">
        <v>0.12</v>
      </c>
      <c r="H69" s="10">
        <v>0.1</v>
      </c>
      <c r="I69" s="10">
        <v>0.06</v>
      </c>
      <c r="J69" s="50">
        <v>0.06</v>
      </c>
      <c r="K69" s="50">
        <v>0.03</v>
      </c>
      <c r="L69" s="50">
        <v>0.03</v>
      </c>
      <c r="M69" s="50">
        <v>0.03</v>
      </c>
      <c r="N69" s="50">
        <v>0.03</v>
      </c>
      <c r="O69" s="50">
        <v>-0.5</v>
      </c>
      <c r="P69" s="50">
        <v>-0.5</v>
      </c>
      <c r="Q69" s="50">
        <v>-0.5</v>
      </c>
      <c r="R69" s="1019"/>
      <c r="S69" s="10"/>
      <c r="T69" s="10"/>
      <c r="U69" s="10"/>
      <c r="V69" s="10"/>
      <c r="W69" s="10">
        <v>0.22</v>
      </c>
      <c r="X69" s="10">
        <v>0.14000000000000001</v>
      </c>
      <c r="Y69" s="10">
        <v>0.25</v>
      </c>
      <c r="Z69" s="10">
        <v>0.28999999999999998</v>
      </c>
      <c r="AA69" s="163">
        <v>0.18</v>
      </c>
      <c r="AB69" s="10">
        <v>0.17</v>
      </c>
      <c r="AC69" s="10">
        <v>0.08</v>
      </c>
      <c r="AD69" s="10">
        <v>0.08</v>
      </c>
      <c r="AE69" s="163">
        <v>0.01</v>
      </c>
      <c r="AF69" s="10">
        <v>0.19</v>
      </c>
      <c r="AG69" s="10">
        <v>0.14000000000000001</v>
      </c>
      <c r="AH69" s="10">
        <v>0.05</v>
      </c>
      <c r="AI69" s="163">
        <v>0.09</v>
      </c>
      <c r="AJ69" s="10">
        <v>0.04</v>
      </c>
      <c r="AK69" s="10">
        <v>0.09</v>
      </c>
      <c r="AL69" s="482">
        <v>0.02</v>
      </c>
      <c r="AM69" s="163">
        <v>0.06</v>
      </c>
      <c r="AN69" s="539">
        <v>0.06</v>
      </c>
      <c r="AO69" s="539">
        <v>0.06</v>
      </c>
      <c r="AP69" s="497"/>
      <c r="AQ69" s="1350"/>
    </row>
    <row r="70" spans="1:43" s="1040" customFormat="1" ht="12.75" customHeight="1" collapsed="1">
      <c r="A70" s="1039" t="s">
        <v>31</v>
      </c>
      <c r="B70" s="12">
        <f t="shared" ref="B70:Q70" si="103">B54+B62</f>
        <v>4664</v>
      </c>
      <c r="C70" s="12">
        <f t="shared" si="103"/>
        <v>5375</v>
      </c>
      <c r="D70" s="12">
        <f t="shared" si="103"/>
        <v>5673</v>
      </c>
      <c r="E70" s="12">
        <f t="shared" si="103"/>
        <v>5959</v>
      </c>
      <c r="F70" s="12">
        <f t="shared" si="103"/>
        <v>6275</v>
      </c>
      <c r="G70" s="12">
        <f t="shared" si="103"/>
        <v>6290</v>
      </c>
      <c r="H70" s="12">
        <f t="shared" si="103"/>
        <v>5062</v>
      </c>
      <c r="I70" s="139">
        <f t="shared" si="103"/>
        <v>3784</v>
      </c>
      <c r="J70" s="139">
        <f t="shared" si="103"/>
        <v>3395.3762807950902</v>
      </c>
      <c r="K70" s="139">
        <f t="shared" si="103"/>
        <v>3175.5972259869932</v>
      </c>
      <c r="L70" s="139">
        <f t="shared" si="103"/>
        <v>3051.9343191779044</v>
      </c>
      <c r="M70" s="139">
        <f t="shared" si="103"/>
        <v>2961.4390287028473</v>
      </c>
      <c r="N70" s="139">
        <f t="shared" si="103"/>
        <v>2948.96945986633</v>
      </c>
      <c r="O70" s="139">
        <f t="shared" si="103"/>
        <v>1465.1345267390348</v>
      </c>
      <c r="P70" s="139">
        <f t="shared" si="103"/>
        <v>965.74254656130029</v>
      </c>
      <c r="Q70" s="139">
        <f t="shared" si="103"/>
        <v>710.1235417100429</v>
      </c>
      <c r="R70" s="402">
        <f>(N70/J70)^(1/($N$1-$J$1))-1</f>
        <v>-3.4626015243303221E-2</v>
      </c>
      <c r="S70" s="1026"/>
      <c r="T70" s="1026"/>
      <c r="U70" s="1026"/>
      <c r="V70" s="12"/>
      <c r="W70" s="12">
        <f t="shared" ref="W70:AO70" si="104">W54+W62</f>
        <v>1434</v>
      </c>
      <c r="X70" s="12">
        <f t="shared" si="104"/>
        <v>1572</v>
      </c>
      <c r="Y70" s="12">
        <f t="shared" si="104"/>
        <v>1604</v>
      </c>
      <c r="Z70" s="12">
        <f t="shared" si="104"/>
        <v>1665</v>
      </c>
      <c r="AA70" s="164">
        <f t="shared" si="104"/>
        <v>1442</v>
      </c>
      <c r="AB70" s="12">
        <f t="shared" si="104"/>
        <v>1596</v>
      </c>
      <c r="AC70" s="12">
        <f t="shared" si="104"/>
        <v>1601</v>
      </c>
      <c r="AD70" s="139">
        <f t="shared" si="104"/>
        <v>1651</v>
      </c>
      <c r="AE70" s="164">
        <f t="shared" si="104"/>
        <v>1216</v>
      </c>
      <c r="AF70" s="12">
        <f t="shared" si="104"/>
        <v>1349</v>
      </c>
      <c r="AG70" s="12">
        <f t="shared" si="104"/>
        <v>1275</v>
      </c>
      <c r="AH70" s="139">
        <f t="shared" si="104"/>
        <v>1222</v>
      </c>
      <c r="AI70" s="164">
        <f t="shared" si="104"/>
        <v>955</v>
      </c>
      <c r="AJ70" s="12">
        <f t="shared" si="104"/>
        <v>969</v>
      </c>
      <c r="AK70" s="139">
        <f t="shared" si="104"/>
        <v>927</v>
      </c>
      <c r="AL70" s="483">
        <f t="shared" si="104"/>
        <v>933</v>
      </c>
      <c r="AM70" s="164">
        <f t="shared" si="104"/>
        <v>858</v>
      </c>
      <c r="AN70" s="540">
        <f t="shared" si="104"/>
        <v>869.74271871988026</v>
      </c>
      <c r="AO70" s="540">
        <f t="shared" si="104"/>
        <v>847.98528368357779</v>
      </c>
      <c r="AP70" s="483">
        <f t="shared" ref="AP70" si="105">AP54+AP62</f>
        <v>819.64827839163229</v>
      </c>
      <c r="AQ70" s="1350"/>
    </row>
    <row r="71" spans="1:43" s="1042" customFormat="1" ht="9.75" hidden="1" customHeight="1" outlineLevel="1">
      <c r="A71" s="1041" t="s">
        <v>14</v>
      </c>
      <c r="B71" s="13"/>
      <c r="C71" s="13">
        <f>C70/B70-1</f>
        <v>0.15244425385934823</v>
      </c>
      <c r="D71" s="13">
        <f>D70/C70-1</f>
        <v>5.5441860465116344E-2</v>
      </c>
      <c r="E71" s="13">
        <f>E70/D70-1</f>
        <v>5.0414242904988527E-2</v>
      </c>
      <c r="F71" s="13">
        <f>F70/E70-1</f>
        <v>5.3029031716731012E-2</v>
      </c>
      <c r="G71" s="13">
        <f>G70/F70-1</f>
        <v>2.3904382470119057E-3</v>
      </c>
      <c r="H71" s="13">
        <f t="shared" ref="H71:Q71" si="106">H70/G70-1</f>
        <v>-0.19523052464228929</v>
      </c>
      <c r="I71" s="13">
        <f t="shared" si="106"/>
        <v>-0.25246937969182137</v>
      </c>
      <c r="J71" s="13">
        <f t="shared" si="106"/>
        <v>-0.10270182854252374</v>
      </c>
      <c r="K71" s="13">
        <f t="shared" si="106"/>
        <v>-6.4728924464487303E-2</v>
      </c>
      <c r="L71" s="13">
        <f t="shared" si="106"/>
        <v>-3.8941622003292209E-2</v>
      </c>
      <c r="M71" s="13">
        <f t="shared" si="106"/>
        <v>-2.9651781791763421E-2</v>
      </c>
      <c r="N71" s="13">
        <f t="shared" si="106"/>
        <v>-4.2106451342268647E-3</v>
      </c>
      <c r="O71" s="13">
        <f t="shared" si="106"/>
        <v>-0.50317066803213151</v>
      </c>
      <c r="P71" s="13">
        <f t="shared" si="106"/>
        <v>-0.34085059840152454</v>
      </c>
      <c r="Q71" s="13">
        <f t="shared" si="106"/>
        <v>-0.26468648995680555</v>
      </c>
      <c r="R71" s="1022"/>
      <c r="S71" s="13"/>
      <c r="T71" s="13"/>
      <c r="U71" s="13"/>
      <c r="V71" s="13"/>
      <c r="W71" s="13">
        <v>4.9053959355291887E-3</v>
      </c>
      <c r="X71" s="13">
        <v>4.4518272425249084E-2</v>
      </c>
      <c r="Y71" s="13">
        <v>0.10773480662983426</v>
      </c>
      <c r="Z71" s="13">
        <v>5.4464851171627693E-2</v>
      </c>
      <c r="AA71" s="165">
        <f t="shared" ref="AA71:AH71" si="107">AA70/W70-1</f>
        <v>5.5788005578800703E-3</v>
      </c>
      <c r="AB71" s="13">
        <f t="shared" si="107"/>
        <v>1.5267175572519109E-2</v>
      </c>
      <c r="AC71" s="13">
        <f t="shared" si="107"/>
        <v>-1.8703241895261513E-3</v>
      </c>
      <c r="AD71" s="13">
        <f t="shared" si="107"/>
        <v>-8.4084084084083965E-3</v>
      </c>
      <c r="AE71" s="165">
        <f t="shared" si="107"/>
        <v>-0.15672676837725386</v>
      </c>
      <c r="AF71" s="13">
        <f t="shared" si="107"/>
        <v>-0.15476190476190477</v>
      </c>
      <c r="AG71" s="13">
        <f t="shared" si="107"/>
        <v>-0.20362273579013113</v>
      </c>
      <c r="AH71" s="13">
        <f t="shared" si="107"/>
        <v>-0.25984251968503935</v>
      </c>
      <c r="AI71" s="165">
        <f>AI70/AE70-1</f>
        <v>-0.21463815789473684</v>
      </c>
      <c r="AJ71" s="13">
        <f>AJ70/AF70-1</f>
        <v>-0.28169014084507038</v>
      </c>
      <c r="AK71" s="13">
        <f>AK70/AG70-1</f>
        <v>-0.27294117647058824</v>
      </c>
      <c r="AL71" s="484">
        <f>AL70/AH70-1</f>
        <v>-0.23649754500818332</v>
      </c>
      <c r="AM71" s="165">
        <f t="shared" ref="AM71:AP71" si="108">AM70/AI70-1</f>
        <v>-0.10157068062827224</v>
      </c>
      <c r="AN71" s="541">
        <f t="shared" si="108"/>
        <v>-0.10243269481952499</v>
      </c>
      <c r="AO71" s="541">
        <f t="shared" si="108"/>
        <v>-8.5237018680067056E-2</v>
      </c>
      <c r="AP71" s="484">
        <f t="shared" si="108"/>
        <v>-0.12149166303147663</v>
      </c>
      <c r="AQ71" s="1350"/>
    </row>
    <row r="72" spans="1:43" s="1042" customFormat="1" ht="9.75" hidden="1" customHeight="1" outlineLevel="1">
      <c r="A72" s="1041" t="s">
        <v>15</v>
      </c>
      <c r="B72" s="13"/>
      <c r="C72" s="13">
        <v>0.11</v>
      </c>
      <c r="D72" s="13">
        <v>0.09</v>
      </c>
      <c r="E72" s="13">
        <v>7.0000000000000007E-2</v>
      </c>
      <c r="F72" s="13">
        <v>7.0000000000000007E-2</v>
      </c>
      <c r="G72" s="13">
        <v>0.08</v>
      </c>
      <c r="H72" s="13">
        <v>-0.18</v>
      </c>
      <c r="I72" s="13">
        <f t="shared" ref="I72:Q72" si="109">I71-((I55-I56)*I54/(I54+I62)+(I63-I64)*I62/(I54+I62))</f>
        <v>-0.23450409115177748</v>
      </c>
      <c r="J72" s="13">
        <f t="shared" si="109"/>
        <v>-0.12572349102523367</v>
      </c>
      <c r="K72" s="13">
        <f t="shared" si="109"/>
        <v>-6.4728924464487331E-2</v>
      </c>
      <c r="L72" s="13">
        <f t="shared" si="109"/>
        <v>-3.8941622003292216E-2</v>
      </c>
      <c r="M72" s="13">
        <f t="shared" si="109"/>
        <v>-2.9651781791763403E-2</v>
      </c>
      <c r="N72" s="13">
        <f t="shared" si="109"/>
        <v>-4.2106451342268812E-3</v>
      </c>
      <c r="O72" s="13">
        <f t="shared" si="109"/>
        <v>-0.50317066803213151</v>
      </c>
      <c r="P72" s="13">
        <f t="shared" si="109"/>
        <v>-0.34085059840152454</v>
      </c>
      <c r="Q72" s="13">
        <f t="shared" si="109"/>
        <v>-0.2646864899568056</v>
      </c>
      <c r="R72" s="1022"/>
      <c r="S72" s="13"/>
      <c r="T72" s="13"/>
      <c r="U72" s="13"/>
      <c r="V72" s="13"/>
      <c r="W72" s="13">
        <v>0.01</v>
      </c>
      <c r="X72" s="13">
        <v>0.04</v>
      </c>
      <c r="Y72" s="13">
        <v>0.11</v>
      </c>
      <c r="Z72" s="13">
        <v>0.1</v>
      </c>
      <c r="AA72" s="165">
        <v>0.09</v>
      </c>
      <c r="AB72" s="13">
        <v>0.1</v>
      </c>
      <c r="AC72" s="13">
        <v>7.0000000000000007E-2</v>
      </c>
      <c r="AD72" s="13">
        <v>0.05</v>
      </c>
      <c r="AE72" s="165">
        <v>-0.13</v>
      </c>
      <c r="AF72" s="13">
        <v>-0.14000000000000001</v>
      </c>
      <c r="AG72" s="13">
        <v>-0.2</v>
      </c>
      <c r="AH72" s="13">
        <v>-0.24</v>
      </c>
      <c r="AI72" s="165">
        <f>AI71-((AI55-AI56)*AI54/(AI54+AI62)+(AI63-AI64)*AI62/(AI54+AI62))</f>
        <v>-0.20417836649976154</v>
      </c>
      <c r="AJ72" s="13">
        <f>AJ71-((AJ55-AJ56)*AJ54/(AJ54+AJ62)+(AJ63-AJ64)*AJ62/(AJ54+AJ62))</f>
        <v>-0.24714175059140311</v>
      </c>
      <c r="AK72" s="13">
        <f>AK71-((AK55-AK56)*AK54/(AK54+AK62)+(AK63-AK64)*AK62/(AK54+AK62))</f>
        <v>-0.26060227608747133</v>
      </c>
      <c r="AL72" s="484">
        <f>AL71-((AL55-AL56)*AL54/(AL54+AL62)+(AL63-AL64)*AL62/(AL54+AL62))</f>
        <v>-0.24382152543411773</v>
      </c>
      <c r="AM72" s="165">
        <f t="shared" ref="AM72:AP72" si="110">AM71-((AM55-AM56)*AM54/(AM54+AM62)+(AM63-AM64)*AM62/(AM54+AM62))</f>
        <v>-0.14934537242185622</v>
      </c>
      <c r="AN72" s="541">
        <f t="shared" si="110"/>
        <v>-0.13203476214325885</v>
      </c>
      <c r="AO72" s="541">
        <f t="shared" si="110"/>
        <v>-9.8950216324943455E-2</v>
      </c>
      <c r="AP72" s="484">
        <f t="shared" si="110"/>
        <v>-3.4905179637874609E-2</v>
      </c>
      <c r="AQ72" s="1350"/>
    </row>
    <row r="73" spans="1:43" s="1042" customFormat="1" ht="9.75" hidden="1" customHeight="1" outlineLevel="1">
      <c r="A73" s="1041" t="s">
        <v>18</v>
      </c>
      <c r="B73" s="13">
        <f t="shared" ref="B73:G73" si="111">B70/B$2</f>
        <v>9.213021491782554E-2</v>
      </c>
      <c r="C73" s="13">
        <f t="shared" si="111"/>
        <v>9.1776798825256981E-2</v>
      </c>
      <c r="D73" s="13">
        <f t="shared" si="111"/>
        <v>0.10010057699433593</v>
      </c>
      <c r="E73" s="13">
        <f t="shared" si="111"/>
        <v>0.10389678319239821</v>
      </c>
      <c r="F73" s="13">
        <f t="shared" si="111"/>
        <v>0.12025680337293983</v>
      </c>
      <c r="G73" s="13">
        <f t="shared" si="111"/>
        <v>0.1272918606063059</v>
      </c>
      <c r="H73" s="13">
        <f t="shared" ref="H73:Q73" si="112">H70/H$2</f>
        <v>0.10433241271280762</v>
      </c>
      <c r="I73" s="13">
        <f t="shared" si="112"/>
        <v>7.7053085992384293E-2</v>
      </c>
      <c r="J73" s="13">
        <f t="shared" si="112"/>
        <v>6.4973503730900065E-2</v>
      </c>
      <c r="K73" s="13">
        <f t="shared" si="112"/>
        <v>5.9566978943529088E-2</v>
      </c>
      <c r="L73" s="13">
        <f t="shared" si="112"/>
        <v>5.5506113505476136E-2</v>
      </c>
      <c r="M73" s="13">
        <f t="shared" si="112"/>
        <v>5.1950478792548459E-2</v>
      </c>
      <c r="N73" s="13">
        <f t="shared" si="112"/>
        <v>5.066384981737896E-2</v>
      </c>
      <c r="O73" s="13">
        <f t="shared" si="112"/>
        <v>2.5403297031230471E-2</v>
      </c>
      <c r="P73" s="13">
        <f t="shared" si="112"/>
        <v>1.6531887272312709E-2</v>
      </c>
      <c r="Q73" s="13">
        <f t="shared" si="112"/>
        <v>1.20244921111322E-2</v>
      </c>
      <c r="R73" s="1022"/>
      <c r="S73" s="13"/>
      <c r="T73" s="13"/>
      <c r="U73" s="13"/>
      <c r="V73" s="13"/>
      <c r="W73" s="13">
        <f t="shared" ref="W73:AB73" si="113">W70/W$2</f>
        <v>0.11232082713245085</v>
      </c>
      <c r="X73" s="13">
        <f t="shared" si="113"/>
        <v>0.1177792762418521</v>
      </c>
      <c r="Y73" s="13">
        <f t="shared" si="113"/>
        <v>0.12347009468093295</v>
      </c>
      <c r="Z73" s="13">
        <f t="shared" si="113"/>
        <v>0.12734225621414913</v>
      </c>
      <c r="AA73" s="165">
        <f t="shared" si="113"/>
        <v>0.12082111436950146</v>
      </c>
      <c r="AB73" s="13">
        <f t="shared" si="113"/>
        <v>0.12572869072002521</v>
      </c>
      <c r="AC73" s="13">
        <f t="shared" ref="AC73:AH73" si="114">AC70/AC$2</f>
        <v>0.13053403995108032</v>
      </c>
      <c r="AD73" s="13">
        <f t="shared" si="114"/>
        <v>0.13186900958466455</v>
      </c>
      <c r="AE73" s="165">
        <f t="shared" si="114"/>
        <v>0.10482758620689656</v>
      </c>
      <c r="AF73" s="13">
        <f t="shared" si="114"/>
        <v>0.10817963111467523</v>
      </c>
      <c r="AG73" s="13">
        <f t="shared" si="114"/>
        <v>0.10514596734289955</v>
      </c>
      <c r="AH73" s="13">
        <f t="shared" si="114"/>
        <v>9.9172212303197532E-2</v>
      </c>
      <c r="AI73" s="165">
        <f>AI70/AI$2</f>
        <v>8.2762804402461213E-2</v>
      </c>
      <c r="AJ73" s="13">
        <f>AJ70/AJ$2</f>
        <v>7.9153733050155203E-2</v>
      </c>
      <c r="AK73" s="13">
        <f>AK70/AK$2</f>
        <v>7.4679468996316431E-2</v>
      </c>
      <c r="AL73" s="484">
        <f>AL70/AL$2</f>
        <v>7.2241860542094929E-2</v>
      </c>
      <c r="AM73" s="165">
        <f t="shared" ref="AM73:AP73" si="115">AM70/AM$2</f>
        <v>6.7590987868284227E-2</v>
      </c>
      <c r="AN73" s="541">
        <f t="shared" si="115"/>
        <v>6.6369626483036778E-2</v>
      </c>
      <c r="AO73" s="541">
        <f t="shared" si="115"/>
        <v>6.47869293746349E-2</v>
      </c>
      <c r="AP73" s="484">
        <f t="shared" si="115"/>
        <v>6.130274785909981E-2</v>
      </c>
      <c r="AQ73" s="1350"/>
    </row>
    <row r="74" spans="1:43" ht="12.75" customHeight="1" collapsed="1">
      <c r="A74" s="1036" t="s">
        <v>20</v>
      </c>
      <c r="B74" s="4">
        <v>243</v>
      </c>
      <c r="C74" s="4">
        <v>443</v>
      </c>
      <c r="D74" s="4">
        <f t="shared" ref="D74:Q74" si="116">+D77+D79</f>
        <v>797</v>
      </c>
      <c r="E74" s="4">
        <f t="shared" si="116"/>
        <v>1309</v>
      </c>
      <c r="F74" s="4">
        <f t="shared" si="116"/>
        <v>1575</v>
      </c>
      <c r="G74" s="4">
        <f t="shared" si="116"/>
        <v>1607</v>
      </c>
      <c r="H74" s="4">
        <f>+H77+H79</f>
        <v>1516</v>
      </c>
      <c r="I74" s="107">
        <f t="shared" si="116"/>
        <v>1525</v>
      </c>
      <c r="J74" s="135">
        <f>+J77+J79</f>
        <v>1476.6615714175678</v>
      </c>
      <c r="K74" s="135">
        <f t="shared" si="116"/>
        <v>1103.5242571340543</v>
      </c>
      <c r="L74" s="107">
        <f t="shared" si="116"/>
        <v>609.07647999383801</v>
      </c>
      <c r="M74" s="107">
        <f t="shared" si="116"/>
        <v>360.99733599568663</v>
      </c>
      <c r="N74" s="107">
        <f t="shared" si="116"/>
        <v>288.79786879654927</v>
      </c>
      <c r="O74" s="107">
        <f t="shared" si="116"/>
        <v>259.91808191689438</v>
      </c>
      <c r="P74" s="107">
        <f t="shared" si="116"/>
        <v>233.92627372520494</v>
      </c>
      <c r="Q74" s="107">
        <f t="shared" si="116"/>
        <v>210.53364635268446</v>
      </c>
      <c r="R74" s="402">
        <f>(N74/J74)^(1/($N$1-$J$1))-1</f>
        <v>-0.33498988245918515</v>
      </c>
      <c r="S74" s="1026"/>
      <c r="T74" s="1026"/>
      <c r="U74" s="1026"/>
      <c r="W74" s="4">
        <f t="shared" ref="W74:AC74" si="117">W77+W79</f>
        <v>357</v>
      </c>
      <c r="X74" s="4">
        <f t="shared" si="117"/>
        <v>384</v>
      </c>
      <c r="Y74" s="4">
        <f t="shared" si="117"/>
        <v>408</v>
      </c>
      <c r="Z74" s="4">
        <f t="shared" si="117"/>
        <v>426</v>
      </c>
      <c r="AA74" s="157">
        <f t="shared" si="117"/>
        <v>388</v>
      </c>
      <c r="AB74" s="4">
        <f t="shared" si="117"/>
        <v>423</v>
      </c>
      <c r="AC74" s="4">
        <f t="shared" si="117"/>
        <v>414</v>
      </c>
      <c r="AD74" s="107">
        <f t="shared" ref="AD74:AP74" si="118">+AD77+AD79</f>
        <v>382</v>
      </c>
      <c r="AE74" s="157">
        <f t="shared" si="118"/>
        <v>367</v>
      </c>
      <c r="AF74" s="4">
        <f t="shared" si="118"/>
        <v>365</v>
      </c>
      <c r="AG74" s="4">
        <f t="shared" si="118"/>
        <v>393</v>
      </c>
      <c r="AH74" s="107">
        <f t="shared" si="118"/>
        <v>391</v>
      </c>
      <c r="AI74" s="157">
        <f t="shared" si="118"/>
        <v>344</v>
      </c>
      <c r="AJ74" s="4">
        <f t="shared" si="118"/>
        <v>385</v>
      </c>
      <c r="AK74" s="107">
        <f t="shared" si="118"/>
        <v>389</v>
      </c>
      <c r="AL74" s="481">
        <f t="shared" si="118"/>
        <v>407</v>
      </c>
      <c r="AM74" s="157">
        <f t="shared" si="118"/>
        <v>375</v>
      </c>
      <c r="AN74" s="543">
        <f t="shared" si="118"/>
        <v>374.57739479113377</v>
      </c>
      <c r="AO74" s="543">
        <f t="shared" si="118"/>
        <v>363.08992427218186</v>
      </c>
      <c r="AP74" s="481">
        <f t="shared" si="118"/>
        <v>363.9942523542523</v>
      </c>
      <c r="AQ74" s="1350"/>
    </row>
    <row r="75" spans="1:43" s="1038" customFormat="1" ht="9.75" hidden="1" customHeight="1" outlineLevel="1">
      <c r="A75" s="1037" t="s">
        <v>14</v>
      </c>
      <c r="B75" s="10"/>
      <c r="C75" s="10">
        <f t="shared" ref="C75:Q75" si="119">C74/B74-1</f>
        <v>0.82304526748971196</v>
      </c>
      <c r="D75" s="10">
        <f t="shared" si="119"/>
        <v>0.79909706546275405</v>
      </c>
      <c r="E75" s="10">
        <f t="shared" si="119"/>
        <v>0.64240903387703896</v>
      </c>
      <c r="F75" s="10">
        <f t="shared" si="119"/>
        <v>0.20320855614973254</v>
      </c>
      <c r="G75" s="10">
        <f t="shared" si="119"/>
        <v>2.031746031746029E-2</v>
      </c>
      <c r="H75" s="10">
        <f t="shared" si="119"/>
        <v>-5.6627255756067196E-2</v>
      </c>
      <c r="I75" s="10">
        <f t="shared" si="119"/>
        <v>5.9366754617413697E-3</v>
      </c>
      <c r="J75" s="10">
        <f t="shared" si="119"/>
        <v>-3.1697330217988373E-2</v>
      </c>
      <c r="K75" s="10">
        <f t="shared" si="119"/>
        <v>-0.25268979805935388</v>
      </c>
      <c r="L75" s="10">
        <f t="shared" si="119"/>
        <v>-0.44806244533703221</v>
      </c>
      <c r="M75" s="10">
        <f t="shared" si="119"/>
        <v>-0.40730376585984929</v>
      </c>
      <c r="N75" s="10">
        <f t="shared" si="119"/>
        <v>-0.20000000000000007</v>
      </c>
      <c r="O75" s="10">
        <f t="shared" si="119"/>
        <v>-9.9999999999999867E-2</v>
      </c>
      <c r="P75" s="10">
        <f t="shared" si="119"/>
        <v>-9.9999999999999978E-2</v>
      </c>
      <c r="Q75" s="10">
        <f t="shared" si="119"/>
        <v>-9.9999999999999978E-2</v>
      </c>
      <c r="R75" s="1019"/>
      <c r="S75" s="10"/>
      <c r="T75" s="10"/>
      <c r="U75" s="10"/>
      <c r="V75" s="10"/>
      <c r="W75" s="10">
        <v>0.17821782178217815</v>
      </c>
      <c r="X75" s="10">
        <v>0.24675324675324672</v>
      </c>
      <c r="Y75" s="10">
        <v>0.21068249258160243</v>
      </c>
      <c r="Z75" s="10">
        <v>0.18005540166204992</v>
      </c>
      <c r="AA75" s="163">
        <f t="shared" ref="AA75:AH75" si="120">AA74/W74-1</f>
        <v>8.6834733893557337E-2</v>
      </c>
      <c r="AB75" s="10">
        <f t="shared" si="120"/>
        <v>0.1015625</v>
      </c>
      <c r="AC75" s="10">
        <f t="shared" si="120"/>
        <v>1.4705882352941124E-2</v>
      </c>
      <c r="AD75" s="10">
        <f t="shared" si="120"/>
        <v>-0.10328638497652587</v>
      </c>
      <c r="AE75" s="163">
        <f t="shared" si="120"/>
        <v>-5.4123711340206215E-2</v>
      </c>
      <c r="AF75" s="10">
        <f t="shared" si="120"/>
        <v>-0.13711583924349879</v>
      </c>
      <c r="AG75" s="10">
        <f t="shared" si="120"/>
        <v>-5.0724637681159424E-2</v>
      </c>
      <c r="AH75" s="10">
        <f t="shared" si="120"/>
        <v>2.3560209424083878E-2</v>
      </c>
      <c r="AI75" s="163">
        <f>AI74/AE74-1</f>
        <v>-6.2670299727520473E-2</v>
      </c>
      <c r="AJ75" s="10">
        <f>AJ74/AF74-1</f>
        <v>5.4794520547945202E-2</v>
      </c>
      <c r="AK75" s="10">
        <f>AK74/AG74-1</f>
        <v>-1.0178117048346036E-2</v>
      </c>
      <c r="AL75" s="482">
        <f>AL74/AH74-1</f>
        <v>4.0920716112532007E-2</v>
      </c>
      <c r="AM75" s="163">
        <f t="shared" ref="AM75:AP75" si="121">AM74/AI74-1</f>
        <v>9.011627906976738E-2</v>
      </c>
      <c r="AN75" s="428">
        <f t="shared" si="121"/>
        <v>-2.7071701841210993E-2</v>
      </c>
      <c r="AO75" s="428">
        <f t="shared" si="121"/>
        <v>-6.6606878477681541E-2</v>
      </c>
      <c r="AP75" s="482">
        <f t="shared" si="121"/>
        <v>-0.10566522763082975</v>
      </c>
      <c r="AQ75" s="1350"/>
    </row>
    <row r="76" spans="1:43" s="1038" customFormat="1" ht="9.75" hidden="1" customHeight="1" outlineLevel="1">
      <c r="A76" s="1037" t="s">
        <v>15</v>
      </c>
      <c r="B76" s="10"/>
      <c r="C76" s="10">
        <v>0.77</v>
      </c>
      <c r="D76" s="10">
        <v>0.85</v>
      </c>
      <c r="E76" s="10">
        <v>0.66</v>
      </c>
      <c r="F76" s="10">
        <v>0.22</v>
      </c>
      <c r="G76" s="10">
        <v>0.1</v>
      </c>
      <c r="H76" s="10">
        <v>-0.05</v>
      </c>
      <c r="I76" s="10">
        <v>0.02</v>
      </c>
      <c r="J76" s="10">
        <f t="shared" ref="J76:Q76" si="122">J75-((J80-J81)*J79/J74)</f>
        <v>-5.0401325688893481E-2</v>
      </c>
      <c r="K76" s="10">
        <f t="shared" si="122"/>
        <v>-0.25268979805935393</v>
      </c>
      <c r="L76" s="10">
        <f t="shared" si="122"/>
        <v>-0.44806244533703216</v>
      </c>
      <c r="M76" s="10">
        <f t="shared" si="122"/>
        <v>-0.40730376585984923</v>
      </c>
      <c r="N76" s="10">
        <f t="shared" si="122"/>
        <v>-0.20000000000000012</v>
      </c>
      <c r="O76" s="10">
        <f t="shared" si="122"/>
        <v>-9.9999999999999895E-2</v>
      </c>
      <c r="P76" s="10">
        <f t="shared" si="122"/>
        <v>-0.1</v>
      </c>
      <c r="Q76" s="10">
        <f t="shared" si="122"/>
        <v>-0.1</v>
      </c>
      <c r="R76" s="1019"/>
      <c r="S76" s="10"/>
      <c r="T76" s="10"/>
      <c r="U76" s="10"/>
      <c r="V76" s="10"/>
      <c r="W76" s="10">
        <v>0.19</v>
      </c>
      <c r="X76" s="10">
        <v>0.25</v>
      </c>
      <c r="Y76" s="10">
        <v>0.22</v>
      </c>
      <c r="Z76" s="10">
        <v>0.24</v>
      </c>
      <c r="AA76" s="163">
        <v>0.18</v>
      </c>
      <c r="AB76" s="10">
        <v>0.19</v>
      </c>
      <c r="AC76" s="10">
        <v>0.09</v>
      </c>
      <c r="AD76" s="10">
        <v>-0.04</v>
      </c>
      <c r="AE76" s="163">
        <v>-0.02</v>
      </c>
      <c r="AF76" s="10">
        <v>-0.13</v>
      </c>
      <c r="AG76" s="10">
        <v>-0.05</v>
      </c>
      <c r="AH76" s="10">
        <v>0.03</v>
      </c>
      <c r="AI76" s="163">
        <v>-0.04</v>
      </c>
      <c r="AJ76" s="10">
        <v>7.0000000000000007E-2</v>
      </c>
      <c r="AK76" s="10">
        <v>0</v>
      </c>
      <c r="AL76" s="482">
        <v>0.03</v>
      </c>
      <c r="AM76" s="163">
        <v>0.05</v>
      </c>
      <c r="AN76" s="428">
        <f t="shared" ref="AN76:AO76" si="123">AN75-((AN80-AN81)*AN79/AN74)</f>
        <v>-5.0655233378714991E-2</v>
      </c>
      <c r="AO76" s="428">
        <f t="shared" si="123"/>
        <v>-7.7705391945016869E-2</v>
      </c>
      <c r="AP76" s="482"/>
      <c r="AQ76" s="1350"/>
    </row>
    <row r="77" spans="1:43" s="1038" customFormat="1" ht="12.75" hidden="1" customHeight="1" outlineLevel="1">
      <c r="A77" s="2" t="s">
        <v>72</v>
      </c>
      <c r="B77" s="4"/>
      <c r="C77" s="4"/>
      <c r="D77" s="4">
        <v>412</v>
      </c>
      <c r="E77" s="4">
        <v>691</v>
      </c>
      <c r="F77" s="4">
        <v>805</v>
      </c>
      <c r="G77" s="4">
        <v>892</v>
      </c>
      <c r="H77" s="4">
        <v>775</v>
      </c>
      <c r="I77" s="107">
        <v>819</v>
      </c>
      <c r="J77" s="107">
        <f t="shared" ref="J77:Q77" si="124">I77+I77*J78</f>
        <v>778.05</v>
      </c>
      <c r="K77" s="135">
        <f t="shared" si="124"/>
        <v>544.63499999999999</v>
      </c>
      <c r="L77" s="107">
        <f t="shared" si="124"/>
        <v>217.85399999999998</v>
      </c>
      <c r="M77" s="107">
        <f t="shared" si="124"/>
        <v>87.141600000000011</v>
      </c>
      <c r="N77" s="107">
        <f t="shared" si="124"/>
        <v>69.713280000000012</v>
      </c>
      <c r="O77" s="107">
        <f t="shared" si="124"/>
        <v>62.741952000000012</v>
      </c>
      <c r="P77" s="107">
        <f t="shared" si="124"/>
        <v>56.467756800000011</v>
      </c>
      <c r="Q77" s="107">
        <f t="shared" si="124"/>
        <v>50.820981120000013</v>
      </c>
      <c r="R77" s="1019">
        <f>(N77/J77)^(1/($N$1-$J$1))-1</f>
        <v>-0.45288704005304781</v>
      </c>
      <c r="S77" s="10"/>
      <c r="T77" s="10"/>
      <c r="U77" s="10"/>
      <c r="V77" s="10"/>
      <c r="W77" s="4">
        <v>175</v>
      </c>
      <c r="X77" s="4">
        <v>194</v>
      </c>
      <c r="Y77" s="4">
        <v>212</v>
      </c>
      <c r="Z77" s="4">
        <v>224</v>
      </c>
      <c r="AA77" s="157">
        <v>208</v>
      </c>
      <c r="AB77" s="4">
        <v>250</v>
      </c>
      <c r="AC77" s="4">
        <v>236</v>
      </c>
      <c r="AD77" s="107">
        <f>G77-AC77-AB77-AA77</f>
        <v>198</v>
      </c>
      <c r="AE77" s="157">
        <v>190</v>
      </c>
      <c r="AF77" s="4">
        <v>195</v>
      </c>
      <c r="AG77" s="4">
        <v>191</v>
      </c>
      <c r="AH77" s="107">
        <f>H77-AE77-AF77-AG77</f>
        <v>199</v>
      </c>
      <c r="AI77" s="157">
        <v>180</v>
      </c>
      <c r="AJ77" s="4">
        <v>211</v>
      </c>
      <c r="AK77" s="107">
        <v>212</v>
      </c>
      <c r="AL77" s="481">
        <f>I77-AI77-AJ77-AK77</f>
        <v>216</v>
      </c>
      <c r="AM77" s="157">
        <v>212</v>
      </c>
      <c r="AN77" s="396">
        <f t="shared" ref="AN77:AO77" si="125">AJ77+AJ77*AN78</f>
        <v>200.45</v>
      </c>
      <c r="AO77" s="396">
        <f t="shared" si="125"/>
        <v>190.8</v>
      </c>
      <c r="AP77" s="481">
        <f>J77-AM77-AN77-AO77</f>
        <v>174.79999999999995</v>
      </c>
      <c r="AQ77" s="1350"/>
    </row>
    <row r="78" spans="1:43" s="1038" customFormat="1" ht="9.75" hidden="1" customHeight="1" outlineLevel="1">
      <c r="A78" s="2" t="s">
        <v>14</v>
      </c>
      <c r="B78" s="10"/>
      <c r="C78" s="10"/>
      <c r="D78" s="10"/>
      <c r="E78" s="10">
        <f>E77/D77-1</f>
        <v>0.67718446601941751</v>
      </c>
      <c r="F78" s="10">
        <f>F77/E77-1</f>
        <v>0.16497829232995653</v>
      </c>
      <c r="G78" s="10">
        <f>G77/F77-1</f>
        <v>0.1080745341614906</v>
      </c>
      <c r="H78" s="10">
        <f>H77/G77-1</f>
        <v>-0.1311659192825112</v>
      </c>
      <c r="I78" s="10">
        <f>I77/H77-1</f>
        <v>5.6774193548387197E-2</v>
      </c>
      <c r="J78" s="50">
        <v>-0.05</v>
      </c>
      <c r="K78" s="50">
        <v>-0.3</v>
      </c>
      <c r="L78" s="50">
        <v>-0.6</v>
      </c>
      <c r="M78" s="50">
        <v>-0.6</v>
      </c>
      <c r="N78" s="50">
        <v>-0.2</v>
      </c>
      <c r="O78" s="50">
        <v>-0.1</v>
      </c>
      <c r="P78" s="50">
        <v>-0.1</v>
      </c>
      <c r="Q78" s="50">
        <v>-0.1</v>
      </c>
      <c r="R78" s="1019"/>
      <c r="S78" s="10"/>
      <c r="T78" s="10"/>
      <c r="U78" s="10"/>
      <c r="V78" s="10"/>
      <c r="W78" s="10">
        <v>4.1666666666666741E-2</v>
      </c>
      <c r="X78" s="10">
        <v>0.21249999999999991</v>
      </c>
      <c r="Y78" s="10">
        <v>0.16483516483516492</v>
      </c>
      <c r="Z78" s="10">
        <v>0.23756906077348061</v>
      </c>
      <c r="AA78" s="163">
        <f t="shared" ref="AA78:AG78" si="126">AA77/W77-1</f>
        <v>0.18857142857142861</v>
      </c>
      <c r="AB78" s="10">
        <f t="shared" si="126"/>
        <v>0.28865979381443307</v>
      </c>
      <c r="AC78" s="10">
        <f t="shared" si="126"/>
        <v>0.1132075471698113</v>
      </c>
      <c r="AD78" s="10">
        <f t="shared" si="126"/>
        <v>-0.1160714285714286</v>
      </c>
      <c r="AE78" s="163">
        <f t="shared" si="126"/>
        <v>-8.6538461538461564E-2</v>
      </c>
      <c r="AF78" s="10">
        <f t="shared" si="126"/>
        <v>-0.21999999999999997</v>
      </c>
      <c r="AG78" s="10">
        <f t="shared" si="126"/>
        <v>-0.19067796610169496</v>
      </c>
      <c r="AH78" s="10">
        <f t="shared" ref="AH78:AM78" si="127">AH77/AD77-1</f>
        <v>5.050505050504972E-3</v>
      </c>
      <c r="AI78" s="163">
        <f t="shared" si="127"/>
        <v>-5.2631578947368474E-2</v>
      </c>
      <c r="AJ78" s="428">
        <f t="shared" si="127"/>
        <v>8.2051282051281982E-2</v>
      </c>
      <c r="AK78" s="428">
        <f t="shared" si="127"/>
        <v>0.10994764397905765</v>
      </c>
      <c r="AL78" s="482">
        <f t="shared" si="127"/>
        <v>8.5427135678391997E-2</v>
      </c>
      <c r="AM78" s="163">
        <f t="shared" si="127"/>
        <v>0.17777777777777781</v>
      </c>
      <c r="AN78" s="539">
        <v>-0.05</v>
      </c>
      <c r="AO78" s="539">
        <v>-0.1</v>
      </c>
      <c r="AP78" s="482">
        <f>AP77/AL77-1</f>
        <v>-0.19074074074074099</v>
      </c>
      <c r="AQ78" s="1350"/>
    </row>
    <row r="79" spans="1:43" s="1038" customFormat="1" ht="12.75" hidden="1" customHeight="1" outlineLevel="1">
      <c r="A79" s="2" t="s">
        <v>73</v>
      </c>
      <c r="B79" s="4"/>
      <c r="C79" s="4"/>
      <c r="D79" s="4">
        <v>385</v>
      </c>
      <c r="E79" s="4">
        <v>618</v>
      </c>
      <c r="F79" s="4">
        <v>770</v>
      </c>
      <c r="G79" s="4">
        <v>715</v>
      </c>
      <c r="H79" s="4">
        <v>741</v>
      </c>
      <c r="I79" s="107">
        <v>706</v>
      </c>
      <c r="J79" s="135">
        <f t="shared" ref="J79:Q79" si="128">I79*(1+J81)*(1+J$32)</f>
        <v>698.61157141756792</v>
      </c>
      <c r="K79" s="135">
        <f t="shared" si="128"/>
        <v>558.88925713405433</v>
      </c>
      <c r="L79" s="135">
        <f t="shared" si="128"/>
        <v>391.22247999383802</v>
      </c>
      <c r="M79" s="107">
        <f t="shared" si="128"/>
        <v>273.85573599568659</v>
      </c>
      <c r="N79" s="107">
        <f t="shared" si="128"/>
        <v>219.08458879654927</v>
      </c>
      <c r="O79" s="107">
        <f t="shared" si="128"/>
        <v>197.17612991689435</v>
      </c>
      <c r="P79" s="107">
        <f t="shared" si="128"/>
        <v>177.45851692520492</v>
      </c>
      <c r="Q79" s="107">
        <f t="shared" si="128"/>
        <v>159.71266523268443</v>
      </c>
      <c r="R79" s="1019">
        <f>(N79/J79)^(1/($N$1-$J$1))-1</f>
        <v>-0.25166852264521178</v>
      </c>
      <c r="S79" s="10"/>
      <c r="T79" s="10"/>
      <c r="U79" s="10"/>
      <c r="V79" s="10"/>
      <c r="W79" s="4">
        <v>182</v>
      </c>
      <c r="X79" s="4">
        <v>190</v>
      </c>
      <c r="Y79" s="4">
        <v>196</v>
      </c>
      <c r="Z79" s="4">
        <v>202</v>
      </c>
      <c r="AA79" s="157">
        <v>180</v>
      </c>
      <c r="AB79" s="4">
        <v>173</v>
      </c>
      <c r="AC79" s="4">
        <v>178</v>
      </c>
      <c r="AD79" s="107">
        <f>G79-AC79-AB79-AA79</f>
        <v>184</v>
      </c>
      <c r="AE79" s="157">
        <v>177</v>
      </c>
      <c r="AF79" s="4">
        <v>170</v>
      </c>
      <c r="AG79" s="4">
        <v>202</v>
      </c>
      <c r="AH79" s="107">
        <f>H79-AE79-AF79-AG79</f>
        <v>192</v>
      </c>
      <c r="AI79" s="157">
        <v>164</v>
      </c>
      <c r="AJ79" s="4">
        <v>174</v>
      </c>
      <c r="AK79" s="107">
        <v>177</v>
      </c>
      <c r="AL79" s="481">
        <f>I79-AI79-AJ79-AK79</f>
        <v>191</v>
      </c>
      <c r="AM79" s="157">
        <v>163</v>
      </c>
      <c r="AN79" s="543">
        <f>AJ79*(1+AN81)*(1+AN$32)</f>
        <v>174.12739479113375</v>
      </c>
      <c r="AO79" s="543">
        <f>AK79*(1+AO81)*(1+AO$32)</f>
        <v>172.28992427218185</v>
      </c>
      <c r="AP79" s="481">
        <f>J79-AM79-AN79-AO79</f>
        <v>189.19425235425234</v>
      </c>
      <c r="AQ79" s="1350"/>
    </row>
    <row r="80" spans="1:43" s="1038" customFormat="1" ht="9.75" hidden="1" customHeight="1" outlineLevel="1">
      <c r="A80" s="2" t="s">
        <v>14</v>
      </c>
      <c r="B80" s="10"/>
      <c r="C80" s="10"/>
      <c r="D80" s="10"/>
      <c r="E80" s="10">
        <f t="shared" ref="E80:Q80" si="129">E79/D79-1</f>
        <v>0.60519480519480529</v>
      </c>
      <c r="F80" s="10">
        <f t="shared" si="129"/>
        <v>0.24595469255663427</v>
      </c>
      <c r="G80" s="10">
        <f t="shared" si="129"/>
        <v>-7.1428571428571397E-2</v>
      </c>
      <c r="H80" s="10">
        <f t="shared" si="129"/>
        <v>3.6363636363636376E-2</v>
      </c>
      <c r="I80" s="10">
        <f t="shared" si="129"/>
        <v>-4.7233468286099867E-2</v>
      </c>
      <c r="J80" s="10">
        <f t="shared" si="129"/>
        <v>-1.0465196292396728E-2</v>
      </c>
      <c r="K80" s="10">
        <f t="shared" si="129"/>
        <v>-0.19999999999999996</v>
      </c>
      <c r="L80" s="10">
        <f t="shared" si="129"/>
        <v>-0.30000000000000004</v>
      </c>
      <c r="M80" s="10">
        <f t="shared" si="129"/>
        <v>-0.30000000000000004</v>
      </c>
      <c r="N80" s="10">
        <f t="shared" si="129"/>
        <v>-0.19999999999999996</v>
      </c>
      <c r="O80" s="10">
        <f t="shared" si="129"/>
        <v>-9.9999999999999978E-2</v>
      </c>
      <c r="P80" s="10">
        <f t="shared" si="129"/>
        <v>-9.9999999999999978E-2</v>
      </c>
      <c r="Q80" s="10">
        <f t="shared" si="129"/>
        <v>-9.9999999999999978E-2</v>
      </c>
      <c r="R80" s="1019"/>
      <c r="S80" s="10"/>
      <c r="T80" s="10"/>
      <c r="U80" s="10"/>
      <c r="V80" s="10"/>
      <c r="W80" s="10">
        <v>0.3481481481481481</v>
      </c>
      <c r="X80" s="10">
        <v>0.28378378378378377</v>
      </c>
      <c r="Y80" s="10">
        <v>0.26451612903225796</v>
      </c>
      <c r="Z80" s="10">
        <v>0.12222222222222223</v>
      </c>
      <c r="AA80" s="163">
        <f t="shared" ref="AA80:AH80" si="130">AA79/W79-1</f>
        <v>-1.098901098901095E-2</v>
      </c>
      <c r="AB80" s="10">
        <f t="shared" si="130"/>
        <v>-8.9473684210526261E-2</v>
      </c>
      <c r="AC80" s="10">
        <f t="shared" si="130"/>
        <v>-9.1836734693877542E-2</v>
      </c>
      <c r="AD80" s="10">
        <f t="shared" si="130"/>
        <v>-8.9108910891089077E-2</v>
      </c>
      <c r="AE80" s="163">
        <f t="shared" si="130"/>
        <v>-1.6666666666666718E-2</v>
      </c>
      <c r="AF80" s="10">
        <f t="shared" si="130"/>
        <v>-1.7341040462427793E-2</v>
      </c>
      <c r="AG80" s="10">
        <f t="shared" si="130"/>
        <v>0.13483146067415741</v>
      </c>
      <c r="AH80" s="10">
        <f t="shared" si="130"/>
        <v>4.3478260869565188E-2</v>
      </c>
      <c r="AI80" s="163">
        <f>AI79/AE79-1</f>
        <v>-7.3446327683615809E-2</v>
      </c>
      <c r="AJ80" s="10">
        <f>AJ79/AF79-1</f>
        <v>2.3529411764705799E-2</v>
      </c>
      <c r="AK80" s="10">
        <f>AK79/AG79-1</f>
        <v>-0.12376237623762376</v>
      </c>
      <c r="AL80" s="482">
        <f>AL79/AH79-1</f>
        <v>-5.2083333333333703E-3</v>
      </c>
      <c r="AM80" s="163">
        <f t="shared" ref="AM80:AO80" si="131">AM79/AI79-1</f>
        <v>-6.0975609756097615E-3</v>
      </c>
      <c r="AN80" s="428">
        <f t="shared" si="131"/>
        <v>7.321539720330783E-4</v>
      </c>
      <c r="AO80" s="428">
        <f t="shared" si="131"/>
        <v>-2.6610597332305974E-2</v>
      </c>
      <c r="AP80" s="482">
        <f>AP79/AL79-1</f>
        <v>-9.4541761557469517E-3</v>
      </c>
      <c r="AQ80" s="1350"/>
    </row>
    <row r="81" spans="1:43" s="1038" customFormat="1" ht="9.75" hidden="1" customHeight="1" outlineLevel="1">
      <c r="A81" s="2" t="s">
        <v>15</v>
      </c>
      <c r="B81" s="10"/>
      <c r="C81" s="10"/>
      <c r="D81" s="10">
        <v>0.49</v>
      </c>
      <c r="E81" s="10">
        <v>0.64</v>
      </c>
      <c r="F81" s="10">
        <v>0.28999999999999998</v>
      </c>
      <c r="G81" s="10">
        <v>0.09</v>
      </c>
      <c r="H81" s="10">
        <v>0.06</v>
      </c>
      <c r="I81" s="10">
        <v>-0.03</v>
      </c>
      <c r="J81" s="50">
        <v>-0.05</v>
      </c>
      <c r="K81" s="50">
        <v>-0.2</v>
      </c>
      <c r="L81" s="50">
        <v>-0.3</v>
      </c>
      <c r="M81" s="50">
        <v>-0.3</v>
      </c>
      <c r="N81" s="50">
        <v>-0.2</v>
      </c>
      <c r="O81" s="50">
        <v>-0.1</v>
      </c>
      <c r="P81" s="50">
        <v>-0.1</v>
      </c>
      <c r="Q81" s="50">
        <v>-0.1</v>
      </c>
      <c r="R81" s="1019"/>
      <c r="S81" s="10"/>
      <c r="T81" s="10"/>
      <c r="U81" s="10"/>
      <c r="V81" s="10"/>
      <c r="W81" s="10">
        <v>0.36</v>
      </c>
      <c r="X81" s="10">
        <v>0.28999999999999998</v>
      </c>
      <c r="Y81" s="10">
        <v>0.28999999999999998</v>
      </c>
      <c r="Z81" s="10">
        <v>0.23</v>
      </c>
      <c r="AA81" s="163">
        <v>0.18</v>
      </c>
      <c r="AB81" s="10">
        <v>0.09</v>
      </c>
      <c r="AC81" s="10">
        <v>7.0000000000000007E-2</v>
      </c>
      <c r="AD81" s="10">
        <v>0.05</v>
      </c>
      <c r="AE81" s="163">
        <v>0.06</v>
      </c>
      <c r="AF81" s="10">
        <v>0</v>
      </c>
      <c r="AG81" s="10">
        <v>0.14000000000000001</v>
      </c>
      <c r="AH81" s="10">
        <v>0.05</v>
      </c>
      <c r="AI81" s="163">
        <v>-0.04</v>
      </c>
      <c r="AJ81" s="10">
        <v>0.06</v>
      </c>
      <c r="AK81" s="10">
        <v>-0.11</v>
      </c>
      <c r="AL81" s="482">
        <v>-0.02</v>
      </c>
      <c r="AM81" s="163">
        <v>-0.09</v>
      </c>
      <c r="AN81" s="539">
        <v>-0.05</v>
      </c>
      <c r="AO81" s="539">
        <v>-0.05</v>
      </c>
      <c r="AP81" s="497"/>
      <c r="AQ81" s="1350"/>
    </row>
    <row r="82" spans="1:43" ht="12.75" customHeight="1" collapsed="1">
      <c r="A82" s="1025" t="s">
        <v>21</v>
      </c>
      <c r="B82" s="4">
        <f t="shared" ref="B82:Q82" si="132">+B85+B87</f>
        <v>1291</v>
      </c>
      <c r="C82" s="4">
        <f t="shared" si="132"/>
        <v>1443</v>
      </c>
      <c r="D82" s="4">
        <f t="shared" si="132"/>
        <v>1512</v>
      </c>
      <c r="E82" s="4">
        <f t="shared" si="132"/>
        <v>1589</v>
      </c>
      <c r="F82" s="4">
        <f t="shared" si="132"/>
        <v>1650</v>
      </c>
      <c r="G82" s="4">
        <f t="shared" si="132"/>
        <v>1630</v>
      </c>
      <c r="H82" s="4">
        <f t="shared" si="132"/>
        <v>1646</v>
      </c>
      <c r="I82" s="4">
        <f t="shared" si="132"/>
        <v>1612</v>
      </c>
      <c r="J82" s="107">
        <f t="shared" si="132"/>
        <v>1602.8601546230848</v>
      </c>
      <c r="K82" s="107">
        <f t="shared" si="132"/>
        <v>1547.0909515306232</v>
      </c>
      <c r="L82" s="107">
        <f t="shared" si="132"/>
        <v>1493.6227325000109</v>
      </c>
      <c r="M82" s="107">
        <f t="shared" si="132"/>
        <v>1442.3501978500105</v>
      </c>
      <c r="N82" s="107">
        <f t="shared" si="132"/>
        <v>1393.1731178930104</v>
      </c>
      <c r="O82" s="107">
        <f t="shared" si="132"/>
        <v>1345.9960833351502</v>
      </c>
      <c r="P82" s="107">
        <f t="shared" si="132"/>
        <v>1300.7282680784469</v>
      </c>
      <c r="Q82" s="107">
        <f t="shared" si="132"/>
        <v>1257.283203806378</v>
      </c>
      <c r="R82" s="402">
        <f>(N82/J82)^(1/($N$1-$J$1))-1</f>
        <v>-3.444423050175216E-2</v>
      </c>
      <c r="S82" s="1026"/>
      <c r="T82" s="1026"/>
      <c r="U82" s="1026"/>
      <c r="W82" s="4">
        <f t="shared" ref="W82:AP82" si="133">+W85+W87</f>
        <v>384</v>
      </c>
      <c r="X82" s="4">
        <f t="shared" si="133"/>
        <v>417</v>
      </c>
      <c r="Y82" s="4">
        <f t="shared" si="133"/>
        <v>433</v>
      </c>
      <c r="Z82" s="4">
        <f t="shared" si="133"/>
        <v>416</v>
      </c>
      <c r="AA82" s="157">
        <f t="shared" si="133"/>
        <v>385</v>
      </c>
      <c r="AB82" s="4">
        <f t="shared" si="133"/>
        <v>413</v>
      </c>
      <c r="AC82" s="4">
        <f t="shared" si="133"/>
        <v>419</v>
      </c>
      <c r="AD82" s="107">
        <f t="shared" si="133"/>
        <v>413</v>
      </c>
      <c r="AE82" s="157">
        <f t="shared" si="133"/>
        <v>401</v>
      </c>
      <c r="AF82" s="4">
        <f t="shared" si="133"/>
        <v>424</v>
      </c>
      <c r="AG82" s="4">
        <f t="shared" si="133"/>
        <v>413</v>
      </c>
      <c r="AH82" s="107">
        <f t="shared" si="133"/>
        <v>408</v>
      </c>
      <c r="AI82" s="157">
        <f t="shared" si="133"/>
        <v>385</v>
      </c>
      <c r="AJ82" s="4">
        <f t="shared" si="133"/>
        <v>404</v>
      </c>
      <c r="AK82" s="141">
        <f t="shared" si="133"/>
        <v>402</v>
      </c>
      <c r="AL82" s="486">
        <f t="shared" si="133"/>
        <v>421</v>
      </c>
      <c r="AM82" s="157">
        <f t="shared" si="133"/>
        <v>400</v>
      </c>
      <c r="AN82" s="396">
        <f t="shared" si="133"/>
        <v>403.96344213110154</v>
      </c>
      <c r="AO82" s="396">
        <f t="shared" si="133"/>
        <v>396.74946434828541</v>
      </c>
      <c r="AP82" s="481">
        <f t="shared" si="133"/>
        <v>402.14724814369799</v>
      </c>
      <c r="AQ82" s="1350"/>
    </row>
    <row r="83" spans="1:43" s="1038" customFormat="1" ht="9.75" hidden="1" customHeight="1" outlineLevel="1">
      <c r="A83" s="1037" t="s">
        <v>14</v>
      </c>
      <c r="B83" s="10"/>
      <c r="C83" s="10">
        <f t="shared" ref="C83:Q83" si="134">C82/B82-1</f>
        <v>0.11773818745158793</v>
      </c>
      <c r="D83" s="10">
        <f t="shared" si="134"/>
        <v>4.7817047817047875E-2</v>
      </c>
      <c r="E83" s="10">
        <f t="shared" si="134"/>
        <v>5.0925925925925819E-2</v>
      </c>
      <c r="F83" s="10">
        <f t="shared" si="134"/>
        <v>3.8388923851478962E-2</v>
      </c>
      <c r="G83" s="10">
        <f t="shared" si="134"/>
        <v>-1.2121212121212088E-2</v>
      </c>
      <c r="H83" s="10">
        <f t="shared" si="134"/>
        <v>9.8159509202453421E-3</v>
      </c>
      <c r="I83" s="10">
        <f t="shared" si="134"/>
        <v>-2.0656136087484844E-2</v>
      </c>
      <c r="J83" s="10">
        <f t="shared" si="134"/>
        <v>-5.6698792660764274E-3</v>
      </c>
      <c r="K83" s="10">
        <f t="shared" si="134"/>
        <v>-3.4793555090634753E-2</v>
      </c>
      <c r="L83" s="10">
        <f t="shared" si="134"/>
        <v>-3.4560488494689512E-2</v>
      </c>
      <c r="M83" s="10">
        <f t="shared" si="134"/>
        <v>-3.4327634103547E-2</v>
      </c>
      <c r="N83" s="10">
        <f t="shared" si="134"/>
        <v>-3.4095103970106733E-2</v>
      </c>
      <c r="O83" s="10">
        <f t="shared" si="134"/>
        <v>-3.3863009522613563E-2</v>
      </c>
      <c r="P83" s="10">
        <f t="shared" si="134"/>
        <v>-3.3631461352054748E-2</v>
      </c>
      <c r="Q83" s="10">
        <f t="shared" si="134"/>
        <v>-3.3400569002970837E-2</v>
      </c>
      <c r="R83" s="1019"/>
      <c r="S83" s="10"/>
      <c r="T83" s="10"/>
      <c r="U83" s="10"/>
      <c r="V83" s="10"/>
      <c r="W83" s="10">
        <v>4.3478260869565188E-2</v>
      </c>
      <c r="X83" s="10">
        <v>3.2178217821782207E-2</v>
      </c>
      <c r="Y83" s="10">
        <v>7.9800498753117122E-2</v>
      </c>
      <c r="Z83" s="10">
        <v>0</v>
      </c>
      <c r="AA83" s="163">
        <f t="shared" ref="AA83:AH83" si="135">AA82/W82-1</f>
        <v>2.6041666666667407E-3</v>
      </c>
      <c r="AB83" s="10">
        <f t="shared" si="135"/>
        <v>-9.5923261390887804E-3</v>
      </c>
      <c r="AC83" s="10">
        <f t="shared" si="135"/>
        <v>-3.2332563510392598E-2</v>
      </c>
      <c r="AD83" s="10">
        <f t="shared" si="135"/>
        <v>-7.2115384615384359E-3</v>
      </c>
      <c r="AE83" s="163">
        <f t="shared" si="135"/>
        <v>4.1558441558441572E-2</v>
      </c>
      <c r="AF83" s="10">
        <f t="shared" si="135"/>
        <v>2.6634382566586012E-2</v>
      </c>
      <c r="AG83" s="10">
        <f t="shared" si="135"/>
        <v>-1.4319809069212375E-2</v>
      </c>
      <c r="AH83" s="10">
        <f t="shared" si="135"/>
        <v>-1.2106537530266359E-2</v>
      </c>
      <c r="AI83" s="163">
        <f>AI82/AE82-1</f>
        <v>-3.9900249376558561E-2</v>
      </c>
      <c r="AJ83" s="10">
        <f>AJ82/AF82-1</f>
        <v>-4.7169811320754707E-2</v>
      </c>
      <c r="AK83" s="10">
        <f>AK82/AG82-1</f>
        <v>-2.6634382566585901E-2</v>
      </c>
      <c r="AL83" s="482">
        <f>AL82/AH82-1</f>
        <v>3.1862745098039325E-2</v>
      </c>
      <c r="AM83" s="163">
        <f t="shared" ref="AM83:AP83" si="136">AM82/AI82-1</f>
        <v>3.8961038961038863E-2</v>
      </c>
      <c r="AN83" s="428">
        <f t="shared" si="136"/>
        <v>-9.0489774501101294E-5</v>
      </c>
      <c r="AO83" s="428">
        <f t="shared" si="136"/>
        <v>-1.3061033959488988E-2</v>
      </c>
      <c r="AP83" s="482">
        <f t="shared" si="136"/>
        <v>-4.4780883269125882E-2</v>
      </c>
      <c r="AQ83" s="1350"/>
    </row>
    <row r="84" spans="1:43" s="1038" customFormat="1" ht="9.75" hidden="1" customHeight="1" outlineLevel="1">
      <c r="A84" s="1037" t="s">
        <v>15</v>
      </c>
      <c r="B84" s="10"/>
      <c r="C84" s="10">
        <v>0.09</v>
      </c>
      <c r="D84" s="10">
        <v>0.08</v>
      </c>
      <c r="E84" s="10">
        <v>0.08</v>
      </c>
      <c r="F84" s="10">
        <v>0.06</v>
      </c>
      <c r="G84" s="10">
        <v>7.0000000000000007E-2</v>
      </c>
      <c r="H84" s="10">
        <v>0.03</v>
      </c>
      <c r="I84" s="10">
        <v>-0.01</v>
      </c>
      <c r="J84" s="10">
        <f t="shared" ref="J84:Q84" si="137">J83-((J88-J89)*J87/J82)</f>
        <v>-2.6764048198786538E-2</v>
      </c>
      <c r="K84" s="10">
        <f t="shared" si="137"/>
        <v>-3.4793555090634747E-2</v>
      </c>
      <c r="L84" s="10">
        <f t="shared" si="137"/>
        <v>-3.4560488494689505E-2</v>
      </c>
      <c r="M84" s="10">
        <f t="shared" si="137"/>
        <v>-3.4327634103546993E-2</v>
      </c>
      <c r="N84" s="10">
        <f t="shared" si="137"/>
        <v>-3.4095103970106726E-2</v>
      </c>
      <c r="O84" s="10">
        <f t="shared" si="137"/>
        <v>-3.3863009522613556E-2</v>
      </c>
      <c r="P84" s="10">
        <f t="shared" si="137"/>
        <v>-3.3631461352054741E-2</v>
      </c>
      <c r="Q84" s="10">
        <f t="shared" si="137"/>
        <v>-3.340056900297083E-2</v>
      </c>
      <c r="R84" s="1019"/>
      <c r="S84" s="10"/>
      <c r="T84" s="10"/>
      <c r="U84" s="10"/>
      <c r="V84" s="10"/>
      <c r="W84" s="10">
        <v>0.06</v>
      </c>
      <c r="X84" s="10">
        <v>0.03</v>
      </c>
      <c r="Y84" s="10">
        <v>0.09</v>
      </c>
      <c r="Z84" s="10">
        <v>0.05</v>
      </c>
      <c r="AA84" s="163">
        <v>0.08</v>
      </c>
      <c r="AB84" s="10">
        <v>0.09</v>
      </c>
      <c r="AC84" s="10">
        <v>0.05</v>
      </c>
      <c r="AD84" s="10">
        <v>7.0000000000000007E-2</v>
      </c>
      <c r="AE84" s="163">
        <v>0.08</v>
      </c>
      <c r="AF84" s="10">
        <v>0.05</v>
      </c>
      <c r="AG84" s="10">
        <v>0</v>
      </c>
      <c r="AH84" s="10">
        <v>0.01</v>
      </c>
      <c r="AI84" s="163">
        <v>-0.03</v>
      </c>
      <c r="AJ84" s="10">
        <v>-0.01</v>
      </c>
      <c r="AK84" s="10">
        <v>-0.01</v>
      </c>
      <c r="AL84" s="482">
        <v>0.03</v>
      </c>
      <c r="AM84" s="163">
        <v>0</v>
      </c>
      <c r="AN84" s="428">
        <f t="shared" ref="AN84:AO84" si="138">AN83-((AN88-AN89)*AN87/AN82)</f>
        <v>-2.7245282529598E-2</v>
      </c>
      <c r="AO84" s="428">
        <f t="shared" si="138"/>
        <v>-2.5714085036638877E-2</v>
      </c>
      <c r="AP84" s="482"/>
      <c r="AQ84" s="1350"/>
    </row>
    <row r="85" spans="1:43" s="1038" customFormat="1" ht="12.75" hidden="1" customHeight="1" outlineLevel="1">
      <c r="A85" s="2" t="s">
        <v>72</v>
      </c>
      <c r="B85" s="4">
        <v>511</v>
      </c>
      <c r="C85" s="4">
        <v>574</v>
      </c>
      <c r="D85" s="4">
        <v>649</v>
      </c>
      <c r="E85" s="4">
        <v>710</v>
      </c>
      <c r="F85" s="4">
        <v>751</v>
      </c>
      <c r="G85" s="4">
        <v>823</v>
      </c>
      <c r="H85" s="4">
        <v>853</v>
      </c>
      <c r="I85" s="4">
        <v>832</v>
      </c>
      <c r="J85" s="107">
        <f t="shared" ref="J85:Q85" si="139">I85+I85*J86</f>
        <v>790.4</v>
      </c>
      <c r="K85" s="107">
        <f t="shared" si="139"/>
        <v>750.88</v>
      </c>
      <c r="L85" s="107">
        <f t="shared" si="139"/>
        <v>713.33600000000001</v>
      </c>
      <c r="M85" s="107">
        <f t="shared" si="139"/>
        <v>677.66920000000005</v>
      </c>
      <c r="N85" s="107">
        <f t="shared" si="139"/>
        <v>643.78574000000003</v>
      </c>
      <c r="O85" s="107">
        <f t="shared" si="139"/>
        <v>611.596453</v>
      </c>
      <c r="P85" s="107">
        <f t="shared" si="139"/>
        <v>581.01663035000001</v>
      </c>
      <c r="Q85" s="107">
        <f t="shared" si="139"/>
        <v>551.96579883250001</v>
      </c>
      <c r="R85" s="1019">
        <f>(N85/J85)^(1/($N$1-$J$1))-1</f>
        <v>-4.9999999999999933E-2</v>
      </c>
      <c r="S85" s="10"/>
      <c r="T85" s="10"/>
      <c r="U85" s="10"/>
      <c r="V85" s="10"/>
      <c r="W85" s="4">
        <v>162</v>
      </c>
      <c r="X85" s="4">
        <v>185</v>
      </c>
      <c r="Y85" s="4">
        <v>206</v>
      </c>
      <c r="Z85" s="4">
        <v>198</v>
      </c>
      <c r="AA85" s="157">
        <v>193</v>
      </c>
      <c r="AB85" s="4">
        <v>209</v>
      </c>
      <c r="AC85" s="4">
        <v>216</v>
      </c>
      <c r="AD85" s="107">
        <f>G85-AC85-AB85-AA85</f>
        <v>205</v>
      </c>
      <c r="AE85" s="157">
        <v>209</v>
      </c>
      <c r="AF85" s="4">
        <v>217</v>
      </c>
      <c r="AG85" s="4">
        <v>209</v>
      </c>
      <c r="AH85" s="107">
        <f>H85-AE85-AF85-AG85</f>
        <v>218</v>
      </c>
      <c r="AI85" s="157">
        <v>206</v>
      </c>
      <c r="AJ85" s="4">
        <v>209</v>
      </c>
      <c r="AK85" s="4">
        <v>203</v>
      </c>
      <c r="AL85" s="489">
        <f>I85-AI85-AJ85-AK85</f>
        <v>214</v>
      </c>
      <c r="AM85" s="157">
        <v>196</v>
      </c>
      <c r="AN85" s="396">
        <f t="shared" ref="AN85:AO85" si="140">AJ85+AJ85*AN86</f>
        <v>198.55</v>
      </c>
      <c r="AO85" s="396">
        <f t="shared" si="140"/>
        <v>192.85</v>
      </c>
      <c r="AP85" s="481">
        <f>J85-AM85-AN85-AO85</f>
        <v>202.99999999999997</v>
      </c>
      <c r="AQ85" s="1350"/>
    </row>
    <row r="86" spans="1:43" s="1038" customFormat="1" ht="9.75" hidden="1" customHeight="1" outlineLevel="1">
      <c r="A86" s="2" t="s">
        <v>14</v>
      </c>
      <c r="B86" s="10"/>
      <c r="C86" s="10">
        <f t="shared" ref="C86:I86" si="141">C85/B85-1</f>
        <v>0.12328767123287676</v>
      </c>
      <c r="D86" s="10">
        <f t="shared" si="141"/>
        <v>0.13066202090592327</v>
      </c>
      <c r="E86" s="10">
        <f t="shared" si="141"/>
        <v>9.3990755007704152E-2</v>
      </c>
      <c r="F86" s="10">
        <f t="shared" si="141"/>
        <v>5.774647887323936E-2</v>
      </c>
      <c r="G86" s="10">
        <f t="shared" si="141"/>
        <v>9.5872170439414095E-2</v>
      </c>
      <c r="H86" s="10">
        <f t="shared" si="141"/>
        <v>3.6452004860267229E-2</v>
      </c>
      <c r="I86" s="10">
        <f t="shared" si="141"/>
        <v>-2.4618991793669442E-2</v>
      </c>
      <c r="J86" s="50">
        <v>-0.05</v>
      </c>
      <c r="K86" s="50">
        <v>-0.05</v>
      </c>
      <c r="L86" s="50">
        <v>-0.05</v>
      </c>
      <c r="M86" s="50">
        <v>-0.05</v>
      </c>
      <c r="N86" s="50">
        <v>-0.05</v>
      </c>
      <c r="O86" s="50">
        <v>-0.05</v>
      </c>
      <c r="P86" s="50">
        <v>-0.05</v>
      </c>
      <c r="Q86" s="50">
        <v>-0.05</v>
      </c>
      <c r="R86" s="1019"/>
      <c r="S86" s="10"/>
      <c r="T86" s="10"/>
      <c r="U86" s="10"/>
      <c r="V86" s="10"/>
      <c r="W86" s="10">
        <v>-1.2195121951219523E-2</v>
      </c>
      <c r="X86" s="10">
        <v>5.1136363636363535E-2</v>
      </c>
      <c r="Y86" s="10">
        <v>0.11351351351351346</v>
      </c>
      <c r="Z86" s="10">
        <v>7.0270270270270219E-2</v>
      </c>
      <c r="AA86" s="163">
        <f t="shared" ref="AA86:AG86" si="142">AA85/W85-1</f>
        <v>0.19135802469135799</v>
      </c>
      <c r="AB86" s="10">
        <f t="shared" si="142"/>
        <v>0.12972972972972974</v>
      </c>
      <c r="AC86" s="10">
        <f t="shared" si="142"/>
        <v>4.8543689320388328E-2</v>
      </c>
      <c r="AD86" s="10">
        <f t="shared" si="142"/>
        <v>3.5353535353535248E-2</v>
      </c>
      <c r="AE86" s="163">
        <f t="shared" si="142"/>
        <v>8.290155440414515E-2</v>
      </c>
      <c r="AF86" s="10">
        <f t="shared" si="142"/>
        <v>3.8277511961722466E-2</v>
      </c>
      <c r="AG86" s="10">
        <f t="shared" si="142"/>
        <v>-3.240740740740744E-2</v>
      </c>
      <c r="AH86" s="10">
        <f t="shared" ref="AH86:AM86" si="143">AH85/AD85-1</f>
        <v>6.341463414634152E-2</v>
      </c>
      <c r="AI86" s="163">
        <f t="shared" si="143"/>
        <v>-1.4354066985645897E-2</v>
      </c>
      <c r="AJ86" s="428">
        <f t="shared" si="143"/>
        <v>-3.686635944700456E-2</v>
      </c>
      <c r="AK86" s="428">
        <f t="shared" si="143"/>
        <v>-2.8708133971291905E-2</v>
      </c>
      <c r="AL86" s="482">
        <f t="shared" si="143"/>
        <v>-1.834862385321101E-2</v>
      </c>
      <c r="AM86" s="163">
        <f t="shared" si="143"/>
        <v>-4.8543689320388328E-2</v>
      </c>
      <c r="AN86" s="539">
        <v>-0.05</v>
      </c>
      <c r="AO86" s="539">
        <v>-0.05</v>
      </c>
      <c r="AP86" s="482">
        <f>AP85/AL85-1</f>
        <v>-5.1401869158878677E-2</v>
      </c>
      <c r="AQ86" s="1350"/>
    </row>
    <row r="87" spans="1:43" s="1038" customFormat="1" ht="12.75" hidden="1" customHeight="1" outlineLevel="1">
      <c r="A87" s="2" t="s">
        <v>73</v>
      </c>
      <c r="B87" s="4">
        <v>780</v>
      </c>
      <c r="C87" s="4">
        <v>869</v>
      </c>
      <c r="D87" s="4">
        <v>863</v>
      </c>
      <c r="E87" s="4">
        <v>879</v>
      </c>
      <c r="F87" s="4">
        <v>899</v>
      </c>
      <c r="G87" s="4">
        <v>807</v>
      </c>
      <c r="H87" s="4">
        <v>793</v>
      </c>
      <c r="I87" s="107">
        <v>780</v>
      </c>
      <c r="J87" s="107">
        <f t="shared" ref="J87:Q87" si="144">I87*(1+J89)*(1+J$32)</f>
        <v>812.46015462308492</v>
      </c>
      <c r="K87" s="107">
        <f t="shared" si="144"/>
        <v>796.21095153062322</v>
      </c>
      <c r="L87" s="107">
        <f t="shared" si="144"/>
        <v>780.28673250001077</v>
      </c>
      <c r="M87" s="107">
        <f t="shared" si="144"/>
        <v>764.6809978500105</v>
      </c>
      <c r="N87" s="107">
        <f t="shared" si="144"/>
        <v>749.38737789301024</v>
      </c>
      <c r="O87" s="107">
        <f t="shared" si="144"/>
        <v>734.39963033515005</v>
      </c>
      <c r="P87" s="107">
        <f t="shared" si="144"/>
        <v>719.71163772844704</v>
      </c>
      <c r="Q87" s="107">
        <f t="shared" si="144"/>
        <v>705.31740497387807</v>
      </c>
      <c r="R87" s="1019">
        <f>(N87/J87)^(1/($N$1-$J$1))-1</f>
        <v>-2.0000000000000018E-2</v>
      </c>
      <c r="S87" s="10"/>
      <c r="T87" s="10"/>
      <c r="U87" s="10"/>
      <c r="V87" s="10"/>
      <c r="W87" s="4">
        <v>222</v>
      </c>
      <c r="X87" s="4">
        <v>232</v>
      </c>
      <c r="Y87" s="4">
        <v>227</v>
      </c>
      <c r="Z87" s="4">
        <v>218</v>
      </c>
      <c r="AA87" s="157">
        <v>192</v>
      </c>
      <c r="AB87" s="4">
        <v>204</v>
      </c>
      <c r="AC87" s="4">
        <v>203</v>
      </c>
      <c r="AD87" s="107">
        <f>G87-AC87-AB87-AA87</f>
        <v>208</v>
      </c>
      <c r="AE87" s="157">
        <v>192</v>
      </c>
      <c r="AF87" s="4">
        <v>207</v>
      </c>
      <c r="AG87" s="4">
        <v>204</v>
      </c>
      <c r="AH87" s="107">
        <f>H87-AE87-AF87-AG87</f>
        <v>190</v>
      </c>
      <c r="AI87" s="157">
        <v>179</v>
      </c>
      <c r="AJ87" s="4">
        <v>195</v>
      </c>
      <c r="AK87" s="107">
        <v>199</v>
      </c>
      <c r="AL87" s="481">
        <f>I87-AI87-AJ87-AK87</f>
        <v>207</v>
      </c>
      <c r="AM87" s="157">
        <v>204</v>
      </c>
      <c r="AN87" s="396">
        <f>AJ87*(1+AN89)*(1+AN$32)</f>
        <v>205.41344213110153</v>
      </c>
      <c r="AO87" s="396">
        <f>AK87*(1+AO89)*(1+AO$32)</f>
        <v>203.89946434828539</v>
      </c>
      <c r="AP87" s="481">
        <f>J87-AM87-AN87-AO87</f>
        <v>199.14724814369799</v>
      </c>
      <c r="AQ87" s="1350"/>
    </row>
    <row r="88" spans="1:43" s="1038" customFormat="1" ht="9.75" hidden="1" customHeight="1" outlineLevel="1">
      <c r="A88" s="2" t="s">
        <v>14</v>
      </c>
      <c r="B88" s="10"/>
      <c r="C88" s="10">
        <f t="shared" ref="C88:Q88" si="145">C87/B87-1</f>
        <v>0.11410256410256414</v>
      </c>
      <c r="D88" s="10">
        <f t="shared" si="145"/>
        <v>-6.9044879171461515E-3</v>
      </c>
      <c r="E88" s="10">
        <f t="shared" si="145"/>
        <v>1.8539976825028948E-2</v>
      </c>
      <c r="F88" s="10">
        <f t="shared" si="145"/>
        <v>2.2753128555176305E-2</v>
      </c>
      <c r="G88" s="10">
        <f t="shared" si="145"/>
        <v>-0.1023359288097887</v>
      </c>
      <c r="H88" s="10">
        <f t="shared" si="145"/>
        <v>-1.7348203221809189E-2</v>
      </c>
      <c r="I88" s="10">
        <f t="shared" si="145"/>
        <v>-1.6393442622950838E-2</v>
      </c>
      <c r="J88" s="10">
        <f t="shared" si="145"/>
        <v>4.1615582850108801E-2</v>
      </c>
      <c r="K88" s="10">
        <f t="shared" si="145"/>
        <v>-2.0000000000000018E-2</v>
      </c>
      <c r="L88" s="10">
        <f t="shared" si="145"/>
        <v>-2.0000000000000018E-2</v>
      </c>
      <c r="M88" s="10">
        <f t="shared" si="145"/>
        <v>-2.0000000000000018E-2</v>
      </c>
      <c r="N88" s="10">
        <f t="shared" si="145"/>
        <v>-2.0000000000000018E-2</v>
      </c>
      <c r="O88" s="10">
        <f t="shared" si="145"/>
        <v>-2.0000000000000018E-2</v>
      </c>
      <c r="P88" s="10">
        <f t="shared" si="145"/>
        <v>-2.0000000000000018E-2</v>
      </c>
      <c r="Q88" s="10">
        <f t="shared" si="145"/>
        <v>-2.0000000000000018E-2</v>
      </c>
      <c r="R88" s="1019"/>
      <c r="S88" s="10"/>
      <c r="T88" s="10"/>
      <c r="U88" s="10"/>
      <c r="V88" s="10"/>
      <c r="W88" s="10">
        <v>8.8235294117646967E-2</v>
      </c>
      <c r="X88" s="10">
        <v>1.7543859649122862E-2</v>
      </c>
      <c r="Y88" s="10">
        <v>5.0925925925925819E-2</v>
      </c>
      <c r="Z88" s="10">
        <v>-5.6277056277056259E-2</v>
      </c>
      <c r="AA88" s="163">
        <f t="shared" ref="AA88:AH88" si="146">AA87/W87-1</f>
        <v>-0.13513513513513509</v>
      </c>
      <c r="AB88" s="10">
        <f t="shared" si="146"/>
        <v>-0.12068965517241381</v>
      </c>
      <c r="AC88" s="10">
        <f t="shared" si="146"/>
        <v>-0.10572687224669608</v>
      </c>
      <c r="AD88" s="10">
        <f t="shared" si="146"/>
        <v>-4.587155963302747E-2</v>
      </c>
      <c r="AE88" s="163">
        <f t="shared" si="146"/>
        <v>0</v>
      </c>
      <c r="AF88" s="10">
        <f t="shared" si="146"/>
        <v>1.4705882352941124E-2</v>
      </c>
      <c r="AG88" s="10">
        <f t="shared" si="146"/>
        <v>4.9261083743843415E-3</v>
      </c>
      <c r="AH88" s="10">
        <f t="shared" si="146"/>
        <v>-8.6538461538461564E-2</v>
      </c>
      <c r="AI88" s="163">
        <f>AI87/AE87-1</f>
        <v>-6.770833333333337E-2</v>
      </c>
      <c r="AJ88" s="10">
        <f>AJ87/AF87-1</f>
        <v>-5.7971014492753659E-2</v>
      </c>
      <c r="AK88" s="10">
        <f>AK87/AG87-1</f>
        <v>-2.4509803921568651E-2</v>
      </c>
      <c r="AL88" s="482">
        <f>AL87/AH87-1</f>
        <v>8.9473684210526372E-2</v>
      </c>
      <c r="AM88" s="163">
        <f t="shared" ref="AM88:AO88" si="147">AM87/AI87-1</f>
        <v>0.13966480446927365</v>
      </c>
      <c r="AN88" s="428">
        <f t="shared" si="147"/>
        <v>5.3402267338982234E-2</v>
      </c>
      <c r="AO88" s="428">
        <f t="shared" si="147"/>
        <v>2.46204238607306E-2</v>
      </c>
      <c r="AP88" s="482">
        <f>AP87/AL87-1</f>
        <v>-3.7935999305806822E-2</v>
      </c>
      <c r="AQ88" s="1350"/>
    </row>
    <row r="89" spans="1:43" s="1038" customFormat="1" ht="9.75" hidden="1" customHeight="1" outlineLevel="1">
      <c r="A89" s="2" t="s">
        <v>15</v>
      </c>
      <c r="B89" s="10"/>
      <c r="C89" s="10">
        <v>0.09</v>
      </c>
      <c r="D89" s="10">
        <v>0.05</v>
      </c>
      <c r="E89" s="10">
        <v>0.06</v>
      </c>
      <c r="F89" s="10">
        <v>0.06</v>
      </c>
      <c r="G89" s="10">
        <v>0.05</v>
      </c>
      <c r="H89" s="10">
        <v>0.03</v>
      </c>
      <c r="I89" s="10">
        <v>0.01</v>
      </c>
      <c r="J89" s="50">
        <v>0</v>
      </c>
      <c r="K89" s="50">
        <v>-0.02</v>
      </c>
      <c r="L89" s="50">
        <v>-0.02</v>
      </c>
      <c r="M89" s="50">
        <v>-0.02</v>
      </c>
      <c r="N89" s="50">
        <v>-0.02</v>
      </c>
      <c r="O89" s="50">
        <v>-0.02</v>
      </c>
      <c r="P89" s="50">
        <v>-0.02</v>
      </c>
      <c r="Q89" s="50">
        <v>-0.02</v>
      </c>
      <c r="R89" s="1019"/>
      <c r="S89" s="10"/>
      <c r="T89" s="10"/>
      <c r="U89" s="10"/>
      <c r="V89" s="10"/>
      <c r="W89" s="10">
        <v>0.12</v>
      </c>
      <c r="X89" s="10">
        <v>0.02</v>
      </c>
      <c r="Y89" s="10">
        <v>0.06</v>
      </c>
      <c r="Z89" s="10">
        <v>0.03</v>
      </c>
      <c r="AA89" s="163">
        <v>0.01</v>
      </c>
      <c r="AB89" s="10">
        <v>0.05</v>
      </c>
      <c r="AC89" s="10">
        <v>0.06</v>
      </c>
      <c r="AD89" s="10">
        <v>0.1</v>
      </c>
      <c r="AE89" s="163">
        <v>7.0000000000000007E-2</v>
      </c>
      <c r="AF89" s="10">
        <v>0.08</v>
      </c>
      <c r="AG89" s="10">
        <v>0.04</v>
      </c>
      <c r="AH89" s="10">
        <v>-0.05</v>
      </c>
      <c r="AI89" s="163">
        <v>-0.06</v>
      </c>
      <c r="AJ89" s="10">
        <v>0.02</v>
      </c>
      <c r="AK89" s="10">
        <v>0.01</v>
      </c>
      <c r="AL89" s="482">
        <v>0.08</v>
      </c>
      <c r="AM89" s="163">
        <v>0.06</v>
      </c>
      <c r="AN89" s="539">
        <v>0</v>
      </c>
      <c r="AO89" s="539">
        <v>0</v>
      </c>
      <c r="AP89" s="497"/>
      <c r="AQ89" s="1350"/>
    </row>
    <row r="90" spans="1:43" ht="12.75" customHeight="1" collapsed="1">
      <c r="A90" s="1025" t="s">
        <v>22</v>
      </c>
      <c r="B90" s="4">
        <v>762</v>
      </c>
      <c r="C90" s="4">
        <f t="shared" ref="C90:Q90" si="148">+C93+C95</f>
        <v>850</v>
      </c>
      <c r="D90" s="4">
        <f t="shared" si="148"/>
        <v>870</v>
      </c>
      <c r="E90" s="4">
        <f t="shared" si="148"/>
        <v>893</v>
      </c>
      <c r="F90" s="4">
        <f t="shared" si="148"/>
        <v>926</v>
      </c>
      <c r="G90" s="4">
        <f t="shared" si="148"/>
        <v>917</v>
      </c>
      <c r="H90" s="4">
        <f t="shared" si="148"/>
        <v>956</v>
      </c>
      <c r="I90" s="107">
        <f t="shared" si="148"/>
        <v>1059</v>
      </c>
      <c r="J90" s="107">
        <f t="shared" si="148"/>
        <v>1139.838043382573</v>
      </c>
      <c r="K90" s="135">
        <f t="shared" si="148"/>
        <v>879.24718468405024</v>
      </c>
      <c r="L90" s="107">
        <f t="shared" si="148"/>
        <v>674.80160022457176</v>
      </c>
      <c r="M90" s="135">
        <f t="shared" si="148"/>
        <v>359.64880011228587</v>
      </c>
      <c r="N90" s="107">
        <f t="shared" si="148"/>
        <v>106.97036002245716</v>
      </c>
      <c r="O90" s="107">
        <f t="shared" si="148"/>
        <v>96.273324020211447</v>
      </c>
      <c r="P90" s="107">
        <f t="shared" si="148"/>
        <v>86.645991618190294</v>
      </c>
      <c r="Q90" s="107">
        <f t="shared" si="148"/>
        <v>77.981392456371267</v>
      </c>
      <c r="R90" s="402">
        <f>(N90/J90)^(1/($N$1-$J$1))-1</f>
        <v>-0.44651599174034617</v>
      </c>
      <c r="S90" s="1026"/>
      <c r="T90" s="1026"/>
      <c r="U90" s="1026"/>
      <c r="W90" s="4">
        <f t="shared" ref="W90:AP90" si="149">+W93+W95</f>
        <v>208</v>
      </c>
      <c r="X90" s="4">
        <f t="shared" si="149"/>
        <v>244</v>
      </c>
      <c r="Y90" s="4">
        <f t="shared" si="149"/>
        <v>231</v>
      </c>
      <c r="Z90" s="4">
        <f t="shared" si="149"/>
        <v>243</v>
      </c>
      <c r="AA90" s="157">
        <f t="shared" si="149"/>
        <v>194</v>
      </c>
      <c r="AB90" s="4">
        <f t="shared" si="149"/>
        <v>262</v>
      </c>
      <c r="AC90" s="4">
        <f t="shared" si="149"/>
        <v>213</v>
      </c>
      <c r="AD90" s="107">
        <f t="shared" si="149"/>
        <v>248</v>
      </c>
      <c r="AE90" s="157">
        <f t="shared" si="149"/>
        <v>223</v>
      </c>
      <c r="AF90" s="4">
        <f t="shared" si="149"/>
        <v>254</v>
      </c>
      <c r="AG90" s="4">
        <f t="shared" si="149"/>
        <v>242</v>
      </c>
      <c r="AH90" s="107">
        <f t="shared" si="149"/>
        <v>237</v>
      </c>
      <c r="AI90" s="157">
        <f t="shared" si="149"/>
        <v>247</v>
      </c>
      <c r="AJ90" s="4">
        <f t="shared" si="149"/>
        <v>267</v>
      </c>
      <c r="AK90" s="107">
        <f t="shared" si="149"/>
        <v>264</v>
      </c>
      <c r="AL90" s="481">
        <f t="shared" si="149"/>
        <v>281</v>
      </c>
      <c r="AM90" s="157">
        <f t="shared" si="149"/>
        <v>261</v>
      </c>
      <c r="AN90" s="396">
        <f t="shared" si="149"/>
        <v>289.04058960884464</v>
      </c>
      <c r="AO90" s="396">
        <f t="shared" si="149"/>
        <v>281.86739282810493</v>
      </c>
      <c r="AP90" s="481">
        <f t="shared" si="149"/>
        <v>307.93006094562338</v>
      </c>
      <c r="AQ90" s="1350"/>
    </row>
    <row r="91" spans="1:43" s="1038" customFormat="1" ht="9.75" hidden="1" customHeight="1" outlineLevel="1">
      <c r="A91" s="1037" t="s">
        <v>14</v>
      </c>
      <c r="B91" s="10"/>
      <c r="C91" s="10"/>
      <c r="D91" s="10">
        <f t="shared" ref="D91:Q91" si="150">D90/C90-1</f>
        <v>2.3529411764705799E-2</v>
      </c>
      <c r="E91" s="10">
        <f t="shared" si="150"/>
        <v>2.6436781609195492E-2</v>
      </c>
      <c r="F91" s="10">
        <f t="shared" si="150"/>
        <v>3.6954087346024567E-2</v>
      </c>
      <c r="G91" s="10">
        <f t="shared" si="150"/>
        <v>-9.7192224622030254E-3</v>
      </c>
      <c r="H91" s="10">
        <f t="shared" si="150"/>
        <v>4.2529989094874487E-2</v>
      </c>
      <c r="I91" s="10">
        <f t="shared" si="150"/>
        <v>0.10774058577405854</v>
      </c>
      <c r="J91" s="10">
        <f t="shared" si="150"/>
        <v>7.6334318585999039E-2</v>
      </c>
      <c r="K91" s="10">
        <f t="shared" si="150"/>
        <v>-0.22862095208297817</v>
      </c>
      <c r="L91" s="10">
        <f t="shared" si="150"/>
        <v>-0.2325234450798318</v>
      </c>
      <c r="M91" s="10">
        <f t="shared" si="150"/>
        <v>-0.46703030936412138</v>
      </c>
      <c r="N91" s="10">
        <f t="shared" si="150"/>
        <v>-0.70256995160539959</v>
      </c>
      <c r="O91" s="10">
        <f t="shared" si="150"/>
        <v>-9.9999999999999978E-2</v>
      </c>
      <c r="P91" s="10">
        <f t="shared" si="150"/>
        <v>-0.10000000000000009</v>
      </c>
      <c r="Q91" s="10">
        <f t="shared" si="150"/>
        <v>-9.9999999999999978E-2</v>
      </c>
      <c r="R91" s="1019"/>
      <c r="S91" s="10"/>
      <c r="T91" s="10"/>
      <c r="U91" s="10"/>
      <c r="V91" s="10"/>
      <c r="W91" s="10">
        <v>2.4630541871921263E-2</v>
      </c>
      <c r="X91" s="10">
        <v>4.2735042735042805E-2</v>
      </c>
      <c r="Y91" s="10">
        <v>8.9622641509433887E-2</v>
      </c>
      <c r="Z91" s="10">
        <v>-4.098360655737654E-3</v>
      </c>
      <c r="AA91" s="163">
        <f t="shared" ref="AA91:AH91" si="151">AA90/W90-1</f>
        <v>-6.7307692307692291E-2</v>
      </c>
      <c r="AB91" s="10">
        <f t="shared" si="151"/>
        <v>7.3770491803278659E-2</v>
      </c>
      <c r="AC91" s="10">
        <f t="shared" si="151"/>
        <v>-7.7922077922077948E-2</v>
      </c>
      <c r="AD91" s="10">
        <f t="shared" si="151"/>
        <v>2.0576131687242816E-2</v>
      </c>
      <c r="AE91" s="163">
        <f t="shared" si="151"/>
        <v>0.14948453608247414</v>
      </c>
      <c r="AF91" s="10">
        <f t="shared" si="151"/>
        <v>-3.0534351145038219E-2</v>
      </c>
      <c r="AG91" s="10">
        <f t="shared" si="151"/>
        <v>0.136150234741784</v>
      </c>
      <c r="AH91" s="10">
        <f t="shared" si="151"/>
        <v>-4.435483870967738E-2</v>
      </c>
      <c r="AI91" s="163">
        <f>AI90/AE90-1</f>
        <v>0.10762331838565031</v>
      </c>
      <c r="AJ91" s="10">
        <f>AJ90/AF90-1</f>
        <v>5.1181102362204633E-2</v>
      </c>
      <c r="AK91" s="10">
        <f>AK90/AG90-1</f>
        <v>9.0909090909090828E-2</v>
      </c>
      <c r="AL91" s="482">
        <f>AL90/AH90-1</f>
        <v>0.18565400843881852</v>
      </c>
      <c r="AM91" s="163">
        <f t="shared" ref="AM91:AP91" si="152">AM90/AI90-1</f>
        <v>5.6680161943319929E-2</v>
      </c>
      <c r="AN91" s="428">
        <f t="shared" si="152"/>
        <v>8.254902475222714E-2</v>
      </c>
      <c r="AO91" s="428">
        <f t="shared" si="152"/>
        <v>6.7679518288276341E-2</v>
      </c>
      <c r="AP91" s="482">
        <f t="shared" si="152"/>
        <v>9.5836515820723722E-2</v>
      </c>
      <c r="AQ91" s="1350"/>
    </row>
    <row r="92" spans="1:43" s="1038" customFormat="1" ht="9.75" hidden="1" customHeight="1" outlineLevel="1">
      <c r="A92" s="1037" t="s">
        <v>15</v>
      </c>
      <c r="B92" s="10"/>
      <c r="C92" s="10">
        <v>0.08</v>
      </c>
      <c r="D92" s="10">
        <v>7.0000000000000007E-2</v>
      </c>
      <c r="E92" s="10">
        <v>0.04</v>
      </c>
      <c r="F92" s="10">
        <v>0.06</v>
      </c>
      <c r="G92" s="10">
        <v>0.08</v>
      </c>
      <c r="H92" s="10">
        <v>0.06</v>
      </c>
      <c r="I92" s="10">
        <v>0.11</v>
      </c>
      <c r="J92" s="10">
        <f t="shared" ref="J92:Q92" si="153">J91-((J96-J97)*J95/J90)</f>
        <v>5.4386384303082569E-2</v>
      </c>
      <c r="K92" s="10">
        <f t="shared" si="153"/>
        <v>-0.2286209520829782</v>
      </c>
      <c r="L92" s="10">
        <f t="shared" si="153"/>
        <v>-0.23252344507983183</v>
      </c>
      <c r="M92" s="10">
        <f t="shared" si="153"/>
        <v>-0.46703030936412138</v>
      </c>
      <c r="N92" s="10">
        <f t="shared" si="153"/>
        <v>-0.70256995160539959</v>
      </c>
      <c r="O92" s="10">
        <f t="shared" si="153"/>
        <v>-9.9999999999999992E-2</v>
      </c>
      <c r="P92" s="10">
        <f t="shared" si="153"/>
        <v>-0.1000000000000001</v>
      </c>
      <c r="Q92" s="10">
        <f t="shared" si="153"/>
        <v>-9.9999999999999992E-2</v>
      </c>
      <c r="R92" s="1019"/>
      <c r="S92" s="10"/>
      <c r="T92" s="10"/>
      <c r="U92" s="10"/>
      <c r="V92" s="10"/>
      <c r="W92" s="10">
        <v>0.05</v>
      </c>
      <c r="X92" s="10">
        <v>0.04</v>
      </c>
      <c r="Y92" s="10">
        <v>0.09</v>
      </c>
      <c r="Z92" s="10">
        <v>0.05</v>
      </c>
      <c r="AA92" s="163">
        <v>0.03</v>
      </c>
      <c r="AB92" s="10">
        <v>0.17</v>
      </c>
      <c r="AC92" s="10">
        <v>0.02</v>
      </c>
      <c r="AD92" s="10">
        <v>0.09</v>
      </c>
      <c r="AE92" s="163">
        <v>0.18</v>
      </c>
      <c r="AF92" s="10">
        <v>-0.01</v>
      </c>
      <c r="AG92" s="10">
        <v>0.14000000000000001</v>
      </c>
      <c r="AH92" s="10">
        <v>-0.03</v>
      </c>
      <c r="AI92" s="163">
        <v>0.12</v>
      </c>
      <c r="AJ92" s="10">
        <v>7.0000000000000007E-2</v>
      </c>
      <c r="AK92" s="10">
        <v>0.11</v>
      </c>
      <c r="AL92" s="482">
        <v>0.16</v>
      </c>
      <c r="AM92" s="163">
        <v>0.01</v>
      </c>
      <c r="AN92" s="428">
        <f t="shared" ref="AN92:AO92" si="154">AN91-((AN96-AN97)*AN95/AN90)</f>
        <v>5.4468289905875628E-2</v>
      </c>
      <c r="AO92" s="428">
        <f t="shared" si="154"/>
        <v>5.5146315228969331E-2</v>
      </c>
      <c r="AP92" s="482"/>
      <c r="AQ92" s="1350"/>
    </row>
    <row r="93" spans="1:43" s="1038" customFormat="1" ht="12.75" hidden="1" customHeight="1" outlineLevel="1">
      <c r="A93" s="2" t="s">
        <v>72</v>
      </c>
      <c r="B93" s="4"/>
      <c r="C93" s="4">
        <v>259</v>
      </c>
      <c r="D93" s="4">
        <v>251</v>
      </c>
      <c r="E93" s="4">
        <v>265</v>
      </c>
      <c r="F93" s="4">
        <v>307</v>
      </c>
      <c r="G93" s="4">
        <v>365</v>
      </c>
      <c r="H93" s="4">
        <v>447</v>
      </c>
      <c r="I93" s="107">
        <v>515</v>
      </c>
      <c r="J93" s="107">
        <f t="shared" ref="J93:Q93" si="155">I93+I93*J94</f>
        <v>556.20000000000005</v>
      </c>
      <c r="K93" s="135">
        <f t="shared" si="155"/>
        <v>278.10000000000002</v>
      </c>
      <c r="L93" s="107">
        <f t="shared" si="155"/>
        <v>55.620000000000005</v>
      </c>
      <c r="M93" s="141">
        <f t="shared" si="155"/>
        <v>50.058000000000007</v>
      </c>
      <c r="N93" s="107">
        <f t="shared" si="155"/>
        <v>45.052200000000006</v>
      </c>
      <c r="O93" s="107">
        <f t="shared" si="155"/>
        <v>40.546980000000005</v>
      </c>
      <c r="P93" s="107">
        <f t="shared" si="155"/>
        <v>36.492282000000003</v>
      </c>
      <c r="Q93" s="107">
        <f t="shared" si="155"/>
        <v>32.8430538</v>
      </c>
      <c r="R93" s="1019">
        <f>(N93/J93)^(1/($N$1-$J$1))-1</f>
        <v>-0.46651617698832315</v>
      </c>
      <c r="S93" s="10"/>
      <c r="T93" s="10"/>
      <c r="U93" s="10"/>
      <c r="V93" s="10"/>
      <c r="W93" s="4">
        <v>68</v>
      </c>
      <c r="X93" s="4">
        <v>74</v>
      </c>
      <c r="Y93" s="4">
        <v>84</v>
      </c>
      <c r="Z93" s="4">
        <v>81</v>
      </c>
      <c r="AA93" s="157">
        <v>71</v>
      </c>
      <c r="AB93" s="4">
        <v>107</v>
      </c>
      <c r="AC93" s="4">
        <v>90</v>
      </c>
      <c r="AD93" s="107">
        <f>G93-AC93-AB93-AA93</f>
        <v>97</v>
      </c>
      <c r="AE93" s="157">
        <v>105</v>
      </c>
      <c r="AF93" s="4">
        <v>122</v>
      </c>
      <c r="AG93" s="4">
        <v>114</v>
      </c>
      <c r="AH93" s="107">
        <f>H93-AE93-AF93-AG93</f>
        <v>106</v>
      </c>
      <c r="AI93" s="157">
        <v>113</v>
      </c>
      <c r="AJ93" s="4">
        <v>131</v>
      </c>
      <c r="AK93" s="107">
        <v>132</v>
      </c>
      <c r="AL93" s="481">
        <f>I93-AI93-AJ93-AK93</f>
        <v>139</v>
      </c>
      <c r="AM93" s="157">
        <v>116</v>
      </c>
      <c r="AN93" s="396">
        <f t="shared" ref="AN93:AO93" si="156">AJ93+AJ93*AN94</f>
        <v>141.47999999999999</v>
      </c>
      <c r="AO93" s="396">
        <f t="shared" si="156"/>
        <v>142.56</v>
      </c>
      <c r="AP93" s="481">
        <f>J93-AM93-AN93-AO93</f>
        <v>156.16000000000003</v>
      </c>
      <c r="AQ93" s="1350"/>
    </row>
    <row r="94" spans="1:43" s="1038" customFormat="1" ht="9.75" hidden="1" customHeight="1" outlineLevel="1">
      <c r="A94" s="2" t="s">
        <v>14</v>
      </c>
      <c r="B94" s="10"/>
      <c r="C94" s="10"/>
      <c r="D94" s="10">
        <f t="shared" ref="D94:I94" si="157">D93/C93-1</f>
        <v>-3.0888030888030937E-2</v>
      </c>
      <c r="E94" s="10">
        <f t="shared" si="157"/>
        <v>5.5776892430278835E-2</v>
      </c>
      <c r="F94" s="10">
        <f t="shared" si="157"/>
        <v>0.15849056603773581</v>
      </c>
      <c r="G94" s="10">
        <f t="shared" si="157"/>
        <v>0.18892508143322484</v>
      </c>
      <c r="H94" s="10">
        <f t="shared" si="157"/>
        <v>0.22465753424657531</v>
      </c>
      <c r="I94" s="10">
        <f t="shared" si="157"/>
        <v>0.15212527964205824</v>
      </c>
      <c r="J94" s="50">
        <v>0.08</v>
      </c>
      <c r="K94" s="50">
        <v>-0.5</v>
      </c>
      <c r="L94" s="50">
        <v>-0.8</v>
      </c>
      <c r="M94" s="50">
        <v>-0.1</v>
      </c>
      <c r="N94" s="50">
        <v>-0.1</v>
      </c>
      <c r="O94" s="50">
        <v>-0.1</v>
      </c>
      <c r="P94" s="50">
        <v>-0.1</v>
      </c>
      <c r="Q94" s="50">
        <v>-0.1</v>
      </c>
      <c r="R94" s="1019"/>
      <c r="S94" s="10"/>
      <c r="T94" s="10"/>
      <c r="U94" s="10"/>
      <c r="V94" s="10"/>
      <c r="W94" s="10">
        <v>0.15254237288135597</v>
      </c>
      <c r="X94" s="10">
        <v>0.10447761194029859</v>
      </c>
      <c r="Y94" s="10">
        <v>0.02</v>
      </c>
      <c r="Z94" s="10">
        <v>0.14084507042253525</v>
      </c>
      <c r="AA94" s="163">
        <f t="shared" ref="AA94:AG94" si="158">AA93/W93-1</f>
        <v>4.4117647058823595E-2</v>
      </c>
      <c r="AB94" s="10">
        <f t="shared" si="158"/>
        <v>0.44594594594594605</v>
      </c>
      <c r="AC94" s="10">
        <f t="shared" si="158"/>
        <v>7.1428571428571397E-2</v>
      </c>
      <c r="AD94" s="10">
        <f t="shared" si="158"/>
        <v>0.19753086419753085</v>
      </c>
      <c r="AE94" s="163">
        <f t="shared" si="158"/>
        <v>0.47887323943661975</v>
      </c>
      <c r="AF94" s="10">
        <f t="shared" si="158"/>
        <v>0.14018691588785037</v>
      </c>
      <c r="AG94" s="10">
        <f t="shared" si="158"/>
        <v>0.26666666666666661</v>
      </c>
      <c r="AH94" s="10">
        <f t="shared" ref="AH94:AM94" si="159">AH93/AD93-1</f>
        <v>9.2783505154639068E-2</v>
      </c>
      <c r="AI94" s="163">
        <f t="shared" si="159"/>
        <v>7.6190476190476142E-2</v>
      </c>
      <c r="AJ94" s="428">
        <f t="shared" si="159"/>
        <v>7.3770491803278659E-2</v>
      </c>
      <c r="AK94" s="428">
        <f t="shared" si="159"/>
        <v>0.15789473684210531</v>
      </c>
      <c r="AL94" s="482">
        <f t="shared" si="159"/>
        <v>0.31132075471698117</v>
      </c>
      <c r="AM94" s="163">
        <f t="shared" si="159"/>
        <v>2.6548672566371723E-2</v>
      </c>
      <c r="AN94" s="539">
        <v>0.08</v>
      </c>
      <c r="AO94" s="539">
        <v>0.08</v>
      </c>
      <c r="AP94" s="482">
        <f>AP93/AL93-1</f>
        <v>0.12345323741007208</v>
      </c>
      <c r="AQ94" s="1350"/>
    </row>
    <row r="95" spans="1:43" s="1038" customFormat="1" ht="12.75" hidden="1" customHeight="1" outlineLevel="1">
      <c r="A95" s="2" t="s">
        <v>73</v>
      </c>
      <c r="B95" s="4"/>
      <c r="C95" s="4">
        <v>591</v>
      </c>
      <c r="D95" s="4">
        <v>619</v>
      </c>
      <c r="E95" s="4">
        <v>628</v>
      </c>
      <c r="F95" s="4">
        <v>619</v>
      </c>
      <c r="G95" s="4">
        <v>552</v>
      </c>
      <c r="H95" s="4">
        <v>509</v>
      </c>
      <c r="I95" s="107">
        <v>544</v>
      </c>
      <c r="J95" s="107">
        <f t="shared" ref="J95:Q95" si="160">I95*(1+J97)*(1+J$32)</f>
        <v>583.63804338257296</v>
      </c>
      <c r="K95" s="107">
        <f t="shared" si="160"/>
        <v>601.14718468405022</v>
      </c>
      <c r="L95" s="107">
        <f t="shared" si="160"/>
        <v>619.18160022457175</v>
      </c>
      <c r="M95" s="135">
        <f t="shared" si="160"/>
        <v>309.59080011228588</v>
      </c>
      <c r="N95" s="107">
        <f t="shared" si="160"/>
        <v>61.918160022457158</v>
      </c>
      <c r="O95" s="107">
        <f t="shared" si="160"/>
        <v>55.726344020211442</v>
      </c>
      <c r="P95" s="107">
        <f t="shared" si="160"/>
        <v>50.153709618190298</v>
      </c>
      <c r="Q95" s="107">
        <f t="shared" si="160"/>
        <v>45.138338656371268</v>
      </c>
      <c r="R95" s="1019">
        <f>(N95/J95)^(1/($N$1-$J$1))-1</f>
        <v>-0.42928588680728852</v>
      </c>
      <c r="S95" s="10"/>
      <c r="T95" s="10"/>
      <c r="U95" s="10"/>
      <c r="V95" s="10"/>
      <c r="W95" s="4">
        <v>140</v>
      </c>
      <c r="X95" s="4">
        <v>170</v>
      </c>
      <c r="Y95" s="4">
        <v>147</v>
      </c>
      <c r="Z95" s="4">
        <v>162</v>
      </c>
      <c r="AA95" s="157">
        <v>123</v>
      </c>
      <c r="AB95" s="4">
        <v>155</v>
      </c>
      <c r="AC95" s="4">
        <v>123</v>
      </c>
      <c r="AD95" s="107">
        <f>G95-AC95-AB95-AA95</f>
        <v>151</v>
      </c>
      <c r="AE95" s="157">
        <v>118</v>
      </c>
      <c r="AF95" s="4">
        <v>132</v>
      </c>
      <c r="AG95" s="4">
        <v>128</v>
      </c>
      <c r="AH95" s="107">
        <f>H95-AE95-AF95-AG95</f>
        <v>131</v>
      </c>
      <c r="AI95" s="157">
        <v>134</v>
      </c>
      <c r="AJ95" s="4">
        <v>136</v>
      </c>
      <c r="AK95" s="107">
        <v>132</v>
      </c>
      <c r="AL95" s="481">
        <f>I95-AI95-AJ95-AK95</f>
        <v>142</v>
      </c>
      <c r="AM95" s="157">
        <v>145</v>
      </c>
      <c r="AN95" s="396">
        <f>AJ95*(1+AN97)*(1+AN$32)</f>
        <v>147.56058960884465</v>
      </c>
      <c r="AO95" s="396">
        <f>AK95*(1+AO97)*(1+AO$32)</f>
        <v>139.30739282810495</v>
      </c>
      <c r="AP95" s="481">
        <f>J95-AM95-AN95-AO95</f>
        <v>151.77006094562333</v>
      </c>
      <c r="AQ95" s="1350"/>
    </row>
    <row r="96" spans="1:43" s="1038" customFormat="1" ht="9.75" hidden="1" customHeight="1" outlineLevel="1">
      <c r="A96" s="2" t="s">
        <v>14</v>
      </c>
      <c r="B96" s="10"/>
      <c r="C96" s="10"/>
      <c r="D96" s="10">
        <f t="shared" ref="D96:Q96" si="161">D95/C95-1</f>
        <v>4.7377326565143818E-2</v>
      </c>
      <c r="E96" s="10">
        <f t="shared" si="161"/>
        <v>1.4539579967689731E-2</v>
      </c>
      <c r="F96" s="10">
        <f t="shared" si="161"/>
        <v>-1.4331210191082855E-2</v>
      </c>
      <c r="G96" s="10">
        <f t="shared" si="161"/>
        <v>-0.10823909531502418</v>
      </c>
      <c r="H96" s="10">
        <f t="shared" si="161"/>
        <v>-7.7898550724637694E-2</v>
      </c>
      <c r="I96" s="10">
        <f t="shared" si="161"/>
        <v>6.8762278978389046E-2</v>
      </c>
      <c r="J96" s="10">
        <f t="shared" si="161"/>
        <v>7.2864050335612163E-2</v>
      </c>
      <c r="K96" s="10">
        <f t="shared" si="161"/>
        <v>3.0000000000000027E-2</v>
      </c>
      <c r="L96" s="10">
        <f t="shared" si="161"/>
        <v>3.0000000000000027E-2</v>
      </c>
      <c r="M96" s="10">
        <f t="shared" si="161"/>
        <v>-0.5</v>
      </c>
      <c r="N96" s="10">
        <f t="shared" si="161"/>
        <v>-0.8</v>
      </c>
      <c r="O96" s="10">
        <f t="shared" si="161"/>
        <v>-9.9999999999999978E-2</v>
      </c>
      <c r="P96" s="10">
        <f t="shared" si="161"/>
        <v>-9.9999999999999978E-2</v>
      </c>
      <c r="Q96" s="10">
        <f t="shared" si="161"/>
        <v>-9.9999999999999978E-2</v>
      </c>
      <c r="R96" s="1019"/>
      <c r="S96" s="10"/>
      <c r="T96" s="10"/>
      <c r="U96" s="10"/>
      <c r="V96" s="10"/>
      <c r="W96" s="10">
        <v>-2.777777777777779E-2</v>
      </c>
      <c r="X96" s="10">
        <v>1.7964071856287456E-2</v>
      </c>
      <c r="Y96" s="10">
        <v>2.0833333333333259E-2</v>
      </c>
      <c r="Z96" s="10">
        <v>-6.3583815028901758E-2</v>
      </c>
      <c r="AA96" s="163">
        <f t="shared" ref="AA96:AH96" si="162">AA95/W95-1</f>
        <v>-0.12142857142857144</v>
      </c>
      <c r="AB96" s="10">
        <f t="shared" si="162"/>
        <v>-8.8235294117647078E-2</v>
      </c>
      <c r="AC96" s="10">
        <f t="shared" si="162"/>
        <v>-0.16326530612244894</v>
      </c>
      <c r="AD96" s="10">
        <f t="shared" si="162"/>
        <v>-6.7901234567901203E-2</v>
      </c>
      <c r="AE96" s="163">
        <f t="shared" si="162"/>
        <v>-4.065040650406504E-2</v>
      </c>
      <c r="AF96" s="10">
        <f t="shared" si="162"/>
        <v>-0.14838709677419359</v>
      </c>
      <c r="AG96" s="10">
        <f t="shared" si="162"/>
        <v>4.0650406504065151E-2</v>
      </c>
      <c r="AH96" s="10">
        <f t="shared" si="162"/>
        <v>-0.13245033112582782</v>
      </c>
      <c r="AI96" s="163">
        <f>AI95/AE95-1</f>
        <v>0.13559322033898313</v>
      </c>
      <c r="AJ96" s="10">
        <f>AJ95/AF95-1</f>
        <v>3.0303030303030276E-2</v>
      </c>
      <c r="AK96" s="10">
        <f>AK95/AG95-1</f>
        <v>3.125E-2</v>
      </c>
      <c r="AL96" s="482">
        <f>AL95/AH95-1</f>
        <v>8.3969465648854991E-2</v>
      </c>
      <c r="AM96" s="163">
        <f t="shared" ref="AM96:AO96" si="163">AM95/AI95-1</f>
        <v>8.2089552238805874E-2</v>
      </c>
      <c r="AN96" s="428">
        <f t="shared" si="163"/>
        <v>8.5004335359151861E-2</v>
      </c>
      <c r="AO96" s="428">
        <f t="shared" si="163"/>
        <v>5.5359036576552612E-2</v>
      </c>
      <c r="AP96" s="482">
        <f>AP95/AL95-1</f>
        <v>6.8803246095938908E-2</v>
      </c>
      <c r="AQ96" s="1350"/>
    </row>
    <row r="97" spans="1:43" s="1038" customFormat="1" ht="9.75" hidden="1" customHeight="1" outlineLevel="1">
      <c r="A97" s="2" t="s">
        <v>15</v>
      </c>
      <c r="B97" s="10"/>
      <c r="C97" s="10">
        <v>0.13</v>
      </c>
      <c r="D97" s="10">
        <v>0.11</v>
      </c>
      <c r="E97" s="10">
        <v>0.04</v>
      </c>
      <c r="F97" s="10">
        <v>0.01</v>
      </c>
      <c r="G97" s="10">
        <v>0.03</v>
      </c>
      <c r="H97" s="10">
        <v>-0.06</v>
      </c>
      <c r="I97" s="10">
        <v>0.08</v>
      </c>
      <c r="J97" s="50">
        <v>0.03</v>
      </c>
      <c r="K97" s="50">
        <v>0.03</v>
      </c>
      <c r="L97" s="50">
        <v>0.03</v>
      </c>
      <c r="M97" s="50">
        <v>-0.5</v>
      </c>
      <c r="N97" s="50">
        <v>-0.8</v>
      </c>
      <c r="O97" s="50">
        <v>-0.1</v>
      </c>
      <c r="P97" s="50">
        <v>-0.1</v>
      </c>
      <c r="Q97" s="50">
        <v>-0.1</v>
      </c>
      <c r="R97" s="1019"/>
      <c r="S97" s="10"/>
      <c r="T97" s="10"/>
      <c r="U97" s="10"/>
      <c r="V97" s="10"/>
      <c r="W97" s="10">
        <v>0</v>
      </c>
      <c r="X97" s="10">
        <v>0.01</v>
      </c>
      <c r="Y97" s="10">
        <v>0.03</v>
      </c>
      <c r="Z97" s="10">
        <v>0.02</v>
      </c>
      <c r="AA97" s="163">
        <v>0.03</v>
      </c>
      <c r="AB97" s="10">
        <v>0.05</v>
      </c>
      <c r="AC97" s="10">
        <v>-0.01</v>
      </c>
      <c r="AD97" s="10">
        <v>0.04</v>
      </c>
      <c r="AE97" s="163">
        <v>0.01</v>
      </c>
      <c r="AF97" s="10">
        <v>-0.12</v>
      </c>
      <c r="AG97" s="10">
        <v>0.06</v>
      </c>
      <c r="AH97" s="10">
        <v>-0.12</v>
      </c>
      <c r="AI97" s="163">
        <v>0.17</v>
      </c>
      <c r="AJ97" s="10">
        <v>7.0000000000000007E-2</v>
      </c>
      <c r="AK97" s="10">
        <v>0.05</v>
      </c>
      <c r="AL97" s="482">
        <v>0.04</v>
      </c>
      <c r="AM97" s="163">
        <v>0</v>
      </c>
      <c r="AN97" s="539">
        <v>0.03</v>
      </c>
      <c r="AO97" s="539">
        <v>0.03</v>
      </c>
      <c r="AP97" s="497"/>
      <c r="AQ97" s="1350"/>
    </row>
    <row r="98" spans="1:43" ht="12.75" customHeight="1" collapsed="1">
      <c r="A98" s="1025" t="s">
        <v>23</v>
      </c>
      <c r="G98" s="4">
        <f t="shared" ref="G98:Q98" si="164">+G101+G103</f>
        <v>565</v>
      </c>
      <c r="H98" s="4">
        <f t="shared" si="164"/>
        <v>729</v>
      </c>
      <c r="I98" s="107">
        <f t="shared" si="164"/>
        <v>808</v>
      </c>
      <c r="J98" s="107">
        <f t="shared" si="164"/>
        <v>894.6259981334963</v>
      </c>
      <c r="K98" s="107">
        <f t="shared" si="164"/>
        <v>939.35729804017114</v>
      </c>
      <c r="L98" s="107">
        <f t="shared" si="164"/>
        <v>976.92346294217964</v>
      </c>
      <c r="M98" s="107">
        <f t="shared" si="164"/>
        <v>1016.0858850892887</v>
      </c>
      <c r="N98" s="135">
        <f t="shared" si="164"/>
        <v>842.46924991875312</v>
      </c>
      <c r="O98" s="107">
        <f t="shared" si="164"/>
        <v>630.24899239969079</v>
      </c>
      <c r="P98" s="107">
        <f t="shared" si="164"/>
        <v>649.1564621716816</v>
      </c>
      <c r="Q98" s="107">
        <f t="shared" si="164"/>
        <v>668.63115603683207</v>
      </c>
      <c r="R98" s="402">
        <f>(N98/J98)^(1/($N$1-$J$1))-1</f>
        <v>-1.490495216624832E-2</v>
      </c>
      <c r="S98" s="1026"/>
      <c r="T98" s="1026"/>
      <c r="U98" s="1026"/>
      <c r="AA98" s="157">
        <v>57</v>
      </c>
      <c r="AB98" s="4">
        <v>165</v>
      </c>
      <c r="AC98" s="4">
        <v>167</v>
      </c>
      <c r="AD98" s="107">
        <f t="shared" ref="AD98:AP98" si="165">+AD101+AD103</f>
        <v>176</v>
      </c>
      <c r="AE98" s="157">
        <f t="shared" si="165"/>
        <v>166</v>
      </c>
      <c r="AF98" s="4">
        <f t="shared" si="165"/>
        <v>188</v>
      </c>
      <c r="AG98" s="4">
        <f t="shared" si="165"/>
        <v>183</v>
      </c>
      <c r="AH98" s="107">
        <f t="shared" si="165"/>
        <v>192</v>
      </c>
      <c r="AI98" s="157">
        <f t="shared" si="165"/>
        <v>178</v>
      </c>
      <c r="AJ98" s="4">
        <f t="shared" si="165"/>
        <v>204</v>
      </c>
      <c r="AK98" s="107">
        <f t="shared" si="165"/>
        <v>213</v>
      </c>
      <c r="AL98" s="481">
        <f t="shared" si="165"/>
        <v>213</v>
      </c>
      <c r="AM98" s="157">
        <f t="shared" si="165"/>
        <v>214</v>
      </c>
      <c r="AN98" s="396">
        <f t="shared" si="165"/>
        <v>227.03262132711296</v>
      </c>
      <c r="AO98" s="396">
        <f t="shared" si="165"/>
        <v>233.9197607672221</v>
      </c>
      <c r="AP98" s="481">
        <f t="shared" si="165"/>
        <v>219.67361603916117</v>
      </c>
      <c r="AQ98" s="1350"/>
    </row>
    <row r="99" spans="1:43" s="1038" customFormat="1" ht="9.75" hidden="1" customHeight="1" outlineLevel="1">
      <c r="A99" s="1037" t="s">
        <v>14</v>
      </c>
      <c r="B99" s="10"/>
      <c r="C99" s="10"/>
      <c r="D99" s="10"/>
      <c r="E99" s="10"/>
      <c r="F99" s="10"/>
      <c r="G99" s="10"/>
      <c r="H99" s="10">
        <f t="shared" ref="H99:Q99" si="166">H98/G98-1</f>
        <v>0.29026548672566377</v>
      </c>
      <c r="I99" s="10">
        <f t="shared" si="166"/>
        <v>0.10836762688614532</v>
      </c>
      <c r="J99" s="10">
        <f t="shared" si="166"/>
        <v>0.10721039372957453</v>
      </c>
      <c r="K99" s="10">
        <f t="shared" si="166"/>
        <v>5.0000000000000044E-2</v>
      </c>
      <c r="L99" s="10">
        <f t="shared" si="166"/>
        <v>3.999134831909501E-2</v>
      </c>
      <c r="M99" s="10">
        <f t="shared" si="166"/>
        <v>4.0087502893179083E-2</v>
      </c>
      <c r="N99" s="10">
        <f t="shared" si="166"/>
        <v>-0.17086807101476365</v>
      </c>
      <c r="O99" s="10">
        <f t="shared" si="166"/>
        <v>-0.25190267483297302</v>
      </c>
      <c r="P99" s="10">
        <f t="shared" si="166"/>
        <v>3.0000000000000027E-2</v>
      </c>
      <c r="Q99" s="10">
        <f t="shared" si="166"/>
        <v>3.0000000000000027E-2</v>
      </c>
      <c r="R99" s="1019"/>
      <c r="S99" s="10"/>
      <c r="T99" s="10"/>
      <c r="U99" s="10"/>
      <c r="V99" s="10"/>
      <c r="W99" s="10"/>
      <c r="X99" s="10"/>
      <c r="Y99" s="10"/>
      <c r="Z99" s="10"/>
      <c r="AA99" s="163"/>
      <c r="AB99" s="10"/>
      <c r="AC99" s="10"/>
      <c r="AD99" s="10"/>
      <c r="AE99" s="163">
        <f t="shared" ref="AE99:AL99" si="167">AE98/AA98-1</f>
        <v>1.9122807017543861</v>
      </c>
      <c r="AF99" s="10">
        <f t="shared" si="167"/>
        <v>0.1393939393939394</v>
      </c>
      <c r="AG99" s="10">
        <f t="shared" si="167"/>
        <v>9.5808383233533023E-2</v>
      </c>
      <c r="AH99" s="10">
        <f t="shared" si="167"/>
        <v>9.0909090909090828E-2</v>
      </c>
      <c r="AI99" s="163">
        <f t="shared" si="167"/>
        <v>7.2289156626506035E-2</v>
      </c>
      <c r="AJ99" s="10">
        <f t="shared" si="167"/>
        <v>8.5106382978723305E-2</v>
      </c>
      <c r="AK99" s="10">
        <f t="shared" si="167"/>
        <v>0.16393442622950816</v>
      </c>
      <c r="AL99" s="482">
        <f t="shared" si="167"/>
        <v>0.109375</v>
      </c>
      <c r="AM99" s="163">
        <f t="shared" ref="AM99" si="168">AM98/AI98-1</f>
        <v>0.202247191011236</v>
      </c>
      <c r="AN99" s="428">
        <f t="shared" ref="AN99" si="169">AN98/AJ98-1</f>
        <v>0.11290500650545576</v>
      </c>
      <c r="AO99" s="428">
        <f t="shared" ref="AO99:AP99" si="170">AO98/AK98-1</f>
        <v>9.8214839282732891E-2</v>
      </c>
      <c r="AP99" s="482">
        <f t="shared" si="170"/>
        <v>3.1331530700287269E-2</v>
      </c>
      <c r="AQ99" s="1350"/>
    </row>
    <row r="100" spans="1:43" s="1038" customFormat="1" ht="9.75" hidden="1" customHeight="1" outlineLevel="1">
      <c r="A100" s="1037" t="s">
        <v>15</v>
      </c>
      <c r="B100" s="10"/>
      <c r="C100" s="10"/>
      <c r="D100" s="10"/>
      <c r="E100" s="10"/>
      <c r="F100" s="10"/>
      <c r="G100" s="10"/>
      <c r="H100" s="10"/>
      <c r="I100" s="10">
        <v>0.1</v>
      </c>
      <c r="J100" s="10">
        <f t="shared" ref="J100:Q100" si="171">J99-((J104-J105)*J103/J98)</f>
        <v>8.4965319298542924E-2</v>
      </c>
      <c r="K100" s="10">
        <f t="shared" si="171"/>
        <v>5.0000000000000024E-2</v>
      </c>
      <c r="L100" s="10">
        <f t="shared" si="171"/>
        <v>3.9991348319094989E-2</v>
      </c>
      <c r="M100" s="10">
        <f t="shared" si="171"/>
        <v>4.0087502893179063E-2</v>
      </c>
      <c r="N100" s="10">
        <f t="shared" si="171"/>
        <v>-0.17086807101476367</v>
      </c>
      <c r="O100" s="10">
        <f t="shared" si="171"/>
        <v>-0.25190267483297307</v>
      </c>
      <c r="P100" s="10">
        <f t="shared" si="171"/>
        <v>3.0000000000000002E-2</v>
      </c>
      <c r="Q100" s="10">
        <f t="shared" si="171"/>
        <v>3.0000000000000002E-2</v>
      </c>
      <c r="R100" s="1019"/>
      <c r="S100" s="10"/>
      <c r="T100" s="10"/>
      <c r="U100" s="10"/>
      <c r="V100" s="10"/>
      <c r="W100" s="10"/>
      <c r="X100" s="10"/>
      <c r="Y100" s="10"/>
      <c r="Z100" s="10"/>
      <c r="AA100" s="163"/>
      <c r="AB100" s="10"/>
      <c r="AC100" s="10"/>
      <c r="AD100" s="10"/>
      <c r="AE100" s="163"/>
      <c r="AF100" s="10">
        <v>0.15</v>
      </c>
      <c r="AG100" s="10">
        <v>0.09</v>
      </c>
      <c r="AH100" s="10">
        <v>0.1</v>
      </c>
      <c r="AI100" s="163">
        <v>0.08</v>
      </c>
      <c r="AJ100" s="10">
        <v>0.1</v>
      </c>
      <c r="AK100" s="10">
        <v>0.15</v>
      </c>
      <c r="AL100" s="482">
        <v>0.08</v>
      </c>
      <c r="AM100" s="163">
        <v>0.14000000000000001</v>
      </c>
      <c r="AN100" s="428">
        <f t="shared" ref="AN100:AO100" si="172">AN99-((AN104-AN105)*AN103/AN98)</f>
        <v>8.5387760183881029E-2</v>
      </c>
      <c r="AO100" s="428">
        <f t="shared" si="172"/>
        <v>8.5374026401266526E-2</v>
      </c>
      <c r="AP100" s="482"/>
      <c r="AQ100" s="1350"/>
    </row>
    <row r="101" spans="1:43" s="1038" customFormat="1" ht="12.75" hidden="1" customHeight="1" outlineLevel="1">
      <c r="A101" s="2" t="s">
        <v>72</v>
      </c>
      <c r="B101" s="4"/>
      <c r="C101" s="4"/>
      <c r="D101" s="4"/>
      <c r="E101" s="4"/>
      <c r="F101" s="4"/>
      <c r="G101" s="4">
        <v>287</v>
      </c>
      <c r="H101" s="4">
        <v>357</v>
      </c>
      <c r="I101" s="107">
        <v>407</v>
      </c>
      <c r="J101" s="107">
        <f t="shared" ref="J101:Q101" si="173">I101+I101*J102</f>
        <v>447.7</v>
      </c>
      <c r="K101" s="107">
        <f t="shared" si="173"/>
        <v>470.08499999999998</v>
      </c>
      <c r="L101" s="107">
        <f t="shared" si="173"/>
        <v>484.18754999999999</v>
      </c>
      <c r="M101" s="107">
        <f t="shared" si="173"/>
        <v>498.71317649999997</v>
      </c>
      <c r="N101" s="135">
        <f t="shared" si="173"/>
        <v>299.2279059</v>
      </c>
      <c r="O101" s="107">
        <f t="shared" si="173"/>
        <v>59.845581179999982</v>
      </c>
      <c r="P101" s="107">
        <f t="shared" si="173"/>
        <v>61.640948615399978</v>
      </c>
      <c r="Q101" s="107">
        <f t="shared" si="173"/>
        <v>63.490177073861979</v>
      </c>
      <c r="R101" s="1019">
        <f>(N101/J101)^(1/($N$1-$J$1))-1</f>
        <v>-9.582238740446658E-2</v>
      </c>
      <c r="S101" s="10"/>
      <c r="T101" s="10"/>
      <c r="U101" s="10"/>
      <c r="V101" s="10"/>
      <c r="W101" s="107"/>
      <c r="X101" s="107"/>
      <c r="Y101" s="107"/>
      <c r="Z101" s="107"/>
      <c r="AA101" s="166">
        <v>28</v>
      </c>
      <c r="AB101" s="107">
        <v>86</v>
      </c>
      <c r="AC101" s="107">
        <v>86</v>
      </c>
      <c r="AD101" s="107">
        <f>G101-AC101-AB101-AA101</f>
        <v>87</v>
      </c>
      <c r="AE101" s="166">
        <v>81</v>
      </c>
      <c r="AF101" s="107">
        <v>93</v>
      </c>
      <c r="AG101" s="107">
        <v>90</v>
      </c>
      <c r="AH101" s="107">
        <f>H101-AE101-AF101-AG101</f>
        <v>93</v>
      </c>
      <c r="AI101" s="166">
        <v>89</v>
      </c>
      <c r="AJ101" s="107">
        <v>107</v>
      </c>
      <c r="AK101" s="107">
        <v>109</v>
      </c>
      <c r="AL101" s="481">
        <f>I101-AI101-AJ101-AK101</f>
        <v>102</v>
      </c>
      <c r="AM101" s="166">
        <v>104</v>
      </c>
      <c r="AN101" s="396">
        <f t="shared" ref="AN101" si="174">AJ101+AJ101*AN102</f>
        <v>117.7</v>
      </c>
      <c r="AO101" s="396">
        <f t="shared" ref="AO101" si="175">AK101+AK101*AO102</f>
        <v>119.9</v>
      </c>
      <c r="AP101" s="481">
        <f>J101-AM101-AN101-AO101</f>
        <v>106.1</v>
      </c>
      <c r="AQ101" s="1350"/>
    </row>
    <row r="102" spans="1:43" s="1038" customFormat="1" ht="9.75" hidden="1" customHeight="1" outlineLevel="1">
      <c r="A102" s="2" t="s">
        <v>14</v>
      </c>
      <c r="B102" s="10"/>
      <c r="C102" s="10"/>
      <c r="D102" s="10"/>
      <c r="E102" s="10"/>
      <c r="F102" s="10"/>
      <c r="G102" s="10"/>
      <c r="H102" s="10">
        <f>H101/G101-1</f>
        <v>0.24390243902439024</v>
      </c>
      <c r="I102" s="10">
        <f>I101/H101-1</f>
        <v>0.14005602240896353</v>
      </c>
      <c r="J102" s="50">
        <v>0.1</v>
      </c>
      <c r="K102" s="50">
        <v>0.05</v>
      </c>
      <c r="L102" s="50">
        <v>0.03</v>
      </c>
      <c r="M102" s="50">
        <v>0.03</v>
      </c>
      <c r="N102" s="50">
        <v>-0.4</v>
      </c>
      <c r="O102" s="50">
        <v>-0.8</v>
      </c>
      <c r="P102" s="50">
        <v>0.03</v>
      </c>
      <c r="Q102" s="50">
        <v>0.03</v>
      </c>
      <c r="R102" s="1019"/>
      <c r="S102" s="10"/>
      <c r="T102" s="10"/>
      <c r="U102" s="10"/>
      <c r="V102" s="10"/>
      <c r="W102" s="10"/>
      <c r="X102" s="10"/>
      <c r="Y102" s="10"/>
      <c r="Z102" s="10"/>
      <c r="AA102" s="163"/>
      <c r="AB102" s="10"/>
      <c r="AC102" s="10"/>
      <c r="AD102" s="10"/>
      <c r="AE102" s="163">
        <f t="shared" ref="AE102:AK102" si="176">AE101/AA101-1</f>
        <v>1.8928571428571428</v>
      </c>
      <c r="AF102" s="10">
        <f t="shared" si="176"/>
        <v>8.1395348837209225E-2</v>
      </c>
      <c r="AG102" s="10">
        <f t="shared" si="176"/>
        <v>4.6511627906976827E-2</v>
      </c>
      <c r="AH102" s="10">
        <f t="shared" si="176"/>
        <v>6.8965517241379226E-2</v>
      </c>
      <c r="AI102" s="163">
        <f t="shared" si="176"/>
        <v>9.8765432098765427E-2</v>
      </c>
      <c r="AJ102" s="428">
        <f t="shared" si="176"/>
        <v>0.15053763440860224</v>
      </c>
      <c r="AK102" s="428">
        <f t="shared" si="176"/>
        <v>0.21111111111111103</v>
      </c>
      <c r="AL102" s="482">
        <f>AL101/AH101-1</f>
        <v>9.6774193548387011E-2</v>
      </c>
      <c r="AM102" s="163">
        <f>AM101/AI101-1</f>
        <v>0.1685393258426966</v>
      </c>
      <c r="AN102" s="539">
        <v>0.1</v>
      </c>
      <c r="AO102" s="539">
        <v>0.1</v>
      </c>
      <c r="AP102" s="482">
        <f>AP101/AL101-1</f>
        <v>4.0196078431372406E-2</v>
      </c>
      <c r="AQ102" s="1350"/>
    </row>
    <row r="103" spans="1:43" s="1038" customFormat="1" ht="12.75" hidden="1" customHeight="1" outlineLevel="1">
      <c r="A103" s="2" t="s">
        <v>73</v>
      </c>
      <c r="B103" s="4"/>
      <c r="C103" s="4"/>
      <c r="D103" s="4"/>
      <c r="E103" s="4"/>
      <c r="F103" s="4"/>
      <c r="G103" s="4">
        <v>278</v>
      </c>
      <c r="H103" s="4">
        <v>372</v>
      </c>
      <c r="I103" s="107">
        <v>401</v>
      </c>
      <c r="J103" s="107">
        <f t="shared" ref="J103:Q103" si="177">I103*(1+J105)*(1+J$32)</f>
        <v>446.92599813349625</v>
      </c>
      <c r="K103" s="107">
        <f t="shared" si="177"/>
        <v>469.27229804017111</v>
      </c>
      <c r="L103" s="107">
        <f t="shared" si="177"/>
        <v>492.73591294217971</v>
      </c>
      <c r="M103" s="107">
        <f t="shared" si="177"/>
        <v>517.37270858928866</v>
      </c>
      <c r="N103" s="107">
        <f t="shared" si="177"/>
        <v>543.24134401875313</v>
      </c>
      <c r="O103" s="107">
        <f t="shared" si="177"/>
        <v>570.40341121969084</v>
      </c>
      <c r="P103" s="107">
        <f t="shared" si="177"/>
        <v>587.51551355628158</v>
      </c>
      <c r="Q103" s="107">
        <f t="shared" si="177"/>
        <v>605.14097896297005</v>
      </c>
      <c r="R103" s="1019">
        <f>(N103/J103)^(1/($N$1-$J$1))-1</f>
        <v>5.0000000000000044E-2</v>
      </c>
      <c r="S103" s="10"/>
      <c r="T103" s="10"/>
      <c r="U103" s="10"/>
      <c r="V103" s="10"/>
      <c r="W103" s="107"/>
      <c r="X103" s="107"/>
      <c r="Y103" s="107"/>
      <c r="Z103" s="107"/>
      <c r="AA103" s="166">
        <v>29</v>
      </c>
      <c r="AB103" s="107">
        <v>79</v>
      </c>
      <c r="AC103" s="107">
        <v>81</v>
      </c>
      <c r="AD103" s="107">
        <f>G103-AC103-AB103-AA103</f>
        <v>89</v>
      </c>
      <c r="AE103" s="166">
        <v>85</v>
      </c>
      <c r="AF103" s="107">
        <v>95</v>
      </c>
      <c r="AG103" s="107">
        <v>93</v>
      </c>
      <c r="AH103" s="107">
        <f>H103-AE103-AF103-AG103</f>
        <v>99</v>
      </c>
      <c r="AI103" s="166">
        <v>89</v>
      </c>
      <c r="AJ103" s="107">
        <v>97</v>
      </c>
      <c r="AK103" s="107">
        <v>104</v>
      </c>
      <c r="AL103" s="481">
        <f>I103-AI103-AJ103-AK103</f>
        <v>111</v>
      </c>
      <c r="AM103" s="166">
        <v>110</v>
      </c>
      <c r="AN103" s="396">
        <f>AJ103*(1+AN105)*(1+AN$32)</f>
        <v>109.33262132711297</v>
      </c>
      <c r="AO103" s="396">
        <f>AK103*(1+AO105)*(1+AO$32)</f>
        <v>114.0197607672221</v>
      </c>
      <c r="AP103" s="481">
        <f>J103-AM103-AN103-AO103</f>
        <v>113.57361603916118</v>
      </c>
      <c r="AQ103" s="1350"/>
    </row>
    <row r="104" spans="1:43" s="1038" customFormat="1" ht="9.75" hidden="1" customHeight="1" outlineLevel="1">
      <c r="A104" s="2" t="s">
        <v>14</v>
      </c>
      <c r="B104" s="10"/>
      <c r="C104" s="10"/>
      <c r="D104" s="10"/>
      <c r="E104" s="10"/>
      <c r="F104" s="10"/>
      <c r="G104" s="10"/>
      <c r="H104" s="10">
        <f>H103/G103-1</f>
        <v>0.33812949640287759</v>
      </c>
      <c r="I104" s="10">
        <f t="shared" ref="I104:Q104" si="178">I103/H103-1</f>
        <v>7.7956989247311759E-2</v>
      </c>
      <c r="J104" s="10">
        <f t="shared" si="178"/>
        <v>0.1145286736496165</v>
      </c>
      <c r="K104" s="10">
        <f t="shared" si="178"/>
        <v>5.0000000000000044E-2</v>
      </c>
      <c r="L104" s="10">
        <f t="shared" si="178"/>
        <v>5.0000000000000044E-2</v>
      </c>
      <c r="M104" s="10">
        <f t="shared" si="178"/>
        <v>5.0000000000000044E-2</v>
      </c>
      <c r="N104" s="10">
        <f t="shared" si="178"/>
        <v>5.0000000000000044E-2</v>
      </c>
      <c r="O104" s="10">
        <f t="shared" si="178"/>
        <v>5.0000000000000044E-2</v>
      </c>
      <c r="P104" s="10">
        <f t="shared" si="178"/>
        <v>3.0000000000000027E-2</v>
      </c>
      <c r="Q104" s="10">
        <f t="shared" si="178"/>
        <v>3.0000000000000027E-2</v>
      </c>
      <c r="R104" s="1019"/>
      <c r="S104" s="10"/>
      <c r="T104" s="10"/>
      <c r="U104" s="10"/>
      <c r="V104" s="10"/>
      <c r="W104" s="10"/>
      <c r="X104" s="10"/>
      <c r="Y104" s="10"/>
      <c r="Z104" s="10"/>
      <c r="AA104" s="163"/>
      <c r="AB104" s="10"/>
      <c r="AC104" s="10"/>
      <c r="AD104" s="10"/>
      <c r="AE104" s="163">
        <f t="shared" ref="AE104:AL104" si="179">AE103/AA103-1</f>
        <v>1.9310344827586206</v>
      </c>
      <c r="AF104" s="10">
        <f t="shared" si="179"/>
        <v>0.20253164556962022</v>
      </c>
      <c r="AG104" s="10">
        <f t="shared" si="179"/>
        <v>0.14814814814814814</v>
      </c>
      <c r="AH104" s="10">
        <f t="shared" si="179"/>
        <v>0.11235955056179781</v>
      </c>
      <c r="AI104" s="163">
        <f t="shared" si="179"/>
        <v>4.705882352941182E-2</v>
      </c>
      <c r="AJ104" s="428">
        <f t="shared" si="179"/>
        <v>2.1052631578947434E-2</v>
      </c>
      <c r="AK104" s="428">
        <f t="shared" si="179"/>
        <v>0.11827956989247301</v>
      </c>
      <c r="AL104" s="482">
        <f t="shared" si="179"/>
        <v>0.1212121212121211</v>
      </c>
      <c r="AM104" s="163">
        <f t="shared" ref="AM104" si="180">AM103/AI103-1</f>
        <v>0.23595505617977519</v>
      </c>
      <c r="AN104" s="428">
        <f t="shared" ref="AN104" si="181">AN103/AJ103-1</f>
        <v>0.12714042605271114</v>
      </c>
      <c r="AO104" s="428">
        <f t="shared" ref="AO104" si="182">AO103/AK103-1</f>
        <v>9.6343853530981738E-2</v>
      </c>
      <c r="AP104" s="482">
        <f>AP103/AL103-1</f>
        <v>2.3185730082533107E-2</v>
      </c>
      <c r="AQ104" s="1350"/>
    </row>
    <row r="105" spans="1:43" s="1038" customFormat="1" ht="9.75" hidden="1" customHeight="1" outlineLevel="1">
      <c r="A105" s="2" t="s">
        <v>15</v>
      </c>
      <c r="B105" s="10"/>
      <c r="C105" s="10"/>
      <c r="D105" s="10"/>
      <c r="E105" s="10"/>
      <c r="F105" s="10"/>
      <c r="G105" s="10"/>
      <c r="H105" s="10"/>
      <c r="I105" s="10">
        <v>7.0000000000000007E-2</v>
      </c>
      <c r="J105" s="50">
        <v>7.0000000000000007E-2</v>
      </c>
      <c r="K105" s="50">
        <v>0.05</v>
      </c>
      <c r="L105" s="50">
        <v>0.05</v>
      </c>
      <c r="M105" s="50">
        <v>0.05</v>
      </c>
      <c r="N105" s="50">
        <v>0.05</v>
      </c>
      <c r="O105" s="50">
        <v>0.05</v>
      </c>
      <c r="P105" s="50">
        <v>0.03</v>
      </c>
      <c r="Q105" s="50">
        <v>0.03</v>
      </c>
      <c r="R105" s="1019"/>
      <c r="S105" s="10"/>
      <c r="T105" s="10"/>
      <c r="U105" s="10"/>
      <c r="V105" s="10"/>
      <c r="W105" s="10"/>
      <c r="X105" s="10"/>
      <c r="Y105" s="10"/>
      <c r="Z105" s="10"/>
      <c r="AA105" s="163"/>
      <c r="AB105" s="10"/>
      <c r="AC105" s="11"/>
      <c r="AD105" s="10"/>
      <c r="AE105" s="163"/>
      <c r="AF105" s="10">
        <v>0.22</v>
      </c>
      <c r="AG105" s="10">
        <v>0.15</v>
      </c>
      <c r="AH105" s="10">
        <v>0.13</v>
      </c>
      <c r="AI105" s="163">
        <v>0.05</v>
      </c>
      <c r="AJ105" s="10">
        <v>0.06</v>
      </c>
      <c r="AK105" s="10">
        <v>0.1</v>
      </c>
      <c r="AL105" s="482">
        <v>0.08</v>
      </c>
      <c r="AM105" s="163">
        <v>0.13</v>
      </c>
      <c r="AN105" s="539">
        <v>7.0000000000000007E-2</v>
      </c>
      <c r="AO105" s="539">
        <v>7.0000000000000007E-2</v>
      </c>
      <c r="AP105" s="497"/>
      <c r="AQ105" s="1350"/>
    </row>
    <row r="106" spans="1:43" ht="12.75" customHeight="1" collapsed="1">
      <c r="A106" s="1025" t="s">
        <v>24</v>
      </c>
      <c r="G106" s="4">
        <f t="shared" ref="G106:Q106" si="183">+G109+G111</f>
        <v>453</v>
      </c>
      <c r="H106" s="4">
        <f t="shared" si="183"/>
        <v>672</v>
      </c>
      <c r="I106" s="107">
        <f t="shared" si="183"/>
        <v>873</v>
      </c>
      <c r="J106" s="107">
        <f t="shared" si="183"/>
        <v>1050.2739471276084</v>
      </c>
      <c r="K106" s="107">
        <f t="shared" si="183"/>
        <v>1102.7876444839887</v>
      </c>
      <c r="L106" s="107">
        <f t="shared" si="183"/>
        <v>1157.9270267081884</v>
      </c>
      <c r="M106" s="107">
        <f t="shared" si="183"/>
        <v>1215.8233780435976</v>
      </c>
      <c r="N106" s="107">
        <f t="shared" si="183"/>
        <v>1276.6145469457776</v>
      </c>
      <c r="O106" s="107">
        <f t="shared" si="183"/>
        <v>1314.912983354151</v>
      </c>
      <c r="P106" s="107">
        <f t="shared" si="183"/>
        <v>1354.3603728547755</v>
      </c>
      <c r="Q106" s="107">
        <f t="shared" si="183"/>
        <v>1394.9911840404188</v>
      </c>
      <c r="R106" s="402">
        <f>(N106/J106)^(1/($N$1-$J$1))-1</f>
        <v>5.0000000000000044E-2</v>
      </c>
      <c r="S106" s="1026"/>
      <c r="T106" s="1026"/>
      <c r="U106" s="1026"/>
      <c r="AA106" s="157">
        <f t="shared" ref="AA106:AP106" si="184">+AA109+AA111</f>
        <v>40</v>
      </c>
      <c r="AB106" s="4">
        <f t="shared" si="184"/>
        <v>131</v>
      </c>
      <c r="AC106" s="4">
        <f t="shared" si="184"/>
        <v>135</v>
      </c>
      <c r="AD106" s="4">
        <f t="shared" si="184"/>
        <v>147</v>
      </c>
      <c r="AE106" s="157">
        <f t="shared" si="184"/>
        <v>150</v>
      </c>
      <c r="AF106" s="4">
        <f t="shared" si="184"/>
        <v>172</v>
      </c>
      <c r="AG106" s="4">
        <f t="shared" si="184"/>
        <v>172</v>
      </c>
      <c r="AH106" s="107">
        <f t="shared" si="184"/>
        <v>178</v>
      </c>
      <c r="AI106" s="157">
        <f t="shared" si="184"/>
        <v>187</v>
      </c>
      <c r="AJ106" s="4">
        <f t="shared" si="184"/>
        <v>216</v>
      </c>
      <c r="AK106" s="4">
        <f>+AK109+AK111</f>
        <v>224</v>
      </c>
      <c r="AL106" s="481">
        <f t="shared" si="184"/>
        <v>246</v>
      </c>
      <c r="AM106" s="157">
        <f t="shared" si="184"/>
        <v>267</v>
      </c>
      <c r="AN106" s="396">
        <f t="shared" si="184"/>
        <v>261.31902254750327</v>
      </c>
      <c r="AO106" s="396">
        <f t="shared" si="184"/>
        <v>269.42624758615011</v>
      </c>
      <c r="AP106" s="481">
        <f t="shared" si="184"/>
        <v>252.528676993955</v>
      </c>
      <c r="AQ106" s="1350"/>
    </row>
    <row r="107" spans="1:43" s="1038" customFormat="1" ht="9.75" hidden="1" customHeight="1" outlineLevel="1">
      <c r="A107" s="1037" t="s">
        <v>14</v>
      </c>
      <c r="B107" s="10"/>
      <c r="C107" s="10"/>
      <c r="D107" s="10"/>
      <c r="E107" s="10"/>
      <c r="F107" s="10"/>
      <c r="G107" s="10"/>
      <c r="H107" s="10">
        <f t="shared" ref="H107:Q107" si="185">H106/G106-1</f>
        <v>0.48344370860927155</v>
      </c>
      <c r="I107" s="10">
        <f t="shared" si="185"/>
        <v>0.29910714285714279</v>
      </c>
      <c r="J107" s="10">
        <f t="shared" si="185"/>
        <v>0.2030629405814528</v>
      </c>
      <c r="K107" s="10">
        <f t="shared" si="185"/>
        <v>5.0000000000000044E-2</v>
      </c>
      <c r="L107" s="10">
        <f t="shared" si="185"/>
        <v>5.0000000000000044E-2</v>
      </c>
      <c r="M107" s="10">
        <f t="shared" si="185"/>
        <v>4.9999999999999822E-2</v>
      </c>
      <c r="N107" s="10">
        <f t="shared" si="185"/>
        <v>5.0000000000000044E-2</v>
      </c>
      <c r="O107" s="10">
        <f t="shared" si="185"/>
        <v>3.0000000000000027E-2</v>
      </c>
      <c r="P107" s="10">
        <f t="shared" si="185"/>
        <v>3.0000000000000027E-2</v>
      </c>
      <c r="Q107" s="10">
        <f t="shared" si="185"/>
        <v>3.0000000000000027E-2</v>
      </c>
      <c r="R107" s="1019"/>
      <c r="S107" s="10"/>
      <c r="T107" s="10"/>
      <c r="U107" s="10"/>
      <c r="V107" s="10"/>
      <c r="W107" s="10"/>
      <c r="X107" s="10"/>
      <c r="Y107" s="10"/>
      <c r="Z107" s="10"/>
      <c r="AA107" s="163"/>
      <c r="AB107" s="10"/>
      <c r="AC107" s="10"/>
      <c r="AD107" s="10"/>
      <c r="AE107" s="163">
        <f t="shared" ref="AE107:AL107" si="186">AE106/AA106-1</f>
        <v>2.75</v>
      </c>
      <c r="AF107" s="10">
        <f t="shared" si="186"/>
        <v>0.31297709923664119</v>
      </c>
      <c r="AG107" s="10">
        <f t="shared" si="186"/>
        <v>0.27407407407407414</v>
      </c>
      <c r="AH107" s="10">
        <f t="shared" si="186"/>
        <v>0.21088435374149661</v>
      </c>
      <c r="AI107" s="163">
        <f t="shared" si="186"/>
        <v>0.24666666666666659</v>
      </c>
      <c r="AJ107" s="10">
        <f t="shared" si="186"/>
        <v>0.2558139534883721</v>
      </c>
      <c r="AK107" s="10">
        <f t="shared" si="186"/>
        <v>0.30232558139534893</v>
      </c>
      <c r="AL107" s="482">
        <f t="shared" si="186"/>
        <v>0.3820224719101124</v>
      </c>
      <c r="AM107" s="163">
        <f t="shared" ref="AM107" si="187">AM106/AI106-1</f>
        <v>0.42780748663101598</v>
      </c>
      <c r="AN107" s="428">
        <f t="shared" ref="AN107" si="188">AN106/AJ106-1</f>
        <v>0.20981028957177439</v>
      </c>
      <c r="AO107" s="428">
        <f t="shared" ref="AO107:AP107" si="189">AO106/AK106-1</f>
        <v>0.20279574815245582</v>
      </c>
      <c r="AP107" s="482">
        <f t="shared" si="189"/>
        <v>2.6539337373800764E-2</v>
      </c>
      <c r="AQ107" s="1350"/>
    </row>
    <row r="108" spans="1:43" s="1038" customFormat="1" ht="9.75" hidden="1" customHeight="1" outlineLevel="1">
      <c r="A108" s="1037" t="s">
        <v>15</v>
      </c>
      <c r="B108" s="10"/>
      <c r="C108" s="10"/>
      <c r="D108" s="10"/>
      <c r="E108" s="10"/>
      <c r="F108" s="10"/>
      <c r="G108" s="10"/>
      <c r="H108" s="10"/>
      <c r="I108" s="10">
        <v>0.28999999999999998</v>
      </c>
      <c r="J108" s="10">
        <f t="shared" ref="J108:Q108" si="190">J107-((J112-J113)*J111/J106)</f>
        <v>0.16971935210480366</v>
      </c>
      <c r="K108" s="10">
        <f t="shared" si="190"/>
        <v>5.0000000000000017E-2</v>
      </c>
      <c r="L108" s="10">
        <f t="shared" si="190"/>
        <v>5.0000000000000017E-2</v>
      </c>
      <c r="M108" s="10">
        <f t="shared" si="190"/>
        <v>4.9999999999999795E-2</v>
      </c>
      <c r="N108" s="10">
        <f t="shared" si="190"/>
        <v>5.0000000000000017E-2</v>
      </c>
      <c r="O108" s="10">
        <f t="shared" si="190"/>
        <v>3.0000000000000009E-2</v>
      </c>
      <c r="P108" s="10">
        <f t="shared" si="190"/>
        <v>3.0000000000000009E-2</v>
      </c>
      <c r="Q108" s="10">
        <f t="shared" si="190"/>
        <v>3.0000000000000009E-2</v>
      </c>
      <c r="R108" s="1019"/>
      <c r="S108" s="10"/>
      <c r="T108" s="10"/>
      <c r="U108" s="10"/>
      <c r="V108" s="10"/>
      <c r="W108" s="10"/>
      <c r="X108" s="10"/>
      <c r="Y108" s="10"/>
      <c r="Z108" s="10"/>
      <c r="AA108" s="163"/>
      <c r="AB108" s="10"/>
      <c r="AC108" s="10"/>
      <c r="AD108" s="10"/>
      <c r="AE108" s="163"/>
      <c r="AF108" s="10">
        <v>0.31</v>
      </c>
      <c r="AG108" s="10">
        <v>0.28999999999999998</v>
      </c>
      <c r="AH108" s="10">
        <v>0.24</v>
      </c>
      <c r="AI108" s="163">
        <v>0.27</v>
      </c>
      <c r="AJ108" s="10">
        <v>0.28000000000000003</v>
      </c>
      <c r="AK108" s="10">
        <v>0.27</v>
      </c>
      <c r="AL108" s="482">
        <v>0.33</v>
      </c>
      <c r="AM108" s="163">
        <v>0.33</v>
      </c>
      <c r="AN108" s="428">
        <f t="shared" ref="AN108:AO108" si="191">AN107-((AN112-AN113)*AN111/AN106)</f>
        <v>0.16747168934897927</v>
      </c>
      <c r="AO108" s="428">
        <f t="shared" si="191"/>
        <v>0.18275290977123268</v>
      </c>
      <c r="AP108" s="482"/>
      <c r="AQ108" s="1350"/>
    </row>
    <row r="109" spans="1:43" s="1038" customFormat="1" ht="12.75" hidden="1" customHeight="1" outlineLevel="1">
      <c r="A109" s="2" t="s">
        <v>72</v>
      </c>
      <c r="B109" s="4"/>
      <c r="C109" s="4"/>
      <c r="D109" s="4"/>
      <c r="E109" s="4"/>
      <c r="F109" s="4"/>
      <c r="G109" s="4">
        <v>267</v>
      </c>
      <c r="H109" s="4">
        <v>298</v>
      </c>
      <c r="I109" s="107">
        <v>339</v>
      </c>
      <c r="J109" s="107">
        <f t="shared" ref="J109:Q109" si="192">I109+I109*J110</f>
        <v>366.12</v>
      </c>
      <c r="K109" s="107">
        <f t="shared" si="192"/>
        <v>384.42599999999999</v>
      </c>
      <c r="L109" s="107">
        <f t="shared" si="192"/>
        <v>403.64729999999997</v>
      </c>
      <c r="M109" s="107">
        <f t="shared" si="192"/>
        <v>423.82966499999998</v>
      </c>
      <c r="N109" s="107">
        <f t="shared" si="192"/>
        <v>445.02114824999995</v>
      </c>
      <c r="O109" s="107">
        <f t="shared" si="192"/>
        <v>458.37178269749995</v>
      </c>
      <c r="P109" s="107">
        <f t="shared" si="192"/>
        <v>472.12293617842494</v>
      </c>
      <c r="Q109" s="107">
        <f t="shared" si="192"/>
        <v>486.2866242637777</v>
      </c>
      <c r="R109" s="1019">
        <f>(N109/J109)^(1/($N$1-$J$1))-1</f>
        <v>5.0000000000000044E-2</v>
      </c>
      <c r="S109" s="10"/>
      <c r="T109" s="10"/>
      <c r="U109" s="10"/>
      <c r="V109" s="10"/>
      <c r="W109" s="10"/>
      <c r="X109" s="10"/>
      <c r="Y109" s="10"/>
      <c r="Z109" s="10"/>
      <c r="AA109" s="166">
        <v>25</v>
      </c>
      <c r="AB109" s="4">
        <v>86</v>
      </c>
      <c r="AC109" s="4">
        <v>77</v>
      </c>
      <c r="AD109" s="107">
        <f>G109-AC109-AB109-AA109</f>
        <v>79</v>
      </c>
      <c r="AE109" s="166">
        <v>67</v>
      </c>
      <c r="AF109" s="4">
        <v>78</v>
      </c>
      <c r="AG109" s="4">
        <v>77</v>
      </c>
      <c r="AH109" s="107">
        <f>H109-AE109-AF109-AG109</f>
        <v>76</v>
      </c>
      <c r="AI109" s="166">
        <v>73</v>
      </c>
      <c r="AJ109" s="4">
        <v>86</v>
      </c>
      <c r="AK109" s="4">
        <v>87</v>
      </c>
      <c r="AL109" s="481">
        <f>I109-AI109-AJ109-AK109</f>
        <v>93</v>
      </c>
      <c r="AM109" s="166">
        <v>103</v>
      </c>
      <c r="AN109" s="396">
        <f t="shared" ref="AN109" si="193">AJ109+AJ109*AN110</f>
        <v>92.88</v>
      </c>
      <c r="AO109" s="396">
        <f t="shared" ref="AO109" si="194">AK109+AK109*AO110</f>
        <v>93.96</v>
      </c>
      <c r="AP109" s="481">
        <f>J109-AM109-AN109-AO109</f>
        <v>76.280000000000015</v>
      </c>
      <c r="AQ109" s="1350"/>
    </row>
    <row r="110" spans="1:43" s="1038" customFormat="1" ht="9.75" hidden="1" customHeight="1" outlineLevel="1">
      <c r="A110" s="2" t="s">
        <v>14</v>
      </c>
      <c r="B110" s="10"/>
      <c r="C110" s="10"/>
      <c r="D110" s="10"/>
      <c r="E110" s="10"/>
      <c r="F110" s="10"/>
      <c r="G110" s="10"/>
      <c r="H110" s="10">
        <f>H109/G109-1</f>
        <v>0.11610486891385774</v>
      </c>
      <c r="I110" s="10">
        <f>I109/H109-1</f>
        <v>0.13758389261744974</v>
      </c>
      <c r="J110" s="50">
        <v>0.08</v>
      </c>
      <c r="K110" s="50">
        <v>0.05</v>
      </c>
      <c r="L110" s="50">
        <v>0.05</v>
      </c>
      <c r="M110" s="50">
        <v>0.05</v>
      </c>
      <c r="N110" s="50">
        <v>0.05</v>
      </c>
      <c r="O110" s="50">
        <v>0.03</v>
      </c>
      <c r="P110" s="50">
        <v>0.03</v>
      </c>
      <c r="Q110" s="50">
        <v>0.03</v>
      </c>
      <c r="R110" s="1019"/>
      <c r="S110" s="10"/>
      <c r="T110" s="10"/>
      <c r="U110" s="10"/>
      <c r="V110" s="10"/>
      <c r="W110" s="10"/>
      <c r="X110" s="10"/>
      <c r="Y110" s="10"/>
      <c r="Z110" s="10"/>
      <c r="AA110" s="163"/>
      <c r="AB110" s="10"/>
      <c r="AC110" s="10"/>
      <c r="AD110" s="10"/>
      <c r="AE110" s="163">
        <f t="shared" ref="AE110:AK110" si="195">AE109/AA109-1</f>
        <v>1.6800000000000002</v>
      </c>
      <c r="AF110" s="10">
        <f t="shared" si="195"/>
        <v>-9.3023255813953543E-2</v>
      </c>
      <c r="AG110" s="10">
        <f t="shared" si="195"/>
        <v>0</v>
      </c>
      <c r="AH110" s="10">
        <f t="shared" si="195"/>
        <v>-3.7974683544303778E-2</v>
      </c>
      <c r="AI110" s="163">
        <f t="shared" si="195"/>
        <v>8.9552238805970186E-2</v>
      </c>
      <c r="AJ110" s="428">
        <f t="shared" si="195"/>
        <v>0.10256410256410264</v>
      </c>
      <c r="AK110" s="428">
        <f t="shared" si="195"/>
        <v>0.12987012987012991</v>
      </c>
      <c r="AL110" s="482">
        <f>AL109/AH109-1</f>
        <v>0.22368421052631571</v>
      </c>
      <c r="AM110" s="163">
        <f>AM109/AI109-1</f>
        <v>0.41095890410958913</v>
      </c>
      <c r="AN110" s="539">
        <v>0.08</v>
      </c>
      <c r="AO110" s="539">
        <v>0.08</v>
      </c>
      <c r="AP110" s="482">
        <f>AP109/AL109-1</f>
        <v>-0.17978494623655894</v>
      </c>
      <c r="AQ110" s="1350"/>
    </row>
    <row r="111" spans="1:43" s="1038" customFormat="1" ht="12.75" hidden="1" customHeight="1" outlineLevel="1">
      <c r="A111" s="2" t="s">
        <v>73</v>
      </c>
      <c r="B111" s="4"/>
      <c r="C111" s="4"/>
      <c r="D111" s="4"/>
      <c r="E111" s="4"/>
      <c r="F111" s="4"/>
      <c r="G111" s="4">
        <v>186</v>
      </c>
      <c r="H111" s="4">
        <v>374</v>
      </c>
      <c r="I111" s="107">
        <v>534</v>
      </c>
      <c r="J111" s="107">
        <f t="shared" ref="J111:Q111" si="196">I111*(1+J113)*(1+J$32)</f>
        <v>684.15394712760838</v>
      </c>
      <c r="K111" s="107">
        <f t="shared" si="196"/>
        <v>718.36164448398881</v>
      </c>
      <c r="L111" s="107">
        <f t="shared" si="196"/>
        <v>754.27972670818826</v>
      </c>
      <c r="M111" s="107">
        <f t="shared" si="196"/>
        <v>791.99371304359772</v>
      </c>
      <c r="N111" s="107">
        <f t="shared" si="196"/>
        <v>831.59339869577764</v>
      </c>
      <c r="O111" s="107">
        <f t="shared" si="196"/>
        <v>856.54120065665097</v>
      </c>
      <c r="P111" s="107">
        <f t="shared" si="196"/>
        <v>882.23743667635051</v>
      </c>
      <c r="Q111" s="107">
        <f t="shared" si="196"/>
        <v>908.70455977664108</v>
      </c>
      <c r="R111" s="1019">
        <f>(N111/J111)^(1/($N$1-$J$1))-1</f>
        <v>5.0000000000000044E-2</v>
      </c>
      <c r="S111" s="10"/>
      <c r="T111" s="10"/>
      <c r="U111" s="10"/>
      <c r="V111" s="10"/>
      <c r="W111" s="10"/>
      <c r="X111" s="10"/>
      <c r="Y111" s="10"/>
      <c r="Z111" s="10"/>
      <c r="AA111" s="166">
        <v>15</v>
      </c>
      <c r="AB111" s="4">
        <v>45</v>
      </c>
      <c r="AC111" s="4">
        <v>58</v>
      </c>
      <c r="AD111" s="107">
        <f>G111-AC111-AB111-AA111</f>
        <v>68</v>
      </c>
      <c r="AE111" s="166">
        <v>83</v>
      </c>
      <c r="AF111" s="4">
        <v>94</v>
      </c>
      <c r="AG111" s="4">
        <v>95</v>
      </c>
      <c r="AH111" s="107">
        <f>H111-AE111-AF111-AG111</f>
        <v>102</v>
      </c>
      <c r="AI111" s="166">
        <v>114</v>
      </c>
      <c r="AJ111" s="4">
        <v>130</v>
      </c>
      <c r="AK111" s="4">
        <v>137</v>
      </c>
      <c r="AL111" s="481">
        <f>I111-AI111-AJ111-AK111</f>
        <v>153</v>
      </c>
      <c r="AM111" s="166">
        <v>164</v>
      </c>
      <c r="AN111" s="396">
        <f>AJ111*(1+AN113)*(1+AN$32)</f>
        <v>168.43902254750327</v>
      </c>
      <c r="AO111" s="396">
        <f>AK111*(1+AO113)*(1+AO$32)</f>
        <v>175.4662475861501</v>
      </c>
      <c r="AP111" s="481">
        <f>J111-AM111-AN111-AO111</f>
        <v>176.248676993955</v>
      </c>
      <c r="AQ111" s="1350"/>
    </row>
    <row r="112" spans="1:43" s="1038" customFormat="1" ht="9.75" hidden="1" customHeight="1" outlineLevel="1">
      <c r="A112" s="2" t="s">
        <v>14</v>
      </c>
      <c r="B112" s="10"/>
      <c r="C112" s="10"/>
      <c r="D112" s="10"/>
      <c r="E112" s="10"/>
      <c r="F112" s="10"/>
      <c r="G112" s="10"/>
      <c r="H112" s="10">
        <f>H111/G111-1</f>
        <v>1.010752688172043</v>
      </c>
      <c r="I112" s="10">
        <f t="shared" ref="I112:Q112" si="197">I111/H111-1</f>
        <v>0.42780748663101598</v>
      </c>
      <c r="J112" s="10">
        <f t="shared" si="197"/>
        <v>0.28118716690563361</v>
      </c>
      <c r="K112" s="10">
        <f t="shared" si="197"/>
        <v>5.0000000000000044E-2</v>
      </c>
      <c r="L112" s="10">
        <f t="shared" si="197"/>
        <v>5.0000000000000044E-2</v>
      </c>
      <c r="M112" s="10">
        <f t="shared" si="197"/>
        <v>5.0000000000000044E-2</v>
      </c>
      <c r="N112" s="10">
        <f t="shared" si="197"/>
        <v>5.0000000000000044E-2</v>
      </c>
      <c r="O112" s="10">
        <f t="shared" si="197"/>
        <v>3.0000000000000027E-2</v>
      </c>
      <c r="P112" s="10">
        <f t="shared" si="197"/>
        <v>3.0000000000000027E-2</v>
      </c>
      <c r="Q112" s="10">
        <f t="shared" si="197"/>
        <v>3.0000000000000027E-2</v>
      </c>
      <c r="R112" s="1019"/>
      <c r="S112" s="10"/>
      <c r="T112" s="10"/>
      <c r="U112" s="10"/>
      <c r="V112" s="10"/>
      <c r="W112" s="10"/>
      <c r="X112" s="10"/>
      <c r="Y112" s="10"/>
      <c r="Z112" s="10"/>
      <c r="AA112" s="163"/>
      <c r="AB112" s="10"/>
      <c r="AC112" s="10"/>
      <c r="AD112" s="10"/>
      <c r="AE112" s="163">
        <f t="shared" ref="AE112:AL112" si="198">AE111/AA111-1</f>
        <v>4.5333333333333332</v>
      </c>
      <c r="AF112" s="10">
        <f t="shared" si="198"/>
        <v>1.088888888888889</v>
      </c>
      <c r="AG112" s="10">
        <f t="shared" si="198"/>
        <v>0.63793103448275867</v>
      </c>
      <c r="AH112" s="10">
        <f t="shared" si="198"/>
        <v>0.5</v>
      </c>
      <c r="AI112" s="163">
        <f t="shared" si="198"/>
        <v>0.37349397590361444</v>
      </c>
      <c r="AJ112" s="428">
        <f t="shared" si="198"/>
        <v>0.38297872340425543</v>
      </c>
      <c r="AK112" s="428">
        <f t="shared" si="198"/>
        <v>0.44210526315789478</v>
      </c>
      <c r="AL112" s="482">
        <f t="shared" si="198"/>
        <v>0.5</v>
      </c>
      <c r="AM112" s="163">
        <f t="shared" ref="AM112" si="199">AM111/AI111-1</f>
        <v>0.43859649122807021</v>
      </c>
      <c r="AN112" s="428">
        <f t="shared" ref="AN112" si="200">AN111/AJ111-1</f>
        <v>0.29568478882694826</v>
      </c>
      <c r="AO112" s="428">
        <f t="shared" ref="AO112" si="201">AO111/AK111-1</f>
        <v>0.28077552982591314</v>
      </c>
      <c r="AP112" s="482">
        <f>AP111/AL111-1</f>
        <v>0.15195213721539225</v>
      </c>
      <c r="AQ112" s="1350"/>
    </row>
    <row r="113" spans="1:43" s="1038" customFormat="1" ht="9.75" hidden="1" customHeight="1" outlineLevel="1">
      <c r="A113" s="2" t="s">
        <v>15</v>
      </c>
      <c r="B113" s="10"/>
      <c r="C113" s="10"/>
      <c r="D113" s="10"/>
      <c r="E113" s="10"/>
      <c r="F113" s="10"/>
      <c r="G113" s="10"/>
      <c r="H113" s="10"/>
      <c r="I113" s="10">
        <v>0.41</v>
      </c>
      <c r="J113" s="50">
        <v>0.23</v>
      </c>
      <c r="K113" s="50">
        <v>0.05</v>
      </c>
      <c r="L113" s="50">
        <v>0.05</v>
      </c>
      <c r="M113" s="50">
        <v>0.05</v>
      </c>
      <c r="N113" s="50">
        <v>0.05</v>
      </c>
      <c r="O113" s="50">
        <v>0.03</v>
      </c>
      <c r="P113" s="50">
        <v>0.03</v>
      </c>
      <c r="Q113" s="50">
        <v>0.03</v>
      </c>
      <c r="R113" s="1019"/>
      <c r="S113" s="10"/>
      <c r="T113" s="10"/>
      <c r="U113" s="10"/>
      <c r="V113" s="10"/>
      <c r="W113" s="10"/>
      <c r="X113" s="10"/>
      <c r="Y113" s="10"/>
      <c r="Z113" s="10"/>
      <c r="AA113" s="163"/>
      <c r="AB113" s="10"/>
      <c r="AC113" s="11"/>
      <c r="AD113" s="10"/>
      <c r="AE113" s="163"/>
      <c r="AF113" s="10">
        <v>1.05</v>
      </c>
      <c r="AG113" s="10">
        <v>0.68</v>
      </c>
      <c r="AH113" s="10">
        <v>0.56000000000000005</v>
      </c>
      <c r="AI113" s="163">
        <v>0.42</v>
      </c>
      <c r="AJ113" s="10">
        <v>0.43</v>
      </c>
      <c r="AK113" s="10">
        <v>0.39</v>
      </c>
      <c r="AL113" s="482">
        <v>0.39</v>
      </c>
      <c r="AM113" s="163">
        <v>0.28000000000000003</v>
      </c>
      <c r="AN113" s="539">
        <v>0.23</v>
      </c>
      <c r="AO113" s="539">
        <v>0.25</v>
      </c>
      <c r="AP113" s="497"/>
      <c r="AQ113" s="1350"/>
    </row>
    <row r="114" spans="1:43" ht="12.75" customHeight="1" collapsed="1">
      <c r="A114" s="1025" t="s">
        <v>25</v>
      </c>
      <c r="D114" s="4">
        <v>30</v>
      </c>
      <c r="E114" s="4">
        <v>163</v>
      </c>
      <c r="F114" s="4">
        <v>279</v>
      </c>
      <c r="G114" s="4">
        <f t="shared" ref="G114:Q114" si="202">+G117+G119</f>
        <v>410</v>
      </c>
      <c r="H114" s="4">
        <f t="shared" si="202"/>
        <v>581</v>
      </c>
      <c r="I114" s="141">
        <f t="shared" si="202"/>
        <v>777</v>
      </c>
      <c r="J114" s="141">
        <f t="shared" si="202"/>
        <v>930.7356040557147</v>
      </c>
      <c r="K114" s="141">
        <f t="shared" si="202"/>
        <v>1023.8091644612863</v>
      </c>
      <c r="L114" s="141">
        <f t="shared" si="202"/>
        <v>1126.190080907415</v>
      </c>
      <c r="M114" s="141">
        <f t="shared" si="202"/>
        <v>1182.4995849527859</v>
      </c>
      <c r="N114" s="141">
        <f t="shared" si="202"/>
        <v>1217.9745725013695</v>
      </c>
      <c r="O114" s="141">
        <f t="shared" si="202"/>
        <v>1254.5138096764106</v>
      </c>
      <c r="P114" s="141">
        <f t="shared" si="202"/>
        <v>1292.1492239667029</v>
      </c>
      <c r="Q114" s="141">
        <f t="shared" si="202"/>
        <v>1330.913700685704</v>
      </c>
      <c r="R114" s="402">
        <f>(N114/J114)^(1/($N$1-$J$1))-1</f>
        <v>6.9554633556504708E-2</v>
      </c>
      <c r="S114" s="1026"/>
      <c r="T114" s="1026"/>
      <c r="U114" s="1026"/>
      <c r="V114" s="34"/>
      <c r="W114" s="34">
        <v>57</v>
      </c>
      <c r="X114" s="34">
        <v>69</v>
      </c>
      <c r="Y114" s="34">
        <v>69</v>
      </c>
      <c r="Z114" s="34">
        <v>84</v>
      </c>
      <c r="AA114" s="157">
        <f t="shared" ref="AA114:AP114" si="203">+AA117+AA119</f>
        <v>90</v>
      </c>
      <c r="AB114" s="4">
        <f t="shared" si="203"/>
        <v>98</v>
      </c>
      <c r="AC114" s="4">
        <f t="shared" si="203"/>
        <v>103</v>
      </c>
      <c r="AD114" s="4">
        <f t="shared" si="203"/>
        <v>119</v>
      </c>
      <c r="AE114" s="157">
        <f t="shared" si="203"/>
        <v>124</v>
      </c>
      <c r="AF114" s="4">
        <f t="shared" si="203"/>
        <v>146</v>
      </c>
      <c r="AG114" s="4">
        <f t="shared" si="203"/>
        <v>149</v>
      </c>
      <c r="AH114" s="107">
        <f t="shared" si="203"/>
        <v>162</v>
      </c>
      <c r="AI114" s="157">
        <f t="shared" si="203"/>
        <v>162</v>
      </c>
      <c r="AJ114" s="4">
        <f t="shared" si="203"/>
        <v>186</v>
      </c>
      <c r="AK114" s="4">
        <f>+AK117+AK119</f>
        <v>201</v>
      </c>
      <c r="AL114" s="486">
        <f t="shared" si="203"/>
        <v>228</v>
      </c>
      <c r="AM114" s="157">
        <f t="shared" si="203"/>
        <v>234</v>
      </c>
      <c r="AN114" s="542">
        <f t="shared" si="203"/>
        <v>225.32274498380826</v>
      </c>
      <c r="AO114" s="542">
        <f t="shared" si="203"/>
        <v>236.84101097540787</v>
      </c>
      <c r="AP114" s="481">
        <f t="shared" si="203"/>
        <v>234.57184809649857</v>
      </c>
      <c r="AQ114" s="1350"/>
    </row>
    <row r="115" spans="1:43" s="1038" customFormat="1" ht="9.75" hidden="1" customHeight="1" outlineLevel="1">
      <c r="A115" s="1037" t="s">
        <v>14</v>
      </c>
      <c r="B115" s="10"/>
      <c r="C115" s="10"/>
      <c r="D115" s="10"/>
      <c r="E115" s="10">
        <f t="shared" ref="E115:Q115" si="204">E114/D114-1</f>
        <v>4.4333333333333336</v>
      </c>
      <c r="F115" s="10">
        <f t="shared" si="204"/>
        <v>0.71165644171779152</v>
      </c>
      <c r="G115" s="10">
        <f t="shared" si="204"/>
        <v>0.46953405017921157</v>
      </c>
      <c r="H115" s="10">
        <f t="shared" si="204"/>
        <v>0.41707317073170724</v>
      </c>
      <c r="I115" s="2">
        <f t="shared" si="204"/>
        <v>0.33734939759036142</v>
      </c>
      <c r="J115" s="2">
        <f t="shared" si="204"/>
        <v>0.19785792027762517</v>
      </c>
      <c r="K115" s="2">
        <f t="shared" si="204"/>
        <v>0.10000000000000009</v>
      </c>
      <c r="L115" s="2">
        <f t="shared" si="204"/>
        <v>0.10000000000000009</v>
      </c>
      <c r="M115" s="2">
        <f t="shared" si="204"/>
        <v>5.0000000000000044E-2</v>
      </c>
      <c r="N115" s="2">
        <f t="shared" si="204"/>
        <v>3.0000000000000027E-2</v>
      </c>
      <c r="O115" s="2">
        <f t="shared" si="204"/>
        <v>3.0000000000000027E-2</v>
      </c>
      <c r="P115" s="2">
        <f t="shared" si="204"/>
        <v>3.0000000000000027E-2</v>
      </c>
      <c r="Q115" s="2">
        <f t="shared" si="204"/>
        <v>3.0000000000000027E-2</v>
      </c>
      <c r="R115" s="1023"/>
      <c r="S115" s="2"/>
      <c r="T115" s="2"/>
      <c r="U115" s="2"/>
      <c r="V115" s="2"/>
      <c r="W115" s="2">
        <v>0.62857142857142856</v>
      </c>
      <c r="X115" s="2">
        <v>1.0909090909090908</v>
      </c>
      <c r="Y115" s="2">
        <v>0.4375</v>
      </c>
      <c r="Z115" s="2">
        <v>0.7872340425531914</v>
      </c>
      <c r="AA115" s="167">
        <f t="shared" ref="AA115:AH115" si="205">AA114/W114-1</f>
        <v>0.57894736842105265</v>
      </c>
      <c r="AB115" s="2">
        <f t="shared" si="205"/>
        <v>0.42028985507246386</v>
      </c>
      <c r="AC115" s="2">
        <f t="shared" si="205"/>
        <v>0.49275362318840576</v>
      </c>
      <c r="AD115" s="10">
        <f t="shared" si="205"/>
        <v>0.41666666666666674</v>
      </c>
      <c r="AE115" s="167">
        <f t="shared" si="205"/>
        <v>0.37777777777777777</v>
      </c>
      <c r="AF115" s="2">
        <f t="shared" si="205"/>
        <v>0.48979591836734704</v>
      </c>
      <c r="AG115" s="2">
        <f t="shared" si="205"/>
        <v>0.44660194174757284</v>
      </c>
      <c r="AH115" s="10">
        <f t="shared" si="205"/>
        <v>0.3613445378151261</v>
      </c>
      <c r="AI115" s="167">
        <f>AI114/AE114-1</f>
        <v>0.30645161290322576</v>
      </c>
      <c r="AJ115" s="2">
        <f>AJ114/AF114-1</f>
        <v>0.27397260273972601</v>
      </c>
      <c r="AK115" s="2">
        <f>AK114/AG114-1</f>
        <v>0.34899328859060397</v>
      </c>
      <c r="AL115" s="482">
        <f>AL114/AH114-1</f>
        <v>0.40740740740740744</v>
      </c>
      <c r="AM115" s="167">
        <f t="shared" ref="AM115:AP115" si="206">AM114/AI114-1</f>
        <v>0.44444444444444442</v>
      </c>
      <c r="AN115" s="546">
        <f t="shared" si="206"/>
        <v>0.21141260743982948</v>
      </c>
      <c r="AO115" s="546">
        <f t="shared" si="206"/>
        <v>0.17831348743984021</v>
      </c>
      <c r="AP115" s="482">
        <f t="shared" si="206"/>
        <v>2.8823895160081436E-2</v>
      </c>
      <c r="AQ115" s="1350"/>
    </row>
    <row r="116" spans="1:43" s="1038" customFormat="1" ht="9.75" hidden="1" customHeight="1" outlineLevel="1">
      <c r="A116" s="1037" t="s">
        <v>15</v>
      </c>
      <c r="B116" s="10"/>
      <c r="C116" s="10"/>
      <c r="D116" s="10"/>
      <c r="E116" s="10"/>
      <c r="F116" s="10">
        <v>0.72</v>
      </c>
      <c r="G116" s="10">
        <f t="shared" ref="G116:Q116" si="207">G115-((G120-G121)*G119/G114)</f>
        <v>0.46953405017921157</v>
      </c>
      <c r="H116" s="10">
        <v>0.45</v>
      </c>
      <c r="I116" s="10">
        <v>0.32</v>
      </c>
      <c r="J116" s="10">
        <f t="shared" si="207"/>
        <v>0.15</v>
      </c>
      <c r="K116" s="10">
        <f t="shared" si="207"/>
        <v>0.1</v>
      </c>
      <c r="L116" s="10">
        <f t="shared" si="207"/>
        <v>0.1</v>
      </c>
      <c r="M116" s="10">
        <f t="shared" si="207"/>
        <v>0.05</v>
      </c>
      <c r="N116" s="10">
        <f t="shared" si="207"/>
        <v>0.03</v>
      </c>
      <c r="O116" s="10">
        <f t="shared" si="207"/>
        <v>0.03</v>
      </c>
      <c r="P116" s="10">
        <f t="shared" si="207"/>
        <v>0.03</v>
      </c>
      <c r="Q116" s="10">
        <f t="shared" si="207"/>
        <v>0.03</v>
      </c>
      <c r="R116" s="1023"/>
      <c r="S116" s="2"/>
      <c r="T116" s="2"/>
      <c r="U116" s="2"/>
      <c r="V116" s="2"/>
      <c r="W116" s="2"/>
      <c r="X116" s="2"/>
      <c r="Y116" s="2"/>
      <c r="Z116" s="2"/>
      <c r="AA116" s="163">
        <f>AA115-AA$32</f>
        <v>0.57894736842105265</v>
      </c>
      <c r="AB116" s="10">
        <f>AB115-AB$32</f>
        <v>0.42028985507246386</v>
      </c>
      <c r="AC116" s="10">
        <f>AC115-AC$32</f>
        <v>0.49275362318840576</v>
      </c>
      <c r="AD116" s="10">
        <f>AD115-AD$32</f>
        <v>0.41666666666666674</v>
      </c>
      <c r="AE116" s="163">
        <v>0.44</v>
      </c>
      <c r="AF116" s="10">
        <v>0.49</v>
      </c>
      <c r="AG116" s="10">
        <v>0.47</v>
      </c>
      <c r="AH116" s="10">
        <v>0.4</v>
      </c>
      <c r="AI116" s="163">
        <v>0.34</v>
      </c>
      <c r="AJ116" s="10">
        <v>0.32</v>
      </c>
      <c r="AK116" s="10">
        <v>0.31</v>
      </c>
      <c r="AL116" s="482">
        <v>0.33</v>
      </c>
      <c r="AM116" s="163">
        <v>0.3</v>
      </c>
      <c r="AN116" s="428">
        <f t="shared" ref="AN116:AO116" si="208">AN115-((AN120-AN121)*AN119/AN114)</f>
        <v>0.15</v>
      </c>
      <c r="AO116" s="428">
        <f t="shared" si="208"/>
        <v>0.15</v>
      </c>
      <c r="AP116" s="482"/>
      <c r="AQ116" s="1350"/>
    </row>
    <row r="117" spans="1:43" s="1038" customFormat="1" ht="12.75" hidden="1" customHeight="1" outlineLevel="1">
      <c r="A117" s="2" t="s">
        <v>72</v>
      </c>
      <c r="B117" s="4"/>
      <c r="C117" s="4"/>
      <c r="D117" s="4"/>
      <c r="E117" s="4"/>
      <c r="F117" s="4"/>
      <c r="G117" s="4"/>
      <c r="H117" s="4"/>
      <c r="I117" s="34"/>
      <c r="J117" s="34"/>
      <c r="K117" s="34"/>
      <c r="L117" s="34"/>
      <c r="M117" s="34"/>
      <c r="N117" s="34"/>
      <c r="O117" s="34"/>
      <c r="P117" s="34"/>
      <c r="Q117" s="34"/>
      <c r="R117" s="1023"/>
      <c r="S117" s="2"/>
      <c r="T117" s="2"/>
      <c r="U117" s="2"/>
      <c r="V117" s="2"/>
      <c r="W117" s="2"/>
      <c r="X117" s="2"/>
      <c r="Y117" s="2"/>
      <c r="Z117" s="2"/>
      <c r="AA117" s="167"/>
      <c r="AB117" s="2"/>
      <c r="AC117" s="140"/>
      <c r="AD117" s="107"/>
      <c r="AE117" s="167"/>
      <c r="AF117" s="2"/>
      <c r="AG117" s="2"/>
      <c r="AH117" s="2"/>
      <c r="AI117" s="167"/>
      <c r="AJ117" s="2"/>
      <c r="AK117" s="2"/>
      <c r="AL117" s="498"/>
      <c r="AM117" s="167"/>
      <c r="AN117" s="544"/>
      <c r="AO117" s="544"/>
      <c r="AP117" s="481">
        <f>J117-AM117-AN117-AO117</f>
        <v>0</v>
      </c>
      <c r="AQ117" s="1350"/>
    </row>
    <row r="118" spans="1:43" s="1038" customFormat="1" ht="9.75" hidden="1" customHeight="1" outlineLevel="1">
      <c r="A118" s="2" t="s">
        <v>14</v>
      </c>
      <c r="B118" s="10"/>
      <c r="C118" s="10"/>
      <c r="D118" s="10"/>
      <c r="E118" s="10"/>
      <c r="F118" s="10"/>
      <c r="G118" s="10"/>
      <c r="H118" s="10"/>
      <c r="I118" s="137"/>
      <c r="J118" s="137"/>
      <c r="K118" s="137"/>
      <c r="L118" s="137"/>
      <c r="M118" s="137"/>
      <c r="N118" s="137"/>
      <c r="O118" s="137"/>
      <c r="P118" s="137"/>
      <c r="Q118" s="137"/>
      <c r="R118" s="1023"/>
      <c r="S118" s="2"/>
      <c r="T118" s="2"/>
      <c r="U118" s="2"/>
      <c r="V118" s="2"/>
      <c r="W118" s="2"/>
      <c r="X118" s="2"/>
      <c r="Y118" s="2"/>
      <c r="Z118" s="2"/>
      <c r="AA118" s="167"/>
      <c r="AB118" s="2"/>
      <c r="AC118" s="2"/>
      <c r="AD118" s="2"/>
      <c r="AE118" s="167"/>
      <c r="AF118" s="2"/>
      <c r="AG118" s="2"/>
      <c r="AH118" s="2"/>
      <c r="AI118" s="167"/>
      <c r="AJ118" s="2"/>
      <c r="AK118" s="2"/>
      <c r="AL118" s="476"/>
      <c r="AM118" s="167"/>
      <c r="AN118" s="545"/>
      <c r="AO118" s="545"/>
      <c r="AP118" s="482"/>
      <c r="AQ118" s="1350"/>
    </row>
    <row r="119" spans="1:43" s="1038" customFormat="1" ht="12.75" hidden="1" customHeight="1" outlineLevel="1">
      <c r="A119" s="2" t="s">
        <v>73</v>
      </c>
      <c r="B119" s="4"/>
      <c r="C119" s="4"/>
      <c r="D119" s="4"/>
      <c r="E119" s="4"/>
      <c r="F119" s="4"/>
      <c r="G119" s="4">
        <v>410</v>
      </c>
      <c r="H119" s="4">
        <v>581</v>
      </c>
      <c r="I119" s="107">
        <v>777</v>
      </c>
      <c r="J119" s="107">
        <f t="shared" ref="J119:Q119" si="209">I119*(1+J121)*(1+J$32)</f>
        <v>930.7356040557147</v>
      </c>
      <c r="K119" s="107">
        <f t="shared" si="209"/>
        <v>1023.8091644612863</v>
      </c>
      <c r="L119" s="107">
        <f t="shared" si="209"/>
        <v>1126.190080907415</v>
      </c>
      <c r="M119" s="107">
        <f t="shared" si="209"/>
        <v>1182.4995849527859</v>
      </c>
      <c r="N119" s="107">
        <f t="shared" si="209"/>
        <v>1217.9745725013695</v>
      </c>
      <c r="O119" s="107">
        <f t="shared" si="209"/>
        <v>1254.5138096764106</v>
      </c>
      <c r="P119" s="107">
        <f t="shared" si="209"/>
        <v>1292.1492239667029</v>
      </c>
      <c r="Q119" s="107">
        <f t="shared" si="209"/>
        <v>1330.913700685704</v>
      </c>
      <c r="R119" s="1023">
        <f>(N119/J119)^(1/($N$1-$J$1))-1</f>
        <v>6.9554633556504708E-2</v>
      </c>
      <c r="S119" s="2"/>
      <c r="T119" s="2"/>
      <c r="U119" s="2"/>
      <c r="V119" s="2"/>
      <c r="W119" s="2"/>
      <c r="X119" s="2"/>
      <c r="Y119" s="2"/>
      <c r="Z119" s="2"/>
      <c r="AA119" s="168">
        <f>188-AB119</f>
        <v>90</v>
      </c>
      <c r="AB119" s="34">
        <v>98</v>
      </c>
      <c r="AC119" s="34">
        <v>103</v>
      </c>
      <c r="AD119" s="107">
        <f>G119-AC119-AB119-AA119</f>
        <v>119</v>
      </c>
      <c r="AE119" s="168">
        <v>124</v>
      </c>
      <c r="AF119" s="34">
        <v>146</v>
      </c>
      <c r="AG119" s="34">
        <v>149</v>
      </c>
      <c r="AH119" s="107">
        <f>H119-AE119-AF119-AG119</f>
        <v>162</v>
      </c>
      <c r="AI119" s="168">
        <v>162</v>
      </c>
      <c r="AJ119" s="34">
        <v>186</v>
      </c>
      <c r="AK119" s="34">
        <v>201</v>
      </c>
      <c r="AL119" s="481">
        <f>I119-AI119-AJ119-AK119</f>
        <v>228</v>
      </c>
      <c r="AM119" s="168">
        <v>234</v>
      </c>
      <c r="AN119" s="396">
        <f>AJ119*(1+AN121)*(1+AN$32)</f>
        <v>225.32274498380826</v>
      </c>
      <c r="AO119" s="396">
        <f>AK119*(1+AO121)*(1+AO$32)</f>
        <v>236.84101097540787</v>
      </c>
      <c r="AP119" s="481">
        <f>J119-AM119-AN119-AO119</f>
        <v>234.57184809649857</v>
      </c>
      <c r="AQ119" s="1350"/>
    </row>
    <row r="120" spans="1:43" s="1038" customFormat="1" ht="9.75" hidden="1" customHeight="1" outlineLevel="1">
      <c r="A120" s="2" t="s">
        <v>14</v>
      </c>
      <c r="B120" s="10"/>
      <c r="C120" s="10"/>
      <c r="D120" s="10"/>
      <c r="E120" s="10"/>
      <c r="F120" s="10"/>
      <c r="G120" s="10"/>
      <c r="H120" s="10">
        <f t="shared" ref="H120:Q120" si="210">H119/G119-1</f>
        <v>0.41707317073170724</v>
      </c>
      <c r="I120" s="10">
        <f t="shared" si="210"/>
        <v>0.33734939759036142</v>
      </c>
      <c r="J120" s="10">
        <f t="shared" si="210"/>
        <v>0.19785792027762517</v>
      </c>
      <c r="K120" s="10">
        <f t="shared" si="210"/>
        <v>0.10000000000000009</v>
      </c>
      <c r="L120" s="10">
        <f t="shared" si="210"/>
        <v>0.10000000000000009</v>
      </c>
      <c r="M120" s="10">
        <f t="shared" si="210"/>
        <v>5.0000000000000044E-2</v>
      </c>
      <c r="N120" s="10">
        <f t="shared" si="210"/>
        <v>3.0000000000000027E-2</v>
      </c>
      <c r="O120" s="10">
        <f t="shared" si="210"/>
        <v>3.0000000000000027E-2</v>
      </c>
      <c r="P120" s="10">
        <f t="shared" si="210"/>
        <v>3.0000000000000027E-2</v>
      </c>
      <c r="Q120" s="10">
        <f t="shared" si="210"/>
        <v>3.0000000000000027E-2</v>
      </c>
      <c r="R120" s="1023"/>
      <c r="S120" s="2"/>
      <c r="T120" s="2"/>
      <c r="U120" s="2"/>
      <c r="V120" s="2"/>
      <c r="W120" s="2"/>
      <c r="X120" s="2"/>
      <c r="Y120" s="2"/>
      <c r="Z120" s="2"/>
      <c r="AA120" s="167"/>
      <c r="AB120" s="2"/>
      <c r="AC120" s="2"/>
      <c r="AD120" s="2"/>
      <c r="AE120" s="167">
        <f t="shared" ref="AE120:AL120" si="211">AE119/AA119-1</f>
        <v>0.37777777777777777</v>
      </c>
      <c r="AF120" s="2">
        <f t="shared" si="211"/>
        <v>0.48979591836734704</v>
      </c>
      <c r="AG120" s="2">
        <f t="shared" si="211"/>
        <v>0.44660194174757284</v>
      </c>
      <c r="AH120" s="10">
        <f t="shared" si="211"/>
        <v>0.3613445378151261</v>
      </c>
      <c r="AI120" s="167">
        <f t="shared" si="211"/>
        <v>0.30645161290322576</v>
      </c>
      <c r="AJ120" s="2">
        <f t="shared" si="211"/>
        <v>0.27397260273972601</v>
      </c>
      <c r="AK120" s="2">
        <f t="shared" si="211"/>
        <v>0.34899328859060397</v>
      </c>
      <c r="AL120" s="482">
        <f t="shared" si="211"/>
        <v>0.40740740740740744</v>
      </c>
      <c r="AM120" s="167">
        <f t="shared" ref="AM120" si="212">AM119/AI119-1</f>
        <v>0.44444444444444442</v>
      </c>
      <c r="AN120" s="546">
        <f t="shared" ref="AN120" si="213">AN119/AJ119-1</f>
        <v>0.21141260743982948</v>
      </c>
      <c r="AO120" s="546">
        <f t="shared" ref="AO120" si="214">AO119/AK119-1</f>
        <v>0.17831348743984021</v>
      </c>
      <c r="AP120" s="482">
        <f>AP119/AL119-1</f>
        <v>2.8823895160081436E-2</v>
      </c>
      <c r="AQ120" s="1350"/>
    </row>
    <row r="121" spans="1:43" s="1038" customFormat="1" ht="9.75" hidden="1" customHeight="1" outlineLevel="1">
      <c r="A121" s="2" t="s">
        <v>15</v>
      </c>
      <c r="B121" s="10"/>
      <c r="C121" s="10"/>
      <c r="D121" s="10"/>
      <c r="E121" s="10"/>
      <c r="F121" s="10"/>
      <c r="G121" s="10"/>
      <c r="H121" s="10">
        <v>0.45</v>
      </c>
      <c r="I121" s="10">
        <v>0.32</v>
      </c>
      <c r="J121" s="50">
        <v>0.15</v>
      </c>
      <c r="K121" s="50">
        <v>0.1</v>
      </c>
      <c r="L121" s="50">
        <v>0.1</v>
      </c>
      <c r="M121" s="50">
        <v>0.05</v>
      </c>
      <c r="N121" s="50">
        <v>0.03</v>
      </c>
      <c r="O121" s="50">
        <v>0.03</v>
      </c>
      <c r="P121" s="50">
        <v>0.03</v>
      </c>
      <c r="Q121" s="50">
        <v>0.03</v>
      </c>
      <c r="R121" s="1023"/>
      <c r="S121" s="2"/>
      <c r="T121" s="2"/>
      <c r="U121" s="2"/>
      <c r="V121" s="2"/>
      <c r="W121" s="2"/>
      <c r="X121" s="2"/>
      <c r="Y121" s="2"/>
      <c r="Z121" s="2"/>
      <c r="AA121" s="167"/>
      <c r="AB121" s="2"/>
      <c r="AC121" s="140"/>
      <c r="AD121" s="2"/>
      <c r="AE121" s="167">
        <v>0.44</v>
      </c>
      <c r="AF121" s="2">
        <v>0.49</v>
      </c>
      <c r="AG121" s="2">
        <v>0.47</v>
      </c>
      <c r="AH121" s="10">
        <v>0.4</v>
      </c>
      <c r="AI121" s="167">
        <v>0.34</v>
      </c>
      <c r="AJ121" s="2">
        <v>0.32</v>
      </c>
      <c r="AK121" s="2">
        <v>0.31</v>
      </c>
      <c r="AL121" s="482">
        <v>0.33</v>
      </c>
      <c r="AM121" s="167">
        <v>0.3</v>
      </c>
      <c r="AN121" s="539">
        <v>0.15</v>
      </c>
      <c r="AO121" s="539">
        <v>0.15</v>
      </c>
      <c r="AP121" s="497"/>
      <c r="AQ121" s="1350"/>
    </row>
    <row r="122" spans="1:43" ht="12.75" customHeight="1" collapsed="1">
      <c r="A122" s="1025" t="s">
        <v>26</v>
      </c>
      <c r="G122" s="4">
        <f t="shared" ref="G122:Q122" si="215">+G125+G127</f>
        <v>402</v>
      </c>
      <c r="H122" s="4">
        <f t="shared" si="215"/>
        <v>635</v>
      </c>
      <c r="I122" s="141">
        <f t="shared" si="215"/>
        <v>867</v>
      </c>
      <c r="J122" s="141">
        <f t="shared" si="215"/>
        <v>1132.559797267272</v>
      </c>
      <c r="K122" s="141">
        <f t="shared" si="215"/>
        <v>1245.8157769939992</v>
      </c>
      <c r="L122" s="141">
        <f t="shared" si="215"/>
        <v>1308.1065658436992</v>
      </c>
      <c r="M122" s="141">
        <f t="shared" si="215"/>
        <v>1361.0522208190102</v>
      </c>
      <c r="N122" s="135">
        <f t="shared" si="215"/>
        <v>1020.6128935935805</v>
      </c>
      <c r="O122" s="141">
        <f t="shared" si="215"/>
        <v>896.56478572638787</v>
      </c>
      <c r="P122" s="141">
        <f t="shared" si="215"/>
        <v>895.40594654317943</v>
      </c>
      <c r="Q122" s="135">
        <f t="shared" si="215"/>
        <v>525.39591013158974</v>
      </c>
      <c r="R122" s="402">
        <f>(N122/J122)^(1/($N$1-$J$1))-1</f>
        <v>-2.5683679603246912E-2</v>
      </c>
      <c r="S122" s="1026"/>
      <c r="T122" s="1026"/>
      <c r="U122" s="1026"/>
      <c r="V122" s="34"/>
      <c r="W122" s="34"/>
      <c r="X122" s="34"/>
      <c r="Y122" s="34"/>
      <c r="Z122" s="34"/>
      <c r="AA122" s="168">
        <v>36</v>
      </c>
      <c r="AB122" s="34">
        <v>116</v>
      </c>
      <c r="AC122" s="34">
        <v>117</v>
      </c>
      <c r="AD122" s="34">
        <f>G122-AC122-AB122-AA122</f>
        <v>133</v>
      </c>
      <c r="AE122" s="168">
        <f t="shared" ref="AE122:AP122" si="216">+AE125+AE127</f>
        <v>131</v>
      </c>
      <c r="AF122" s="34">
        <f t="shared" si="216"/>
        <v>158</v>
      </c>
      <c r="AG122" s="34">
        <f t="shared" si="216"/>
        <v>168</v>
      </c>
      <c r="AH122" s="107">
        <f t="shared" si="216"/>
        <v>178</v>
      </c>
      <c r="AI122" s="168">
        <f t="shared" si="216"/>
        <v>175</v>
      </c>
      <c r="AJ122" s="34">
        <f t="shared" si="216"/>
        <v>210</v>
      </c>
      <c r="AK122" s="34">
        <f>+AK125+AK127</f>
        <v>227</v>
      </c>
      <c r="AL122" s="486">
        <f t="shared" si="216"/>
        <v>255</v>
      </c>
      <c r="AM122" s="168">
        <f t="shared" si="216"/>
        <v>257</v>
      </c>
      <c r="AN122" s="542">
        <f t="shared" si="216"/>
        <v>274.69203625154648</v>
      </c>
      <c r="AO122" s="542">
        <f t="shared" si="216"/>
        <v>293.02375722119859</v>
      </c>
      <c r="AP122" s="481">
        <f t="shared" si="216"/>
        <v>307.84400379452688</v>
      </c>
      <c r="AQ122" s="1350"/>
    </row>
    <row r="123" spans="1:43" s="1038" customFormat="1" ht="9.75" hidden="1" customHeight="1" outlineLevel="1">
      <c r="A123" s="1037" t="s">
        <v>14</v>
      </c>
      <c r="B123" s="10"/>
      <c r="C123" s="10"/>
      <c r="D123" s="10"/>
      <c r="E123" s="10"/>
      <c r="F123" s="10"/>
      <c r="G123" s="10"/>
      <c r="H123" s="10">
        <f t="shared" ref="H123:Q123" si="217">H122/G122-1</f>
        <v>0.57960199004975133</v>
      </c>
      <c r="I123" s="10">
        <f t="shared" si="217"/>
        <v>0.36535433070866152</v>
      </c>
      <c r="J123" s="10">
        <f t="shared" si="217"/>
        <v>0.3062973440222283</v>
      </c>
      <c r="K123" s="10">
        <f t="shared" si="217"/>
        <v>0.10000000000000009</v>
      </c>
      <c r="L123" s="10">
        <f t="shared" si="217"/>
        <v>5.0000000000000044E-2</v>
      </c>
      <c r="M123" s="10">
        <f t="shared" si="217"/>
        <v>4.0475031895556901E-2</v>
      </c>
      <c r="N123" s="10">
        <f t="shared" si="217"/>
        <v>-0.25012951157786667</v>
      </c>
      <c r="O123" s="10">
        <f t="shared" si="217"/>
        <v>-0.12154275989049956</v>
      </c>
      <c r="P123" s="10">
        <f t="shared" si="217"/>
        <v>-1.2925325661430342E-3</v>
      </c>
      <c r="Q123" s="10">
        <f t="shared" si="217"/>
        <v>-0.41323160499442424</v>
      </c>
      <c r="R123" s="1023"/>
      <c r="S123" s="2"/>
      <c r="T123" s="2"/>
      <c r="U123" s="2"/>
      <c r="V123" s="2"/>
      <c r="W123" s="2"/>
      <c r="X123" s="2"/>
      <c r="Y123" s="2"/>
      <c r="Z123" s="2"/>
      <c r="AA123" s="167"/>
      <c r="AB123" s="2"/>
      <c r="AC123" s="2"/>
      <c r="AD123" s="2"/>
      <c r="AE123" s="167">
        <f t="shared" ref="AE123:AL123" si="218">AE122/AA122-1</f>
        <v>2.6388888888888888</v>
      </c>
      <c r="AF123" s="2">
        <f t="shared" si="218"/>
        <v>0.36206896551724133</v>
      </c>
      <c r="AG123" s="2">
        <f t="shared" si="218"/>
        <v>0.4358974358974359</v>
      </c>
      <c r="AH123" s="10">
        <f t="shared" si="218"/>
        <v>0.33834586466165417</v>
      </c>
      <c r="AI123" s="167">
        <f t="shared" si="218"/>
        <v>0.33587786259541974</v>
      </c>
      <c r="AJ123" s="2">
        <f t="shared" si="218"/>
        <v>0.32911392405063289</v>
      </c>
      <c r="AK123" s="2">
        <f t="shared" si="218"/>
        <v>0.35119047619047628</v>
      </c>
      <c r="AL123" s="482">
        <f t="shared" si="218"/>
        <v>0.43258426966292141</v>
      </c>
      <c r="AM123" s="167">
        <f t="shared" ref="AM123" si="219">AM122/AI122-1</f>
        <v>0.46857142857142864</v>
      </c>
      <c r="AN123" s="428">
        <f t="shared" ref="AN123" si="220">AN122/AJ122-1</f>
        <v>0.30805731548355464</v>
      </c>
      <c r="AO123" s="428">
        <f t="shared" ref="AO123:AP123" si="221">AO122/AK122-1</f>
        <v>0.29085355604052254</v>
      </c>
      <c r="AP123" s="482">
        <f t="shared" si="221"/>
        <v>0.2072313874295173</v>
      </c>
      <c r="AQ123" s="1350"/>
    </row>
    <row r="124" spans="1:43" s="1038" customFormat="1" ht="9.75" hidden="1" customHeight="1" outlineLevel="1">
      <c r="A124" s="1037" t="s">
        <v>15</v>
      </c>
      <c r="B124" s="10"/>
      <c r="C124" s="10"/>
      <c r="D124" s="10"/>
      <c r="E124" s="10"/>
      <c r="F124" s="10"/>
      <c r="G124" s="10"/>
      <c r="H124" s="10"/>
      <c r="I124" s="10">
        <v>0.37</v>
      </c>
      <c r="J124" s="10">
        <f t="shared" ref="J124:Q124" si="222">J123-((J128-J129)*J127/J122)</f>
        <v>0.28191953741557951</v>
      </c>
      <c r="K124" s="10">
        <f t="shared" si="222"/>
        <v>0.10000000000000005</v>
      </c>
      <c r="L124" s="10">
        <f t="shared" si="222"/>
        <v>5.0000000000000024E-2</v>
      </c>
      <c r="M124" s="10">
        <f t="shared" si="222"/>
        <v>4.0475031895556887E-2</v>
      </c>
      <c r="N124" s="10">
        <f t="shared" si="222"/>
        <v>-0.25012951157786667</v>
      </c>
      <c r="O124" s="10">
        <f t="shared" si="222"/>
        <v>-0.12154275989049959</v>
      </c>
      <c r="P124" s="10">
        <f t="shared" si="222"/>
        <v>-1.2925325661430559E-3</v>
      </c>
      <c r="Q124" s="10">
        <f t="shared" si="222"/>
        <v>-0.41323160499442424</v>
      </c>
      <c r="R124" s="1023"/>
      <c r="S124" s="2"/>
      <c r="T124" s="2"/>
      <c r="U124" s="2"/>
      <c r="V124" s="2"/>
      <c r="W124" s="2"/>
      <c r="X124" s="2"/>
      <c r="Y124" s="2"/>
      <c r="Z124" s="2"/>
      <c r="AA124" s="167"/>
      <c r="AB124" s="2"/>
      <c r="AC124" s="2"/>
      <c r="AD124" s="2"/>
      <c r="AE124" s="167"/>
      <c r="AF124" s="2">
        <v>0.36</v>
      </c>
      <c r="AG124" s="2">
        <v>0.44</v>
      </c>
      <c r="AH124" s="10">
        <v>0.35</v>
      </c>
      <c r="AI124" s="167">
        <v>0.35</v>
      </c>
      <c r="AJ124" s="2">
        <v>0.35</v>
      </c>
      <c r="AK124" s="2">
        <v>0.36</v>
      </c>
      <c r="AL124" s="482">
        <v>0.43</v>
      </c>
      <c r="AM124" s="167">
        <v>0.41</v>
      </c>
      <c r="AN124" s="428">
        <f t="shared" ref="AN124:AO124" si="223">AN123-((AN128-AN129)*AN127/AN122)</f>
        <v>0.27573895830265593</v>
      </c>
      <c r="AO124" s="428">
        <f t="shared" si="223"/>
        <v>0.27632576840868261</v>
      </c>
      <c r="AP124" s="482"/>
      <c r="AQ124" s="1350"/>
    </row>
    <row r="125" spans="1:43" s="1038" customFormat="1" ht="12.75" hidden="1" customHeight="1" outlineLevel="1">
      <c r="A125" s="2" t="s">
        <v>72</v>
      </c>
      <c r="B125" s="4"/>
      <c r="C125" s="4"/>
      <c r="D125" s="4"/>
      <c r="E125" s="4"/>
      <c r="F125" s="4"/>
      <c r="G125" s="4">
        <v>196</v>
      </c>
      <c r="H125" s="4">
        <v>310</v>
      </c>
      <c r="I125" s="141">
        <v>446</v>
      </c>
      <c r="J125" s="141">
        <f>I125+I125*J126</f>
        <v>593.18000000000006</v>
      </c>
      <c r="K125" s="141">
        <f t="shared" ref="K125:Q125" si="224">J125+J125*K126</f>
        <v>652.49800000000005</v>
      </c>
      <c r="L125" s="141">
        <f t="shared" si="224"/>
        <v>685.12290000000007</v>
      </c>
      <c r="M125" s="141">
        <f t="shared" si="224"/>
        <v>719.37904500000013</v>
      </c>
      <c r="N125" s="135">
        <f t="shared" si="224"/>
        <v>359.68952250000007</v>
      </c>
      <c r="O125" s="141">
        <f t="shared" si="224"/>
        <v>215.81371350000003</v>
      </c>
      <c r="P125" s="141">
        <f t="shared" si="224"/>
        <v>194.23234215000002</v>
      </c>
      <c r="Q125" s="141">
        <f t="shared" si="224"/>
        <v>174.80910793500001</v>
      </c>
      <c r="R125" s="402">
        <f>(N125/J125)^(1/($N$1-$J$1))-1</f>
        <v>-0.11755972375177448</v>
      </c>
      <c r="S125" s="1026"/>
      <c r="T125" s="1026"/>
      <c r="U125" s="1026"/>
      <c r="V125" s="2"/>
      <c r="W125" s="2"/>
      <c r="X125" s="2"/>
      <c r="Y125" s="2"/>
      <c r="Z125" s="2"/>
      <c r="AA125" s="169">
        <v>18</v>
      </c>
      <c r="AB125" s="142">
        <v>58</v>
      </c>
      <c r="AC125" s="142">
        <v>58</v>
      </c>
      <c r="AD125" s="141">
        <f>G125-AC125-AB125-AA125</f>
        <v>62</v>
      </c>
      <c r="AE125" s="169">
        <v>62</v>
      </c>
      <c r="AF125" s="142">
        <v>77</v>
      </c>
      <c r="AG125" s="142">
        <v>81</v>
      </c>
      <c r="AH125" s="107">
        <f>H125-AE125-AF125-AG125</f>
        <v>90</v>
      </c>
      <c r="AI125" s="169">
        <v>90</v>
      </c>
      <c r="AJ125" s="142">
        <v>109</v>
      </c>
      <c r="AK125" s="142">
        <v>119</v>
      </c>
      <c r="AL125" s="481">
        <f>I125-AI125-AJ125-AK125</f>
        <v>128</v>
      </c>
      <c r="AM125" s="169">
        <v>124</v>
      </c>
      <c r="AN125" s="396">
        <f t="shared" ref="AN125" si="225">AJ125+AJ125*AN126</f>
        <v>141.69999999999999</v>
      </c>
      <c r="AO125" s="396">
        <f>AK125+AK125*AO126</f>
        <v>154.69999999999999</v>
      </c>
      <c r="AP125" s="481">
        <f>J125-AM125-AN125-AO125</f>
        <v>172.78000000000009</v>
      </c>
      <c r="AQ125" s="1350"/>
    </row>
    <row r="126" spans="1:43" s="1038" customFormat="1" ht="9.75" hidden="1" customHeight="1" outlineLevel="1">
      <c r="A126" s="2" t="s">
        <v>14</v>
      </c>
      <c r="B126" s="10"/>
      <c r="C126" s="10"/>
      <c r="D126" s="10"/>
      <c r="E126" s="10"/>
      <c r="F126" s="10"/>
      <c r="G126" s="10"/>
      <c r="H126" s="10">
        <f>H125/G125-1</f>
        <v>0.58163265306122458</v>
      </c>
      <c r="I126" s="10">
        <v>0.44</v>
      </c>
      <c r="J126" s="137">
        <v>0.33</v>
      </c>
      <c r="K126" s="137">
        <v>0.1</v>
      </c>
      <c r="L126" s="137">
        <v>0.05</v>
      </c>
      <c r="M126" s="137">
        <v>0.05</v>
      </c>
      <c r="N126" s="137">
        <v>-0.5</v>
      </c>
      <c r="O126" s="137">
        <v>-0.4</v>
      </c>
      <c r="P126" s="137">
        <v>-0.1</v>
      </c>
      <c r="Q126" s="137">
        <v>-0.1</v>
      </c>
      <c r="R126" s="1023"/>
      <c r="S126" s="2"/>
      <c r="T126" s="2"/>
      <c r="U126" s="2"/>
      <c r="V126" s="2"/>
      <c r="W126" s="2"/>
      <c r="X126" s="2"/>
      <c r="Y126" s="2"/>
      <c r="Z126" s="2"/>
      <c r="AA126" s="167"/>
      <c r="AB126" s="2"/>
      <c r="AC126" s="2"/>
      <c r="AD126" s="2"/>
      <c r="AE126" s="167">
        <f t="shared" ref="AE126:AK126" si="226">AE125/AA125-1</f>
        <v>2.4444444444444446</v>
      </c>
      <c r="AF126" s="2">
        <f t="shared" si="226"/>
        <v>0.32758620689655182</v>
      </c>
      <c r="AG126" s="2">
        <f t="shared" si="226"/>
        <v>0.39655172413793105</v>
      </c>
      <c r="AH126" s="10">
        <f t="shared" si="226"/>
        <v>0.45161290322580649</v>
      </c>
      <c r="AI126" s="167">
        <f t="shared" si="226"/>
        <v>0.45161290322580649</v>
      </c>
      <c r="AJ126" s="2">
        <f t="shared" si="226"/>
        <v>0.4155844155844155</v>
      </c>
      <c r="AK126" s="2">
        <f t="shared" si="226"/>
        <v>0.46913580246913589</v>
      </c>
      <c r="AL126" s="482">
        <f>AL125/AH125-1</f>
        <v>0.42222222222222228</v>
      </c>
      <c r="AM126" s="167">
        <f>AM125/AI125-1</f>
        <v>0.37777777777777777</v>
      </c>
      <c r="AN126" s="545">
        <v>0.3</v>
      </c>
      <c r="AO126" s="545">
        <v>0.3</v>
      </c>
      <c r="AP126" s="482">
        <f>AP125/AL125-1</f>
        <v>0.34984375000000068</v>
      </c>
      <c r="AQ126" s="1350"/>
    </row>
    <row r="127" spans="1:43" s="1038" customFormat="1" ht="12.75" hidden="1" customHeight="1" outlineLevel="1">
      <c r="A127" s="2" t="s">
        <v>73</v>
      </c>
      <c r="B127" s="4"/>
      <c r="C127" s="4"/>
      <c r="D127" s="4"/>
      <c r="E127" s="4"/>
      <c r="F127" s="4"/>
      <c r="G127" s="4">
        <v>206</v>
      </c>
      <c r="H127" s="4">
        <v>325</v>
      </c>
      <c r="I127" s="107">
        <v>421</v>
      </c>
      <c r="J127" s="107">
        <f t="shared" ref="J127:Q127" si="227">I127*(1+J129)*(1+J$32)</f>
        <v>539.3797972672719</v>
      </c>
      <c r="K127" s="107">
        <f t="shared" si="227"/>
        <v>593.31777699399913</v>
      </c>
      <c r="L127" s="107">
        <f t="shared" si="227"/>
        <v>622.9836658436991</v>
      </c>
      <c r="M127" s="107">
        <f t="shared" si="227"/>
        <v>641.67317581901011</v>
      </c>
      <c r="N127" s="107">
        <f t="shared" si="227"/>
        <v>660.92337109358039</v>
      </c>
      <c r="O127" s="107">
        <f t="shared" si="227"/>
        <v>680.75107222638781</v>
      </c>
      <c r="P127" s="107">
        <f t="shared" si="227"/>
        <v>701.1736043931794</v>
      </c>
      <c r="Q127" s="135">
        <f t="shared" si="227"/>
        <v>350.5868021965897</v>
      </c>
      <c r="R127" s="402">
        <f>(N127/J127)^(1/($N$1-$J$1))-1</f>
        <v>5.2117170708919192E-2</v>
      </c>
      <c r="S127" s="1026"/>
      <c r="T127" s="1026"/>
      <c r="U127" s="1026"/>
      <c r="V127" s="2"/>
      <c r="W127" s="2"/>
      <c r="X127" s="2"/>
      <c r="Y127" s="2"/>
      <c r="Z127" s="2"/>
      <c r="AA127" s="169">
        <v>18</v>
      </c>
      <c r="AB127" s="142">
        <v>58</v>
      </c>
      <c r="AC127" s="142">
        <v>59</v>
      </c>
      <c r="AD127" s="141">
        <f>G127-AC127-AB127-AA127</f>
        <v>71</v>
      </c>
      <c r="AE127" s="169">
        <v>69</v>
      </c>
      <c r="AF127" s="142">
        <v>81</v>
      </c>
      <c r="AG127" s="142">
        <v>87</v>
      </c>
      <c r="AH127" s="107">
        <f>H127-AE127-AF127-AG127</f>
        <v>88</v>
      </c>
      <c r="AI127" s="169">
        <v>85</v>
      </c>
      <c r="AJ127" s="142">
        <v>101</v>
      </c>
      <c r="AK127" s="142">
        <v>108</v>
      </c>
      <c r="AL127" s="481">
        <f>I127-AI127-AJ127-AK127</f>
        <v>127</v>
      </c>
      <c r="AM127" s="169">
        <v>133</v>
      </c>
      <c r="AN127" s="396">
        <f>AJ127*(1+AN129)*(1+AN$32)</f>
        <v>132.99203625154649</v>
      </c>
      <c r="AO127" s="396">
        <f>AK127*(1+AO129)*(1+AO$32)</f>
        <v>138.32375722119863</v>
      </c>
      <c r="AP127" s="481">
        <f>J127-AM127-AN127-AO127</f>
        <v>135.06400379452677</v>
      </c>
      <c r="AQ127" s="1350"/>
    </row>
    <row r="128" spans="1:43" s="1038" customFormat="1" ht="9.75" hidden="1" customHeight="1" outlineLevel="1">
      <c r="A128" s="2" t="s">
        <v>14</v>
      </c>
      <c r="B128" s="10"/>
      <c r="C128" s="10"/>
      <c r="D128" s="10"/>
      <c r="E128" s="10"/>
      <c r="F128" s="10"/>
      <c r="G128" s="10"/>
      <c r="H128" s="10">
        <f>H127/G127-1</f>
        <v>0.57766990291262132</v>
      </c>
      <c r="I128" s="10">
        <f t="shared" ref="I128:Q128" si="228">I127/H127-1</f>
        <v>0.29538461538461536</v>
      </c>
      <c r="J128" s="10">
        <f t="shared" si="228"/>
        <v>0.28118716690563406</v>
      </c>
      <c r="K128" s="10">
        <f t="shared" si="228"/>
        <v>0.10000000000000009</v>
      </c>
      <c r="L128" s="10">
        <f t="shared" si="228"/>
        <v>5.0000000000000044E-2</v>
      </c>
      <c r="M128" s="10">
        <f t="shared" si="228"/>
        <v>3.0000000000000027E-2</v>
      </c>
      <c r="N128" s="10">
        <f t="shared" si="228"/>
        <v>3.0000000000000027E-2</v>
      </c>
      <c r="O128" s="10">
        <f t="shared" si="228"/>
        <v>3.0000000000000027E-2</v>
      </c>
      <c r="P128" s="10">
        <f t="shared" si="228"/>
        <v>3.0000000000000027E-2</v>
      </c>
      <c r="Q128" s="10">
        <f t="shared" si="228"/>
        <v>-0.5</v>
      </c>
      <c r="R128" s="1023"/>
      <c r="S128" s="2"/>
      <c r="T128" s="2"/>
      <c r="U128" s="2"/>
      <c r="V128" s="2"/>
      <c r="W128" s="2"/>
      <c r="X128" s="2"/>
      <c r="Y128" s="2"/>
      <c r="Z128" s="2"/>
      <c r="AA128" s="167"/>
      <c r="AB128" s="2"/>
      <c r="AC128" s="2"/>
      <c r="AD128" s="2"/>
      <c r="AE128" s="167">
        <f t="shared" ref="AE128:AL128" si="229">AE127/AA127-1</f>
        <v>2.8333333333333335</v>
      </c>
      <c r="AF128" s="2">
        <f t="shared" si="229"/>
        <v>0.39655172413793105</v>
      </c>
      <c r="AG128" s="2">
        <f t="shared" si="229"/>
        <v>0.47457627118644075</v>
      </c>
      <c r="AH128" s="10">
        <f t="shared" si="229"/>
        <v>0.23943661971830976</v>
      </c>
      <c r="AI128" s="167">
        <f t="shared" si="229"/>
        <v>0.23188405797101441</v>
      </c>
      <c r="AJ128" s="2">
        <f t="shared" si="229"/>
        <v>0.24691358024691357</v>
      </c>
      <c r="AK128" s="2">
        <f t="shared" si="229"/>
        <v>0.24137931034482762</v>
      </c>
      <c r="AL128" s="482">
        <f t="shared" si="229"/>
        <v>0.44318181818181812</v>
      </c>
      <c r="AM128" s="167">
        <f t="shared" ref="AM128" si="230">AM127/AI127-1</f>
        <v>0.56470588235294117</v>
      </c>
      <c r="AN128" s="428">
        <f t="shared" ref="AN128" si="231">AN127/AJ127-1</f>
        <v>0.31675283417372757</v>
      </c>
      <c r="AO128" s="428">
        <f t="shared" ref="AO128" si="232">AO127/AK127-1</f>
        <v>0.28077552982591336</v>
      </c>
      <c r="AP128" s="482">
        <f>AP127/AL127-1</f>
        <v>6.3496092870289456E-2</v>
      </c>
      <c r="AQ128" s="1350"/>
    </row>
    <row r="129" spans="1:43" s="1038" customFormat="1" ht="9.75" hidden="1" customHeight="1" outlineLevel="1">
      <c r="A129" s="2" t="s">
        <v>15</v>
      </c>
      <c r="B129" s="10"/>
      <c r="C129" s="10"/>
      <c r="D129" s="10"/>
      <c r="E129" s="10"/>
      <c r="F129" s="10"/>
      <c r="G129" s="10"/>
      <c r="H129" s="10"/>
      <c r="I129" s="10">
        <v>0.31</v>
      </c>
      <c r="J129" s="50">
        <v>0.23</v>
      </c>
      <c r="K129" s="50">
        <v>0.1</v>
      </c>
      <c r="L129" s="50">
        <v>0.05</v>
      </c>
      <c r="M129" s="50">
        <v>0.03</v>
      </c>
      <c r="N129" s="50">
        <v>0.03</v>
      </c>
      <c r="O129" s="50">
        <v>0.03</v>
      </c>
      <c r="P129" s="50">
        <v>0.03</v>
      </c>
      <c r="Q129" s="50">
        <v>-0.5</v>
      </c>
      <c r="R129" s="402"/>
      <c r="S129" s="1026"/>
      <c r="T129" s="1026"/>
      <c r="U129" s="1026"/>
      <c r="V129" s="10"/>
      <c r="W129" s="10"/>
      <c r="X129" s="10"/>
      <c r="Y129" s="10"/>
      <c r="Z129" s="10"/>
      <c r="AA129" s="163"/>
      <c r="AB129" s="10"/>
      <c r="AC129" s="11"/>
      <c r="AD129" s="10"/>
      <c r="AE129" s="163"/>
      <c r="AF129" s="10">
        <v>0.39</v>
      </c>
      <c r="AG129" s="10">
        <v>0.5</v>
      </c>
      <c r="AH129" s="10">
        <v>0.28000000000000003</v>
      </c>
      <c r="AI129" s="163">
        <v>0.26</v>
      </c>
      <c r="AJ129" s="10">
        <v>0.28000000000000003</v>
      </c>
      <c r="AK129" s="10">
        <v>0.25</v>
      </c>
      <c r="AL129" s="482">
        <v>0.45</v>
      </c>
      <c r="AM129" s="163">
        <v>0.44</v>
      </c>
      <c r="AN129" s="539">
        <v>0.25</v>
      </c>
      <c r="AO129" s="539">
        <v>0.25</v>
      </c>
      <c r="AP129" s="497"/>
      <c r="AQ129" s="1350"/>
    </row>
    <row r="130" spans="1:43" ht="12.75" customHeight="1" collapsed="1">
      <c r="A130" s="1025" t="s">
        <v>27</v>
      </c>
      <c r="B130" s="4">
        <v>1376</v>
      </c>
      <c r="C130" s="14">
        <v>911</v>
      </c>
      <c r="D130" s="4">
        <v>438</v>
      </c>
      <c r="E130" s="4">
        <v>384</v>
      </c>
      <c r="F130" s="4">
        <v>380</v>
      </c>
      <c r="G130" s="4">
        <v>304</v>
      </c>
      <c r="I130" s="107"/>
      <c r="J130" s="107"/>
      <c r="K130" s="107"/>
      <c r="L130" s="107"/>
      <c r="M130" s="107"/>
      <c r="N130" s="107"/>
      <c r="O130" s="107"/>
      <c r="P130" s="107"/>
      <c r="Q130" s="107"/>
      <c r="R130" s="402"/>
      <c r="S130" s="1026"/>
      <c r="T130" s="1026"/>
      <c r="U130" s="1026"/>
      <c r="W130" s="4">
        <v>94</v>
      </c>
      <c r="X130" s="4">
        <v>91</v>
      </c>
      <c r="Y130" s="4">
        <v>97</v>
      </c>
      <c r="Z130" s="4">
        <v>98</v>
      </c>
      <c r="AA130" s="157">
        <v>82</v>
      </c>
      <c r="AB130" s="4">
        <v>80</v>
      </c>
      <c r="AC130" s="4">
        <v>72</v>
      </c>
      <c r="AD130" s="107">
        <f>G130-AC130-AB130-AA130</f>
        <v>70</v>
      </c>
      <c r="AE130" s="168"/>
      <c r="AH130" s="141"/>
      <c r="AI130" s="168"/>
      <c r="AK130" s="107"/>
      <c r="AL130" s="481"/>
      <c r="AM130" s="168"/>
      <c r="AN130" s="396"/>
      <c r="AO130" s="396"/>
      <c r="AP130" s="481"/>
      <c r="AQ130" s="1350"/>
    </row>
    <row r="131" spans="1:43" s="1038" customFormat="1" ht="9.75" hidden="1" customHeight="1" outlineLevel="1">
      <c r="A131" s="1037" t="s">
        <v>14</v>
      </c>
      <c r="B131" s="10"/>
      <c r="C131" s="10">
        <f>C130/B130-1</f>
        <v>-0.3379360465116279</v>
      </c>
      <c r="D131" s="10">
        <f>D130/C130-1</f>
        <v>-0.51920965971459931</v>
      </c>
      <c r="E131" s="10">
        <f>E130/D130-1</f>
        <v>-0.12328767123287676</v>
      </c>
      <c r="F131" s="10">
        <f>F130/E130-1</f>
        <v>-1.041666666666663E-2</v>
      </c>
      <c r="G131" s="10">
        <f>G130/F130-1</f>
        <v>-0.19999999999999996</v>
      </c>
      <c r="H131" s="10"/>
      <c r="I131" s="10"/>
      <c r="J131" s="10"/>
      <c r="K131" s="10"/>
      <c r="L131" s="10"/>
      <c r="M131" s="10"/>
      <c r="N131" s="10"/>
      <c r="O131" s="10"/>
      <c r="P131" s="10"/>
      <c r="Q131" s="10"/>
      <c r="R131" s="1019"/>
      <c r="S131" s="10"/>
      <c r="T131" s="10"/>
      <c r="U131" s="10"/>
      <c r="V131" s="10"/>
      <c r="W131" s="10">
        <v>-3.0927835051546393E-2</v>
      </c>
      <c r="X131" s="10">
        <v>-6.1855670103092786E-2</v>
      </c>
      <c r="Y131" s="10">
        <v>7.7777777777777724E-2</v>
      </c>
      <c r="Z131" s="10">
        <v>-2.0000000000000018E-2</v>
      </c>
      <c r="AA131" s="163">
        <f>AA130/W130-1</f>
        <v>-0.12765957446808507</v>
      </c>
      <c r="AB131" s="10">
        <f>AB130/X130-1</f>
        <v>-0.12087912087912089</v>
      </c>
      <c r="AC131" s="10">
        <f>AC130/Y130-1</f>
        <v>-0.25773195876288657</v>
      </c>
      <c r="AD131" s="10">
        <f>AD130/Z130-1</f>
        <v>-0.2857142857142857</v>
      </c>
      <c r="AE131" s="167"/>
      <c r="AF131" s="10"/>
      <c r="AG131" s="10"/>
      <c r="AH131" s="2"/>
      <c r="AI131" s="167"/>
      <c r="AJ131" s="10"/>
      <c r="AK131" s="10"/>
      <c r="AL131" s="482"/>
      <c r="AM131" s="167"/>
      <c r="AN131" s="428"/>
      <c r="AO131" s="428"/>
      <c r="AP131" s="482"/>
      <c r="AQ131" s="1350"/>
    </row>
    <row r="132" spans="1:43" s="1038" customFormat="1" ht="9.75" hidden="1" customHeight="1" outlineLevel="1">
      <c r="A132" s="1037" t="s">
        <v>15</v>
      </c>
      <c r="B132" s="10"/>
      <c r="C132" s="10">
        <v>-0.37</v>
      </c>
      <c r="D132" s="10">
        <v>-0.5</v>
      </c>
      <c r="E132" s="10">
        <v>-7.0000000000000007E-2</v>
      </c>
      <c r="F132" s="10">
        <v>0.02</v>
      </c>
      <c r="G132" s="10">
        <v>-0.11</v>
      </c>
      <c r="H132" s="10"/>
      <c r="I132" s="50"/>
      <c r="J132" s="50"/>
      <c r="K132" s="50"/>
      <c r="L132" s="50"/>
      <c r="M132" s="50"/>
      <c r="N132" s="50"/>
      <c r="O132" s="50"/>
      <c r="P132" s="50"/>
      <c r="Q132" s="50"/>
      <c r="R132" s="1019"/>
      <c r="S132" s="10"/>
      <c r="T132" s="10"/>
      <c r="U132" s="10"/>
      <c r="V132" s="10"/>
      <c r="W132" s="10">
        <v>0</v>
      </c>
      <c r="X132" s="10">
        <v>-7.0000000000000007E-2</v>
      </c>
      <c r="Y132" s="10">
        <v>0.1</v>
      </c>
      <c r="Z132" s="10">
        <v>0.06</v>
      </c>
      <c r="AA132" s="163">
        <v>-0.03</v>
      </c>
      <c r="AB132" s="10">
        <v>-0.01</v>
      </c>
      <c r="AC132" s="10">
        <v>-0.15</v>
      </c>
      <c r="AD132" s="10">
        <f>AD131-AD$32</f>
        <v>-0.2857142857142857</v>
      </c>
      <c r="AE132" s="167"/>
      <c r="AF132" s="10"/>
      <c r="AG132" s="10"/>
      <c r="AH132" s="2"/>
      <c r="AI132" s="167"/>
      <c r="AJ132" s="10"/>
      <c r="AK132" s="50"/>
      <c r="AL132" s="497"/>
      <c r="AM132" s="167"/>
      <c r="AN132" s="539"/>
      <c r="AO132" s="539"/>
      <c r="AP132" s="497"/>
      <c r="AQ132" s="1350"/>
    </row>
    <row r="133" spans="1:43" s="1038" customFormat="1" ht="9.75" hidden="1" customHeight="1" outlineLevel="1">
      <c r="A133" s="1037" t="s">
        <v>18</v>
      </c>
      <c r="B133" s="10">
        <f t="shared" ref="B133:G133" si="233">B130/B$2</f>
        <v>2.718078381795196E-2</v>
      </c>
      <c r="C133" s="10">
        <f t="shared" si="233"/>
        <v>1.5555100228801693E-2</v>
      </c>
      <c r="D133" s="10">
        <f t="shared" si="233"/>
        <v>7.7285479858133499E-3</v>
      </c>
      <c r="E133" s="10">
        <f t="shared" si="233"/>
        <v>6.6951442768721121E-3</v>
      </c>
      <c r="F133" s="10">
        <f t="shared" si="233"/>
        <v>7.282483710233806E-3</v>
      </c>
      <c r="G133" s="10">
        <f t="shared" si="233"/>
        <v>6.1521026429756749E-3</v>
      </c>
      <c r="H133" s="10"/>
      <c r="I133" s="10"/>
      <c r="J133" s="10"/>
      <c r="K133" s="10"/>
      <c r="L133" s="10"/>
      <c r="M133" s="10"/>
      <c r="N133" s="10"/>
      <c r="O133" s="10"/>
      <c r="P133" s="10"/>
      <c r="Q133" s="10"/>
      <c r="R133" s="1019"/>
      <c r="S133" s="10"/>
      <c r="T133" s="10"/>
      <c r="U133" s="10"/>
      <c r="V133" s="10"/>
      <c r="W133" s="10">
        <f t="shared" ref="W133:AB133" si="234">W130/W$2</f>
        <v>7.3627320435497769E-3</v>
      </c>
      <c r="X133" s="10">
        <f t="shared" si="234"/>
        <v>6.8180115381733719E-3</v>
      </c>
      <c r="Y133" s="10">
        <f t="shared" si="234"/>
        <v>7.4667077207297358E-3</v>
      </c>
      <c r="Z133" s="10">
        <f t="shared" si="234"/>
        <v>7.4952198852772465E-3</v>
      </c>
      <c r="AA133" s="163">
        <f t="shared" si="234"/>
        <v>6.870548806032677E-3</v>
      </c>
      <c r="AB133" s="10">
        <f t="shared" si="234"/>
        <v>6.3021900110288324E-3</v>
      </c>
      <c r="AC133" s="10">
        <f>AC130/AC$2</f>
        <v>5.8703628210354667E-3</v>
      </c>
      <c r="AD133" s="10">
        <f>AD130/AD$2</f>
        <v>5.5910543130990413E-3</v>
      </c>
      <c r="AE133" s="167"/>
      <c r="AF133" s="10"/>
      <c r="AG133" s="10"/>
      <c r="AH133" s="2"/>
      <c r="AI133" s="167"/>
      <c r="AJ133" s="10"/>
      <c r="AK133" s="10"/>
      <c r="AL133" s="482"/>
      <c r="AM133" s="167"/>
      <c r="AN133" s="428"/>
      <c r="AO133" s="428"/>
      <c r="AP133" s="482"/>
      <c r="AQ133" s="1350"/>
    </row>
    <row r="134" spans="1:43" ht="12.75" customHeight="1" collapsed="1">
      <c r="A134" s="1025" t="s">
        <v>28</v>
      </c>
      <c r="F134" s="4">
        <v>31</v>
      </c>
      <c r="G134" s="4">
        <v>79</v>
      </c>
      <c r="H134" s="4">
        <v>91</v>
      </c>
      <c r="I134" s="107"/>
      <c r="J134" s="107"/>
      <c r="K134" s="107"/>
      <c r="L134" s="107"/>
      <c r="M134" s="107"/>
      <c r="N134" s="107"/>
      <c r="O134" s="107"/>
      <c r="P134" s="107"/>
      <c r="Q134" s="107"/>
      <c r="R134" s="402"/>
      <c r="S134" s="1026"/>
      <c r="T134" s="1026"/>
      <c r="U134" s="1026"/>
      <c r="X134" s="4">
        <v>7</v>
      </c>
      <c r="Y134" s="4">
        <v>12</v>
      </c>
      <c r="Z134" s="4">
        <v>12</v>
      </c>
      <c r="AA134" s="157">
        <v>16</v>
      </c>
      <c r="AB134" s="4">
        <v>18</v>
      </c>
      <c r="AC134" s="4">
        <v>21</v>
      </c>
      <c r="AD134" s="107">
        <f>G134-AC134-AB134-AA134</f>
        <v>24</v>
      </c>
      <c r="AE134" s="157">
        <v>24</v>
      </c>
      <c r="AF134" s="4">
        <v>24</v>
      </c>
      <c r="AG134" s="4">
        <v>21</v>
      </c>
      <c r="AH134" s="107">
        <f>H134-AE134-AF134-AG134</f>
        <v>22</v>
      </c>
      <c r="AI134" s="1043"/>
      <c r="AJ134" s="1044"/>
      <c r="AK134" s="1044"/>
      <c r="AL134" s="481"/>
      <c r="AM134" s="1043"/>
      <c r="AN134" s="555"/>
      <c r="AO134" s="555"/>
      <c r="AP134" s="481"/>
      <c r="AQ134" s="1350"/>
    </row>
    <row r="135" spans="1:43" s="1038" customFormat="1" ht="9.75" hidden="1" customHeight="1" outlineLevel="1">
      <c r="A135" s="1037" t="s">
        <v>14</v>
      </c>
      <c r="B135" s="10"/>
      <c r="C135" s="10"/>
      <c r="D135" s="10"/>
      <c r="E135" s="10"/>
      <c r="F135" s="10"/>
      <c r="G135" s="10">
        <f t="shared" ref="G135:H135" si="235">G134/F134-1</f>
        <v>1.5483870967741935</v>
      </c>
      <c r="H135" s="10">
        <f t="shared" si="235"/>
        <v>0.15189873417721511</v>
      </c>
      <c r="I135" s="10"/>
      <c r="J135" s="10"/>
      <c r="K135" s="10"/>
      <c r="L135" s="10"/>
      <c r="M135" s="10"/>
      <c r="N135" s="10"/>
      <c r="O135" s="10"/>
      <c r="P135" s="10"/>
      <c r="Q135" s="10"/>
      <c r="R135" s="1019"/>
      <c r="S135" s="10"/>
      <c r="T135" s="10"/>
      <c r="U135" s="10"/>
      <c r="V135" s="10"/>
      <c r="W135" s="10"/>
      <c r="X135" s="10"/>
      <c r="Y135" s="10"/>
      <c r="Z135" s="10"/>
      <c r="AA135" s="163"/>
      <c r="AB135" s="10">
        <f t="shared" ref="AB135:AH135" si="236">AB134/X134-1</f>
        <v>1.5714285714285716</v>
      </c>
      <c r="AC135" s="10">
        <f t="shared" si="236"/>
        <v>0.75</v>
      </c>
      <c r="AD135" s="10">
        <f t="shared" si="236"/>
        <v>1</v>
      </c>
      <c r="AE135" s="163">
        <f t="shared" si="236"/>
        <v>0.5</v>
      </c>
      <c r="AF135" s="10">
        <f t="shared" si="236"/>
        <v>0.33333333333333326</v>
      </c>
      <c r="AG135" s="10">
        <f t="shared" si="236"/>
        <v>0</v>
      </c>
      <c r="AH135" s="10">
        <f t="shared" si="236"/>
        <v>-8.333333333333337E-2</v>
      </c>
      <c r="AI135" s="163"/>
      <c r="AJ135" s="10"/>
      <c r="AK135" s="10"/>
      <c r="AL135" s="482"/>
      <c r="AM135" s="163"/>
      <c r="AN135" s="428"/>
      <c r="AO135" s="428"/>
      <c r="AP135" s="482"/>
      <c r="AQ135" s="1350"/>
    </row>
    <row r="136" spans="1:43" s="1038" customFormat="1" ht="9.75" hidden="1" customHeight="1" outlineLevel="1">
      <c r="A136" s="1037" t="s">
        <v>15</v>
      </c>
      <c r="B136" s="10"/>
      <c r="C136" s="10"/>
      <c r="D136" s="10"/>
      <c r="E136" s="10"/>
      <c r="F136" s="10"/>
      <c r="G136" s="10">
        <v>1.62</v>
      </c>
      <c r="H136" s="10">
        <v>0.14000000000000001</v>
      </c>
      <c r="I136" s="50"/>
      <c r="J136" s="50"/>
      <c r="K136" s="50"/>
      <c r="L136" s="50"/>
      <c r="M136" s="50"/>
      <c r="N136" s="50"/>
      <c r="O136" s="50"/>
      <c r="P136" s="50"/>
      <c r="Q136" s="50"/>
      <c r="R136" s="1019"/>
      <c r="S136" s="10"/>
      <c r="T136" s="10"/>
      <c r="U136" s="10"/>
      <c r="V136" s="10"/>
      <c r="W136" s="10"/>
      <c r="X136" s="10"/>
      <c r="Y136" s="10"/>
      <c r="Z136" s="10"/>
      <c r="AA136" s="163"/>
      <c r="AB136" s="10">
        <v>1.66</v>
      </c>
      <c r="AC136" s="10">
        <v>0.85</v>
      </c>
      <c r="AD136" s="10">
        <f>AD135-AD$32</f>
        <v>1</v>
      </c>
      <c r="AE136" s="163">
        <v>0.54</v>
      </c>
      <c r="AF136" s="10">
        <v>0.35</v>
      </c>
      <c r="AG136" s="10">
        <v>-0.04</v>
      </c>
      <c r="AH136" s="10">
        <v>-0.11</v>
      </c>
      <c r="AI136" s="163"/>
      <c r="AJ136" s="10"/>
      <c r="AK136" s="50"/>
      <c r="AL136" s="497"/>
      <c r="AM136" s="163"/>
      <c r="AN136" s="539"/>
      <c r="AO136" s="539"/>
      <c r="AP136" s="497"/>
      <c r="AQ136" s="1350"/>
    </row>
    <row r="137" spans="1:43" ht="12.75" customHeight="1" collapsed="1">
      <c r="A137" s="1025" t="s">
        <v>905</v>
      </c>
      <c r="I137" s="499"/>
      <c r="J137" s="107"/>
      <c r="K137" s="107"/>
      <c r="L137" s="107"/>
      <c r="M137" s="107"/>
      <c r="N137" s="107"/>
      <c r="O137" s="107"/>
      <c r="P137" s="107"/>
      <c r="Q137" s="107"/>
      <c r="R137" s="402"/>
      <c r="S137" s="1026"/>
      <c r="T137" s="1026"/>
      <c r="U137" s="1026"/>
      <c r="AD137" s="107"/>
      <c r="AH137" s="107"/>
      <c r="AK137" s="499"/>
      <c r="AL137" s="481"/>
      <c r="AM137" s="157"/>
      <c r="AN137" s="555"/>
      <c r="AO137" s="555"/>
      <c r="AP137" s="481"/>
      <c r="AQ137" s="1350"/>
    </row>
    <row r="138" spans="1:43" s="1038" customFormat="1" ht="9.75" hidden="1" customHeight="1" outlineLevel="1">
      <c r="A138" s="1037" t="s">
        <v>14</v>
      </c>
      <c r="B138" s="10"/>
      <c r="C138" s="10"/>
      <c r="D138" s="10"/>
      <c r="E138" s="10"/>
      <c r="F138" s="10"/>
      <c r="G138" s="10"/>
      <c r="H138" s="10"/>
      <c r="I138" s="10"/>
      <c r="J138" s="10"/>
      <c r="K138" s="10"/>
      <c r="L138" s="10"/>
      <c r="M138" s="10"/>
      <c r="N138" s="10"/>
      <c r="O138" s="10"/>
      <c r="P138" s="10"/>
      <c r="Q138" s="10"/>
      <c r="R138" s="1019"/>
      <c r="S138" s="10"/>
      <c r="T138" s="10"/>
      <c r="U138" s="10"/>
      <c r="V138" s="10"/>
      <c r="W138" s="10"/>
      <c r="X138" s="10"/>
      <c r="Y138" s="10"/>
      <c r="Z138" s="10"/>
      <c r="AA138" s="163"/>
      <c r="AB138" s="10"/>
      <c r="AC138" s="10"/>
      <c r="AD138" s="10"/>
      <c r="AE138" s="163"/>
      <c r="AF138" s="10"/>
      <c r="AG138" s="10"/>
      <c r="AH138" s="10"/>
      <c r="AI138" s="163"/>
      <c r="AJ138" s="10"/>
      <c r="AK138" s="10"/>
      <c r="AL138" s="482"/>
      <c r="AM138" s="163"/>
      <c r="AN138" s="428"/>
      <c r="AO138" s="428"/>
      <c r="AP138" s="482"/>
      <c r="AQ138" s="1350"/>
    </row>
    <row r="139" spans="1:43" s="1038" customFormat="1" ht="9.75" hidden="1" customHeight="1" outlineLevel="1">
      <c r="A139" s="1037" t="s">
        <v>15</v>
      </c>
      <c r="B139" s="10"/>
      <c r="C139" s="10"/>
      <c r="D139" s="10"/>
      <c r="E139" s="10"/>
      <c r="F139" s="10"/>
      <c r="G139" s="10"/>
      <c r="H139" s="10"/>
      <c r="I139" s="50"/>
      <c r="J139" s="50"/>
      <c r="K139" s="50"/>
      <c r="L139" s="50"/>
      <c r="M139" s="50"/>
      <c r="N139" s="50"/>
      <c r="O139" s="50"/>
      <c r="P139" s="50"/>
      <c r="Q139" s="50"/>
      <c r="R139" s="1019"/>
      <c r="S139" s="10"/>
      <c r="T139" s="10"/>
      <c r="U139" s="10"/>
      <c r="V139" s="10"/>
      <c r="W139" s="10"/>
      <c r="X139" s="10"/>
      <c r="Y139" s="10"/>
      <c r="Z139" s="10"/>
      <c r="AA139" s="163"/>
      <c r="AB139" s="10"/>
      <c r="AC139" s="10"/>
      <c r="AD139" s="10"/>
      <c r="AE139" s="163"/>
      <c r="AF139" s="10"/>
      <c r="AG139" s="10"/>
      <c r="AH139" s="10"/>
      <c r="AI139" s="163"/>
      <c r="AJ139" s="10"/>
      <c r="AK139" s="50"/>
      <c r="AL139" s="497"/>
      <c r="AM139" s="163"/>
      <c r="AN139" s="539"/>
      <c r="AO139" s="539"/>
      <c r="AP139" s="497"/>
      <c r="AQ139" s="1350"/>
    </row>
    <row r="140" spans="1:43" ht="12.75" customHeight="1" collapsed="1">
      <c r="A140" s="1025" t="s">
        <v>904</v>
      </c>
      <c r="I140" s="1290">
        <v>76</v>
      </c>
      <c r="J140" s="499">
        <v>245</v>
      </c>
      <c r="K140" s="107">
        <f t="shared" ref="K140:Q140" si="237">J140+J140*K142</f>
        <v>490</v>
      </c>
      <c r="L140" s="107">
        <f t="shared" si="237"/>
        <v>686</v>
      </c>
      <c r="M140" s="107">
        <f t="shared" si="237"/>
        <v>857.5</v>
      </c>
      <c r="N140" s="107">
        <f t="shared" si="237"/>
        <v>943.25</v>
      </c>
      <c r="O140" s="107">
        <f t="shared" si="237"/>
        <v>990.41250000000002</v>
      </c>
      <c r="P140" s="107">
        <f t="shared" si="237"/>
        <v>1039.933125</v>
      </c>
      <c r="Q140" s="107">
        <f t="shared" si="237"/>
        <v>1091.9297812499999</v>
      </c>
      <c r="R140" s="402"/>
      <c r="S140" s="1026"/>
      <c r="T140" s="1026"/>
      <c r="U140" s="1026"/>
      <c r="AD140" s="107"/>
      <c r="AH140" s="107"/>
      <c r="AJ140" s="4">
        <v>8</v>
      </c>
      <c r="AK140" s="4">
        <v>26</v>
      </c>
      <c r="AL140" s="481">
        <f>I140-AI140-AJ140-AK140</f>
        <v>42</v>
      </c>
      <c r="AM140" s="157">
        <v>44</v>
      </c>
      <c r="AN140" s="555">
        <v>60</v>
      </c>
      <c r="AO140" s="555">
        <v>65</v>
      </c>
      <c r="AP140" s="481">
        <f>J140-AM140-AN140-AO140</f>
        <v>76</v>
      </c>
      <c r="AQ140" s="1350"/>
    </row>
    <row r="141" spans="1:43" s="1038" customFormat="1" ht="9.75" hidden="1" customHeight="1" outlineLevel="1">
      <c r="A141" s="1037" t="s">
        <v>14</v>
      </c>
      <c r="B141" s="10"/>
      <c r="C141" s="10"/>
      <c r="D141" s="10"/>
      <c r="E141" s="10"/>
      <c r="F141" s="10"/>
      <c r="G141" s="10"/>
      <c r="H141" s="10"/>
      <c r="I141" s="10"/>
      <c r="J141" s="10">
        <f t="shared" ref="J141:Q141" si="238">J140/I140-1</f>
        <v>2.2236842105263159</v>
      </c>
      <c r="K141" s="10">
        <f t="shared" si="238"/>
        <v>1</v>
      </c>
      <c r="L141" s="10">
        <f t="shared" si="238"/>
        <v>0.39999999999999991</v>
      </c>
      <c r="M141" s="10">
        <f t="shared" si="238"/>
        <v>0.25</v>
      </c>
      <c r="N141" s="10">
        <f t="shared" si="238"/>
        <v>0.10000000000000009</v>
      </c>
      <c r="O141" s="10">
        <f t="shared" si="238"/>
        <v>5.0000000000000044E-2</v>
      </c>
      <c r="P141" s="10">
        <f t="shared" si="238"/>
        <v>5.0000000000000044E-2</v>
      </c>
      <c r="Q141" s="10">
        <f t="shared" si="238"/>
        <v>4.9999999999999822E-2</v>
      </c>
      <c r="R141" s="1019"/>
      <c r="S141" s="10"/>
      <c r="T141" s="10"/>
      <c r="U141" s="10"/>
      <c r="V141" s="10"/>
      <c r="W141" s="10"/>
      <c r="X141" s="10"/>
      <c r="Y141" s="10"/>
      <c r="Z141" s="10"/>
      <c r="AA141" s="163"/>
      <c r="AB141" s="10"/>
      <c r="AC141" s="10"/>
      <c r="AD141" s="10"/>
      <c r="AE141" s="163"/>
      <c r="AF141" s="10"/>
      <c r="AG141" s="10"/>
      <c r="AH141" s="10"/>
      <c r="AI141" s="163"/>
      <c r="AJ141" s="10"/>
      <c r="AK141" s="10"/>
      <c r="AL141" s="482"/>
      <c r="AM141" s="163"/>
      <c r="AN141" s="428"/>
      <c r="AO141" s="428"/>
      <c r="AP141" s="482"/>
      <c r="AQ141" s="1350"/>
    </row>
    <row r="142" spans="1:43" s="1038" customFormat="1" ht="9.75" hidden="1" customHeight="1" outlineLevel="1">
      <c r="A142" s="1037" t="s">
        <v>15</v>
      </c>
      <c r="B142" s="10"/>
      <c r="C142" s="10"/>
      <c r="D142" s="10"/>
      <c r="E142" s="10"/>
      <c r="F142" s="10"/>
      <c r="G142" s="10"/>
      <c r="H142" s="10"/>
      <c r="I142" s="50"/>
      <c r="J142" s="50"/>
      <c r="K142" s="50">
        <v>1</v>
      </c>
      <c r="L142" s="50">
        <v>0.4</v>
      </c>
      <c r="M142" s="50">
        <v>0.25</v>
      </c>
      <c r="N142" s="50">
        <v>0.1</v>
      </c>
      <c r="O142" s="50">
        <v>0.05</v>
      </c>
      <c r="P142" s="50">
        <v>0.05</v>
      </c>
      <c r="Q142" s="50">
        <v>0.05</v>
      </c>
      <c r="R142" s="1019"/>
      <c r="S142" s="10"/>
      <c r="T142" s="10"/>
      <c r="U142" s="10"/>
      <c r="V142" s="10"/>
      <c r="W142" s="10"/>
      <c r="X142" s="10"/>
      <c r="Y142" s="10"/>
      <c r="Z142" s="10"/>
      <c r="AA142" s="163"/>
      <c r="AB142" s="10"/>
      <c r="AC142" s="10"/>
      <c r="AD142" s="10"/>
      <c r="AE142" s="163"/>
      <c r="AF142" s="10"/>
      <c r="AG142" s="10"/>
      <c r="AH142" s="10"/>
      <c r="AI142" s="163"/>
      <c r="AJ142" s="10"/>
      <c r="AK142" s="50"/>
      <c r="AL142" s="497"/>
      <c r="AM142" s="163"/>
      <c r="AN142" s="539"/>
      <c r="AO142" s="539"/>
      <c r="AP142" s="497"/>
      <c r="AQ142" s="1350"/>
    </row>
    <row r="143" spans="1:43" ht="12.75" customHeight="1" collapsed="1">
      <c r="A143" s="1025" t="s">
        <v>939</v>
      </c>
      <c r="I143" s="499"/>
      <c r="J143" s="107">
        <v>65</v>
      </c>
      <c r="K143" s="107">
        <f t="shared" ref="K143:Q143" si="239">J143+J143*K145</f>
        <v>195</v>
      </c>
      <c r="L143" s="107">
        <f t="shared" si="239"/>
        <v>351</v>
      </c>
      <c r="M143" s="107">
        <f t="shared" si="239"/>
        <v>568.62</v>
      </c>
      <c r="N143" s="107">
        <f t="shared" si="239"/>
        <v>813.12660000000005</v>
      </c>
      <c r="O143" s="107">
        <f t="shared" si="239"/>
        <v>1016.4082500000001</v>
      </c>
      <c r="P143" s="107">
        <f t="shared" si="239"/>
        <v>1321.330725</v>
      </c>
      <c r="Q143" s="107">
        <f t="shared" si="239"/>
        <v>1519.53033375</v>
      </c>
      <c r="R143" s="402">
        <f>(N143/J143)^(1/($N$1-$J$1))-1</f>
        <v>0.88066396388710766</v>
      </c>
      <c r="S143" s="1026"/>
      <c r="T143" s="1026"/>
      <c r="U143" s="1026"/>
      <c r="AD143" s="107"/>
      <c r="AH143" s="107"/>
      <c r="AK143" s="107"/>
      <c r="AL143" s="481">
        <f>I143-AI143-AJ143-AK143</f>
        <v>0</v>
      </c>
      <c r="AM143" s="157">
        <v>0</v>
      </c>
      <c r="AN143" s="555">
        <v>13</v>
      </c>
      <c r="AO143" s="555">
        <v>20</v>
      </c>
      <c r="AP143" s="481">
        <f>J143-AM143-AN143-AO143</f>
        <v>32</v>
      </c>
      <c r="AQ143" s="1350"/>
    </row>
    <row r="144" spans="1:43" s="1038" customFormat="1" ht="9.75" hidden="1" customHeight="1" outlineLevel="1">
      <c r="A144" s="1037" t="s">
        <v>14</v>
      </c>
      <c r="B144" s="10"/>
      <c r="C144" s="10"/>
      <c r="D144" s="10"/>
      <c r="E144" s="10"/>
      <c r="F144" s="10"/>
      <c r="G144" s="10"/>
      <c r="H144" s="10"/>
      <c r="I144" s="10"/>
      <c r="J144" s="10"/>
      <c r="K144" s="10">
        <f t="shared" ref="K144:Q144" si="240">K143/J143-1</f>
        <v>2</v>
      </c>
      <c r="L144" s="10">
        <f t="shared" si="240"/>
        <v>0.8</v>
      </c>
      <c r="M144" s="10">
        <f t="shared" si="240"/>
        <v>0.62000000000000011</v>
      </c>
      <c r="N144" s="10">
        <f t="shared" si="240"/>
        <v>0.43000000000000016</v>
      </c>
      <c r="O144" s="10">
        <f t="shared" si="240"/>
        <v>0.25</v>
      </c>
      <c r="P144" s="10">
        <f t="shared" si="240"/>
        <v>0.30000000000000004</v>
      </c>
      <c r="Q144" s="10">
        <f t="shared" si="240"/>
        <v>0.14999999999999991</v>
      </c>
      <c r="R144" s="1019"/>
      <c r="S144" s="10"/>
      <c r="T144" s="10"/>
      <c r="U144" s="10"/>
      <c r="V144" s="10"/>
      <c r="W144" s="10"/>
      <c r="X144" s="10"/>
      <c r="Y144" s="10"/>
      <c r="Z144" s="10"/>
      <c r="AA144" s="163"/>
      <c r="AB144" s="10"/>
      <c r="AC144" s="10"/>
      <c r="AD144" s="10"/>
      <c r="AE144" s="163"/>
      <c r="AF144" s="10"/>
      <c r="AG144" s="10"/>
      <c r="AH144" s="10"/>
      <c r="AI144" s="163"/>
      <c r="AJ144" s="10"/>
      <c r="AK144" s="10"/>
      <c r="AL144" s="482"/>
      <c r="AM144" s="163"/>
      <c r="AN144" s="428"/>
      <c r="AO144" s="428"/>
      <c r="AP144" s="482"/>
      <c r="AQ144" s="1350"/>
    </row>
    <row r="145" spans="1:43" s="1038" customFormat="1" ht="9.75" hidden="1" customHeight="1" outlineLevel="1">
      <c r="A145" s="1037" t="s">
        <v>15</v>
      </c>
      <c r="B145" s="10"/>
      <c r="C145" s="10"/>
      <c r="D145" s="10"/>
      <c r="E145" s="10"/>
      <c r="F145" s="10"/>
      <c r="G145" s="10"/>
      <c r="H145" s="10"/>
      <c r="I145" s="50"/>
      <c r="J145" s="50"/>
      <c r="K145" s="50">
        <v>2</v>
      </c>
      <c r="L145" s="50">
        <v>0.8</v>
      </c>
      <c r="M145" s="50">
        <v>0.62</v>
      </c>
      <c r="N145" s="50">
        <v>0.43</v>
      </c>
      <c r="O145" s="50">
        <v>0.25</v>
      </c>
      <c r="P145" s="50">
        <v>0.3</v>
      </c>
      <c r="Q145" s="50">
        <v>0.15</v>
      </c>
      <c r="R145" s="1019"/>
      <c r="S145" s="10"/>
      <c r="T145" s="10"/>
      <c r="U145" s="10"/>
      <c r="V145" s="10"/>
      <c r="W145" s="10"/>
      <c r="X145" s="10"/>
      <c r="Y145" s="10"/>
      <c r="Z145" s="10"/>
      <c r="AA145" s="163"/>
      <c r="AB145" s="10"/>
      <c r="AC145" s="10"/>
      <c r="AD145" s="10"/>
      <c r="AE145" s="163"/>
      <c r="AF145" s="10"/>
      <c r="AG145" s="10"/>
      <c r="AH145" s="10"/>
      <c r="AI145" s="163"/>
      <c r="AJ145" s="10"/>
      <c r="AK145" s="50"/>
      <c r="AL145" s="497"/>
      <c r="AM145" s="163"/>
      <c r="AN145" s="539"/>
      <c r="AO145" s="539"/>
      <c r="AP145" s="497"/>
      <c r="AQ145" s="1350"/>
    </row>
    <row r="146" spans="1:43" ht="12.75" customHeight="1" collapsed="1">
      <c r="A146" s="1025" t="s">
        <v>29</v>
      </c>
      <c r="B146" s="4">
        <v>1692</v>
      </c>
      <c r="C146" s="4">
        <v>1650</v>
      </c>
      <c r="D146" s="4">
        <v>1604</v>
      </c>
      <c r="E146" s="4">
        <v>919</v>
      </c>
      <c r="F146" s="4">
        <v>587</v>
      </c>
      <c r="G146" s="4">
        <v>819</v>
      </c>
      <c r="H146" s="4">
        <v>902</v>
      </c>
      <c r="I146" s="107">
        <v>893</v>
      </c>
      <c r="J146" s="107">
        <f t="shared" ref="J146:Q146" si="241">I146+I146*J148</f>
        <v>946.58</v>
      </c>
      <c r="K146" s="107">
        <f t="shared" si="241"/>
        <v>993.90900000000011</v>
      </c>
      <c r="L146" s="107">
        <f t="shared" si="241"/>
        <v>1043.60445</v>
      </c>
      <c r="M146" s="107">
        <f t="shared" si="241"/>
        <v>1095.7846724999999</v>
      </c>
      <c r="N146" s="107">
        <f t="shared" si="241"/>
        <v>1150.5739061249999</v>
      </c>
      <c r="O146" s="107">
        <f t="shared" si="241"/>
        <v>1208.1026014312499</v>
      </c>
      <c r="P146" s="107">
        <f t="shared" si="241"/>
        <v>1268.5077315028125</v>
      </c>
      <c r="Q146" s="107">
        <f t="shared" si="241"/>
        <v>1331.9331180779532</v>
      </c>
      <c r="R146" s="402">
        <f>(N146/J146)^(1/($N$1-$J$1))-1</f>
        <v>5.0000000000000044E-2</v>
      </c>
      <c r="S146" s="1026"/>
      <c r="T146" s="1026"/>
      <c r="U146" s="1026"/>
      <c r="W146" s="4">
        <f>13+56+74</f>
        <v>143</v>
      </c>
      <c r="X146" s="4">
        <f>67+24+76</f>
        <v>167</v>
      </c>
      <c r="Y146" s="4">
        <f>22+60+57</f>
        <v>139</v>
      </c>
      <c r="Z146" s="4">
        <f>15+66+57</f>
        <v>138</v>
      </c>
      <c r="AA146" s="157">
        <f>149</f>
        <v>149</v>
      </c>
      <c r="AB146" s="4">
        <f>234</f>
        <v>234</v>
      </c>
      <c r="AC146" s="4">
        <f>233</f>
        <v>233</v>
      </c>
      <c r="AD146" s="107">
        <f>G146-AC146-AB146-AA146</f>
        <v>203</v>
      </c>
      <c r="AE146" s="157">
        <f>227</f>
        <v>227</v>
      </c>
      <c r="AF146" s="4">
        <v>239</v>
      </c>
      <c r="AG146" s="4">
        <v>219</v>
      </c>
      <c r="AH146" s="107">
        <f>H146-AE146-AF146-AG146</f>
        <v>217</v>
      </c>
      <c r="AI146" s="157">
        <v>223</v>
      </c>
      <c r="AJ146" s="4">
        <v>225</v>
      </c>
      <c r="AK146" s="107">
        <v>228</v>
      </c>
      <c r="AL146" s="481">
        <f>I146-AI146-AJ146-AK146</f>
        <v>217</v>
      </c>
      <c r="AM146" s="157">
        <v>281</v>
      </c>
      <c r="AN146" s="396">
        <f t="shared" ref="AN146:AO146" si="242">AJ146+AJ146*AN148</f>
        <v>236.25</v>
      </c>
      <c r="AO146" s="396">
        <f t="shared" si="242"/>
        <v>239.4</v>
      </c>
      <c r="AP146" s="481">
        <f>J146-AM146-AN146-AO146</f>
        <v>189.93000000000004</v>
      </c>
      <c r="AQ146" s="1350"/>
    </row>
    <row r="147" spans="1:43" s="1038" customFormat="1" ht="9.75" hidden="1" customHeight="1" outlineLevel="1">
      <c r="A147" s="1037" t="s">
        <v>14</v>
      </c>
      <c r="B147" s="10"/>
      <c r="C147" s="10">
        <f t="shared" ref="C147:I147" si="243">C146/B146-1</f>
        <v>-2.4822695035460973E-2</v>
      </c>
      <c r="D147" s="10">
        <f t="shared" si="243"/>
        <v>-2.7878787878787836E-2</v>
      </c>
      <c r="E147" s="10">
        <f t="shared" si="243"/>
        <v>-0.42705735660847877</v>
      </c>
      <c r="F147" s="10">
        <f t="shared" si="243"/>
        <v>-0.36126224156692055</v>
      </c>
      <c r="G147" s="10">
        <f t="shared" si="243"/>
        <v>0.39522998296422496</v>
      </c>
      <c r="H147" s="10">
        <f t="shared" si="243"/>
        <v>0.10134310134310143</v>
      </c>
      <c r="I147" s="10">
        <f t="shared" si="243"/>
        <v>-9.9778270509978118E-3</v>
      </c>
      <c r="J147" s="10">
        <f t="shared" ref="J147:Q147" si="244">J146/I146-1</f>
        <v>6.0000000000000053E-2</v>
      </c>
      <c r="K147" s="10">
        <f t="shared" si="244"/>
        <v>5.0000000000000044E-2</v>
      </c>
      <c r="L147" s="10">
        <f t="shared" si="244"/>
        <v>4.9999999999999822E-2</v>
      </c>
      <c r="M147" s="10">
        <f t="shared" si="244"/>
        <v>4.9999999999999822E-2</v>
      </c>
      <c r="N147" s="10">
        <f t="shared" si="244"/>
        <v>5.0000000000000044E-2</v>
      </c>
      <c r="O147" s="10">
        <f t="shared" si="244"/>
        <v>5.0000000000000044E-2</v>
      </c>
      <c r="P147" s="10">
        <f t="shared" si="244"/>
        <v>5.0000000000000044E-2</v>
      </c>
      <c r="Q147" s="10">
        <f t="shared" si="244"/>
        <v>5.0000000000000044E-2</v>
      </c>
      <c r="R147" s="1019"/>
      <c r="S147" s="10"/>
      <c r="T147" s="10"/>
      <c r="U147" s="10"/>
      <c r="V147" s="10"/>
      <c r="W147" s="10">
        <v>0.51282051282051277</v>
      </c>
      <c r="X147" s="10">
        <v>0.8441558441558441</v>
      </c>
      <c r="Y147" s="10">
        <v>0.46153846153846145</v>
      </c>
      <c r="Z147" s="10">
        <v>0.31395348837209291</v>
      </c>
      <c r="AA147" s="163">
        <f t="shared" ref="AA147:AH147" si="245">AA146/W146-1</f>
        <v>4.195804195804187E-2</v>
      </c>
      <c r="AB147" s="10">
        <f t="shared" si="245"/>
        <v>0.4011976047904191</v>
      </c>
      <c r="AC147" s="10">
        <f t="shared" si="245"/>
        <v>0.67625899280575541</v>
      </c>
      <c r="AD147" s="10">
        <f t="shared" si="245"/>
        <v>0.47101449275362328</v>
      </c>
      <c r="AE147" s="163">
        <f t="shared" si="245"/>
        <v>0.52348993288590595</v>
      </c>
      <c r="AF147" s="10">
        <f t="shared" si="245"/>
        <v>2.1367521367521292E-2</v>
      </c>
      <c r="AG147" s="10">
        <f t="shared" si="245"/>
        <v>-6.0085836909871237E-2</v>
      </c>
      <c r="AH147" s="10">
        <f t="shared" si="245"/>
        <v>6.8965517241379226E-2</v>
      </c>
      <c r="AI147" s="163">
        <f>AI146/AE146-1</f>
        <v>-1.7621145374449365E-2</v>
      </c>
      <c r="AJ147" s="10">
        <f>AJ146/AF146-1</f>
        <v>-5.8577405857740628E-2</v>
      </c>
      <c r="AK147" s="10">
        <f>AK146/AG146-1</f>
        <v>4.1095890410958846E-2</v>
      </c>
      <c r="AL147" s="482">
        <f>AL146/AH146-1</f>
        <v>0</v>
      </c>
      <c r="AM147" s="163">
        <f t="shared" ref="AM147" si="246">AM146/AL146-1</f>
        <v>0.29493087557603692</v>
      </c>
      <c r="AN147" s="428">
        <f t="shared" ref="AN147" si="247">AN146/AM146-1</f>
        <v>-0.15925266903914592</v>
      </c>
      <c r="AO147" s="428">
        <f t="shared" ref="AO147:AP147" si="248">AO146/AN146-1</f>
        <v>1.3333333333333419E-2</v>
      </c>
      <c r="AP147" s="482">
        <f t="shared" si="248"/>
        <v>-0.20664160401002496</v>
      </c>
      <c r="AQ147" s="1350"/>
    </row>
    <row r="148" spans="1:43" s="1038" customFormat="1" ht="9.75" hidden="1" customHeight="1" outlineLevel="1">
      <c r="A148" s="1037" t="s">
        <v>15</v>
      </c>
      <c r="B148" s="10"/>
      <c r="C148" s="10"/>
      <c r="D148" s="10"/>
      <c r="E148" s="10"/>
      <c r="F148" s="10"/>
      <c r="G148" s="10">
        <v>0.5</v>
      </c>
      <c r="H148" s="10">
        <v>-0.03</v>
      </c>
      <c r="I148" s="50"/>
      <c r="J148" s="50">
        <v>0.06</v>
      </c>
      <c r="K148" s="50">
        <v>0.05</v>
      </c>
      <c r="L148" s="50">
        <v>0.05</v>
      </c>
      <c r="M148" s="50">
        <v>0.05</v>
      </c>
      <c r="N148" s="50">
        <v>0.05</v>
      </c>
      <c r="O148" s="50">
        <v>0.05</v>
      </c>
      <c r="P148" s="50">
        <v>0.05</v>
      </c>
      <c r="Q148" s="50">
        <v>0.05</v>
      </c>
      <c r="R148" s="1019"/>
      <c r="S148" s="10"/>
      <c r="T148" s="10"/>
      <c r="U148" s="10"/>
      <c r="V148" s="10"/>
      <c r="W148" s="10"/>
      <c r="X148" s="10"/>
      <c r="Y148" s="10"/>
      <c r="Z148" s="10"/>
      <c r="AA148" s="163"/>
      <c r="AB148" s="10"/>
      <c r="AC148" s="10"/>
      <c r="AD148" s="10">
        <v>0.59</v>
      </c>
      <c r="AE148" s="163">
        <v>0.13</v>
      </c>
      <c r="AF148" s="10">
        <v>-0.05</v>
      </c>
      <c r="AG148" s="10">
        <v>-0.15</v>
      </c>
      <c r="AH148" s="10">
        <v>-0.01</v>
      </c>
      <c r="AI148" s="163">
        <v>-0.09</v>
      </c>
      <c r="AJ148" s="10">
        <v>-0.12</v>
      </c>
      <c r="AK148" s="10">
        <v>-0.03</v>
      </c>
      <c r="AL148" s="482">
        <v>-0.01</v>
      </c>
      <c r="AM148" s="163">
        <v>0.22</v>
      </c>
      <c r="AN148" s="539">
        <v>0.05</v>
      </c>
      <c r="AO148" s="539">
        <v>0.05</v>
      </c>
      <c r="AP148" s="497"/>
      <c r="AQ148" s="1350"/>
    </row>
    <row r="149" spans="1:43" s="1044" customFormat="1" ht="9.75" hidden="1" customHeight="1" outlineLevel="1">
      <c r="R149" s="400"/>
      <c r="AI149" s="1043"/>
      <c r="AM149" s="1043"/>
      <c r="AQ149" s="1350"/>
    </row>
    <row r="150" spans="1:43" ht="12.75" customHeight="1" collapsed="1">
      <c r="A150" s="1045" t="s">
        <v>30</v>
      </c>
      <c r="B150" s="152">
        <f t="shared" ref="B150:Q150" si="249">B70+B74+B82+B90+B98+B106+B114+B122+B130+B134+B146+B140+B137+B143</f>
        <v>10028</v>
      </c>
      <c r="C150" s="152">
        <f t="shared" si="249"/>
        <v>10672</v>
      </c>
      <c r="D150" s="152">
        <f t="shared" si="249"/>
        <v>10924</v>
      </c>
      <c r="E150" s="152">
        <f t="shared" si="249"/>
        <v>11216</v>
      </c>
      <c r="F150" s="152">
        <f t="shared" si="249"/>
        <v>11703</v>
      </c>
      <c r="G150" s="152">
        <f t="shared" si="249"/>
        <v>13476</v>
      </c>
      <c r="H150" s="152">
        <f t="shared" si="249"/>
        <v>12790</v>
      </c>
      <c r="I150" s="152">
        <f t="shared" si="249"/>
        <v>12274</v>
      </c>
      <c r="J150" s="152">
        <f t="shared" si="249"/>
        <v>12879.511396802407</v>
      </c>
      <c r="K150" s="152">
        <f t="shared" si="249"/>
        <v>12696.138503315166</v>
      </c>
      <c r="L150" s="152">
        <f t="shared" si="249"/>
        <v>12479.186718297808</v>
      </c>
      <c r="M150" s="152">
        <f t="shared" si="249"/>
        <v>12421.801104065513</v>
      </c>
      <c r="N150" s="152">
        <f t="shared" si="249"/>
        <v>12002.532575662828</v>
      </c>
      <c r="O150" s="152">
        <f t="shared" si="249"/>
        <v>10478.48593859918</v>
      </c>
      <c r="P150" s="152">
        <f t="shared" si="249"/>
        <v>10407.886667022294</v>
      </c>
      <c r="Q150" s="152">
        <f t="shared" si="249"/>
        <v>10119.246968297975</v>
      </c>
      <c r="R150" s="402">
        <f>(N150/J150)^(1/($N$1-$J$1))-1</f>
        <v>-1.747552770275429E-2</v>
      </c>
      <c r="S150" s="1026"/>
      <c r="T150" s="1026"/>
      <c r="U150" s="1026"/>
      <c r="V150" s="1026"/>
      <c r="W150" s="146">
        <f t="shared" ref="W150:AD150" si="250">W70+W74+W82+W90+W98+W106+W114+W122+W130+W134+W146</f>
        <v>2677</v>
      </c>
      <c r="X150" s="146">
        <f t="shared" si="250"/>
        <v>2951</v>
      </c>
      <c r="Y150" s="146">
        <f t="shared" si="250"/>
        <v>2993</v>
      </c>
      <c r="Z150" s="146">
        <f t="shared" si="250"/>
        <v>3082</v>
      </c>
      <c r="AA150" s="170">
        <f t="shared" si="250"/>
        <v>2879</v>
      </c>
      <c r="AB150" s="146">
        <f t="shared" si="250"/>
        <v>3536</v>
      </c>
      <c r="AC150" s="146">
        <f t="shared" si="250"/>
        <v>3495</v>
      </c>
      <c r="AD150" s="152">
        <f t="shared" si="250"/>
        <v>3566</v>
      </c>
      <c r="AE150" s="170">
        <f t="shared" ref="AE150:AP150" si="251">AE70+AE74+AE82+AE90+AE98+AE106+AE114+AE122+AE130+AE134+AE146+AE140+AE137+AE143</f>
        <v>3029</v>
      </c>
      <c r="AF150" s="146">
        <f t="shared" si="251"/>
        <v>3319</v>
      </c>
      <c r="AG150" s="146">
        <f t="shared" si="251"/>
        <v>3235</v>
      </c>
      <c r="AH150" s="152">
        <f t="shared" si="251"/>
        <v>3207</v>
      </c>
      <c r="AI150" s="170">
        <f t="shared" si="251"/>
        <v>2856</v>
      </c>
      <c r="AJ150" s="146">
        <f t="shared" si="251"/>
        <v>3074</v>
      </c>
      <c r="AK150" s="152">
        <f t="shared" si="251"/>
        <v>3101</v>
      </c>
      <c r="AL150" s="487">
        <f t="shared" si="251"/>
        <v>3243</v>
      </c>
      <c r="AM150" s="170">
        <f t="shared" si="251"/>
        <v>3191</v>
      </c>
      <c r="AN150" s="399">
        <f t="shared" si="251"/>
        <v>3234.9405703609309</v>
      </c>
      <c r="AO150" s="399">
        <f t="shared" si="251"/>
        <v>3247.3028416821289</v>
      </c>
      <c r="AP150" s="487">
        <f t="shared" si="251"/>
        <v>3206.2679847593472</v>
      </c>
      <c r="AQ150" s="1350"/>
    </row>
    <row r="151" spans="1:43" s="1038" customFormat="1" ht="9.75" hidden="1" customHeight="1" outlineLevel="1">
      <c r="A151" s="1046" t="s">
        <v>14</v>
      </c>
      <c r="B151" s="148"/>
      <c r="C151" s="148">
        <f>C150/B150-1</f>
        <v>6.4220183486238591E-2</v>
      </c>
      <c r="D151" s="148">
        <f>D150/C150-1</f>
        <v>2.3613193403298371E-2</v>
      </c>
      <c r="E151" s="148">
        <f>E150/D150-1</f>
        <v>2.6730135481508599E-2</v>
      </c>
      <c r="F151" s="148">
        <f>F150/E150-1</f>
        <v>4.3420114122681985E-2</v>
      </c>
      <c r="G151" s="148">
        <f>G150/F150-1</f>
        <v>0.15149961548320934</v>
      </c>
      <c r="H151" s="148">
        <f t="shared" ref="H151:Q151" si="252">H150/G150-1</f>
        <v>-5.0905313149302467E-2</v>
      </c>
      <c r="I151" s="148">
        <f t="shared" si="252"/>
        <v>-4.0344018764659872E-2</v>
      </c>
      <c r="J151" s="148">
        <f t="shared" si="252"/>
        <v>4.9332849666156697E-2</v>
      </c>
      <c r="K151" s="148">
        <f t="shared" si="252"/>
        <v>-1.4237565994372092E-2</v>
      </c>
      <c r="L151" s="148">
        <f t="shared" si="252"/>
        <v>-1.7088013411377667E-2</v>
      </c>
      <c r="M151" s="148">
        <f t="shared" si="252"/>
        <v>-4.5985059385442728E-3</v>
      </c>
      <c r="N151" s="148">
        <f t="shared" si="252"/>
        <v>-3.3752635780447515E-2</v>
      </c>
      <c r="O151" s="148">
        <f t="shared" si="252"/>
        <v>-0.12697708816503539</v>
      </c>
      <c r="P151" s="148">
        <f t="shared" si="252"/>
        <v>-6.7375450986504326E-3</v>
      </c>
      <c r="Q151" s="148">
        <f t="shared" si="252"/>
        <v>-2.7732786487662531E-2</v>
      </c>
      <c r="R151" s="1019"/>
      <c r="S151" s="10"/>
      <c r="T151" s="10"/>
      <c r="U151" s="10"/>
      <c r="V151" s="10"/>
      <c r="W151" s="148">
        <v>-2.9369108049311143E-2</v>
      </c>
      <c r="X151" s="148">
        <v>4.5341834927382196E-2</v>
      </c>
      <c r="Y151" s="148">
        <v>0.10117733627667413</v>
      </c>
      <c r="Z151" s="148">
        <v>5.2955244277417046E-2</v>
      </c>
      <c r="AA151" s="171">
        <f t="shared" ref="AA151:AH151" si="253">AA150/W150-1</f>
        <v>7.5457601793051943E-2</v>
      </c>
      <c r="AB151" s="148">
        <f t="shared" si="253"/>
        <v>0.19823788546255505</v>
      </c>
      <c r="AC151" s="148">
        <f t="shared" si="253"/>
        <v>0.16772469094553966</v>
      </c>
      <c r="AD151" s="148">
        <f t="shared" si="253"/>
        <v>0.15704088254380277</v>
      </c>
      <c r="AE151" s="171">
        <f t="shared" si="253"/>
        <v>5.2101424105592153E-2</v>
      </c>
      <c r="AF151" s="148">
        <f t="shared" si="253"/>
        <v>-6.136877828054299E-2</v>
      </c>
      <c r="AG151" s="148">
        <f t="shared" si="253"/>
        <v>-7.439198855507867E-2</v>
      </c>
      <c r="AH151" s="148">
        <f t="shared" si="253"/>
        <v>-0.10067302299495229</v>
      </c>
      <c r="AI151" s="171">
        <f>AI150/AE150-1</f>
        <v>-5.7114559260482034E-2</v>
      </c>
      <c r="AJ151" s="148">
        <f>AJ150/AF150-1</f>
        <v>-7.3817414884001176E-2</v>
      </c>
      <c r="AK151" s="148">
        <f>AK150/AG150-1</f>
        <v>-4.1421947449768126E-2</v>
      </c>
      <c r="AL151" s="488">
        <f>AL150/AH150-1</f>
        <v>1.1225444340505097E-2</v>
      </c>
      <c r="AM151" s="171">
        <f t="shared" ref="AM151:AP151" si="254">AM150/AI150-1</f>
        <v>0.11729691876750703</v>
      </c>
      <c r="AN151" s="500">
        <f t="shared" si="254"/>
        <v>5.2355423019170733E-2</v>
      </c>
      <c r="AO151" s="500">
        <f t="shared" si="254"/>
        <v>4.717924594715539E-2</v>
      </c>
      <c r="AP151" s="488">
        <f t="shared" si="254"/>
        <v>-1.1326554190765559E-2</v>
      </c>
      <c r="AQ151" s="1350"/>
    </row>
    <row r="152" spans="1:43" s="1038" customFormat="1" ht="9.75" hidden="1" customHeight="1" outlineLevel="1">
      <c r="A152" s="1046" t="s">
        <v>15</v>
      </c>
      <c r="B152" s="148"/>
      <c r="C152" s="148">
        <v>0.03</v>
      </c>
      <c r="D152" s="148">
        <v>0.04</v>
      </c>
      <c r="E152" s="148">
        <v>0.04</v>
      </c>
      <c r="F152" s="148">
        <v>0.06</v>
      </c>
      <c r="G152" s="148">
        <v>0.24</v>
      </c>
      <c r="H152" s="148">
        <v>-0.02</v>
      </c>
      <c r="I152" s="148">
        <v>-0.03</v>
      </c>
      <c r="J152" s="148"/>
      <c r="K152" s="148"/>
      <c r="L152" s="148"/>
      <c r="M152" s="148"/>
      <c r="N152" s="148"/>
      <c r="O152" s="148"/>
      <c r="P152" s="148"/>
      <c r="Q152" s="148"/>
      <c r="R152" s="1019"/>
      <c r="S152" s="10"/>
      <c r="T152" s="10"/>
      <c r="U152" s="10"/>
      <c r="V152" s="10"/>
      <c r="W152" s="148">
        <v>-0.02</v>
      </c>
      <c r="X152" s="148">
        <v>0.04</v>
      </c>
      <c r="Y152" s="148">
        <v>0.11</v>
      </c>
      <c r="Z152" s="148">
        <v>0.1</v>
      </c>
      <c r="AA152" s="171">
        <v>0.17</v>
      </c>
      <c r="AB152" s="148">
        <v>0.3</v>
      </c>
      <c r="AC152" s="148">
        <v>0.27</v>
      </c>
      <c r="AD152" s="148">
        <v>0.23</v>
      </c>
      <c r="AE152" s="171">
        <v>0.12</v>
      </c>
      <c r="AF152" s="148">
        <v>-0.03</v>
      </c>
      <c r="AG152" s="148">
        <v>-0.06</v>
      </c>
      <c r="AH152" s="148">
        <v>-7.0000000000000007E-2</v>
      </c>
      <c r="AI152" s="171">
        <v>-0.04</v>
      </c>
      <c r="AJ152" s="148">
        <v>-0.05</v>
      </c>
      <c r="AK152" s="148"/>
      <c r="AL152" s="488">
        <v>-0.01</v>
      </c>
      <c r="AM152" s="171">
        <v>0.06</v>
      </c>
      <c r="AN152" s="500"/>
      <c r="AO152" s="500"/>
      <c r="AP152" s="488"/>
      <c r="AQ152" s="1350"/>
    </row>
    <row r="153" spans="1:43" s="1038" customFormat="1" ht="9.75" hidden="1" customHeight="1" outlineLevel="1">
      <c r="A153" s="1046" t="s">
        <v>18</v>
      </c>
      <c r="B153" s="148">
        <f t="shared" ref="B153:G153" si="255">B150/B$2</f>
        <v>0.19808786346396967</v>
      </c>
      <c r="C153" s="148">
        <f t="shared" si="255"/>
        <v>0.18222176689546837</v>
      </c>
      <c r="D153" s="148">
        <f t="shared" si="255"/>
        <v>0.19275492739046812</v>
      </c>
      <c r="E153" s="148">
        <f t="shared" si="255"/>
        <v>0.19555400575363963</v>
      </c>
      <c r="F153" s="148">
        <f t="shared" si="255"/>
        <v>0.22428133384438481</v>
      </c>
      <c r="G153" s="148">
        <f t="shared" si="255"/>
        <v>0.27271623426559277</v>
      </c>
      <c r="H153" s="148">
        <f t="shared" ref="H153:Q153" si="256">H150/H$2</f>
        <v>0.2636135042664578</v>
      </c>
      <c r="I153" s="148">
        <f t="shared" si="256"/>
        <v>0.24993382068459957</v>
      </c>
      <c r="J153" s="148">
        <f t="shared" si="256"/>
        <v>0.24646074914452559</v>
      </c>
      <c r="K153" s="148">
        <f t="shared" si="256"/>
        <v>0.23815067247895402</v>
      </c>
      <c r="L153" s="148">
        <f t="shared" si="256"/>
        <v>0.22696135696277117</v>
      </c>
      <c r="M153" s="148">
        <f t="shared" si="256"/>
        <v>0.21790707442140697</v>
      </c>
      <c r="N153" s="148">
        <f t="shared" si="256"/>
        <v>0.20620576649482958</v>
      </c>
      <c r="O153" s="148">
        <f t="shared" si="256"/>
        <v>0.18168167214533154</v>
      </c>
      <c r="P153" s="148">
        <f t="shared" si="256"/>
        <v>0.17816550563592407</v>
      </c>
      <c r="Q153" s="148">
        <f t="shared" si="256"/>
        <v>0.1713487839705802</v>
      </c>
      <c r="R153" s="1019"/>
      <c r="S153" s="10"/>
      <c r="T153" s="10"/>
      <c r="U153" s="10"/>
      <c r="V153" s="10"/>
      <c r="W153" s="148">
        <f t="shared" ref="W153:AB153" si="257">W150/W$2</f>
        <v>0.20968120936790163</v>
      </c>
      <c r="X153" s="148">
        <f t="shared" si="257"/>
        <v>0.22109837416647937</v>
      </c>
      <c r="Y153" s="148">
        <f t="shared" si="257"/>
        <v>0.23039027018705258</v>
      </c>
      <c r="Z153" s="148">
        <f t="shared" si="257"/>
        <v>0.23571701720841301</v>
      </c>
      <c r="AA153" s="171">
        <f t="shared" si="257"/>
        <v>0.24122329283619606</v>
      </c>
      <c r="AB153" s="148">
        <f t="shared" si="257"/>
        <v>0.27855679848747439</v>
      </c>
      <c r="AC153" s="148">
        <f t="shared" ref="AC153:AP153" si="258">AC150/AC$2</f>
        <v>0.28495719527109664</v>
      </c>
      <c r="AD153" s="148">
        <f t="shared" si="258"/>
        <v>0.28482428115015973</v>
      </c>
      <c r="AE153" s="171">
        <f t="shared" si="258"/>
        <v>0.26112068965517243</v>
      </c>
      <c r="AF153" s="148">
        <f t="shared" si="258"/>
        <v>0.26615878107457897</v>
      </c>
      <c r="AG153" s="148">
        <f t="shared" si="258"/>
        <v>0.26678212106218047</v>
      </c>
      <c r="AH153" s="148">
        <f t="shared" si="258"/>
        <v>0.2602661905534816</v>
      </c>
      <c r="AI153" s="171">
        <f t="shared" si="258"/>
        <v>0.24750844960568508</v>
      </c>
      <c r="AJ153" s="148">
        <f t="shared" si="258"/>
        <v>0.25110276098676687</v>
      </c>
      <c r="AK153" s="148">
        <f t="shared" si="258"/>
        <v>0.24981772746232711</v>
      </c>
      <c r="AL153" s="488">
        <f t="shared" si="258"/>
        <v>0.25110434484245858</v>
      </c>
      <c r="AM153" s="171">
        <f t="shared" si="258"/>
        <v>0.25137860406491258</v>
      </c>
      <c r="AN153" s="500">
        <f t="shared" si="258"/>
        <v>0.24685667695578184</v>
      </c>
      <c r="AO153" s="500">
        <f t="shared" si="258"/>
        <v>0.24809720629611157</v>
      </c>
      <c r="AP153" s="488">
        <f t="shared" si="258"/>
        <v>0.23980168447873229</v>
      </c>
      <c r="AQ153" s="1350"/>
    </row>
    <row r="154" spans="1:43" ht="12.75" customHeight="1" collapsed="1">
      <c r="A154" s="1025" t="s">
        <v>32</v>
      </c>
      <c r="B154" s="4">
        <f t="shared" ref="B154:Q154" si="259">+B157+B159</f>
        <v>15</v>
      </c>
      <c r="C154" s="4">
        <f t="shared" si="259"/>
        <v>494</v>
      </c>
      <c r="D154" s="4">
        <f t="shared" si="259"/>
        <v>1195</v>
      </c>
      <c r="E154" s="4">
        <f t="shared" si="259"/>
        <v>1934</v>
      </c>
      <c r="F154" s="4">
        <f t="shared" si="259"/>
        <v>2477</v>
      </c>
      <c r="G154" s="4">
        <f t="shared" si="259"/>
        <v>2776</v>
      </c>
      <c r="H154" s="4">
        <f t="shared" si="259"/>
        <v>3109</v>
      </c>
      <c r="I154" s="107">
        <f t="shared" si="259"/>
        <v>3185</v>
      </c>
      <c r="J154" s="135">
        <f t="shared" si="259"/>
        <v>3343.8173382953637</v>
      </c>
      <c r="K154" s="135">
        <f t="shared" si="259"/>
        <v>2542.8597052101318</v>
      </c>
      <c r="L154" s="107">
        <f t="shared" si="259"/>
        <v>1858.2607641681054</v>
      </c>
      <c r="M154" s="135">
        <f t="shared" si="259"/>
        <v>1247.9744349176738</v>
      </c>
      <c r="N154" s="141">
        <f t="shared" si="259"/>
        <v>998.37954793413905</v>
      </c>
      <c r="O154" s="107">
        <f t="shared" si="259"/>
        <v>798.70363834731131</v>
      </c>
      <c r="P154" s="107">
        <f t="shared" si="259"/>
        <v>638.9629106778491</v>
      </c>
      <c r="Q154" s="107">
        <f t="shared" si="259"/>
        <v>511.17032854227926</v>
      </c>
      <c r="R154" s="402">
        <f>(N154/J154)^(1/($N$1-$J$1))-1</f>
        <v>-0.26079774577193271</v>
      </c>
      <c r="S154" s="1026"/>
      <c r="T154" s="1026"/>
      <c r="U154" s="1026"/>
      <c r="W154" s="4">
        <f t="shared" ref="W154:AC154" si="260">+W157+W159</f>
        <v>552</v>
      </c>
      <c r="X154" s="4">
        <f t="shared" si="260"/>
        <v>606</v>
      </c>
      <c r="Y154" s="4">
        <f t="shared" si="260"/>
        <v>653</v>
      </c>
      <c r="Z154" s="4">
        <f t="shared" si="260"/>
        <v>666</v>
      </c>
      <c r="AA154" s="157">
        <f t="shared" si="260"/>
        <v>638</v>
      </c>
      <c r="AB154" s="4">
        <f t="shared" si="260"/>
        <v>700</v>
      </c>
      <c r="AC154" s="4">
        <f t="shared" si="260"/>
        <v>696</v>
      </c>
      <c r="AD154" s="107">
        <f t="shared" ref="AD154:AP154" si="261">+AD157+AD159</f>
        <v>742</v>
      </c>
      <c r="AE154" s="157">
        <f t="shared" si="261"/>
        <v>698</v>
      </c>
      <c r="AF154" s="4">
        <f t="shared" si="261"/>
        <v>811</v>
      </c>
      <c r="AG154" s="4">
        <f t="shared" si="261"/>
        <v>790</v>
      </c>
      <c r="AH154" s="107">
        <f t="shared" si="261"/>
        <v>810</v>
      </c>
      <c r="AI154" s="157">
        <f t="shared" si="261"/>
        <v>722</v>
      </c>
      <c r="AJ154" s="4">
        <f t="shared" si="261"/>
        <v>837</v>
      </c>
      <c r="AK154" s="4">
        <f t="shared" si="261"/>
        <v>801</v>
      </c>
      <c r="AL154" s="481">
        <f t="shared" si="261"/>
        <v>825</v>
      </c>
      <c r="AM154" s="157">
        <f t="shared" si="261"/>
        <v>821</v>
      </c>
      <c r="AN154" s="542">
        <f t="shared" si="261"/>
        <v>881.96656506465365</v>
      </c>
      <c r="AO154" s="542">
        <f t="shared" si="261"/>
        <v>834.48892064305414</v>
      </c>
      <c r="AP154" s="481">
        <f t="shared" si="261"/>
        <v>806.36185258765568</v>
      </c>
      <c r="AQ154" s="1350"/>
    </row>
    <row r="155" spans="1:43" s="1038" customFormat="1" ht="9.75" hidden="1" customHeight="1" outlineLevel="1">
      <c r="A155" s="1037" t="s">
        <v>14</v>
      </c>
      <c r="B155" s="10"/>
      <c r="C155" s="10">
        <f t="shared" ref="C155:Q155" si="262">C154/B154-1</f>
        <v>31.93333333333333</v>
      </c>
      <c r="D155" s="10">
        <f t="shared" si="262"/>
        <v>1.4190283400809718</v>
      </c>
      <c r="E155" s="10">
        <f t="shared" si="262"/>
        <v>0.61841004184100412</v>
      </c>
      <c r="F155" s="10">
        <f t="shared" si="262"/>
        <v>0.28076525336090996</v>
      </c>
      <c r="G155" s="10">
        <f t="shared" si="262"/>
        <v>0.12071053693984668</v>
      </c>
      <c r="H155" s="10">
        <f t="shared" si="262"/>
        <v>0.11995677233429403</v>
      </c>
      <c r="I155" s="10">
        <f t="shared" si="262"/>
        <v>2.4445159215181755E-2</v>
      </c>
      <c r="J155" s="10">
        <f t="shared" si="262"/>
        <v>4.9864156450663666E-2</v>
      </c>
      <c r="K155" s="10">
        <f t="shared" si="262"/>
        <v>-0.2395339075230557</v>
      </c>
      <c r="L155" s="10">
        <f t="shared" si="262"/>
        <v>-0.26922403136883</v>
      </c>
      <c r="M155" s="10">
        <f t="shared" si="262"/>
        <v>-0.32841802454115787</v>
      </c>
      <c r="N155" s="10">
        <f t="shared" si="262"/>
        <v>-0.19999999999999996</v>
      </c>
      <c r="O155" s="10">
        <f t="shared" si="262"/>
        <v>-0.19999999999999996</v>
      </c>
      <c r="P155" s="10">
        <f t="shared" si="262"/>
        <v>-0.19999999999999996</v>
      </c>
      <c r="Q155" s="10">
        <f t="shared" si="262"/>
        <v>-0.20000000000000007</v>
      </c>
      <c r="R155" s="1019"/>
      <c r="S155" s="10"/>
      <c r="T155" s="10"/>
      <c r="U155" s="10"/>
      <c r="V155" s="10"/>
      <c r="W155" s="10">
        <v>0.31116389548693579</v>
      </c>
      <c r="X155" s="10">
        <v>0.29487179487179493</v>
      </c>
      <c r="Y155" s="10">
        <v>0.26061776061776065</v>
      </c>
      <c r="Z155" s="10">
        <v>0.26375711574952554</v>
      </c>
      <c r="AA155" s="163">
        <f t="shared" ref="AA155:AH155" si="263">AA154/W154-1</f>
        <v>0.15579710144927539</v>
      </c>
      <c r="AB155" s="10">
        <f t="shared" si="263"/>
        <v>0.15511551155115511</v>
      </c>
      <c r="AC155" s="10">
        <f t="shared" si="263"/>
        <v>6.5849923430321589E-2</v>
      </c>
      <c r="AD155" s="10">
        <f t="shared" si="263"/>
        <v>0.11411411411411421</v>
      </c>
      <c r="AE155" s="163">
        <f t="shared" si="263"/>
        <v>9.404388714733547E-2</v>
      </c>
      <c r="AF155" s="10">
        <f t="shared" si="263"/>
        <v>0.15857142857142859</v>
      </c>
      <c r="AG155" s="10">
        <f t="shared" si="263"/>
        <v>0.13505747126436773</v>
      </c>
      <c r="AH155" s="10">
        <f t="shared" si="263"/>
        <v>9.1644204851752065E-2</v>
      </c>
      <c r="AI155" s="163">
        <f>AI154/AE154-1</f>
        <v>3.4383954154727725E-2</v>
      </c>
      <c r="AJ155" s="10">
        <f>AJ154/AF154-1</f>
        <v>3.2059186189889122E-2</v>
      </c>
      <c r="AK155" s="10">
        <f>AK154/AG154-1</f>
        <v>1.3924050632911467E-2</v>
      </c>
      <c r="AL155" s="482">
        <f>AL154/AH154-1</f>
        <v>1.8518518518518601E-2</v>
      </c>
      <c r="AM155" s="163">
        <f t="shared" ref="AM155" si="264">AM154/AI154-1</f>
        <v>0.13711911357340711</v>
      </c>
      <c r="AN155" s="428">
        <f t="shared" ref="AN155" si="265">AN154/AJ154-1</f>
        <v>5.3723494700900432E-2</v>
      </c>
      <c r="AO155" s="428">
        <f t="shared" ref="AO155" si="266">AO154/AK154-1</f>
        <v>4.1808889691703044E-2</v>
      </c>
      <c r="AP155" s="482">
        <f t="shared" ref="AP155" si="267">AP154/AL154-1</f>
        <v>-2.2591693833144633E-2</v>
      </c>
      <c r="AQ155" s="1350"/>
    </row>
    <row r="156" spans="1:43" s="1038" customFormat="1" ht="9.75" hidden="1" customHeight="1" outlineLevel="1">
      <c r="A156" s="1037" t="s">
        <v>15</v>
      </c>
      <c r="B156" s="10"/>
      <c r="C156" s="10"/>
      <c r="D156" s="10">
        <v>1.47</v>
      </c>
      <c r="E156" s="10">
        <v>0.62</v>
      </c>
      <c r="F156" s="10">
        <v>0.3</v>
      </c>
      <c r="G156" s="10">
        <v>0.21</v>
      </c>
      <c r="H156" s="10">
        <v>0.14000000000000001</v>
      </c>
      <c r="I156" s="10">
        <v>0.02</v>
      </c>
      <c r="J156" s="10">
        <f t="shared" ref="J156:Q156" si="268">J155-((J160-J161)*J159/J154)</f>
        <v>2.9564826089478299E-2</v>
      </c>
      <c r="K156" s="10">
        <f t="shared" si="268"/>
        <v>-0.23953390752305573</v>
      </c>
      <c r="L156" s="10">
        <f t="shared" si="268"/>
        <v>-0.26922403136883005</v>
      </c>
      <c r="M156" s="10">
        <f t="shared" si="268"/>
        <v>-0.32841802454115782</v>
      </c>
      <c r="N156" s="10">
        <f t="shared" si="268"/>
        <v>-0.19999999999999998</v>
      </c>
      <c r="O156" s="10">
        <f t="shared" si="268"/>
        <v>-0.19999999999999998</v>
      </c>
      <c r="P156" s="10">
        <f t="shared" si="268"/>
        <v>-0.19999999999999998</v>
      </c>
      <c r="Q156" s="10">
        <f t="shared" si="268"/>
        <v>-0.20000000000000009</v>
      </c>
      <c r="R156" s="1019"/>
      <c r="S156" s="10"/>
      <c r="T156" s="10"/>
      <c r="U156" s="10"/>
      <c r="V156" s="10"/>
      <c r="W156" s="10">
        <v>0.31</v>
      </c>
      <c r="X156" s="10">
        <v>0.28000000000000003</v>
      </c>
      <c r="Y156" s="10">
        <v>0.27</v>
      </c>
      <c r="Z156" s="10">
        <v>0.32</v>
      </c>
      <c r="AA156" s="163">
        <v>0.26</v>
      </c>
      <c r="AB156" s="10">
        <v>0.26</v>
      </c>
      <c r="AC156" s="10">
        <v>0.16</v>
      </c>
      <c r="AD156" s="10">
        <v>0.18</v>
      </c>
      <c r="AE156" s="163">
        <v>0.12</v>
      </c>
      <c r="AF156" s="10">
        <v>0.17</v>
      </c>
      <c r="AG156" s="10">
        <v>0.15</v>
      </c>
      <c r="AH156" s="10">
        <v>0.11</v>
      </c>
      <c r="AI156" s="163">
        <v>0.05</v>
      </c>
      <c r="AJ156" s="10">
        <v>0.05</v>
      </c>
      <c r="AK156" s="10">
        <v>0</v>
      </c>
      <c r="AL156" s="482">
        <v>-0.01</v>
      </c>
      <c r="AM156" s="163">
        <v>0.08</v>
      </c>
      <c r="AN156" s="428">
        <f t="shared" ref="AN156:AO156" si="269">AN155-((AN160-AN161)*AN159/AN154)</f>
        <v>2.9295744223861612E-2</v>
      </c>
      <c r="AO156" s="428">
        <f t="shared" si="269"/>
        <v>2.9846409268098208E-2</v>
      </c>
      <c r="AP156" s="482"/>
      <c r="AQ156" s="1350"/>
    </row>
    <row r="157" spans="1:43" s="1038" customFormat="1" ht="12.75" hidden="1" customHeight="1" outlineLevel="1">
      <c r="A157" s="2" t="s">
        <v>72</v>
      </c>
      <c r="B157" s="4">
        <v>13</v>
      </c>
      <c r="C157" s="4">
        <v>383</v>
      </c>
      <c r="D157" s="4">
        <v>727</v>
      </c>
      <c r="E157" s="4">
        <v>1023</v>
      </c>
      <c r="F157" s="4">
        <v>1190</v>
      </c>
      <c r="G157" s="4">
        <v>1497</v>
      </c>
      <c r="H157" s="4">
        <v>1683</v>
      </c>
      <c r="I157" s="107">
        <v>1709</v>
      </c>
      <c r="J157" s="107">
        <f>I157+I157*J158</f>
        <v>1760.27</v>
      </c>
      <c r="K157" s="135">
        <f>J157+J157*K158</f>
        <v>880.13499999999999</v>
      </c>
      <c r="L157" s="107">
        <f t="shared" ref="L157:Q157" si="270">K157+K157*L158</f>
        <v>528.0809999999999</v>
      </c>
      <c r="M157" s="135">
        <f t="shared" si="270"/>
        <v>316.84859999999992</v>
      </c>
      <c r="N157" s="141">
        <f t="shared" si="270"/>
        <v>253.47887999999995</v>
      </c>
      <c r="O157" s="107">
        <f t="shared" si="270"/>
        <v>202.78310399999995</v>
      </c>
      <c r="P157" s="107">
        <f t="shared" si="270"/>
        <v>162.22648319999996</v>
      </c>
      <c r="Q157" s="107">
        <f t="shared" si="270"/>
        <v>129.78118655999998</v>
      </c>
      <c r="R157" s="1019"/>
      <c r="S157" s="10"/>
      <c r="T157" s="10"/>
      <c r="U157" s="10"/>
      <c r="V157" s="10"/>
      <c r="W157" s="4">
        <v>260</v>
      </c>
      <c r="X157" s="4">
        <v>284</v>
      </c>
      <c r="Y157" s="4">
        <v>321</v>
      </c>
      <c r="Z157" s="4">
        <v>325</v>
      </c>
      <c r="AA157" s="157">
        <v>329</v>
      </c>
      <c r="AB157" s="4">
        <v>382</v>
      </c>
      <c r="AC157" s="4">
        <v>373</v>
      </c>
      <c r="AD157" s="107">
        <f>G157-AC157-AB157-AA157</f>
        <v>413</v>
      </c>
      <c r="AE157" s="157">
        <v>367</v>
      </c>
      <c r="AF157" s="4">
        <v>446</v>
      </c>
      <c r="AG157" s="4">
        <v>430</v>
      </c>
      <c r="AH157" s="107">
        <f>H157-AE157-AF157-AG157</f>
        <v>440</v>
      </c>
      <c r="AI157" s="157">
        <v>372</v>
      </c>
      <c r="AJ157" s="4">
        <v>476</v>
      </c>
      <c r="AK157" s="4">
        <v>428</v>
      </c>
      <c r="AL157" s="481">
        <f>I157-AI157-AJ157-AK157</f>
        <v>433</v>
      </c>
      <c r="AM157" s="157">
        <v>416</v>
      </c>
      <c r="AN157" s="396">
        <f t="shared" ref="AN157" si="271">AJ157+AJ157*AN158</f>
        <v>490.28</v>
      </c>
      <c r="AO157" s="396">
        <f t="shared" ref="AO157" si="272">AK157+AK157*AO158</f>
        <v>440.84</v>
      </c>
      <c r="AP157" s="481">
        <f>J157-AM157-AN157-AO157</f>
        <v>413.15000000000003</v>
      </c>
      <c r="AQ157" s="1350"/>
    </row>
    <row r="158" spans="1:43" s="1038" customFormat="1" ht="9.75" hidden="1" customHeight="1" outlineLevel="1">
      <c r="A158" s="2" t="s">
        <v>14</v>
      </c>
      <c r="B158" s="10"/>
      <c r="C158" s="10">
        <f t="shared" ref="C158:I158" si="273">C157/B157-1</f>
        <v>28.46153846153846</v>
      </c>
      <c r="D158" s="10">
        <f t="shared" si="273"/>
        <v>0.89817232375979117</v>
      </c>
      <c r="E158" s="10">
        <f t="shared" si="273"/>
        <v>0.407152682255846</v>
      </c>
      <c r="F158" s="10">
        <f t="shared" si="273"/>
        <v>0.16324535679374397</v>
      </c>
      <c r="G158" s="10">
        <f t="shared" si="273"/>
        <v>0.2579831932773109</v>
      </c>
      <c r="H158" s="10">
        <f t="shared" si="273"/>
        <v>0.12424849699398788</v>
      </c>
      <c r="I158" s="10">
        <f t="shared" si="273"/>
        <v>1.5448603683897888E-2</v>
      </c>
      <c r="J158" s="50">
        <v>0.03</v>
      </c>
      <c r="K158" s="50">
        <v>-0.5</v>
      </c>
      <c r="L158" s="50">
        <v>-0.4</v>
      </c>
      <c r="M158" s="50">
        <v>-0.4</v>
      </c>
      <c r="N158" s="50">
        <v>-0.2</v>
      </c>
      <c r="O158" s="50">
        <v>-0.2</v>
      </c>
      <c r="P158" s="50">
        <v>-0.2</v>
      </c>
      <c r="Q158" s="50">
        <v>-0.2</v>
      </c>
      <c r="R158" s="1019"/>
      <c r="S158" s="10"/>
      <c r="T158" s="10"/>
      <c r="U158" s="10"/>
      <c r="V158" s="10"/>
      <c r="W158" s="10">
        <v>6.9958847736625529E-2</v>
      </c>
      <c r="X158" s="10">
        <v>0.11372549019607847</v>
      </c>
      <c r="Y158" s="10">
        <v>0.17582417582417587</v>
      </c>
      <c r="Z158" s="10">
        <v>0.28968253968253976</v>
      </c>
      <c r="AA158" s="163">
        <f t="shared" ref="AA158:AG158" si="274">AA157/W157-1</f>
        <v>0.26538461538461533</v>
      </c>
      <c r="AB158" s="10">
        <f t="shared" si="274"/>
        <v>0.34507042253521125</v>
      </c>
      <c r="AC158" s="10">
        <f t="shared" si="274"/>
        <v>0.161993769470405</v>
      </c>
      <c r="AD158" s="10">
        <f t="shared" si="274"/>
        <v>0.27076923076923087</v>
      </c>
      <c r="AE158" s="163">
        <f t="shared" si="274"/>
        <v>0.11550151975683898</v>
      </c>
      <c r="AF158" s="10">
        <f t="shared" si="274"/>
        <v>0.16753926701570676</v>
      </c>
      <c r="AG158" s="10">
        <f t="shared" si="274"/>
        <v>0.15281501340482584</v>
      </c>
      <c r="AH158" s="10">
        <f t="shared" ref="AH158:AM158" si="275">AH157/AD157-1</f>
        <v>6.5375302663438273E-2</v>
      </c>
      <c r="AI158" s="163">
        <f t="shared" si="275"/>
        <v>1.3623978201634968E-2</v>
      </c>
      <c r="AJ158" s="10">
        <f t="shared" si="275"/>
        <v>6.7264573991031362E-2</v>
      </c>
      <c r="AK158" s="10">
        <f t="shared" si="275"/>
        <v>-4.6511627906976605E-3</v>
      </c>
      <c r="AL158" s="482">
        <f t="shared" si="275"/>
        <v>-1.5909090909090873E-2</v>
      </c>
      <c r="AM158" s="163">
        <f t="shared" si="275"/>
        <v>0.11827956989247301</v>
      </c>
      <c r="AN158" s="545">
        <v>0.03</v>
      </c>
      <c r="AO158" s="545">
        <v>0.03</v>
      </c>
      <c r="AP158" s="482">
        <f>AP157/AL157-1</f>
        <v>-4.584295612009226E-2</v>
      </c>
      <c r="AQ158" s="1350"/>
    </row>
    <row r="159" spans="1:43" s="1038" customFormat="1" ht="12.75" hidden="1" customHeight="1" outlineLevel="1">
      <c r="A159" s="2" t="s">
        <v>73</v>
      </c>
      <c r="B159" s="4">
        <v>2</v>
      </c>
      <c r="C159" s="4">
        <v>111</v>
      </c>
      <c r="D159" s="4">
        <v>468</v>
      </c>
      <c r="E159" s="4">
        <v>911</v>
      </c>
      <c r="F159" s="4">
        <v>1287</v>
      </c>
      <c r="G159" s="4">
        <v>1279</v>
      </c>
      <c r="H159" s="4">
        <v>1426</v>
      </c>
      <c r="I159" s="107">
        <v>1476</v>
      </c>
      <c r="J159" s="135">
        <f t="shared" ref="J159:Q159" si="276">I159*(1+J161)*(1+J$32)</f>
        <v>1583.5473382953635</v>
      </c>
      <c r="K159" s="107">
        <f t="shared" si="276"/>
        <v>1662.7247052101318</v>
      </c>
      <c r="L159" s="107">
        <f t="shared" si="276"/>
        <v>1330.1797641681055</v>
      </c>
      <c r="M159" s="135">
        <f t="shared" si="276"/>
        <v>931.12583491767384</v>
      </c>
      <c r="N159" s="135">
        <f t="shared" si="276"/>
        <v>744.90066793413916</v>
      </c>
      <c r="O159" s="107">
        <f t="shared" si="276"/>
        <v>595.92053434731133</v>
      </c>
      <c r="P159" s="107">
        <f t="shared" si="276"/>
        <v>476.73642747784908</v>
      </c>
      <c r="Q159" s="107">
        <f t="shared" si="276"/>
        <v>381.38914198227928</v>
      </c>
      <c r="R159" s="402">
        <f>(N159/J159)^(1/($N$1-$J$1))-1</f>
        <v>-0.17183508406882508</v>
      </c>
      <c r="S159" s="10"/>
      <c r="T159" s="10"/>
      <c r="U159" s="10"/>
      <c r="V159" s="10"/>
      <c r="W159" s="4">
        <v>292</v>
      </c>
      <c r="X159" s="4">
        <v>322</v>
      </c>
      <c r="Y159" s="4">
        <v>332</v>
      </c>
      <c r="Z159" s="4">
        <v>341</v>
      </c>
      <c r="AA159" s="157">
        <v>309</v>
      </c>
      <c r="AB159" s="4">
        <v>318</v>
      </c>
      <c r="AC159" s="4">
        <v>323</v>
      </c>
      <c r="AD159" s="107">
        <f>G159-AC159-AB159-AA159</f>
        <v>329</v>
      </c>
      <c r="AE159" s="157">
        <v>331</v>
      </c>
      <c r="AF159" s="4">
        <v>365</v>
      </c>
      <c r="AG159" s="4">
        <v>360</v>
      </c>
      <c r="AH159" s="107">
        <f>H159-AE159-AF159-AG159</f>
        <v>370</v>
      </c>
      <c r="AI159" s="157">
        <v>350</v>
      </c>
      <c r="AJ159" s="4">
        <v>361</v>
      </c>
      <c r="AK159" s="4">
        <v>373</v>
      </c>
      <c r="AL159" s="481">
        <f>I159-AI159-AJ159-AK159</f>
        <v>392</v>
      </c>
      <c r="AM159" s="157">
        <v>405</v>
      </c>
      <c r="AN159" s="396">
        <f>AJ159*(1+AN161)*(1+AN$32)</f>
        <v>391.68656506465373</v>
      </c>
      <c r="AO159" s="396">
        <f>AK159*(1+AO161)*(1+AO$32)</f>
        <v>393.64892064305411</v>
      </c>
      <c r="AP159" s="481">
        <f>J159-AM159-AN159-AO159</f>
        <v>393.2118525876557</v>
      </c>
      <c r="AQ159" s="1350"/>
    </row>
    <row r="160" spans="1:43" s="1038" customFormat="1" ht="9.75" hidden="1" customHeight="1" outlineLevel="1">
      <c r="A160" s="2" t="s">
        <v>14</v>
      </c>
      <c r="B160" s="10"/>
      <c r="C160" s="10">
        <f t="shared" ref="C160:H160" si="277">C159/B159-1</f>
        <v>54.5</v>
      </c>
      <c r="D160" s="10">
        <f t="shared" si="277"/>
        <v>3.2162162162162158</v>
      </c>
      <c r="E160" s="10">
        <f t="shared" si="277"/>
        <v>0.94658119658119655</v>
      </c>
      <c r="F160" s="10">
        <f t="shared" si="277"/>
        <v>0.41273326015367728</v>
      </c>
      <c r="G160" s="10">
        <f t="shared" si="277"/>
        <v>-6.2160062160062646E-3</v>
      </c>
      <c r="H160" s="10">
        <f t="shared" si="277"/>
        <v>0.11493354182955429</v>
      </c>
      <c r="I160" s="10">
        <f t="shared" ref="I160:Q160" si="278">I159/H159-1</f>
        <v>3.5063113604488105E-2</v>
      </c>
      <c r="J160" s="10">
        <f t="shared" si="278"/>
        <v>7.2864050335612163E-2</v>
      </c>
      <c r="K160" s="10">
        <f t="shared" si="278"/>
        <v>5.0000000000000044E-2</v>
      </c>
      <c r="L160" s="10">
        <f t="shared" si="278"/>
        <v>-0.19999999999999996</v>
      </c>
      <c r="M160" s="10">
        <f t="shared" si="278"/>
        <v>-0.30000000000000004</v>
      </c>
      <c r="N160" s="10">
        <f t="shared" si="278"/>
        <v>-0.19999999999999996</v>
      </c>
      <c r="O160" s="10">
        <f t="shared" si="278"/>
        <v>-0.19999999999999996</v>
      </c>
      <c r="P160" s="10">
        <f t="shared" si="278"/>
        <v>-0.19999999999999996</v>
      </c>
      <c r="Q160" s="10">
        <f t="shared" si="278"/>
        <v>-0.19999999999999996</v>
      </c>
      <c r="R160" s="1019"/>
      <c r="S160" s="10"/>
      <c r="T160" s="10"/>
      <c r="U160" s="10"/>
      <c r="V160" s="10"/>
      <c r="W160" s="10">
        <v>0.6404494382022472</v>
      </c>
      <c r="X160" s="10">
        <v>0.51173708920187799</v>
      </c>
      <c r="Y160" s="10">
        <v>0.35510204081632657</v>
      </c>
      <c r="Z160" s="10">
        <v>0.24</v>
      </c>
      <c r="AA160" s="163">
        <f t="shared" ref="AA160:AH160" si="279">AA159/W159-1</f>
        <v>5.821917808219168E-2</v>
      </c>
      <c r="AB160" s="10">
        <f t="shared" si="279"/>
        <v>-1.2422360248447228E-2</v>
      </c>
      <c r="AC160" s="10">
        <f t="shared" si="279"/>
        <v>-2.7108433734939763E-2</v>
      </c>
      <c r="AD160" s="10">
        <f t="shared" si="279"/>
        <v>-3.5190615835777095E-2</v>
      </c>
      <c r="AE160" s="163">
        <f t="shared" si="279"/>
        <v>7.1197411003236288E-2</v>
      </c>
      <c r="AF160" s="10">
        <f t="shared" si="279"/>
        <v>0.14779874213836486</v>
      </c>
      <c r="AG160" s="10">
        <f t="shared" si="279"/>
        <v>0.11455108359133126</v>
      </c>
      <c r="AH160" s="10">
        <f t="shared" si="279"/>
        <v>0.12462006079027366</v>
      </c>
      <c r="AI160" s="163">
        <f>AI159/AE159-1</f>
        <v>5.7401812688821829E-2</v>
      </c>
      <c r="AJ160" s="10">
        <f>AJ159/AF159-1</f>
        <v>-1.0958904109588996E-2</v>
      </c>
      <c r="AK160" s="10">
        <f>AK159/AG159-1</f>
        <v>3.6111111111111205E-2</v>
      </c>
      <c r="AL160" s="482">
        <f>AL159/AH159-1</f>
        <v>5.9459459459459518E-2</v>
      </c>
      <c r="AM160" s="163">
        <f t="shared" ref="AM160" si="280">AM159/AI159-1</f>
        <v>0.15714285714285725</v>
      </c>
      <c r="AN160" s="428">
        <f t="shared" ref="AN160" si="281">AN159/AJ159-1</f>
        <v>8.5004335359151639E-2</v>
      </c>
      <c r="AO160" s="428">
        <f t="shared" ref="AO160" si="282">AO159/AK159-1</f>
        <v>5.5359036576552612E-2</v>
      </c>
      <c r="AP160" s="482">
        <f>AP159/AL159-1</f>
        <v>3.0914606827951996E-3</v>
      </c>
      <c r="AQ160" s="1350"/>
    </row>
    <row r="161" spans="1:43" s="1038" customFormat="1" ht="9.75" hidden="1" customHeight="1" outlineLevel="1">
      <c r="A161" s="2" t="s">
        <v>15</v>
      </c>
      <c r="B161" s="10"/>
      <c r="C161" s="10"/>
      <c r="D161" s="10"/>
      <c r="E161" s="10">
        <v>0.94</v>
      </c>
      <c r="F161" s="10">
        <v>0.45</v>
      </c>
      <c r="G161" s="10">
        <v>0.17</v>
      </c>
      <c r="H161" s="10">
        <v>0.15</v>
      </c>
      <c r="I161" s="10">
        <v>0.03</v>
      </c>
      <c r="J161" s="50">
        <v>0.03</v>
      </c>
      <c r="K161" s="50">
        <v>0.05</v>
      </c>
      <c r="L161" s="50">
        <v>-0.2</v>
      </c>
      <c r="M161" s="50">
        <v>-0.3</v>
      </c>
      <c r="N161" s="50">
        <v>-0.2</v>
      </c>
      <c r="O161" s="50">
        <v>-0.2</v>
      </c>
      <c r="P161" s="50">
        <v>-0.2</v>
      </c>
      <c r="Q161" s="50">
        <v>-0.2</v>
      </c>
      <c r="R161" s="1019"/>
      <c r="S161" s="10"/>
      <c r="T161" s="10"/>
      <c r="U161" s="10"/>
      <c r="V161" s="10"/>
      <c r="W161" s="10">
        <v>0.65</v>
      </c>
      <c r="X161" s="10">
        <v>0.48</v>
      </c>
      <c r="Y161" s="10">
        <v>0.37</v>
      </c>
      <c r="Z161" s="10">
        <v>0.36</v>
      </c>
      <c r="AA161" s="163">
        <v>0.25</v>
      </c>
      <c r="AB161" s="10">
        <v>0.18</v>
      </c>
      <c r="AC161" s="10">
        <v>0.16</v>
      </c>
      <c r="AD161" s="10">
        <v>0.1</v>
      </c>
      <c r="AE161" s="163">
        <v>0.13</v>
      </c>
      <c r="AF161" s="10">
        <v>0.17</v>
      </c>
      <c r="AG161" s="10">
        <v>0.14000000000000001</v>
      </c>
      <c r="AH161" s="10">
        <v>0.16</v>
      </c>
      <c r="AI161" s="163">
        <v>0.09</v>
      </c>
      <c r="AJ161" s="10">
        <v>0.02</v>
      </c>
      <c r="AK161" s="10">
        <v>0.02</v>
      </c>
      <c r="AL161" s="482">
        <v>0</v>
      </c>
      <c r="AM161" s="163">
        <v>0.04</v>
      </c>
      <c r="AN161" s="539">
        <v>0.03</v>
      </c>
      <c r="AO161" s="539">
        <v>0.03</v>
      </c>
      <c r="AP161" s="497"/>
      <c r="AQ161" s="1350"/>
    </row>
    <row r="162" spans="1:43" ht="12.75" customHeight="1" collapsed="1">
      <c r="A162" s="1025" t="s">
        <v>765</v>
      </c>
      <c r="J162" s="107"/>
      <c r="K162" s="107">
        <f t="shared" ref="K162:Q162" si="283">+K165+K167</f>
        <v>50</v>
      </c>
      <c r="L162" s="107">
        <f t="shared" si="283"/>
        <v>175</v>
      </c>
      <c r="M162" s="107">
        <f t="shared" si="283"/>
        <v>391.25</v>
      </c>
      <c r="N162" s="107">
        <f t="shared" si="283"/>
        <v>760.5</v>
      </c>
      <c r="O162" s="107">
        <f t="shared" si="283"/>
        <v>1140.75</v>
      </c>
      <c r="P162" s="107">
        <f t="shared" si="283"/>
        <v>1398.6000000000001</v>
      </c>
      <c r="Q162" s="107">
        <f t="shared" si="283"/>
        <v>1577.0700000000002</v>
      </c>
      <c r="R162" s="402"/>
      <c r="S162" s="1026"/>
      <c r="T162" s="1026"/>
      <c r="U162" s="1026"/>
      <c r="AD162" s="107"/>
      <c r="AH162" s="107"/>
      <c r="AK162" s="107"/>
      <c r="AL162" s="481"/>
      <c r="AM162" s="157"/>
      <c r="AN162" s="396"/>
      <c r="AO162" s="396"/>
      <c r="AP162" s="481"/>
      <c r="AQ162" s="1350"/>
    </row>
    <row r="163" spans="1:43" s="1038" customFormat="1" ht="9.75" hidden="1" customHeight="1" outlineLevel="1">
      <c r="A163" s="1037" t="s">
        <v>14</v>
      </c>
      <c r="B163" s="10"/>
      <c r="C163" s="10"/>
      <c r="D163" s="10"/>
      <c r="E163" s="10"/>
      <c r="F163" s="10"/>
      <c r="G163" s="10"/>
      <c r="H163" s="10"/>
      <c r="I163" s="10"/>
      <c r="J163" s="10"/>
      <c r="K163" s="10"/>
      <c r="L163" s="10">
        <f t="shared" ref="L163:Q163" si="284">L162/K162-1</f>
        <v>2.5</v>
      </c>
      <c r="M163" s="10">
        <f t="shared" si="284"/>
        <v>1.2357142857142858</v>
      </c>
      <c r="N163" s="10">
        <f t="shared" si="284"/>
        <v>0.94376996805111824</v>
      </c>
      <c r="O163" s="10">
        <f t="shared" si="284"/>
        <v>0.5</v>
      </c>
      <c r="P163" s="10">
        <f t="shared" si="284"/>
        <v>0.2260355029585801</v>
      </c>
      <c r="Q163" s="10">
        <f t="shared" si="284"/>
        <v>0.12760617760617765</v>
      </c>
      <c r="R163" s="1019"/>
      <c r="S163" s="10"/>
      <c r="T163" s="10"/>
      <c r="U163" s="10"/>
      <c r="V163" s="10"/>
      <c r="W163" s="10"/>
      <c r="X163" s="10"/>
      <c r="Y163" s="10"/>
      <c r="Z163" s="10"/>
      <c r="AA163" s="163"/>
      <c r="AB163" s="10"/>
      <c r="AC163" s="10"/>
      <c r="AD163" s="10"/>
      <c r="AE163" s="163"/>
      <c r="AF163" s="10"/>
      <c r="AG163" s="10"/>
      <c r="AH163" s="10"/>
      <c r="AI163" s="163"/>
      <c r="AJ163" s="10"/>
      <c r="AK163" s="10"/>
      <c r="AL163" s="482"/>
      <c r="AM163" s="163"/>
      <c r="AN163" s="428"/>
      <c r="AO163" s="428"/>
      <c r="AP163" s="482"/>
      <c r="AQ163" s="1350"/>
    </row>
    <row r="164" spans="1:43" s="1038" customFormat="1" ht="9.75" hidden="1" customHeight="1" outlineLevel="1">
      <c r="A164" s="1037" t="s">
        <v>15</v>
      </c>
      <c r="B164" s="10"/>
      <c r="C164" s="10"/>
      <c r="D164" s="10"/>
      <c r="E164" s="10"/>
      <c r="F164" s="10"/>
      <c r="G164" s="10"/>
      <c r="H164" s="10"/>
      <c r="I164" s="10"/>
      <c r="J164" s="10"/>
      <c r="K164" s="10"/>
      <c r="L164" s="10">
        <f t="shared" ref="L164:Q164" si="285">L163-((L168-L169)*L167/L162)</f>
        <v>2.5</v>
      </c>
      <c r="M164" s="10">
        <f t="shared" si="285"/>
        <v>1.2357142857142858</v>
      </c>
      <c r="N164" s="10">
        <f t="shared" si="285"/>
        <v>0.94376996805111824</v>
      </c>
      <c r="O164" s="10">
        <f t="shared" si="285"/>
        <v>0.5</v>
      </c>
      <c r="P164" s="10">
        <f t="shared" si="285"/>
        <v>0.22603550295858008</v>
      </c>
      <c r="Q164" s="10">
        <f t="shared" si="285"/>
        <v>0.12760617760617768</v>
      </c>
      <c r="R164" s="1019"/>
      <c r="S164" s="10"/>
      <c r="T164" s="10"/>
      <c r="U164" s="10"/>
      <c r="V164" s="10"/>
      <c r="W164" s="10"/>
      <c r="X164" s="10"/>
      <c r="Y164" s="10"/>
      <c r="Z164" s="10"/>
      <c r="AA164" s="163"/>
      <c r="AB164" s="10"/>
      <c r="AC164" s="10"/>
      <c r="AD164" s="10"/>
      <c r="AE164" s="163"/>
      <c r="AF164" s="10"/>
      <c r="AG164" s="10"/>
      <c r="AH164" s="10"/>
      <c r="AI164" s="163"/>
      <c r="AJ164" s="10"/>
      <c r="AK164" s="10"/>
      <c r="AL164" s="482"/>
      <c r="AM164" s="163"/>
      <c r="AN164" s="428"/>
      <c r="AO164" s="428"/>
      <c r="AP164" s="482"/>
      <c r="AQ164" s="1350"/>
    </row>
    <row r="165" spans="1:43" s="1038" customFormat="1" ht="12.75" hidden="1" customHeight="1" outlineLevel="1">
      <c r="A165" s="2" t="s">
        <v>72</v>
      </c>
      <c r="B165" s="4"/>
      <c r="C165" s="4"/>
      <c r="D165" s="4"/>
      <c r="E165" s="4"/>
      <c r="F165" s="4"/>
      <c r="G165" s="4"/>
      <c r="H165" s="4"/>
      <c r="I165" s="4"/>
      <c r="J165" s="4"/>
      <c r="K165" s="4">
        <v>50</v>
      </c>
      <c r="L165" s="107">
        <f t="shared" ref="L165:Q165" si="286">K165+K165*L166</f>
        <v>125</v>
      </c>
      <c r="M165" s="107">
        <f t="shared" si="286"/>
        <v>281.25</v>
      </c>
      <c r="N165" s="107">
        <f t="shared" si="286"/>
        <v>562.5</v>
      </c>
      <c r="O165" s="107">
        <f t="shared" si="286"/>
        <v>843.75</v>
      </c>
      <c r="P165" s="107">
        <f t="shared" si="286"/>
        <v>1012.5</v>
      </c>
      <c r="Q165" s="107">
        <f t="shared" si="286"/>
        <v>1113.75</v>
      </c>
      <c r="R165" s="402"/>
      <c r="S165" s="10"/>
      <c r="T165" s="10"/>
      <c r="U165" s="10"/>
      <c r="V165" s="10"/>
      <c r="W165" s="4"/>
      <c r="X165" s="4"/>
      <c r="Y165" s="4"/>
      <c r="Z165" s="4"/>
      <c r="AA165" s="157"/>
      <c r="AB165" s="4"/>
      <c r="AC165" s="4"/>
      <c r="AD165" s="107"/>
      <c r="AE165" s="157"/>
      <c r="AF165" s="4"/>
      <c r="AG165" s="4"/>
      <c r="AH165" s="107"/>
      <c r="AI165" s="157"/>
      <c r="AJ165" s="4"/>
      <c r="AK165" s="107"/>
      <c r="AL165" s="481"/>
      <c r="AM165" s="157"/>
      <c r="AN165" s="396"/>
      <c r="AO165" s="396"/>
      <c r="AP165" s="481"/>
      <c r="AQ165" s="1350"/>
    </row>
    <row r="166" spans="1:43" s="1038" customFormat="1" ht="9.75" hidden="1" customHeight="1" outlineLevel="1">
      <c r="A166" s="2" t="s">
        <v>14</v>
      </c>
      <c r="B166" s="10"/>
      <c r="C166" s="10"/>
      <c r="D166" s="10"/>
      <c r="E166" s="10"/>
      <c r="F166" s="10"/>
      <c r="G166" s="10"/>
      <c r="H166" s="10"/>
      <c r="I166" s="10"/>
      <c r="J166" s="10"/>
      <c r="K166" s="10"/>
      <c r="L166" s="50">
        <v>1.5</v>
      </c>
      <c r="M166" s="50">
        <v>1.25</v>
      </c>
      <c r="N166" s="50">
        <v>1</v>
      </c>
      <c r="O166" s="50">
        <v>0.5</v>
      </c>
      <c r="P166" s="50">
        <v>0.2</v>
      </c>
      <c r="Q166" s="50">
        <v>0.1</v>
      </c>
      <c r="R166" s="1019"/>
      <c r="S166" s="10"/>
      <c r="T166" s="10"/>
      <c r="U166" s="10"/>
      <c r="V166" s="10"/>
      <c r="W166" s="10"/>
      <c r="X166" s="10"/>
      <c r="Y166" s="10"/>
      <c r="Z166" s="10"/>
      <c r="AA166" s="163"/>
      <c r="AB166" s="10"/>
      <c r="AC166" s="10"/>
      <c r="AD166" s="10"/>
      <c r="AE166" s="163"/>
      <c r="AF166" s="10"/>
      <c r="AG166" s="10"/>
      <c r="AH166" s="10"/>
      <c r="AI166" s="163"/>
      <c r="AJ166" s="10"/>
      <c r="AK166" s="10"/>
      <c r="AL166" s="482"/>
      <c r="AM166" s="163"/>
      <c r="AN166" s="428"/>
      <c r="AO166" s="428"/>
      <c r="AP166" s="482"/>
      <c r="AQ166" s="1350"/>
    </row>
    <row r="167" spans="1:43" s="1038" customFormat="1" ht="12.75" hidden="1" customHeight="1" outlineLevel="1">
      <c r="A167" s="2" t="s">
        <v>73</v>
      </c>
      <c r="B167" s="4"/>
      <c r="C167" s="4"/>
      <c r="D167" s="4"/>
      <c r="E167" s="4"/>
      <c r="F167" s="4"/>
      <c r="G167" s="4"/>
      <c r="H167" s="4"/>
      <c r="I167" s="4"/>
      <c r="J167" s="107"/>
      <c r="K167" s="107"/>
      <c r="L167" s="107">
        <v>50</v>
      </c>
      <c r="M167" s="107">
        <f>L167*(1+M169)*(1+M$32)</f>
        <v>110.00000000000001</v>
      </c>
      <c r="N167" s="107">
        <f>M167*(1+N169)*(1+N$32)</f>
        <v>198.00000000000003</v>
      </c>
      <c r="O167" s="107">
        <f>N167*(1+O169)*(1+O$32)</f>
        <v>297.00000000000006</v>
      </c>
      <c r="P167" s="107">
        <f>O167*(1+P169)*(1+P$32)</f>
        <v>386.10000000000008</v>
      </c>
      <c r="Q167" s="107">
        <f>P167*(1+Q169)*(1+Q$32)</f>
        <v>463.32000000000005</v>
      </c>
      <c r="R167" s="402"/>
      <c r="S167" s="10"/>
      <c r="T167" s="10"/>
      <c r="U167" s="10"/>
      <c r="V167" s="10"/>
      <c r="W167" s="4"/>
      <c r="X167" s="4"/>
      <c r="Y167" s="4"/>
      <c r="Z167" s="4"/>
      <c r="AA167" s="157"/>
      <c r="AB167" s="4"/>
      <c r="AC167" s="4"/>
      <c r="AD167" s="107"/>
      <c r="AE167" s="157"/>
      <c r="AF167" s="4"/>
      <c r="AG167" s="4"/>
      <c r="AH167" s="107"/>
      <c r="AI167" s="157"/>
      <c r="AJ167" s="4"/>
      <c r="AK167" s="107"/>
      <c r="AL167" s="481"/>
      <c r="AM167" s="157"/>
      <c r="AN167" s="396"/>
      <c r="AO167" s="396"/>
      <c r="AP167" s="481"/>
      <c r="AQ167" s="1350"/>
    </row>
    <row r="168" spans="1:43" s="1038" customFormat="1" ht="9.75" hidden="1" customHeight="1" outlineLevel="1">
      <c r="A168" s="2" t="s">
        <v>14</v>
      </c>
      <c r="B168" s="10"/>
      <c r="C168" s="10"/>
      <c r="D168" s="10"/>
      <c r="E168" s="10"/>
      <c r="F168" s="10"/>
      <c r="G168" s="10"/>
      <c r="H168" s="10"/>
      <c r="I168" s="10"/>
      <c r="J168" s="10"/>
      <c r="K168" s="10"/>
      <c r="L168" s="10"/>
      <c r="M168" s="10">
        <f>M167/L167-1</f>
        <v>1.2000000000000002</v>
      </c>
      <c r="N168" s="10">
        <f>N167/M167-1</f>
        <v>0.8</v>
      </c>
      <c r="O168" s="10">
        <f>O167/N167-1</f>
        <v>0.5</v>
      </c>
      <c r="P168" s="10">
        <f>P167/O167-1</f>
        <v>0.30000000000000004</v>
      </c>
      <c r="Q168" s="10">
        <f>Q167/P167-1</f>
        <v>0.19999999999999996</v>
      </c>
      <c r="R168" s="1019"/>
      <c r="S168" s="10"/>
      <c r="T168" s="10"/>
      <c r="U168" s="10"/>
      <c r="V168" s="10"/>
      <c r="W168" s="10"/>
      <c r="X168" s="10"/>
      <c r="Y168" s="10"/>
      <c r="Z168" s="10"/>
      <c r="AA168" s="163"/>
      <c r="AB168" s="10"/>
      <c r="AC168" s="10"/>
      <c r="AD168" s="10"/>
      <c r="AE168" s="163"/>
      <c r="AF168" s="10"/>
      <c r="AG168" s="10"/>
      <c r="AH168" s="10"/>
      <c r="AI168" s="163"/>
      <c r="AJ168" s="10"/>
      <c r="AK168" s="10"/>
      <c r="AL168" s="482"/>
      <c r="AM168" s="163"/>
      <c r="AN168" s="428"/>
      <c r="AO168" s="428"/>
      <c r="AP168" s="482"/>
      <c r="AQ168" s="1350"/>
    </row>
    <row r="169" spans="1:43" s="1038" customFormat="1" ht="9.75" hidden="1" customHeight="1" outlineLevel="1">
      <c r="A169" s="2" t="s">
        <v>15</v>
      </c>
      <c r="B169" s="10"/>
      <c r="C169" s="10"/>
      <c r="D169" s="10"/>
      <c r="E169" s="10"/>
      <c r="F169" s="10"/>
      <c r="G169" s="10"/>
      <c r="H169" s="10"/>
      <c r="I169" s="50"/>
      <c r="J169" s="50"/>
      <c r="K169" s="50"/>
      <c r="L169" s="50"/>
      <c r="M169" s="50">
        <v>1.2</v>
      </c>
      <c r="N169" s="50">
        <v>0.8</v>
      </c>
      <c r="O169" s="50">
        <v>0.5</v>
      </c>
      <c r="P169" s="50">
        <v>0.3</v>
      </c>
      <c r="Q169" s="50">
        <v>0.2</v>
      </c>
      <c r="R169" s="1019"/>
      <c r="S169" s="10"/>
      <c r="T169" s="10"/>
      <c r="U169" s="10"/>
      <c r="V169" s="10"/>
      <c r="W169" s="10"/>
      <c r="X169" s="10"/>
      <c r="Y169" s="10"/>
      <c r="Z169" s="10"/>
      <c r="AA169" s="163"/>
      <c r="AB169" s="10"/>
      <c r="AC169" s="10"/>
      <c r="AD169" s="10"/>
      <c r="AE169" s="163"/>
      <c r="AF169" s="10"/>
      <c r="AG169" s="10"/>
      <c r="AH169" s="10"/>
      <c r="AI169" s="163"/>
      <c r="AJ169" s="10"/>
      <c r="AK169" s="10"/>
      <c r="AL169" s="482"/>
      <c r="AM169" s="163"/>
      <c r="AN169" s="428"/>
      <c r="AO169" s="428"/>
      <c r="AP169" s="482"/>
      <c r="AQ169" s="1350"/>
    </row>
    <row r="170" spans="1:43" ht="12.75" customHeight="1" collapsed="1">
      <c r="A170" s="1025" t="s">
        <v>519</v>
      </c>
      <c r="B170" s="4">
        <v>600</v>
      </c>
      <c r="C170" s="4">
        <v>614</v>
      </c>
      <c r="D170" s="4">
        <v>530</v>
      </c>
      <c r="E170" s="4">
        <v>401</v>
      </c>
      <c r="F170" s="4">
        <v>371</v>
      </c>
      <c r="G170" s="4">
        <v>294</v>
      </c>
      <c r="I170" s="135"/>
      <c r="J170" s="107"/>
      <c r="K170" s="107"/>
      <c r="L170" s="135"/>
      <c r="M170" s="107"/>
      <c r="N170" s="107"/>
      <c r="O170" s="107"/>
      <c r="P170" s="107"/>
      <c r="Q170" s="107"/>
      <c r="R170" s="402"/>
      <c r="S170" s="1026"/>
      <c r="T170" s="1026"/>
      <c r="U170" s="1026"/>
      <c r="W170" s="4">
        <v>97</v>
      </c>
      <c r="X170" s="4">
        <v>92</v>
      </c>
      <c r="Y170" s="4">
        <v>93</v>
      </c>
      <c r="Z170" s="4">
        <v>89</v>
      </c>
      <c r="AA170" s="157">
        <v>76</v>
      </c>
      <c r="AB170" s="4">
        <v>72</v>
      </c>
      <c r="AC170" s="4">
        <v>71</v>
      </c>
      <c r="AD170" s="107">
        <f>G170-AC170-AB170-AA170</f>
        <v>75</v>
      </c>
      <c r="AE170" s="398"/>
      <c r="AH170" s="107"/>
      <c r="AI170" s="398"/>
      <c r="AK170" s="107"/>
      <c r="AL170" s="481"/>
      <c r="AM170" s="398"/>
      <c r="AN170" s="396"/>
      <c r="AO170" s="396"/>
      <c r="AP170" s="481"/>
      <c r="AQ170" s="1350"/>
    </row>
    <row r="171" spans="1:43" s="1038" customFormat="1" ht="9.75" hidden="1" customHeight="1" outlineLevel="1">
      <c r="A171" s="1037" t="s">
        <v>14</v>
      </c>
      <c r="B171" s="10"/>
      <c r="C171" s="10"/>
      <c r="D171" s="10">
        <f>D170/C170-1</f>
        <v>-0.1368078175895765</v>
      </c>
      <c r="E171" s="10">
        <f>E170/D170-1</f>
        <v>-0.24339622641509429</v>
      </c>
      <c r="F171" s="10">
        <f>F170/E170-1</f>
        <v>-7.4812967581047385E-2</v>
      </c>
      <c r="G171" s="10">
        <f>G170/F170-1</f>
        <v>-0.20754716981132071</v>
      </c>
      <c r="H171" s="10"/>
      <c r="I171" s="10"/>
      <c r="J171" s="10"/>
      <c r="K171" s="10"/>
      <c r="L171" s="10"/>
      <c r="M171" s="10"/>
      <c r="N171" s="10"/>
      <c r="O171" s="10"/>
      <c r="P171" s="10"/>
      <c r="Q171" s="10"/>
      <c r="R171" s="1019"/>
      <c r="S171" s="10"/>
      <c r="T171" s="10"/>
      <c r="U171" s="10"/>
      <c r="V171" s="10"/>
      <c r="W171" s="10">
        <v>-3.0000000000000027E-2</v>
      </c>
      <c r="X171" s="10">
        <v>-5.1546391752577359E-2</v>
      </c>
      <c r="Y171" s="10">
        <v>-7.9207920792079167E-2</v>
      </c>
      <c r="Z171" s="10">
        <v>-0.13592233009708743</v>
      </c>
      <c r="AA171" s="163">
        <f>AA170/W170-1</f>
        <v>-0.21649484536082475</v>
      </c>
      <c r="AB171" s="10">
        <f>AB170/X170-1</f>
        <v>-0.21739130434782605</v>
      </c>
      <c r="AC171" s="10">
        <f>AC170/Y170-1</f>
        <v>-0.23655913978494625</v>
      </c>
      <c r="AD171" s="10">
        <f>AD170/Z170-1</f>
        <v>-0.15730337078651691</v>
      </c>
      <c r="AE171" s="167"/>
      <c r="AF171" s="10"/>
      <c r="AG171" s="10"/>
      <c r="AH171" s="10"/>
      <c r="AI171" s="167"/>
      <c r="AJ171" s="10"/>
      <c r="AK171" s="10"/>
      <c r="AL171" s="482"/>
      <c r="AM171" s="167"/>
      <c r="AN171" s="428"/>
      <c r="AO171" s="428"/>
      <c r="AP171" s="482"/>
      <c r="AQ171" s="1350"/>
    </row>
    <row r="172" spans="1:43" s="1038" customFormat="1" ht="9.75" hidden="1" customHeight="1" outlineLevel="1">
      <c r="A172" s="1037" t="s">
        <v>15</v>
      </c>
      <c r="B172" s="10"/>
      <c r="C172" s="10"/>
      <c r="D172" s="10">
        <v>-0.11</v>
      </c>
      <c r="E172" s="10">
        <v>-0.21</v>
      </c>
      <c r="F172" s="10">
        <v>-0.04</v>
      </c>
      <c r="G172" s="10">
        <v>-0.08</v>
      </c>
      <c r="H172" s="10"/>
      <c r="I172" s="50"/>
      <c r="J172" s="50"/>
      <c r="K172" s="50"/>
      <c r="L172" s="50"/>
      <c r="M172" s="50"/>
      <c r="N172" s="50"/>
      <c r="O172" s="50"/>
      <c r="P172" s="50"/>
      <c r="Q172" s="50"/>
      <c r="R172" s="1019"/>
      <c r="S172" s="10"/>
      <c r="T172" s="10"/>
      <c r="U172" s="10"/>
      <c r="V172" s="10"/>
      <c r="W172" s="10">
        <v>0</v>
      </c>
      <c r="X172" s="10">
        <v>-0.06</v>
      </c>
      <c r="Y172" s="10">
        <v>-7.0000000000000007E-2</v>
      </c>
      <c r="Z172" s="10">
        <v>-0.05</v>
      </c>
      <c r="AA172" s="163">
        <v>-0.1</v>
      </c>
      <c r="AB172" s="10">
        <v>-7.0000000000000007E-2</v>
      </c>
      <c r="AC172" s="10">
        <v>-0.1</v>
      </c>
      <c r="AD172" s="10">
        <v>-7.0000000000000007E-2</v>
      </c>
      <c r="AE172" s="167"/>
      <c r="AF172" s="10"/>
      <c r="AG172" s="10"/>
      <c r="AH172" s="10"/>
      <c r="AI172" s="167"/>
      <c r="AJ172" s="10"/>
      <c r="AK172" s="10"/>
      <c r="AL172" s="482"/>
      <c r="AM172" s="167"/>
      <c r="AN172" s="428"/>
      <c r="AO172" s="428"/>
      <c r="AP172" s="482"/>
      <c r="AQ172" s="1350"/>
    </row>
    <row r="173" spans="1:43" ht="12.75" customHeight="1" collapsed="1">
      <c r="A173" s="1025" t="s">
        <v>862</v>
      </c>
      <c r="I173" s="107"/>
      <c r="J173" s="107">
        <f>'AMG334 erenumab'!H51</f>
        <v>39.222160419464018</v>
      </c>
      <c r="K173" s="107">
        <f>'AMG334 erenumab'!I51</f>
        <v>91.239906188296374</v>
      </c>
      <c r="L173" s="107">
        <f>'AMG334 erenumab'!J51</f>
        <v>142.38899759745533</v>
      </c>
      <c r="M173" s="107">
        <f>'AMG334 erenumab'!K51</f>
        <v>285.86306360067857</v>
      </c>
      <c r="N173" s="107">
        <f>'AMG334 erenumab'!L51</f>
        <v>400.16288485657833</v>
      </c>
      <c r="O173" s="107">
        <f>'AMG334 erenumab'!M51</f>
        <v>642.7605441407328</v>
      </c>
      <c r="P173" s="107">
        <f>'AMG334 erenumab'!N51</f>
        <v>680.46264041439485</v>
      </c>
      <c r="Q173" s="107">
        <f>'AMG334 erenumab'!O51</f>
        <v>720.16197801724377</v>
      </c>
      <c r="R173" s="402"/>
      <c r="S173" s="1026"/>
      <c r="T173" s="1026"/>
      <c r="U173" s="1026"/>
      <c r="AD173" s="107"/>
      <c r="AE173" s="398"/>
      <c r="AH173" s="107"/>
      <c r="AI173" s="398"/>
      <c r="AK173" s="107"/>
      <c r="AL173" s="481"/>
      <c r="AM173" s="398"/>
      <c r="AN173" s="396"/>
      <c r="AO173" s="396"/>
      <c r="AP173" s="481">
        <f>J173-AM173-AN173-AO173</f>
        <v>39.222160419464018</v>
      </c>
      <c r="AQ173" s="1350"/>
    </row>
    <row r="174" spans="1:43" s="1038" customFormat="1" ht="9.75" hidden="1" customHeight="1" outlineLevel="1">
      <c r="A174" s="1037" t="s">
        <v>14</v>
      </c>
      <c r="B174" s="10"/>
      <c r="C174" s="10"/>
      <c r="D174" s="10"/>
      <c r="E174" s="10"/>
      <c r="F174" s="10"/>
      <c r="G174" s="10"/>
      <c r="H174" s="10"/>
      <c r="I174" s="10"/>
      <c r="J174" s="10"/>
      <c r="K174" s="10">
        <f t="shared" ref="K174:Q174" si="287">K173/J173-1</f>
        <v>1.3262335682819377</v>
      </c>
      <c r="L174" s="10">
        <f t="shared" si="287"/>
        <v>0.56059999999999999</v>
      </c>
      <c r="M174" s="10">
        <f t="shared" si="287"/>
        <v>1.0076204511870746</v>
      </c>
      <c r="N174" s="10">
        <f t="shared" si="287"/>
        <v>0.39984116806207926</v>
      </c>
      <c r="O174" s="10">
        <f t="shared" si="287"/>
        <v>0.60624727695849012</v>
      </c>
      <c r="P174" s="10">
        <f t="shared" si="287"/>
        <v>5.8656519317102251E-2</v>
      </c>
      <c r="Q174" s="10">
        <f t="shared" si="287"/>
        <v>5.8341685854600867E-2</v>
      </c>
      <c r="R174" s="1019"/>
      <c r="S174" s="10"/>
      <c r="T174" s="10"/>
      <c r="U174" s="10"/>
      <c r="V174" s="10"/>
      <c r="W174" s="10"/>
      <c r="X174" s="10"/>
      <c r="Y174" s="10"/>
      <c r="Z174" s="10"/>
      <c r="AA174" s="163"/>
      <c r="AB174" s="10"/>
      <c r="AC174" s="10"/>
      <c r="AD174" s="10"/>
      <c r="AE174" s="167"/>
      <c r="AF174" s="10"/>
      <c r="AG174" s="10"/>
      <c r="AH174" s="10"/>
      <c r="AI174" s="167"/>
      <c r="AJ174" s="10"/>
      <c r="AK174" s="10"/>
      <c r="AL174" s="482"/>
      <c r="AM174" s="167"/>
      <c r="AN174" s="428"/>
      <c r="AO174" s="428"/>
      <c r="AP174" s="482"/>
      <c r="AQ174" s="1350"/>
    </row>
    <row r="175" spans="1:43" s="1038" customFormat="1" ht="9.75" hidden="1" customHeight="1" outlineLevel="1">
      <c r="A175" s="1037" t="s">
        <v>15</v>
      </c>
      <c r="B175" s="10"/>
      <c r="C175" s="10"/>
      <c r="D175" s="10"/>
      <c r="E175" s="10"/>
      <c r="F175" s="10"/>
      <c r="G175" s="10"/>
      <c r="H175" s="10"/>
      <c r="I175" s="50"/>
      <c r="J175" s="50"/>
      <c r="K175" s="50"/>
      <c r="L175" s="50"/>
      <c r="M175" s="50"/>
      <c r="N175" s="50"/>
      <c r="O175" s="50"/>
      <c r="P175" s="50"/>
      <c r="Q175" s="50"/>
      <c r="R175" s="1019"/>
      <c r="S175" s="10"/>
      <c r="T175" s="10"/>
      <c r="U175" s="10"/>
      <c r="V175" s="10"/>
      <c r="W175" s="10"/>
      <c r="X175" s="10"/>
      <c r="Y175" s="10"/>
      <c r="Z175" s="10"/>
      <c r="AA175" s="163"/>
      <c r="AB175" s="10"/>
      <c r="AC175" s="10"/>
      <c r="AD175" s="10"/>
      <c r="AE175" s="167"/>
      <c r="AF175" s="10"/>
      <c r="AG175" s="10"/>
      <c r="AH175" s="10"/>
      <c r="AI175" s="167"/>
      <c r="AJ175" s="10"/>
      <c r="AK175" s="10"/>
      <c r="AL175" s="482"/>
      <c r="AM175" s="167"/>
      <c r="AN175" s="428"/>
      <c r="AO175" s="428"/>
      <c r="AP175" s="482"/>
      <c r="AQ175" s="1350"/>
    </row>
    <row r="176" spans="1:43" s="1038" customFormat="1" ht="12.75" customHeight="1" collapsed="1">
      <c r="A176" s="1025" t="s">
        <v>422</v>
      </c>
      <c r="B176" s="4">
        <v>567</v>
      </c>
      <c r="C176" s="4">
        <v>547</v>
      </c>
      <c r="D176" s="4">
        <v>483</v>
      </c>
      <c r="E176" s="4">
        <v>444</v>
      </c>
      <c r="F176" s="10"/>
      <c r="G176" s="10"/>
      <c r="H176" s="10"/>
      <c r="I176" s="10"/>
      <c r="J176" s="10"/>
      <c r="K176" s="10"/>
      <c r="L176" s="10"/>
      <c r="M176" s="10"/>
      <c r="N176" s="10"/>
      <c r="O176" s="10"/>
      <c r="P176" s="10"/>
      <c r="Q176" s="10"/>
      <c r="R176" s="1019"/>
      <c r="S176" s="10"/>
      <c r="T176" s="10"/>
      <c r="U176" s="10"/>
      <c r="V176" s="10"/>
      <c r="W176" s="10"/>
      <c r="X176" s="10"/>
      <c r="Y176" s="10"/>
      <c r="Z176" s="10"/>
      <c r="AA176" s="163"/>
      <c r="AB176" s="10"/>
      <c r="AC176" s="10"/>
      <c r="AD176" s="10"/>
      <c r="AE176" s="167"/>
      <c r="AF176" s="10"/>
      <c r="AG176" s="10"/>
      <c r="AH176" s="10"/>
      <c r="AI176" s="167"/>
      <c r="AJ176" s="10"/>
      <c r="AK176" s="10"/>
      <c r="AL176" s="482"/>
      <c r="AM176" s="167"/>
      <c r="AN176" s="428"/>
      <c r="AO176" s="428"/>
      <c r="AP176" s="482"/>
      <c r="AQ176" s="1350"/>
    </row>
    <row r="177" spans="1:43" s="1038" customFormat="1" ht="9.75" hidden="1" customHeight="1" outlineLevel="1">
      <c r="A177" s="1037" t="s">
        <v>14</v>
      </c>
      <c r="B177" s="10"/>
      <c r="C177" s="10"/>
      <c r="D177" s="10">
        <f>D176/C176-1</f>
        <v>-0.11700182815356486</v>
      </c>
      <c r="E177" s="10">
        <f>E176/D176-1</f>
        <v>-8.0745341614906874E-2</v>
      </c>
      <c r="F177" s="10"/>
      <c r="G177" s="10"/>
      <c r="H177" s="10"/>
      <c r="I177" s="10"/>
      <c r="J177" s="10"/>
      <c r="K177" s="10"/>
      <c r="L177" s="10"/>
      <c r="M177" s="10"/>
      <c r="N177" s="10"/>
      <c r="O177" s="10"/>
      <c r="P177" s="10"/>
      <c r="Q177" s="10"/>
      <c r="R177" s="1019"/>
      <c r="S177" s="10"/>
      <c r="T177" s="10"/>
      <c r="U177" s="10"/>
      <c r="V177" s="10"/>
      <c r="W177" s="10"/>
      <c r="X177" s="10"/>
      <c r="Y177" s="10"/>
      <c r="Z177" s="10"/>
      <c r="AA177" s="163"/>
      <c r="AB177" s="10"/>
      <c r="AC177" s="10"/>
      <c r="AD177" s="10"/>
      <c r="AE177" s="167"/>
      <c r="AF177" s="10"/>
      <c r="AG177" s="10"/>
      <c r="AH177" s="10"/>
      <c r="AI177" s="167"/>
      <c r="AJ177" s="10"/>
      <c r="AK177" s="10"/>
      <c r="AL177" s="482"/>
      <c r="AM177" s="167"/>
      <c r="AN177" s="428"/>
      <c r="AO177" s="428"/>
      <c r="AP177" s="482"/>
      <c r="AQ177" s="1350"/>
    </row>
    <row r="178" spans="1:43" s="1038" customFormat="1" ht="9.75" hidden="1" customHeight="1" outlineLevel="1">
      <c r="A178" s="1037" t="s">
        <v>15</v>
      </c>
      <c r="B178" s="10"/>
      <c r="C178" s="10">
        <v>-0.08</v>
      </c>
      <c r="D178" s="10">
        <v>-7.0000000000000007E-2</v>
      </c>
      <c r="E178" s="10">
        <v>-0.04</v>
      </c>
      <c r="F178" s="10"/>
      <c r="G178" s="10"/>
      <c r="H178" s="10"/>
      <c r="I178" s="10"/>
      <c r="J178" s="10"/>
      <c r="K178" s="10"/>
      <c r="L178" s="10"/>
      <c r="M178" s="10"/>
      <c r="N178" s="10"/>
      <c r="O178" s="10"/>
      <c r="P178" s="10"/>
      <c r="Q178" s="10"/>
      <c r="R178" s="1019"/>
      <c r="S178" s="10"/>
      <c r="T178" s="10"/>
      <c r="U178" s="10"/>
      <c r="V178" s="10"/>
      <c r="W178" s="10"/>
      <c r="X178" s="10"/>
      <c r="Y178" s="10"/>
      <c r="Z178" s="10"/>
      <c r="AA178" s="163"/>
      <c r="AB178" s="10"/>
      <c r="AC178" s="10"/>
      <c r="AD178" s="10"/>
      <c r="AE178" s="167"/>
      <c r="AF178" s="10"/>
      <c r="AG178" s="10"/>
      <c r="AH178" s="10"/>
      <c r="AI178" s="167"/>
      <c r="AJ178" s="10"/>
      <c r="AK178" s="10"/>
      <c r="AL178" s="482"/>
      <c r="AM178" s="167"/>
      <c r="AN178" s="428"/>
      <c r="AO178" s="428"/>
      <c r="AP178" s="482"/>
      <c r="AQ178" s="1350"/>
    </row>
    <row r="179" spans="1:43" s="1038" customFormat="1" ht="12.75" customHeight="1" collapsed="1">
      <c r="A179" s="1025" t="s">
        <v>298</v>
      </c>
      <c r="B179" s="4">
        <v>124</v>
      </c>
      <c r="C179" s="4">
        <v>154</v>
      </c>
      <c r="D179" s="4">
        <v>159</v>
      </c>
      <c r="E179" s="4">
        <v>159</v>
      </c>
      <c r="F179" s="10"/>
      <c r="G179" s="10"/>
      <c r="H179" s="10"/>
      <c r="I179" s="10"/>
      <c r="J179" s="10"/>
      <c r="K179" s="10"/>
      <c r="L179" s="10"/>
      <c r="M179" s="10"/>
      <c r="N179" s="10"/>
      <c r="O179" s="10"/>
      <c r="P179" s="10"/>
      <c r="Q179" s="10"/>
      <c r="R179" s="1019"/>
      <c r="S179" s="10"/>
      <c r="T179" s="10"/>
      <c r="U179" s="10"/>
      <c r="V179" s="10"/>
      <c r="W179" s="10"/>
      <c r="X179" s="10"/>
      <c r="Y179" s="10"/>
      <c r="Z179" s="10"/>
      <c r="AA179" s="163"/>
      <c r="AB179" s="10"/>
      <c r="AC179" s="10"/>
      <c r="AD179" s="10"/>
      <c r="AE179" s="167"/>
      <c r="AF179" s="10"/>
      <c r="AG179" s="10"/>
      <c r="AH179" s="10"/>
      <c r="AI179" s="167"/>
      <c r="AJ179" s="10"/>
      <c r="AK179" s="10"/>
      <c r="AL179" s="482"/>
      <c r="AM179" s="167"/>
      <c r="AN179" s="428"/>
      <c r="AO179" s="428"/>
      <c r="AP179" s="482"/>
      <c r="AQ179" s="1350"/>
    </row>
    <row r="180" spans="1:43" s="1038" customFormat="1" ht="9.75" hidden="1" customHeight="1" outlineLevel="1">
      <c r="A180" s="1037" t="s">
        <v>14</v>
      </c>
      <c r="B180" s="10"/>
      <c r="C180" s="10">
        <f>C179/B179-1</f>
        <v>0.24193548387096775</v>
      </c>
      <c r="D180" s="10">
        <f>D179/C179-1</f>
        <v>3.2467532467532534E-2</v>
      </c>
      <c r="E180" s="10">
        <f>E179/D179-1</f>
        <v>0</v>
      </c>
      <c r="F180" s="10"/>
      <c r="G180" s="10"/>
      <c r="H180" s="10"/>
      <c r="I180" s="10"/>
      <c r="J180" s="10"/>
      <c r="K180" s="10"/>
      <c r="L180" s="10"/>
      <c r="M180" s="10"/>
      <c r="N180" s="10"/>
      <c r="O180" s="10"/>
      <c r="P180" s="10"/>
      <c r="Q180" s="10"/>
      <c r="R180" s="1019"/>
      <c r="S180" s="10"/>
      <c r="T180" s="10"/>
      <c r="U180" s="10"/>
      <c r="V180" s="10"/>
      <c r="W180" s="10"/>
      <c r="X180" s="10"/>
      <c r="Y180" s="10"/>
      <c r="Z180" s="10"/>
      <c r="AA180" s="163"/>
      <c r="AB180" s="10"/>
      <c r="AC180" s="10"/>
      <c r="AD180" s="10"/>
      <c r="AE180" s="167"/>
      <c r="AF180" s="10"/>
      <c r="AG180" s="10"/>
      <c r="AH180" s="10"/>
      <c r="AI180" s="167"/>
      <c r="AJ180" s="10"/>
      <c r="AK180" s="10"/>
      <c r="AL180" s="482"/>
      <c r="AM180" s="167"/>
      <c r="AN180" s="428"/>
      <c r="AO180" s="428"/>
      <c r="AP180" s="482"/>
      <c r="AQ180" s="1350"/>
    </row>
    <row r="181" spans="1:43" s="1038" customFormat="1" ht="9.75" hidden="1" customHeight="1" outlineLevel="1">
      <c r="A181" s="1037" t="s">
        <v>15</v>
      </c>
      <c r="B181" s="10"/>
      <c r="C181" s="10">
        <v>0.19</v>
      </c>
      <c r="D181" s="10">
        <v>-0.17</v>
      </c>
      <c r="E181" s="10">
        <v>-0.01</v>
      </c>
      <c r="F181" s="10"/>
      <c r="G181" s="10"/>
      <c r="H181" s="10"/>
      <c r="I181" s="10"/>
      <c r="J181" s="10"/>
      <c r="K181" s="10"/>
      <c r="L181" s="10"/>
      <c r="M181" s="10"/>
      <c r="N181" s="10"/>
      <c r="O181" s="10"/>
      <c r="P181" s="10"/>
      <c r="Q181" s="10"/>
      <c r="R181" s="1019"/>
      <c r="S181" s="10"/>
      <c r="T181" s="10"/>
      <c r="U181" s="10"/>
      <c r="V181" s="10"/>
      <c r="W181" s="10"/>
      <c r="X181" s="10"/>
      <c r="Y181" s="10"/>
      <c r="Z181" s="10"/>
      <c r="AA181" s="163"/>
      <c r="AB181" s="10"/>
      <c r="AC181" s="10"/>
      <c r="AD181" s="10"/>
      <c r="AE181" s="167"/>
      <c r="AF181" s="10"/>
      <c r="AG181" s="10"/>
      <c r="AH181" s="10"/>
      <c r="AI181" s="167"/>
      <c r="AJ181" s="10"/>
      <c r="AK181" s="10"/>
      <c r="AL181" s="482"/>
      <c r="AM181" s="167"/>
      <c r="AN181" s="428"/>
      <c r="AO181" s="428"/>
      <c r="AP181" s="482"/>
      <c r="AQ181" s="1350"/>
    </row>
    <row r="182" spans="1:43" s="1038" customFormat="1" ht="14.25" collapsed="1">
      <c r="A182" s="1025" t="s">
        <v>1797</v>
      </c>
      <c r="B182" s="10"/>
      <c r="C182" s="10"/>
      <c r="D182" s="10"/>
      <c r="E182" s="10"/>
      <c r="F182" s="10"/>
      <c r="G182" s="10"/>
      <c r="H182" s="10"/>
      <c r="I182" s="10"/>
      <c r="J182" s="10"/>
      <c r="K182" s="1290">
        <f>K185+K187</f>
        <v>80</v>
      </c>
      <c r="L182" s="1290">
        <f t="shared" ref="L182:Q182" si="288">L185+L187</f>
        <v>296</v>
      </c>
      <c r="M182" s="1290">
        <f t="shared" si="288"/>
        <v>540.79999999999995</v>
      </c>
      <c r="N182" s="1290">
        <f t="shared" si="288"/>
        <v>742.08</v>
      </c>
      <c r="O182" s="1290">
        <f t="shared" si="288"/>
        <v>908.49599999999998</v>
      </c>
      <c r="P182" s="1290">
        <f t="shared" si="288"/>
        <v>1052.8704</v>
      </c>
      <c r="Q182" s="1290">
        <f t="shared" si="288"/>
        <v>1167.87744</v>
      </c>
      <c r="R182" s="1019"/>
      <c r="S182" s="10"/>
      <c r="T182" s="10"/>
      <c r="U182" s="10"/>
      <c r="V182" s="10"/>
      <c r="W182" s="10"/>
      <c r="X182" s="10"/>
      <c r="Y182" s="10"/>
      <c r="Z182" s="10"/>
      <c r="AA182" s="163"/>
      <c r="AB182" s="10"/>
      <c r="AC182" s="10"/>
      <c r="AD182" s="10"/>
      <c r="AE182" s="167"/>
      <c r="AF182" s="10"/>
      <c r="AG182" s="10"/>
      <c r="AH182" s="10"/>
      <c r="AI182" s="167"/>
      <c r="AJ182" s="10"/>
      <c r="AK182" s="10"/>
      <c r="AL182" s="482"/>
      <c r="AM182" s="167"/>
      <c r="AN182" s="428"/>
      <c r="AO182" s="428"/>
      <c r="AP182" s="482"/>
      <c r="AQ182" s="1350"/>
    </row>
    <row r="183" spans="1:43" s="1038" customFormat="1" ht="9.75" hidden="1" customHeight="1" outlineLevel="1">
      <c r="A183" s="1037" t="s">
        <v>14</v>
      </c>
      <c r="B183" s="10"/>
      <c r="C183" s="10"/>
      <c r="D183" s="10"/>
      <c r="E183" s="10"/>
      <c r="F183" s="10"/>
      <c r="G183" s="10"/>
      <c r="H183" s="10"/>
      <c r="I183" s="10"/>
      <c r="J183" s="10"/>
      <c r="K183" s="10"/>
      <c r="L183" s="10">
        <f t="shared" ref="L183:M183" si="289">L182/K182-1</f>
        <v>2.7</v>
      </c>
      <c r="M183" s="10">
        <f t="shared" si="289"/>
        <v>0.8270270270270268</v>
      </c>
      <c r="N183" s="10">
        <f t="shared" ref="N183" si="290">N182/M182-1</f>
        <v>0.37218934911242618</v>
      </c>
      <c r="O183" s="10">
        <f t="shared" ref="O183" si="291">O182/N182-1</f>
        <v>0.22425614489003864</v>
      </c>
      <c r="P183" s="10">
        <f t="shared" ref="P183" si="292">P182/O182-1</f>
        <v>0.15891583452211133</v>
      </c>
      <c r="Q183" s="10">
        <f t="shared" ref="Q183" si="293">Q182/P182-1</f>
        <v>0.10923190546528794</v>
      </c>
      <c r="R183" s="1019"/>
      <c r="S183" s="10"/>
      <c r="T183" s="10"/>
      <c r="U183" s="10"/>
      <c r="V183" s="10"/>
      <c r="W183" s="10"/>
      <c r="X183" s="10"/>
      <c r="Y183" s="10"/>
      <c r="Z183" s="10"/>
      <c r="AA183" s="163"/>
      <c r="AB183" s="10"/>
      <c r="AC183" s="10"/>
      <c r="AD183" s="10"/>
      <c r="AE183" s="167"/>
      <c r="AF183" s="10"/>
      <c r="AG183" s="10"/>
      <c r="AH183" s="10"/>
      <c r="AI183" s="167"/>
      <c r="AJ183" s="10"/>
      <c r="AK183" s="10"/>
      <c r="AL183" s="482"/>
      <c r="AM183" s="167"/>
      <c r="AN183" s="428"/>
      <c r="AO183" s="428"/>
      <c r="AP183" s="482"/>
      <c r="AQ183" s="1350"/>
    </row>
    <row r="184" spans="1:43" s="1038" customFormat="1" ht="9.75" hidden="1" customHeight="1" outlineLevel="1">
      <c r="A184" s="1037" t="s">
        <v>15</v>
      </c>
      <c r="B184" s="10"/>
      <c r="C184" s="10"/>
      <c r="D184" s="10"/>
      <c r="E184" s="10"/>
      <c r="F184" s="10"/>
      <c r="G184" s="10"/>
      <c r="H184" s="10"/>
      <c r="I184" s="10"/>
      <c r="J184" s="10"/>
      <c r="K184" s="10"/>
      <c r="L184" s="10">
        <f t="shared" ref="L184" si="294">L183-((L188-L189)*L187/L182)</f>
        <v>2.7</v>
      </c>
      <c r="M184" s="10">
        <f t="shared" ref="M184:Q184" si="295">M183-((M188-M189)*M187/M182)</f>
        <v>0.8270270270270268</v>
      </c>
      <c r="N184" s="10">
        <f t="shared" si="295"/>
        <v>0.37218934911242618</v>
      </c>
      <c r="O184" s="10">
        <f t="shared" si="295"/>
        <v>0.22425614489003862</v>
      </c>
      <c r="P184" s="10">
        <f t="shared" si="295"/>
        <v>0.15891583452211133</v>
      </c>
      <c r="Q184" s="10">
        <f t="shared" si="295"/>
        <v>0.10923190546528795</v>
      </c>
      <c r="R184" s="1019"/>
      <c r="S184" s="10"/>
      <c r="T184" s="10"/>
      <c r="U184" s="10"/>
      <c r="V184" s="10"/>
      <c r="W184" s="10"/>
      <c r="X184" s="10"/>
      <c r="Y184" s="10"/>
      <c r="Z184" s="10"/>
      <c r="AA184" s="163"/>
      <c r="AB184" s="10"/>
      <c r="AC184" s="10"/>
      <c r="AD184" s="10"/>
      <c r="AE184" s="167"/>
      <c r="AF184" s="10"/>
      <c r="AG184" s="10"/>
      <c r="AH184" s="10"/>
      <c r="AI184" s="167"/>
      <c r="AJ184" s="10"/>
      <c r="AK184" s="10"/>
      <c r="AL184" s="482"/>
      <c r="AM184" s="167"/>
      <c r="AN184" s="428"/>
      <c r="AO184" s="428"/>
      <c r="AP184" s="482"/>
      <c r="AQ184" s="1350"/>
    </row>
    <row r="185" spans="1:43" s="1038" customFormat="1" ht="14.25" hidden="1" outlineLevel="1">
      <c r="A185" s="2" t="s">
        <v>72</v>
      </c>
      <c r="B185" s="10"/>
      <c r="C185" s="10"/>
      <c r="D185" s="10"/>
      <c r="E185" s="10"/>
      <c r="F185" s="10"/>
      <c r="G185" s="10"/>
      <c r="H185" s="10"/>
      <c r="I185" s="10"/>
      <c r="J185" s="10"/>
      <c r="K185" s="499">
        <v>80</v>
      </c>
      <c r="L185" s="1290">
        <f>K185*(1+L186)</f>
        <v>256</v>
      </c>
      <c r="M185" s="1290">
        <f>L185*(1+M186)</f>
        <v>460.8</v>
      </c>
      <c r="N185" s="1290">
        <f t="shared" ref="N185:Q185" si="296">M185*(1+N186)</f>
        <v>622.08000000000004</v>
      </c>
      <c r="O185" s="1290">
        <f t="shared" si="296"/>
        <v>746.49599999999998</v>
      </c>
      <c r="P185" s="1290">
        <f t="shared" si="296"/>
        <v>858.47039999999993</v>
      </c>
      <c r="Q185" s="1290">
        <f t="shared" si="296"/>
        <v>944.31744000000003</v>
      </c>
      <c r="R185" s="1019"/>
      <c r="S185" s="10"/>
      <c r="T185" s="10"/>
      <c r="U185" s="10"/>
      <c r="V185" s="10"/>
      <c r="W185" s="10"/>
      <c r="X185" s="10"/>
      <c r="Y185" s="10"/>
      <c r="Z185" s="10"/>
      <c r="AA185" s="163"/>
      <c r="AB185" s="10"/>
      <c r="AC185" s="10"/>
      <c r="AD185" s="10"/>
      <c r="AE185" s="167"/>
      <c r="AF185" s="10"/>
      <c r="AG185" s="10"/>
      <c r="AH185" s="10"/>
      <c r="AI185" s="167"/>
      <c r="AJ185" s="10"/>
      <c r="AK185" s="10"/>
      <c r="AL185" s="482"/>
      <c r="AM185" s="167"/>
      <c r="AN185" s="428"/>
      <c r="AO185" s="428"/>
      <c r="AP185" s="482"/>
      <c r="AQ185" s="1350"/>
    </row>
    <row r="186" spans="1:43" s="1038" customFormat="1" ht="9.75" hidden="1" customHeight="1" outlineLevel="1">
      <c r="A186" s="2" t="s">
        <v>14</v>
      </c>
      <c r="B186" s="10"/>
      <c r="C186" s="10"/>
      <c r="D186" s="10"/>
      <c r="E186" s="10"/>
      <c r="F186" s="10"/>
      <c r="G186" s="10"/>
      <c r="H186" s="10"/>
      <c r="I186" s="10"/>
      <c r="J186" s="10"/>
      <c r="K186" s="10"/>
      <c r="L186" s="50">
        <v>2.2000000000000002</v>
      </c>
      <c r="M186" s="50">
        <v>0.8</v>
      </c>
      <c r="N186" s="50">
        <v>0.35</v>
      </c>
      <c r="O186" s="50">
        <v>0.2</v>
      </c>
      <c r="P186" s="50">
        <v>0.15</v>
      </c>
      <c r="Q186" s="50">
        <v>0.1</v>
      </c>
      <c r="R186" s="1019"/>
      <c r="S186" s="10"/>
      <c r="T186" s="10"/>
      <c r="U186" s="10"/>
      <c r="V186" s="10"/>
      <c r="W186" s="10"/>
      <c r="X186" s="10"/>
      <c r="Y186" s="10"/>
      <c r="Z186" s="10"/>
      <c r="AA186" s="163"/>
      <c r="AB186" s="10"/>
      <c r="AC186" s="10"/>
      <c r="AD186" s="10"/>
      <c r="AE186" s="167"/>
      <c r="AF186" s="10"/>
      <c r="AG186" s="10"/>
      <c r="AH186" s="10"/>
      <c r="AI186" s="167"/>
      <c r="AJ186" s="10"/>
      <c r="AK186" s="10"/>
      <c r="AL186" s="482"/>
      <c r="AM186" s="167"/>
      <c r="AN186" s="428"/>
      <c r="AO186" s="428"/>
      <c r="AP186" s="482"/>
      <c r="AQ186" s="1350"/>
    </row>
    <row r="187" spans="1:43" s="1038" customFormat="1" ht="14.25" hidden="1" outlineLevel="1">
      <c r="A187" s="2" t="s">
        <v>73</v>
      </c>
      <c r="B187" s="10"/>
      <c r="C187" s="10"/>
      <c r="D187" s="10"/>
      <c r="E187" s="10"/>
      <c r="F187" s="10"/>
      <c r="G187" s="10"/>
      <c r="H187" s="10"/>
      <c r="I187" s="10"/>
      <c r="J187" s="10"/>
      <c r="K187" s="10"/>
      <c r="L187" s="499">
        <v>40</v>
      </c>
      <c r="M187" s="107">
        <f>L187*(1+M189)*(1+M$32)</f>
        <v>80</v>
      </c>
      <c r="N187" s="107">
        <f>M187*(1+N189)*(1+N$32)</f>
        <v>120</v>
      </c>
      <c r="O187" s="107">
        <f>N187*(1+O189)*(1+O$32)</f>
        <v>162</v>
      </c>
      <c r="P187" s="107">
        <f>O187*(1+P189)*(1+P$32)</f>
        <v>194.4</v>
      </c>
      <c r="Q187" s="107">
        <f>P187*(1+Q189)*(1+Q$32)</f>
        <v>223.56</v>
      </c>
      <c r="R187" s="1019"/>
      <c r="S187" s="10"/>
      <c r="T187" s="10"/>
      <c r="U187" s="10"/>
      <c r="V187" s="10"/>
      <c r="W187" s="10"/>
      <c r="X187" s="10"/>
      <c r="Y187" s="10"/>
      <c r="Z187" s="10"/>
      <c r="AA187" s="163"/>
      <c r="AB187" s="10"/>
      <c r="AC187" s="10"/>
      <c r="AD187" s="10"/>
      <c r="AE187" s="167"/>
      <c r="AF187" s="10"/>
      <c r="AG187" s="10"/>
      <c r="AH187" s="10"/>
      <c r="AI187" s="167"/>
      <c r="AJ187" s="10"/>
      <c r="AK187" s="10"/>
      <c r="AL187" s="482"/>
      <c r="AM187" s="167"/>
      <c r="AN187" s="428"/>
      <c r="AO187" s="428"/>
      <c r="AP187" s="482"/>
      <c r="AQ187" s="1350"/>
    </row>
    <row r="188" spans="1:43" s="1038" customFormat="1" ht="9.75" hidden="1" customHeight="1" outlineLevel="1">
      <c r="A188" s="2" t="s">
        <v>14</v>
      </c>
      <c r="B188" s="10"/>
      <c r="C188" s="10"/>
      <c r="D188" s="10"/>
      <c r="E188" s="10"/>
      <c r="F188" s="10"/>
      <c r="G188" s="10"/>
      <c r="H188" s="10"/>
      <c r="I188" s="10"/>
      <c r="J188" s="10"/>
      <c r="K188" s="10"/>
      <c r="L188" s="10"/>
      <c r="M188" s="10">
        <f>M187/L187-1</f>
        <v>1</v>
      </c>
      <c r="N188" s="10">
        <f t="shared" ref="N188:Q188" si="297">N187/M187-1</f>
        <v>0.5</v>
      </c>
      <c r="O188" s="10">
        <f t="shared" si="297"/>
        <v>0.35000000000000009</v>
      </c>
      <c r="P188" s="10">
        <f t="shared" si="297"/>
        <v>0.19999999999999996</v>
      </c>
      <c r="Q188" s="10">
        <f t="shared" si="297"/>
        <v>0.14999999999999991</v>
      </c>
      <c r="R188" s="1019"/>
      <c r="S188" s="10"/>
      <c r="T188" s="10"/>
      <c r="U188" s="10"/>
      <c r="V188" s="10"/>
      <c r="W188" s="10"/>
      <c r="X188" s="10"/>
      <c r="Y188" s="10"/>
      <c r="Z188" s="10"/>
      <c r="AA188" s="163"/>
      <c r="AB188" s="10"/>
      <c r="AC188" s="10"/>
      <c r="AD188" s="10"/>
      <c r="AE188" s="167"/>
      <c r="AF188" s="10"/>
      <c r="AG188" s="10"/>
      <c r="AH188" s="10"/>
      <c r="AI188" s="167"/>
      <c r="AJ188" s="10"/>
      <c r="AK188" s="10"/>
      <c r="AL188" s="482"/>
      <c r="AM188" s="167"/>
      <c r="AN188" s="428"/>
      <c r="AO188" s="428"/>
      <c r="AP188" s="482"/>
      <c r="AQ188" s="1350"/>
    </row>
    <row r="189" spans="1:43" s="1038" customFormat="1" ht="9.75" hidden="1" customHeight="1" outlineLevel="1">
      <c r="A189" s="2" t="s">
        <v>15</v>
      </c>
      <c r="B189" s="10"/>
      <c r="C189" s="10"/>
      <c r="D189" s="10"/>
      <c r="E189" s="10"/>
      <c r="F189" s="10"/>
      <c r="G189" s="10"/>
      <c r="H189" s="10"/>
      <c r="I189" s="10"/>
      <c r="J189" s="10"/>
      <c r="K189" s="10"/>
      <c r="L189" s="10"/>
      <c r="M189" s="50">
        <v>1</v>
      </c>
      <c r="N189" s="50">
        <v>0.5</v>
      </c>
      <c r="O189" s="50">
        <v>0.35</v>
      </c>
      <c r="P189" s="50">
        <v>0.2</v>
      </c>
      <c r="Q189" s="50">
        <v>0.15</v>
      </c>
      <c r="R189" s="50"/>
      <c r="S189" s="10"/>
      <c r="T189" s="10"/>
      <c r="U189" s="10"/>
      <c r="V189" s="10"/>
      <c r="W189" s="10"/>
      <c r="X189" s="10"/>
      <c r="Y189" s="10"/>
      <c r="Z189" s="10"/>
      <c r="AA189" s="163"/>
      <c r="AB189" s="10"/>
      <c r="AC189" s="10"/>
      <c r="AD189" s="10"/>
      <c r="AE189" s="167"/>
      <c r="AF189" s="10"/>
      <c r="AG189" s="10"/>
      <c r="AH189" s="10"/>
      <c r="AI189" s="167"/>
      <c r="AJ189" s="10"/>
      <c r="AK189" s="10"/>
      <c r="AL189" s="482"/>
      <c r="AM189" s="167"/>
      <c r="AN189" s="428"/>
      <c r="AO189" s="428"/>
      <c r="AP189" s="482"/>
      <c r="AQ189" s="1350"/>
    </row>
    <row r="190" spans="1:43" ht="12.75" customHeight="1" collapsed="1">
      <c r="A190" s="1025" t="s">
        <v>29</v>
      </c>
      <c r="B190" s="4">
        <v>190</v>
      </c>
      <c r="C190" s="4">
        <v>46</v>
      </c>
      <c r="D190" s="4">
        <v>62</v>
      </c>
      <c r="E190" s="4">
        <v>78</v>
      </c>
      <c r="F190" s="4">
        <v>243</v>
      </c>
      <c r="G190" s="4">
        <v>141</v>
      </c>
      <c r="H190" s="4">
        <v>124</v>
      </c>
      <c r="I190" s="107">
        <v>102</v>
      </c>
      <c r="J190" s="107">
        <f t="shared" ref="J190:Q190" si="298">I190+I190*J192</f>
        <v>96.9</v>
      </c>
      <c r="K190" s="107">
        <f t="shared" si="298"/>
        <v>92.055000000000007</v>
      </c>
      <c r="L190" s="107">
        <f t="shared" si="298"/>
        <v>87.452250000000006</v>
      </c>
      <c r="M190" s="107">
        <f t="shared" si="298"/>
        <v>83.079637500000004</v>
      </c>
      <c r="N190" s="107">
        <f t="shared" si="298"/>
        <v>78.925655625000005</v>
      </c>
      <c r="O190" s="107">
        <f t="shared" si="298"/>
        <v>74.979372843749999</v>
      </c>
      <c r="P190" s="107">
        <f t="shared" si="298"/>
        <v>71.230404201562493</v>
      </c>
      <c r="Q190" s="107">
        <f t="shared" si="298"/>
        <v>67.668883991484364</v>
      </c>
      <c r="R190" s="402">
        <f>(N190/J190)^(1/($N$1-$J$1))-1</f>
        <v>-5.0000000000000044E-2</v>
      </c>
      <c r="S190" s="1026"/>
      <c r="T190" s="1026"/>
      <c r="U190" s="1026"/>
      <c r="W190" s="4">
        <f>17+45</f>
        <v>62</v>
      </c>
      <c r="X190" s="4">
        <f>15+44</f>
        <v>59</v>
      </c>
      <c r="Y190" s="4">
        <f>18+45</f>
        <v>63</v>
      </c>
      <c r="Z190" s="4">
        <f>16+43</f>
        <v>59</v>
      </c>
      <c r="AA190" s="157">
        <v>35</v>
      </c>
      <c r="AB190" s="4">
        <v>36</v>
      </c>
      <c r="AC190" s="4">
        <v>39</v>
      </c>
      <c r="AD190" s="107">
        <f>G190-AC190-AB190-AA190</f>
        <v>31</v>
      </c>
      <c r="AE190" s="398">
        <f>33</f>
        <v>33</v>
      </c>
      <c r="AF190" s="4">
        <v>31</v>
      </c>
      <c r="AG190" s="4">
        <v>30</v>
      </c>
      <c r="AH190" s="107">
        <f>H190-AE190-AF190-AG190</f>
        <v>30</v>
      </c>
      <c r="AI190" s="398">
        <v>24</v>
      </c>
      <c r="AJ190" s="4">
        <v>27</v>
      </c>
      <c r="AK190" s="107">
        <v>26</v>
      </c>
      <c r="AL190" s="481">
        <f>I190-AI190-AJ190-AK190</f>
        <v>25</v>
      </c>
      <c r="AM190" s="398">
        <v>20</v>
      </c>
      <c r="AN190" s="396">
        <f t="shared" ref="AN190:AO190" si="299">AJ190+AJ190*AN192</f>
        <v>25.65</v>
      </c>
      <c r="AO190" s="396">
        <f t="shared" si="299"/>
        <v>24.7</v>
      </c>
      <c r="AP190" s="481">
        <f>J190-AM190-AN190-AO190</f>
        <v>26.550000000000008</v>
      </c>
      <c r="AQ190" s="1350"/>
    </row>
    <row r="191" spans="1:43" s="1038" customFormat="1" ht="9.75" hidden="1" customHeight="1" outlineLevel="1">
      <c r="A191" s="1037" t="s">
        <v>14</v>
      </c>
      <c r="B191" s="10"/>
      <c r="C191" s="10"/>
      <c r="D191" s="10">
        <f t="shared" ref="D191:Q191" si="300">D190/C190-1</f>
        <v>0.34782608695652173</v>
      </c>
      <c r="E191" s="10">
        <f t="shared" si="300"/>
        <v>0.25806451612903225</v>
      </c>
      <c r="F191" s="10">
        <f t="shared" si="300"/>
        <v>2.1153846153846154</v>
      </c>
      <c r="G191" s="10">
        <f t="shared" si="300"/>
        <v>-0.41975308641975306</v>
      </c>
      <c r="H191" s="10">
        <f t="shared" si="300"/>
        <v>-0.12056737588652477</v>
      </c>
      <c r="I191" s="10">
        <f t="shared" si="300"/>
        <v>-0.17741935483870963</v>
      </c>
      <c r="J191" s="10">
        <f t="shared" si="300"/>
        <v>-4.9999999999999933E-2</v>
      </c>
      <c r="K191" s="10">
        <f t="shared" si="300"/>
        <v>-4.9999999999999933E-2</v>
      </c>
      <c r="L191" s="10">
        <f t="shared" si="300"/>
        <v>-5.0000000000000044E-2</v>
      </c>
      <c r="M191" s="10">
        <f t="shared" si="300"/>
        <v>-5.0000000000000044E-2</v>
      </c>
      <c r="N191" s="10">
        <f t="shared" si="300"/>
        <v>-5.0000000000000044E-2</v>
      </c>
      <c r="O191" s="10">
        <f t="shared" si="300"/>
        <v>-5.0000000000000044E-2</v>
      </c>
      <c r="P191" s="10">
        <f t="shared" si="300"/>
        <v>-5.0000000000000044E-2</v>
      </c>
      <c r="Q191" s="10">
        <f t="shared" si="300"/>
        <v>-5.0000000000000044E-2</v>
      </c>
      <c r="R191" s="1019"/>
      <c r="S191" s="10"/>
      <c r="T191" s="10"/>
      <c r="U191" s="10"/>
      <c r="V191" s="10"/>
      <c r="W191" s="10"/>
      <c r="X191" s="10"/>
      <c r="Y191" s="10"/>
      <c r="Z191" s="10"/>
      <c r="AA191" s="163">
        <f t="shared" ref="AA191:AH191" si="301">AA190/W190-1</f>
        <v>-0.43548387096774188</v>
      </c>
      <c r="AB191" s="10">
        <f t="shared" si="301"/>
        <v>-0.38983050847457623</v>
      </c>
      <c r="AC191" s="10">
        <f t="shared" si="301"/>
        <v>-0.38095238095238093</v>
      </c>
      <c r="AD191" s="10">
        <f t="shared" si="301"/>
        <v>-0.47457627118644063</v>
      </c>
      <c r="AE191" s="163">
        <f t="shared" si="301"/>
        <v>-5.7142857142857162E-2</v>
      </c>
      <c r="AF191" s="10">
        <f t="shared" si="301"/>
        <v>-0.13888888888888884</v>
      </c>
      <c r="AG191" s="10">
        <f t="shared" si="301"/>
        <v>-0.23076923076923073</v>
      </c>
      <c r="AH191" s="10">
        <f t="shared" si="301"/>
        <v>-3.2258064516129004E-2</v>
      </c>
      <c r="AI191" s="163">
        <f>AI190/AE190-1</f>
        <v>-0.27272727272727271</v>
      </c>
      <c r="AJ191" s="10">
        <f>AJ190/AF190-1</f>
        <v>-0.12903225806451613</v>
      </c>
      <c r="AK191" s="10">
        <f>AK190/AG190-1</f>
        <v>-0.1333333333333333</v>
      </c>
      <c r="AL191" s="482">
        <f>AL190/AH190-1</f>
        <v>-0.16666666666666663</v>
      </c>
      <c r="AM191" s="163">
        <f t="shared" ref="AM191:AP191" si="302">AM190/AI190-1</f>
        <v>-0.16666666666666663</v>
      </c>
      <c r="AN191" s="428">
        <f t="shared" si="302"/>
        <v>-5.0000000000000044E-2</v>
      </c>
      <c r="AO191" s="428">
        <f t="shared" si="302"/>
        <v>-5.0000000000000044E-2</v>
      </c>
      <c r="AP191" s="482">
        <f t="shared" si="302"/>
        <v>6.2000000000000277E-2</v>
      </c>
      <c r="AQ191" s="1350"/>
    </row>
    <row r="192" spans="1:43" s="1038" customFormat="1" ht="9.75" hidden="1" customHeight="1" outlineLevel="1">
      <c r="A192" s="1037" t="s">
        <v>15</v>
      </c>
      <c r="B192" s="10"/>
      <c r="C192" s="10"/>
      <c r="D192" s="10">
        <v>-0.17</v>
      </c>
      <c r="E192" s="10">
        <v>0.25</v>
      </c>
      <c r="F192" s="10">
        <v>-0.15</v>
      </c>
      <c r="G192" s="10">
        <v>-0.35</v>
      </c>
      <c r="H192" s="10">
        <v>-0.12</v>
      </c>
      <c r="I192" s="10">
        <v>-0.18</v>
      </c>
      <c r="J192" s="50">
        <v>-0.05</v>
      </c>
      <c r="K192" s="50">
        <v>-0.05</v>
      </c>
      <c r="L192" s="50">
        <v>-0.05</v>
      </c>
      <c r="M192" s="50">
        <v>-0.05</v>
      </c>
      <c r="N192" s="50">
        <v>-0.05</v>
      </c>
      <c r="O192" s="50">
        <v>-0.05</v>
      </c>
      <c r="P192" s="50">
        <v>-0.05</v>
      </c>
      <c r="Q192" s="50">
        <v>-0.05</v>
      </c>
      <c r="R192" s="1019"/>
      <c r="S192" s="10"/>
      <c r="T192" s="10"/>
      <c r="U192" s="10"/>
      <c r="V192" s="10"/>
      <c r="W192" s="10">
        <v>-7.0000000000000007E-2</v>
      </c>
      <c r="X192" s="10">
        <v>-0.1</v>
      </c>
      <c r="Y192" s="10">
        <v>-0.16</v>
      </c>
      <c r="Z192" s="10">
        <v>-0.24</v>
      </c>
      <c r="AA192" s="163">
        <v>-0.37</v>
      </c>
      <c r="AB192" s="10">
        <v>-0.32</v>
      </c>
      <c r="AC192" s="10">
        <v>-0.27</v>
      </c>
      <c r="AD192" s="10">
        <v>-0.44</v>
      </c>
      <c r="AE192" s="163">
        <v>-0.03</v>
      </c>
      <c r="AF192" s="10">
        <v>-0.11</v>
      </c>
      <c r="AG192" s="10">
        <v>-0.28000000000000003</v>
      </c>
      <c r="AH192" s="10">
        <v>0</v>
      </c>
      <c r="AI192" s="163">
        <v>-0.05</v>
      </c>
      <c r="AJ192" s="10">
        <v>-0.13</v>
      </c>
      <c r="AK192" s="10">
        <v>-0.11</v>
      </c>
      <c r="AL192" s="482">
        <v>-0.22</v>
      </c>
      <c r="AM192" s="163">
        <v>-0.2</v>
      </c>
      <c r="AN192" s="539">
        <v>-0.05</v>
      </c>
      <c r="AO192" s="539">
        <v>-0.05</v>
      </c>
      <c r="AP192" s="497"/>
      <c r="AQ192" s="1350"/>
    </row>
    <row r="193" spans="1:43" ht="12.75" customHeight="1" collapsed="1">
      <c r="A193" s="1045" t="s">
        <v>34</v>
      </c>
      <c r="B193" s="146">
        <f>B154+B364+B170+B190+B176+B179</f>
        <v>2499</v>
      </c>
      <c r="C193" s="146">
        <f>C154+C364+C170+C190+C176+C179</f>
        <v>2922</v>
      </c>
      <c r="D193" s="146">
        <f>D154+D364+D170+D190+D176+D179</f>
        <v>3479</v>
      </c>
      <c r="E193" s="146">
        <f>E154+E364+E170+E190+E176+E179</f>
        <v>4048</v>
      </c>
      <c r="F193" s="146">
        <f>F154+F364+F170+F190</f>
        <v>4100</v>
      </c>
      <c r="G193" s="146">
        <f>G154+G364+G170+G190</f>
        <v>3939</v>
      </c>
      <c r="H193" s="146">
        <f>H154+H170+H190+H162</f>
        <v>3233</v>
      </c>
      <c r="I193" s="152">
        <f>I154+I170+I190+I162</f>
        <v>3287</v>
      </c>
      <c r="J193" s="152">
        <f>J154+J170+J190+J162+J173</f>
        <v>3479.939498714828</v>
      </c>
      <c r="K193" s="152">
        <f>K154+K170+K190+K162+K173+K182</f>
        <v>2856.1546113984282</v>
      </c>
      <c r="L193" s="152">
        <f t="shared" ref="L193:Q193" si="303">L154+L170+L190+L162+L173+L182</f>
        <v>2559.1020117655607</v>
      </c>
      <c r="M193" s="152">
        <f t="shared" si="303"/>
        <v>2548.967136018352</v>
      </c>
      <c r="N193" s="152">
        <f t="shared" si="303"/>
        <v>2980.0480884157173</v>
      </c>
      <c r="O193" s="152">
        <f t="shared" si="303"/>
        <v>3565.6895553317941</v>
      </c>
      <c r="P193" s="152">
        <f t="shared" si="303"/>
        <v>3842.1263552938062</v>
      </c>
      <c r="Q193" s="152">
        <f t="shared" si="303"/>
        <v>4043.9486305510072</v>
      </c>
      <c r="R193" s="402">
        <f>(N193/J193)^(1/($N$1-$J$1))-1</f>
        <v>-3.8026973501404049E-2</v>
      </c>
      <c r="S193" s="1026"/>
      <c r="T193" s="1026"/>
      <c r="U193" s="1026"/>
      <c r="W193" s="146">
        <f t="shared" ref="W193:AD193" si="304">W154+W364+W170+W190</f>
        <v>973</v>
      </c>
      <c r="X193" s="146">
        <f t="shared" si="304"/>
        <v>1003</v>
      </c>
      <c r="Y193" s="146">
        <f t="shared" si="304"/>
        <v>1070</v>
      </c>
      <c r="Z193" s="146">
        <f t="shared" si="304"/>
        <v>1054</v>
      </c>
      <c r="AA193" s="170">
        <f t="shared" si="304"/>
        <v>982</v>
      </c>
      <c r="AB193" s="146">
        <f t="shared" si="304"/>
        <v>1016</v>
      </c>
      <c r="AC193" s="146">
        <f t="shared" si="304"/>
        <v>958</v>
      </c>
      <c r="AD193" s="152">
        <f t="shared" si="304"/>
        <v>983</v>
      </c>
      <c r="AE193" s="170">
        <f t="shared" ref="AE193:AL193" si="305">AE154+AE170+AE190+AE162</f>
        <v>731</v>
      </c>
      <c r="AF193" s="146">
        <f t="shared" si="305"/>
        <v>842</v>
      </c>
      <c r="AG193" s="146">
        <f t="shared" si="305"/>
        <v>820</v>
      </c>
      <c r="AH193" s="152">
        <f t="shared" si="305"/>
        <v>840</v>
      </c>
      <c r="AI193" s="177">
        <f t="shared" si="305"/>
        <v>746</v>
      </c>
      <c r="AJ193" s="146">
        <f t="shared" si="305"/>
        <v>864</v>
      </c>
      <c r="AK193" s="152">
        <f t="shared" si="305"/>
        <v>827</v>
      </c>
      <c r="AL193" s="487">
        <f t="shared" si="305"/>
        <v>850</v>
      </c>
      <c r="AM193" s="177">
        <f>AM154+AM170+AM190+AM162+AM173</f>
        <v>841</v>
      </c>
      <c r="AN193" s="399">
        <f>AN154+AN170+AN190+AN162+AN173</f>
        <v>907.61656506465363</v>
      </c>
      <c r="AO193" s="399">
        <f>AO154+AO170+AO190+AO162+AO173</f>
        <v>859.18892064305419</v>
      </c>
      <c r="AP193" s="487">
        <f>AP154+AP170+AP190+AP162+AP173</f>
        <v>872.13401300711962</v>
      </c>
      <c r="AQ193" s="1350"/>
    </row>
    <row r="194" spans="1:43" s="1028" customFormat="1" ht="9.75" hidden="1" customHeight="1" outlineLevel="1">
      <c r="A194" s="1047" t="s">
        <v>14</v>
      </c>
      <c r="B194" s="147"/>
      <c r="C194" s="148">
        <f>C193/B193-1</f>
        <v>0.16926770708283323</v>
      </c>
      <c r="D194" s="148">
        <f>D193/C193-1</f>
        <v>0.19062286105407256</v>
      </c>
      <c r="E194" s="148">
        <f>E193/D193-1</f>
        <v>0.16355274504167872</v>
      </c>
      <c r="F194" s="148">
        <f>F193/E193-1</f>
        <v>1.2845849802371578E-2</v>
      </c>
      <c r="G194" s="148">
        <f t="shared" ref="G194:Q194" si="306">G193/F193-1</f>
        <v>-3.9268292682926864E-2</v>
      </c>
      <c r="H194" s="148">
        <f t="shared" si="306"/>
        <v>-0.1792333079461792</v>
      </c>
      <c r="I194" s="148">
        <f t="shared" si="306"/>
        <v>1.6702752861119663E-2</v>
      </c>
      <c r="J194" s="148">
        <f t="shared" si="306"/>
        <v>5.8697748316041354E-2</v>
      </c>
      <c r="K194" s="148">
        <f t="shared" si="306"/>
        <v>-0.17925164720443243</v>
      </c>
      <c r="L194" s="148">
        <f t="shared" si="306"/>
        <v>-0.1040043835328035</v>
      </c>
      <c r="M194" s="148">
        <f t="shared" si="306"/>
        <v>-3.9603250283158919E-3</v>
      </c>
      <c r="N194" s="148">
        <f t="shared" si="306"/>
        <v>0.16911985498202275</v>
      </c>
      <c r="O194" s="148">
        <f t="shared" si="306"/>
        <v>0.19652081092000806</v>
      </c>
      <c r="P194" s="148">
        <f t="shared" si="306"/>
        <v>7.7526883838963112E-2</v>
      </c>
      <c r="Q194" s="148">
        <f t="shared" si="306"/>
        <v>5.2528796971792469E-2</v>
      </c>
      <c r="R194" s="1018"/>
      <c r="S194" s="5"/>
      <c r="T194" s="5"/>
      <c r="U194" s="5"/>
      <c r="V194" s="5"/>
      <c r="W194" s="148">
        <v>1.4598540145985384E-2</v>
      </c>
      <c r="X194" s="148">
        <v>8.040201005025116E-3</v>
      </c>
      <c r="Y194" s="148">
        <v>2.4904214559386961E-2</v>
      </c>
      <c r="Z194" s="148">
        <v>3.8095238095237072E-3</v>
      </c>
      <c r="AA194" s="171">
        <f t="shared" ref="AA194:AH194" si="307">AA193/W193-1</f>
        <v>9.2497430626927724E-3</v>
      </c>
      <c r="AB194" s="148">
        <f t="shared" si="307"/>
        <v>1.2961116650049842E-2</v>
      </c>
      <c r="AC194" s="148">
        <f t="shared" si="307"/>
        <v>-0.10467289719626172</v>
      </c>
      <c r="AD194" s="148">
        <f t="shared" si="307"/>
        <v>-6.7362428842504762E-2</v>
      </c>
      <c r="AE194" s="171">
        <f t="shared" si="307"/>
        <v>-0.25560081466395113</v>
      </c>
      <c r="AF194" s="148">
        <f t="shared" si="307"/>
        <v>-0.17125984251968507</v>
      </c>
      <c r="AG194" s="148">
        <f t="shared" si="307"/>
        <v>-0.14405010438413357</v>
      </c>
      <c r="AH194" s="148">
        <f t="shared" si="307"/>
        <v>-0.14547304170905395</v>
      </c>
      <c r="AI194" s="171">
        <f>AI193/AE193-1</f>
        <v>2.0519835841313228E-2</v>
      </c>
      <c r="AJ194" s="148">
        <f>AJ193/AF193-1</f>
        <v>2.6128266033254244E-2</v>
      </c>
      <c r="AK194" s="148">
        <f>AK193/AG193-1</f>
        <v>8.5365853658536661E-3</v>
      </c>
      <c r="AL194" s="488">
        <f>AL193/AH193-1</f>
        <v>1.1904761904761862E-2</v>
      </c>
      <c r="AM194" s="171">
        <f t="shared" ref="AM194:AP194" si="308">AM193/AI193-1</f>
        <v>0.12734584450402142</v>
      </c>
      <c r="AN194" s="500">
        <f t="shared" si="308"/>
        <v>5.0482135491497271E-2</v>
      </c>
      <c r="AO194" s="500">
        <f t="shared" si="308"/>
        <v>3.8922515892447551E-2</v>
      </c>
      <c r="AP194" s="488">
        <f t="shared" si="308"/>
        <v>2.604001530249378E-2</v>
      </c>
      <c r="AQ194" s="1350"/>
    </row>
    <row r="195" spans="1:43" s="1028" customFormat="1" ht="9.75" hidden="1" customHeight="1" outlineLevel="1">
      <c r="A195" s="1047" t="s">
        <v>15</v>
      </c>
      <c r="B195" s="147"/>
      <c r="C195" s="147"/>
      <c r="D195" s="148">
        <v>0.23</v>
      </c>
      <c r="E195" s="148">
        <v>0.18</v>
      </c>
      <c r="F195" s="148">
        <v>0.13</v>
      </c>
      <c r="G195" s="148">
        <v>0.05</v>
      </c>
      <c r="H195" s="148">
        <v>0.02</v>
      </c>
      <c r="I195" s="148">
        <v>0.02</v>
      </c>
      <c r="J195" s="148"/>
      <c r="K195" s="148"/>
      <c r="L195" s="148"/>
      <c r="M195" s="148"/>
      <c r="N195" s="148"/>
      <c r="O195" s="148"/>
      <c r="P195" s="148"/>
      <c r="Q195" s="148"/>
      <c r="R195" s="1018"/>
      <c r="S195" s="5"/>
      <c r="T195" s="5"/>
      <c r="U195" s="5"/>
      <c r="V195" s="5"/>
      <c r="W195" s="148">
        <v>0.13</v>
      </c>
      <c r="X195" s="148">
        <v>0.11</v>
      </c>
      <c r="Y195" s="148">
        <v>0.13</v>
      </c>
      <c r="Z195" s="148">
        <v>0.16</v>
      </c>
      <c r="AA195" s="171">
        <v>0.1</v>
      </c>
      <c r="AB195" s="148">
        <v>0.11</v>
      </c>
      <c r="AC195" s="148">
        <v>-0.01</v>
      </c>
      <c r="AD195" s="148">
        <v>0</v>
      </c>
      <c r="AE195" s="171">
        <v>-0.03</v>
      </c>
      <c r="AF195" s="148">
        <v>0.02</v>
      </c>
      <c r="AG195" s="148">
        <v>0.05</v>
      </c>
      <c r="AH195" s="147">
        <v>6</v>
      </c>
      <c r="AI195" s="171">
        <v>0.04</v>
      </c>
      <c r="AJ195" s="148">
        <v>0.04</v>
      </c>
      <c r="AK195" s="148">
        <v>0</v>
      </c>
      <c r="AL195" s="488">
        <v>-0.01</v>
      </c>
      <c r="AM195" s="171">
        <v>7.0000000000000007E-2</v>
      </c>
      <c r="AN195" s="500"/>
      <c r="AO195" s="500"/>
      <c r="AP195" s="488"/>
      <c r="AQ195" s="1350"/>
    </row>
    <row r="196" spans="1:43" s="1028" customFormat="1" ht="9.75" hidden="1" customHeight="1" outlineLevel="1">
      <c r="A196" s="1047" t="s">
        <v>18</v>
      </c>
      <c r="B196" s="148">
        <f>B193/B$2</f>
        <v>4.9363938053097342E-2</v>
      </c>
      <c r="C196" s="148">
        <f>C193/C$2</f>
        <v>4.9892429054400167E-2</v>
      </c>
      <c r="D196" s="148">
        <f>D193/D$2</f>
        <v>6.138725671836677E-2</v>
      </c>
      <c r="E196" s="148">
        <f>E193/E$2</f>
        <v>7.0577979252026857E-2</v>
      </c>
      <c r="F196" s="148">
        <f>F193/F$2</f>
        <v>7.8574166347259486E-2</v>
      </c>
      <c r="G196" s="148">
        <f t="shared" ref="G196:Q196" si="309">G193/G$2</f>
        <v>7.9714251021977572E-2</v>
      </c>
      <c r="H196" s="148">
        <f t="shared" si="309"/>
        <v>6.6635063275485393E-2</v>
      </c>
      <c r="I196" s="148">
        <f t="shared" si="309"/>
        <v>6.6932741452686878E-2</v>
      </c>
      <c r="J196" s="148">
        <f t="shared" si="309"/>
        <v>6.6591695088977873E-2</v>
      </c>
      <c r="K196" s="148">
        <f t="shared" si="309"/>
        <v>5.3574962279341186E-2</v>
      </c>
      <c r="L196" s="148">
        <f t="shared" si="309"/>
        <v>4.6542878018231482E-2</v>
      </c>
      <c r="M196" s="148">
        <f t="shared" si="309"/>
        <v>4.4714769360160105E-2</v>
      </c>
      <c r="N196" s="148">
        <f t="shared" si="309"/>
        <v>5.1197786499594597E-2</v>
      </c>
      <c r="O196" s="148">
        <f t="shared" si="309"/>
        <v>6.1823859339971407E-2</v>
      </c>
      <c r="P196" s="148">
        <f t="shared" si="309"/>
        <v>6.5770737778784533E-2</v>
      </c>
      <c r="Q196" s="148">
        <f t="shared" si="309"/>
        <v>6.847601234115902E-2</v>
      </c>
      <c r="R196" s="1018"/>
      <c r="S196" s="5"/>
      <c r="T196" s="5"/>
      <c r="U196" s="5"/>
      <c r="V196" s="5"/>
      <c r="W196" s="148">
        <f t="shared" ref="W196:AB196" si="310">W193/W$2</f>
        <v>7.6212109344403534E-2</v>
      </c>
      <c r="X196" s="148">
        <f t="shared" si="310"/>
        <v>7.5147973327339482E-2</v>
      </c>
      <c r="Y196" s="148">
        <f t="shared" si="310"/>
        <v>8.2364714032791927E-2</v>
      </c>
      <c r="Z196" s="148">
        <f t="shared" si="310"/>
        <v>8.061185468451243E-2</v>
      </c>
      <c r="AA196" s="171">
        <f t="shared" si="310"/>
        <v>8.2279011311269371E-2</v>
      </c>
      <c r="AB196" s="148">
        <f t="shared" si="310"/>
        <v>8.0037813140066166E-2</v>
      </c>
      <c r="AC196" s="148">
        <f t="shared" ref="AC196:AP196" si="311">AC193/AC$2</f>
        <v>7.8108438646555242E-2</v>
      </c>
      <c r="AD196" s="148">
        <f t="shared" si="311"/>
        <v>7.8514376996805108E-2</v>
      </c>
      <c r="AE196" s="171">
        <f t="shared" si="311"/>
        <v>6.3017241379310349E-2</v>
      </c>
      <c r="AF196" s="148">
        <f t="shared" si="311"/>
        <v>6.7522052927024859E-2</v>
      </c>
      <c r="AG196" s="148">
        <f t="shared" si="311"/>
        <v>6.7623288800923637E-2</v>
      </c>
      <c r="AH196" s="148">
        <f t="shared" si="311"/>
        <v>6.8170751501379648E-2</v>
      </c>
      <c r="AI196" s="171">
        <f t="shared" si="311"/>
        <v>6.4650316318571793E-2</v>
      </c>
      <c r="AJ196" s="148">
        <f t="shared" si="311"/>
        <v>7.0576703153079567E-2</v>
      </c>
      <c r="AK196" s="148">
        <f t="shared" si="311"/>
        <v>6.6623431348385859E-2</v>
      </c>
      <c r="AL196" s="488">
        <f t="shared" si="311"/>
        <v>6.5815199850783171E-2</v>
      </c>
      <c r="AM196" s="171">
        <f t="shared" si="311"/>
        <v>6.6251772490940608E-2</v>
      </c>
      <c r="AN196" s="500">
        <f t="shared" si="311"/>
        <v>6.925976052069592E-2</v>
      </c>
      <c r="AO196" s="500">
        <f t="shared" si="311"/>
        <v>6.5642898517495038E-2</v>
      </c>
      <c r="AP196" s="488">
        <f t="shared" si="311"/>
        <v>6.522823619373827E-2</v>
      </c>
      <c r="AQ196" s="1350"/>
    </row>
    <row r="197" spans="1:43" ht="12.75" customHeight="1" collapsed="1">
      <c r="A197" s="1025" t="s">
        <v>35</v>
      </c>
      <c r="B197" s="4">
        <v>1533</v>
      </c>
      <c r="C197" s="4">
        <f t="shared" ref="C197:Q197" si="312">+C200+C202</f>
        <v>2050</v>
      </c>
      <c r="D197" s="4">
        <f t="shared" si="312"/>
        <v>2398</v>
      </c>
      <c r="E197" s="4">
        <f t="shared" si="312"/>
        <v>2383</v>
      </c>
      <c r="F197" s="4">
        <f t="shared" si="312"/>
        <v>2441</v>
      </c>
      <c r="G197" s="4">
        <f t="shared" si="312"/>
        <v>2060</v>
      </c>
      <c r="H197" s="4">
        <f t="shared" si="312"/>
        <v>1835</v>
      </c>
      <c r="I197" s="107">
        <f t="shared" si="312"/>
        <v>1888</v>
      </c>
      <c r="J197" s="107">
        <f t="shared" si="312"/>
        <v>1966.5702204210054</v>
      </c>
      <c r="K197" s="107">
        <f t="shared" si="312"/>
        <v>1868.241709399955</v>
      </c>
      <c r="L197" s="135">
        <f t="shared" si="312"/>
        <v>1774.8296239299571</v>
      </c>
      <c r="M197" s="107">
        <f t="shared" si="312"/>
        <v>1686.0881427334591</v>
      </c>
      <c r="N197" s="135">
        <f t="shared" si="312"/>
        <v>1348.8705141867674</v>
      </c>
      <c r="O197" s="107">
        <f t="shared" si="312"/>
        <v>1079.096411349414</v>
      </c>
      <c r="P197" s="107">
        <f t="shared" si="312"/>
        <v>863.27712907953128</v>
      </c>
      <c r="Q197" s="107">
        <f t="shared" si="312"/>
        <v>690.62170326362502</v>
      </c>
      <c r="R197" s="402">
        <f>(N197/J197)^(1/($N$1-$J$1))-1</f>
        <v>-8.9950111657208121E-2</v>
      </c>
      <c r="S197" s="1026"/>
      <c r="T197" s="1026"/>
      <c r="U197" s="1026"/>
      <c r="W197" s="4">
        <f t="shared" ref="W197:AC197" si="313">+W200+W202</f>
        <v>620</v>
      </c>
      <c r="X197" s="4">
        <f t="shared" si="313"/>
        <v>619</v>
      </c>
      <c r="Y197" s="4">
        <f t="shared" si="313"/>
        <v>614</v>
      </c>
      <c r="Z197" s="4">
        <f t="shared" si="313"/>
        <v>588</v>
      </c>
      <c r="AA197" s="157">
        <f t="shared" si="313"/>
        <v>539</v>
      </c>
      <c r="AB197" s="4">
        <f t="shared" si="313"/>
        <v>537</v>
      </c>
      <c r="AC197" s="4">
        <f t="shared" si="313"/>
        <v>485</v>
      </c>
      <c r="AD197" s="107">
        <f t="shared" ref="AD197:AP197" si="314">+AD200+AD202</f>
        <v>499</v>
      </c>
      <c r="AE197" s="157">
        <f t="shared" si="314"/>
        <v>452</v>
      </c>
      <c r="AF197" s="4">
        <f t="shared" si="314"/>
        <v>475</v>
      </c>
      <c r="AG197" s="4">
        <f t="shared" si="314"/>
        <v>456</v>
      </c>
      <c r="AH197" s="107">
        <f t="shared" si="314"/>
        <v>452</v>
      </c>
      <c r="AI197" s="157">
        <f t="shared" si="314"/>
        <v>445</v>
      </c>
      <c r="AJ197" s="4">
        <f t="shared" si="314"/>
        <v>477</v>
      </c>
      <c r="AK197" s="107">
        <f t="shared" si="314"/>
        <v>481</v>
      </c>
      <c r="AL197" s="481">
        <f t="shared" si="314"/>
        <v>485</v>
      </c>
      <c r="AM197" s="157">
        <f t="shared" si="314"/>
        <v>520</v>
      </c>
      <c r="AN197" s="542">
        <f t="shared" si="314"/>
        <v>502.4728815206945</v>
      </c>
      <c r="AO197" s="542">
        <f t="shared" si="314"/>
        <v>492.84242387701141</v>
      </c>
      <c r="AP197" s="481">
        <f t="shared" si="314"/>
        <v>451.25491502329947</v>
      </c>
      <c r="AQ197" s="1350"/>
    </row>
    <row r="198" spans="1:43" s="1028" customFormat="1" ht="9.75" hidden="1" customHeight="1" outlineLevel="1">
      <c r="A198" s="1048" t="s">
        <v>14</v>
      </c>
      <c r="B198" s="5"/>
      <c r="C198" s="10">
        <f t="shared" ref="C198:Q198" si="315">C197/B197-1</f>
        <v>0.3372472276581866</v>
      </c>
      <c r="D198" s="10">
        <f t="shared" si="315"/>
        <v>0.16975609756097554</v>
      </c>
      <c r="E198" s="10">
        <f t="shared" si="315"/>
        <v>-6.255212677231059E-3</v>
      </c>
      <c r="F198" s="10">
        <f t="shared" si="315"/>
        <v>2.4339068401175057E-2</v>
      </c>
      <c r="G198" s="10">
        <f t="shared" si="315"/>
        <v>-0.15608357230643177</v>
      </c>
      <c r="H198" s="10">
        <f t="shared" si="315"/>
        <v>-0.10922330097087374</v>
      </c>
      <c r="I198" s="10">
        <f t="shared" si="315"/>
        <v>2.8882833787466033E-2</v>
      </c>
      <c r="J198" s="10">
        <f t="shared" si="315"/>
        <v>4.1615582850108801E-2</v>
      </c>
      <c r="K198" s="10">
        <f t="shared" si="315"/>
        <v>-5.0000000000000044E-2</v>
      </c>
      <c r="L198" s="10">
        <f t="shared" si="315"/>
        <v>-5.0000000000000044E-2</v>
      </c>
      <c r="M198" s="10">
        <f t="shared" si="315"/>
        <v>-5.0000000000000044E-2</v>
      </c>
      <c r="N198" s="10">
        <f t="shared" si="315"/>
        <v>-0.19999999999999996</v>
      </c>
      <c r="O198" s="10">
        <f t="shared" si="315"/>
        <v>-0.19999999999999996</v>
      </c>
      <c r="P198" s="10">
        <f t="shared" si="315"/>
        <v>-0.19999999999999996</v>
      </c>
      <c r="Q198" s="10">
        <f t="shared" si="315"/>
        <v>-0.19999999999999996</v>
      </c>
      <c r="R198" s="1018"/>
      <c r="S198" s="5"/>
      <c r="T198" s="5"/>
      <c r="U198" s="5"/>
      <c r="V198" s="5"/>
      <c r="W198" s="10">
        <v>4.0268456375838868E-2</v>
      </c>
      <c r="X198" s="10">
        <v>7.4652777777777679E-2</v>
      </c>
      <c r="Y198" s="10">
        <v>5.6798623063683218E-2</v>
      </c>
      <c r="Z198" s="10">
        <v>-6.6666666666666652E-2</v>
      </c>
      <c r="AA198" s="163">
        <f t="shared" ref="AA198:AH198" si="316">AA197/W197-1</f>
        <v>-0.13064516129032255</v>
      </c>
      <c r="AB198" s="10">
        <f t="shared" si="316"/>
        <v>-0.13247172859450729</v>
      </c>
      <c r="AC198" s="10">
        <f t="shared" si="316"/>
        <v>-0.21009771986970682</v>
      </c>
      <c r="AD198" s="10">
        <f t="shared" si="316"/>
        <v>-0.15136054421768708</v>
      </c>
      <c r="AE198" s="163">
        <f t="shared" si="316"/>
        <v>-0.16141001855287573</v>
      </c>
      <c r="AF198" s="10">
        <f t="shared" si="316"/>
        <v>-0.11545623836126628</v>
      </c>
      <c r="AG198" s="10">
        <f t="shared" si="316"/>
        <v>-5.97938144329897E-2</v>
      </c>
      <c r="AH198" s="10">
        <f t="shared" si="316"/>
        <v>-9.4188376753506997E-2</v>
      </c>
      <c r="AI198" s="163">
        <f>AI197/AE197-1</f>
        <v>-1.5486725663716783E-2</v>
      </c>
      <c r="AJ198" s="10">
        <f>AJ197/AF197-1</f>
        <v>4.2105263157894424E-3</v>
      </c>
      <c r="AK198" s="10">
        <f>AK197/AG197-1</f>
        <v>5.4824561403508776E-2</v>
      </c>
      <c r="AL198" s="482">
        <f>AL197/AH197-1</f>
        <v>7.3008849557522071E-2</v>
      </c>
      <c r="AM198" s="163">
        <f t="shared" ref="AM198" si="317">AM197/AI197-1</f>
        <v>0.1685393258426966</v>
      </c>
      <c r="AN198" s="428">
        <f t="shared" ref="AN198" si="318">AN197/AJ197-1</f>
        <v>5.3402267338982234E-2</v>
      </c>
      <c r="AO198" s="428">
        <f t="shared" ref="AO198" si="319">AO197/AK197-1</f>
        <v>2.46204238607306E-2</v>
      </c>
      <c r="AP198" s="482">
        <f t="shared" ref="AP198" si="320">AP197/AL197-1</f>
        <v>-6.9577494797320671E-2</v>
      </c>
      <c r="AQ198" s="1350"/>
    </row>
    <row r="199" spans="1:43" s="1028" customFormat="1" ht="9.75" hidden="1" customHeight="1" outlineLevel="1">
      <c r="A199" s="1048" t="s">
        <v>15</v>
      </c>
      <c r="B199" s="5"/>
      <c r="C199" s="5"/>
      <c r="D199" s="5"/>
      <c r="E199" s="5"/>
      <c r="F199" s="5"/>
      <c r="G199" s="10">
        <v>-0.02</v>
      </c>
      <c r="H199" s="10">
        <v>-0.08</v>
      </c>
      <c r="I199" s="10">
        <f t="shared" ref="I199:Q199" si="321">I198-((I203-I204)*I202/I197)</f>
        <v>0.04</v>
      </c>
      <c r="J199" s="10">
        <f t="shared" si="321"/>
        <v>0</v>
      </c>
      <c r="K199" s="10">
        <f t="shared" si="321"/>
        <v>-0.05</v>
      </c>
      <c r="L199" s="10">
        <f t="shared" si="321"/>
        <v>-0.05</v>
      </c>
      <c r="M199" s="10">
        <f t="shared" si="321"/>
        <v>-0.05</v>
      </c>
      <c r="N199" s="10">
        <f t="shared" si="321"/>
        <v>-0.2</v>
      </c>
      <c r="O199" s="10">
        <f t="shared" si="321"/>
        <v>-0.2</v>
      </c>
      <c r="P199" s="10">
        <f t="shared" si="321"/>
        <v>-0.2</v>
      </c>
      <c r="Q199" s="10">
        <f t="shared" si="321"/>
        <v>-0.2</v>
      </c>
      <c r="R199" s="1018"/>
      <c r="S199" s="5"/>
      <c r="T199" s="5"/>
      <c r="U199" s="5"/>
      <c r="V199" s="5"/>
      <c r="W199" s="5"/>
      <c r="X199" s="5"/>
      <c r="Y199" s="5"/>
      <c r="Z199" s="5"/>
      <c r="AA199" s="163">
        <f>AA198-((AA203-AA204)*AA202/AA197)</f>
        <v>0</v>
      </c>
      <c r="AB199" s="10">
        <f>AB198-((AB203-AB204)*AB202/AB197)</f>
        <v>1.999999999999999E-2</v>
      </c>
      <c r="AC199" s="10">
        <f>AC198-((AC203-AC204)*AC202/AC197)</f>
        <v>-8.0000000000000016E-2</v>
      </c>
      <c r="AD199" s="10">
        <v>-0.04</v>
      </c>
      <c r="AE199" s="163">
        <v>-0.11</v>
      </c>
      <c r="AF199" s="10">
        <v>-0.1</v>
      </c>
      <c r="AG199" s="10">
        <v>-0.04</v>
      </c>
      <c r="AH199" s="10">
        <v>-0.06</v>
      </c>
      <c r="AI199" s="163">
        <v>0.03</v>
      </c>
      <c r="AJ199" s="10">
        <v>0.05</v>
      </c>
      <c r="AK199" s="10">
        <v>0.05</v>
      </c>
      <c r="AL199" s="482">
        <v>0.02</v>
      </c>
      <c r="AM199" s="163">
        <v>7.0000000000000007E-2</v>
      </c>
      <c r="AN199" s="428">
        <f t="shared" ref="AN199:AO199" si="322">AN198-((AN203-AN204)*AN202/AN197)</f>
        <v>0</v>
      </c>
      <c r="AO199" s="428">
        <f t="shared" si="322"/>
        <v>0</v>
      </c>
      <c r="AP199" s="482"/>
      <c r="AQ199" s="1350"/>
    </row>
    <row r="200" spans="1:43" s="1038" customFormat="1" ht="12.75" hidden="1" customHeight="1" outlineLevel="1">
      <c r="A200" s="2" t="s">
        <v>72</v>
      </c>
      <c r="B200" s="10"/>
      <c r="C200" s="10"/>
      <c r="D200" s="10"/>
      <c r="E200" s="10"/>
      <c r="F200" s="10"/>
      <c r="G200" s="10"/>
      <c r="H200" s="10"/>
      <c r="I200" s="107"/>
      <c r="J200" s="107"/>
      <c r="K200" s="107"/>
      <c r="L200" s="107"/>
      <c r="M200" s="107"/>
      <c r="N200" s="107"/>
      <c r="O200" s="107"/>
      <c r="P200" s="107"/>
      <c r="Q200" s="107"/>
      <c r="R200" s="1019"/>
      <c r="S200" s="10"/>
      <c r="T200" s="10"/>
      <c r="U200" s="10"/>
      <c r="V200" s="10"/>
      <c r="W200" s="10"/>
      <c r="X200" s="10"/>
      <c r="Y200" s="10"/>
      <c r="Z200" s="10"/>
      <c r="AA200" s="163"/>
      <c r="AB200" s="10"/>
      <c r="AC200" s="11"/>
      <c r="AD200" s="10"/>
      <c r="AE200" s="163"/>
      <c r="AF200" s="10"/>
      <c r="AG200" s="10"/>
      <c r="AH200" s="10"/>
      <c r="AI200" s="163"/>
      <c r="AJ200" s="10"/>
      <c r="AK200" s="107"/>
      <c r="AL200" s="481"/>
      <c r="AM200" s="163"/>
      <c r="AN200" s="396"/>
      <c r="AO200" s="396"/>
      <c r="AP200" s="481"/>
      <c r="AQ200" s="1350"/>
    </row>
    <row r="201" spans="1:43" s="1038" customFormat="1" ht="9.75" hidden="1" customHeight="1" outlineLevel="1">
      <c r="A201" s="2" t="s">
        <v>14</v>
      </c>
      <c r="B201" s="10"/>
      <c r="C201" s="10"/>
      <c r="D201" s="10"/>
      <c r="E201" s="10"/>
      <c r="F201" s="10"/>
      <c r="G201" s="10"/>
      <c r="H201" s="10"/>
      <c r="I201" s="50"/>
      <c r="J201" s="50"/>
      <c r="K201" s="50"/>
      <c r="L201" s="50"/>
      <c r="M201" s="50"/>
      <c r="N201" s="50"/>
      <c r="O201" s="50"/>
      <c r="P201" s="50"/>
      <c r="Q201" s="50"/>
      <c r="R201" s="1019"/>
      <c r="S201" s="10"/>
      <c r="T201" s="10"/>
      <c r="U201" s="10"/>
      <c r="V201" s="10"/>
      <c r="W201" s="10"/>
      <c r="X201" s="10"/>
      <c r="Y201" s="10"/>
      <c r="Z201" s="10"/>
      <c r="AA201" s="163"/>
      <c r="AB201" s="10"/>
      <c r="AC201" s="10"/>
      <c r="AD201" s="10"/>
      <c r="AE201" s="163"/>
      <c r="AF201" s="10"/>
      <c r="AG201" s="10"/>
      <c r="AH201" s="10"/>
      <c r="AI201" s="163"/>
      <c r="AJ201" s="10"/>
      <c r="AK201" s="50"/>
      <c r="AL201" s="497"/>
      <c r="AM201" s="163"/>
      <c r="AN201" s="545"/>
      <c r="AO201" s="545"/>
      <c r="AP201" s="482"/>
      <c r="AQ201" s="1350"/>
    </row>
    <row r="202" spans="1:43" s="1038" customFormat="1" ht="12.75" hidden="1" customHeight="1" outlineLevel="1">
      <c r="A202" s="2" t="s">
        <v>73</v>
      </c>
      <c r="B202" s="10"/>
      <c r="C202" s="4">
        <v>2050</v>
      </c>
      <c r="D202" s="4">
        <v>2398</v>
      </c>
      <c r="E202" s="4">
        <v>2383</v>
      </c>
      <c r="F202" s="4">
        <v>2441</v>
      </c>
      <c r="G202" s="4">
        <v>2060</v>
      </c>
      <c r="H202" s="4">
        <v>1835</v>
      </c>
      <c r="I202" s="107">
        <v>1888</v>
      </c>
      <c r="J202" s="107">
        <f t="shared" ref="J202:Q202" si="323">I202*(1+J204)*(1+J$32)</f>
        <v>1966.5702204210054</v>
      </c>
      <c r="K202" s="107">
        <f t="shared" si="323"/>
        <v>1868.241709399955</v>
      </c>
      <c r="L202" s="107">
        <f t="shared" si="323"/>
        <v>1774.8296239299571</v>
      </c>
      <c r="M202" s="107">
        <f t="shared" si="323"/>
        <v>1686.0881427334591</v>
      </c>
      <c r="N202" s="107">
        <f t="shared" si="323"/>
        <v>1348.8705141867674</v>
      </c>
      <c r="O202" s="107">
        <f t="shared" si="323"/>
        <v>1079.096411349414</v>
      </c>
      <c r="P202" s="107">
        <f t="shared" si="323"/>
        <v>863.27712907953128</v>
      </c>
      <c r="Q202" s="107">
        <f t="shared" si="323"/>
        <v>690.62170326362502</v>
      </c>
      <c r="R202" s="402">
        <f>(N202/J202)^(1/($N$1-$J$1))-1</f>
        <v>-8.9950111657208121E-2</v>
      </c>
      <c r="S202" s="10"/>
      <c r="T202" s="10"/>
      <c r="U202" s="10"/>
      <c r="V202" s="10"/>
      <c r="W202" s="4">
        <v>620</v>
      </c>
      <c r="X202" s="4">
        <v>619</v>
      </c>
      <c r="Y202" s="4">
        <v>614</v>
      </c>
      <c r="Z202" s="4">
        <v>588</v>
      </c>
      <c r="AA202" s="157">
        <v>539</v>
      </c>
      <c r="AB202" s="4">
        <v>537</v>
      </c>
      <c r="AC202" s="4">
        <v>485</v>
      </c>
      <c r="AD202" s="107">
        <f>G202-AC202-AB202-AA202</f>
        <v>499</v>
      </c>
      <c r="AE202" s="157">
        <v>452</v>
      </c>
      <c r="AF202" s="4">
        <v>475</v>
      </c>
      <c r="AG202" s="4">
        <v>456</v>
      </c>
      <c r="AH202" s="107">
        <f>H202-AE202-AF202-AG202</f>
        <v>452</v>
      </c>
      <c r="AI202" s="157">
        <v>445</v>
      </c>
      <c r="AJ202" s="4">
        <v>477</v>
      </c>
      <c r="AK202" s="107">
        <v>481</v>
      </c>
      <c r="AL202" s="481">
        <f>I202-AI202-AJ202-AK202</f>
        <v>485</v>
      </c>
      <c r="AM202" s="157">
        <v>520</v>
      </c>
      <c r="AN202" s="396">
        <f>AJ202*(1+AN204)*(1+AN$32)</f>
        <v>502.4728815206945</v>
      </c>
      <c r="AO202" s="396">
        <f>AK202*(1+AO204)*(1+AO$32)</f>
        <v>492.84242387701141</v>
      </c>
      <c r="AP202" s="481">
        <f>J202-AM202-AN202-AO202</f>
        <v>451.25491502329947</v>
      </c>
      <c r="AQ202" s="1350"/>
    </row>
    <row r="203" spans="1:43" s="1038" customFormat="1" ht="9.75" hidden="1" customHeight="1" outlineLevel="1">
      <c r="A203" s="2" t="s">
        <v>14</v>
      </c>
      <c r="B203" s="10"/>
      <c r="C203" s="10"/>
      <c r="D203" s="10">
        <f t="shared" ref="D203:Q203" si="324">D202/C202-1</f>
        <v>0.16975609756097554</v>
      </c>
      <c r="E203" s="10">
        <f t="shared" si="324"/>
        <v>-6.255212677231059E-3</v>
      </c>
      <c r="F203" s="10">
        <f t="shared" si="324"/>
        <v>2.4339068401175057E-2</v>
      </c>
      <c r="G203" s="10">
        <f t="shared" si="324"/>
        <v>-0.15608357230643177</v>
      </c>
      <c r="H203" s="10">
        <f t="shared" si="324"/>
        <v>-0.10922330097087374</v>
      </c>
      <c r="I203" s="10">
        <f t="shared" si="324"/>
        <v>2.8882833787466033E-2</v>
      </c>
      <c r="J203" s="10">
        <f t="shared" si="324"/>
        <v>4.1615582850108801E-2</v>
      </c>
      <c r="K203" s="10">
        <f t="shared" si="324"/>
        <v>-5.0000000000000044E-2</v>
      </c>
      <c r="L203" s="10">
        <f t="shared" si="324"/>
        <v>-5.0000000000000044E-2</v>
      </c>
      <c r="M203" s="10">
        <f t="shared" si="324"/>
        <v>-5.0000000000000044E-2</v>
      </c>
      <c r="N203" s="10">
        <f t="shared" si="324"/>
        <v>-0.19999999999999996</v>
      </c>
      <c r="O203" s="10">
        <f t="shared" si="324"/>
        <v>-0.19999999999999996</v>
      </c>
      <c r="P203" s="10">
        <f t="shared" si="324"/>
        <v>-0.19999999999999996</v>
      </c>
      <c r="Q203" s="10">
        <f t="shared" si="324"/>
        <v>-0.19999999999999996</v>
      </c>
      <c r="R203" s="1019"/>
      <c r="S203" s="10"/>
      <c r="T203" s="10"/>
      <c r="U203" s="10"/>
      <c r="V203" s="10"/>
      <c r="W203" s="10">
        <v>4.0268456375838868E-2</v>
      </c>
      <c r="X203" s="10">
        <v>7.4652777777777679E-2</v>
      </c>
      <c r="Y203" s="10">
        <v>5.6798623063683218E-2</v>
      </c>
      <c r="Z203" s="10">
        <v>-6.6666666666666652E-2</v>
      </c>
      <c r="AA203" s="163">
        <f t="shared" ref="AA203:AH203" si="325">AA202/W202-1</f>
        <v>-0.13064516129032255</v>
      </c>
      <c r="AB203" s="10">
        <f t="shared" si="325"/>
        <v>-0.13247172859450729</v>
      </c>
      <c r="AC203" s="10">
        <f t="shared" si="325"/>
        <v>-0.21009771986970682</v>
      </c>
      <c r="AD203" s="10">
        <f t="shared" si="325"/>
        <v>-0.15136054421768708</v>
      </c>
      <c r="AE203" s="163">
        <f t="shared" si="325"/>
        <v>-0.16141001855287573</v>
      </c>
      <c r="AF203" s="10">
        <f t="shared" si="325"/>
        <v>-0.11545623836126628</v>
      </c>
      <c r="AG203" s="10">
        <f t="shared" si="325"/>
        <v>-5.97938144329897E-2</v>
      </c>
      <c r="AH203" s="10">
        <f t="shared" si="325"/>
        <v>-9.4188376753506997E-2</v>
      </c>
      <c r="AI203" s="163">
        <f>AI202/AE202-1</f>
        <v>-1.5486725663716783E-2</v>
      </c>
      <c r="AJ203" s="10">
        <f>AJ202/AF202-1</f>
        <v>4.2105263157894424E-3</v>
      </c>
      <c r="AK203" s="10">
        <f>AK202/AG202-1</f>
        <v>5.4824561403508776E-2</v>
      </c>
      <c r="AL203" s="482">
        <f>AL202/AH202-1</f>
        <v>7.3008849557522071E-2</v>
      </c>
      <c r="AM203" s="163">
        <f t="shared" ref="AM203" si="326">AM202/AI202-1</f>
        <v>0.1685393258426966</v>
      </c>
      <c r="AN203" s="428">
        <f t="shared" ref="AN203" si="327">AN202/AJ202-1</f>
        <v>5.3402267338982234E-2</v>
      </c>
      <c r="AO203" s="428">
        <f t="shared" ref="AO203" si="328">AO202/AK202-1</f>
        <v>2.46204238607306E-2</v>
      </c>
      <c r="AP203" s="482">
        <f>AP202/AL202-1</f>
        <v>-6.9577494797320671E-2</v>
      </c>
      <c r="AQ203" s="1350"/>
    </row>
    <row r="204" spans="1:43" s="1038" customFormat="1" ht="9.75" hidden="1" customHeight="1" outlineLevel="1">
      <c r="A204" s="2" t="s">
        <v>15</v>
      </c>
      <c r="B204" s="10"/>
      <c r="C204" s="10">
        <v>0.26</v>
      </c>
      <c r="D204" s="10">
        <v>0.22</v>
      </c>
      <c r="E204" s="10">
        <v>0.01</v>
      </c>
      <c r="F204" s="10">
        <v>0.05</v>
      </c>
      <c r="G204" s="10">
        <v>-0.02</v>
      </c>
      <c r="H204" s="10">
        <v>-0.08</v>
      </c>
      <c r="I204" s="10">
        <v>0.04</v>
      </c>
      <c r="J204" s="50">
        <v>0</v>
      </c>
      <c r="K204" s="50">
        <v>-0.05</v>
      </c>
      <c r="L204" s="50">
        <v>-0.05</v>
      </c>
      <c r="M204" s="50">
        <v>-0.05</v>
      </c>
      <c r="N204" s="50">
        <v>-0.2</v>
      </c>
      <c r="O204" s="50">
        <v>-0.2</v>
      </c>
      <c r="P204" s="50">
        <v>-0.2</v>
      </c>
      <c r="Q204" s="50">
        <v>-0.2</v>
      </c>
      <c r="R204" s="1019"/>
      <c r="S204" s="10"/>
      <c r="T204" s="10"/>
      <c r="U204" s="10"/>
      <c r="V204" s="10"/>
      <c r="W204" s="10">
        <v>0.06</v>
      </c>
      <c r="X204" s="10">
        <v>0.04</v>
      </c>
      <c r="Y204" s="10">
        <v>7.0000000000000007E-2</v>
      </c>
      <c r="Z204" s="10">
        <v>0.01</v>
      </c>
      <c r="AA204" s="163">
        <v>0</v>
      </c>
      <c r="AB204" s="10">
        <v>0.02</v>
      </c>
      <c r="AC204" s="10">
        <v>-0.08</v>
      </c>
      <c r="AD204" s="10">
        <v>-0.04</v>
      </c>
      <c r="AE204" s="163">
        <v>-0.11</v>
      </c>
      <c r="AF204" s="10">
        <v>-0.1</v>
      </c>
      <c r="AG204" s="10">
        <v>-0.04</v>
      </c>
      <c r="AH204" s="10">
        <v>-0.06</v>
      </c>
      <c r="AI204" s="163">
        <v>0.03</v>
      </c>
      <c r="AJ204" s="10">
        <v>0.05</v>
      </c>
      <c r="AK204" s="10">
        <v>0.05</v>
      </c>
      <c r="AL204" s="482">
        <v>0.02</v>
      </c>
      <c r="AM204" s="163">
        <v>7.0000000000000007E-2</v>
      </c>
      <c r="AN204" s="539">
        <v>0</v>
      </c>
      <c r="AO204" s="539">
        <v>0</v>
      </c>
      <c r="AP204" s="497"/>
      <c r="AQ204" s="1350"/>
    </row>
    <row r="205" spans="1:43" ht="12.75" customHeight="1" collapsed="1">
      <c r="A205" s="1025" t="s">
        <v>821</v>
      </c>
      <c r="H205" s="4">
        <f>+H208+H210</f>
        <v>619</v>
      </c>
      <c r="I205" s="4">
        <f>+I208+I210</f>
        <v>589</v>
      </c>
      <c r="J205" s="107">
        <f t="shared" ref="J205:Q205" si="329">I205*(1+J207)*(1+J$32)</f>
        <v>595.10623094975267</v>
      </c>
      <c r="K205" s="107">
        <f t="shared" si="329"/>
        <v>577.25304402126005</v>
      </c>
      <c r="L205" s="107">
        <f t="shared" si="329"/>
        <v>559.93545270062225</v>
      </c>
      <c r="M205" s="107">
        <f t="shared" si="329"/>
        <v>543.13738911960354</v>
      </c>
      <c r="N205" s="107">
        <f t="shared" si="329"/>
        <v>526.84326744601537</v>
      </c>
      <c r="O205" s="107">
        <f t="shared" si="329"/>
        <v>511.03796942263489</v>
      </c>
      <c r="P205" s="107">
        <f t="shared" si="329"/>
        <v>495.70683033995584</v>
      </c>
      <c r="Q205" s="107">
        <f t="shared" si="329"/>
        <v>480.83562542975716</v>
      </c>
      <c r="R205" s="402">
        <f>(N205/J205)^(1/($N$1-$J$1))-1</f>
        <v>-3.0000000000000027E-2</v>
      </c>
      <c r="S205" s="1026"/>
      <c r="T205" s="1026"/>
      <c r="U205" s="1026"/>
      <c r="AA205" s="157">
        <v>159</v>
      </c>
      <c r="AB205" s="4">
        <v>161</v>
      </c>
      <c r="AC205" s="4">
        <v>161</v>
      </c>
      <c r="AD205" s="107"/>
      <c r="AE205" s="157">
        <f>+AE208+AE210</f>
        <v>151</v>
      </c>
      <c r="AF205" s="429">
        <f>+AF208+AF210</f>
        <v>156</v>
      </c>
      <c r="AG205" s="429">
        <f>+AG208+AG210</f>
        <v>151</v>
      </c>
      <c r="AH205" s="107">
        <f>H205-AE205-AF205-AG205</f>
        <v>161</v>
      </c>
      <c r="AI205" s="157">
        <f>+AI208+AI210</f>
        <v>148</v>
      </c>
      <c r="AJ205" s="429">
        <v>142</v>
      </c>
      <c r="AK205" s="107">
        <f>AG205*(1+AK207)*(1+AK$32)</f>
        <v>151.05023266467552</v>
      </c>
      <c r="AL205" s="481">
        <f>I205-AI205-AJ205-AK205</f>
        <v>147.94976733532448</v>
      </c>
      <c r="AM205" s="157">
        <f>+AM208+AM210</f>
        <v>124</v>
      </c>
      <c r="AN205" s="396">
        <f>AJ205*(1+AN207)*(1+AN$32)</f>
        <v>145.09562830327141</v>
      </c>
      <c r="AO205" s="396">
        <f>AK205*(1+AO207)*(1+AO$32)</f>
        <v>150.12607881462753</v>
      </c>
      <c r="AP205" s="481">
        <f>J205-AM205-AN205-AO205</f>
        <v>175.88452383185376</v>
      </c>
      <c r="AQ205" s="1350"/>
    </row>
    <row r="206" spans="1:43" s="1028" customFormat="1" ht="9.75" hidden="1" customHeight="1" outlineLevel="1">
      <c r="A206" s="1048" t="s">
        <v>14</v>
      </c>
      <c r="B206" s="5"/>
      <c r="C206" s="10"/>
      <c r="D206" s="10"/>
      <c r="E206" s="10"/>
      <c r="F206" s="10"/>
      <c r="G206" s="10"/>
      <c r="H206" s="10"/>
      <c r="I206" s="10">
        <f t="shared" ref="I206:Q206" si="330">I205/H205-1</f>
        <v>-4.8465266558966102E-2</v>
      </c>
      <c r="J206" s="10">
        <f t="shared" si="330"/>
        <v>1.0367115364605661E-2</v>
      </c>
      <c r="K206" s="10">
        <f t="shared" si="330"/>
        <v>-3.0000000000000027E-2</v>
      </c>
      <c r="L206" s="10">
        <f t="shared" si="330"/>
        <v>-3.0000000000000027E-2</v>
      </c>
      <c r="M206" s="10">
        <f t="shared" si="330"/>
        <v>-3.0000000000000027E-2</v>
      </c>
      <c r="N206" s="10">
        <f t="shared" si="330"/>
        <v>-3.0000000000000138E-2</v>
      </c>
      <c r="O206" s="10">
        <f t="shared" si="330"/>
        <v>-3.0000000000000027E-2</v>
      </c>
      <c r="P206" s="10">
        <f t="shared" si="330"/>
        <v>-3.0000000000000027E-2</v>
      </c>
      <c r="Q206" s="10">
        <f t="shared" si="330"/>
        <v>-3.0000000000000027E-2</v>
      </c>
      <c r="R206" s="1018"/>
      <c r="S206" s="5"/>
      <c r="T206" s="5"/>
      <c r="U206" s="5"/>
      <c r="V206" s="5"/>
      <c r="W206" s="10"/>
      <c r="X206" s="10"/>
      <c r="Y206" s="10"/>
      <c r="Z206" s="10"/>
      <c r="AA206" s="163"/>
      <c r="AB206" s="10"/>
      <c r="AC206" s="10"/>
      <c r="AD206" s="10"/>
      <c r="AE206" s="163">
        <f>AE205/AA205-1</f>
        <v>-5.031446540880502E-2</v>
      </c>
      <c r="AF206" s="428">
        <f>AF205/AB205-1</f>
        <v>-3.105590062111796E-2</v>
      </c>
      <c r="AG206" s="428">
        <f>AG205/AC205-1</f>
        <v>-6.2111801242236031E-2</v>
      </c>
      <c r="AH206" s="428"/>
      <c r="AI206" s="163">
        <f>AI205/AE205-1</f>
        <v>-1.9867549668874163E-2</v>
      </c>
      <c r="AJ206" s="428">
        <f>AJ205/AF205-1</f>
        <v>-8.9743589743589758E-2</v>
      </c>
      <c r="AK206" s="10">
        <f>AK205/AG205-1</f>
        <v>3.3266665348019586E-4</v>
      </c>
      <c r="AL206" s="482">
        <f>AL205/AH205-1</f>
        <v>-8.1057345743326237E-2</v>
      </c>
      <c r="AM206" s="163">
        <f t="shared" ref="AM206" si="331">AM205/AI205-1</f>
        <v>-0.16216216216216217</v>
      </c>
      <c r="AN206" s="428">
        <f t="shared" ref="AN206" si="332">AN205/AJ205-1</f>
        <v>2.180019931881283E-2</v>
      </c>
      <c r="AO206" s="428">
        <f t="shared" ref="AO206" si="333">AO205/AK205-1</f>
        <v>-6.118188855091411E-3</v>
      </c>
      <c r="AP206" s="482">
        <f>AP205/AL205-1</f>
        <v>0.18881243951682491</v>
      </c>
      <c r="AQ206" s="1350"/>
    </row>
    <row r="207" spans="1:43" s="1028" customFormat="1" ht="9.75" hidden="1" customHeight="1" outlineLevel="1">
      <c r="A207" s="1048" t="s">
        <v>15</v>
      </c>
      <c r="B207" s="5"/>
      <c r="C207" s="5"/>
      <c r="D207" s="5"/>
      <c r="E207" s="5"/>
      <c r="F207" s="5"/>
      <c r="G207" s="10"/>
      <c r="H207" s="10">
        <v>-0.01</v>
      </c>
      <c r="I207" s="50">
        <v>-0.05</v>
      </c>
      <c r="J207" s="50">
        <v>-0.03</v>
      </c>
      <c r="K207" s="50">
        <v>-0.03</v>
      </c>
      <c r="L207" s="50">
        <v>-0.03</v>
      </c>
      <c r="M207" s="50">
        <v>-0.03</v>
      </c>
      <c r="N207" s="50">
        <v>-0.03</v>
      </c>
      <c r="O207" s="50">
        <v>-0.03</v>
      </c>
      <c r="P207" s="50">
        <v>-0.03</v>
      </c>
      <c r="Q207" s="50">
        <v>-0.03</v>
      </c>
      <c r="R207" s="1018"/>
      <c r="S207" s="5"/>
      <c r="T207" s="5"/>
      <c r="U207" s="5"/>
      <c r="V207" s="5"/>
      <c r="W207" s="5"/>
      <c r="X207" s="5"/>
      <c r="Y207" s="5"/>
      <c r="Z207" s="5"/>
      <c r="AA207" s="163"/>
      <c r="AB207" s="10"/>
      <c r="AC207" s="10"/>
      <c r="AD207" s="10"/>
      <c r="AE207" s="163">
        <v>-0.01</v>
      </c>
      <c r="AF207" s="10">
        <v>-0.03</v>
      </c>
      <c r="AG207" s="10">
        <v>-0.08</v>
      </c>
      <c r="AH207" s="10">
        <v>7.0000000000000007E-2</v>
      </c>
      <c r="AI207" s="163">
        <v>-0.01</v>
      </c>
      <c r="AJ207" s="10">
        <v>-0.08</v>
      </c>
      <c r="AK207" s="10">
        <v>-0.01</v>
      </c>
      <c r="AL207" s="482">
        <v>-0.09</v>
      </c>
      <c r="AM207" s="163">
        <v>-0.2</v>
      </c>
      <c r="AN207" s="539">
        <v>-0.03</v>
      </c>
      <c r="AO207" s="539">
        <v>-0.03</v>
      </c>
      <c r="AP207" s="497"/>
      <c r="AQ207" s="1350"/>
    </row>
    <row r="208" spans="1:43" s="1038" customFormat="1" ht="12.75" hidden="1" customHeight="1" outlineLevel="1">
      <c r="A208" s="2" t="s">
        <v>72</v>
      </c>
      <c r="B208" s="10"/>
      <c r="C208" s="10"/>
      <c r="D208" s="10"/>
      <c r="E208" s="10"/>
      <c r="F208" s="10"/>
      <c r="G208" s="10"/>
      <c r="H208" s="4">
        <v>211</v>
      </c>
      <c r="I208" s="107">
        <v>216</v>
      </c>
      <c r="J208" s="107"/>
      <c r="K208" s="107"/>
      <c r="L208" s="141"/>
      <c r="M208" s="141"/>
      <c r="N208" s="141"/>
      <c r="O208" s="107"/>
      <c r="P208" s="107"/>
      <c r="Q208" s="107"/>
      <c r="R208" s="1019"/>
      <c r="S208" s="10"/>
      <c r="T208" s="10"/>
      <c r="U208" s="10"/>
      <c r="V208" s="10"/>
      <c r="W208" s="10"/>
      <c r="X208" s="10"/>
      <c r="Y208" s="10"/>
      <c r="Z208" s="10"/>
      <c r="AA208" s="163"/>
      <c r="AB208" s="10"/>
      <c r="AC208" s="11"/>
      <c r="AD208" s="10"/>
      <c r="AE208" s="157">
        <v>55</v>
      </c>
      <c r="AF208" s="429">
        <v>53</v>
      </c>
      <c r="AG208" s="429">
        <v>46</v>
      </c>
      <c r="AH208" s="107">
        <f>H208-AE208-AF208-AG208</f>
        <v>57</v>
      </c>
      <c r="AI208" s="157">
        <v>57</v>
      </c>
      <c r="AJ208" s="429"/>
      <c r="AK208" s="107"/>
      <c r="AL208" s="481"/>
      <c r="AM208" s="157">
        <v>48</v>
      </c>
      <c r="AN208" s="396"/>
      <c r="AO208" s="396"/>
      <c r="AP208" s="481"/>
      <c r="AQ208" s="1350"/>
    </row>
    <row r="209" spans="1:45" s="1038" customFormat="1" ht="9.75" hidden="1" customHeight="1" outlineLevel="1">
      <c r="A209" s="2" t="s">
        <v>14</v>
      </c>
      <c r="B209" s="10"/>
      <c r="C209" s="10"/>
      <c r="D209" s="10"/>
      <c r="E209" s="10"/>
      <c r="F209" s="10"/>
      <c r="G209" s="10"/>
      <c r="H209" s="10"/>
      <c r="I209" s="10">
        <f t="shared" ref="I209:I211" si="334">I208/H208-1</f>
        <v>2.3696682464454888E-2</v>
      </c>
      <c r="J209" s="50"/>
      <c r="K209" s="50"/>
      <c r="L209" s="137"/>
      <c r="M209" s="137"/>
      <c r="N209" s="137"/>
      <c r="O209" s="50"/>
      <c r="P209" s="50"/>
      <c r="Q209" s="50"/>
      <c r="R209" s="1019"/>
      <c r="S209" s="10"/>
      <c r="T209" s="10"/>
      <c r="U209" s="10"/>
      <c r="V209" s="10"/>
      <c r="W209" s="10"/>
      <c r="X209" s="10"/>
      <c r="Y209" s="10"/>
      <c r="Z209" s="10"/>
      <c r="AA209" s="163"/>
      <c r="AB209" s="10"/>
      <c r="AC209" s="10"/>
      <c r="AD209" s="10"/>
      <c r="AE209" s="163"/>
      <c r="AF209" s="428"/>
      <c r="AG209" s="428"/>
      <c r="AH209" s="10"/>
      <c r="AI209" s="163">
        <f>AI208/AE208-1</f>
        <v>3.6363636363636376E-2</v>
      </c>
      <c r="AJ209" s="428"/>
      <c r="AK209" s="50"/>
      <c r="AL209" s="497"/>
      <c r="AM209" s="163">
        <f t="shared" ref="AM209:AM211" si="335">AM208/AI208-1</f>
        <v>-0.15789473684210531</v>
      </c>
      <c r="AN209" s="539"/>
      <c r="AO209" s="539"/>
      <c r="AP209" s="497"/>
      <c r="AQ209" s="1350"/>
    </row>
    <row r="210" spans="1:45" s="1038" customFormat="1" ht="12.75" hidden="1" customHeight="1" outlineLevel="1">
      <c r="A210" s="2" t="s">
        <v>73</v>
      </c>
      <c r="B210" s="10"/>
      <c r="C210" s="4"/>
      <c r="D210" s="4"/>
      <c r="E210" s="4"/>
      <c r="F210" s="4"/>
      <c r="G210" s="4"/>
      <c r="H210" s="4">
        <v>408</v>
      </c>
      <c r="I210" s="107">
        <v>373</v>
      </c>
      <c r="J210" s="107"/>
      <c r="K210" s="107"/>
      <c r="L210" s="141"/>
      <c r="M210" s="141"/>
      <c r="N210" s="141"/>
      <c r="O210" s="107"/>
      <c r="P210" s="107"/>
      <c r="Q210" s="107"/>
      <c r="R210" s="1019"/>
      <c r="S210" s="10"/>
      <c r="T210" s="10"/>
      <c r="U210" s="10"/>
      <c r="V210" s="10"/>
      <c r="W210" s="4"/>
      <c r="X210" s="4"/>
      <c r="Y210" s="4"/>
      <c r="Z210" s="4"/>
      <c r="AA210" s="157"/>
      <c r="AB210" s="4"/>
      <c r="AC210" s="4"/>
      <c r="AD210" s="107"/>
      <c r="AE210" s="157">
        <v>96</v>
      </c>
      <c r="AF210" s="429">
        <v>103</v>
      </c>
      <c r="AG210" s="429">
        <v>105</v>
      </c>
      <c r="AH210" s="107">
        <f>H210-AE210-AF210-AG210</f>
        <v>104</v>
      </c>
      <c r="AI210" s="157">
        <v>91</v>
      </c>
      <c r="AJ210" s="429"/>
      <c r="AK210" s="107"/>
      <c r="AL210" s="481"/>
      <c r="AM210" s="157">
        <v>76</v>
      </c>
      <c r="AN210" s="396"/>
      <c r="AO210" s="396"/>
      <c r="AP210" s="481"/>
      <c r="AQ210" s="1350"/>
    </row>
    <row r="211" spans="1:45" s="1038" customFormat="1" ht="9.75" hidden="1" customHeight="1" outlineLevel="1">
      <c r="A211" s="2" t="s">
        <v>14</v>
      </c>
      <c r="B211" s="10"/>
      <c r="C211" s="10"/>
      <c r="D211" s="10"/>
      <c r="E211" s="10"/>
      <c r="F211" s="10"/>
      <c r="G211" s="10"/>
      <c r="H211" s="10"/>
      <c r="I211" s="10">
        <f t="shared" si="334"/>
        <v>-8.5784313725490224E-2</v>
      </c>
      <c r="J211" s="10"/>
      <c r="K211" s="10"/>
      <c r="L211" s="2"/>
      <c r="M211" s="2"/>
      <c r="N211" s="2"/>
      <c r="O211" s="10"/>
      <c r="P211" s="10"/>
      <c r="Q211" s="10"/>
      <c r="R211" s="1019"/>
      <c r="S211" s="10"/>
      <c r="T211" s="10"/>
      <c r="U211" s="10"/>
      <c r="V211" s="10"/>
      <c r="W211" s="10"/>
      <c r="X211" s="10"/>
      <c r="Y211" s="10"/>
      <c r="Z211" s="10"/>
      <c r="AA211" s="163"/>
      <c r="AB211" s="10"/>
      <c r="AC211" s="10"/>
      <c r="AD211" s="10"/>
      <c r="AE211" s="163"/>
      <c r="AF211" s="10"/>
      <c r="AG211" s="10"/>
      <c r="AH211" s="10"/>
      <c r="AI211" s="163">
        <f>AI210/AE210-1</f>
        <v>-5.208333333333337E-2</v>
      </c>
      <c r="AJ211" s="10"/>
      <c r="AK211" s="10"/>
      <c r="AL211" s="482"/>
      <c r="AM211" s="163">
        <f t="shared" si="335"/>
        <v>-0.1648351648351648</v>
      </c>
      <c r="AN211" s="428"/>
      <c r="AO211" s="428"/>
      <c r="AP211" s="482"/>
      <c r="AQ211" s="1350"/>
    </row>
    <row r="212" spans="1:45" s="1038" customFormat="1" ht="9.75" hidden="1" customHeight="1" outlineLevel="1">
      <c r="A212" s="2" t="s">
        <v>15</v>
      </c>
      <c r="B212" s="10"/>
      <c r="C212" s="10"/>
      <c r="D212" s="10"/>
      <c r="E212" s="10"/>
      <c r="F212" s="10"/>
      <c r="G212" s="10"/>
      <c r="H212" s="10">
        <v>0.06</v>
      </c>
      <c r="I212" s="10">
        <v>-0.09</v>
      </c>
      <c r="J212" s="50"/>
      <c r="K212" s="50"/>
      <c r="L212" s="137"/>
      <c r="M212" s="137"/>
      <c r="N212" s="137"/>
      <c r="O212" s="50"/>
      <c r="P212" s="50"/>
      <c r="Q212" s="50"/>
      <c r="R212" s="1019"/>
      <c r="S212" s="10"/>
      <c r="T212" s="10"/>
      <c r="U212" s="10"/>
      <c r="V212" s="10"/>
      <c r="W212" s="10"/>
      <c r="X212" s="10"/>
      <c r="Y212" s="10"/>
      <c r="Z212" s="10"/>
      <c r="AA212" s="163"/>
      <c r="AB212" s="10"/>
      <c r="AC212" s="10"/>
      <c r="AD212" s="10"/>
      <c r="AE212" s="163">
        <v>-7.0000000000000007E-2</v>
      </c>
      <c r="AF212" s="428">
        <v>-0.12</v>
      </c>
      <c r="AG212" s="428">
        <v>-0.01</v>
      </c>
      <c r="AH212" s="10">
        <v>0.01</v>
      </c>
      <c r="AI212" s="163">
        <v>-0.05</v>
      </c>
      <c r="AJ212" s="428"/>
      <c r="AK212" s="50"/>
      <c r="AL212" s="497"/>
      <c r="AM212" s="163">
        <v>-0.22</v>
      </c>
      <c r="AN212" s="539"/>
      <c r="AO212" s="539"/>
      <c r="AP212" s="497"/>
      <c r="AQ212" s="1350"/>
    </row>
    <row r="213" spans="1:45" ht="12.75" customHeight="1" collapsed="1">
      <c r="A213" s="1025" t="s">
        <v>822</v>
      </c>
      <c r="H213" s="4">
        <v>335</v>
      </c>
      <c r="I213" s="107">
        <v>284</v>
      </c>
      <c r="J213" s="107">
        <f t="shared" ref="J213:Q213" si="336">I213*(1+J215)*(1+J$32)</f>
        <v>286.94426076354802</v>
      </c>
      <c r="K213" s="107">
        <f t="shared" si="336"/>
        <v>278.33593294064156</v>
      </c>
      <c r="L213" s="107">
        <f t="shared" si="336"/>
        <v>269.9858549524223</v>
      </c>
      <c r="M213" s="107">
        <f t="shared" si="336"/>
        <v>261.88627930384962</v>
      </c>
      <c r="N213" s="107">
        <f t="shared" si="336"/>
        <v>254.02969092473413</v>
      </c>
      <c r="O213" s="107">
        <f t="shared" si="336"/>
        <v>246.4088001969921</v>
      </c>
      <c r="P213" s="107">
        <f t="shared" si="336"/>
        <v>239.01653619108234</v>
      </c>
      <c r="Q213" s="107">
        <f t="shared" si="336"/>
        <v>231.84604010534986</v>
      </c>
      <c r="R213" s="402">
        <f>(N213/J213)^(1/($N$1-$J$1))-1</f>
        <v>-3.0000000000000027E-2</v>
      </c>
      <c r="S213" s="1026"/>
      <c r="T213" s="1026"/>
      <c r="U213" s="1026"/>
      <c r="AA213" s="157">
        <v>198</v>
      </c>
      <c r="AB213" s="4">
        <v>111</v>
      </c>
      <c r="AC213" s="4">
        <v>77</v>
      </c>
      <c r="AD213" s="107"/>
      <c r="AE213" s="157">
        <f>+AE216+AE218</f>
        <v>136</v>
      </c>
      <c r="AF213" s="4">
        <v>63</v>
      </c>
      <c r="AG213" s="4">
        <v>81</v>
      </c>
      <c r="AH213" s="107">
        <f>H213-AE213-AF213-AG213</f>
        <v>55</v>
      </c>
      <c r="AI213" s="157">
        <f>+AI216+AI218</f>
        <v>100</v>
      </c>
      <c r="AJ213" s="4">
        <v>76</v>
      </c>
      <c r="AK213" s="4">
        <v>49</v>
      </c>
      <c r="AL213" s="481">
        <f>I213-AI213-AJ213-AK213</f>
        <v>59</v>
      </c>
      <c r="AM213" s="157">
        <v>96</v>
      </c>
      <c r="AN213" s="396">
        <f>AJ213*(1+AN215)*(1+AN$32)</f>
        <v>77.656815148229768</v>
      </c>
      <c r="AO213" s="396">
        <f>AK213*(1+AO215)*(1+AO$32)</f>
        <v>48.700208746100529</v>
      </c>
      <c r="AP213" s="481">
        <f>J213-AM213-AN213-AO213</f>
        <v>64.587236869217719</v>
      </c>
      <c r="AQ213" s="1350"/>
    </row>
    <row r="214" spans="1:45" s="1028" customFormat="1" ht="9.75" hidden="1" customHeight="1" outlineLevel="1">
      <c r="A214" s="1048" t="s">
        <v>14</v>
      </c>
      <c r="B214" s="5"/>
      <c r="C214" s="10"/>
      <c r="D214" s="10"/>
      <c r="E214" s="10"/>
      <c r="F214" s="10"/>
      <c r="G214" s="10"/>
      <c r="H214" s="10"/>
      <c r="I214" s="10">
        <f t="shared" ref="I214:Q214" si="337">I213/H213-1</f>
        <v>-0.15223880597014927</v>
      </c>
      <c r="J214" s="10">
        <f t="shared" si="337"/>
        <v>1.0367115364605661E-2</v>
      </c>
      <c r="K214" s="10">
        <f t="shared" si="337"/>
        <v>-3.0000000000000027E-2</v>
      </c>
      <c r="L214" s="10">
        <f t="shared" si="337"/>
        <v>-3.0000000000000027E-2</v>
      </c>
      <c r="M214" s="10">
        <f t="shared" si="337"/>
        <v>-3.0000000000000027E-2</v>
      </c>
      <c r="N214" s="10">
        <f t="shared" si="337"/>
        <v>-3.0000000000000027E-2</v>
      </c>
      <c r="O214" s="10">
        <f t="shared" si="337"/>
        <v>-3.0000000000000027E-2</v>
      </c>
      <c r="P214" s="10">
        <f t="shared" si="337"/>
        <v>-3.0000000000000027E-2</v>
      </c>
      <c r="Q214" s="10">
        <f t="shared" si="337"/>
        <v>-3.0000000000000027E-2</v>
      </c>
      <c r="R214" s="1018"/>
      <c r="S214" s="5"/>
      <c r="T214" s="5"/>
      <c r="U214" s="5"/>
      <c r="V214" s="5"/>
      <c r="W214" s="10"/>
      <c r="X214" s="10"/>
      <c r="Y214" s="10"/>
      <c r="Z214" s="10"/>
      <c r="AA214" s="163"/>
      <c r="AB214" s="10"/>
      <c r="AC214" s="10"/>
      <c r="AD214" s="10"/>
      <c r="AE214" s="163">
        <f>AE213/AA213-1</f>
        <v>-0.31313131313131315</v>
      </c>
      <c r="AF214" s="428">
        <f>AF213/AB213-1</f>
        <v>-0.43243243243243246</v>
      </c>
      <c r="AG214" s="428">
        <f>AG213/AC213-1</f>
        <v>5.1948051948051965E-2</v>
      </c>
      <c r="AH214" s="428"/>
      <c r="AI214" s="163">
        <f>AI213/AE213-1</f>
        <v>-0.26470588235294112</v>
      </c>
      <c r="AJ214" s="428">
        <f>AJ213/AF213-1</f>
        <v>0.20634920634920628</v>
      </c>
      <c r="AK214" s="428">
        <f>AK213/AG213-1</f>
        <v>-0.39506172839506171</v>
      </c>
      <c r="AL214" s="482">
        <f>AL213/AH213-1</f>
        <v>7.2727272727272751E-2</v>
      </c>
      <c r="AM214" s="163">
        <f t="shared" ref="AM214" si="338">AM213/AI213-1</f>
        <v>-4.0000000000000036E-2</v>
      </c>
      <c r="AN214" s="428">
        <f t="shared" ref="AN214" si="339">AN213/AJ213-1</f>
        <v>2.180019931881283E-2</v>
      </c>
      <c r="AO214" s="428">
        <f t="shared" ref="AO214" si="340">AO213/AK213-1</f>
        <v>-6.1181888550912999E-3</v>
      </c>
      <c r="AP214" s="482">
        <f>AP213/AL213-1</f>
        <v>9.4698929986740898E-2</v>
      </c>
      <c r="AQ214" s="1350"/>
    </row>
    <row r="215" spans="1:45" s="1028" customFormat="1" ht="9.75" hidden="1" customHeight="1" outlineLevel="1">
      <c r="A215" s="1048" t="s">
        <v>15</v>
      </c>
      <c r="B215" s="5"/>
      <c r="C215" s="5"/>
      <c r="D215" s="5"/>
      <c r="E215" s="5"/>
      <c r="F215" s="5"/>
      <c r="G215" s="10"/>
      <c r="H215" s="10">
        <v>-0.27</v>
      </c>
      <c r="I215" s="10">
        <v>-0.15</v>
      </c>
      <c r="J215" s="50">
        <v>-0.03</v>
      </c>
      <c r="K215" s="50">
        <v>-0.03</v>
      </c>
      <c r="L215" s="50">
        <v>-0.03</v>
      </c>
      <c r="M215" s="50">
        <v>-0.03</v>
      </c>
      <c r="N215" s="50">
        <v>-0.03</v>
      </c>
      <c r="O215" s="50">
        <v>-0.03</v>
      </c>
      <c r="P215" s="50">
        <v>-0.03</v>
      </c>
      <c r="Q215" s="50">
        <v>-0.03</v>
      </c>
      <c r="R215" s="1018"/>
      <c r="S215" s="5"/>
      <c r="T215" s="5"/>
      <c r="U215" s="5"/>
      <c r="V215" s="5"/>
      <c r="W215" s="5"/>
      <c r="X215" s="5"/>
      <c r="Y215" s="5"/>
      <c r="Z215" s="5"/>
      <c r="AA215" s="163"/>
      <c r="AB215" s="10"/>
      <c r="AC215" s="10"/>
      <c r="AD215" s="10"/>
      <c r="AE215" s="163">
        <v>-0.31</v>
      </c>
      <c r="AF215" s="10">
        <v>-0.42</v>
      </c>
      <c r="AG215" s="10">
        <v>0.03</v>
      </c>
      <c r="AH215" s="10">
        <v>-0.24</v>
      </c>
      <c r="AI215" s="163">
        <v>-0.03</v>
      </c>
      <c r="AJ215" s="10">
        <v>0.22</v>
      </c>
      <c r="AK215" s="10">
        <v>-0.39</v>
      </c>
      <c r="AL215" s="482">
        <v>7.0000000000000007E-2</v>
      </c>
      <c r="AM215" s="163">
        <v>-7.0000000000000007E-2</v>
      </c>
      <c r="AN215" s="539">
        <v>-0.03</v>
      </c>
      <c r="AO215" s="539">
        <v>-0.03</v>
      </c>
      <c r="AP215" s="497"/>
      <c r="AQ215" s="1350"/>
    </row>
    <row r="216" spans="1:45" s="1038" customFormat="1" ht="12.75" hidden="1" customHeight="1" outlineLevel="1">
      <c r="A216" s="2" t="s">
        <v>72</v>
      </c>
      <c r="B216" s="10"/>
      <c r="C216" s="10"/>
      <c r="D216" s="10"/>
      <c r="E216" s="10"/>
      <c r="F216" s="10"/>
      <c r="G216" s="10"/>
      <c r="H216" s="10"/>
      <c r="I216" s="107"/>
      <c r="J216" s="107"/>
      <c r="K216" s="107"/>
      <c r="L216" s="107"/>
      <c r="M216" s="107"/>
      <c r="N216" s="107"/>
      <c r="O216" s="107"/>
      <c r="P216" s="107"/>
      <c r="Q216" s="107"/>
      <c r="R216" s="1019"/>
      <c r="S216" s="10"/>
      <c r="T216" s="10"/>
      <c r="U216" s="10"/>
      <c r="V216" s="10"/>
      <c r="W216" s="10"/>
      <c r="X216" s="10"/>
      <c r="Y216" s="10"/>
      <c r="Z216" s="10"/>
      <c r="AA216" s="163"/>
      <c r="AB216" s="10"/>
      <c r="AC216" s="11"/>
      <c r="AD216" s="10"/>
      <c r="AE216" s="157">
        <v>73</v>
      </c>
      <c r="AF216" s="10"/>
      <c r="AG216" s="10"/>
      <c r="AH216" s="107"/>
      <c r="AI216" s="157">
        <v>39</v>
      </c>
      <c r="AJ216" s="10"/>
      <c r="AK216" s="107"/>
      <c r="AL216" s="481"/>
      <c r="AM216" s="157"/>
      <c r="AN216" s="396"/>
      <c r="AO216" s="396"/>
      <c r="AP216" s="481"/>
      <c r="AQ216" s="1350"/>
    </row>
    <row r="217" spans="1:45" s="1038" customFormat="1" ht="9.75" hidden="1" customHeight="1" outlineLevel="1">
      <c r="A217" s="2" t="s">
        <v>14</v>
      </c>
      <c r="B217" s="10"/>
      <c r="C217" s="10"/>
      <c r="D217" s="10"/>
      <c r="E217" s="10"/>
      <c r="F217" s="10"/>
      <c r="G217" s="10"/>
      <c r="H217" s="10"/>
      <c r="I217" s="50"/>
      <c r="J217" s="50"/>
      <c r="K217" s="50"/>
      <c r="L217" s="50"/>
      <c r="M217" s="50"/>
      <c r="N217" s="50"/>
      <c r="O217" s="50"/>
      <c r="P217" s="50"/>
      <c r="Q217" s="50"/>
      <c r="R217" s="1019"/>
      <c r="S217" s="10"/>
      <c r="T217" s="10"/>
      <c r="U217" s="10"/>
      <c r="V217" s="10"/>
      <c r="W217" s="10"/>
      <c r="X217" s="10"/>
      <c r="Y217" s="10"/>
      <c r="Z217" s="10"/>
      <c r="AA217" s="163"/>
      <c r="AB217" s="10"/>
      <c r="AC217" s="10"/>
      <c r="AD217" s="10"/>
      <c r="AE217" s="163"/>
      <c r="AF217" s="10"/>
      <c r="AG217" s="10"/>
      <c r="AH217" s="10"/>
      <c r="AI217" s="163">
        <f>AI216/AE216-1</f>
        <v>-0.46575342465753422</v>
      </c>
      <c r="AJ217" s="10"/>
      <c r="AK217" s="50"/>
      <c r="AL217" s="497"/>
      <c r="AM217" s="163"/>
      <c r="AN217" s="539"/>
      <c r="AO217" s="539"/>
      <c r="AP217" s="497"/>
      <c r="AQ217" s="1350"/>
    </row>
    <row r="218" spans="1:45" s="1038" customFormat="1" ht="12.75" hidden="1" customHeight="1" outlineLevel="1">
      <c r="A218" s="2" t="s">
        <v>73</v>
      </c>
      <c r="B218" s="10"/>
      <c r="C218" s="4"/>
      <c r="D218" s="4"/>
      <c r="E218" s="4"/>
      <c r="F218" s="4"/>
      <c r="G218" s="4"/>
      <c r="H218" s="4"/>
      <c r="I218" s="107"/>
      <c r="J218" s="107"/>
      <c r="K218" s="107"/>
      <c r="L218" s="107"/>
      <c r="M218" s="107"/>
      <c r="N218" s="107"/>
      <c r="O218" s="107"/>
      <c r="P218" s="107"/>
      <c r="Q218" s="107"/>
      <c r="R218" s="1019"/>
      <c r="S218" s="10"/>
      <c r="T218" s="10"/>
      <c r="U218" s="10"/>
      <c r="V218" s="10"/>
      <c r="W218" s="4"/>
      <c r="X218" s="4"/>
      <c r="Y218" s="4"/>
      <c r="Z218" s="4"/>
      <c r="AA218" s="157"/>
      <c r="AB218" s="4"/>
      <c r="AC218" s="4"/>
      <c r="AD218" s="107"/>
      <c r="AE218" s="157">
        <v>63</v>
      </c>
      <c r="AF218" s="4"/>
      <c r="AG218" s="4"/>
      <c r="AH218" s="107"/>
      <c r="AI218" s="157">
        <v>61</v>
      </c>
      <c r="AJ218" s="4"/>
      <c r="AK218" s="107"/>
      <c r="AL218" s="481"/>
      <c r="AM218" s="157"/>
      <c r="AN218" s="396"/>
      <c r="AO218" s="396"/>
      <c r="AP218" s="481"/>
      <c r="AQ218" s="1350"/>
    </row>
    <row r="219" spans="1:45" s="1038" customFormat="1" ht="9.75" hidden="1" customHeight="1" outlineLevel="1">
      <c r="A219" s="2" t="s">
        <v>14</v>
      </c>
      <c r="B219" s="10"/>
      <c r="C219" s="10"/>
      <c r="D219" s="10"/>
      <c r="E219" s="10"/>
      <c r="F219" s="10"/>
      <c r="G219" s="10"/>
      <c r="H219" s="10"/>
      <c r="I219" s="10"/>
      <c r="J219" s="10"/>
      <c r="K219" s="10"/>
      <c r="L219" s="10"/>
      <c r="M219" s="10"/>
      <c r="N219" s="10"/>
      <c r="O219" s="10"/>
      <c r="P219" s="10"/>
      <c r="Q219" s="10"/>
      <c r="R219" s="1019"/>
      <c r="S219" s="10"/>
      <c r="T219" s="10"/>
      <c r="U219" s="10"/>
      <c r="V219" s="10"/>
      <c r="W219" s="10"/>
      <c r="X219" s="10"/>
      <c r="Y219" s="10"/>
      <c r="Z219" s="10"/>
      <c r="AA219" s="163"/>
      <c r="AB219" s="10"/>
      <c r="AC219" s="10"/>
      <c r="AD219" s="10"/>
      <c r="AE219" s="163"/>
      <c r="AF219" s="10"/>
      <c r="AG219" s="10"/>
      <c r="AH219" s="10"/>
      <c r="AI219" s="163">
        <f>AI218/AE218-1</f>
        <v>-3.1746031746031744E-2</v>
      </c>
      <c r="AJ219" s="10"/>
      <c r="AK219" s="10"/>
      <c r="AL219" s="482"/>
      <c r="AM219" s="163"/>
      <c r="AN219" s="428"/>
      <c r="AO219" s="428"/>
      <c r="AP219" s="482"/>
      <c r="AQ219" s="1350"/>
    </row>
    <row r="220" spans="1:45" s="1038" customFormat="1" ht="9.75" hidden="1" customHeight="1" outlineLevel="1">
      <c r="A220" s="2" t="s">
        <v>15</v>
      </c>
      <c r="B220" s="10"/>
      <c r="C220" s="10"/>
      <c r="D220" s="10"/>
      <c r="E220" s="10"/>
      <c r="F220" s="10"/>
      <c r="G220" s="10"/>
      <c r="H220" s="10"/>
      <c r="I220" s="50"/>
      <c r="J220" s="50"/>
      <c r="K220" s="50"/>
      <c r="L220" s="50"/>
      <c r="M220" s="50"/>
      <c r="N220" s="50"/>
      <c r="O220" s="50"/>
      <c r="P220" s="50"/>
      <c r="Q220" s="50"/>
      <c r="R220" s="1019"/>
      <c r="S220" s="10"/>
      <c r="T220" s="10"/>
      <c r="U220" s="10"/>
      <c r="V220" s="10"/>
      <c r="W220" s="10"/>
      <c r="X220" s="10"/>
      <c r="Y220" s="10"/>
      <c r="Z220" s="10"/>
      <c r="AA220" s="163"/>
      <c r="AB220" s="10"/>
      <c r="AC220" s="10"/>
      <c r="AD220" s="10"/>
      <c r="AE220" s="163">
        <v>-0.1</v>
      </c>
      <c r="AF220" s="10"/>
      <c r="AG220" s="10"/>
      <c r="AH220" s="10"/>
      <c r="AI220" s="163">
        <v>-0.03</v>
      </c>
      <c r="AJ220" s="10"/>
      <c r="AK220" s="50"/>
      <c r="AL220" s="497"/>
      <c r="AM220" s="163"/>
      <c r="AN220" s="539"/>
      <c r="AO220" s="539"/>
      <c r="AP220" s="497"/>
      <c r="AQ220" s="1350"/>
    </row>
    <row r="221" spans="1:45" ht="12.75" customHeight="1" collapsed="1">
      <c r="A221" s="1025" t="s">
        <v>823</v>
      </c>
      <c r="H221" s="4">
        <v>377</v>
      </c>
      <c r="I221" s="141"/>
      <c r="J221" s="141"/>
      <c r="K221" s="141"/>
      <c r="L221" s="141"/>
      <c r="M221" s="141"/>
      <c r="N221" s="141"/>
      <c r="O221" s="141"/>
      <c r="P221" s="141"/>
      <c r="Q221" s="141"/>
      <c r="R221" s="1398"/>
      <c r="S221" s="1026"/>
      <c r="T221" s="1026"/>
      <c r="U221" s="1026"/>
      <c r="AA221" s="157">
        <v>98</v>
      </c>
      <c r="AB221" s="4">
        <v>99</v>
      </c>
      <c r="AC221" s="4">
        <v>92</v>
      </c>
      <c r="AD221" s="107"/>
      <c r="AE221" s="157">
        <v>89</v>
      </c>
      <c r="AF221" s="4">
        <v>92</v>
      </c>
      <c r="AG221" s="4">
        <v>96</v>
      </c>
      <c r="AH221" s="107">
        <f>H221-AE221-AF221-AG221</f>
        <v>100</v>
      </c>
      <c r="AI221" s="406"/>
      <c r="AJ221" s="14"/>
      <c r="AK221" s="14"/>
      <c r="AL221" s="489">
        <f>I221-AI221-AJ221-AK221</f>
        <v>0</v>
      </c>
      <c r="AM221" s="406"/>
      <c r="AN221" s="543">
        <f>AJ221*(1+AN223)*(1+AN$32)</f>
        <v>0</v>
      </c>
      <c r="AO221" s="543">
        <f>AK221*(1+AO223)*(1+AO$32)</f>
        <v>0</v>
      </c>
      <c r="AP221" s="489">
        <f>J221-AM221-AN221-AO221</f>
        <v>0</v>
      </c>
      <c r="AQ221" s="1350"/>
      <c r="AS221" s="1049"/>
    </row>
    <row r="222" spans="1:45" s="1038" customFormat="1" ht="9.75" hidden="1" customHeight="1" outlineLevel="1">
      <c r="A222" s="1037" t="s">
        <v>14</v>
      </c>
      <c r="B222" s="10"/>
      <c r="C222" s="10"/>
      <c r="D222" s="10"/>
      <c r="E222" s="10"/>
      <c r="F222" s="10"/>
      <c r="G222" s="10"/>
      <c r="H222" s="10"/>
      <c r="I222" s="15">
        <f t="shared" ref="I222:Q222" si="341">I221/H221-1</f>
        <v>-1</v>
      </c>
      <c r="J222" s="15" t="e">
        <f t="shared" si="341"/>
        <v>#DIV/0!</v>
      </c>
      <c r="K222" s="15" t="e">
        <f t="shared" si="341"/>
        <v>#DIV/0!</v>
      </c>
      <c r="L222" s="15" t="e">
        <f t="shared" si="341"/>
        <v>#DIV/0!</v>
      </c>
      <c r="M222" s="15" t="e">
        <f t="shared" si="341"/>
        <v>#DIV/0!</v>
      </c>
      <c r="N222" s="15" t="e">
        <f t="shared" si="341"/>
        <v>#DIV/0!</v>
      </c>
      <c r="O222" s="15" t="e">
        <f t="shared" si="341"/>
        <v>#DIV/0!</v>
      </c>
      <c r="P222" s="15" t="e">
        <f t="shared" si="341"/>
        <v>#DIV/0!</v>
      </c>
      <c r="Q222" s="15" t="e">
        <f t="shared" si="341"/>
        <v>#DIV/0!</v>
      </c>
      <c r="R222" s="1367"/>
      <c r="S222" s="10"/>
      <c r="T222" s="10"/>
      <c r="U222" s="10"/>
      <c r="V222" s="10"/>
      <c r="W222" s="10"/>
      <c r="X222" s="10"/>
      <c r="Y222" s="10"/>
      <c r="Z222" s="10"/>
      <c r="AA222" s="163"/>
      <c r="AB222" s="10"/>
      <c r="AC222" s="10"/>
      <c r="AD222" s="10"/>
      <c r="AE222" s="163">
        <f>AE221/AA221-1</f>
        <v>-9.1836734693877542E-2</v>
      </c>
      <c r="AF222" s="428">
        <f>AF221/AB221-1</f>
        <v>-7.0707070707070718E-2</v>
      </c>
      <c r="AG222" s="428">
        <f>AG221/AC221-1</f>
        <v>4.3478260869565188E-2</v>
      </c>
      <c r="AH222" s="428"/>
      <c r="AI222" s="407">
        <f>AI221/AE221-1</f>
        <v>-1</v>
      </c>
      <c r="AJ222" s="547">
        <f>AJ221/AF221-1</f>
        <v>-1</v>
      </c>
      <c r="AK222" s="547">
        <f>AK221/AG221-1</f>
        <v>-1</v>
      </c>
      <c r="AL222" s="490">
        <f>AL221/AH221-1</f>
        <v>-1</v>
      </c>
      <c r="AM222" s="407"/>
      <c r="AN222" s="547" t="e">
        <f t="shared" ref="AN222" si="342">AN221/AJ221-1</f>
        <v>#DIV/0!</v>
      </c>
      <c r="AO222" s="547" t="e">
        <f t="shared" ref="AO222" si="343">AO221/AK221-1</f>
        <v>#DIV/0!</v>
      </c>
      <c r="AP222" s="490" t="e">
        <f>AP221/AL221-1</f>
        <v>#DIV/0!</v>
      </c>
      <c r="AQ222" s="1350"/>
    </row>
    <row r="223" spans="1:45" s="1038" customFormat="1" ht="9.75" hidden="1" customHeight="1" outlineLevel="1">
      <c r="A223" s="1037" t="s">
        <v>15</v>
      </c>
      <c r="B223" s="10"/>
      <c r="C223" s="10"/>
      <c r="D223" s="10"/>
      <c r="E223" s="10"/>
      <c r="F223" s="10"/>
      <c r="G223" s="10"/>
      <c r="H223" s="10">
        <v>0.03</v>
      </c>
      <c r="I223" s="15">
        <v>0.05</v>
      </c>
      <c r="J223" s="1366">
        <v>-0.03</v>
      </c>
      <c r="K223" s="1366">
        <v>-0.03</v>
      </c>
      <c r="L223" s="1366">
        <v>-0.03</v>
      </c>
      <c r="M223" s="1366">
        <v>-0.03</v>
      </c>
      <c r="N223" s="1366">
        <v>-0.03</v>
      </c>
      <c r="O223" s="1366">
        <v>-0.03</v>
      </c>
      <c r="P223" s="1366">
        <v>-0.03</v>
      </c>
      <c r="Q223" s="1366">
        <v>-0.03</v>
      </c>
      <c r="R223" s="1367"/>
      <c r="S223" s="10"/>
      <c r="T223" s="10"/>
      <c r="U223" s="10"/>
      <c r="V223" s="10"/>
      <c r="W223" s="10"/>
      <c r="X223" s="10"/>
      <c r="Y223" s="10"/>
      <c r="Z223" s="10"/>
      <c r="AA223" s="163"/>
      <c r="AB223" s="10"/>
      <c r="AC223" s="10"/>
      <c r="AD223" s="10"/>
      <c r="AE223" s="163">
        <v>-0.04</v>
      </c>
      <c r="AF223" s="428">
        <v>-0.04</v>
      </c>
      <c r="AG223" s="428">
        <v>7.0000000000000007E-2</v>
      </c>
      <c r="AH223" s="10">
        <v>0.11</v>
      </c>
      <c r="AI223" s="407">
        <v>-0.01</v>
      </c>
      <c r="AJ223" s="547">
        <v>0.14000000000000001</v>
      </c>
      <c r="AK223" s="547">
        <v>0.02</v>
      </c>
      <c r="AL223" s="490">
        <v>7.0000000000000007E-2</v>
      </c>
      <c r="AM223" s="407"/>
      <c r="AN223" s="1364">
        <v>-0.03</v>
      </c>
      <c r="AO223" s="1364">
        <v>-0.03</v>
      </c>
      <c r="AP223" s="1365"/>
      <c r="AQ223" s="1350"/>
    </row>
    <row r="224" spans="1:45" ht="12.75" customHeight="1" collapsed="1">
      <c r="A224" s="1025" t="s">
        <v>878</v>
      </c>
      <c r="I224" s="107"/>
      <c r="J224" s="107"/>
      <c r="K224" s="499">
        <v>100</v>
      </c>
      <c r="L224" s="107">
        <f t="shared" ref="L224:Q224" si="344">K224*(1+L226)*(1+L$32)</f>
        <v>229.99999999999997</v>
      </c>
      <c r="M224" s="107">
        <f t="shared" si="344"/>
        <v>459.99999999999994</v>
      </c>
      <c r="N224" s="107">
        <f t="shared" si="344"/>
        <v>781.99999999999989</v>
      </c>
      <c r="O224" s="107">
        <f t="shared" si="344"/>
        <v>899.29999999999984</v>
      </c>
      <c r="P224" s="107">
        <f t="shared" si="344"/>
        <v>989.2299999999999</v>
      </c>
      <c r="Q224" s="107">
        <f t="shared" si="344"/>
        <v>1038.6914999999999</v>
      </c>
      <c r="R224" s="402"/>
      <c r="S224" s="1026"/>
      <c r="T224" s="1026"/>
      <c r="U224" s="1026"/>
      <c r="AD224" s="107"/>
      <c r="AH224" s="107"/>
      <c r="AK224" s="107"/>
      <c r="AL224" s="481"/>
      <c r="AM224" s="157"/>
      <c r="AN224" s="396"/>
      <c r="AO224" s="396"/>
      <c r="AP224" s="481"/>
      <c r="AQ224" s="1350"/>
    </row>
    <row r="225" spans="1:43" s="1038" customFormat="1" ht="9.75" hidden="1" customHeight="1" outlineLevel="1">
      <c r="A225" s="1037" t="s">
        <v>14</v>
      </c>
      <c r="B225" s="10"/>
      <c r="C225" s="10"/>
      <c r="D225" s="10"/>
      <c r="E225" s="10"/>
      <c r="F225" s="10"/>
      <c r="G225" s="10"/>
      <c r="H225" s="10"/>
      <c r="I225" s="10"/>
      <c r="J225" s="10"/>
      <c r="K225" s="10"/>
      <c r="L225" s="10">
        <f t="shared" ref="L225:Q225" si="345">L224/K224-1</f>
        <v>1.2999999999999998</v>
      </c>
      <c r="M225" s="10">
        <f t="shared" si="345"/>
        <v>1</v>
      </c>
      <c r="N225" s="10">
        <f t="shared" si="345"/>
        <v>0.7</v>
      </c>
      <c r="O225" s="10">
        <f t="shared" si="345"/>
        <v>0.14999999999999991</v>
      </c>
      <c r="P225" s="10">
        <f t="shared" si="345"/>
        <v>0.10000000000000009</v>
      </c>
      <c r="Q225" s="10">
        <f t="shared" si="345"/>
        <v>5.0000000000000044E-2</v>
      </c>
      <c r="R225" s="1019"/>
      <c r="S225" s="10"/>
      <c r="T225" s="10"/>
      <c r="U225" s="10"/>
      <c r="V225" s="10"/>
      <c r="W225" s="10"/>
      <c r="X225" s="10"/>
      <c r="Y225" s="10"/>
      <c r="Z225" s="10"/>
      <c r="AA225" s="163"/>
      <c r="AB225" s="10"/>
      <c r="AC225" s="10"/>
      <c r="AD225" s="10"/>
      <c r="AE225" s="163"/>
      <c r="AF225" s="10"/>
      <c r="AG225" s="10"/>
      <c r="AH225" s="10"/>
      <c r="AI225" s="163"/>
      <c r="AJ225" s="10"/>
      <c r="AK225" s="10"/>
      <c r="AL225" s="482"/>
      <c r="AM225" s="163"/>
      <c r="AN225" s="428"/>
      <c r="AO225" s="428"/>
      <c r="AP225" s="482"/>
      <c r="AQ225" s="1350"/>
    </row>
    <row r="226" spans="1:43" s="1038" customFormat="1" ht="9.75" hidden="1" customHeight="1" outlineLevel="1">
      <c r="A226" s="1037" t="s">
        <v>15</v>
      </c>
      <c r="B226" s="10"/>
      <c r="C226" s="10"/>
      <c r="D226" s="10"/>
      <c r="E226" s="10"/>
      <c r="F226" s="10"/>
      <c r="G226" s="10"/>
      <c r="H226" s="10"/>
      <c r="I226" s="50"/>
      <c r="J226" s="50"/>
      <c r="K226" s="50"/>
      <c r="L226" s="50">
        <v>1.3</v>
      </c>
      <c r="M226" s="50">
        <v>1</v>
      </c>
      <c r="N226" s="50">
        <v>0.7</v>
      </c>
      <c r="O226" s="50">
        <v>0.15</v>
      </c>
      <c r="P226" s="50">
        <v>0.1</v>
      </c>
      <c r="Q226" s="50">
        <v>0.05</v>
      </c>
      <c r="R226" s="1019"/>
      <c r="S226" s="10"/>
      <c r="T226" s="10"/>
      <c r="U226" s="10"/>
      <c r="V226" s="10"/>
      <c r="W226" s="10"/>
      <c r="X226" s="10"/>
      <c r="Y226" s="10"/>
      <c r="Z226" s="10"/>
      <c r="AA226" s="163"/>
      <c r="AB226" s="10"/>
      <c r="AC226" s="10"/>
      <c r="AD226" s="10"/>
      <c r="AE226" s="163"/>
      <c r="AF226" s="10"/>
      <c r="AG226" s="10"/>
      <c r="AH226" s="10"/>
      <c r="AI226" s="163"/>
      <c r="AJ226" s="10"/>
      <c r="AK226" s="50"/>
      <c r="AL226" s="497"/>
      <c r="AM226" s="163"/>
      <c r="AN226" s="539"/>
      <c r="AO226" s="539"/>
      <c r="AP226" s="497"/>
      <c r="AQ226" s="1350"/>
    </row>
    <row r="227" spans="1:43" ht="12.75" customHeight="1" collapsed="1">
      <c r="A227" s="1025" t="s">
        <v>29</v>
      </c>
      <c r="C227" s="4">
        <v>113</v>
      </c>
      <c r="D227" s="4">
        <v>88</v>
      </c>
      <c r="E227" s="4">
        <v>61</v>
      </c>
      <c r="F227" s="4">
        <v>63</v>
      </c>
      <c r="G227" s="4">
        <v>50</v>
      </c>
      <c r="H227" s="4">
        <v>2297</v>
      </c>
      <c r="I227" s="107">
        <f>2207-747+400</f>
        <v>1860</v>
      </c>
      <c r="J227" s="107">
        <f t="shared" ref="J227:Q227" si="346">I227+I227*J229</f>
        <v>1915.8</v>
      </c>
      <c r="K227" s="107">
        <f t="shared" si="346"/>
        <v>1973.2739999999999</v>
      </c>
      <c r="L227" s="107">
        <f t="shared" si="346"/>
        <v>2032.4722199999999</v>
      </c>
      <c r="M227" s="107">
        <f t="shared" si="346"/>
        <v>2093.4463866000001</v>
      </c>
      <c r="N227" s="107">
        <f t="shared" si="346"/>
        <v>2156.2497781980001</v>
      </c>
      <c r="O227" s="107">
        <f t="shared" si="346"/>
        <v>2220.9372715439399</v>
      </c>
      <c r="P227" s="107">
        <f t="shared" si="346"/>
        <v>2287.5653896902581</v>
      </c>
      <c r="Q227" s="107">
        <f t="shared" si="346"/>
        <v>2356.1923513809661</v>
      </c>
      <c r="R227" s="402">
        <f>(N227/J227)^(1/($N$1-$J$1))-1</f>
        <v>3.0000000000000027E-2</v>
      </c>
      <c r="S227" s="1026"/>
      <c r="T227" s="1026"/>
      <c r="U227" s="1026"/>
      <c r="W227" s="4">
        <v>17</v>
      </c>
      <c r="X227" s="4">
        <v>17</v>
      </c>
      <c r="Y227" s="4">
        <v>16</v>
      </c>
      <c r="Z227" s="4">
        <v>13</v>
      </c>
      <c r="AA227" s="157">
        <v>13</v>
      </c>
      <c r="AB227" s="4">
        <v>15</v>
      </c>
      <c r="AC227" s="4">
        <v>10</v>
      </c>
      <c r="AD227" s="107">
        <f>G227-AC227-AB227-AA227</f>
        <v>12</v>
      </c>
      <c r="AE227" s="157">
        <v>542</v>
      </c>
      <c r="AF227" s="4">
        <v>618</v>
      </c>
      <c r="AG227" s="4">
        <v>586</v>
      </c>
      <c r="AH227" s="107">
        <f>H227-AE227-AF227-AG227</f>
        <v>551</v>
      </c>
      <c r="AI227" s="157">
        <f>366+88</f>
        <v>454</v>
      </c>
      <c r="AJ227" s="4">
        <f>388+104</f>
        <v>492</v>
      </c>
      <c r="AK227" s="4">
        <f>544-187+100</f>
        <v>457</v>
      </c>
      <c r="AL227" s="481">
        <f>I227-AI227-AJ227-AK227</f>
        <v>457</v>
      </c>
      <c r="AM227" s="157">
        <v>417</v>
      </c>
      <c r="AN227" s="396">
        <f>AJ227*(1+AN229)*(1+AN$32)</f>
        <v>533.82213299670263</v>
      </c>
      <c r="AO227" s="396">
        <f>AK227*(1+AO229)*(1+AO$32)</f>
        <v>482.29907971548454</v>
      </c>
      <c r="AP227" s="481">
        <f>J227-AM227-AN227-AO227</f>
        <v>482.67878728781278</v>
      </c>
      <c r="AQ227" s="1350"/>
    </row>
    <row r="228" spans="1:43" s="1028" customFormat="1" ht="9.75" hidden="1" customHeight="1" outlineLevel="1">
      <c r="A228" s="1048" t="s">
        <v>14</v>
      </c>
      <c r="B228" s="5"/>
      <c r="C228" s="10"/>
      <c r="D228" s="10">
        <f>D227/C227-1</f>
        <v>-0.22123893805309736</v>
      </c>
      <c r="E228" s="10">
        <f>E227/D227-1</f>
        <v>-0.30681818181818177</v>
      </c>
      <c r="F228" s="10">
        <f>F227/E227-1</f>
        <v>3.2786885245901676E-2</v>
      </c>
      <c r="G228" s="10">
        <f>G227/F227-1</f>
        <v>-0.20634920634920639</v>
      </c>
      <c r="H228" s="10"/>
      <c r="I228" s="10">
        <f t="shared" ref="I228:Q228" si="347">I227/H227-1</f>
        <v>-0.19024814976055726</v>
      </c>
      <c r="J228" s="10">
        <f t="shared" si="347"/>
        <v>3.0000000000000027E-2</v>
      </c>
      <c r="K228" s="10">
        <f t="shared" si="347"/>
        <v>3.0000000000000027E-2</v>
      </c>
      <c r="L228" s="10">
        <f t="shared" si="347"/>
        <v>3.0000000000000027E-2</v>
      </c>
      <c r="M228" s="10">
        <f t="shared" si="347"/>
        <v>3.0000000000000027E-2</v>
      </c>
      <c r="N228" s="10">
        <f t="shared" si="347"/>
        <v>3.0000000000000027E-2</v>
      </c>
      <c r="O228" s="10">
        <f t="shared" si="347"/>
        <v>3.0000000000000027E-2</v>
      </c>
      <c r="P228" s="10">
        <f t="shared" si="347"/>
        <v>3.0000000000000027E-2</v>
      </c>
      <c r="Q228" s="10">
        <f t="shared" si="347"/>
        <v>3.0000000000000027E-2</v>
      </c>
      <c r="R228" s="1018"/>
      <c r="S228" s="5"/>
      <c r="T228" s="5"/>
      <c r="U228" s="5"/>
      <c r="V228" s="5"/>
      <c r="W228" s="10">
        <v>0</v>
      </c>
      <c r="X228" s="10">
        <v>6.25E-2</v>
      </c>
      <c r="Y228" s="10">
        <v>0.14285714285714279</v>
      </c>
      <c r="Z228" s="10">
        <v>-7.1428571428571397E-2</v>
      </c>
      <c r="AA228" s="163">
        <f>AA227/W227-1</f>
        <v>-0.23529411764705888</v>
      </c>
      <c r="AB228" s="10">
        <f>AB227/X227-1</f>
        <v>-0.11764705882352944</v>
      </c>
      <c r="AC228" s="10">
        <f>AC227/Y227-1</f>
        <v>-0.375</v>
      </c>
      <c r="AD228" s="10">
        <f>AD227/Z227-1</f>
        <v>-7.6923076923076872E-2</v>
      </c>
      <c r="AE228" s="163"/>
      <c r="AF228" s="10"/>
      <c r="AG228" s="10"/>
      <c r="AH228" s="10"/>
      <c r="AI228" s="163">
        <f>AI227/AE227-1</f>
        <v>-0.16236162361623618</v>
      </c>
      <c r="AJ228" s="10">
        <f>AJ227/AF227-1</f>
        <v>-0.20388349514563109</v>
      </c>
      <c r="AK228" s="10">
        <f>AK227/AG227-1</f>
        <v>-0.22013651877133111</v>
      </c>
      <c r="AL228" s="482">
        <f>AL227/AH227-1</f>
        <v>-0.1705989110707804</v>
      </c>
      <c r="AM228" s="163">
        <f t="shared" ref="AM228" si="348">AM227/AI227-1</f>
        <v>-8.1497797356828161E-2</v>
      </c>
      <c r="AN228" s="428">
        <f t="shared" ref="AN228" si="349">AN227/AJ227-1</f>
        <v>8.5004335359151639E-2</v>
      </c>
      <c r="AO228" s="428">
        <f t="shared" ref="AO228" si="350">AO227/AK227-1</f>
        <v>5.5359036576552612E-2</v>
      </c>
      <c r="AP228" s="482">
        <f>AP227/AL227-1</f>
        <v>5.6189906537883472E-2</v>
      </c>
      <c r="AQ228" s="1350"/>
    </row>
    <row r="229" spans="1:43" s="1028" customFormat="1" ht="9.75" hidden="1" customHeight="1" outlineLevel="1">
      <c r="A229" s="1048" t="s">
        <v>15</v>
      </c>
      <c r="B229" s="5"/>
      <c r="C229" s="5"/>
      <c r="D229" s="10">
        <v>-0.17</v>
      </c>
      <c r="E229" s="10">
        <v>-0.27</v>
      </c>
      <c r="F229" s="10">
        <v>0.05</v>
      </c>
      <c r="G229" s="10">
        <v>-0.12</v>
      </c>
      <c r="H229" s="10">
        <v>-0.02</v>
      </c>
      <c r="I229" s="10">
        <v>-0.04</v>
      </c>
      <c r="J229" s="50">
        <v>0.03</v>
      </c>
      <c r="K229" s="50">
        <v>0.03</v>
      </c>
      <c r="L229" s="50">
        <v>0.03</v>
      </c>
      <c r="M229" s="50">
        <v>0.03</v>
      </c>
      <c r="N229" s="50">
        <v>0.03</v>
      </c>
      <c r="O229" s="50">
        <v>0.03</v>
      </c>
      <c r="P229" s="50">
        <v>0.03</v>
      </c>
      <c r="Q229" s="50">
        <v>0.03</v>
      </c>
      <c r="R229" s="1018"/>
      <c r="S229" s="5"/>
      <c r="T229" s="5"/>
      <c r="U229" s="5"/>
      <c r="V229" s="5"/>
      <c r="W229" s="10">
        <v>0.06</v>
      </c>
      <c r="X229" s="10">
        <v>0.04</v>
      </c>
      <c r="Y229" s="10">
        <v>0.13</v>
      </c>
      <c r="Z229" s="10">
        <v>-0.04</v>
      </c>
      <c r="AA229" s="163">
        <v>-0.13</v>
      </c>
      <c r="AB229" s="10">
        <v>-0.09</v>
      </c>
      <c r="AC229" s="10">
        <v>-0.18</v>
      </c>
      <c r="AD229" s="10">
        <v>-0.08</v>
      </c>
      <c r="AE229" s="163">
        <v>-0.04</v>
      </c>
      <c r="AF229" s="10">
        <v>-0.06</v>
      </c>
      <c r="AG229" s="10">
        <v>0.05</v>
      </c>
      <c r="AH229" s="10">
        <v>-0.04</v>
      </c>
      <c r="AI229" s="163">
        <v>0.01</v>
      </c>
      <c r="AJ229" s="10">
        <v>-0.06</v>
      </c>
      <c r="AK229" s="10">
        <v>-7.0000000000000007E-2</v>
      </c>
      <c r="AL229" s="482">
        <v>-0.03</v>
      </c>
      <c r="AM229" s="163">
        <v>-0.12</v>
      </c>
      <c r="AN229" s="539">
        <v>0.03</v>
      </c>
      <c r="AO229" s="539">
        <v>0.03</v>
      </c>
      <c r="AP229" s="497"/>
      <c r="AQ229" s="1350"/>
    </row>
    <row r="230" spans="1:43" ht="12.75" hidden="1" customHeight="1" outlineLevel="1" collapsed="1">
      <c r="A230" s="1025" t="s">
        <v>64</v>
      </c>
      <c r="G230" s="4">
        <v>1196</v>
      </c>
      <c r="I230" s="107"/>
      <c r="J230" s="107"/>
      <c r="K230" s="107"/>
      <c r="L230" s="107"/>
      <c r="M230" s="107"/>
      <c r="N230" s="107"/>
      <c r="O230" s="107"/>
      <c r="P230" s="107"/>
      <c r="Q230" s="107"/>
      <c r="R230" s="402"/>
      <c r="S230" s="1026"/>
      <c r="T230" s="1026"/>
      <c r="U230" s="1026"/>
      <c r="AA230" s="157">
        <v>300</v>
      </c>
      <c r="AB230" s="4">
        <v>303</v>
      </c>
      <c r="AC230" s="4">
        <v>298</v>
      </c>
      <c r="AD230" s="107">
        <f>G230-AA230-AB230-AC230</f>
        <v>295</v>
      </c>
      <c r="AE230" s="168"/>
      <c r="AH230" s="141"/>
      <c r="AI230" s="168"/>
      <c r="AK230" s="141"/>
      <c r="AL230" s="486"/>
      <c r="AM230" s="168"/>
      <c r="AN230" s="542"/>
      <c r="AO230" s="542"/>
      <c r="AP230" s="486"/>
      <c r="AQ230" s="1350"/>
    </row>
    <row r="231" spans="1:43" s="1038" customFormat="1" ht="9.75" hidden="1" customHeight="1" outlineLevel="1">
      <c r="A231" s="1037" t="s">
        <v>14</v>
      </c>
      <c r="B231" s="10"/>
      <c r="C231" s="10"/>
      <c r="D231" s="10"/>
      <c r="E231" s="10"/>
      <c r="F231" s="10"/>
      <c r="G231" s="10"/>
      <c r="H231" s="10"/>
      <c r="I231" s="10"/>
      <c r="J231" s="10"/>
      <c r="K231" s="10"/>
      <c r="L231" s="10"/>
      <c r="M231" s="10"/>
      <c r="N231" s="10"/>
      <c r="O231" s="10"/>
      <c r="P231" s="10"/>
      <c r="Q231" s="10"/>
      <c r="R231" s="1019"/>
      <c r="S231" s="10"/>
      <c r="T231" s="10"/>
      <c r="U231" s="10"/>
      <c r="V231" s="10"/>
      <c r="W231" s="10"/>
      <c r="X231" s="10"/>
      <c r="Y231" s="10"/>
      <c r="Z231" s="10"/>
      <c r="AA231" s="163">
        <f t="shared" ref="AA231:AD232" si="351">AA470</f>
        <v>-6.5420560747663559E-2</v>
      </c>
      <c r="AB231" s="10">
        <f t="shared" si="351"/>
        <v>-8.181818181818179E-2</v>
      </c>
      <c r="AC231" s="10">
        <f t="shared" si="351"/>
        <v>-0.11572700296735905</v>
      </c>
      <c r="AD231" s="10">
        <f t="shared" si="351"/>
        <v>-3.7220543806646527</v>
      </c>
      <c r="AE231" s="167"/>
      <c r="AF231" s="10"/>
      <c r="AG231" s="10"/>
      <c r="AH231" s="2"/>
      <c r="AI231" s="167"/>
      <c r="AJ231" s="10"/>
      <c r="AK231" s="2"/>
      <c r="AL231" s="485"/>
      <c r="AM231" s="167"/>
      <c r="AN231" s="546"/>
      <c r="AO231" s="546"/>
      <c r="AP231" s="485"/>
      <c r="AQ231" s="1350"/>
    </row>
    <row r="232" spans="1:43" s="1038" customFormat="1" ht="9.75" hidden="1" customHeight="1" outlineLevel="1">
      <c r="A232" s="1037" t="s">
        <v>15</v>
      </c>
      <c r="B232" s="10"/>
      <c r="C232" s="10"/>
      <c r="D232" s="10"/>
      <c r="E232" s="10"/>
      <c r="F232" s="10"/>
      <c r="G232" s="10"/>
      <c r="H232" s="10"/>
      <c r="I232" s="50"/>
      <c r="J232" s="50"/>
      <c r="K232" s="50"/>
      <c r="L232" s="50"/>
      <c r="M232" s="50"/>
      <c r="N232" s="50"/>
      <c r="O232" s="50"/>
      <c r="P232" s="50"/>
      <c r="Q232" s="50"/>
      <c r="R232" s="1019"/>
      <c r="S232" s="10"/>
      <c r="T232" s="10"/>
      <c r="U232" s="10"/>
      <c r="V232" s="10"/>
      <c r="W232" s="10"/>
      <c r="X232" s="10"/>
      <c r="Y232" s="10"/>
      <c r="Z232" s="10"/>
      <c r="AA232" s="163">
        <f t="shared" si="351"/>
        <v>0.06</v>
      </c>
      <c r="AB232" s="10">
        <f t="shared" si="351"/>
        <v>0.05</v>
      </c>
      <c r="AC232" s="10">
        <f t="shared" si="351"/>
        <v>0</v>
      </c>
      <c r="AD232" s="10">
        <f t="shared" si="351"/>
        <v>-0.02</v>
      </c>
      <c r="AE232" s="167"/>
      <c r="AF232" s="10"/>
      <c r="AG232" s="10"/>
      <c r="AH232" s="2"/>
      <c r="AI232" s="167"/>
      <c r="AJ232" s="10"/>
      <c r="AK232" s="2"/>
      <c r="AL232" s="485"/>
      <c r="AM232" s="167"/>
      <c r="AN232" s="546"/>
      <c r="AO232" s="546"/>
      <c r="AP232" s="485"/>
      <c r="AQ232" s="1350"/>
    </row>
    <row r="233" spans="1:43" ht="12.75" hidden="1" customHeight="1" outlineLevel="1" collapsed="1">
      <c r="A233" s="1025" t="s">
        <v>65</v>
      </c>
      <c r="G233" s="4">
        <v>780</v>
      </c>
      <c r="I233" s="107"/>
      <c r="J233" s="107"/>
      <c r="K233" s="107"/>
      <c r="L233" s="107"/>
      <c r="M233" s="107"/>
      <c r="N233" s="107"/>
      <c r="O233" s="107"/>
      <c r="P233" s="107"/>
      <c r="Q233" s="107"/>
      <c r="R233" s="402"/>
      <c r="S233" s="1026"/>
      <c r="T233" s="1026"/>
      <c r="U233" s="1026"/>
      <c r="AA233" s="157">
        <v>270</v>
      </c>
      <c r="AB233" s="4">
        <v>226</v>
      </c>
      <c r="AC233" s="4">
        <v>149</v>
      </c>
      <c r="AD233" s="107">
        <f>G233-AA233-AB233-AC233</f>
        <v>135</v>
      </c>
      <c r="AE233" s="168"/>
      <c r="AH233" s="141"/>
      <c r="AI233" s="168"/>
      <c r="AK233" s="141"/>
      <c r="AL233" s="486"/>
      <c r="AM233" s="168"/>
      <c r="AN233" s="542"/>
      <c r="AO233" s="542"/>
      <c r="AP233" s="486"/>
      <c r="AQ233" s="1350"/>
    </row>
    <row r="234" spans="1:43" s="1038" customFormat="1" ht="9.75" hidden="1" customHeight="1" outlineLevel="1">
      <c r="A234" s="1037" t="s">
        <v>14</v>
      </c>
      <c r="B234" s="10"/>
      <c r="C234" s="10"/>
      <c r="D234" s="10"/>
      <c r="E234" s="10"/>
      <c r="F234" s="10"/>
      <c r="G234" s="10"/>
      <c r="H234" s="10"/>
      <c r="I234" s="10"/>
      <c r="J234" s="10"/>
      <c r="K234" s="10"/>
      <c r="L234" s="10"/>
      <c r="M234" s="10"/>
      <c r="N234" s="10"/>
      <c r="O234" s="10"/>
      <c r="P234" s="10"/>
      <c r="Q234" s="10"/>
      <c r="R234" s="1019"/>
      <c r="S234" s="10"/>
      <c r="T234" s="10"/>
      <c r="U234" s="10"/>
      <c r="V234" s="10"/>
      <c r="W234" s="10"/>
      <c r="X234" s="10"/>
      <c r="Y234" s="10"/>
      <c r="Z234" s="10"/>
      <c r="AA234" s="163">
        <f t="shared" ref="AA234:AD235" si="352">AA473</f>
        <v>-1.8181818181818188E-2</v>
      </c>
      <c r="AB234" s="10">
        <f t="shared" si="352"/>
        <v>-0.13740458015267176</v>
      </c>
      <c r="AC234" s="10">
        <f t="shared" si="352"/>
        <v>-0.13372093023255816</v>
      </c>
      <c r="AD234" s="10">
        <f t="shared" si="352"/>
        <v>-4.6235955056179776</v>
      </c>
      <c r="AE234" s="167"/>
      <c r="AF234" s="10"/>
      <c r="AG234" s="10"/>
      <c r="AH234" s="2"/>
      <c r="AI234" s="167"/>
      <c r="AJ234" s="10"/>
      <c r="AK234" s="2"/>
      <c r="AL234" s="485"/>
      <c r="AM234" s="167"/>
      <c r="AN234" s="546"/>
      <c r="AO234" s="546"/>
      <c r="AP234" s="485"/>
      <c r="AQ234" s="1350"/>
    </row>
    <row r="235" spans="1:43" s="1038" customFormat="1" ht="9.75" hidden="1" customHeight="1" outlineLevel="1">
      <c r="A235" s="1037" t="s">
        <v>15</v>
      </c>
      <c r="B235" s="10"/>
      <c r="C235" s="10"/>
      <c r="D235" s="10"/>
      <c r="E235" s="10"/>
      <c r="F235" s="10"/>
      <c r="G235" s="10"/>
      <c r="H235" s="10"/>
      <c r="I235" s="50"/>
      <c r="J235" s="50"/>
      <c r="K235" s="50"/>
      <c r="L235" s="50"/>
      <c r="M235" s="50"/>
      <c r="N235" s="50"/>
      <c r="O235" s="50"/>
      <c r="P235" s="50"/>
      <c r="Q235" s="50"/>
      <c r="R235" s="1019"/>
      <c r="S235" s="10"/>
      <c r="T235" s="10"/>
      <c r="U235" s="10"/>
      <c r="V235" s="10"/>
      <c r="W235" s="10"/>
      <c r="X235" s="10"/>
      <c r="Y235" s="10"/>
      <c r="Z235" s="10"/>
      <c r="AA235" s="163">
        <f t="shared" si="352"/>
        <v>0.02</v>
      </c>
      <c r="AB235" s="10">
        <f t="shared" si="352"/>
        <v>-0.12</v>
      </c>
      <c r="AC235" s="10">
        <f t="shared" si="352"/>
        <v>-0.09</v>
      </c>
      <c r="AD235" s="10">
        <f t="shared" si="352"/>
        <v>-0.21</v>
      </c>
      <c r="AE235" s="167"/>
      <c r="AF235" s="10"/>
      <c r="AG235" s="10"/>
      <c r="AH235" s="2"/>
      <c r="AI235" s="167"/>
      <c r="AJ235" s="10"/>
      <c r="AK235" s="2"/>
      <c r="AL235" s="485"/>
      <c r="AM235" s="167"/>
      <c r="AN235" s="546"/>
      <c r="AO235" s="546"/>
      <c r="AP235" s="485"/>
      <c r="AQ235" s="1350"/>
    </row>
    <row r="236" spans="1:43" ht="12.75" hidden="1" customHeight="1" outlineLevel="1" collapsed="1">
      <c r="A236" s="1025" t="s">
        <v>66</v>
      </c>
      <c r="G236" s="4">
        <v>1011</v>
      </c>
      <c r="I236" s="107"/>
      <c r="J236" s="107"/>
      <c r="K236" s="107"/>
      <c r="L236" s="107"/>
      <c r="M236" s="107"/>
      <c r="N236" s="107"/>
      <c r="O236" s="107"/>
      <c r="P236" s="107"/>
      <c r="Q236" s="107"/>
      <c r="R236" s="402"/>
      <c r="S236" s="1026"/>
      <c r="T236" s="1026"/>
      <c r="U236" s="1026"/>
      <c r="AA236" s="157">
        <v>235</v>
      </c>
      <c r="AB236" s="4">
        <v>281</v>
      </c>
      <c r="AC236" s="4">
        <v>244</v>
      </c>
      <c r="AD236" s="107">
        <f>G236-AA236-AB236-AC236</f>
        <v>251</v>
      </c>
      <c r="AE236" s="168"/>
      <c r="AH236" s="141"/>
      <c r="AI236" s="168"/>
      <c r="AK236" s="141"/>
      <c r="AL236" s="486"/>
      <c r="AM236" s="168"/>
      <c r="AN236" s="542"/>
      <c r="AO236" s="542"/>
      <c r="AP236" s="486"/>
      <c r="AQ236" s="1350"/>
    </row>
    <row r="237" spans="1:43" s="1038" customFormat="1" ht="9.75" hidden="1" customHeight="1" outlineLevel="1">
      <c r="A237" s="1037" t="s">
        <v>14</v>
      </c>
      <c r="B237" s="10"/>
      <c r="C237" s="10"/>
      <c r="D237" s="10"/>
      <c r="E237" s="10"/>
      <c r="F237" s="10"/>
      <c r="G237" s="10"/>
      <c r="H237" s="10"/>
      <c r="I237" s="10"/>
      <c r="J237" s="10"/>
      <c r="K237" s="10"/>
      <c r="L237" s="10"/>
      <c r="M237" s="10"/>
      <c r="N237" s="10"/>
      <c r="O237" s="10"/>
      <c r="P237" s="10"/>
      <c r="Q237" s="10"/>
      <c r="R237" s="1019"/>
      <c r="S237" s="10"/>
      <c r="T237" s="10"/>
      <c r="U237" s="10"/>
      <c r="V237" s="10"/>
      <c r="W237" s="10"/>
      <c r="X237" s="10"/>
      <c r="Y237" s="10"/>
      <c r="Z237" s="10"/>
      <c r="AA237" s="163">
        <f t="shared" ref="AA237:AD238" si="353">AA476</f>
        <v>-2.8925619834710758E-2</v>
      </c>
      <c r="AB237" s="10">
        <f t="shared" si="353"/>
        <v>1.0791366906474753E-2</v>
      </c>
      <c r="AC237" s="10">
        <f t="shared" si="353"/>
        <v>-8.6142322097378266E-2</v>
      </c>
      <c r="AD237" s="10">
        <f t="shared" si="353"/>
        <v>-3.7240143369175627</v>
      </c>
      <c r="AE237" s="167"/>
      <c r="AF237" s="10"/>
      <c r="AG237" s="10"/>
      <c r="AH237" s="2"/>
      <c r="AI237" s="167"/>
      <c r="AJ237" s="10"/>
      <c r="AK237" s="2"/>
      <c r="AL237" s="485"/>
      <c r="AM237" s="167"/>
      <c r="AN237" s="546"/>
      <c r="AO237" s="546"/>
      <c r="AP237" s="485"/>
      <c r="AQ237" s="1350"/>
    </row>
    <row r="238" spans="1:43" s="1038" customFormat="1" ht="9.75" hidden="1" customHeight="1" outlineLevel="1">
      <c r="A238" s="1037" t="s">
        <v>15</v>
      </c>
      <c r="B238" s="10"/>
      <c r="C238" s="10"/>
      <c r="D238" s="10"/>
      <c r="E238" s="10"/>
      <c r="F238" s="10"/>
      <c r="G238" s="10"/>
      <c r="H238" s="10"/>
      <c r="I238" s="50"/>
      <c r="J238" s="50"/>
      <c r="K238" s="50"/>
      <c r="L238" s="50"/>
      <c r="M238" s="50"/>
      <c r="N238" s="50"/>
      <c r="O238" s="50"/>
      <c r="P238" s="50"/>
      <c r="Q238" s="50"/>
      <c r="R238" s="1019"/>
      <c r="S238" s="10"/>
      <c r="T238" s="10"/>
      <c r="U238" s="10"/>
      <c r="V238" s="10"/>
      <c r="W238" s="10"/>
      <c r="X238" s="10"/>
      <c r="Y238" s="10"/>
      <c r="Z238" s="10"/>
      <c r="AA238" s="163">
        <f t="shared" si="353"/>
        <v>0.04</v>
      </c>
      <c r="AB238" s="10">
        <f t="shared" si="353"/>
        <v>0.09</v>
      </c>
      <c r="AC238" s="10">
        <f t="shared" si="353"/>
        <v>0</v>
      </c>
      <c r="AD238" s="10">
        <f t="shared" si="353"/>
        <v>-0.04</v>
      </c>
      <c r="AE238" s="167"/>
      <c r="AF238" s="10"/>
      <c r="AG238" s="10"/>
      <c r="AH238" s="2"/>
      <c r="AI238" s="167"/>
      <c r="AJ238" s="10"/>
      <c r="AK238" s="2"/>
      <c r="AL238" s="485"/>
      <c r="AM238" s="167"/>
      <c r="AN238" s="546"/>
      <c r="AO238" s="546"/>
      <c r="AP238" s="485"/>
      <c r="AQ238" s="1350"/>
    </row>
    <row r="239" spans="1:43" ht="12.75" hidden="1" customHeight="1" outlineLevel="1" collapsed="1">
      <c r="A239" s="1036" t="s">
        <v>299</v>
      </c>
      <c r="G239" s="4">
        <v>583</v>
      </c>
      <c r="I239" s="107"/>
      <c r="J239" s="107"/>
      <c r="K239" s="107"/>
      <c r="L239" s="107"/>
      <c r="M239" s="107"/>
      <c r="N239" s="107"/>
      <c r="O239" s="107"/>
      <c r="P239" s="107"/>
      <c r="Q239" s="107"/>
      <c r="R239" s="402"/>
      <c r="S239" s="1026"/>
      <c r="T239" s="1026"/>
      <c r="U239" s="1026"/>
      <c r="AA239" s="157">
        <v>152</v>
      </c>
      <c r="AB239" s="4">
        <v>149</v>
      </c>
      <c r="AC239" s="4">
        <v>142</v>
      </c>
      <c r="AD239" s="107">
        <f>G239-AA239-AB239-AC239</f>
        <v>140</v>
      </c>
      <c r="AE239" s="168"/>
      <c r="AH239" s="141"/>
      <c r="AI239" s="168"/>
      <c r="AK239" s="141"/>
      <c r="AL239" s="486"/>
      <c r="AM239" s="168"/>
      <c r="AN239" s="542"/>
      <c r="AO239" s="542"/>
      <c r="AP239" s="486"/>
      <c r="AQ239" s="1350"/>
    </row>
    <row r="240" spans="1:43" s="1038" customFormat="1" ht="9.75" hidden="1" customHeight="1" outlineLevel="1">
      <c r="A240" s="1037" t="s">
        <v>14</v>
      </c>
      <c r="B240" s="10"/>
      <c r="C240" s="10"/>
      <c r="D240" s="10"/>
      <c r="E240" s="10"/>
      <c r="F240" s="10"/>
      <c r="G240" s="10"/>
      <c r="H240" s="10"/>
      <c r="I240" s="10"/>
      <c r="J240" s="10"/>
      <c r="K240" s="10"/>
      <c r="L240" s="10"/>
      <c r="M240" s="10"/>
      <c r="N240" s="10"/>
      <c r="O240" s="10"/>
      <c r="P240" s="10"/>
      <c r="Q240" s="10"/>
      <c r="R240" s="1019"/>
      <c r="S240" s="10"/>
      <c r="T240" s="10"/>
      <c r="U240" s="10"/>
      <c r="V240" s="10"/>
      <c r="W240" s="10"/>
      <c r="X240" s="10"/>
      <c r="Y240" s="10"/>
      <c r="Z240" s="10"/>
      <c r="AA240" s="163">
        <f t="shared" ref="AA240:AD241" si="354">AA479</f>
        <v>7.0422535211267512E-2</v>
      </c>
      <c r="AB240" s="10">
        <f t="shared" si="354"/>
        <v>-4.4871794871794823E-2</v>
      </c>
      <c r="AC240" s="10">
        <f t="shared" si="354"/>
        <v>-8.9743589743589758E-2</v>
      </c>
      <c r="AD240" s="10">
        <f t="shared" si="354"/>
        <v>-3.8580645161290321</v>
      </c>
      <c r="AE240" s="167"/>
      <c r="AF240" s="10"/>
      <c r="AG240" s="10"/>
      <c r="AH240" s="2"/>
      <c r="AI240" s="167"/>
      <c r="AJ240" s="10"/>
      <c r="AK240" s="2"/>
      <c r="AL240" s="485"/>
      <c r="AM240" s="167"/>
      <c r="AN240" s="546"/>
      <c r="AO240" s="546"/>
      <c r="AP240" s="485"/>
      <c r="AQ240" s="1350"/>
    </row>
    <row r="241" spans="1:43" s="1038" customFormat="1" ht="9.75" hidden="1" customHeight="1" outlineLevel="1">
      <c r="A241" s="1037" t="s">
        <v>15</v>
      </c>
      <c r="B241" s="10"/>
      <c r="C241" s="10"/>
      <c r="D241" s="10"/>
      <c r="E241" s="10"/>
      <c r="F241" s="10"/>
      <c r="G241" s="10"/>
      <c r="H241" s="10"/>
      <c r="I241" s="50"/>
      <c r="J241" s="50"/>
      <c r="K241" s="50"/>
      <c r="L241" s="50"/>
      <c r="M241" s="50"/>
      <c r="N241" s="50"/>
      <c r="O241" s="50"/>
      <c r="P241" s="50"/>
      <c r="Q241" s="50"/>
      <c r="R241" s="1019"/>
      <c r="S241" s="10"/>
      <c r="T241" s="10"/>
      <c r="U241" s="10"/>
      <c r="V241" s="10"/>
      <c r="W241" s="10"/>
      <c r="X241" s="10"/>
      <c r="Y241" s="10"/>
      <c r="Z241" s="10"/>
      <c r="AA241" s="163">
        <f t="shared" si="354"/>
        <v>0.16</v>
      </c>
      <c r="AB241" s="10">
        <f t="shared" si="354"/>
        <v>0.05</v>
      </c>
      <c r="AC241" s="10">
        <f t="shared" si="354"/>
        <v>0.03</v>
      </c>
      <c r="AD241" s="10">
        <f t="shared" si="354"/>
        <v>0</v>
      </c>
      <c r="AE241" s="167"/>
      <c r="AF241" s="10"/>
      <c r="AG241" s="10"/>
      <c r="AH241" s="2"/>
      <c r="AI241" s="167"/>
      <c r="AJ241" s="10"/>
      <c r="AK241" s="2"/>
      <c r="AL241" s="485"/>
      <c r="AM241" s="167"/>
      <c r="AN241" s="546"/>
      <c r="AO241" s="546"/>
      <c r="AP241" s="485"/>
      <c r="AQ241" s="1350"/>
    </row>
    <row r="242" spans="1:43" ht="12.75" hidden="1" customHeight="1" outlineLevel="1">
      <c r="A242" s="1036" t="s">
        <v>29</v>
      </c>
      <c r="G242" s="4">
        <v>243</v>
      </c>
      <c r="I242" s="107"/>
      <c r="J242" s="107"/>
      <c r="K242" s="107"/>
      <c r="L242" s="107"/>
      <c r="M242" s="107"/>
      <c r="N242" s="107"/>
      <c r="O242" s="107"/>
      <c r="P242" s="107"/>
      <c r="Q242" s="107"/>
      <c r="R242" s="402"/>
      <c r="S242" s="1026"/>
      <c r="T242" s="1026"/>
      <c r="U242" s="1026"/>
      <c r="AA242" s="157">
        <v>70</v>
      </c>
      <c r="AB242" s="4">
        <v>69</v>
      </c>
      <c r="AC242" s="4">
        <v>44</v>
      </c>
      <c r="AD242" s="107">
        <f>G242-AA242-AB242-AC242</f>
        <v>60</v>
      </c>
      <c r="AE242" s="168"/>
      <c r="AH242" s="141"/>
      <c r="AI242" s="168"/>
      <c r="AK242" s="141"/>
      <c r="AL242" s="486"/>
      <c r="AM242" s="168"/>
      <c r="AN242" s="542"/>
      <c r="AO242" s="542"/>
      <c r="AP242" s="486"/>
      <c r="AQ242" s="1350"/>
    </row>
    <row r="243" spans="1:43" s="1038" customFormat="1" ht="9.75" hidden="1" customHeight="1" outlineLevel="1">
      <c r="A243" s="1037" t="s">
        <v>14</v>
      </c>
      <c r="B243" s="10"/>
      <c r="C243" s="10"/>
      <c r="D243" s="10"/>
      <c r="E243" s="10"/>
      <c r="F243" s="10"/>
      <c r="G243" s="10"/>
      <c r="H243" s="10"/>
      <c r="I243" s="10"/>
      <c r="J243" s="10"/>
      <c r="K243" s="10"/>
      <c r="L243" s="10"/>
      <c r="M243" s="10"/>
      <c r="N243" s="10"/>
      <c r="O243" s="10"/>
      <c r="P243" s="10"/>
      <c r="Q243" s="10"/>
      <c r="R243" s="1019"/>
      <c r="S243" s="10"/>
      <c r="T243" s="10"/>
      <c r="U243" s="10"/>
      <c r="V243" s="10"/>
      <c r="W243" s="10"/>
      <c r="X243" s="10"/>
      <c r="Y243" s="10"/>
      <c r="Z243" s="10"/>
      <c r="AA243" s="163">
        <f t="shared" ref="AA243:AD244" si="355">AA482</f>
        <v>-4.1095890410958957E-2</v>
      </c>
      <c r="AB243" s="10">
        <f t="shared" si="355"/>
        <v>-0.23333333333333328</v>
      </c>
      <c r="AC243" s="10">
        <f t="shared" si="355"/>
        <v>-0.48837209302325579</v>
      </c>
      <c r="AD243" s="10">
        <f t="shared" si="355"/>
        <v>-3.2592592592592591</v>
      </c>
      <c r="AE243" s="167"/>
      <c r="AF243" s="10"/>
      <c r="AG243" s="10"/>
      <c r="AH243" s="2"/>
      <c r="AI243" s="167"/>
      <c r="AJ243" s="10"/>
      <c r="AK243" s="2"/>
      <c r="AL243" s="485"/>
      <c r="AM243" s="167"/>
      <c r="AN243" s="546"/>
      <c r="AO243" s="546"/>
      <c r="AP243" s="485"/>
      <c r="AQ243" s="1350"/>
    </row>
    <row r="244" spans="1:43" s="1038" customFormat="1" ht="9.75" hidden="1" customHeight="1" outlineLevel="1">
      <c r="A244" s="1037" t="s">
        <v>15</v>
      </c>
      <c r="B244" s="10"/>
      <c r="C244" s="10"/>
      <c r="D244" s="10"/>
      <c r="E244" s="10"/>
      <c r="F244" s="10"/>
      <c r="G244" s="10"/>
      <c r="H244" s="10"/>
      <c r="I244" s="50"/>
      <c r="J244" s="50"/>
      <c r="K244" s="50"/>
      <c r="L244" s="50"/>
      <c r="M244" s="50"/>
      <c r="N244" s="50"/>
      <c r="O244" s="50"/>
      <c r="P244" s="50"/>
      <c r="Q244" s="50"/>
      <c r="R244" s="1019"/>
      <c r="S244" s="10"/>
      <c r="T244" s="10"/>
      <c r="U244" s="10"/>
      <c r="V244" s="10"/>
      <c r="W244" s="10"/>
      <c r="X244" s="10"/>
      <c r="Y244" s="10"/>
      <c r="Z244" s="10"/>
      <c r="AA244" s="163">
        <f t="shared" si="355"/>
        <v>0.11</v>
      </c>
      <c r="AB244" s="10">
        <f t="shared" si="355"/>
        <v>-0.15</v>
      </c>
      <c r="AC244" s="10">
        <f t="shared" si="355"/>
        <v>-0.35</v>
      </c>
      <c r="AD244" s="10">
        <f t="shared" si="355"/>
        <v>-0.17</v>
      </c>
      <c r="AE244" s="167"/>
      <c r="AF244" s="10"/>
      <c r="AG244" s="10"/>
      <c r="AH244" s="2"/>
      <c r="AI244" s="167"/>
      <c r="AJ244" s="10"/>
      <c r="AK244" s="2"/>
      <c r="AL244" s="485"/>
      <c r="AM244" s="167"/>
      <c r="AN244" s="546"/>
      <c r="AO244" s="546"/>
      <c r="AP244" s="485"/>
      <c r="AQ244" s="1350"/>
    </row>
    <row r="245" spans="1:43" ht="12.75" hidden="1" customHeight="1" outlineLevel="1">
      <c r="A245" s="1050" t="s">
        <v>67</v>
      </c>
      <c r="B245" s="14"/>
      <c r="C245" s="14"/>
      <c r="D245" s="14"/>
      <c r="E245" s="14"/>
      <c r="F245" s="14"/>
      <c r="G245" s="14">
        <f>G230+G233+G236+G239+G242</f>
        <v>3813</v>
      </c>
      <c r="H245" s="14"/>
      <c r="I245" s="135"/>
      <c r="J245" s="135"/>
      <c r="K245" s="135"/>
      <c r="L245" s="135"/>
      <c r="M245" s="135"/>
      <c r="N245" s="135"/>
      <c r="O245" s="135"/>
      <c r="P245" s="135"/>
      <c r="Q245" s="135"/>
      <c r="R245" s="402"/>
      <c r="S245" s="1026"/>
      <c r="T245" s="1026"/>
      <c r="U245" s="1026"/>
      <c r="W245" s="14"/>
      <c r="X245" s="14"/>
      <c r="Y245" s="14"/>
      <c r="Z245" s="14"/>
      <c r="AA245" s="406">
        <f>AA230+AA233+AA236+AA239+AA242</f>
        <v>1027</v>
      </c>
      <c r="AB245" s="14">
        <f>AB230+AB233+AB236+AB239+AB242</f>
        <v>1028</v>
      </c>
      <c r="AC245" s="14">
        <f>AC230+AC233+AC236+AC239+AC242</f>
        <v>877</v>
      </c>
      <c r="AD245" s="135">
        <f>AD230+AD233+AD236+AD239+AD242</f>
        <v>881</v>
      </c>
      <c r="AE245" s="406"/>
      <c r="AF245" s="14"/>
      <c r="AG245" s="14"/>
      <c r="AH245" s="135"/>
      <c r="AI245" s="406"/>
      <c r="AJ245" s="14"/>
      <c r="AK245" s="135"/>
      <c r="AL245" s="489"/>
      <c r="AM245" s="406"/>
      <c r="AN245" s="543"/>
      <c r="AO245" s="543"/>
      <c r="AP245" s="489"/>
      <c r="AQ245" s="1350"/>
    </row>
    <row r="246" spans="1:43" s="1038" customFormat="1" ht="9.75" hidden="1" customHeight="1" outlineLevel="1">
      <c r="A246" s="1051" t="s">
        <v>14</v>
      </c>
      <c r="B246" s="15"/>
      <c r="C246" s="15"/>
      <c r="D246" s="15"/>
      <c r="E246" s="15"/>
      <c r="F246" s="15"/>
      <c r="G246" s="15"/>
      <c r="H246" s="15"/>
      <c r="I246" s="15"/>
      <c r="J246" s="15"/>
      <c r="K246" s="15"/>
      <c r="L246" s="15"/>
      <c r="M246" s="15"/>
      <c r="N246" s="15"/>
      <c r="O246" s="15"/>
      <c r="P246" s="15"/>
      <c r="Q246" s="15"/>
      <c r="R246" s="1019"/>
      <c r="S246" s="10"/>
      <c r="T246" s="10"/>
      <c r="U246" s="10"/>
      <c r="V246" s="10"/>
      <c r="W246" s="15"/>
      <c r="X246" s="15"/>
      <c r="Y246" s="15"/>
      <c r="Z246" s="15"/>
      <c r="AA246" s="407">
        <f t="shared" ref="AA246:AD248" si="356">AA485</f>
        <v>-2.4691358024691357E-2</v>
      </c>
      <c r="AB246" s="15">
        <f t="shared" si="356"/>
        <v>-7.8853046594982046E-2</v>
      </c>
      <c r="AC246" s="15">
        <f t="shared" si="356"/>
        <v>-0.13850687622789781</v>
      </c>
      <c r="AD246" s="15">
        <f t="shared" si="356"/>
        <v>-3.86328125</v>
      </c>
      <c r="AE246" s="407"/>
      <c r="AF246" s="15"/>
      <c r="AG246" s="15"/>
      <c r="AH246" s="15"/>
      <c r="AI246" s="407"/>
      <c r="AJ246" s="15"/>
      <c r="AK246" s="15"/>
      <c r="AL246" s="490"/>
      <c r="AM246" s="407"/>
      <c r="AN246" s="547"/>
      <c r="AO246" s="547"/>
      <c r="AP246" s="490"/>
      <c r="AQ246" s="1350"/>
    </row>
    <row r="247" spans="1:43" s="1038" customFormat="1" ht="9.75" hidden="1" customHeight="1" outlineLevel="1">
      <c r="A247" s="1051" t="s">
        <v>15</v>
      </c>
      <c r="B247" s="15"/>
      <c r="C247" s="15"/>
      <c r="D247" s="15"/>
      <c r="E247" s="15"/>
      <c r="F247" s="15"/>
      <c r="G247" s="15"/>
      <c r="H247" s="15"/>
      <c r="I247" s="15"/>
      <c r="J247" s="15"/>
      <c r="K247" s="15"/>
      <c r="L247" s="15"/>
      <c r="M247" s="15"/>
      <c r="N247" s="15"/>
      <c r="O247" s="15"/>
      <c r="P247" s="15"/>
      <c r="Q247" s="15"/>
      <c r="R247" s="1019"/>
      <c r="S247" s="10"/>
      <c r="T247" s="10"/>
      <c r="U247" s="10"/>
      <c r="V247" s="10"/>
      <c r="W247" s="15"/>
      <c r="X247" s="15"/>
      <c r="Y247" s="15"/>
      <c r="Z247" s="15"/>
      <c r="AA247" s="407">
        <f t="shared" si="356"/>
        <v>0.06</v>
      </c>
      <c r="AB247" s="15">
        <f t="shared" si="356"/>
        <v>0</v>
      </c>
      <c r="AC247" s="15">
        <f t="shared" si="356"/>
        <v>-0.03</v>
      </c>
      <c r="AD247" s="15">
        <f t="shared" si="356"/>
        <v>-0.05</v>
      </c>
      <c r="AE247" s="407"/>
      <c r="AF247" s="15"/>
      <c r="AG247" s="15"/>
      <c r="AH247" s="15"/>
      <c r="AI247" s="407"/>
      <c r="AJ247" s="15"/>
      <c r="AK247" s="15"/>
      <c r="AL247" s="490"/>
      <c r="AM247" s="407"/>
      <c r="AN247" s="547"/>
      <c r="AO247" s="547"/>
      <c r="AP247" s="490"/>
      <c r="AQ247" s="1350"/>
    </row>
    <row r="248" spans="1:43" s="1038" customFormat="1" ht="9.75" hidden="1" customHeight="1" outlineLevel="1">
      <c r="A248" s="1051" t="s">
        <v>18</v>
      </c>
      <c r="B248" s="15"/>
      <c r="C248" s="15"/>
      <c r="D248" s="15"/>
      <c r="E248" s="15"/>
      <c r="F248" s="15"/>
      <c r="G248" s="15"/>
      <c r="H248" s="15"/>
      <c r="I248" s="15"/>
      <c r="J248" s="15"/>
      <c r="K248" s="15"/>
      <c r="L248" s="15"/>
      <c r="M248" s="15"/>
      <c r="N248" s="15"/>
      <c r="O248" s="15"/>
      <c r="P248" s="15"/>
      <c r="Q248" s="15"/>
      <c r="R248" s="1019"/>
      <c r="S248" s="10"/>
      <c r="T248" s="10"/>
      <c r="U248" s="10"/>
      <c r="V248" s="10"/>
      <c r="W248" s="15"/>
      <c r="X248" s="15"/>
      <c r="Y248" s="15"/>
      <c r="Z248" s="15"/>
      <c r="AA248" s="407">
        <f t="shared" si="356"/>
        <v>8.6049434436531208E-2</v>
      </c>
      <c r="AB248" s="15">
        <f t="shared" si="356"/>
        <v>8.0983141641720505E-2</v>
      </c>
      <c r="AC248" s="15">
        <f t="shared" si="356"/>
        <v>7.1504280472890341E-2</v>
      </c>
      <c r="AD248" s="15">
        <f t="shared" si="356"/>
        <v>-0.234185303514377</v>
      </c>
      <c r="AE248" s="407"/>
      <c r="AF248" s="15"/>
      <c r="AG248" s="15"/>
      <c r="AH248" s="15"/>
      <c r="AI248" s="407"/>
      <c r="AJ248" s="15"/>
      <c r="AK248" s="15"/>
      <c r="AL248" s="490"/>
      <c r="AM248" s="407"/>
      <c r="AN248" s="547"/>
      <c r="AO248" s="547"/>
      <c r="AP248" s="490"/>
      <c r="AQ248" s="1350"/>
    </row>
    <row r="249" spans="1:43" ht="12.75" customHeight="1" collapsed="1">
      <c r="A249" s="1045" t="s">
        <v>824</v>
      </c>
      <c r="B249" s="146"/>
      <c r="C249" s="146"/>
      <c r="D249" s="146"/>
      <c r="E249" s="146"/>
      <c r="F249" s="146"/>
      <c r="G249" s="146"/>
      <c r="H249" s="146">
        <f>H227+H213+H205+H197+H221</f>
        <v>5463</v>
      </c>
      <c r="I249" s="399">
        <f>I227+I213+I205+I197+I221</f>
        <v>4621</v>
      </c>
      <c r="J249" s="399">
        <f>J227+J213+J205+J197+J221+J224</f>
        <v>4764.4207121343061</v>
      </c>
      <c r="K249" s="399">
        <f t="shared" ref="K249:Q249" si="357">K227+K213+K205+K197+K221+K224</f>
        <v>4797.1046863618567</v>
      </c>
      <c r="L249" s="399">
        <f t="shared" si="357"/>
        <v>4867.2231515830008</v>
      </c>
      <c r="M249" s="399">
        <f t="shared" si="357"/>
        <v>5044.5581977569127</v>
      </c>
      <c r="N249" s="399">
        <f t="shared" si="357"/>
        <v>5067.9932507555168</v>
      </c>
      <c r="O249" s="399">
        <f t="shared" si="357"/>
        <v>4956.7804525129814</v>
      </c>
      <c r="P249" s="399">
        <f t="shared" si="357"/>
        <v>4874.7958853008276</v>
      </c>
      <c r="Q249" s="399">
        <f t="shared" si="357"/>
        <v>4798.1872201796978</v>
      </c>
      <c r="R249" s="402">
        <f>(N249/J249)^(1/($N$1-$J$1))-1</f>
        <v>1.5562090655251604E-2</v>
      </c>
      <c r="S249" s="1026"/>
      <c r="T249" s="1026"/>
      <c r="U249" s="1026"/>
      <c r="W249" s="146"/>
      <c r="X249" s="146"/>
      <c r="Y249" s="146"/>
      <c r="Z249" s="146"/>
      <c r="AA249" s="170">
        <f>AA245+AA197+AA227</f>
        <v>1579</v>
      </c>
      <c r="AB249" s="146">
        <f>AB245+AB197+AB227</f>
        <v>1580</v>
      </c>
      <c r="AC249" s="146">
        <f>AC245+AC197+AC227</f>
        <v>1372</v>
      </c>
      <c r="AD249" s="152">
        <f>AD245+AD197+AD227</f>
        <v>1392</v>
      </c>
      <c r="AE249" s="170">
        <f t="shared" ref="AE249:AL249" si="358">AE227+AE213+AE205+AE197+AE221</f>
        <v>1370</v>
      </c>
      <c r="AF249" s="146">
        <f t="shared" si="358"/>
        <v>1404</v>
      </c>
      <c r="AG249" s="146">
        <f t="shared" si="358"/>
        <v>1370</v>
      </c>
      <c r="AH249" s="152">
        <f t="shared" si="358"/>
        <v>1319</v>
      </c>
      <c r="AI249" s="170">
        <f t="shared" si="358"/>
        <v>1147</v>
      </c>
      <c r="AJ249" s="146">
        <f t="shared" si="358"/>
        <v>1187</v>
      </c>
      <c r="AK249" s="399">
        <f t="shared" si="358"/>
        <v>1138.0502326646756</v>
      </c>
      <c r="AL249" s="487">
        <f t="shared" si="358"/>
        <v>1148.9497673353244</v>
      </c>
      <c r="AM249" s="170">
        <f t="shared" ref="AM249:AP249" si="359">AM227+AM213+AM205+AM197+AM221+AM224</f>
        <v>1157</v>
      </c>
      <c r="AN249" s="399">
        <f t="shared" si="359"/>
        <v>1259.0474579688982</v>
      </c>
      <c r="AO249" s="399">
        <f t="shared" si="359"/>
        <v>1173.967791153224</v>
      </c>
      <c r="AP249" s="487">
        <f t="shared" si="359"/>
        <v>1174.4054630121836</v>
      </c>
      <c r="AQ249" s="1350"/>
    </row>
    <row r="250" spans="1:43" s="1028" customFormat="1" ht="9.75" hidden="1" customHeight="1" outlineLevel="1">
      <c r="A250" s="1047" t="s">
        <v>14</v>
      </c>
      <c r="B250" s="147"/>
      <c r="C250" s="148"/>
      <c r="D250" s="148"/>
      <c r="E250" s="148"/>
      <c r="F250" s="148"/>
      <c r="G250" s="148"/>
      <c r="H250" s="148"/>
      <c r="I250" s="148">
        <f>I249/H249-1</f>
        <v>-0.15412776862529742</v>
      </c>
      <c r="J250" s="148">
        <f t="shared" ref="J250:Q250" si="360">J249/I249-1</f>
        <v>3.1036726278793836E-2</v>
      </c>
      <c r="K250" s="148">
        <f t="shared" si="360"/>
        <v>6.860010104546177E-3</v>
      </c>
      <c r="L250" s="148">
        <f t="shared" si="360"/>
        <v>1.4616830318606722E-2</v>
      </c>
      <c r="M250" s="148">
        <f t="shared" si="360"/>
        <v>3.6434541965933098E-2</v>
      </c>
      <c r="N250" s="148">
        <f t="shared" si="360"/>
        <v>4.6456105926233615E-3</v>
      </c>
      <c r="O250" s="148">
        <f t="shared" si="360"/>
        <v>-2.194414884549345E-2</v>
      </c>
      <c r="P250" s="148">
        <f t="shared" si="360"/>
        <v>-1.6539882691513852E-2</v>
      </c>
      <c r="Q250" s="148">
        <f t="shared" si="360"/>
        <v>-1.5715255966333053E-2</v>
      </c>
      <c r="R250" s="1018"/>
      <c r="S250" s="5"/>
      <c r="T250" s="5"/>
      <c r="U250" s="5"/>
      <c r="V250" s="5"/>
      <c r="W250" s="148"/>
      <c r="X250" s="148"/>
      <c r="Y250" s="148"/>
      <c r="Z250" s="148"/>
      <c r="AA250" s="171"/>
      <c r="AB250" s="148"/>
      <c r="AC250" s="148"/>
      <c r="AD250" s="148"/>
      <c r="AE250" s="171">
        <f t="shared" ref="AE250:AL250" si="361">AE249/AA249-1</f>
        <v>-0.13236225459151363</v>
      </c>
      <c r="AF250" s="148">
        <f t="shared" si="361"/>
        <v>-0.11139240506329118</v>
      </c>
      <c r="AG250" s="148">
        <f t="shared" si="361"/>
        <v>-1.4577259475219151E-3</v>
      </c>
      <c r="AH250" s="148">
        <f t="shared" si="361"/>
        <v>-5.2442528735632155E-2</v>
      </c>
      <c r="AI250" s="171">
        <f t="shared" si="361"/>
        <v>-0.16277372262773726</v>
      </c>
      <c r="AJ250" s="148">
        <f t="shared" si="361"/>
        <v>-0.15455840455840453</v>
      </c>
      <c r="AK250" s="500">
        <f t="shared" si="361"/>
        <v>-0.16930639951483528</v>
      </c>
      <c r="AL250" s="488">
        <f t="shared" si="361"/>
        <v>-0.12892360323326435</v>
      </c>
      <c r="AM250" s="171">
        <f t="shared" ref="AM250" si="362">AM249/AI249-1</f>
        <v>8.718395815169977E-3</v>
      </c>
      <c r="AN250" s="500">
        <f t="shared" ref="AN250" si="363">AN249/AJ249-1</f>
        <v>6.069710022653596E-2</v>
      </c>
      <c r="AO250" s="500">
        <f t="shared" ref="AO250" si="364">AO249/AK249-1</f>
        <v>3.1560609064197109E-2</v>
      </c>
      <c r="AP250" s="488">
        <f t="shared" ref="AP250" si="365">AP249/AL249-1</f>
        <v>2.2155621072883713E-2</v>
      </c>
      <c r="AQ250" s="1350"/>
    </row>
    <row r="251" spans="1:43" s="1028" customFormat="1" ht="9.75" hidden="1" customHeight="1" outlineLevel="1">
      <c r="A251" s="1047" t="s">
        <v>15</v>
      </c>
      <c r="B251" s="147"/>
      <c r="C251" s="147"/>
      <c r="D251" s="148"/>
      <c r="E251" s="148"/>
      <c r="F251" s="148"/>
      <c r="G251" s="148"/>
      <c r="H251" s="148">
        <v>-0.06</v>
      </c>
      <c r="I251" s="148">
        <v>-0.01</v>
      </c>
      <c r="J251" s="148"/>
      <c r="K251" s="148"/>
      <c r="L251" s="148"/>
      <c r="M251" s="148"/>
      <c r="N251" s="148"/>
      <c r="O251" s="148"/>
      <c r="P251" s="148"/>
      <c r="Q251" s="148"/>
      <c r="R251" s="1018"/>
      <c r="S251" s="5"/>
      <c r="T251" s="5"/>
      <c r="U251" s="5"/>
      <c r="V251" s="5"/>
      <c r="W251" s="148"/>
      <c r="X251" s="148"/>
      <c r="Y251" s="148"/>
      <c r="Z251" s="148"/>
      <c r="AA251" s="171"/>
      <c r="AB251" s="148"/>
      <c r="AC251" s="148"/>
      <c r="AD251" s="148"/>
      <c r="AE251" s="171">
        <v>-0.09</v>
      </c>
      <c r="AF251" s="148">
        <v>-0.09</v>
      </c>
      <c r="AG251" s="148">
        <v>0</v>
      </c>
      <c r="AH251" s="148">
        <v>-0.04</v>
      </c>
      <c r="AI251" s="171">
        <v>-0.02</v>
      </c>
      <c r="AJ251" s="148">
        <v>0</v>
      </c>
      <c r="AK251" s="147">
        <v>-3</v>
      </c>
      <c r="AL251" s="488">
        <v>-0.01</v>
      </c>
      <c r="AM251" s="171">
        <v>-0.05</v>
      </c>
      <c r="AN251" s="500"/>
      <c r="AO251" s="500"/>
      <c r="AP251" s="488"/>
      <c r="AQ251" s="1350"/>
    </row>
    <row r="252" spans="1:43" s="1028" customFormat="1" ht="9.75" hidden="1" customHeight="1" outlineLevel="1">
      <c r="A252" s="1047" t="s">
        <v>18</v>
      </c>
      <c r="B252" s="148"/>
      <c r="C252" s="148"/>
      <c r="D252" s="148"/>
      <c r="E252" s="148"/>
      <c r="F252" s="148"/>
      <c r="G252" s="148"/>
      <c r="H252" s="148"/>
      <c r="I252" s="148"/>
      <c r="J252" s="148"/>
      <c r="K252" s="148"/>
      <c r="L252" s="148"/>
      <c r="M252" s="148"/>
      <c r="N252" s="148"/>
      <c r="O252" s="148"/>
      <c r="P252" s="148"/>
      <c r="Q252" s="148"/>
      <c r="R252" s="1018"/>
      <c r="S252" s="5"/>
      <c r="T252" s="5"/>
      <c r="U252" s="5"/>
      <c r="V252" s="5"/>
      <c r="W252" s="148"/>
      <c r="X252" s="148"/>
      <c r="Y252" s="148"/>
      <c r="Z252" s="148"/>
      <c r="AA252" s="171"/>
      <c r="AB252" s="148"/>
      <c r="AC252" s="148"/>
      <c r="AD252" s="148"/>
      <c r="AE252" s="171"/>
      <c r="AF252" s="148"/>
      <c r="AG252" s="148"/>
      <c r="AH252" s="148"/>
      <c r="AI252" s="171"/>
      <c r="AJ252" s="148"/>
      <c r="AK252" s="148"/>
      <c r="AL252" s="488"/>
      <c r="AM252" s="171"/>
      <c r="AN252" s="500"/>
      <c r="AO252" s="500"/>
      <c r="AP252" s="488"/>
      <c r="AQ252" s="1350"/>
    </row>
    <row r="253" spans="1:43" ht="12.75" customHeight="1" collapsed="1">
      <c r="A253" s="1045" t="s">
        <v>36</v>
      </c>
      <c r="B253" s="146">
        <f t="shared" ref="B253:G253" si="366">B197+B227</f>
        <v>1533</v>
      </c>
      <c r="C253" s="146">
        <f t="shared" si="366"/>
        <v>2163</v>
      </c>
      <c r="D253" s="146">
        <f t="shared" si="366"/>
        <v>2486</v>
      </c>
      <c r="E253" s="146">
        <f t="shared" si="366"/>
        <v>2444</v>
      </c>
      <c r="F253" s="146">
        <f t="shared" si="366"/>
        <v>2504</v>
      </c>
      <c r="G253" s="146">
        <f t="shared" si="366"/>
        <v>2110</v>
      </c>
      <c r="H253" s="146">
        <f t="shared" ref="H253:Q253" si="367">H197+H224</f>
        <v>1835</v>
      </c>
      <c r="I253" s="152">
        <f t="shared" si="367"/>
        <v>1888</v>
      </c>
      <c r="J253" s="152">
        <f t="shared" si="367"/>
        <v>1966.5702204210054</v>
      </c>
      <c r="K253" s="152">
        <f t="shared" si="367"/>
        <v>1968.241709399955</v>
      </c>
      <c r="L253" s="152">
        <f t="shared" si="367"/>
        <v>2004.8296239299571</v>
      </c>
      <c r="M253" s="152">
        <f t="shared" si="367"/>
        <v>2146.0881427334589</v>
      </c>
      <c r="N253" s="152">
        <f t="shared" si="367"/>
        <v>2130.8705141867672</v>
      </c>
      <c r="O253" s="152">
        <f t="shared" si="367"/>
        <v>1978.3964113494139</v>
      </c>
      <c r="P253" s="152">
        <f t="shared" si="367"/>
        <v>1852.5071290795313</v>
      </c>
      <c r="Q253" s="152">
        <f t="shared" si="367"/>
        <v>1729.3132032636249</v>
      </c>
      <c r="R253" s="402">
        <f>(N253/J253)^(1/($N$1-$J$1))-1</f>
        <v>2.0262443693679799E-2</v>
      </c>
      <c r="S253" s="1026"/>
      <c r="T253" s="1026"/>
      <c r="U253" s="1026"/>
      <c r="W253" s="146">
        <f t="shared" ref="W253:AD253" si="368">W197+W227</f>
        <v>637</v>
      </c>
      <c r="X253" s="146">
        <f t="shared" si="368"/>
        <v>636</v>
      </c>
      <c r="Y253" s="146">
        <f t="shared" si="368"/>
        <v>630</v>
      </c>
      <c r="Z253" s="146">
        <f t="shared" si="368"/>
        <v>601</v>
      </c>
      <c r="AA253" s="170">
        <f t="shared" si="368"/>
        <v>552</v>
      </c>
      <c r="AB253" s="146">
        <f t="shared" si="368"/>
        <v>552</v>
      </c>
      <c r="AC253" s="146">
        <f t="shared" si="368"/>
        <v>495</v>
      </c>
      <c r="AD253" s="152">
        <f t="shared" si="368"/>
        <v>511</v>
      </c>
      <c r="AE253" s="170"/>
      <c r="AF253" s="146"/>
      <c r="AG253" s="146"/>
      <c r="AH253" s="152"/>
      <c r="AI253" s="170"/>
      <c r="AJ253" s="146"/>
      <c r="AK253" s="152"/>
      <c r="AL253" s="487"/>
      <c r="AM253" s="170"/>
      <c r="AN253" s="399">
        <f t="shared" ref="AN253:AP253" si="369">AN197+AN224</f>
        <v>502.4728815206945</v>
      </c>
      <c r="AO253" s="399">
        <f t="shared" si="369"/>
        <v>492.84242387701141</v>
      </c>
      <c r="AP253" s="487">
        <f t="shared" si="369"/>
        <v>451.25491502329947</v>
      </c>
      <c r="AQ253" s="1350"/>
    </row>
    <row r="254" spans="1:43" s="1028" customFormat="1" ht="9.75" hidden="1" customHeight="1" outlineLevel="1">
      <c r="A254" s="1047" t="s">
        <v>14</v>
      </c>
      <c r="B254" s="147"/>
      <c r="C254" s="148">
        <f>C253/B253-1</f>
        <v>0.41095890410958913</v>
      </c>
      <c r="D254" s="148">
        <f>D253/C253-1</f>
        <v>0.14932963476652805</v>
      </c>
      <c r="E254" s="148">
        <f>E253/D253-1</f>
        <v>-1.6894609814963824E-2</v>
      </c>
      <c r="F254" s="148">
        <f>F253/E253-1</f>
        <v>2.4549918166939522E-2</v>
      </c>
      <c r="G254" s="148">
        <f t="shared" ref="G254:Q254" si="370">G253/F253-1</f>
        <v>-0.15734824281150162</v>
      </c>
      <c r="H254" s="148">
        <f t="shared" si="370"/>
        <v>-0.13033175355450233</v>
      </c>
      <c r="I254" s="148">
        <f t="shared" si="370"/>
        <v>2.8882833787466033E-2</v>
      </c>
      <c r="J254" s="148">
        <f t="shared" si="370"/>
        <v>4.1615582850108801E-2</v>
      </c>
      <c r="K254" s="148">
        <f t="shared" si="370"/>
        <v>8.4995133232101949E-4</v>
      </c>
      <c r="L254" s="148">
        <f t="shared" si="370"/>
        <v>1.8589136870367673E-2</v>
      </c>
      <c r="M254" s="148">
        <f t="shared" si="370"/>
        <v>7.0459113890486424E-2</v>
      </c>
      <c r="N254" s="148">
        <f t="shared" si="370"/>
        <v>-7.0908683775258163E-3</v>
      </c>
      <c r="O254" s="148">
        <f t="shared" si="370"/>
        <v>-7.1554841940052794E-2</v>
      </c>
      <c r="P254" s="148">
        <f t="shared" si="370"/>
        <v>-6.3631980703006241E-2</v>
      </c>
      <c r="Q254" s="148">
        <f t="shared" si="370"/>
        <v>-6.6501188514787812E-2</v>
      </c>
      <c r="R254" s="1018"/>
      <c r="S254" s="5"/>
      <c r="T254" s="5"/>
      <c r="U254" s="5"/>
      <c r="V254" s="5"/>
      <c r="W254" s="148">
        <v>3.9151712887438794E-2</v>
      </c>
      <c r="X254" s="148">
        <v>7.4324324324324342E-2</v>
      </c>
      <c r="Y254" s="148">
        <v>5.8823529411764719E-2</v>
      </c>
      <c r="Z254" s="148">
        <v>-6.6770186335403769E-2</v>
      </c>
      <c r="AA254" s="171">
        <f t="shared" ref="AA254:AH254" si="371">AA253/W253-1</f>
        <v>-0.13343799058084771</v>
      </c>
      <c r="AB254" s="148">
        <f t="shared" si="371"/>
        <v>-0.13207547169811318</v>
      </c>
      <c r="AC254" s="148">
        <f t="shared" si="371"/>
        <v>-0.2142857142857143</v>
      </c>
      <c r="AD254" s="148">
        <f t="shared" si="371"/>
        <v>-0.14975041597337768</v>
      </c>
      <c r="AE254" s="171">
        <f t="shared" si="371"/>
        <v>-1</v>
      </c>
      <c r="AF254" s="148">
        <f t="shared" si="371"/>
        <v>-1</v>
      </c>
      <c r="AG254" s="148">
        <f t="shared" si="371"/>
        <v>-1</v>
      </c>
      <c r="AH254" s="148">
        <f t="shared" si="371"/>
        <v>-1</v>
      </c>
      <c r="AI254" s="171"/>
      <c r="AJ254" s="148"/>
      <c r="AK254" s="148"/>
      <c r="AL254" s="488"/>
      <c r="AM254" s="171"/>
      <c r="AN254" s="500"/>
      <c r="AO254" s="500"/>
      <c r="AP254" s="488"/>
      <c r="AQ254" s="1350"/>
    </row>
    <row r="255" spans="1:43" s="1028" customFormat="1" ht="9.75" hidden="1" customHeight="1" outlineLevel="1">
      <c r="A255" s="1047" t="s">
        <v>15</v>
      </c>
      <c r="B255" s="147"/>
      <c r="C255" s="147"/>
      <c r="D255" s="148">
        <v>-0.17</v>
      </c>
      <c r="E255" s="148">
        <v>0</v>
      </c>
      <c r="F255" s="148">
        <v>0.05</v>
      </c>
      <c r="G255" s="148">
        <v>-0.03</v>
      </c>
      <c r="H255" s="148"/>
      <c r="I255" s="148"/>
      <c r="J255" s="148"/>
      <c r="K255" s="148"/>
      <c r="L255" s="148"/>
      <c r="M255" s="148"/>
      <c r="N255" s="148"/>
      <c r="O255" s="148"/>
      <c r="P255" s="148"/>
      <c r="Q255" s="148"/>
      <c r="R255" s="1018"/>
      <c r="S255" s="5"/>
      <c r="T255" s="5"/>
      <c r="U255" s="5"/>
      <c r="V255" s="5"/>
      <c r="W255" s="148">
        <v>0.06</v>
      </c>
      <c r="X255" s="148">
        <v>7.0000000000000007E-2</v>
      </c>
      <c r="Y255" s="148">
        <v>7.0000000000000007E-2</v>
      </c>
      <c r="Z255" s="148">
        <v>0.01</v>
      </c>
      <c r="AA255" s="171">
        <v>0</v>
      </c>
      <c r="AB255" s="148">
        <v>0.02</v>
      </c>
      <c r="AC255" s="148">
        <v>-0.08</v>
      </c>
      <c r="AD255" s="148">
        <v>-0.04</v>
      </c>
      <c r="AE255" s="171"/>
      <c r="AF255" s="148"/>
      <c r="AG255" s="148"/>
      <c r="AH255" s="147"/>
      <c r="AI255" s="171"/>
      <c r="AJ255" s="148"/>
      <c r="AK255" s="148"/>
      <c r="AL255" s="488"/>
      <c r="AM255" s="171"/>
      <c r="AN255" s="500"/>
      <c r="AO255" s="500"/>
      <c r="AP255" s="488"/>
      <c r="AQ255" s="1350"/>
    </row>
    <row r="256" spans="1:43" s="1028" customFormat="1" ht="9.75" hidden="1" customHeight="1" outlineLevel="1">
      <c r="A256" s="1047" t="s">
        <v>18</v>
      </c>
      <c r="B256" s="148">
        <f>B253/B$2</f>
        <v>3.0282079646017698E-2</v>
      </c>
      <c r="C256" s="148">
        <f>C253/C$2</f>
        <v>3.6932691322610386E-2</v>
      </c>
      <c r="D256" s="148">
        <f>D253/D$2</f>
        <v>4.3865685599844724E-2</v>
      </c>
      <c r="E256" s="148">
        <f>E253/E$2</f>
        <v>4.2611803678842299E-2</v>
      </c>
      <c r="F256" s="148">
        <f>F253/F$2</f>
        <v>4.79877347642775E-2</v>
      </c>
      <c r="G256" s="148">
        <f t="shared" ref="G256:Q256" si="372">G253/G$2</f>
        <v>4.2700449265390378E-2</v>
      </c>
      <c r="H256" s="148">
        <f t="shared" si="372"/>
        <v>3.7821014881075067E-2</v>
      </c>
      <c r="I256" s="148">
        <f t="shared" si="372"/>
        <v>3.8445091531083914E-2</v>
      </c>
      <c r="J256" s="148">
        <f t="shared" si="372"/>
        <v>3.7632046343823868E-2</v>
      </c>
      <c r="K256" s="148">
        <f t="shared" si="372"/>
        <v>3.6919736388535004E-2</v>
      </c>
      <c r="L256" s="148">
        <f t="shared" si="372"/>
        <v>3.646222003066326E-2</v>
      </c>
      <c r="M256" s="148">
        <f t="shared" si="372"/>
        <v>3.7647341534108376E-2</v>
      </c>
      <c r="N256" s="148">
        <f t="shared" si="372"/>
        <v>3.6608756102863453E-2</v>
      </c>
      <c r="O256" s="148">
        <f t="shared" si="372"/>
        <v>3.4302509951006942E-2</v>
      </c>
      <c r="P256" s="148">
        <f t="shared" si="372"/>
        <v>3.1711804702139128E-2</v>
      </c>
      <c r="Q256" s="148">
        <f t="shared" si="372"/>
        <v>2.928238785077604E-2</v>
      </c>
      <c r="R256" s="1018"/>
      <c r="S256" s="5"/>
      <c r="T256" s="5"/>
      <c r="U256" s="5"/>
      <c r="V256" s="5"/>
      <c r="W256" s="148">
        <f t="shared" ref="W256:AB256" si="373">W253/W$2</f>
        <v>4.9894258635544766E-2</v>
      </c>
      <c r="X256" s="148">
        <f t="shared" si="373"/>
        <v>4.7651157563497415E-2</v>
      </c>
      <c r="Y256" s="148">
        <f t="shared" si="373"/>
        <v>4.8495112000615813E-2</v>
      </c>
      <c r="Z256" s="148">
        <f t="shared" si="373"/>
        <v>4.5965583173996176E-2</v>
      </c>
      <c r="AA256" s="171">
        <f t="shared" si="373"/>
        <v>4.6250523669878509E-2</v>
      </c>
      <c r="AB256" s="148">
        <f t="shared" si="373"/>
        <v>4.3485111076098946E-2</v>
      </c>
      <c r="AC256" s="148">
        <f t="shared" ref="AC256:AH256" si="374">AC253/AC$2</f>
        <v>4.0358744394618833E-2</v>
      </c>
      <c r="AD256" s="148">
        <f t="shared" si="374"/>
        <v>4.0814696485623005E-2</v>
      </c>
      <c r="AE256" s="171">
        <f t="shared" si="374"/>
        <v>0</v>
      </c>
      <c r="AF256" s="148">
        <f t="shared" si="374"/>
        <v>0</v>
      </c>
      <c r="AG256" s="148">
        <f t="shared" si="374"/>
        <v>0</v>
      </c>
      <c r="AH256" s="148">
        <f t="shared" si="374"/>
        <v>0</v>
      </c>
      <c r="AI256" s="171"/>
      <c r="AJ256" s="148"/>
      <c r="AK256" s="148"/>
      <c r="AL256" s="488"/>
      <c r="AM256" s="171"/>
      <c r="AN256" s="500">
        <f t="shared" ref="AN256:AP256" si="375">AN253/AN$2</f>
        <v>3.8343451168487953E-2</v>
      </c>
      <c r="AO256" s="500">
        <f t="shared" si="375"/>
        <v>3.7653657348679016E-2</v>
      </c>
      <c r="AP256" s="488">
        <f t="shared" si="375"/>
        <v>3.3750044995074377E-2</v>
      </c>
      <c r="AQ256" s="1350"/>
    </row>
    <row r="257" spans="1:51" ht="12.75" customHeight="1" collapsed="1">
      <c r="A257" s="1025" t="s">
        <v>37</v>
      </c>
      <c r="B257" s="34">
        <f t="shared" ref="B257:Q257" si="376">+B260+B262</f>
        <v>871</v>
      </c>
      <c r="C257" s="4">
        <f t="shared" si="376"/>
        <v>903</v>
      </c>
      <c r="D257" s="4">
        <f t="shared" si="376"/>
        <v>821</v>
      </c>
      <c r="E257" s="4">
        <f t="shared" si="376"/>
        <v>750</v>
      </c>
      <c r="F257" s="4">
        <f t="shared" si="376"/>
        <v>684</v>
      </c>
      <c r="G257" s="4">
        <f t="shared" si="376"/>
        <v>570</v>
      </c>
      <c r="H257" s="4">
        <f t="shared" si="376"/>
        <v>515</v>
      </c>
      <c r="I257" s="107">
        <f t="shared" si="376"/>
        <v>488</v>
      </c>
      <c r="J257" s="107">
        <f t="shared" si="376"/>
        <v>470.1161214227705</v>
      </c>
      <c r="K257" s="107">
        <f t="shared" si="376"/>
        <v>436.18199292317661</v>
      </c>
      <c r="L257" s="107">
        <f t="shared" si="376"/>
        <v>404.72585341855421</v>
      </c>
      <c r="M257" s="107">
        <f t="shared" si="376"/>
        <v>375.56398367925539</v>
      </c>
      <c r="N257" s="107">
        <f t="shared" si="376"/>
        <v>348.52655082170747</v>
      </c>
      <c r="O257" s="107">
        <f t="shared" si="376"/>
        <v>323.45653366418787</v>
      </c>
      <c r="P257" s="107">
        <f t="shared" si="376"/>
        <v>300.20873356769476</v>
      </c>
      <c r="Q257" s="107">
        <f t="shared" si="376"/>
        <v>278.64886375195607</v>
      </c>
      <c r="R257" s="402">
        <f>(N257/J257)^(1/($N$1-$J$1))-1</f>
        <v>-7.208609885256112E-2</v>
      </c>
      <c r="S257" s="1026"/>
      <c r="T257" s="1026"/>
      <c r="U257" s="1026"/>
      <c r="W257" s="4">
        <f t="shared" ref="W257:AD257" si="377">+W260+W262</f>
        <v>168</v>
      </c>
      <c r="X257" s="4">
        <f t="shared" si="377"/>
        <v>179</v>
      </c>
      <c r="Y257" s="4">
        <f t="shared" si="377"/>
        <v>173</v>
      </c>
      <c r="Z257" s="4">
        <f t="shared" si="377"/>
        <v>164</v>
      </c>
      <c r="AA257" s="157">
        <f t="shared" si="377"/>
        <v>146</v>
      </c>
      <c r="AB257" s="4">
        <f t="shared" si="377"/>
        <v>145</v>
      </c>
      <c r="AC257" s="4">
        <f t="shared" si="377"/>
        <v>135</v>
      </c>
      <c r="AD257" s="107">
        <f t="shared" si="377"/>
        <v>144</v>
      </c>
      <c r="AE257" s="157">
        <f t="shared" ref="AE257:AP257" si="378">+AE260+AE262</f>
        <v>123</v>
      </c>
      <c r="AF257" s="4">
        <f t="shared" si="378"/>
        <v>136</v>
      </c>
      <c r="AG257" s="4">
        <f t="shared" si="378"/>
        <v>130</v>
      </c>
      <c r="AH257" s="107">
        <f t="shared" si="378"/>
        <v>126</v>
      </c>
      <c r="AI257" s="157">
        <f t="shared" si="378"/>
        <v>115</v>
      </c>
      <c r="AJ257" s="4">
        <f t="shared" si="378"/>
        <v>123</v>
      </c>
      <c r="AK257" s="4">
        <f>+AK260+AK262</f>
        <v>126</v>
      </c>
      <c r="AL257" s="481">
        <f t="shared" si="378"/>
        <v>124</v>
      </c>
      <c r="AM257" s="157">
        <f t="shared" si="378"/>
        <v>115</v>
      </c>
      <c r="AN257" s="396">
        <f t="shared" si="378"/>
        <v>119.70204427465363</v>
      </c>
      <c r="AO257" s="396">
        <f t="shared" si="378"/>
        <v>119.48315433190513</v>
      </c>
      <c r="AP257" s="481">
        <f t="shared" si="378"/>
        <v>115.93092281621175</v>
      </c>
      <c r="AQ257" s="1350"/>
    </row>
    <row r="258" spans="1:51" s="1028" customFormat="1" ht="9.75" customHeight="1" outlineLevel="1">
      <c r="A258" s="1048" t="s">
        <v>14</v>
      </c>
      <c r="B258" s="35"/>
      <c r="C258" s="10">
        <f t="shared" ref="C258:Q258" si="379">C257/B257-1</f>
        <v>3.6739380022962065E-2</v>
      </c>
      <c r="D258" s="10">
        <f t="shared" si="379"/>
        <v>-9.0808416389811741E-2</v>
      </c>
      <c r="E258" s="10">
        <f t="shared" si="379"/>
        <v>-8.6479902557856314E-2</v>
      </c>
      <c r="F258" s="10">
        <f t="shared" si="379"/>
        <v>-8.7999999999999967E-2</v>
      </c>
      <c r="G258" s="10">
        <f t="shared" si="379"/>
        <v>-0.16666666666666663</v>
      </c>
      <c r="H258" s="10">
        <f t="shared" si="379"/>
        <v>-9.6491228070175405E-2</v>
      </c>
      <c r="I258" s="10">
        <f t="shared" si="379"/>
        <v>-5.2427184466019461E-2</v>
      </c>
      <c r="J258" s="10">
        <f t="shared" si="379"/>
        <v>-3.6647292166453904E-2</v>
      </c>
      <c r="K258" s="10">
        <f t="shared" si="379"/>
        <v>-7.218243951493275E-2</v>
      </c>
      <c r="L258" s="10">
        <f t="shared" si="379"/>
        <v>-7.2117006238179737E-2</v>
      </c>
      <c r="M258" s="10">
        <f t="shared" si="379"/>
        <v>-7.2053389950210489E-2</v>
      </c>
      <c r="N258" s="10">
        <f t="shared" si="379"/>
        <v>-7.1991548797285088E-2</v>
      </c>
      <c r="O258" s="10">
        <f t="shared" si="379"/>
        <v>-7.1931441373441984E-2</v>
      </c>
      <c r="P258" s="10">
        <f t="shared" si="379"/>
        <v>-7.1873026749952551E-2</v>
      </c>
      <c r="Q258" s="10">
        <f t="shared" si="379"/>
        <v>-7.1816264502102212E-2</v>
      </c>
      <c r="R258" s="1018"/>
      <c r="S258" s="5"/>
      <c r="T258" s="5"/>
      <c r="U258" s="5"/>
      <c r="V258" s="5"/>
      <c r="W258" s="10">
        <v>-7.6923076923076872E-2</v>
      </c>
      <c r="X258" s="10">
        <v>-7.7319587628865927E-2</v>
      </c>
      <c r="Y258" s="10">
        <v>-3.3519553072625663E-2</v>
      </c>
      <c r="Z258" s="10">
        <v>-0.15897435897435896</v>
      </c>
      <c r="AA258" s="163">
        <f t="shared" ref="AA258:AH258" si="380">AA257/W257-1</f>
        <v>-0.13095238095238093</v>
      </c>
      <c r="AB258" s="10">
        <f t="shared" si="380"/>
        <v>-0.18994413407821231</v>
      </c>
      <c r="AC258" s="10">
        <f t="shared" si="380"/>
        <v>-0.21965317919075145</v>
      </c>
      <c r="AD258" s="10">
        <f t="shared" si="380"/>
        <v>-0.12195121951219512</v>
      </c>
      <c r="AE258" s="163">
        <f t="shared" si="380"/>
        <v>-0.15753424657534243</v>
      </c>
      <c r="AF258" s="10">
        <f t="shared" si="380"/>
        <v>-6.2068965517241392E-2</v>
      </c>
      <c r="AG258" s="10">
        <f t="shared" si="380"/>
        <v>-3.703703703703709E-2</v>
      </c>
      <c r="AH258" s="10">
        <f t="shared" si="380"/>
        <v>-0.125</v>
      </c>
      <c r="AI258" s="163">
        <f>AI257/AE257-1</f>
        <v>-6.5040650406504086E-2</v>
      </c>
      <c r="AJ258" s="10">
        <f>AJ257/AF257-1</f>
        <v>-9.5588235294117641E-2</v>
      </c>
      <c r="AK258" s="10">
        <f>AK257/AG257-1</f>
        <v>-3.0769230769230771E-2</v>
      </c>
      <c r="AL258" s="482">
        <f>AL257/AH257-1</f>
        <v>-1.5873015873015928E-2</v>
      </c>
      <c r="AM258" s="163">
        <f t="shared" ref="AM258" si="381">AM257/AI257-1</f>
        <v>0</v>
      </c>
      <c r="AN258" s="428">
        <f t="shared" ref="AN258" si="382">AN257/AJ257-1</f>
        <v>-2.6812648173547671E-2</v>
      </c>
      <c r="AO258" s="428">
        <f t="shared" ref="AO258" si="383">AO257/AK257-1</f>
        <v>-5.1720997365832355E-2</v>
      </c>
      <c r="AP258" s="482">
        <f t="shared" ref="AP258" si="384">AP257/AL257-1</f>
        <v>-6.507320309506659E-2</v>
      </c>
      <c r="AQ258" s="1350"/>
    </row>
    <row r="259" spans="1:51" s="1028" customFormat="1" ht="9.75" customHeight="1" outlineLevel="1">
      <c r="A259" s="1048" t="s">
        <v>15</v>
      </c>
      <c r="B259" s="35"/>
      <c r="C259" s="10">
        <v>-0.02</v>
      </c>
      <c r="D259" s="10">
        <v>-0.06</v>
      </c>
      <c r="E259" s="10">
        <v>-0.04</v>
      </c>
      <c r="F259" s="10">
        <v>-0.06</v>
      </c>
      <c r="G259" s="10">
        <v>-0.06</v>
      </c>
      <c r="H259" s="10">
        <v>-0.09</v>
      </c>
      <c r="I259" s="10">
        <v>-0.04</v>
      </c>
      <c r="J259" s="10">
        <f t="shared" ref="J259:Q259" si="385">J258-((J263-J264)*J262/J257)</f>
        <v>-7.2534255951134871E-2</v>
      </c>
      <c r="K259" s="10">
        <f t="shared" si="385"/>
        <v>-7.2182439514932806E-2</v>
      </c>
      <c r="L259" s="10">
        <f t="shared" si="385"/>
        <v>-7.2117006238179682E-2</v>
      </c>
      <c r="M259" s="10">
        <f t="shared" si="385"/>
        <v>-7.2053389950210434E-2</v>
      </c>
      <c r="N259" s="10">
        <f t="shared" si="385"/>
        <v>-7.1991548797285032E-2</v>
      </c>
      <c r="O259" s="10">
        <f t="shared" si="385"/>
        <v>-7.1931441373441832E-2</v>
      </c>
      <c r="P259" s="10">
        <f t="shared" si="385"/>
        <v>-7.1873026749952496E-2</v>
      </c>
      <c r="Q259" s="10">
        <f t="shared" si="385"/>
        <v>-7.1816264502102156E-2</v>
      </c>
      <c r="R259" s="1018"/>
      <c r="S259" s="5"/>
      <c r="T259" s="5"/>
      <c r="U259" s="5"/>
      <c r="V259" s="5"/>
      <c r="W259" s="10">
        <v>-0.05</v>
      </c>
      <c r="X259" s="10">
        <v>-0.08</v>
      </c>
      <c r="Y259" s="10">
        <v>-0.02</v>
      </c>
      <c r="Z259" s="10">
        <v>-0.09</v>
      </c>
      <c r="AA259" s="163">
        <v>-0.01</v>
      </c>
      <c r="AB259" s="10">
        <v>-7.0000000000000007E-2</v>
      </c>
      <c r="AC259" s="10">
        <v>-0.11</v>
      </c>
      <c r="AD259" s="10">
        <v>-0.03</v>
      </c>
      <c r="AE259" s="163">
        <v>-0.13</v>
      </c>
      <c r="AF259" s="10">
        <v>-0.06</v>
      </c>
      <c r="AG259" s="10">
        <v>-0.05</v>
      </c>
      <c r="AH259" s="10">
        <v>-0.13</v>
      </c>
      <c r="AI259" s="163">
        <v>-0.05</v>
      </c>
      <c r="AJ259" s="10">
        <v>-0.06</v>
      </c>
      <c r="AK259" s="10">
        <v>-0.02</v>
      </c>
      <c r="AL259" s="482">
        <v>-0.03</v>
      </c>
      <c r="AM259" s="163">
        <v>-0.06</v>
      </c>
      <c r="AN259" s="428">
        <f t="shared" ref="AN259:AO259" si="386">AN258-((AN263-AN264)*AN262/AN257)</f>
        <v>-7.2742677064943639E-2</v>
      </c>
      <c r="AO259" s="428">
        <f t="shared" si="386"/>
        <v>-7.2720818320860761E-2</v>
      </c>
      <c r="AP259" s="482"/>
      <c r="AQ259" s="1350"/>
    </row>
    <row r="260" spans="1:51" s="1038" customFormat="1" ht="12.75" customHeight="1" outlineLevel="1">
      <c r="A260" s="2" t="s">
        <v>72</v>
      </c>
      <c r="B260" s="34">
        <v>82</v>
      </c>
      <c r="C260" s="4">
        <v>71</v>
      </c>
      <c r="D260" s="4">
        <v>64</v>
      </c>
      <c r="E260" s="4">
        <v>56</v>
      </c>
      <c r="F260" s="4">
        <v>55</v>
      </c>
      <c r="G260" s="4">
        <v>47</v>
      </c>
      <c r="H260" s="4">
        <v>41</v>
      </c>
      <c r="I260" s="107">
        <v>38</v>
      </c>
      <c r="J260" s="107">
        <f t="shared" ref="J260:Q260" si="387">I260+I260*J261</f>
        <v>34.200000000000003</v>
      </c>
      <c r="K260" s="107">
        <f t="shared" si="387"/>
        <v>30.78</v>
      </c>
      <c r="L260" s="107">
        <f t="shared" si="387"/>
        <v>27.702000000000002</v>
      </c>
      <c r="M260" s="107">
        <f t="shared" si="387"/>
        <v>24.931800000000003</v>
      </c>
      <c r="N260" s="107">
        <f t="shared" si="387"/>
        <v>22.43862</v>
      </c>
      <c r="O260" s="107">
        <f t="shared" si="387"/>
        <v>20.194758</v>
      </c>
      <c r="P260" s="107">
        <f t="shared" si="387"/>
        <v>18.175282200000002</v>
      </c>
      <c r="Q260" s="107">
        <f t="shared" si="387"/>
        <v>16.357753980000002</v>
      </c>
      <c r="R260" s="402">
        <f>(N260/J260)^(1/($N$1-$J$1))-1</f>
        <v>-9.9999999999999978E-2</v>
      </c>
      <c r="S260" s="10"/>
      <c r="T260" s="10"/>
      <c r="U260" s="10"/>
      <c r="V260" s="10"/>
      <c r="W260" s="4">
        <v>14</v>
      </c>
      <c r="X260" s="4">
        <v>12</v>
      </c>
      <c r="Y260" s="4">
        <v>15</v>
      </c>
      <c r="Z260" s="4">
        <v>14</v>
      </c>
      <c r="AA260" s="157">
        <v>12</v>
      </c>
      <c r="AB260" s="4">
        <v>11</v>
      </c>
      <c r="AC260" s="4">
        <v>12</v>
      </c>
      <c r="AD260" s="107">
        <f>G260-AC260-AB260-AA260</f>
        <v>12</v>
      </c>
      <c r="AE260" s="157">
        <v>10</v>
      </c>
      <c r="AF260" s="4">
        <v>11</v>
      </c>
      <c r="AG260" s="4">
        <v>9</v>
      </c>
      <c r="AH260" s="107">
        <f>H260-AE260-AF260-AG260</f>
        <v>11</v>
      </c>
      <c r="AI260" s="157">
        <v>10</v>
      </c>
      <c r="AJ260" s="4">
        <v>10</v>
      </c>
      <c r="AK260" s="4">
        <v>11</v>
      </c>
      <c r="AL260" s="481">
        <f>I260-AI260-AJ260-AK260</f>
        <v>7</v>
      </c>
      <c r="AM260" s="157">
        <v>9</v>
      </c>
      <c r="AN260" s="396">
        <f t="shared" ref="AN260" si="388">AJ260+AJ260*AN261</f>
        <v>9</v>
      </c>
      <c r="AO260" s="396">
        <f t="shared" ref="AO260" si="389">AK260+AK260*AO261</f>
        <v>9.9</v>
      </c>
      <c r="AP260" s="481">
        <f>J260-AM260-AN260-AO260</f>
        <v>6.3000000000000025</v>
      </c>
      <c r="AQ260" s="1350"/>
    </row>
    <row r="261" spans="1:51" s="1038" customFormat="1" ht="9.75" customHeight="1" outlineLevel="1">
      <c r="A261" s="2" t="s">
        <v>14</v>
      </c>
      <c r="B261" s="2"/>
      <c r="C261" s="10">
        <f t="shared" ref="C261:I261" si="390">C260/B260-1</f>
        <v>-0.13414634146341464</v>
      </c>
      <c r="D261" s="10">
        <f t="shared" si="390"/>
        <v>-9.8591549295774628E-2</v>
      </c>
      <c r="E261" s="10">
        <f t="shared" si="390"/>
        <v>-0.125</v>
      </c>
      <c r="F261" s="10">
        <f t="shared" si="390"/>
        <v>-1.7857142857142905E-2</v>
      </c>
      <c r="G261" s="10">
        <f t="shared" si="390"/>
        <v>-0.1454545454545455</v>
      </c>
      <c r="H261" s="10">
        <f t="shared" si="390"/>
        <v>-0.12765957446808507</v>
      </c>
      <c r="I261" s="10">
        <f t="shared" si="390"/>
        <v>-7.3170731707317027E-2</v>
      </c>
      <c r="J261" s="50">
        <v>-0.1</v>
      </c>
      <c r="K261" s="50">
        <v>-0.1</v>
      </c>
      <c r="L261" s="50">
        <v>-0.1</v>
      </c>
      <c r="M261" s="50">
        <v>-0.1</v>
      </c>
      <c r="N261" s="50">
        <v>-0.1</v>
      </c>
      <c r="O261" s="50">
        <v>-0.1</v>
      </c>
      <c r="P261" s="50">
        <v>-0.1</v>
      </c>
      <c r="Q261" s="50">
        <v>-0.1</v>
      </c>
      <c r="R261" s="1019"/>
      <c r="S261" s="10"/>
      <c r="T261" s="10"/>
      <c r="U261" s="10"/>
      <c r="V261" s="10"/>
      <c r="W261" s="10">
        <v>0</v>
      </c>
      <c r="X261" s="10">
        <v>-0.19999999999999996</v>
      </c>
      <c r="Y261" s="10">
        <v>7.1428571428571397E-2</v>
      </c>
      <c r="Z261" s="10">
        <v>7.6923076923076872E-2</v>
      </c>
      <c r="AA261" s="163">
        <f t="shared" ref="AA261:AG261" si="391">AA260/W260-1</f>
        <v>-0.1428571428571429</v>
      </c>
      <c r="AB261" s="10">
        <f t="shared" si="391"/>
        <v>-8.333333333333337E-2</v>
      </c>
      <c r="AC261" s="10">
        <f t="shared" si="391"/>
        <v>-0.19999999999999996</v>
      </c>
      <c r="AD261" s="10">
        <f t="shared" si="391"/>
        <v>-0.1428571428571429</v>
      </c>
      <c r="AE261" s="163">
        <f t="shared" si="391"/>
        <v>-0.16666666666666663</v>
      </c>
      <c r="AF261" s="428">
        <f t="shared" si="391"/>
        <v>0</v>
      </c>
      <c r="AG261" s="428">
        <f t="shared" si="391"/>
        <v>-0.25</v>
      </c>
      <c r="AH261" s="10">
        <f t="shared" ref="AH261:AM261" si="392">AH260/AD260-1</f>
        <v>-8.333333333333337E-2</v>
      </c>
      <c r="AI261" s="163">
        <f t="shared" si="392"/>
        <v>0</v>
      </c>
      <c r="AJ261" s="10">
        <f t="shared" si="392"/>
        <v>-9.0909090909090939E-2</v>
      </c>
      <c r="AK261" s="10">
        <f t="shared" si="392"/>
        <v>0.22222222222222232</v>
      </c>
      <c r="AL261" s="482">
        <f t="shared" si="392"/>
        <v>-0.36363636363636365</v>
      </c>
      <c r="AM261" s="163">
        <f t="shared" si="392"/>
        <v>-9.9999999999999978E-2</v>
      </c>
      <c r="AN261" s="539">
        <v>-0.1</v>
      </c>
      <c r="AO261" s="539">
        <v>-0.1</v>
      </c>
      <c r="AP261" s="482">
        <f>AP260/AL260-1</f>
        <v>-9.9999999999999645E-2</v>
      </c>
      <c r="AQ261" s="1350"/>
    </row>
    <row r="262" spans="1:51" s="1038" customFormat="1" ht="12.75" customHeight="1" outlineLevel="1">
      <c r="A262" s="2" t="s">
        <v>73</v>
      </c>
      <c r="B262" s="34">
        <v>789</v>
      </c>
      <c r="C262" s="4">
        <v>832</v>
      </c>
      <c r="D262" s="4">
        <v>757</v>
      </c>
      <c r="E262" s="4">
        <v>694</v>
      </c>
      <c r="F262" s="4">
        <v>629</v>
      </c>
      <c r="G262" s="4">
        <v>523</v>
      </c>
      <c r="H262" s="4">
        <v>474</v>
      </c>
      <c r="I262" s="107">
        <v>450</v>
      </c>
      <c r="J262" s="107">
        <f t="shared" ref="J262:Q262" si="393">I262*(1+J264)*(1+J$32)</f>
        <v>435.91612142277052</v>
      </c>
      <c r="K262" s="107">
        <f t="shared" si="393"/>
        <v>405.40199292317658</v>
      </c>
      <c r="L262" s="107">
        <f t="shared" si="393"/>
        <v>377.02385341855421</v>
      </c>
      <c r="M262" s="107">
        <f t="shared" si="393"/>
        <v>350.63218367925538</v>
      </c>
      <c r="N262" s="107">
        <f t="shared" si="393"/>
        <v>326.08793082170746</v>
      </c>
      <c r="O262" s="107">
        <f t="shared" si="393"/>
        <v>303.26177566418789</v>
      </c>
      <c r="P262" s="107">
        <f t="shared" si="393"/>
        <v>282.03345136769474</v>
      </c>
      <c r="Q262" s="107">
        <f t="shared" si="393"/>
        <v>262.29110977195609</v>
      </c>
      <c r="R262" s="402">
        <f>(N262/J262)^(1/($N$1-$J$1))-1</f>
        <v>-7.0000000000000062E-2</v>
      </c>
      <c r="S262" s="10"/>
      <c r="T262" s="10"/>
      <c r="U262" s="10"/>
      <c r="V262" s="10"/>
      <c r="W262" s="4">
        <v>154</v>
      </c>
      <c r="X262" s="4">
        <v>167</v>
      </c>
      <c r="Y262" s="4">
        <v>158</v>
      </c>
      <c r="Z262" s="4">
        <v>150</v>
      </c>
      <c r="AA262" s="157">
        <v>134</v>
      </c>
      <c r="AB262" s="4">
        <v>134</v>
      </c>
      <c r="AC262" s="4">
        <v>123</v>
      </c>
      <c r="AD262" s="107">
        <f>G262-AC262-AB262-AA262</f>
        <v>132</v>
      </c>
      <c r="AE262" s="157">
        <v>113</v>
      </c>
      <c r="AF262" s="4">
        <v>125</v>
      </c>
      <c r="AG262" s="4">
        <v>121</v>
      </c>
      <c r="AH262" s="107">
        <f>H262-AE262-AF262-AG262</f>
        <v>115</v>
      </c>
      <c r="AI262" s="157">
        <v>105</v>
      </c>
      <c r="AJ262" s="4">
        <v>113</v>
      </c>
      <c r="AK262" s="4">
        <v>115</v>
      </c>
      <c r="AL262" s="481">
        <f>I262-AI262-AJ262-AK262</f>
        <v>117</v>
      </c>
      <c r="AM262" s="157">
        <v>106</v>
      </c>
      <c r="AN262" s="396">
        <f>AJ262*(1+AN264)*(1+AN$32)</f>
        <v>110.70204427465363</v>
      </c>
      <c r="AO262" s="396">
        <f>AK262*(1+AO264)*(1+AO$32)</f>
        <v>109.58315433190512</v>
      </c>
      <c r="AP262" s="481">
        <f>J262-AM262-AN262-AO262</f>
        <v>109.63092281621175</v>
      </c>
      <c r="AQ262" s="1350"/>
    </row>
    <row r="263" spans="1:51" s="1038" customFormat="1" ht="9.75" customHeight="1" outlineLevel="1">
      <c r="A263" s="2" t="s">
        <v>14</v>
      </c>
      <c r="B263" s="2"/>
      <c r="C263" s="10">
        <f t="shared" ref="C263:Q263" si="394">C262/B262-1</f>
        <v>5.4499366286438589E-2</v>
      </c>
      <c r="D263" s="10">
        <f t="shared" si="394"/>
        <v>-9.0144230769230727E-2</v>
      </c>
      <c r="E263" s="10">
        <f t="shared" si="394"/>
        <v>-8.3223249669749033E-2</v>
      </c>
      <c r="F263" s="10">
        <f t="shared" si="394"/>
        <v>-9.365994236311237E-2</v>
      </c>
      <c r="G263" s="10">
        <f t="shared" si="394"/>
        <v>-0.16852146263910972</v>
      </c>
      <c r="H263" s="10">
        <f t="shared" si="394"/>
        <v>-9.3690248565965528E-2</v>
      </c>
      <c r="I263" s="10">
        <f t="shared" si="394"/>
        <v>-5.0632911392405111E-2</v>
      </c>
      <c r="J263" s="10">
        <f t="shared" si="394"/>
        <v>-3.1297507949398895E-2</v>
      </c>
      <c r="K263" s="10">
        <f t="shared" si="394"/>
        <v>-6.9999999999999951E-2</v>
      </c>
      <c r="L263" s="10">
        <f t="shared" si="394"/>
        <v>-7.0000000000000062E-2</v>
      </c>
      <c r="M263" s="10">
        <f t="shared" si="394"/>
        <v>-7.0000000000000062E-2</v>
      </c>
      <c r="N263" s="10">
        <f t="shared" si="394"/>
        <v>-7.0000000000000062E-2</v>
      </c>
      <c r="O263" s="10">
        <f t="shared" si="394"/>
        <v>-7.0000000000000173E-2</v>
      </c>
      <c r="P263" s="10">
        <f t="shared" si="394"/>
        <v>-7.0000000000000062E-2</v>
      </c>
      <c r="Q263" s="10">
        <f t="shared" si="394"/>
        <v>-7.0000000000000062E-2</v>
      </c>
      <c r="R263" s="1019"/>
      <c r="S263" s="10"/>
      <c r="T263" s="10"/>
      <c r="U263" s="10"/>
      <c r="V263" s="10"/>
      <c r="W263" s="10">
        <v>-8.333333333333337E-2</v>
      </c>
      <c r="X263" s="10">
        <v>-6.7039106145251437E-2</v>
      </c>
      <c r="Y263" s="10">
        <v>-4.2424242424242475E-2</v>
      </c>
      <c r="Z263" s="10">
        <v>-0.17582417582417587</v>
      </c>
      <c r="AA263" s="163">
        <f t="shared" ref="AA263:AH263" si="395">AA262/W262-1</f>
        <v>-0.12987012987012991</v>
      </c>
      <c r="AB263" s="10">
        <f t="shared" si="395"/>
        <v>-0.19760479041916168</v>
      </c>
      <c r="AC263" s="10">
        <f t="shared" si="395"/>
        <v>-0.22151898734177211</v>
      </c>
      <c r="AD263" s="10">
        <f t="shared" si="395"/>
        <v>-0.12</v>
      </c>
      <c r="AE263" s="163">
        <f t="shared" si="395"/>
        <v>-0.15671641791044777</v>
      </c>
      <c r="AF263" s="10">
        <f t="shared" si="395"/>
        <v>-6.7164179104477584E-2</v>
      </c>
      <c r="AG263" s="10">
        <f t="shared" si="395"/>
        <v>-1.6260162601625994E-2</v>
      </c>
      <c r="AH263" s="10">
        <f t="shared" si="395"/>
        <v>-0.12878787878787878</v>
      </c>
      <c r="AI263" s="163">
        <f>AI262/AE262-1</f>
        <v>-7.0796460176991149E-2</v>
      </c>
      <c r="AJ263" s="10">
        <f>AJ262/AF262-1</f>
        <v>-9.5999999999999974E-2</v>
      </c>
      <c r="AK263" s="10">
        <f>AK262/AG262-1</f>
        <v>-4.9586776859504078E-2</v>
      </c>
      <c r="AL263" s="482">
        <f>AL262/AH262-1</f>
        <v>1.7391304347825987E-2</v>
      </c>
      <c r="AM263" s="163">
        <f t="shared" ref="AM263" si="396">AM262/AI262-1</f>
        <v>9.52380952380949E-3</v>
      </c>
      <c r="AN263" s="428">
        <f t="shared" ref="AN263" si="397">AN262/AJ262-1</f>
        <v>-2.0335891374746673E-2</v>
      </c>
      <c r="AO263" s="428">
        <f t="shared" ref="AO263" si="398">AO262/AK262-1</f>
        <v>-4.7103005809520648E-2</v>
      </c>
      <c r="AP263" s="482">
        <f>AP262/AL262-1</f>
        <v>-6.2983565673403796E-2</v>
      </c>
      <c r="AQ263" s="1350"/>
    </row>
    <row r="264" spans="1:51" s="1038" customFormat="1" ht="9.75" customHeight="1" outlineLevel="1">
      <c r="A264" s="2" t="s">
        <v>15</v>
      </c>
      <c r="B264" s="2"/>
      <c r="C264" s="10">
        <v>-0.01</v>
      </c>
      <c r="D264" s="10">
        <v>-0.06</v>
      </c>
      <c r="E264" s="10">
        <v>-0.03</v>
      </c>
      <c r="F264" s="10">
        <v>-0.06</v>
      </c>
      <c r="G264" s="10">
        <v>-0.05</v>
      </c>
      <c r="H264" s="10">
        <v>-0.09</v>
      </c>
      <c r="I264" s="10">
        <v>-0.04</v>
      </c>
      <c r="J264" s="50">
        <v>-7.0000000000000007E-2</v>
      </c>
      <c r="K264" s="50">
        <v>-7.0000000000000007E-2</v>
      </c>
      <c r="L264" s="50">
        <v>-7.0000000000000007E-2</v>
      </c>
      <c r="M264" s="50">
        <v>-7.0000000000000007E-2</v>
      </c>
      <c r="N264" s="50">
        <v>-7.0000000000000007E-2</v>
      </c>
      <c r="O264" s="50">
        <v>-7.0000000000000007E-2</v>
      </c>
      <c r="P264" s="50">
        <v>-7.0000000000000007E-2</v>
      </c>
      <c r="Q264" s="50">
        <v>-7.0000000000000007E-2</v>
      </c>
      <c r="R264" s="1019"/>
      <c r="S264" s="10"/>
      <c r="T264" s="10"/>
      <c r="U264" s="10"/>
      <c r="V264" s="10"/>
      <c r="W264" s="10">
        <v>-0.06</v>
      </c>
      <c r="X264" s="10">
        <v>-7.0000000000000007E-2</v>
      </c>
      <c r="Y264" s="10">
        <v>-0.02</v>
      </c>
      <c r="Z264" s="10">
        <v>-0.1</v>
      </c>
      <c r="AA264" s="163">
        <v>0</v>
      </c>
      <c r="AB264" s="10">
        <v>-7.0000000000000007E-2</v>
      </c>
      <c r="AC264" s="10">
        <v>-0.09</v>
      </c>
      <c r="AD264" s="10">
        <v>-0.03</v>
      </c>
      <c r="AE264" s="163">
        <v>-0.12</v>
      </c>
      <c r="AF264" s="10">
        <v>-0.06</v>
      </c>
      <c r="AG264" s="10">
        <v>-0.05</v>
      </c>
      <c r="AH264" s="10">
        <v>-0.13</v>
      </c>
      <c r="AI264" s="163">
        <v>-0.05</v>
      </c>
      <c r="AJ264" s="10">
        <v>-0.06</v>
      </c>
      <c r="AK264" s="10">
        <v>-0.03</v>
      </c>
      <c r="AL264" s="482">
        <v>0</v>
      </c>
      <c r="AM264" s="163">
        <v>-0.06</v>
      </c>
      <c r="AN264" s="539">
        <v>-7.0000000000000007E-2</v>
      </c>
      <c r="AO264" s="539">
        <v>-7.0000000000000007E-2</v>
      </c>
      <c r="AP264" s="497"/>
      <c r="AQ264" s="1350"/>
    </row>
    <row r="265" spans="1:51" ht="12.75" customHeight="1">
      <c r="A265" s="1025" t="s">
        <v>40</v>
      </c>
      <c r="B265" s="34">
        <v>26</v>
      </c>
      <c r="C265" s="4">
        <v>48</v>
      </c>
      <c r="D265" s="4">
        <v>72</v>
      </c>
      <c r="E265" s="4">
        <v>119</v>
      </c>
      <c r="F265" s="4">
        <v>199</v>
      </c>
      <c r="G265" s="4">
        <v>236</v>
      </c>
      <c r="H265" s="4">
        <v>283</v>
      </c>
      <c r="I265" s="107">
        <v>402</v>
      </c>
      <c r="J265" s="107">
        <f t="shared" ref="J265:Q265" si="399">I265+I265*J267</f>
        <v>486.42</v>
      </c>
      <c r="K265" s="107">
        <f t="shared" si="399"/>
        <v>535.06200000000001</v>
      </c>
      <c r="L265" s="107">
        <f t="shared" si="399"/>
        <v>561.81510000000003</v>
      </c>
      <c r="M265" s="107">
        <f t="shared" si="399"/>
        <v>589.90585499999997</v>
      </c>
      <c r="N265" s="107">
        <f t="shared" si="399"/>
        <v>619.40114774999995</v>
      </c>
      <c r="O265" s="107">
        <f t="shared" si="399"/>
        <v>650.37120513749994</v>
      </c>
      <c r="P265" s="135">
        <f t="shared" si="399"/>
        <v>325.18560256874997</v>
      </c>
      <c r="Q265" s="107">
        <f t="shared" si="399"/>
        <v>162.59280128437499</v>
      </c>
      <c r="R265" s="402">
        <f>(N265/J265)^(1/($N$1-$J$1))-1</f>
        <v>6.2282790108521668E-2</v>
      </c>
      <c r="S265" s="1026"/>
      <c r="T265" s="1026"/>
      <c r="U265" s="1026"/>
      <c r="W265" s="4">
        <v>42</v>
      </c>
      <c r="X265" s="4">
        <v>47</v>
      </c>
      <c r="Y265" s="4">
        <v>56</v>
      </c>
      <c r="Z265" s="4">
        <v>54</v>
      </c>
      <c r="AA265" s="157">
        <v>55</v>
      </c>
      <c r="AB265" s="4">
        <v>61</v>
      </c>
      <c r="AC265" s="4">
        <v>57</v>
      </c>
      <c r="AD265" s="107">
        <f>G265-AC265-AB265-AA265</f>
        <v>63</v>
      </c>
      <c r="AE265" s="157">
        <v>62</v>
      </c>
      <c r="AF265" s="4">
        <v>73</v>
      </c>
      <c r="AG265" s="4">
        <v>73</v>
      </c>
      <c r="AH265" s="107">
        <f>H265-AE265-AF265-AG265</f>
        <v>75</v>
      </c>
      <c r="AI265" s="157">
        <v>82</v>
      </c>
      <c r="AJ265" s="4">
        <v>98</v>
      </c>
      <c r="AK265" s="4">
        <v>107</v>
      </c>
      <c r="AL265" s="481">
        <f>I265-AI265-AJ265-AK265</f>
        <v>115</v>
      </c>
      <c r="AM265" s="157">
        <v>126</v>
      </c>
      <c r="AN265" s="396">
        <f t="shared" ref="AN265" si="400">AJ265+AJ265*AN267</f>
        <v>120.54</v>
      </c>
      <c r="AO265" s="396">
        <f t="shared" ref="AO265" si="401">AK265+AK265*AO267</f>
        <v>123.05</v>
      </c>
      <c r="AP265" s="481">
        <f>J265-AM265-AN265-AO265</f>
        <v>116.83</v>
      </c>
      <c r="AQ265" s="1350"/>
    </row>
    <row r="266" spans="1:51" s="1028" customFormat="1" ht="9.75" hidden="1" customHeight="1" outlineLevel="1">
      <c r="A266" s="1048" t="s">
        <v>14</v>
      </c>
      <c r="B266" s="35"/>
      <c r="C266" s="10"/>
      <c r="D266" s="10">
        <f t="shared" ref="D266:Q266" si="402">D265/C265-1</f>
        <v>0.5</v>
      </c>
      <c r="E266" s="10">
        <f t="shared" si="402"/>
        <v>0.65277777777777768</v>
      </c>
      <c r="F266" s="10">
        <f t="shared" si="402"/>
        <v>0.67226890756302526</v>
      </c>
      <c r="G266" s="10">
        <f t="shared" si="402"/>
        <v>0.18592964824120606</v>
      </c>
      <c r="H266" s="10">
        <f t="shared" si="402"/>
        <v>0.19915254237288127</v>
      </c>
      <c r="I266" s="10">
        <f t="shared" si="402"/>
        <v>0.42049469964664321</v>
      </c>
      <c r="J266" s="10">
        <f t="shared" si="402"/>
        <v>0.20999999999999996</v>
      </c>
      <c r="K266" s="10">
        <f t="shared" si="402"/>
        <v>0.10000000000000009</v>
      </c>
      <c r="L266" s="10">
        <f t="shared" si="402"/>
        <v>5.0000000000000044E-2</v>
      </c>
      <c r="M266" s="10">
        <f t="shared" si="402"/>
        <v>4.9999999999999822E-2</v>
      </c>
      <c r="N266" s="10">
        <f t="shared" si="402"/>
        <v>5.0000000000000044E-2</v>
      </c>
      <c r="O266" s="10">
        <f t="shared" si="402"/>
        <v>5.0000000000000044E-2</v>
      </c>
      <c r="P266" s="10">
        <f t="shared" si="402"/>
        <v>-0.5</v>
      </c>
      <c r="Q266" s="10">
        <f t="shared" si="402"/>
        <v>-0.5</v>
      </c>
      <c r="R266" s="1018"/>
      <c r="S266" s="5"/>
      <c r="T266" s="5"/>
      <c r="U266" s="5"/>
      <c r="V266" s="5"/>
      <c r="W266" s="10">
        <v>0.75</v>
      </c>
      <c r="X266" s="10">
        <v>0.5</v>
      </c>
      <c r="Y266" s="10">
        <v>0.80645161290322576</v>
      </c>
      <c r="Z266" s="10">
        <v>0.45945945945945943</v>
      </c>
      <c r="AA266" s="163">
        <f t="shared" ref="AA266:AH266" si="403">AA265/W265-1</f>
        <v>0.30952380952380953</v>
      </c>
      <c r="AB266" s="10">
        <f t="shared" si="403"/>
        <v>0.2978723404255319</v>
      </c>
      <c r="AC266" s="10">
        <f t="shared" si="403"/>
        <v>1.7857142857142794E-2</v>
      </c>
      <c r="AD266" s="10">
        <f t="shared" si="403"/>
        <v>0.16666666666666674</v>
      </c>
      <c r="AE266" s="163">
        <f t="shared" si="403"/>
        <v>0.1272727272727272</v>
      </c>
      <c r="AF266" s="10">
        <f t="shared" si="403"/>
        <v>0.19672131147540983</v>
      </c>
      <c r="AG266" s="10">
        <f t="shared" si="403"/>
        <v>0.2807017543859649</v>
      </c>
      <c r="AH266" s="10">
        <f t="shared" si="403"/>
        <v>0.19047619047619047</v>
      </c>
      <c r="AI266" s="163">
        <f>AI265/AE265-1</f>
        <v>0.32258064516129026</v>
      </c>
      <c r="AJ266" s="10">
        <f>AJ265/AF265-1</f>
        <v>0.34246575342465757</v>
      </c>
      <c r="AK266" s="10">
        <f>AK265/AG265-1</f>
        <v>0.46575342465753433</v>
      </c>
      <c r="AL266" s="482">
        <f>AL265/AH265-1</f>
        <v>0.53333333333333344</v>
      </c>
      <c r="AM266" s="163">
        <f t="shared" ref="AM266" si="404">AM265/AI265-1</f>
        <v>0.53658536585365857</v>
      </c>
      <c r="AN266" s="428">
        <f t="shared" ref="AN266" si="405">AN265/AJ265-1</f>
        <v>0.22999999999999998</v>
      </c>
      <c r="AO266" s="428">
        <f t="shared" ref="AO266" si="406">AO265/AK265-1</f>
        <v>0.14999999999999991</v>
      </c>
      <c r="AP266" s="482">
        <f>AP265/AL265-1</f>
        <v>1.5913043478260835E-2</v>
      </c>
      <c r="AQ266" s="1350"/>
    </row>
    <row r="267" spans="1:51" s="1028" customFormat="1" ht="9.75" hidden="1" customHeight="1" outlineLevel="1">
      <c r="A267" s="1048" t="s">
        <v>15</v>
      </c>
      <c r="B267" s="35"/>
      <c r="C267" s="10">
        <v>0.82</v>
      </c>
      <c r="D267" s="10">
        <v>0.56000000000000005</v>
      </c>
      <c r="E267" s="10"/>
      <c r="F267" s="10">
        <v>0.69</v>
      </c>
      <c r="G267" s="10">
        <v>0.3</v>
      </c>
      <c r="H267" s="10">
        <v>0.22</v>
      </c>
      <c r="I267" s="10">
        <v>0.42</v>
      </c>
      <c r="J267" s="50">
        <v>0.21</v>
      </c>
      <c r="K267" s="50">
        <v>0.1</v>
      </c>
      <c r="L267" s="50">
        <v>0.05</v>
      </c>
      <c r="M267" s="50">
        <v>0.05</v>
      </c>
      <c r="N267" s="50">
        <v>0.05</v>
      </c>
      <c r="O267" s="50">
        <v>0.05</v>
      </c>
      <c r="P267" s="50">
        <v>-0.5</v>
      </c>
      <c r="Q267" s="50">
        <v>-0.5</v>
      </c>
      <c r="R267" s="1018"/>
      <c r="S267" s="5"/>
      <c r="T267" s="5"/>
      <c r="U267" s="5"/>
      <c r="V267" s="5"/>
      <c r="W267" s="10">
        <v>0.76</v>
      </c>
      <c r="X267" s="10">
        <v>0.73</v>
      </c>
      <c r="Y267" s="10">
        <v>0.78</v>
      </c>
      <c r="Z267" s="10">
        <v>0.54</v>
      </c>
      <c r="AA267" s="163">
        <v>0.47</v>
      </c>
      <c r="AB267" s="10">
        <v>0.43</v>
      </c>
      <c r="AC267" s="10">
        <v>0.12</v>
      </c>
      <c r="AD267" s="10">
        <v>0.25</v>
      </c>
      <c r="AE267" s="163">
        <v>0.16</v>
      </c>
      <c r="AF267" s="10">
        <v>0.22</v>
      </c>
      <c r="AG267" s="10">
        <v>0.28999999999999998</v>
      </c>
      <c r="AH267" s="10">
        <v>0.2</v>
      </c>
      <c r="AI267" s="163">
        <v>0.33</v>
      </c>
      <c r="AJ267" s="10">
        <v>0.37</v>
      </c>
      <c r="AK267" s="10">
        <v>0.47</v>
      </c>
      <c r="AL267" s="482">
        <v>0.51</v>
      </c>
      <c r="AM267" s="163">
        <v>0.47</v>
      </c>
      <c r="AN267" s="539">
        <v>0.23</v>
      </c>
      <c r="AO267" s="539">
        <v>0.15</v>
      </c>
      <c r="AP267" s="497"/>
      <c r="AQ267" s="1350"/>
    </row>
    <row r="268" spans="1:51" ht="12.75" customHeight="1" collapsed="1">
      <c r="A268" s="1025" t="s">
        <v>41</v>
      </c>
      <c r="B268" s="34"/>
      <c r="G268" s="4">
        <v>261</v>
      </c>
      <c r="H268" s="4">
        <f>+H271+H273</f>
        <v>1128</v>
      </c>
      <c r="I268" s="4">
        <f>+I271+I273</f>
        <v>2071</v>
      </c>
      <c r="J268" s="107">
        <f t="shared" ref="J268:Q268" si="407">I268+I268*J270</f>
        <v>2899.4</v>
      </c>
      <c r="K268" s="107">
        <f t="shared" si="407"/>
        <v>3624.25</v>
      </c>
      <c r="L268" s="107">
        <f t="shared" si="407"/>
        <v>4349.1000000000004</v>
      </c>
      <c r="M268" s="107">
        <f t="shared" si="407"/>
        <v>5001.4650000000001</v>
      </c>
      <c r="N268" s="107">
        <f t="shared" si="407"/>
        <v>5501.6115</v>
      </c>
      <c r="O268" s="107">
        <f t="shared" si="407"/>
        <v>5776.6920749999999</v>
      </c>
      <c r="P268" s="107">
        <f t="shared" si="407"/>
        <v>6065.5266787499995</v>
      </c>
      <c r="Q268" s="107">
        <f t="shared" si="407"/>
        <v>6368.8030126874992</v>
      </c>
      <c r="R268" s="402">
        <f>(N268/J268)^(1/($N$1-$J$1))-1</f>
        <v>0.17366849297218123</v>
      </c>
      <c r="S268" s="1026"/>
      <c r="T268" s="1026"/>
      <c r="U268" s="1026"/>
      <c r="AA268" s="157">
        <v>22</v>
      </c>
      <c r="AB268" s="4">
        <v>30</v>
      </c>
      <c r="AC268" s="4">
        <v>88</v>
      </c>
      <c r="AD268" s="107">
        <f>G268-AC268-AB268-AA268</f>
        <v>121</v>
      </c>
      <c r="AE268" s="157">
        <f>AE271+AE273</f>
        <v>176</v>
      </c>
      <c r="AF268" s="429">
        <f>AF271+AF273</f>
        <v>260</v>
      </c>
      <c r="AG268" s="429">
        <f>AG271+AG273</f>
        <v>301</v>
      </c>
      <c r="AH268" s="107">
        <f>AH271+AH273</f>
        <v>391</v>
      </c>
      <c r="AI268" s="157">
        <f>AI271+AI273</f>
        <v>410</v>
      </c>
      <c r="AJ268" s="429">
        <v>490</v>
      </c>
      <c r="AK268" s="429">
        <v>556</v>
      </c>
      <c r="AL268" s="481">
        <f>I268-AI268-AJ268-AK268</f>
        <v>615</v>
      </c>
      <c r="AM268" s="157">
        <f>AM271+AM273</f>
        <v>580</v>
      </c>
      <c r="AN268" s="396">
        <f t="shared" ref="AN268:AO268" si="408">AJ268+AJ268*AN270</f>
        <v>695.8</v>
      </c>
      <c r="AO268" s="396">
        <f t="shared" si="408"/>
        <v>750.6</v>
      </c>
      <c r="AP268" s="481">
        <f>J268-AM268-AN268-AO268</f>
        <v>873.00000000000011</v>
      </c>
      <c r="AQ268" s="1350"/>
      <c r="AR268" s="1052"/>
      <c r="AS268" s="1052"/>
      <c r="AT268" s="1052"/>
      <c r="AU268" s="1052"/>
      <c r="AV268" s="1052"/>
      <c r="AW268" s="1052"/>
      <c r="AX268" s="1052"/>
      <c r="AY268" s="1052"/>
    </row>
    <row r="269" spans="1:51" s="1028" customFormat="1" ht="9.75" hidden="1" customHeight="1" outlineLevel="1">
      <c r="A269" s="1048" t="s">
        <v>14</v>
      </c>
      <c r="B269" s="35"/>
      <c r="C269" s="5"/>
      <c r="D269" s="5"/>
      <c r="E269" s="5"/>
      <c r="F269" s="5"/>
      <c r="G269" s="5"/>
      <c r="H269" s="10">
        <f t="shared" ref="H269:Q269" si="409">H268/G268-1</f>
        <v>3.3218390804597702</v>
      </c>
      <c r="I269" s="10">
        <f t="shared" si="409"/>
        <v>0.83599290780141855</v>
      </c>
      <c r="J269" s="10">
        <f t="shared" si="409"/>
        <v>0.40000000000000013</v>
      </c>
      <c r="K269" s="10">
        <f t="shared" si="409"/>
        <v>0.25</v>
      </c>
      <c r="L269" s="10">
        <f t="shared" si="409"/>
        <v>0.20000000000000018</v>
      </c>
      <c r="M269" s="10">
        <f t="shared" si="409"/>
        <v>0.14999999999999991</v>
      </c>
      <c r="N269" s="10">
        <f t="shared" si="409"/>
        <v>9.9999999999999867E-2</v>
      </c>
      <c r="O269" s="10">
        <f t="shared" si="409"/>
        <v>5.0000000000000044E-2</v>
      </c>
      <c r="P269" s="10">
        <f t="shared" si="409"/>
        <v>4.9999999999999822E-2</v>
      </c>
      <c r="Q269" s="10">
        <f t="shared" si="409"/>
        <v>5.0000000000000044E-2</v>
      </c>
      <c r="R269" s="1018"/>
      <c r="S269" s="5"/>
      <c r="T269" s="5"/>
      <c r="U269" s="5"/>
      <c r="V269" s="5"/>
      <c r="W269" s="5"/>
      <c r="X269" s="5"/>
      <c r="Y269" s="5"/>
      <c r="Z269" s="5"/>
      <c r="AA269" s="172"/>
      <c r="AB269" s="5"/>
      <c r="AC269" s="10"/>
      <c r="AD269" s="10"/>
      <c r="AE269" s="163">
        <f t="shared" ref="AE269:AL269" si="410">AE268/AA268-1</f>
        <v>7</v>
      </c>
      <c r="AF269" s="10">
        <f t="shared" si="410"/>
        <v>7.6666666666666661</v>
      </c>
      <c r="AG269" s="10">
        <f t="shared" si="410"/>
        <v>2.4204545454545454</v>
      </c>
      <c r="AH269" s="10">
        <f t="shared" si="410"/>
        <v>2.2314049586776861</v>
      </c>
      <c r="AI269" s="163">
        <f t="shared" si="410"/>
        <v>1.3295454545454546</v>
      </c>
      <c r="AJ269" s="10">
        <f t="shared" si="410"/>
        <v>0.88461538461538458</v>
      </c>
      <c r="AK269" s="10">
        <f t="shared" si="410"/>
        <v>0.84717607973421938</v>
      </c>
      <c r="AL269" s="482">
        <f t="shared" si="410"/>
        <v>0.57289002557544766</v>
      </c>
      <c r="AM269" s="163">
        <f t="shared" ref="AM269" si="411">AM268/AI268-1</f>
        <v>0.41463414634146334</v>
      </c>
      <c r="AN269" s="428">
        <f t="shared" ref="AN269" si="412">AN268/AJ268-1</f>
        <v>0.41999999999999993</v>
      </c>
      <c r="AO269" s="428">
        <f t="shared" ref="AO269" si="413">AO268/AK268-1</f>
        <v>0.35000000000000009</v>
      </c>
      <c r="AP269" s="482">
        <f>AP268/AL268-1</f>
        <v>0.41951219512195137</v>
      </c>
      <c r="AQ269" s="1350"/>
    </row>
    <row r="270" spans="1:51" s="1028" customFormat="1" ht="9.75" hidden="1" customHeight="1" outlineLevel="1">
      <c r="A270" s="1048" t="s">
        <v>15</v>
      </c>
      <c r="B270" s="35"/>
      <c r="C270" s="5"/>
      <c r="D270" s="5"/>
      <c r="E270" s="5"/>
      <c r="F270" s="5"/>
      <c r="G270" s="5"/>
      <c r="H270" s="10"/>
      <c r="I270" s="10">
        <v>0.82</v>
      </c>
      <c r="J270" s="50">
        <v>0.4</v>
      </c>
      <c r="K270" s="50">
        <v>0.25</v>
      </c>
      <c r="L270" s="50">
        <v>0.2</v>
      </c>
      <c r="M270" s="50">
        <v>0.15</v>
      </c>
      <c r="N270" s="50">
        <v>0.1</v>
      </c>
      <c r="O270" s="50">
        <v>0.05</v>
      </c>
      <c r="P270" s="50">
        <v>0.05</v>
      </c>
      <c r="Q270" s="50">
        <v>0.05</v>
      </c>
      <c r="R270" s="1018"/>
      <c r="S270" s="5"/>
      <c r="T270" s="5"/>
      <c r="U270" s="5"/>
      <c r="V270" s="5"/>
      <c r="W270" s="5"/>
      <c r="X270" s="5"/>
      <c r="Y270" s="5"/>
      <c r="Z270" s="5"/>
      <c r="AA270" s="172"/>
      <c r="AB270" s="5"/>
      <c r="AC270" s="10"/>
      <c r="AD270" s="5"/>
      <c r="AE270" s="172"/>
      <c r="AF270" s="5"/>
      <c r="AG270" s="5"/>
      <c r="AH270" s="10"/>
      <c r="AI270" s="163">
        <v>1.36</v>
      </c>
      <c r="AJ270" s="10">
        <v>0.9</v>
      </c>
      <c r="AK270" s="10">
        <v>0.83</v>
      </c>
      <c r="AL270" s="482">
        <v>0.53</v>
      </c>
      <c r="AM270" s="163">
        <v>0.35</v>
      </c>
      <c r="AN270" s="539">
        <v>0.42</v>
      </c>
      <c r="AO270" s="539">
        <v>0.35</v>
      </c>
      <c r="AP270" s="497"/>
      <c r="AQ270" s="1350"/>
    </row>
    <row r="271" spans="1:51" s="1038" customFormat="1" ht="12.75" hidden="1" customHeight="1" outlineLevel="1">
      <c r="A271" s="2" t="s">
        <v>72</v>
      </c>
      <c r="B271" s="34"/>
      <c r="C271" s="4"/>
      <c r="D271" s="4"/>
      <c r="E271" s="4"/>
      <c r="F271" s="4"/>
      <c r="G271" s="4"/>
      <c r="H271" s="4">
        <v>765</v>
      </c>
      <c r="I271" s="107">
        <v>1275</v>
      </c>
      <c r="J271" s="107"/>
      <c r="K271" s="107"/>
      <c r="L271" s="107"/>
      <c r="M271" s="107"/>
      <c r="N271" s="107"/>
      <c r="O271" s="107"/>
      <c r="P271" s="107"/>
      <c r="Q271" s="107"/>
      <c r="R271" s="1019"/>
      <c r="S271" s="10"/>
      <c r="T271" s="10"/>
      <c r="U271" s="10"/>
      <c r="V271" s="10"/>
      <c r="W271" s="4"/>
      <c r="X271" s="4"/>
      <c r="Y271" s="4"/>
      <c r="Z271" s="4"/>
      <c r="AA271" s="157"/>
      <c r="AB271" s="4"/>
      <c r="AC271" s="4"/>
      <c r="AD271" s="107"/>
      <c r="AE271" s="397">
        <v>123</v>
      </c>
      <c r="AF271" s="4">
        <v>180</v>
      </c>
      <c r="AG271" s="4">
        <v>205</v>
      </c>
      <c r="AH271" s="107">
        <f>H271-AE271-AF271-AG271</f>
        <v>257</v>
      </c>
      <c r="AI271" s="397">
        <v>258</v>
      </c>
      <c r="AJ271" s="4"/>
      <c r="AK271" s="107"/>
      <c r="AL271" s="481"/>
      <c r="AM271" s="397">
        <v>319</v>
      </c>
      <c r="AN271" s="396"/>
      <c r="AO271" s="396"/>
      <c r="AP271" s="481"/>
      <c r="AQ271" s="1350"/>
    </row>
    <row r="272" spans="1:51" s="1038" customFormat="1" ht="9.75" hidden="1" customHeight="1" outlineLevel="1">
      <c r="A272" s="2" t="s">
        <v>14</v>
      </c>
      <c r="B272" s="2"/>
      <c r="C272" s="10"/>
      <c r="D272" s="10"/>
      <c r="E272" s="10"/>
      <c r="F272" s="10"/>
      <c r="G272" s="10"/>
      <c r="H272" s="10"/>
      <c r="I272" s="10">
        <f t="shared" ref="I272:I274" si="414">I271/H271-1</f>
        <v>0.66666666666666674</v>
      </c>
      <c r="J272" s="50"/>
      <c r="K272" s="50"/>
      <c r="L272" s="50"/>
      <c r="M272" s="50"/>
      <c r="N272" s="50"/>
      <c r="O272" s="50"/>
      <c r="P272" s="50"/>
      <c r="Q272" s="50"/>
      <c r="R272" s="1019"/>
      <c r="S272" s="10"/>
      <c r="T272" s="10"/>
      <c r="U272" s="10"/>
      <c r="V272" s="10"/>
      <c r="W272" s="10"/>
      <c r="X272" s="10"/>
      <c r="Y272" s="10"/>
      <c r="Z272" s="10"/>
      <c r="AA272" s="163"/>
      <c r="AB272" s="10"/>
      <c r="AC272" s="10"/>
      <c r="AD272" s="10"/>
      <c r="AE272" s="163"/>
      <c r="AF272" s="10"/>
      <c r="AG272" s="10"/>
      <c r="AH272" s="10"/>
      <c r="AI272" s="163">
        <f>AI271/AE271-1</f>
        <v>1.0975609756097562</v>
      </c>
      <c r="AJ272" s="10"/>
      <c r="AK272" s="50"/>
      <c r="AL272" s="497"/>
      <c r="AM272" s="163">
        <f t="shared" ref="AM272:AM274" si="415">AM271/AI271-1</f>
        <v>0.23643410852713176</v>
      </c>
      <c r="AN272" s="539"/>
      <c r="AO272" s="539"/>
      <c r="AP272" s="497"/>
      <c r="AQ272" s="1350"/>
    </row>
    <row r="273" spans="1:44" s="1038" customFormat="1" ht="12.75" hidden="1" customHeight="1" outlineLevel="1">
      <c r="A273" s="2" t="s">
        <v>73</v>
      </c>
      <c r="B273" s="34"/>
      <c r="C273" s="4"/>
      <c r="D273" s="4"/>
      <c r="E273" s="4"/>
      <c r="F273" s="4"/>
      <c r="G273" s="4"/>
      <c r="H273" s="4">
        <v>363</v>
      </c>
      <c r="I273" s="107">
        <v>796</v>
      </c>
      <c r="J273" s="107"/>
      <c r="K273" s="107"/>
      <c r="L273" s="107"/>
      <c r="M273" s="107"/>
      <c r="N273" s="107"/>
      <c r="O273" s="107"/>
      <c r="P273" s="107"/>
      <c r="Q273" s="107"/>
      <c r="R273" s="1019"/>
      <c r="S273" s="10"/>
      <c r="T273" s="10"/>
      <c r="U273" s="10"/>
      <c r="V273" s="10"/>
      <c r="W273" s="4"/>
      <c r="X273" s="4"/>
      <c r="Y273" s="4"/>
      <c r="Z273" s="4"/>
      <c r="AA273" s="157"/>
      <c r="AB273" s="4"/>
      <c r="AC273" s="4"/>
      <c r="AD273" s="107"/>
      <c r="AE273" s="397">
        <v>53</v>
      </c>
      <c r="AF273" s="4">
        <v>80</v>
      </c>
      <c r="AG273" s="4">
        <v>96</v>
      </c>
      <c r="AH273" s="107">
        <f>H273-AE273-AF273-AG273</f>
        <v>134</v>
      </c>
      <c r="AI273" s="397">
        <v>152</v>
      </c>
      <c r="AJ273" s="4"/>
      <c r="AK273" s="107"/>
      <c r="AL273" s="481"/>
      <c r="AM273" s="397">
        <v>261</v>
      </c>
      <c r="AN273" s="396"/>
      <c r="AO273" s="396"/>
      <c r="AP273" s="481"/>
      <c r="AQ273" s="1350"/>
    </row>
    <row r="274" spans="1:44" s="1038" customFormat="1" ht="9.75" hidden="1" customHeight="1" outlineLevel="1">
      <c r="A274" s="2" t="s">
        <v>14</v>
      </c>
      <c r="B274" s="2"/>
      <c r="C274" s="10"/>
      <c r="D274" s="10"/>
      <c r="E274" s="10"/>
      <c r="F274" s="10"/>
      <c r="G274" s="10"/>
      <c r="H274" s="10"/>
      <c r="I274" s="10">
        <f t="shared" si="414"/>
        <v>1.1928374655647382</v>
      </c>
      <c r="J274" s="10"/>
      <c r="K274" s="10"/>
      <c r="L274" s="10"/>
      <c r="M274" s="10"/>
      <c r="N274" s="10"/>
      <c r="O274" s="10"/>
      <c r="P274" s="10"/>
      <c r="Q274" s="10"/>
      <c r="R274" s="1019"/>
      <c r="S274" s="10"/>
      <c r="T274" s="10"/>
      <c r="U274" s="10"/>
      <c r="V274" s="10"/>
      <c r="W274" s="10"/>
      <c r="X274" s="10"/>
      <c r="Y274" s="10"/>
      <c r="Z274" s="10"/>
      <c r="AA274" s="163"/>
      <c r="AB274" s="10"/>
      <c r="AC274" s="10"/>
      <c r="AD274" s="10"/>
      <c r="AE274" s="163"/>
      <c r="AF274" s="10"/>
      <c r="AG274" s="10"/>
      <c r="AH274" s="10"/>
      <c r="AI274" s="163">
        <f>AI273/AE273-1</f>
        <v>1.8679245283018866</v>
      </c>
      <c r="AJ274" s="10"/>
      <c r="AK274" s="10"/>
      <c r="AL274" s="482"/>
      <c r="AM274" s="163">
        <f t="shared" si="415"/>
        <v>0.71710526315789469</v>
      </c>
      <c r="AN274" s="428"/>
      <c r="AO274" s="428"/>
      <c r="AP274" s="482"/>
      <c r="AQ274" s="1350"/>
    </row>
    <row r="275" spans="1:44" s="1038" customFormat="1" ht="9.75" hidden="1" customHeight="1" outlineLevel="1">
      <c r="A275" s="2" t="s">
        <v>15</v>
      </c>
      <c r="B275" s="2"/>
      <c r="C275" s="10"/>
      <c r="D275" s="10"/>
      <c r="E275" s="10"/>
      <c r="F275" s="10"/>
      <c r="G275" s="10"/>
      <c r="H275" s="10"/>
      <c r="I275" s="10">
        <v>1.1499999999999999</v>
      </c>
      <c r="J275" s="50"/>
      <c r="K275" s="50"/>
      <c r="L275" s="50"/>
      <c r="M275" s="50"/>
      <c r="N275" s="50"/>
      <c r="O275" s="50"/>
      <c r="P275" s="50"/>
      <c r="Q275" s="50"/>
      <c r="R275" s="1019"/>
      <c r="S275" s="10"/>
      <c r="T275" s="10"/>
      <c r="U275" s="10"/>
      <c r="V275" s="10"/>
      <c r="W275" s="10"/>
      <c r="X275" s="10"/>
      <c r="Y275" s="10"/>
      <c r="Z275" s="10"/>
      <c r="AA275" s="163"/>
      <c r="AB275" s="10"/>
      <c r="AC275" s="10"/>
      <c r="AD275" s="10"/>
      <c r="AE275" s="163"/>
      <c r="AF275" s="10"/>
      <c r="AG275" s="10"/>
      <c r="AH275" s="10"/>
      <c r="AI275" s="163">
        <v>1.96</v>
      </c>
      <c r="AJ275" s="10"/>
      <c r="AK275" s="50"/>
      <c r="AL275" s="497"/>
      <c r="AM275" s="163">
        <v>0.54</v>
      </c>
      <c r="AN275" s="539"/>
      <c r="AO275" s="539"/>
      <c r="AP275" s="497"/>
      <c r="AQ275" s="1350"/>
    </row>
    <row r="276" spans="1:44" ht="12.75" customHeight="1" collapsed="1">
      <c r="A276" s="1025" t="s">
        <v>29</v>
      </c>
      <c r="B276" s="34">
        <v>293</v>
      </c>
      <c r="C276" s="4">
        <v>363</v>
      </c>
      <c r="D276" s="4">
        <v>398</v>
      </c>
      <c r="E276" s="4">
        <v>169</v>
      </c>
      <c r="F276" s="4">
        <v>173</v>
      </c>
      <c r="G276" s="4">
        <v>160</v>
      </c>
      <c r="H276" s="4">
        <f>172+136</f>
        <v>308</v>
      </c>
      <c r="I276" s="141">
        <v>288</v>
      </c>
      <c r="J276" s="141"/>
      <c r="K276" s="141"/>
      <c r="L276" s="141"/>
      <c r="M276" s="141"/>
      <c r="N276" s="141"/>
      <c r="O276" s="141"/>
      <c r="P276" s="141"/>
      <c r="Q276" s="141"/>
      <c r="R276" s="1398"/>
      <c r="S276" s="107"/>
      <c r="T276" s="107"/>
      <c r="U276" s="107"/>
      <c r="W276" s="4">
        <v>43</v>
      </c>
      <c r="X276" s="4">
        <v>42</v>
      </c>
      <c r="Y276" s="4">
        <v>43</v>
      </c>
      <c r="Z276" s="4">
        <v>45</v>
      </c>
      <c r="AA276" s="157">
        <f>62-22</f>
        <v>40</v>
      </c>
      <c r="AB276" s="4">
        <v>41</v>
      </c>
      <c r="AC276" s="4">
        <v>41</v>
      </c>
      <c r="AD276" s="107">
        <f>G276-AC276-AB276-AA276</f>
        <v>38</v>
      </c>
      <c r="AE276" s="157">
        <f>39+25</f>
        <v>64</v>
      </c>
      <c r="AF276" s="4">
        <f>46+26</f>
        <v>72</v>
      </c>
      <c r="AG276" s="4">
        <f>41+27</f>
        <v>68</v>
      </c>
      <c r="AH276" s="107">
        <f>H276-AE276-AF276-AG276</f>
        <v>104</v>
      </c>
      <c r="AI276" s="406">
        <v>64</v>
      </c>
      <c r="AJ276" s="14">
        <v>70</v>
      </c>
      <c r="AK276" s="14">
        <v>73</v>
      </c>
      <c r="AL276" s="489">
        <f>I276-AI276-AJ276-AK276</f>
        <v>81</v>
      </c>
      <c r="AM276" s="406"/>
      <c r="AN276" s="543">
        <f t="shared" ref="AN276" si="416">AJ276+AJ276*AN278</f>
        <v>68.367056112400221</v>
      </c>
      <c r="AO276" s="543">
        <f t="shared" ref="AO276" si="417">AK276+AK276*AO278</f>
        <v>71.297072802931652</v>
      </c>
      <c r="AP276" s="489">
        <f>J276-AM276-AN276-AO276</f>
        <v>-139.66412891533187</v>
      </c>
      <c r="AQ276" s="1350"/>
      <c r="AR276" s="1052"/>
    </row>
    <row r="277" spans="1:44" s="1028" customFormat="1" ht="9.75" hidden="1" customHeight="1" outlineLevel="1">
      <c r="A277" s="1048" t="s">
        <v>14</v>
      </c>
      <c r="B277" s="35"/>
      <c r="C277" s="10"/>
      <c r="D277" s="10">
        <f t="shared" ref="D277:Q277" si="418">D276/C276-1</f>
        <v>9.6418732782369121E-2</v>
      </c>
      <c r="E277" s="10">
        <f t="shared" si="418"/>
        <v>-0.57537688442211055</v>
      </c>
      <c r="F277" s="10">
        <f t="shared" si="418"/>
        <v>2.3668639053254337E-2</v>
      </c>
      <c r="G277" s="10">
        <f t="shared" si="418"/>
        <v>-7.5144508670520249E-2</v>
      </c>
      <c r="H277" s="10">
        <f t="shared" si="418"/>
        <v>0.92500000000000004</v>
      </c>
      <c r="I277" s="15">
        <f t="shared" si="418"/>
        <v>-6.4935064935064957E-2</v>
      </c>
      <c r="J277" s="15">
        <f t="shared" si="418"/>
        <v>-1</v>
      </c>
      <c r="K277" s="15" t="e">
        <f t="shared" si="418"/>
        <v>#DIV/0!</v>
      </c>
      <c r="L277" s="15" t="e">
        <f t="shared" si="418"/>
        <v>#DIV/0!</v>
      </c>
      <c r="M277" s="15" t="e">
        <f t="shared" si="418"/>
        <v>#DIV/0!</v>
      </c>
      <c r="N277" s="15" t="e">
        <f t="shared" si="418"/>
        <v>#DIV/0!</v>
      </c>
      <c r="O277" s="15" t="e">
        <f t="shared" si="418"/>
        <v>#DIV/0!</v>
      </c>
      <c r="P277" s="15" t="e">
        <f t="shared" si="418"/>
        <v>#DIV/0!</v>
      </c>
      <c r="Q277" s="15" t="e">
        <f t="shared" si="418"/>
        <v>#DIV/0!</v>
      </c>
      <c r="R277" s="1018"/>
      <c r="S277" s="5"/>
      <c r="T277" s="5"/>
      <c r="U277" s="5"/>
      <c r="V277" s="5"/>
      <c r="W277" s="10"/>
      <c r="X277" s="10"/>
      <c r="Y277" s="10"/>
      <c r="Z277" s="10"/>
      <c r="AA277" s="163">
        <f t="shared" ref="AA277:AH277" si="419">AA276/W276-1</f>
        <v>-6.9767441860465129E-2</v>
      </c>
      <c r="AB277" s="10">
        <f t="shared" si="419"/>
        <v>-2.3809523809523836E-2</v>
      </c>
      <c r="AC277" s="10">
        <f t="shared" si="419"/>
        <v>-4.6511627906976716E-2</v>
      </c>
      <c r="AD277" s="10">
        <f t="shared" si="419"/>
        <v>-0.15555555555555556</v>
      </c>
      <c r="AE277" s="163">
        <f t="shared" si="419"/>
        <v>0.60000000000000009</v>
      </c>
      <c r="AF277" s="10">
        <f t="shared" si="419"/>
        <v>0.75609756097560976</v>
      </c>
      <c r="AG277" s="10">
        <f t="shared" si="419"/>
        <v>0.65853658536585358</v>
      </c>
      <c r="AH277" s="10">
        <f t="shared" si="419"/>
        <v>1.736842105263158</v>
      </c>
      <c r="AI277" s="407">
        <f>AI276/AE276-1</f>
        <v>0</v>
      </c>
      <c r="AJ277" s="15">
        <f>AJ276/AF276-1</f>
        <v>-2.777777777777779E-2</v>
      </c>
      <c r="AK277" s="15">
        <f>AK276/AG276-1</f>
        <v>7.3529411764705843E-2</v>
      </c>
      <c r="AL277" s="490">
        <f>AL276/AH276-1</f>
        <v>-0.22115384615384615</v>
      </c>
      <c r="AM277" s="407"/>
      <c r="AN277" s="547">
        <f t="shared" ref="AN277" si="420">AN276/AJ276-1</f>
        <v>-2.3327769822854005E-2</v>
      </c>
      <c r="AO277" s="547">
        <f t="shared" ref="AO277" si="421">AO276/AK276-1</f>
        <v>-2.3327769822854116E-2</v>
      </c>
      <c r="AP277" s="490">
        <f>AP276/AL276-1</f>
        <v>-2.7242485051275542</v>
      </c>
      <c r="AQ277" s="1350"/>
    </row>
    <row r="278" spans="1:44" s="1028" customFormat="1" ht="9.75" hidden="1" customHeight="1" outlineLevel="1">
      <c r="A278" s="1048" t="s">
        <v>15</v>
      </c>
      <c r="B278" s="35"/>
      <c r="C278" s="10">
        <v>0.19</v>
      </c>
      <c r="D278" s="10">
        <v>0.14000000000000001</v>
      </c>
      <c r="E278" s="10">
        <v>0.09</v>
      </c>
      <c r="F278" s="10">
        <v>0.04</v>
      </c>
      <c r="G278" s="10">
        <v>0.02</v>
      </c>
      <c r="H278" s="10">
        <v>0.09</v>
      </c>
      <c r="I278" s="15">
        <v>-7.0000000000000007E-2</v>
      </c>
      <c r="J278" s="1366">
        <v>-2.3327769822854044E-2</v>
      </c>
      <c r="K278" s="1366">
        <v>-2.3327769822854044E-2</v>
      </c>
      <c r="L278" s="1366">
        <v>-0.03</v>
      </c>
      <c r="M278" s="1366">
        <v>-0.03</v>
      </c>
      <c r="N278" s="1366">
        <v>-0.03</v>
      </c>
      <c r="O278" s="1366">
        <v>-0.03</v>
      </c>
      <c r="P278" s="1366">
        <v>-0.03</v>
      </c>
      <c r="Q278" s="1366">
        <v>-0.03</v>
      </c>
      <c r="R278" s="1018"/>
      <c r="S278" s="5"/>
      <c r="T278" s="5"/>
      <c r="U278" s="5"/>
      <c r="V278" s="5"/>
      <c r="W278" s="10">
        <v>0.12</v>
      </c>
      <c r="X278" s="10">
        <v>0.05</v>
      </c>
      <c r="Y278" s="10">
        <v>-0.06</v>
      </c>
      <c r="Z278" s="10">
        <v>0.09</v>
      </c>
      <c r="AA278" s="163">
        <v>0.52</v>
      </c>
      <c r="AB278" s="10">
        <v>0.82</v>
      </c>
      <c r="AC278" s="10">
        <v>0.04</v>
      </c>
      <c r="AD278" s="10">
        <v>-0.08</v>
      </c>
      <c r="AE278" s="163">
        <v>0.04</v>
      </c>
      <c r="AF278" s="10">
        <v>0.04</v>
      </c>
      <c r="AG278" s="10">
        <v>0.11</v>
      </c>
      <c r="AH278" s="10">
        <v>0.22</v>
      </c>
      <c r="AI278" s="407">
        <v>0.02</v>
      </c>
      <c r="AJ278" s="15">
        <v>-0.01</v>
      </c>
      <c r="AK278" s="15">
        <v>0.03</v>
      </c>
      <c r="AL278" s="490">
        <v>-0.23</v>
      </c>
      <c r="AM278" s="407"/>
      <c r="AN278" s="1364">
        <v>-2.3327769822854044E-2</v>
      </c>
      <c r="AO278" s="1364">
        <v>-2.3327769822854044E-2</v>
      </c>
      <c r="AP278" s="1365"/>
      <c r="AQ278" s="1350"/>
    </row>
    <row r="279" spans="1:44" ht="12.75" customHeight="1" collapsed="1">
      <c r="A279" s="1025" t="s">
        <v>58</v>
      </c>
      <c r="B279" s="34">
        <f t="shared" ref="B279:Q279" si="422">B276+B268+B265+B388+B380+B257</f>
        <v>1778</v>
      </c>
      <c r="C279" s="4">
        <f t="shared" si="422"/>
        <v>2019</v>
      </c>
      <c r="D279" s="4">
        <f t="shared" si="422"/>
        <v>2080</v>
      </c>
      <c r="E279" s="4">
        <f t="shared" si="422"/>
        <v>1924</v>
      </c>
      <c r="F279" s="4">
        <f t="shared" si="422"/>
        <v>1926</v>
      </c>
      <c r="G279" s="4">
        <f t="shared" si="422"/>
        <v>2003</v>
      </c>
      <c r="H279" s="4">
        <f t="shared" si="422"/>
        <v>3015</v>
      </c>
      <c r="I279" s="107">
        <f t="shared" si="422"/>
        <v>4041</v>
      </c>
      <c r="J279" s="107">
        <f t="shared" si="422"/>
        <v>4290.6361214227709</v>
      </c>
      <c r="K279" s="107">
        <f t="shared" si="422"/>
        <v>5051.9289929231772</v>
      </c>
      <c r="L279" s="107">
        <f t="shared" si="422"/>
        <v>5772.0759534185545</v>
      </c>
      <c r="M279" s="107">
        <f t="shared" si="422"/>
        <v>6423.3698386792557</v>
      </c>
      <c r="N279" s="107">
        <f t="shared" si="422"/>
        <v>6925.9741985717073</v>
      </c>
      <c r="O279" s="107">
        <f t="shared" si="422"/>
        <v>7206.954813801688</v>
      </c>
      <c r="P279" s="107">
        <f t="shared" si="422"/>
        <v>7147.3560148864453</v>
      </c>
      <c r="Q279" s="107">
        <f t="shared" si="422"/>
        <v>7266.4796777238307</v>
      </c>
      <c r="R279" s="402">
        <f>(N279/J279)^(1/($N$1-$J$1))-1</f>
        <v>0.12717097279387235</v>
      </c>
      <c r="S279" s="1026"/>
      <c r="T279" s="1026"/>
      <c r="U279" s="1026"/>
      <c r="W279" s="4">
        <f t="shared" ref="W279:AP279" si="423">W276+W268+W265+W388+W380+W257</f>
        <v>461</v>
      </c>
      <c r="X279" s="4">
        <f t="shared" si="423"/>
        <v>472</v>
      </c>
      <c r="Y279" s="4">
        <f t="shared" si="423"/>
        <v>514</v>
      </c>
      <c r="Z279" s="4">
        <f t="shared" si="423"/>
        <v>479</v>
      </c>
      <c r="AA279" s="157">
        <f t="shared" si="423"/>
        <v>443</v>
      </c>
      <c r="AB279" s="4">
        <f t="shared" si="423"/>
        <v>457</v>
      </c>
      <c r="AC279" s="4">
        <f t="shared" si="423"/>
        <v>533</v>
      </c>
      <c r="AD279" s="4">
        <f t="shared" si="423"/>
        <v>570</v>
      </c>
      <c r="AE279" s="157">
        <f t="shared" si="423"/>
        <v>620</v>
      </c>
      <c r="AF279" s="4">
        <f t="shared" si="423"/>
        <v>734</v>
      </c>
      <c r="AG279" s="4">
        <f t="shared" si="423"/>
        <v>770</v>
      </c>
      <c r="AH279" s="107">
        <f t="shared" si="423"/>
        <v>891</v>
      </c>
      <c r="AI279" s="157">
        <f t="shared" si="423"/>
        <v>844</v>
      </c>
      <c r="AJ279" s="4">
        <f t="shared" si="423"/>
        <v>979</v>
      </c>
      <c r="AK279" s="4">
        <f t="shared" si="423"/>
        <v>1063</v>
      </c>
      <c r="AL279" s="481">
        <f t="shared" si="423"/>
        <v>1155</v>
      </c>
      <c r="AM279" s="157">
        <f t="shared" si="423"/>
        <v>930</v>
      </c>
      <c r="AN279" s="107">
        <f t="shared" si="423"/>
        <v>1109.4091003870537</v>
      </c>
      <c r="AO279" s="107">
        <f t="shared" si="423"/>
        <v>1176.7802271348367</v>
      </c>
      <c r="AP279" s="481">
        <f t="shared" si="423"/>
        <v>1074.44679390088</v>
      </c>
      <c r="AQ279" s="1350"/>
    </row>
    <row r="280" spans="1:44" s="1028" customFormat="1" ht="9.75" hidden="1" customHeight="1" outlineLevel="1">
      <c r="A280" s="1048" t="s">
        <v>14</v>
      </c>
      <c r="B280" s="35"/>
      <c r="C280" s="10">
        <f>C279/B279-1</f>
        <v>0.13554555680539937</v>
      </c>
      <c r="D280" s="10">
        <f>D279/C279-1</f>
        <v>3.0212976721148976E-2</v>
      </c>
      <c r="E280" s="10">
        <f>E279/D279-1</f>
        <v>-7.4999999999999956E-2</v>
      </c>
      <c r="F280" s="10">
        <f>F279/E279-1</f>
        <v>1.0395010395010118E-3</v>
      </c>
      <c r="G280" s="10">
        <f>G279/F279-1</f>
        <v>3.9979231568016527E-2</v>
      </c>
      <c r="H280" s="10">
        <f t="shared" ref="H280:Q280" si="424">H279/G279-1</f>
        <v>0.50524213679480789</v>
      </c>
      <c r="I280" s="10">
        <f t="shared" si="424"/>
        <v>0.34029850746268653</v>
      </c>
      <c r="J280" s="10">
        <f t="shared" si="424"/>
        <v>6.1775828117488496E-2</v>
      </c>
      <c r="K280" s="10">
        <f t="shared" si="424"/>
        <v>0.17743123629135971</v>
      </c>
      <c r="L280" s="10">
        <f t="shared" si="424"/>
        <v>0.14254890785364771</v>
      </c>
      <c r="M280" s="10">
        <f t="shared" si="424"/>
        <v>0.11283529366500589</v>
      </c>
      <c r="N280" s="10">
        <f t="shared" si="424"/>
        <v>7.8246212271002369E-2</v>
      </c>
      <c r="O280" s="10">
        <f t="shared" si="424"/>
        <v>4.0569110882325399E-2</v>
      </c>
      <c r="P280" s="10">
        <f t="shared" si="424"/>
        <v>-8.2696229482538408E-3</v>
      </c>
      <c r="Q280" s="10">
        <f t="shared" si="424"/>
        <v>1.6666815335527607E-2</v>
      </c>
      <c r="R280" s="1018"/>
      <c r="S280" s="5"/>
      <c r="T280" s="5"/>
      <c r="U280" s="5"/>
      <c r="V280" s="5"/>
      <c r="W280" s="10"/>
      <c r="X280" s="10"/>
      <c r="Y280" s="10"/>
      <c r="Z280" s="10"/>
      <c r="AA280" s="163">
        <f t="shared" ref="AA280:AH280" si="425">AA279/W279-1</f>
        <v>-3.9045553145336198E-2</v>
      </c>
      <c r="AB280" s="10">
        <f t="shared" si="425"/>
        <v>-3.1779661016949179E-2</v>
      </c>
      <c r="AC280" s="10">
        <f t="shared" si="425"/>
        <v>3.6964980544747172E-2</v>
      </c>
      <c r="AD280" s="10">
        <f t="shared" si="425"/>
        <v>0.1899791231732777</v>
      </c>
      <c r="AE280" s="163">
        <f t="shared" si="425"/>
        <v>0.39954853273137703</v>
      </c>
      <c r="AF280" s="10">
        <f t="shared" si="425"/>
        <v>0.60612691466083146</v>
      </c>
      <c r="AG280" s="10">
        <f t="shared" si="425"/>
        <v>0.44465290806754232</v>
      </c>
      <c r="AH280" s="10">
        <f t="shared" si="425"/>
        <v>0.56315789473684208</v>
      </c>
      <c r="AI280" s="163">
        <f t="shared" ref="AI280:AP280" si="426">AI279/AE279-1</f>
        <v>0.3612903225806452</v>
      </c>
      <c r="AJ280" s="10">
        <f t="shared" si="426"/>
        <v>0.3337874659400546</v>
      </c>
      <c r="AK280" s="10">
        <f t="shared" si="426"/>
        <v>0.38051948051948048</v>
      </c>
      <c r="AL280" s="482">
        <f t="shared" si="426"/>
        <v>0.29629629629629628</v>
      </c>
      <c r="AM280" s="163">
        <f t="shared" si="426"/>
        <v>0.10189573459715651</v>
      </c>
      <c r="AN280" s="10">
        <f t="shared" si="426"/>
        <v>0.13320643553325207</v>
      </c>
      <c r="AO280" s="10">
        <f t="shared" si="426"/>
        <v>0.10703690229053309</v>
      </c>
      <c r="AP280" s="482">
        <f t="shared" si="426"/>
        <v>-6.974303558365369E-2</v>
      </c>
      <c r="AQ280" s="1350"/>
    </row>
    <row r="281" spans="1:44" s="1028" customFormat="1" ht="9.75" hidden="1" customHeight="1" outlineLevel="1">
      <c r="A281" s="1048" t="s">
        <v>15</v>
      </c>
      <c r="B281" s="35"/>
      <c r="C281" s="5"/>
      <c r="D281" s="5"/>
      <c r="E281" s="5"/>
      <c r="F281" s="5"/>
      <c r="G281" s="5"/>
      <c r="H281" s="5">
        <v>47</v>
      </c>
      <c r="I281" s="10">
        <v>0.35</v>
      </c>
      <c r="J281" s="50"/>
      <c r="K281" s="50"/>
      <c r="L281" s="50"/>
      <c r="M281" s="50"/>
      <c r="N281" s="50"/>
      <c r="O281" s="50"/>
      <c r="P281" s="50"/>
      <c r="Q281" s="50"/>
      <c r="R281" s="1018"/>
      <c r="S281" s="5"/>
      <c r="T281" s="5"/>
      <c r="U281" s="5"/>
      <c r="V281" s="5"/>
      <c r="W281" s="5"/>
      <c r="X281" s="5"/>
      <c r="Y281" s="5"/>
      <c r="Z281" s="5"/>
      <c r="AA281" s="163"/>
      <c r="AB281" s="10"/>
      <c r="AC281" s="10"/>
      <c r="AD281" s="10">
        <v>0.3</v>
      </c>
      <c r="AE281" s="163">
        <v>0.41</v>
      </c>
      <c r="AF281" s="10">
        <v>0.56000000000000005</v>
      </c>
      <c r="AG281" s="10">
        <v>0.41</v>
      </c>
      <c r="AH281" s="10">
        <v>0.49</v>
      </c>
      <c r="AI281" s="163"/>
      <c r="AJ281" s="10"/>
      <c r="AK281" s="50"/>
      <c r="AL281" s="497"/>
      <c r="AM281" s="163"/>
      <c r="AN281" s="539"/>
      <c r="AO281" s="539"/>
      <c r="AP281" s="497"/>
      <c r="AQ281" s="1350"/>
    </row>
    <row r="282" spans="1:44" ht="12.75" customHeight="1" collapsed="1">
      <c r="A282" s="1025" t="s">
        <v>43</v>
      </c>
      <c r="B282" s="34">
        <v>240</v>
      </c>
      <c r="C282" s="4">
        <v>256</v>
      </c>
      <c r="D282" s="4">
        <v>256</v>
      </c>
      <c r="E282" s="4">
        <v>247</v>
      </c>
      <c r="F282" s="4">
        <v>205</v>
      </c>
      <c r="G282" s="4">
        <v>134</v>
      </c>
      <c r="I282" s="107"/>
      <c r="J282" s="107"/>
      <c r="K282" s="107"/>
      <c r="L282" s="107"/>
      <c r="M282" s="107"/>
      <c r="N282" s="107"/>
      <c r="O282" s="107"/>
      <c r="P282" s="107"/>
      <c r="Q282" s="107"/>
      <c r="R282" s="402"/>
      <c r="S282" s="1026"/>
      <c r="T282" s="1026"/>
      <c r="U282" s="1026"/>
      <c r="W282" s="4">
        <v>65</v>
      </c>
      <c r="X282" s="4">
        <v>43</v>
      </c>
      <c r="Y282" s="4">
        <v>35</v>
      </c>
      <c r="Z282" s="4">
        <v>62</v>
      </c>
      <c r="AA282" s="157">
        <v>24</v>
      </c>
      <c r="AB282" s="4">
        <v>26</v>
      </c>
      <c r="AC282" s="4">
        <v>26</v>
      </c>
      <c r="AD282" s="107">
        <f>G282-AC282-AB282-AA282</f>
        <v>58</v>
      </c>
      <c r="AH282" s="107"/>
      <c r="AI282" s="168"/>
      <c r="AK282" s="107"/>
      <c r="AL282" s="481"/>
      <c r="AM282" s="168"/>
      <c r="AN282" s="396"/>
      <c r="AO282" s="396"/>
      <c r="AP282" s="481"/>
      <c r="AQ282" s="1350"/>
    </row>
    <row r="283" spans="1:44" s="1028" customFormat="1" ht="9.75" hidden="1" customHeight="1" outlineLevel="1">
      <c r="A283" s="1048" t="s">
        <v>14</v>
      </c>
      <c r="B283" s="5"/>
      <c r="C283" s="10">
        <f>C282/B282-1</f>
        <v>6.6666666666666652E-2</v>
      </c>
      <c r="D283" s="10">
        <f>D282/C282-1</f>
        <v>0</v>
      </c>
      <c r="E283" s="10">
        <f>E282/D282-1</f>
        <v>-3.515625E-2</v>
      </c>
      <c r="F283" s="10">
        <f>F282/E282-1</f>
        <v>-0.17004048582995956</v>
      </c>
      <c r="G283" s="10">
        <f>G282/F282-1</f>
        <v>-0.34634146341463412</v>
      </c>
      <c r="H283" s="10"/>
      <c r="I283" s="10"/>
      <c r="J283" s="10"/>
      <c r="K283" s="10"/>
      <c r="L283" s="10"/>
      <c r="M283" s="10"/>
      <c r="N283" s="10"/>
      <c r="O283" s="10"/>
      <c r="P283" s="10"/>
      <c r="Q283" s="10"/>
      <c r="R283" s="1018"/>
      <c r="S283" s="5"/>
      <c r="T283" s="5"/>
      <c r="U283" s="5"/>
      <c r="V283" s="5"/>
      <c r="W283" s="10">
        <v>-0.1875</v>
      </c>
      <c r="X283" s="10">
        <v>-0.46913580246913578</v>
      </c>
      <c r="Y283" s="10">
        <v>-0.125</v>
      </c>
      <c r="Z283" s="10">
        <v>0.34782608695652173</v>
      </c>
      <c r="AA283" s="163">
        <f>AA282/W282-1</f>
        <v>-0.63076923076923075</v>
      </c>
      <c r="AB283" s="10">
        <f>AB282/X282-1</f>
        <v>-0.39534883720930236</v>
      </c>
      <c r="AC283" s="10">
        <f>AC282/Y282-1</f>
        <v>-0.25714285714285712</v>
      </c>
      <c r="AD283" s="10">
        <f>AD282/Z282-1</f>
        <v>-6.4516129032258118E-2</v>
      </c>
      <c r="AE283" s="163"/>
      <c r="AF283" s="10"/>
      <c r="AG283" s="10"/>
      <c r="AH283" s="10"/>
      <c r="AI283" s="163"/>
      <c r="AJ283" s="10"/>
      <c r="AK283" s="10"/>
      <c r="AL283" s="482"/>
      <c r="AM283" s="163"/>
      <c r="AN283" s="428"/>
      <c r="AO283" s="428"/>
      <c r="AP283" s="482"/>
      <c r="AQ283" s="1350"/>
    </row>
    <row r="284" spans="1:44" s="1028" customFormat="1" ht="9.75" hidden="1" customHeight="1" outlineLevel="1">
      <c r="A284" s="1048" t="s">
        <v>15</v>
      </c>
      <c r="B284" s="5"/>
      <c r="C284" s="10">
        <v>-0.1</v>
      </c>
      <c r="D284" s="10">
        <v>0.05</v>
      </c>
      <c r="E284" s="10">
        <v>-0.04</v>
      </c>
      <c r="F284" s="10">
        <v>-0.18</v>
      </c>
      <c r="G284" s="10">
        <v>-0.35</v>
      </c>
      <c r="H284" s="10"/>
      <c r="I284" s="50"/>
      <c r="J284" s="50"/>
      <c r="K284" s="50"/>
      <c r="L284" s="50"/>
      <c r="M284" s="50"/>
      <c r="N284" s="50"/>
      <c r="O284" s="50"/>
      <c r="P284" s="50"/>
      <c r="Q284" s="50"/>
      <c r="R284" s="1018"/>
      <c r="S284" s="5"/>
      <c r="T284" s="5"/>
      <c r="U284" s="5"/>
      <c r="V284" s="5"/>
      <c r="W284" s="10">
        <v>-0.22</v>
      </c>
      <c r="X284" s="10">
        <v>-0.5</v>
      </c>
      <c r="Y284" s="10">
        <v>-0.12</v>
      </c>
      <c r="Z284" s="10">
        <v>0.46</v>
      </c>
      <c r="AA284" s="163">
        <v>-0.64</v>
      </c>
      <c r="AB284" s="10">
        <v>-0.39</v>
      </c>
      <c r="AC284" s="10">
        <v>-0.26</v>
      </c>
      <c r="AD284" s="10">
        <v>-7.0000000000000007E-2</v>
      </c>
      <c r="AE284" s="163"/>
      <c r="AF284" s="10"/>
      <c r="AG284" s="10"/>
      <c r="AH284" s="10"/>
      <c r="AI284" s="163"/>
      <c r="AJ284" s="10"/>
      <c r="AK284" s="50"/>
      <c r="AL284" s="497"/>
      <c r="AM284" s="163"/>
      <c r="AN284" s="539"/>
      <c r="AO284" s="539"/>
      <c r="AP284" s="497"/>
      <c r="AQ284" s="1350"/>
    </row>
    <row r="285" spans="1:44" ht="12.75" customHeight="1" collapsed="1">
      <c r="A285" s="1045" t="s">
        <v>42</v>
      </c>
      <c r="B285" s="146">
        <f t="shared" ref="B285:H285" si="427">B257+B380+B388+B265+B268+B276+B282</f>
        <v>2018</v>
      </c>
      <c r="C285" s="146">
        <f t="shared" si="427"/>
        <v>2275</v>
      </c>
      <c r="D285" s="146">
        <f t="shared" si="427"/>
        <v>2336</v>
      </c>
      <c r="E285" s="146">
        <f t="shared" si="427"/>
        <v>2171</v>
      </c>
      <c r="F285" s="146">
        <f t="shared" si="427"/>
        <v>2131</v>
      </c>
      <c r="G285" s="146">
        <f t="shared" si="427"/>
        <v>2137</v>
      </c>
      <c r="H285" s="146">
        <f t="shared" si="427"/>
        <v>3015</v>
      </c>
      <c r="I285" s="152">
        <f t="shared" ref="I285:Q285" si="428">+I265+I268+I282</f>
        <v>2473</v>
      </c>
      <c r="J285" s="152">
        <f t="shared" si="428"/>
        <v>3385.82</v>
      </c>
      <c r="K285" s="152">
        <f t="shared" si="428"/>
        <v>4159.3119999999999</v>
      </c>
      <c r="L285" s="152">
        <f t="shared" si="428"/>
        <v>4910.9151000000002</v>
      </c>
      <c r="M285" s="152">
        <f t="shared" si="428"/>
        <v>5591.3708550000001</v>
      </c>
      <c r="N285" s="152">
        <f t="shared" si="428"/>
        <v>6121.0126477499998</v>
      </c>
      <c r="O285" s="152">
        <f t="shared" si="428"/>
        <v>6427.0632801374995</v>
      </c>
      <c r="P285" s="152">
        <f t="shared" si="428"/>
        <v>6390.7122813187498</v>
      </c>
      <c r="Q285" s="152">
        <f t="shared" si="428"/>
        <v>6531.3958139718743</v>
      </c>
      <c r="R285" s="402">
        <f>(N285/J285)^(1/($N$1-$J$1))-1</f>
        <v>0.15955099450345522</v>
      </c>
      <c r="S285" s="1026"/>
      <c r="T285" s="1026"/>
      <c r="U285" s="1026"/>
      <c r="W285" s="146">
        <f t="shared" ref="W285:AH285" si="429">W257+W380+W388+W265+W268+W276+W282</f>
        <v>526</v>
      </c>
      <c r="X285" s="146">
        <f t="shared" si="429"/>
        <v>515</v>
      </c>
      <c r="Y285" s="146">
        <f t="shared" si="429"/>
        <v>549</v>
      </c>
      <c r="Z285" s="146">
        <f t="shared" si="429"/>
        <v>541</v>
      </c>
      <c r="AA285" s="170">
        <f t="shared" si="429"/>
        <v>467</v>
      </c>
      <c r="AB285" s="146">
        <f t="shared" si="429"/>
        <v>483</v>
      </c>
      <c r="AC285" s="146">
        <f t="shared" si="429"/>
        <v>559</v>
      </c>
      <c r="AD285" s="152">
        <f t="shared" si="429"/>
        <v>628</v>
      </c>
      <c r="AE285" s="170">
        <f t="shared" si="429"/>
        <v>620</v>
      </c>
      <c r="AF285" s="146">
        <f t="shared" si="429"/>
        <v>734</v>
      </c>
      <c r="AG285" s="146">
        <f t="shared" si="429"/>
        <v>770</v>
      </c>
      <c r="AH285" s="152">
        <f t="shared" si="429"/>
        <v>891</v>
      </c>
      <c r="AI285" s="170">
        <f>+AI265+AI268+AI282</f>
        <v>492</v>
      </c>
      <c r="AJ285" s="146">
        <f t="shared" ref="AJ285:AP285" si="430">+AJ265+AJ268+AJ282</f>
        <v>588</v>
      </c>
      <c r="AK285" s="152">
        <f t="shared" si="430"/>
        <v>663</v>
      </c>
      <c r="AL285" s="487">
        <f t="shared" si="430"/>
        <v>730</v>
      </c>
      <c r="AM285" s="170">
        <f t="shared" si="430"/>
        <v>706</v>
      </c>
      <c r="AN285" s="152">
        <f t="shared" si="430"/>
        <v>816.33999999999992</v>
      </c>
      <c r="AO285" s="152">
        <f t="shared" si="430"/>
        <v>873.65</v>
      </c>
      <c r="AP285" s="487">
        <f t="shared" si="430"/>
        <v>989.83000000000015</v>
      </c>
      <c r="AQ285" s="1350"/>
    </row>
    <row r="286" spans="1:44" s="1028" customFormat="1" ht="9.75" hidden="1" customHeight="1" outlineLevel="1">
      <c r="A286" s="1047" t="s">
        <v>14</v>
      </c>
      <c r="B286" s="147"/>
      <c r="C286" s="148">
        <f t="shared" ref="C286:Q286" si="431">C285/B285-1</f>
        <v>0.12735381565906834</v>
      </c>
      <c r="D286" s="148">
        <f t="shared" si="431"/>
        <v>2.6813186813186896E-2</v>
      </c>
      <c r="E286" s="148">
        <f t="shared" si="431"/>
        <v>-7.0633561643835607E-2</v>
      </c>
      <c r="F286" s="148">
        <f t="shared" si="431"/>
        <v>-1.8424689083371693E-2</v>
      </c>
      <c r="G286" s="148">
        <f t="shared" si="431"/>
        <v>2.8155795401219041E-3</v>
      </c>
      <c r="H286" s="148">
        <f t="shared" si="431"/>
        <v>0.41085634066448296</v>
      </c>
      <c r="I286" s="148">
        <f t="shared" si="431"/>
        <v>-0.17976782752902154</v>
      </c>
      <c r="J286" s="148">
        <f t="shared" si="431"/>
        <v>0.36911443590780446</v>
      </c>
      <c r="K286" s="148">
        <f t="shared" si="431"/>
        <v>0.2284504196915369</v>
      </c>
      <c r="L286" s="148">
        <f t="shared" si="431"/>
        <v>0.18070370772858602</v>
      </c>
      <c r="M286" s="148">
        <f t="shared" si="431"/>
        <v>0.13855986942229981</v>
      </c>
      <c r="N286" s="148">
        <f t="shared" si="431"/>
        <v>9.4724854867456187E-2</v>
      </c>
      <c r="O286" s="148">
        <f t="shared" si="431"/>
        <v>5.0000000000000044E-2</v>
      </c>
      <c r="P286" s="148">
        <f t="shared" si="431"/>
        <v>-5.6559267015606762E-3</v>
      </c>
      <c r="Q286" s="148">
        <f t="shared" si="431"/>
        <v>2.2013748461868543E-2</v>
      </c>
      <c r="R286" s="1018"/>
      <c r="S286" s="5"/>
      <c r="T286" s="5"/>
      <c r="U286" s="5"/>
      <c r="V286" s="5"/>
      <c r="W286" s="148">
        <v>-0.36626506024096384</v>
      </c>
      <c r="X286" s="148">
        <v>-0.40255220417633408</v>
      </c>
      <c r="Y286" s="148">
        <v>-0.29525032092426184</v>
      </c>
      <c r="Z286" s="148">
        <v>-0.3254364089775561</v>
      </c>
      <c r="AA286" s="171">
        <f t="shared" ref="AA286:AH286" si="432">AA285/W285-1</f>
        <v>-0.11216730038022815</v>
      </c>
      <c r="AB286" s="148">
        <f t="shared" si="432"/>
        <v>-6.2135922330097126E-2</v>
      </c>
      <c r="AC286" s="148">
        <f t="shared" si="432"/>
        <v>1.8214936247723079E-2</v>
      </c>
      <c r="AD286" s="148">
        <f t="shared" si="432"/>
        <v>0.16081330868761556</v>
      </c>
      <c r="AE286" s="171">
        <f t="shared" si="432"/>
        <v>0.3276231263383298</v>
      </c>
      <c r="AF286" s="148">
        <f t="shared" si="432"/>
        <v>0.51966873706004146</v>
      </c>
      <c r="AG286" s="148">
        <f t="shared" si="432"/>
        <v>0.37745974955277273</v>
      </c>
      <c r="AH286" s="148">
        <f t="shared" si="432"/>
        <v>0.41878980891719753</v>
      </c>
      <c r="AI286" s="171">
        <f t="shared" ref="AI286:AP286" si="433">AI285/AE285-1</f>
        <v>-0.20645161290322578</v>
      </c>
      <c r="AJ286" s="148">
        <f t="shared" si="433"/>
        <v>-0.19891008174386926</v>
      </c>
      <c r="AK286" s="148">
        <f t="shared" si="433"/>
        <v>-0.13896103896103895</v>
      </c>
      <c r="AL286" s="488">
        <f t="shared" si="433"/>
        <v>-0.18069584736251398</v>
      </c>
      <c r="AM286" s="171">
        <f t="shared" si="433"/>
        <v>0.43495934959349603</v>
      </c>
      <c r="AN286" s="148">
        <f t="shared" si="433"/>
        <v>0.3883333333333332</v>
      </c>
      <c r="AO286" s="148">
        <f t="shared" si="433"/>
        <v>0.31772247360482653</v>
      </c>
      <c r="AP286" s="488">
        <f t="shared" si="433"/>
        <v>0.35593150684931518</v>
      </c>
      <c r="AQ286" s="1350"/>
    </row>
    <row r="287" spans="1:44" s="1028" customFormat="1" ht="9.75" hidden="1" customHeight="1" outlineLevel="1">
      <c r="A287" s="1047" t="s">
        <v>15</v>
      </c>
      <c r="B287" s="147"/>
      <c r="C287" s="148">
        <v>0.03</v>
      </c>
      <c r="D287" s="148">
        <v>0.03</v>
      </c>
      <c r="E287" s="148">
        <v>-0.04</v>
      </c>
      <c r="F287" s="148">
        <v>-0.03</v>
      </c>
      <c r="G287" s="148">
        <v>0.11</v>
      </c>
      <c r="H287" s="148">
        <v>0.44</v>
      </c>
      <c r="I287" s="148">
        <v>0.35</v>
      </c>
      <c r="J287" s="148"/>
      <c r="K287" s="148"/>
      <c r="L287" s="148"/>
      <c r="M287" s="148"/>
      <c r="N287" s="148"/>
      <c r="O287" s="148"/>
      <c r="P287" s="148"/>
      <c r="Q287" s="148"/>
      <c r="R287" s="1018"/>
      <c r="S287" s="5"/>
      <c r="T287" s="5"/>
      <c r="U287" s="5"/>
      <c r="V287" s="5"/>
      <c r="W287" s="148">
        <v>-0.05</v>
      </c>
      <c r="X287" s="148">
        <v>-0.11</v>
      </c>
      <c r="Y287" s="148">
        <v>0.03</v>
      </c>
      <c r="Z287" s="148">
        <v>0.02</v>
      </c>
      <c r="AA287" s="171">
        <v>-0.02</v>
      </c>
      <c r="AB287" s="148">
        <v>0.05</v>
      </c>
      <c r="AC287" s="148">
        <v>0.15</v>
      </c>
      <c r="AD287" s="148">
        <v>0.26</v>
      </c>
      <c r="AE287" s="171">
        <v>0.39</v>
      </c>
      <c r="AF287" s="148">
        <v>0.53</v>
      </c>
      <c r="AG287" s="148">
        <v>0.39</v>
      </c>
      <c r="AH287" s="148">
        <v>0.44</v>
      </c>
      <c r="AI287" s="171">
        <v>0.41</v>
      </c>
      <c r="AJ287" s="148">
        <v>0.36</v>
      </c>
      <c r="AK287" s="148">
        <v>0.37</v>
      </c>
      <c r="AL287" s="488">
        <v>0.27</v>
      </c>
      <c r="AM287" s="171">
        <v>0.37</v>
      </c>
      <c r="AN287" s="148"/>
      <c r="AO287" s="148"/>
      <c r="AP287" s="488"/>
      <c r="AQ287" s="1350"/>
    </row>
    <row r="288" spans="1:44" s="1028" customFormat="1" ht="9.75" hidden="1" customHeight="1" outlineLevel="1">
      <c r="A288" s="1047" t="s">
        <v>18</v>
      </c>
      <c r="B288" s="148">
        <f>B285/B$2</f>
        <v>3.9862515802781287E-2</v>
      </c>
      <c r="C288" s="148">
        <f>C285/C$2</f>
        <v>3.8845063688829694E-2</v>
      </c>
      <c r="D288" s="148">
        <f>D285/D$2</f>
        <v>4.1218922591004535E-2</v>
      </c>
      <c r="E288" s="148">
        <f>E285/E$2</f>
        <v>3.7851974544503529E-2</v>
      </c>
      <c r="F288" s="148">
        <f>F285/F$2</f>
        <v>4.0839402069758529E-2</v>
      </c>
      <c r="G288" s="148">
        <f t="shared" ref="G288:Q288" si="434">G285/G$2</f>
        <v>4.3246853118549401E-2</v>
      </c>
      <c r="H288" s="148">
        <f t="shared" si="434"/>
        <v>6.2141885485799082E-2</v>
      </c>
      <c r="I288" s="148">
        <f t="shared" si="434"/>
        <v>5.0357368303162356E-2</v>
      </c>
      <c r="J288" s="148">
        <f t="shared" si="434"/>
        <v>6.4790635914627304E-2</v>
      </c>
      <c r="K288" s="148">
        <f t="shared" si="434"/>
        <v>7.8019229988010655E-2</v>
      </c>
      <c r="L288" s="148">
        <f t="shared" si="434"/>
        <v>8.9315752715734317E-2</v>
      </c>
      <c r="M288" s="148">
        <f t="shared" si="434"/>
        <v>9.8085555774951413E-2</v>
      </c>
      <c r="N288" s="148">
        <f t="shared" si="434"/>
        <v>0.10516014822681137</v>
      </c>
      <c r="O288" s="148">
        <f t="shared" si="434"/>
        <v>0.11143590882895643</v>
      </c>
      <c r="P288" s="148">
        <f t="shared" si="434"/>
        <v>0.10939824014250346</v>
      </c>
      <c r="Q288" s="148">
        <f t="shared" si="434"/>
        <v>0.11059585104116254</v>
      </c>
      <c r="R288" s="1018"/>
      <c r="S288" s="5"/>
      <c r="T288" s="5"/>
      <c r="U288" s="5"/>
      <c r="V288" s="5"/>
      <c r="W288" s="148">
        <f t="shared" ref="W288:AB288" si="435">W285/W$2</f>
        <v>4.1199968669225345E-2</v>
      </c>
      <c r="X288" s="148">
        <f t="shared" si="435"/>
        <v>3.8585449913838318E-2</v>
      </c>
      <c r="Y288" s="148">
        <f t="shared" si="435"/>
        <v>4.2260026171965205E-2</v>
      </c>
      <c r="Z288" s="148">
        <f t="shared" si="435"/>
        <v>4.1376673040152967E-2</v>
      </c>
      <c r="AA288" s="171">
        <f t="shared" si="435"/>
        <v>3.9128613322161707E-2</v>
      </c>
      <c r="AB288" s="148">
        <f t="shared" si="435"/>
        <v>3.8049472191586574E-2</v>
      </c>
      <c r="AC288" s="148">
        <f t="shared" ref="AC288:AL288" si="436">AC285/AC$2</f>
        <v>4.5576844679983693E-2</v>
      </c>
      <c r="AD288" s="148">
        <f t="shared" si="436"/>
        <v>5.0159744408945689E-2</v>
      </c>
      <c r="AE288" s="171">
        <f t="shared" si="436"/>
        <v>5.3448275862068968E-2</v>
      </c>
      <c r="AF288" s="148">
        <f t="shared" si="436"/>
        <v>5.8861267040898155E-2</v>
      </c>
      <c r="AG288" s="148">
        <f t="shared" si="436"/>
        <v>6.3499917532574626E-2</v>
      </c>
      <c r="AH288" s="148">
        <f t="shared" si="436"/>
        <v>7.2309689985391987E-2</v>
      </c>
      <c r="AI288" s="171">
        <f t="shared" si="436"/>
        <v>4.2638010226189446E-2</v>
      </c>
      <c r="AJ288" s="148">
        <f t="shared" si="436"/>
        <v>4.8031367423623593E-2</v>
      </c>
      <c r="AK288" s="148">
        <f t="shared" si="436"/>
        <v>5.341152960577971E-2</v>
      </c>
      <c r="AL288" s="488">
        <f t="shared" si="436"/>
        <v>5.6523642224790248E-2</v>
      </c>
      <c r="AM288" s="171">
        <f t="shared" ref="AM288:AP288" si="437">AM285/AM$2</f>
        <v>5.5616826847329444E-2</v>
      </c>
      <c r="AN288" s="148">
        <f t="shared" si="437"/>
        <v>6.2294492057267975E-2</v>
      </c>
      <c r="AO288" s="148">
        <f t="shared" si="437"/>
        <v>6.6747739538921338E-2</v>
      </c>
      <c r="AP288" s="488">
        <f t="shared" si="437"/>
        <v>7.4030899000290321E-2</v>
      </c>
      <c r="AQ288" s="1350"/>
    </row>
    <row r="289" spans="1:43" ht="12.75" customHeight="1" collapsed="1">
      <c r="A289" s="1025" t="s">
        <v>44</v>
      </c>
      <c r="E289" s="34">
        <v>6</v>
      </c>
      <c r="F289" s="4">
        <v>118</v>
      </c>
      <c r="G289" s="4">
        <v>260</v>
      </c>
      <c r="H289" s="4">
        <v>363</v>
      </c>
      <c r="I289" s="107">
        <v>411</v>
      </c>
      <c r="J289" s="107">
        <f t="shared" ref="J289:Q289" si="438">I289+I289*J291</f>
        <v>493.2</v>
      </c>
      <c r="K289" s="107">
        <f t="shared" si="438"/>
        <v>567.17999999999995</v>
      </c>
      <c r="L289" s="107">
        <f t="shared" si="438"/>
        <v>623.89799999999991</v>
      </c>
      <c r="M289" s="107">
        <f t="shared" si="438"/>
        <v>655.09289999999987</v>
      </c>
      <c r="N289" s="107">
        <f t="shared" si="438"/>
        <v>687.84754499999985</v>
      </c>
      <c r="O289" s="107">
        <f t="shared" si="438"/>
        <v>722.23992224999984</v>
      </c>
      <c r="P289" s="135">
        <f t="shared" si="438"/>
        <v>758.35191836249987</v>
      </c>
      <c r="Q289" s="135">
        <f t="shared" si="438"/>
        <v>606.68153468999992</v>
      </c>
      <c r="R289" s="402">
        <f>(N289/J289)^(1/($N$1-$J$1))-1</f>
        <v>8.6719051694691185E-2</v>
      </c>
      <c r="S289" s="1026"/>
      <c r="T289" s="1026"/>
      <c r="U289" s="1026"/>
      <c r="W289" s="4">
        <v>14</v>
      </c>
      <c r="X289" s="4">
        <v>22</v>
      </c>
      <c r="Y289" s="4">
        <v>31</v>
      </c>
      <c r="Z289" s="4">
        <v>51</v>
      </c>
      <c r="AA289" s="157">
        <v>52</v>
      </c>
      <c r="AB289" s="4">
        <v>66</v>
      </c>
      <c r="AC289" s="4">
        <v>66</v>
      </c>
      <c r="AD289" s="107">
        <f>G289-AC289-AB289-AA289</f>
        <v>76</v>
      </c>
      <c r="AE289" s="157">
        <v>78</v>
      </c>
      <c r="AF289" s="4">
        <v>100</v>
      </c>
      <c r="AG289" s="4">
        <v>95</v>
      </c>
      <c r="AH289" s="107">
        <f>H289-AE289-AF289-AG289</f>
        <v>90</v>
      </c>
      <c r="AI289" s="157">
        <v>91</v>
      </c>
      <c r="AJ289" s="4">
        <v>99</v>
      </c>
      <c r="AK289" s="4">
        <v>101</v>
      </c>
      <c r="AL289" s="481">
        <f>I289-AI289-AJ289-AK289</f>
        <v>120</v>
      </c>
      <c r="AM289" s="157">
        <v>106</v>
      </c>
      <c r="AN289" s="396">
        <f t="shared" ref="AN289" si="439">AJ289+AJ289*AN291</f>
        <v>123.75</v>
      </c>
      <c r="AO289" s="396">
        <f t="shared" ref="AO289" si="440">AK289+AK289*AO291</f>
        <v>126.25</v>
      </c>
      <c r="AP289" s="481">
        <f>J289-AM289-AN289-AO289</f>
        <v>137.19999999999999</v>
      </c>
      <c r="AQ289" s="1350"/>
    </row>
    <row r="290" spans="1:43" s="1028" customFormat="1" ht="9.75" hidden="1" customHeight="1" outlineLevel="1">
      <c r="A290" s="1048" t="s">
        <v>14</v>
      </c>
      <c r="B290" s="5"/>
      <c r="C290" s="10"/>
      <c r="D290" s="10"/>
      <c r="E290" s="2"/>
      <c r="F290" s="10">
        <f t="shared" ref="F290:Q290" si="441">F289/E289-1</f>
        <v>18.666666666666668</v>
      </c>
      <c r="G290" s="10">
        <f t="shared" si="441"/>
        <v>1.2033898305084745</v>
      </c>
      <c r="H290" s="10">
        <f t="shared" si="441"/>
        <v>0.39615384615384608</v>
      </c>
      <c r="I290" s="10">
        <f t="shared" si="441"/>
        <v>0.13223140495867769</v>
      </c>
      <c r="J290" s="10">
        <f t="shared" si="441"/>
        <v>0.19999999999999996</v>
      </c>
      <c r="K290" s="10">
        <f t="shared" si="441"/>
        <v>0.14999999999999991</v>
      </c>
      <c r="L290" s="10">
        <f t="shared" si="441"/>
        <v>9.9999999999999867E-2</v>
      </c>
      <c r="M290" s="10">
        <f t="shared" si="441"/>
        <v>5.0000000000000044E-2</v>
      </c>
      <c r="N290" s="10">
        <f t="shared" si="441"/>
        <v>5.0000000000000044E-2</v>
      </c>
      <c r="O290" s="10">
        <f t="shared" si="441"/>
        <v>5.0000000000000044E-2</v>
      </c>
      <c r="P290" s="10">
        <f t="shared" si="441"/>
        <v>5.0000000000000044E-2</v>
      </c>
      <c r="Q290" s="10">
        <f t="shared" si="441"/>
        <v>-0.19999999999999996</v>
      </c>
      <c r="R290" s="1019"/>
      <c r="S290" s="5"/>
      <c r="T290" s="5"/>
      <c r="U290" s="5"/>
      <c r="V290" s="5"/>
      <c r="W290" s="10"/>
      <c r="X290" s="10"/>
      <c r="Y290" s="10"/>
      <c r="Z290" s="10"/>
      <c r="AA290" s="163">
        <f t="shared" ref="AA290:AH290" si="442">AA289/W289-1</f>
        <v>2.7142857142857144</v>
      </c>
      <c r="AB290" s="10">
        <f t="shared" si="442"/>
        <v>2</v>
      </c>
      <c r="AC290" s="10">
        <f t="shared" si="442"/>
        <v>1.129032258064516</v>
      </c>
      <c r="AD290" s="10">
        <f t="shared" si="442"/>
        <v>0.49019607843137258</v>
      </c>
      <c r="AE290" s="163">
        <f t="shared" si="442"/>
        <v>0.5</v>
      </c>
      <c r="AF290" s="10">
        <f t="shared" si="442"/>
        <v>0.51515151515151514</v>
      </c>
      <c r="AG290" s="10">
        <f t="shared" si="442"/>
        <v>0.43939393939393945</v>
      </c>
      <c r="AH290" s="10">
        <f t="shared" si="442"/>
        <v>0.18421052631578938</v>
      </c>
      <c r="AI290" s="163">
        <f>AI289/AE289-1</f>
        <v>0.16666666666666674</v>
      </c>
      <c r="AJ290" s="10">
        <f>AJ289/AF289-1</f>
        <v>-1.0000000000000009E-2</v>
      </c>
      <c r="AK290" s="10">
        <f>AK289/AG289-1</f>
        <v>6.315789473684208E-2</v>
      </c>
      <c r="AL290" s="482">
        <f>AL289/AH289-1</f>
        <v>0.33333333333333326</v>
      </c>
      <c r="AM290" s="163">
        <f t="shared" ref="AM290" si="443">AM289/AI289-1</f>
        <v>0.16483516483516492</v>
      </c>
      <c r="AN290" s="428">
        <f t="shared" ref="AN290" si="444">AN289/AJ289-1</f>
        <v>0.25</v>
      </c>
      <c r="AO290" s="428">
        <f t="shared" ref="AO290" si="445">AO289/AK289-1</f>
        <v>0.25</v>
      </c>
      <c r="AP290" s="482">
        <f>AP289/AL289-1</f>
        <v>0.14333333333333331</v>
      </c>
      <c r="AQ290" s="1350"/>
    </row>
    <row r="291" spans="1:43" s="1028" customFormat="1" ht="9.75" hidden="1" customHeight="1" outlineLevel="1">
      <c r="A291" s="1048" t="s">
        <v>15</v>
      </c>
      <c r="B291" s="5"/>
      <c r="C291" s="5"/>
      <c r="D291" s="5"/>
      <c r="E291" s="35"/>
      <c r="F291" s="5"/>
      <c r="G291" s="10">
        <v>1.57</v>
      </c>
      <c r="H291" s="10">
        <v>0.38</v>
      </c>
      <c r="I291" s="10">
        <v>0.12</v>
      </c>
      <c r="J291" s="50">
        <v>0.2</v>
      </c>
      <c r="K291" s="50">
        <v>0.15</v>
      </c>
      <c r="L291" s="50">
        <v>0.1</v>
      </c>
      <c r="M291" s="50">
        <v>0.05</v>
      </c>
      <c r="N291" s="50">
        <v>0.05</v>
      </c>
      <c r="O291" s="50">
        <v>0.05</v>
      </c>
      <c r="P291" s="50">
        <v>0.05</v>
      </c>
      <c r="Q291" s="50">
        <v>-0.2</v>
      </c>
      <c r="R291" s="1019"/>
      <c r="S291" s="5"/>
      <c r="T291" s="5"/>
      <c r="U291" s="5"/>
      <c r="V291" s="5"/>
      <c r="W291" s="5"/>
      <c r="X291" s="5"/>
      <c r="Y291" s="5"/>
      <c r="Z291" s="5"/>
      <c r="AA291" s="172"/>
      <c r="AB291" s="10">
        <v>2.5499999999999998</v>
      </c>
      <c r="AC291" s="10">
        <v>1.56</v>
      </c>
      <c r="AD291" s="10">
        <v>0.68</v>
      </c>
      <c r="AE291" s="163">
        <v>0.54</v>
      </c>
      <c r="AF291" s="10">
        <v>0.47</v>
      </c>
      <c r="AG291" s="10">
        <v>0.38</v>
      </c>
      <c r="AH291" s="10">
        <f>AH290-AH$32</f>
        <v>0.18421052631578938</v>
      </c>
      <c r="AI291" s="163">
        <v>0.19</v>
      </c>
      <c r="AJ291" s="10">
        <v>0.02</v>
      </c>
      <c r="AK291" s="10">
        <v>0.03</v>
      </c>
      <c r="AL291" s="482">
        <v>0.26</v>
      </c>
      <c r="AM291" s="163">
        <v>0.04</v>
      </c>
      <c r="AN291" s="539">
        <v>0.25</v>
      </c>
      <c r="AO291" s="539">
        <v>0.25</v>
      </c>
      <c r="AP291" s="497"/>
      <c r="AQ291" s="1350"/>
    </row>
    <row r="292" spans="1:43" ht="12.75" customHeight="1" collapsed="1">
      <c r="A292" s="1025" t="s">
        <v>45</v>
      </c>
      <c r="B292" s="34">
        <v>33</v>
      </c>
      <c r="C292" s="4">
        <v>103</v>
      </c>
      <c r="D292" s="4">
        <v>134</v>
      </c>
      <c r="E292" s="34">
        <v>192</v>
      </c>
      <c r="F292" s="4">
        <v>220</v>
      </c>
      <c r="G292" s="4">
        <v>166</v>
      </c>
      <c r="H292" s="4">
        <v>143</v>
      </c>
      <c r="I292" s="107">
        <v>112</v>
      </c>
      <c r="J292" s="107">
        <f t="shared" ref="J292:Q292" si="446">I292+I292*J294</f>
        <v>100.8</v>
      </c>
      <c r="K292" s="107">
        <f t="shared" si="446"/>
        <v>100.8</v>
      </c>
      <c r="L292" s="107">
        <f t="shared" si="446"/>
        <v>100.8</v>
      </c>
      <c r="M292" s="107">
        <f t="shared" si="446"/>
        <v>100.8</v>
      </c>
      <c r="N292" s="107">
        <f t="shared" si="446"/>
        <v>100.8</v>
      </c>
      <c r="O292" s="107">
        <f t="shared" si="446"/>
        <v>100.8</v>
      </c>
      <c r="P292" s="135">
        <f t="shared" si="446"/>
        <v>95.759999999999991</v>
      </c>
      <c r="Q292" s="135">
        <f t="shared" si="446"/>
        <v>86.183999999999997</v>
      </c>
      <c r="R292" s="402">
        <f>(N292/J292)^(1/($N$1-$J$1))-1</f>
        <v>0</v>
      </c>
      <c r="S292" s="1026"/>
      <c r="T292" s="1026"/>
      <c r="U292" s="1026"/>
      <c r="W292" s="4">
        <v>53</v>
      </c>
      <c r="X292" s="4">
        <v>56</v>
      </c>
      <c r="Y292" s="4">
        <v>55</v>
      </c>
      <c r="Z292" s="4">
        <v>56</v>
      </c>
      <c r="AA292" s="157">
        <v>43</v>
      </c>
      <c r="AB292" s="4">
        <v>47</v>
      </c>
      <c r="AC292" s="4">
        <v>38</v>
      </c>
      <c r="AD292" s="107">
        <f>G292-AC292-AB292-AA292</f>
        <v>38</v>
      </c>
      <c r="AE292" s="157">
        <v>33</v>
      </c>
      <c r="AF292" s="4">
        <v>37</v>
      </c>
      <c r="AG292" s="4">
        <v>37</v>
      </c>
      <c r="AH292" s="107">
        <f>H292-AE292-AF292-AG292</f>
        <v>36</v>
      </c>
      <c r="AI292" s="157">
        <v>28</v>
      </c>
      <c r="AJ292" s="4">
        <v>28</v>
      </c>
      <c r="AK292" s="4">
        <v>27</v>
      </c>
      <c r="AL292" s="481">
        <f>I292-AI292-AJ292-AK292</f>
        <v>29</v>
      </c>
      <c r="AM292" s="157">
        <v>27</v>
      </c>
      <c r="AN292" s="396">
        <f t="shared" ref="AN292" si="447">AJ292+AJ292*AN294</f>
        <v>25.2</v>
      </c>
      <c r="AO292" s="396">
        <f t="shared" ref="AO292" si="448">AK292+AK292*AO294</f>
        <v>24.3</v>
      </c>
      <c r="AP292" s="481">
        <f>J292-AM292-AN292-AO292</f>
        <v>24.299999999999994</v>
      </c>
      <c r="AQ292" s="1350"/>
    </row>
    <row r="293" spans="1:43" s="1028" customFormat="1" ht="9.75" hidden="1" customHeight="1" outlineLevel="1">
      <c r="A293" s="1048" t="s">
        <v>14</v>
      </c>
      <c r="B293" s="2"/>
      <c r="C293" s="10">
        <f>C292/B292-1</f>
        <v>2.1212121212121211</v>
      </c>
      <c r="D293" s="10">
        <f>D292/C292-1</f>
        <v>0.30097087378640786</v>
      </c>
      <c r="E293" s="2">
        <f>E292/D292-1</f>
        <v>0.43283582089552231</v>
      </c>
      <c r="F293" s="10">
        <f>F292/E292-1</f>
        <v>0.14583333333333326</v>
      </c>
      <c r="G293" s="10">
        <f t="shared" ref="G293:Q293" si="449">G292/F292-1</f>
        <v>-0.24545454545454548</v>
      </c>
      <c r="H293" s="10">
        <f t="shared" si="449"/>
        <v>-0.13855421686746983</v>
      </c>
      <c r="I293" s="10">
        <f t="shared" si="449"/>
        <v>-0.21678321678321677</v>
      </c>
      <c r="J293" s="10">
        <f t="shared" si="449"/>
        <v>-9.9999999999999978E-2</v>
      </c>
      <c r="K293" s="10">
        <f t="shared" si="449"/>
        <v>0</v>
      </c>
      <c r="L293" s="10">
        <f t="shared" si="449"/>
        <v>0</v>
      </c>
      <c r="M293" s="10">
        <f t="shared" si="449"/>
        <v>0</v>
      </c>
      <c r="N293" s="10">
        <f t="shared" si="449"/>
        <v>0</v>
      </c>
      <c r="O293" s="10">
        <f t="shared" si="449"/>
        <v>0</v>
      </c>
      <c r="P293" s="10">
        <f t="shared" si="449"/>
        <v>-5.0000000000000044E-2</v>
      </c>
      <c r="Q293" s="10">
        <f t="shared" si="449"/>
        <v>-9.9999999999999978E-2</v>
      </c>
      <c r="R293" s="1018"/>
      <c r="S293" s="5"/>
      <c r="T293" s="5"/>
      <c r="U293" s="5"/>
      <c r="V293" s="5"/>
      <c r="W293" s="10">
        <v>0.23255813953488369</v>
      </c>
      <c r="X293" s="10">
        <v>0.1914893617021276</v>
      </c>
      <c r="Y293" s="10">
        <v>0.12244897959183665</v>
      </c>
      <c r="Z293" s="10">
        <v>5.6603773584905648E-2</v>
      </c>
      <c r="AA293" s="163">
        <f t="shared" ref="AA293:AH293" si="450">AA292/W292-1</f>
        <v>-0.18867924528301883</v>
      </c>
      <c r="AB293" s="10">
        <f t="shared" si="450"/>
        <v>-0.1607142857142857</v>
      </c>
      <c r="AC293" s="10">
        <f t="shared" si="450"/>
        <v>-0.30909090909090908</v>
      </c>
      <c r="AD293" s="10">
        <f t="shared" si="450"/>
        <v>-0.3214285714285714</v>
      </c>
      <c r="AE293" s="163">
        <f t="shared" si="450"/>
        <v>-0.23255813953488369</v>
      </c>
      <c r="AF293" s="10">
        <f t="shared" si="450"/>
        <v>-0.21276595744680848</v>
      </c>
      <c r="AG293" s="10">
        <f t="shared" si="450"/>
        <v>-2.6315789473684181E-2</v>
      </c>
      <c r="AH293" s="10">
        <f t="shared" si="450"/>
        <v>-5.2631578947368474E-2</v>
      </c>
      <c r="AI293" s="163">
        <f>AI292/AE292-1</f>
        <v>-0.15151515151515149</v>
      </c>
      <c r="AJ293" s="10">
        <f>AJ292/AF292-1</f>
        <v>-0.2432432432432432</v>
      </c>
      <c r="AK293" s="10">
        <f>AK292/AG292-1</f>
        <v>-0.27027027027027029</v>
      </c>
      <c r="AL293" s="482">
        <f>AL292/AH292-1</f>
        <v>-0.19444444444444442</v>
      </c>
      <c r="AM293" s="163">
        <f t="shared" ref="AM293" si="451">AM292/AI292-1</f>
        <v>-3.5714285714285698E-2</v>
      </c>
      <c r="AN293" s="428">
        <f t="shared" ref="AN293" si="452">AN292/AJ292-1</f>
        <v>-9.9999999999999978E-2</v>
      </c>
      <c r="AO293" s="428">
        <f t="shared" ref="AO293" si="453">AO292/AK292-1</f>
        <v>-9.9999999999999978E-2</v>
      </c>
      <c r="AP293" s="482">
        <f>AP292/AL292-1</f>
        <v>-0.16206896551724159</v>
      </c>
      <c r="AQ293" s="1350"/>
    </row>
    <row r="294" spans="1:43" s="1028" customFormat="1" ht="9.75" hidden="1" customHeight="1" outlineLevel="1">
      <c r="A294" s="1048" t="s">
        <v>15</v>
      </c>
      <c r="B294" s="2"/>
      <c r="C294" s="10"/>
      <c r="D294" s="10">
        <v>0.40499999999999997</v>
      </c>
      <c r="E294" s="2">
        <v>0.47</v>
      </c>
      <c r="F294" s="10">
        <v>0.17</v>
      </c>
      <c r="G294" s="10">
        <v>-0.11</v>
      </c>
      <c r="H294" s="10">
        <v>-0.08</v>
      </c>
      <c r="I294" s="10">
        <v>-0.14000000000000001</v>
      </c>
      <c r="J294" s="50">
        <v>-0.1</v>
      </c>
      <c r="K294" s="50">
        <v>0</v>
      </c>
      <c r="L294" s="50">
        <v>0</v>
      </c>
      <c r="M294" s="50">
        <v>0</v>
      </c>
      <c r="N294" s="50">
        <v>0</v>
      </c>
      <c r="O294" s="50">
        <v>0</v>
      </c>
      <c r="P294" s="50">
        <v>-0.05</v>
      </c>
      <c r="Q294" s="50">
        <v>-0.1</v>
      </c>
      <c r="R294" s="1018"/>
      <c r="S294" s="5"/>
      <c r="T294" s="5"/>
      <c r="U294" s="5"/>
      <c r="V294" s="5"/>
      <c r="W294" s="10">
        <v>0.25</v>
      </c>
      <c r="X294" s="10">
        <v>0.18</v>
      </c>
      <c r="Y294" s="10">
        <v>0.12</v>
      </c>
      <c r="Z294" s="10">
        <v>0.15</v>
      </c>
      <c r="AA294" s="163">
        <v>-0.04</v>
      </c>
      <c r="AB294" s="10">
        <v>-0.02</v>
      </c>
      <c r="AC294" s="10">
        <v>-0.17</v>
      </c>
      <c r="AD294" s="10">
        <v>-0.22</v>
      </c>
      <c r="AE294" s="163">
        <v>-0.17</v>
      </c>
      <c r="AF294" s="10">
        <v>-0.16</v>
      </c>
      <c r="AG294" s="10">
        <v>0.03</v>
      </c>
      <c r="AH294" s="10">
        <f>AH293-AH$32</f>
        <v>-5.2631578947368474E-2</v>
      </c>
      <c r="AI294" s="163">
        <v>-0.11</v>
      </c>
      <c r="AJ294" s="10">
        <v>-0.18</v>
      </c>
      <c r="AK294" s="10">
        <v>-0.16</v>
      </c>
      <c r="AL294" s="482">
        <v>-0.12</v>
      </c>
      <c r="AM294" s="163">
        <v>-0.12</v>
      </c>
      <c r="AN294" s="539">
        <v>-0.1</v>
      </c>
      <c r="AO294" s="539">
        <v>-0.1</v>
      </c>
      <c r="AP294" s="497"/>
      <c r="AQ294" s="1350"/>
    </row>
    <row r="295" spans="1:43" ht="12.75" customHeight="1" collapsed="1">
      <c r="A295" s="1025" t="s">
        <v>46</v>
      </c>
      <c r="B295" s="34"/>
      <c r="D295" s="4">
        <v>3</v>
      </c>
      <c r="E295" s="34">
        <v>58</v>
      </c>
      <c r="F295" s="4">
        <v>146</v>
      </c>
      <c r="G295" s="4">
        <v>150</v>
      </c>
      <c r="H295" s="4">
        <v>149</v>
      </c>
      <c r="I295" s="107">
        <v>151</v>
      </c>
      <c r="J295" s="107">
        <f t="shared" ref="J295:Q295" si="454">I295+I295*J297</f>
        <v>166.1</v>
      </c>
      <c r="K295" s="107">
        <f t="shared" si="454"/>
        <v>182.70999999999998</v>
      </c>
      <c r="L295" s="107">
        <f t="shared" si="454"/>
        <v>197.32679999999999</v>
      </c>
      <c r="M295" s="107">
        <f t="shared" si="454"/>
        <v>207.19314</v>
      </c>
      <c r="N295" s="107">
        <f t="shared" si="454"/>
        <v>217.552797</v>
      </c>
      <c r="O295" s="107">
        <f t="shared" si="454"/>
        <v>228.43043685000001</v>
      </c>
      <c r="P295" s="107">
        <f t="shared" si="454"/>
        <v>239.85195869250001</v>
      </c>
      <c r="Q295" s="135">
        <f t="shared" si="454"/>
        <v>191.88156695399999</v>
      </c>
      <c r="R295" s="402">
        <f>(N295/J295)^(1/($N$1-$J$1))-1</f>
        <v>6.9790556066397391E-2</v>
      </c>
      <c r="S295" s="1026"/>
      <c r="T295" s="1026"/>
      <c r="U295" s="1026"/>
      <c r="W295" s="4">
        <v>30</v>
      </c>
      <c r="X295" s="4">
        <v>37</v>
      </c>
      <c r="Y295" s="4">
        <v>37</v>
      </c>
      <c r="Z295" s="4">
        <v>42</v>
      </c>
      <c r="AA295" s="157">
        <v>37</v>
      </c>
      <c r="AB295" s="4">
        <v>38</v>
      </c>
      <c r="AC295" s="4">
        <v>38</v>
      </c>
      <c r="AD295" s="107">
        <f>G295-AC295-AB295-AA295</f>
        <v>37</v>
      </c>
      <c r="AE295" s="157">
        <v>35</v>
      </c>
      <c r="AF295" s="4">
        <v>39</v>
      </c>
      <c r="AG295" s="4">
        <v>37</v>
      </c>
      <c r="AH295" s="107">
        <f>H295-AE295-AF295-AG295</f>
        <v>38</v>
      </c>
      <c r="AI295" s="157">
        <v>36</v>
      </c>
      <c r="AJ295" s="4">
        <v>36</v>
      </c>
      <c r="AK295" s="4">
        <v>37</v>
      </c>
      <c r="AL295" s="481">
        <f>I295-AI295-AJ295-AK295</f>
        <v>42</v>
      </c>
      <c r="AM295" s="157">
        <v>38</v>
      </c>
      <c r="AN295" s="396">
        <f t="shared" ref="AN295" si="455">AJ295+AJ295*AN297</f>
        <v>39.6</v>
      </c>
      <c r="AO295" s="396">
        <f t="shared" ref="AO295" si="456">AK295+AK295*AO297</f>
        <v>40.700000000000003</v>
      </c>
      <c r="AP295" s="481">
        <f>J295-AM295-AN295-AO295</f>
        <v>47.8</v>
      </c>
      <c r="AQ295" s="1350"/>
    </row>
    <row r="296" spans="1:43" s="1028" customFormat="1" ht="9.75" hidden="1" customHeight="1" outlineLevel="1">
      <c r="A296" s="1048" t="s">
        <v>14</v>
      </c>
      <c r="B296" s="35"/>
      <c r="C296" s="5"/>
      <c r="D296" s="10"/>
      <c r="E296" s="2">
        <f t="shared" ref="E296:Q296" si="457">E295/D295-1</f>
        <v>18.333333333333332</v>
      </c>
      <c r="F296" s="10">
        <f t="shared" si="457"/>
        <v>1.5172413793103448</v>
      </c>
      <c r="G296" s="10">
        <f t="shared" si="457"/>
        <v>2.7397260273972712E-2</v>
      </c>
      <c r="H296" s="10">
        <f t="shared" si="457"/>
        <v>-6.6666666666667096E-3</v>
      </c>
      <c r="I296" s="10">
        <f t="shared" si="457"/>
        <v>1.3422818791946289E-2</v>
      </c>
      <c r="J296" s="10">
        <f t="shared" si="457"/>
        <v>9.9999999999999867E-2</v>
      </c>
      <c r="K296" s="10">
        <f t="shared" si="457"/>
        <v>9.9999999999999867E-2</v>
      </c>
      <c r="L296" s="10">
        <f t="shared" si="457"/>
        <v>8.0000000000000071E-2</v>
      </c>
      <c r="M296" s="10">
        <f t="shared" si="457"/>
        <v>5.0000000000000044E-2</v>
      </c>
      <c r="N296" s="10">
        <f t="shared" si="457"/>
        <v>5.0000000000000044E-2</v>
      </c>
      <c r="O296" s="10">
        <f t="shared" si="457"/>
        <v>5.0000000000000044E-2</v>
      </c>
      <c r="P296" s="10">
        <f t="shared" si="457"/>
        <v>5.0000000000000044E-2</v>
      </c>
      <c r="Q296" s="10">
        <f t="shared" si="457"/>
        <v>-0.20000000000000007</v>
      </c>
      <c r="R296" s="1018"/>
      <c r="S296" s="5"/>
      <c r="T296" s="5"/>
      <c r="U296" s="5"/>
      <c r="V296" s="5"/>
      <c r="W296" s="10"/>
      <c r="X296" s="10">
        <v>2.0833333333333335</v>
      </c>
      <c r="Y296" s="10">
        <v>1.4666666666666668</v>
      </c>
      <c r="Z296" s="10">
        <v>0.67999999999999994</v>
      </c>
      <c r="AA296" s="163">
        <f t="shared" ref="AA296:AH296" si="458">AA295/W295-1</f>
        <v>0.23333333333333339</v>
      </c>
      <c r="AB296" s="10">
        <f t="shared" si="458"/>
        <v>2.7027027027026973E-2</v>
      </c>
      <c r="AC296" s="10">
        <f t="shared" si="458"/>
        <v>2.7027027027026973E-2</v>
      </c>
      <c r="AD296" s="10">
        <f t="shared" si="458"/>
        <v>-0.11904761904761907</v>
      </c>
      <c r="AE296" s="163">
        <f t="shared" si="458"/>
        <v>-5.4054054054054057E-2</v>
      </c>
      <c r="AF296" s="10">
        <f t="shared" si="458"/>
        <v>2.6315789473684292E-2</v>
      </c>
      <c r="AG296" s="10">
        <f t="shared" si="458"/>
        <v>-2.6315789473684181E-2</v>
      </c>
      <c r="AH296" s="10">
        <f t="shared" si="458"/>
        <v>2.7027027027026973E-2</v>
      </c>
      <c r="AI296" s="163">
        <f>AI295/AE295-1</f>
        <v>2.857142857142847E-2</v>
      </c>
      <c r="AJ296" s="10">
        <f>AJ295/AF295-1</f>
        <v>-7.6923076923076872E-2</v>
      </c>
      <c r="AK296" s="10">
        <f>AK295/AG295-1</f>
        <v>0</v>
      </c>
      <c r="AL296" s="482">
        <f>AL295/AH295-1</f>
        <v>0.10526315789473695</v>
      </c>
      <c r="AM296" s="163">
        <f t="shared" ref="AM296" si="459">AM295/AI295-1</f>
        <v>5.555555555555558E-2</v>
      </c>
      <c r="AN296" s="428">
        <f t="shared" ref="AN296" si="460">AN295/AJ295-1</f>
        <v>0.10000000000000009</v>
      </c>
      <c r="AO296" s="428">
        <f t="shared" ref="AO296" si="461">AO295/AK295-1</f>
        <v>0.10000000000000009</v>
      </c>
      <c r="AP296" s="482">
        <f>AP295/AL295-1</f>
        <v>0.13809523809523805</v>
      </c>
      <c r="AQ296" s="1350"/>
    </row>
    <row r="297" spans="1:43" s="1028" customFormat="1" ht="9.75" hidden="1" customHeight="1" outlineLevel="1">
      <c r="A297" s="1048" t="s">
        <v>15</v>
      </c>
      <c r="B297" s="35"/>
      <c r="C297" s="5"/>
      <c r="D297" s="5"/>
      <c r="E297" s="35"/>
      <c r="F297" s="10">
        <v>1.59</v>
      </c>
      <c r="G297" s="10">
        <v>0.21</v>
      </c>
      <c r="H297" s="10">
        <v>0.02</v>
      </c>
      <c r="I297" s="10">
        <v>0.03</v>
      </c>
      <c r="J297" s="50">
        <v>0.1</v>
      </c>
      <c r="K297" s="50">
        <v>0.1</v>
      </c>
      <c r="L297" s="50">
        <v>0.08</v>
      </c>
      <c r="M297" s="50">
        <v>0.05</v>
      </c>
      <c r="N297" s="50">
        <v>0.05</v>
      </c>
      <c r="O297" s="50">
        <v>0.05</v>
      </c>
      <c r="P297" s="50">
        <v>0.05</v>
      </c>
      <c r="Q297" s="50">
        <v>-0.2</v>
      </c>
      <c r="R297" s="1018"/>
      <c r="S297" s="5"/>
      <c r="T297" s="5"/>
      <c r="U297" s="5"/>
      <c r="V297" s="5"/>
      <c r="W297" s="10"/>
      <c r="X297" s="10">
        <v>1.89</v>
      </c>
      <c r="Y297" s="10">
        <v>1.4</v>
      </c>
      <c r="Z297" s="10">
        <v>0.88</v>
      </c>
      <c r="AA297" s="163">
        <v>0.45</v>
      </c>
      <c r="AB297" s="10">
        <v>0.24</v>
      </c>
      <c r="AC297" s="10">
        <v>0.23</v>
      </c>
      <c r="AD297" s="10">
        <v>0.01</v>
      </c>
      <c r="AE297" s="163">
        <v>0</v>
      </c>
      <c r="AF297" s="10">
        <v>0.04</v>
      </c>
      <c r="AG297" s="10">
        <v>-0.02</v>
      </c>
      <c r="AH297" s="10">
        <f>AH296-AH$32</f>
        <v>2.7027027027026973E-2</v>
      </c>
      <c r="AI297" s="163">
        <v>0.06</v>
      </c>
      <c r="AJ297" s="10">
        <v>-0.01</v>
      </c>
      <c r="AK297" s="10">
        <v>0.02</v>
      </c>
      <c r="AL297" s="482">
        <v>0.04</v>
      </c>
      <c r="AM297" s="163">
        <v>-0.04</v>
      </c>
      <c r="AN297" s="539">
        <v>0.1</v>
      </c>
      <c r="AO297" s="539">
        <v>0.1</v>
      </c>
      <c r="AP297" s="497"/>
      <c r="AQ297" s="1350"/>
    </row>
    <row r="298" spans="1:43" ht="12.75" customHeight="1" collapsed="1">
      <c r="A298" s="1025" t="s">
        <v>47</v>
      </c>
      <c r="B298" s="34">
        <f t="shared" ref="B298:G298" si="462">B295+B292+B289</f>
        <v>33</v>
      </c>
      <c r="C298" s="4">
        <f t="shared" si="462"/>
        <v>103</v>
      </c>
      <c r="D298" s="4">
        <f t="shared" si="462"/>
        <v>137</v>
      </c>
      <c r="E298" s="34">
        <f t="shared" si="462"/>
        <v>256</v>
      </c>
      <c r="F298" s="4">
        <f t="shared" si="462"/>
        <v>484</v>
      </c>
      <c r="G298" s="4">
        <f t="shared" si="462"/>
        <v>576</v>
      </c>
      <c r="H298" s="4">
        <f t="shared" ref="H298:Q298" si="463">H295+H292+H289</f>
        <v>655</v>
      </c>
      <c r="I298" s="107">
        <f t="shared" si="463"/>
        <v>674</v>
      </c>
      <c r="J298" s="107">
        <f t="shared" si="463"/>
        <v>760.09999999999991</v>
      </c>
      <c r="K298" s="107">
        <f t="shared" si="463"/>
        <v>850.68999999999994</v>
      </c>
      <c r="L298" s="107">
        <f t="shared" si="463"/>
        <v>922.02479999999991</v>
      </c>
      <c r="M298" s="107">
        <f t="shared" si="463"/>
        <v>963.08603999999991</v>
      </c>
      <c r="N298" s="107">
        <f t="shared" si="463"/>
        <v>1006.2003419999999</v>
      </c>
      <c r="O298" s="107">
        <f t="shared" si="463"/>
        <v>1051.4703590999998</v>
      </c>
      <c r="P298" s="107">
        <f t="shared" si="463"/>
        <v>1093.963877055</v>
      </c>
      <c r="Q298" s="107">
        <f t="shared" si="463"/>
        <v>884.74710164399994</v>
      </c>
      <c r="R298" s="402">
        <f>(N298/J298)^(1/($N$1-$J$1))-1</f>
        <v>7.263862612386518E-2</v>
      </c>
      <c r="S298" s="1026"/>
      <c r="T298" s="1026"/>
      <c r="U298" s="1026"/>
      <c r="W298" s="4">
        <f t="shared" ref="W298:AC298" si="464">W295+W292+W289</f>
        <v>97</v>
      </c>
      <c r="X298" s="4">
        <f t="shared" si="464"/>
        <v>115</v>
      </c>
      <c r="Y298" s="4">
        <f t="shared" si="464"/>
        <v>123</v>
      </c>
      <c r="Z298" s="4">
        <f t="shared" si="464"/>
        <v>149</v>
      </c>
      <c r="AA298" s="157">
        <f t="shared" si="464"/>
        <v>132</v>
      </c>
      <c r="AB298" s="4">
        <f t="shared" si="464"/>
        <v>151</v>
      </c>
      <c r="AC298" s="4">
        <f t="shared" si="464"/>
        <v>142</v>
      </c>
      <c r="AD298" s="107">
        <f t="shared" ref="AD298:AL298" si="465">AD295+AD292+AD289</f>
        <v>151</v>
      </c>
      <c r="AE298" s="157">
        <f t="shared" si="465"/>
        <v>146</v>
      </c>
      <c r="AF298" s="4">
        <f t="shared" si="465"/>
        <v>176</v>
      </c>
      <c r="AG298" s="4">
        <f t="shared" si="465"/>
        <v>169</v>
      </c>
      <c r="AH298" s="107">
        <f t="shared" si="465"/>
        <v>164</v>
      </c>
      <c r="AI298" s="157">
        <f t="shared" si="465"/>
        <v>155</v>
      </c>
      <c r="AJ298" s="4">
        <f t="shared" si="465"/>
        <v>163</v>
      </c>
      <c r="AK298" s="4">
        <f>AK295+AK292+AK289</f>
        <v>165</v>
      </c>
      <c r="AL298" s="481">
        <f t="shared" si="465"/>
        <v>191</v>
      </c>
      <c r="AM298" s="157">
        <f t="shared" ref="AM298:AN298" si="466">AM295+AM292+AM289</f>
        <v>171</v>
      </c>
      <c r="AN298" s="107">
        <f t="shared" si="466"/>
        <v>188.55</v>
      </c>
      <c r="AO298" s="107">
        <f>AO295+AO292+AO289</f>
        <v>191.25</v>
      </c>
      <c r="AP298" s="481">
        <f t="shared" ref="AP298" si="467">AP295+AP292+AP289</f>
        <v>209.29999999999998</v>
      </c>
      <c r="AQ298" s="1350"/>
    </row>
    <row r="299" spans="1:43" s="1028" customFormat="1" ht="9.75" hidden="1" customHeight="1" outlineLevel="1">
      <c r="A299" s="1048" t="s">
        <v>14</v>
      </c>
      <c r="B299" s="35"/>
      <c r="C299" s="10">
        <f t="shared" ref="C299:Q299" si="468">C298/B298-1</f>
        <v>2.1212121212121211</v>
      </c>
      <c r="D299" s="10">
        <f t="shared" si="468"/>
        <v>0.33009708737864085</v>
      </c>
      <c r="E299" s="2">
        <f t="shared" si="468"/>
        <v>0.86861313868613133</v>
      </c>
      <c r="F299" s="10">
        <f t="shared" si="468"/>
        <v>0.890625</v>
      </c>
      <c r="G299" s="10">
        <f t="shared" si="468"/>
        <v>0.19008264462809921</v>
      </c>
      <c r="H299" s="10">
        <f t="shared" si="468"/>
        <v>0.13715277777777768</v>
      </c>
      <c r="I299" s="10">
        <f t="shared" si="468"/>
        <v>2.9007633587786241E-2</v>
      </c>
      <c r="J299" s="10">
        <f t="shared" si="468"/>
        <v>0.12774480712166159</v>
      </c>
      <c r="K299" s="10">
        <f t="shared" si="468"/>
        <v>0.11918168662018158</v>
      </c>
      <c r="L299" s="10">
        <f t="shared" si="468"/>
        <v>8.3855223406881452E-2</v>
      </c>
      <c r="M299" s="10">
        <f t="shared" si="468"/>
        <v>4.453376959057942E-2</v>
      </c>
      <c r="N299" s="10">
        <f t="shared" si="468"/>
        <v>4.4766822702569709E-2</v>
      </c>
      <c r="O299" s="10">
        <f t="shared" si="468"/>
        <v>4.4991057158674685E-2</v>
      </c>
      <c r="P299" s="10">
        <f t="shared" si="468"/>
        <v>4.0413424484331051E-2</v>
      </c>
      <c r="Q299" s="10">
        <f t="shared" si="468"/>
        <v>-0.191246511698559</v>
      </c>
      <c r="R299" s="1018"/>
      <c r="S299" s="5"/>
      <c r="T299" s="5"/>
      <c r="U299" s="5"/>
      <c r="V299" s="5"/>
      <c r="W299" s="10"/>
      <c r="X299" s="10"/>
      <c r="Y299" s="10"/>
      <c r="Z299" s="10"/>
      <c r="AA299" s="163">
        <f t="shared" ref="AA299:AH299" si="469">AA298/W298-1</f>
        <v>0.36082474226804129</v>
      </c>
      <c r="AB299" s="10">
        <f t="shared" si="469"/>
        <v>0.31304347826086953</v>
      </c>
      <c r="AC299" s="10">
        <f t="shared" si="469"/>
        <v>0.15447154471544722</v>
      </c>
      <c r="AD299" s="10">
        <f t="shared" si="469"/>
        <v>1.3422818791946289E-2</v>
      </c>
      <c r="AE299" s="163">
        <f t="shared" si="469"/>
        <v>0.10606060606060597</v>
      </c>
      <c r="AF299" s="10">
        <f t="shared" si="469"/>
        <v>0.16556291390728473</v>
      </c>
      <c r="AG299" s="10">
        <f t="shared" si="469"/>
        <v>0.1901408450704225</v>
      </c>
      <c r="AH299" s="10">
        <f t="shared" si="469"/>
        <v>8.6092715231788075E-2</v>
      </c>
      <c r="AI299" s="163">
        <f t="shared" ref="AI299:AP299" si="470">AI298/AE298-1</f>
        <v>6.164383561643838E-2</v>
      </c>
      <c r="AJ299" s="10">
        <f t="shared" si="470"/>
        <v>-7.3863636363636354E-2</v>
      </c>
      <c r="AK299" s="10">
        <f t="shared" si="470"/>
        <v>-2.3668639053254448E-2</v>
      </c>
      <c r="AL299" s="482">
        <f t="shared" si="470"/>
        <v>0.16463414634146334</v>
      </c>
      <c r="AM299" s="163">
        <f t="shared" si="470"/>
        <v>0.10322580645161294</v>
      </c>
      <c r="AN299" s="10">
        <f t="shared" si="470"/>
        <v>0.15674846625766881</v>
      </c>
      <c r="AO299" s="10">
        <f t="shared" si="470"/>
        <v>0.15909090909090917</v>
      </c>
      <c r="AP299" s="482">
        <f t="shared" si="470"/>
        <v>9.5811518324607325E-2</v>
      </c>
      <c r="AQ299" s="1350"/>
    </row>
    <row r="300" spans="1:43" s="1028" customFormat="1" ht="9.75" hidden="1" customHeight="1" outlineLevel="1">
      <c r="A300" s="1048" t="s">
        <v>15</v>
      </c>
      <c r="B300" s="35"/>
      <c r="C300" s="5"/>
      <c r="D300" s="5"/>
      <c r="E300" s="35"/>
      <c r="F300" s="5"/>
      <c r="G300" s="10">
        <v>0.4</v>
      </c>
      <c r="H300" s="10">
        <v>0.16</v>
      </c>
      <c r="I300" s="10">
        <v>0.05</v>
      </c>
      <c r="J300" s="5"/>
      <c r="K300" s="5"/>
      <c r="L300" s="5"/>
      <c r="M300" s="5"/>
      <c r="N300" s="5"/>
      <c r="O300" s="5"/>
      <c r="P300" s="5"/>
      <c r="Q300" s="5"/>
      <c r="R300" s="1018"/>
      <c r="S300" s="5"/>
      <c r="T300" s="5"/>
      <c r="U300" s="5"/>
      <c r="V300" s="491"/>
      <c r="W300" s="5"/>
      <c r="X300" s="5"/>
      <c r="Y300" s="5"/>
      <c r="Z300" s="5"/>
      <c r="AA300" s="172"/>
      <c r="AB300" s="5"/>
      <c r="AC300" s="10"/>
      <c r="AD300" s="10">
        <v>0.15</v>
      </c>
      <c r="AE300" s="10">
        <v>0.15</v>
      </c>
      <c r="AF300" s="10">
        <v>0.17</v>
      </c>
      <c r="AG300" s="10">
        <v>0.18</v>
      </c>
      <c r="AH300" s="428">
        <v>0.11</v>
      </c>
      <c r="AI300" s="163">
        <v>0.09</v>
      </c>
      <c r="AJ300" s="10">
        <v>-0.03</v>
      </c>
      <c r="AK300" s="10">
        <v>-0.01</v>
      </c>
      <c r="AL300" s="482">
        <v>0.13</v>
      </c>
      <c r="AM300" s="163">
        <v>-0.01</v>
      </c>
      <c r="AN300" s="548"/>
      <c r="AO300" s="548"/>
      <c r="AP300" s="491"/>
      <c r="AQ300" s="1350"/>
    </row>
    <row r="301" spans="1:43" ht="12.75" customHeight="1" collapsed="1">
      <c r="A301" s="1025" t="s">
        <v>47</v>
      </c>
      <c r="B301" s="34"/>
      <c r="E301" s="34"/>
      <c r="I301" s="107"/>
      <c r="J301" s="107"/>
      <c r="K301" s="107"/>
      <c r="L301" s="107"/>
      <c r="M301" s="107"/>
      <c r="N301" s="107"/>
      <c r="O301" s="107"/>
      <c r="P301" s="107"/>
      <c r="Q301" s="135"/>
      <c r="R301" s="402"/>
      <c r="S301" s="1026"/>
      <c r="T301" s="1026"/>
      <c r="U301" s="1026"/>
      <c r="AD301" s="107"/>
      <c r="AH301" s="107"/>
      <c r="AK301" s="107"/>
      <c r="AL301" s="481"/>
      <c r="AM301" s="157"/>
      <c r="AN301" s="396"/>
      <c r="AO301" s="396"/>
      <c r="AP301" s="481"/>
      <c r="AQ301" s="1350"/>
    </row>
    <row r="302" spans="1:43" s="1028" customFormat="1" ht="9.75" hidden="1" customHeight="1" outlineLevel="1">
      <c r="A302" s="1048" t="s">
        <v>14</v>
      </c>
      <c r="B302" s="35"/>
      <c r="C302" s="5"/>
      <c r="D302" s="10"/>
      <c r="E302" s="2"/>
      <c r="F302" s="10"/>
      <c r="G302" s="10"/>
      <c r="H302" s="10"/>
      <c r="I302" s="10"/>
      <c r="J302" s="10"/>
      <c r="K302" s="10"/>
      <c r="L302" s="10"/>
      <c r="M302" s="10"/>
      <c r="N302" s="10"/>
      <c r="O302" s="10"/>
      <c r="P302" s="10"/>
      <c r="Q302" s="10"/>
      <c r="R302" s="1018"/>
      <c r="S302" s="5"/>
      <c r="T302" s="5"/>
      <c r="U302" s="5"/>
      <c r="V302" s="5"/>
      <c r="W302" s="10"/>
      <c r="X302" s="10"/>
      <c r="Y302" s="10"/>
      <c r="Z302" s="10"/>
      <c r="AA302" s="163"/>
      <c r="AB302" s="10"/>
      <c r="AC302" s="10"/>
      <c r="AD302" s="10"/>
      <c r="AE302" s="163"/>
      <c r="AF302" s="10"/>
      <c r="AG302" s="10"/>
      <c r="AH302" s="10"/>
      <c r="AI302" s="163"/>
      <c r="AJ302" s="10"/>
      <c r="AK302" s="10"/>
      <c r="AL302" s="482"/>
      <c r="AM302" s="163"/>
      <c r="AN302" s="428"/>
      <c r="AO302" s="428"/>
      <c r="AP302" s="482"/>
      <c r="AQ302" s="1350"/>
    </row>
    <row r="303" spans="1:43" s="1028" customFormat="1" ht="9.75" hidden="1" customHeight="1" outlineLevel="1">
      <c r="A303" s="1048" t="s">
        <v>15</v>
      </c>
      <c r="B303" s="35"/>
      <c r="C303" s="5"/>
      <c r="D303" s="5"/>
      <c r="E303" s="35"/>
      <c r="F303" s="10"/>
      <c r="G303" s="10"/>
      <c r="H303" s="10"/>
      <c r="I303" s="50"/>
      <c r="J303" s="50"/>
      <c r="K303" s="50"/>
      <c r="L303" s="50"/>
      <c r="M303" s="50"/>
      <c r="N303" s="50"/>
      <c r="O303" s="50"/>
      <c r="P303" s="50"/>
      <c r="Q303" s="50"/>
      <c r="R303" s="1018"/>
      <c r="S303" s="5"/>
      <c r="T303" s="5"/>
      <c r="U303" s="5"/>
      <c r="V303" s="5"/>
      <c r="W303" s="10"/>
      <c r="X303" s="10"/>
      <c r="Y303" s="10"/>
      <c r="Z303" s="10"/>
      <c r="AA303" s="163"/>
      <c r="AB303" s="10"/>
      <c r="AC303" s="10"/>
      <c r="AD303" s="10"/>
      <c r="AE303" s="163"/>
      <c r="AF303" s="10"/>
      <c r="AG303" s="10"/>
      <c r="AH303" s="10"/>
      <c r="AI303" s="163"/>
      <c r="AJ303" s="10"/>
      <c r="AK303" s="50"/>
      <c r="AL303" s="497"/>
      <c r="AM303" s="163"/>
      <c r="AN303" s="539"/>
      <c r="AO303" s="539"/>
      <c r="AP303" s="497"/>
      <c r="AQ303" s="1350"/>
    </row>
    <row r="304" spans="1:43" ht="12.75" customHeight="1" collapsed="1">
      <c r="A304" s="1025" t="s">
        <v>48</v>
      </c>
      <c r="B304" s="34">
        <v>369</v>
      </c>
      <c r="C304" s="4">
        <f t="shared" ref="C304:Q304" si="471">+C307+C309</f>
        <v>478</v>
      </c>
      <c r="D304" s="4">
        <f t="shared" si="471"/>
        <v>504</v>
      </c>
      <c r="E304" s="34">
        <f t="shared" si="471"/>
        <v>613</v>
      </c>
      <c r="F304" s="4">
        <f t="shared" si="471"/>
        <v>777</v>
      </c>
      <c r="G304" s="4">
        <f t="shared" si="471"/>
        <v>755</v>
      </c>
      <c r="H304" s="4">
        <v>835</v>
      </c>
      <c r="I304" s="135">
        <f t="shared" si="471"/>
        <v>920</v>
      </c>
      <c r="J304" s="107">
        <f t="shared" si="471"/>
        <v>1025.3663797576471</v>
      </c>
      <c r="K304" s="107">
        <f t="shared" si="471"/>
        <v>1025.3663797576471</v>
      </c>
      <c r="L304" s="107">
        <f t="shared" si="471"/>
        <v>922.82974178188238</v>
      </c>
      <c r="M304" s="107">
        <f t="shared" si="471"/>
        <v>830.54676760369421</v>
      </c>
      <c r="N304" s="107">
        <f t="shared" si="471"/>
        <v>747.49209084332483</v>
      </c>
      <c r="O304" s="107">
        <f t="shared" si="471"/>
        <v>672.74288175899233</v>
      </c>
      <c r="P304" s="107">
        <f t="shared" si="471"/>
        <v>605.46859358309314</v>
      </c>
      <c r="Q304" s="107">
        <f t="shared" si="471"/>
        <v>544.92173422478379</v>
      </c>
      <c r="R304" s="402">
        <f>(N304/J304)^(1/($N$1-$J$1))-1</f>
        <v>-7.5978913527693148E-2</v>
      </c>
      <c r="S304" s="1026"/>
      <c r="T304" s="1026"/>
      <c r="U304" s="1026"/>
      <c r="W304" s="4">
        <f t="shared" ref="W304:AD304" si="472">+W307+W309</f>
        <v>173</v>
      </c>
      <c r="X304" s="4">
        <f t="shared" si="472"/>
        <v>197</v>
      </c>
      <c r="Y304" s="4">
        <f t="shared" si="472"/>
        <v>207</v>
      </c>
      <c r="Z304" s="4">
        <f t="shared" si="472"/>
        <v>200</v>
      </c>
      <c r="AA304" s="157">
        <f t="shared" si="472"/>
        <v>180</v>
      </c>
      <c r="AB304" s="4">
        <f t="shared" si="472"/>
        <v>194</v>
      </c>
      <c r="AC304" s="4">
        <f t="shared" si="472"/>
        <v>184</v>
      </c>
      <c r="AD304" s="107">
        <f t="shared" si="472"/>
        <v>197</v>
      </c>
      <c r="AE304" s="157">
        <f t="shared" ref="AE304:AP304" si="473">+AE307+AE309</f>
        <v>192</v>
      </c>
      <c r="AF304" s="4">
        <f t="shared" si="473"/>
        <v>212</v>
      </c>
      <c r="AG304" s="4">
        <f t="shared" si="473"/>
        <v>215</v>
      </c>
      <c r="AH304" s="107">
        <f t="shared" si="473"/>
        <v>216</v>
      </c>
      <c r="AI304" s="157">
        <f t="shared" si="473"/>
        <v>202</v>
      </c>
      <c r="AJ304" s="4">
        <v>226</v>
      </c>
      <c r="AK304" s="4">
        <v>245</v>
      </c>
      <c r="AL304" s="481">
        <f t="shared" si="473"/>
        <v>247</v>
      </c>
      <c r="AM304" s="157">
        <v>255</v>
      </c>
      <c r="AN304" s="396">
        <f t="shared" si="473"/>
        <v>249.9723580395405</v>
      </c>
      <c r="AO304" s="396">
        <f t="shared" si="473"/>
        <v>263.58360403817295</v>
      </c>
      <c r="AP304" s="489">
        <f t="shared" si="473"/>
        <v>256.81041767993366</v>
      </c>
      <c r="AQ304" s="1350"/>
    </row>
    <row r="305" spans="1:46" s="1028" customFormat="1" ht="9.75" hidden="1" customHeight="1" outlineLevel="1">
      <c r="A305" s="1048" t="s">
        <v>14</v>
      </c>
      <c r="B305" s="5"/>
      <c r="C305" s="10">
        <f t="shared" ref="C305:Q305" si="474">C304/B304-1</f>
        <v>0.29539295392953924</v>
      </c>
      <c r="D305" s="10">
        <f t="shared" si="474"/>
        <v>5.439330543933063E-2</v>
      </c>
      <c r="E305" s="10">
        <f t="shared" si="474"/>
        <v>0.21626984126984117</v>
      </c>
      <c r="F305" s="10">
        <f t="shared" si="474"/>
        <v>0.26753670473083191</v>
      </c>
      <c r="G305" s="10">
        <f t="shared" si="474"/>
        <v>-2.8314028314028294E-2</v>
      </c>
      <c r="H305" s="10">
        <f t="shared" si="474"/>
        <v>0.10596026490066235</v>
      </c>
      <c r="I305" s="10">
        <f t="shared" si="474"/>
        <v>0.10179640718562877</v>
      </c>
      <c r="J305" s="10">
        <f t="shared" si="474"/>
        <v>0.1145286736496165</v>
      </c>
      <c r="K305" s="10">
        <f t="shared" si="474"/>
        <v>0</v>
      </c>
      <c r="L305" s="10">
        <f t="shared" si="474"/>
        <v>-9.9999999999999978E-2</v>
      </c>
      <c r="M305" s="10">
        <f t="shared" si="474"/>
        <v>-9.9999999999999978E-2</v>
      </c>
      <c r="N305" s="10">
        <f t="shared" si="474"/>
        <v>-9.9999999999999978E-2</v>
      </c>
      <c r="O305" s="10">
        <f t="shared" si="474"/>
        <v>-9.9999999999999978E-2</v>
      </c>
      <c r="P305" s="10">
        <f t="shared" si="474"/>
        <v>-9.9999999999999978E-2</v>
      </c>
      <c r="Q305" s="10">
        <f t="shared" si="474"/>
        <v>-0.10000000000000009</v>
      </c>
      <c r="R305" s="1018"/>
      <c r="S305" s="5"/>
      <c r="T305" s="5"/>
      <c r="U305" s="5"/>
      <c r="V305" s="5"/>
      <c r="W305" s="10">
        <v>0.22695035460992918</v>
      </c>
      <c r="X305" s="10">
        <v>0.33108108108108114</v>
      </c>
      <c r="Y305" s="10">
        <v>0.37086092715231778</v>
      </c>
      <c r="Z305" s="10">
        <v>0.1560693641618498</v>
      </c>
      <c r="AA305" s="163">
        <f t="shared" ref="AA305:AH305" si="475">AA304/W304-1</f>
        <v>4.0462427745664664E-2</v>
      </c>
      <c r="AB305" s="10">
        <f t="shared" si="475"/>
        <v>-1.5228426395939132E-2</v>
      </c>
      <c r="AC305" s="10">
        <f t="shared" si="475"/>
        <v>-0.11111111111111116</v>
      </c>
      <c r="AD305" s="10">
        <f t="shared" si="475"/>
        <v>-1.5000000000000013E-2</v>
      </c>
      <c r="AE305" s="163">
        <f t="shared" si="475"/>
        <v>6.6666666666666652E-2</v>
      </c>
      <c r="AF305" s="10">
        <f t="shared" si="475"/>
        <v>9.2783505154639068E-2</v>
      </c>
      <c r="AG305" s="10">
        <f t="shared" si="475"/>
        <v>0.16847826086956519</v>
      </c>
      <c r="AH305" s="10">
        <f t="shared" si="475"/>
        <v>9.6446700507614169E-2</v>
      </c>
      <c r="AI305" s="163">
        <f t="shared" ref="AI305:AP305" si="476">AI304/AE304-1</f>
        <v>5.2083333333333259E-2</v>
      </c>
      <c r="AJ305" s="10">
        <f t="shared" si="476"/>
        <v>6.60377358490567E-2</v>
      </c>
      <c r="AK305" s="10">
        <f t="shared" si="476"/>
        <v>0.13953488372093026</v>
      </c>
      <c r="AL305" s="482">
        <f t="shared" si="476"/>
        <v>0.1435185185185186</v>
      </c>
      <c r="AM305" s="163">
        <f t="shared" si="476"/>
        <v>0.26237623762376239</v>
      </c>
      <c r="AN305" s="428">
        <f t="shared" si="476"/>
        <v>0.10607238070593139</v>
      </c>
      <c r="AO305" s="428">
        <f t="shared" si="476"/>
        <v>7.5851445053767064E-2</v>
      </c>
      <c r="AP305" s="482">
        <f t="shared" si="476"/>
        <v>3.9718290202160667E-2</v>
      </c>
      <c r="AQ305" s="1350"/>
    </row>
    <row r="306" spans="1:46" s="1028" customFormat="1" ht="9.75" hidden="1" customHeight="1" outlineLevel="1">
      <c r="A306" s="1048" t="s">
        <v>15</v>
      </c>
      <c r="B306" s="5"/>
      <c r="C306" s="10">
        <v>0.28999999999999998</v>
      </c>
      <c r="D306" s="10">
        <v>0.12</v>
      </c>
      <c r="E306" s="10">
        <v>0.24</v>
      </c>
      <c r="F306" s="10">
        <v>0.3</v>
      </c>
      <c r="G306" s="10">
        <v>0.14000000000000001</v>
      </c>
      <c r="H306" s="10">
        <v>0.15</v>
      </c>
      <c r="I306" s="10">
        <v>0.11</v>
      </c>
      <c r="J306" s="10">
        <f t="shared" ref="J306:Q306" si="477">J305-((J310-J311)*J309/J304)</f>
        <v>7.0000000000000007E-2</v>
      </c>
      <c r="K306" s="10">
        <f t="shared" si="477"/>
        <v>0</v>
      </c>
      <c r="L306" s="10">
        <f t="shared" si="477"/>
        <v>-0.1</v>
      </c>
      <c r="M306" s="10">
        <f t="shared" si="477"/>
        <v>-0.1</v>
      </c>
      <c r="N306" s="10">
        <f t="shared" si="477"/>
        <v>-0.1</v>
      </c>
      <c r="O306" s="10">
        <f t="shared" si="477"/>
        <v>-0.1</v>
      </c>
      <c r="P306" s="10">
        <f t="shared" si="477"/>
        <v>-0.1</v>
      </c>
      <c r="Q306" s="10">
        <f t="shared" si="477"/>
        <v>-0.1</v>
      </c>
      <c r="R306" s="1018"/>
      <c r="S306" s="5"/>
      <c r="T306" s="5"/>
      <c r="U306" s="5"/>
      <c r="V306" s="5"/>
      <c r="W306" s="10">
        <v>0.24</v>
      </c>
      <c r="X306" s="10">
        <v>0.3</v>
      </c>
      <c r="Y306" s="10">
        <v>0.39</v>
      </c>
      <c r="Z306" s="10">
        <v>0.25</v>
      </c>
      <c r="AA306" s="163">
        <v>0.22</v>
      </c>
      <c r="AB306" s="10">
        <v>0.18</v>
      </c>
      <c r="AC306" s="10">
        <v>0.04</v>
      </c>
      <c r="AD306" s="10">
        <v>0.12</v>
      </c>
      <c r="AE306" s="163">
        <v>0.14000000000000001</v>
      </c>
      <c r="AF306" s="10">
        <v>0.12</v>
      </c>
      <c r="AG306" s="10">
        <v>0.19</v>
      </c>
      <c r="AH306" s="10">
        <v>0.13</v>
      </c>
      <c r="AI306" s="163">
        <v>0.11</v>
      </c>
      <c r="AJ306" s="10">
        <v>0.12</v>
      </c>
      <c r="AK306" s="10">
        <v>0.12</v>
      </c>
      <c r="AL306" s="482">
        <v>0.09</v>
      </c>
      <c r="AM306" s="163">
        <v>0.14000000000000001</v>
      </c>
      <c r="AN306" s="428"/>
      <c r="AO306" s="428"/>
      <c r="AP306" s="482"/>
      <c r="AQ306" s="1350"/>
    </row>
    <row r="307" spans="1:46" s="1038" customFormat="1" ht="12.75" hidden="1" customHeight="1" outlineLevel="1">
      <c r="A307" s="2" t="s">
        <v>72</v>
      </c>
      <c r="B307" s="4"/>
      <c r="C307" s="4">
        <v>15</v>
      </c>
      <c r="D307" s="4"/>
      <c r="E307" s="4"/>
      <c r="F307" s="4"/>
      <c r="G307" s="4"/>
      <c r="H307" s="4"/>
      <c r="I307" s="107"/>
      <c r="J307" s="107"/>
      <c r="K307" s="107"/>
      <c r="L307" s="107"/>
      <c r="M307" s="107"/>
      <c r="N307" s="107"/>
      <c r="O307" s="107"/>
      <c r="P307" s="107"/>
      <c r="Q307" s="107"/>
      <c r="R307" s="1019"/>
      <c r="S307" s="10"/>
      <c r="T307" s="10"/>
      <c r="U307" s="10"/>
      <c r="V307" s="10"/>
      <c r="W307" s="4"/>
      <c r="X307" s="4"/>
      <c r="Y307" s="4"/>
      <c r="Z307" s="4"/>
      <c r="AA307" s="157"/>
      <c r="AB307" s="4"/>
      <c r="AC307" s="4"/>
      <c r="AD307" s="107"/>
      <c r="AE307" s="157"/>
      <c r="AF307" s="4"/>
      <c r="AG307" s="4"/>
      <c r="AH307" s="107"/>
      <c r="AI307" s="157"/>
      <c r="AJ307" s="4"/>
      <c r="AK307" s="107"/>
      <c r="AL307" s="481"/>
      <c r="AM307" s="157"/>
      <c r="AN307" s="429"/>
      <c r="AO307" s="396"/>
      <c r="AP307" s="481"/>
      <c r="AQ307" s="1350"/>
    </row>
    <row r="308" spans="1:46" s="1038" customFormat="1" ht="9.75" hidden="1" customHeight="1" outlineLevel="1">
      <c r="A308" s="2" t="s">
        <v>14</v>
      </c>
      <c r="B308" s="10"/>
      <c r="C308" s="10"/>
      <c r="D308" s="10"/>
      <c r="E308" s="10"/>
      <c r="F308" s="10"/>
      <c r="G308" s="10"/>
      <c r="H308" s="10"/>
      <c r="I308" s="50"/>
      <c r="J308" s="50"/>
      <c r="K308" s="50"/>
      <c r="L308" s="50"/>
      <c r="M308" s="50"/>
      <c r="N308" s="50"/>
      <c r="O308" s="50"/>
      <c r="P308" s="50"/>
      <c r="Q308" s="50"/>
      <c r="R308" s="1019"/>
      <c r="S308" s="10"/>
      <c r="T308" s="10"/>
      <c r="U308" s="10"/>
      <c r="V308" s="10"/>
      <c r="W308" s="10"/>
      <c r="X308" s="10"/>
      <c r="Y308" s="10"/>
      <c r="Z308" s="10"/>
      <c r="AA308" s="163"/>
      <c r="AB308" s="10"/>
      <c r="AC308" s="10"/>
      <c r="AD308" s="10"/>
      <c r="AE308" s="163"/>
      <c r="AF308" s="10"/>
      <c r="AG308" s="10"/>
      <c r="AH308" s="10"/>
      <c r="AI308" s="163"/>
      <c r="AJ308" s="10"/>
      <c r="AK308" s="50"/>
      <c r="AL308" s="497"/>
      <c r="AM308" s="163"/>
      <c r="AN308" s="539"/>
      <c r="AO308" s="539"/>
      <c r="AP308" s="497"/>
      <c r="AQ308" s="1350"/>
    </row>
    <row r="309" spans="1:46" s="1038" customFormat="1" ht="12.75" hidden="1" customHeight="1" outlineLevel="1">
      <c r="A309" s="2" t="s">
        <v>73</v>
      </c>
      <c r="B309" s="4"/>
      <c r="C309" s="4">
        <v>463</v>
      </c>
      <c r="D309" s="4">
        <v>504</v>
      </c>
      <c r="E309" s="4">
        <v>613</v>
      </c>
      <c r="F309" s="4">
        <v>777</v>
      </c>
      <c r="G309" s="4">
        <v>755</v>
      </c>
      <c r="H309" s="4">
        <v>835</v>
      </c>
      <c r="I309" s="4">
        <v>920</v>
      </c>
      <c r="J309" s="107">
        <f t="shared" ref="J309:Q309" si="478">I309*(1+J311)*(1+J$32)</f>
        <v>1025.3663797576471</v>
      </c>
      <c r="K309" s="107">
        <f t="shared" si="478"/>
        <v>1025.3663797576471</v>
      </c>
      <c r="L309" s="107">
        <f t="shared" si="478"/>
        <v>922.82974178188238</v>
      </c>
      <c r="M309" s="107">
        <f t="shared" si="478"/>
        <v>830.54676760369421</v>
      </c>
      <c r="N309" s="107">
        <f t="shared" si="478"/>
        <v>747.49209084332483</v>
      </c>
      <c r="O309" s="107">
        <f t="shared" si="478"/>
        <v>672.74288175899233</v>
      </c>
      <c r="P309" s="107">
        <f t="shared" si="478"/>
        <v>605.46859358309314</v>
      </c>
      <c r="Q309" s="107">
        <f t="shared" si="478"/>
        <v>544.92173422478379</v>
      </c>
      <c r="R309" s="402">
        <f>(N309/J309)^(1/($N$1-$J$1))-1</f>
        <v>-7.5978913527693148E-2</v>
      </c>
      <c r="S309" s="10"/>
      <c r="T309" s="10"/>
      <c r="U309" s="10"/>
      <c r="V309" s="10"/>
      <c r="W309" s="4">
        <v>173</v>
      </c>
      <c r="X309" s="4">
        <v>197</v>
      </c>
      <c r="Y309" s="4">
        <v>207</v>
      </c>
      <c r="Z309" s="4">
        <v>200</v>
      </c>
      <c r="AA309" s="157">
        <v>180</v>
      </c>
      <c r="AB309" s="4">
        <v>194</v>
      </c>
      <c r="AC309" s="4">
        <v>184</v>
      </c>
      <c r="AD309" s="107">
        <f>G309-AC309-AB309-AA309</f>
        <v>197</v>
      </c>
      <c r="AE309" s="157">
        <v>192</v>
      </c>
      <c r="AF309" s="4">
        <v>212</v>
      </c>
      <c r="AG309" s="4">
        <v>215</v>
      </c>
      <c r="AH309" s="107">
        <f>H309-AE309-AF309-AG309</f>
        <v>216</v>
      </c>
      <c r="AI309" s="157">
        <v>202</v>
      </c>
      <c r="AJ309" s="4">
        <v>226</v>
      </c>
      <c r="AK309" s="4">
        <v>245</v>
      </c>
      <c r="AL309" s="481">
        <f>I309-AI309-AJ309-AK309</f>
        <v>247</v>
      </c>
      <c r="AM309" s="157">
        <v>255</v>
      </c>
      <c r="AN309" s="396">
        <f>AJ309*(1+AN311)*(1+AN$32)</f>
        <v>249.9723580395405</v>
      </c>
      <c r="AO309" s="396">
        <f>AK309*(1+AO311)*(1+AO$32)</f>
        <v>263.58360403817295</v>
      </c>
      <c r="AP309" s="481">
        <f>J309-AM309-AN309-AO309</f>
        <v>256.81041767993366</v>
      </c>
      <c r="AQ309" s="1350"/>
    </row>
    <row r="310" spans="1:46" s="1038" customFormat="1" ht="9.75" hidden="1" customHeight="1" outlineLevel="1">
      <c r="A310" s="2" t="s">
        <v>14</v>
      </c>
      <c r="B310" s="10"/>
      <c r="C310" s="10"/>
      <c r="D310" s="10">
        <f t="shared" ref="D310:Q310" si="479">D309/C309-1</f>
        <v>8.8552915766738627E-2</v>
      </c>
      <c r="E310" s="10">
        <f t="shared" si="479"/>
        <v>0.21626984126984117</v>
      </c>
      <c r="F310" s="10">
        <f t="shared" si="479"/>
        <v>0.26753670473083191</v>
      </c>
      <c r="G310" s="10">
        <f t="shared" si="479"/>
        <v>-2.8314028314028294E-2</v>
      </c>
      <c r="H310" s="10">
        <f t="shared" si="479"/>
        <v>0.10596026490066235</v>
      </c>
      <c r="I310" s="10">
        <f t="shared" si="479"/>
        <v>0.10179640718562877</v>
      </c>
      <c r="J310" s="10">
        <f t="shared" si="479"/>
        <v>0.1145286736496165</v>
      </c>
      <c r="K310" s="10">
        <f t="shared" si="479"/>
        <v>0</v>
      </c>
      <c r="L310" s="10">
        <f t="shared" si="479"/>
        <v>-9.9999999999999978E-2</v>
      </c>
      <c r="M310" s="10">
        <f t="shared" si="479"/>
        <v>-9.9999999999999978E-2</v>
      </c>
      <c r="N310" s="10">
        <f t="shared" si="479"/>
        <v>-9.9999999999999978E-2</v>
      </c>
      <c r="O310" s="10">
        <f t="shared" si="479"/>
        <v>-9.9999999999999978E-2</v>
      </c>
      <c r="P310" s="10">
        <f t="shared" si="479"/>
        <v>-9.9999999999999978E-2</v>
      </c>
      <c r="Q310" s="10">
        <f t="shared" si="479"/>
        <v>-0.10000000000000009</v>
      </c>
      <c r="R310" s="1019"/>
      <c r="S310" s="10"/>
      <c r="T310" s="10"/>
      <c r="U310" s="10"/>
      <c r="V310" s="10"/>
      <c r="W310" s="10">
        <v>0.22695035460992918</v>
      </c>
      <c r="X310" s="10">
        <v>0.33108108108108114</v>
      </c>
      <c r="Y310" s="10">
        <v>0.37086092715231778</v>
      </c>
      <c r="Z310" s="10">
        <v>0.1560693641618498</v>
      </c>
      <c r="AA310" s="163">
        <f t="shared" ref="AA310:AH310" si="480">AA309/W309-1</f>
        <v>4.0462427745664664E-2</v>
      </c>
      <c r="AB310" s="10">
        <f t="shared" si="480"/>
        <v>-1.5228426395939132E-2</v>
      </c>
      <c r="AC310" s="10">
        <f t="shared" si="480"/>
        <v>-0.11111111111111116</v>
      </c>
      <c r="AD310" s="10">
        <f t="shared" si="480"/>
        <v>-1.5000000000000013E-2</v>
      </c>
      <c r="AE310" s="163">
        <f t="shared" si="480"/>
        <v>6.6666666666666652E-2</v>
      </c>
      <c r="AF310" s="10">
        <f t="shared" si="480"/>
        <v>9.2783505154639068E-2</v>
      </c>
      <c r="AG310" s="10">
        <f t="shared" si="480"/>
        <v>0.16847826086956519</v>
      </c>
      <c r="AH310" s="10">
        <f t="shared" si="480"/>
        <v>9.6446700507614169E-2</v>
      </c>
      <c r="AI310" s="163">
        <f>AI309/AE309-1</f>
        <v>5.2083333333333259E-2</v>
      </c>
      <c r="AJ310" s="10">
        <f>AJ309/AF309-1</f>
        <v>6.60377358490567E-2</v>
      </c>
      <c r="AK310" s="10">
        <f>AK309/AG309-1</f>
        <v>0.13953488372093026</v>
      </c>
      <c r="AL310" s="482">
        <f>AL309/AH309-1</f>
        <v>0.1435185185185186</v>
      </c>
      <c r="AM310" s="163">
        <f t="shared" ref="AM310" si="481">AM309/AI309-1</f>
        <v>0.26237623762376239</v>
      </c>
      <c r="AN310" s="428">
        <f t="shared" ref="AN310" si="482">AN309/AJ309-1</f>
        <v>0.10607238070593139</v>
      </c>
      <c r="AO310" s="428">
        <f t="shared" ref="AO310" si="483">AO309/AK309-1</f>
        <v>7.5851445053767064E-2</v>
      </c>
      <c r="AP310" s="482">
        <f>AP309/AL309-1</f>
        <v>3.9718290202160667E-2</v>
      </c>
      <c r="AQ310" s="1350"/>
    </row>
    <row r="311" spans="1:46" s="1038" customFormat="1" ht="9.75" hidden="1" customHeight="1" outlineLevel="1">
      <c r="A311" s="2" t="s">
        <v>15</v>
      </c>
      <c r="B311" s="10"/>
      <c r="C311" s="10">
        <v>0.35</v>
      </c>
      <c r="D311" s="10">
        <v>0.15</v>
      </c>
      <c r="E311" s="10">
        <v>0.24</v>
      </c>
      <c r="F311" s="10">
        <v>0.3</v>
      </c>
      <c r="G311" s="10">
        <v>0.14000000000000001</v>
      </c>
      <c r="H311" s="10">
        <v>0.15</v>
      </c>
      <c r="I311" s="10">
        <v>0.11</v>
      </c>
      <c r="J311" s="50">
        <v>7.0000000000000007E-2</v>
      </c>
      <c r="K311" s="50">
        <v>0</v>
      </c>
      <c r="L311" s="50">
        <v>-0.1</v>
      </c>
      <c r="M311" s="50">
        <v>-0.1</v>
      </c>
      <c r="N311" s="50">
        <v>-0.1</v>
      </c>
      <c r="O311" s="50">
        <v>-0.1</v>
      </c>
      <c r="P311" s="50">
        <v>-0.1</v>
      </c>
      <c r="Q311" s="50">
        <v>-0.1</v>
      </c>
      <c r="R311" s="1019"/>
      <c r="S311" s="10"/>
      <c r="T311" s="10"/>
      <c r="U311" s="10"/>
      <c r="V311" s="10"/>
      <c r="W311" s="10">
        <v>0.24</v>
      </c>
      <c r="X311" s="10">
        <v>0.3</v>
      </c>
      <c r="Y311" s="10">
        <v>0.39</v>
      </c>
      <c r="Z311" s="10">
        <v>0.25</v>
      </c>
      <c r="AA311" s="163">
        <v>0.22</v>
      </c>
      <c r="AB311" s="10">
        <v>0.18</v>
      </c>
      <c r="AC311" s="10">
        <v>0.04</v>
      </c>
      <c r="AD311" s="10">
        <v>0.12</v>
      </c>
      <c r="AE311" s="163">
        <v>0.14000000000000001</v>
      </c>
      <c r="AF311" s="10">
        <v>0.12</v>
      </c>
      <c r="AG311" s="10">
        <v>0.19</v>
      </c>
      <c r="AH311" s="10">
        <v>0.13</v>
      </c>
      <c r="AI311" s="163">
        <v>0.11</v>
      </c>
      <c r="AJ311" s="10">
        <v>0.12</v>
      </c>
      <c r="AK311" s="10">
        <v>0.12</v>
      </c>
      <c r="AL311" s="482">
        <v>0.09</v>
      </c>
      <c r="AM311" s="163">
        <v>0.14000000000000001</v>
      </c>
      <c r="AN311" s="539">
        <v>0.05</v>
      </c>
      <c r="AO311" s="539">
        <v>0.05</v>
      </c>
      <c r="AP311" s="497"/>
      <c r="AQ311" s="1350"/>
    </row>
    <row r="312" spans="1:46" ht="12.75" customHeight="1" collapsed="1">
      <c r="A312" s="1025" t="s">
        <v>29</v>
      </c>
      <c r="F312" s="4">
        <v>327</v>
      </c>
      <c r="G312" s="4">
        <v>263</v>
      </c>
      <c r="H312" s="4">
        <v>31</v>
      </c>
      <c r="I312" s="107">
        <v>23</v>
      </c>
      <c r="J312" s="107">
        <f t="shared" ref="J312:Q312" si="484">I312+I312*J314</f>
        <v>20.7</v>
      </c>
      <c r="K312" s="107">
        <f t="shared" si="484"/>
        <v>18.63</v>
      </c>
      <c r="L312" s="107">
        <f t="shared" si="484"/>
        <v>16.766999999999999</v>
      </c>
      <c r="M312" s="107">
        <f t="shared" si="484"/>
        <v>15.090299999999999</v>
      </c>
      <c r="N312" s="107">
        <f t="shared" si="484"/>
        <v>13.58127</v>
      </c>
      <c r="O312" s="107">
        <f t="shared" si="484"/>
        <v>12.223143</v>
      </c>
      <c r="P312" s="107">
        <f t="shared" si="484"/>
        <v>11.0008287</v>
      </c>
      <c r="Q312" s="107">
        <f t="shared" si="484"/>
        <v>9.90074583</v>
      </c>
      <c r="R312" s="402">
        <f>(N312/J312)^(1/($N$1-$J$1))-1</f>
        <v>-9.9999999999999978E-2</v>
      </c>
      <c r="S312" s="1026"/>
      <c r="T312" s="1026"/>
      <c r="U312" s="1026"/>
      <c r="W312" s="4">
        <f>10+86</f>
        <v>96</v>
      </c>
      <c r="X312" s="4">
        <f>18+62</f>
        <v>80</v>
      </c>
      <c r="Y312" s="4">
        <f>10+68</f>
        <v>78</v>
      </c>
      <c r="Z312" s="4">
        <f>8+65</f>
        <v>73</v>
      </c>
      <c r="AA312" s="157">
        <v>64</v>
      </c>
      <c r="AB312" s="4">
        <v>70</v>
      </c>
      <c r="AC312" s="4">
        <v>56</v>
      </c>
      <c r="AD312" s="107">
        <f>G312-AC312-AB312-AA312</f>
        <v>73</v>
      </c>
      <c r="AE312" s="157">
        <v>8</v>
      </c>
      <c r="AF312" s="4">
        <v>9</v>
      </c>
      <c r="AG312" s="4">
        <v>6</v>
      </c>
      <c r="AH312" s="107">
        <f>H312-AE312-AF312-AG312</f>
        <v>8</v>
      </c>
      <c r="AI312" s="157">
        <v>7</v>
      </c>
      <c r="AJ312" s="4">
        <v>4</v>
      </c>
      <c r="AK312" s="4">
        <v>5</v>
      </c>
      <c r="AL312" s="481">
        <f>I312-AI312-AJ312-AK312</f>
        <v>7</v>
      </c>
      <c r="AM312" s="157">
        <v>7</v>
      </c>
      <c r="AN312" s="396">
        <f t="shared" ref="AN312" si="485">AJ312+AJ312*AN314</f>
        <v>3.6</v>
      </c>
      <c r="AO312" s="396">
        <f t="shared" ref="AO312" si="486">AK312+AK312*AO314</f>
        <v>4.5</v>
      </c>
      <c r="AP312" s="481">
        <f>J312-AM312-AN312-AO312</f>
        <v>5.6</v>
      </c>
      <c r="AQ312" s="1350"/>
    </row>
    <row r="313" spans="1:46" s="1028" customFormat="1" ht="9.75" hidden="1" customHeight="1" outlineLevel="1">
      <c r="A313" s="1048" t="s">
        <v>14</v>
      </c>
      <c r="B313" s="5"/>
      <c r="C313" s="5"/>
      <c r="D313" s="5"/>
      <c r="E313" s="5"/>
      <c r="F313" s="5"/>
      <c r="G313" s="10">
        <f>G312/F312-1</f>
        <v>-0.19571865443425074</v>
      </c>
      <c r="H313" s="10">
        <f t="shared" ref="H313:Q313" si="487">H312/G312-1</f>
        <v>-0.88212927756653992</v>
      </c>
      <c r="I313" s="10">
        <f t="shared" si="487"/>
        <v>-0.25806451612903225</v>
      </c>
      <c r="J313" s="10">
        <f t="shared" si="487"/>
        <v>-9.9999999999999978E-2</v>
      </c>
      <c r="K313" s="10">
        <f t="shared" si="487"/>
        <v>-9.9999999999999978E-2</v>
      </c>
      <c r="L313" s="10">
        <f t="shared" si="487"/>
        <v>-9.9999999999999978E-2</v>
      </c>
      <c r="M313" s="10">
        <f t="shared" si="487"/>
        <v>-9.9999999999999978E-2</v>
      </c>
      <c r="N313" s="10">
        <f t="shared" si="487"/>
        <v>-9.9999999999999978E-2</v>
      </c>
      <c r="O313" s="10">
        <f t="shared" si="487"/>
        <v>-9.9999999999999978E-2</v>
      </c>
      <c r="P313" s="10">
        <f t="shared" si="487"/>
        <v>-0.10000000000000009</v>
      </c>
      <c r="Q313" s="10">
        <f t="shared" si="487"/>
        <v>-9.9999999999999978E-2</v>
      </c>
      <c r="R313" s="1018"/>
      <c r="S313" s="5"/>
      <c r="T313" s="5"/>
      <c r="U313" s="5"/>
      <c r="V313" s="5"/>
      <c r="W313" s="10"/>
      <c r="X313" s="10"/>
      <c r="Y313" s="10"/>
      <c r="Z313" s="10"/>
      <c r="AA313" s="163">
        <f t="shared" ref="AA313:AH313" si="488">AA312/W312-1</f>
        <v>-0.33333333333333337</v>
      </c>
      <c r="AB313" s="10">
        <f t="shared" si="488"/>
        <v>-0.125</v>
      </c>
      <c r="AC313" s="10">
        <f t="shared" si="488"/>
        <v>-0.28205128205128205</v>
      </c>
      <c r="AD313" s="10">
        <f t="shared" si="488"/>
        <v>0</v>
      </c>
      <c r="AE313" s="163">
        <f t="shared" si="488"/>
        <v>-0.875</v>
      </c>
      <c r="AF313" s="10">
        <f t="shared" si="488"/>
        <v>-0.87142857142857144</v>
      </c>
      <c r="AG313" s="10">
        <f t="shared" si="488"/>
        <v>-0.8928571428571429</v>
      </c>
      <c r="AH313" s="10">
        <f t="shared" si="488"/>
        <v>-0.8904109589041096</v>
      </c>
      <c r="AI313" s="163">
        <f>AI312/AE312-1</f>
        <v>-0.125</v>
      </c>
      <c r="AJ313" s="10">
        <f>AJ312/AF312-1</f>
        <v>-0.55555555555555558</v>
      </c>
      <c r="AK313" s="10">
        <f>AK312/AG312-1</f>
        <v>-0.16666666666666663</v>
      </c>
      <c r="AL313" s="482">
        <f>AL312/AH312-1</f>
        <v>-0.125</v>
      </c>
      <c r="AM313" s="163">
        <f t="shared" ref="AM313" si="489">AM312/AI312-1</f>
        <v>0</v>
      </c>
      <c r="AN313" s="428">
        <f t="shared" ref="AN313" si="490">AN312/AJ312-1</f>
        <v>-9.9999999999999978E-2</v>
      </c>
      <c r="AO313" s="428">
        <f t="shared" ref="AO313" si="491">AO312/AK312-1</f>
        <v>-9.9999999999999978E-2</v>
      </c>
      <c r="AP313" s="482">
        <f>AP312/AL312-1</f>
        <v>-0.20000000000000007</v>
      </c>
      <c r="AQ313" s="1350"/>
    </row>
    <row r="314" spans="1:46" s="1028" customFormat="1" ht="9.75" hidden="1" customHeight="1" outlineLevel="1">
      <c r="A314" s="1048" t="s">
        <v>15</v>
      </c>
      <c r="B314" s="5"/>
      <c r="C314" s="5"/>
      <c r="D314" s="5"/>
      <c r="E314" s="5"/>
      <c r="F314" s="5"/>
      <c r="G314" s="5">
        <v>-11</v>
      </c>
      <c r="H314" s="10">
        <v>-0.06</v>
      </c>
      <c r="I314" s="10">
        <v>-0.14000000000000001</v>
      </c>
      <c r="J314" s="50">
        <v>-0.1</v>
      </c>
      <c r="K314" s="50">
        <v>-0.1</v>
      </c>
      <c r="L314" s="50">
        <v>-0.1</v>
      </c>
      <c r="M314" s="50">
        <v>-0.1</v>
      </c>
      <c r="N314" s="50">
        <v>-0.1</v>
      </c>
      <c r="O314" s="50">
        <v>-0.1</v>
      </c>
      <c r="P314" s="50">
        <v>-0.1</v>
      </c>
      <c r="Q314" s="50">
        <v>-0.1</v>
      </c>
      <c r="R314" s="1018"/>
      <c r="S314" s="5"/>
      <c r="T314" s="5"/>
      <c r="U314" s="5"/>
      <c r="V314" s="491"/>
      <c r="W314" s="5"/>
      <c r="X314" s="5"/>
      <c r="Y314" s="5"/>
      <c r="Z314" s="5"/>
      <c r="AA314" s="172"/>
      <c r="AB314" s="5"/>
      <c r="AC314" s="10"/>
      <c r="AD314" s="10">
        <v>0.05</v>
      </c>
      <c r="AE314" s="10">
        <v>-2</v>
      </c>
      <c r="AF314" s="10">
        <v>-0.38</v>
      </c>
      <c r="AG314" s="10">
        <v>2.2599999999999998</v>
      </c>
      <c r="AH314" s="428">
        <v>0.01</v>
      </c>
      <c r="AI314" s="163">
        <v>0.06</v>
      </c>
      <c r="AJ314" s="10">
        <v>-0.33</v>
      </c>
      <c r="AK314" s="10">
        <v>-0.28999999999999998</v>
      </c>
      <c r="AL314" s="482">
        <v>-0.03</v>
      </c>
      <c r="AM314" s="163">
        <v>-0.09</v>
      </c>
      <c r="AN314" s="539">
        <v>-0.1</v>
      </c>
      <c r="AO314" s="539">
        <v>-0.1</v>
      </c>
      <c r="AP314" s="497"/>
      <c r="AQ314" s="1350"/>
    </row>
    <row r="315" spans="1:46" ht="12.75" customHeight="1" collapsed="1">
      <c r="A315" s="1045" t="s">
        <v>49</v>
      </c>
      <c r="B315" s="146">
        <f t="shared" ref="B315:Q315" si="492">B289+B292+B295+B304+B312</f>
        <v>402</v>
      </c>
      <c r="C315" s="146">
        <f t="shared" si="492"/>
        <v>581</v>
      </c>
      <c r="D315" s="146">
        <f t="shared" si="492"/>
        <v>641</v>
      </c>
      <c r="E315" s="146">
        <f t="shared" si="492"/>
        <v>869</v>
      </c>
      <c r="F315" s="146">
        <f t="shared" si="492"/>
        <v>1588</v>
      </c>
      <c r="G315" s="146">
        <f t="shared" si="492"/>
        <v>1594</v>
      </c>
      <c r="H315" s="146">
        <f t="shared" si="492"/>
        <v>1521</v>
      </c>
      <c r="I315" s="152">
        <f t="shared" si="492"/>
        <v>1617</v>
      </c>
      <c r="J315" s="152">
        <f t="shared" si="492"/>
        <v>1806.1663797576473</v>
      </c>
      <c r="K315" s="152">
        <f t="shared" si="492"/>
        <v>1894.686379757647</v>
      </c>
      <c r="L315" s="152">
        <f t="shared" si="492"/>
        <v>1861.6215417818823</v>
      </c>
      <c r="M315" s="152">
        <f t="shared" si="492"/>
        <v>1808.723107603694</v>
      </c>
      <c r="N315" s="152">
        <f t="shared" si="492"/>
        <v>1767.2737028433246</v>
      </c>
      <c r="O315" s="152">
        <f t="shared" si="492"/>
        <v>1736.436383858992</v>
      </c>
      <c r="P315" s="152">
        <f t="shared" si="492"/>
        <v>1710.4332993380931</v>
      </c>
      <c r="Q315" s="152">
        <f t="shared" si="492"/>
        <v>1439.5695816987838</v>
      </c>
      <c r="R315" s="402">
        <f>(N315/J315)^(1/($N$1-$J$1))-1</f>
        <v>-5.4273431183397003E-3</v>
      </c>
      <c r="S315" s="1026"/>
      <c r="T315" s="1026"/>
      <c r="U315" s="1026"/>
      <c r="W315" s="146">
        <f t="shared" ref="W315:AC315" si="493">W289+W292+W295+W304+W312</f>
        <v>366</v>
      </c>
      <c r="X315" s="146">
        <f t="shared" si="493"/>
        <v>392</v>
      </c>
      <c r="Y315" s="146">
        <f t="shared" si="493"/>
        <v>408</v>
      </c>
      <c r="Z315" s="146">
        <f t="shared" si="493"/>
        <v>422</v>
      </c>
      <c r="AA315" s="170">
        <f t="shared" si="493"/>
        <v>376</v>
      </c>
      <c r="AB315" s="146">
        <f t="shared" si="493"/>
        <v>415</v>
      </c>
      <c r="AC315" s="146">
        <f t="shared" si="493"/>
        <v>382</v>
      </c>
      <c r="AD315" s="152">
        <f t="shared" ref="AD315:AL315" si="494">AD289+AD292+AD295+AD304+AD312</f>
        <v>421</v>
      </c>
      <c r="AE315" s="170">
        <f t="shared" si="494"/>
        <v>346</v>
      </c>
      <c r="AF315" s="146">
        <f t="shared" si="494"/>
        <v>397</v>
      </c>
      <c r="AG315" s="146">
        <f t="shared" si="494"/>
        <v>390</v>
      </c>
      <c r="AH315" s="152">
        <f t="shared" si="494"/>
        <v>388</v>
      </c>
      <c r="AI315" s="170">
        <f t="shared" si="494"/>
        <v>364</v>
      </c>
      <c r="AJ315" s="146">
        <f t="shared" si="494"/>
        <v>393</v>
      </c>
      <c r="AK315" s="152">
        <f t="shared" si="494"/>
        <v>415</v>
      </c>
      <c r="AL315" s="487">
        <f t="shared" si="494"/>
        <v>445</v>
      </c>
      <c r="AM315" s="170">
        <f t="shared" ref="AM315:AP315" si="495">AM289+AM292+AM295+AM304+AM312</f>
        <v>433</v>
      </c>
      <c r="AN315" s="152">
        <f t="shared" si="495"/>
        <v>442.12235803954047</v>
      </c>
      <c r="AO315" s="152">
        <f t="shared" si="495"/>
        <v>459.33360403817295</v>
      </c>
      <c r="AP315" s="487">
        <f t="shared" si="495"/>
        <v>471.71041767993364</v>
      </c>
      <c r="AQ315" s="1350"/>
    </row>
    <row r="316" spans="1:46" s="1028" customFormat="1" ht="9.75" hidden="1" customHeight="1" outlineLevel="1">
      <c r="A316" s="1047" t="s">
        <v>14</v>
      </c>
      <c r="B316" s="147"/>
      <c r="C316" s="148">
        <f>C315/B315-1</f>
        <v>0.44527363184079594</v>
      </c>
      <c r="D316" s="148">
        <f>D315/C315-1</f>
        <v>0.10327022375215145</v>
      </c>
      <c r="E316" s="148">
        <f>E315/D315-1</f>
        <v>0.35569422776911086</v>
      </c>
      <c r="F316" s="148">
        <f>F315/E315-1</f>
        <v>0.82738780207134632</v>
      </c>
      <c r="G316" s="148">
        <f t="shared" ref="G316:Q316" si="496">G315/F315-1</f>
        <v>3.7783375314861534E-3</v>
      </c>
      <c r="H316" s="148">
        <f t="shared" si="496"/>
        <v>-4.5796737766624851E-2</v>
      </c>
      <c r="I316" s="148">
        <f t="shared" si="496"/>
        <v>6.3116370808678601E-2</v>
      </c>
      <c r="J316" s="148">
        <f t="shared" si="496"/>
        <v>0.11698601098184747</v>
      </c>
      <c r="K316" s="148">
        <f t="shared" si="496"/>
        <v>4.90098813664539E-2</v>
      </c>
      <c r="L316" s="148">
        <f t="shared" si="496"/>
        <v>-1.7451351489629729E-2</v>
      </c>
      <c r="M316" s="148">
        <f t="shared" si="496"/>
        <v>-2.8415246058850263E-2</v>
      </c>
      <c r="N316" s="148">
        <f t="shared" si="496"/>
        <v>-2.2916390345277371E-2</v>
      </c>
      <c r="O316" s="148">
        <f t="shared" si="496"/>
        <v>-1.7449090616082352E-2</v>
      </c>
      <c r="P316" s="148">
        <f t="shared" si="496"/>
        <v>-1.4974971016853855E-2</v>
      </c>
      <c r="Q316" s="148">
        <f t="shared" si="496"/>
        <v>-0.15835970788462117</v>
      </c>
      <c r="R316" s="1018"/>
      <c r="S316" s="5"/>
      <c r="T316" s="5"/>
      <c r="U316" s="5"/>
      <c r="V316" s="5"/>
      <c r="W316" s="148"/>
      <c r="X316" s="148"/>
      <c r="Y316" s="148"/>
      <c r="Z316" s="148"/>
      <c r="AA316" s="171">
        <f t="shared" ref="AA316:AH316" si="497">AA315/W315-1</f>
        <v>2.732240437158473E-2</v>
      </c>
      <c r="AB316" s="148">
        <f t="shared" si="497"/>
        <v>5.8673469387755084E-2</v>
      </c>
      <c r="AC316" s="148">
        <f t="shared" si="497"/>
        <v>-6.3725490196078427E-2</v>
      </c>
      <c r="AD316" s="148">
        <f t="shared" si="497"/>
        <v>-2.3696682464454666E-3</v>
      </c>
      <c r="AE316" s="171">
        <f t="shared" si="497"/>
        <v>-7.9787234042553168E-2</v>
      </c>
      <c r="AF316" s="148">
        <f t="shared" si="497"/>
        <v>-4.3373493975903621E-2</v>
      </c>
      <c r="AG316" s="148">
        <f t="shared" si="497"/>
        <v>2.0942408376963373E-2</v>
      </c>
      <c r="AH316" s="148">
        <f t="shared" si="497"/>
        <v>-7.8384798099762509E-2</v>
      </c>
      <c r="AI316" s="171">
        <f t="shared" ref="AI316:AP316" si="498">AI315/AE315-1</f>
        <v>5.2023121387283267E-2</v>
      </c>
      <c r="AJ316" s="148">
        <f t="shared" si="498"/>
        <v>-1.0075566750629705E-2</v>
      </c>
      <c r="AK316" s="148">
        <f t="shared" si="498"/>
        <v>6.4102564102564097E-2</v>
      </c>
      <c r="AL316" s="488">
        <f t="shared" si="498"/>
        <v>0.14690721649484528</v>
      </c>
      <c r="AM316" s="171">
        <f t="shared" si="498"/>
        <v>0.18956043956043955</v>
      </c>
      <c r="AN316" s="148">
        <f t="shared" si="498"/>
        <v>0.12499327745430144</v>
      </c>
      <c r="AO316" s="148">
        <f t="shared" si="498"/>
        <v>0.10682796153776608</v>
      </c>
      <c r="AP316" s="488">
        <f t="shared" si="498"/>
        <v>6.0023410516704789E-2</v>
      </c>
      <c r="AQ316" s="1350"/>
    </row>
    <row r="317" spans="1:46" s="1028" customFormat="1" ht="9.75" hidden="1" customHeight="1" outlineLevel="1">
      <c r="A317" s="1047" t="s">
        <v>15</v>
      </c>
      <c r="B317" s="147"/>
      <c r="C317" s="148">
        <v>0.66</v>
      </c>
      <c r="D317" s="148">
        <v>0.43</v>
      </c>
      <c r="E317" s="148">
        <v>0.4</v>
      </c>
      <c r="F317" s="148">
        <v>0.06</v>
      </c>
      <c r="G317" s="148">
        <v>0.17</v>
      </c>
      <c r="H317" s="148">
        <v>0.15</v>
      </c>
      <c r="I317" s="148">
        <v>0.08</v>
      </c>
      <c r="J317" s="148"/>
      <c r="K317" s="148"/>
      <c r="L317" s="148"/>
      <c r="M317" s="148"/>
      <c r="N317" s="148"/>
      <c r="O317" s="148"/>
      <c r="P317" s="148"/>
      <c r="Q317" s="148"/>
      <c r="R317" s="1018"/>
      <c r="S317" s="5"/>
      <c r="T317" s="5"/>
      <c r="U317" s="5"/>
      <c r="V317" s="5"/>
      <c r="W317" s="148"/>
      <c r="X317" s="148"/>
      <c r="Y317" s="148"/>
      <c r="Z317" s="148"/>
      <c r="AA317" s="171">
        <v>0.2</v>
      </c>
      <c r="AB317" s="148">
        <v>0.27</v>
      </c>
      <c r="AC317" s="148">
        <v>0.1</v>
      </c>
      <c r="AD317" s="148">
        <v>0.12</v>
      </c>
      <c r="AE317" s="171">
        <v>0.14000000000000001</v>
      </c>
      <c r="AF317" s="148">
        <v>0.12</v>
      </c>
      <c r="AG317" s="148">
        <v>0.2</v>
      </c>
      <c r="AH317" s="147">
        <v>12</v>
      </c>
      <c r="AI317" s="171">
        <v>0.1</v>
      </c>
      <c r="AJ317" s="148">
        <v>0.05</v>
      </c>
      <c r="AK317" s="148">
        <v>0.06</v>
      </c>
      <c r="AL317" s="488">
        <v>0.1</v>
      </c>
      <c r="AM317" s="171">
        <v>7.0000000000000007E-2</v>
      </c>
      <c r="AN317" s="500"/>
      <c r="AO317" s="500"/>
      <c r="AP317" s="488"/>
      <c r="AQ317" s="1350"/>
    </row>
    <row r="318" spans="1:46" s="1028" customFormat="1" ht="9.75" hidden="1" customHeight="1" outlineLevel="1">
      <c r="A318" s="1047" t="s">
        <v>18</v>
      </c>
      <c r="B318" s="148">
        <f>B315/B$2</f>
        <v>7.9408975979772447E-3</v>
      </c>
      <c r="C318" s="148">
        <f>C315/C$2</f>
        <v>9.9204316497626607E-3</v>
      </c>
      <c r="D318" s="148">
        <f>D315/D$2</f>
        <v>1.1310500591110405E-2</v>
      </c>
      <c r="E318" s="148">
        <f>E315/E$2</f>
        <v>1.5151250980734025E-2</v>
      </c>
      <c r="F318" s="148">
        <f>F315/F$2</f>
        <v>3.0433116136450746E-2</v>
      </c>
      <c r="G318" s="148">
        <f t="shared" ref="G318:Q318" si="499">G315/G$2</f>
        <v>3.2258064516129031E-2</v>
      </c>
      <c r="H318" s="148">
        <f t="shared" si="499"/>
        <v>3.1349189991343417E-2</v>
      </c>
      <c r="I318" s="148">
        <f t="shared" si="499"/>
        <v>3.2926754770001426E-2</v>
      </c>
      <c r="J318" s="148">
        <f t="shared" si="499"/>
        <v>3.4562578138270253E-2</v>
      </c>
      <c r="K318" s="148">
        <f t="shared" si="499"/>
        <v>3.5540005755149685E-2</v>
      </c>
      <c r="L318" s="148">
        <f t="shared" si="499"/>
        <v>3.3857667235190986E-2</v>
      </c>
      <c r="M318" s="148">
        <f t="shared" si="499"/>
        <v>3.1729179811719993E-2</v>
      </c>
      <c r="N318" s="148">
        <f t="shared" si="499"/>
        <v>3.0362094516609848E-2</v>
      </c>
      <c r="O318" s="148">
        <f t="shared" si="499"/>
        <v>3.0107275768856863E-2</v>
      </c>
      <c r="P318" s="148">
        <f t="shared" si="499"/>
        <v>2.9279739814872491E-2</v>
      </c>
      <c r="Q318" s="148">
        <f t="shared" si="499"/>
        <v>2.4376171274196331E-2</v>
      </c>
      <c r="R318" s="1018"/>
      <c r="S318" s="5"/>
      <c r="T318" s="5"/>
      <c r="U318" s="5"/>
      <c r="V318" s="5"/>
      <c r="W318" s="148">
        <f t="shared" ref="W318:AB318" si="500">W315/W$2</f>
        <v>2.8667658807864024E-2</v>
      </c>
      <c r="X318" s="148">
        <f t="shared" si="500"/>
        <v>2.9369895856746833E-2</v>
      </c>
      <c r="Y318" s="148">
        <f t="shared" si="500"/>
        <v>3.1406358248017859E-2</v>
      </c>
      <c r="Z318" s="148">
        <f t="shared" si="500"/>
        <v>3.2275334608030594E-2</v>
      </c>
      <c r="AA318" s="171">
        <f t="shared" si="500"/>
        <v>3.1503979891076665E-2</v>
      </c>
      <c r="AB318" s="148">
        <f t="shared" si="500"/>
        <v>3.2692610682212069E-2</v>
      </c>
      <c r="AC318" s="148">
        <f t="shared" ref="AC318:AP318" si="501">AC315/AC$2</f>
        <v>3.1145536078271505E-2</v>
      </c>
      <c r="AD318" s="148">
        <f t="shared" si="501"/>
        <v>3.3626198083067091E-2</v>
      </c>
      <c r="AE318" s="171">
        <f t="shared" si="501"/>
        <v>2.9827586206896552E-2</v>
      </c>
      <c r="AF318" s="148">
        <f t="shared" si="501"/>
        <v>3.1836407377706495E-2</v>
      </c>
      <c r="AG318" s="148">
        <f t="shared" si="501"/>
        <v>3.2162295893122216E-2</v>
      </c>
      <c r="AH318" s="148">
        <f t="shared" si="501"/>
        <v>3.1488394741113458E-2</v>
      </c>
      <c r="AI318" s="171">
        <f t="shared" si="501"/>
        <v>3.1545194557587315E-2</v>
      </c>
      <c r="AJ318" s="148">
        <f t="shared" si="501"/>
        <v>3.210259761476883E-2</v>
      </c>
      <c r="AK318" s="148">
        <f t="shared" si="501"/>
        <v>3.3432556238911885E-2</v>
      </c>
      <c r="AL318" s="488">
        <f t="shared" si="501"/>
        <v>3.4456192863057067E-2</v>
      </c>
      <c r="AM318" s="171">
        <f t="shared" si="501"/>
        <v>3.4110603434693555E-2</v>
      </c>
      <c r="AN318" s="148">
        <f t="shared" si="501"/>
        <v>3.3738133279313451E-2</v>
      </c>
      <c r="AO318" s="148">
        <f t="shared" si="501"/>
        <v>3.5093549778302521E-2</v>
      </c>
      <c r="AP318" s="488">
        <f t="shared" si="501"/>
        <v>3.5279943312132307E-2</v>
      </c>
      <c r="AQ318" s="1350"/>
    </row>
    <row r="319" spans="1:46" ht="12.75" customHeight="1" collapsed="1">
      <c r="A319" s="1025" t="s">
        <v>51</v>
      </c>
      <c r="G319" s="4">
        <v>21</v>
      </c>
      <c r="H319" s="4">
        <v>170</v>
      </c>
      <c r="I319" s="107">
        <v>507</v>
      </c>
      <c r="J319" s="107">
        <f t="shared" ref="J319:Q319" si="502">I319+I319*J321</f>
        <v>912.6</v>
      </c>
      <c r="K319" s="107">
        <f t="shared" si="502"/>
        <v>1323.27</v>
      </c>
      <c r="L319" s="107">
        <f t="shared" si="502"/>
        <v>1786.4144999999999</v>
      </c>
      <c r="M319" s="107">
        <f t="shared" si="502"/>
        <v>2233.0181249999996</v>
      </c>
      <c r="N319" s="107">
        <f t="shared" si="502"/>
        <v>2456.3199374999995</v>
      </c>
      <c r="O319" s="107">
        <f t="shared" si="502"/>
        <v>2579.1359343749996</v>
      </c>
      <c r="P319" s="107">
        <f t="shared" si="502"/>
        <v>2708.0927310937495</v>
      </c>
      <c r="Q319" s="107">
        <f t="shared" si="502"/>
        <v>2843.4973676484369</v>
      </c>
      <c r="R319" s="402">
        <f>(N319/J319)^(1/($N$1-$J$1))-1</f>
        <v>0.28085838954470366</v>
      </c>
      <c r="S319" s="1026"/>
      <c r="T319" s="1026"/>
      <c r="U319" s="1026"/>
      <c r="AC319" s="4">
        <v>16</v>
      </c>
      <c r="AD319" s="107">
        <f>G319-AC319-AB319-AA319</f>
        <v>5</v>
      </c>
      <c r="AE319" s="157">
        <v>17</v>
      </c>
      <c r="AF319" s="4">
        <v>32</v>
      </c>
      <c r="AG319" s="4">
        <v>53</v>
      </c>
      <c r="AH319" s="107">
        <f>H319-AE319-AF319-AG319</f>
        <v>68</v>
      </c>
      <c r="AI319" s="157">
        <v>84</v>
      </c>
      <c r="AJ319" s="4">
        <v>110</v>
      </c>
      <c r="AK319" s="4">
        <v>128</v>
      </c>
      <c r="AL319" s="481">
        <f>I319-AI319-AJ319-AK319</f>
        <v>185</v>
      </c>
      <c r="AM319" s="157">
        <v>200</v>
      </c>
      <c r="AN319" s="396">
        <f t="shared" ref="AN319" si="503">AJ319+AJ319*AN321</f>
        <v>220</v>
      </c>
      <c r="AO319" s="396">
        <f t="shared" ref="AO319" si="504">AK319+AK319*AO321</f>
        <v>230.4</v>
      </c>
      <c r="AP319" s="481">
        <f>J319-AM319-AN319-AO319</f>
        <v>262.20000000000005</v>
      </c>
      <c r="AQ319" s="1350"/>
      <c r="AR319" s="1049"/>
      <c r="AS319" s="1049"/>
      <c r="AT319" s="1049"/>
    </row>
    <row r="320" spans="1:46" s="1028" customFormat="1" ht="9.75" hidden="1" customHeight="1" outlineLevel="1">
      <c r="A320" s="1048" t="s">
        <v>14</v>
      </c>
      <c r="B320" s="5"/>
      <c r="C320" s="5"/>
      <c r="D320" s="5"/>
      <c r="E320" s="5"/>
      <c r="F320" s="5"/>
      <c r="G320" s="5"/>
      <c r="H320" s="10">
        <f>H319/G319-1</f>
        <v>7.0952380952380949</v>
      </c>
      <c r="I320" s="10">
        <f>I319/H319-1</f>
        <v>1.9823529411764707</v>
      </c>
      <c r="J320" s="10">
        <f t="shared" ref="J320:Q320" si="505">J319/I319-1</f>
        <v>0.8</v>
      </c>
      <c r="K320" s="10">
        <f t="shared" si="505"/>
        <v>0.44999999999999996</v>
      </c>
      <c r="L320" s="10">
        <f t="shared" si="505"/>
        <v>0.34999999999999987</v>
      </c>
      <c r="M320" s="10">
        <f t="shared" si="505"/>
        <v>0.24999999999999978</v>
      </c>
      <c r="N320" s="10">
        <f t="shared" si="505"/>
        <v>9.9999999999999867E-2</v>
      </c>
      <c r="O320" s="10">
        <f t="shared" si="505"/>
        <v>5.0000000000000044E-2</v>
      </c>
      <c r="P320" s="10">
        <f t="shared" si="505"/>
        <v>5.0000000000000044E-2</v>
      </c>
      <c r="Q320" s="10">
        <f t="shared" si="505"/>
        <v>5.0000000000000044E-2</v>
      </c>
      <c r="R320" s="1018"/>
      <c r="S320" s="5"/>
      <c r="T320" s="5"/>
      <c r="U320" s="5"/>
      <c r="V320" s="5"/>
      <c r="W320" s="5"/>
      <c r="X320" s="5"/>
      <c r="Y320" s="5"/>
      <c r="Z320" s="5"/>
      <c r="AA320" s="172"/>
      <c r="AB320" s="5"/>
      <c r="AC320" s="10"/>
      <c r="AD320" s="10"/>
      <c r="AE320" s="172"/>
      <c r="AF320" s="5"/>
      <c r="AG320" s="10">
        <f t="shared" ref="AG320:AL320" si="506">AG319/AC319-1</f>
        <v>2.3125</v>
      </c>
      <c r="AH320" s="10">
        <f t="shared" si="506"/>
        <v>12.6</v>
      </c>
      <c r="AI320" s="163">
        <f>AI319/AE319-1</f>
        <v>3.9411764705882355</v>
      </c>
      <c r="AJ320" s="428">
        <f>AJ319/AF319-1</f>
        <v>2.4375</v>
      </c>
      <c r="AK320" s="428">
        <f>AK319/AG319-1</f>
        <v>1.4150943396226414</v>
      </c>
      <c r="AL320" s="482">
        <f t="shared" si="506"/>
        <v>1.7205882352941178</v>
      </c>
      <c r="AM320" s="163">
        <f t="shared" ref="AM320" si="507">AM319/AI319-1</f>
        <v>1.3809523809523809</v>
      </c>
      <c r="AN320" s="428">
        <f t="shared" ref="AN320" si="508">AN319/AJ319-1</f>
        <v>1</v>
      </c>
      <c r="AO320" s="428">
        <f t="shared" ref="AO320" si="509">AO319/AK319-1</f>
        <v>0.8</v>
      </c>
      <c r="AP320" s="482">
        <f>AP319/AL319-1</f>
        <v>0.41729729729729748</v>
      </c>
      <c r="AQ320" s="1350"/>
    </row>
    <row r="321" spans="1:43" s="1028" customFormat="1" ht="9.75" hidden="1" customHeight="1" outlineLevel="1">
      <c r="A321" s="1048" t="s">
        <v>15</v>
      </c>
      <c r="B321" s="5"/>
      <c r="C321" s="5"/>
      <c r="D321" s="5"/>
      <c r="E321" s="5"/>
      <c r="F321" s="5"/>
      <c r="G321" s="5"/>
      <c r="H321" s="5"/>
      <c r="I321" s="10">
        <v>1.95</v>
      </c>
      <c r="J321" s="50">
        <v>0.8</v>
      </c>
      <c r="K321" s="50">
        <v>0.45</v>
      </c>
      <c r="L321" s="50">
        <v>0.35</v>
      </c>
      <c r="M321" s="50">
        <v>0.25</v>
      </c>
      <c r="N321" s="50">
        <v>0.1</v>
      </c>
      <c r="O321" s="50">
        <v>0.05</v>
      </c>
      <c r="P321" s="50">
        <v>0.05</v>
      </c>
      <c r="Q321" s="50">
        <v>0.05</v>
      </c>
      <c r="R321" s="1018"/>
      <c r="S321" s="5"/>
      <c r="T321" s="5"/>
      <c r="U321" s="5"/>
      <c r="V321" s="5"/>
      <c r="W321" s="5"/>
      <c r="X321" s="5"/>
      <c r="Y321" s="5"/>
      <c r="Z321" s="5"/>
      <c r="AA321" s="172"/>
      <c r="AB321" s="5"/>
      <c r="AC321" s="10"/>
      <c r="AD321" s="5"/>
      <c r="AE321" s="172"/>
      <c r="AF321" s="5"/>
      <c r="AG321" s="5"/>
      <c r="AH321" s="5"/>
      <c r="AI321" s="172"/>
      <c r="AJ321" s="428">
        <v>2.4</v>
      </c>
      <c r="AK321" s="428">
        <v>1.38</v>
      </c>
      <c r="AL321" s="482">
        <v>1.64</v>
      </c>
      <c r="AM321" s="163">
        <v>1.26</v>
      </c>
      <c r="AN321" s="539">
        <v>1</v>
      </c>
      <c r="AO321" s="539">
        <v>0.8</v>
      </c>
      <c r="AP321" s="497"/>
      <c r="AQ321" s="1350"/>
    </row>
    <row r="322" spans="1:43" ht="12.75" customHeight="1" collapsed="1">
      <c r="A322" s="1025" t="s">
        <v>1476</v>
      </c>
      <c r="I322" s="107"/>
      <c r="J322" s="4">
        <v>50</v>
      </c>
      <c r="K322" s="107">
        <f t="shared" ref="K322:Q322" si="510">J322+J322*K324</f>
        <v>200</v>
      </c>
      <c r="L322" s="107">
        <f t="shared" si="510"/>
        <v>450</v>
      </c>
      <c r="M322" s="107">
        <f t="shared" si="510"/>
        <v>675</v>
      </c>
      <c r="N322" s="107">
        <f t="shared" si="510"/>
        <v>843.75</v>
      </c>
      <c r="O322" s="107">
        <f t="shared" si="510"/>
        <v>928.125</v>
      </c>
      <c r="P322" s="107">
        <f t="shared" si="510"/>
        <v>974.53125</v>
      </c>
      <c r="Q322" s="107">
        <f t="shared" si="510"/>
        <v>1023.2578125</v>
      </c>
      <c r="R322" s="402"/>
      <c r="S322" s="1026"/>
      <c r="T322" s="1026"/>
      <c r="U322" s="1026"/>
      <c r="AD322" s="107"/>
      <c r="AH322" s="107"/>
      <c r="AK322" s="107"/>
      <c r="AL322" s="481"/>
      <c r="AM322" s="157"/>
      <c r="AN322" s="555"/>
      <c r="AO322" s="555"/>
      <c r="AP322" s="481">
        <f>J322-AM322-AN322-AO322</f>
        <v>50</v>
      </c>
      <c r="AQ322" s="1350"/>
    </row>
    <row r="323" spans="1:43" s="1028" customFormat="1" ht="9.75" hidden="1" customHeight="1" outlineLevel="1">
      <c r="A323" s="1048" t="s">
        <v>14</v>
      </c>
      <c r="B323" s="5"/>
      <c r="C323" s="5"/>
      <c r="D323" s="5"/>
      <c r="E323" s="5"/>
      <c r="F323" s="5"/>
      <c r="G323" s="5"/>
      <c r="H323" s="5"/>
      <c r="I323" s="10"/>
      <c r="J323" s="5"/>
      <c r="K323" s="10">
        <f t="shared" ref="K323:Q323" si="511">K322/J322-1</f>
        <v>3</v>
      </c>
      <c r="L323" s="10">
        <f t="shared" si="511"/>
        <v>1.25</v>
      </c>
      <c r="M323" s="10">
        <f t="shared" si="511"/>
        <v>0.5</v>
      </c>
      <c r="N323" s="10">
        <f t="shared" si="511"/>
        <v>0.25</v>
      </c>
      <c r="O323" s="10">
        <f t="shared" si="511"/>
        <v>0.10000000000000009</v>
      </c>
      <c r="P323" s="10">
        <f t="shared" si="511"/>
        <v>5.0000000000000044E-2</v>
      </c>
      <c r="Q323" s="10">
        <f t="shared" si="511"/>
        <v>5.0000000000000044E-2</v>
      </c>
      <c r="R323" s="1018"/>
      <c r="S323" s="5"/>
      <c r="T323" s="5"/>
      <c r="U323" s="5"/>
      <c r="V323" s="5"/>
      <c r="W323" s="5"/>
      <c r="X323" s="5"/>
      <c r="Y323" s="5"/>
      <c r="Z323" s="5"/>
      <c r="AA323" s="172"/>
      <c r="AB323" s="5"/>
      <c r="AC323" s="10"/>
      <c r="AD323" s="10"/>
      <c r="AE323" s="172"/>
      <c r="AF323" s="5"/>
      <c r="AG323" s="5"/>
      <c r="AH323" s="10"/>
      <c r="AI323" s="172"/>
      <c r="AJ323" s="5"/>
      <c r="AK323" s="10"/>
      <c r="AL323" s="482"/>
      <c r="AM323" s="172"/>
      <c r="AN323" s="428"/>
      <c r="AO323" s="428"/>
      <c r="AP323" s="482"/>
      <c r="AQ323" s="1350"/>
    </row>
    <row r="324" spans="1:43" s="1028" customFormat="1" ht="9.75" hidden="1" customHeight="1" outlineLevel="1">
      <c r="A324" s="1048" t="s">
        <v>15</v>
      </c>
      <c r="B324" s="5"/>
      <c r="C324" s="5"/>
      <c r="D324" s="5"/>
      <c r="E324" s="5"/>
      <c r="F324" s="5"/>
      <c r="G324" s="5"/>
      <c r="H324" s="5"/>
      <c r="I324" s="50"/>
      <c r="J324" s="5"/>
      <c r="K324" s="50">
        <v>3</v>
      </c>
      <c r="L324" s="50">
        <v>1.25</v>
      </c>
      <c r="M324" s="50">
        <v>0.5</v>
      </c>
      <c r="N324" s="50">
        <v>0.25</v>
      </c>
      <c r="O324" s="50">
        <v>0.1</v>
      </c>
      <c r="P324" s="50">
        <v>0.05</v>
      </c>
      <c r="Q324" s="50">
        <v>0.05</v>
      </c>
      <c r="R324" s="1018"/>
      <c r="S324" s="5"/>
      <c r="T324" s="5"/>
      <c r="U324" s="5"/>
      <c r="V324" s="5"/>
      <c r="W324" s="5"/>
      <c r="X324" s="5"/>
      <c r="Y324" s="5"/>
      <c r="Z324" s="5"/>
      <c r="AA324" s="172"/>
      <c r="AB324" s="5"/>
      <c r="AC324" s="10"/>
      <c r="AD324" s="5"/>
      <c r="AE324" s="172"/>
      <c r="AF324" s="5"/>
      <c r="AG324" s="5"/>
      <c r="AH324" s="5"/>
      <c r="AI324" s="172"/>
      <c r="AJ324" s="5"/>
      <c r="AK324" s="50"/>
      <c r="AL324" s="497"/>
      <c r="AM324" s="172"/>
      <c r="AN324" s="539"/>
      <c r="AO324" s="539"/>
      <c r="AP324" s="497"/>
      <c r="AQ324" s="1350"/>
    </row>
    <row r="325" spans="1:43" ht="12.75" customHeight="1" collapsed="1">
      <c r="A325" s="1025" t="s">
        <v>29</v>
      </c>
      <c r="H325" s="4">
        <v>14</v>
      </c>
      <c r="I325" s="107">
        <v>17</v>
      </c>
      <c r="J325" s="107">
        <f t="shared" ref="J325:Q325" si="512">I325+I325*J327</f>
        <v>17.510000000000002</v>
      </c>
      <c r="K325" s="107">
        <f t="shared" si="512"/>
        <v>18.035300000000003</v>
      </c>
      <c r="L325" s="107">
        <f t="shared" si="512"/>
        <v>18.576359000000004</v>
      </c>
      <c r="M325" s="107">
        <f t="shared" si="512"/>
        <v>19.133649770000005</v>
      </c>
      <c r="N325" s="107">
        <f t="shared" si="512"/>
        <v>19.707659263100005</v>
      </c>
      <c r="O325" s="107">
        <f t="shared" si="512"/>
        <v>20.298889040993007</v>
      </c>
      <c r="P325" s="107">
        <f t="shared" si="512"/>
        <v>20.907855712222798</v>
      </c>
      <c r="Q325" s="107">
        <f t="shared" si="512"/>
        <v>21.535091383589481</v>
      </c>
      <c r="R325" s="402"/>
      <c r="S325" s="1026"/>
      <c r="T325" s="1026"/>
      <c r="U325" s="1026"/>
      <c r="AD325" s="107"/>
      <c r="AE325" s="157">
        <v>3</v>
      </c>
      <c r="AF325" s="4">
        <v>3</v>
      </c>
      <c r="AG325" s="4">
        <v>4</v>
      </c>
      <c r="AH325" s="107">
        <f>H325-AE325-AF325-AG325</f>
        <v>4</v>
      </c>
      <c r="AI325" s="157">
        <v>4</v>
      </c>
      <c r="AJ325" s="4">
        <v>3</v>
      </c>
      <c r="AK325" s="107">
        <v>5</v>
      </c>
      <c r="AL325" s="481">
        <f>I325-AI325-AJ325-AK325</f>
        <v>5</v>
      </c>
      <c r="AM325" s="157">
        <v>4</v>
      </c>
      <c r="AN325" s="396">
        <f t="shared" ref="AN325" si="513">AJ325+AJ325*AN327</f>
        <v>3.09</v>
      </c>
      <c r="AO325" s="396">
        <f t="shared" ref="AO325" si="514">AK325+AK325*AO327</f>
        <v>5.15</v>
      </c>
      <c r="AP325" s="481">
        <f>J325-AM325-AN325-AO325</f>
        <v>5.2700000000000014</v>
      </c>
      <c r="AQ325" s="1350"/>
    </row>
    <row r="326" spans="1:43" s="1028" customFormat="1" ht="9.75" hidden="1" customHeight="1" outlineLevel="1">
      <c r="A326" s="1048" t="s">
        <v>14</v>
      </c>
      <c r="B326" s="5"/>
      <c r="C326" s="5"/>
      <c r="D326" s="5"/>
      <c r="E326" s="5"/>
      <c r="F326" s="5"/>
      <c r="G326" s="5"/>
      <c r="H326" s="5"/>
      <c r="I326" s="10">
        <f t="shared" ref="I326:Q326" si="515">I325/H325-1</f>
        <v>0.21428571428571419</v>
      </c>
      <c r="J326" s="10">
        <f t="shared" si="515"/>
        <v>3.0000000000000027E-2</v>
      </c>
      <c r="K326" s="10">
        <f t="shared" si="515"/>
        <v>3.0000000000000027E-2</v>
      </c>
      <c r="L326" s="10">
        <f t="shared" si="515"/>
        <v>3.0000000000000027E-2</v>
      </c>
      <c r="M326" s="10">
        <f t="shared" si="515"/>
        <v>3.0000000000000027E-2</v>
      </c>
      <c r="N326" s="10">
        <f t="shared" si="515"/>
        <v>3.0000000000000027E-2</v>
      </c>
      <c r="O326" s="10">
        <f t="shared" si="515"/>
        <v>3.0000000000000027E-2</v>
      </c>
      <c r="P326" s="10">
        <f t="shared" si="515"/>
        <v>3.0000000000000027E-2</v>
      </c>
      <c r="Q326" s="10">
        <f t="shared" si="515"/>
        <v>3.0000000000000027E-2</v>
      </c>
      <c r="R326" s="1018"/>
      <c r="S326" s="5"/>
      <c r="T326" s="5"/>
      <c r="U326" s="5"/>
      <c r="V326" s="5"/>
      <c r="W326" s="5"/>
      <c r="X326" s="5"/>
      <c r="Y326" s="5"/>
      <c r="Z326" s="5"/>
      <c r="AA326" s="172"/>
      <c r="AB326" s="5"/>
      <c r="AC326" s="10"/>
      <c r="AD326" s="10"/>
      <c r="AE326" s="172"/>
      <c r="AF326" s="5"/>
      <c r="AG326" s="5"/>
      <c r="AH326" s="10"/>
      <c r="AI326" s="163">
        <f>AI325/AE325-1</f>
        <v>0.33333333333333326</v>
      </c>
      <c r="AJ326" s="428">
        <f>AJ325/AF325-1</f>
        <v>0</v>
      </c>
      <c r="AK326" s="428">
        <f>AK325/AG325-1</f>
        <v>0.25</v>
      </c>
      <c r="AL326" s="482">
        <f>AL325/AH325-1</f>
        <v>0.25</v>
      </c>
      <c r="AM326" s="163">
        <f t="shared" ref="AM326" si="516">AM325/AI325-1</f>
        <v>0</v>
      </c>
      <c r="AN326" s="428">
        <f t="shared" ref="AN326" si="517">AN325/AJ325-1</f>
        <v>3.0000000000000027E-2</v>
      </c>
      <c r="AO326" s="428">
        <f t="shared" ref="AO326" si="518">AO325/AK325-1</f>
        <v>3.0000000000000027E-2</v>
      </c>
      <c r="AP326" s="482">
        <f>AP325/AL325-1</f>
        <v>5.400000000000027E-2</v>
      </c>
      <c r="AQ326" s="1350"/>
    </row>
    <row r="327" spans="1:43" s="1028" customFormat="1" ht="9.75" hidden="1" customHeight="1" outlineLevel="1">
      <c r="A327" s="1048" t="s">
        <v>15</v>
      </c>
      <c r="B327" s="5"/>
      <c r="C327" s="5"/>
      <c r="D327" s="5"/>
      <c r="E327" s="5"/>
      <c r="F327" s="5"/>
      <c r="G327" s="5"/>
      <c r="H327" s="5"/>
      <c r="I327" s="10">
        <v>0.25</v>
      </c>
      <c r="J327" s="50">
        <v>0.03</v>
      </c>
      <c r="K327" s="50">
        <v>0.03</v>
      </c>
      <c r="L327" s="50">
        <v>0.03</v>
      </c>
      <c r="M327" s="50">
        <v>0.03</v>
      </c>
      <c r="N327" s="50">
        <v>0.03</v>
      </c>
      <c r="O327" s="50">
        <v>0.03</v>
      </c>
      <c r="P327" s="50">
        <v>0.03</v>
      </c>
      <c r="Q327" s="50">
        <v>0.03</v>
      </c>
      <c r="R327" s="1018"/>
      <c r="S327" s="5"/>
      <c r="T327" s="5"/>
      <c r="U327" s="5"/>
      <c r="V327" s="5"/>
      <c r="W327" s="5"/>
      <c r="X327" s="5"/>
      <c r="Y327" s="5"/>
      <c r="Z327" s="5"/>
      <c r="AA327" s="172"/>
      <c r="AB327" s="5"/>
      <c r="AC327" s="10"/>
      <c r="AD327" s="5"/>
      <c r="AE327" s="172"/>
      <c r="AF327" s="5"/>
      <c r="AG327" s="5"/>
      <c r="AH327" s="5"/>
      <c r="AI327" s="172"/>
      <c r="AJ327" s="428">
        <v>0.13</v>
      </c>
      <c r="AK327" s="428">
        <v>0.21</v>
      </c>
      <c r="AL327" s="482">
        <v>0.36</v>
      </c>
      <c r="AM327" s="163">
        <v>0.23</v>
      </c>
      <c r="AN327" s="539">
        <v>0.03</v>
      </c>
      <c r="AO327" s="539">
        <v>0.03</v>
      </c>
      <c r="AP327" s="497"/>
      <c r="AQ327" s="1350"/>
    </row>
    <row r="328" spans="1:43" ht="12.75" customHeight="1" collapsed="1">
      <c r="A328" s="1045" t="s">
        <v>52</v>
      </c>
      <c r="B328" s="146">
        <f>B372+B319</f>
        <v>391</v>
      </c>
      <c r="C328" s="146">
        <f>C372+C319</f>
        <v>677</v>
      </c>
      <c r="D328" s="146">
        <f>D372+D319</f>
        <v>910</v>
      </c>
      <c r="E328" s="146">
        <f>E372+E319</f>
        <v>1200</v>
      </c>
      <c r="F328" s="146">
        <f>F372+F319</f>
        <v>1224</v>
      </c>
      <c r="G328" s="146">
        <f>G372+G319+G325</f>
        <v>1161</v>
      </c>
      <c r="H328" s="146">
        <f>+H319+H325</f>
        <v>184</v>
      </c>
      <c r="I328" s="152">
        <f>+I319+I325+I322</f>
        <v>524</v>
      </c>
      <c r="J328" s="152">
        <f>+J319+J325+J322</f>
        <v>980.11</v>
      </c>
      <c r="K328" s="152">
        <f t="shared" ref="K328:Q328" si="519">+K319+K325+K322</f>
        <v>1541.3053</v>
      </c>
      <c r="L328" s="152">
        <f t="shared" si="519"/>
        <v>2254.9908589999995</v>
      </c>
      <c r="M328" s="152">
        <f t="shared" si="519"/>
        <v>2927.1517747699995</v>
      </c>
      <c r="N328" s="152">
        <f t="shared" si="519"/>
        <v>3319.7775967630996</v>
      </c>
      <c r="O328" s="152">
        <f t="shared" si="519"/>
        <v>3527.5598234159925</v>
      </c>
      <c r="P328" s="152">
        <f t="shared" si="519"/>
        <v>3703.5318368059725</v>
      </c>
      <c r="Q328" s="152">
        <f t="shared" si="519"/>
        <v>3888.2902715320265</v>
      </c>
      <c r="R328" s="402">
        <f>(N328/J328)^(1/($N$1-$J$1))-1</f>
        <v>0.35662102147922603</v>
      </c>
      <c r="S328" s="1026"/>
      <c r="T328" s="1026"/>
      <c r="U328" s="1026"/>
      <c r="W328" s="146">
        <f t="shared" ref="W328:AD328" si="520">W372+W319</f>
        <v>308</v>
      </c>
      <c r="X328" s="146">
        <f t="shared" si="520"/>
        <v>328</v>
      </c>
      <c r="Y328" s="146">
        <f t="shared" si="520"/>
        <v>293</v>
      </c>
      <c r="Z328" s="146">
        <f t="shared" si="520"/>
        <v>295</v>
      </c>
      <c r="AA328" s="170">
        <f t="shared" si="520"/>
        <v>292</v>
      </c>
      <c r="AB328" s="146">
        <f t="shared" si="520"/>
        <v>273</v>
      </c>
      <c r="AC328" s="146">
        <f t="shared" si="520"/>
        <v>297</v>
      </c>
      <c r="AD328" s="152">
        <f t="shared" si="520"/>
        <v>299</v>
      </c>
      <c r="AE328" s="177">
        <f t="shared" ref="AE328:AL328" si="521">+AE319+AE325</f>
        <v>20</v>
      </c>
      <c r="AF328" s="146">
        <f t="shared" si="521"/>
        <v>35</v>
      </c>
      <c r="AG328" s="146">
        <f t="shared" si="521"/>
        <v>57</v>
      </c>
      <c r="AH328" s="152">
        <f t="shared" si="521"/>
        <v>72</v>
      </c>
      <c r="AI328" s="177">
        <f t="shared" si="521"/>
        <v>88</v>
      </c>
      <c r="AJ328" s="146">
        <f t="shared" si="521"/>
        <v>113</v>
      </c>
      <c r="AK328" s="152">
        <f t="shared" si="521"/>
        <v>133</v>
      </c>
      <c r="AL328" s="487">
        <f t="shared" si="521"/>
        <v>190</v>
      </c>
      <c r="AM328" s="177">
        <f t="shared" ref="AM328:AP328" si="522">+AM319+AM325+AM322</f>
        <v>204</v>
      </c>
      <c r="AN328" s="152">
        <f t="shared" si="522"/>
        <v>223.09</v>
      </c>
      <c r="AO328" s="152">
        <f t="shared" si="522"/>
        <v>235.55</v>
      </c>
      <c r="AP328" s="487">
        <f t="shared" si="522"/>
        <v>317.47000000000003</v>
      </c>
      <c r="AQ328" s="1350"/>
    </row>
    <row r="329" spans="1:43" s="1028" customFormat="1" ht="9.75" hidden="1" customHeight="1" outlineLevel="1">
      <c r="A329" s="1047" t="s">
        <v>14</v>
      </c>
      <c r="B329" s="147"/>
      <c r="C329" s="148">
        <f>C328/B328-1</f>
        <v>0.73145780051150888</v>
      </c>
      <c r="D329" s="148">
        <f>D328/C328-1</f>
        <v>0.34416543574593805</v>
      </c>
      <c r="E329" s="148">
        <f>E328/D328-1</f>
        <v>0.31868131868131866</v>
      </c>
      <c r="F329" s="148">
        <f>F328/E328-1</f>
        <v>2.0000000000000018E-2</v>
      </c>
      <c r="G329" s="148">
        <f t="shared" ref="G329:Q329" si="523">G328/F328-1</f>
        <v>-5.1470588235294157E-2</v>
      </c>
      <c r="H329" s="148">
        <f t="shared" si="523"/>
        <v>-0.84151593453919038</v>
      </c>
      <c r="I329" s="148">
        <f t="shared" si="523"/>
        <v>1.847826086956522</v>
      </c>
      <c r="J329" s="148">
        <f t="shared" si="523"/>
        <v>0.87043893129770988</v>
      </c>
      <c r="K329" s="148">
        <f t="shared" si="523"/>
        <v>0.5725839956739549</v>
      </c>
      <c r="L329" s="148">
        <f t="shared" si="523"/>
        <v>0.46303970991340893</v>
      </c>
      <c r="M329" s="148">
        <f t="shared" si="523"/>
        <v>0.29807700243542312</v>
      </c>
      <c r="N329" s="148">
        <f t="shared" si="523"/>
        <v>0.13413237583963356</v>
      </c>
      <c r="O329" s="148">
        <f t="shared" si="523"/>
        <v>6.2589200811369983E-2</v>
      </c>
      <c r="P329" s="148">
        <f t="shared" si="523"/>
        <v>4.9884912573806783E-2</v>
      </c>
      <c r="Q329" s="148">
        <f t="shared" si="523"/>
        <v>4.9887092339779837E-2</v>
      </c>
      <c r="R329" s="1018"/>
      <c r="S329" s="5"/>
      <c r="T329" s="5"/>
      <c r="U329" s="5"/>
      <c r="V329" s="5"/>
      <c r="W329" s="148"/>
      <c r="X329" s="148"/>
      <c r="Y329" s="148"/>
      <c r="Z329" s="148"/>
      <c r="AA329" s="171">
        <f t="shared" ref="AA329:AH329" si="524">AA328/W328-1</f>
        <v>-5.1948051948051965E-2</v>
      </c>
      <c r="AB329" s="148">
        <f t="shared" si="524"/>
        <v>-0.16768292682926833</v>
      </c>
      <c r="AC329" s="148">
        <f t="shared" si="524"/>
        <v>1.3651877133105783E-2</v>
      </c>
      <c r="AD329" s="148">
        <f t="shared" si="524"/>
        <v>1.3559322033898313E-2</v>
      </c>
      <c r="AE329" s="171">
        <f t="shared" si="524"/>
        <v>-0.93150684931506844</v>
      </c>
      <c r="AF329" s="148">
        <f t="shared" si="524"/>
        <v>-0.87179487179487181</v>
      </c>
      <c r="AG329" s="148">
        <f t="shared" si="524"/>
        <v>-0.80808080808080807</v>
      </c>
      <c r="AH329" s="148">
        <f t="shared" si="524"/>
        <v>-0.75919732441471566</v>
      </c>
      <c r="AI329" s="171">
        <f t="shared" ref="AI329:AP329" si="525">AI328/AE328-1</f>
        <v>3.4000000000000004</v>
      </c>
      <c r="AJ329" s="148">
        <f t="shared" si="525"/>
        <v>2.2285714285714286</v>
      </c>
      <c r="AK329" s="148">
        <f t="shared" si="525"/>
        <v>1.3333333333333335</v>
      </c>
      <c r="AL329" s="488">
        <f t="shared" si="525"/>
        <v>1.6388888888888888</v>
      </c>
      <c r="AM329" s="171">
        <f t="shared" si="525"/>
        <v>1.3181818181818183</v>
      </c>
      <c r="AN329" s="148">
        <f t="shared" si="525"/>
        <v>0.97424778761061948</v>
      </c>
      <c r="AO329" s="148">
        <f t="shared" si="525"/>
        <v>0.77105263157894743</v>
      </c>
      <c r="AP329" s="488">
        <f t="shared" si="525"/>
        <v>0.67089473684210543</v>
      </c>
      <c r="AQ329" s="1350"/>
    </row>
    <row r="330" spans="1:43" s="1028" customFormat="1" ht="9.75" hidden="1" customHeight="1" outlineLevel="1">
      <c r="A330" s="1047" t="s">
        <v>15</v>
      </c>
      <c r="B330" s="147"/>
      <c r="C330" s="148">
        <v>0.66</v>
      </c>
      <c r="D330" s="148">
        <v>0.43</v>
      </c>
      <c r="E330" s="148">
        <v>0.4</v>
      </c>
      <c r="F330" s="148">
        <v>0.06</v>
      </c>
      <c r="G330" s="148">
        <v>0.09</v>
      </c>
      <c r="H330" s="148">
        <v>0.2</v>
      </c>
      <c r="I330" s="148">
        <v>1.82</v>
      </c>
      <c r="J330" s="148"/>
      <c r="K330" s="148"/>
      <c r="L330" s="148"/>
      <c r="M330" s="148"/>
      <c r="N330" s="148"/>
      <c r="O330" s="148"/>
      <c r="P330" s="148"/>
      <c r="Q330" s="148"/>
      <c r="R330" s="1018"/>
      <c r="S330" s="5"/>
      <c r="T330" s="5"/>
      <c r="U330" s="5"/>
      <c r="V330" s="5"/>
      <c r="W330" s="148">
        <v>0.2</v>
      </c>
      <c r="X330" s="148">
        <v>0.14000000000000001</v>
      </c>
      <c r="Y330" s="148">
        <v>-0.05</v>
      </c>
      <c r="Z330" s="148">
        <v>-0.01</v>
      </c>
      <c r="AA330" s="171">
        <v>0.09</v>
      </c>
      <c r="AB330" s="148">
        <v>-0.04</v>
      </c>
      <c r="AC330" s="148">
        <v>0.18</v>
      </c>
      <c r="AD330" s="148">
        <v>0.14000000000000001</v>
      </c>
      <c r="AE330" s="171">
        <v>0.1</v>
      </c>
      <c r="AF330" s="148">
        <v>0.25</v>
      </c>
      <c r="AG330" s="148">
        <v>0.19</v>
      </c>
      <c r="AH330" s="147">
        <v>23</v>
      </c>
      <c r="AI330" s="171">
        <v>0.88</v>
      </c>
      <c r="AJ330" s="148">
        <v>2.17</v>
      </c>
      <c r="AK330" s="148">
        <v>1.3</v>
      </c>
      <c r="AL330" s="488">
        <v>1.57</v>
      </c>
      <c r="AM330" s="171">
        <v>1.22</v>
      </c>
      <c r="AN330" s="500"/>
      <c r="AO330" s="500"/>
      <c r="AP330" s="488"/>
      <c r="AQ330" s="1350"/>
    </row>
    <row r="331" spans="1:43" s="1028" customFormat="1" ht="9.75" hidden="1" customHeight="1" outlineLevel="1">
      <c r="A331" s="1047" t="s">
        <v>18</v>
      </c>
      <c r="B331" s="148">
        <f>B328/B$2</f>
        <v>7.7236093552465234E-3</v>
      </c>
      <c r="C331" s="148">
        <f>C328/C$2</f>
        <v>1.1559607963664925E-2</v>
      </c>
      <c r="D331" s="148">
        <f>D328/D$2</f>
        <v>1.6057028920297142E-2</v>
      </c>
      <c r="E331" s="148">
        <f>E328/E$2</f>
        <v>2.0922325865225352E-2</v>
      </c>
      <c r="F331" s="148">
        <f>F328/F$2</f>
        <v>2.3457263319279418E-2</v>
      </c>
      <c r="G331" s="148">
        <f t="shared" ref="G331:Q331" si="526">G328/G$2</f>
        <v>2.3495365685838022E-2</v>
      </c>
      <c r="H331" s="148">
        <f t="shared" si="526"/>
        <v>3.7924069417535761E-3</v>
      </c>
      <c r="I331" s="148">
        <f t="shared" si="526"/>
        <v>1.0670141929177951E-2</v>
      </c>
      <c r="J331" s="148">
        <f t="shared" si="526"/>
        <v>1.8755264652664749E-2</v>
      </c>
      <c r="K331" s="148">
        <f t="shared" si="526"/>
        <v>2.8911380700086878E-2</v>
      </c>
      <c r="L331" s="148">
        <f t="shared" si="526"/>
        <v>4.1011950285739063E-2</v>
      </c>
      <c r="M331" s="148">
        <f t="shared" si="526"/>
        <v>5.1349001186212821E-2</v>
      </c>
      <c r="N331" s="148">
        <f t="shared" si="526"/>
        <v>5.7034403332589516E-2</v>
      </c>
      <c r="O331" s="148">
        <f t="shared" si="526"/>
        <v>6.1162745368591481E-2</v>
      </c>
      <c r="P331" s="148">
        <f t="shared" si="526"/>
        <v>6.3398232845290961E-2</v>
      </c>
      <c r="Q331" s="148">
        <f t="shared" si="526"/>
        <v>6.5840255884545493E-2</v>
      </c>
      <c r="R331" s="1018"/>
      <c r="S331" s="5"/>
      <c r="T331" s="5"/>
      <c r="U331" s="5"/>
      <c r="V331" s="5"/>
      <c r="W331" s="148">
        <f t="shared" ref="W331:AP331" si="527">W328/W$2</f>
        <v>2.4124696483120545E-2</v>
      </c>
      <c r="X331" s="148">
        <f t="shared" si="527"/>
        <v>2.4574810818910615E-2</v>
      </c>
      <c r="Y331" s="148">
        <f t="shared" si="527"/>
        <v>2.2554075898699101E-2</v>
      </c>
      <c r="Z331" s="148">
        <f t="shared" si="527"/>
        <v>2.2562141491395793E-2</v>
      </c>
      <c r="AA331" s="171">
        <f t="shared" si="527"/>
        <v>2.446585672392124E-2</v>
      </c>
      <c r="AB331" s="148">
        <f t="shared" si="527"/>
        <v>2.1506223412635892E-2</v>
      </c>
      <c r="AC331" s="148">
        <f t="shared" si="527"/>
        <v>2.4215246636771302E-2</v>
      </c>
      <c r="AD331" s="148">
        <f t="shared" si="527"/>
        <v>2.3881789137380191E-2</v>
      </c>
      <c r="AE331" s="171">
        <f t="shared" si="527"/>
        <v>1.7241379310344827E-3</v>
      </c>
      <c r="AF331" s="148">
        <f t="shared" si="527"/>
        <v>2.8067361668003207E-3</v>
      </c>
      <c r="AG331" s="148">
        <f t="shared" si="527"/>
        <v>4.7006432459178625E-3</v>
      </c>
      <c r="AH331" s="148">
        <f t="shared" si="527"/>
        <v>5.8432072715468271E-3</v>
      </c>
      <c r="AI331" s="171">
        <f t="shared" si="527"/>
        <v>7.6263107721639654E-3</v>
      </c>
      <c r="AJ331" s="148">
        <f t="shared" si="527"/>
        <v>9.2305178892337861E-3</v>
      </c>
      <c r="AK331" s="148">
        <f t="shared" si="527"/>
        <v>1.0714530071747665E-2</v>
      </c>
      <c r="AL331" s="488">
        <f t="shared" si="527"/>
        <v>1.471163290782212E-2</v>
      </c>
      <c r="AM331" s="171">
        <f t="shared" si="527"/>
        <v>1.6070584528123523E-2</v>
      </c>
      <c r="AN331" s="148">
        <f t="shared" si="527"/>
        <v>1.702388494139196E-2</v>
      </c>
      <c r="AO331" s="148">
        <f t="shared" si="527"/>
        <v>1.7996257137747294E-2</v>
      </c>
      <c r="AP331" s="488">
        <f t="shared" si="527"/>
        <v>2.3744066663590885E-2</v>
      </c>
      <c r="AQ331" s="1350"/>
    </row>
    <row r="332" spans="1:43" ht="12.75" customHeight="1" collapsed="1">
      <c r="A332" s="1025" t="s">
        <v>53</v>
      </c>
      <c r="B332" s="34">
        <f t="shared" ref="B332:Q332" si="528">+B335+B337</f>
        <v>6053</v>
      </c>
      <c r="C332" s="4">
        <f t="shared" si="528"/>
        <v>5665</v>
      </c>
      <c r="D332" s="4">
        <f t="shared" si="528"/>
        <v>4417</v>
      </c>
      <c r="E332" s="34">
        <f t="shared" si="528"/>
        <v>3524</v>
      </c>
      <c r="F332" s="4">
        <f t="shared" si="528"/>
        <v>2345</v>
      </c>
      <c r="G332" s="4">
        <f t="shared" si="528"/>
        <v>1284</v>
      </c>
      <c r="H332" s="4">
        <f t="shared" si="528"/>
        <v>1073</v>
      </c>
      <c r="I332" s="107">
        <f t="shared" si="528"/>
        <v>957</v>
      </c>
      <c r="J332" s="107">
        <f t="shared" si="528"/>
        <v>893.8850013716351</v>
      </c>
      <c r="K332" s="107">
        <f t="shared" si="528"/>
        <v>804.49650123447168</v>
      </c>
      <c r="L332" s="107">
        <f t="shared" si="528"/>
        <v>724.04685111102447</v>
      </c>
      <c r="M332" s="107">
        <f t="shared" si="528"/>
        <v>651.64216599992199</v>
      </c>
      <c r="N332" s="107">
        <f t="shared" si="528"/>
        <v>586.4779493999298</v>
      </c>
      <c r="O332" s="107">
        <f t="shared" si="528"/>
        <v>527.83015445993692</v>
      </c>
      <c r="P332" s="107">
        <f t="shared" si="528"/>
        <v>475.04713901394319</v>
      </c>
      <c r="Q332" s="107">
        <f t="shared" si="528"/>
        <v>427.54242511254887</v>
      </c>
      <c r="R332" s="402">
        <f>(N332/J332)^(1/($N$1-$J$1))-1</f>
        <v>-9.9999999999999978E-2</v>
      </c>
      <c r="S332" s="1026"/>
      <c r="T332" s="1026"/>
      <c r="U332" s="1026"/>
      <c r="W332" s="4">
        <f t="shared" ref="W332:AD332" si="529">+W335+W337</f>
        <v>803</v>
      </c>
      <c r="X332" s="4">
        <f t="shared" si="529"/>
        <v>743</v>
      </c>
      <c r="Y332" s="4">
        <f t="shared" si="529"/>
        <v>420</v>
      </c>
      <c r="Z332" s="4">
        <f t="shared" si="529"/>
        <v>379</v>
      </c>
      <c r="AA332" s="157">
        <f t="shared" si="529"/>
        <v>372</v>
      </c>
      <c r="AB332" s="4">
        <f t="shared" si="529"/>
        <v>333</v>
      </c>
      <c r="AC332" s="4">
        <f t="shared" si="529"/>
        <v>287</v>
      </c>
      <c r="AD332" s="107">
        <f t="shared" si="529"/>
        <v>292</v>
      </c>
      <c r="AE332" s="157">
        <f t="shared" ref="AE332:AP332" si="530">+AE335+AE337</f>
        <v>272</v>
      </c>
      <c r="AF332" s="4">
        <f t="shared" si="530"/>
        <v>283</v>
      </c>
      <c r="AG332" s="4">
        <f t="shared" si="530"/>
        <v>261</v>
      </c>
      <c r="AH332" s="107">
        <f t="shared" si="530"/>
        <v>257</v>
      </c>
      <c r="AI332" s="157">
        <f t="shared" si="530"/>
        <v>242</v>
      </c>
      <c r="AJ332" s="4">
        <f t="shared" si="530"/>
        <v>240</v>
      </c>
      <c r="AK332" s="4">
        <f>+AK335+AK337</f>
        <v>231</v>
      </c>
      <c r="AL332" s="481">
        <f t="shared" si="530"/>
        <v>244</v>
      </c>
      <c r="AM332" s="157">
        <f t="shared" si="530"/>
        <v>265</v>
      </c>
      <c r="AN332" s="396">
        <f t="shared" si="530"/>
        <v>226.52558689251339</v>
      </c>
      <c r="AO332" s="396">
        <f t="shared" si="530"/>
        <v>212.5975768726274</v>
      </c>
      <c r="AP332" s="481">
        <f t="shared" si="530"/>
        <v>189.76183760649434</v>
      </c>
      <c r="AQ332" s="1350"/>
    </row>
    <row r="333" spans="1:43" s="1028" customFormat="1" ht="9.75" hidden="1" customHeight="1" outlineLevel="1">
      <c r="A333" s="1048" t="s">
        <v>14</v>
      </c>
      <c r="B333" s="2"/>
      <c r="C333" s="10">
        <f>C332/B332-1</f>
        <v>-6.4100446059805027E-2</v>
      </c>
      <c r="D333" s="10">
        <f>D332/C332-1</f>
        <v>-0.22030008826125336</v>
      </c>
      <c r="E333" s="2">
        <f>E332/D332-1</f>
        <v>-0.20217342087389634</v>
      </c>
      <c r="F333" s="10">
        <f>F332/E332-1</f>
        <v>-0.33456299659477862</v>
      </c>
      <c r="G333" s="10">
        <f t="shared" ref="G333:Q333" si="531">G332/F332-1</f>
        <v>-0.45245202558635389</v>
      </c>
      <c r="H333" s="10">
        <f t="shared" si="531"/>
        <v>-0.16433021806853587</v>
      </c>
      <c r="I333" s="10">
        <f t="shared" si="531"/>
        <v>-0.10810810810810811</v>
      </c>
      <c r="J333" s="10">
        <f t="shared" si="531"/>
        <v>-6.5950886759001959E-2</v>
      </c>
      <c r="K333" s="10">
        <f t="shared" si="531"/>
        <v>-9.9999999999999867E-2</v>
      </c>
      <c r="L333" s="10">
        <f t="shared" si="531"/>
        <v>-0.10000000000000009</v>
      </c>
      <c r="M333" s="10">
        <f t="shared" si="531"/>
        <v>-0.10000000000000009</v>
      </c>
      <c r="N333" s="10">
        <f t="shared" si="531"/>
        <v>-9.9999999999999978E-2</v>
      </c>
      <c r="O333" s="10">
        <f t="shared" si="531"/>
        <v>-9.9999999999999867E-2</v>
      </c>
      <c r="P333" s="10">
        <f t="shared" si="531"/>
        <v>-0.10000000000000009</v>
      </c>
      <c r="Q333" s="10">
        <f t="shared" si="531"/>
        <v>-9.9999999999999978E-2</v>
      </c>
      <c r="R333" s="1019"/>
      <c r="S333" s="10"/>
      <c r="T333" s="10"/>
      <c r="U333" s="10"/>
      <c r="V333" s="10"/>
      <c r="W333" s="10">
        <v>-0.12527233115468406</v>
      </c>
      <c r="X333" s="10">
        <v>-0.1993534482758621</v>
      </c>
      <c r="Y333" s="10">
        <v>-0.49700598802395213</v>
      </c>
      <c r="Z333" s="10">
        <v>-0.55041518386714117</v>
      </c>
      <c r="AA333" s="163">
        <f t="shared" ref="AA333:AH333" si="532">AA332/W332-1</f>
        <v>-0.53673723536737228</v>
      </c>
      <c r="AB333" s="10">
        <f t="shared" si="532"/>
        <v>-0.5518169582772543</v>
      </c>
      <c r="AC333" s="10">
        <f t="shared" si="532"/>
        <v>-0.31666666666666665</v>
      </c>
      <c r="AD333" s="10">
        <f t="shared" si="532"/>
        <v>-0.22955145118733511</v>
      </c>
      <c r="AE333" s="163">
        <f t="shared" si="532"/>
        <v>-0.26881720430107525</v>
      </c>
      <c r="AF333" s="10">
        <f t="shared" si="532"/>
        <v>-0.1501501501501501</v>
      </c>
      <c r="AG333" s="10">
        <f t="shared" si="532"/>
        <v>-9.0592334494773552E-2</v>
      </c>
      <c r="AH333" s="10">
        <f t="shared" si="532"/>
        <v>-0.11986301369863017</v>
      </c>
      <c r="AI333" s="163">
        <f>AI332/AE332-1</f>
        <v>-0.11029411764705888</v>
      </c>
      <c r="AJ333" s="10">
        <f>AJ332/AF332-1</f>
        <v>-0.15194346289752647</v>
      </c>
      <c r="AK333" s="10">
        <f>AK332/AG332-1</f>
        <v>-0.11494252873563215</v>
      </c>
      <c r="AL333" s="482">
        <f>AL332/AH332-1</f>
        <v>-5.058365758754868E-2</v>
      </c>
      <c r="AM333" s="163">
        <f t="shared" ref="AM333" si="533">AM332/AI332-1</f>
        <v>9.5041322314049603E-2</v>
      </c>
      <c r="AN333" s="428">
        <f t="shared" ref="AN333" si="534">AN332/AJ332-1</f>
        <v>-5.614338794786089E-2</v>
      </c>
      <c r="AO333" s="428">
        <f t="shared" ref="AO333" si="535">AO332/AK332-1</f>
        <v>-7.9664169382565375E-2</v>
      </c>
      <c r="AP333" s="482">
        <f t="shared" ref="AP333" si="536">AP332/AL332-1</f>
        <v>-0.22228755079305595</v>
      </c>
      <c r="AQ333" s="1350"/>
    </row>
    <row r="334" spans="1:43" s="1028" customFormat="1" ht="9.75" hidden="1" customHeight="1" outlineLevel="1">
      <c r="A334" s="1048" t="s">
        <v>15</v>
      </c>
      <c r="B334" s="2"/>
      <c r="C334" s="10">
        <v>-0.09</v>
      </c>
      <c r="D334" s="10">
        <v>-0.21</v>
      </c>
      <c r="E334" s="2">
        <v>-0.16</v>
      </c>
      <c r="F334" s="10">
        <v>-0.32</v>
      </c>
      <c r="G334" s="10">
        <v>-0.4</v>
      </c>
      <c r="H334" s="10">
        <v>-0.13</v>
      </c>
      <c r="I334" s="10">
        <v>-0.09</v>
      </c>
      <c r="J334" s="10">
        <f t="shared" ref="J334:Q334" si="537">J333-((J338-J339)*J337/J332)</f>
        <v>-0.10012412003780782</v>
      </c>
      <c r="K334" s="10">
        <f t="shared" si="537"/>
        <v>-9.9999999999999895E-2</v>
      </c>
      <c r="L334" s="10">
        <f t="shared" si="537"/>
        <v>-0.10000000000000012</v>
      </c>
      <c r="M334" s="10">
        <f t="shared" si="537"/>
        <v>-0.10000000000000012</v>
      </c>
      <c r="N334" s="10">
        <f t="shared" si="537"/>
        <v>-0.1</v>
      </c>
      <c r="O334" s="10">
        <f t="shared" si="537"/>
        <v>-9.9999999999999895E-2</v>
      </c>
      <c r="P334" s="10">
        <f t="shared" si="537"/>
        <v>-0.10000000000000012</v>
      </c>
      <c r="Q334" s="10">
        <f t="shared" si="537"/>
        <v>-0.1</v>
      </c>
      <c r="R334" s="1019"/>
      <c r="S334" s="10"/>
      <c r="T334" s="10"/>
      <c r="U334" s="10"/>
      <c r="V334" s="10"/>
      <c r="W334" s="10">
        <v>-0.1</v>
      </c>
      <c r="X334" s="10">
        <v>-0.19</v>
      </c>
      <c r="Y334" s="10">
        <v>-0.49</v>
      </c>
      <c r="Z334" s="10">
        <v>-0.53</v>
      </c>
      <c r="AA334" s="163">
        <v>-0.5</v>
      </c>
      <c r="AB334" s="10">
        <v>-0.52</v>
      </c>
      <c r="AC334" s="10">
        <v>-0.24</v>
      </c>
      <c r="AD334" s="10">
        <v>-0.16</v>
      </c>
      <c r="AE334" s="163">
        <v>-0.23</v>
      </c>
      <c r="AF334" s="10">
        <v>-0.13</v>
      </c>
      <c r="AG334" s="10">
        <v>-0.08</v>
      </c>
      <c r="AH334" s="10">
        <v>-0.08</v>
      </c>
      <c r="AI334" s="163">
        <v>-0.08</v>
      </c>
      <c r="AJ334" s="10">
        <v>-0.12</v>
      </c>
      <c r="AK334" s="10">
        <v>-0.1</v>
      </c>
      <c r="AL334" s="482">
        <v>-0.06</v>
      </c>
      <c r="AM334" s="163">
        <v>0.03</v>
      </c>
      <c r="AN334" s="428">
        <f t="shared" ref="AN334:AO334" si="538">AN333-((AN338-AN339)*AN337/AN332)</f>
        <v>-0.10019540663931831</v>
      </c>
      <c r="AO334" s="428">
        <f t="shared" si="538"/>
        <v>-0.10004027126217535</v>
      </c>
      <c r="AP334" s="482"/>
      <c r="AQ334" s="1350"/>
    </row>
    <row r="335" spans="1:43" s="1038" customFormat="1" ht="12.75" hidden="1" customHeight="1" outlineLevel="1">
      <c r="A335" s="2" t="s">
        <v>72</v>
      </c>
      <c r="B335" s="34">
        <v>2520</v>
      </c>
      <c r="C335" s="4">
        <v>2333</v>
      </c>
      <c r="D335" s="4">
        <v>2087</v>
      </c>
      <c r="E335" s="34">
        <v>1679</v>
      </c>
      <c r="F335" s="4">
        <v>960</v>
      </c>
      <c r="G335" s="4">
        <v>254</v>
      </c>
      <c r="H335" s="4">
        <v>147</v>
      </c>
      <c r="I335" s="107">
        <v>87</v>
      </c>
      <c r="J335" s="107">
        <f t="shared" ref="J335:Q335" si="539">I335+I335*J336</f>
        <v>78.3</v>
      </c>
      <c r="K335" s="107">
        <f t="shared" si="539"/>
        <v>70.47</v>
      </c>
      <c r="L335" s="107">
        <f t="shared" si="539"/>
        <v>63.423000000000002</v>
      </c>
      <c r="M335" s="107">
        <f t="shared" si="539"/>
        <v>57.0807</v>
      </c>
      <c r="N335" s="107">
        <f t="shared" si="539"/>
        <v>51.372630000000001</v>
      </c>
      <c r="O335" s="107">
        <f t="shared" si="539"/>
        <v>46.235366999999997</v>
      </c>
      <c r="P335" s="107">
        <f t="shared" si="539"/>
        <v>41.611830299999994</v>
      </c>
      <c r="Q335" s="107">
        <f t="shared" si="539"/>
        <v>37.450647269999997</v>
      </c>
      <c r="R335" s="402">
        <f>(N335/J335)^(1/($N$1-$J$1))-1</f>
        <v>-9.9999999999999978E-2</v>
      </c>
      <c r="S335" s="10"/>
      <c r="T335" s="10"/>
      <c r="U335" s="10"/>
      <c r="V335" s="10"/>
      <c r="W335" s="4">
        <v>414</v>
      </c>
      <c r="X335" s="4">
        <v>366</v>
      </c>
      <c r="Y335" s="4">
        <v>97</v>
      </c>
      <c r="Z335" s="4">
        <v>83</v>
      </c>
      <c r="AA335" s="157">
        <v>84</v>
      </c>
      <c r="AB335" s="4">
        <v>70</v>
      </c>
      <c r="AC335" s="4">
        <v>54</v>
      </c>
      <c r="AD335" s="107">
        <f>G335-AC335-AB335-AA335</f>
        <v>46</v>
      </c>
      <c r="AE335" s="157">
        <v>39</v>
      </c>
      <c r="AF335" s="4">
        <v>40</v>
      </c>
      <c r="AG335" s="4">
        <v>31</v>
      </c>
      <c r="AH335" s="107">
        <f>H335-AE335-AF335-AG335</f>
        <v>37</v>
      </c>
      <c r="AI335" s="157">
        <v>23</v>
      </c>
      <c r="AJ335" s="4">
        <v>21</v>
      </c>
      <c r="AK335" s="4">
        <v>19</v>
      </c>
      <c r="AL335" s="481">
        <f>I335-AI335-AJ335-AK335</f>
        <v>24</v>
      </c>
      <c r="AM335" s="157">
        <v>21</v>
      </c>
      <c r="AN335" s="396">
        <f t="shared" ref="AN335" si="540">AJ335+AJ335*AN336</f>
        <v>18.899999999999999</v>
      </c>
      <c r="AO335" s="396">
        <f t="shared" ref="AO335" si="541">AK335+AK335*AO336</f>
        <v>17.100000000000001</v>
      </c>
      <c r="AP335" s="481">
        <f>J335-AM335-AN335-AO335</f>
        <v>21.299999999999997</v>
      </c>
      <c r="AQ335" s="1350"/>
    </row>
    <row r="336" spans="1:43" s="1038" customFormat="1" ht="9.75" hidden="1" customHeight="1" outlineLevel="1">
      <c r="A336" s="2" t="s">
        <v>14</v>
      </c>
      <c r="B336" s="2"/>
      <c r="C336" s="10">
        <f t="shared" ref="C336:I336" si="542">C335/B335-1</f>
        <v>-7.4206349206349165E-2</v>
      </c>
      <c r="D336" s="10">
        <f t="shared" si="542"/>
        <v>-0.1054436348049721</v>
      </c>
      <c r="E336" s="2">
        <f t="shared" si="542"/>
        <v>-0.19549592716818398</v>
      </c>
      <c r="F336" s="10">
        <f t="shared" si="542"/>
        <v>-0.42823108993448478</v>
      </c>
      <c r="G336" s="10">
        <f t="shared" si="542"/>
        <v>-0.73541666666666661</v>
      </c>
      <c r="H336" s="10">
        <f t="shared" si="542"/>
        <v>-0.42125984251968507</v>
      </c>
      <c r="I336" s="10">
        <f t="shared" si="542"/>
        <v>-0.40816326530612246</v>
      </c>
      <c r="J336" s="50">
        <v>-0.1</v>
      </c>
      <c r="K336" s="50">
        <v>-0.1</v>
      </c>
      <c r="L336" s="50">
        <v>-0.1</v>
      </c>
      <c r="M336" s="50">
        <v>-0.1</v>
      </c>
      <c r="N336" s="50">
        <v>-0.1</v>
      </c>
      <c r="O336" s="50">
        <v>-0.1</v>
      </c>
      <c r="P336" s="50">
        <v>-0.1</v>
      </c>
      <c r="Q336" s="50">
        <v>-0.1</v>
      </c>
      <c r="R336" s="1019"/>
      <c r="S336" s="10"/>
      <c r="T336" s="10"/>
      <c r="U336" s="10"/>
      <c r="V336" s="10"/>
      <c r="W336" s="10">
        <v>-3.7209302325581395E-2</v>
      </c>
      <c r="X336" s="10">
        <v>-0.19026548672566368</v>
      </c>
      <c r="Y336" s="10">
        <v>-0.76399026763990263</v>
      </c>
      <c r="Z336" s="10">
        <v>-0.78497409326424872</v>
      </c>
      <c r="AA336" s="163">
        <f t="shared" ref="AA336:AG336" si="543">AA335/W335-1</f>
        <v>-0.79710144927536231</v>
      </c>
      <c r="AB336" s="10">
        <f t="shared" si="543"/>
        <v>-0.80874316939890711</v>
      </c>
      <c r="AC336" s="10">
        <f t="shared" si="543"/>
        <v>-0.44329896907216493</v>
      </c>
      <c r="AD336" s="10">
        <f t="shared" si="543"/>
        <v>-0.44578313253012047</v>
      </c>
      <c r="AE336" s="163">
        <f t="shared" si="543"/>
        <v>-0.5357142857142857</v>
      </c>
      <c r="AF336" s="428">
        <f t="shared" si="543"/>
        <v>-0.4285714285714286</v>
      </c>
      <c r="AG336" s="428">
        <f t="shared" si="543"/>
        <v>-0.42592592592592593</v>
      </c>
      <c r="AH336" s="10">
        <f t="shared" ref="AH336:AM336" si="544">AH335/AD335-1</f>
        <v>-0.19565217391304346</v>
      </c>
      <c r="AI336" s="163">
        <f t="shared" si="544"/>
        <v>-0.41025641025641024</v>
      </c>
      <c r="AJ336" s="10">
        <f t="shared" si="544"/>
        <v>-0.47499999999999998</v>
      </c>
      <c r="AK336" s="10">
        <f t="shared" si="544"/>
        <v>-0.38709677419354838</v>
      </c>
      <c r="AL336" s="482">
        <f t="shared" si="544"/>
        <v>-0.35135135135135132</v>
      </c>
      <c r="AM336" s="163">
        <f t="shared" si="544"/>
        <v>-8.6956521739130488E-2</v>
      </c>
      <c r="AN336" s="539">
        <v>-0.1</v>
      </c>
      <c r="AO336" s="539">
        <v>-0.1</v>
      </c>
      <c r="AP336" s="482">
        <f>AP335/AL335-1</f>
        <v>-0.11250000000000016</v>
      </c>
      <c r="AQ336" s="1350"/>
    </row>
    <row r="337" spans="1:43" s="1038" customFormat="1" ht="12.75" hidden="1" customHeight="1" outlineLevel="1">
      <c r="A337" s="2" t="s">
        <v>73</v>
      </c>
      <c r="B337" s="34">
        <v>3533</v>
      </c>
      <c r="C337" s="4">
        <v>3332</v>
      </c>
      <c r="D337" s="4">
        <v>2330</v>
      </c>
      <c r="E337" s="34">
        <v>1845</v>
      </c>
      <c r="F337" s="4">
        <v>1385</v>
      </c>
      <c r="G337" s="4">
        <v>1030</v>
      </c>
      <c r="H337" s="4">
        <v>926</v>
      </c>
      <c r="I337" s="107">
        <v>870</v>
      </c>
      <c r="J337" s="107">
        <f t="shared" ref="J337:Q337" si="545">I337*(1+J339)*(1+J$32)</f>
        <v>815.58500137163514</v>
      </c>
      <c r="K337" s="107">
        <f t="shared" si="545"/>
        <v>734.02650123447165</v>
      </c>
      <c r="L337" s="107">
        <f t="shared" si="545"/>
        <v>660.62385111102446</v>
      </c>
      <c r="M337" s="107">
        <f t="shared" si="545"/>
        <v>594.56146599992201</v>
      </c>
      <c r="N337" s="107">
        <f t="shared" si="545"/>
        <v>535.10531939992984</v>
      </c>
      <c r="O337" s="107">
        <f t="shared" si="545"/>
        <v>481.59478745993687</v>
      </c>
      <c r="P337" s="107">
        <f t="shared" si="545"/>
        <v>433.43530871394319</v>
      </c>
      <c r="Q337" s="107">
        <f t="shared" si="545"/>
        <v>390.09177784254888</v>
      </c>
      <c r="R337" s="402">
        <f>(N337/J337)^(1/($N$1-$J$1))-1</f>
        <v>-9.9999999999999978E-2</v>
      </c>
      <c r="S337" s="10"/>
      <c r="T337" s="10"/>
      <c r="U337" s="10"/>
      <c r="V337" s="10"/>
      <c r="W337" s="4">
        <v>389</v>
      </c>
      <c r="X337" s="4">
        <v>377</v>
      </c>
      <c r="Y337" s="4">
        <v>323</v>
      </c>
      <c r="Z337" s="4">
        <v>296</v>
      </c>
      <c r="AA337" s="157">
        <v>288</v>
      </c>
      <c r="AB337" s="4">
        <v>263</v>
      </c>
      <c r="AC337" s="4">
        <v>233</v>
      </c>
      <c r="AD337" s="107">
        <f>G337-AC337-AB337-AA337</f>
        <v>246</v>
      </c>
      <c r="AE337" s="157">
        <v>233</v>
      </c>
      <c r="AF337" s="4">
        <v>243</v>
      </c>
      <c r="AG337" s="4">
        <v>230</v>
      </c>
      <c r="AH337" s="107">
        <f>H337-AE337-AF337-AG337</f>
        <v>220</v>
      </c>
      <c r="AI337" s="157">
        <v>219</v>
      </c>
      <c r="AJ337" s="4">
        <v>219</v>
      </c>
      <c r="AK337" s="4">
        <v>212</v>
      </c>
      <c r="AL337" s="481">
        <f>I337-AI337-AJ337-AK337</f>
        <v>220</v>
      </c>
      <c r="AM337" s="157">
        <v>244</v>
      </c>
      <c r="AN337" s="396">
        <f>AJ337*(1+AN339)*(1+AN$32)</f>
        <v>207.62558689251338</v>
      </c>
      <c r="AO337" s="396">
        <f>AK337*(1+AO339)*(1+AO$32)</f>
        <v>195.49757687262741</v>
      </c>
      <c r="AP337" s="481">
        <f>J337-AM337-AN337-AO337</f>
        <v>168.46183760649433</v>
      </c>
      <c r="AQ337" s="1350"/>
    </row>
    <row r="338" spans="1:43" s="1038" customFormat="1" ht="9.75" hidden="1" customHeight="1" outlineLevel="1">
      <c r="A338" s="2" t="s">
        <v>14</v>
      </c>
      <c r="B338" s="2"/>
      <c r="C338" s="10">
        <f>C337/B337-1</f>
        <v>-5.6892159637701667E-2</v>
      </c>
      <c r="D338" s="10">
        <f>D337/C337-1</f>
        <v>-0.30072028811524609</v>
      </c>
      <c r="E338" s="2">
        <f>E337/D337-1</f>
        <v>-0.20815450643776823</v>
      </c>
      <c r="F338" s="10">
        <f>F337/E337-1</f>
        <v>-0.24932249322493227</v>
      </c>
      <c r="G338" s="10">
        <f t="shared" ref="G338:Q338" si="546">G337/F337-1</f>
        <v>-0.2563176895306859</v>
      </c>
      <c r="H338" s="10">
        <f t="shared" si="546"/>
        <v>-0.10097087378640779</v>
      </c>
      <c r="I338" s="10">
        <f t="shared" si="546"/>
        <v>-6.0475161987041059E-2</v>
      </c>
      <c r="J338" s="10">
        <f t="shared" si="546"/>
        <v>-6.2545975434902146E-2</v>
      </c>
      <c r="K338" s="10">
        <f t="shared" si="546"/>
        <v>-9.9999999999999978E-2</v>
      </c>
      <c r="L338" s="10">
        <f t="shared" si="546"/>
        <v>-9.9999999999999978E-2</v>
      </c>
      <c r="M338" s="10">
        <f t="shared" si="546"/>
        <v>-9.9999999999999978E-2</v>
      </c>
      <c r="N338" s="10">
        <f t="shared" si="546"/>
        <v>-9.9999999999999978E-2</v>
      </c>
      <c r="O338" s="10">
        <f t="shared" si="546"/>
        <v>-9.9999999999999978E-2</v>
      </c>
      <c r="P338" s="10">
        <f t="shared" si="546"/>
        <v>-9.9999999999999978E-2</v>
      </c>
      <c r="Q338" s="10">
        <f t="shared" si="546"/>
        <v>-9.9999999999999978E-2</v>
      </c>
      <c r="R338" s="1019"/>
      <c r="S338" s="10"/>
      <c r="T338" s="10"/>
      <c r="U338" s="10"/>
      <c r="V338" s="10"/>
      <c r="W338" s="10">
        <v>-0.20286885245901642</v>
      </c>
      <c r="X338" s="10">
        <v>-0.20798319327731096</v>
      </c>
      <c r="Y338" s="10">
        <v>-0.2382075471698113</v>
      </c>
      <c r="Z338" s="10">
        <v>-0.35229759299781183</v>
      </c>
      <c r="AA338" s="163">
        <f t="shared" ref="AA338:AH338" si="547">AA337/W337-1</f>
        <v>-0.25964010282776351</v>
      </c>
      <c r="AB338" s="10">
        <f t="shared" si="547"/>
        <v>-0.30238726790450932</v>
      </c>
      <c r="AC338" s="10">
        <f t="shared" si="547"/>
        <v>-0.27863777089783281</v>
      </c>
      <c r="AD338" s="10">
        <f t="shared" si="547"/>
        <v>-0.16891891891891897</v>
      </c>
      <c r="AE338" s="163">
        <f t="shared" si="547"/>
        <v>-0.19097222222222221</v>
      </c>
      <c r="AF338" s="10">
        <f t="shared" si="547"/>
        <v>-7.6045627376425839E-2</v>
      </c>
      <c r="AG338" s="10">
        <f t="shared" si="547"/>
        <v>-1.2875536480686733E-2</v>
      </c>
      <c r="AH338" s="10">
        <f t="shared" si="547"/>
        <v>-0.10569105691056913</v>
      </c>
      <c r="AI338" s="163">
        <f>AI337/AE337-1</f>
        <v>-6.0085836909871237E-2</v>
      </c>
      <c r="AJ338" s="10">
        <f>AJ337/AF337-1</f>
        <v>-9.8765432098765427E-2</v>
      </c>
      <c r="AK338" s="10">
        <f>AK337/AG337-1</f>
        <v>-7.8260869565217384E-2</v>
      </c>
      <c r="AL338" s="482">
        <f>AL337/AH337-1</f>
        <v>0</v>
      </c>
      <c r="AM338" s="163">
        <f t="shared" ref="AM338" si="548">AM337/AI337-1</f>
        <v>0.11415525114155245</v>
      </c>
      <c r="AN338" s="428">
        <f t="shared" ref="AN338" si="549">AN337/AJ337-1</f>
        <v>-5.1937959394916078E-2</v>
      </c>
      <c r="AO338" s="428">
        <f t="shared" ref="AO338" si="550">AO337/AK337-1</f>
        <v>-7.7841618525342438E-2</v>
      </c>
      <c r="AP338" s="482">
        <f>AP337/AL337-1</f>
        <v>-0.23426437451593485</v>
      </c>
      <c r="AQ338" s="1350"/>
    </row>
    <row r="339" spans="1:43" s="1038" customFormat="1" ht="9.75" hidden="1" customHeight="1" outlineLevel="1">
      <c r="A339" s="2" t="s">
        <v>15</v>
      </c>
      <c r="B339" s="2"/>
      <c r="C339" s="10">
        <v>-0.11</v>
      </c>
      <c r="D339" s="10">
        <v>-0.28000000000000003</v>
      </c>
      <c r="E339" s="2">
        <v>-0.12</v>
      </c>
      <c r="F339" s="10">
        <v>-0.22</v>
      </c>
      <c r="G339" s="10">
        <v>-0.17</v>
      </c>
      <c r="H339" s="10">
        <v>-0.06</v>
      </c>
      <c r="I339" s="10">
        <v>-0.04</v>
      </c>
      <c r="J339" s="50">
        <v>-0.1</v>
      </c>
      <c r="K339" s="50">
        <v>-0.1</v>
      </c>
      <c r="L339" s="50">
        <v>-0.1</v>
      </c>
      <c r="M339" s="50">
        <v>-0.1</v>
      </c>
      <c r="N339" s="50">
        <v>-0.1</v>
      </c>
      <c r="O339" s="50">
        <v>-0.1</v>
      </c>
      <c r="P339" s="50">
        <v>-0.1</v>
      </c>
      <c r="Q339" s="50">
        <v>-0.1</v>
      </c>
      <c r="R339" s="1019"/>
      <c r="S339" s="10"/>
      <c r="T339" s="10"/>
      <c r="U339" s="10"/>
      <c r="V339" s="10"/>
      <c r="W339" s="10">
        <v>-0.16</v>
      </c>
      <c r="X339" s="10">
        <v>-0.19</v>
      </c>
      <c r="Y339" s="10">
        <v>-0.22</v>
      </c>
      <c r="Z339" s="10">
        <v>-0.31</v>
      </c>
      <c r="AA339" s="163">
        <v>-0.19</v>
      </c>
      <c r="AB339" s="10">
        <v>-0.52</v>
      </c>
      <c r="AC339" s="10">
        <v>-0.18</v>
      </c>
      <c r="AD339" s="10">
        <v>-0.08</v>
      </c>
      <c r="AE339" s="163">
        <v>-0.14000000000000001</v>
      </c>
      <c r="AF339" s="10">
        <v>-0.05</v>
      </c>
      <c r="AG339" s="10">
        <v>0</v>
      </c>
      <c r="AH339" s="10">
        <v>-0.06</v>
      </c>
      <c r="AI339" s="163">
        <v>-0.02</v>
      </c>
      <c r="AJ339" s="10">
        <v>-7.0000000000000007E-2</v>
      </c>
      <c r="AK339" s="10">
        <v>-0.06</v>
      </c>
      <c r="AL339" s="482">
        <v>-0.02</v>
      </c>
      <c r="AM339" s="163">
        <v>0.04</v>
      </c>
      <c r="AN339" s="539">
        <v>-0.1</v>
      </c>
      <c r="AO339" s="539">
        <v>-0.1</v>
      </c>
      <c r="AP339" s="497"/>
      <c r="AQ339" s="1350"/>
    </row>
    <row r="340" spans="1:43" ht="12.75" customHeight="1" collapsed="1">
      <c r="A340" s="1036" t="s">
        <v>54</v>
      </c>
      <c r="B340" s="34">
        <f t="shared" ref="B340:Q340" si="551">+B343+B345</f>
        <v>904</v>
      </c>
      <c r="C340" s="4">
        <f t="shared" si="551"/>
        <v>1209</v>
      </c>
      <c r="D340" s="4">
        <f t="shared" si="551"/>
        <v>1352</v>
      </c>
      <c r="E340" s="34">
        <f t="shared" si="551"/>
        <v>1456</v>
      </c>
      <c r="F340" s="4">
        <f t="shared" si="551"/>
        <v>1396</v>
      </c>
      <c r="G340" s="4">
        <f t="shared" si="551"/>
        <v>1047</v>
      </c>
      <c r="H340" s="4">
        <f t="shared" si="551"/>
        <v>926</v>
      </c>
      <c r="I340" s="4">
        <f t="shared" si="551"/>
        <v>960</v>
      </c>
      <c r="J340" s="107">
        <f t="shared" si="551"/>
        <v>804.62857857304118</v>
      </c>
      <c r="K340" s="107">
        <f t="shared" si="551"/>
        <v>571.64000500112877</v>
      </c>
      <c r="L340" s="107">
        <f t="shared" si="551"/>
        <v>517.2760045010159</v>
      </c>
      <c r="M340" s="107">
        <f t="shared" si="551"/>
        <v>468.34840405091433</v>
      </c>
      <c r="N340" s="107">
        <f t="shared" si="551"/>
        <v>424.31356364582291</v>
      </c>
      <c r="O340" s="107">
        <f t="shared" si="551"/>
        <v>384.68220728124061</v>
      </c>
      <c r="P340" s="107">
        <f t="shared" si="551"/>
        <v>349.01398655311658</v>
      </c>
      <c r="Q340" s="107">
        <f t="shared" si="551"/>
        <v>316.91258789780494</v>
      </c>
      <c r="R340" s="402">
        <f>(N340/J340)^(1/($N$1-$J$1))-1</f>
        <v>-0.14783662408285336</v>
      </c>
      <c r="S340" s="1026"/>
      <c r="T340" s="1026"/>
      <c r="U340" s="1026"/>
      <c r="W340" s="4">
        <f t="shared" ref="W340:AD340" si="552">+W343+W345</f>
        <v>363</v>
      </c>
      <c r="X340" s="4">
        <f t="shared" si="552"/>
        <v>370</v>
      </c>
      <c r="Y340" s="4">
        <f t="shared" si="552"/>
        <v>365</v>
      </c>
      <c r="Z340" s="4">
        <f t="shared" si="552"/>
        <v>298</v>
      </c>
      <c r="AA340" s="157">
        <f t="shared" si="552"/>
        <v>281</v>
      </c>
      <c r="AB340" s="4">
        <f t="shared" si="552"/>
        <v>272</v>
      </c>
      <c r="AC340" s="4">
        <f t="shared" si="552"/>
        <v>245</v>
      </c>
      <c r="AD340" s="107">
        <f t="shared" si="552"/>
        <v>249</v>
      </c>
      <c r="AE340" s="157">
        <f t="shared" ref="AE340:AP340" si="553">+AE343+AE345</f>
        <v>221</v>
      </c>
      <c r="AF340" s="4">
        <f t="shared" si="553"/>
        <v>236</v>
      </c>
      <c r="AG340" s="4">
        <f t="shared" si="553"/>
        <v>232</v>
      </c>
      <c r="AH340" s="107">
        <f t="shared" si="553"/>
        <v>237</v>
      </c>
      <c r="AI340" s="157">
        <f t="shared" si="553"/>
        <v>228</v>
      </c>
      <c r="AJ340" s="4">
        <f t="shared" si="553"/>
        <v>239</v>
      </c>
      <c r="AK340" s="4">
        <f>+AK343+AK345</f>
        <v>244</v>
      </c>
      <c r="AL340" s="481">
        <f t="shared" si="553"/>
        <v>249</v>
      </c>
      <c r="AM340" s="157">
        <f>+AM343+AM345</f>
        <v>248</v>
      </c>
      <c r="AN340" s="396">
        <f t="shared" si="553"/>
        <v>202.19690444585748</v>
      </c>
      <c r="AO340" s="396">
        <f t="shared" si="553"/>
        <v>201.26803236399454</v>
      </c>
      <c r="AP340" s="481">
        <f t="shared" si="553"/>
        <v>153.16364176318913</v>
      </c>
      <c r="AQ340" s="1350"/>
    </row>
    <row r="341" spans="1:43" s="1028" customFormat="1" ht="9.75" hidden="1" customHeight="1" outlineLevel="1">
      <c r="A341" s="1048" t="s">
        <v>14</v>
      </c>
      <c r="B341" s="2"/>
      <c r="C341" s="10">
        <f>C340/B340-1</f>
        <v>0.33738938053097356</v>
      </c>
      <c r="D341" s="10">
        <f>D340/C340-1</f>
        <v>0.11827956989247301</v>
      </c>
      <c r="E341" s="2">
        <f>E340/D340-1</f>
        <v>7.6923076923076872E-2</v>
      </c>
      <c r="F341" s="10">
        <f>F340/E340-1</f>
        <v>-4.1208791208791173E-2</v>
      </c>
      <c r="G341" s="10">
        <f t="shared" ref="G341:Q341" si="554">G340/F340-1</f>
        <v>-0.25</v>
      </c>
      <c r="H341" s="10">
        <f t="shared" si="554"/>
        <v>-0.11556829035339067</v>
      </c>
      <c r="I341" s="10">
        <f t="shared" si="554"/>
        <v>3.6717062634989306E-2</v>
      </c>
      <c r="J341" s="10">
        <f t="shared" si="554"/>
        <v>-0.16184523065308209</v>
      </c>
      <c r="K341" s="10">
        <f t="shared" si="554"/>
        <v>-0.28956040063242994</v>
      </c>
      <c r="L341" s="10">
        <f t="shared" si="554"/>
        <v>-9.5101812372291095E-2</v>
      </c>
      <c r="M341" s="10">
        <f t="shared" si="554"/>
        <v>-9.4587029021960922E-2</v>
      </c>
      <c r="N341" s="10">
        <f t="shared" si="554"/>
        <v>-9.4021544696679227E-2</v>
      </c>
      <c r="O341" s="10">
        <f t="shared" si="554"/>
        <v>-9.3401106540310419E-2</v>
      </c>
      <c r="P341" s="10">
        <f t="shared" si="554"/>
        <v>-9.2721264599709086E-2</v>
      </c>
      <c r="Q341" s="10">
        <f t="shared" si="554"/>
        <v>-9.1977398878328676E-2</v>
      </c>
      <c r="R341" s="1019"/>
      <c r="S341" s="10"/>
      <c r="T341" s="10"/>
      <c r="U341" s="10"/>
      <c r="V341" s="10"/>
      <c r="W341" s="10">
        <v>4.31034482758621E-2</v>
      </c>
      <c r="X341" s="10">
        <v>-1.8567639257294433E-2</v>
      </c>
      <c r="Y341" s="10">
        <v>1.6713091922005541E-2</v>
      </c>
      <c r="Z341" s="10">
        <v>-0.19892473118279574</v>
      </c>
      <c r="AA341" s="163">
        <f t="shared" ref="AA341:AH341" si="555">AA340/W340-1</f>
        <v>-0.22589531680440766</v>
      </c>
      <c r="AB341" s="10">
        <f t="shared" si="555"/>
        <v>-0.26486486486486482</v>
      </c>
      <c r="AC341" s="10">
        <f t="shared" si="555"/>
        <v>-0.32876712328767121</v>
      </c>
      <c r="AD341" s="10">
        <f t="shared" si="555"/>
        <v>-0.16442953020134232</v>
      </c>
      <c r="AE341" s="163">
        <f t="shared" si="555"/>
        <v>-0.21352313167259784</v>
      </c>
      <c r="AF341" s="10">
        <f t="shared" si="555"/>
        <v>-0.13235294117647056</v>
      </c>
      <c r="AG341" s="10">
        <f t="shared" si="555"/>
        <v>-5.3061224489795888E-2</v>
      </c>
      <c r="AH341" s="10">
        <f t="shared" si="555"/>
        <v>-4.8192771084337394E-2</v>
      </c>
      <c r="AI341" s="163">
        <f>AI340/AE340-1</f>
        <v>3.167420814479649E-2</v>
      </c>
      <c r="AJ341" s="10">
        <f>AJ340/AF340-1</f>
        <v>1.2711864406779627E-2</v>
      </c>
      <c r="AK341" s="10">
        <f>AK340/AG340-1</f>
        <v>5.1724137931034475E-2</v>
      </c>
      <c r="AL341" s="482">
        <f>AL340/AH340-1</f>
        <v>5.0632911392405111E-2</v>
      </c>
      <c r="AM341" s="163">
        <f t="shared" ref="AM341" si="556">AM340/AI340-1</f>
        <v>8.7719298245614086E-2</v>
      </c>
      <c r="AN341" s="428">
        <f t="shared" ref="AN341" si="557">AN340/AJ340-1</f>
        <v>-0.15398784750687244</v>
      </c>
      <c r="AO341" s="428">
        <f t="shared" ref="AO341" si="558">AO340/AK340-1</f>
        <v>-0.17513101490166172</v>
      </c>
      <c r="AP341" s="482">
        <f t="shared" ref="AP341" si="559">AP340/AL340-1</f>
        <v>-0.38488497283859791</v>
      </c>
      <c r="AQ341" s="1350"/>
    </row>
    <row r="342" spans="1:43" s="1028" customFormat="1" ht="9.75" hidden="1" customHeight="1" outlineLevel="1">
      <c r="A342" s="1048" t="s">
        <v>15</v>
      </c>
      <c r="B342" s="2"/>
      <c r="C342" s="10">
        <v>0.3</v>
      </c>
      <c r="D342" s="10">
        <v>0.16</v>
      </c>
      <c r="E342" s="2">
        <v>0.12</v>
      </c>
      <c r="F342" s="10">
        <v>-0.02</v>
      </c>
      <c r="G342" s="10">
        <v>-0.15</v>
      </c>
      <c r="H342" s="10">
        <v>-0.08</v>
      </c>
      <c r="I342" s="10">
        <v>0.04</v>
      </c>
      <c r="J342" s="10">
        <f t="shared" ref="J342:Q342" si="560">J341-((J346-J347)*J345/J340)</f>
        <v>-0.19397916356676106</v>
      </c>
      <c r="K342" s="10">
        <f t="shared" si="560"/>
        <v>-0.28956040063242988</v>
      </c>
      <c r="L342" s="10">
        <f t="shared" si="560"/>
        <v>-9.5101812372291122E-2</v>
      </c>
      <c r="M342" s="10">
        <f t="shared" si="560"/>
        <v>-9.458702902196095E-2</v>
      </c>
      <c r="N342" s="10">
        <f t="shared" si="560"/>
        <v>-9.4021544696679255E-2</v>
      </c>
      <c r="O342" s="10">
        <f t="shared" si="560"/>
        <v>-9.3401106540310447E-2</v>
      </c>
      <c r="P342" s="10">
        <f t="shared" si="560"/>
        <v>-9.2721264599709211E-2</v>
      </c>
      <c r="Q342" s="10">
        <f t="shared" si="560"/>
        <v>-9.1977398878328703E-2</v>
      </c>
      <c r="R342" s="1019"/>
      <c r="S342" s="10"/>
      <c r="T342" s="10"/>
      <c r="U342" s="10"/>
      <c r="V342" s="10"/>
      <c r="W342" s="10">
        <v>0.06</v>
      </c>
      <c r="X342" s="10">
        <v>-0.02</v>
      </c>
      <c r="Y342" s="10">
        <v>0.03</v>
      </c>
      <c r="Z342" s="10">
        <v>-0.14000000000000001</v>
      </c>
      <c r="AA342" s="163">
        <v>-0.13</v>
      </c>
      <c r="AB342" s="10">
        <v>-0.16</v>
      </c>
      <c r="AC342" s="10">
        <v>-0.22</v>
      </c>
      <c r="AD342" s="10">
        <v>-7.0000000000000007E-2</v>
      </c>
      <c r="AE342" s="163">
        <v>-0.15</v>
      </c>
      <c r="AF342" s="10">
        <v>-0.11</v>
      </c>
      <c r="AG342" s="10">
        <v>-0.05</v>
      </c>
      <c r="AH342" s="10">
        <v>-0.02</v>
      </c>
      <c r="AI342" s="163">
        <v>0.08</v>
      </c>
      <c r="AJ342" s="10">
        <v>0.03</v>
      </c>
      <c r="AK342" s="10">
        <v>0.04</v>
      </c>
      <c r="AL342" s="482">
        <v>0.01</v>
      </c>
      <c r="AM342" s="163">
        <v>0.01</v>
      </c>
      <c r="AN342" s="428">
        <f t="shared" ref="AN342:AO342" si="561">AN341-((AN346-AN347)*AN345/AN340)</f>
        <v>-0.19565322052926612</v>
      </c>
      <c r="AO342" s="428">
        <f t="shared" si="561"/>
        <v>-0.19414232531479944</v>
      </c>
      <c r="AP342" s="482"/>
      <c r="AQ342" s="1350"/>
    </row>
    <row r="343" spans="1:43" s="1038" customFormat="1" ht="12.75" hidden="1" customHeight="1" outlineLevel="1">
      <c r="A343" s="2" t="s">
        <v>72</v>
      </c>
      <c r="B343" s="34">
        <v>284</v>
      </c>
      <c r="C343" s="4">
        <v>325</v>
      </c>
      <c r="D343" s="4">
        <v>358</v>
      </c>
      <c r="E343" s="34">
        <v>356</v>
      </c>
      <c r="F343" s="4">
        <v>284</v>
      </c>
      <c r="G343" s="4">
        <v>67</v>
      </c>
      <c r="H343" s="4">
        <v>10</v>
      </c>
      <c r="I343" s="4">
        <v>28</v>
      </c>
      <c r="J343" s="107">
        <f t="shared" ref="J343:Q343" si="562">I343+I343*J344</f>
        <v>28</v>
      </c>
      <c r="K343" s="107">
        <f t="shared" si="562"/>
        <v>28</v>
      </c>
      <c r="L343" s="107">
        <f t="shared" si="562"/>
        <v>28</v>
      </c>
      <c r="M343" s="107">
        <f t="shared" si="562"/>
        <v>28</v>
      </c>
      <c r="N343" s="107">
        <f t="shared" si="562"/>
        <v>28</v>
      </c>
      <c r="O343" s="107">
        <f t="shared" si="562"/>
        <v>28</v>
      </c>
      <c r="P343" s="107">
        <f t="shared" si="562"/>
        <v>28</v>
      </c>
      <c r="Q343" s="107">
        <f t="shared" si="562"/>
        <v>28</v>
      </c>
      <c r="R343" s="402">
        <f>(N343/J343)^(1/($N$1-$J$1))-1</f>
        <v>0</v>
      </c>
      <c r="S343" s="10"/>
      <c r="T343" s="10"/>
      <c r="U343" s="10"/>
      <c r="V343" s="10"/>
      <c r="W343" s="4">
        <v>95</v>
      </c>
      <c r="X343" s="4">
        <v>80</v>
      </c>
      <c r="Y343" s="4">
        <v>89</v>
      </c>
      <c r="Z343" s="4">
        <v>20</v>
      </c>
      <c r="AA343" s="157">
        <v>19</v>
      </c>
      <c r="AB343" s="4">
        <v>23</v>
      </c>
      <c r="AC343" s="4">
        <v>16</v>
      </c>
      <c r="AD343" s="107">
        <f>G343-AC343-AB343-AA343</f>
        <v>9</v>
      </c>
      <c r="AE343" s="157"/>
      <c r="AF343" s="4">
        <v>0</v>
      </c>
      <c r="AG343" s="4">
        <v>5</v>
      </c>
      <c r="AH343" s="107">
        <f>H343-AE343-AF343-AG343</f>
        <v>5</v>
      </c>
      <c r="AI343" s="157">
        <v>11</v>
      </c>
      <c r="AJ343" s="4">
        <v>5</v>
      </c>
      <c r="AK343" s="4">
        <v>7</v>
      </c>
      <c r="AL343" s="481">
        <f>I343-AI343-AJ343-AK343</f>
        <v>5</v>
      </c>
      <c r="AM343" s="157">
        <v>4</v>
      </c>
      <c r="AN343" s="396">
        <f t="shared" ref="AN343" si="563">AJ343+AJ343*AN344</f>
        <v>5</v>
      </c>
      <c r="AO343" s="396">
        <f t="shared" ref="AO343" si="564">AK343+AK343*AO344</f>
        <v>7</v>
      </c>
      <c r="AP343" s="481">
        <f>J343-AM343-AN343-AO343</f>
        <v>12</v>
      </c>
      <c r="AQ343" s="1350"/>
    </row>
    <row r="344" spans="1:43" s="1038" customFormat="1" ht="9.75" hidden="1" customHeight="1" outlineLevel="1">
      <c r="A344" s="2" t="s">
        <v>14</v>
      </c>
      <c r="B344" s="2"/>
      <c r="C344" s="10">
        <f t="shared" ref="C344:I344" si="565">C343/B343-1</f>
        <v>0.14436619718309851</v>
      </c>
      <c r="D344" s="10">
        <f t="shared" si="565"/>
        <v>0.10153846153846158</v>
      </c>
      <c r="E344" s="2">
        <f t="shared" si="565"/>
        <v>-5.5865921787709993E-3</v>
      </c>
      <c r="F344" s="10">
        <f t="shared" si="565"/>
        <v>-0.202247191011236</v>
      </c>
      <c r="G344" s="10">
        <f t="shared" si="565"/>
        <v>-0.7640845070422535</v>
      </c>
      <c r="H344" s="10">
        <f t="shared" si="565"/>
        <v>-0.85074626865671643</v>
      </c>
      <c r="I344" s="10">
        <f t="shared" si="565"/>
        <v>1.7999999999999998</v>
      </c>
      <c r="J344" s="50">
        <v>0</v>
      </c>
      <c r="K344" s="50">
        <v>0</v>
      </c>
      <c r="L344" s="50">
        <v>0</v>
      </c>
      <c r="M344" s="50">
        <v>0</v>
      </c>
      <c r="N344" s="50">
        <v>0</v>
      </c>
      <c r="O344" s="50">
        <v>0</v>
      </c>
      <c r="P344" s="50">
        <v>0</v>
      </c>
      <c r="Q344" s="50">
        <v>0</v>
      </c>
      <c r="R344" s="1019"/>
      <c r="S344" s="10"/>
      <c r="T344" s="10"/>
      <c r="U344" s="10"/>
      <c r="V344" s="10"/>
      <c r="W344" s="10">
        <v>0.10465116279069764</v>
      </c>
      <c r="X344" s="10">
        <v>-0.13978494623655913</v>
      </c>
      <c r="Y344" s="10">
        <v>0</v>
      </c>
      <c r="Z344" s="10">
        <v>-0.77272727272727271</v>
      </c>
      <c r="AA344" s="163">
        <f t="shared" ref="AA344:AG344" si="566">AA343/W343-1</f>
        <v>-0.8</v>
      </c>
      <c r="AB344" s="10">
        <f t="shared" si="566"/>
        <v>-0.71250000000000002</v>
      </c>
      <c r="AC344" s="10">
        <f t="shared" si="566"/>
        <v>-0.8202247191011236</v>
      </c>
      <c r="AD344" s="10">
        <f t="shared" si="566"/>
        <v>-0.55000000000000004</v>
      </c>
      <c r="AE344" s="163">
        <f t="shared" si="566"/>
        <v>-1</v>
      </c>
      <c r="AF344" s="428">
        <f t="shared" si="566"/>
        <v>-1</v>
      </c>
      <c r="AG344" s="428">
        <f t="shared" si="566"/>
        <v>-0.6875</v>
      </c>
      <c r="AH344" s="10">
        <f>AH343/AD343-1</f>
        <v>-0.44444444444444442</v>
      </c>
      <c r="AI344" s="163"/>
      <c r="AJ344" s="428"/>
      <c r="AK344" s="10">
        <f>AK343/AG343-1</f>
        <v>0.39999999999999991</v>
      </c>
      <c r="AL344" s="482">
        <f>AL343/AH343-1</f>
        <v>0</v>
      </c>
      <c r="AM344" s="163">
        <f>AM343/AI343-1</f>
        <v>-0.63636363636363635</v>
      </c>
      <c r="AN344" s="539">
        <v>0</v>
      </c>
      <c r="AO344" s="539">
        <v>0</v>
      </c>
      <c r="AP344" s="482">
        <f>AP343/AL343-1</f>
        <v>1.4</v>
      </c>
      <c r="AQ344" s="1350"/>
    </row>
    <row r="345" spans="1:43" s="1038" customFormat="1" ht="12.75" hidden="1" customHeight="1" outlineLevel="1">
      <c r="A345" s="2" t="s">
        <v>73</v>
      </c>
      <c r="B345" s="34">
        <v>620</v>
      </c>
      <c r="C345" s="4">
        <v>884</v>
      </c>
      <c r="D345" s="4">
        <v>994</v>
      </c>
      <c r="E345" s="34">
        <v>1100</v>
      </c>
      <c r="F345" s="4">
        <v>1112</v>
      </c>
      <c r="G345" s="4">
        <v>980</v>
      </c>
      <c r="H345" s="4">
        <v>916</v>
      </c>
      <c r="I345" s="4">
        <v>932</v>
      </c>
      <c r="J345" s="107">
        <f t="shared" ref="J345:Q345" si="567">I345*(1+J347)*(1+J$32)</f>
        <v>776.62857857304118</v>
      </c>
      <c r="K345" s="107">
        <f t="shared" si="567"/>
        <v>543.64000500112877</v>
      </c>
      <c r="L345" s="107">
        <f t="shared" si="567"/>
        <v>489.2760045010159</v>
      </c>
      <c r="M345" s="107">
        <f t="shared" si="567"/>
        <v>440.34840405091433</v>
      </c>
      <c r="N345" s="107">
        <f t="shared" si="567"/>
        <v>396.31356364582291</v>
      </c>
      <c r="O345" s="107">
        <f t="shared" si="567"/>
        <v>356.68220728124061</v>
      </c>
      <c r="P345" s="107">
        <f t="shared" si="567"/>
        <v>321.01398655311658</v>
      </c>
      <c r="Q345" s="107">
        <f t="shared" si="567"/>
        <v>288.91258789780494</v>
      </c>
      <c r="R345" s="402">
        <f>(N345/J345)^(1/($N$1-$J$1))-1</f>
        <v>-0.15480602582162273</v>
      </c>
      <c r="S345" s="10"/>
      <c r="T345" s="10"/>
      <c r="U345" s="10"/>
      <c r="V345" s="10"/>
      <c r="W345" s="4">
        <v>268</v>
      </c>
      <c r="X345" s="4">
        <v>290</v>
      </c>
      <c r="Y345" s="4">
        <v>276</v>
      </c>
      <c r="Z345" s="4">
        <v>278</v>
      </c>
      <c r="AA345" s="157">
        <v>262</v>
      </c>
      <c r="AB345" s="4">
        <v>249</v>
      </c>
      <c r="AC345" s="4">
        <v>229</v>
      </c>
      <c r="AD345" s="107">
        <f>G345-AC345-AB345-AA345</f>
        <v>240</v>
      </c>
      <c r="AE345" s="157">
        <v>221</v>
      </c>
      <c r="AF345" s="4">
        <v>236</v>
      </c>
      <c r="AG345" s="4">
        <v>227</v>
      </c>
      <c r="AH345" s="107">
        <f>H345-AE345-AF345-AG345</f>
        <v>232</v>
      </c>
      <c r="AI345" s="157">
        <v>217</v>
      </c>
      <c r="AJ345" s="4">
        <v>234</v>
      </c>
      <c r="AK345" s="4">
        <v>237</v>
      </c>
      <c r="AL345" s="481">
        <f>I345-AI345-AJ345-AK345</f>
        <v>244</v>
      </c>
      <c r="AM345" s="157">
        <v>244</v>
      </c>
      <c r="AN345" s="396">
        <f>AJ345*(1+AN347)*(1+AN$32)</f>
        <v>197.19690444585748</v>
      </c>
      <c r="AO345" s="396">
        <f>AK345*(1+AO347)*(1+AO$32)</f>
        <v>194.26803236399454</v>
      </c>
      <c r="AP345" s="481">
        <f>J345-AM345-AN345-AO345</f>
        <v>141.16364176318913</v>
      </c>
      <c r="AQ345" s="1350"/>
    </row>
    <row r="346" spans="1:43" s="1038" customFormat="1" ht="9.75" hidden="1" customHeight="1" outlineLevel="1">
      <c r="A346" s="2" t="s">
        <v>14</v>
      </c>
      <c r="B346" s="2"/>
      <c r="C346" s="10">
        <f>C345/B345-1</f>
        <v>0.4258064516129032</v>
      </c>
      <c r="D346" s="10">
        <f>D345/C345-1</f>
        <v>0.1244343891402715</v>
      </c>
      <c r="E346" s="2">
        <f>E345/D345-1</f>
        <v>0.10663983903420515</v>
      </c>
      <c r="F346" s="10">
        <f>F345/E345-1</f>
        <v>1.0909090909090979E-2</v>
      </c>
      <c r="G346" s="10">
        <f t="shared" ref="G346:Q346" si="568">G345/F345-1</f>
        <v>-0.11870503597122306</v>
      </c>
      <c r="H346" s="10">
        <f t="shared" si="568"/>
        <v>-6.5306122448979598E-2</v>
      </c>
      <c r="I346" s="10">
        <f t="shared" si="568"/>
        <v>1.7467248908296984E-2</v>
      </c>
      <c r="J346" s="10">
        <f t="shared" si="568"/>
        <v>-0.16670753371991287</v>
      </c>
      <c r="K346" s="10">
        <f t="shared" si="568"/>
        <v>-0.30000000000000004</v>
      </c>
      <c r="L346" s="10">
        <f t="shared" si="568"/>
        <v>-9.9999999999999978E-2</v>
      </c>
      <c r="M346" s="10">
        <f t="shared" si="568"/>
        <v>-9.9999999999999978E-2</v>
      </c>
      <c r="N346" s="10">
        <f t="shared" si="568"/>
        <v>-9.9999999999999978E-2</v>
      </c>
      <c r="O346" s="10">
        <f t="shared" si="568"/>
        <v>-9.9999999999999978E-2</v>
      </c>
      <c r="P346" s="10">
        <f t="shared" si="568"/>
        <v>-9.9999999999999867E-2</v>
      </c>
      <c r="Q346" s="10">
        <f t="shared" si="568"/>
        <v>-9.9999999999999978E-2</v>
      </c>
      <c r="R346" s="1019"/>
      <c r="S346" s="10"/>
      <c r="T346" s="10"/>
      <c r="U346" s="10"/>
      <c r="V346" s="10"/>
      <c r="W346" s="10">
        <v>2.2900763358778553E-2</v>
      </c>
      <c r="X346" s="10">
        <v>2.1126760563380254E-2</v>
      </c>
      <c r="Y346" s="10">
        <v>2.2222222222222143E-2</v>
      </c>
      <c r="Z346" s="10">
        <v>-2.1126760563380254E-2</v>
      </c>
      <c r="AA346" s="163">
        <f t="shared" ref="AA346:AH346" si="569">AA345/W345-1</f>
        <v>-2.2388059701492491E-2</v>
      </c>
      <c r="AB346" s="10">
        <f t="shared" si="569"/>
        <v>-0.14137931034482754</v>
      </c>
      <c r="AC346" s="10">
        <f t="shared" si="569"/>
        <v>-0.17028985507246375</v>
      </c>
      <c r="AD346" s="10">
        <f t="shared" si="569"/>
        <v>-0.13669064748201443</v>
      </c>
      <c r="AE346" s="163">
        <f t="shared" si="569"/>
        <v>-0.15648854961832059</v>
      </c>
      <c r="AF346" s="10">
        <f t="shared" si="569"/>
        <v>-5.2208835341365445E-2</v>
      </c>
      <c r="AG346" s="10">
        <f t="shared" si="569"/>
        <v>-8.733624454148492E-3</v>
      </c>
      <c r="AH346" s="10">
        <f t="shared" si="569"/>
        <v>-3.3333333333333326E-2</v>
      </c>
      <c r="AI346" s="163">
        <f>AI345/AE345-1</f>
        <v>-1.8099547511312264E-2</v>
      </c>
      <c r="AJ346" s="10">
        <f>AJ345/AF345-1</f>
        <v>-8.4745762711864181E-3</v>
      </c>
      <c r="AK346" s="10">
        <f>AK345/AG345-1</f>
        <v>4.4052863436123246E-2</v>
      </c>
      <c r="AL346" s="482">
        <f>AL345/AH345-1</f>
        <v>5.1724137931034475E-2</v>
      </c>
      <c r="AM346" s="163">
        <f t="shared" ref="AM346" si="570">AM345/AI345-1</f>
        <v>0.12442396313364057</v>
      </c>
      <c r="AN346" s="428">
        <f t="shared" ref="AN346" si="571">AN345/AJ345-1</f>
        <v>-0.15727818612881417</v>
      </c>
      <c r="AO346" s="428">
        <f t="shared" ref="AO346" si="572">AO345/AK345-1</f>
        <v>-0.18030366091141548</v>
      </c>
      <c r="AP346" s="482">
        <f>AP345/AL345-1</f>
        <v>-0.42146048457709373</v>
      </c>
      <c r="AQ346" s="1350"/>
    </row>
    <row r="347" spans="1:43" s="1038" customFormat="1" ht="9.75" hidden="1" customHeight="1" outlineLevel="1">
      <c r="A347" s="2" t="s">
        <v>15</v>
      </c>
      <c r="B347" s="2"/>
      <c r="C347" s="10">
        <v>0.36</v>
      </c>
      <c r="D347" s="10">
        <v>0.18</v>
      </c>
      <c r="E347" s="2">
        <v>0.16</v>
      </c>
      <c r="F347" s="10">
        <v>0.04</v>
      </c>
      <c r="G347" s="10">
        <v>0.01</v>
      </c>
      <c r="H347" s="10">
        <v>-0.03</v>
      </c>
      <c r="I347" s="10">
        <v>0.02</v>
      </c>
      <c r="J347" s="50">
        <v>-0.2</v>
      </c>
      <c r="K347" s="50">
        <v>-0.3</v>
      </c>
      <c r="L347" s="50">
        <v>-0.1</v>
      </c>
      <c r="M347" s="50">
        <v>-0.1</v>
      </c>
      <c r="N347" s="50">
        <v>-0.1</v>
      </c>
      <c r="O347" s="50">
        <v>-0.1</v>
      </c>
      <c r="P347" s="50">
        <v>-0.1</v>
      </c>
      <c r="Q347" s="50">
        <v>-0.1</v>
      </c>
      <c r="R347" s="1019"/>
      <c r="S347" s="10"/>
      <c r="T347" s="10"/>
      <c r="U347" s="10"/>
      <c r="V347" s="10"/>
      <c r="W347" s="10">
        <v>0.05</v>
      </c>
      <c r="X347" s="10">
        <v>0.02</v>
      </c>
      <c r="Y347" s="10">
        <v>0.04</v>
      </c>
      <c r="Z347" s="10">
        <v>-0.10944091818982615</v>
      </c>
      <c r="AA347" s="163">
        <v>0.11</v>
      </c>
      <c r="AB347" s="10">
        <v>-0.01</v>
      </c>
      <c r="AC347" s="10">
        <v>-0.03</v>
      </c>
      <c r="AD347" s="10">
        <v>-0.03</v>
      </c>
      <c r="AE347" s="163">
        <v>-0.09</v>
      </c>
      <c r="AF347" s="10">
        <v>-0.03</v>
      </c>
      <c r="AG347" s="10">
        <v>-0.01</v>
      </c>
      <c r="AH347" s="10">
        <v>0</v>
      </c>
      <c r="AI347" s="163">
        <v>0.03</v>
      </c>
      <c r="AJ347" s="10">
        <v>0</v>
      </c>
      <c r="AK347" s="10">
        <v>0.04</v>
      </c>
      <c r="AL347" s="482">
        <v>0.01</v>
      </c>
      <c r="AM347" s="163">
        <v>0.04</v>
      </c>
      <c r="AN347" s="539">
        <v>-0.2</v>
      </c>
      <c r="AO347" s="539">
        <v>-0.2</v>
      </c>
      <c r="AP347" s="497"/>
      <c r="AQ347" s="1350"/>
    </row>
    <row r="348" spans="1:43" ht="12.75" customHeight="1" collapsed="1">
      <c r="A348" s="1025" t="s">
        <v>55</v>
      </c>
      <c r="B348" s="34">
        <v>791</v>
      </c>
      <c r="C348" s="4">
        <f t="shared" ref="C348:Q348" si="573">+C351+C353</f>
        <v>794</v>
      </c>
      <c r="D348" s="4">
        <f t="shared" si="573"/>
        <v>759</v>
      </c>
      <c r="E348" s="34">
        <f t="shared" si="573"/>
        <v>675</v>
      </c>
      <c r="F348" s="4">
        <f t="shared" si="573"/>
        <v>632</v>
      </c>
      <c r="G348" s="4">
        <f t="shared" si="573"/>
        <v>558</v>
      </c>
      <c r="H348" s="4">
        <f t="shared" si="573"/>
        <v>525</v>
      </c>
      <c r="I348" s="107">
        <f t="shared" si="573"/>
        <v>465</v>
      </c>
      <c r="J348" s="107">
        <f t="shared" si="573"/>
        <v>484.35124602530061</v>
      </c>
      <c r="K348" s="107">
        <f t="shared" si="573"/>
        <v>484.35124602530061</v>
      </c>
      <c r="L348" s="107">
        <f t="shared" si="573"/>
        <v>484.35124602530061</v>
      </c>
      <c r="M348" s="107">
        <f t="shared" si="573"/>
        <v>484.35124602530061</v>
      </c>
      <c r="N348" s="107">
        <f t="shared" si="573"/>
        <v>484.35124602530061</v>
      </c>
      <c r="O348" s="107">
        <f t="shared" si="573"/>
        <v>484.35124602530061</v>
      </c>
      <c r="P348" s="107">
        <f t="shared" si="573"/>
        <v>484.35124602530061</v>
      </c>
      <c r="Q348" s="107">
        <f t="shared" si="573"/>
        <v>484.35124602530061</v>
      </c>
      <c r="R348" s="402">
        <f>(N348/J348)^(1/($N$1-$J$1))-1</f>
        <v>0</v>
      </c>
      <c r="S348" s="1026"/>
      <c r="T348" s="1026"/>
      <c r="U348" s="1026"/>
      <c r="W348" s="4">
        <f t="shared" ref="W348:AD348" si="574">+W351+W353</f>
        <v>148</v>
      </c>
      <c r="X348" s="4">
        <f t="shared" si="574"/>
        <v>161</v>
      </c>
      <c r="Y348" s="4">
        <f t="shared" si="574"/>
        <v>151</v>
      </c>
      <c r="Z348" s="4">
        <f t="shared" si="574"/>
        <v>172</v>
      </c>
      <c r="AA348" s="157">
        <f t="shared" si="574"/>
        <v>134</v>
      </c>
      <c r="AB348" s="4">
        <f t="shared" si="574"/>
        <v>136</v>
      </c>
      <c r="AC348" s="4">
        <f t="shared" si="574"/>
        <v>148</v>
      </c>
      <c r="AD348" s="107">
        <f t="shared" si="574"/>
        <v>140</v>
      </c>
      <c r="AE348" s="157">
        <f t="shared" ref="AE348:AP348" si="575">+AE351+AE353</f>
        <v>124</v>
      </c>
      <c r="AF348" s="4">
        <f t="shared" si="575"/>
        <v>134</v>
      </c>
      <c r="AG348" s="4">
        <f t="shared" si="575"/>
        <v>131</v>
      </c>
      <c r="AH348" s="107">
        <f t="shared" si="575"/>
        <v>136</v>
      </c>
      <c r="AI348" s="157">
        <f t="shared" si="575"/>
        <v>119</v>
      </c>
      <c r="AJ348" s="4">
        <f t="shared" si="575"/>
        <v>109</v>
      </c>
      <c r="AK348" s="4">
        <v>118</v>
      </c>
      <c r="AL348" s="481">
        <f t="shared" si="575"/>
        <v>119</v>
      </c>
      <c r="AM348" s="157">
        <v>115</v>
      </c>
      <c r="AN348" s="396">
        <f t="shared" si="575"/>
        <v>114.82084713994907</v>
      </c>
      <c r="AO348" s="396">
        <f t="shared" si="575"/>
        <v>120.90521001556621</v>
      </c>
      <c r="AP348" s="481">
        <f t="shared" si="575"/>
        <v>133.62518886978532</v>
      </c>
      <c r="AQ348" s="1350"/>
    </row>
    <row r="349" spans="1:43" s="1028" customFormat="1" ht="9.75" hidden="1" customHeight="1" outlineLevel="1">
      <c r="A349" s="1048" t="s">
        <v>14</v>
      </c>
      <c r="B349" s="2"/>
      <c r="C349" s="10">
        <f>C348/B348-1</f>
        <v>3.7926675094817064E-3</v>
      </c>
      <c r="D349" s="10">
        <f>D348/C348-1</f>
        <v>-4.4080604534005086E-2</v>
      </c>
      <c r="E349" s="2">
        <f>E348/D348-1</f>
        <v>-0.11067193675889331</v>
      </c>
      <c r="F349" s="10">
        <f>F348/E348-1</f>
        <v>-6.3703703703703707E-2</v>
      </c>
      <c r="G349" s="10">
        <f t="shared" ref="G349:Q349" si="576">G348/F348-1</f>
        <v>-0.11708860759493667</v>
      </c>
      <c r="H349" s="10">
        <f t="shared" si="576"/>
        <v>-5.9139784946236507E-2</v>
      </c>
      <c r="I349" s="10">
        <f t="shared" si="576"/>
        <v>-0.11428571428571432</v>
      </c>
      <c r="J349" s="10">
        <f t="shared" si="576"/>
        <v>4.1615582850108801E-2</v>
      </c>
      <c r="K349" s="10">
        <f t="shared" si="576"/>
        <v>0</v>
      </c>
      <c r="L349" s="10">
        <f t="shared" si="576"/>
        <v>0</v>
      </c>
      <c r="M349" s="10">
        <f t="shared" si="576"/>
        <v>0</v>
      </c>
      <c r="N349" s="10">
        <f t="shared" si="576"/>
        <v>0</v>
      </c>
      <c r="O349" s="10">
        <f t="shared" si="576"/>
        <v>0</v>
      </c>
      <c r="P349" s="10">
        <f t="shared" si="576"/>
        <v>0</v>
      </c>
      <c r="Q349" s="10">
        <f t="shared" si="576"/>
        <v>0</v>
      </c>
      <c r="R349" s="1019"/>
      <c r="S349" s="10"/>
      <c r="T349" s="10"/>
      <c r="U349" s="10"/>
      <c r="V349" s="10"/>
      <c r="W349" s="10">
        <v>-4.5161290322580649E-2</v>
      </c>
      <c r="X349" s="10">
        <v>-9.0395480225988756E-2</v>
      </c>
      <c r="Y349" s="10">
        <v>-9.5808383233532912E-2</v>
      </c>
      <c r="Z349" s="10">
        <v>-2.2727272727272707E-2</v>
      </c>
      <c r="AA349" s="163">
        <f t="shared" ref="AA349:AH349" si="577">AA348/W348-1</f>
        <v>-9.4594594594594628E-2</v>
      </c>
      <c r="AB349" s="10">
        <f t="shared" si="577"/>
        <v>-0.15527950310559002</v>
      </c>
      <c r="AC349" s="10">
        <f t="shared" si="577"/>
        <v>-1.9867549668874163E-2</v>
      </c>
      <c r="AD349" s="10">
        <f t="shared" si="577"/>
        <v>-0.18604651162790697</v>
      </c>
      <c r="AE349" s="163">
        <f t="shared" si="577"/>
        <v>-7.4626865671641784E-2</v>
      </c>
      <c r="AF349" s="10">
        <f t="shared" si="577"/>
        <v>-1.4705882352941124E-2</v>
      </c>
      <c r="AG349" s="10">
        <f t="shared" si="577"/>
        <v>-0.11486486486486491</v>
      </c>
      <c r="AH349" s="10">
        <f t="shared" si="577"/>
        <v>-2.8571428571428581E-2</v>
      </c>
      <c r="AI349" s="163">
        <f>AI348/AE348-1</f>
        <v>-4.0322580645161255E-2</v>
      </c>
      <c r="AJ349" s="10">
        <f>AJ348/AF348-1</f>
        <v>-0.18656716417910446</v>
      </c>
      <c r="AK349" s="10">
        <f>AK348/AG348-1</f>
        <v>-9.92366412213741E-2</v>
      </c>
      <c r="AL349" s="482">
        <f>AL348/AH348-1</f>
        <v>-0.125</v>
      </c>
      <c r="AM349" s="163">
        <f t="shared" ref="AM349" si="578">AM348/AI348-1</f>
        <v>-3.3613445378151252E-2</v>
      </c>
      <c r="AN349" s="428">
        <f t="shared" ref="AN349" si="579">AN348/AJ348-1</f>
        <v>5.3402267338982234E-2</v>
      </c>
      <c r="AO349" s="428">
        <f t="shared" ref="AO349" si="580">AO348/AK348-1</f>
        <v>2.46204238607306E-2</v>
      </c>
      <c r="AP349" s="482">
        <f t="shared" ref="AP349" si="581">AP348/AL348-1</f>
        <v>0.12290074680491858</v>
      </c>
      <c r="AQ349" s="1350"/>
    </row>
    <row r="350" spans="1:43" s="1028" customFormat="1" ht="9.75" hidden="1" customHeight="1" outlineLevel="1">
      <c r="A350" s="1048" t="s">
        <v>15</v>
      </c>
      <c r="B350" s="2"/>
      <c r="C350" s="10">
        <v>0.02</v>
      </c>
      <c r="D350" s="10">
        <v>0</v>
      </c>
      <c r="E350" s="2">
        <v>-0.04</v>
      </c>
      <c r="F350" s="10">
        <v>-0.03</v>
      </c>
      <c r="G350" s="10">
        <v>0</v>
      </c>
      <c r="H350" s="10">
        <v>0.01</v>
      </c>
      <c r="I350" s="10">
        <v>-0.04</v>
      </c>
      <c r="J350" s="10">
        <f t="shared" ref="J350:Q350" si="582">J349-((J354-J355)*J353/J348)</f>
        <v>0</v>
      </c>
      <c r="K350" s="10">
        <f t="shared" si="582"/>
        <v>0</v>
      </c>
      <c r="L350" s="10">
        <f t="shared" si="582"/>
        <v>0</v>
      </c>
      <c r="M350" s="10">
        <f t="shared" si="582"/>
        <v>0</v>
      </c>
      <c r="N350" s="10">
        <f t="shared" si="582"/>
        <v>0</v>
      </c>
      <c r="O350" s="10">
        <f t="shared" si="582"/>
        <v>0</v>
      </c>
      <c r="P350" s="10">
        <f t="shared" si="582"/>
        <v>0</v>
      </c>
      <c r="Q350" s="10">
        <f t="shared" si="582"/>
        <v>0</v>
      </c>
      <c r="R350" s="1019"/>
      <c r="S350" s="10"/>
      <c r="T350" s="10"/>
      <c r="U350" s="10"/>
      <c r="V350" s="10"/>
      <c r="W350" s="10">
        <v>0.01</v>
      </c>
      <c r="X350" s="10">
        <v>-0.08</v>
      </c>
      <c r="Y350" s="10">
        <v>-0.08</v>
      </c>
      <c r="Z350" s="10">
        <v>0.04</v>
      </c>
      <c r="AA350" s="163">
        <v>0.01</v>
      </c>
      <c r="AB350" s="10">
        <v>-0.04</v>
      </c>
      <c r="AC350" s="10">
        <v>0.1</v>
      </c>
      <c r="AD350" s="10">
        <v>-0.09</v>
      </c>
      <c r="AE350" s="163">
        <v>-0.01</v>
      </c>
      <c r="AF350" s="10">
        <v>0.02</v>
      </c>
      <c r="AG350" s="10">
        <v>-0.1</v>
      </c>
      <c r="AH350" s="10">
        <v>0.09</v>
      </c>
      <c r="AI350" s="163">
        <v>0.1</v>
      </c>
      <c r="AJ350" s="10">
        <v>-0.1</v>
      </c>
      <c r="AK350" s="10">
        <v>-0.02</v>
      </c>
      <c r="AL350" s="482">
        <v>-0.1</v>
      </c>
      <c r="AM350" s="163">
        <v>-0.08</v>
      </c>
      <c r="AN350" s="428">
        <f t="shared" ref="AN350:AO350" si="583">AN349-((AN354-AN355)*AN353/AN348)</f>
        <v>0</v>
      </c>
      <c r="AO350" s="428">
        <f t="shared" si="583"/>
        <v>0</v>
      </c>
      <c r="AP350" s="482"/>
      <c r="AQ350" s="1350"/>
    </row>
    <row r="351" spans="1:43" s="1038" customFormat="1" ht="12.75" hidden="1" customHeight="1" outlineLevel="1">
      <c r="A351" s="2" t="s">
        <v>72</v>
      </c>
      <c r="B351" s="34"/>
      <c r="C351" s="4">
        <v>4</v>
      </c>
      <c r="D351" s="4">
        <v>2</v>
      </c>
      <c r="E351" s="34">
        <v>2</v>
      </c>
      <c r="F351" s="4">
        <v>2</v>
      </c>
      <c r="G351" s="4">
        <v>0</v>
      </c>
      <c r="H351" s="4"/>
      <c r="I351" s="107"/>
      <c r="J351" s="107"/>
      <c r="K351" s="107"/>
      <c r="L351" s="107"/>
      <c r="M351" s="107"/>
      <c r="N351" s="107"/>
      <c r="O351" s="107"/>
      <c r="P351" s="107"/>
      <c r="Q351" s="107"/>
      <c r="R351" s="1019"/>
      <c r="S351" s="10"/>
      <c r="T351" s="10"/>
      <c r="U351" s="10"/>
      <c r="V351" s="10"/>
      <c r="W351" s="4">
        <v>1</v>
      </c>
      <c r="X351" s="4">
        <v>1</v>
      </c>
      <c r="Y351" s="4">
        <v>0</v>
      </c>
      <c r="Z351" s="4">
        <v>0</v>
      </c>
      <c r="AA351" s="157"/>
      <c r="AB351" s="4"/>
      <c r="AC351" s="4"/>
      <c r="AD351" s="107"/>
      <c r="AE351" s="157"/>
      <c r="AF351" s="4"/>
      <c r="AG351" s="4"/>
      <c r="AH351" s="107"/>
      <c r="AI351" s="157"/>
      <c r="AJ351" s="4"/>
      <c r="AK351" s="107"/>
      <c r="AL351" s="481"/>
      <c r="AM351" s="157"/>
      <c r="AN351" s="396"/>
      <c r="AO351" s="396"/>
      <c r="AP351" s="481"/>
      <c r="AQ351" s="1350"/>
    </row>
    <row r="352" spans="1:43" s="1038" customFormat="1" ht="9.75" hidden="1" customHeight="1" outlineLevel="1">
      <c r="A352" s="2" t="s">
        <v>14</v>
      </c>
      <c r="B352" s="2"/>
      <c r="C352" s="10"/>
      <c r="D352" s="10">
        <f>D351/C351-1</f>
        <v>-0.5</v>
      </c>
      <c r="E352" s="2">
        <f>E351/D351-1</f>
        <v>0</v>
      </c>
      <c r="F352" s="10">
        <f>F351/E351-1</f>
        <v>0</v>
      </c>
      <c r="G352" s="10"/>
      <c r="H352" s="10"/>
      <c r="I352" s="50"/>
      <c r="J352" s="50"/>
      <c r="K352" s="50"/>
      <c r="L352" s="50"/>
      <c r="M352" s="50"/>
      <c r="N352" s="50"/>
      <c r="O352" s="50"/>
      <c r="P352" s="50"/>
      <c r="Q352" s="50"/>
      <c r="R352" s="1019"/>
      <c r="S352" s="10"/>
      <c r="T352" s="10"/>
      <c r="U352" s="10"/>
      <c r="V352" s="10"/>
      <c r="W352" s="10"/>
      <c r="X352" s="10"/>
      <c r="Y352" s="10"/>
      <c r="Z352" s="10"/>
      <c r="AA352" s="163"/>
      <c r="AB352" s="10"/>
      <c r="AC352" s="10"/>
      <c r="AD352" s="10"/>
      <c r="AE352" s="163"/>
      <c r="AF352" s="10"/>
      <c r="AG352" s="10"/>
      <c r="AH352" s="10"/>
      <c r="AI352" s="163"/>
      <c r="AJ352" s="10"/>
      <c r="AK352" s="50"/>
      <c r="AL352" s="497"/>
      <c r="AM352" s="163"/>
      <c r="AN352" s="539"/>
      <c r="AO352" s="539"/>
      <c r="AP352" s="482"/>
      <c r="AQ352" s="1350"/>
    </row>
    <row r="353" spans="1:43" s="1038" customFormat="1" ht="12.75" hidden="1" customHeight="1" outlineLevel="1">
      <c r="A353" s="2" t="s">
        <v>73</v>
      </c>
      <c r="B353" s="34"/>
      <c r="C353" s="4">
        <v>790</v>
      </c>
      <c r="D353" s="4">
        <v>757</v>
      </c>
      <c r="E353" s="34">
        <v>673</v>
      </c>
      <c r="F353" s="4">
        <v>630</v>
      </c>
      <c r="G353" s="4">
        <v>558</v>
      </c>
      <c r="H353" s="4">
        <v>525</v>
      </c>
      <c r="I353" s="107">
        <v>465</v>
      </c>
      <c r="J353" s="107">
        <f t="shared" ref="J353:Q353" si="584">I353*(1+J355)*(1+J$32)</f>
        <v>484.35124602530061</v>
      </c>
      <c r="K353" s="107">
        <f t="shared" si="584"/>
        <v>484.35124602530061</v>
      </c>
      <c r="L353" s="107">
        <f t="shared" si="584"/>
        <v>484.35124602530061</v>
      </c>
      <c r="M353" s="107">
        <f t="shared" si="584"/>
        <v>484.35124602530061</v>
      </c>
      <c r="N353" s="107">
        <f t="shared" si="584"/>
        <v>484.35124602530061</v>
      </c>
      <c r="O353" s="107">
        <f t="shared" si="584"/>
        <v>484.35124602530061</v>
      </c>
      <c r="P353" s="107">
        <f t="shared" si="584"/>
        <v>484.35124602530061</v>
      </c>
      <c r="Q353" s="107">
        <f t="shared" si="584"/>
        <v>484.35124602530061</v>
      </c>
      <c r="R353" s="402">
        <f>(N353/J353)^(1/($N$1-$J$1))-1</f>
        <v>0</v>
      </c>
      <c r="S353" s="10"/>
      <c r="T353" s="10"/>
      <c r="U353" s="10"/>
      <c r="V353" s="10"/>
      <c r="W353" s="4">
        <v>147</v>
      </c>
      <c r="X353" s="4">
        <v>160</v>
      </c>
      <c r="Y353" s="4">
        <v>151</v>
      </c>
      <c r="Z353" s="4">
        <v>172</v>
      </c>
      <c r="AA353" s="157">
        <v>134</v>
      </c>
      <c r="AB353" s="4">
        <v>136</v>
      </c>
      <c r="AC353" s="4">
        <v>148</v>
      </c>
      <c r="AD353" s="107">
        <f>G353-AC353-AB353-AA353</f>
        <v>140</v>
      </c>
      <c r="AE353" s="157">
        <v>124</v>
      </c>
      <c r="AF353" s="4">
        <v>134</v>
      </c>
      <c r="AG353" s="4">
        <v>131</v>
      </c>
      <c r="AH353" s="107">
        <f>H353-AE353-AF353-AG353</f>
        <v>136</v>
      </c>
      <c r="AI353" s="157">
        <v>119</v>
      </c>
      <c r="AJ353" s="4">
        <v>109</v>
      </c>
      <c r="AK353" s="4">
        <v>118</v>
      </c>
      <c r="AL353" s="481">
        <f>I353-AI353-AJ353-AK353</f>
        <v>119</v>
      </c>
      <c r="AM353" s="157">
        <v>115</v>
      </c>
      <c r="AN353" s="396">
        <f>AJ353*(1+AN355)*(1+AN$32)</f>
        <v>114.82084713994907</v>
      </c>
      <c r="AO353" s="396">
        <f>AK353*(1+AO355)*(1+AO$32)</f>
        <v>120.90521001556621</v>
      </c>
      <c r="AP353" s="481">
        <f>J353-AM353-AN353-AO353</f>
        <v>133.62518886978532</v>
      </c>
      <c r="AQ353" s="1350"/>
    </row>
    <row r="354" spans="1:43" s="1038" customFormat="1" ht="9.75" hidden="1" customHeight="1" outlineLevel="1">
      <c r="A354" s="2" t="s">
        <v>14</v>
      </c>
      <c r="B354" s="2"/>
      <c r="C354" s="10"/>
      <c r="D354" s="10">
        <f t="shared" ref="D354:Q354" si="585">D353/C353-1</f>
        <v>-4.1772151898734178E-2</v>
      </c>
      <c r="E354" s="2">
        <f t="shared" si="585"/>
        <v>-0.11096433289299867</v>
      </c>
      <c r="F354" s="10">
        <f t="shared" si="585"/>
        <v>-6.3893016344725106E-2</v>
      </c>
      <c r="G354" s="10">
        <f t="shared" si="585"/>
        <v>-0.11428571428571432</v>
      </c>
      <c r="H354" s="10">
        <f t="shared" si="585"/>
        <v>-5.9139784946236507E-2</v>
      </c>
      <c r="I354" s="10">
        <f t="shared" si="585"/>
        <v>-0.11428571428571432</v>
      </c>
      <c r="J354" s="10">
        <f t="shared" si="585"/>
        <v>4.1615582850108801E-2</v>
      </c>
      <c r="K354" s="10">
        <f t="shared" si="585"/>
        <v>0</v>
      </c>
      <c r="L354" s="10">
        <f t="shared" si="585"/>
        <v>0</v>
      </c>
      <c r="M354" s="10">
        <f t="shared" si="585"/>
        <v>0</v>
      </c>
      <c r="N354" s="10">
        <f t="shared" si="585"/>
        <v>0</v>
      </c>
      <c r="O354" s="10">
        <f t="shared" si="585"/>
        <v>0</v>
      </c>
      <c r="P354" s="10">
        <f t="shared" si="585"/>
        <v>0</v>
      </c>
      <c r="Q354" s="10">
        <f t="shared" si="585"/>
        <v>0</v>
      </c>
      <c r="R354" s="1019"/>
      <c r="S354" s="10"/>
      <c r="T354" s="10"/>
      <c r="U354" s="10"/>
      <c r="V354" s="10"/>
      <c r="W354" s="10">
        <v>-4.5454545454545414E-2</v>
      </c>
      <c r="X354" s="10">
        <v>-9.6045197740112997E-2</v>
      </c>
      <c r="Y354" s="10">
        <v>-9.0361445783132543E-2</v>
      </c>
      <c r="Z354" s="10">
        <v>-2.2727272727272707E-2</v>
      </c>
      <c r="AA354" s="163">
        <f t="shared" ref="AA354:AH354" si="586">AA353/W353-1</f>
        <v>-8.8435374149659851E-2</v>
      </c>
      <c r="AB354" s="10">
        <f t="shared" si="586"/>
        <v>-0.15000000000000002</v>
      </c>
      <c r="AC354" s="10">
        <f t="shared" si="586"/>
        <v>-1.9867549668874163E-2</v>
      </c>
      <c r="AD354" s="10">
        <f t="shared" si="586"/>
        <v>-0.18604651162790697</v>
      </c>
      <c r="AE354" s="163">
        <f t="shared" si="586"/>
        <v>-7.4626865671641784E-2</v>
      </c>
      <c r="AF354" s="10">
        <f t="shared" si="586"/>
        <v>-1.4705882352941124E-2</v>
      </c>
      <c r="AG354" s="10">
        <f t="shared" si="586"/>
        <v>-0.11486486486486491</v>
      </c>
      <c r="AH354" s="10">
        <f t="shared" si="586"/>
        <v>-2.8571428571428581E-2</v>
      </c>
      <c r="AI354" s="163">
        <f>AI353/AE353-1</f>
        <v>-4.0322580645161255E-2</v>
      </c>
      <c r="AJ354" s="10">
        <f>AJ353/AF353-1</f>
        <v>-0.18656716417910446</v>
      </c>
      <c r="AK354" s="10">
        <f>AK353/AG353-1</f>
        <v>-9.92366412213741E-2</v>
      </c>
      <c r="AL354" s="482">
        <f>AL353/AH353-1</f>
        <v>-0.125</v>
      </c>
      <c r="AM354" s="163">
        <f t="shared" ref="AM354" si="587">AM353/AI353-1</f>
        <v>-3.3613445378151252E-2</v>
      </c>
      <c r="AN354" s="428">
        <f t="shared" ref="AN354" si="588">AN353/AJ353-1</f>
        <v>5.3402267338982234E-2</v>
      </c>
      <c r="AO354" s="428">
        <f t="shared" ref="AO354" si="589">AO353/AK353-1</f>
        <v>2.46204238607306E-2</v>
      </c>
      <c r="AP354" s="482">
        <f>AP353/AL353-1</f>
        <v>0.12290074680491858</v>
      </c>
      <c r="AQ354" s="1350"/>
    </row>
    <row r="355" spans="1:43" s="1038" customFormat="1" ht="9.75" hidden="1" customHeight="1" outlineLevel="1">
      <c r="A355" s="2" t="s">
        <v>15</v>
      </c>
      <c r="B355" s="2"/>
      <c r="C355" s="10">
        <v>0.36</v>
      </c>
      <c r="D355" s="10">
        <v>0.18</v>
      </c>
      <c r="E355" s="2">
        <v>0.16</v>
      </c>
      <c r="F355" s="10">
        <v>0.04</v>
      </c>
      <c r="G355" s="10">
        <v>0</v>
      </c>
      <c r="H355" s="10">
        <v>0.01</v>
      </c>
      <c r="I355" s="10">
        <v>-0.04</v>
      </c>
      <c r="J355" s="50">
        <v>0</v>
      </c>
      <c r="K355" s="50">
        <v>0</v>
      </c>
      <c r="L355" s="50">
        <v>0</v>
      </c>
      <c r="M355" s="50">
        <v>0</v>
      </c>
      <c r="N355" s="50">
        <v>0</v>
      </c>
      <c r="O355" s="50">
        <v>0</v>
      </c>
      <c r="P355" s="50">
        <v>0</v>
      </c>
      <c r="Q355" s="50">
        <v>0</v>
      </c>
      <c r="R355" s="1019"/>
      <c r="S355" s="10"/>
      <c r="T355" s="10"/>
      <c r="U355" s="10"/>
      <c r="V355" s="10"/>
      <c r="W355" s="10">
        <v>0.01</v>
      </c>
      <c r="X355" s="10">
        <v>-0.08</v>
      </c>
      <c r="Y355" s="10">
        <v>-0.08</v>
      </c>
      <c r="Z355" s="10">
        <v>0.04</v>
      </c>
      <c r="AA355" s="163">
        <v>0.01</v>
      </c>
      <c r="AB355" s="10">
        <v>-0.04</v>
      </c>
      <c r="AC355" s="10">
        <v>0.1</v>
      </c>
      <c r="AD355" s="10">
        <v>-0.09</v>
      </c>
      <c r="AE355" s="163">
        <v>-0.01</v>
      </c>
      <c r="AF355" s="10">
        <v>0.02</v>
      </c>
      <c r="AG355" s="10">
        <v>-0.1</v>
      </c>
      <c r="AH355" s="10">
        <v>0.09</v>
      </c>
      <c r="AI355" s="163">
        <v>0.1</v>
      </c>
      <c r="AJ355" s="10">
        <v>-0.1</v>
      </c>
      <c r="AK355" s="10">
        <v>-0.02</v>
      </c>
      <c r="AL355" s="482">
        <v>-0.1</v>
      </c>
      <c r="AM355" s="163">
        <v>-0.08</v>
      </c>
      <c r="AN355" s="539">
        <v>0</v>
      </c>
      <c r="AO355" s="539">
        <v>0</v>
      </c>
      <c r="AP355" s="497"/>
      <c r="AQ355" s="1350"/>
    </row>
    <row r="356" spans="1:43" ht="12.75" customHeight="1" collapsed="1">
      <c r="A356" s="1025" t="s">
        <v>56</v>
      </c>
      <c r="B356" s="34">
        <v>464</v>
      </c>
      <c r="C356" s="4">
        <f>+C359+C361</f>
        <v>550</v>
      </c>
      <c r="D356" s="4">
        <f>+D359+D361</f>
        <v>554</v>
      </c>
      <c r="E356" s="34">
        <f>+E359+E361</f>
        <v>594</v>
      </c>
      <c r="F356" s="4">
        <f>+F359+F361</f>
        <v>492</v>
      </c>
      <c r="G356" s="4">
        <f>+G359+G361</f>
        <v>365</v>
      </c>
      <c r="H356" s="4">
        <v>282</v>
      </c>
      <c r="I356" s="141">
        <v>236</v>
      </c>
      <c r="J356" s="141"/>
      <c r="K356" s="141"/>
      <c r="L356" s="141"/>
      <c r="M356" s="141"/>
      <c r="N356" s="141"/>
      <c r="O356" s="141"/>
      <c r="P356" s="141"/>
      <c r="Q356" s="141"/>
      <c r="R356" s="402"/>
      <c r="S356" s="1026"/>
      <c r="T356" s="1026"/>
      <c r="U356" s="1026"/>
      <c r="W356" s="4">
        <f t="shared" ref="W356:AD356" si="590">+W359+W361</f>
        <v>110</v>
      </c>
      <c r="X356" s="4">
        <f t="shared" si="590"/>
        <v>132</v>
      </c>
      <c r="Y356" s="4">
        <f t="shared" si="590"/>
        <v>122</v>
      </c>
      <c r="Z356" s="4">
        <f t="shared" si="590"/>
        <v>128</v>
      </c>
      <c r="AA356" s="157">
        <f t="shared" si="590"/>
        <v>102</v>
      </c>
      <c r="AB356" s="4">
        <f t="shared" si="590"/>
        <v>108</v>
      </c>
      <c r="AC356" s="4">
        <f t="shared" si="590"/>
        <v>75</v>
      </c>
      <c r="AD356" s="107">
        <f t="shared" si="590"/>
        <v>80</v>
      </c>
      <c r="AE356" s="168">
        <v>70</v>
      </c>
      <c r="AF356" s="4">
        <v>77</v>
      </c>
      <c r="AG356" s="4">
        <v>62</v>
      </c>
      <c r="AH356" s="107">
        <f>H356-AE356-AF356-AG356</f>
        <v>73</v>
      </c>
      <c r="AI356" s="406">
        <v>57</v>
      </c>
      <c r="AJ356" s="14">
        <v>61</v>
      </c>
      <c r="AK356" s="14">
        <v>44</v>
      </c>
      <c r="AL356" s="489">
        <f>I356-AI356-AJ356-AK356</f>
        <v>74</v>
      </c>
      <c r="AM356" s="406"/>
      <c r="AN356" s="543"/>
      <c r="AO356" s="543"/>
      <c r="AP356" s="489"/>
      <c r="AQ356" s="1350"/>
    </row>
    <row r="357" spans="1:43" s="1028" customFormat="1" ht="9.75" hidden="1" customHeight="1" outlineLevel="1">
      <c r="A357" s="1048" t="s">
        <v>14</v>
      </c>
      <c r="B357" s="10"/>
      <c r="C357" s="10">
        <f>C356/B356-1</f>
        <v>0.18534482758620685</v>
      </c>
      <c r="D357" s="10">
        <f>D356/C356-1</f>
        <v>7.2727272727273196E-3</v>
      </c>
      <c r="E357" s="10">
        <f>E356/D356-1</f>
        <v>7.2202166064981865E-2</v>
      </c>
      <c r="F357" s="10">
        <f>F356/E356-1</f>
        <v>-0.17171717171717171</v>
      </c>
      <c r="G357" s="10">
        <f t="shared" ref="G357:I357" si="591">G356/F356-1</f>
        <v>-0.25813008130081305</v>
      </c>
      <c r="H357" s="10">
        <f t="shared" si="591"/>
        <v>-0.22739726027397256</v>
      </c>
      <c r="I357" s="2">
        <f t="shared" si="591"/>
        <v>-0.16312056737588654</v>
      </c>
      <c r="J357" s="2"/>
      <c r="K357" s="2"/>
      <c r="L357" s="2"/>
      <c r="M357" s="2"/>
      <c r="N357" s="2"/>
      <c r="O357" s="2"/>
      <c r="P357" s="2"/>
      <c r="Q357" s="2"/>
      <c r="R357" s="1019"/>
      <c r="S357" s="10"/>
      <c r="T357" s="10"/>
      <c r="U357" s="10"/>
      <c r="V357" s="10"/>
      <c r="W357" s="10">
        <v>-0.24657534246575341</v>
      </c>
      <c r="X357" s="10">
        <v>-9.589041095890416E-2</v>
      </c>
      <c r="Y357" s="10">
        <v>-0.13475177304964536</v>
      </c>
      <c r="Z357" s="10">
        <v>-0.20496894409937894</v>
      </c>
      <c r="AA357" s="163">
        <f t="shared" ref="AA357:AH357" si="592">AA356/W356-1</f>
        <v>-7.2727272727272751E-2</v>
      </c>
      <c r="AB357" s="10">
        <f t="shared" si="592"/>
        <v>-0.18181818181818177</v>
      </c>
      <c r="AC357" s="10">
        <f t="shared" si="592"/>
        <v>-0.38524590163934425</v>
      </c>
      <c r="AD357" s="10">
        <f t="shared" si="592"/>
        <v>-0.375</v>
      </c>
      <c r="AE357" s="163">
        <f t="shared" si="592"/>
        <v>-0.31372549019607843</v>
      </c>
      <c r="AF357" s="10">
        <f t="shared" si="592"/>
        <v>-0.28703703703703709</v>
      </c>
      <c r="AG357" s="10">
        <f t="shared" si="592"/>
        <v>-0.17333333333333334</v>
      </c>
      <c r="AH357" s="10">
        <f t="shared" si="592"/>
        <v>-8.7500000000000022E-2</v>
      </c>
      <c r="AI357" s="407">
        <f>AI356/AE356-1</f>
        <v>-0.18571428571428572</v>
      </c>
      <c r="AJ357" s="15">
        <f>AJ356/AF356-1</f>
        <v>-0.20779220779220775</v>
      </c>
      <c r="AK357" s="15">
        <f>AK356/AG356-1</f>
        <v>-0.29032258064516125</v>
      </c>
      <c r="AL357" s="490">
        <f>AL356/AH356-1</f>
        <v>1.3698630136986356E-2</v>
      </c>
      <c r="AM357" s="407"/>
      <c r="AN357" s="547"/>
      <c r="AO357" s="547"/>
      <c r="AP357" s="490"/>
      <c r="AQ357" s="1350"/>
    </row>
    <row r="358" spans="1:43" s="1028" customFormat="1" ht="9.75" hidden="1" customHeight="1" outlineLevel="1">
      <c r="A358" s="1048" t="s">
        <v>15</v>
      </c>
      <c r="B358" s="10"/>
      <c r="C358" s="10">
        <v>0.17</v>
      </c>
      <c r="D358" s="10">
        <v>0.03</v>
      </c>
      <c r="E358" s="10">
        <v>0.08</v>
      </c>
      <c r="F358" s="10">
        <v>-0.16</v>
      </c>
      <c r="G358" s="10">
        <v>-0.2</v>
      </c>
      <c r="H358" s="10">
        <v>-0.21</v>
      </c>
      <c r="I358" s="2">
        <v>-0.18</v>
      </c>
      <c r="J358" s="137"/>
      <c r="K358" s="137"/>
      <c r="L358" s="137"/>
      <c r="M358" s="137"/>
      <c r="N358" s="137"/>
      <c r="O358" s="137"/>
      <c r="P358" s="137"/>
      <c r="Q358" s="137"/>
      <c r="R358" s="1019"/>
      <c r="S358" s="10"/>
      <c r="T358" s="10"/>
      <c r="U358" s="10"/>
      <c r="V358" s="10"/>
      <c r="W358" s="10">
        <v>-0.24</v>
      </c>
      <c r="X358" s="10">
        <v>-0.1</v>
      </c>
      <c r="Y358" s="10">
        <v>-0.13</v>
      </c>
      <c r="Z358" s="10">
        <v>-0.18</v>
      </c>
      <c r="AA358" s="163">
        <v>-0.03</v>
      </c>
      <c r="AB358" s="10">
        <v>-0.13</v>
      </c>
      <c r="AC358" s="10">
        <v>-0.31</v>
      </c>
      <c r="AD358" s="10">
        <v>-0.32</v>
      </c>
      <c r="AE358" s="163">
        <v>-0.28999999999999998</v>
      </c>
      <c r="AF358" s="10">
        <v>-0.27</v>
      </c>
      <c r="AG358" s="10">
        <v>-0.17</v>
      </c>
      <c r="AH358" s="10">
        <v>-0.1</v>
      </c>
      <c r="AI358" s="407">
        <v>-0.19</v>
      </c>
      <c r="AJ358" s="15">
        <v>-0.22</v>
      </c>
      <c r="AK358" s="15">
        <v>-0.32</v>
      </c>
      <c r="AL358" s="490">
        <v>-0.02</v>
      </c>
      <c r="AM358" s="407"/>
      <c r="AN358" s="1364"/>
      <c r="AO358" s="1364"/>
      <c r="AP358" s="1365"/>
      <c r="AQ358" s="1350"/>
    </row>
    <row r="359" spans="1:43" s="1038" customFormat="1" ht="12.75" hidden="1" customHeight="1" outlineLevel="1">
      <c r="A359" s="2" t="s">
        <v>72</v>
      </c>
      <c r="B359" s="4"/>
      <c r="C359" s="4">
        <v>398</v>
      </c>
      <c r="D359" s="4">
        <v>402</v>
      </c>
      <c r="E359" s="4">
        <v>435</v>
      </c>
      <c r="F359" s="4">
        <v>327</v>
      </c>
      <c r="G359" s="4">
        <v>226</v>
      </c>
      <c r="H359" s="4"/>
      <c r="I359" s="141"/>
      <c r="J359" s="141"/>
      <c r="K359" s="141"/>
      <c r="L359" s="141"/>
      <c r="M359" s="141"/>
      <c r="N359" s="141"/>
      <c r="O359" s="141"/>
      <c r="P359" s="141"/>
      <c r="Q359" s="141"/>
      <c r="R359" s="1019"/>
      <c r="S359" s="10"/>
      <c r="T359" s="10"/>
      <c r="U359" s="10"/>
      <c r="V359" s="10"/>
      <c r="W359" s="4">
        <v>74</v>
      </c>
      <c r="X359" s="4">
        <v>88</v>
      </c>
      <c r="Y359" s="4">
        <v>79</v>
      </c>
      <c r="Z359" s="4">
        <v>86</v>
      </c>
      <c r="AA359" s="157">
        <v>67</v>
      </c>
      <c r="AB359" s="4">
        <v>72</v>
      </c>
      <c r="AC359" s="4">
        <v>43</v>
      </c>
      <c r="AD359" s="107">
        <f>G359-AC359-AB359-AA359</f>
        <v>44</v>
      </c>
      <c r="AE359" s="398"/>
      <c r="AF359" s="4"/>
      <c r="AG359" s="4"/>
      <c r="AH359" s="141"/>
      <c r="AI359" s="398"/>
      <c r="AJ359" s="4"/>
      <c r="AK359" s="107"/>
      <c r="AL359" s="481"/>
      <c r="AM359" s="398"/>
      <c r="AN359" s="396"/>
      <c r="AO359" s="396"/>
      <c r="AP359" s="481"/>
      <c r="AQ359" s="1350"/>
    </row>
    <row r="360" spans="1:43" s="1038" customFormat="1" ht="9.75" hidden="1" customHeight="1" outlineLevel="1">
      <c r="A360" s="2" t="s">
        <v>14</v>
      </c>
      <c r="B360" s="10"/>
      <c r="C360" s="10"/>
      <c r="D360" s="10">
        <f>D359/C359-1</f>
        <v>1.0050251256281451E-2</v>
      </c>
      <c r="E360" s="10">
        <f>E359/D359-1</f>
        <v>8.2089552238805874E-2</v>
      </c>
      <c r="F360" s="10">
        <f>F359/E359-1</f>
        <v>-0.24827586206896557</v>
      </c>
      <c r="G360" s="10">
        <f>G359/F359-1</f>
        <v>-0.30886850152905199</v>
      </c>
      <c r="H360" s="10"/>
      <c r="I360" s="137"/>
      <c r="J360" s="137"/>
      <c r="K360" s="137"/>
      <c r="L360" s="137"/>
      <c r="M360" s="137"/>
      <c r="N360" s="137"/>
      <c r="O360" s="137"/>
      <c r="P360" s="137"/>
      <c r="Q360" s="137"/>
      <c r="R360" s="1019"/>
      <c r="S360" s="10"/>
      <c r="T360" s="10"/>
      <c r="U360" s="10"/>
      <c r="V360" s="10"/>
      <c r="W360" s="10">
        <v>-0.33333333333333337</v>
      </c>
      <c r="X360" s="10">
        <v>-0.16981132075471694</v>
      </c>
      <c r="Y360" s="10">
        <v>-0.20999999999999996</v>
      </c>
      <c r="Z360" s="10">
        <v>-0.27118644067796616</v>
      </c>
      <c r="AA360" s="163">
        <f>AA359/W359-1</f>
        <v>-9.4594594594594628E-2</v>
      </c>
      <c r="AB360" s="10">
        <f>AB359/X359-1</f>
        <v>-0.18181818181818177</v>
      </c>
      <c r="AC360" s="10">
        <f>AC359/Y359-1</f>
        <v>-0.45569620253164556</v>
      </c>
      <c r="AD360" s="10">
        <f>AD359/Z359-1</f>
        <v>-0.48837209302325579</v>
      </c>
      <c r="AE360" s="167"/>
      <c r="AF360" s="10"/>
      <c r="AG360" s="10"/>
      <c r="AH360" s="2"/>
      <c r="AI360" s="167"/>
      <c r="AJ360" s="10"/>
      <c r="AK360" s="50"/>
      <c r="AL360" s="497"/>
      <c r="AM360" s="167"/>
      <c r="AN360" s="539"/>
      <c r="AO360" s="539"/>
      <c r="AP360" s="497"/>
      <c r="AQ360" s="1350"/>
    </row>
    <row r="361" spans="1:43" s="1038" customFormat="1" ht="12.75" hidden="1" customHeight="1" outlineLevel="1">
      <c r="A361" s="2" t="s">
        <v>73</v>
      </c>
      <c r="B361" s="4"/>
      <c r="C361" s="4">
        <v>152</v>
      </c>
      <c r="D361" s="4">
        <v>152</v>
      </c>
      <c r="E361" s="4">
        <v>159</v>
      </c>
      <c r="F361" s="4">
        <v>165</v>
      </c>
      <c r="G361" s="4">
        <v>139</v>
      </c>
      <c r="H361" s="4"/>
      <c r="I361" s="141"/>
      <c r="J361" s="141"/>
      <c r="K361" s="141"/>
      <c r="L361" s="141"/>
      <c r="M361" s="141"/>
      <c r="N361" s="141"/>
      <c r="O361" s="141"/>
      <c r="P361" s="141"/>
      <c r="Q361" s="141"/>
      <c r="R361" s="1019"/>
      <c r="S361" s="10"/>
      <c r="T361" s="10"/>
      <c r="U361" s="10"/>
      <c r="V361" s="10"/>
      <c r="W361" s="4">
        <v>36</v>
      </c>
      <c r="X361" s="4">
        <v>44</v>
      </c>
      <c r="Y361" s="4">
        <v>43</v>
      </c>
      <c r="Z361" s="4">
        <v>42</v>
      </c>
      <c r="AA361" s="157">
        <v>35</v>
      </c>
      <c r="AB361" s="4">
        <v>36</v>
      </c>
      <c r="AC361" s="4">
        <v>32</v>
      </c>
      <c r="AD361" s="107">
        <f>G361-AC361-AB361-AA361</f>
        <v>36</v>
      </c>
      <c r="AE361" s="398"/>
      <c r="AF361" s="4"/>
      <c r="AG361" s="4"/>
      <c r="AH361" s="141"/>
      <c r="AI361" s="398"/>
      <c r="AJ361" s="4"/>
      <c r="AK361" s="107"/>
      <c r="AL361" s="481"/>
      <c r="AM361" s="398"/>
      <c r="AN361" s="396"/>
      <c r="AO361" s="396"/>
      <c r="AP361" s="481"/>
      <c r="AQ361" s="1350"/>
    </row>
    <row r="362" spans="1:43" s="1038" customFormat="1" ht="9.75" hidden="1" customHeight="1" outlineLevel="1">
      <c r="A362" s="2" t="s">
        <v>14</v>
      </c>
      <c r="B362" s="10"/>
      <c r="C362" s="10"/>
      <c r="D362" s="10">
        <f>D361/C361-1</f>
        <v>0</v>
      </c>
      <c r="E362" s="10">
        <f>E361/D361-1</f>
        <v>4.6052631578947345E-2</v>
      </c>
      <c r="F362" s="10">
        <f>F361/E361-1</f>
        <v>3.7735849056603765E-2</v>
      </c>
      <c r="G362" s="10">
        <f>G361/F361-1</f>
        <v>-0.15757575757575759</v>
      </c>
      <c r="H362" s="10"/>
      <c r="I362" s="2"/>
      <c r="J362" s="2"/>
      <c r="K362" s="2"/>
      <c r="L362" s="2"/>
      <c r="M362" s="2"/>
      <c r="N362" s="2"/>
      <c r="O362" s="2"/>
      <c r="P362" s="2"/>
      <c r="Q362" s="2"/>
      <c r="R362" s="1019"/>
      <c r="S362" s="10"/>
      <c r="T362" s="10"/>
      <c r="U362" s="10"/>
      <c r="V362" s="10"/>
      <c r="W362" s="10">
        <v>2.857142857142847E-2</v>
      </c>
      <c r="X362" s="10">
        <v>0.10000000000000009</v>
      </c>
      <c r="Y362" s="10">
        <v>4.8780487804878092E-2</v>
      </c>
      <c r="Z362" s="10">
        <v>-2.3255813953488413E-2</v>
      </c>
      <c r="AA362" s="163">
        <f>AA361/W361-1</f>
        <v>-2.777777777777779E-2</v>
      </c>
      <c r="AB362" s="10">
        <f>AB361/X361-1</f>
        <v>-0.18181818181818177</v>
      </c>
      <c r="AC362" s="10">
        <f>AC361/Y361-1</f>
        <v>-0.2558139534883721</v>
      </c>
      <c r="AD362" s="10">
        <f>AD361/Z361-1</f>
        <v>-0.1428571428571429</v>
      </c>
      <c r="AE362" s="167"/>
      <c r="AF362" s="10"/>
      <c r="AG362" s="10"/>
      <c r="AH362" s="2"/>
      <c r="AI362" s="167"/>
      <c r="AJ362" s="10"/>
      <c r="AK362" s="10"/>
      <c r="AL362" s="482"/>
      <c r="AM362" s="167"/>
      <c r="AN362" s="428"/>
      <c r="AO362" s="428"/>
      <c r="AP362" s="482"/>
      <c r="AQ362" s="1350"/>
    </row>
    <row r="363" spans="1:43" s="1038" customFormat="1" ht="9.75" hidden="1" customHeight="1" outlineLevel="1">
      <c r="A363" s="2" t="s">
        <v>15</v>
      </c>
      <c r="B363" s="10"/>
      <c r="C363" s="10">
        <v>0.14000000000000001</v>
      </c>
      <c r="D363" s="10">
        <v>0.08</v>
      </c>
      <c r="E363" s="10">
        <v>0.06</v>
      </c>
      <c r="F363" s="10">
        <v>0.08</v>
      </c>
      <c r="G363" s="10">
        <v>0.01</v>
      </c>
      <c r="H363" s="10"/>
      <c r="I363" s="137"/>
      <c r="J363" s="137"/>
      <c r="K363" s="137"/>
      <c r="L363" s="137"/>
      <c r="M363" s="137"/>
      <c r="N363" s="137"/>
      <c r="O363" s="137"/>
      <c r="P363" s="137"/>
      <c r="Q363" s="137"/>
      <c r="R363" s="1019"/>
      <c r="S363" s="10"/>
      <c r="T363" s="10"/>
      <c r="U363" s="10"/>
      <c r="V363" s="10"/>
      <c r="W363" s="10">
        <v>0.09</v>
      </c>
      <c r="X363" s="10">
        <v>0.09</v>
      </c>
      <c r="Y363" s="10">
        <v>0.03</v>
      </c>
      <c r="Z363" s="10">
        <v>0.09</v>
      </c>
      <c r="AA363" s="163">
        <v>0.1</v>
      </c>
      <c r="AB363" s="10">
        <v>-0.01</v>
      </c>
      <c r="AC363" s="10">
        <v>-0.04</v>
      </c>
      <c r="AD363" s="10">
        <v>0</v>
      </c>
      <c r="AE363" s="167"/>
      <c r="AF363" s="10"/>
      <c r="AG363" s="10"/>
      <c r="AH363" s="2"/>
      <c r="AI363" s="167"/>
      <c r="AJ363" s="10"/>
      <c r="AK363" s="50"/>
      <c r="AL363" s="497"/>
      <c r="AM363" s="167"/>
      <c r="AN363" s="539"/>
      <c r="AO363" s="539"/>
      <c r="AP363" s="497"/>
      <c r="AQ363" s="1350"/>
    </row>
    <row r="364" spans="1:43" ht="12.75" customHeight="1" collapsed="1">
      <c r="A364" s="1036" t="s">
        <v>33</v>
      </c>
      <c r="B364" s="4">
        <v>1003</v>
      </c>
      <c r="C364" s="4">
        <f t="shared" ref="C364:H364" si="593">+C367+C369</f>
        <v>1067</v>
      </c>
      <c r="D364" s="4">
        <f t="shared" si="593"/>
        <v>1050</v>
      </c>
      <c r="E364" s="4">
        <f t="shared" si="593"/>
        <v>1032</v>
      </c>
      <c r="F364" s="4">
        <f t="shared" si="593"/>
        <v>1009</v>
      </c>
      <c r="G364" s="4">
        <f t="shared" si="593"/>
        <v>728</v>
      </c>
      <c r="H364" s="4">
        <f t="shared" si="593"/>
        <v>444</v>
      </c>
      <c r="I364" s="141">
        <v>381</v>
      </c>
      <c r="J364" s="141"/>
      <c r="K364" s="141"/>
      <c r="L364" s="141"/>
      <c r="M364" s="141"/>
      <c r="N364" s="141"/>
      <c r="O364" s="141"/>
      <c r="P364" s="141"/>
      <c r="Q364" s="141"/>
      <c r="R364" s="402"/>
      <c r="S364" s="1026"/>
      <c r="T364" s="1026"/>
      <c r="U364" s="1026"/>
      <c r="V364" s="107"/>
      <c r="W364" s="107">
        <f t="shared" ref="W364:AC364" si="594">+W367+W369</f>
        <v>262</v>
      </c>
      <c r="X364" s="107">
        <f t="shared" si="594"/>
        <v>246</v>
      </c>
      <c r="Y364" s="107">
        <f t="shared" si="594"/>
        <v>261</v>
      </c>
      <c r="Z364" s="107">
        <f t="shared" si="594"/>
        <v>240</v>
      </c>
      <c r="AA364" s="166">
        <f t="shared" si="594"/>
        <v>233</v>
      </c>
      <c r="AB364" s="107">
        <f t="shared" si="594"/>
        <v>208</v>
      </c>
      <c r="AC364" s="107">
        <f t="shared" si="594"/>
        <v>152</v>
      </c>
      <c r="AD364" s="107">
        <f>+AD367+AD369</f>
        <v>135</v>
      </c>
      <c r="AE364" s="398">
        <v>116</v>
      </c>
      <c r="AF364" s="107">
        <v>110</v>
      </c>
      <c r="AG364" s="107">
        <f>+AG367+AG369</f>
        <v>104</v>
      </c>
      <c r="AH364" s="107">
        <f>H364-AE364-AF364-AG364</f>
        <v>114</v>
      </c>
      <c r="AI364" s="1363">
        <v>97</v>
      </c>
      <c r="AJ364" s="135">
        <v>101</v>
      </c>
      <c r="AK364" s="135">
        <v>95</v>
      </c>
      <c r="AL364" s="489">
        <f>I364-AI364-AJ364-AK364</f>
        <v>88</v>
      </c>
      <c r="AM364" s="1363"/>
      <c r="AN364" s="543"/>
      <c r="AO364" s="543"/>
      <c r="AP364" s="489"/>
      <c r="AQ364" s="1350"/>
    </row>
    <row r="365" spans="1:43" s="1038" customFormat="1" ht="9.75" hidden="1" customHeight="1" outlineLevel="1">
      <c r="A365" s="1037" t="s">
        <v>14</v>
      </c>
      <c r="B365" s="10"/>
      <c r="C365" s="10"/>
      <c r="D365" s="10">
        <f t="shared" ref="D365:Q365" si="595">D364/C364-1</f>
        <v>-1.5932521087160256E-2</v>
      </c>
      <c r="E365" s="10">
        <f t="shared" si="595"/>
        <v>-1.7142857142857126E-2</v>
      </c>
      <c r="F365" s="10">
        <f t="shared" si="595"/>
        <v>-2.2286821705426396E-2</v>
      </c>
      <c r="G365" s="10">
        <f>G364/F364-1</f>
        <v>-0.27849355797819619</v>
      </c>
      <c r="H365" s="10">
        <f>H364/G364-1</f>
        <v>-0.39010989010989006</v>
      </c>
      <c r="I365" s="15">
        <f t="shared" si="595"/>
        <v>-0.14189189189189189</v>
      </c>
      <c r="J365" s="15">
        <f t="shared" si="595"/>
        <v>-1</v>
      </c>
      <c r="K365" s="15" t="e">
        <f t="shared" si="595"/>
        <v>#DIV/0!</v>
      </c>
      <c r="L365" s="15" t="e">
        <f t="shared" si="595"/>
        <v>#DIV/0!</v>
      </c>
      <c r="M365" s="15" t="e">
        <f t="shared" si="595"/>
        <v>#DIV/0!</v>
      </c>
      <c r="N365" s="15" t="e">
        <f t="shared" si="595"/>
        <v>#DIV/0!</v>
      </c>
      <c r="O365" s="15" t="e">
        <f t="shared" si="595"/>
        <v>#DIV/0!</v>
      </c>
      <c r="P365" s="15" t="e">
        <f t="shared" si="595"/>
        <v>#DIV/0!</v>
      </c>
      <c r="Q365" s="15" t="e">
        <f t="shared" si="595"/>
        <v>#DIV/0!</v>
      </c>
      <c r="R365" s="1019"/>
      <c r="S365" s="10"/>
      <c r="T365" s="10"/>
      <c r="U365" s="10"/>
      <c r="V365" s="10"/>
      <c r="W365" s="10">
        <v>-1.5037593984962405E-2</v>
      </c>
      <c r="X365" s="10">
        <v>-6.4638783269961975E-2</v>
      </c>
      <c r="Y365" s="10">
        <v>3.1620553359683834E-2</v>
      </c>
      <c r="Z365" s="10">
        <v>-4.0000000000000036E-2</v>
      </c>
      <c r="AA365" s="163">
        <f t="shared" ref="AA365:AH365" si="596">AA364/W364-1</f>
        <v>-0.11068702290076338</v>
      </c>
      <c r="AB365" s="10">
        <f t="shared" si="596"/>
        <v>-0.15447154471544711</v>
      </c>
      <c r="AC365" s="10">
        <f t="shared" si="596"/>
        <v>-0.41762452107279691</v>
      </c>
      <c r="AD365" s="10">
        <f t="shared" si="596"/>
        <v>-0.4375</v>
      </c>
      <c r="AE365" s="167">
        <f t="shared" si="596"/>
        <v>-0.50214592274678105</v>
      </c>
      <c r="AF365" s="10">
        <f t="shared" si="596"/>
        <v>-0.47115384615384615</v>
      </c>
      <c r="AG365" s="10">
        <f t="shared" si="596"/>
        <v>-0.31578947368421051</v>
      </c>
      <c r="AH365" s="10">
        <f t="shared" si="596"/>
        <v>-0.15555555555555556</v>
      </c>
      <c r="AI365" s="407">
        <f>AI364/AE364-1</f>
        <v>-0.16379310344827591</v>
      </c>
      <c r="AJ365" s="15">
        <f>AJ364/AF364-1</f>
        <v>-8.181818181818179E-2</v>
      </c>
      <c r="AK365" s="15">
        <f>AK364/AG364-1</f>
        <v>-8.6538461538461564E-2</v>
      </c>
      <c r="AL365" s="490">
        <f>AL364/AH364-1</f>
        <v>-0.22807017543859653</v>
      </c>
      <c r="AM365" s="407"/>
      <c r="AN365" s="547">
        <f t="shared" ref="AN365" si="597">AN364/AJ364-1</f>
        <v>-1</v>
      </c>
      <c r="AO365" s="547">
        <f t="shared" ref="AO365" si="598">AO364/AK364-1</f>
        <v>-1</v>
      </c>
      <c r="AP365" s="490">
        <f>AP364/AL364-1</f>
        <v>-1</v>
      </c>
      <c r="AQ365" s="1350"/>
    </row>
    <row r="366" spans="1:43" s="1038" customFormat="1" ht="9.75" hidden="1" customHeight="1" outlineLevel="1">
      <c r="A366" s="1037" t="s">
        <v>15</v>
      </c>
      <c r="B366" s="10"/>
      <c r="C366" s="10">
        <v>0.04</v>
      </c>
      <c r="D366" s="10">
        <v>0.02</v>
      </c>
      <c r="E366" s="10">
        <v>0</v>
      </c>
      <c r="F366" s="10">
        <v>-0.01</v>
      </c>
      <c r="G366" s="10">
        <v>-0.21</v>
      </c>
      <c r="H366" s="10">
        <v>-0.39</v>
      </c>
      <c r="I366" s="15">
        <v>-0.14000000000000001</v>
      </c>
      <c r="J366" s="1366">
        <v>-0.1</v>
      </c>
      <c r="K366" s="1366">
        <v>-0.5</v>
      </c>
      <c r="L366" s="1366">
        <v>-0.2</v>
      </c>
      <c r="M366" s="1366">
        <v>-0.10000000000000014</v>
      </c>
      <c r="N366" s="1366">
        <v>-0.05</v>
      </c>
      <c r="O366" s="1366">
        <v>-0.05</v>
      </c>
      <c r="P366" s="1366">
        <v>-0.05</v>
      </c>
      <c r="Q366" s="1366">
        <v>-0.05</v>
      </c>
      <c r="R366" s="1019"/>
      <c r="S366" s="10"/>
      <c r="T366" s="10"/>
      <c r="U366" s="10"/>
      <c r="V366" s="10"/>
      <c r="W366" s="10">
        <v>0</v>
      </c>
      <c r="X366" s="10">
        <v>-0.06</v>
      </c>
      <c r="Y366" s="10">
        <v>0.04</v>
      </c>
      <c r="Z366" s="10">
        <v>0</v>
      </c>
      <c r="AA366" s="163">
        <v>-0.05</v>
      </c>
      <c r="AB366" s="10">
        <v>-0.08</v>
      </c>
      <c r="AC366" s="10">
        <v>-0.35</v>
      </c>
      <c r="AD366" s="10">
        <v>-0.37</v>
      </c>
      <c r="AE366" s="167">
        <v>-0.47</v>
      </c>
      <c r="AF366" s="10">
        <v>-0.47</v>
      </c>
      <c r="AG366" s="10">
        <v>-0.33</v>
      </c>
      <c r="AH366" s="10">
        <v>-0.17</v>
      </c>
      <c r="AI366" s="407">
        <v>-0.16</v>
      </c>
      <c r="AJ366" s="15">
        <v>-0.06</v>
      </c>
      <c r="AK366" s="15">
        <v>-0.1</v>
      </c>
      <c r="AL366" s="490">
        <v>-0.24</v>
      </c>
      <c r="AM366" s="407"/>
      <c r="AN366" s="1364">
        <v>-0.1</v>
      </c>
      <c r="AO366" s="1364">
        <v>-0.1</v>
      </c>
      <c r="AP366" s="1365"/>
      <c r="AQ366" s="1350"/>
    </row>
    <row r="367" spans="1:43" s="1038" customFormat="1" ht="12.75" hidden="1" customHeight="1" outlineLevel="1">
      <c r="A367" s="2" t="s">
        <v>72</v>
      </c>
      <c r="B367" s="4"/>
      <c r="C367" s="4">
        <v>375</v>
      </c>
      <c r="D367" s="4">
        <v>428</v>
      </c>
      <c r="E367" s="4">
        <v>457</v>
      </c>
      <c r="F367" s="4">
        <v>485</v>
      </c>
      <c r="G367" s="4">
        <v>340</v>
      </c>
      <c r="H367" s="4">
        <v>90</v>
      </c>
      <c r="I367" s="107"/>
      <c r="J367" s="107"/>
      <c r="K367" s="107"/>
      <c r="L367" s="107"/>
      <c r="M367" s="107"/>
      <c r="N367" s="107"/>
      <c r="O367" s="107"/>
      <c r="P367" s="107"/>
      <c r="Q367" s="107"/>
      <c r="R367" s="1019"/>
      <c r="S367" s="10"/>
      <c r="T367" s="10"/>
      <c r="U367" s="10"/>
      <c r="V367" s="10"/>
      <c r="W367" s="4">
        <v>126</v>
      </c>
      <c r="X367" s="4">
        <v>108</v>
      </c>
      <c r="Y367" s="4">
        <v>131</v>
      </c>
      <c r="Z367" s="4">
        <v>120</v>
      </c>
      <c r="AA367" s="157">
        <v>128</v>
      </c>
      <c r="AB367" s="4">
        <v>111</v>
      </c>
      <c r="AC367" s="4">
        <v>58</v>
      </c>
      <c r="AD367" s="107">
        <f>G367-AC367-AB367-AA367</f>
        <v>43</v>
      </c>
      <c r="AE367" s="398"/>
      <c r="AF367" s="4"/>
      <c r="AG367" s="4">
        <v>15</v>
      </c>
      <c r="AH367" s="107">
        <v>26</v>
      </c>
      <c r="AI367" s="398"/>
      <c r="AJ367" s="4"/>
      <c r="AK367" s="107"/>
      <c r="AL367" s="481"/>
      <c r="AM367" s="398"/>
      <c r="AN367" s="396"/>
      <c r="AO367" s="396"/>
      <c r="AP367" s="481"/>
      <c r="AQ367" s="1350"/>
    </row>
    <row r="368" spans="1:43" s="1038" customFormat="1" ht="9.75" hidden="1" customHeight="1" outlineLevel="1">
      <c r="A368" s="2" t="s">
        <v>14</v>
      </c>
      <c r="B368" s="10"/>
      <c r="C368" s="10"/>
      <c r="D368" s="10">
        <f>D367/C367-1</f>
        <v>0.14133333333333331</v>
      </c>
      <c r="E368" s="10">
        <f>E367/D367-1</f>
        <v>6.7757009345794428E-2</v>
      </c>
      <c r="F368" s="10">
        <f>F367/E367-1</f>
        <v>6.1269146608315062E-2</v>
      </c>
      <c r="G368" s="10">
        <f>G367/F367-1</f>
        <v>-0.2989690721649485</v>
      </c>
      <c r="H368" s="10">
        <f>H367/G367-1</f>
        <v>-0.73529411764705888</v>
      </c>
      <c r="I368" s="50"/>
      <c r="J368" s="50"/>
      <c r="K368" s="50"/>
      <c r="L368" s="50"/>
      <c r="M368" s="50"/>
      <c r="N368" s="50"/>
      <c r="O368" s="50"/>
      <c r="P368" s="50"/>
      <c r="Q368" s="50"/>
      <c r="R368" s="1019"/>
      <c r="S368" s="10"/>
      <c r="T368" s="10"/>
      <c r="U368" s="10"/>
      <c r="V368" s="10"/>
      <c r="W368" s="10">
        <v>0.125</v>
      </c>
      <c r="X368" s="10">
        <v>-0.1074380165289256</v>
      </c>
      <c r="Y368" s="10">
        <v>0.11965811965811968</v>
      </c>
      <c r="Z368" s="10">
        <v>0.12149532710280364</v>
      </c>
      <c r="AA368" s="163">
        <f>AA367/W367-1</f>
        <v>1.5873015873015817E-2</v>
      </c>
      <c r="AB368" s="10">
        <f>AB367/X367-1</f>
        <v>2.7777777777777679E-2</v>
      </c>
      <c r="AC368" s="10">
        <f>AC367/Y367-1</f>
        <v>-0.55725190839694649</v>
      </c>
      <c r="AD368" s="10">
        <f>AD367/Z367-1</f>
        <v>-0.64166666666666661</v>
      </c>
      <c r="AE368" s="167"/>
      <c r="AF368" s="10"/>
      <c r="AG368" s="10">
        <f>AG367/AC367-1</f>
        <v>-0.74137931034482762</v>
      </c>
      <c r="AH368" s="10">
        <f>AH367/AD367-1</f>
        <v>-0.39534883720930236</v>
      </c>
      <c r="AI368" s="167"/>
      <c r="AJ368" s="10"/>
      <c r="AK368" s="10"/>
      <c r="AL368" s="482"/>
      <c r="AM368" s="167"/>
      <c r="AN368" s="428"/>
      <c r="AO368" s="428"/>
      <c r="AP368" s="482"/>
      <c r="AQ368" s="1350"/>
    </row>
    <row r="369" spans="1:43" s="1038" customFormat="1" ht="12.75" hidden="1" customHeight="1" outlineLevel="1">
      <c r="A369" s="2" t="s">
        <v>73</v>
      </c>
      <c r="B369" s="4"/>
      <c r="C369" s="4">
        <v>692</v>
      </c>
      <c r="D369" s="4">
        <v>622</v>
      </c>
      <c r="E369" s="4">
        <v>575</v>
      </c>
      <c r="F369" s="4">
        <v>524</v>
      </c>
      <c r="G369" s="4">
        <v>388</v>
      </c>
      <c r="H369" s="4">
        <v>354</v>
      </c>
      <c r="I369" s="107"/>
      <c r="J369" s="107"/>
      <c r="K369" s="107"/>
      <c r="L369" s="107"/>
      <c r="M369" s="107"/>
      <c r="N369" s="107"/>
      <c r="O369" s="107"/>
      <c r="P369" s="107"/>
      <c r="Q369" s="107"/>
      <c r="R369" s="1019"/>
      <c r="S369" s="10"/>
      <c r="T369" s="10"/>
      <c r="U369" s="10"/>
      <c r="V369" s="10"/>
      <c r="W369" s="4">
        <v>136</v>
      </c>
      <c r="X369" s="4">
        <v>138</v>
      </c>
      <c r="Y369" s="4">
        <v>130</v>
      </c>
      <c r="Z369" s="4">
        <v>120</v>
      </c>
      <c r="AA369" s="157">
        <v>105</v>
      </c>
      <c r="AB369" s="4">
        <v>97</v>
      </c>
      <c r="AC369" s="4">
        <v>94</v>
      </c>
      <c r="AD369" s="107">
        <f>G369-AC369-AB369-AA369</f>
        <v>92</v>
      </c>
      <c r="AE369" s="398"/>
      <c r="AF369" s="4"/>
      <c r="AG369" s="4">
        <v>89</v>
      </c>
      <c r="AH369" s="107">
        <v>88</v>
      </c>
      <c r="AI369" s="398"/>
      <c r="AJ369" s="4"/>
      <c r="AK369" s="107"/>
      <c r="AL369" s="481"/>
      <c r="AM369" s="398"/>
      <c r="AN369" s="396"/>
      <c r="AO369" s="396"/>
      <c r="AP369" s="481"/>
      <c r="AQ369" s="1350"/>
    </row>
    <row r="370" spans="1:43" s="1038" customFormat="1" ht="9.75" hidden="1" customHeight="1" outlineLevel="1">
      <c r="A370" s="2" t="s">
        <v>14</v>
      </c>
      <c r="B370" s="10"/>
      <c r="C370" s="10"/>
      <c r="D370" s="10">
        <f>D369/C369-1</f>
        <v>-0.10115606936416188</v>
      </c>
      <c r="E370" s="10">
        <f>E369/D369-1</f>
        <v>-7.5562700964630247E-2</v>
      </c>
      <c r="F370" s="10">
        <f>F369/E369-1</f>
        <v>-8.8695652173913064E-2</v>
      </c>
      <c r="G370" s="10">
        <f>G369/F369-1</f>
        <v>-0.25954198473282442</v>
      </c>
      <c r="H370" s="10">
        <f>H369/G369-1</f>
        <v>-8.7628865979381465E-2</v>
      </c>
      <c r="I370" s="10"/>
      <c r="J370" s="10"/>
      <c r="K370" s="10"/>
      <c r="L370" s="10"/>
      <c r="M370" s="10"/>
      <c r="N370" s="10"/>
      <c r="O370" s="10"/>
      <c r="P370" s="10"/>
      <c r="Q370" s="10"/>
      <c r="R370" s="1019"/>
      <c r="S370" s="10"/>
      <c r="T370" s="10"/>
      <c r="U370" s="10"/>
      <c r="V370" s="10"/>
      <c r="W370" s="10">
        <v>-0.11688311688311692</v>
      </c>
      <c r="X370" s="10">
        <v>-2.8169014084507005E-2</v>
      </c>
      <c r="Y370" s="10">
        <v>-4.4117647058823484E-2</v>
      </c>
      <c r="Z370" s="10">
        <v>-0.16083916083916083</v>
      </c>
      <c r="AA370" s="163">
        <f>AA369/W369-1</f>
        <v>-0.2279411764705882</v>
      </c>
      <c r="AB370" s="10">
        <f>AB369/X369-1</f>
        <v>-0.29710144927536231</v>
      </c>
      <c r="AC370" s="10">
        <f>AC369/Y369-1</f>
        <v>-0.27692307692307694</v>
      </c>
      <c r="AD370" s="10">
        <f>AD369/Z369-1</f>
        <v>-0.23333333333333328</v>
      </c>
      <c r="AE370" s="167"/>
      <c r="AF370" s="10"/>
      <c r="AG370" s="10">
        <f>AG369/AC369-1</f>
        <v>-5.3191489361702149E-2</v>
      </c>
      <c r="AH370" s="10">
        <f>AH369/AD369-1</f>
        <v>-4.3478260869565188E-2</v>
      </c>
      <c r="AI370" s="167"/>
      <c r="AJ370" s="10"/>
      <c r="AK370" s="10"/>
      <c r="AL370" s="482"/>
      <c r="AM370" s="167"/>
      <c r="AN370" s="428"/>
      <c r="AO370" s="428"/>
      <c r="AP370" s="482"/>
      <c r="AQ370" s="1350"/>
    </row>
    <row r="371" spans="1:43" s="1038" customFormat="1" ht="9.75" hidden="1" customHeight="1" outlineLevel="1">
      <c r="A371" s="2" t="s">
        <v>15</v>
      </c>
      <c r="B371" s="10"/>
      <c r="C371" s="10">
        <v>7.0000000000000007E-2</v>
      </c>
      <c r="D371" s="10">
        <v>-0.04</v>
      </c>
      <c r="E371" s="10">
        <v>-0.05</v>
      </c>
      <c r="F371" s="10">
        <v>-0.06</v>
      </c>
      <c r="G371" s="10">
        <v>-0.13</v>
      </c>
      <c r="H371" s="10">
        <v>-0.08</v>
      </c>
      <c r="I371" s="50"/>
      <c r="J371" s="50"/>
      <c r="K371" s="50"/>
      <c r="L371" s="50"/>
      <c r="M371" s="50"/>
      <c r="N371" s="50"/>
      <c r="O371" s="50"/>
      <c r="P371" s="50"/>
      <c r="Q371" s="50"/>
      <c r="R371" s="1019"/>
      <c r="S371" s="10"/>
      <c r="T371" s="10"/>
      <c r="U371" s="10"/>
      <c r="V371" s="10"/>
      <c r="W371" s="10">
        <v>-0.09</v>
      </c>
      <c r="X371" s="10">
        <v>-0.03</v>
      </c>
      <c r="Y371" s="10">
        <v>-0.03</v>
      </c>
      <c r="Z371" s="10">
        <v>-0.09</v>
      </c>
      <c r="AA371" s="163">
        <v>-0.11</v>
      </c>
      <c r="AB371" s="10">
        <v>-0.15</v>
      </c>
      <c r="AC371" s="10">
        <v>-0.14000000000000001</v>
      </c>
      <c r="AD371" s="10">
        <v>-0.1</v>
      </c>
      <c r="AE371" s="163"/>
      <c r="AF371" s="10"/>
      <c r="AG371" s="10">
        <v>-0.08</v>
      </c>
      <c r="AH371" s="10">
        <v>-0.06</v>
      </c>
      <c r="AI371" s="163"/>
      <c r="AJ371" s="10"/>
      <c r="AK371" s="10"/>
      <c r="AL371" s="482"/>
      <c r="AM371" s="163"/>
      <c r="AN371" s="428"/>
      <c r="AO371" s="428"/>
      <c r="AP371" s="482"/>
      <c r="AQ371" s="1350"/>
    </row>
    <row r="372" spans="1:43" ht="12.75" customHeight="1" collapsed="1">
      <c r="A372" s="1025" t="s">
        <v>50</v>
      </c>
      <c r="B372" s="34">
        <f>B375+B377</f>
        <v>391</v>
      </c>
      <c r="C372" s="4">
        <f>C375+C377</f>
        <v>677</v>
      </c>
      <c r="D372" s="4">
        <f>D375+D377</f>
        <v>910</v>
      </c>
      <c r="E372" s="34">
        <f>E375+E377</f>
        <v>1200</v>
      </c>
      <c r="F372" s="4">
        <f>F375+F377</f>
        <v>1224</v>
      </c>
      <c r="G372" s="4">
        <f t="shared" ref="G372:Q372" si="599">+G375+G377</f>
        <v>1140</v>
      </c>
      <c r="H372" s="4">
        <f t="shared" si="599"/>
        <v>1193</v>
      </c>
      <c r="I372" s="4">
        <f t="shared" ref="I372" si="600">+I375+I377</f>
        <v>1233</v>
      </c>
      <c r="J372" s="107">
        <f t="shared" si="599"/>
        <v>1348.5276143368935</v>
      </c>
      <c r="K372" s="107">
        <f t="shared" si="599"/>
        <v>1415.9539950537383</v>
      </c>
      <c r="L372" s="107">
        <f t="shared" si="599"/>
        <v>1486.7516948064251</v>
      </c>
      <c r="M372" s="107">
        <f t="shared" si="599"/>
        <v>1561.0892795467464</v>
      </c>
      <c r="N372" s="135">
        <f t="shared" si="599"/>
        <v>1248.8714236373971</v>
      </c>
      <c r="O372" s="107">
        <f t="shared" si="599"/>
        <v>624.43571181869856</v>
      </c>
      <c r="P372" s="107">
        <f t="shared" si="599"/>
        <v>405.88321268215407</v>
      </c>
      <c r="Q372" s="107">
        <f t="shared" si="599"/>
        <v>365.29489141393867</v>
      </c>
      <c r="R372" s="402">
        <f>(N372/J372)^(1/($N$1-$J$1))-1</f>
        <v>-1.9010246770779782E-2</v>
      </c>
      <c r="S372" s="1026"/>
      <c r="T372" s="1026"/>
      <c r="U372" s="1026"/>
      <c r="W372" s="4">
        <f t="shared" ref="W372:AC372" si="601">W375+W377</f>
        <v>308</v>
      </c>
      <c r="X372" s="4">
        <f t="shared" si="601"/>
        <v>328</v>
      </c>
      <c r="Y372" s="4">
        <f t="shared" si="601"/>
        <v>293</v>
      </c>
      <c r="Z372" s="4">
        <f t="shared" si="601"/>
        <v>295</v>
      </c>
      <c r="AA372" s="157">
        <f t="shared" si="601"/>
        <v>292</v>
      </c>
      <c r="AB372" s="4">
        <f t="shared" si="601"/>
        <v>273</v>
      </c>
      <c r="AC372" s="4">
        <f t="shared" si="601"/>
        <v>281</v>
      </c>
      <c r="AD372" s="107">
        <f t="shared" ref="AD372:AP372" si="602">+AD375+AD377</f>
        <v>294</v>
      </c>
      <c r="AE372" s="166">
        <f t="shared" si="602"/>
        <v>283</v>
      </c>
      <c r="AF372" s="4">
        <f t="shared" si="602"/>
        <v>306</v>
      </c>
      <c r="AG372" s="4">
        <f t="shared" si="602"/>
        <v>306</v>
      </c>
      <c r="AH372" s="107">
        <f t="shared" si="602"/>
        <v>298</v>
      </c>
      <c r="AI372" s="166">
        <f t="shared" si="602"/>
        <v>286</v>
      </c>
      <c r="AJ372" s="4">
        <v>310</v>
      </c>
      <c r="AK372" s="4">
        <v>310</v>
      </c>
      <c r="AL372" s="481">
        <f t="shared" si="602"/>
        <v>327</v>
      </c>
      <c r="AM372" s="166">
        <f t="shared" si="602"/>
        <v>318</v>
      </c>
      <c r="AN372" s="396">
        <f t="shared" si="602"/>
        <v>342.88243801883874</v>
      </c>
      <c r="AO372" s="396">
        <f t="shared" si="602"/>
        <v>333.51394796666779</v>
      </c>
      <c r="AP372" s="481">
        <f t="shared" si="602"/>
        <v>354.13122835138705</v>
      </c>
      <c r="AQ372" s="1350"/>
    </row>
    <row r="373" spans="1:43" s="1028" customFormat="1" ht="9.75" hidden="1" customHeight="1" outlineLevel="1">
      <c r="A373" s="1048" t="s">
        <v>14</v>
      </c>
      <c r="B373" s="5"/>
      <c r="C373" s="10">
        <f>C372/B372-1</f>
        <v>0.73145780051150888</v>
      </c>
      <c r="D373" s="10">
        <f>D372/C372-1</f>
        <v>0.34416543574593805</v>
      </c>
      <c r="E373" s="10">
        <f>E372/D372-1</f>
        <v>0.31868131868131866</v>
      </c>
      <c r="F373" s="10">
        <f>F372/E372-1</f>
        <v>2.0000000000000018E-2</v>
      </c>
      <c r="G373" s="10">
        <f t="shared" ref="G373:Q373" si="603">G372/F372-1</f>
        <v>-6.8627450980392135E-2</v>
      </c>
      <c r="H373" s="10">
        <f t="shared" si="603"/>
        <v>4.6491228070175472E-2</v>
      </c>
      <c r="I373" s="10">
        <f t="shared" si="603"/>
        <v>3.3528918692372178E-2</v>
      </c>
      <c r="J373" s="10">
        <f t="shared" si="603"/>
        <v>9.369636199261433E-2</v>
      </c>
      <c r="K373" s="10">
        <f t="shared" si="603"/>
        <v>5.0000000000000044E-2</v>
      </c>
      <c r="L373" s="10">
        <f t="shared" si="603"/>
        <v>5.0000000000000044E-2</v>
      </c>
      <c r="M373" s="10">
        <f t="shared" si="603"/>
        <v>5.0000000000000044E-2</v>
      </c>
      <c r="N373" s="10">
        <f t="shared" si="603"/>
        <v>-0.19999999999999996</v>
      </c>
      <c r="O373" s="10">
        <f t="shared" si="603"/>
        <v>-0.5</v>
      </c>
      <c r="P373" s="10">
        <f t="shared" si="603"/>
        <v>-0.35</v>
      </c>
      <c r="Q373" s="10">
        <f t="shared" si="603"/>
        <v>-9.9999999999999978E-2</v>
      </c>
      <c r="R373" s="1018"/>
      <c r="S373" s="5"/>
      <c r="T373" s="5"/>
      <c r="U373" s="5"/>
      <c r="V373" s="5"/>
      <c r="W373" s="10">
        <v>0.15355805243445686</v>
      </c>
      <c r="X373" s="10">
        <v>0.13494809688581322</v>
      </c>
      <c r="Y373" s="10">
        <v>-7.2784810126582333E-2</v>
      </c>
      <c r="Z373" s="10">
        <v>-0.10060975609756095</v>
      </c>
      <c r="AA373" s="163">
        <f t="shared" ref="AA373:AH373" si="604">AA372/W372-1</f>
        <v>-5.1948051948051965E-2</v>
      </c>
      <c r="AB373" s="10">
        <f t="shared" si="604"/>
        <v>-0.16768292682926833</v>
      </c>
      <c r="AC373" s="10">
        <f t="shared" si="604"/>
        <v>-4.095563139931746E-2</v>
      </c>
      <c r="AD373" s="10">
        <f t="shared" si="604"/>
        <v>-3.3898305084745228E-3</v>
      </c>
      <c r="AE373" s="163">
        <f t="shared" si="604"/>
        <v>-3.082191780821919E-2</v>
      </c>
      <c r="AF373" s="10">
        <f t="shared" si="604"/>
        <v>0.12087912087912089</v>
      </c>
      <c r="AG373" s="10">
        <f t="shared" si="604"/>
        <v>8.8967971530249157E-2</v>
      </c>
      <c r="AH373" s="10">
        <f t="shared" si="604"/>
        <v>1.3605442176870763E-2</v>
      </c>
      <c r="AI373" s="163">
        <f>AI372/AE372-1</f>
        <v>1.0600706713780994E-2</v>
      </c>
      <c r="AJ373" s="10">
        <f>AJ372/AF372-1</f>
        <v>1.3071895424836555E-2</v>
      </c>
      <c r="AK373" s="10">
        <f>AK372/AG372-1</f>
        <v>1.3071895424836555E-2</v>
      </c>
      <c r="AL373" s="482">
        <f>AL372/AH372-1</f>
        <v>9.7315436241610653E-2</v>
      </c>
      <c r="AM373" s="163">
        <f t="shared" ref="AM373" si="605">AM372/AI372-1</f>
        <v>0.11188811188811187</v>
      </c>
      <c r="AN373" s="428">
        <f t="shared" ref="AN373" si="606">AN372/AJ372-1</f>
        <v>0.10607238070593139</v>
      </c>
      <c r="AO373" s="428">
        <f t="shared" ref="AO373" si="607">AO372/AK372-1</f>
        <v>7.5851445053767064E-2</v>
      </c>
      <c r="AP373" s="482">
        <f t="shared" ref="AP373" si="608">AP372/AL372-1</f>
        <v>8.2970117282529232E-2</v>
      </c>
      <c r="AQ373" s="1350"/>
    </row>
    <row r="374" spans="1:43" s="1028" customFormat="1" ht="9.75" hidden="1" customHeight="1" outlineLevel="1">
      <c r="A374" s="1048" t="s">
        <v>15</v>
      </c>
      <c r="B374" s="5"/>
      <c r="C374" s="5"/>
      <c r="D374" s="5"/>
      <c r="E374" s="5"/>
      <c r="F374" s="5"/>
      <c r="G374" s="10">
        <v>0.08</v>
      </c>
      <c r="H374" s="10">
        <v>0.06</v>
      </c>
      <c r="I374" s="10">
        <v>0.05</v>
      </c>
      <c r="J374" s="10">
        <f t="shared" ref="J374:Q374" si="609">J373-((J378-J379)*J377/J372)</f>
        <v>0.05</v>
      </c>
      <c r="K374" s="10">
        <f t="shared" si="609"/>
        <v>0.05</v>
      </c>
      <c r="L374" s="10">
        <f t="shared" si="609"/>
        <v>0.05</v>
      </c>
      <c r="M374" s="10">
        <f t="shared" si="609"/>
        <v>0.05</v>
      </c>
      <c r="N374" s="10">
        <f t="shared" si="609"/>
        <v>-0.2</v>
      </c>
      <c r="O374" s="10">
        <f t="shared" si="609"/>
        <v>-0.5</v>
      </c>
      <c r="P374" s="10">
        <f t="shared" si="609"/>
        <v>-0.35</v>
      </c>
      <c r="Q374" s="10">
        <f t="shared" si="609"/>
        <v>-0.1</v>
      </c>
      <c r="R374" s="1018"/>
      <c r="S374" s="5"/>
      <c r="T374" s="5"/>
      <c r="U374" s="5"/>
      <c r="V374" s="5"/>
      <c r="W374" s="10">
        <v>0.2</v>
      </c>
      <c r="X374" s="10">
        <v>0.14000000000000001</v>
      </c>
      <c r="Y374" s="10">
        <v>-0.05</v>
      </c>
      <c r="Z374" s="10">
        <v>-0.01</v>
      </c>
      <c r="AA374" s="163">
        <v>0.09</v>
      </c>
      <c r="AB374" s="10">
        <v>-0.01</v>
      </c>
      <c r="AC374" s="10">
        <v>0.12</v>
      </c>
      <c r="AD374" s="10">
        <v>0.12</v>
      </c>
      <c r="AE374" s="163">
        <v>0.04</v>
      </c>
      <c r="AF374" s="10">
        <v>0.12</v>
      </c>
      <c r="AG374" s="10">
        <v>0.06</v>
      </c>
      <c r="AH374" s="10">
        <v>0</v>
      </c>
      <c r="AI374" s="163">
        <v>0.04</v>
      </c>
      <c r="AJ374" s="10">
        <v>0.03</v>
      </c>
      <c r="AK374" s="10">
        <v>0.03</v>
      </c>
      <c r="AL374" s="482">
        <v>0.08</v>
      </c>
      <c r="AM374" s="163">
        <v>0.05</v>
      </c>
      <c r="AN374" s="428">
        <f t="shared" ref="AN374:AO374" si="610">AN373-((AN378-AN379)*AN377/AN372)</f>
        <v>0.05</v>
      </c>
      <c r="AO374" s="428">
        <f t="shared" si="610"/>
        <v>0.05</v>
      </c>
      <c r="AP374" s="482"/>
      <c r="AQ374" s="1350"/>
    </row>
    <row r="375" spans="1:43" s="1038" customFormat="1" ht="12.75" hidden="1" customHeight="1" outlineLevel="1">
      <c r="A375" s="2" t="s">
        <v>72</v>
      </c>
      <c r="B375" s="10"/>
      <c r="C375" s="10"/>
      <c r="D375" s="10"/>
      <c r="E375" s="10"/>
      <c r="F375" s="10"/>
      <c r="G375" s="10"/>
      <c r="H375" s="10"/>
      <c r="I375" s="107"/>
      <c r="J375" s="107"/>
      <c r="K375" s="107"/>
      <c r="L375" s="107"/>
      <c r="M375" s="107"/>
      <c r="N375" s="107"/>
      <c r="O375" s="107"/>
      <c r="P375" s="107"/>
      <c r="Q375" s="107"/>
      <c r="R375" s="1019"/>
      <c r="S375" s="10"/>
      <c r="T375" s="10"/>
      <c r="U375" s="10"/>
      <c r="V375" s="10"/>
      <c r="W375" s="10"/>
      <c r="X375" s="10"/>
      <c r="Y375" s="10"/>
      <c r="Z375" s="10"/>
      <c r="AA375" s="163"/>
      <c r="AB375" s="10"/>
      <c r="AC375" s="11"/>
      <c r="AD375" s="107"/>
      <c r="AE375" s="163"/>
      <c r="AF375" s="10"/>
      <c r="AG375" s="10"/>
      <c r="AH375" s="107"/>
      <c r="AI375" s="163"/>
      <c r="AJ375" s="10"/>
      <c r="AK375" s="107"/>
      <c r="AL375" s="481"/>
      <c r="AM375" s="163"/>
      <c r="AN375" s="396"/>
      <c r="AO375" s="396"/>
      <c r="AP375" s="481"/>
      <c r="AQ375" s="1350"/>
    </row>
    <row r="376" spans="1:43" s="1038" customFormat="1" ht="9.75" hidden="1" customHeight="1" outlineLevel="1">
      <c r="A376" s="2" t="s">
        <v>14</v>
      </c>
      <c r="B376" s="10"/>
      <c r="C376" s="10"/>
      <c r="D376" s="10"/>
      <c r="E376" s="10"/>
      <c r="F376" s="10"/>
      <c r="G376" s="10"/>
      <c r="H376" s="10"/>
      <c r="I376" s="50"/>
      <c r="J376" s="50"/>
      <c r="K376" s="50"/>
      <c r="L376" s="50"/>
      <c r="M376" s="50"/>
      <c r="N376" s="50"/>
      <c r="O376" s="50"/>
      <c r="P376" s="50"/>
      <c r="Q376" s="50"/>
      <c r="R376" s="1019"/>
      <c r="S376" s="10"/>
      <c r="T376" s="10"/>
      <c r="U376" s="10"/>
      <c r="V376" s="10"/>
      <c r="W376" s="10"/>
      <c r="X376" s="10"/>
      <c r="Y376" s="10"/>
      <c r="Z376" s="10"/>
      <c r="AA376" s="163"/>
      <c r="AB376" s="10"/>
      <c r="AC376" s="10"/>
      <c r="AD376" s="10"/>
      <c r="AE376" s="163"/>
      <c r="AF376" s="10"/>
      <c r="AG376" s="10"/>
      <c r="AH376" s="10"/>
      <c r="AI376" s="163"/>
      <c r="AJ376" s="10"/>
      <c r="AK376" s="50"/>
      <c r="AL376" s="497"/>
      <c r="AM376" s="163"/>
      <c r="AN376" s="539"/>
      <c r="AO376" s="539"/>
      <c r="AP376" s="482"/>
      <c r="AQ376" s="1350"/>
    </row>
    <row r="377" spans="1:43" s="1038" customFormat="1" ht="12.75" hidden="1" customHeight="1" outlineLevel="1">
      <c r="A377" s="2" t="s">
        <v>73</v>
      </c>
      <c r="B377" s="4">
        <v>391</v>
      </c>
      <c r="C377" s="4">
        <v>677</v>
      </c>
      <c r="D377" s="4">
        <v>910</v>
      </c>
      <c r="E377" s="4">
        <v>1200</v>
      </c>
      <c r="F377" s="4">
        <v>1224</v>
      </c>
      <c r="G377" s="4">
        <v>1140</v>
      </c>
      <c r="H377" s="4">
        <v>1193</v>
      </c>
      <c r="I377" s="107">
        <v>1233</v>
      </c>
      <c r="J377" s="107">
        <f t="shared" ref="J377:Q377" si="611">I377*(1+J379)*(1+J$32)</f>
        <v>1348.5276143368935</v>
      </c>
      <c r="K377" s="107">
        <f t="shared" si="611"/>
        <v>1415.9539950537383</v>
      </c>
      <c r="L377" s="107">
        <f t="shared" si="611"/>
        <v>1486.7516948064251</v>
      </c>
      <c r="M377" s="107">
        <f t="shared" si="611"/>
        <v>1561.0892795467464</v>
      </c>
      <c r="N377" s="135">
        <f t="shared" si="611"/>
        <v>1248.8714236373971</v>
      </c>
      <c r="O377" s="107">
        <f t="shared" si="611"/>
        <v>624.43571181869856</v>
      </c>
      <c r="P377" s="107">
        <f t="shared" si="611"/>
        <v>405.88321268215407</v>
      </c>
      <c r="Q377" s="107">
        <f t="shared" si="611"/>
        <v>365.29489141393867</v>
      </c>
      <c r="R377" s="402">
        <f>(N377/J377)^(1/($N$1-$J$1))-1</f>
        <v>-1.9010246770779782E-2</v>
      </c>
      <c r="S377" s="10"/>
      <c r="T377" s="10"/>
      <c r="U377" s="10"/>
      <c r="V377" s="10"/>
      <c r="W377" s="4">
        <v>308</v>
      </c>
      <c r="X377" s="4">
        <v>328</v>
      </c>
      <c r="Y377" s="4">
        <v>293</v>
      </c>
      <c r="Z377" s="4">
        <v>295</v>
      </c>
      <c r="AA377" s="157">
        <v>292</v>
      </c>
      <c r="AB377" s="4">
        <v>273</v>
      </c>
      <c r="AC377" s="4">
        <v>281</v>
      </c>
      <c r="AD377" s="107">
        <f>G377-AC377-AB377-AA377</f>
        <v>294</v>
      </c>
      <c r="AE377" s="157">
        <v>283</v>
      </c>
      <c r="AF377" s="4">
        <v>306</v>
      </c>
      <c r="AG377" s="4">
        <v>306</v>
      </c>
      <c r="AH377" s="107">
        <f>H377-AE377-AF377-AG377</f>
        <v>298</v>
      </c>
      <c r="AI377" s="157">
        <v>286</v>
      </c>
      <c r="AJ377" s="4">
        <v>310</v>
      </c>
      <c r="AK377" s="4">
        <v>310</v>
      </c>
      <c r="AL377" s="481">
        <f>I377-AI377-AJ377-AK377</f>
        <v>327</v>
      </c>
      <c r="AM377" s="157">
        <v>318</v>
      </c>
      <c r="AN377" s="396">
        <f>AJ377*(1+AN379)*(1+AN$32)</f>
        <v>342.88243801883874</v>
      </c>
      <c r="AO377" s="396">
        <f>AK377*(1+AO379)*(1+AO$32)</f>
        <v>333.51394796666779</v>
      </c>
      <c r="AP377" s="481">
        <f>J377-AM377-AN377-AO377</f>
        <v>354.13122835138705</v>
      </c>
      <c r="AQ377" s="1350"/>
    </row>
    <row r="378" spans="1:43" s="1038" customFormat="1" ht="9.75" hidden="1" customHeight="1" outlineLevel="1">
      <c r="A378" s="2" t="s">
        <v>14</v>
      </c>
      <c r="B378" s="10"/>
      <c r="C378" s="10">
        <f>C377/B377-1</f>
        <v>0.73145780051150888</v>
      </c>
      <c r="D378" s="10">
        <f>D377/C377-1</f>
        <v>0.34416543574593805</v>
      </c>
      <c r="E378" s="10">
        <f>E377/D377-1</f>
        <v>0.31868131868131866</v>
      </c>
      <c r="F378" s="10">
        <f>F377/E377-1</f>
        <v>2.0000000000000018E-2</v>
      </c>
      <c r="G378" s="10">
        <f t="shared" ref="G378:Q378" si="612">G377/F377-1</f>
        <v>-6.8627450980392135E-2</v>
      </c>
      <c r="H378" s="10">
        <f t="shared" si="612"/>
        <v>4.6491228070175472E-2</v>
      </c>
      <c r="I378" s="10">
        <f t="shared" si="612"/>
        <v>3.3528918692372178E-2</v>
      </c>
      <c r="J378" s="10">
        <f t="shared" si="612"/>
        <v>9.369636199261433E-2</v>
      </c>
      <c r="K378" s="10">
        <f t="shared" si="612"/>
        <v>5.0000000000000044E-2</v>
      </c>
      <c r="L378" s="10">
        <f t="shared" si="612"/>
        <v>5.0000000000000044E-2</v>
      </c>
      <c r="M378" s="10">
        <f t="shared" si="612"/>
        <v>5.0000000000000044E-2</v>
      </c>
      <c r="N378" s="10">
        <f t="shared" si="612"/>
        <v>-0.19999999999999996</v>
      </c>
      <c r="O378" s="10">
        <f t="shared" si="612"/>
        <v>-0.5</v>
      </c>
      <c r="P378" s="10">
        <f t="shared" si="612"/>
        <v>-0.35</v>
      </c>
      <c r="Q378" s="10">
        <f t="shared" si="612"/>
        <v>-9.9999999999999978E-2</v>
      </c>
      <c r="R378" s="1019"/>
      <c r="S378" s="10"/>
      <c r="T378" s="10"/>
      <c r="U378" s="10"/>
      <c r="V378" s="10"/>
      <c r="W378" s="10">
        <v>0.15355805243445686</v>
      </c>
      <c r="X378" s="10">
        <v>0.13494809688581322</v>
      </c>
      <c r="Y378" s="10">
        <v>-7.2784810126582333E-2</v>
      </c>
      <c r="Z378" s="10">
        <v>-0.10060975609756095</v>
      </c>
      <c r="AA378" s="163">
        <f t="shared" ref="AA378:AH378" si="613">AA377/W377-1</f>
        <v>-5.1948051948051965E-2</v>
      </c>
      <c r="AB378" s="10">
        <f t="shared" si="613"/>
        <v>-0.16768292682926833</v>
      </c>
      <c r="AC378" s="10">
        <f t="shared" si="613"/>
        <v>-4.095563139931746E-2</v>
      </c>
      <c r="AD378" s="10">
        <f t="shared" si="613"/>
        <v>-3.3898305084745228E-3</v>
      </c>
      <c r="AE378" s="163">
        <f t="shared" si="613"/>
        <v>-3.082191780821919E-2</v>
      </c>
      <c r="AF378" s="10">
        <f t="shared" si="613"/>
        <v>0.12087912087912089</v>
      </c>
      <c r="AG378" s="10">
        <f t="shared" si="613"/>
        <v>8.8967971530249157E-2</v>
      </c>
      <c r="AH378" s="10">
        <f t="shared" si="613"/>
        <v>1.3605442176870763E-2</v>
      </c>
      <c r="AI378" s="163">
        <f>AI377/AE377-1</f>
        <v>1.0600706713780994E-2</v>
      </c>
      <c r="AJ378" s="10">
        <f>AJ377/AF377-1</f>
        <v>1.3071895424836555E-2</v>
      </c>
      <c r="AK378" s="10">
        <f>AK377/AG377-1</f>
        <v>1.3071895424836555E-2</v>
      </c>
      <c r="AL378" s="482">
        <f>AL377/AH377-1</f>
        <v>9.7315436241610653E-2</v>
      </c>
      <c r="AM378" s="163">
        <f t="shared" ref="AM378" si="614">AM377/AI377-1</f>
        <v>0.11188811188811187</v>
      </c>
      <c r="AN378" s="428">
        <f t="shared" ref="AN378" si="615">AN377/AJ377-1</f>
        <v>0.10607238070593139</v>
      </c>
      <c r="AO378" s="428">
        <f t="shared" ref="AO378" si="616">AO377/AK377-1</f>
        <v>7.5851445053767064E-2</v>
      </c>
      <c r="AP378" s="482">
        <f>AP377/AL377-1</f>
        <v>8.2970117282529232E-2</v>
      </c>
      <c r="AQ378" s="1350"/>
    </row>
    <row r="379" spans="1:43" s="1038" customFormat="1" ht="9.75" hidden="1" customHeight="1" outlineLevel="1">
      <c r="A379" s="2" t="s">
        <v>15</v>
      </c>
      <c r="B379" s="10"/>
      <c r="C379" s="10">
        <v>0.66</v>
      </c>
      <c r="D379" s="10">
        <v>0.43</v>
      </c>
      <c r="E379" s="10">
        <v>0.4</v>
      </c>
      <c r="F379" s="10">
        <v>0.06</v>
      </c>
      <c r="G379" s="10">
        <v>0.08</v>
      </c>
      <c r="H379" s="10">
        <v>0.06</v>
      </c>
      <c r="I379" s="10">
        <v>0.05</v>
      </c>
      <c r="J379" s="50">
        <v>0.05</v>
      </c>
      <c r="K379" s="50">
        <v>0.05</v>
      </c>
      <c r="L379" s="50">
        <v>0.05</v>
      </c>
      <c r="M379" s="50">
        <v>0.05</v>
      </c>
      <c r="N379" s="50">
        <v>-0.2</v>
      </c>
      <c r="O379" s="50">
        <v>-0.5</v>
      </c>
      <c r="P379" s="50">
        <v>-0.35</v>
      </c>
      <c r="Q379" s="50">
        <v>-0.1</v>
      </c>
      <c r="R379" s="1019"/>
      <c r="S379" s="10"/>
      <c r="T379" s="10"/>
      <c r="U379" s="10"/>
      <c r="V379" s="10"/>
      <c r="W379" s="10">
        <v>0.2</v>
      </c>
      <c r="X379" s="10">
        <v>0.14000000000000001</v>
      </c>
      <c r="Y379" s="10">
        <v>-0.05</v>
      </c>
      <c r="Z379" s="10">
        <v>-0.01</v>
      </c>
      <c r="AA379" s="163">
        <v>0.09</v>
      </c>
      <c r="AB379" s="10">
        <v>-0.01</v>
      </c>
      <c r="AC379" s="10">
        <v>0.12</v>
      </c>
      <c r="AD379" s="10">
        <v>0.12</v>
      </c>
      <c r="AE379" s="163">
        <v>0.04</v>
      </c>
      <c r="AF379" s="10">
        <v>0.12</v>
      </c>
      <c r="AG379" s="10">
        <v>0.06</v>
      </c>
      <c r="AH379" s="10">
        <v>0</v>
      </c>
      <c r="AI379" s="163">
        <v>0.04</v>
      </c>
      <c r="AJ379" s="10">
        <v>0.03</v>
      </c>
      <c r="AK379" s="10">
        <v>0.03</v>
      </c>
      <c r="AL379" s="482">
        <v>0.08</v>
      </c>
      <c r="AM379" s="163">
        <v>0.05</v>
      </c>
      <c r="AN379" s="539">
        <v>0.05</v>
      </c>
      <c r="AO379" s="539">
        <v>0.05</v>
      </c>
      <c r="AP379" s="497"/>
      <c r="AQ379" s="1350"/>
    </row>
    <row r="380" spans="1:43" ht="12.75" customHeight="1" collapsed="1">
      <c r="A380" s="1025" t="s">
        <v>38</v>
      </c>
      <c r="B380" s="34">
        <v>444</v>
      </c>
      <c r="C380" s="4">
        <f>+C383+C385</f>
        <v>518</v>
      </c>
      <c r="D380" s="4">
        <f>+D383+D385</f>
        <v>579</v>
      </c>
      <c r="E380" s="4">
        <f>+E383+E385</f>
        <v>637</v>
      </c>
      <c r="F380" s="4">
        <f>+F383+F385</f>
        <v>543</v>
      </c>
      <c r="G380" s="4">
        <f>+G383+G385</f>
        <v>441</v>
      </c>
      <c r="H380" s="4">
        <v>383</v>
      </c>
      <c r="I380" s="135">
        <v>378</v>
      </c>
      <c r="J380" s="135"/>
      <c r="K380" s="135"/>
      <c r="L380" s="135"/>
      <c r="M380" s="135"/>
      <c r="N380" s="135"/>
      <c r="O380" s="135"/>
      <c r="P380" s="135"/>
      <c r="Q380" s="135"/>
      <c r="R380" s="402"/>
      <c r="S380" s="1026"/>
      <c r="T380" s="1026"/>
      <c r="U380" s="1026"/>
      <c r="W380" s="4">
        <f t="shared" ref="W380:AD380" si="617">+W383+W385</f>
        <v>133</v>
      </c>
      <c r="X380" s="4">
        <f t="shared" si="617"/>
        <v>123</v>
      </c>
      <c r="Y380" s="4">
        <f t="shared" si="617"/>
        <v>156</v>
      </c>
      <c r="Z380" s="4">
        <f t="shared" si="617"/>
        <v>131</v>
      </c>
      <c r="AA380" s="157">
        <f t="shared" si="617"/>
        <v>99</v>
      </c>
      <c r="AB380" s="4">
        <f t="shared" si="617"/>
        <v>100</v>
      </c>
      <c r="AC380" s="4">
        <f t="shared" si="617"/>
        <v>127</v>
      </c>
      <c r="AD380" s="107">
        <f t="shared" si="617"/>
        <v>115</v>
      </c>
      <c r="AE380" s="168">
        <v>104</v>
      </c>
      <c r="AF380" s="4">
        <v>91</v>
      </c>
      <c r="AG380" s="4">
        <v>97</v>
      </c>
      <c r="AH380" s="107">
        <f>H380-AE380-AF380-AG380</f>
        <v>91</v>
      </c>
      <c r="AI380" s="406">
        <v>82</v>
      </c>
      <c r="AJ380" s="14">
        <v>98</v>
      </c>
      <c r="AK380" s="14">
        <v>94</v>
      </c>
      <c r="AL380" s="489">
        <f>I380-AI380-AJ380-AK380</f>
        <v>104</v>
      </c>
      <c r="AM380" s="406"/>
      <c r="AN380" s="543"/>
      <c r="AO380" s="543"/>
      <c r="AP380" s="489"/>
      <c r="AQ380" s="1350"/>
    </row>
    <row r="381" spans="1:43" s="1028" customFormat="1" ht="9.75" hidden="1" customHeight="1" outlineLevel="1">
      <c r="A381" s="1048" t="s">
        <v>14</v>
      </c>
      <c r="B381" s="35"/>
      <c r="C381" s="10">
        <f t="shared" ref="C381:I381" si="618">C380/B380-1</f>
        <v>0.16666666666666674</v>
      </c>
      <c r="D381" s="10">
        <f t="shared" si="618"/>
        <v>0.11776061776061786</v>
      </c>
      <c r="E381" s="10">
        <f t="shared" si="618"/>
        <v>0.10017271157167529</v>
      </c>
      <c r="F381" s="10">
        <f t="shared" si="618"/>
        <v>-0.14756671899529039</v>
      </c>
      <c r="G381" s="10">
        <f t="shared" si="618"/>
        <v>-0.18784530386740328</v>
      </c>
      <c r="H381" s="10">
        <f t="shared" si="618"/>
        <v>-0.13151927437641719</v>
      </c>
      <c r="I381" s="15">
        <f t="shared" si="618"/>
        <v>-1.3054830287206221E-2</v>
      </c>
      <c r="J381" s="15"/>
      <c r="K381" s="15"/>
      <c r="L381" s="15"/>
      <c r="M381" s="15"/>
      <c r="N381" s="15"/>
      <c r="O381" s="15"/>
      <c r="P381" s="15"/>
      <c r="Q381" s="15"/>
      <c r="R381" s="1018"/>
      <c r="S381" s="5"/>
      <c r="T381" s="5"/>
      <c r="U381" s="5"/>
      <c r="V381" s="5"/>
      <c r="W381" s="10">
        <v>-0.10738255033557043</v>
      </c>
      <c r="X381" s="10">
        <v>-0.27647058823529413</v>
      </c>
      <c r="Y381" s="10">
        <v>-1.8867924528301883E-2</v>
      </c>
      <c r="Z381" s="10">
        <v>-0.17610062893081757</v>
      </c>
      <c r="AA381" s="163">
        <f t="shared" ref="AA381:AH381" si="619">AA380/W380-1</f>
        <v>-0.25563909774436089</v>
      </c>
      <c r="AB381" s="10">
        <f t="shared" si="619"/>
        <v>-0.18699186991869921</v>
      </c>
      <c r="AC381" s="10">
        <f t="shared" si="619"/>
        <v>-0.1858974358974359</v>
      </c>
      <c r="AD381" s="10">
        <f t="shared" si="619"/>
        <v>-0.12213740458015265</v>
      </c>
      <c r="AE381" s="163">
        <f t="shared" si="619"/>
        <v>5.0505050505050608E-2</v>
      </c>
      <c r="AF381" s="10">
        <f t="shared" si="619"/>
        <v>-8.9999999999999969E-2</v>
      </c>
      <c r="AG381" s="10">
        <f t="shared" si="619"/>
        <v>-0.23622047244094491</v>
      </c>
      <c r="AH381" s="10">
        <f t="shared" si="619"/>
        <v>-0.20869565217391306</v>
      </c>
      <c r="AI381" s="407">
        <f>AI380/AE380-1</f>
        <v>-0.21153846153846156</v>
      </c>
      <c r="AJ381" s="15">
        <f>AJ380/AF380-1</f>
        <v>7.6923076923076872E-2</v>
      </c>
      <c r="AK381" s="15">
        <f>AK380/AG380-1</f>
        <v>-3.0927835051546393E-2</v>
      </c>
      <c r="AL381" s="490">
        <f>AL380/AH380-1</f>
        <v>0.14285714285714279</v>
      </c>
      <c r="AM381" s="407"/>
      <c r="AN381" s="547">
        <f t="shared" ref="AN381" si="620">AN380/AJ380-1</f>
        <v>-1</v>
      </c>
      <c r="AO381" s="547">
        <f t="shared" ref="AO381" si="621">AO380/AK380-1</f>
        <v>-1</v>
      </c>
      <c r="AP381" s="490">
        <f>AP380/AL380-1</f>
        <v>-1</v>
      </c>
      <c r="AQ381" s="1350"/>
    </row>
    <row r="382" spans="1:43" s="1028" customFormat="1" ht="9.75" hidden="1" customHeight="1" outlineLevel="1">
      <c r="A382" s="1048" t="s">
        <v>15</v>
      </c>
      <c r="B382" s="35"/>
      <c r="C382" s="10">
        <v>0.15</v>
      </c>
      <c r="D382" s="10">
        <v>0.16</v>
      </c>
      <c r="E382" s="10">
        <v>0.13</v>
      </c>
      <c r="F382" s="10">
        <v>-0.11</v>
      </c>
      <c r="G382" s="10">
        <v>-0.08</v>
      </c>
      <c r="H382" s="10">
        <v>-0.06</v>
      </c>
      <c r="I382" s="15">
        <v>0.03</v>
      </c>
      <c r="J382" s="1366"/>
      <c r="K382" s="1366"/>
      <c r="L382" s="1366"/>
      <c r="M382" s="1366"/>
      <c r="N382" s="1366"/>
      <c r="O382" s="1366"/>
      <c r="P382" s="1366"/>
      <c r="Q382" s="1366"/>
      <c r="R382" s="1018"/>
      <c r="S382" s="5"/>
      <c r="T382" s="5"/>
      <c r="U382" s="5"/>
      <c r="V382" s="5"/>
      <c r="W382" s="10">
        <v>-0.06</v>
      </c>
      <c r="X382" s="10">
        <v>-0.27</v>
      </c>
      <c r="Y382" s="10">
        <v>-0.01</v>
      </c>
      <c r="Z382" s="10">
        <v>-0.1</v>
      </c>
      <c r="AA382" s="163">
        <v>-0.19</v>
      </c>
      <c r="AB382" s="10">
        <v>-0.09</v>
      </c>
      <c r="AC382" s="10">
        <v>0</v>
      </c>
      <c r="AD382" s="10">
        <v>0</v>
      </c>
      <c r="AE382" s="163">
        <v>0.2</v>
      </c>
      <c r="AF382" s="10">
        <v>-0.05</v>
      </c>
      <c r="AG382" s="10">
        <v>-0.19</v>
      </c>
      <c r="AH382" s="10">
        <v>-0.13</v>
      </c>
      <c r="AI382" s="407">
        <v>-0.11</v>
      </c>
      <c r="AJ382" s="15">
        <v>0.1</v>
      </c>
      <c r="AK382" s="15">
        <v>-0.01</v>
      </c>
      <c r="AL382" s="490">
        <v>0.14000000000000001</v>
      </c>
      <c r="AM382" s="407"/>
      <c r="AN382" s="1364">
        <v>-1.6607684915780019E-2</v>
      </c>
      <c r="AO382" s="1364">
        <v>-1.6607684915780019E-2</v>
      </c>
      <c r="AP382" s="1365"/>
      <c r="AQ382" s="1350"/>
    </row>
    <row r="383" spans="1:43" s="1038" customFormat="1" ht="12.75" hidden="1" customHeight="1" outlineLevel="1">
      <c r="A383" s="2" t="s">
        <v>72</v>
      </c>
      <c r="B383" s="34"/>
      <c r="C383" s="4">
        <v>200</v>
      </c>
      <c r="D383" s="4">
        <v>239</v>
      </c>
      <c r="E383" s="4">
        <v>270</v>
      </c>
      <c r="F383" s="4">
        <v>149</v>
      </c>
      <c r="G383" s="4">
        <v>109</v>
      </c>
      <c r="H383" s="4"/>
      <c r="I383" s="107"/>
      <c r="J383" s="107"/>
      <c r="K383" s="107"/>
      <c r="L383" s="107"/>
      <c r="M383" s="107"/>
      <c r="N383" s="107"/>
      <c r="O383" s="107"/>
      <c r="P383" s="107"/>
      <c r="Q383" s="107"/>
      <c r="R383" s="1019"/>
      <c r="S383" s="10"/>
      <c r="T383" s="10"/>
      <c r="U383" s="10"/>
      <c r="V383" s="10"/>
      <c r="W383" s="4">
        <v>43</v>
      </c>
      <c r="X383" s="4">
        <v>36</v>
      </c>
      <c r="Y383" s="4">
        <v>36</v>
      </c>
      <c r="Z383" s="4">
        <v>34</v>
      </c>
      <c r="AA383" s="157">
        <v>28</v>
      </c>
      <c r="AB383" s="4">
        <v>22</v>
      </c>
      <c r="AC383" s="4">
        <v>29</v>
      </c>
      <c r="AD383" s="107">
        <f>G383-AC383-AB383-AA383</f>
        <v>30</v>
      </c>
      <c r="AE383" s="168"/>
      <c r="AF383" s="4"/>
      <c r="AG383" s="4"/>
      <c r="AH383" s="141"/>
      <c r="AI383" s="168"/>
      <c r="AJ383" s="4"/>
      <c r="AK383" s="107"/>
      <c r="AL383" s="481"/>
      <c r="AM383" s="168"/>
      <c r="AN383" s="396"/>
      <c r="AO383" s="396"/>
      <c r="AP383" s="481"/>
      <c r="AQ383" s="1350"/>
    </row>
    <row r="384" spans="1:43" s="1038" customFormat="1" ht="9.75" hidden="1" customHeight="1" outlineLevel="1">
      <c r="A384" s="2" t="s">
        <v>14</v>
      </c>
      <c r="B384" s="2"/>
      <c r="C384" s="10"/>
      <c r="D384" s="10">
        <f>D383/C383-1</f>
        <v>0.19500000000000006</v>
      </c>
      <c r="E384" s="10">
        <f>E383/D383-1</f>
        <v>0.12970711297071125</v>
      </c>
      <c r="F384" s="10">
        <f>F383/E383-1</f>
        <v>-0.44814814814814818</v>
      </c>
      <c r="G384" s="10">
        <f>G383/F383-1</f>
        <v>-0.26845637583892612</v>
      </c>
      <c r="H384" s="10"/>
      <c r="I384" s="50"/>
      <c r="J384" s="50"/>
      <c r="K384" s="50"/>
      <c r="L384" s="50"/>
      <c r="M384" s="50"/>
      <c r="N384" s="50"/>
      <c r="O384" s="50"/>
      <c r="P384" s="50"/>
      <c r="Q384" s="50"/>
      <c r="R384" s="1019"/>
      <c r="S384" s="10"/>
      <c r="T384" s="10"/>
      <c r="U384" s="10"/>
      <c r="V384" s="10"/>
      <c r="W384" s="10">
        <v>-0.30645161290322576</v>
      </c>
      <c r="X384" s="10">
        <v>-0.4285714285714286</v>
      </c>
      <c r="Y384" s="10">
        <v>-0.48571428571428577</v>
      </c>
      <c r="Z384" s="10">
        <v>-0.54666666666666663</v>
      </c>
      <c r="AA384" s="163">
        <f>AA383/W383-1</f>
        <v>-0.34883720930232553</v>
      </c>
      <c r="AB384" s="10">
        <f>AB383/X383-1</f>
        <v>-0.38888888888888884</v>
      </c>
      <c r="AC384" s="10">
        <f>AC383/Y383-1</f>
        <v>-0.19444444444444442</v>
      </c>
      <c r="AD384" s="10">
        <f>AD383/Z383-1</f>
        <v>-0.11764705882352944</v>
      </c>
      <c r="AE384" s="167"/>
      <c r="AF384" s="10"/>
      <c r="AG384" s="10"/>
      <c r="AH384" s="2"/>
      <c r="AI384" s="167"/>
      <c r="AJ384" s="10"/>
      <c r="AK384" s="50"/>
      <c r="AL384" s="497"/>
      <c r="AM384" s="167"/>
      <c r="AN384" s="539"/>
      <c r="AO384" s="539"/>
      <c r="AP384" s="497"/>
      <c r="AQ384" s="1350"/>
    </row>
    <row r="385" spans="1:43" s="1038" customFormat="1" ht="12.75" hidden="1" customHeight="1" outlineLevel="1">
      <c r="A385" s="2" t="s">
        <v>73</v>
      </c>
      <c r="B385" s="34"/>
      <c r="C385" s="4">
        <v>318</v>
      </c>
      <c r="D385" s="4">
        <v>340</v>
      </c>
      <c r="E385" s="4">
        <v>367</v>
      </c>
      <c r="F385" s="4">
        <v>394</v>
      </c>
      <c r="G385" s="4">
        <v>332</v>
      </c>
      <c r="H385" s="4"/>
      <c r="I385" s="107"/>
      <c r="J385" s="107"/>
      <c r="K385" s="107"/>
      <c r="L385" s="107"/>
      <c r="M385" s="107"/>
      <c r="N385" s="107"/>
      <c r="O385" s="107"/>
      <c r="P385" s="107"/>
      <c r="Q385" s="107"/>
      <c r="R385" s="1019"/>
      <c r="S385" s="10"/>
      <c r="T385" s="10"/>
      <c r="U385" s="10"/>
      <c r="V385" s="10"/>
      <c r="W385" s="4">
        <v>90</v>
      </c>
      <c r="X385" s="4">
        <v>87</v>
      </c>
      <c r="Y385" s="4">
        <v>120</v>
      </c>
      <c r="Z385" s="4">
        <v>97</v>
      </c>
      <c r="AA385" s="157">
        <v>71</v>
      </c>
      <c r="AB385" s="4">
        <v>78</v>
      </c>
      <c r="AC385" s="4">
        <v>98</v>
      </c>
      <c r="AD385" s="107">
        <f>G385-AC385-AB385-AA385</f>
        <v>85</v>
      </c>
      <c r="AE385" s="168"/>
      <c r="AF385" s="4"/>
      <c r="AG385" s="4"/>
      <c r="AH385" s="141"/>
      <c r="AI385" s="168"/>
      <c r="AJ385" s="4"/>
      <c r="AK385" s="107"/>
      <c r="AL385" s="481"/>
      <c r="AM385" s="168"/>
      <c r="AN385" s="396"/>
      <c r="AO385" s="396"/>
      <c r="AP385" s="481"/>
      <c r="AQ385" s="1350"/>
    </row>
    <row r="386" spans="1:43" s="1038" customFormat="1" ht="9.75" hidden="1" customHeight="1" outlineLevel="1">
      <c r="A386" s="2" t="s">
        <v>14</v>
      </c>
      <c r="B386" s="2"/>
      <c r="C386" s="10"/>
      <c r="D386" s="10">
        <f>D385/C385-1</f>
        <v>6.9182389937106903E-2</v>
      </c>
      <c r="E386" s="10">
        <f>E385/D385-1</f>
        <v>7.9411764705882293E-2</v>
      </c>
      <c r="F386" s="10">
        <f>F385/E385-1</f>
        <v>7.3569482288828425E-2</v>
      </c>
      <c r="G386" s="10">
        <f>G385/F385-1</f>
        <v>-0.15736040609137059</v>
      </c>
      <c r="H386" s="10"/>
      <c r="I386" s="10"/>
      <c r="J386" s="10"/>
      <c r="K386" s="10"/>
      <c r="L386" s="10"/>
      <c r="M386" s="10"/>
      <c r="N386" s="10"/>
      <c r="O386" s="10"/>
      <c r="P386" s="10"/>
      <c r="Q386" s="10"/>
      <c r="R386" s="1019"/>
      <c r="S386" s="10"/>
      <c r="T386" s="10"/>
      <c r="U386" s="10"/>
      <c r="V386" s="10"/>
      <c r="W386" s="10">
        <v>3.4482758620689724E-2</v>
      </c>
      <c r="X386" s="10">
        <v>-0.18691588785046731</v>
      </c>
      <c r="Y386" s="10">
        <v>0.348314606741573</v>
      </c>
      <c r="Z386" s="10">
        <v>0.15476190476190466</v>
      </c>
      <c r="AA386" s="163">
        <f>AA385/W385-1</f>
        <v>-0.21111111111111114</v>
      </c>
      <c r="AB386" s="10">
        <f>AB385/X385-1</f>
        <v>-0.10344827586206895</v>
      </c>
      <c r="AC386" s="10">
        <f>AC385/Y385-1</f>
        <v>-0.18333333333333335</v>
      </c>
      <c r="AD386" s="10">
        <f>AD385/Z385-1</f>
        <v>-0.12371134020618557</v>
      </c>
      <c r="AE386" s="167"/>
      <c r="AF386" s="10"/>
      <c r="AG386" s="10"/>
      <c r="AH386" s="2"/>
      <c r="AI386" s="167"/>
      <c r="AJ386" s="10"/>
      <c r="AK386" s="10"/>
      <c r="AL386" s="482"/>
      <c r="AM386" s="167"/>
      <c r="AN386" s="428"/>
      <c r="AO386" s="428"/>
      <c r="AP386" s="482"/>
      <c r="AQ386" s="1350"/>
    </row>
    <row r="387" spans="1:43" s="1038" customFormat="1" ht="9.75" hidden="1" customHeight="1" outlineLevel="1">
      <c r="A387" s="2" t="s">
        <v>15</v>
      </c>
      <c r="B387" s="2"/>
      <c r="C387" s="10">
        <v>0.11</v>
      </c>
      <c r="D387" s="10">
        <v>0.14000000000000001</v>
      </c>
      <c r="E387" s="10">
        <v>0.13</v>
      </c>
      <c r="F387" s="10">
        <v>0.14000000000000001</v>
      </c>
      <c r="G387" s="10">
        <v>0</v>
      </c>
      <c r="H387" s="10"/>
      <c r="I387" s="50"/>
      <c r="J387" s="50"/>
      <c r="K387" s="50"/>
      <c r="L387" s="50"/>
      <c r="M387" s="50"/>
      <c r="N387" s="50"/>
      <c r="O387" s="50"/>
      <c r="P387" s="50"/>
      <c r="Q387" s="50"/>
      <c r="R387" s="1019"/>
      <c r="S387" s="10"/>
      <c r="T387" s="10"/>
      <c r="U387" s="10"/>
      <c r="V387" s="10"/>
      <c r="W387" s="10">
        <v>0.11</v>
      </c>
      <c r="X387" s="10">
        <v>-0.16</v>
      </c>
      <c r="Y387" s="10">
        <v>0.35</v>
      </c>
      <c r="Z387" s="10">
        <v>0.32</v>
      </c>
      <c r="AA387" s="163">
        <v>-0.1</v>
      </c>
      <c r="AB387" s="10">
        <v>0.02</v>
      </c>
      <c r="AC387" s="10">
        <v>0.05</v>
      </c>
      <c r="AD387" s="10">
        <v>0.05</v>
      </c>
      <c r="AE387" s="167"/>
      <c r="AF387" s="10"/>
      <c r="AG387" s="10"/>
      <c r="AH387" s="2"/>
      <c r="AI387" s="167"/>
      <c r="AJ387" s="10"/>
      <c r="AK387" s="50"/>
      <c r="AL387" s="497"/>
      <c r="AM387" s="167"/>
      <c r="AN387" s="539"/>
      <c r="AO387" s="539"/>
      <c r="AP387" s="497"/>
      <c r="AQ387" s="1350"/>
    </row>
    <row r="388" spans="1:43" ht="12.75" customHeight="1" collapsed="1">
      <c r="A388" s="1025" t="s">
        <v>39</v>
      </c>
      <c r="B388" s="34">
        <v>144</v>
      </c>
      <c r="C388" s="4">
        <v>187</v>
      </c>
      <c r="D388" s="4">
        <v>210</v>
      </c>
      <c r="E388" s="4">
        <v>249</v>
      </c>
      <c r="F388" s="4">
        <v>327</v>
      </c>
      <c r="G388" s="4">
        <v>335</v>
      </c>
      <c r="H388" s="4">
        <v>398</v>
      </c>
      <c r="I388" s="107">
        <v>414</v>
      </c>
      <c r="J388" s="107">
        <f t="shared" ref="J388:Q388" si="622">I388+I388*J390</f>
        <v>434.7</v>
      </c>
      <c r="K388" s="107">
        <f t="shared" si="622"/>
        <v>456.435</v>
      </c>
      <c r="L388" s="107">
        <f t="shared" si="622"/>
        <v>456.435</v>
      </c>
      <c r="M388" s="107">
        <f t="shared" si="622"/>
        <v>456.435</v>
      </c>
      <c r="N388" s="107">
        <f t="shared" si="622"/>
        <v>456.435</v>
      </c>
      <c r="O388" s="107">
        <f t="shared" si="622"/>
        <v>456.435</v>
      </c>
      <c r="P388" s="107">
        <f t="shared" si="622"/>
        <v>456.435</v>
      </c>
      <c r="Q388" s="107">
        <f t="shared" si="622"/>
        <v>456.435</v>
      </c>
      <c r="R388" s="402">
        <f>(N388/J388)^(1/($N$1-$J$1))-1</f>
        <v>1.2272234429039353E-2</v>
      </c>
      <c r="S388" s="1026"/>
      <c r="T388" s="1026"/>
      <c r="U388" s="1026"/>
      <c r="W388" s="4">
        <v>75</v>
      </c>
      <c r="X388" s="4">
        <v>81</v>
      </c>
      <c r="Y388" s="4">
        <v>86</v>
      </c>
      <c r="Z388" s="4">
        <v>85</v>
      </c>
      <c r="AA388" s="157">
        <v>81</v>
      </c>
      <c r="AB388" s="4">
        <v>80</v>
      </c>
      <c r="AC388" s="4">
        <v>85</v>
      </c>
      <c r="AD388" s="107">
        <f>G388-AC388-AB388-AA388</f>
        <v>89</v>
      </c>
      <c r="AE388" s="157">
        <v>91</v>
      </c>
      <c r="AF388" s="4">
        <v>102</v>
      </c>
      <c r="AG388" s="4">
        <v>101</v>
      </c>
      <c r="AH388" s="107">
        <f>H388-AE388-AF388-AG388</f>
        <v>104</v>
      </c>
      <c r="AI388" s="157">
        <v>91</v>
      </c>
      <c r="AJ388" s="4">
        <v>100</v>
      </c>
      <c r="AK388" s="4">
        <v>107</v>
      </c>
      <c r="AL388" s="481">
        <f>I388-AI388-AJ388-AK388</f>
        <v>116</v>
      </c>
      <c r="AM388" s="157">
        <v>109</v>
      </c>
      <c r="AN388" s="396">
        <f t="shared" ref="AN388" si="623">AJ388+AJ388*AN390</f>
        <v>105</v>
      </c>
      <c r="AO388" s="396">
        <f t="shared" ref="AO388" si="624">AK388+AK388*AO390</f>
        <v>112.35</v>
      </c>
      <c r="AP388" s="481">
        <f>J388-AM388-AN388-AO388</f>
        <v>108.35</v>
      </c>
      <c r="AQ388" s="1350"/>
    </row>
    <row r="389" spans="1:43" s="1028" customFormat="1" ht="9.75" hidden="1" customHeight="1" outlineLevel="1">
      <c r="A389" s="1048" t="s">
        <v>14</v>
      </c>
      <c r="B389" s="35"/>
      <c r="C389" s="10"/>
      <c r="D389" s="10">
        <f t="shared" ref="D389:Q389" si="625">D388/C388-1</f>
        <v>0.12299465240641716</v>
      </c>
      <c r="E389" s="10">
        <f t="shared" si="625"/>
        <v>0.18571428571428572</v>
      </c>
      <c r="F389" s="10">
        <f t="shared" si="625"/>
        <v>0.31325301204819267</v>
      </c>
      <c r="G389" s="10">
        <f t="shared" si="625"/>
        <v>2.4464831804281273E-2</v>
      </c>
      <c r="H389" s="10">
        <f t="shared" si="625"/>
        <v>0.18805970149253737</v>
      </c>
      <c r="I389" s="10">
        <f t="shared" si="625"/>
        <v>4.020100502512558E-2</v>
      </c>
      <c r="J389" s="10">
        <f t="shared" si="625"/>
        <v>5.0000000000000044E-2</v>
      </c>
      <c r="K389" s="10">
        <f t="shared" si="625"/>
        <v>5.0000000000000044E-2</v>
      </c>
      <c r="L389" s="10">
        <f t="shared" si="625"/>
        <v>0</v>
      </c>
      <c r="M389" s="10">
        <f t="shared" si="625"/>
        <v>0</v>
      </c>
      <c r="N389" s="10">
        <f t="shared" si="625"/>
        <v>0</v>
      </c>
      <c r="O389" s="10">
        <f t="shared" si="625"/>
        <v>0</v>
      </c>
      <c r="P389" s="10">
        <f t="shared" si="625"/>
        <v>0</v>
      </c>
      <c r="Q389" s="10">
        <f t="shared" si="625"/>
        <v>0</v>
      </c>
      <c r="R389" s="1018"/>
      <c r="S389" s="5"/>
      <c r="T389" s="5"/>
      <c r="U389" s="5"/>
      <c r="V389" s="5"/>
      <c r="W389" s="10">
        <v>0.2931034482758621</v>
      </c>
      <c r="X389" s="10">
        <v>0.30645161290322576</v>
      </c>
      <c r="Y389" s="10">
        <v>0.30303030303030298</v>
      </c>
      <c r="Z389" s="10">
        <v>0.3492063492063493</v>
      </c>
      <c r="AA389" s="163">
        <f t="shared" ref="AA389:AH389" si="626">AA388/W388-1</f>
        <v>8.0000000000000071E-2</v>
      </c>
      <c r="AB389" s="10">
        <f t="shared" si="626"/>
        <v>-1.2345679012345734E-2</v>
      </c>
      <c r="AC389" s="10">
        <f t="shared" si="626"/>
        <v>-1.1627906976744207E-2</v>
      </c>
      <c r="AD389" s="10">
        <f t="shared" si="626"/>
        <v>4.705882352941182E-2</v>
      </c>
      <c r="AE389" s="163">
        <f t="shared" si="626"/>
        <v>0.12345679012345689</v>
      </c>
      <c r="AF389" s="10">
        <f t="shared" si="626"/>
        <v>0.27499999999999991</v>
      </c>
      <c r="AG389" s="10">
        <f t="shared" si="626"/>
        <v>0.18823529411764706</v>
      </c>
      <c r="AH389" s="10">
        <f t="shared" si="626"/>
        <v>0.1685393258426966</v>
      </c>
      <c r="AI389" s="163">
        <f>AI388/AE388-1</f>
        <v>0</v>
      </c>
      <c r="AJ389" s="10">
        <f>AJ388/AF388-1</f>
        <v>-1.9607843137254943E-2</v>
      </c>
      <c r="AK389" s="10">
        <f>AK388/AG388-1</f>
        <v>5.9405940594059459E-2</v>
      </c>
      <c r="AL389" s="482">
        <f>AL388/AH388-1</f>
        <v>0.11538461538461542</v>
      </c>
      <c r="AM389" s="163">
        <f t="shared" ref="AM389" si="627">AM388/AI388-1</f>
        <v>0.19780219780219777</v>
      </c>
      <c r="AN389" s="428">
        <f t="shared" ref="AN389" si="628">AN388/AJ388-1</f>
        <v>5.0000000000000044E-2</v>
      </c>
      <c r="AO389" s="428">
        <f t="shared" ref="AO389" si="629">AO388/AK388-1</f>
        <v>5.0000000000000044E-2</v>
      </c>
      <c r="AP389" s="482">
        <f>AP388/AL388-1</f>
        <v>-6.5948275862068972E-2</v>
      </c>
      <c r="AQ389" s="1350"/>
    </row>
    <row r="390" spans="1:43" s="1028" customFormat="1" ht="9.75" hidden="1" customHeight="1" outlineLevel="1">
      <c r="A390" s="1048" t="s">
        <v>15</v>
      </c>
      <c r="B390" s="35"/>
      <c r="C390" s="10">
        <v>0.25</v>
      </c>
      <c r="D390" s="10">
        <v>0.2</v>
      </c>
      <c r="E390" s="10">
        <f>E389-((E268-E269)*E267/E388)</f>
        <v>0.18571428571428572</v>
      </c>
      <c r="F390" s="10">
        <v>0.36</v>
      </c>
      <c r="G390" s="10">
        <v>0.17</v>
      </c>
      <c r="H390" s="10">
        <v>0.22</v>
      </c>
      <c r="I390" s="10">
        <v>0.04</v>
      </c>
      <c r="J390" s="50">
        <v>0.05</v>
      </c>
      <c r="K390" s="50">
        <v>0.05</v>
      </c>
      <c r="L390" s="50">
        <v>0</v>
      </c>
      <c r="M390" s="50">
        <v>0</v>
      </c>
      <c r="N390" s="50">
        <v>0</v>
      </c>
      <c r="O390" s="50">
        <v>0</v>
      </c>
      <c r="P390" s="50">
        <v>0</v>
      </c>
      <c r="Q390" s="50">
        <v>0</v>
      </c>
      <c r="R390" s="1018"/>
      <c r="S390" s="5"/>
      <c r="T390" s="5"/>
      <c r="U390" s="5"/>
      <c r="V390" s="5"/>
      <c r="W390" s="10">
        <v>0.33</v>
      </c>
      <c r="X390" s="10">
        <v>0.3</v>
      </c>
      <c r="Y390" s="10">
        <v>0.34</v>
      </c>
      <c r="Z390" s="10">
        <v>0.45</v>
      </c>
      <c r="AA390" s="163">
        <v>0.24</v>
      </c>
      <c r="AB390" s="10">
        <v>0.15</v>
      </c>
      <c r="AC390" s="10">
        <v>0.13</v>
      </c>
      <c r="AD390" s="10">
        <v>0.17</v>
      </c>
      <c r="AE390" s="163">
        <v>0.19</v>
      </c>
      <c r="AF390" s="10">
        <v>0.3</v>
      </c>
      <c r="AG390" s="10">
        <v>0.18</v>
      </c>
      <c r="AH390" s="10">
        <v>0.18</v>
      </c>
      <c r="AI390" s="163">
        <v>0.05</v>
      </c>
      <c r="AJ390" s="10">
        <v>0</v>
      </c>
      <c r="AK390" s="10">
        <v>0.06</v>
      </c>
      <c r="AL390" s="482">
        <v>0.08</v>
      </c>
      <c r="AM390" s="163">
        <v>0.13</v>
      </c>
      <c r="AN390" s="539">
        <v>0.05</v>
      </c>
      <c r="AO390" s="539">
        <v>0.05</v>
      </c>
      <c r="AP390" s="497"/>
      <c r="AQ390" s="1350"/>
    </row>
    <row r="391" spans="1:43" ht="12.75" customHeight="1" collapsed="1">
      <c r="A391" s="1025" t="s">
        <v>29</v>
      </c>
      <c r="F391" s="4">
        <v>3676</v>
      </c>
      <c r="G391" s="4">
        <f>2774-913</f>
        <v>1861</v>
      </c>
      <c r="H391" s="4">
        <v>1913</v>
      </c>
      <c r="I391" s="107">
        <f>1682+I364+I356+I276+I380</f>
        <v>2965</v>
      </c>
      <c r="J391" s="107">
        <f t="shared" ref="J391:Q391" si="630">I391+I391*J393</f>
        <v>2876.05</v>
      </c>
      <c r="K391" s="107">
        <f t="shared" si="630"/>
        <v>2789.7685000000001</v>
      </c>
      <c r="L391" s="107">
        <f t="shared" si="630"/>
        <v>2706.0754449999999</v>
      </c>
      <c r="M391" s="107">
        <f t="shared" si="630"/>
        <v>2624.8931816499999</v>
      </c>
      <c r="N391" s="107">
        <f t="shared" si="630"/>
        <v>2546.1463862004998</v>
      </c>
      <c r="O391" s="107">
        <f t="shared" si="630"/>
        <v>2469.761994614485</v>
      </c>
      <c r="P391" s="107">
        <f t="shared" si="630"/>
        <v>2395.6691347760507</v>
      </c>
      <c r="Q391" s="107">
        <f t="shared" si="630"/>
        <v>2323.7990607327692</v>
      </c>
      <c r="R391" s="402">
        <f>(N391/J391)^(1/($N$1-$J$1))-1</f>
        <v>-3.0000000000000027E-2</v>
      </c>
      <c r="S391" s="1026"/>
      <c r="T391" s="1026"/>
      <c r="U391" s="1026"/>
      <c r="W391" s="4">
        <v>896</v>
      </c>
      <c r="X391" s="4">
        <v>968</v>
      </c>
      <c r="Y391" s="4">
        <v>924</v>
      </c>
      <c r="Z391" s="4">
        <v>888</v>
      </c>
      <c r="AA391" s="157">
        <f>703-207</f>
        <v>496</v>
      </c>
      <c r="AB391" s="4">
        <f>723-242</f>
        <v>481</v>
      </c>
      <c r="AC391" s="4">
        <f>652-216</f>
        <v>436</v>
      </c>
      <c r="AD391" s="107">
        <f>G391-AC391-AB391-AA391</f>
        <v>448</v>
      </c>
      <c r="AE391" s="157">
        <v>527</v>
      </c>
      <c r="AF391" s="4">
        <v>510</v>
      </c>
      <c r="AG391" s="4">
        <v>435</v>
      </c>
      <c r="AH391" s="107">
        <f>H391-AE391-AF391-AG391</f>
        <v>441</v>
      </c>
      <c r="AI391" s="166">
        <f>444+AI364+AI356+AI276+AI380</f>
        <v>744</v>
      </c>
      <c r="AJ391" s="396">
        <f>414+AJ364+AJ356+AJ276+AJ380</f>
        <v>744</v>
      </c>
      <c r="AK391" s="396">
        <f>398+AK364+AK356+AK276+AK380</f>
        <v>704</v>
      </c>
      <c r="AL391" s="481">
        <f>I391-AI391-AJ391-AK391</f>
        <v>773</v>
      </c>
      <c r="AM391" s="157">
        <v>696</v>
      </c>
      <c r="AN391" s="396">
        <f t="shared" ref="AN391" si="631">AJ391+AJ391*AN393</f>
        <v>721.68</v>
      </c>
      <c r="AO391" s="396">
        <f t="shared" ref="AO391" si="632">AK391+AK391*AO393</f>
        <v>682.88</v>
      </c>
      <c r="AP391" s="481">
        <f>J391-AM391-AN391-AO391</f>
        <v>775.49000000000035</v>
      </c>
      <c r="AQ391" s="1350"/>
    </row>
    <row r="392" spans="1:43" s="1028" customFormat="1" ht="9.75" hidden="1" customHeight="1" outlineLevel="1">
      <c r="A392" s="1048" t="s">
        <v>14</v>
      </c>
      <c r="B392" s="5"/>
      <c r="C392" s="5"/>
      <c r="D392" s="5"/>
      <c r="E392" s="5"/>
      <c r="F392" s="5"/>
      <c r="G392" s="10">
        <f t="shared" ref="G392:Q392" si="633">G391/F391-1</f>
        <v>-0.49374319912948861</v>
      </c>
      <c r="H392" s="10">
        <f t="shared" si="633"/>
        <v>2.7941966684578157E-2</v>
      </c>
      <c r="I392" s="10">
        <f t="shared" si="633"/>
        <v>0.54992158912702571</v>
      </c>
      <c r="J392" s="10">
        <f t="shared" si="633"/>
        <v>-2.9999999999999916E-2</v>
      </c>
      <c r="K392" s="10">
        <f t="shared" si="633"/>
        <v>-3.0000000000000027E-2</v>
      </c>
      <c r="L392" s="10">
        <f t="shared" si="633"/>
        <v>-3.0000000000000027E-2</v>
      </c>
      <c r="M392" s="10">
        <f t="shared" si="633"/>
        <v>-3.0000000000000027E-2</v>
      </c>
      <c r="N392" s="10">
        <f t="shared" si="633"/>
        <v>-3.0000000000000027E-2</v>
      </c>
      <c r="O392" s="10">
        <f t="shared" si="633"/>
        <v>-2.9999999999999916E-2</v>
      </c>
      <c r="P392" s="10">
        <f t="shared" si="633"/>
        <v>-2.9999999999999916E-2</v>
      </c>
      <c r="Q392" s="10">
        <f t="shared" si="633"/>
        <v>-2.9999999999999916E-2</v>
      </c>
      <c r="R392" s="1018"/>
      <c r="S392" s="5"/>
      <c r="T392" s="5"/>
      <c r="U392" s="5"/>
      <c r="V392" s="5"/>
      <c r="W392" s="10"/>
      <c r="X392" s="10"/>
      <c r="Y392" s="10"/>
      <c r="Z392" s="10"/>
      <c r="AA392" s="163">
        <f t="shared" ref="AA392:AH392" si="634">AA391/W391-1</f>
        <v>-0.4464285714285714</v>
      </c>
      <c r="AB392" s="10">
        <f t="shared" si="634"/>
        <v>-0.50309917355371903</v>
      </c>
      <c r="AC392" s="10">
        <f t="shared" si="634"/>
        <v>-0.52813852813852813</v>
      </c>
      <c r="AD392" s="10">
        <f t="shared" si="634"/>
        <v>-0.49549549549549554</v>
      </c>
      <c r="AE392" s="163">
        <f t="shared" si="634"/>
        <v>6.25E-2</v>
      </c>
      <c r="AF392" s="10">
        <f t="shared" si="634"/>
        <v>6.0291060291060239E-2</v>
      </c>
      <c r="AG392" s="10">
        <f t="shared" si="634"/>
        <v>-2.2935779816514179E-3</v>
      </c>
      <c r="AH392" s="10">
        <f t="shared" si="634"/>
        <v>-1.5625E-2</v>
      </c>
      <c r="AI392" s="163">
        <f>AI391/AE391-1</f>
        <v>0.41176470588235303</v>
      </c>
      <c r="AJ392" s="10">
        <f>AJ391/AF391-1</f>
        <v>0.45882352941176463</v>
      </c>
      <c r="AK392" s="10">
        <f>AK391/AG391-1</f>
        <v>0.61839080459770113</v>
      </c>
      <c r="AL392" s="482">
        <f>AL391/AH391-1</f>
        <v>0.75283446712018143</v>
      </c>
      <c r="AM392" s="163">
        <f t="shared" ref="AM392" si="635">AM391/AI391-1</f>
        <v>-6.4516129032258118E-2</v>
      </c>
      <c r="AN392" s="428">
        <f t="shared" ref="AN392" si="636">AN391/AJ391-1</f>
        <v>-3.0000000000000027E-2</v>
      </c>
      <c r="AO392" s="428">
        <f t="shared" ref="AO392" si="637">AO391/AK391-1</f>
        <v>-3.0000000000000027E-2</v>
      </c>
      <c r="AP392" s="482">
        <f>AP391/AL391-1</f>
        <v>3.2212160413975788E-3</v>
      </c>
      <c r="AQ392" s="1350"/>
    </row>
    <row r="393" spans="1:43" s="1028" customFormat="1" ht="9.75" hidden="1" customHeight="1" outlineLevel="1">
      <c r="A393" s="1048" t="s">
        <v>15</v>
      </c>
      <c r="B393" s="5"/>
      <c r="C393" s="5"/>
      <c r="D393" s="5"/>
      <c r="E393" s="5"/>
      <c r="F393" s="10">
        <v>-0.06</v>
      </c>
      <c r="G393" s="10">
        <v>-0.14000000000000001</v>
      </c>
      <c r="H393" s="10">
        <v>-0.21</v>
      </c>
      <c r="I393" s="10">
        <v>-0.1</v>
      </c>
      <c r="J393" s="50">
        <v>-0.03</v>
      </c>
      <c r="K393" s="50">
        <v>-0.03</v>
      </c>
      <c r="L393" s="50">
        <v>-0.03</v>
      </c>
      <c r="M393" s="50">
        <v>-0.03</v>
      </c>
      <c r="N393" s="50">
        <v>-0.03</v>
      </c>
      <c r="O393" s="50">
        <v>-0.03</v>
      </c>
      <c r="P393" s="50">
        <v>-0.03</v>
      </c>
      <c r="Q393" s="50">
        <v>-0.03</v>
      </c>
      <c r="R393" s="1018"/>
      <c r="S393" s="5"/>
      <c r="T393" s="5"/>
      <c r="U393" s="5"/>
      <c r="V393" s="5"/>
      <c r="W393" s="10"/>
      <c r="X393" s="10">
        <v>0.02</v>
      </c>
      <c r="Y393" s="10">
        <v>-0.01</v>
      </c>
      <c r="Z393" s="10">
        <v>-0.16</v>
      </c>
      <c r="AA393" s="163">
        <v>0</v>
      </c>
      <c r="AB393" s="10">
        <v>-0.17</v>
      </c>
      <c r="AC393" s="10">
        <v>-0.15</v>
      </c>
      <c r="AD393" s="10">
        <v>-0.09</v>
      </c>
      <c r="AE393" s="163">
        <v>-0.14000000000000001</v>
      </c>
      <c r="AF393" s="10">
        <v>-0.17</v>
      </c>
      <c r="AG393" s="10">
        <v>-0.31</v>
      </c>
      <c r="AH393" s="10">
        <v>-0.26</v>
      </c>
      <c r="AI393" s="163">
        <v>-0.13</v>
      </c>
      <c r="AJ393" s="10">
        <v>-0.16</v>
      </c>
      <c r="AK393" s="10">
        <v>-0.06</v>
      </c>
      <c r="AL393" s="482">
        <v>-0.02</v>
      </c>
      <c r="AM393" s="163">
        <v>-0.11</v>
      </c>
      <c r="AN393" s="539">
        <v>-0.03</v>
      </c>
      <c r="AO393" s="539">
        <v>-0.03</v>
      </c>
      <c r="AP393" s="497"/>
      <c r="AQ393" s="1350"/>
    </row>
    <row r="394" spans="1:43" ht="12.75" customHeight="1" collapsed="1">
      <c r="A394" s="1045" t="s">
        <v>57</v>
      </c>
      <c r="B394" s="146">
        <f t="shared" ref="B394:G394" si="638">B332+B340+B348+B356+B391</f>
        <v>8212</v>
      </c>
      <c r="C394" s="146">
        <f t="shared" si="638"/>
        <v>8218</v>
      </c>
      <c r="D394" s="146">
        <f t="shared" si="638"/>
        <v>7082</v>
      </c>
      <c r="E394" s="146">
        <f t="shared" si="638"/>
        <v>6249</v>
      </c>
      <c r="F394" s="146">
        <f t="shared" si="638"/>
        <v>8541</v>
      </c>
      <c r="G394" s="146">
        <f t="shared" si="638"/>
        <v>5115</v>
      </c>
      <c r="H394" s="146">
        <f>H332+H340+H348+H356+H391+H364+H372</f>
        <v>6356</v>
      </c>
      <c r="I394" s="152">
        <f t="shared" ref="I394:Q394" si="639">I332+I340+I348+I391+I372+I388+I257</f>
        <v>7482</v>
      </c>
      <c r="J394" s="152">
        <f t="shared" si="639"/>
        <v>7312.2585617296409</v>
      </c>
      <c r="K394" s="152">
        <f t="shared" si="639"/>
        <v>6958.8272402378161</v>
      </c>
      <c r="L394" s="152">
        <f t="shared" si="639"/>
        <v>6779.6620948623195</v>
      </c>
      <c r="M394" s="152">
        <f t="shared" si="639"/>
        <v>6622.3232609521383</v>
      </c>
      <c r="N394" s="152">
        <f t="shared" si="639"/>
        <v>6095.1221197306577</v>
      </c>
      <c r="O394" s="152">
        <f t="shared" si="639"/>
        <v>5270.9528478638504</v>
      </c>
      <c r="P394" s="152">
        <f t="shared" si="639"/>
        <v>4866.6084526182613</v>
      </c>
      <c r="Q394" s="152">
        <f t="shared" si="639"/>
        <v>4652.9840749343184</v>
      </c>
      <c r="R394" s="402">
        <f>(N394/J394)^(1/($N$1-$J$1))-1</f>
        <v>-4.4495541345395462E-2</v>
      </c>
      <c r="S394" s="1026"/>
      <c r="T394" s="1026"/>
      <c r="U394" s="1026"/>
      <c r="W394" s="146">
        <f t="shared" ref="W394:AD394" si="640">W332+W340+W348+W356+W391</f>
        <v>2320</v>
      </c>
      <c r="X394" s="146">
        <f t="shared" si="640"/>
        <v>2374</v>
      </c>
      <c r="Y394" s="146">
        <f t="shared" si="640"/>
        <v>1982</v>
      </c>
      <c r="Z394" s="146">
        <f t="shared" si="640"/>
        <v>1865</v>
      </c>
      <c r="AA394" s="170">
        <f t="shared" si="640"/>
        <v>1385</v>
      </c>
      <c r="AB394" s="146">
        <f t="shared" si="640"/>
        <v>1330</v>
      </c>
      <c r="AC394" s="146">
        <f t="shared" si="640"/>
        <v>1191</v>
      </c>
      <c r="AD394" s="152">
        <f t="shared" si="640"/>
        <v>1209</v>
      </c>
      <c r="AE394" s="170">
        <f>AE332+AE340+AE348+AE356+AE391+AE364+AE372</f>
        <v>1613</v>
      </c>
      <c r="AF394" s="146">
        <f>AF332+AF340+AF348+AF356+AF391+AF364+AF372</f>
        <v>1656</v>
      </c>
      <c r="AG394" s="146">
        <f>AG332+AG340+AG348+AG356+AG391+AG364+AG372</f>
        <v>1531</v>
      </c>
      <c r="AH394" s="152">
        <f>AH332+AH340+AH348+AH356+AH391+AH364+AH372</f>
        <v>1556</v>
      </c>
      <c r="AI394" s="177">
        <f t="shared" ref="AI394:AP394" si="641">AI332+AI340+AI348+AI391+AI372+AI388+AI257</f>
        <v>1825</v>
      </c>
      <c r="AJ394" s="146">
        <f t="shared" si="641"/>
        <v>1865</v>
      </c>
      <c r="AK394" s="146">
        <f t="shared" si="641"/>
        <v>1840</v>
      </c>
      <c r="AL394" s="487">
        <f t="shared" si="641"/>
        <v>1952</v>
      </c>
      <c r="AM394" s="177">
        <f t="shared" si="641"/>
        <v>1866</v>
      </c>
      <c r="AN394" s="399">
        <f t="shared" si="641"/>
        <v>1832.8078207718122</v>
      </c>
      <c r="AO394" s="399">
        <f t="shared" si="641"/>
        <v>1782.997921550761</v>
      </c>
      <c r="AP394" s="487">
        <f t="shared" si="641"/>
        <v>1830.4528194070679</v>
      </c>
      <c r="AQ394" s="1350"/>
    </row>
    <row r="395" spans="1:43" s="1028" customFormat="1" ht="9.75" hidden="1" customHeight="1" outlineLevel="1">
      <c r="A395" s="1047" t="s">
        <v>14</v>
      </c>
      <c r="B395" s="147"/>
      <c r="C395" s="148">
        <f>C394/B394-1</f>
        <v>7.3063809059914497E-4</v>
      </c>
      <c r="D395" s="148">
        <f>D394/C394-1</f>
        <v>-0.13823314675103426</v>
      </c>
      <c r="E395" s="148">
        <f>E394/D394-1</f>
        <v>-0.11762214063823784</v>
      </c>
      <c r="F395" s="148">
        <f>F394/E394-1</f>
        <v>0.36677868458953422</v>
      </c>
      <c r="G395" s="148">
        <f t="shared" ref="G395:Q395" si="642">G394/F394-1</f>
        <v>-0.40112399016508604</v>
      </c>
      <c r="H395" s="148">
        <f t="shared" si="642"/>
        <v>0.24261974584555235</v>
      </c>
      <c r="I395" s="148">
        <f t="shared" si="642"/>
        <v>0.17715544367526737</v>
      </c>
      <c r="J395" s="148">
        <f t="shared" si="642"/>
        <v>-2.268663970467244E-2</v>
      </c>
      <c r="K395" s="148">
        <f t="shared" si="642"/>
        <v>-4.8334084265234778E-2</v>
      </c>
      <c r="L395" s="148">
        <f t="shared" si="642"/>
        <v>-2.5746456865535561E-2</v>
      </c>
      <c r="M395" s="148">
        <f t="shared" si="642"/>
        <v>-2.3207474311944476E-2</v>
      </c>
      <c r="N395" s="148">
        <f t="shared" si="642"/>
        <v>-7.9609695940104475E-2</v>
      </c>
      <c r="O395" s="148">
        <f t="shared" si="642"/>
        <v>-0.13521784398689407</v>
      </c>
      <c r="P395" s="148">
        <f t="shared" si="642"/>
        <v>-7.6711821736264785E-2</v>
      </c>
      <c r="Q395" s="148">
        <f t="shared" si="642"/>
        <v>-4.3895945146154469E-2</v>
      </c>
      <c r="R395" s="1018"/>
      <c r="S395" s="5"/>
      <c r="T395" s="5"/>
      <c r="U395" s="5"/>
      <c r="V395" s="5"/>
      <c r="W395" s="148"/>
      <c r="X395" s="148"/>
      <c r="Y395" s="148"/>
      <c r="Z395" s="148"/>
      <c r="AA395" s="171">
        <f t="shared" ref="AA395:AH395" si="643">AA394/W394-1</f>
        <v>-0.40301724137931039</v>
      </c>
      <c r="AB395" s="148">
        <f t="shared" si="643"/>
        <v>-0.43976411120471781</v>
      </c>
      <c r="AC395" s="148">
        <f t="shared" si="643"/>
        <v>-0.3990918264379415</v>
      </c>
      <c r="AD395" s="148">
        <f t="shared" si="643"/>
        <v>-0.35174262734584449</v>
      </c>
      <c r="AE395" s="171">
        <f t="shared" si="643"/>
        <v>0.16462093862815874</v>
      </c>
      <c r="AF395" s="148">
        <f t="shared" si="643"/>
        <v>0.24511278195488728</v>
      </c>
      <c r="AG395" s="148">
        <f t="shared" si="643"/>
        <v>0.28547439126784213</v>
      </c>
      <c r="AH395" s="148">
        <f t="shared" si="643"/>
        <v>0.28701406120760953</v>
      </c>
      <c r="AI395" s="171">
        <f t="shared" ref="AI395:AP395" si="644">AI394/AE394-1</f>
        <v>0.13143211407315558</v>
      </c>
      <c r="AJ395" s="148">
        <f t="shared" si="644"/>
        <v>0.12620772946859904</v>
      </c>
      <c r="AK395" s="148">
        <f t="shared" si="644"/>
        <v>0.20182887001959493</v>
      </c>
      <c r="AL395" s="488">
        <f t="shared" si="644"/>
        <v>0.25449871465295626</v>
      </c>
      <c r="AM395" s="171">
        <f t="shared" si="644"/>
        <v>2.2465753424657509E-2</v>
      </c>
      <c r="AN395" s="500">
        <f t="shared" si="644"/>
        <v>-1.7261222106266905E-2</v>
      </c>
      <c r="AO395" s="500">
        <f t="shared" si="644"/>
        <v>-3.0979390461542966E-2</v>
      </c>
      <c r="AP395" s="488">
        <f t="shared" si="644"/>
        <v>-6.2268022844739868E-2</v>
      </c>
    </row>
    <row r="396" spans="1:43" s="1028" customFormat="1" ht="9.75" hidden="1" customHeight="1" outlineLevel="1">
      <c r="A396" s="1047" t="s">
        <v>15</v>
      </c>
      <c r="B396" s="147"/>
      <c r="C396" s="147"/>
      <c r="D396" s="148">
        <v>-0.11</v>
      </c>
      <c r="E396" s="148">
        <v>-0.08</v>
      </c>
      <c r="F396" s="148">
        <v>-0.2</v>
      </c>
      <c r="G396" s="148">
        <v>-0.21</v>
      </c>
      <c r="H396" s="148">
        <v>-0.15</v>
      </c>
      <c r="I396" s="148">
        <v>-0.05</v>
      </c>
      <c r="J396" s="148"/>
      <c r="K396" s="148"/>
      <c r="L396" s="148"/>
      <c r="M396" s="148"/>
      <c r="N396" s="148"/>
      <c r="O396" s="148"/>
      <c r="P396" s="148"/>
      <c r="Q396" s="148"/>
      <c r="R396" s="1018"/>
      <c r="S396" s="5"/>
      <c r="T396" s="5"/>
      <c r="U396" s="5"/>
      <c r="V396" s="5"/>
      <c r="W396" s="148">
        <v>-7.0000000000000007E-2</v>
      </c>
      <c r="X396" s="148">
        <v>0</v>
      </c>
      <c r="Y396" s="148">
        <v>-0.27</v>
      </c>
      <c r="Z396" s="148">
        <v>-0.34</v>
      </c>
      <c r="AA396" s="171">
        <v>-0.25</v>
      </c>
      <c r="AB396" s="148">
        <v>-0.26</v>
      </c>
      <c r="AC396" s="148">
        <v>-0.17</v>
      </c>
      <c r="AD396" s="148">
        <v>-0.12</v>
      </c>
      <c r="AE396" s="171">
        <v>-0.16</v>
      </c>
      <c r="AF396" s="148">
        <v>-0.14000000000000001</v>
      </c>
      <c r="AG396" s="148">
        <v>-0.18</v>
      </c>
      <c r="AH396" s="148">
        <v>-0.14000000000000001</v>
      </c>
      <c r="AI396" s="171">
        <v>-0.05</v>
      </c>
      <c r="AJ396" s="148">
        <v>-0.08</v>
      </c>
      <c r="AK396" s="148">
        <v>-0.04</v>
      </c>
      <c r="AL396" s="488">
        <v>-0.03</v>
      </c>
      <c r="AM396" s="171">
        <v>-0.03</v>
      </c>
      <c r="AN396" s="500"/>
      <c r="AO396" s="500"/>
      <c r="AP396" s="488"/>
    </row>
    <row r="397" spans="1:43" s="1028" customFormat="1" ht="9.75" hidden="1" customHeight="1" outlineLevel="1">
      <c r="A397" s="1047" t="s">
        <v>18</v>
      </c>
      <c r="B397" s="148">
        <f>B394/B$2</f>
        <v>0.16221554993678888</v>
      </c>
      <c r="C397" s="148">
        <f>C394/C$2</f>
        <v>0.14032032237134173</v>
      </c>
      <c r="D397" s="148">
        <f>D394/D$2</f>
        <v>0.1249625041907081</v>
      </c>
      <c r="E397" s="148">
        <f>E394/E$2</f>
        <v>0.10895301194316101</v>
      </c>
      <c r="F397" s="148">
        <f>F394/F$2</f>
        <v>0.163683403602913</v>
      </c>
      <c r="G397" s="148">
        <f t="shared" ref="G397:Q397" si="645">G394/G$2</f>
        <v>0.10351317440401506</v>
      </c>
      <c r="H397" s="148">
        <f t="shared" si="645"/>
        <v>0.13100292674883549</v>
      </c>
      <c r="I397" s="148">
        <f t="shared" si="645"/>
        <v>0.15235496548494165</v>
      </c>
      <c r="J397" s="148">
        <f t="shared" si="645"/>
        <v>0.13992648226622839</v>
      </c>
      <c r="K397" s="148">
        <f t="shared" si="645"/>
        <v>0.13053176652844212</v>
      </c>
      <c r="L397" s="148">
        <f t="shared" si="645"/>
        <v>0.12330301192968297</v>
      </c>
      <c r="M397" s="148">
        <f t="shared" si="645"/>
        <v>0.11617084153719205</v>
      </c>
      <c r="N397" s="148">
        <f t="shared" si="645"/>
        <v>0.10471534408722423</v>
      </c>
      <c r="O397" s="148">
        <f t="shared" si="645"/>
        <v>9.1390639144869001E-2</v>
      </c>
      <c r="P397" s="148">
        <f t="shared" si="645"/>
        <v>8.3308147314872877E-2</v>
      </c>
      <c r="Q397" s="148">
        <f t="shared" si="645"/>
        <v>7.8788783945310803E-2</v>
      </c>
      <c r="R397" s="1018"/>
      <c r="S397" s="5"/>
      <c r="T397" s="5"/>
      <c r="U397" s="5"/>
      <c r="V397" s="5"/>
      <c r="W397" s="148">
        <f t="shared" ref="W397:AB397" si="646">W394/W$2</f>
        <v>0.18171849298973916</v>
      </c>
      <c r="X397" s="148">
        <f t="shared" si="646"/>
        <v>0.1778676856222372</v>
      </c>
      <c r="Y397" s="148">
        <f t="shared" si="646"/>
        <v>0.15256716188130243</v>
      </c>
      <c r="Z397" s="148">
        <f t="shared" si="646"/>
        <v>0.14263862332695984</v>
      </c>
      <c r="AA397" s="171">
        <f t="shared" si="646"/>
        <v>0.11604524507750315</v>
      </c>
      <c r="AB397" s="148">
        <f t="shared" si="646"/>
        <v>0.10477390893335434</v>
      </c>
      <c r="AC397" s="148">
        <f t="shared" ref="AC397:AP397" si="647">AC394/AC$2</f>
        <v>9.710558499796168E-2</v>
      </c>
      <c r="AD397" s="148">
        <f t="shared" si="647"/>
        <v>9.6565495207667731E-2</v>
      </c>
      <c r="AE397" s="171">
        <f t="shared" si="647"/>
        <v>0.13905172413793104</v>
      </c>
      <c r="AF397" s="148">
        <f t="shared" si="647"/>
        <v>0.13279871692060946</v>
      </c>
      <c r="AG397" s="148">
        <f t="shared" si="647"/>
        <v>0.12625762823684644</v>
      </c>
      <c r="AH397" s="148">
        <f t="shared" si="647"/>
        <v>0.12627820159065087</v>
      </c>
      <c r="AI397" s="171">
        <f t="shared" si="647"/>
        <v>0.15815928589999134</v>
      </c>
      <c r="AJ397" s="148">
        <f t="shared" si="647"/>
        <v>0.15234438817186735</v>
      </c>
      <c r="AK397" s="148">
        <f>AK394/AK$2</f>
        <v>0.14823109272192259</v>
      </c>
      <c r="AL397" s="488">
        <f t="shared" si="647"/>
        <v>0.15114267071615145</v>
      </c>
      <c r="AM397" s="171">
        <f t="shared" si="647"/>
        <v>0.14699858200724752</v>
      </c>
      <c r="AN397" s="148">
        <f t="shared" si="647"/>
        <v>0.1398606367856142</v>
      </c>
      <c r="AO397" s="148">
        <f>AO394/AO$2</f>
        <v>0.13622283622286763</v>
      </c>
      <c r="AP397" s="488">
        <f t="shared" si="647"/>
        <v>0.13690236484883392</v>
      </c>
    </row>
    <row r="398" spans="1:43" ht="12.75" customHeight="1" collapsed="1">
      <c r="AA398" s="166"/>
      <c r="AB398" s="396"/>
      <c r="AC398" s="396"/>
      <c r="AD398" s="107"/>
      <c r="AE398" s="166"/>
      <c r="AF398" s="396"/>
      <c r="AG398" s="396"/>
      <c r="AI398" s="166"/>
      <c r="AJ398" s="396"/>
      <c r="AM398" s="166"/>
    </row>
    <row r="399" spans="1:43" ht="12.75" hidden="1" customHeight="1" outlineLevel="1">
      <c r="A399" s="1025" t="s">
        <v>304</v>
      </c>
      <c r="B399" s="34">
        <v>279</v>
      </c>
      <c r="C399" s="4">
        <v>296</v>
      </c>
      <c r="D399" s="4">
        <v>317</v>
      </c>
      <c r="E399" s="4">
        <v>387</v>
      </c>
      <c r="AM399" s="157"/>
    </row>
    <row r="400" spans="1:43" s="1028" customFormat="1" ht="9.75" hidden="1" customHeight="1" outlineLevel="1">
      <c r="A400" s="1048" t="s">
        <v>14</v>
      </c>
      <c r="B400" s="2"/>
      <c r="C400" s="10">
        <f>C399/B399-1</f>
        <v>6.0931899641577081E-2</v>
      </c>
      <c r="D400" s="10">
        <f>D399/C399-1</f>
        <v>7.0945945945946054E-2</v>
      </c>
      <c r="E400" s="10">
        <f>E399/D399-1</f>
        <v>0.22082018927444791</v>
      </c>
      <c r="F400" s="10"/>
      <c r="G400" s="10"/>
      <c r="H400" s="10"/>
      <c r="I400" s="10"/>
      <c r="J400" s="10"/>
      <c r="K400" s="10"/>
      <c r="L400" s="10"/>
      <c r="M400" s="10"/>
      <c r="N400" s="10"/>
      <c r="O400" s="10"/>
      <c r="P400" s="10"/>
      <c r="Q400" s="10"/>
      <c r="R400" s="1019"/>
      <c r="S400" s="10"/>
      <c r="T400" s="10"/>
      <c r="U400" s="10"/>
      <c r="V400" s="10"/>
      <c r="W400" s="10"/>
      <c r="X400" s="10"/>
      <c r="Y400" s="10"/>
      <c r="Z400" s="10"/>
      <c r="AA400" s="163"/>
      <c r="AB400" s="10"/>
      <c r="AC400" s="10"/>
      <c r="AD400" s="5"/>
      <c r="AE400" s="163"/>
      <c r="AF400" s="10"/>
      <c r="AG400" s="10"/>
      <c r="AH400" s="5"/>
      <c r="AI400" s="163"/>
      <c r="AJ400" s="10"/>
      <c r="AK400" s="5"/>
      <c r="AL400" s="491"/>
      <c r="AM400" s="163"/>
      <c r="AN400" s="548"/>
      <c r="AO400" s="548"/>
      <c r="AP400" s="491"/>
    </row>
    <row r="401" spans="1:42" s="1028" customFormat="1" ht="9.75" hidden="1" customHeight="1" outlineLevel="1">
      <c r="A401" s="1048" t="s">
        <v>15</v>
      </c>
      <c r="B401" s="2"/>
      <c r="C401" s="10">
        <v>0.04</v>
      </c>
      <c r="D401" s="10">
        <v>0.09</v>
      </c>
      <c r="E401" s="10">
        <v>0.22</v>
      </c>
      <c r="F401" s="10"/>
      <c r="G401" s="10"/>
      <c r="H401" s="10"/>
      <c r="I401" s="10"/>
      <c r="J401" s="10"/>
      <c r="K401" s="10"/>
      <c r="L401" s="10"/>
      <c r="M401" s="10"/>
      <c r="N401" s="10"/>
      <c r="O401" s="10"/>
      <c r="P401" s="10"/>
      <c r="Q401" s="10"/>
      <c r="R401" s="1019"/>
      <c r="S401" s="10"/>
      <c r="T401" s="10"/>
      <c r="U401" s="10"/>
      <c r="V401" s="10"/>
      <c r="W401" s="10"/>
      <c r="X401" s="10"/>
      <c r="Y401" s="10"/>
      <c r="Z401" s="10"/>
      <c r="AA401" s="163"/>
      <c r="AB401" s="10"/>
      <c r="AC401" s="10"/>
      <c r="AD401" s="5"/>
      <c r="AE401" s="163"/>
      <c r="AF401" s="10"/>
      <c r="AG401" s="10"/>
      <c r="AH401" s="5"/>
      <c r="AI401" s="163"/>
      <c r="AJ401" s="10"/>
      <c r="AK401" s="5"/>
      <c r="AL401" s="491"/>
      <c r="AM401" s="163"/>
      <c r="AN401" s="548"/>
      <c r="AO401" s="548"/>
      <c r="AP401" s="491"/>
    </row>
    <row r="402" spans="1:42" ht="12.75" hidden="1" customHeight="1" outlineLevel="1">
      <c r="A402" s="1025" t="s">
        <v>310</v>
      </c>
      <c r="B402" s="34">
        <v>438</v>
      </c>
      <c r="C402" s="4">
        <v>557</v>
      </c>
      <c r="D402" s="4">
        <v>383</v>
      </c>
      <c r="E402" s="4">
        <v>290</v>
      </c>
      <c r="AM402" s="157"/>
    </row>
    <row r="403" spans="1:42" s="1028" customFormat="1" ht="9.75" hidden="1" customHeight="1" outlineLevel="1">
      <c r="A403" s="1048" t="s">
        <v>14</v>
      </c>
      <c r="B403" s="2"/>
      <c r="C403" s="10">
        <f>C402/B402-1</f>
        <v>0.27168949771689488</v>
      </c>
      <c r="D403" s="10">
        <f>D402/C402-1</f>
        <v>-0.31238779174147213</v>
      </c>
      <c r="E403" s="10">
        <f>E402/D402-1</f>
        <v>-0.24281984334203655</v>
      </c>
      <c r="F403" s="10"/>
      <c r="G403" s="10"/>
      <c r="H403" s="10"/>
      <c r="I403" s="10"/>
      <c r="J403" s="10"/>
      <c r="K403" s="10"/>
      <c r="L403" s="10"/>
      <c r="M403" s="10"/>
      <c r="N403" s="10"/>
      <c r="O403" s="10"/>
      <c r="P403" s="10"/>
      <c r="Q403" s="10"/>
      <c r="R403" s="1019"/>
      <c r="S403" s="10"/>
      <c r="T403" s="10"/>
      <c r="U403" s="10"/>
      <c r="V403" s="10"/>
      <c r="W403" s="10"/>
      <c r="X403" s="10"/>
      <c r="Y403" s="10"/>
      <c r="Z403" s="10"/>
      <c r="AA403" s="163"/>
      <c r="AB403" s="10"/>
      <c r="AC403" s="10"/>
      <c r="AD403" s="5"/>
      <c r="AE403" s="163"/>
      <c r="AF403" s="10"/>
      <c r="AG403" s="10"/>
      <c r="AH403" s="5"/>
      <c r="AI403" s="163"/>
      <c r="AJ403" s="10"/>
      <c r="AK403" s="5"/>
      <c r="AL403" s="491"/>
      <c r="AM403" s="163"/>
      <c r="AN403" s="548"/>
      <c r="AO403" s="548"/>
      <c r="AP403" s="491"/>
    </row>
    <row r="404" spans="1:42" s="1028" customFormat="1" ht="9.75" hidden="1" customHeight="1" outlineLevel="1">
      <c r="A404" s="1048" t="s">
        <v>15</v>
      </c>
      <c r="B404" s="2"/>
      <c r="C404" s="10">
        <v>0.24</v>
      </c>
      <c r="D404" s="10">
        <v>-0.28999999999999998</v>
      </c>
      <c r="E404" s="10">
        <v>-0.23</v>
      </c>
      <c r="F404" s="10"/>
      <c r="G404" s="10"/>
      <c r="H404" s="10"/>
      <c r="I404" s="10"/>
      <c r="J404" s="10"/>
      <c r="K404" s="10"/>
      <c r="L404" s="10"/>
      <c r="M404" s="10"/>
      <c r="N404" s="10"/>
      <c r="O404" s="10"/>
      <c r="P404" s="10"/>
      <c r="Q404" s="10"/>
      <c r="R404" s="1019"/>
      <c r="S404" s="10"/>
      <c r="T404" s="10"/>
      <c r="U404" s="10"/>
      <c r="V404" s="10"/>
      <c r="W404" s="10"/>
      <c r="X404" s="10"/>
      <c r="Y404" s="10"/>
      <c r="Z404" s="10"/>
      <c r="AA404" s="163"/>
      <c r="AB404" s="10"/>
      <c r="AC404" s="10"/>
      <c r="AD404" s="5"/>
      <c r="AE404" s="163"/>
      <c r="AF404" s="10"/>
      <c r="AG404" s="10"/>
      <c r="AH404" s="5"/>
      <c r="AI404" s="163"/>
      <c r="AJ404" s="10"/>
      <c r="AK404" s="5"/>
      <c r="AL404" s="491"/>
      <c r="AM404" s="163"/>
      <c r="AN404" s="548"/>
      <c r="AO404" s="548"/>
      <c r="AP404" s="491"/>
    </row>
    <row r="405" spans="1:42" ht="12.75" hidden="1" customHeight="1" outlineLevel="1">
      <c r="A405" s="1025" t="s">
        <v>305</v>
      </c>
      <c r="B405" s="34">
        <v>355</v>
      </c>
      <c r="C405" s="4">
        <v>364</v>
      </c>
      <c r="D405" s="4">
        <v>348</v>
      </c>
      <c r="E405" s="4">
        <v>342</v>
      </c>
      <c r="AM405" s="157"/>
    </row>
    <row r="406" spans="1:42" s="1028" customFormat="1" ht="9.75" hidden="1" customHeight="1" outlineLevel="1">
      <c r="A406" s="1048" t="s">
        <v>14</v>
      </c>
      <c r="B406" s="2"/>
      <c r="C406" s="10">
        <f>C405/B405-1</f>
        <v>2.5352112676056304E-2</v>
      </c>
      <c r="D406" s="10">
        <f>D405/C405-1</f>
        <v>-4.3956043956043911E-2</v>
      </c>
      <c r="E406" s="10">
        <f>E405/D405-1</f>
        <v>-1.7241379310344862E-2</v>
      </c>
      <c r="F406" s="10"/>
      <c r="G406" s="10"/>
      <c r="H406" s="10"/>
      <c r="I406" s="10"/>
      <c r="J406" s="10"/>
      <c r="K406" s="10"/>
      <c r="L406" s="10"/>
      <c r="M406" s="10"/>
      <c r="N406" s="10"/>
      <c r="O406" s="10"/>
      <c r="P406" s="10"/>
      <c r="Q406" s="10"/>
      <c r="R406" s="1019"/>
      <c r="S406" s="10"/>
      <c r="T406" s="10"/>
      <c r="U406" s="10"/>
      <c r="V406" s="10"/>
      <c r="W406" s="10"/>
      <c r="X406" s="10"/>
      <c r="Y406" s="10"/>
      <c r="Z406" s="10"/>
      <c r="AA406" s="163"/>
      <c r="AB406" s="10"/>
      <c r="AC406" s="10"/>
      <c r="AD406" s="5"/>
      <c r="AE406" s="163"/>
      <c r="AF406" s="10"/>
      <c r="AG406" s="10"/>
      <c r="AH406" s="5"/>
      <c r="AI406" s="163"/>
      <c r="AJ406" s="10"/>
      <c r="AK406" s="5"/>
      <c r="AL406" s="491"/>
      <c r="AM406" s="163"/>
      <c r="AN406" s="548"/>
      <c r="AO406" s="548"/>
      <c r="AP406" s="491"/>
    </row>
    <row r="407" spans="1:42" s="1028" customFormat="1" ht="9.75" hidden="1" customHeight="1" outlineLevel="1">
      <c r="A407" s="1048" t="s">
        <v>15</v>
      </c>
      <c r="B407" s="2"/>
      <c r="C407" s="10">
        <v>-0.01</v>
      </c>
      <c r="D407" s="10">
        <v>0</v>
      </c>
      <c r="E407" s="10">
        <v>0.02</v>
      </c>
      <c r="F407" s="10"/>
      <c r="G407" s="10"/>
      <c r="H407" s="10"/>
      <c r="I407" s="10"/>
      <c r="J407" s="10"/>
      <c r="K407" s="10"/>
      <c r="L407" s="10"/>
      <c r="M407" s="10"/>
      <c r="N407" s="10"/>
      <c r="O407" s="10"/>
      <c r="P407" s="10"/>
      <c r="Q407" s="10"/>
      <c r="R407" s="1019"/>
      <c r="S407" s="10"/>
      <c r="T407" s="10"/>
      <c r="U407" s="10"/>
      <c r="V407" s="10"/>
      <c r="W407" s="10"/>
      <c r="X407" s="10"/>
      <c r="Y407" s="10"/>
      <c r="Z407" s="10"/>
      <c r="AA407" s="163"/>
      <c r="AB407" s="10"/>
      <c r="AC407" s="10"/>
      <c r="AD407" s="5"/>
      <c r="AE407" s="163"/>
      <c r="AF407" s="10"/>
      <c r="AG407" s="10"/>
      <c r="AH407" s="5"/>
      <c r="AI407" s="163"/>
      <c r="AJ407" s="10"/>
      <c r="AK407" s="5"/>
      <c r="AL407" s="491"/>
      <c r="AM407" s="163"/>
      <c r="AN407" s="548"/>
      <c r="AO407" s="548"/>
      <c r="AP407" s="491"/>
    </row>
    <row r="408" spans="1:42" ht="12.75" hidden="1" customHeight="1" outlineLevel="1">
      <c r="A408" s="1025" t="s">
        <v>306</v>
      </c>
      <c r="B408" s="34">
        <v>253</v>
      </c>
      <c r="C408" s="4">
        <v>263</v>
      </c>
      <c r="D408" s="4">
        <v>279</v>
      </c>
      <c r="E408" s="4">
        <v>257</v>
      </c>
      <c r="AM408" s="157"/>
    </row>
    <row r="409" spans="1:42" s="1028" customFormat="1" ht="9.75" hidden="1" customHeight="1" outlineLevel="1">
      <c r="A409" s="1048" t="s">
        <v>14</v>
      </c>
      <c r="B409" s="2"/>
      <c r="C409" s="10">
        <f>C408/B408-1</f>
        <v>3.9525691699604737E-2</v>
      </c>
      <c r="D409" s="10">
        <f>D408/C408-1</f>
        <v>6.083650190114076E-2</v>
      </c>
      <c r="E409" s="10">
        <f>E408/D408-1</f>
        <v>-7.8853046594982046E-2</v>
      </c>
      <c r="F409" s="10"/>
      <c r="G409" s="10"/>
      <c r="H409" s="10"/>
      <c r="I409" s="10"/>
      <c r="J409" s="10"/>
      <c r="K409" s="10"/>
      <c r="L409" s="10"/>
      <c r="M409" s="10"/>
      <c r="N409" s="10"/>
      <c r="O409" s="10"/>
      <c r="P409" s="10"/>
      <c r="Q409" s="10"/>
      <c r="R409" s="1019"/>
      <c r="S409" s="10"/>
      <c r="T409" s="10"/>
      <c r="U409" s="10"/>
      <c r="V409" s="10"/>
      <c r="W409" s="10"/>
      <c r="X409" s="10"/>
      <c r="Y409" s="10"/>
      <c r="Z409" s="10"/>
      <c r="AA409" s="163"/>
      <c r="AB409" s="10"/>
      <c r="AC409" s="10"/>
      <c r="AD409" s="5"/>
      <c r="AE409" s="163"/>
      <c r="AF409" s="10"/>
      <c r="AG409" s="10"/>
      <c r="AH409" s="5"/>
      <c r="AI409" s="163"/>
      <c r="AJ409" s="10"/>
      <c r="AK409" s="5"/>
      <c r="AL409" s="491"/>
      <c r="AM409" s="163"/>
      <c r="AN409" s="548"/>
      <c r="AO409" s="548"/>
      <c r="AP409" s="491"/>
    </row>
    <row r="410" spans="1:42" s="1028" customFormat="1" ht="9.75" hidden="1" customHeight="1" outlineLevel="1">
      <c r="A410" s="1048" t="s">
        <v>15</v>
      </c>
      <c r="B410" s="2"/>
      <c r="C410" s="10">
        <v>0.04</v>
      </c>
      <c r="D410" s="10">
        <v>0.1</v>
      </c>
      <c r="E410" s="10">
        <v>-0.05</v>
      </c>
      <c r="F410" s="10"/>
      <c r="G410" s="10"/>
      <c r="H410" s="10"/>
      <c r="I410" s="10"/>
      <c r="J410" s="10"/>
      <c r="K410" s="10"/>
      <c r="L410" s="10"/>
      <c r="M410" s="10"/>
      <c r="N410" s="10"/>
      <c r="O410" s="10"/>
      <c r="P410" s="10"/>
      <c r="Q410" s="10"/>
      <c r="R410" s="1019"/>
      <c r="S410" s="10"/>
      <c r="T410" s="10"/>
      <c r="U410" s="10"/>
      <c r="V410" s="10"/>
      <c r="W410" s="10"/>
      <c r="X410" s="10"/>
      <c r="Y410" s="10"/>
      <c r="Z410" s="10"/>
      <c r="AA410" s="163"/>
      <c r="AB410" s="10"/>
      <c r="AC410" s="10"/>
      <c r="AD410" s="5"/>
      <c r="AE410" s="163"/>
      <c r="AF410" s="10"/>
      <c r="AG410" s="10"/>
      <c r="AH410" s="5"/>
      <c r="AI410" s="163"/>
      <c r="AJ410" s="10"/>
      <c r="AK410" s="5"/>
      <c r="AL410" s="491"/>
      <c r="AM410" s="163"/>
      <c r="AN410" s="548"/>
      <c r="AO410" s="548"/>
      <c r="AP410" s="491"/>
    </row>
    <row r="411" spans="1:42" ht="12.75" hidden="1" customHeight="1" outlineLevel="1">
      <c r="A411" s="1025" t="s">
        <v>307</v>
      </c>
      <c r="B411" s="34">
        <v>353</v>
      </c>
      <c r="C411" s="4">
        <v>312</v>
      </c>
      <c r="D411" s="4">
        <v>240</v>
      </c>
      <c r="E411" s="4">
        <v>205</v>
      </c>
      <c r="AM411" s="157"/>
    </row>
    <row r="412" spans="1:42" s="1028" customFormat="1" ht="9.75" hidden="1" customHeight="1" outlineLevel="1">
      <c r="A412" s="1048" t="s">
        <v>14</v>
      </c>
      <c r="B412" s="2"/>
      <c r="C412" s="10">
        <f>C411/B411-1</f>
        <v>-0.11614730878186974</v>
      </c>
      <c r="D412" s="10">
        <f>D411/C411-1</f>
        <v>-0.23076923076923073</v>
      </c>
      <c r="E412" s="10">
        <f>E411/D411-1</f>
        <v>-0.14583333333333337</v>
      </c>
      <c r="F412" s="10"/>
      <c r="G412" s="10"/>
      <c r="H412" s="10"/>
      <c r="I412" s="10"/>
      <c r="J412" s="10"/>
      <c r="K412" s="10"/>
      <c r="L412" s="10"/>
      <c r="M412" s="10"/>
      <c r="N412" s="10"/>
      <c r="O412" s="10"/>
      <c r="P412" s="10"/>
      <c r="Q412" s="10"/>
      <c r="R412" s="1019"/>
      <c r="S412" s="10"/>
      <c r="T412" s="10"/>
      <c r="U412" s="10"/>
      <c r="V412" s="10"/>
      <c r="W412" s="10"/>
      <c r="X412" s="10"/>
      <c r="Y412" s="10"/>
      <c r="Z412" s="10"/>
      <c r="AA412" s="163"/>
      <c r="AB412" s="10"/>
      <c r="AC412" s="10"/>
      <c r="AD412" s="5"/>
      <c r="AE412" s="163"/>
      <c r="AF412" s="10"/>
      <c r="AG412" s="10"/>
      <c r="AH412" s="5"/>
      <c r="AI412" s="163"/>
      <c r="AJ412" s="10"/>
      <c r="AK412" s="5"/>
      <c r="AL412" s="491"/>
      <c r="AM412" s="163"/>
      <c r="AN412" s="548"/>
      <c r="AO412" s="548"/>
      <c r="AP412" s="491"/>
    </row>
    <row r="413" spans="1:42" s="1028" customFormat="1" ht="9.75" hidden="1" customHeight="1" outlineLevel="1">
      <c r="A413" s="1048" t="s">
        <v>15</v>
      </c>
      <c r="B413" s="2"/>
      <c r="C413" s="10">
        <v>-0.12</v>
      </c>
      <c r="D413" s="10">
        <v>-0.17</v>
      </c>
      <c r="E413" s="10">
        <v>-0.13</v>
      </c>
      <c r="F413" s="10"/>
      <c r="G413" s="10"/>
      <c r="H413" s="10"/>
      <c r="I413" s="10"/>
      <c r="J413" s="10"/>
      <c r="K413" s="10"/>
      <c r="L413" s="10"/>
      <c r="M413" s="10"/>
      <c r="N413" s="10"/>
      <c r="O413" s="10"/>
      <c r="P413" s="10"/>
      <c r="Q413" s="10"/>
      <c r="R413" s="1019"/>
      <c r="S413" s="10"/>
      <c r="T413" s="10"/>
      <c r="U413" s="10"/>
      <c r="V413" s="10"/>
      <c r="W413" s="10"/>
      <c r="X413" s="10"/>
      <c r="Y413" s="10"/>
      <c r="Z413" s="10"/>
      <c r="AA413" s="163"/>
      <c r="AB413" s="10"/>
      <c r="AC413" s="10"/>
      <c r="AD413" s="5"/>
      <c r="AE413" s="163"/>
      <c r="AF413" s="10"/>
      <c r="AG413" s="10"/>
      <c r="AH413" s="5"/>
      <c r="AI413" s="163"/>
      <c r="AJ413" s="10"/>
      <c r="AK413" s="5"/>
      <c r="AL413" s="491"/>
      <c r="AM413" s="163"/>
      <c r="AN413" s="548"/>
      <c r="AO413" s="548"/>
      <c r="AP413" s="491"/>
    </row>
    <row r="414" spans="1:42" ht="12.75" hidden="1" customHeight="1" outlineLevel="1">
      <c r="A414" s="1025" t="s">
        <v>29</v>
      </c>
      <c r="B414" s="34">
        <f>533+174</f>
        <v>707</v>
      </c>
      <c r="C414" s="4">
        <v>193</v>
      </c>
      <c r="D414" s="4">
        <v>36</v>
      </c>
      <c r="E414" s="4">
        <v>72</v>
      </c>
      <c r="AM414" s="157"/>
    </row>
    <row r="415" spans="1:42" s="1028" customFormat="1" ht="9.75" hidden="1" customHeight="1" outlineLevel="1">
      <c r="A415" s="1048" t="s">
        <v>14</v>
      </c>
      <c r="B415" s="10"/>
      <c r="C415" s="10">
        <f>C414/B414-1</f>
        <v>-0.72701555869872703</v>
      </c>
      <c r="D415" s="10">
        <f>D414/C414-1</f>
        <v>-0.81347150259067358</v>
      </c>
      <c r="E415" s="10">
        <f>E414/D414-1</f>
        <v>1</v>
      </c>
      <c r="F415" s="10"/>
      <c r="G415" s="10"/>
      <c r="H415" s="10"/>
      <c r="I415" s="10"/>
      <c r="J415" s="10"/>
      <c r="K415" s="10"/>
      <c r="L415" s="10"/>
      <c r="M415" s="10"/>
      <c r="N415" s="10"/>
      <c r="O415" s="10"/>
      <c r="P415" s="10"/>
      <c r="Q415" s="10"/>
      <c r="R415" s="1019"/>
      <c r="S415" s="10"/>
      <c r="T415" s="10"/>
      <c r="U415" s="10"/>
      <c r="V415" s="10"/>
      <c r="W415" s="10"/>
      <c r="X415" s="10"/>
      <c r="Y415" s="10"/>
      <c r="Z415" s="10"/>
      <c r="AA415" s="163"/>
      <c r="AB415" s="10"/>
      <c r="AC415" s="10"/>
      <c r="AD415" s="5"/>
      <c r="AE415" s="163"/>
      <c r="AF415" s="10"/>
      <c r="AG415" s="10"/>
      <c r="AH415" s="5"/>
      <c r="AI415" s="163"/>
      <c r="AJ415" s="10"/>
      <c r="AK415" s="5"/>
      <c r="AL415" s="491"/>
      <c r="AM415" s="163"/>
      <c r="AN415" s="548"/>
      <c r="AO415" s="548"/>
      <c r="AP415" s="491"/>
    </row>
    <row r="416" spans="1:42" ht="12.75" hidden="1" customHeight="1" outlineLevel="1">
      <c r="A416" s="1025" t="s">
        <v>311</v>
      </c>
      <c r="B416" s="34">
        <v>1469</v>
      </c>
      <c r="C416" s="4">
        <v>1220</v>
      </c>
      <c r="D416" s="4">
        <v>1160</v>
      </c>
      <c r="E416" s="4">
        <v>1112</v>
      </c>
      <c r="AM416" s="157"/>
    </row>
    <row r="417" spans="1:42" s="1028" customFormat="1" ht="9.75" hidden="1" customHeight="1" outlineLevel="1">
      <c r="A417" s="1048" t="s">
        <v>14</v>
      </c>
      <c r="B417" s="10"/>
      <c r="C417" s="10"/>
      <c r="D417" s="10">
        <f>D416/C416-1</f>
        <v>-4.9180327868852514E-2</v>
      </c>
      <c r="E417" s="10">
        <f>E416/D416-1</f>
        <v>-4.1379310344827558E-2</v>
      </c>
      <c r="F417" s="10"/>
      <c r="G417" s="10"/>
      <c r="H417" s="10"/>
      <c r="I417" s="10"/>
      <c r="J417" s="10"/>
      <c r="K417" s="10"/>
      <c r="L417" s="10"/>
      <c r="M417" s="10"/>
      <c r="N417" s="10"/>
      <c r="O417" s="10"/>
      <c r="P417" s="10"/>
      <c r="Q417" s="10"/>
      <c r="R417" s="1019"/>
      <c r="S417" s="10"/>
      <c r="T417" s="10"/>
      <c r="U417" s="10"/>
      <c r="V417" s="10"/>
      <c r="W417" s="10"/>
      <c r="X417" s="10"/>
      <c r="Y417" s="10"/>
      <c r="Z417" s="10"/>
      <c r="AA417" s="163"/>
      <c r="AB417" s="10"/>
      <c r="AC417" s="10"/>
      <c r="AD417" s="5"/>
      <c r="AE417" s="163"/>
      <c r="AF417" s="10"/>
      <c r="AG417" s="10"/>
      <c r="AH417" s="5"/>
      <c r="AI417" s="163"/>
      <c r="AJ417" s="10"/>
      <c r="AK417" s="5"/>
      <c r="AL417" s="491"/>
      <c r="AM417" s="163"/>
      <c r="AN417" s="548"/>
      <c r="AO417" s="548"/>
      <c r="AP417" s="491"/>
    </row>
    <row r="418" spans="1:42" s="1028" customFormat="1" ht="9.75" hidden="1" customHeight="1" outlineLevel="1">
      <c r="A418" s="1048" t="s">
        <v>15</v>
      </c>
      <c r="B418" s="10"/>
      <c r="C418" s="10">
        <v>-0.04</v>
      </c>
      <c r="D418" s="10">
        <v>-0.03</v>
      </c>
      <c r="E418" s="10">
        <v>-0.26</v>
      </c>
      <c r="F418" s="10"/>
      <c r="G418" s="10"/>
      <c r="H418" s="10"/>
      <c r="I418" s="10"/>
      <c r="J418" s="10"/>
      <c r="K418" s="10"/>
      <c r="L418" s="10"/>
      <c r="M418" s="10"/>
      <c r="N418" s="10"/>
      <c r="O418" s="10"/>
      <c r="P418" s="10"/>
      <c r="Q418" s="10"/>
      <c r="R418" s="1019"/>
      <c r="S418" s="10"/>
      <c r="T418" s="10"/>
      <c r="U418" s="10"/>
      <c r="V418" s="10"/>
      <c r="W418" s="10"/>
      <c r="X418" s="10"/>
      <c r="Y418" s="10"/>
      <c r="Z418" s="10"/>
      <c r="AA418" s="163"/>
      <c r="AB418" s="10"/>
      <c r="AC418" s="10"/>
      <c r="AD418" s="5"/>
      <c r="AE418" s="163"/>
      <c r="AF418" s="10"/>
      <c r="AG418" s="10"/>
      <c r="AH418" s="5"/>
      <c r="AI418" s="163"/>
      <c r="AJ418" s="10"/>
      <c r="AK418" s="5"/>
      <c r="AL418" s="491"/>
      <c r="AM418" s="163"/>
      <c r="AN418" s="548"/>
      <c r="AO418" s="548"/>
      <c r="AP418" s="491"/>
    </row>
    <row r="419" spans="1:42" ht="12.75" hidden="1" customHeight="1" outlineLevel="1">
      <c r="A419" s="1025" t="s">
        <v>308</v>
      </c>
      <c r="E419" s="4">
        <v>40</v>
      </c>
      <c r="AM419" s="157"/>
    </row>
    <row r="420" spans="1:42" s="1028" customFormat="1" ht="9.75" hidden="1" customHeight="1" outlineLevel="1">
      <c r="A420" s="1048" t="s">
        <v>14</v>
      </c>
      <c r="B420" s="10"/>
      <c r="C420" s="10"/>
      <c r="D420" s="10"/>
      <c r="E420" s="10"/>
      <c r="F420" s="10"/>
      <c r="G420" s="10"/>
      <c r="H420" s="10"/>
      <c r="I420" s="10"/>
      <c r="J420" s="10"/>
      <c r="K420" s="10"/>
      <c r="L420" s="10"/>
      <c r="M420" s="10"/>
      <c r="N420" s="10"/>
      <c r="O420" s="10"/>
      <c r="P420" s="10"/>
      <c r="Q420" s="10"/>
      <c r="R420" s="1019"/>
      <c r="S420" s="10"/>
      <c r="T420" s="10"/>
      <c r="U420" s="10"/>
      <c r="V420" s="10"/>
      <c r="W420" s="10"/>
      <c r="X420" s="10"/>
      <c r="Y420" s="10"/>
      <c r="Z420" s="10"/>
      <c r="AA420" s="163"/>
      <c r="AB420" s="10"/>
      <c r="AC420" s="10"/>
      <c r="AD420" s="5"/>
      <c r="AE420" s="163"/>
      <c r="AF420" s="10"/>
      <c r="AG420" s="10"/>
      <c r="AH420" s="5"/>
      <c r="AI420" s="163"/>
      <c r="AJ420" s="10"/>
      <c r="AK420" s="5"/>
      <c r="AL420" s="491"/>
      <c r="AM420" s="163"/>
      <c r="AN420" s="548"/>
      <c r="AO420" s="548"/>
      <c r="AP420" s="491"/>
    </row>
    <row r="421" spans="1:42" ht="12.75" hidden="1" customHeight="1" outlineLevel="1">
      <c r="A421" s="1025" t="s">
        <v>309</v>
      </c>
      <c r="B421" s="34">
        <v>1369</v>
      </c>
      <c r="C421" s="4">
        <v>1795</v>
      </c>
      <c r="D421" s="4">
        <v>1532</v>
      </c>
      <c r="E421" s="4">
        <v>1312</v>
      </c>
      <c r="AM421" s="157"/>
    </row>
    <row r="422" spans="1:42" s="1028" customFormat="1" ht="9.75" hidden="1" customHeight="1" outlineLevel="1">
      <c r="A422" s="1048" t="s">
        <v>14</v>
      </c>
      <c r="B422" s="10"/>
      <c r="C422" s="10">
        <f>C421/B421-1</f>
        <v>0.31117604090577067</v>
      </c>
      <c r="D422" s="10">
        <f>D421/C421-1</f>
        <v>-0.14651810584958214</v>
      </c>
      <c r="E422" s="10">
        <f>E421/D421-1</f>
        <v>-0.14360313315926898</v>
      </c>
      <c r="F422" s="10"/>
      <c r="G422" s="10"/>
      <c r="H422" s="10"/>
      <c r="I422" s="10"/>
      <c r="J422" s="10"/>
      <c r="K422" s="10"/>
      <c r="L422" s="10"/>
      <c r="M422" s="10"/>
      <c r="N422" s="10"/>
      <c r="O422" s="10"/>
      <c r="P422" s="10"/>
      <c r="Q422" s="10"/>
      <c r="R422" s="1019"/>
      <c r="S422" s="10"/>
      <c r="T422" s="10"/>
      <c r="U422" s="10"/>
      <c r="V422" s="10"/>
      <c r="W422" s="10"/>
      <c r="X422" s="10"/>
      <c r="Y422" s="10"/>
      <c r="Z422" s="10"/>
      <c r="AA422" s="163"/>
      <c r="AB422" s="10"/>
      <c r="AC422" s="10"/>
      <c r="AD422" s="5"/>
      <c r="AE422" s="163"/>
      <c r="AF422" s="10"/>
      <c r="AG422" s="10"/>
      <c r="AH422" s="5"/>
      <c r="AI422" s="163"/>
      <c r="AJ422" s="10"/>
      <c r="AK422" s="5"/>
      <c r="AL422" s="491"/>
      <c r="AM422" s="163"/>
      <c r="AN422" s="548"/>
      <c r="AO422" s="548"/>
      <c r="AP422" s="491"/>
    </row>
    <row r="423" spans="1:42" ht="12.75" hidden="1" customHeight="1" collapsed="1"/>
    <row r="424" spans="1:42" ht="12.75" customHeight="1">
      <c r="A424" s="1031" t="s">
        <v>59</v>
      </c>
      <c r="B424" s="6">
        <v>4446</v>
      </c>
      <c r="C424" s="6">
        <f>+C465+C484+C497</f>
        <v>9958</v>
      </c>
      <c r="D424" s="6">
        <f>+D465+D484+D497</f>
        <v>10225</v>
      </c>
      <c r="E424" s="6">
        <f>+E465+E484+E497</f>
        <v>10496</v>
      </c>
      <c r="F424" s="6">
        <f>+F465+F484+F497</f>
        <v>10827</v>
      </c>
      <c r="G424" s="6">
        <f>+G465+G497</f>
        <v>5999</v>
      </c>
      <c r="H424" s="6">
        <f>+H465+H497</f>
        <v>5812</v>
      </c>
      <c r="I424" s="134">
        <f>+I465+I497</f>
        <v>6771</v>
      </c>
      <c r="J424" s="134">
        <f>+J451+J497</f>
        <v>7265.9763227608937</v>
      </c>
      <c r="K424" s="134">
        <f t="shared" ref="K424:Q424" si="648">+K451+K497</f>
        <v>7502.308976512948</v>
      </c>
      <c r="L424" s="134">
        <f t="shared" si="648"/>
        <v>7785.9140338280413</v>
      </c>
      <c r="M424" s="134">
        <f t="shared" si="648"/>
        <v>8085.7194284217767</v>
      </c>
      <c r="N424" s="134">
        <f t="shared" si="648"/>
        <v>8402.5573380253536</v>
      </c>
      <c r="O424" s="134">
        <f t="shared" si="648"/>
        <v>8737.3077201111009</v>
      </c>
      <c r="P424" s="134">
        <f t="shared" si="648"/>
        <v>9090.9011495708382</v>
      </c>
      <c r="Q424" s="134">
        <f t="shared" si="648"/>
        <v>9464.3218351930518</v>
      </c>
      <c r="R424" s="402">
        <f>(N424/J424)^(1/($N$1-$J$1))-1</f>
        <v>3.7001480932892461E-2</v>
      </c>
      <c r="S424" s="1026"/>
      <c r="T424" s="1026"/>
      <c r="U424" s="1026"/>
      <c r="W424" s="6">
        <f>+W465+W484+W497</f>
        <v>2642</v>
      </c>
      <c r="X424" s="6">
        <f>+X465+X484+X497</f>
        <v>2817</v>
      </c>
      <c r="Y424" s="6">
        <f>+Y465+Y484+Y497</f>
        <v>2665</v>
      </c>
      <c r="Z424" s="6">
        <f>+Z465+Z484+Z497</f>
        <v>2703</v>
      </c>
      <c r="AA424" s="173">
        <f t="shared" ref="AA424:AL424" si="649">+AA465+AA497</f>
        <v>1531</v>
      </c>
      <c r="AB424" s="6">
        <f t="shared" si="649"/>
        <v>1531</v>
      </c>
      <c r="AC424" s="6">
        <f t="shared" si="649"/>
        <v>1469</v>
      </c>
      <c r="AD424" s="134">
        <f t="shared" si="649"/>
        <v>1468</v>
      </c>
      <c r="AE424" s="173">
        <f t="shared" si="649"/>
        <v>1426</v>
      </c>
      <c r="AF424" s="6">
        <f t="shared" si="649"/>
        <v>1506</v>
      </c>
      <c r="AG424" s="6">
        <f t="shared" si="649"/>
        <v>1436</v>
      </c>
      <c r="AH424" s="134">
        <f t="shared" si="649"/>
        <v>1444</v>
      </c>
      <c r="AI424" s="173">
        <f>+AI465+AI497</f>
        <v>1591</v>
      </c>
      <c r="AJ424" s="6">
        <f>+AJ465+AJ497</f>
        <v>1707</v>
      </c>
      <c r="AK424" s="134">
        <f t="shared" si="649"/>
        <v>1712</v>
      </c>
      <c r="AL424" s="477">
        <f t="shared" si="649"/>
        <v>1761</v>
      </c>
      <c r="AM424" s="159">
        <f>+AM451+AM497</f>
        <v>1779</v>
      </c>
      <c r="AN424" s="134">
        <f t="shared" ref="AN424:AP424" si="650">+AN451+AN497</f>
        <v>1830.9249486414797</v>
      </c>
      <c r="AO424" s="134">
        <f t="shared" si="650"/>
        <v>1832.2559738089849</v>
      </c>
      <c r="AP424" s="477">
        <f t="shared" si="650"/>
        <v>1823.7954003104287</v>
      </c>
    </row>
    <row r="425" spans="1:42" s="1028" customFormat="1" ht="11.25" customHeight="1">
      <c r="A425" s="1032" t="s">
        <v>14</v>
      </c>
      <c r="B425" s="8"/>
      <c r="C425" s="8">
        <f t="shared" ref="C425:Q425" si="651">C424/B424-1</f>
        <v>1.2397660818713452</v>
      </c>
      <c r="D425" s="8">
        <f t="shared" si="651"/>
        <v>2.6812612974492778E-2</v>
      </c>
      <c r="E425" s="8">
        <f t="shared" si="651"/>
        <v>2.6503667481662552E-2</v>
      </c>
      <c r="F425" s="8">
        <f t="shared" si="651"/>
        <v>3.1535823170731669E-2</v>
      </c>
      <c r="G425" s="8">
        <f t="shared" si="651"/>
        <v>-0.44592223145839105</v>
      </c>
      <c r="H425" s="8">
        <f t="shared" si="651"/>
        <v>-3.1171861976996174E-2</v>
      </c>
      <c r="I425" s="1328">
        <f t="shared" si="651"/>
        <v>0.16500344115622845</v>
      </c>
      <c r="J425" s="1328">
        <f t="shared" si="651"/>
        <v>7.3102395918017038E-2</v>
      </c>
      <c r="K425" s="1328">
        <f t="shared" si="651"/>
        <v>3.2525932270345503E-2</v>
      </c>
      <c r="L425" s="1328">
        <f t="shared" si="651"/>
        <v>3.7802369670852043E-2</v>
      </c>
      <c r="M425" s="1328">
        <f t="shared" si="651"/>
        <v>3.8506126999495294E-2</v>
      </c>
      <c r="N425" s="1328">
        <f t="shared" si="651"/>
        <v>3.9184875558490484E-2</v>
      </c>
      <c r="O425" s="1328">
        <f t="shared" si="651"/>
        <v>3.9839107145493768E-2</v>
      </c>
      <c r="P425" s="1328">
        <f t="shared" si="651"/>
        <v>4.0469380361396023E-2</v>
      </c>
      <c r="Q425" s="1328">
        <f t="shared" si="651"/>
        <v>4.1076311300540569E-2</v>
      </c>
      <c r="R425" s="1338"/>
      <c r="S425" s="1339"/>
      <c r="T425" s="1339"/>
      <c r="U425" s="1339"/>
      <c r="V425" s="1340"/>
      <c r="W425" s="1328">
        <v>2.9618082618862118E-2</v>
      </c>
      <c r="X425" s="1328">
        <v>2.960526315789469E-2</v>
      </c>
      <c r="Y425" s="1328">
        <v>4.9625836943678614E-2</v>
      </c>
      <c r="Z425" s="1328">
        <v>1.8079096045197751E-2</v>
      </c>
      <c r="AA425" s="1329">
        <f t="shared" ref="AA425:AH425" si="652">AA424/W424-1</f>
        <v>-0.42051476154428469</v>
      </c>
      <c r="AB425" s="1328">
        <f t="shared" si="652"/>
        <v>-0.45651402200922964</v>
      </c>
      <c r="AC425" s="1328">
        <f t="shared" si="652"/>
        <v>-0.448780487804878</v>
      </c>
      <c r="AD425" s="1328">
        <f t="shared" si="652"/>
        <v>-0.45689974102848685</v>
      </c>
      <c r="AE425" s="1329">
        <f t="shared" si="652"/>
        <v>-6.8582625734813885E-2</v>
      </c>
      <c r="AF425" s="1328">
        <f t="shared" si="652"/>
        <v>-1.6329196603527052E-2</v>
      </c>
      <c r="AG425" s="1328">
        <f t="shared" si="652"/>
        <v>-2.24642614023145E-2</v>
      </c>
      <c r="AH425" s="1328">
        <f t="shared" si="652"/>
        <v>-1.6348773841961872E-2</v>
      </c>
      <c r="AI425" s="1329">
        <f t="shared" ref="AI425:AP425" si="653">AI424/AE424-1</f>
        <v>0.11570827489481061</v>
      </c>
      <c r="AJ425" s="1328">
        <f t="shared" si="653"/>
        <v>0.13346613545816743</v>
      </c>
      <c r="AK425" s="1328">
        <f t="shared" si="653"/>
        <v>0.19220055710306405</v>
      </c>
      <c r="AL425" s="1330">
        <f t="shared" si="653"/>
        <v>0.21952908587257625</v>
      </c>
      <c r="AM425" s="1329">
        <f t="shared" si="653"/>
        <v>0.11816467630421124</v>
      </c>
      <c r="AN425" s="1328">
        <f t="shared" si="653"/>
        <v>7.2598095279132746E-2</v>
      </c>
      <c r="AO425" s="1328">
        <f t="shared" si="653"/>
        <v>7.0242975355715442E-2</v>
      </c>
      <c r="AP425" s="1330">
        <f t="shared" si="653"/>
        <v>3.5658943958221778E-2</v>
      </c>
    </row>
    <row r="426" spans="1:42" s="1028" customFormat="1" ht="11.25" customHeight="1">
      <c r="A426" s="1032" t="s">
        <v>15</v>
      </c>
      <c r="B426" s="7"/>
      <c r="C426" s="7"/>
      <c r="D426" s="8">
        <v>0.05</v>
      </c>
      <c r="E426" s="8">
        <v>0.05</v>
      </c>
      <c r="F426" s="8">
        <v>0.06</v>
      </c>
      <c r="G426" s="8">
        <v>-0.01</v>
      </c>
      <c r="H426" s="8">
        <v>-0.02</v>
      </c>
      <c r="I426" s="1327">
        <v>0.04</v>
      </c>
      <c r="J426" s="1327">
        <f t="shared" ref="J426:Q426" si="654">J425-J427</f>
        <v>3.521971250573399E-2</v>
      </c>
      <c r="K426" s="1327">
        <f t="shared" si="654"/>
        <v>3.2525932270345503E-2</v>
      </c>
      <c r="L426" s="1327">
        <f t="shared" si="654"/>
        <v>3.7802369670852043E-2</v>
      </c>
      <c r="M426" s="1327">
        <f t="shared" si="654"/>
        <v>3.8506126999495294E-2</v>
      </c>
      <c r="N426" s="1327">
        <f t="shared" si="654"/>
        <v>3.9184875558490484E-2</v>
      </c>
      <c r="O426" s="1327">
        <f t="shared" si="654"/>
        <v>3.9839107145493768E-2</v>
      </c>
      <c r="P426" s="1327">
        <f t="shared" si="654"/>
        <v>4.0469380361396023E-2</v>
      </c>
      <c r="Q426" s="1327">
        <f t="shared" si="654"/>
        <v>4.1076311300540569E-2</v>
      </c>
      <c r="R426" s="1338"/>
      <c r="S426" s="1339"/>
      <c r="T426" s="1339"/>
      <c r="U426" s="1339"/>
      <c r="V426" s="1340"/>
      <c r="W426" s="1328">
        <v>0.06</v>
      </c>
      <c r="X426" s="1328">
        <v>0.04</v>
      </c>
      <c r="Y426" s="1328">
        <v>0.06</v>
      </c>
      <c r="Z426" s="1328">
        <v>7.0000000000000007E-2</v>
      </c>
      <c r="AA426" s="1329">
        <v>0.05</v>
      </c>
      <c r="AB426" s="1328">
        <v>0</v>
      </c>
      <c r="AC426" s="1328">
        <v>-0.02</v>
      </c>
      <c r="AD426" s="1328">
        <v>-0.06</v>
      </c>
      <c r="AE426" s="1329">
        <v>-0.03</v>
      </c>
      <c r="AF426" s="1328">
        <v>-0.01</v>
      </c>
      <c r="AG426" s="1328">
        <v>-0.03</v>
      </c>
      <c r="AH426" s="1328">
        <v>0</v>
      </c>
      <c r="AI426" s="1329">
        <v>0.01</v>
      </c>
      <c r="AJ426" s="1328">
        <v>0.03</v>
      </c>
      <c r="AK426" s="1327">
        <v>7.0000000000000007E-2</v>
      </c>
      <c r="AL426" s="1332">
        <v>0.06</v>
      </c>
      <c r="AM426" s="1333">
        <v>7.0000000000000007E-2</v>
      </c>
      <c r="AN426" s="1333">
        <f>AN425-AN427</f>
        <v>1.9195827940150401E-2</v>
      </c>
      <c r="AO426" s="1333">
        <f>AO425-AO427</f>
        <v>4.5622551494984911E-2</v>
      </c>
      <c r="AP426" s="1332">
        <f>AP425-AP427</f>
        <v>1.0315577813013684E-2</v>
      </c>
    </row>
    <row r="427" spans="1:42" s="1028" customFormat="1" ht="11.25" customHeight="1">
      <c r="A427" s="1032" t="s">
        <v>494</v>
      </c>
      <c r="B427" s="8"/>
      <c r="C427" s="8"/>
      <c r="D427" s="8"/>
      <c r="E427" s="8"/>
      <c r="F427" s="8"/>
      <c r="G427" s="8">
        <f>G425-G426</f>
        <v>-0.43592223145839104</v>
      </c>
      <c r="H427" s="8">
        <f>H425-H426</f>
        <v>-1.1171861976996173E-2</v>
      </c>
      <c r="I427" s="1327">
        <f>AVERAGE(AI427:AL427)</f>
        <v>0.12272601333215459</v>
      </c>
      <c r="J427" s="1357">
        <f>AVERAGE(AM427:AP427)</f>
        <v>3.7882683412283048E-2</v>
      </c>
      <c r="K427" s="1357"/>
      <c r="L427" s="1357"/>
      <c r="M427" s="1357"/>
      <c r="N427" s="1357"/>
      <c r="O427" s="1357"/>
      <c r="P427" s="1357"/>
      <c r="Q427" s="1357"/>
      <c r="R427" s="1020"/>
      <c r="S427" s="4"/>
      <c r="T427" s="4"/>
      <c r="U427" s="4"/>
      <c r="V427" s="4"/>
      <c r="W427" s="8"/>
      <c r="X427" s="8"/>
      <c r="Y427" s="8"/>
      <c r="Z427" s="8"/>
      <c r="AA427" s="160"/>
      <c r="AB427" s="8"/>
      <c r="AC427" s="8"/>
      <c r="AD427" s="7"/>
      <c r="AE427" s="160">
        <f t="shared" ref="AE427:AM427" si="655">AE425-AE426</f>
        <v>-3.8582625734813886E-2</v>
      </c>
      <c r="AF427" s="8">
        <f t="shared" si="655"/>
        <v>-6.3291966035270517E-3</v>
      </c>
      <c r="AG427" s="8">
        <f t="shared" si="655"/>
        <v>7.5357385976854985E-3</v>
      </c>
      <c r="AH427" s="211">
        <f t="shared" si="655"/>
        <v>-1.6348773841961872E-2</v>
      </c>
      <c r="AI427" s="160">
        <f t="shared" si="655"/>
        <v>0.10570827489481062</v>
      </c>
      <c r="AJ427" s="8">
        <f t="shared" si="655"/>
        <v>0.10346613545816744</v>
      </c>
      <c r="AK427" s="8">
        <f t="shared" si="655"/>
        <v>0.12220055710306404</v>
      </c>
      <c r="AL427" s="478">
        <f t="shared" si="655"/>
        <v>0.15952908587257625</v>
      </c>
      <c r="AM427" s="160">
        <f t="shared" si="655"/>
        <v>4.8164676304211229E-2</v>
      </c>
      <c r="AN427" s="1355">
        <f>AN5</f>
        <v>5.3402267338982345E-2</v>
      </c>
      <c r="AO427" s="1355">
        <f>AO5</f>
        <v>2.4620423860730527E-2</v>
      </c>
      <c r="AP427" s="1356">
        <f>AP5</f>
        <v>2.5343366145208095E-2</v>
      </c>
    </row>
    <row r="428" spans="1:42" s="1028" customFormat="1" ht="11.25" customHeight="1">
      <c r="A428" s="1032" t="s">
        <v>18</v>
      </c>
      <c r="B428" s="8">
        <f t="shared" ref="B428:Q428" si="656">B424/B$2</f>
        <v>8.7823957016434889E-2</v>
      </c>
      <c r="C428" s="8">
        <f t="shared" si="656"/>
        <v>0.17003039306082027</v>
      </c>
      <c r="D428" s="8">
        <f t="shared" si="656"/>
        <v>0.18042101176927283</v>
      </c>
      <c r="E428" s="8">
        <f t="shared" si="656"/>
        <v>0.1830006102345044</v>
      </c>
      <c r="F428" s="8">
        <f t="shared" si="656"/>
        <v>0.20749329244921424</v>
      </c>
      <c r="G428" s="8">
        <f t="shared" si="656"/>
        <v>0.12140284130003642</v>
      </c>
      <c r="H428" s="8">
        <f t="shared" si="656"/>
        <v>0.11979059318191186</v>
      </c>
      <c r="I428" s="8">
        <f t="shared" si="656"/>
        <v>0.13787696756195403</v>
      </c>
      <c r="J428" s="8">
        <f t="shared" si="656"/>
        <v>0.13904083102241216</v>
      </c>
      <c r="K428" s="8">
        <f t="shared" si="656"/>
        <v>0.14072624738891443</v>
      </c>
      <c r="L428" s="8">
        <f t="shared" si="656"/>
        <v>0.14160390850808047</v>
      </c>
      <c r="M428" s="8">
        <f t="shared" si="656"/>
        <v>0.14184218942799359</v>
      </c>
      <c r="N428" s="8">
        <f t="shared" si="656"/>
        <v>0.14435751500625182</v>
      </c>
      <c r="O428" s="8">
        <f t="shared" si="656"/>
        <v>0.15149217987597094</v>
      </c>
      <c r="P428" s="8">
        <f t="shared" si="656"/>
        <v>0.15562092976391767</v>
      </c>
      <c r="Q428" s="8">
        <f t="shared" si="656"/>
        <v>0.1602589641943786</v>
      </c>
      <c r="R428" s="1020"/>
      <c r="S428" s="4"/>
      <c r="T428" s="4"/>
      <c r="U428" s="4"/>
      <c r="V428" s="4"/>
      <c r="W428" s="8">
        <f t="shared" ref="W428:AP428" si="657">W424/W$2</f>
        <v>0.20693976658572882</v>
      </c>
      <c r="X428" s="8">
        <f t="shared" si="657"/>
        <v>0.21105866486850977</v>
      </c>
      <c r="Y428" s="8">
        <f t="shared" si="657"/>
        <v>0.20514202139943039</v>
      </c>
      <c r="Z428" s="8">
        <f t="shared" si="657"/>
        <v>0.2067304015296367</v>
      </c>
      <c r="AA428" s="160">
        <f t="shared" si="657"/>
        <v>0.12827817343946377</v>
      </c>
      <c r="AB428" s="8">
        <f t="shared" si="657"/>
        <v>0.12060816133606428</v>
      </c>
      <c r="AC428" s="8">
        <f t="shared" si="657"/>
        <v>0.11977170811251529</v>
      </c>
      <c r="AD428" s="8">
        <f t="shared" si="657"/>
        <v>0.11725239616613418</v>
      </c>
      <c r="AE428" s="160">
        <f t="shared" si="657"/>
        <v>0.12293103448275862</v>
      </c>
      <c r="AF428" s="430">
        <f t="shared" si="657"/>
        <v>0.12076984763432237</v>
      </c>
      <c r="AG428" s="430">
        <f t="shared" si="657"/>
        <v>0.11842322282698334</v>
      </c>
      <c r="AH428" s="430">
        <f t="shared" si="657"/>
        <v>0.11718876805713359</v>
      </c>
      <c r="AI428" s="160">
        <f t="shared" si="657"/>
        <v>0.13788023225582807</v>
      </c>
      <c r="AJ428" s="430">
        <f t="shared" si="657"/>
        <v>0.139438000326744</v>
      </c>
      <c r="AK428" s="8">
        <f t="shared" si="657"/>
        <v>0.13791936453257145</v>
      </c>
      <c r="AL428" s="478">
        <f t="shared" si="657"/>
        <v>0.13635360816144607</v>
      </c>
      <c r="AM428" s="430">
        <f t="shared" si="657"/>
        <v>0.14014495037025365</v>
      </c>
      <c r="AN428" s="430">
        <f t="shared" si="657"/>
        <v>0.13971695576671539</v>
      </c>
      <c r="AO428" s="430">
        <f t="shared" si="657"/>
        <v>0.13998620100547679</v>
      </c>
      <c r="AP428" s="478">
        <f t="shared" si="657"/>
        <v>0.13640444629640988</v>
      </c>
    </row>
    <row r="429" spans="1:42" s="1033" customFormat="1" ht="12.75" hidden="1" customHeight="1" outlineLevel="1">
      <c r="A429" s="1033" t="s">
        <v>74</v>
      </c>
      <c r="B429" s="9"/>
      <c r="C429" s="9">
        <v>2835</v>
      </c>
      <c r="D429" s="9">
        <v>2710</v>
      </c>
      <c r="E429" s="9">
        <v>2831</v>
      </c>
      <c r="F429" s="9">
        <v>2872</v>
      </c>
      <c r="G429" s="9">
        <v>2408</v>
      </c>
      <c r="H429" s="9">
        <v>1508</v>
      </c>
      <c r="I429" s="9">
        <v>1570</v>
      </c>
      <c r="J429" s="9"/>
      <c r="K429" s="9"/>
      <c r="L429" s="9"/>
      <c r="M429" s="9"/>
      <c r="N429" s="9"/>
      <c r="O429" s="9"/>
      <c r="P429" s="9"/>
      <c r="Q429" s="9"/>
      <c r="R429" s="1020"/>
      <c r="S429" s="4"/>
      <c r="T429" s="4"/>
      <c r="U429" s="4"/>
      <c r="V429" s="4"/>
      <c r="W429" s="9">
        <v>743</v>
      </c>
      <c r="X429" s="9">
        <v>749</v>
      </c>
      <c r="Y429" s="9">
        <v>685</v>
      </c>
      <c r="Z429" s="9">
        <v>695</v>
      </c>
      <c r="AA429" s="161">
        <v>400</v>
      </c>
      <c r="AB429" s="9">
        <v>391</v>
      </c>
      <c r="AC429" s="9">
        <v>575</v>
      </c>
      <c r="AD429" s="9">
        <f>G429-AC429-AB429-AA429</f>
        <v>1042</v>
      </c>
      <c r="AE429" s="161">
        <v>376</v>
      </c>
      <c r="AF429" s="9">
        <v>402</v>
      </c>
      <c r="AG429" s="9">
        <v>352</v>
      </c>
      <c r="AH429" s="9">
        <f>H429-AE429-AF429-AG429</f>
        <v>378</v>
      </c>
      <c r="AI429" s="161">
        <v>377</v>
      </c>
      <c r="AJ429" s="9">
        <v>391</v>
      </c>
      <c r="AK429" s="9">
        <v>382</v>
      </c>
      <c r="AL429" s="479">
        <f>I429-AI429-AJ429-AK429</f>
        <v>420</v>
      </c>
      <c r="AM429" s="161">
        <v>483</v>
      </c>
      <c r="AN429" s="537"/>
      <c r="AO429" s="537"/>
      <c r="AP429" s="479"/>
    </row>
    <row r="430" spans="1:42" s="1035" customFormat="1" ht="9.75" hidden="1" customHeight="1" outlineLevel="1">
      <c r="A430" s="1034" t="s">
        <v>14</v>
      </c>
      <c r="B430" s="51"/>
      <c r="C430" s="52"/>
      <c r="D430" s="52">
        <f t="shared" ref="D430:I430" si="658">D429/C429-1</f>
        <v>-4.4091710758377478E-2</v>
      </c>
      <c r="E430" s="52">
        <f t="shared" si="658"/>
        <v>4.4649446494464895E-2</v>
      </c>
      <c r="F430" s="52">
        <f t="shared" si="658"/>
        <v>1.4482515012363084E-2</v>
      </c>
      <c r="G430" s="52">
        <f t="shared" si="658"/>
        <v>-0.16155988857938719</v>
      </c>
      <c r="H430" s="52">
        <f t="shared" si="658"/>
        <v>-0.37375415282392022</v>
      </c>
      <c r="I430" s="52">
        <f t="shared" si="658"/>
        <v>4.1114058355437688E-2</v>
      </c>
      <c r="J430" s="51"/>
      <c r="K430" s="51"/>
      <c r="L430" s="51"/>
      <c r="M430" s="51"/>
      <c r="N430" s="51"/>
      <c r="O430" s="51"/>
      <c r="P430" s="51"/>
      <c r="Q430" s="51"/>
      <c r="R430" s="1018"/>
      <c r="S430" s="5"/>
      <c r="T430" s="5"/>
      <c r="U430" s="5"/>
      <c r="V430" s="5"/>
      <c r="W430" s="52">
        <v>7.3699421965317979E-2</v>
      </c>
      <c r="X430" s="52">
        <v>3.4530386740331487E-2</v>
      </c>
      <c r="Y430" s="52">
        <v>2.8528528528528607E-2</v>
      </c>
      <c r="Z430" s="52">
        <v>-7.2096128170894502E-2</v>
      </c>
      <c r="AA430" s="162">
        <f t="shared" ref="AA430:AM430" si="659">AA429/W429-1</f>
        <v>-0.46164199192462985</v>
      </c>
      <c r="AB430" s="52">
        <f t="shared" si="659"/>
        <v>-0.47797062750333774</v>
      </c>
      <c r="AC430" s="52">
        <f t="shared" si="659"/>
        <v>-0.16058394160583944</v>
      </c>
      <c r="AD430" s="52">
        <f t="shared" si="659"/>
        <v>0.49928057553956839</v>
      </c>
      <c r="AE430" s="162">
        <f t="shared" si="659"/>
        <v>-6.0000000000000053E-2</v>
      </c>
      <c r="AF430" s="52">
        <f t="shared" si="659"/>
        <v>2.8132992327365658E-2</v>
      </c>
      <c r="AG430" s="52">
        <f t="shared" si="659"/>
        <v>-0.38782608695652177</v>
      </c>
      <c r="AH430" s="52">
        <f t="shared" si="659"/>
        <v>-0.63723608445297497</v>
      </c>
      <c r="AI430" s="162">
        <f t="shared" si="659"/>
        <v>2.6595744680850686E-3</v>
      </c>
      <c r="AJ430" s="52">
        <f t="shared" si="659"/>
        <v>-2.7363184079602032E-2</v>
      </c>
      <c r="AK430" s="52">
        <f t="shared" si="659"/>
        <v>8.5227272727272707E-2</v>
      </c>
      <c r="AL430" s="494">
        <f t="shared" si="659"/>
        <v>0.11111111111111116</v>
      </c>
      <c r="AM430" s="162">
        <f t="shared" si="659"/>
        <v>0.28116710875331563</v>
      </c>
      <c r="AN430" s="538"/>
      <c r="AO430" s="538"/>
      <c r="AP430" s="480"/>
    </row>
    <row r="431" spans="1:42" s="1035" customFormat="1" ht="9.75" hidden="1" customHeight="1" outlineLevel="1">
      <c r="A431" s="1034" t="s">
        <v>15</v>
      </c>
      <c r="B431" s="51"/>
      <c r="C431" s="52"/>
      <c r="D431" s="52">
        <v>0.02</v>
      </c>
      <c r="E431" s="52">
        <v>0.03</v>
      </c>
      <c r="F431" s="52">
        <v>0.04</v>
      </c>
      <c r="G431" s="52">
        <v>0.01</v>
      </c>
      <c r="H431" s="52">
        <v>0.01</v>
      </c>
      <c r="I431" s="52">
        <v>0.03</v>
      </c>
      <c r="J431" s="51"/>
      <c r="K431" s="51"/>
      <c r="L431" s="51"/>
      <c r="M431" s="51"/>
      <c r="N431" s="51"/>
      <c r="O431" s="51"/>
      <c r="P431" s="51"/>
      <c r="Q431" s="51"/>
      <c r="R431" s="1018"/>
      <c r="S431" s="5"/>
      <c r="T431" s="5"/>
      <c r="U431" s="5"/>
      <c r="V431" s="5"/>
      <c r="W431" s="52">
        <v>0.06</v>
      </c>
      <c r="X431" s="52">
        <v>0.01</v>
      </c>
      <c r="Y431" s="52">
        <v>0.04</v>
      </c>
      <c r="Z431" s="52">
        <v>0.04</v>
      </c>
      <c r="AA431" s="162">
        <v>0.02</v>
      </c>
      <c r="AB431" s="52">
        <v>0.02</v>
      </c>
      <c r="AC431" s="52">
        <v>0.02</v>
      </c>
      <c r="AD431" s="52">
        <v>0</v>
      </c>
      <c r="AE431" s="162">
        <v>-0.02</v>
      </c>
      <c r="AF431" s="52">
        <v>0.04</v>
      </c>
      <c r="AG431" s="52">
        <v>-0.01</v>
      </c>
      <c r="AH431" s="52">
        <v>0.01</v>
      </c>
      <c r="AI431" s="162">
        <v>0.04</v>
      </c>
      <c r="AJ431" s="52">
        <v>0</v>
      </c>
      <c r="AK431" s="52">
        <v>0.25</v>
      </c>
      <c r="AL431" s="494">
        <v>0.03</v>
      </c>
      <c r="AM431" s="162">
        <v>0.03</v>
      </c>
      <c r="AN431" s="538"/>
      <c r="AO431" s="538"/>
      <c r="AP431" s="480"/>
    </row>
    <row r="432" spans="1:42" s="1033" customFormat="1" ht="12.75" hidden="1" customHeight="1" outlineLevel="1">
      <c r="A432" s="1033" t="s">
        <v>72</v>
      </c>
      <c r="B432" s="9"/>
      <c r="C432" s="9">
        <v>3810</v>
      </c>
      <c r="D432" s="9">
        <v>4016</v>
      </c>
      <c r="E432" s="9">
        <v>4179</v>
      </c>
      <c r="F432" s="9">
        <v>4349</v>
      </c>
      <c r="G432" s="9">
        <v>4275</v>
      </c>
      <c r="H432" s="9">
        <v>2512</v>
      </c>
      <c r="I432" s="9">
        <v>2541</v>
      </c>
      <c r="J432" s="9"/>
      <c r="K432" s="9"/>
      <c r="L432" s="9"/>
      <c r="M432" s="9"/>
      <c r="N432" s="9"/>
      <c r="O432" s="9"/>
      <c r="P432" s="9"/>
      <c r="Q432" s="9"/>
      <c r="R432" s="1020"/>
      <c r="S432" s="4"/>
      <c r="T432" s="4"/>
      <c r="U432" s="4"/>
      <c r="V432" s="4"/>
      <c r="W432" s="9">
        <v>1021</v>
      </c>
      <c r="X432" s="9">
        <v>1159</v>
      </c>
      <c r="Y432" s="9">
        <v>1061</v>
      </c>
      <c r="Z432" s="9">
        <v>1108</v>
      </c>
      <c r="AA432" s="161">
        <v>628</v>
      </c>
      <c r="AB432" s="9">
        <v>656</v>
      </c>
      <c r="AC432" s="9">
        <v>1058</v>
      </c>
      <c r="AD432" s="9">
        <f>G432-AC432-AB432-AA432</f>
        <v>1933</v>
      </c>
      <c r="AE432" s="161">
        <v>607</v>
      </c>
      <c r="AF432" s="9">
        <v>654</v>
      </c>
      <c r="AG432" s="9">
        <v>628</v>
      </c>
      <c r="AH432" s="9">
        <f>H432-AE432-AF432-AG432</f>
        <v>623</v>
      </c>
      <c r="AI432" s="161">
        <v>609</v>
      </c>
      <c r="AJ432" s="9">
        <v>645</v>
      </c>
      <c r="AK432" s="9">
        <v>648</v>
      </c>
      <c r="AL432" s="479">
        <f>I432-AI432-AJ432-AK432</f>
        <v>639</v>
      </c>
      <c r="AM432" s="161">
        <v>712</v>
      </c>
      <c r="AN432" s="537"/>
      <c r="AO432" s="537"/>
      <c r="AP432" s="479"/>
    </row>
    <row r="433" spans="1:42" s="1035" customFormat="1" ht="9.75" hidden="1" customHeight="1" outlineLevel="1">
      <c r="A433" s="1034" t="s">
        <v>14</v>
      </c>
      <c r="B433" s="51"/>
      <c r="C433" s="52"/>
      <c r="D433" s="52">
        <f t="shared" ref="D433:I433" si="660">D432/C432-1</f>
        <v>5.4068241469816369E-2</v>
      </c>
      <c r="E433" s="52">
        <f t="shared" si="660"/>
        <v>4.0587649402390458E-2</v>
      </c>
      <c r="F433" s="52">
        <f t="shared" si="660"/>
        <v>4.0679588418281787E-2</v>
      </c>
      <c r="G433" s="52">
        <f t="shared" si="660"/>
        <v>-1.7015405840423048E-2</v>
      </c>
      <c r="H433" s="52">
        <f t="shared" si="660"/>
        <v>-0.41239766081871343</v>
      </c>
      <c r="I433" s="52">
        <f t="shared" si="660"/>
        <v>1.1544585987261158E-2</v>
      </c>
      <c r="J433" s="51"/>
      <c r="K433" s="51"/>
      <c r="L433" s="51"/>
      <c r="M433" s="51"/>
      <c r="N433" s="51"/>
      <c r="O433" s="51"/>
      <c r="P433" s="51"/>
      <c r="Q433" s="51"/>
      <c r="R433" s="1018"/>
      <c r="S433" s="5"/>
      <c r="T433" s="5"/>
      <c r="U433" s="5"/>
      <c r="V433" s="5"/>
      <c r="W433" s="52">
        <v>2.0999999999999908E-2</v>
      </c>
      <c r="X433" s="52">
        <v>4.0394973070017937E-2</v>
      </c>
      <c r="Y433" s="52">
        <v>2.314368370298947E-2</v>
      </c>
      <c r="Z433" s="52">
        <v>7.7821011673151697E-2</v>
      </c>
      <c r="AA433" s="162">
        <f t="shared" ref="AA433:AM433" si="661">AA432/W432-1</f>
        <v>-0.38491674828599409</v>
      </c>
      <c r="AB433" s="52">
        <f t="shared" si="661"/>
        <v>-0.43399482312338222</v>
      </c>
      <c r="AC433" s="52">
        <f t="shared" si="661"/>
        <v>-2.827521206409056E-3</v>
      </c>
      <c r="AD433" s="52">
        <f t="shared" si="661"/>
        <v>0.74458483754512628</v>
      </c>
      <c r="AE433" s="162">
        <f t="shared" si="661"/>
        <v>-3.3439490445859921E-2</v>
      </c>
      <c r="AF433" s="52">
        <f t="shared" si="661"/>
        <v>-3.0487804878048808E-3</v>
      </c>
      <c r="AG433" s="52">
        <f t="shared" si="661"/>
        <v>-0.40642722117202268</v>
      </c>
      <c r="AH433" s="52">
        <f t="shared" si="661"/>
        <v>-0.67770305225038796</v>
      </c>
      <c r="AI433" s="162">
        <f t="shared" si="661"/>
        <v>3.2948929159801743E-3</v>
      </c>
      <c r="AJ433" s="52">
        <f t="shared" si="661"/>
        <v>-1.3761467889908285E-2</v>
      </c>
      <c r="AK433" s="52">
        <f t="shared" si="661"/>
        <v>3.1847133757961776E-2</v>
      </c>
      <c r="AL433" s="494">
        <f t="shared" si="661"/>
        <v>2.5682182985553803E-2</v>
      </c>
      <c r="AM433" s="162">
        <f t="shared" si="661"/>
        <v>0.16912972085385869</v>
      </c>
      <c r="AN433" s="538"/>
      <c r="AO433" s="538"/>
      <c r="AP433" s="480"/>
    </row>
    <row r="434" spans="1:42" s="1035" customFormat="1" ht="9.75" hidden="1" customHeight="1" outlineLevel="1">
      <c r="A434" s="1034" t="s">
        <v>15</v>
      </c>
      <c r="B434" s="51"/>
      <c r="C434" s="52"/>
      <c r="D434" s="52">
        <v>0.05</v>
      </c>
      <c r="E434" s="52">
        <v>0.04</v>
      </c>
      <c r="F434" s="52">
        <v>0.04</v>
      </c>
      <c r="G434" s="52">
        <v>-0.02</v>
      </c>
      <c r="H434" s="52">
        <v>-0.02</v>
      </c>
      <c r="I434" s="52">
        <v>0.01</v>
      </c>
      <c r="J434" s="51"/>
      <c r="K434" s="51"/>
      <c r="L434" s="51"/>
      <c r="M434" s="51"/>
      <c r="N434" s="51"/>
      <c r="O434" s="51"/>
      <c r="P434" s="51"/>
      <c r="Q434" s="51"/>
      <c r="R434" s="1018"/>
      <c r="S434" s="5"/>
      <c r="T434" s="5"/>
      <c r="U434" s="5"/>
      <c r="V434" s="5"/>
      <c r="W434" s="52">
        <v>0.02</v>
      </c>
      <c r="X434" s="52">
        <v>0.04</v>
      </c>
      <c r="Y434" s="52">
        <v>0.02</v>
      </c>
      <c r="Z434" s="52">
        <v>0.08</v>
      </c>
      <c r="AA434" s="162">
        <v>0.06</v>
      </c>
      <c r="AB434" s="52">
        <v>-0.02</v>
      </c>
      <c r="AC434" s="52">
        <v>0</v>
      </c>
      <c r="AD434" s="52">
        <v>-0.09</v>
      </c>
      <c r="AE434" s="162">
        <v>-0.03</v>
      </c>
      <c r="AF434" s="52">
        <v>0</v>
      </c>
      <c r="AG434" s="52">
        <v>-0.05</v>
      </c>
      <c r="AH434" s="52">
        <v>0.01</v>
      </c>
      <c r="AI434" s="162">
        <v>0</v>
      </c>
      <c r="AJ434" s="52">
        <v>-0.01</v>
      </c>
      <c r="AK434" s="52">
        <v>0.44</v>
      </c>
      <c r="AL434" s="494">
        <v>0.03</v>
      </c>
      <c r="AM434" s="162">
        <v>0.06</v>
      </c>
      <c r="AN434" s="538"/>
      <c r="AO434" s="538"/>
      <c r="AP434" s="480"/>
    </row>
    <row r="435" spans="1:42" s="1033" customFormat="1" ht="12.75" hidden="1" customHeight="1" outlineLevel="1">
      <c r="A435" s="1033" t="s">
        <v>303</v>
      </c>
      <c r="B435" s="9"/>
      <c r="C435" s="9">
        <v>2207</v>
      </c>
      <c r="D435" s="9">
        <v>2395</v>
      </c>
      <c r="E435" s="9">
        <v>2378</v>
      </c>
      <c r="F435" s="9">
        <v>2449</v>
      </c>
      <c r="G435" s="9">
        <v>2154</v>
      </c>
      <c r="H435" s="9">
        <v>1327</v>
      </c>
      <c r="I435" s="9">
        <v>1452</v>
      </c>
      <c r="J435" s="9"/>
      <c r="K435" s="9"/>
      <c r="L435" s="9"/>
      <c r="M435" s="9"/>
      <c r="N435" s="9"/>
      <c r="O435" s="9"/>
      <c r="P435" s="9"/>
      <c r="Q435" s="9"/>
      <c r="R435" s="1020"/>
      <c r="S435" s="4"/>
      <c r="T435" s="4"/>
      <c r="U435" s="4"/>
      <c r="V435" s="4"/>
      <c r="W435" s="9">
        <v>617</v>
      </c>
      <c r="X435" s="9">
        <v>617</v>
      </c>
      <c r="Y435" s="9">
        <v>605</v>
      </c>
      <c r="Z435" s="9">
        <v>610</v>
      </c>
      <c r="AA435" s="161">
        <v>379</v>
      </c>
      <c r="AB435" s="9">
        <v>348</v>
      </c>
      <c r="AC435" s="9">
        <v>488</v>
      </c>
      <c r="AD435" s="9">
        <f>G435-AC435-AB435-AA435</f>
        <v>939</v>
      </c>
      <c r="AE435" s="161">
        <v>329</v>
      </c>
      <c r="AF435" s="9">
        <v>333</v>
      </c>
      <c r="AG435" s="9">
        <v>333</v>
      </c>
      <c r="AH435" s="9">
        <f>H435-AE435-AF435-AG435</f>
        <v>332</v>
      </c>
      <c r="AI435" s="161">
        <v>326</v>
      </c>
      <c r="AJ435" s="9">
        <v>364</v>
      </c>
      <c r="AK435" s="9">
        <v>379</v>
      </c>
      <c r="AL435" s="479">
        <f>I435-AI435-AJ435-AK435</f>
        <v>383</v>
      </c>
      <c r="AM435" s="161">
        <v>430</v>
      </c>
      <c r="AN435" s="537"/>
      <c r="AO435" s="537"/>
      <c r="AP435" s="479"/>
    </row>
    <row r="436" spans="1:42" s="1035" customFormat="1" ht="9.75" hidden="1" customHeight="1" outlineLevel="1">
      <c r="A436" s="1034" t="s">
        <v>14</v>
      </c>
      <c r="B436" s="51"/>
      <c r="C436" s="52"/>
      <c r="D436" s="52">
        <f t="shared" ref="D436:I436" si="662">D435/C435-1</f>
        <v>8.5183507023108396E-2</v>
      </c>
      <c r="E436" s="52">
        <f t="shared" si="662"/>
        <v>-7.0981210855950438E-3</v>
      </c>
      <c r="F436" s="52">
        <f t="shared" si="662"/>
        <v>2.9857022708158043E-2</v>
      </c>
      <c r="G436" s="52">
        <f t="shared" si="662"/>
        <v>-0.12045732952225396</v>
      </c>
      <c r="H436" s="52">
        <f t="shared" si="662"/>
        <v>-0.3839368616527391</v>
      </c>
      <c r="I436" s="52">
        <f t="shared" si="662"/>
        <v>9.4197437829691033E-2</v>
      </c>
      <c r="J436" s="51"/>
      <c r="K436" s="51"/>
      <c r="L436" s="51"/>
      <c r="M436" s="51"/>
      <c r="N436" s="51"/>
      <c r="O436" s="51"/>
      <c r="P436" s="51"/>
      <c r="Q436" s="51"/>
      <c r="R436" s="1018"/>
      <c r="S436" s="5"/>
      <c r="T436" s="5"/>
      <c r="U436" s="5"/>
      <c r="V436" s="5"/>
      <c r="W436" s="52">
        <v>0</v>
      </c>
      <c r="X436" s="52">
        <v>1.983471074380172E-2</v>
      </c>
      <c r="Y436" s="52">
        <v>8.2289803220035873E-2</v>
      </c>
      <c r="Z436" s="52">
        <v>2.1775544388609624E-2</v>
      </c>
      <c r="AA436" s="162">
        <f t="shared" ref="AA436:AM436" si="663">AA435/W435-1</f>
        <v>-0.38573743922204218</v>
      </c>
      <c r="AB436" s="52">
        <f t="shared" si="663"/>
        <v>-0.43598055105348466</v>
      </c>
      <c r="AC436" s="52">
        <f t="shared" si="663"/>
        <v>-0.19338842975206616</v>
      </c>
      <c r="AD436" s="52">
        <f t="shared" si="663"/>
        <v>0.53934426229508192</v>
      </c>
      <c r="AE436" s="162">
        <f t="shared" si="663"/>
        <v>-0.13192612137203164</v>
      </c>
      <c r="AF436" s="52">
        <f t="shared" si="663"/>
        <v>-4.31034482758621E-2</v>
      </c>
      <c r="AG436" s="52">
        <f t="shared" si="663"/>
        <v>-0.31762295081967218</v>
      </c>
      <c r="AH436" s="52">
        <f t="shared" si="663"/>
        <v>-0.64643237486687966</v>
      </c>
      <c r="AI436" s="162">
        <f t="shared" si="663"/>
        <v>-9.1185410334346795E-3</v>
      </c>
      <c r="AJ436" s="52">
        <f t="shared" si="663"/>
        <v>9.3093093093093104E-2</v>
      </c>
      <c r="AK436" s="52">
        <f t="shared" si="663"/>
        <v>0.13813813813813813</v>
      </c>
      <c r="AL436" s="494">
        <f t="shared" si="663"/>
        <v>0.15361445783132521</v>
      </c>
      <c r="AM436" s="162">
        <f t="shared" si="663"/>
        <v>0.31901840490797539</v>
      </c>
      <c r="AN436" s="538"/>
      <c r="AO436" s="538"/>
      <c r="AP436" s="480"/>
    </row>
    <row r="437" spans="1:42" s="1035" customFormat="1" ht="9.75" hidden="1" customHeight="1" outlineLevel="1">
      <c r="A437" s="1034" t="s">
        <v>15</v>
      </c>
      <c r="B437" s="51"/>
      <c r="C437" s="52"/>
      <c r="D437" s="52">
        <v>0.1</v>
      </c>
      <c r="E437" s="52">
        <v>0.09</v>
      </c>
      <c r="F437" s="52">
        <v>0.08</v>
      </c>
      <c r="G437" s="52">
        <v>-0.04</v>
      </c>
      <c r="H437" s="52">
        <v>-0.04</v>
      </c>
      <c r="I437" s="52">
        <v>0.1</v>
      </c>
      <c r="J437" s="51"/>
      <c r="K437" s="51"/>
      <c r="L437" s="51"/>
      <c r="M437" s="51"/>
      <c r="N437" s="51"/>
      <c r="O437" s="51"/>
      <c r="P437" s="51"/>
      <c r="Q437" s="51"/>
      <c r="R437" s="1018"/>
      <c r="S437" s="5"/>
      <c r="T437" s="5"/>
      <c r="U437" s="5"/>
      <c r="V437" s="5"/>
      <c r="W437" s="52">
        <v>0.08</v>
      </c>
      <c r="X437" s="52">
        <v>0.04</v>
      </c>
      <c r="Y437" s="52">
        <v>0.1</v>
      </c>
      <c r="Z437" s="52">
        <v>0.09</v>
      </c>
      <c r="AA437" s="162">
        <v>0.08</v>
      </c>
      <c r="AB437" s="52">
        <v>-0.04</v>
      </c>
      <c r="AC437" s="52">
        <v>-0.09</v>
      </c>
      <c r="AD437" s="52">
        <v>-0.09</v>
      </c>
      <c r="AE437" s="162">
        <v>-0.1</v>
      </c>
      <c r="AF437" s="52">
        <v>-7.0000000000000007E-2</v>
      </c>
      <c r="AG437" s="52">
        <v>-0.02</v>
      </c>
      <c r="AH437" s="52">
        <v>-0.05</v>
      </c>
      <c r="AI437" s="162">
        <v>-0.02</v>
      </c>
      <c r="AJ437" s="52">
        <v>0.11</v>
      </c>
      <c r="AK437" s="52">
        <v>0.23</v>
      </c>
      <c r="AL437" s="494">
        <v>0.15</v>
      </c>
      <c r="AM437" s="162">
        <v>0.12</v>
      </c>
      <c r="AN437" s="538"/>
      <c r="AO437" s="538"/>
      <c r="AP437" s="480"/>
    </row>
    <row r="438" spans="1:42" s="1033" customFormat="1" ht="12.75" hidden="1" customHeight="1" outlineLevel="1">
      <c r="A438" s="1033" t="s">
        <v>75</v>
      </c>
      <c r="B438" s="9"/>
      <c r="C438" s="9">
        <v>1106</v>
      </c>
      <c r="D438" s="9">
        <v>1104</v>
      </c>
      <c r="E438" s="9">
        <v>1108</v>
      </c>
      <c r="F438" s="9">
        <v>1157</v>
      </c>
      <c r="G438" s="9">
        <v>975</v>
      </c>
      <c r="H438" s="9">
        <v>465</v>
      </c>
      <c r="I438" s="9">
        <v>461</v>
      </c>
      <c r="J438" s="9"/>
      <c r="K438" s="9"/>
      <c r="L438" s="9"/>
      <c r="M438" s="9"/>
      <c r="N438" s="9"/>
      <c r="O438" s="9"/>
      <c r="P438" s="9"/>
      <c r="Q438" s="9"/>
      <c r="R438" s="1020"/>
      <c r="S438" s="4"/>
      <c r="T438" s="4"/>
      <c r="U438" s="4"/>
      <c r="V438" s="4"/>
      <c r="W438" s="9">
        <v>261</v>
      </c>
      <c r="X438" s="9">
        <v>292</v>
      </c>
      <c r="Y438" s="9">
        <v>314</v>
      </c>
      <c r="Z438" s="9">
        <v>290</v>
      </c>
      <c r="AA438" s="161">
        <v>124</v>
      </c>
      <c r="AB438" s="9">
        <v>136</v>
      </c>
      <c r="AC438" s="9">
        <v>225</v>
      </c>
      <c r="AD438" s="9">
        <f>G438-AC438-AB438-AA438</f>
        <v>490</v>
      </c>
      <c r="AE438" s="161">
        <v>114</v>
      </c>
      <c r="AF438" s="9">
        <v>117</v>
      </c>
      <c r="AG438" s="9">
        <v>123</v>
      </c>
      <c r="AH438" s="9">
        <f>H438-AE438-AF438-AG438</f>
        <v>111</v>
      </c>
      <c r="AI438" s="161">
        <v>105</v>
      </c>
      <c r="AJ438" s="9">
        <v>116</v>
      </c>
      <c r="AK438" s="9">
        <v>118</v>
      </c>
      <c r="AL438" s="479">
        <f>I438-AI438-AJ438-AK438</f>
        <v>122</v>
      </c>
      <c r="AM438" s="161">
        <v>154</v>
      </c>
      <c r="AN438" s="537"/>
      <c r="AO438" s="537"/>
      <c r="AP438" s="479"/>
    </row>
    <row r="439" spans="1:42" s="1035" customFormat="1" ht="9.75" hidden="1" customHeight="1" outlineLevel="1">
      <c r="A439" s="1034" t="s">
        <v>14</v>
      </c>
      <c r="B439" s="51"/>
      <c r="C439" s="52"/>
      <c r="D439" s="52">
        <f t="shared" ref="D439:I439" si="664">D438/C438-1</f>
        <v>-1.8083182640145079E-3</v>
      </c>
      <c r="E439" s="52">
        <f t="shared" si="664"/>
        <v>3.6231884057971175E-3</v>
      </c>
      <c r="F439" s="52">
        <f t="shared" si="664"/>
        <v>4.4223826714801406E-2</v>
      </c>
      <c r="G439" s="52">
        <f t="shared" si="664"/>
        <v>-0.15730337078651691</v>
      </c>
      <c r="H439" s="52">
        <f t="shared" si="664"/>
        <v>-0.52307692307692299</v>
      </c>
      <c r="I439" s="52">
        <f t="shared" si="664"/>
        <v>-8.6021505376343566E-3</v>
      </c>
      <c r="J439" s="51"/>
      <c r="K439" s="51"/>
      <c r="L439" s="51"/>
      <c r="M439" s="51"/>
      <c r="N439" s="51"/>
      <c r="O439" s="51"/>
      <c r="P439" s="51"/>
      <c r="Q439" s="51"/>
      <c r="R439" s="1018"/>
      <c r="S439" s="5"/>
      <c r="T439" s="5"/>
      <c r="U439" s="5"/>
      <c r="V439" s="5"/>
      <c r="W439" s="52">
        <v>1.5564202334630295E-2</v>
      </c>
      <c r="X439" s="52">
        <v>-3.4129692832765013E-3</v>
      </c>
      <c r="Y439" s="52">
        <v>0.13357400722021651</v>
      </c>
      <c r="Z439" s="52">
        <v>3.2028469750889688E-2</v>
      </c>
      <c r="AA439" s="162">
        <f t="shared" ref="AA439:AM439" si="665">AA438/W438-1</f>
        <v>-0.52490421455938696</v>
      </c>
      <c r="AB439" s="52">
        <f t="shared" si="665"/>
        <v>-0.53424657534246578</v>
      </c>
      <c r="AC439" s="52">
        <f t="shared" si="665"/>
        <v>-0.28343949044585992</v>
      </c>
      <c r="AD439" s="52">
        <f t="shared" si="665"/>
        <v>0.68965517241379315</v>
      </c>
      <c r="AE439" s="162">
        <f t="shared" si="665"/>
        <v>-8.064516129032262E-2</v>
      </c>
      <c r="AF439" s="52">
        <f t="shared" si="665"/>
        <v>-0.13970588235294112</v>
      </c>
      <c r="AG439" s="52">
        <f t="shared" si="665"/>
        <v>-0.45333333333333337</v>
      </c>
      <c r="AH439" s="52">
        <f t="shared" si="665"/>
        <v>-0.77346938775510199</v>
      </c>
      <c r="AI439" s="162">
        <f t="shared" si="665"/>
        <v>-7.8947368421052655E-2</v>
      </c>
      <c r="AJ439" s="52">
        <f t="shared" si="665"/>
        <v>-8.5470085470085166E-3</v>
      </c>
      <c r="AK439" s="52">
        <f t="shared" si="665"/>
        <v>-4.065040650406504E-2</v>
      </c>
      <c r="AL439" s="494">
        <f t="shared" si="665"/>
        <v>9.9099099099099197E-2</v>
      </c>
      <c r="AM439" s="162">
        <f t="shared" si="665"/>
        <v>0.46666666666666656</v>
      </c>
      <c r="AN439" s="538"/>
      <c r="AO439" s="538"/>
      <c r="AP439" s="480"/>
    </row>
    <row r="440" spans="1:42" s="1035" customFormat="1" ht="9.75" hidden="1" customHeight="1" outlineLevel="1">
      <c r="A440" s="1034" t="s">
        <v>15</v>
      </c>
      <c r="B440" s="51"/>
      <c r="C440" s="52"/>
      <c r="D440" s="52">
        <v>0.05</v>
      </c>
      <c r="E440" s="52">
        <v>0.08</v>
      </c>
      <c r="F440" s="52">
        <v>0.12</v>
      </c>
      <c r="G440" s="52">
        <v>0.03</v>
      </c>
      <c r="H440" s="52">
        <v>0.03</v>
      </c>
      <c r="I440" s="52">
        <v>7.0000000000000007E-2</v>
      </c>
      <c r="J440" s="51"/>
      <c r="K440" s="51"/>
      <c r="L440" s="51"/>
      <c r="M440" s="51"/>
      <c r="N440" s="51"/>
      <c r="O440" s="51"/>
      <c r="P440" s="51"/>
      <c r="Q440" s="51"/>
      <c r="R440" s="1018"/>
      <c r="S440" s="5"/>
      <c r="T440" s="5"/>
      <c r="U440" s="5"/>
      <c r="V440" s="5"/>
      <c r="W440" s="52">
        <v>0.15</v>
      </c>
      <c r="X440" s="52">
        <v>7.0000000000000007E-2</v>
      </c>
      <c r="Y440" s="52">
        <v>0.17</v>
      </c>
      <c r="Z440" s="52">
        <v>0.12</v>
      </c>
      <c r="AA440" s="162">
        <v>0.08</v>
      </c>
      <c r="AB440" s="52">
        <v>7.0000000000000007E-2</v>
      </c>
      <c r="AC440" s="52">
        <v>-0.04</v>
      </c>
      <c r="AD440" s="52">
        <v>0.03</v>
      </c>
      <c r="AE440" s="162">
        <v>0.19</v>
      </c>
      <c r="AF440" s="52">
        <v>0.04</v>
      </c>
      <c r="AG440" s="52">
        <v>-0.02</v>
      </c>
      <c r="AH440" s="52">
        <v>-0.14000000000000001</v>
      </c>
      <c r="AI440" s="162">
        <v>0.01</v>
      </c>
      <c r="AJ440" s="52">
        <v>0.08</v>
      </c>
      <c r="AK440" s="52">
        <v>0.08</v>
      </c>
      <c r="AL440" s="494">
        <v>0.14000000000000001</v>
      </c>
      <c r="AM440" s="162">
        <v>7.0000000000000007E-2</v>
      </c>
      <c r="AN440" s="538"/>
      <c r="AO440" s="538"/>
      <c r="AP440" s="480"/>
    </row>
    <row r="441" spans="1:42" ht="12.75" customHeight="1" collapsed="1">
      <c r="A441" s="1025" t="s">
        <v>1841</v>
      </c>
      <c r="I441" s="499"/>
      <c r="J441" s="499">
        <v>2227</v>
      </c>
      <c r="K441" s="107">
        <f>J441*(1+K443)*(1+K$32)</f>
        <v>2316.08</v>
      </c>
      <c r="L441" s="107">
        <f t="shared" ref="L441:Q441" si="666">K441*(1+L443)*(1+L$32)</f>
        <v>2408.7231999999999</v>
      </c>
      <c r="M441" s="107">
        <f t="shared" si="666"/>
        <v>2505.0721279999998</v>
      </c>
      <c r="N441" s="107">
        <f t="shared" si="666"/>
        <v>2605.27501312</v>
      </c>
      <c r="O441" s="107">
        <f t="shared" si="666"/>
        <v>2709.4860136448001</v>
      </c>
      <c r="P441" s="107">
        <f t="shared" si="666"/>
        <v>2817.8654541905921</v>
      </c>
      <c r="Q441" s="107">
        <f t="shared" si="666"/>
        <v>2930.5800723582161</v>
      </c>
      <c r="R441" s="402"/>
      <c r="S441" s="1026"/>
      <c r="T441" s="1026"/>
      <c r="U441" s="1026"/>
      <c r="AD441" s="107"/>
      <c r="AH441" s="107"/>
      <c r="AI441" s="168">
        <v>494</v>
      </c>
      <c r="AL441" s="481"/>
      <c r="AM441" s="542">
        <v>541</v>
      </c>
      <c r="AN441" s="396">
        <f>J441/4</f>
        <v>556.75</v>
      </c>
      <c r="AO441" s="396">
        <f>J441/4</f>
        <v>556.75</v>
      </c>
      <c r="AP441" s="481">
        <f>J441-AM441-AN441-AO441</f>
        <v>572.5</v>
      </c>
    </row>
    <row r="442" spans="1:42" s="1038" customFormat="1" ht="9.75" customHeight="1" outlineLevel="1">
      <c r="A442" s="1037" t="s">
        <v>14</v>
      </c>
      <c r="B442" s="10"/>
      <c r="C442" s="10"/>
      <c r="D442" s="10"/>
      <c r="E442" s="10"/>
      <c r="F442" s="10"/>
      <c r="G442" s="10"/>
      <c r="H442" s="10"/>
      <c r="I442" s="10"/>
      <c r="J442" s="10"/>
      <c r="K442" s="10">
        <f>K441/J441-1</f>
        <v>4.0000000000000036E-2</v>
      </c>
      <c r="L442" s="10">
        <f t="shared" ref="L442:Q442" si="667">L441/K441-1</f>
        <v>4.0000000000000036E-2</v>
      </c>
      <c r="M442" s="10">
        <f t="shared" si="667"/>
        <v>4.0000000000000036E-2</v>
      </c>
      <c r="N442" s="10">
        <f t="shared" si="667"/>
        <v>4.0000000000000036E-2</v>
      </c>
      <c r="O442" s="10">
        <f t="shared" si="667"/>
        <v>4.0000000000000036E-2</v>
      </c>
      <c r="P442" s="10">
        <f t="shared" si="667"/>
        <v>4.0000000000000036E-2</v>
      </c>
      <c r="Q442" s="10">
        <f t="shared" si="667"/>
        <v>4.0000000000000036E-2</v>
      </c>
      <c r="R442" s="1019"/>
      <c r="S442" s="10"/>
      <c r="T442" s="10"/>
      <c r="U442" s="10"/>
      <c r="V442" s="10"/>
      <c r="W442" s="10"/>
      <c r="X442" s="10"/>
      <c r="Y442" s="10"/>
      <c r="Z442" s="10"/>
      <c r="AA442" s="163"/>
      <c r="AB442" s="10"/>
      <c r="AC442" s="10"/>
      <c r="AD442" s="10"/>
      <c r="AE442" s="163"/>
      <c r="AF442" s="10"/>
      <c r="AG442" s="10"/>
      <c r="AH442" s="10"/>
      <c r="AI442" s="167"/>
      <c r="AJ442" s="10"/>
      <c r="AK442" s="10"/>
      <c r="AL442" s="482"/>
      <c r="AM442" s="546">
        <f t="shared" ref="AM442" si="668">AM441/AI441-1</f>
        <v>9.5141700404858254E-2</v>
      </c>
      <c r="AN442" s="428"/>
      <c r="AO442" s="428"/>
      <c r="AP442" s="482"/>
    </row>
    <row r="443" spans="1:42" s="1038" customFormat="1" ht="9.75" customHeight="1" outlineLevel="1">
      <c r="A443" s="1037" t="s">
        <v>15</v>
      </c>
      <c r="B443" s="10"/>
      <c r="C443" s="10"/>
      <c r="D443" s="10"/>
      <c r="E443" s="10"/>
      <c r="F443" s="10"/>
      <c r="G443" s="10"/>
      <c r="H443" s="10"/>
      <c r="I443" s="50"/>
      <c r="J443" s="50"/>
      <c r="K443" s="50">
        <v>0.04</v>
      </c>
      <c r="L443" s="50">
        <v>0.04</v>
      </c>
      <c r="M443" s="50">
        <v>0.04</v>
      </c>
      <c r="N443" s="50">
        <v>0.04</v>
      </c>
      <c r="O443" s="50">
        <v>0.04</v>
      </c>
      <c r="P443" s="50">
        <v>0.04</v>
      </c>
      <c r="Q443" s="50">
        <v>0.04</v>
      </c>
      <c r="R443" s="1019"/>
      <c r="S443" s="10"/>
      <c r="T443" s="10"/>
      <c r="U443" s="10"/>
      <c r="V443" s="10"/>
      <c r="W443" s="10"/>
      <c r="X443" s="10"/>
      <c r="Y443" s="10"/>
      <c r="Z443" s="10"/>
      <c r="AA443" s="163"/>
      <c r="AB443" s="10"/>
      <c r="AC443" s="10"/>
      <c r="AD443" s="10"/>
      <c r="AE443" s="163"/>
      <c r="AF443" s="10"/>
      <c r="AG443" s="10"/>
      <c r="AH443" s="10"/>
      <c r="AI443" s="167"/>
      <c r="AJ443" s="10"/>
      <c r="AK443" s="10"/>
      <c r="AL443" s="482"/>
      <c r="AM443" s="546">
        <v>0.05</v>
      </c>
      <c r="AN443" s="539"/>
      <c r="AO443" s="539"/>
      <c r="AP443" s="497"/>
    </row>
    <row r="444" spans="1:42" ht="12.75" customHeight="1">
      <c r="A444" s="1025" t="s">
        <v>1842</v>
      </c>
      <c r="I444" s="499"/>
      <c r="J444" s="499">
        <v>1149</v>
      </c>
      <c r="K444" s="107">
        <f t="shared" ref="K444" si="669">J444*(1+K446)*(1+K$32)</f>
        <v>1194.96</v>
      </c>
      <c r="L444" s="107">
        <f t="shared" ref="L444" si="670">K444*(1+L446)*(1+L$32)</f>
        <v>1254.7080000000001</v>
      </c>
      <c r="M444" s="107">
        <f t="shared" ref="M444" si="671">L444*(1+M446)*(1+M$32)</f>
        <v>1317.4434000000001</v>
      </c>
      <c r="N444" s="107">
        <f t="shared" ref="N444" si="672">M444*(1+N446)*(1+N$32)</f>
        <v>1383.3155700000002</v>
      </c>
      <c r="O444" s="107">
        <f t="shared" ref="O444" si="673">N444*(1+O446)*(1+O$32)</f>
        <v>1452.4813485000002</v>
      </c>
      <c r="P444" s="107">
        <f t="shared" ref="P444" si="674">O444*(1+P446)*(1+P$32)</f>
        <v>1525.1054159250002</v>
      </c>
      <c r="Q444" s="107">
        <f t="shared" ref="Q444" si="675">P444*(1+Q446)*(1+Q$32)</f>
        <v>1601.3606867212502</v>
      </c>
      <c r="R444" s="402"/>
      <c r="S444" s="1026"/>
      <c r="T444" s="1026"/>
      <c r="U444" s="1026"/>
      <c r="AD444" s="107"/>
      <c r="AH444" s="107"/>
      <c r="AI444" s="168">
        <v>234</v>
      </c>
      <c r="AL444" s="481"/>
      <c r="AM444" s="542">
        <v>279</v>
      </c>
      <c r="AN444" s="396">
        <f>J444/4</f>
        <v>287.25</v>
      </c>
      <c r="AO444" s="396">
        <f>J444/4</f>
        <v>287.25</v>
      </c>
      <c r="AP444" s="481">
        <f>J444-AM444-AN444-AO444</f>
        <v>295.5</v>
      </c>
    </row>
    <row r="445" spans="1:42" s="1038" customFormat="1" ht="9.75" customHeight="1" outlineLevel="1">
      <c r="A445" s="1037" t="s">
        <v>14</v>
      </c>
      <c r="B445" s="10"/>
      <c r="C445" s="10"/>
      <c r="D445" s="10"/>
      <c r="E445" s="10"/>
      <c r="F445" s="10"/>
      <c r="G445" s="10"/>
      <c r="H445" s="10"/>
      <c r="I445" s="10"/>
      <c r="J445" s="10"/>
      <c r="K445" s="10">
        <f t="shared" ref="K445" si="676">K444/J444-1</f>
        <v>4.0000000000000036E-2</v>
      </c>
      <c r="L445" s="10">
        <f t="shared" ref="L445" si="677">L444/K444-1</f>
        <v>5.0000000000000044E-2</v>
      </c>
      <c r="M445" s="10">
        <f t="shared" ref="M445" si="678">M444/L444-1</f>
        <v>5.0000000000000044E-2</v>
      </c>
      <c r="N445" s="10">
        <f t="shared" ref="N445" si="679">N444/M444-1</f>
        <v>5.0000000000000044E-2</v>
      </c>
      <c r="O445" s="10">
        <f t="shared" ref="O445" si="680">O444/N444-1</f>
        <v>5.0000000000000044E-2</v>
      </c>
      <c r="P445" s="10">
        <f t="shared" ref="P445" si="681">P444/O444-1</f>
        <v>5.0000000000000044E-2</v>
      </c>
      <c r="Q445" s="10">
        <f t="shared" ref="Q445" si="682">Q444/P444-1</f>
        <v>5.0000000000000044E-2</v>
      </c>
      <c r="R445" s="1019"/>
      <c r="S445" s="10"/>
      <c r="T445" s="10"/>
      <c r="U445" s="10"/>
      <c r="V445" s="10"/>
      <c r="W445" s="10"/>
      <c r="X445" s="10"/>
      <c r="Y445" s="10"/>
      <c r="Z445" s="10"/>
      <c r="AA445" s="163"/>
      <c r="AB445" s="10"/>
      <c r="AC445" s="10"/>
      <c r="AD445" s="10"/>
      <c r="AE445" s="163"/>
      <c r="AF445" s="10"/>
      <c r="AG445" s="10"/>
      <c r="AH445" s="10"/>
      <c r="AI445" s="167"/>
      <c r="AJ445" s="10"/>
      <c r="AK445" s="10"/>
      <c r="AL445" s="482"/>
      <c r="AM445" s="546">
        <f t="shared" ref="AM445" si="683">AM444/AI444-1</f>
        <v>0.19230769230769229</v>
      </c>
      <c r="AN445" s="428"/>
      <c r="AO445" s="428"/>
      <c r="AP445" s="482"/>
    </row>
    <row r="446" spans="1:42" s="1038" customFormat="1" ht="9.75" customHeight="1" outlineLevel="1">
      <c r="A446" s="1037" t="s">
        <v>15</v>
      </c>
      <c r="B446" s="10"/>
      <c r="C446" s="10"/>
      <c r="D446" s="10"/>
      <c r="E446" s="10"/>
      <c r="F446" s="10"/>
      <c r="G446" s="10"/>
      <c r="H446" s="10"/>
      <c r="I446" s="50"/>
      <c r="J446" s="50"/>
      <c r="K446" s="50">
        <v>0.04</v>
      </c>
      <c r="L446" s="50">
        <v>0.05</v>
      </c>
      <c r="M446" s="50">
        <v>0.05</v>
      </c>
      <c r="N446" s="50">
        <v>0.05</v>
      </c>
      <c r="O446" s="50">
        <v>0.05</v>
      </c>
      <c r="P446" s="50">
        <v>0.05</v>
      </c>
      <c r="Q446" s="50">
        <v>0.05</v>
      </c>
      <c r="R446" s="1019"/>
      <c r="S446" s="10"/>
      <c r="T446" s="10"/>
      <c r="U446" s="10"/>
      <c r="V446" s="10"/>
      <c r="W446" s="10"/>
      <c r="X446" s="10"/>
      <c r="Y446" s="10"/>
      <c r="Z446" s="10"/>
      <c r="AA446" s="163"/>
      <c r="AB446" s="10"/>
      <c r="AC446" s="10"/>
      <c r="AD446" s="10"/>
      <c r="AE446" s="163"/>
      <c r="AF446" s="10"/>
      <c r="AG446" s="10"/>
      <c r="AH446" s="10"/>
      <c r="AI446" s="167"/>
      <c r="AJ446" s="10"/>
      <c r="AK446" s="10"/>
      <c r="AL446" s="482"/>
      <c r="AM446" s="546">
        <v>0.14000000000000001</v>
      </c>
      <c r="AN446" s="539"/>
      <c r="AO446" s="539"/>
      <c r="AP446" s="497"/>
    </row>
    <row r="447" spans="1:42" s="1038" customFormat="1" ht="9.75" customHeight="1" outlineLevel="1">
      <c r="A447" s="1037" t="s">
        <v>18</v>
      </c>
      <c r="B447" s="10"/>
      <c r="C447" s="10"/>
      <c r="D447" s="10"/>
      <c r="E447" s="10"/>
      <c r="F447" s="10"/>
      <c r="G447" s="10"/>
      <c r="H447" s="10"/>
      <c r="I447" s="10"/>
      <c r="J447" s="10"/>
      <c r="K447" s="10"/>
      <c r="L447" s="10"/>
      <c r="M447" s="10"/>
      <c r="N447" s="10"/>
      <c r="O447" s="10"/>
      <c r="P447" s="10"/>
      <c r="Q447" s="10"/>
      <c r="R447" s="1019"/>
      <c r="S447" s="10"/>
      <c r="T447" s="10"/>
      <c r="U447" s="10"/>
      <c r="V447" s="10"/>
      <c r="W447" s="10"/>
      <c r="X447" s="10"/>
      <c r="Y447" s="10"/>
      <c r="Z447" s="10"/>
      <c r="AA447" s="163"/>
      <c r="AB447" s="10"/>
      <c r="AC447" s="10"/>
      <c r="AD447" s="10"/>
      <c r="AE447" s="163"/>
      <c r="AF447" s="10"/>
      <c r="AG447" s="10"/>
      <c r="AH447" s="10"/>
      <c r="AI447" s="167"/>
      <c r="AJ447" s="10"/>
      <c r="AK447" s="10"/>
      <c r="AL447" s="482"/>
      <c r="AM447" s="546">
        <f t="shared" ref="AM447" si="684">AM444/AM$2</f>
        <v>2.1978887663463054E-2</v>
      </c>
      <c r="AN447" s="428"/>
      <c r="AO447" s="428"/>
      <c r="AP447" s="482"/>
    </row>
    <row r="448" spans="1:42" ht="12.75" customHeight="1">
      <c r="A448" s="1025" t="s">
        <v>1843</v>
      </c>
      <c r="I448" s="499"/>
      <c r="J448" s="499">
        <v>646</v>
      </c>
      <c r="K448" s="107">
        <f t="shared" ref="K448" si="685">J448*(1+K450)*(1+K$32)</f>
        <v>671.84</v>
      </c>
      <c r="L448" s="107">
        <f t="shared" ref="L448" si="686">K448*(1+L450)*(1+L$32)</f>
        <v>722.09364762771679</v>
      </c>
      <c r="M448" s="107">
        <f t="shared" ref="M448" si="687">L448*(1+M450)*(1+M$32)</f>
        <v>776.10626926694033</v>
      </c>
      <c r="N448" s="107">
        <f t="shared" ref="N448" si="688">M448*(1+N450)*(1+N$32)</f>
        <v>834.15903626116915</v>
      </c>
      <c r="O448" s="107">
        <f t="shared" ref="O448" si="689">N448*(1+O450)*(1+O$32)</f>
        <v>896.55415157693574</v>
      </c>
      <c r="P448" s="107">
        <f t="shared" ref="P448" si="690">O448*(1+P450)*(1+P$32)</f>
        <v>963.61642296969876</v>
      </c>
      <c r="Q448" s="107">
        <f t="shared" ref="Q448" si="691">P448*(1+Q450)*(1+Q$32)</f>
        <v>1035.6949538225806</v>
      </c>
      <c r="R448" s="402"/>
      <c r="S448" s="1026"/>
      <c r="T448" s="1026"/>
      <c r="U448" s="1026"/>
      <c r="AD448" s="107"/>
      <c r="AH448" s="107"/>
      <c r="AI448" s="168">
        <v>134</v>
      </c>
      <c r="AL448" s="481"/>
      <c r="AM448" s="542">
        <v>157</v>
      </c>
      <c r="AN448" s="396">
        <f>J448/4</f>
        <v>161.5</v>
      </c>
      <c r="AO448" s="396">
        <f>J448/4</f>
        <v>161.5</v>
      </c>
      <c r="AP448" s="481">
        <f>J448-AM448-AN448-AO448</f>
        <v>166</v>
      </c>
    </row>
    <row r="449" spans="1:42" s="1038" customFormat="1" ht="9.75" customHeight="1" outlineLevel="1">
      <c r="A449" s="1037" t="s">
        <v>14</v>
      </c>
      <c r="B449" s="10"/>
      <c r="C449" s="10"/>
      <c r="D449" s="10"/>
      <c r="E449" s="10"/>
      <c r="F449" s="10"/>
      <c r="G449" s="10"/>
      <c r="H449" s="10"/>
      <c r="I449" s="10"/>
      <c r="J449" s="10"/>
      <c r="K449" s="10">
        <f t="shared" ref="K449" si="692">K448/J448-1</f>
        <v>4.0000000000000036E-2</v>
      </c>
      <c r="L449" s="10">
        <f t="shared" ref="L449" si="693">L448/K448-1</f>
        <v>7.4800023261069271E-2</v>
      </c>
      <c r="M449" s="10">
        <f t="shared" ref="M449" si="694">M448/L448-1</f>
        <v>7.4800023261069271E-2</v>
      </c>
      <c r="N449" s="10">
        <f t="shared" ref="N449" si="695">N448/M448-1</f>
        <v>7.4800023261069271E-2</v>
      </c>
      <c r="O449" s="10">
        <f t="shared" ref="O449" si="696">O448/N448-1</f>
        <v>7.4800023261069271E-2</v>
      </c>
      <c r="P449" s="10">
        <f t="shared" ref="P449" si="697">P448/O448-1</f>
        <v>7.4800023261069271E-2</v>
      </c>
      <c r="Q449" s="10">
        <f t="shared" ref="Q449" si="698">Q448/P448-1</f>
        <v>7.4800023261069271E-2</v>
      </c>
      <c r="R449" s="1019"/>
      <c r="S449" s="10"/>
      <c r="T449" s="10"/>
      <c r="U449" s="10"/>
      <c r="V449" s="10"/>
      <c r="W449" s="10"/>
      <c r="X449" s="10"/>
      <c r="Y449" s="10"/>
      <c r="Z449" s="10"/>
      <c r="AA449" s="163"/>
      <c r="AB449" s="10"/>
      <c r="AC449" s="10"/>
      <c r="AD449" s="10"/>
      <c r="AE449" s="163"/>
      <c r="AF449" s="10"/>
      <c r="AG449" s="10"/>
      <c r="AH449" s="10"/>
      <c r="AI449" s="167"/>
      <c r="AJ449" s="10"/>
      <c r="AK449" s="10"/>
      <c r="AL449" s="482"/>
      <c r="AM449" s="546">
        <f t="shared" ref="AM449" si="699">AM448/AI448-1</f>
        <v>0.17164179104477606</v>
      </c>
      <c r="AN449" s="428"/>
      <c r="AO449" s="428"/>
      <c r="AP449" s="482"/>
    </row>
    <row r="450" spans="1:42" s="1038" customFormat="1" ht="9.75" customHeight="1" outlineLevel="1">
      <c r="A450" s="1037" t="s">
        <v>15</v>
      </c>
      <c r="B450" s="10"/>
      <c r="C450" s="10"/>
      <c r="D450" s="10"/>
      <c r="E450" s="10"/>
      <c r="F450" s="10"/>
      <c r="G450" s="10"/>
      <c r="H450" s="10"/>
      <c r="I450" s="10"/>
      <c r="J450" s="50"/>
      <c r="K450" s="50">
        <v>0.04</v>
      </c>
      <c r="L450" s="50">
        <v>7.480002326106934E-2</v>
      </c>
      <c r="M450" s="50">
        <v>7.480002326106934E-2</v>
      </c>
      <c r="N450" s="50">
        <v>7.480002326106934E-2</v>
      </c>
      <c r="O450" s="50">
        <v>7.480002326106934E-2</v>
      </c>
      <c r="P450" s="50">
        <v>7.480002326106934E-2</v>
      </c>
      <c r="Q450" s="50">
        <v>7.480002326106934E-2</v>
      </c>
      <c r="R450" s="1019"/>
      <c r="S450" s="10"/>
      <c r="T450" s="10"/>
      <c r="U450" s="10"/>
      <c r="V450" s="10"/>
      <c r="W450" s="10"/>
      <c r="X450" s="10"/>
      <c r="Y450" s="10"/>
      <c r="Z450" s="10"/>
      <c r="AA450" s="163"/>
      <c r="AB450" s="10"/>
      <c r="AC450" s="10"/>
      <c r="AD450" s="10"/>
      <c r="AE450" s="163"/>
      <c r="AF450" s="10"/>
      <c r="AG450" s="10"/>
      <c r="AH450" s="10"/>
      <c r="AI450" s="167"/>
      <c r="AJ450" s="10"/>
      <c r="AK450" s="10"/>
      <c r="AL450" s="482"/>
      <c r="AM450" s="546">
        <v>0.13</v>
      </c>
      <c r="AN450" s="539"/>
      <c r="AO450" s="539"/>
      <c r="AP450" s="497"/>
    </row>
    <row r="451" spans="1:42" ht="12.75" customHeight="1">
      <c r="A451" s="1045" t="s">
        <v>63</v>
      </c>
      <c r="B451" s="146"/>
      <c r="C451" s="146"/>
      <c r="D451" s="146"/>
      <c r="E451" s="146"/>
      <c r="F451" s="146"/>
      <c r="G451" s="146"/>
      <c r="H451" s="146"/>
      <c r="I451" s="146"/>
      <c r="J451" s="399">
        <f t="shared" ref="J451:Q451" si="700">J441+J444+J448</f>
        <v>4022</v>
      </c>
      <c r="K451" s="399">
        <f t="shared" si="700"/>
        <v>4182.88</v>
      </c>
      <c r="L451" s="399">
        <f t="shared" si="700"/>
        <v>4385.5248476277166</v>
      </c>
      <c r="M451" s="399">
        <f t="shared" si="700"/>
        <v>4598.6217972669401</v>
      </c>
      <c r="N451" s="399">
        <f t="shared" si="700"/>
        <v>4822.7496193811694</v>
      </c>
      <c r="O451" s="399">
        <f t="shared" si="700"/>
        <v>5058.5215137217356</v>
      </c>
      <c r="P451" s="399">
        <f t="shared" si="700"/>
        <v>5306.5872930852911</v>
      </c>
      <c r="Q451" s="399">
        <f t="shared" si="700"/>
        <v>5567.6357129020471</v>
      </c>
      <c r="R451" s="402"/>
      <c r="S451" s="1026"/>
      <c r="T451" s="1026"/>
      <c r="U451" s="1026"/>
      <c r="W451" s="14"/>
      <c r="X451" s="14"/>
      <c r="Y451" s="14"/>
      <c r="Z451" s="14"/>
      <c r="AA451" s="170"/>
      <c r="AB451" s="146"/>
      <c r="AC451" s="146"/>
      <c r="AD451" s="152"/>
      <c r="AE451" s="170"/>
      <c r="AF451" s="146"/>
      <c r="AG451" s="146"/>
      <c r="AH451" s="152"/>
      <c r="AI451" s="170">
        <f t="shared" ref="AI451" si="701">AI441+AI444+AI448</f>
        <v>862</v>
      </c>
      <c r="AJ451" s="146"/>
      <c r="AK451" s="146"/>
      <c r="AL451" s="487"/>
      <c r="AM451" s="177">
        <f t="shared" ref="AM451:AP451" si="702">AM441+AM444+AM448</f>
        <v>977</v>
      </c>
      <c r="AN451" s="399">
        <f t="shared" si="702"/>
        <v>1005.5</v>
      </c>
      <c r="AO451" s="399">
        <f t="shared" si="702"/>
        <v>1005.5</v>
      </c>
      <c r="AP451" s="487">
        <f t="shared" si="702"/>
        <v>1034</v>
      </c>
    </row>
    <row r="452" spans="1:42" s="1038" customFormat="1" ht="9.75" customHeight="1" outlineLevel="1">
      <c r="A452" s="1046" t="s">
        <v>14</v>
      </c>
      <c r="B452" s="148"/>
      <c r="C452" s="148"/>
      <c r="D452" s="148"/>
      <c r="E452" s="148"/>
      <c r="F452" s="148"/>
      <c r="G452" s="148"/>
      <c r="H452" s="148"/>
      <c r="I452" s="148"/>
      <c r="J452" s="148"/>
      <c r="K452" s="148">
        <f t="shared" ref="K452" si="703">K451/J451-1</f>
        <v>4.0000000000000036E-2</v>
      </c>
      <c r="L452" s="148">
        <f t="shared" ref="L452" si="704">L451/K451-1</f>
        <v>4.8446249385044826E-2</v>
      </c>
      <c r="M452" s="148">
        <f t="shared" ref="M452" si="705">M451/L451-1</f>
        <v>4.8590979881118379E-2</v>
      </c>
      <c r="N452" s="148">
        <f t="shared" ref="N452" si="706">N451/M451-1</f>
        <v>4.8738041960187495E-2</v>
      </c>
      <c r="O452" s="148">
        <f t="shared" ref="O452" si="707">O451/N451-1</f>
        <v>4.8887442423523275E-2</v>
      </c>
      <c r="P452" s="148">
        <f t="shared" ref="P452" si="708">P451/O451-1</f>
        <v>4.9039186388879275E-2</v>
      </c>
      <c r="Q452" s="148">
        <f t="shared" ref="Q452" si="709">Q451/P451-1</f>
        <v>4.9193277222992826E-2</v>
      </c>
      <c r="R452" s="1019"/>
      <c r="S452" s="10"/>
      <c r="T452" s="10"/>
      <c r="U452" s="10"/>
      <c r="V452" s="10"/>
      <c r="W452" s="15"/>
      <c r="X452" s="15"/>
      <c r="Y452" s="15"/>
      <c r="Z452" s="15"/>
      <c r="AA452" s="171"/>
      <c r="AB452" s="148"/>
      <c r="AC452" s="148"/>
      <c r="AD452" s="148"/>
      <c r="AE452" s="171"/>
      <c r="AF452" s="148"/>
      <c r="AG452" s="148"/>
      <c r="AH452" s="148"/>
      <c r="AI452" s="171"/>
      <c r="AJ452" s="148"/>
      <c r="AK452" s="148"/>
      <c r="AL452" s="488"/>
      <c r="AM452" s="171">
        <f t="shared" ref="AM452" si="710">AM451/AI451-1</f>
        <v>0.13341067285382824</v>
      </c>
      <c r="AN452" s="148"/>
      <c r="AO452" s="148"/>
      <c r="AP452" s="488"/>
    </row>
    <row r="453" spans="1:42" s="1038" customFormat="1" ht="9.75" customHeight="1" outlineLevel="1">
      <c r="A453" s="1046" t="s">
        <v>15</v>
      </c>
      <c r="B453" s="148"/>
      <c r="C453" s="148"/>
      <c r="D453" s="148"/>
      <c r="E453" s="148"/>
      <c r="F453" s="148"/>
      <c r="G453" s="148"/>
      <c r="H453" s="148"/>
      <c r="I453" s="148"/>
      <c r="J453" s="148"/>
      <c r="K453" s="148"/>
      <c r="L453" s="148"/>
      <c r="M453" s="148"/>
      <c r="N453" s="148"/>
      <c r="O453" s="148"/>
      <c r="P453" s="148"/>
      <c r="Q453" s="148"/>
      <c r="R453" s="1019"/>
      <c r="S453" s="10"/>
      <c r="T453" s="10"/>
      <c r="U453" s="10"/>
      <c r="V453" s="10"/>
      <c r="W453" s="15"/>
      <c r="X453" s="15"/>
      <c r="Y453" s="15"/>
      <c r="Z453" s="15"/>
      <c r="AA453" s="171"/>
      <c r="AB453" s="148"/>
      <c r="AC453" s="148"/>
      <c r="AD453" s="148"/>
      <c r="AE453" s="171"/>
      <c r="AF453" s="148"/>
      <c r="AG453" s="148"/>
      <c r="AH453" s="148"/>
      <c r="AI453" s="171"/>
      <c r="AJ453" s="148"/>
      <c r="AK453" s="148"/>
      <c r="AL453" s="488"/>
      <c r="AM453" s="500">
        <v>0.08</v>
      </c>
      <c r="AN453" s="500"/>
      <c r="AO453" s="500"/>
      <c r="AP453" s="488"/>
    </row>
    <row r="454" spans="1:42" s="1038" customFormat="1" ht="9.75" customHeight="1" outlineLevel="1">
      <c r="A454" s="1046" t="s">
        <v>18</v>
      </c>
      <c r="B454" s="148"/>
      <c r="C454" s="148"/>
      <c r="D454" s="148"/>
      <c r="E454" s="148"/>
      <c r="F454" s="148"/>
      <c r="G454" s="148"/>
      <c r="H454" s="148"/>
      <c r="I454" s="148"/>
      <c r="J454" s="148">
        <f t="shared" ref="J454:Q454" si="711">J451/J$2</f>
        <v>7.6964498304289947E-2</v>
      </c>
      <c r="K454" s="148">
        <f t="shared" si="711"/>
        <v>7.846131204686016E-2</v>
      </c>
      <c r="L454" s="148">
        <f t="shared" si="711"/>
        <v>7.9760379652954211E-2</v>
      </c>
      <c r="M454" s="148">
        <f t="shared" si="711"/>
        <v>8.0670444955440859E-2</v>
      </c>
      <c r="N454" s="148">
        <f t="shared" si="711"/>
        <v>8.2855745286092047E-2</v>
      </c>
      <c r="O454" s="148">
        <f t="shared" si="711"/>
        <v>8.770738946269567E-2</v>
      </c>
      <c r="P454" s="148">
        <f t="shared" si="711"/>
        <v>9.0839844679458326E-2</v>
      </c>
      <c r="Q454" s="148">
        <f t="shared" si="711"/>
        <v>9.4276541721503335E-2</v>
      </c>
      <c r="R454" s="1019"/>
      <c r="S454" s="10"/>
      <c r="T454" s="10"/>
      <c r="U454" s="10"/>
      <c r="V454" s="10"/>
      <c r="W454" s="15"/>
      <c r="X454" s="15"/>
      <c r="Y454" s="15"/>
      <c r="Z454" s="15"/>
      <c r="AA454" s="171"/>
      <c r="AB454" s="148"/>
      <c r="AC454" s="148"/>
      <c r="AD454" s="148"/>
      <c r="AE454" s="171"/>
      <c r="AF454" s="148"/>
      <c r="AG454" s="148"/>
      <c r="AH454" s="148"/>
      <c r="AI454" s="171">
        <f t="shared" ref="AI454" si="712">AI451/AI$2</f>
        <v>7.4703180518242485E-2</v>
      </c>
      <c r="AJ454" s="148"/>
      <c r="AK454" s="148"/>
      <c r="AL454" s="488"/>
      <c r="AM454" s="171">
        <f t="shared" ref="AM454:AP454" si="713">AM451/AM$2</f>
        <v>7.6965495509689619E-2</v>
      </c>
      <c r="AN454" s="500">
        <f t="shared" si="713"/>
        <v>7.6729195878657119E-2</v>
      </c>
      <c r="AO454" s="500">
        <f t="shared" si="713"/>
        <v>7.6821212277668874E-2</v>
      </c>
      <c r="AP454" s="488">
        <f t="shared" si="713"/>
        <v>7.7334440829536569E-2</v>
      </c>
    </row>
    <row r="455" spans="1:42" ht="12.75" customHeight="1">
      <c r="A455" s="1025" t="s">
        <v>60</v>
      </c>
      <c r="C455" s="4">
        <v>2858</v>
      </c>
      <c r="D455" s="4">
        <v>2932</v>
      </c>
      <c r="E455" s="4">
        <v>3037</v>
      </c>
      <c r="F455" s="4">
        <v>3174</v>
      </c>
      <c r="G455" s="4">
        <v>2853</v>
      </c>
      <c r="H455" s="4">
        <v>2695</v>
      </c>
      <c r="I455" s="4">
        <v>2749</v>
      </c>
      <c r="J455" s="135"/>
      <c r="K455" s="135"/>
      <c r="L455" s="135"/>
      <c r="M455" s="135"/>
      <c r="N455" s="135"/>
      <c r="O455" s="135"/>
      <c r="P455" s="135"/>
      <c r="Q455" s="135"/>
      <c r="R455" s="402"/>
      <c r="S455" s="1026"/>
      <c r="T455" s="1026"/>
      <c r="U455" s="1026"/>
      <c r="W455" s="4">
        <v>743</v>
      </c>
      <c r="X455" s="4">
        <v>821</v>
      </c>
      <c r="Y455" s="4">
        <v>774</v>
      </c>
      <c r="Z455" s="4">
        <v>836</v>
      </c>
      <c r="AA455" s="157">
        <v>738</v>
      </c>
      <c r="AB455" s="4">
        <v>716</v>
      </c>
      <c r="AC455" s="4">
        <v>684</v>
      </c>
      <c r="AD455" s="107">
        <f>G455-AC455-AB455-AA455</f>
        <v>715</v>
      </c>
      <c r="AE455" s="157">
        <v>676</v>
      </c>
      <c r="AF455" s="4">
        <v>692</v>
      </c>
      <c r="AG455" s="4">
        <v>648</v>
      </c>
      <c r="AH455" s="107">
        <f>H455-AE455-AF455-AG455</f>
        <v>679</v>
      </c>
      <c r="AI455" s="1362">
        <v>494</v>
      </c>
      <c r="AJ455" s="4">
        <v>699</v>
      </c>
      <c r="AK455" s="4">
        <v>667</v>
      </c>
      <c r="AL455" s="481">
        <f>I455-AI455-AJ455-AK455</f>
        <v>889</v>
      </c>
      <c r="AM455" s="542"/>
      <c r="AN455" s="396"/>
      <c r="AO455" s="396"/>
      <c r="AP455" s="481"/>
    </row>
    <row r="456" spans="1:42" s="1038" customFormat="1" ht="9.75" customHeight="1" outlineLevel="1">
      <c r="A456" s="1037" t="s">
        <v>14</v>
      </c>
      <c r="B456" s="10"/>
      <c r="C456" s="10">
        <v>7.0000000000000007E-2</v>
      </c>
      <c r="D456" s="10">
        <f t="shared" ref="D456:I456" si="714">D455/C455-1</f>
        <v>2.5892232330300802E-2</v>
      </c>
      <c r="E456" s="10">
        <f t="shared" si="714"/>
        <v>3.5811732605729896E-2</v>
      </c>
      <c r="F456" s="10">
        <f t="shared" si="714"/>
        <v>4.5110306223246521E-2</v>
      </c>
      <c r="G456" s="10">
        <f>G455/F455-1</f>
        <v>-0.10113421550094515</v>
      </c>
      <c r="H456" s="10">
        <f>H455/G455-1</f>
        <v>-5.5380301437083723E-2</v>
      </c>
      <c r="I456" s="10">
        <f t="shared" si="714"/>
        <v>2.0037105751391504E-2</v>
      </c>
      <c r="J456" s="15"/>
      <c r="K456" s="15"/>
      <c r="L456" s="15"/>
      <c r="M456" s="15"/>
      <c r="N456" s="15"/>
      <c r="O456" s="15"/>
      <c r="P456" s="15"/>
      <c r="Q456" s="15"/>
      <c r="R456" s="1019"/>
      <c r="S456" s="10"/>
      <c r="T456" s="10"/>
      <c r="U456" s="10"/>
      <c r="V456" s="10"/>
      <c r="W456" s="10">
        <v>4.6478873239436558E-2</v>
      </c>
      <c r="X456" s="10">
        <v>4.1878172588832419E-2</v>
      </c>
      <c r="Y456" s="10">
        <v>8.5553997194950826E-2</v>
      </c>
      <c r="Z456" s="10">
        <v>1.2106537530266248E-2</v>
      </c>
      <c r="AA456" s="163">
        <f t="shared" ref="AA456:AH456" si="715">AA455/W455-1</f>
        <v>-6.7294751009421283E-3</v>
      </c>
      <c r="AB456" s="10">
        <f t="shared" si="715"/>
        <v>-0.12789281364190008</v>
      </c>
      <c r="AC456" s="10">
        <f t="shared" si="715"/>
        <v>-0.11627906976744184</v>
      </c>
      <c r="AD456" s="10">
        <f t="shared" si="715"/>
        <v>-0.14473684210526316</v>
      </c>
      <c r="AE456" s="163">
        <f t="shared" si="715"/>
        <v>-8.4010840108401097E-2</v>
      </c>
      <c r="AF456" s="10">
        <f t="shared" si="715"/>
        <v>-3.3519553072625663E-2</v>
      </c>
      <c r="AG456" s="10">
        <f t="shared" si="715"/>
        <v>-5.2631578947368474E-2</v>
      </c>
      <c r="AH456" s="10">
        <f t="shared" si="715"/>
        <v>-5.0349650349650332E-2</v>
      </c>
      <c r="AI456" s="163">
        <f>AI455/AE455-1</f>
        <v>-0.26923076923076927</v>
      </c>
      <c r="AJ456" s="10">
        <f>AJ455/AF455-1</f>
        <v>1.0115606936416111E-2</v>
      </c>
      <c r="AK456" s="10">
        <f>AK455/AG455-1</f>
        <v>2.9320987654321007E-2</v>
      </c>
      <c r="AL456" s="482">
        <f>AL455/AH455-1</f>
        <v>0.30927835051546393</v>
      </c>
      <c r="AM456" s="546"/>
      <c r="AN456" s="428"/>
      <c r="AO456" s="428"/>
      <c r="AP456" s="482"/>
    </row>
    <row r="457" spans="1:42" s="1038" customFormat="1" ht="9.75" customHeight="1" outlineLevel="1">
      <c r="A457" s="1037" t="s">
        <v>15</v>
      </c>
      <c r="B457" s="10"/>
      <c r="C457" s="10">
        <v>0.04</v>
      </c>
      <c r="D457" s="10">
        <v>0.06</v>
      </c>
      <c r="E457" s="10">
        <v>7.0000000000000007E-2</v>
      </c>
      <c r="F457" s="10">
        <v>7.0000000000000007E-2</v>
      </c>
      <c r="G457" s="10">
        <v>-0.02</v>
      </c>
      <c r="H457" s="10">
        <v>-0.03</v>
      </c>
      <c r="I457" s="10">
        <v>0</v>
      </c>
      <c r="J457" s="1366"/>
      <c r="K457" s="1366"/>
      <c r="L457" s="1366"/>
      <c r="M457" s="1366"/>
      <c r="N457" s="1366"/>
      <c r="O457" s="1366"/>
      <c r="P457" s="1366"/>
      <c r="Q457" s="1366"/>
      <c r="R457" s="1019"/>
      <c r="S457" s="10"/>
      <c r="T457" s="10"/>
      <c r="U457" s="10"/>
      <c r="V457" s="10"/>
      <c r="W457" s="10">
        <v>0.08</v>
      </c>
      <c r="X457" s="10">
        <v>0.05</v>
      </c>
      <c r="Y457" s="10">
        <v>0.09</v>
      </c>
      <c r="Z457" s="10">
        <v>7.0000000000000007E-2</v>
      </c>
      <c r="AA457" s="163">
        <v>0.08</v>
      </c>
      <c r="AB457" s="10">
        <v>-0.04</v>
      </c>
      <c r="AC457" s="10">
        <v>-0.03</v>
      </c>
      <c r="AD457" s="10">
        <v>-7.0000000000000007E-2</v>
      </c>
      <c r="AE457" s="163">
        <v>-0.03</v>
      </c>
      <c r="AF457" s="10">
        <v>0</v>
      </c>
      <c r="AG457" s="10">
        <v>-0.05</v>
      </c>
      <c r="AH457" s="10">
        <v>-0.03</v>
      </c>
      <c r="AI457" s="163">
        <v>-0.03</v>
      </c>
      <c r="AJ457" s="10">
        <v>0.03</v>
      </c>
      <c r="AK457" s="10">
        <v>0.04</v>
      </c>
      <c r="AL457" s="482">
        <v>0.08</v>
      </c>
      <c r="AM457" s="546"/>
      <c r="AN457" s="539"/>
      <c r="AO457" s="539"/>
      <c r="AP457" s="497"/>
    </row>
    <row r="458" spans="1:42" ht="12.75" customHeight="1">
      <c r="A458" s="1025" t="s">
        <v>61</v>
      </c>
      <c r="C458" s="4">
        <v>529</v>
      </c>
      <c r="D458" s="4">
        <v>578</v>
      </c>
      <c r="E458" s="4">
        <v>592</v>
      </c>
      <c r="F458" s="4">
        <v>615</v>
      </c>
      <c r="G458" s="4">
        <v>594</v>
      </c>
      <c r="H458" s="4">
        <v>616</v>
      </c>
      <c r="I458" s="4">
        <v>686</v>
      </c>
      <c r="J458" s="135"/>
      <c r="K458" s="135"/>
      <c r="L458" s="135"/>
      <c r="M458" s="135"/>
      <c r="N458" s="135"/>
      <c r="O458" s="135"/>
      <c r="P458" s="135"/>
      <c r="Q458" s="135"/>
      <c r="R458" s="402"/>
      <c r="S458" s="1026"/>
      <c r="T458" s="1026"/>
      <c r="U458" s="1026"/>
      <c r="W458" s="4">
        <v>152</v>
      </c>
      <c r="X458" s="4">
        <v>150</v>
      </c>
      <c r="Y458" s="4">
        <v>155</v>
      </c>
      <c r="Z458" s="4">
        <v>158</v>
      </c>
      <c r="AA458" s="157">
        <v>145</v>
      </c>
      <c r="AB458" s="4">
        <v>150</v>
      </c>
      <c r="AC458" s="4">
        <v>147</v>
      </c>
      <c r="AD458" s="107">
        <f>G458-AC458-AB458-AA458</f>
        <v>152</v>
      </c>
      <c r="AE458" s="157">
        <v>142</v>
      </c>
      <c r="AF458" s="4">
        <v>162</v>
      </c>
      <c r="AG458" s="4">
        <v>151</v>
      </c>
      <c r="AH458" s="107">
        <f>H458-AE458-AF458-AG458</f>
        <v>161</v>
      </c>
      <c r="AI458" s="1362">
        <v>234</v>
      </c>
      <c r="AJ458" s="4">
        <v>171</v>
      </c>
      <c r="AK458" s="4">
        <v>177</v>
      </c>
      <c r="AL458" s="481">
        <f>I458-AI458-AJ458-AK458</f>
        <v>104</v>
      </c>
      <c r="AM458" s="542"/>
      <c r="AN458" s="396"/>
      <c r="AO458" s="396"/>
      <c r="AP458" s="481"/>
    </row>
    <row r="459" spans="1:42" s="1038" customFormat="1" ht="9.75" customHeight="1" outlineLevel="1">
      <c r="A459" s="1037" t="s">
        <v>14</v>
      </c>
      <c r="B459" s="10"/>
      <c r="C459" s="10">
        <v>7.0000000000000007E-2</v>
      </c>
      <c r="D459" s="10">
        <f t="shared" ref="D459:I459" si="716">D458/C458-1</f>
        <v>9.2627599243856329E-2</v>
      </c>
      <c r="E459" s="10">
        <f t="shared" si="716"/>
        <v>2.4221453287197159E-2</v>
      </c>
      <c r="F459" s="10">
        <f t="shared" si="716"/>
        <v>3.8851351351351315E-2</v>
      </c>
      <c r="G459" s="10">
        <f>G458/F458-1</f>
        <v>-3.4146341463414664E-2</v>
      </c>
      <c r="H459" s="10">
        <f>H458/G458-1</f>
        <v>3.7037037037036979E-2</v>
      </c>
      <c r="I459" s="10">
        <f t="shared" si="716"/>
        <v>0.11363636363636354</v>
      </c>
      <c r="J459" s="15"/>
      <c r="K459" s="15"/>
      <c r="L459" s="15"/>
      <c r="M459" s="15"/>
      <c r="N459" s="15"/>
      <c r="O459" s="15"/>
      <c r="P459" s="15"/>
      <c r="Q459" s="15"/>
      <c r="R459" s="1019"/>
      <c r="S459" s="10"/>
      <c r="T459" s="10"/>
      <c r="U459" s="10"/>
      <c r="V459" s="10"/>
      <c r="W459" s="10">
        <v>0.10948905109489049</v>
      </c>
      <c r="X459" s="10">
        <v>1.3513513513513598E-2</v>
      </c>
      <c r="Y459" s="10">
        <v>6.164383561643838E-2</v>
      </c>
      <c r="Z459" s="10">
        <v>-1.8633540372670843E-2</v>
      </c>
      <c r="AA459" s="163">
        <f t="shared" ref="AA459:AH459" si="717">AA458/W458-1</f>
        <v>-4.6052631578947345E-2</v>
      </c>
      <c r="AB459" s="10">
        <f t="shared" si="717"/>
        <v>0</v>
      </c>
      <c r="AC459" s="10">
        <f t="shared" si="717"/>
        <v>-5.1612903225806472E-2</v>
      </c>
      <c r="AD459" s="10">
        <f t="shared" si="717"/>
        <v>-3.7974683544303778E-2</v>
      </c>
      <c r="AE459" s="163">
        <f t="shared" si="717"/>
        <v>-2.0689655172413834E-2</v>
      </c>
      <c r="AF459" s="10">
        <f t="shared" si="717"/>
        <v>8.0000000000000071E-2</v>
      </c>
      <c r="AG459" s="10">
        <f t="shared" si="717"/>
        <v>2.7210884353741527E-2</v>
      </c>
      <c r="AH459" s="10">
        <f t="shared" si="717"/>
        <v>5.921052631578938E-2</v>
      </c>
      <c r="AI459" s="163">
        <f>AI458/AE458-1</f>
        <v>0.647887323943662</v>
      </c>
      <c r="AJ459" s="10">
        <f>AJ458/AF458-1</f>
        <v>5.555555555555558E-2</v>
      </c>
      <c r="AK459" s="10">
        <f>AK458/AG458-1</f>
        <v>0.17218543046357615</v>
      </c>
      <c r="AL459" s="482">
        <f>AL458/AH458-1</f>
        <v>-0.35403726708074534</v>
      </c>
      <c r="AM459" s="546"/>
      <c r="AN459" s="428"/>
      <c r="AO459" s="428"/>
      <c r="AP459" s="482"/>
    </row>
    <row r="460" spans="1:42" s="1038" customFormat="1" ht="9.75" customHeight="1" outlineLevel="1">
      <c r="A460" s="1037" t="s">
        <v>15</v>
      </c>
      <c r="B460" s="10"/>
      <c r="C460" s="10">
        <v>0.21</v>
      </c>
      <c r="D460" s="10">
        <v>0.12</v>
      </c>
      <c r="E460" s="10">
        <v>7.0000000000000007E-2</v>
      </c>
      <c r="F460" s="10">
        <v>7.0000000000000007E-2</v>
      </c>
      <c r="G460" s="10">
        <v>0.06</v>
      </c>
      <c r="H460" s="10">
        <v>0.04</v>
      </c>
      <c r="I460" s="10">
        <v>0.03</v>
      </c>
      <c r="J460" s="1366"/>
      <c r="K460" s="1366"/>
      <c r="L460" s="1366"/>
      <c r="M460" s="1366"/>
      <c r="N460" s="1366"/>
      <c r="O460" s="1366"/>
      <c r="P460" s="1366"/>
      <c r="Q460" s="1366"/>
      <c r="R460" s="1019"/>
      <c r="S460" s="10"/>
      <c r="T460" s="10"/>
      <c r="U460" s="10"/>
      <c r="V460" s="10"/>
      <c r="W460" s="10">
        <v>0.14000000000000001</v>
      </c>
      <c r="X460" s="10">
        <v>0.02</v>
      </c>
      <c r="Y460" s="10">
        <v>0.08</v>
      </c>
      <c r="Z460" s="10">
        <v>0.04</v>
      </c>
      <c r="AA460" s="163">
        <v>0.04</v>
      </c>
      <c r="AB460" s="10">
        <v>0.11</v>
      </c>
      <c r="AC460" s="10">
        <v>0.05</v>
      </c>
      <c r="AD460" s="10">
        <v>0.03</v>
      </c>
      <c r="AE460" s="163">
        <v>0.01</v>
      </c>
      <c r="AF460" s="10">
        <v>7.0000000000000007E-2</v>
      </c>
      <c r="AG460" s="10">
        <v>0</v>
      </c>
      <c r="AH460" s="10">
        <v>0.05</v>
      </c>
      <c r="AI460" s="163">
        <v>0.12</v>
      </c>
      <c r="AJ460" s="10">
        <v>7.0000000000000007E-2</v>
      </c>
      <c r="AK460" s="10">
        <v>0.18</v>
      </c>
      <c r="AL460" s="482">
        <v>0.09</v>
      </c>
      <c r="AM460" s="546"/>
      <c r="AN460" s="539"/>
      <c r="AO460" s="539"/>
      <c r="AP460" s="497"/>
    </row>
    <row r="461" spans="1:42" s="1038" customFormat="1" ht="9.75" customHeight="1" outlineLevel="1">
      <c r="A461" s="1037" t="s">
        <v>18</v>
      </c>
      <c r="B461" s="10"/>
      <c r="C461" s="10">
        <f t="shared" ref="C461:I461" si="718">C458/C$2</f>
        <v>9.0325444797322678E-3</v>
      </c>
      <c r="D461" s="10">
        <f t="shared" si="718"/>
        <v>1.0198860127397525E-2</v>
      </c>
      <c r="E461" s="10">
        <f t="shared" si="718"/>
        <v>1.0321680760177841E-2</v>
      </c>
      <c r="F461" s="10">
        <f t="shared" si="718"/>
        <v>1.1786124952088924E-2</v>
      </c>
      <c r="G461" s="10">
        <f t="shared" si="718"/>
        <v>1.2020884769498523E-2</v>
      </c>
      <c r="H461" s="10">
        <f t="shared" si="718"/>
        <v>1.2696318891957624E-2</v>
      </c>
      <c r="I461" s="10">
        <f t="shared" si="718"/>
        <v>1.3968926266061211E-2</v>
      </c>
      <c r="J461" s="15"/>
      <c r="K461" s="15"/>
      <c r="L461" s="15"/>
      <c r="M461" s="15"/>
      <c r="N461" s="15"/>
      <c r="O461" s="15"/>
      <c r="P461" s="15"/>
      <c r="Q461" s="15"/>
      <c r="R461" s="1019"/>
      <c r="S461" s="10"/>
      <c r="T461" s="10"/>
      <c r="U461" s="10"/>
      <c r="V461" s="10"/>
      <c r="W461" s="10">
        <f t="shared" ref="W461:AB461" si="719">W458/W$2</f>
        <v>1.1905694368293257E-2</v>
      </c>
      <c r="X461" s="10">
        <f t="shared" si="719"/>
        <v>1.1238480557428635E-2</v>
      </c>
      <c r="Y461" s="10">
        <f t="shared" si="719"/>
        <v>1.1931337079516588E-2</v>
      </c>
      <c r="Z461" s="10">
        <f t="shared" si="719"/>
        <v>1.2084130019120459E-2</v>
      </c>
      <c r="AA461" s="163">
        <f t="shared" si="719"/>
        <v>1.2149141181399247E-2</v>
      </c>
      <c r="AB461" s="10">
        <f t="shared" si="719"/>
        <v>1.1816606270679061E-2</v>
      </c>
      <c r="AC461" s="10">
        <f t="shared" ref="AC461:AL461" si="720">AC458/AC$2</f>
        <v>1.1985324092947411E-2</v>
      </c>
      <c r="AD461" s="10">
        <f t="shared" si="720"/>
        <v>1.2140575079872205E-2</v>
      </c>
      <c r="AE461" s="163">
        <f t="shared" si="720"/>
        <v>1.2241379310344828E-2</v>
      </c>
      <c r="AF461" s="10">
        <f t="shared" si="720"/>
        <v>1.2991178829190056E-2</v>
      </c>
      <c r="AG461" s="10">
        <f t="shared" si="720"/>
        <v>1.2452581230413987E-2</v>
      </c>
      <c r="AH461" s="10">
        <f t="shared" si="720"/>
        <v>1.3066060704431099E-2</v>
      </c>
      <c r="AI461" s="163">
        <f t="shared" si="720"/>
        <v>2.0279053644163273E-2</v>
      </c>
      <c r="AJ461" s="10">
        <f t="shared" si="720"/>
        <v>1.396830583238033E-2</v>
      </c>
      <c r="AK461" s="10">
        <f>AK458/AK$2</f>
        <v>1.4259186636837118E-2</v>
      </c>
      <c r="AL461" s="482">
        <f t="shared" si="720"/>
        <v>8.0526832758605286E-3</v>
      </c>
      <c r="AM461" s="546"/>
      <c r="AN461" s="428"/>
      <c r="AO461" s="428"/>
      <c r="AP461" s="482"/>
    </row>
    <row r="462" spans="1:42" ht="12.75" customHeight="1">
      <c r="A462" s="1025" t="s">
        <v>62</v>
      </c>
      <c r="C462" s="4">
        <v>200</v>
      </c>
      <c r="D462" s="4">
        <v>242</v>
      </c>
      <c r="E462" s="4">
        <v>268</v>
      </c>
      <c r="F462" s="4">
        <v>284</v>
      </c>
      <c r="G462" s="4">
        <v>251</v>
      </c>
      <c r="H462" s="4">
        <v>207</v>
      </c>
      <c r="I462" s="4">
        <f>225+64</f>
        <v>289</v>
      </c>
      <c r="J462" s="135"/>
      <c r="K462" s="135"/>
      <c r="L462" s="135"/>
      <c r="M462" s="135"/>
      <c r="N462" s="135"/>
      <c r="O462" s="135"/>
      <c r="P462" s="135"/>
      <c r="Q462" s="135"/>
      <c r="R462" s="402"/>
      <c r="S462" s="1026"/>
      <c r="T462" s="1026"/>
      <c r="U462" s="1026"/>
      <c r="W462" s="4">
        <v>68</v>
      </c>
      <c r="X462" s="4">
        <v>76</v>
      </c>
      <c r="Y462" s="4">
        <v>68</v>
      </c>
      <c r="Z462" s="4">
        <v>72</v>
      </c>
      <c r="AA462" s="157">
        <v>54</v>
      </c>
      <c r="AB462" s="4">
        <v>74</v>
      </c>
      <c r="AC462" s="4">
        <v>53</v>
      </c>
      <c r="AD462" s="107">
        <f>G462-AC462-AB462-AA462</f>
        <v>70</v>
      </c>
      <c r="AE462" s="157">
        <v>52</v>
      </c>
      <c r="AF462" s="4">
        <v>62</v>
      </c>
      <c r="AG462" s="4">
        <v>46</v>
      </c>
      <c r="AH462" s="107">
        <f>H462-AE462-AF462-AG462</f>
        <v>47</v>
      </c>
      <c r="AI462" s="1362">
        <v>134</v>
      </c>
      <c r="AJ462" s="4">
        <f>54+16</f>
        <v>70</v>
      </c>
      <c r="AK462" s="4">
        <f>64+15</f>
        <v>79</v>
      </c>
      <c r="AL462" s="481">
        <f>I462-AI462-AJ462-AK462</f>
        <v>6</v>
      </c>
      <c r="AM462" s="542"/>
      <c r="AN462" s="396"/>
      <c r="AO462" s="396"/>
      <c r="AP462" s="481"/>
    </row>
    <row r="463" spans="1:42" s="1038" customFormat="1" ht="9.75" customHeight="1" outlineLevel="1">
      <c r="A463" s="1037" t="s">
        <v>14</v>
      </c>
      <c r="B463" s="10"/>
      <c r="C463" s="10">
        <v>7.0000000000000007E-2</v>
      </c>
      <c r="D463" s="10">
        <f t="shared" ref="D463:I463" si="721">D462/C462-1</f>
        <v>0.20999999999999996</v>
      </c>
      <c r="E463" s="10">
        <f t="shared" si="721"/>
        <v>0.10743801652892571</v>
      </c>
      <c r="F463" s="10">
        <f t="shared" si="721"/>
        <v>5.9701492537313383E-2</v>
      </c>
      <c r="G463" s="10">
        <f>G462/F462-1</f>
        <v>-0.11619718309859151</v>
      </c>
      <c r="H463" s="10">
        <f>H462/G462-1</f>
        <v>-0.17529880478087645</v>
      </c>
      <c r="I463" s="10">
        <f t="shared" si="721"/>
        <v>0.39613526570048307</v>
      </c>
      <c r="J463" s="15"/>
      <c r="K463" s="15"/>
      <c r="L463" s="15"/>
      <c r="M463" s="15"/>
      <c r="N463" s="15"/>
      <c r="O463" s="15"/>
      <c r="P463" s="15"/>
      <c r="Q463" s="15"/>
      <c r="R463" s="1019"/>
      <c r="S463" s="10"/>
      <c r="T463" s="10"/>
      <c r="U463" s="10"/>
      <c r="V463" s="10"/>
      <c r="W463" s="10">
        <v>4.6153846153846212E-2</v>
      </c>
      <c r="X463" s="10">
        <v>4.1095890410958846E-2</v>
      </c>
      <c r="Y463" s="10">
        <v>0.1333333333333333</v>
      </c>
      <c r="Z463" s="10">
        <v>2.857142857142847E-2</v>
      </c>
      <c r="AA463" s="163">
        <f t="shared" ref="AA463:AH463" si="722">AA462/W462-1</f>
        <v>-0.20588235294117652</v>
      </c>
      <c r="AB463" s="10">
        <f t="shared" si="722"/>
        <v>-2.6315789473684181E-2</v>
      </c>
      <c r="AC463" s="10">
        <f t="shared" si="722"/>
        <v>-0.22058823529411764</v>
      </c>
      <c r="AD463" s="10">
        <f t="shared" si="722"/>
        <v>-2.777777777777779E-2</v>
      </c>
      <c r="AE463" s="163">
        <f t="shared" si="722"/>
        <v>-3.703703703703709E-2</v>
      </c>
      <c r="AF463" s="10">
        <f t="shared" si="722"/>
        <v>-0.16216216216216217</v>
      </c>
      <c r="AG463" s="10">
        <f t="shared" si="722"/>
        <v>-0.13207547169811318</v>
      </c>
      <c r="AH463" s="10">
        <f t="shared" si="722"/>
        <v>-0.32857142857142863</v>
      </c>
      <c r="AI463" s="163">
        <f>AI462/AE462-1</f>
        <v>1.5769230769230771</v>
      </c>
      <c r="AJ463" s="10">
        <f>AJ462/AF462-1</f>
        <v>0.12903225806451624</v>
      </c>
      <c r="AK463" s="10">
        <f>AK462/AG462-1</f>
        <v>0.71739130434782616</v>
      </c>
      <c r="AL463" s="482">
        <f>AL462/AH462-1</f>
        <v>-0.87234042553191493</v>
      </c>
      <c r="AM463" s="546"/>
      <c r="AN463" s="428"/>
      <c r="AO463" s="428"/>
      <c r="AP463" s="482"/>
    </row>
    <row r="464" spans="1:42" s="1038" customFormat="1" ht="9.75" customHeight="1" outlineLevel="1">
      <c r="A464" s="1037" t="s">
        <v>15</v>
      </c>
      <c r="B464" s="10"/>
      <c r="C464" s="10">
        <v>0.51</v>
      </c>
      <c r="D464" s="10">
        <v>0.24</v>
      </c>
      <c r="E464" s="10">
        <v>0.12</v>
      </c>
      <c r="F464" s="10">
        <v>0.08</v>
      </c>
      <c r="G464" s="10">
        <v>-0.05</v>
      </c>
      <c r="H464" s="10">
        <v>-0.16</v>
      </c>
      <c r="I464" s="10">
        <v>0.08</v>
      </c>
      <c r="J464" s="1366"/>
      <c r="K464" s="1366"/>
      <c r="L464" s="1366"/>
      <c r="M464" s="1366"/>
      <c r="N464" s="1366"/>
      <c r="O464" s="1366"/>
      <c r="P464" s="1366"/>
      <c r="Q464" s="1366"/>
      <c r="R464" s="1019"/>
      <c r="S464" s="10"/>
      <c r="T464" s="10"/>
      <c r="U464" s="10"/>
      <c r="V464" s="10"/>
      <c r="W464" s="10">
        <v>7.0000000000000007E-2</v>
      </c>
      <c r="X464" s="10">
        <v>0.03</v>
      </c>
      <c r="Y464" s="10">
        <v>0.15</v>
      </c>
      <c r="Z464" s="10">
        <v>0.1</v>
      </c>
      <c r="AA464" s="163">
        <v>-0.14000000000000001</v>
      </c>
      <c r="AB464" s="10">
        <v>0.02</v>
      </c>
      <c r="AC464" s="10">
        <v>-0.13</v>
      </c>
      <c r="AD464" s="10">
        <v>0.03</v>
      </c>
      <c r="AE464" s="163">
        <v>-0.01</v>
      </c>
      <c r="AF464" s="10">
        <v>-0.28999999999999998</v>
      </c>
      <c r="AG464" s="10">
        <v>-0.13</v>
      </c>
      <c r="AH464" s="10">
        <v>-0.31</v>
      </c>
      <c r="AI464" s="163">
        <v>-0.1</v>
      </c>
      <c r="AJ464" s="10">
        <v>-0.11</v>
      </c>
      <c r="AK464" s="10">
        <v>0.37</v>
      </c>
      <c r="AL464" s="482">
        <v>0.26</v>
      </c>
      <c r="AM464" s="546"/>
      <c r="AN464" s="539"/>
      <c r="AO464" s="539"/>
      <c r="AP464" s="497"/>
    </row>
    <row r="465" spans="1:42" ht="12.75" customHeight="1">
      <c r="A465" s="1045" t="s">
        <v>63</v>
      </c>
      <c r="B465" s="146">
        <v>3221</v>
      </c>
      <c r="C465" s="146">
        <f t="shared" ref="C465:H465" si="723">C455+C458+C462</f>
        <v>3587</v>
      </c>
      <c r="D465" s="146">
        <f t="shared" si="723"/>
        <v>3752</v>
      </c>
      <c r="E465" s="146">
        <f t="shared" si="723"/>
        <v>3897</v>
      </c>
      <c r="F465" s="146">
        <f t="shared" si="723"/>
        <v>4073</v>
      </c>
      <c r="G465" s="146">
        <f t="shared" si="723"/>
        <v>3698</v>
      </c>
      <c r="H465" s="146">
        <f t="shared" si="723"/>
        <v>3518</v>
      </c>
      <c r="I465" s="146">
        <f t="shared" ref="I465" si="724">I455+I458+I462</f>
        <v>3724</v>
      </c>
      <c r="J465" s="152"/>
      <c r="K465" s="152"/>
      <c r="L465" s="152"/>
      <c r="M465" s="152"/>
      <c r="N465" s="152"/>
      <c r="O465" s="152"/>
      <c r="P465" s="152"/>
      <c r="Q465" s="152"/>
      <c r="R465" s="402"/>
      <c r="S465" s="1026"/>
      <c r="T465" s="1026"/>
      <c r="U465" s="1026"/>
      <c r="W465" s="14">
        <f t="shared" ref="W465:AC465" si="725">W455+W458+W462</f>
        <v>963</v>
      </c>
      <c r="X465" s="14">
        <f t="shared" si="725"/>
        <v>1047</v>
      </c>
      <c r="Y465" s="14">
        <f t="shared" si="725"/>
        <v>997</v>
      </c>
      <c r="Z465" s="14">
        <f t="shared" si="725"/>
        <v>1066</v>
      </c>
      <c r="AA465" s="170">
        <f t="shared" si="725"/>
        <v>937</v>
      </c>
      <c r="AB465" s="146">
        <f t="shared" si="725"/>
        <v>940</v>
      </c>
      <c r="AC465" s="146">
        <f t="shared" si="725"/>
        <v>884</v>
      </c>
      <c r="AD465" s="152">
        <f t="shared" ref="AD465:AL465" si="726">AD455+AD458+AD462</f>
        <v>937</v>
      </c>
      <c r="AE465" s="170">
        <f t="shared" si="726"/>
        <v>870</v>
      </c>
      <c r="AF465" s="146">
        <f t="shared" si="726"/>
        <v>916</v>
      </c>
      <c r="AG465" s="146">
        <f t="shared" si="726"/>
        <v>845</v>
      </c>
      <c r="AH465" s="152">
        <f t="shared" si="726"/>
        <v>887</v>
      </c>
      <c r="AI465" s="170">
        <f t="shared" si="726"/>
        <v>862</v>
      </c>
      <c r="AJ465" s="146">
        <f t="shared" si="726"/>
        <v>940</v>
      </c>
      <c r="AK465" s="146">
        <f>AK455+AK458+AK462</f>
        <v>923</v>
      </c>
      <c r="AL465" s="487">
        <f t="shared" si="726"/>
        <v>999</v>
      </c>
      <c r="AM465" s="177"/>
      <c r="AN465" s="152"/>
      <c r="AO465" s="152"/>
      <c r="AP465" s="487"/>
    </row>
    <row r="466" spans="1:42" s="1038" customFormat="1" ht="9.75" customHeight="1" outlineLevel="1">
      <c r="A466" s="1046" t="s">
        <v>14</v>
      </c>
      <c r="B466" s="148"/>
      <c r="C466" s="148"/>
      <c r="D466" s="148">
        <f>D465/C465-1</f>
        <v>4.5999442431000848E-2</v>
      </c>
      <c r="E466" s="148">
        <f>E465/D465-1</f>
        <v>3.8646055437100202E-2</v>
      </c>
      <c r="F466" s="148">
        <f>F465/E465-1</f>
        <v>4.5162945855786507E-2</v>
      </c>
      <c r="G466" s="148">
        <f>G465/F465-1</f>
        <v>-9.2069727473606644E-2</v>
      </c>
      <c r="H466" s="148">
        <f>H465/G465-1</f>
        <v>-4.8674959437533749E-2</v>
      </c>
      <c r="I466" s="148">
        <f t="shared" ref="I466" si="727">I465/H465-1</f>
        <v>5.8555997725980635E-2</v>
      </c>
      <c r="J466" s="148"/>
      <c r="K466" s="148"/>
      <c r="L466" s="148"/>
      <c r="M466" s="148"/>
      <c r="N466" s="148"/>
      <c r="O466" s="148"/>
      <c r="P466" s="148"/>
      <c r="Q466" s="148"/>
      <c r="R466" s="1019"/>
      <c r="S466" s="10"/>
      <c r="T466" s="10"/>
      <c r="U466" s="10"/>
      <c r="V466" s="10"/>
      <c r="W466" s="15">
        <v>5.5921052631578982E-2</v>
      </c>
      <c r="X466" s="15">
        <v>3.7661050545094055E-2</v>
      </c>
      <c r="Y466" s="15">
        <v>8.487486398258981E-2</v>
      </c>
      <c r="Z466" s="15">
        <v>8.5146641438031967E-3</v>
      </c>
      <c r="AA466" s="171">
        <f t="shared" ref="AA466:AH466" si="728">AA465/W465-1</f>
        <v>-2.6998961578400871E-2</v>
      </c>
      <c r="AB466" s="148">
        <f t="shared" si="728"/>
        <v>-0.10219675262655203</v>
      </c>
      <c r="AC466" s="148">
        <f t="shared" si="728"/>
        <v>-0.11334002006018051</v>
      </c>
      <c r="AD466" s="148">
        <f t="shared" si="728"/>
        <v>-0.12101313320825513</v>
      </c>
      <c r="AE466" s="171">
        <f t="shared" si="728"/>
        <v>-7.1504802561366043E-2</v>
      </c>
      <c r="AF466" s="148">
        <f t="shared" si="728"/>
        <v>-2.5531914893617058E-2</v>
      </c>
      <c r="AG466" s="148">
        <f t="shared" si="728"/>
        <v>-4.4117647058823484E-2</v>
      </c>
      <c r="AH466" s="148">
        <f t="shared" si="728"/>
        <v>-5.3361792956243326E-2</v>
      </c>
      <c r="AI466" s="171">
        <f t="shared" ref="AI466:AL466" si="729">AI465/AE465-1</f>
        <v>-9.1954022988506301E-3</v>
      </c>
      <c r="AJ466" s="148">
        <f t="shared" si="729"/>
        <v>2.6200873362445476E-2</v>
      </c>
      <c r="AK466" s="148">
        <f t="shared" si="729"/>
        <v>9.2307692307692202E-2</v>
      </c>
      <c r="AL466" s="488">
        <f t="shared" si="729"/>
        <v>0.12626832018038336</v>
      </c>
      <c r="AM466" s="171"/>
      <c r="AN466" s="148"/>
      <c r="AO466" s="148"/>
      <c r="AP466" s="488"/>
    </row>
    <row r="467" spans="1:42" s="1038" customFormat="1" ht="9.75" customHeight="1" outlineLevel="1">
      <c r="A467" s="1046" t="s">
        <v>15</v>
      </c>
      <c r="B467" s="148"/>
      <c r="C467" s="148">
        <v>0.08</v>
      </c>
      <c r="D467" s="148">
        <v>0.08</v>
      </c>
      <c r="E467" s="148">
        <v>7.0000000000000007E-2</v>
      </c>
      <c r="F467" s="148">
        <v>7.0000000000000007E-2</v>
      </c>
      <c r="G467" s="148">
        <v>-0.01</v>
      </c>
      <c r="H467" s="148">
        <v>-0.03</v>
      </c>
      <c r="I467" s="148">
        <v>0.05</v>
      </c>
      <c r="J467" s="148"/>
      <c r="K467" s="148"/>
      <c r="L467" s="148"/>
      <c r="M467" s="148"/>
      <c r="N467" s="148"/>
      <c r="O467" s="148"/>
      <c r="P467" s="148"/>
      <c r="Q467" s="148"/>
      <c r="R467" s="1019"/>
      <c r="S467" s="10"/>
      <c r="T467" s="10"/>
      <c r="U467" s="10"/>
      <c r="V467" s="10"/>
      <c r="W467" s="15">
        <v>0.09</v>
      </c>
      <c r="X467" s="15">
        <v>0.04</v>
      </c>
      <c r="Y467" s="15">
        <v>0.1</v>
      </c>
      <c r="Z467" s="15">
        <v>7.0000000000000007E-2</v>
      </c>
      <c r="AA467" s="171">
        <v>0.06</v>
      </c>
      <c r="AB467" s="148">
        <v>-0.01</v>
      </c>
      <c r="AC467" s="148">
        <v>-0.02</v>
      </c>
      <c r="AD467" s="148">
        <v>-0.05</v>
      </c>
      <c r="AE467" s="171">
        <v>-0.03</v>
      </c>
      <c r="AF467" s="148">
        <v>-0.01</v>
      </c>
      <c r="AG467" s="148">
        <v>-0.04</v>
      </c>
      <c r="AH467" s="148">
        <v>-0.04</v>
      </c>
      <c r="AI467" s="171">
        <v>-0.01</v>
      </c>
      <c r="AJ467" s="148">
        <v>0.03</v>
      </c>
      <c r="AK467" s="148">
        <v>0.09</v>
      </c>
      <c r="AL467" s="488">
        <v>0.09</v>
      </c>
      <c r="AM467" s="500"/>
      <c r="AN467" s="500"/>
      <c r="AO467" s="500"/>
      <c r="AP467" s="488"/>
    </row>
    <row r="468" spans="1:42" s="1038" customFormat="1" ht="9.75" customHeight="1" outlineLevel="1">
      <c r="A468" s="1046" t="s">
        <v>18</v>
      </c>
      <c r="B468" s="148">
        <f t="shared" ref="B468:H468" si="730">B465/B$2</f>
        <v>6.3625948166877375E-2</v>
      </c>
      <c r="C468" s="148">
        <f t="shared" si="730"/>
        <v>6.1247139978827303E-2</v>
      </c>
      <c r="D468" s="148">
        <f t="shared" si="730"/>
        <v>6.6204365394455914E-2</v>
      </c>
      <c r="E468" s="148">
        <f t="shared" si="730"/>
        <v>6.7945253247319329E-2</v>
      </c>
      <c r="F468" s="148">
        <f t="shared" si="730"/>
        <v>7.8056726715216559E-2</v>
      </c>
      <c r="G468" s="148">
        <f t="shared" si="730"/>
        <v>7.4837090703039622E-2</v>
      </c>
      <c r="H468" s="148">
        <f t="shared" si="730"/>
        <v>7.2509171853745003E-2</v>
      </c>
      <c r="I468" s="148">
        <f t="shared" ref="I468" si="731">I465/I$2</f>
        <v>7.5831314015760862E-2</v>
      </c>
      <c r="J468" s="148"/>
      <c r="K468" s="148"/>
      <c r="L468" s="148"/>
      <c r="M468" s="148"/>
      <c r="N468" s="148"/>
      <c r="O468" s="148"/>
      <c r="P468" s="148"/>
      <c r="Q468" s="148"/>
      <c r="R468" s="1019"/>
      <c r="S468" s="10"/>
      <c r="T468" s="10"/>
      <c r="U468" s="10"/>
      <c r="V468" s="10"/>
      <c r="W468" s="15">
        <f t="shared" ref="W468:AB468" si="732">W465/W$2</f>
        <v>7.5428839978068457E-2</v>
      </c>
      <c r="X468" s="15">
        <f t="shared" si="732"/>
        <v>7.8444594290851877E-2</v>
      </c>
      <c r="Y468" s="15">
        <f t="shared" si="732"/>
        <v>7.6745439150180894E-2</v>
      </c>
      <c r="Z468" s="15">
        <f t="shared" si="732"/>
        <v>8.1529636711281064E-2</v>
      </c>
      <c r="AA468" s="171">
        <f t="shared" si="732"/>
        <v>7.8508588186007547E-2</v>
      </c>
      <c r="AB468" s="148">
        <f t="shared" si="732"/>
        <v>7.4050732629588778E-2</v>
      </c>
      <c r="AC468" s="148">
        <f t="shared" ref="AC468:AL468" si="733">AC465/AC$2</f>
        <v>7.2075010191602118E-2</v>
      </c>
      <c r="AD468" s="148">
        <f t="shared" si="733"/>
        <v>7.4840255591054311E-2</v>
      </c>
      <c r="AE468" s="171">
        <f t="shared" si="733"/>
        <v>7.4999999999999997E-2</v>
      </c>
      <c r="AF468" s="148">
        <f t="shared" si="733"/>
        <v>7.3456295108259823E-2</v>
      </c>
      <c r="AG468" s="148">
        <f t="shared" si="733"/>
        <v>6.9684974435098135E-2</v>
      </c>
      <c r="AH468" s="148">
        <f t="shared" si="733"/>
        <v>7.1985067359194937E-2</v>
      </c>
      <c r="AI468" s="171">
        <f t="shared" si="733"/>
        <v>7.4703180518242485E-2</v>
      </c>
      <c r="AJ468" s="148">
        <f t="shared" si="733"/>
        <v>7.6784839078581926E-2</v>
      </c>
      <c r="AK468" s="148">
        <f>AK465/AK$2</f>
        <v>7.4357227490399205E-2</v>
      </c>
      <c r="AL468" s="488">
        <f t="shared" si="733"/>
        <v>7.7352217236391047E-2</v>
      </c>
      <c r="AM468" s="171"/>
      <c r="AN468" s="148"/>
      <c r="AO468" s="148"/>
      <c r="AP468" s="488"/>
    </row>
    <row r="469" spans="1:42" ht="12.75" customHeight="1">
      <c r="A469" s="1025" t="s">
        <v>64</v>
      </c>
      <c r="C469" s="4">
        <v>1286</v>
      </c>
      <c r="D469" s="4">
        <v>1259</v>
      </c>
      <c r="E469" s="4">
        <v>1265</v>
      </c>
      <c r="F469" s="4">
        <v>1319</v>
      </c>
      <c r="I469" s="107"/>
      <c r="J469" s="107"/>
      <c r="K469" s="107"/>
      <c r="L469" s="107"/>
      <c r="M469" s="107"/>
      <c r="N469" s="107"/>
      <c r="O469" s="107"/>
      <c r="P469" s="107"/>
      <c r="Q469" s="107"/>
      <c r="R469" s="402"/>
      <c r="S469" s="1026"/>
      <c r="T469" s="1026"/>
      <c r="U469" s="1026"/>
      <c r="W469" s="4">
        <v>321</v>
      </c>
      <c r="X469" s="4">
        <v>330</v>
      </c>
      <c r="Y469" s="4">
        <v>337</v>
      </c>
      <c r="Z469" s="4">
        <v>331</v>
      </c>
      <c r="AA469" s="157">
        <v>300</v>
      </c>
      <c r="AB469" s="4">
        <v>303</v>
      </c>
      <c r="AC469" s="4">
        <v>298</v>
      </c>
      <c r="AD469" s="107">
        <f>G469-AC469-AB469-AA469</f>
        <v>-901</v>
      </c>
      <c r="AH469" s="107"/>
      <c r="AK469" s="107"/>
      <c r="AL469" s="481"/>
      <c r="AM469" s="396"/>
      <c r="AN469" s="396"/>
      <c r="AO469" s="396"/>
      <c r="AP469" s="481"/>
    </row>
    <row r="470" spans="1:42" s="1038" customFormat="1" ht="9.75" customHeight="1" outlineLevel="1">
      <c r="A470" s="1037" t="s">
        <v>14</v>
      </c>
      <c r="B470" s="10"/>
      <c r="C470" s="10">
        <v>7.0000000000000007E-2</v>
      </c>
      <c r="D470" s="10">
        <f>D469/C469-1</f>
        <v>-2.0995334370140006E-2</v>
      </c>
      <c r="E470" s="10">
        <f>E469/D469-1</f>
        <v>4.7656870532168938E-3</v>
      </c>
      <c r="F470" s="10">
        <f>F469/E469-1</f>
        <v>4.2687747035573098E-2</v>
      </c>
      <c r="G470" s="10"/>
      <c r="H470" s="10"/>
      <c r="I470" s="10"/>
      <c r="J470" s="10"/>
      <c r="K470" s="10"/>
      <c r="L470" s="10"/>
      <c r="M470" s="10"/>
      <c r="N470" s="10"/>
      <c r="O470" s="10"/>
      <c r="P470" s="10"/>
      <c r="Q470" s="10"/>
      <c r="R470" s="1019"/>
      <c r="S470" s="10"/>
      <c r="T470" s="10"/>
      <c r="U470" s="10"/>
      <c r="V470" s="10"/>
      <c r="W470" s="10">
        <v>3.8834951456310662E-2</v>
      </c>
      <c r="X470" s="10">
        <v>3.125E-2</v>
      </c>
      <c r="Y470" s="10">
        <v>4.9844236760124616E-2</v>
      </c>
      <c r="Z470" s="10">
        <v>5.0793650793650835E-2</v>
      </c>
      <c r="AA470" s="163">
        <f>AA469/W469-1</f>
        <v>-6.5420560747663559E-2</v>
      </c>
      <c r="AB470" s="10">
        <f>AB469/X469-1</f>
        <v>-8.181818181818179E-2</v>
      </c>
      <c r="AC470" s="10">
        <f>AC469/Y469-1</f>
        <v>-0.11572700296735905</v>
      </c>
      <c r="AD470" s="10">
        <f>AD469/Z469-1</f>
        <v>-3.7220543806646527</v>
      </c>
      <c r="AE470" s="163"/>
      <c r="AF470" s="10"/>
      <c r="AG470" s="10"/>
      <c r="AH470" s="10"/>
      <c r="AI470" s="163"/>
      <c r="AJ470" s="10"/>
      <c r="AK470" s="10"/>
      <c r="AL470" s="482"/>
      <c r="AM470" s="428"/>
      <c r="AN470" s="428"/>
      <c r="AO470" s="428"/>
      <c r="AP470" s="482"/>
    </row>
    <row r="471" spans="1:42" s="1038" customFormat="1" ht="9.75" customHeight="1" outlineLevel="1">
      <c r="A471" s="1037" t="s">
        <v>15</v>
      </c>
      <c r="B471" s="10"/>
      <c r="C471" s="10">
        <v>0.1</v>
      </c>
      <c r="D471" s="10">
        <v>0.01</v>
      </c>
      <c r="E471" s="10">
        <v>0.04</v>
      </c>
      <c r="F471" s="10">
        <v>7.0000000000000007E-2</v>
      </c>
      <c r="G471" s="10"/>
      <c r="H471" s="10"/>
      <c r="I471" s="50"/>
      <c r="J471" s="50"/>
      <c r="K471" s="50"/>
      <c r="L471" s="50"/>
      <c r="M471" s="50"/>
      <c r="N471" s="50"/>
      <c r="O471" s="50"/>
      <c r="P471" s="50"/>
      <c r="Q471" s="50"/>
      <c r="R471" s="1019"/>
      <c r="S471" s="10"/>
      <c r="T471" s="10"/>
      <c r="U471" s="10"/>
      <c r="V471" s="10"/>
      <c r="W471" s="10">
        <v>7.0000000000000007E-2</v>
      </c>
      <c r="X471" s="10">
        <v>0.03</v>
      </c>
      <c r="Y471" s="10">
        <v>7.0000000000000007E-2</v>
      </c>
      <c r="Z471" s="10">
        <v>0.13</v>
      </c>
      <c r="AA471" s="163">
        <v>0.06</v>
      </c>
      <c r="AB471" s="10">
        <v>0.05</v>
      </c>
      <c r="AC471" s="10">
        <v>0</v>
      </c>
      <c r="AD471" s="10">
        <v>-0.02</v>
      </c>
      <c r="AE471" s="163"/>
      <c r="AF471" s="10"/>
      <c r="AG471" s="10"/>
      <c r="AH471" s="10"/>
      <c r="AI471" s="163"/>
      <c r="AJ471" s="10"/>
      <c r="AK471" s="10"/>
      <c r="AL471" s="482"/>
      <c r="AM471" s="428"/>
      <c r="AN471" s="428"/>
      <c r="AO471" s="428"/>
      <c r="AP471" s="482"/>
    </row>
    <row r="472" spans="1:42" ht="12.75" customHeight="1">
      <c r="A472" s="1025" t="s">
        <v>65</v>
      </c>
      <c r="C472" s="4">
        <v>889</v>
      </c>
      <c r="D472" s="4">
        <v>901</v>
      </c>
      <c r="E472" s="4">
        <v>939</v>
      </c>
      <c r="F472" s="4">
        <v>887</v>
      </c>
      <c r="I472" s="107"/>
      <c r="J472" s="107"/>
      <c r="K472" s="107"/>
      <c r="L472" s="107"/>
      <c r="M472" s="107"/>
      <c r="N472" s="107"/>
      <c r="O472" s="107"/>
      <c r="P472" s="107"/>
      <c r="Q472" s="107"/>
      <c r="R472" s="402"/>
      <c r="S472" s="1026"/>
      <c r="T472" s="1026"/>
      <c r="U472" s="1026"/>
      <c r="W472" s="4">
        <v>275</v>
      </c>
      <c r="X472" s="4">
        <v>262</v>
      </c>
      <c r="Y472" s="4">
        <v>172</v>
      </c>
      <c r="Z472" s="4">
        <v>178</v>
      </c>
      <c r="AA472" s="157">
        <v>270</v>
      </c>
      <c r="AB472" s="4">
        <v>226</v>
      </c>
      <c r="AC472" s="4">
        <v>149</v>
      </c>
      <c r="AD472" s="107">
        <f>G472-AC472-AB472-AA472</f>
        <v>-645</v>
      </c>
      <c r="AH472" s="107"/>
      <c r="AK472" s="107"/>
      <c r="AL472" s="481"/>
      <c r="AM472" s="396"/>
      <c r="AN472" s="396"/>
      <c r="AO472" s="396"/>
      <c r="AP472" s="481"/>
    </row>
    <row r="473" spans="1:42" s="1038" customFormat="1" ht="9.75" customHeight="1" outlineLevel="1">
      <c r="A473" s="1037" t="s">
        <v>14</v>
      </c>
      <c r="B473" s="10"/>
      <c r="C473" s="10">
        <v>7.0000000000000007E-2</v>
      </c>
      <c r="D473" s="10">
        <f>D472/C472-1</f>
        <v>1.3498312710911176E-2</v>
      </c>
      <c r="E473" s="10">
        <f>E472/D472-1</f>
        <v>4.2175360710321907E-2</v>
      </c>
      <c r="F473" s="10">
        <f>F472/E472-1</f>
        <v>-5.5378061767838105E-2</v>
      </c>
      <c r="G473" s="10"/>
      <c r="H473" s="10"/>
      <c r="I473" s="10"/>
      <c r="J473" s="10"/>
      <c r="K473" s="10"/>
      <c r="L473" s="10"/>
      <c r="M473" s="10"/>
      <c r="N473" s="10"/>
      <c r="O473" s="10"/>
      <c r="P473" s="10"/>
      <c r="Q473" s="10"/>
      <c r="R473" s="1019"/>
      <c r="S473" s="10"/>
      <c r="T473" s="10"/>
      <c r="U473" s="10"/>
      <c r="V473" s="10"/>
      <c r="W473" s="10">
        <v>-5.1724137931034475E-2</v>
      </c>
      <c r="X473" s="10">
        <v>-2.9629629629629672E-2</v>
      </c>
      <c r="Y473" s="10">
        <v>-0.16504854368932043</v>
      </c>
      <c r="Z473" s="10">
        <v>2.8901734104046284E-2</v>
      </c>
      <c r="AA473" s="163">
        <f>AA472/W472-1</f>
        <v>-1.8181818181818188E-2</v>
      </c>
      <c r="AB473" s="10">
        <f>AB472/X472-1</f>
        <v>-0.13740458015267176</v>
      </c>
      <c r="AC473" s="10">
        <f>AC472/Y472-1</f>
        <v>-0.13372093023255816</v>
      </c>
      <c r="AD473" s="10">
        <f>AD472/Z472-1</f>
        <v>-4.6235955056179776</v>
      </c>
      <c r="AE473" s="163"/>
      <c r="AF473" s="10"/>
      <c r="AG473" s="10"/>
      <c r="AH473" s="10"/>
      <c r="AI473" s="163"/>
      <c r="AJ473" s="10"/>
      <c r="AK473" s="10"/>
      <c r="AL473" s="482"/>
      <c r="AM473" s="428"/>
      <c r="AN473" s="428"/>
      <c r="AO473" s="428"/>
      <c r="AP473" s="482"/>
    </row>
    <row r="474" spans="1:42" s="1038" customFormat="1" ht="9.75" customHeight="1" outlineLevel="1">
      <c r="A474" s="1037" t="s">
        <v>15</v>
      </c>
      <c r="B474" s="10"/>
      <c r="C474" s="10">
        <v>7.0000000000000007E-2</v>
      </c>
      <c r="D474" s="10">
        <v>0.03</v>
      </c>
      <c r="E474" s="10">
        <v>0.06</v>
      </c>
      <c r="F474" s="10">
        <v>-0.04</v>
      </c>
      <c r="G474" s="10"/>
      <c r="H474" s="10"/>
      <c r="I474" s="50"/>
      <c r="J474" s="50"/>
      <c r="K474" s="50"/>
      <c r="L474" s="50"/>
      <c r="M474" s="50"/>
      <c r="N474" s="50"/>
      <c r="O474" s="50"/>
      <c r="P474" s="50"/>
      <c r="Q474" s="50"/>
      <c r="R474" s="1019"/>
      <c r="S474" s="10"/>
      <c r="T474" s="10"/>
      <c r="U474" s="10"/>
      <c r="V474" s="10"/>
      <c r="W474" s="10">
        <v>-0.02</v>
      </c>
      <c r="X474" s="10">
        <v>-0.03</v>
      </c>
      <c r="Y474" s="10">
        <v>-0.16</v>
      </c>
      <c r="Z474" s="10">
        <v>0.05</v>
      </c>
      <c r="AA474" s="163">
        <v>0.02</v>
      </c>
      <c r="AB474" s="10">
        <v>-0.12</v>
      </c>
      <c r="AC474" s="10">
        <v>-0.09</v>
      </c>
      <c r="AD474" s="10">
        <v>-0.21</v>
      </c>
      <c r="AE474" s="163"/>
      <c r="AF474" s="10"/>
      <c r="AG474" s="10"/>
      <c r="AH474" s="10"/>
      <c r="AI474" s="163"/>
      <c r="AJ474" s="10"/>
      <c r="AK474" s="10"/>
      <c r="AL474" s="482"/>
      <c r="AM474" s="428"/>
      <c r="AN474" s="428"/>
      <c r="AO474" s="428"/>
      <c r="AP474" s="482"/>
    </row>
    <row r="475" spans="1:42" ht="12.75" customHeight="1">
      <c r="A475" s="1025" t="s">
        <v>66</v>
      </c>
      <c r="C475" s="4">
        <v>968</v>
      </c>
      <c r="D475" s="4">
        <v>1011</v>
      </c>
      <c r="E475" s="4">
        <v>1019</v>
      </c>
      <c r="F475" s="4">
        <v>1066</v>
      </c>
      <c r="I475" s="107"/>
      <c r="J475" s="107"/>
      <c r="K475" s="107"/>
      <c r="L475" s="107"/>
      <c r="M475" s="107"/>
      <c r="N475" s="107"/>
      <c r="O475" s="107"/>
      <c r="P475" s="107"/>
      <c r="Q475" s="107"/>
      <c r="R475" s="402"/>
      <c r="S475" s="1026"/>
      <c r="T475" s="1026"/>
      <c r="U475" s="1026"/>
      <c r="W475" s="4">
        <v>242</v>
      </c>
      <c r="X475" s="4">
        <v>278</v>
      </c>
      <c r="Y475" s="4">
        <v>267</v>
      </c>
      <c r="Z475" s="4">
        <v>279</v>
      </c>
      <c r="AA475" s="157">
        <v>235</v>
      </c>
      <c r="AB475" s="4">
        <v>281</v>
      </c>
      <c r="AC475" s="4">
        <v>244</v>
      </c>
      <c r="AD475" s="107">
        <f>G475-AC475-AB475-AA475</f>
        <v>-760</v>
      </c>
      <c r="AH475" s="107"/>
      <c r="AK475" s="107"/>
      <c r="AL475" s="481"/>
      <c r="AM475" s="396"/>
      <c r="AN475" s="396"/>
      <c r="AO475" s="396"/>
      <c r="AP475" s="481"/>
    </row>
    <row r="476" spans="1:42" s="1038" customFormat="1" ht="9.75" customHeight="1" outlineLevel="1">
      <c r="A476" s="1037" t="s">
        <v>14</v>
      </c>
      <c r="B476" s="10"/>
      <c r="C476" s="10">
        <v>7.0000000000000007E-2</v>
      </c>
      <c r="D476" s="10">
        <f>D475/C475-1</f>
        <v>4.4421487603305776E-2</v>
      </c>
      <c r="E476" s="10">
        <f>E475/D475-1</f>
        <v>7.9129574678535874E-3</v>
      </c>
      <c r="F476" s="10">
        <f>F475/E475-1</f>
        <v>4.6123650637880376E-2</v>
      </c>
      <c r="G476" s="10"/>
      <c r="H476" s="10"/>
      <c r="I476" s="10"/>
      <c r="J476" s="10"/>
      <c r="K476" s="10"/>
      <c r="L476" s="10"/>
      <c r="M476" s="10"/>
      <c r="N476" s="10"/>
      <c r="O476" s="10"/>
      <c r="P476" s="10"/>
      <c r="Q476" s="10"/>
      <c r="R476" s="1019"/>
      <c r="S476" s="10"/>
      <c r="T476" s="10"/>
      <c r="U476" s="10"/>
      <c r="V476" s="10"/>
      <c r="W476" s="10">
        <v>-1.2244897959183709E-2</v>
      </c>
      <c r="X476" s="10">
        <v>5.3030303030302983E-2</v>
      </c>
      <c r="Y476" s="10">
        <v>8.0971659919028438E-2</v>
      </c>
      <c r="Z476" s="10">
        <v>6.083650190114076E-2</v>
      </c>
      <c r="AA476" s="163">
        <f>AA475/W475-1</f>
        <v>-2.8925619834710758E-2</v>
      </c>
      <c r="AB476" s="10">
        <f>AB475/X475-1</f>
        <v>1.0791366906474753E-2</v>
      </c>
      <c r="AC476" s="10">
        <f>AC475/Y475-1</f>
        <v>-8.6142322097378266E-2</v>
      </c>
      <c r="AD476" s="10">
        <f>AD475/Z475-1</f>
        <v>-3.7240143369175627</v>
      </c>
      <c r="AE476" s="163"/>
      <c r="AF476" s="10"/>
      <c r="AG476" s="10"/>
      <c r="AH476" s="10"/>
      <c r="AI476" s="163"/>
      <c r="AJ476" s="10"/>
      <c r="AK476" s="10"/>
      <c r="AL476" s="482"/>
      <c r="AM476" s="428"/>
      <c r="AN476" s="428"/>
      <c r="AO476" s="428"/>
      <c r="AP476" s="482"/>
    </row>
    <row r="477" spans="1:42" s="1038" customFormat="1" ht="9.75" customHeight="1" outlineLevel="1">
      <c r="A477" s="1037" t="s">
        <v>15</v>
      </c>
      <c r="B477" s="10"/>
      <c r="C477" s="10">
        <v>0.14000000000000001</v>
      </c>
      <c r="D477" s="10">
        <v>0.08</v>
      </c>
      <c r="E477" s="10">
        <v>0.02</v>
      </c>
      <c r="F477" s="10">
        <v>7.0000000000000007E-2</v>
      </c>
      <c r="G477" s="10"/>
      <c r="H477" s="10"/>
      <c r="I477" s="50"/>
      <c r="J477" s="50"/>
      <c r="K477" s="50"/>
      <c r="L477" s="50"/>
      <c r="M477" s="50"/>
      <c r="N477" s="50"/>
      <c r="O477" s="50"/>
      <c r="P477" s="50"/>
      <c r="Q477" s="50"/>
      <c r="R477" s="1019"/>
      <c r="S477" s="10"/>
      <c r="T477" s="10"/>
      <c r="U477" s="10"/>
      <c r="V477" s="10"/>
      <c r="W477" s="10">
        <v>0.01</v>
      </c>
      <c r="X477" s="10">
        <v>7.0000000000000007E-2</v>
      </c>
      <c r="Y477" s="10">
        <v>0.09</v>
      </c>
      <c r="Z477" s="10">
        <v>0.11</v>
      </c>
      <c r="AA477" s="163">
        <v>0.04</v>
      </c>
      <c r="AB477" s="10">
        <v>0.09</v>
      </c>
      <c r="AC477" s="10">
        <v>0</v>
      </c>
      <c r="AD477" s="10">
        <v>-0.04</v>
      </c>
      <c r="AE477" s="163"/>
      <c r="AF477" s="10"/>
      <c r="AG477" s="10"/>
      <c r="AH477" s="10"/>
      <c r="AI477" s="163"/>
      <c r="AJ477" s="10"/>
      <c r="AK477" s="10"/>
      <c r="AL477" s="482"/>
      <c r="AM477" s="428"/>
      <c r="AN477" s="428"/>
      <c r="AO477" s="428"/>
      <c r="AP477" s="482"/>
    </row>
    <row r="478" spans="1:42" ht="12.75" customHeight="1">
      <c r="A478" s="1036" t="s">
        <v>299</v>
      </c>
      <c r="C478" s="4">
        <v>814</v>
      </c>
      <c r="D478" s="4">
        <v>848</v>
      </c>
      <c r="E478" s="4">
        <v>558</v>
      </c>
      <c r="F478" s="4">
        <v>608</v>
      </c>
      <c r="I478" s="107"/>
      <c r="J478" s="107"/>
      <c r="K478" s="107"/>
      <c r="L478" s="107"/>
      <c r="M478" s="107"/>
      <c r="N478" s="107"/>
      <c r="O478" s="107"/>
      <c r="P478" s="107"/>
      <c r="Q478" s="107"/>
      <c r="R478" s="402"/>
      <c r="S478" s="1026"/>
      <c r="T478" s="1026"/>
      <c r="U478" s="1026"/>
      <c r="W478" s="4">
        <v>142</v>
      </c>
      <c r="X478" s="4">
        <v>156</v>
      </c>
      <c r="Y478" s="4">
        <v>156</v>
      </c>
      <c r="Z478" s="4">
        <v>155</v>
      </c>
      <c r="AA478" s="157">
        <v>152</v>
      </c>
      <c r="AB478" s="4">
        <v>149</v>
      </c>
      <c r="AC478" s="4">
        <v>142</v>
      </c>
      <c r="AD478" s="107">
        <f>G478-AC478-AB478-AA478</f>
        <v>-443</v>
      </c>
      <c r="AH478" s="107"/>
      <c r="AK478" s="107"/>
      <c r="AL478" s="481"/>
      <c r="AM478" s="396"/>
      <c r="AN478" s="396"/>
      <c r="AO478" s="396"/>
      <c r="AP478" s="481"/>
    </row>
    <row r="479" spans="1:42" s="1038" customFormat="1" ht="9.75" customHeight="1" outlineLevel="1">
      <c r="A479" s="1037" t="s">
        <v>14</v>
      </c>
      <c r="B479" s="10"/>
      <c r="C479" s="10">
        <v>7.0000000000000007E-2</v>
      </c>
      <c r="D479" s="10">
        <f>D478/C478-1</f>
        <v>4.1769041769041726E-2</v>
      </c>
      <c r="E479" s="10">
        <f>E478/D478-1</f>
        <v>-0.34198113207547165</v>
      </c>
      <c r="F479" s="10">
        <f>F478/E478-1</f>
        <v>8.9605734767025158E-2</v>
      </c>
      <c r="G479" s="10"/>
      <c r="H479" s="10"/>
      <c r="I479" s="10"/>
      <c r="J479" s="10"/>
      <c r="K479" s="10"/>
      <c r="L479" s="10"/>
      <c r="M479" s="10"/>
      <c r="N479" s="10"/>
      <c r="O479" s="10"/>
      <c r="P479" s="10"/>
      <c r="Q479" s="10"/>
      <c r="R479" s="1019"/>
      <c r="S479" s="10"/>
      <c r="T479" s="10"/>
      <c r="U479" s="10"/>
      <c r="V479" s="10"/>
      <c r="W479" s="10"/>
      <c r="X479" s="10"/>
      <c r="Y479" s="10"/>
      <c r="Z479" s="10"/>
      <c r="AA479" s="163">
        <f>AA478/W478-1</f>
        <v>7.0422535211267512E-2</v>
      </c>
      <c r="AB479" s="10">
        <f>AB478/X478-1</f>
        <v>-4.4871794871794823E-2</v>
      </c>
      <c r="AC479" s="10">
        <f>AC478/Y478-1</f>
        <v>-8.9743589743589758E-2</v>
      </c>
      <c r="AD479" s="10">
        <f>AD478/Z478-1</f>
        <v>-3.8580645161290321</v>
      </c>
      <c r="AE479" s="163"/>
      <c r="AF479" s="10"/>
      <c r="AG479" s="10"/>
      <c r="AH479" s="10"/>
      <c r="AI479" s="163"/>
      <c r="AJ479" s="10"/>
      <c r="AK479" s="10"/>
      <c r="AL479" s="482"/>
      <c r="AM479" s="428"/>
      <c r="AN479" s="428"/>
      <c r="AO479" s="428"/>
      <c r="AP479" s="482"/>
    </row>
    <row r="480" spans="1:42" s="1038" customFormat="1" ht="9.75" customHeight="1" outlineLevel="1">
      <c r="A480" s="1037" t="s">
        <v>15</v>
      </c>
      <c r="B480" s="10"/>
      <c r="C480" s="10">
        <v>0.1</v>
      </c>
      <c r="D480" s="10">
        <v>0.08</v>
      </c>
      <c r="E480" s="10">
        <v>7.0000000000000007E-2</v>
      </c>
      <c r="F480" s="10">
        <v>0.12</v>
      </c>
      <c r="G480" s="10"/>
      <c r="H480" s="10"/>
      <c r="I480" s="50"/>
      <c r="J480" s="50"/>
      <c r="K480" s="50"/>
      <c r="L480" s="50"/>
      <c r="M480" s="50"/>
      <c r="N480" s="50"/>
      <c r="O480" s="50"/>
      <c r="P480" s="50"/>
      <c r="Q480" s="50"/>
      <c r="R480" s="1019"/>
      <c r="S480" s="10"/>
      <c r="T480" s="10"/>
      <c r="U480" s="10"/>
      <c r="V480" s="10"/>
      <c r="W480" s="10">
        <v>0.08</v>
      </c>
      <c r="X480" s="10">
        <v>0.09</v>
      </c>
      <c r="Y480" s="10">
        <v>0.14000000000000001</v>
      </c>
      <c r="Z480" s="10">
        <v>0.15</v>
      </c>
      <c r="AA480" s="163">
        <v>0.16</v>
      </c>
      <c r="AB480" s="10">
        <v>0.05</v>
      </c>
      <c r="AC480" s="10">
        <v>0.03</v>
      </c>
      <c r="AD480" s="10">
        <v>0</v>
      </c>
      <c r="AE480" s="163"/>
      <c r="AF480" s="10"/>
      <c r="AG480" s="10"/>
      <c r="AH480" s="10"/>
      <c r="AI480" s="163"/>
      <c r="AJ480" s="10"/>
      <c r="AK480" s="10"/>
      <c r="AL480" s="482"/>
      <c r="AM480" s="428"/>
      <c r="AN480" s="428"/>
      <c r="AO480" s="428"/>
      <c r="AP480" s="482"/>
    </row>
    <row r="481" spans="1:42" ht="12.75" customHeight="1">
      <c r="A481" s="1036" t="s">
        <v>29</v>
      </c>
      <c r="E481" s="4">
        <v>327</v>
      </c>
      <c r="F481" s="4">
        <v>331</v>
      </c>
      <c r="I481" s="107"/>
      <c r="J481" s="107"/>
      <c r="K481" s="107"/>
      <c r="L481" s="107"/>
      <c r="M481" s="107"/>
      <c r="N481" s="107"/>
      <c r="O481" s="107"/>
      <c r="P481" s="107"/>
      <c r="Q481" s="107"/>
      <c r="R481" s="402"/>
      <c r="S481" s="1026"/>
      <c r="T481" s="1026"/>
      <c r="U481" s="1026"/>
      <c r="W481" s="4">
        <v>73</v>
      </c>
      <c r="X481" s="4">
        <v>90</v>
      </c>
      <c r="Y481" s="4">
        <v>86</v>
      </c>
      <c r="Z481" s="4">
        <v>81</v>
      </c>
      <c r="AA481" s="157">
        <v>70</v>
      </c>
      <c r="AB481" s="4">
        <v>69</v>
      </c>
      <c r="AC481" s="4">
        <v>44</v>
      </c>
      <c r="AD481" s="107">
        <f>G481-AC481-AB481-AA481</f>
        <v>-183</v>
      </c>
      <c r="AH481" s="107"/>
      <c r="AK481" s="107"/>
      <c r="AL481" s="481"/>
      <c r="AM481" s="396"/>
      <c r="AN481" s="396"/>
      <c r="AO481" s="396"/>
      <c r="AP481" s="481"/>
    </row>
    <row r="482" spans="1:42" s="1038" customFormat="1" ht="9.75" customHeight="1" outlineLevel="1">
      <c r="A482" s="1037" t="s">
        <v>14</v>
      </c>
      <c r="B482" s="10"/>
      <c r="C482" s="10"/>
      <c r="D482" s="10"/>
      <c r="E482" s="10"/>
      <c r="F482" s="10">
        <f>F481/E481-1</f>
        <v>1.2232415902140747E-2</v>
      </c>
      <c r="G482" s="10"/>
      <c r="H482" s="10"/>
      <c r="I482" s="10"/>
      <c r="J482" s="10"/>
      <c r="K482" s="10"/>
      <c r="L482" s="10"/>
      <c r="M482" s="10"/>
      <c r="N482" s="10"/>
      <c r="O482" s="10"/>
      <c r="P482" s="10"/>
      <c r="Q482" s="10"/>
      <c r="R482" s="1019"/>
      <c r="S482" s="10"/>
      <c r="T482" s="10"/>
      <c r="U482" s="10"/>
      <c r="V482" s="10"/>
      <c r="W482" s="10"/>
      <c r="X482" s="10"/>
      <c r="Y482" s="10"/>
      <c r="Z482" s="10"/>
      <c r="AA482" s="163">
        <f>AA481/W481-1</f>
        <v>-4.1095890410958957E-2</v>
      </c>
      <c r="AB482" s="10">
        <f>AB481/X481-1</f>
        <v>-0.23333333333333328</v>
      </c>
      <c r="AC482" s="10">
        <f>AC481/Y481-1</f>
        <v>-0.48837209302325579</v>
      </c>
      <c r="AD482" s="10">
        <f>AD481/Z481-1</f>
        <v>-3.2592592592592591</v>
      </c>
      <c r="AE482" s="163"/>
      <c r="AF482" s="10"/>
      <c r="AG482" s="10"/>
      <c r="AH482" s="10"/>
      <c r="AI482" s="163"/>
      <c r="AJ482" s="10"/>
      <c r="AK482" s="10"/>
      <c r="AL482" s="482"/>
      <c r="AM482" s="428"/>
      <c r="AN482" s="428"/>
      <c r="AO482" s="428"/>
      <c r="AP482" s="482"/>
    </row>
    <row r="483" spans="1:42" s="1038" customFormat="1" ht="9.75" customHeight="1" outlineLevel="1">
      <c r="A483" s="1037" t="s">
        <v>15</v>
      </c>
      <c r="B483" s="10"/>
      <c r="C483" s="10"/>
      <c r="D483" s="10"/>
      <c r="E483" s="10"/>
      <c r="F483" s="10">
        <v>0.06</v>
      </c>
      <c r="G483" s="10"/>
      <c r="H483" s="10"/>
      <c r="I483" s="50"/>
      <c r="J483" s="50"/>
      <c r="K483" s="50"/>
      <c r="L483" s="50"/>
      <c r="M483" s="50"/>
      <c r="N483" s="50"/>
      <c r="O483" s="50"/>
      <c r="P483" s="50"/>
      <c r="Q483" s="50"/>
      <c r="R483" s="1019"/>
      <c r="S483" s="10"/>
      <c r="T483" s="10"/>
      <c r="U483" s="10"/>
      <c r="V483" s="10"/>
      <c r="W483" s="10"/>
      <c r="X483" s="10"/>
      <c r="Y483" s="10"/>
      <c r="Z483" s="10"/>
      <c r="AA483" s="163">
        <v>0.11</v>
      </c>
      <c r="AB483" s="10">
        <v>-0.15</v>
      </c>
      <c r="AC483" s="10">
        <v>-0.35</v>
      </c>
      <c r="AD483" s="10">
        <v>-0.17</v>
      </c>
      <c r="AE483" s="163"/>
      <c r="AF483" s="10"/>
      <c r="AG483" s="10"/>
      <c r="AH483" s="10"/>
      <c r="AI483" s="163"/>
      <c r="AJ483" s="10"/>
      <c r="AK483" s="10"/>
      <c r="AL483" s="482"/>
      <c r="AM483" s="428"/>
      <c r="AN483" s="428"/>
      <c r="AO483" s="428"/>
      <c r="AP483" s="482"/>
    </row>
    <row r="484" spans="1:42" ht="12.75" customHeight="1">
      <c r="A484" s="1045" t="s">
        <v>67</v>
      </c>
      <c r="B484" s="146">
        <v>3517</v>
      </c>
      <c r="C484" s="146">
        <f>C469+C472+C475+C478+C481</f>
        <v>3957</v>
      </c>
      <c r="D484" s="146">
        <f>D469+D472+D475+D478+D481</f>
        <v>4019</v>
      </c>
      <c r="E484" s="146">
        <f>E469+E472+E475+E478+E481</f>
        <v>4108</v>
      </c>
      <c r="F484" s="146">
        <f>F469+F472+F475+F478+F481</f>
        <v>4211</v>
      </c>
      <c r="G484" s="146"/>
      <c r="H484" s="146"/>
      <c r="I484" s="152"/>
      <c r="J484" s="152"/>
      <c r="K484" s="152"/>
      <c r="L484" s="152"/>
      <c r="M484" s="152"/>
      <c r="N484" s="152"/>
      <c r="O484" s="152"/>
      <c r="P484" s="152"/>
      <c r="Q484" s="152"/>
      <c r="R484" s="402"/>
      <c r="S484" s="1026"/>
      <c r="T484" s="1026"/>
      <c r="U484" s="1026"/>
      <c r="W484" s="14">
        <f t="shared" ref="W484:AD484" si="734">W469+W472+W475+W478+W481</f>
        <v>1053</v>
      </c>
      <c r="X484" s="14">
        <f t="shared" si="734"/>
        <v>1116</v>
      </c>
      <c r="Y484" s="14">
        <f t="shared" si="734"/>
        <v>1018</v>
      </c>
      <c r="Z484" s="14">
        <f t="shared" si="734"/>
        <v>1024</v>
      </c>
      <c r="AA484" s="170">
        <f t="shared" si="734"/>
        <v>1027</v>
      </c>
      <c r="AB484" s="146">
        <f t="shared" si="734"/>
        <v>1028</v>
      </c>
      <c r="AC484" s="146">
        <f t="shared" si="734"/>
        <v>877</v>
      </c>
      <c r="AD484" s="152">
        <f t="shared" si="734"/>
        <v>-2932</v>
      </c>
      <c r="AE484" s="170"/>
      <c r="AF484" s="146"/>
      <c r="AG484" s="146"/>
      <c r="AH484" s="152"/>
      <c r="AI484" s="170"/>
      <c r="AJ484" s="146"/>
      <c r="AK484" s="152"/>
      <c r="AL484" s="487"/>
      <c r="AM484" s="399"/>
      <c r="AN484" s="399"/>
      <c r="AO484" s="399"/>
      <c r="AP484" s="487"/>
    </row>
    <row r="485" spans="1:42" s="1038" customFormat="1" ht="9.75" customHeight="1" outlineLevel="1">
      <c r="A485" s="1046" t="s">
        <v>14</v>
      </c>
      <c r="B485" s="148"/>
      <c r="C485" s="148">
        <f>C484/B484-1</f>
        <v>0.12510662496445835</v>
      </c>
      <c r="D485" s="148">
        <f>D484/C484-1</f>
        <v>1.5668435683598769E-2</v>
      </c>
      <c r="E485" s="148">
        <f>E484/D484-1</f>
        <v>2.2144812142324E-2</v>
      </c>
      <c r="F485" s="148">
        <f>F484/E484-1</f>
        <v>2.5073028237585282E-2</v>
      </c>
      <c r="G485" s="148"/>
      <c r="H485" s="148"/>
      <c r="I485" s="148"/>
      <c r="J485" s="148"/>
      <c r="K485" s="148"/>
      <c r="L485" s="148"/>
      <c r="M485" s="148"/>
      <c r="N485" s="148"/>
      <c r="O485" s="148"/>
      <c r="P485" s="148"/>
      <c r="Q485" s="148"/>
      <c r="R485" s="1019"/>
      <c r="S485" s="10"/>
      <c r="T485" s="10"/>
      <c r="U485" s="10"/>
      <c r="V485" s="10"/>
      <c r="W485" s="15">
        <v>1.9029495718363432E-3</v>
      </c>
      <c r="X485" s="15">
        <v>2.9520295202952074E-2</v>
      </c>
      <c r="Y485" s="15">
        <v>2.8282828282828243E-2</v>
      </c>
      <c r="Z485" s="15">
        <v>4.1709053916581862E-2</v>
      </c>
      <c r="AA485" s="171">
        <f>AA484/W484-1</f>
        <v>-2.4691358024691357E-2</v>
      </c>
      <c r="AB485" s="148">
        <f>AB484/X484-1</f>
        <v>-7.8853046594982046E-2</v>
      </c>
      <c r="AC485" s="148">
        <f>AC484/Y484-1</f>
        <v>-0.13850687622789781</v>
      </c>
      <c r="AD485" s="148">
        <f>AD484/Z484-1</f>
        <v>-3.86328125</v>
      </c>
      <c r="AE485" s="171"/>
      <c r="AF485" s="148"/>
      <c r="AG485" s="148"/>
      <c r="AH485" s="148"/>
      <c r="AI485" s="171"/>
      <c r="AJ485" s="148"/>
      <c r="AK485" s="148"/>
      <c r="AL485" s="488"/>
      <c r="AM485" s="500"/>
      <c r="AN485" s="500"/>
      <c r="AO485" s="500"/>
      <c r="AP485" s="488"/>
    </row>
    <row r="486" spans="1:42" s="1038" customFormat="1" ht="9.75" customHeight="1" outlineLevel="1">
      <c r="A486" s="1046" t="s">
        <v>15</v>
      </c>
      <c r="B486" s="148"/>
      <c r="C486" s="148">
        <v>0.1</v>
      </c>
      <c r="D486" s="148">
        <v>0.05</v>
      </c>
      <c r="E486" s="148">
        <v>0.05</v>
      </c>
      <c r="F486" s="148">
        <v>0.05</v>
      </c>
      <c r="G486" s="148"/>
      <c r="H486" s="148"/>
      <c r="I486" s="148"/>
      <c r="J486" s="148"/>
      <c r="K486" s="148"/>
      <c r="L486" s="148"/>
      <c r="M486" s="148"/>
      <c r="N486" s="148"/>
      <c r="O486" s="148"/>
      <c r="P486" s="148"/>
      <c r="Q486" s="148"/>
      <c r="R486" s="1019"/>
      <c r="S486" s="10"/>
      <c r="T486" s="10"/>
      <c r="U486" s="10"/>
      <c r="V486" s="10"/>
      <c r="W486" s="15">
        <v>0.03</v>
      </c>
      <c r="X486" s="15">
        <v>0.04</v>
      </c>
      <c r="Y486" s="15">
        <v>0.04</v>
      </c>
      <c r="Z486" s="15">
        <v>0.1</v>
      </c>
      <c r="AA486" s="171">
        <v>0.06</v>
      </c>
      <c r="AB486" s="148">
        <v>0</v>
      </c>
      <c r="AC486" s="148">
        <v>-0.03</v>
      </c>
      <c r="AD486" s="148">
        <v>-0.05</v>
      </c>
      <c r="AE486" s="171"/>
      <c r="AF486" s="148"/>
      <c r="AG486" s="148"/>
      <c r="AH486" s="148"/>
      <c r="AI486" s="171"/>
      <c r="AJ486" s="148"/>
      <c r="AK486" s="148"/>
      <c r="AL486" s="488"/>
      <c r="AM486" s="500"/>
      <c r="AN486" s="500"/>
      <c r="AO486" s="500"/>
      <c r="AP486" s="488"/>
    </row>
    <row r="487" spans="1:42" s="1038" customFormat="1" ht="9.75" customHeight="1" outlineLevel="1">
      <c r="A487" s="1046" t="s">
        <v>18</v>
      </c>
      <c r="B487" s="148">
        <f>B484/B$2</f>
        <v>6.9472977243994941E-2</v>
      </c>
      <c r="C487" s="148">
        <f>C484/C$2</f>
        <v>6.7564798688658945E-2</v>
      </c>
      <c r="D487" s="148">
        <f>D484/D$2</f>
        <v>7.0915603550191456E-2</v>
      </c>
      <c r="E487" s="148">
        <f>E484/E$2</f>
        <v>7.1624095545288119E-2</v>
      </c>
      <c r="F487" s="148">
        <f>F484/F$2</f>
        <v>8.0701418167880415E-2</v>
      </c>
      <c r="G487" s="148"/>
      <c r="H487" s="148"/>
      <c r="I487" s="148"/>
      <c r="J487" s="148"/>
      <c r="K487" s="148"/>
      <c r="L487" s="148"/>
      <c r="M487" s="148"/>
      <c r="N487" s="148"/>
      <c r="O487" s="148"/>
      <c r="P487" s="148"/>
      <c r="Q487" s="148"/>
      <c r="R487" s="1019"/>
      <c r="S487" s="10"/>
      <c r="T487" s="10"/>
      <c r="U487" s="10"/>
      <c r="V487" s="10"/>
      <c r="W487" s="15">
        <f t="shared" ref="W487:AB487" si="735">W484/W$2</f>
        <v>8.2478264275084201E-2</v>
      </c>
      <c r="X487" s="15">
        <f t="shared" si="735"/>
        <v>8.3614295347269052E-2</v>
      </c>
      <c r="Y487" s="15">
        <f t="shared" si="735"/>
        <v>7.8361942883534749E-2</v>
      </c>
      <c r="Z487" s="15">
        <f t="shared" si="735"/>
        <v>7.8317399617590822E-2</v>
      </c>
      <c r="AA487" s="171">
        <f t="shared" si="735"/>
        <v>8.6049434436531208E-2</v>
      </c>
      <c r="AB487" s="148">
        <f t="shared" si="735"/>
        <v>8.0983141641720505E-2</v>
      </c>
      <c r="AC487" s="148">
        <f>AC484/AC$2</f>
        <v>7.1504280472890341E-2</v>
      </c>
      <c r="AD487" s="148">
        <f>AD484/AD$2</f>
        <v>-0.234185303514377</v>
      </c>
      <c r="AE487" s="171"/>
      <c r="AF487" s="148"/>
      <c r="AG487" s="148"/>
      <c r="AH487" s="148"/>
      <c r="AI487" s="171"/>
      <c r="AJ487" s="148"/>
      <c r="AK487" s="148"/>
      <c r="AL487" s="488"/>
      <c r="AM487" s="500"/>
      <c r="AN487" s="500"/>
      <c r="AO487" s="500"/>
      <c r="AP487" s="488"/>
    </row>
    <row r="488" spans="1:42" ht="12.75" customHeight="1">
      <c r="A488" s="1025" t="s">
        <v>68</v>
      </c>
      <c r="B488" s="4">
        <v>1579</v>
      </c>
      <c r="C488" s="4">
        <v>1701</v>
      </c>
      <c r="D488" s="4">
        <v>1732</v>
      </c>
      <c r="E488" s="4">
        <v>1793</v>
      </c>
      <c r="F488" s="4">
        <v>1897</v>
      </c>
      <c r="G488" s="4">
        <v>1743</v>
      </c>
      <c r="H488" s="4">
        <v>1762</v>
      </c>
      <c r="I488" s="4">
        <v>1833</v>
      </c>
      <c r="J488" s="107">
        <f t="shared" ref="J488:Q488" si="736">I488*(1+J490)*(1+J$32)</f>
        <v>2004.7454315324619</v>
      </c>
      <c r="K488" s="107">
        <f t="shared" si="736"/>
        <v>2104.9827031090849</v>
      </c>
      <c r="L488" s="107">
        <f t="shared" si="736"/>
        <v>2210.2318382645394</v>
      </c>
      <c r="M488" s="107">
        <f t="shared" si="736"/>
        <v>2320.7434301777666</v>
      </c>
      <c r="N488" s="107">
        <f t="shared" si="736"/>
        <v>2436.7806016866552</v>
      </c>
      <c r="O488" s="107">
        <f t="shared" si="736"/>
        <v>2558.6196317709882</v>
      </c>
      <c r="P488" s="107">
        <f t="shared" si="736"/>
        <v>2686.5506133595377</v>
      </c>
      <c r="Q488" s="107">
        <f t="shared" si="736"/>
        <v>2820.8781440275147</v>
      </c>
      <c r="R488" s="402">
        <f>(N488/J488)^(1/($N$1-$J$1))-1</f>
        <v>5.0000000000000044E-2</v>
      </c>
      <c r="S488" s="1026"/>
      <c r="T488" s="1026"/>
      <c r="U488" s="1026"/>
      <c r="W488" s="4">
        <v>469</v>
      </c>
      <c r="X488" s="4">
        <v>480</v>
      </c>
      <c r="Y488" s="4">
        <v>493</v>
      </c>
      <c r="Z488" s="4">
        <v>455</v>
      </c>
      <c r="AA488" s="157">
        <v>456</v>
      </c>
      <c r="AB488" s="4">
        <v>446</v>
      </c>
      <c r="AC488" s="4">
        <v>448</v>
      </c>
      <c r="AD488" s="107">
        <f>G488-AC488-AB488-AA488</f>
        <v>393</v>
      </c>
      <c r="AE488" s="157">
        <v>429</v>
      </c>
      <c r="AF488" s="4">
        <v>457</v>
      </c>
      <c r="AG488" s="4">
        <v>456</v>
      </c>
      <c r="AH488" s="107">
        <f>H488-AE488-AF488-AG488</f>
        <v>420</v>
      </c>
      <c r="AI488" s="157">
        <v>453</v>
      </c>
      <c r="AJ488" s="4">
        <v>456</v>
      </c>
      <c r="AK488" s="4">
        <v>481</v>
      </c>
      <c r="AL488" s="481">
        <f>I488-AI488-AJ488-AK488</f>
        <v>443</v>
      </c>
      <c r="AM488" s="396">
        <v>509</v>
      </c>
      <c r="AN488" s="396">
        <f>AJ488*(1+AN490)*(1+AN$32)</f>
        <v>504.36900560190469</v>
      </c>
      <c r="AO488" s="396">
        <f>AK488*(1+AO490)*(1+AO$32)</f>
        <v>517.48454507086205</v>
      </c>
      <c r="AP488" s="481">
        <f>J488-AM488-AN488-AO488</f>
        <v>473.89188085969511</v>
      </c>
    </row>
    <row r="489" spans="1:42" s="1038" customFormat="1" ht="9.75" customHeight="1" outlineLevel="1">
      <c r="A489" s="1037" t="s">
        <v>14</v>
      </c>
      <c r="B489" s="10"/>
      <c r="C489" s="10">
        <v>7.0000000000000007E-2</v>
      </c>
      <c r="D489" s="10">
        <f t="shared" ref="D489:Q489" si="737">D488/C488-1</f>
        <v>1.8224573780129427E-2</v>
      </c>
      <c r="E489" s="10">
        <f t="shared" si="737"/>
        <v>3.5219399538106266E-2</v>
      </c>
      <c r="F489" s="10">
        <f t="shared" si="737"/>
        <v>5.8003346346904738E-2</v>
      </c>
      <c r="G489" s="10">
        <f>G488/F488-1</f>
        <v>-8.1180811808118092E-2</v>
      </c>
      <c r="H489" s="10">
        <f>H488/G488-1</f>
        <v>1.0900745840504822E-2</v>
      </c>
      <c r="I489" s="10">
        <f t="shared" si="737"/>
        <v>4.0295119182746975E-2</v>
      </c>
      <c r="J489" s="10">
        <f t="shared" si="737"/>
        <v>9.369636199261433E-2</v>
      </c>
      <c r="K489" s="10">
        <f t="shared" si="737"/>
        <v>5.0000000000000044E-2</v>
      </c>
      <c r="L489" s="10">
        <f t="shared" si="737"/>
        <v>5.0000000000000044E-2</v>
      </c>
      <c r="M489" s="10">
        <f t="shared" si="737"/>
        <v>5.0000000000000044E-2</v>
      </c>
      <c r="N489" s="10">
        <f t="shared" si="737"/>
        <v>5.0000000000000044E-2</v>
      </c>
      <c r="O489" s="10">
        <f t="shared" si="737"/>
        <v>5.0000000000000044E-2</v>
      </c>
      <c r="P489" s="10">
        <f t="shared" si="737"/>
        <v>5.0000000000000044E-2</v>
      </c>
      <c r="Q489" s="10">
        <f t="shared" si="737"/>
        <v>5.0000000000000044E-2</v>
      </c>
      <c r="R489" s="1019"/>
      <c r="S489" s="10"/>
      <c r="T489" s="10"/>
      <c r="U489" s="10"/>
      <c r="V489" s="10"/>
      <c r="W489" s="10">
        <v>6.8337129840546629E-2</v>
      </c>
      <c r="X489" s="10">
        <v>3.8961038961038863E-2</v>
      </c>
      <c r="Y489" s="10">
        <v>8.1140350877193068E-2</v>
      </c>
      <c r="Z489" s="10">
        <v>4.3577981651376163E-2</v>
      </c>
      <c r="AA489" s="163">
        <f t="shared" ref="AA489:AH489" si="738">AA488/W488-1</f>
        <v>-2.7718550106609841E-2</v>
      </c>
      <c r="AB489" s="10">
        <f t="shared" si="738"/>
        <v>-7.0833333333333304E-2</v>
      </c>
      <c r="AC489" s="10">
        <f t="shared" si="738"/>
        <v>-9.1277890466531453E-2</v>
      </c>
      <c r="AD489" s="10">
        <f t="shared" si="738"/>
        <v>-0.13626373626373622</v>
      </c>
      <c r="AE489" s="163">
        <f t="shared" si="738"/>
        <v>-5.9210526315789491E-2</v>
      </c>
      <c r="AF489" s="10">
        <f t="shared" si="738"/>
        <v>2.4663677130044803E-2</v>
      </c>
      <c r="AG489" s="10">
        <f t="shared" si="738"/>
        <v>1.7857142857142794E-2</v>
      </c>
      <c r="AH489" s="10">
        <f t="shared" si="738"/>
        <v>6.8702290076335881E-2</v>
      </c>
      <c r="AI489" s="163">
        <f>AI488/AE488-1</f>
        <v>5.5944055944056048E-2</v>
      </c>
      <c r="AJ489" s="10">
        <f>AJ488/AF488-1</f>
        <v>-2.1881838074397919E-3</v>
      </c>
      <c r="AK489" s="10">
        <f>AK488/AG488-1</f>
        <v>5.4824561403508776E-2</v>
      </c>
      <c r="AL489" s="482">
        <f>AL488/AH488-1</f>
        <v>5.4761904761904789E-2</v>
      </c>
      <c r="AM489" s="428">
        <f t="shared" ref="AM489" si="739">AM488/AI488-1</f>
        <v>0.12362030905077259</v>
      </c>
      <c r="AN489" s="428">
        <f t="shared" ref="AN489" si="740">AN488/AJ488-1</f>
        <v>0.10607238070593139</v>
      </c>
      <c r="AO489" s="428">
        <f t="shared" ref="AO489" si="741">AO488/AK488-1</f>
        <v>7.5851445053767286E-2</v>
      </c>
      <c r="AP489" s="482">
        <f>AP488/AL488-1</f>
        <v>6.9733365371772216E-2</v>
      </c>
    </row>
    <row r="490" spans="1:42" s="1038" customFormat="1" ht="9.75" customHeight="1" outlineLevel="1">
      <c r="A490" s="1037" t="s">
        <v>15</v>
      </c>
      <c r="B490" s="10"/>
      <c r="C490" s="10">
        <v>0.03</v>
      </c>
      <c r="D490" s="10">
        <v>0.05</v>
      </c>
      <c r="E490" s="10">
        <v>0.05</v>
      </c>
      <c r="F490" s="10">
        <v>7.0000000000000007E-2</v>
      </c>
      <c r="G490" s="10">
        <v>0.01</v>
      </c>
      <c r="H490" s="10">
        <v>0.02</v>
      </c>
      <c r="I490" s="10">
        <v>0.04</v>
      </c>
      <c r="J490" s="50">
        <v>0.05</v>
      </c>
      <c r="K490" s="50">
        <v>0.05</v>
      </c>
      <c r="L490" s="50">
        <v>0.05</v>
      </c>
      <c r="M490" s="50">
        <v>0.05</v>
      </c>
      <c r="N490" s="50">
        <v>0.05</v>
      </c>
      <c r="O490" s="50">
        <v>0.05</v>
      </c>
      <c r="P490" s="50">
        <v>0.05</v>
      </c>
      <c r="Q490" s="50">
        <v>0.05</v>
      </c>
      <c r="R490" s="1019"/>
      <c r="S490" s="10"/>
      <c r="T490" s="10"/>
      <c r="U490" s="10"/>
      <c r="V490" s="10"/>
      <c r="W490" s="10">
        <v>0.08</v>
      </c>
      <c r="X490" s="10">
        <v>0.03</v>
      </c>
      <c r="Y490" s="10">
        <v>0.08</v>
      </c>
      <c r="Z490" s="10">
        <v>0.1</v>
      </c>
      <c r="AA490" s="163">
        <v>0.06</v>
      </c>
      <c r="AB490" s="10">
        <v>0.02</v>
      </c>
      <c r="AC490" s="10">
        <v>0</v>
      </c>
      <c r="AD490" s="10">
        <v>-7.0000000000000007E-2</v>
      </c>
      <c r="AE490" s="163">
        <v>-0.04</v>
      </c>
      <c r="AF490" s="10">
        <v>0.02</v>
      </c>
      <c r="AG490" s="10">
        <v>0.01</v>
      </c>
      <c r="AH490" s="10">
        <v>7.0000000000000007E-2</v>
      </c>
      <c r="AI490" s="163">
        <v>7.0000000000000007E-2</v>
      </c>
      <c r="AJ490" s="10">
        <v>0.02</v>
      </c>
      <c r="AK490" s="10">
        <v>0.05</v>
      </c>
      <c r="AL490" s="482">
        <v>0.02</v>
      </c>
      <c r="AM490" s="428">
        <v>0.06</v>
      </c>
      <c r="AN490" s="539">
        <v>0.05</v>
      </c>
      <c r="AO490" s="539">
        <v>0.05</v>
      </c>
      <c r="AP490" s="497"/>
    </row>
    <row r="491" spans="1:42" ht="12.75" customHeight="1">
      <c r="A491" s="1025" t="s">
        <v>69</v>
      </c>
      <c r="B491" s="4">
        <f>2293-B488</f>
        <v>714</v>
      </c>
      <c r="C491" s="4">
        <f>2414-C488</f>
        <v>713</v>
      </c>
      <c r="D491" s="4">
        <v>722</v>
      </c>
      <c r="E491" s="4">
        <v>698</v>
      </c>
      <c r="F491" s="4">
        <v>646</v>
      </c>
      <c r="G491" s="4">
        <v>558</v>
      </c>
      <c r="H491" s="4">
        <v>532</v>
      </c>
      <c r="I491" s="4">
        <f>531</f>
        <v>531</v>
      </c>
      <c r="J491" s="107">
        <f t="shared" ref="J491:Q491" si="742">I491*(1+J493)*(1+J$32)</f>
        <v>542.03591700353957</v>
      </c>
      <c r="K491" s="107">
        <f t="shared" si="742"/>
        <v>531.19519866346877</v>
      </c>
      <c r="L491" s="107">
        <f t="shared" si="742"/>
        <v>520.57129469019935</v>
      </c>
      <c r="M491" s="107">
        <f t="shared" si="742"/>
        <v>510.15986879639536</v>
      </c>
      <c r="N491" s="107">
        <f t="shared" si="742"/>
        <v>499.95667142046744</v>
      </c>
      <c r="O491" s="107">
        <f t="shared" si="742"/>
        <v>489.95753799205806</v>
      </c>
      <c r="P491" s="107">
        <f t="shared" si="742"/>
        <v>480.15838723221691</v>
      </c>
      <c r="Q491" s="107">
        <f t="shared" si="742"/>
        <v>470.55521948757257</v>
      </c>
      <c r="R491" s="402">
        <f>(N491/J491)^(1/($N$1-$J$1))-1</f>
        <v>-2.0000000000000018E-2</v>
      </c>
      <c r="S491" s="1026"/>
      <c r="T491" s="1026"/>
      <c r="U491" s="1026"/>
      <c r="W491" s="4">
        <v>157</v>
      </c>
      <c r="X491" s="4">
        <v>174</v>
      </c>
      <c r="Y491" s="4">
        <v>157</v>
      </c>
      <c r="Z491" s="4">
        <v>158</v>
      </c>
      <c r="AA491" s="157">
        <v>138</v>
      </c>
      <c r="AB491" s="4">
        <v>145</v>
      </c>
      <c r="AC491" s="4">
        <v>137</v>
      </c>
      <c r="AD491" s="107">
        <f>G491-AC491-AB491-AA491</f>
        <v>138</v>
      </c>
      <c r="AE491" s="157">
        <v>127</v>
      </c>
      <c r="AF491" s="4">
        <v>133</v>
      </c>
      <c r="AG491" s="4">
        <v>135</v>
      </c>
      <c r="AH491" s="107">
        <f>H491-AE491-AF491-AG491</f>
        <v>137</v>
      </c>
      <c r="AI491" s="157">
        <f>118</f>
        <v>118</v>
      </c>
      <c r="AJ491" s="4">
        <v>136</v>
      </c>
      <c r="AK491" s="4">
        <v>138</v>
      </c>
      <c r="AL491" s="481">
        <f>I491-AI491-AJ491-AK491</f>
        <v>139</v>
      </c>
      <c r="AM491" s="396">
        <v>124</v>
      </c>
      <c r="AN491" s="396">
        <f>AJ491*(1+AN493)*(1+AN$32)</f>
        <v>140.39745419093956</v>
      </c>
      <c r="AO491" s="396">
        <f>AK491*(1+AO493)*(1+AO$32)</f>
        <v>138.56966612292521</v>
      </c>
      <c r="AP491" s="481">
        <f>J491-AM491-AN491-AO491</f>
        <v>139.06879668967477</v>
      </c>
    </row>
    <row r="492" spans="1:42" s="1038" customFormat="1" ht="9.75" customHeight="1" outlineLevel="1">
      <c r="A492" s="1037" t="s">
        <v>14</v>
      </c>
      <c r="B492" s="10"/>
      <c r="C492" s="10">
        <v>7.0000000000000007E-2</v>
      </c>
      <c r="D492" s="10">
        <f t="shared" ref="D492:Q492" si="743">D491/C491-1</f>
        <v>1.2622720897615736E-2</v>
      </c>
      <c r="E492" s="10">
        <f t="shared" si="743"/>
        <v>-3.3240997229916913E-2</v>
      </c>
      <c r="F492" s="10">
        <f t="shared" si="743"/>
        <v>-7.4498567335243515E-2</v>
      </c>
      <c r="G492" s="10">
        <f>G491/F491-1</f>
        <v>-0.13622291021671828</v>
      </c>
      <c r="H492" s="10">
        <f>H491/G491-1</f>
        <v>-4.6594982078853042E-2</v>
      </c>
      <c r="I492" s="10">
        <f t="shared" si="743"/>
        <v>-1.879699248120259E-3</v>
      </c>
      <c r="J492" s="10">
        <f t="shared" si="743"/>
        <v>2.0783271193106634E-2</v>
      </c>
      <c r="K492" s="10">
        <f t="shared" si="743"/>
        <v>-2.0000000000000018E-2</v>
      </c>
      <c r="L492" s="10">
        <f t="shared" si="743"/>
        <v>-2.0000000000000129E-2</v>
      </c>
      <c r="M492" s="10">
        <f t="shared" si="743"/>
        <v>-2.0000000000000018E-2</v>
      </c>
      <c r="N492" s="10">
        <f t="shared" si="743"/>
        <v>-2.0000000000000018E-2</v>
      </c>
      <c r="O492" s="10">
        <f t="shared" si="743"/>
        <v>-2.0000000000000018E-2</v>
      </c>
      <c r="P492" s="10">
        <f t="shared" si="743"/>
        <v>-2.0000000000000018E-2</v>
      </c>
      <c r="Q492" s="10">
        <f t="shared" si="743"/>
        <v>-2.0000000000000018E-2</v>
      </c>
      <c r="R492" s="1019"/>
      <c r="S492" s="10"/>
      <c r="T492" s="10"/>
      <c r="U492" s="10"/>
      <c r="V492" s="10"/>
      <c r="W492" s="10">
        <v>-4.2682926829268331E-2</v>
      </c>
      <c r="X492" s="10">
        <v>-3.8674033149171283E-2</v>
      </c>
      <c r="Y492" s="10">
        <v>-9.7701149425287404E-2</v>
      </c>
      <c r="Z492" s="10">
        <v>-0.11731843575418999</v>
      </c>
      <c r="AA492" s="163">
        <f t="shared" ref="AA492:AG492" si="744">AA491/W491-1</f>
        <v>-0.12101910828025475</v>
      </c>
      <c r="AB492" s="10">
        <f t="shared" si="744"/>
        <v>-0.16666666666666663</v>
      </c>
      <c r="AC492" s="10">
        <f t="shared" si="744"/>
        <v>-0.12738853503184711</v>
      </c>
      <c r="AD492" s="10">
        <f t="shared" si="744"/>
        <v>-0.12658227848101267</v>
      </c>
      <c r="AE492" s="163">
        <f t="shared" si="744"/>
        <v>-7.9710144927536253E-2</v>
      </c>
      <c r="AF492" s="10">
        <f t="shared" si="744"/>
        <v>-8.2758620689655227E-2</v>
      </c>
      <c r="AG492" s="10">
        <f t="shared" si="744"/>
        <v>-1.4598540145985384E-2</v>
      </c>
      <c r="AH492" s="10">
        <f>AH491/AD491-1</f>
        <v>-7.2463768115942351E-3</v>
      </c>
      <c r="AI492" s="163">
        <f>AI491/AE491-1</f>
        <v>-7.086614173228345E-2</v>
      </c>
      <c r="AJ492" s="10">
        <f>AJ491/AF491-1</f>
        <v>2.2556390977443552E-2</v>
      </c>
      <c r="AK492" s="10">
        <f>AK491/AG491-1</f>
        <v>2.2222222222222143E-2</v>
      </c>
      <c r="AL492" s="482">
        <f>AL491/AH491-1</f>
        <v>1.4598540145985384E-2</v>
      </c>
      <c r="AM492" s="428">
        <f t="shared" ref="AM492" si="745">AM491/AI491-1</f>
        <v>5.0847457627118731E-2</v>
      </c>
      <c r="AN492" s="428">
        <f t="shared" ref="AN492" si="746">AN491/AJ491-1</f>
        <v>3.2334221992202705E-2</v>
      </c>
      <c r="AO492" s="428">
        <f t="shared" ref="AO492" si="747">AO491/AK491-1</f>
        <v>4.1280153835159261E-3</v>
      </c>
      <c r="AP492" s="482">
        <f>AP491/AL491-1</f>
        <v>4.9494021348750472E-4</v>
      </c>
    </row>
    <row r="493" spans="1:42" s="1038" customFormat="1" ht="9.75" customHeight="1" outlineLevel="1">
      <c r="A493" s="1037" t="s">
        <v>15</v>
      </c>
      <c r="B493" s="10"/>
      <c r="C493" s="10">
        <v>-0.04</v>
      </c>
      <c r="D493" s="10">
        <v>0.02</v>
      </c>
      <c r="E493" s="10">
        <v>-0.01</v>
      </c>
      <c r="F493" s="10">
        <v>-0.05</v>
      </c>
      <c r="G493" s="10">
        <v>-0.08</v>
      </c>
      <c r="H493" s="10">
        <v>-0.05</v>
      </c>
      <c r="I493" s="10">
        <v>0</v>
      </c>
      <c r="J493" s="50">
        <v>-0.02</v>
      </c>
      <c r="K493" s="50">
        <v>-0.02</v>
      </c>
      <c r="L493" s="50">
        <v>-0.02</v>
      </c>
      <c r="M493" s="50">
        <v>-0.02</v>
      </c>
      <c r="N493" s="50">
        <v>-0.02</v>
      </c>
      <c r="O493" s="50">
        <v>-0.02</v>
      </c>
      <c r="P493" s="50">
        <v>-0.02</v>
      </c>
      <c r="Q493" s="50">
        <v>-0.02</v>
      </c>
      <c r="R493" s="1019"/>
      <c r="S493" s="10"/>
      <c r="T493" s="10"/>
      <c r="U493" s="10"/>
      <c r="V493" s="10"/>
      <c r="W493" s="10">
        <v>-0.02</v>
      </c>
      <c r="X493" s="10">
        <v>-0.03</v>
      </c>
      <c r="Y493" s="10">
        <v>-0.08</v>
      </c>
      <c r="Z493" s="10">
        <v>-7.0000000000000007E-2</v>
      </c>
      <c r="AA493" s="163">
        <v>-0.06</v>
      </c>
      <c r="AB493" s="10">
        <v>-0.11</v>
      </c>
      <c r="AC493" s="10">
        <v>-0.06</v>
      </c>
      <c r="AD493" s="10">
        <v>-0.08</v>
      </c>
      <c r="AE493" s="163">
        <v>-0.05</v>
      </c>
      <c r="AF493" s="10">
        <v>-0.09</v>
      </c>
      <c r="AG493" s="10">
        <v>-0.03</v>
      </c>
      <c r="AH493" s="10">
        <v>-0.02</v>
      </c>
      <c r="AI493" s="163">
        <v>-0.08</v>
      </c>
      <c r="AJ493" s="10">
        <v>0.04</v>
      </c>
      <c r="AK493" s="10">
        <v>0.01</v>
      </c>
      <c r="AL493" s="482">
        <v>0.01</v>
      </c>
      <c r="AM493" s="428">
        <v>0.01</v>
      </c>
      <c r="AN493" s="539">
        <v>-0.02</v>
      </c>
      <c r="AO493" s="539">
        <v>-0.02</v>
      </c>
      <c r="AP493" s="497"/>
    </row>
    <row r="494" spans="1:42" ht="12.75" customHeight="1">
      <c r="A494" s="1025" t="s">
        <v>1840</v>
      </c>
      <c r="I494" s="4">
        <v>683</v>
      </c>
      <c r="J494" s="107">
        <f t="shared" ref="J494" si="748">I494*(1+J496)*(1+J$32)</f>
        <v>697.19497422489189</v>
      </c>
      <c r="K494" s="107">
        <f t="shared" ref="K494" si="749">J494*(1+K496)*(1+K$32)</f>
        <v>683.25107474039407</v>
      </c>
      <c r="L494" s="107">
        <f t="shared" ref="L494" si="750">K494*(1+L496)*(1+L$32)</f>
        <v>669.58605324558619</v>
      </c>
      <c r="M494" s="107">
        <f t="shared" ref="M494" si="751">L494*(1+M496)*(1+M$32)</f>
        <v>656.19433218067445</v>
      </c>
      <c r="N494" s="107">
        <f t="shared" ref="N494" si="752">M494*(1+N496)*(1+N$32)</f>
        <v>643.070445537061</v>
      </c>
      <c r="O494" s="107">
        <f t="shared" ref="O494" si="753">N494*(1+O496)*(1+O$32)</f>
        <v>630.20903662631974</v>
      </c>
      <c r="P494" s="107">
        <f t="shared" ref="P494" si="754">O494*(1+P496)*(1+P$32)</f>
        <v>617.60485589379334</v>
      </c>
      <c r="Q494" s="107">
        <f t="shared" ref="Q494" si="755">P494*(1+Q496)*(1+Q$32)</f>
        <v>605.25275877591741</v>
      </c>
      <c r="R494" s="402">
        <f>(N494/J494)^(1/($N$1-$J$1))-1</f>
        <v>-2.0000000000000018E-2</v>
      </c>
      <c r="S494" s="1026"/>
      <c r="T494" s="1026"/>
      <c r="U494" s="1026"/>
      <c r="AD494" s="107"/>
      <c r="AH494" s="107"/>
      <c r="AI494" s="157">
        <v>158</v>
      </c>
      <c r="AJ494" s="4">
        <v>175</v>
      </c>
      <c r="AK494" s="4">
        <v>170</v>
      </c>
      <c r="AL494" s="481">
        <f>I494-AI494-AJ494-AK494</f>
        <v>180</v>
      </c>
      <c r="AM494" s="396">
        <v>169</v>
      </c>
      <c r="AN494" s="396">
        <f>AJ494*(1+AN496)*(1+AN$32)</f>
        <v>180.65848884863544</v>
      </c>
      <c r="AO494" s="396">
        <f>AK494*(1+AO496)*(1+AO$32)</f>
        <v>170.70176261519771</v>
      </c>
      <c r="AP494" s="481">
        <f>J494-AM494-AN494-AO494</f>
        <v>176.83472276105874</v>
      </c>
    </row>
    <row r="495" spans="1:42" s="1038" customFormat="1" ht="9.75" customHeight="1" outlineLevel="1">
      <c r="A495" s="1037" t="s">
        <v>14</v>
      </c>
      <c r="B495" s="10"/>
      <c r="C495" s="10"/>
      <c r="D495" s="10"/>
      <c r="E495" s="10"/>
      <c r="F495" s="10"/>
      <c r="G495" s="10"/>
      <c r="H495" s="10"/>
      <c r="I495" s="10"/>
      <c r="J495" s="10">
        <f t="shared" ref="J495" si="756">J494/I494-1</f>
        <v>2.0783271193106634E-2</v>
      </c>
      <c r="K495" s="10">
        <f t="shared" ref="K495" si="757">K494/J494-1</f>
        <v>-2.0000000000000018E-2</v>
      </c>
      <c r="L495" s="10">
        <f t="shared" ref="L495" si="758">L494/K494-1</f>
        <v>-2.0000000000000018E-2</v>
      </c>
      <c r="M495" s="10">
        <f t="shared" ref="M495" si="759">M494/L494-1</f>
        <v>-2.0000000000000018E-2</v>
      </c>
      <c r="N495" s="10">
        <f t="shared" ref="N495" si="760">N494/M494-1</f>
        <v>-1.9999999999999907E-2</v>
      </c>
      <c r="O495" s="10">
        <f t="shared" ref="O495" si="761">O494/N494-1</f>
        <v>-2.0000000000000018E-2</v>
      </c>
      <c r="P495" s="10">
        <f t="shared" ref="P495" si="762">P494/O494-1</f>
        <v>-2.0000000000000018E-2</v>
      </c>
      <c r="Q495" s="10">
        <f t="shared" ref="Q495" si="763">Q494/P494-1</f>
        <v>-2.0000000000000129E-2</v>
      </c>
      <c r="R495" s="1019"/>
      <c r="S495" s="10"/>
      <c r="T495" s="10"/>
      <c r="U495" s="10"/>
      <c r="V495" s="10"/>
      <c r="W495" s="10"/>
      <c r="X495" s="10"/>
      <c r="Y495" s="10"/>
      <c r="Z495" s="10"/>
      <c r="AA495" s="163"/>
      <c r="AB495" s="10"/>
      <c r="AC495" s="10"/>
      <c r="AD495" s="10"/>
      <c r="AE495" s="163"/>
      <c r="AF495" s="10"/>
      <c r="AG495" s="10"/>
      <c r="AH495" s="10"/>
      <c r="AI495" s="163"/>
      <c r="AJ495" s="10"/>
      <c r="AK495" s="10"/>
      <c r="AL495" s="482"/>
      <c r="AM495" s="428">
        <f t="shared" ref="AM495" si="764">AM494/AI494-1</f>
        <v>6.9620253164556889E-2</v>
      </c>
      <c r="AN495" s="428">
        <f t="shared" ref="AN495" si="765">AN494/AJ494-1</f>
        <v>3.2334221992202483E-2</v>
      </c>
      <c r="AO495" s="428">
        <f t="shared" ref="AO495" si="766">AO494/AK494-1</f>
        <v>4.1280153835159261E-3</v>
      </c>
      <c r="AP495" s="482"/>
    </row>
    <row r="496" spans="1:42" s="1038" customFormat="1" ht="9.75" customHeight="1" outlineLevel="1">
      <c r="A496" s="1037" t="s">
        <v>15</v>
      </c>
      <c r="B496" s="10"/>
      <c r="C496" s="10"/>
      <c r="D496" s="10"/>
      <c r="E496" s="10"/>
      <c r="F496" s="10"/>
      <c r="G496" s="10"/>
      <c r="H496" s="10"/>
      <c r="I496" s="10"/>
      <c r="J496" s="50">
        <v>-0.02</v>
      </c>
      <c r="K496" s="50">
        <v>-0.02</v>
      </c>
      <c r="L496" s="50">
        <v>-0.02</v>
      </c>
      <c r="M496" s="50">
        <v>-0.02</v>
      </c>
      <c r="N496" s="50">
        <v>-0.02</v>
      </c>
      <c r="O496" s="50">
        <v>-0.02</v>
      </c>
      <c r="P496" s="50">
        <v>-0.02</v>
      </c>
      <c r="Q496" s="50">
        <v>-0.02</v>
      </c>
      <c r="R496" s="1019"/>
      <c r="S496" s="10"/>
      <c r="T496" s="10"/>
      <c r="U496" s="10"/>
      <c r="V496" s="10"/>
      <c r="W496" s="10"/>
      <c r="X496" s="10"/>
      <c r="Y496" s="10"/>
      <c r="Z496" s="10"/>
      <c r="AA496" s="163"/>
      <c r="AB496" s="10"/>
      <c r="AC496" s="10"/>
      <c r="AD496" s="10"/>
      <c r="AE496" s="163"/>
      <c r="AF496" s="10"/>
      <c r="AG496" s="10"/>
      <c r="AH496" s="10"/>
      <c r="AI496" s="163"/>
      <c r="AJ496" s="10"/>
      <c r="AK496" s="10"/>
      <c r="AL496" s="482"/>
      <c r="AM496" s="428">
        <v>0.04</v>
      </c>
      <c r="AN496" s="539">
        <v>-0.02</v>
      </c>
      <c r="AO496" s="539">
        <v>-0.02</v>
      </c>
      <c r="AP496" s="497"/>
    </row>
    <row r="497" spans="1:42" ht="12.75" customHeight="1">
      <c r="A497" s="1045" t="s">
        <v>70</v>
      </c>
      <c r="B497" s="146">
        <f t="shared" ref="B497:H497" si="767">B488+B491</f>
        <v>2293</v>
      </c>
      <c r="C497" s="146">
        <f t="shared" si="767"/>
        <v>2414</v>
      </c>
      <c r="D497" s="146">
        <f t="shared" si="767"/>
        <v>2454</v>
      </c>
      <c r="E497" s="146">
        <f t="shared" si="767"/>
        <v>2491</v>
      </c>
      <c r="F497" s="146">
        <f t="shared" si="767"/>
        <v>2543</v>
      </c>
      <c r="G497" s="146">
        <f t="shared" si="767"/>
        <v>2301</v>
      </c>
      <c r="H497" s="146">
        <f t="shared" si="767"/>
        <v>2294</v>
      </c>
      <c r="I497" s="146">
        <f t="shared" ref="I497:Q497" si="768">I488+I491+I494</f>
        <v>3047</v>
      </c>
      <c r="J497" s="152">
        <f t="shared" si="768"/>
        <v>3243.9763227608937</v>
      </c>
      <c r="K497" s="152">
        <f t="shared" si="768"/>
        <v>3319.4289765129479</v>
      </c>
      <c r="L497" s="152">
        <f t="shared" si="768"/>
        <v>3400.3891862003252</v>
      </c>
      <c r="M497" s="152">
        <f t="shared" si="768"/>
        <v>3487.0976311548361</v>
      </c>
      <c r="N497" s="152">
        <f t="shared" si="768"/>
        <v>3579.8077186441838</v>
      </c>
      <c r="O497" s="152">
        <f t="shared" si="768"/>
        <v>3678.7862063893658</v>
      </c>
      <c r="P497" s="152">
        <f t="shared" si="768"/>
        <v>3784.3138564855476</v>
      </c>
      <c r="Q497" s="152">
        <f t="shared" si="768"/>
        <v>3896.6861222910047</v>
      </c>
      <c r="R497" s="402">
        <f>(N497/J497)^(1/($N$1-$J$1))-1</f>
        <v>2.4933070014621972E-2</v>
      </c>
      <c r="S497" s="1026"/>
      <c r="T497" s="1026"/>
      <c r="U497" s="1026"/>
      <c r="W497" s="14">
        <f t="shared" ref="W497:AH497" si="769">W488+W491</f>
        <v>626</v>
      </c>
      <c r="X497" s="14">
        <f t="shared" si="769"/>
        <v>654</v>
      </c>
      <c r="Y497" s="14">
        <f t="shared" si="769"/>
        <v>650</v>
      </c>
      <c r="Z497" s="14">
        <f t="shared" si="769"/>
        <v>613</v>
      </c>
      <c r="AA497" s="170">
        <f t="shared" si="769"/>
        <v>594</v>
      </c>
      <c r="AB497" s="146">
        <f t="shared" si="769"/>
        <v>591</v>
      </c>
      <c r="AC497" s="146">
        <f t="shared" si="769"/>
        <v>585</v>
      </c>
      <c r="AD497" s="152">
        <f t="shared" si="769"/>
        <v>531</v>
      </c>
      <c r="AE497" s="170">
        <f t="shared" si="769"/>
        <v>556</v>
      </c>
      <c r="AF497" s="146">
        <f t="shared" si="769"/>
        <v>590</v>
      </c>
      <c r="AG497" s="146">
        <f t="shared" si="769"/>
        <v>591</v>
      </c>
      <c r="AH497" s="152">
        <f t="shared" si="769"/>
        <v>557</v>
      </c>
      <c r="AI497" s="170">
        <f t="shared" ref="AI497:AP497" si="770">AI488+AI491+AI494</f>
        <v>729</v>
      </c>
      <c r="AJ497" s="146">
        <f t="shared" si="770"/>
        <v>767</v>
      </c>
      <c r="AK497" s="146">
        <f t="shared" si="770"/>
        <v>789</v>
      </c>
      <c r="AL497" s="487">
        <f t="shared" si="770"/>
        <v>762</v>
      </c>
      <c r="AM497" s="177">
        <f t="shared" si="770"/>
        <v>802</v>
      </c>
      <c r="AN497" s="152">
        <f t="shared" si="770"/>
        <v>825.42494864147966</v>
      </c>
      <c r="AO497" s="152">
        <f t="shared" si="770"/>
        <v>826.755973808985</v>
      </c>
      <c r="AP497" s="487">
        <f t="shared" si="770"/>
        <v>789.79540031042859</v>
      </c>
    </row>
    <row r="498" spans="1:42" s="1038" customFormat="1" ht="9.75" customHeight="1" outlineLevel="1">
      <c r="A498" s="1046" t="s">
        <v>14</v>
      </c>
      <c r="B498" s="148"/>
      <c r="C498" s="148">
        <f t="shared" ref="C498:H498" si="771">C497/B497-1</f>
        <v>5.2769297863061393E-2</v>
      </c>
      <c r="D498" s="148">
        <f t="shared" si="771"/>
        <v>1.6570008285004212E-2</v>
      </c>
      <c r="E498" s="148">
        <f t="shared" si="771"/>
        <v>1.5077424612876866E-2</v>
      </c>
      <c r="F498" s="148">
        <f t="shared" si="771"/>
        <v>2.0875150541951104E-2</v>
      </c>
      <c r="G498" s="148">
        <f t="shared" si="771"/>
        <v>-9.5163193079040531E-2</v>
      </c>
      <c r="H498" s="148">
        <f t="shared" si="771"/>
        <v>-3.042155584528472E-3</v>
      </c>
      <c r="I498" s="148">
        <f t="shared" ref="I498:Q498" si="772">I497/H497-1</f>
        <v>0.32824760244115092</v>
      </c>
      <c r="J498" s="148">
        <f t="shared" si="772"/>
        <v>6.4645987122052384E-2</v>
      </c>
      <c r="K498" s="148">
        <f t="shared" si="772"/>
        <v>2.3259310871861727E-2</v>
      </c>
      <c r="L498" s="148">
        <f t="shared" si="772"/>
        <v>2.4389800251857219E-2</v>
      </c>
      <c r="M498" s="148">
        <f t="shared" si="772"/>
        <v>2.5499564963444854E-2</v>
      </c>
      <c r="N498" s="148">
        <f t="shared" si="772"/>
        <v>2.6586605049725653E-2</v>
      </c>
      <c r="O498" s="148">
        <f t="shared" si="772"/>
        <v>2.7649107305313336E-2</v>
      </c>
      <c r="P498" s="148">
        <f t="shared" si="772"/>
        <v>2.8685453346785961E-2</v>
      </c>
      <c r="Q498" s="148">
        <f t="shared" si="772"/>
        <v>2.9694224651286127E-2</v>
      </c>
      <c r="R498" s="1019"/>
      <c r="S498" s="10"/>
      <c r="T498" s="10"/>
      <c r="U498" s="10"/>
      <c r="V498" s="10"/>
      <c r="W498" s="15">
        <v>3.8142620232172408E-2</v>
      </c>
      <c r="X498" s="15">
        <v>1.7107309486780631E-2</v>
      </c>
      <c r="Y498" s="15">
        <v>3.1746031746031855E-2</v>
      </c>
      <c r="Z498" s="15">
        <v>-3.2520325203252431E-3</v>
      </c>
      <c r="AA498" s="171">
        <f t="shared" ref="AA498:AH498" si="773">AA497/W497-1</f>
        <v>-5.1118210862619806E-2</v>
      </c>
      <c r="AB498" s="148">
        <f t="shared" si="773"/>
        <v>-9.6330275229357776E-2</v>
      </c>
      <c r="AC498" s="148">
        <f t="shared" si="773"/>
        <v>-9.9999999999999978E-2</v>
      </c>
      <c r="AD498" s="148">
        <f t="shared" si="773"/>
        <v>-0.13376835236541595</v>
      </c>
      <c r="AE498" s="171">
        <f t="shared" si="773"/>
        <v>-6.3973063973064015E-2</v>
      </c>
      <c r="AF498" s="148">
        <f t="shared" si="773"/>
        <v>-1.6920473773265332E-3</v>
      </c>
      <c r="AG498" s="148">
        <f t="shared" si="773"/>
        <v>1.025641025641022E-2</v>
      </c>
      <c r="AH498" s="148">
        <f t="shared" si="773"/>
        <v>4.8964218455743946E-2</v>
      </c>
      <c r="AI498" s="171">
        <f t="shared" ref="AI498:AP498" si="774">AI497/AE497-1</f>
        <v>0.31115107913669071</v>
      </c>
      <c r="AJ498" s="148">
        <f t="shared" si="774"/>
        <v>0.30000000000000004</v>
      </c>
      <c r="AK498" s="148">
        <f t="shared" si="774"/>
        <v>0.33502538071065979</v>
      </c>
      <c r="AL498" s="488">
        <f t="shared" si="774"/>
        <v>0.36804308797127461</v>
      </c>
      <c r="AM498" s="171">
        <f t="shared" si="774"/>
        <v>0.10013717421124824</v>
      </c>
      <c r="AN498" s="148">
        <f t="shared" si="774"/>
        <v>7.6173335908056972E-2</v>
      </c>
      <c r="AO498" s="148">
        <f t="shared" si="774"/>
        <v>4.7852945258536117E-2</v>
      </c>
      <c r="AP498" s="488">
        <f t="shared" si="774"/>
        <v>3.6476903294525798E-2</v>
      </c>
    </row>
    <row r="499" spans="1:42" s="1038" customFormat="1" ht="9.75" customHeight="1" outlineLevel="1">
      <c r="A499" s="1046" t="s">
        <v>15</v>
      </c>
      <c r="B499" s="148"/>
      <c r="C499" s="148">
        <v>0.01</v>
      </c>
      <c r="D499" s="148">
        <v>0.04</v>
      </c>
      <c r="E499" s="148">
        <v>0.04</v>
      </c>
      <c r="F499" s="148">
        <v>0.04</v>
      </c>
      <c r="G499" s="148">
        <v>-0.02</v>
      </c>
      <c r="H499" s="148">
        <v>0</v>
      </c>
      <c r="I499" s="148">
        <v>0.03</v>
      </c>
      <c r="J499" s="148"/>
      <c r="K499" s="148"/>
      <c r="L499" s="148"/>
      <c r="M499" s="148"/>
      <c r="N499" s="148"/>
      <c r="O499" s="148"/>
      <c r="P499" s="148"/>
      <c r="Q499" s="148"/>
      <c r="R499" s="1019"/>
      <c r="S499" s="10"/>
      <c r="T499" s="10"/>
      <c r="U499" s="10"/>
      <c r="V499" s="10"/>
      <c r="W499" s="15">
        <v>0.05</v>
      </c>
      <c r="X499" s="15">
        <v>0.01</v>
      </c>
      <c r="Y499" s="15">
        <v>0.04</v>
      </c>
      <c r="Z499" s="15">
        <v>0.04</v>
      </c>
      <c r="AA499" s="171">
        <v>0.03</v>
      </c>
      <c r="AB499" s="148">
        <v>-0.01</v>
      </c>
      <c r="AC499" s="148">
        <v>-0.01</v>
      </c>
      <c r="AD499" s="148">
        <v>-0.08</v>
      </c>
      <c r="AE499" s="171">
        <v>-0.04</v>
      </c>
      <c r="AF499" s="148">
        <v>0</v>
      </c>
      <c r="AG499" s="148">
        <v>0</v>
      </c>
      <c r="AH499" s="148">
        <v>0.05</v>
      </c>
      <c r="AI499" s="171">
        <v>0.04</v>
      </c>
      <c r="AJ499" s="148">
        <v>0.02</v>
      </c>
      <c r="AK499" s="148">
        <v>0.04</v>
      </c>
      <c r="AL499" s="488">
        <v>0.02</v>
      </c>
      <c r="AM499" s="500">
        <v>0.05</v>
      </c>
      <c r="AN499" s="500"/>
      <c r="AO499" s="500"/>
      <c r="AP499" s="488"/>
    </row>
    <row r="500" spans="1:42" s="1038" customFormat="1" ht="9.75" customHeight="1" outlineLevel="1">
      <c r="A500" s="1046" t="s">
        <v>18</v>
      </c>
      <c r="B500" s="148">
        <f t="shared" ref="B500:H500" si="775">B497/B$2</f>
        <v>4.5294721871049305E-2</v>
      </c>
      <c r="C500" s="148">
        <f t="shared" si="775"/>
        <v>4.121845439333402E-2</v>
      </c>
      <c r="D500" s="148">
        <f t="shared" si="775"/>
        <v>4.3301042824625484E-2</v>
      </c>
      <c r="E500" s="148">
        <f t="shared" si="775"/>
        <v>4.3431261441896955E-2</v>
      </c>
      <c r="F500" s="148">
        <f t="shared" si="775"/>
        <v>4.8735147566117284E-2</v>
      </c>
      <c r="G500" s="148">
        <f t="shared" si="775"/>
        <v>4.6565750596996802E-2</v>
      </c>
      <c r="H500" s="148">
        <f t="shared" si="775"/>
        <v>4.7281421328166866E-2</v>
      </c>
      <c r="I500" s="148">
        <f t="shared" ref="I500:Q500" si="776">I497/I$2</f>
        <v>6.2045653546193159E-2</v>
      </c>
      <c r="J500" s="148">
        <f t="shared" si="776"/>
        <v>6.2076332718122212E-2</v>
      </c>
      <c r="K500" s="148">
        <f t="shared" si="776"/>
        <v>6.2264935342054281E-2</v>
      </c>
      <c r="L500" s="148">
        <f t="shared" si="776"/>
        <v>6.184352885512627E-2</v>
      </c>
      <c r="M500" s="148">
        <f t="shared" si="776"/>
        <v>6.1171744472552719E-2</v>
      </c>
      <c r="N500" s="148">
        <f t="shared" si="776"/>
        <v>6.1501769720159749E-2</v>
      </c>
      <c r="O500" s="148">
        <f t="shared" si="776"/>
        <v>6.3784790413275269E-2</v>
      </c>
      <c r="P500" s="148">
        <f t="shared" si="776"/>
        <v>6.4781085084459358E-2</v>
      </c>
      <c r="Q500" s="148">
        <f t="shared" si="776"/>
        <v>6.5982422472875266E-2</v>
      </c>
      <c r="R500" s="1019"/>
      <c r="S500" s="10"/>
      <c r="T500" s="10"/>
      <c r="U500" s="10"/>
      <c r="V500" s="10"/>
      <c r="W500" s="15">
        <f t="shared" ref="W500:AB500" si="777">W497/W$2</f>
        <v>4.9032662332576173E-2</v>
      </c>
      <c r="X500" s="15">
        <f t="shared" si="777"/>
        <v>4.8999775230388849E-2</v>
      </c>
      <c r="Y500" s="15">
        <f t="shared" si="777"/>
        <v>5.0034639365714728E-2</v>
      </c>
      <c r="Z500" s="15">
        <f t="shared" si="777"/>
        <v>4.6883365200764818E-2</v>
      </c>
      <c r="AA500" s="171">
        <f t="shared" si="777"/>
        <v>4.9769585253456219E-2</v>
      </c>
      <c r="AB500" s="148">
        <f t="shared" si="777"/>
        <v>4.6557428706475501E-2</v>
      </c>
      <c r="AC500" s="148">
        <f t="shared" ref="AC500:AP500" si="778">AC497/AC$2</f>
        <v>4.7696697920913168E-2</v>
      </c>
      <c r="AD500" s="148">
        <f t="shared" si="778"/>
        <v>4.2412140575079874E-2</v>
      </c>
      <c r="AE500" s="171">
        <f t="shared" si="778"/>
        <v>4.7931034482758622E-2</v>
      </c>
      <c r="AF500" s="148">
        <f t="shared" si="778"/>
        <v>4.7313552526062549E-2</v>
      </c>
      <c r="AG500" s="148">
        <f t="shared" si="778"/>
        <v>4.8738248391885203E-2</v>
      </c>
      <c r="AH500" s="148">
        <f t="shared" si="778"/>
        <v>4.5203700697938644E-2</v>
      </c>
      <c r="AI500" s="171">
        <f t="shared" si="778"/>
        <v>6.3177051737585574E-2</v>
      </c>
      <c r="AJ500" s="148">
        <f t="shared" si="778"/>
        <v>6.2653161248162059E-2</v>
      </c>
      <c r="AK500" s="148">
        <f>AK497/AK$2</f>
        <v>6.3562137042172229E-2</v>
      </c>
      <c r="AL500" s="488">
        <f t="shared" si="778"/>
        <v>5.9001390925055026E-2</v>
      </c>
      <c r="AM500" s="171">
        <f t="shared" si="778"/>
        <v>6.3179454860564047E-2</v>
      </c>
      <c r="AN500" s="148">
        <f t="shared" si="778"/>
        <v>6.298775988805827E-2</v>
      </c>
      <c r="AO500" s="148">
        <f>AO497/AO$2</f>
        <v>6.316498872780793E-2</v>
      </c>
      <c r="AP500" s="488">
        <f t="shared" si="778"/>
        <v>5.9070005466873292E-2</v>
      </c>
    </row>
    <row r="501" spans="1:42" ht="12.75" customHeight="1">
      <c r="I501" s="107"/>
      <c r="J501" s="107"/>
      <c r="K501" s="107"/>
      <c r="L501" s="107"/>
      <c r="M501" s="107"/>
      <c r="N501" s="107"/>
      <c r="O501" s="107"/>
      <c r="P501" s="107"/>
      <c r="Q501" s="107"/>
    </row>
    <row r="502" spans="1:42" ht="12.75" customHeight="1">
      <c r="A502" s="1031" t="s">
        <v>71</v>
      </c>
      <c r="B502" s="6">
        <v>8592</v>
      </c>
      <c r="C502" s="6">
        <v>9473</v>
      </c>
      <c r="D502" s="6">
        <v>8702</v>
      </c>
      <c r="E502" s="6">
        <v>9159</v>
      </c>
      <c r="F502" s="134">
        <v>9562</v>
      </c>
      <c r="G502" s="134">
        <v>10070</v>
      </c>
      <c r="H502" s="134">
        <v>10144</v>
      </c>
      <c r="I502" s="134">
        <v>10060</v>
      </c>
      <c r="J502" s="134">
        <f t="shared" ref="J502:Q502" si="779">J518+J522</f>
        <v>10383.657422316164</v>
      </c>
      <c r="K502" s="134">
        <f t="shared" si="779"/>
        <v>10905.531828098057</v>
      </c>
      <c r="L502" s="134">
        <f t="shared" si="779"/>
        <v>11485.135402675887</v>
      </c>
      <c r="M502" s="134">
        <f t="shared" si="779"/>
        <v>11954.423347448699</v>
      </c>
      <c r="N502" s="134">
        <f t="shared" si="779"/>
        <v>12450.263318833948</v>
      </c>
      <c r="O502" s="134">
        <f t="shared" si="779"/>
        <v>12974.699216456931</v>
      </c>
      <c r="P502" s="134">
        <f t="shared" si="779"/>
        <v>13529.960990814401</v>
      </c>
      <c r="Q502" s="134">
        <f t="shared" si="779"/>
        <v>14118.482698188973</v>
      </c>
      <c r="R502" s="402">
        <f>(N502/J502)^(1/($N$1-$J$1))-1</f>
        <v>4.6422444843339905E-2</v>
      </c>
      <c r="S502" s="1026"/>
      <c r="T502" s="1026"/>
      <c r="U502" s="1026"/>
      <c r="W502" s="6">
        <v>2318</v>
      </c>
      <c r="X502" s="6">
        <v>2331</v>
      </c>
      <c r="Y502" s="6">
        <v>2401</v>
      </c>
      <c r="Z502" s="6">
        <v>2512</v>
      </c>
      <c r="AA502" s="159">
        <f t="shared" ref="AA502:AL502" si="780">AA518+AA522</f>
        <v>2444</v>
      </c>
      <c r="AB502" s="134">
        <f t="shared" si="780"/>
        <v>2530</v>
      </c>
      <c r="AC502" s="134">
        <f t="shared" si="780"/>
        <v>2542</v>
      </c>
      <c r="AD502" s="134">
        <f t="shared" si="780"/>
        <v>2554</v>
      </c>
      <c r="AE502" s="159">
        <f t="shared" si="780"/>
        <v>2445</v>
      </c>
      <c r="AF502" s="134">
        <f t="shared" si="780"/>
        <v>2577</v>
      </c>
      <c r="AG502" s="134">
        <f t="shared" si="780"/>
        <v>2517</v>
      </c>
      <c r="AH502" s="134">
        <f t="shared" si="780"/>
        <v>2605</v>
      </c>
      <c r="AI502" s="159">
        <f t="shared" si="780"/>
        <v>2430</v>
      </c>
      <c r="AJ502" s="134">
        <f t="shared" si="780"/>
        <v>2451</v>
      </c>
      <c r="AK502" s="134">
        <f>AK518+AK522</f>
        <v>2584</v>
      </c>
      <c r="AL502" s="477">
        <f t="shared" si="780"/>
        <v>2595</v>
      </c>
      <c r="AM502" s="159">
        <f t="shared" ref="AM502:AN502" si="781">AM518+AM522</f>
        <v>2517</v>
      </c>
      <c r="AN502" s="134">
        <f t="shared" si="781"/>
        <v>2557.6396370537018</v>
      </c>
      <c r="AO502" s="134">
        <f>AO518+AO522</f>
        <v>2624.5857081277386</v>
      </c>
      <c r="AP502" s="477">
        <f t="shared" ref="AP502" si="782">AP518+AP522</f>
        <v>2684.4320771347238</v>
      </c>
    </row>
    <row r="503" spans="1:42" s="1028" customFormat="1" ht="9.75" customHeight="1">
      <c r="A503" s="1032" t="s">
        <v>14</v>
      </c>
      <c r="B503" s="7"/>
      <c r="C503" s="8">
        <f t="shared" ref="C503:Q503" si="783">C502/B502-1</f>
        <v>0.10253724394785846</v>
      </c>
      <c r="D503" s="8">
        <f t="shared" si="783"/>
        <v>-8.138921144304867E-2</v>
      </c>
      <c r="E503" s="8">
        <f t="shared" si="783"/>
        <v>5.2516662836129546E-2</v>
      </c>
      <c r="F503" s="8">
        <f t="shared" si="783"/>
        <v>4.4000436728900638E-2</v>
      </c>
      <c r="G503" s="8">
        <f t="shared" si="783"/>
        <v>5.3126960886843655E-2</v>
      </c>
      <c r="H503" s="8">
        <f t="shared" si="783"/>
        <v>7.3485600794438444E-3</v>
      </c>
      <c r="I503" s="1328">
        <f>I502/H502-1</f>
        <v>-8.2807570977917466E-3</v>
      </c>
      <c r="J503" s="1328">
        <f t="shared" si="783"/>
        <v>3.2172705995642481E-2</v>
      </c>
      <c r="K503" s="1328">
        <f t="shared" si="783"/>
        <v>5.0259208731241456E-2</v>
      </c>
      <c r="L503" s="1328">
        <f t="shared" si="783"/>
        <v>5.3147667047698022E-2</v>
      </c>
      <c r="M503" s="1328">
        <f t="shared" si="783"/>
        <v>4.0860462529982433E-2</v>
      </c>
      <c r="N503" s="1328">
        <f t="shared" si="783"/>
        <v>4.1477531535728085E-2</v>
      </c>
      <c r="O503" s="1328">
        <f t="shared" si="783"/>
        <v>4.2122474376076191E-2</v>
      </c>
      <c r="P503" s="1328">
        <f t="shared" si="783"/>
        <v>4.2795733842768691E-2</v>
      </c>
      <c r="Q503" s="1328">
        <f t="shared" si="783"/>
        <v>4.3497664758540333E-2</v>
      </c>
      <c r="R503" s="1341"/>
      <c r="S503" s="1340"/>
      <c r="T503" s="1340"/>
      <c r="U503" s="1340"/>
      <c r="V503" s="1340"/>
      <c r="W503" s="1328">
        <v>2.6117751217352714E-2</v>
      </c>
      <c r="X503" s="1328">
        <v>5.1895306859205848E-2</v>
      </c>
      <c r="Y503" s="1328">
        <v>5.6313242410910735E-2</v>
      </c>
      <c r="Z503" s="1328">
        <v>4.1891331397760245E-2</v>
      </c>
      <c r="AA503" s="1329">
        <f t="shared" ref="AA503:AH503" si="784">AA502/W502-1</f>
        <v>5.4357204486626509E-2</v>
      </c>
      <c r="AB503" s="1328">
        <f t="shared" si="784"/>
        <v>8.5371085371085398E-2</v>
      </c>
      <c r="AC503" s="1328">
        <f t="shared" si="784"/>
        <v>5.8725531028738009E-2</v>
      </c>
      <c r="AD503" s="1328">
        <f t="shared" si="784"/>
        <v>1.671974522292996E-2</v>
      </c>
      <c r="AE503" s="1329">
        <f t="shared" si="784"/>
        <v>4.0916530278223284E-4</v>
      </c>
      <c r="AF503" s="1328">
        <f t="shared" si="784"/>
        <v>1.8577075098814122E-2</v>
      </c>
      <c r="AG503" s="1328">
        <f t="shared" si="784"/>
        <v>-9.834775767112558E-3</v>
      </c>
      <c r="AH503" s="1328">
        <f t="shared" si="784"/>
        <v>1.9968676585747858E-2</v>
      </c>
      <c r="AI503" s="1329">
        <f t="shared" ref="AI503:AP503" si="785">AI502/AE502-1</f>
        <v>-6.1349693251533388E-3</v>
      </c>
      <c r="AJ503" s="1328">
        <f t="shared" si="785"/>
        <v>-4.8894062863795162E-2</v>
      </c>
      <c r="AK503" s="1328">
        <f t="shared" si="785"/>
        <v>2.6618990862137482E-2</v>
      </c>
      <c r="AL503" s="1330">
        <f t="shared" si="785"/>
        <v>-3.8387715930902067E-3</v>
      </c>
      <c r="AM503" s="1329">
        <f t="shared" si="785"/>
        <v>3.5802469135802539E-2</v>
      </c>
      <c r="AN503" s="1328">
        <f t="shared" si="785"/>
        <v>4.3508623848919514E-2</v>
      </c>
      <c r="AO503" s="1328">
        <f>AO502/AK502-1</f>
        <v>1.5706543393087635E-2</v>
      </c>
      <c r="AP503" s="1330">
        <f t="shared" si="785"/>
        <v>3.4463228182937788E-2</v>
      </c>
    </row>
    <row r="504" spans="1:42" s="1028" customFormat="1" ht="9.75" customHeight="1">
      <c r="A504" s="1032" t="s">
        <v>15</v>
      </c>
      <c r="B504" s="7"/>
      <c r="C504" s="8">
        <v>-7.0000000000000007E-2</v>
      </c>
      <c r="D504" s="8">
        <v>-0.04</v>
      </c>
      <c r="E504" s="8">
        <v>0.05</v>
      </c>
      <c r="F504" s="8">
        <v>7.0000000000000007E-2</v>
      </c>
      <c r="G504" s="8">
        <v>7.0000000000000007E-2</v>
      </c>
      <c r="H504" s="8">
        <v>0.02</v>
      </c>
      <c r="I504" s="1328">
        <v>-0.02</v>
      </c>
      <c r="J504" s="1328">
        <f t="shared" ref="J504:Q504" si="786">J503-J505</f>
        <v>-1.2619425624538397E-2</v>
      </c>
      <c r="K504" s="1328">
        <f t="shared" si="786"/>
        <v>5.0259208731241456E-2</v>
      </c>
      <c r="L504" s="1328">
        <f t="shared" si="786"/>
        <v>5.3147667047698022E-2</v>
      </c>
      <c r="M504" s="1328">
        <f t="shared" si="786"/>
        <v>4.0860462529982433E-2</v>
      </c>
      <c r="N504" s="1328">
        <f t="shared" si="786"/>
        <v>4.1477531535728085E-2</v>
      </c>
      <c r="O504" s="1328">
        <f t="shared" si="786"/>
        <v>4.2122474376076191E-2</v>
      </c>
      <c r="P504" s="1328">
        <f t="shared" si="786"/>
        <v>4.2795733842768691E-2</v>
      </c>
      <c r="Q504" s="1328">
        <f t="shared" si="786"/>
        <v>4.3497664758540333E-2</v>
      </c>
      <c r="R504" s="1341"/>
      <c r="S504" s="1340"/>
      <c r="T504" s="1340"/>
      <c r="U504" s="1340"/>
      <c r="V504" s="1340"/>
      <c r="W504" s="1328">
        <v>0.04</v>
      </c>
      <c r="X504" s="1328">
        <v>0.04</v>
      </c>
      <c r="Y504" s="1328">
        <v>7.0000000000000007E-2</v>
      </c>
      <c r="Z504" s="1328">
        <v>0.11</v>
      </c>
      <c r="AA504" s="1329">
        <v>0.09</v>
      </c>
      <c r="AB504" s="1328">
        <v>0.11</v>
      </c>
      <c r="AC504" s="1328">
        <v>0.09</v>
      </c>
      <c r="AD504" s="1328">
        <v>0</v>
      </c>
      <c r="AE504" s="1329">
        <v>0.04</v>
      </c>
      <c r="AF504" s="1328">
        <v>0.03</v>
      </c>
      <c r="AG504" s="1328">
        <v>-0.01</v>
      </c>
      <c r="AH504" s="1328">
        <v>0.03</v>
      </c>
      <c r="AI504" s="1329">
        <v>0.01</v>
      </c>
      <c r="AJ504" s="1328">
        <v>-0.04</v>
      </c>
      <c r="AK504" s="1328">
        <v>0.01</v>
      </c>
      <c r="AL504" s="1330">
        <v>-0.04</v>
      </c>
      <c r="AM504" s="1328">
        <v>-0.04</v>
      </c>
      <c r="AN504" s="1328">
        <f>AN503-AN505</f>
        <v>-9.8936434900628312E-3</v>
      </c>
      <c r="AO504" s="1328">
        <f>AO503-AO505</f>
        <v>-8.9138804676428922E-3</v>
      </c>
      <c r="AP504" s="1328">
        <f>AP503-AP505</f>
        <v>9.1198620377296938E-3</v>
      </c>
    </row>
    <row r="505" spans="1:42" s="1028" customFormat="1" ht="9.75" customHeight="1">
      <c r="A505" s="1032" t="s">
        <v>494</v>
      </c>
      <c r="B505" s="8"/>
      <c r="C505" s="8"/>
      <c r="D505" s="8"/>
      <c r="E505" s="8"/>
      <c r="F505" s="8"/>
      <c r="G505" s="8">
        <f>G503-G504</f>
        <v>-1.6873039113156352E-2</v>
      </c>
      <c r="H505" s="8">
        <f>H503-H504</f>
        <v>-1.2651439920556156E-2</v>
      </c>
      <c r="I505" s="1327">
        <f>I503-I504</f>
        <v>1.1719242902208254E-2</v>
      </c>
      <c r="J505" s="1357">
        <f>AVERAGE(AM505:AP505)</f>
        <v>4.4792131620180878E-2</v>
      </c>
      <c r="K505" s="1327"/>
      <c r="L505" s="1327"/>
      <c r="M505" s="1327"/>
      <c r="N505" s="1327"/>
      <c r="O505" s="1327"/>
      <c r="P505" s="1327"/>
      <c r="Q505" s="1327"/>
      <c r="R505" s="1020"/>
      <c r="S505" s="4"/>
      <c r="T505" s="4"/>
      <c r="U505" s="4"/>
      <c r="V505" s="4"/>
      <c r="W505" s="8"/>
      <c r="X505" s="8"/>
      <c r="Y505" s="8"/>
      <c r="Z505" s="8"/>
      <c r="AA505" s="160"/>
      <c r="AB505" s="8"/>
      <c r="AC505" s="8"/>
      <c r="AD505" s="8"/>
      <c r="AE505" s="160">
        <f>AE503-AE504</f>
        <v>-3.9590834697217768E-2</v>
      </c>
      <c r="AF505" s="8">
        <f>AF503-AF504</f>
        <v>-1.1422924901185877E-2</v>
      </c>
      <c r="AG505" s="8">
        <f>AG503-AG504</f>
        <v>1.6522423288744224E-4</v>
      </c>
      <c r="AH505" s="8">
        <f>AH503-AH504</f>
        <v>-1.0031323414252141E-2</v>
      </c>
      <c r="AI505" s="160">
        <f>AI503-AI504</f>
        <v>-1.6134969325153341E-2</v>
      </c>
      <c r="AJ505" s="8">
        <f t="shared" ref="AJ505:AL505" si="787">AJ503-AJ504</f>
        <v>-8.8940628637951616E-3</v>
      </c>
      <c r="AK505" s="8">
        <f t="shared" si="787"/>
        <v>1.661899086213748E-2</v>
      </c>
      <c r="AL505" s="478">
        <f t="shared" si="787"/>
        <v>3.6161228406909794E-2</v>
      </c>
      <c r="AM505" s="160">
        <f>AM503-AM504</f>
        <v>7.5802469135802547E-2</v>
      </c>
      <c r="AN505" s="1355">
        <f>AN5</f>
        <v>5.3402267338982345E-2</v>
      </c>
      <c r="AO505" s="1355">
        <f>AO5</f>
        <v>2.4620423860730527E-2</v>
      </c>
      <c r="AP505" s="1356">
        <f>AP5</f>
        <v>2.5343366145208095E-2</v>
      </c>
    </row>
    <row r="506" spans="1:42" s="1028" customFormat="1" ht="9.75" customHeight="1">
      <c r="A506" s="1032" t="s">
        <v>18</v>
      </c>
      <c r="B506" s="8">
        <f>B502/B$2</f>
        <v>0.16972187104930467</v>
      </c>
      <c r="C506" s="8">
        <f t="shared" ref="C506:Q506" si="788">C502/C$2</f>
        <v>0.16174913772495988</v>
      </c>
      <c r="D506" s="8">
        <f t="shared" si="788"/>
        <v>0.15354754468618212</v>
      </c>
      <c r="E506" s="8">
        <f t="shared" si="788"/>
        <v>0.15968965216633249</v>
      </c>
      <c r="F506" s="8">
        <f t="shared" si="788"/>
        <v>0.18325028746646224</v>
      </c>
      <c r="G506" s="8">
        <f t="shared" si="788"/>
        <v>0.20378840004856924</v>
      </c>
      <c r="H506" s="8">
        <f t="shared" si="788"/>
        <v>0.20907704357145801</v>
      </c>
      <c r="I506" s="8">
        <f t="shared" si="788"/>
        <v>0.20485043474719503</v>
      </c>
      <c r="J506" s="8">
        <f t="shared" si="788"/>
        <v>0.19870039385185981</v>
      </c>
      <c r="K506" s="8">
        <f t="shared" si="788"/>
        <v>0.20456296518221104</v>
      </c>
      <c r="L506" s="8">
        <f t="shared" si="788"/>
        <v>0.20888235545593636</v>
      </c>
      <c r="M506" s="8">
        <f t="shared" si="788"/>
        <v>0.20970818935306712</v>
      </c>
      <c r="N506" s="8">
        <f t="shared" si="788"/>
        <v>0.21389786484964715</v>
      </c>
      <c r="O506" s="8">
        <f t="shared" si="788"/>
        <v>0.22496237176262793</v>
      </c>
      <c r="P506" s="8">
        <f t="shared" si="788"/>
        <v>0.23161016431902048</v>
      </c>
      <c r="Q506" s="8">
        <f t="shared" si="788"/>
        <v>0.23906767464251893</v>
      </c>
      <c r="R506" s="1020"/>
      <c r="S506" s="4"/>
      <c r="T506" s="4"/>
      <c r="U506" s="4"/>
      <c r="V506" s="4"/>
      <c r="W506" s="8">
        <f t="shared" ref="W506:AB506" si="789">W502/W$2</f>
        <v>0.18156183911647217</v>
      </c>
      <c r="X506" s="8">
        <f t="shared" si="789"/>
        <v>0.17464598786244101</v>
      </c>
      <c r="Y506" s="8">
        <f t="shared" si="789"/>
        <v>0.18482026018012471</v>
      </c>
      <c r="Z506" s="8">
        <f t="shared" si="789"/>
        <v>0.19212237093690249</v>
      </c>
      <c r="AA506" s="160">
        <f t="shared" si="789"/>
        <v>0.20477586929199831</v>
      </c>
      <c r="AB506" s="8">
        <f t="shared" si="789"/>
        <v>0.19930675909878684</v>
      </c>
      <c r="AC506" s="8">
        <f t="shared" ref="AC506:AP506" si="790">AC502/AC$2</f>
        <v>0.2072564207093355</v>
      </c>
      <c r="AD506" s="8">
        <f t="shared" si="790"/>
        <v>0.20399361022364218</v>
      </c>
      <c r="AE506" s="160">
        <f t="shared" si="790"/>
        <v>0.21077586206896551</v>
      </c>
      <c r="AF506" s="8">
        <f t="shared" si="790"/>
        <v>0.20665597433841218</v>
      </c>
      <c r="AG506" s="8">
        <f t="shared" si="790"/>
        <v>0.20757050964868876</v>
      </c>
      <c r="AH506" s="8">
        <f t="shared" si="790"/>
        <v>0.21141048531082615</v>
      </c>
      <c r="AI506" s="160">
        <f t="shared" si="790"/>
        <v>0.21059017245861861</v>
      </c>
      <c r="AJ506" s="8">
        <f t="shared" si="790"/>
        <v>0.20021238359745139</v>
      </c>
      <c r="AK506" s="8">
        <f t="shared" si="790"/>
        <v>0.20816801282252606</v>
      </c>
      <c r="AL506" s="478">
        <f t="shared" si="790"/>
        <v>0.20092993366209685</v>
      </c>
      <c r="AM506" s="160">
        <f t="shared" si="790"/>
        <v>0.19828265322199465</v>
      </c>
      <c r="AN506" s="8">
        <f t="shared" si="790"/>
        <v>0.19517218567728592</v>
      </c>
      <c r="AO506" s="8">
        <f t="shared" si="790"/>
        <v>0.20052099037793822</v>
      </c>
      <c r="AP506" s="478">
        <f t="shared" si="790"/>
        <v>0.20077277913934743</v>
      </c>
    </row>
    <row r="507" spans="1:42" s="1033" customFormat="1" ht="12.75" hidden="1" customHeight="1" outlineLevel="1">
      <c r="A507" s="1033" t="s">
        <v>74</v>
      </c>
      <c r="B507" s="9"/>
      <c r="C507" s="9">
        <v>4445</v>
      </c>
      <c r="D507" s="9">
        <v>4225</v>
      </c>
      <c r="E507" s="9">
        <v>4596</v>
      </c>
      <c r="F507" s="9">
        <v>4573</v>
      </c>
      <c r="G507" s="9">
        <v>3925</v>
      </c>
      <c r="H507" s="9">
        <v>4354</v>
      </c>
      <c r="I507" s="9">
        <v>4633</v>
      </c>
      <c r="J507" s="144"/>
      <c r="K507" s="144"/>
      <c r="L507" s="144"/>
      <c r="M507" s="144"/>
      <c r="N507" s="144"/>
      <c r="O507" s="144"/>
      <c r="P507" s="144"/>
      <c r="Q507" s="144"/>
      <c r="R507" s="1020"/>
      <c r="S507" s="4"/>
      <c r="T507" s="4"/>
      <c r="U507" s="4"/>
      <c r="V507" s="4"/>
      <c r="W507" s="9">
        <v>1172</v>
      </c>
      <c r="X507" s="9">
        <v>1173</v>
      </c>
      <c r="Y507" s="9">
        <v>1117</v>
      </c>
      <c r="Z507" s="9">
        <v>1111</v>
      </c>
      <c r="AA507" s="161">
        <v>1087</v>
      </c>
      <c r="AB507" s="9">
        <v>1051</v>
      </c>
      <c r="AC507" s="9">
        <v>975</v>
      </c>
      <c r="AD507" s="9">
        <f>G507-AC507-AB507-AA507</f>
        <v>812</v>
      </c>
      <c r="AE507" s="161">
        <v>1076</v>
      </c>
      <c r="AF507" s="9">
        <v>1078</v>
      </c>
      <c r="AG507" s="9">
        <v>1087</v>
      </c>
      <c r="AH507" s="9">
        <f>H507-AE507-AF507-AG507</f>
        <v>1113</v>
      </c>
      <c r="AI507" s="161">
        <v>1069</v>
      </c>
      <c r="AJ507" s="9">
        <v>1078</v>
      </c>
      <c r="AK507" s="9">
        <v>1233</v>
      </c>
      <c r="AL507" s="479">
        <f>I507-AI507-AJ507-AK507</f>
        <v>1253</v>
      </c>
      <c r="AM507" s="161">
        <v>1292</v>
      </c>
      <c r="AN507" s="549"/>
      <c r="AO507" s="549"/>
      <c r="AP507" s="493"/>
    </row>
    <row r="508" spans="1:42" s="1035" customFormat="1" ht="9.75" hidden="1" customHeight="1" outlineLevel="1">
      <c r="A508" s="1034" t="s">
        <v>14</v>
      </c>
      <c r="B508" s="51"/>
      <c r="C508" s="52"/>
      <c r="D508" s="52">
        <f t="shared" ref="D508:I508" si="791">D507/C507-1</f>
        <v>-4.9493813273340792E-2</v>
      </c>
      <c r="E508" s="52">
        <f t="shared" si="791"/>
        <v>8.7810650887574004E-2</v>
      </c>
      <c r="F508" s="52">
        <f t="shared" si="791"/>
        <v>-5.0043516100957142E-3</v>
      </c>
      <c r="G508" s="52">
        <f t="shared" si="791"/>
        <v>-0.14170129018150013</v>
      </c>
      <c r="H508" s="52">
        <f t="shared" si="791"/>
        <v>0.10929936305732491</v>
      </c>
      <c r="I508" s="52">
        <f t="shared" si="791"/>
        <v>6.4079007808911292E-2</v>
      </c>
      <c r="J508" s="52"/>
      <c r="K508" s="52"/>
      <c r="L508" s="52"/>
      <c r="M508" s="52"/>
      <c r="N508" s="52"/>
      <c r="O508" s="52"/>
      <c r="P508" s="52"/>
      <c r="Q508" s="52"/>
      <c r="R508" s="1018"/>
      <c r="S508" s="5"/>
      <c r="T508" s="5"/>
      <c r="U508" s="5"/>
      <c r="V508" s="5"/>
      <c r="W508" s="52">
        <v>1.736111111111116E-2</v>
      </c>
      <c r="X508" s="52">
        <v>5.6756756756756843E-2</v>
      </c>
      <c r="Y508" s="52">
        <v>-8.8731144631766234E-3</v>
      </c>
      <c r="Z508" s="52">
        <v>-7.9536039768019928E-2</v>
      </c>
      <c r="AA508" s="162">
        <f t="shared" ref="AA508:AM508" si="792">AA507/W507-1</f>
        <v>-7.2525597269624598E-2</v>
      </c>
      <c r="AB508" s="52">
        <f t="shared" si="792"/>
        <v>-0.10400682011935214</v>
      </c>
      <c r="AC508" s="52">
        <f t="shared" si="792"/>
        <v>-0.12712623097582809</v>
      </c>
      <c r="AD508" s="52">
        <f t="shared" si="792"/>
        <v>-0.26912691269126909</v>
      </c>
      <c r="AE508" s="162">
        <f t="shared" si="792"/>
        <v>-1.0119595216191324E-2</v>
      </c>
      <c r="AF508" s="52">
        <f t="shared" si="792"/>
        <v>2.5689819219790744E-2</v>
      </c>
      <c r="AG508" s="52">
        <f t="shared" si="792"/>
        <v>0.11487179487179477</v>
      </c>
      <c r="AH508" s="52">
        <f t="shared" si="792"/>
        <v>0.3706896551724137</v>
      </c>
      <c r="AI508" s="162">
        <f t="shared" si="792"/>
        <v>-6.5055762081784874E-3</v>
      </c>
      <c r="AJ508" s="52">
        <f t="shared" si="792"/>
        <v>0</v>
      </c>
      <c r="AK508" s="52">
        <f t="shared" si="792"/>
        <v>0.13431462741490341</v>
      </c>
      <c r="AL508" s="494">
        <f t="shared" si="792"/>
        <v>0.12578616352201255</v>
      </c>
      <c r="AM508" s="162">
        <f t="shared" si="792"/>
        <v>0.20860617399438719</v>
      </c>
      <c r="AN508" s="550"/>
      <c r="AO508" s="550"/>
      <c r="AP508" s="494"/>
    </row>
    <row r="509" spans="1:42" s="1035" customFormat="1" ht="9.75" hidden="1" customHeight="1" outlineLevel="1">
      <c r="A509" s="1034" t="s">
        <v>15</v>
      </c>
      <c r="B509" s="51"/>
      <c r="C509" s="52">
        <v>-0.01</v>
      </c>
      <c r="D509" s="52">
        <v>0.02</v>
      </c>
      <c r="E509" s="52">
        <v>7.0000000000000007E-2</v>
      </c>
      <c r="F509" s="52">
        <v>0.02</v>
      </c>
      <c r="G509" s="52">
        <v>0.05</v>
      </c>
      <c r="H509" s="52">
        <v>0.04</v>
      </c>
      <c r="I509" s="52">
        <v>0.04</v>
      </c>
      <c r="J509" s="145"/>
      <c r="K509" s="145"/>
      <c r="L509" s="145"/>
      <c r="M509" s="145"/>
      <c r="N509" s="145"/>
      <c r="O509" s="145"/>
      <c r="P509" s="145"/>
      <c r="Q509" s="145"/>
      <c r="R509" s="1018"/>
      <c r="S509" s="5"/>
      <c r="T509" s="5"/>
      <c r="U509" s="5"/>
      <c r="V509" s="5"/>
      <c r="W509" s="52">
        <v>0.01</v>
      </c>
      <c r="X509" s="52">
        <v>0.03</v>
      </c>
      <c r="Y509" s="52">
        <v>0.01</v>
      </c>
      <c r="Z509" s="52">
        <v>0.03</v>
      </c>
      <c r="AA509" s="162">
        <v>0.06</v>
      </c>
      <c r="AB509" s="52">
        <v>0.02</v>
      </c>
      <c r="AC509" s="52">
        <v>0.06</v>
      </c>
      <c r="AD509" s="52">
        <v>0.03</v>
      </c>
      <c r="AE509" s="162">
        <v>0.03</v>
      </c>
      <c r="AF509" s="52">
        <v>0.04</v>
      </c>
      <c r="AG509" s="52">
        <v>0.04</v>
      </c>
      <c r="AH509" s="52">
        <v>0.06</v>
      </c>
      <c r="AI509" s="162">
        <v>0.02</v>
      </c>
      <c r="AJ509" s="52">
        <v>0.04</v>
      </c>
      <c r="AK509" s="52">
        <v>0.43</v>
      </c>
      <c r="AL509" s="494">
        <v>0.03</v>
      </c>
      <c r="AM509" s="162">
        <v>7.0000000000000007E-2</v>
      </c>
      <c r="AN509" s="551"/>
      <c r="AO509" s="551"/>
      <c r="AP509" s="501"/>
    </row>
    <row r="510" spans="1:42" s="1033" customFormat="1" ht="12.75" hidden="1" customHeight="1" outlineLevel="1">
      <c r="A510" s="1033" t="s">
        <v>72</v>
      </c>
      <c r="B510" s="9"/>
      <c r="C510" s="9">
        <v>3300</v>
      </c>
      <c r="D510" s="9">
        <v>2786</v>
      </c>
      <c r="E510" s="9">
        <v>2821</v>
      </c>
      <c r="F510" s="9">
        <v>3215</v>
      </c>
      <c r="G510" s="9">
        <v>3525</v>
      </c>
      <c r="H510" s="9">
        <v>3708</v>
      </c>
      <c r="I510" s="9">
        <v>3278</v>
      </c>
      <c r="J510" s="144"/>
      <c r="K510" s="144"/>
      <c r="L510" s="144"/>
      <c r="M510" s="144"/>
      <c r="N510" s="144"/>
      <c r="O510" s="144"/>
      <c r="P510" s="144"/>
      <c r="Q510" s="144"/>
      <c r="R510" s="1020"/>
      <c r="S510" s="4"/>
      <c r="T510" s="4"/>
      <c r="U510" s="4"/>
      <c r="V510" s="4"/>
      <c r="W510" s="9">
        <v>717</v>
      </c>
      <c r="X510" s="9">
        <v>717</v>
      </c>
      <c r="Y510" s="9">
        <v>846</v>
      </c>
      <c r="Z510" s="9">
        <v>935</v>
      </c>
      <c r="AA510" s="161">
        <v>847</v>
      </c>
      <c r="AB510" s="9">
        <v>923</v>
      </c>
      <c r="AC510" s="9">
        <v>921</v>
      </c>
      <c r="AD510" s="9">
        <f>G510-AC510-AB510-AA510</f>
        <v>834</v>
      </c>
      <c r="AE510" s="161">
        <v>865</v>
      </c>
      <c r="AF510" s="9">
        <v>965</v>
      </c>
      <c r="AG510" s="9">
        <v>917</v>
      </c>
      <c r="AH510" s="9">
        <f>H510-AE510-AF510-AG510</f>
        <v>961</v>
      </c>
      <c r="AI510" s="161">
        <v>864</v>
      </c>
      <c r="AJ510" s="9">
        <v>965</v>
      </c>
      <c r="AK510" s="9">
        <v>798</v>
      </c>
      <c r="AL510" s="479">
        <f>I510-AI510-AJ510-AK510</f>
        <v>651</v>
      </c>
      <c r="AM510" s="161">
        <v>708</v>
      </c>
      <c r="AN510" s="549"/>
      <c r="AO510" s="549"/>
      <c r="AP510" s="493"/>
    </row>
    <row r="511" spans="1:42" s="1035" customFormat="1" ht="9.75" hidden="1" customHeight="1" outlineLevel="1">
      <c r="A511" s="1034" t="s">
        <v>14</v>
      </c>
      <c r="B511" s="51"/>
      <c r="C511" s="52"/>
      <c r="D511" s="52">
        <f t="shared" ref="D511:I511" si="793">D510/C510-1</f>
        <v>-0.15575757575757576</v>
      </c>
      <c r="E511" s="52">
        <f t="shared" si="793"/>
        <v>1.2562814070351758E-2</v>
      </c>
      <c r="F511" s="52">
        <f t="shared" si="793"/>
        <v>0.13966678482807504</v>
      </c>
      <c r="G511" s="52">
        <f t="shared" si="793"/>
        <v>9.6423017107309494E-2</v>
      </c>
      <c r="H511" s="52">
        <f t="shared" si="793"/>
        <v>5.1914893617021285E-2</v>
      </c>
      <c r="I511" s="52">
        <f t="shared" si="793"/>
        <v>-0.11596548004314999</v>
      </c>
      <c r="J511" s="145"/>
      <c r="K511" s="145"/>
      <c r="L511" s="145"/>
      <c r="M511" s="145"/>
      <c r="N511" s="145"/>
      <c r="O511" s="145"/>
      <c r="P511" s="145"/>
      <c r="Q511" s="145"/>
      <c r="R511" s="1018"/>
      <c r="S511" s="5"/>
      <c r="T511" s="5"/>
      <c r="U511" s="5"/>
      <c r="V511" s="5"/>
      <c r="W511" s="52">
        <v>3.0172413793103425E-2</v>
      </c>
      <c r="X511" s="52">
        <v>7.0149253731343286E-2</v>
      </c>
      <c r="Y511" s="52">
        <v>0.17827298050139273</v>
      </c>
      <c r="Z511" s="52">
        <v>0.26865671641791056</v>
      </c>
      <c r="AA511" s="162">
        <f t="shared" ref="AA511:AM511" si="794">AA510/W510-1</f>
        <v>0.18131101813110173</v>
      </c>
      <c r="AB511" s="52">
        <f t="shared" si="794"/>
        <v>0.28730822873082285</v>
      </c>
      <c r="AC511" s="52">
        <f t="shared" si="794"/>
        <v>8.8652482269503619E-2</v>
      </c>
      <c r="AD511" s="52">
        <f t="shared" si="794"/>
        <v>-0.10802139037433156</v>
      </c>
      <c r="AE511" s="162">
        <f t="shared" si="794"/>
        <v>2.125147579693043E-2</v>
      </c>
      <c r="AF511" s="52">
        <f t="shared" si="794"/>
        <v>4.5503791982665298E-2</v>
      </c>
      <c r="AG511" s="52">
        <f t="shared" si="794"/>
        <v>-4.3431053203040193E-3</v>
      </c>
      <c r="AH511" s="52">
        <f t="shared" si="794"/>
        <v>0.15227817745803351</v>
      </c>
      <c r="AI511" s="162">
        <f t="shared" si="794"/>
        <v>-1.1560693641619046E-3</v>
      </c>
      <c r="AJ511" s="52">
        <f t="shared" si="794"/>
        <v>0</v>
      </c>
      <c r="AK511" s="52">
        <f t="shared" si="794"/>
        <v>-0.12977099236641221</v>
      </c>
      <c r="AL511" s="494">
        <f t="shared" si="794"/>
        <v>-0.32258064516129037</v>
      </c>
      <c r="AM511" s="162">
        <f t="shared" si="794"/>
        <v>-0.18055555555555558</v>
      </c>
      <c r="AN511" s="551"/>
      <c r="AO511" s="551"/>
      <c r="AP511" s="501"/>
    </row>
    <row r="512" spans="1:42" s="1033" customFormat="1" ht="12.75" hidden="1" customHeight="1" outlineLevel="1">
      <c r="A512" s="1033" t="s">
        <v>303</v>
      </c>
      <c r="B512" s="9"/>
      <c r="C512" s="9">
        <v>1064</v>
      </c>
      <c r="D512" s="9">
        <v>1057</v>
      </c>
      <c r="E512" s="9">
        <v>1139</v>
      </c>
      <c r="F512" s="9">
        <v>1168</v>
      </c>
      <c r="G512" s="9">
        <v>1150</v>
      </c>
      <c r="H512" s="9">
        <v>1418</v>
      </c>
      <c r="I512" s="9">
        <v>1391</v>
      </c>
      <c r="J512" s="144"/>
      <c r="K512" s="144"/>
      <c r="L512" s="144"/>
      <c r="M512" s="144"/>
      <c r="N512" s="144"/>
      <c r="O512" s="144"/>
      <c r="P512" s="144"/>
      <c r="Q512" s="144"/>
      <c r="R512" s="1020"/>
      <c r="S512" s="4"/>
      <c r="T512" s="4"/>
      <c r="U512" s="4"/>
      <c r="V512" s="4"/>
      <c r="W512" s="9">
        <v>283</v>
      </c>
      <c r="X512" s="9">
        <v>292</v>
      </c>
      <c r="Y512" s="9">
        <v>285</v>
      </c>
      <c r="Z512" s="9">
        <v>308</v>
      </c>
      <c r="AA512" s="161">
        <v>353</v>
      </c>
      <c r="AB512" s="9">
        <v>378</v>
      </c>
      <c r="AC512" s="9">
        <v>289</v>
      </c>
      <c r="AD512" s="9">
        <f>G512-AC512-AB512-AA512</f>
        <v>130</v>
      </c>
      <c r="AE512" s="161">
        <v>353</v>
      </c>
      <c r="AF512" s="9">
        <v>360</v>
      </c>
      <c r="AG512" s="9">
        <v>341</v>
      </c>
      <c r="AH512" s="9">
        <f>H512-AE512-AF512-AG512</f>
        <v>364</v>
      </c>
      <c r="AI512" s="161">
        <v>320</v>
      </c>
      <c r="AJ512" s="9">
        <v>360</v>
      </c>
      <c r="AK512" s="9">
        <v>354</v>
      </c>
      <c r="AL512" s="479">
        <f>I512-AI512-AJ512-AK512</f>
        <v>357</v>
      </c>
      <c r="AM512" s="161">
        <v>323</v>
      </c>
      <c r="AN512" s="549"/>
      <c r="AO512" s="549"/>
      <c r="AP512" s="493"/>
    </row>
    <row r="513" spans="1:42" s="1035" customFormat="1" ht="9.75" hidden="1" customHeight="1" outlineLevel="1">
      <c r="A513" s="1034" t="s">
        <v>14</v>
      </c>
      <c r="B513" s="51"/>
      <c r="C513" s="52"/>
      <c r="D513" s="52">
        <f t="shared" ref="D513:I513" si="795">D512/C512-1</f>
        <v>-6.5789473684210176E-3</v>
      </c>
      <c r="E513" s="52">
        <f t="shared" si="795"/>
        <v>7.7578051087984878E-2</v>
      </c>
      <c r="F513" s="52">
        <f t="shared" si="795"/>
        <v>2.5460930640913038E-2</v>
      </c>
      <c r="G513" s="52">
        <f t="shared" si="795"/>
        <v>-1.5410958904109595E-2</v>
      </c>
      <c r="H513" s="52">
        <f t="shared" si="795"/>
        <v>0.23304347826086946</v>
      </c>
      <c r="I513" s="52">
        <f t="shared" si="795"/>
        <v>-1.9040902679830718E-2</v>
      </c>
      <c r="J513" s="52"/>
      <c r="K513" s="52"/>
      <c r="L513" s="52"/>
      <c r="M513" s="52"/>
      <c r="N513" s="52"/>
      <c r="O513" s="52"/>
      <c r="P513" s="52"/>
      <c r="Q513" s="52"/>
      <c r="R513" s="1018"/>
      <c r="S513" s="5"/>
      <c r="T513" s="5"/>
      <c r="U513" s="5"/>
      <c r="V513" s="5"/>
      <c r="W513" s="52">
        <v>6.3909774436090139E-2</v>
      </c>
      <c r="X513" s="52">
        <v>5.4151624548736566E-2</v>
      </c>
      <c r="Y513" s="52">
        <v>1.7857142857142794E-2</v>
      </c>
      <c r="Z513" s="52">
        <v>-2.5316455696202556E-2</v>
      </c>
      <c r="AA513" s="162">
        <f t="shared" ref="AA513:AM513" si="796">AA512/W512-1</f>
        <v>0.24734982332155475</v>
      </c>
      <c r="AB513" s="52">
        <f t="shared" si="796"/>
        <v>0.29452054794520555</v>
      </c>
      <c r="AC513" s="52">
        <f t="shared" si="796"/>
        <v>1.4035087719298289E-2</v>
      </c>
      <c r="AD513" s="52">
        <f t="shared" si="796"/>
        <v>-0.57792207792207795</v>
      </c>
      <c r="AE513" s="162">
        <f t="shared" si="796"/>
        <v>0</v>
      </c>
      <c r="AF513" s="52">
        <f t="shared" si="796"/>
        <v>-4.7619047619047672E-2</v>
      </c>
      <c r="AG513" s="52">
        <f t="shared" si="796"/>
        <v>0.17993079584775096</v>
      </c>
      <c r="AH513" s="52">
        <f t="shared" si="796"/>
        <v>1.7999999999999998</v>
      </c>
      <c r="AI513" s="162">
        <f t="shared" si="796"/>
        <v>-9.3484419263456076E-2</v>
      </c>
      <c r="AJ513" s="52">
        <f t="shared" si="796"/>
        <v>0</v>
      </c>
      <c r="AK513" s="52">
        <f t="shared" si="796"/>
        <v>3.8123167155425186E-2</v>
      </c>
      <c r="AL513" s="494">
        <f t="shared" si="796"/>
        <v>-1.9230769230769273E-2</v>
      </c>
      <c r="AM513" s="162">
        <f t="shared" si="796"/>
        <v>9.3749999999999112E-3</v>
      </c>
      <c r="AN513" s="550"/>
      <c r="AO513" s="550"/>
      <c r="AP513" s="494"/>
    </row>
    <row r="514" spans="1:42" s="1035" customFormat="1" ht="9.75" hidden="1" customHeight="1" outlineLevel="1">
      <c r="A514" s="1034" t="s">
        <v>15</v>
      </c>
      <c r="B514" s="51"/>
      <c r="C514" s="52">
        <v>-0.02</v>
      </c>
      <c r="D514" s="52">
        <v>0.03</v>
      </c>
      <c r="E514" s="52">
        <v>0.13</v>
      </c>
      <c r="F514" s="52">
        <v>0.06</v>
      </c>
      <c r="G514" s="52">
        <v>7.0000000000000007E-2</v>
      </c>
      <c r="H514" s="52">
        <v>-0.03</v>
      </c>
      <c r="I514" s="52">
        <v>0.01</v>
      </c>
      <c r="J514" s="145"/>
      <c r="K514" s="145"/>
      <c r="L514" s="145"/>
      <c r="M514" s="145"/>
      <c r="N514" s="145"/>
      <c r="O514" s="145"/>
      <c r="P514" s="145"/>
      <c r="Q514" s="145"/>
      <c r="R514" s="1018"/>
      <c r="S514" s="5"/>
      <c r="T514" s="5"/>
      <c r="U514" s="5"/>
      <c r="V514" s="5"/>
      <c r="W514" s="52">
        <v>0.11</v>
      </c>
      <c r="X514" s="52">
        <v>7.0000000000000007E-2</v>
      </c>
      <c r="Y514" s="52">
        <v>0.03</v>
      </c>
      <c r="Z514" s="52">
        <v>0.02</v>
      </c>
      <c r="AA514" s="162">
        <v>0.05</v>
      </c>
      <c r="AB514" s="52">
        <v>0.12</v>
      </c>
      <c r="AC514" s="52">
        <v>0.13</v>
      </c>
      <c r="AD514" s="52">
        <v>0</v>
      </c>
      <c r="AE514" s="162">
        <v>0.05</v>
      </c>
      <c r="AF514" s="52">
        <v>-0.03</v>
      </c>
      <c r="AG514" s="52">
        <v>-0.08</v>
      </c>
      <c r="AH514" s="52">
        <v>-0.04</v>
      </c>
      <c r="AI514" s="162">
        <v>-0.05</v>
      </c>
      <c r="AJ514" s="52">
        <v>-0.03</v>
      </c>
      <c r="AK514" s="52">
        <v>0.14000000000000001</v>
      </c>
      <c r="AL514" s="494">
        <v>0.04</v>
      </c>
      <c r="AM514" s="162">
        <v>-0.04</v>
      </c>
      <c r="AN514" s="551"/>
      <c r="AO514" s="551"/>
      <c r="AP514" s="501"/>
    </row>
    <row r="515" spans="1:42" s="1033" customFormat="1" ht="12.75" hidden="1" customHeight="1" outlineLevel="1">
      <c r="A515" s="1033" t="s">
        <v>75</v>
      </c>
      <c r="B515" s="9"/>
      <c r="C515" s="9">
        <v>664</v>
      </c>
      <c r="D515" s="9">
        <v>634</v>
      </c>
      <c r="E515" s="9">
        <v>603</v>
      </c>
      <c r="F515" s="9">
        <v>606</v>
      </c>
      <c r="G515" s="9">
        <v>557</v>
      </c>
      <c r="H515" s="9">
        <v>664</v>
      </c>
      <c r="I515" s="9">
        <v>758</v>
      </c>
      <c r="J515" s="144"/>
      <c r="K515" s="144"/>
      <c r="L515" s="144"/>
      <c r="M515" s="144"/>
      <c r="N515" s="144"/>
      <c r="O515" s="144"/>
      <c r="P515" s="144"/>
      <c r="Q515" s="144"/>
      <c r="R515" s="1020"/>
      <c r="S515" s="4"/>
      <c r="T515" s="4"/>
      <c r="U515" s="4"/>
      <c r="V515" s="4"/>
      <c r="W515" s="9">
        <v>146</v>
      </c>
      <c r="X515" s="9">
        <v>149</v>
      </c>
      <c r="Y515" s="9">
        <v>153</v>
      </c>
      <c r="Z515" s="9">
        <v>158</v>
      </c>
      <c r="AA515" s="161">
        <v>157</v>
      </c>
      <c r="AB515" s="9">
        <v>178</v>
      </c>
      <c r="AC515" s="9">
        <v>141</v>
      </c>
      <c r="AD515" s="9">
        <f>G515-AC515-AB515-AA515</f>
        <v>81</v>
      </c>
      <c r="AE515" s="161">
        <v>151</v>
      </c>
      <c r="AF515" s="9">
        <v>174</v>
      </c>
      <c r="AG515" s="9">
        <v>172</v>
      </c>
      <c r="AH515" s="9">
        <f>H515-AE515-AF515-AG515</f>
        <v>167</v>
      </c>
      <c r="AI515" s="161">
        <v>177</v>
      </c>
      <c r="AJ515" s="9">
        <v>174</v>
      </c>
      <c r="AK515" s="9">
        <v>199</v>
      </c>
      <c r="AL515" s="479">
        <f>I515-AI515-AJ515-AK515</f>
        <v>208</v>
      </c>
      <c r="AM515" s="161">
        <v>194</v>
      </c>
      <c r="AN515" s="549"/>
      <c r="AO515" s="549"/>
      <c r="AP515" s="493"/>
    </row>
    <row r="516" spans="1:42" s="1035" customFormat="1" ht="9.75" hidden="1" customHeight="1" outlineLevel="1">
      <c r="A516" s="1034" t="s">
        <v>14</v>
      </c>
      <c r="B516" s="51"/>
      <c r="C516" s="52"/>
      <c r="D516" s="52">
        <f t="shared" ref="D516:I516" si="797">D515/C515-1</f>
        <v>-4.5180722891566272E-2</v>
      </c>
      <c r="E516" s="52">
        <f t="shared" si="797"/>
        <v>-4.8895899053627789E-2</v>
      </c>
      <c r="F516" s="52">
        <f t="shared" si="797"/>
        <v>4.9751243781095411E-3</v>
      </c>
      <c r="G516" s="52">
        <f t="shared" si="797"/>
        <v>-8.0858085808580893E-2</v>
      </c>
      <c r="H516" s="52">
        <f t="shared" si="797"/>
        <v>0.19210053859964082</v>
      </c>
      <c r="I516" s="52">
        <f t="shared" si="797"/>
        <v>0.14156626506024095</v>
      </c>
      <c r="J516" s="52"/>
      <c r="K516" s="52"/>
      <c r="L516" s="52"/>
      <c r="M516" s="52"/>
      <c r="N516" s="52"/>
      <c r="O516" s="52"/>
      <c r="P516" s="52"/>
      <c r="Q516" s="52"/>
      <c r="R516" s="1018"/>
      <c r="S516" s="5"/>
      <c r="T516" s="5"/>
      <c r="U516" s="5"/>
      <c r="V516" s="5"/>
      <c r="W516" s="52">
        <v>6.8965517241379448E-3</v>
      </c>
      <c r="X516" s="52">
        <v>-6.2893081761006275E-2</v>
      </c>
      <c r="Y516" s="52">
        <v>3.3783783783783772E-2</v>
      </c>
      <c r="Z516" s="52">
        <v>4.635761589403975E-2</v>
      </c>
      <c r="AA516" s="162">
        <f t="shared" ref="AA516:AM516" si="798">AA515/W515-1</f>
        <v>7.5342465753424737E-2</v>
      </c>
      <c r="AB516" s="52">
        <f t="shared" si="798"/>
        <v>0.19463087248322153</v>
      </c>
      <c r="AC516" s="52">
        <f t="shared" si="798"/>
        <v>-7.8431372549019662E-2</v>
      </c>
      <c r="AD516" s="52">
        <f t="shared" si="798"/>
        <v>-0.48734177215189878</v>
      </c>
      <c r="AE516" s="162">
        <f t="shared" si="798"/>
        <v>-3.8216560509554132E-2</v>
      </c>
      <c r="AF516" s="52">
        <f t="shared" si="798"/>
        <v>-2.2471910112359605E-2</v>
      </c>
      <c r="AG516" s="52">
        <f t="shared" si="798"/>
        <v>0.21985815602836878</v>
      </c>
      <c r="AH516" s="52">
        <f t="shared" si="798"/>
        <v>1.0617283950617282</v>
      </c>
      <c r="AI516" s="162">
        <f t="shared" si="798"/>
        <v>0.17218543046357615</v>
      </c>
      <c r="AJ516" s="52">
        <f t="shared" si="798"/>
        <v>0</v>
      </c>
      <c r="AK516" s="52">
        <f t="shared" si="798"/>
        <v>0.15697674418604657</v>
      </c>
      <c r="AL516" s="494">
        <f t="shared" si="798"/>
        <v>0.24550898203592819</v>
      </c>
      <c r="AM516" s="162">
        <f t="shared" si="798"/>
        <v>9.6045197740112886E-2</v>
      </c>
      <c r="AN516" s="550"/>
      <c r="AO516" s="550"/>
      <c r="AP516" s="494"/>
    </row>
    <row r="517" spans="1:42" s="1035" customFormat="1" ht="9.75" hidden="1" customHeight="1" outlineLevel="1">
      <c r="A517" s="1034" t="s">
        <v>15</v>
      </c>
      <c r="B517" s="51"/>
      <c r="C517" s="52">
        <v>-0.13</v>
      </c>
      <c r="D517" s="52">
        <v>0</v>
      </c>
      <c r="E517" s="52">
        <v>0.01</v>
      </c>
      <c r="F517" s="52">
        <v>0.08</v>
      </c>
      <c r="G517" s="52">
        <v>0.11</v>
      </c>
      <c r="H517" s="52">
        <v>0.09</v>
      </c>
      <c r="I517" s="52">
        <v>0.12</v>
      </c>
      <c r="J517" s="145"/>
      <c r="K517" s="145"/>
      <c r="L517" s="145"/>
      <c r="M517" s="145"/>
      <c r="N517" s="145"/>
      <c r="O517" s="145"/>
      <c r="P517" s="145"/>
      <c r="Q517" s="145"/>
      <c r="R517" s="1018"/>
      <c r="S517" s="5"/>
      <c r="T517" s="5"/>
      <c r="U517" s="5"/>
      <c r="V517" s="5"/>
      <c r="W517" s="52">
        <v>0.13</v>
      </c>
      <c r="X517" s="52">
        <v>-0.01</v>
      </c>
      <c r="Y517" s="52">
        <v>0.06</v>
      </c>
      <c r="Z517" s="52">
        <v>0.16</v>
      </c>
      <c r="AA517" s="162">
        <v>0.06</v>
      </c>
      <c r="AB517" s="52">
        <v>0.16</v>
      </c>
      <c r="AC517" s="52">
        <v>0.15</v>
      </c>
      <c r="AD517" s="52">
        <v>0.06</v>
      </c>
      <c r="AE517" s="162">
        <v>0.15</v>
      </c>
      <c r="AF517" s="52">
        <v>0.08</v>
      </c>
      <c r="AG517" s="52">
        <v>0.08</v>
      </c>
      <c r="AH517" s="52">
        <v>0.05</v>
      </c>
      <c r="AI517" s="162">
        <v>0.09</v>
      </c>
      <c r="AJ517" s="52">
        <v>0.14000000000000001</v>
      </c>
      <c r="AK517" s="52">
        <v>7.0000000000000007E-2</v>
      </c>
      <c r="AL517" s="494">
        <v>0.09</v>
      </c>
      <c r="AM517" s="162">
        <v>0.08</v>
      </c>
      <c r="AN517" s="551"/>
      <c r="AO517" s="551"/>
      <c r="AP517" s="501"/>
    </row>
    <row r="518" spans="1:42" ht="12.75" customHeight="1" collapsed="1">
      <c r="A518" s="1025" t="s">
        <v>1838</v>
      </c>
      <c r="E518" s="4">
        <v>420</v>
      </c>
      <c r="F518" s="4">
        <v>514</v>
      </c>
      <c r="G518" s="4">
        <v>772</v>
      </c>
      <c r="H518" s="4">
        <v>1002</v>
      </c>
      <c r="I518" s="107">
        <v>1100</v>
      </c>
      <c r="J518" s="107">
        <f t="shared" ref="J518:Q518" si="799">I518*(1+J520)*(1+J$32)</f>
        <v>1237.4393124259293</v>
      </c>
      <c r="K518" s="107">
        <f t="shared" si="799"/>
        <v>1484.9271749111151</v>
      </c>
      <c r="L518" s="107">
        <f t="shared" si="799"/>
        <v>1781.9126098933382</v>
      </c>
      <c r="M518" s="107">
        <f t="shared" si="799"/>
        <v>1960.1038708826723</v>
      </c>
      <c r="N518" s="107">
        <f t="shared" si="799"/>
        <v>2156.1142579709394</v>
      </c>
      <c r="O518" s="107">
        <f t="shared" si="799"/>
        <v>2371.7256837680334</v>
      </c>
      <c r="P518" s="107">
        <f t="shared" si="799"/>
        <v>2608.898252144837</v>
      </c>
      <c r="Q518" s="107">
        <f t="shared" si="799"/>
        <v>2869.7880773593211</v>
      </c>
      <c r="R518" s="402">
        <f>(N518/J518)^(1/($N$1-$J$1))-1</f>
        <v>0.14891252930760568</v>
      </c>
      <c r="S518" s="1026"/>
      <c r="T518" s="1026"/>
      <c r="U518" s="1026"/>
      <c r="W518" s="153">
        <v>117</v>
      </c>
      <c r="X518" s="153">
        <v>128</v>
      </c>
      <c r="Y518" s="153">
        <v>137</v>
      </c>
      <c r="Z518" s="4">
        <v>132</v>
      </c>
      <c r="AA518" s="174">
        <v>122</v>
      </c>
      <c r="AB518" s="153">
        <v>222</v>
      </c>
      <c r="AC518" s="153">
        <v>186</v>
      </c>
      <c r="AD518" s="107">
        <f>G518-AC518-AB518-AA518</f>
        <v>242</v>
      </c>
      <c r="AE518" s="174">
        <v>214</v>
      </c>
      <c r="AF518" s="153">
        <v>249</v>
      </c>
      <c r="AG518" s="153">
        <v>262</v>
      </c>
      <c r="AH518" s="107">
        <f>H518-AE518-AF518-AG518</f>
        <v>277</v>
      </c>
      <c r="AI518" s="174">
        <v>274</v>
      </c>
      <c r="AJ518" s="153">
        <v>260</v>
      </c>
      <c r="AK518" s="107">
        <v>292</v>
      </c>
      <c r="AL518" s="481">
        <f>I518-AI518-AJ518-AK518</f>
        <v>274</v>
      </c>
      <c r="AM518" s="396">
        <v>335</v>
      </c>
      <c r="AN518" s="396">
        <f>AJ518*(1+AN520)*(1+AN$32)</f>
        <v>295.79535666878621</v>
      </c>
      <c r="AO518" s="396">
        <f>AK518*(1+AO520)*(1+AO$32)</f>
        <v>323.12429686872002</v>
      </c>
      <c r="AP518" s="481">
        <f>J518-AM518-AN518-AO518</f>
        <v>283.51965888842307</v>
      </c>
    </row>
    <row r="519" spans="1:42" ht="12.75" hidden="1" customHeight="1" outlineLevel="1">
      <c r="A519" s="1037" t="s">
        <v>14</v>
      </c>
      <c r="F519" s="10">
        <f t="shared" ref="F519:Q519" si="800">F518/E518-1</f>
        <v>0.2238095238095239</v>
      </c>
      <c r="G519" s="10">
        <f t="shared" si="800"/>
        <v>0.50194552529182879</v>
      </c>
      <c r="H519" s="10">
        <f t="shared" si="800"/>
        <v>0.29792746113989632</v>
      </c>
      <c r="I519" s="10">
        <f t="shared" si="800"/>
        <v>9.780439121756479E-2</v>
      </c>
      <c r="J519" s="10">
        <f t="shared" si="800"/>
        <v>0.12494482947811747</v>
      </c>
      <c r="K519" s="10">
        <f t="shared" si="800"/>
        <v>0.19999999999999996</v>
      </c>
      <c r="L519" s="10">
        <f t="shared" si="800"/>
        <v>0.19999999999999996</v>
      </c>
      <c r="M519" s="10">
        <f t="shared" si="800"/>
        <v>0.10000000000000009</v>
      </c>
      <c r="N519" s="10">
        <f t="shared" si="800"/>
        <v>9.9999999999999867E-2</v>
      </c>
      <c r="O519" s="10">
        <f t="shared" si="800"/>
        <v>0.10000000000000009</v>
      </c>
      <c r="P519" s="10">
        <f t="shared" si="800"/>
        <v>0.10000000000000009</v>
      </c>
      <c r="Q519" s="10">
        <f t="shared" si="800"/>
        <v>0.10000000000000009</v>
      </c>
      <c r="AA519" s="163">
        <f t="shared" ref="AA519:AH519" si="801">AA518/W518-1</f>
        <v>4.2735042735042805E-2</v>
      </c>
      <c r="AB519" s="10">
        <f t="shared" si="801"/>
        <v>0.734375</v>
      </c>
      <c r="AC519" s="10">
        <f t="shared" si="801"/>
        <v>0.35766423357664223</v>
      </c>
      <c r="AD519" s="10">
        <f t="shared" si="801"/>
        <v>0.83333333333333326</v>
      </c>
      <c r="AE519" s="163">
        <f t="shared" si="801"/>
        <v>0.75409836065573765</v>
      </c>
      <c r="AF519" s="10">
        <f t="shared" si="801"/>
        <v>0.12162162162162171</v>
      </c>
      <c r="AG519" s="10">
        <f t="shared" si="801"/>
        <v>0.40860215053763449</v>
      </c>
      <c r="AH519" s="10">
        <f t="shared" si="801"/>
        <v>0.14462809917355379</v>
      </c>
      <c r="AI519" s="163">
        <f>AI518/AE518-1</f>
        <v>0.28037383177570097</v>
      </c>
      <c r="AJ519" s="10">
        <f>AJ518/AF518-1</f>
        <v>4.4176706827309342E-2</v>
      </c>
      <c r="AK519" s="10">
        <f>AK518/AG518-1</f>
        <v>0.11450381679389321</v>
      </c>
      <c r="AL519" s="482">
        <f>AL518/AH518-1</f>
        <v>-1.0830324909747335E-2</v>
      </c>
      <c r="AM519" s="428">
        <f t="shared" ref="AM519" si="802">AM518/AI518-1</f>
        <v>0.22262773722627727</v>
      </c>
      <c r="AN519" s="428">
        <f t="shared" ref="AN519" si="803">AN518/AJ518-1</f>
        <v>0.1376744487261008</v>
      </c>
      <c r="AO519" s="428">
        <f t="shared" ref="AO519" si="804">AO518/AK518-1</f>
        <v>0.10659005776958907</v>
      </c>
      <c r="AP519" s="482">
        <f>AP518/AL518-1</f>
        <v>3.4743280614682792E-2</v>
      </c>
    </row>
    <row r="520" spans="1:42" ht="12.75" hidden="1" customHeight="1" outlineLevel="1">
      <c r="A520" s="1037" t="s">
        <v>15</v>
      </c>
      <c r="G520" s="10">
        <v>0.39</v>
      </c>
      <c r="H520" s="10"/>
      <c r="I520" s="10">
        <v>0.12</v>
      </c>
      <c r="J520" s="50">
        <v>0.08</v>
      </c>
      <c r="K520" s="50">
        <v>0.2</v>
      </c>
      <c r="L520" s="50">
        <v>0.2</v>
      </c>
      <c r="M520" s="50">
        <v>0.1</v>
      </c>
      <c r="N520" s="50">
        <v>0.1</v>
      </c>
      <c r="O520" s="50">
        <v>0.1</v>
      </c>
      <c r="P520" s="50">
        <v>0.1</v>
      </c>
      <c r="Q520" s="50">
        <v>0.1</v>
      </c>
      <c r="AA520" s="163">
        <v>0.19</v>
      </c>
      <c r="AB520" s="10">
        <v>0.56999999999999995</v>
      </c>
      <c r="AC520" s="10">
        <v>0.28000000000000003</v>
      </c>
      <c r="AD520" s="10">
        <v>0.41</v>
      </c>
      <c r="AE520" s="163">
        <v>0.5</v>
      </c>
      <c r="AF520" s="10">
        <v>0.11</v>
      </c>
      <c r="AG520" s="10">
        <v>0.41</v>
      </c>
      <c r="AH520" s="10">
        <v>0.28000000000000003</v>
      </c>
      <c r="AI520" s="163">
        <v>0.3</v>
      </c>
      <c r="AJ520" s="10">
        <v>0.06</v>
      </c>
      <c r="AK520" s="10">
        <v>0.09</v>
      </c>
      <c r="AL520" s="482">
        <v>0.06</v>
      </c>
      <c r="AM520" s="428">
        <v>0.13</v>
      </c>
      <c r="AN520" s="539">
        <v>0.08</v>
      </c>
      <c r="AO520" s="539">
        <v>0.08</v>
      </c>
      <c r="AP520" s="497"/>
    </row>
    <row r="521" spans="1:42" ht="12.75" hidden="1" customHeight="1" outlineLevel="1">
      <c r="A521" s="1037" t="s">
        <v>1837</v>
      </c>
      <c r="G521" s="10"/>
      <c r="H521" s="10"/>
      <c r="I521" s="10">
        <f t="shared" ref="I521:Q521" si="805">I518/I502</f>
        <v>0.10934393638170974</v>
      </c>
      <c r="J521" s="10">
        <f t="shared" si="805"/>
        <v>0.11917181606612633</v>
      </c>
      <c r="K521" s="10">
        <f t="shared" si="805"/>
        <v>0.13616274733940131</v>
      </c>
      <c r="L521" s="10">
        <f t="shared" si="805"/>
        <v>0.15514946471403165</v>
      </c>
      <c r="M521" s="10">
        <f t="shared" si="805"/>
        <v>0.16396473622468755</v>
      </c>
      <c r="N521" s="10">
        <f t="shared" si="805"/>
        <v>0.17317820537251691</v>
      </c>
      <c r="O521" s="10">
        <f t="shared" si="805"/>
        <v>0.1827961977538384</v>
      </c>
      <c r="P521" s="10">
        <f t="shared" si="805"/>
        <v>0.19282378226485936</v>
      </c>
      <c r="Q521" s="10">
        <f t="shared" si="805"/>
        <v>0.20326462401851714</v>
      </c>
      <c r="AA521" s="163"/>
      <c r="AB521" s="10"/>
      <c r="AC521" s="10"/>
      <c r="AD521" s="10"/>
      <c r="AE521" s="163"/>
      <c r="AF521" s="10"/>
      <c r="AG521" s="10"/>
      <c r="AH521" s="10"/>
      <c r="AI521" s="163"/>
      <c r="AJ521" s="10"/>
      <c r="AK521" s="10"/>
      <c r="AL521" s="482"/>
      <c r="AM521" s="539"/>
      <c r="AN521" s="539"/>
      <c r="AO521" s="539"/>
      <c r="AP521" s="497"/>
    </row>
    <row r="522" spans="1:42" ht="12.75" customHeight="1" collapsed="1">
      <c r="A522" s="1025" t="s">
        <v>478</v>
      </c>
      <c r="E522" s="107">
        <v>8739</v>
      </c>
      <c r="F522" s="107">
        <v>9048</v>
      </c>
      <c r="G522" s="107">
        <f>G502-G518</f>
        <v>9298</v>
      </c>
      <c r="H522" s="107">
        <f>H502-H518</f>
        <v>9142</v>
      </c>
      <c r="I522" s="107">
        <f>I502-I518</f>
        <v>8960</v>
      </c>
      <c r="J522" s="107">
        <f t="shared" ref="J522:Q522" si="806">I522*(1+J524)*(1+J$32)</f>
        <v>9146.2181098902347</v>
      </c>
      <c r="K522" s="107">
        <f t="shared" si="806"/>
        <v>9420.6046531869415</v>
      </c>
      <c r="L522" s="107">
        <f t="shared" si="806"/>
        <v>9703.2227927825497</v>
      </c>
      <c r="M522" s="107">
        <f t="shared" si="806"/>
        <v>9994.3194765660264</v>
      </c>
      <c r="N522" s="107">
        <f t="shared" si="806"/>
        <v>10294.149060863008</v>
      </c>
      <c r="O522" s="107">
        <f t="shared" si="806"/>
        <v>10602.973532688899</v>
      </c>
      <c r="P522" s="107">
        <f t="shared" si="806"/>
        <v>10921.062738669565</v>
      </c>
      <c r="Q522" s="107">
        <f t="shared" si="806"/>
        <v>11248.694620829652</v>
      </c>
      <c r="R522" s="402">
        <f>(N522/J522)^(1/($N$1-$J$1))-1</f>
        <v>3.0000000000000027E-2</v>
      </c>
      <c r="S522" s="1026"/>
      <c r="T522" s="1026"/>
      <c r="U522" s="1026"/>
      <c r="W522" s="4">
        <v>2201</v>
      </c>
      <c r="X522" s="4">
        <v>2203</v>
      </c>
      <c r="Y522" s="4">
        <v>2264</v>
      </c>
      <c r="Z522" s="4">
        <v>2380</v>
      </c>
      <c r="AA522" s="166">
        <f>2115+207</f>
        <v>2322</v>
      </c>
      <c r="AB522" s="107">
        <f>2066+242</f>
        <v>2308</v>
      </c>
      <c r="AC522" s="107">
        <f>2140+216</f>
        <v>2356</v>
      </c>
      <c r="AD522" s="107">
        <f>G522-AC522-AB522-AA522</f>
        <v>2312</v>
      </c>
      <c r="AE522" s="166">
        <f>2445-AE518</f>
        <v>2231</v>
      </c>
      <c r="AF522" s="396">
        <f>2577-AF518</f>
        <v>2328</v>
      </c>
      <c r="AG522" s="396">
        <f>2517-AG518</f>
        <v>2255</v>
      </c>
      <c r="AH522" s="107">
        <f>H522-AE522-AF522-AG522</f>
        <v>2328</v>
      </c>
      <c r="AI522" s="166">
        <f>2430-AI518</f>
        <v>2156</v>
      </c>
      <c r="AJ522" s="396">
        <f>2451-AJ518</f>
        <v>2191</v>
      </c>
      <c r="AK522" s="396">
        <f>2584-AK518</f>
        <v>2292</v>
      </c>
      <c r="AL522" s="481">
        <f>I522-AI522-AJ522-AK522</f>
        <v>2321</v>
      </c>
      <c r="AM522" s="396">
        <f>2517-AM518</f>
        <v>2182</v>
      </c>
      <c r="AN522" s="396">
        <f>AJ522*(1+AN524)*(1+AN$32)</f>
        <v>2261.8442803849157</v>
      </c>
      <c r="AO522" s="396">
        <f>AK522*(1+AO524)*(1+AO$32)</f>
        <v>2301.4614112590184</v>
      </c>
      <c r="AP522" s="481">
        <f>J522-AM522-AN522-AO522</f>
        <v>2400.9124182463006</v>
      </c>
    </row>
    <row r="523" spans="1:42" ht="12.75" hidden="1" customHeight="1" outlineLevel="1">
      <c r="A523" s="1037" t="s">
        <v>14</v>
      </c>
      <c r="F523" s="10">
        <f t="shared" ref="F523:Q523" si="807">F522/E522-1</f>
        <v>3.5358736697562732E-2</v>
      </c>
      <c r="G523" s="10">
        <f t="shared" si="807"/>
        <v>2.7630415561449961E-2</v>
      </c>
      <c r="H523" s="10">
        <f t="shared" si="807"/>
        <v>-1.6777801677780202E-2</v>
      </c>
      <c r="I523" s="10">
        <f t="shared" si="807"/>
        <v>-1.9908116385911168E-2</v>
      </c>
      <c r="J523" s="10">
        <f t="shared" si="807"/>
        <v>2.0783271193106634E-2</v>
      </c>
      <c r="K523" s="10">
        <f t="shared" si="807"/>
        <v>3.0000000000000027E-2</v>
      </c>
      <c r="L523" s="10">
        <f t="shared" si="807"/>
        <v>3.0000000000000027E-2</v>
      </c>
      <c r="M523" s="10">
        <f t="shared" si="807"/>
        <v>3.0000000000000027E-2</v>
      </c>
      <c r="N523" s="10">
        <f t="shared" si="807"/>
        <v>3.0000000000000027E-2</v>
      </c>
      <c r="O523" s="10">
        <f t="shared" si="807"/>
        <v>3.0000000000000027E-2</v>
      </c>
      <c r="P523" s="10">
        <f t="shared" si="807"/>
        <v>3.0000000000000027E-2</v>
      </c>
      <c r="Q523" s="10">
        <f t="shared" si="807"/>
        <v>3.0000000000000027E-2</v>
      </c>
      <c r="AA523" s="163">
        <f t="shared" ref="AA523:AK523" si="808">AA522/W522-1</f>
        <v>5.4975011358473491E-2</v>
      </c>
      <c r="AB523" s="10">
        <f t="shared" si="808"/>
        <v>4.7662278710848938E-2</v>
      </c>
      <c r="AC523" s="10">
        <f t="shared" si="808"/>
        <v>4.0636042402826922E-2</v>
      </c>
      <c r="AD523" s="10">
        <f t="shared" si="808"/>
        <v>-2.8571428571428581E-2</v>
      </c>
      <c r="AE523" s="163">
        <f t="shared" si="808"/>
        <v>-3.9190353143841561E-2</v>
      </c>
      <c r="AF523" s="10">
        <f t="shared" si="808"/>
        <v>8.6655112651645716E-3</v>
      </c>
      <c r="AG523" s="10">
        <f t="shared" si="808"/>
        <v>-4.2869269949066258E-2</v>
      </c>
      <c r="AH523" s="10">
        <f t="shared" si="808"/>
        <v>6.9204152249136008E-3</v>
      </c>
      <c r="AI523" s="163">
        <f t="shared" si="808"/>
        <v>-3.3617212012550413E-2</v>
      </c>
      <c r="AJ523" s="428">
        <f t="shared" si="808"/>
        <v>-5.884879725085912E-2</v>
      </c>
      <c r="AK523" s="428">
        <f t="shared" si="808"/>
        <v>1.6407982261640752E-2</v>
      </c>
      <c r="AL523" s="482">
        <f>AL522/AH522-1</f>
        <v>-3.0068728522336663E-3</v>
      </c>
      <c r="AM523" s="428">
        <f t="shared" ref="AM523" si="809">AM522/AI522-1</f>
        <v>1.2059369202226389E-2</v>
      </c>
      <c r="AN523" s="428">
        <f t="shared" ref="AN523" si="810">AN522/AJ522-1</f>
        <v>3.2334221992202483E-2</v>
      </c>
      <c r="AO523" s="428">
        <f t="shared" ref="AO523" si="811">AO522/AK522-1</f>
        <v>4.1280153835159261E-3</v>
      </c>
      <c r="AP523" s="482">
        <f>AP522/AL522-1</f>
        <v>3.4430167275441903E-2</v>
      </c>
    </row>
    <row r="524" spans="1:42" ht="12.75" hidden="1" customHeight="1" outlineLevel="1">
      <c r="A524" s="1037" t="s">
        <v>15</v>
      </c>
      <c r="I524" s="50"/>
      <c r="J524" s="50">
        <v>-0.02</v>
      </c>
      <c r="K524" s="50">
        <v>0.03</v>
      </c>
      <c r="L524" s="50">
        <v>0.03</v>
      </c>
      <c r="M524" s="50">
        <v>0.03</v>
      </c>
      <c r="N524" s="50">
        <v>0.03</v>
      </c>
      <c r="O524" s="50">
        <v>0.03</v>
      </c>
      <c r="P524" s="50">
        <v>0.03</v>
      </c>
      <c r="Q524" s="50">
        <v>0.03</v>
      </c>
      <c r="AA524" s="163">
        <f>AA523-AA$32</f>
        <v>5.4975011358473491E-2</v>
      </c>
      <c r="AB524" s="10">
        <f>AB523-AB$32</f>
        <v>4.7662278710848938E-2</v>
      </c>
      <c r="AC524" s="10">
        <f>AC523-AC$32</f>
        <v>4.0636042402826922E-2</v>
      </c>
      <c r="AD524" s="10">
        <f>AD523-AD$32</f>
        <v>-2.8571428571428581E-2</v>
      </c>
      <c r="AE524" s="163">
        <v>0.02</v>
      </c>
      <c r="AF524" s="10">
        <v>0.02</v>
      </c>
      <c r="AG524" s="10">
        <v>0.02</v>
      </c>
      <c r="AH524" s="10"/>
      <c r="AI524" s="163"/>
      <c r="AJ524" s="10"/>
      <c r="AK524" s="10"/>
      <c r="AL524" s="482"/>
      <c r="AM524" s="539"/>
      <c r="AN524" s="539">
        <v>-0.02</v>
      </c>
      <c r="AO524" s="539">
        <v>-0.02</v>
      </c>
      <c r="AP524" s="497"/>
    </row>
    <row r="525" spans="1:42" ht="12.75" customHeight="1" collapsed="1">
      <c r="A525" s="1037" t="s">
        <v>1837</v>
      </c>
      <c r="I525" s="10">
        <f t="shared" ref="I525:Q525" si="812">I522/I502</f>
        <v>0.89065606361829031</v>
      </c>
      <c r="J525" s="10">
        <f t="shared" si="812"/>
        <v>0.88082818393387363</v>
      </c>
      <c r="K525" s="10">
        <f t="shared" si="812"/>
        <v>0.86383725266059863</v>
      </c>
      <c r="L525" s="10">
        <f t="shared" si="812"/>
        <v>0.84485053528596843</v>
      </c>
      <c r="M525" s="10">
        <f t="shared" si="812"/>
        <v>0.83603526377531245</v>
      </c>
      <c r="N525" s="10">
        <f t="shared" si="812"/>
        <v>0.82682179462748306</v>
      </c>
      <c r="O525" s="10">
        <f t="shared" si="812"/>
        <v>0.81720380224616163</v>
      </c>
      <c r="P525" s="10">
        <f t="shared" si="812"/>
        <v>0.8071762177351407</v>
      </c>
      <c r="Q525" s="10">
        <f t="shared" si="812"/>
        <v>0.79673537598148292</v>
      </c>
    </row>
    <row r="526" spans="1:42" ht="12.75" customHeight="1">
      <c r="A526" s="1037"/>
      <c r="I526" s="10"/>
      <c r="J526" s="10"/>
      <c r="K526" s="10"/>
      <c r="L526" s="10"/>
      <c r="M526" s="10"/>
      <c r="N526" s="10"/>
      <c r="O526" s="10"/>
      <c r="P526" s="10"/>
      <c r="Q526" s="10"/>
    </row>
    <row r="527" spans="1:42" ht="12.75" customHeight="1">
      <c r="A527" s="1040" t="s">
        <v>300</v>
      </c>
    </row>
    <row r="528" spans="1:42" ht="12.75" customHeight="1">
      <c r="A528" s="1053" t="s">
        <v>301</v>
      </c>
      <c r="B528" s="149">
        <v>2918</v>
      </c>
      <c r="C528" s="149">
        <v>1996</v>
      </c>
      <c r="D528" s="149">
        <v>1858</v>
      </c>
      <c r="E528" s="149">
        <v>1422</v>
      </c>
      <c r="F528" s="149">
        <v>1537</v>
      </c>
      <c r="G528" s="149">
        <f>70+75</f>
        <v>145</v>
      </c>
      <c r="H528" s="149"/>
      <c r="I528" s="149"/>
      <c r="J528" s="149"/>
      <c r="K528" s="149"/>
      <c r="L528" s="149"/>
      <c r="M528" s="149"/>
      <c r="N528" s="149"/>
      <c r="O528" s="149"/>
      <c r="P528" s="149"/>
      <c r="Q528" s="149"/>
      <c r="W528" s="149">
        <v>215</v>
      </c>
      <c r="X528" s="149">
        <v>240</v>
      </c>
      <c r="Y528" s="149">
        <v>588</v>
      </c>
      <c r="Z528" s="149">
        <v>494</v>
      </c>
      <c r="AA528" s="175">
        <v>92</v>
      </c>
      <c r="AB528" s="149">
        <v>39</v>
      </c>
      <c r="AC528" s="149">
        <v>14</v>
      </c>
      <c r="AD528" s="149">
        <f>G528-AC528-AB528-AA528</f>
        <v>0</v>
      </c>
      <c r="AE528" s="175"/>
      <c r="AF528" s="149"/>
      <c r="AG528" s="149"/>
      <c r="AH528" s="149"/>
      <c r="AI528" s="175"/>
      <c r="AJ528" s="149"/>
      <c r="AK528" s="149"/>
      <c r="AL528" s="495"/>
      <c r="AM528" s="552"/>
      <c r="AN528" s="552"/>
      <c r="AO528" s="552"/>
      <c r="AP528" s="495"/>
    </row>
    <row r="529" spans="1:42" s="1028" customFormat="1" ht="9.75" customHeight="1">
      <c r="A529" s="1054" t="s">
        <v>14</v>
      </c>
      <c r="B529" s="150"/>
      <c r="C529" s="151">
        <f>C528/B528-1</f>
        <v>-0.31596984235777925</v>
      </c>
      <c r="D529" s="151">
        <f>D528/C528-1</f>
        <v>-6.9138276553106226E-2</v>
      </c>
      <c r="E529" s="151">
        <f>E528/D528-1</f>
        <v>-0.2346609257265877</v>
      </c>
      <c r="F529" s="151">
        <f>F528/E528-1</f>
        <v>8.0872011251758025E-2</v>
      </c>
      <c r="G529" s="151">
        <f>G528/F528-1</f>
        <v>-0.90566037735849059</v>
      </c>
      <c r="H529" s="151"/>
      <c r="I529" s="151"/>
      <c r="J529" s="151"/>
      <c r="K529" s="151"/>
      <c r="L529" s="151"/>
      <c r="M529" s="151"/>
      <c r="N529" s="151"/>
      <c r="O529" s="151"/>
      <c r="P529" s="151"/>
      <c r="Q529" s="151"/>
      <c r="R529" s="1020"/>
      <c r="S529" s="4"/>
      <c r="T529" s="4"/>
      <c r="U529" s="4"/>
      <c r="V529" s="4"/>
      <c r="W529" s="151"/>
      <c r="X529" s="151"/>
      <c r="Y529" s="151"/>
      <c r="Z529" s="151"/>
      <c r="AA529" s="176">
        <f>AA528/W528-1</f>
        <v>-0.5720930232558139</v>
      </c>
      <c r="AB529" s="151">
        <f>AB528/X528-1</f>
        <v>-0.83750000000000002</v>
      </c>
      <c r="AC529" s="151">
        <f>AC528/Y528-1</f>
        <v>-0.97619047619047616</v>
      </c>
      <c r="AD529" s="151">
        <f>AD528/Z528-1</f>
        <v>-1</v>
      </c>
      <c r="AE529" s="176"/>
      <c r="AF529" s="151"/>
      <c r="AG529" s="151"/>
      <c r="AH529" s="150"/>
      <c r="AI529" s="176"/>
      <c r="AJ529" s="151"/>
      <c r="AK529" s="150"/>
      <c r="AL529" s="496"/>
      <c r="AM529" s="553"/>
      <c r="AN529" s="553"/>
      <c r="AO529" s="553"/>
      <c r="AP529" s="496"/>
    </row>
    <row r="530" spans="1:42" s="1028" customFormat="1" ht="9.75" customHeight="1">
      <c r="A530" s="1054" t="s">
        <v>15</v>
      </c>
      <c r="B530" s="150"/>
      <c r="C530" s="151"/>
      <c r="D530" s="151">
        <v>-0.04</v>
      </c>
      <c r="E530" s="151">
        <v>0.06</v>
      </c>
      <c r="F530" s="151">
        <v>0.1</v>
      </c>
      <c r="G530" s="151"/>
      <c r="H530" s="151"/>
      <c r="I530" s="150"/>
      <c r="J530" s="150"/>
      <c r="K530" s="150"/>
      <c r="L530" s="150"/>
      <c r="M530" s="150"/>
      <c r="N530" s="150"/>
      <c r="O530" s="150"/>
      <c r="P530" s="150"/>
      <c r="Q530" s="150"/>
      <c r="R530" s="1020"/>
      <c r="S530" s="4"/>
      <c r="T530" s="4"/>
      <c r="U530" s="4"/>
      <c r="V530" s="4"/>
      <c r="W530" s="151">
        <v>0.12</v>
      </c>
      <c r="X530" s="151">
        <v>-0.14000000000000001</v>
      </c>
      <c r="Y530" s="151">
        <v>0.31</v>
      </c>
      <c r="Z530" s="151">
        <v>0.04</v>
      </c>
      <c r="AA530" s="176"/>
      <c r="AB530" s="151"/>
      <c r="AC530" s="151"/>
      <c r="AD530" s="150"/>
      <c r="AE530" s="176"/>
      <c r="AF530" s="151"/>
      <c r="AG530" s="151"/>
      <c r="AH530" s="150"/>
      <c r="AI530" s="176"/>
      <c r="AJ530" s="151"/>
      <c r="AK530" s="150"/>
      <c r="AL530" s="496"/>
      <c r="AM530" s="553"/>
      <c r="AN530" s="553"/>
      <c r="AO530" s="553"/>
      <c r="AP530" s="496"/>
    </row>
    <row r="531" spans="1:42" s="1028" customFormat="1" ht="9.75" customHeight="1">
      <c r="A531" s="1054" t="s">
        <v>18</v>
      </c>
      <c r="B531" s="151">
        <f t="shared" ref="B531:G531" si="813">B528/B$2</f>
        <v>5.7640644753476612E-2</v>
      </c>
      <c r="C531" s="151">
        <f t="shared" si="813"/>
        <v>3.4081207526551242E-2</v>
      </c>
      <c r="D531" s="151">
        <f t="shared" si="813"/>
        <v>3.2784571136167132E-2</v>
      </c>
      <c r="E531" s="151">
        <f t="shared" si="813"/>
        <v>2.4792956150292041E-2</v>
      </c>
      <c r="F531" s="151">
        <f t="shared" si="813"/>
        <v>2.9455730164814106E-2</v>
      </c>
      <c r="G531" s="151">
        <f t="shared" si="813"/>
        <v>2.934391063261424E-3</v>
      </c>
      <c r="H531" s="151"/>
      <c r="I531" s="151"/>
      <c r="J531" s="151"/>
      <c r="K531" s="151"/>
      <c r="L531" s="151"/>
      <c r="M531" s="151"/>
      <c r="N531" s="151"/>
      <c r="O531" s="151"/>
      <c r="P531" s="151"/>
      <c r="Q531" s="151"/>
      <c r="R531" s="1020"/>
      <c r="S531" s="4"/>
      <c r="T531" s="4"/>
      <c r="U531" s="4"/>
      <c r="V531" s="4"/>
      <c r="W531" s="151">
        <f t="shared" ref="W531:AB531" si="814">W528/W$2</f>
        <v>1.6840291376204276E-2</v>
      </c>
      <c r="X531" s="151">
        <f t="shared" si="814"/>
        <v>1.7981568891885819E-2</v>
      </c>
      <c r="Y531" s="151">
        <f t="shared" si="814"/>
        <v>4.5262104533908089E-2</v>
      </c>
      <c r="Z531" s="151">
        <f t="shared" si="814"/>
        <v>3.7782026768642445E-2</v>
      </c>
      <c r="AA531" s="176">
        <f t="shared" si="814"/>
        <v>7.7084206116464181E-3</v>
      </c>
      <c r="AB531" s="151">
        <f t="shared" si="814"/>
        <v>3.0723176303765558E-3</v>
      </c>
      <c r="AC531" s="151">
        <f>AC528/AC$2</f>
        <v>1.1414594374235629E-3</v>
      </c>
      <c r="AD531" s="151">
        <f>AD528/AD$2</f>
        <v>0</v>
      </c>
      <c r="AE531" s="176"/>
      <c r="AF531" s="151"/>
      <c r="AG531" s="151"/>
      <c r="AH531" s="150"/>
      <c r="AI531" s="176"/>
      <c r="AJ531" s="151"/>
      <c r="AK531" s="150"/>
      <c r="AL531" s="496"/>
      <c r="AM531" s="553"/>
      <c r="AN531" s="553"/>
      <c r="AO531" s="553"/>
      <c r="AP531" s="496"/>
    </row>
    <row r="533" spans="1:42" ht="12.75" customHeight="1">
      <c r="A533" s="1053" t="s">
        <v>302</v>
      </c>
      <c r="B533" s="149">
        <v>4362</v>
      </c>
      <c r="C533" s="149">
        <v>4631</v>
      </c>
      <c r="D533" s="149">
        <v>3735</v>
      </c>
      <c r="E533" s="149">
        <v>4064</v>
      </c>
      <c r="F533" s="149">
        <v>4279</v>
      </c>
      <c r="G533" s="149">
        <v>456</v>
      </c>
      <c r="H533" s="149"/>
      <c r="I533" s="149"/>
      <c r="J533" s="149"/>
      <c r="K533" s="149"/>
      <c r="L533" s="149"/>
      <c r="M533" s="149"/>
      <c r="N533" s="149"/>
      <c r="O533" s="149"/>
      <c r="P533" s="149"/>
      <c r="Q533" s="149"/>
      <c r="W533" s="149">
        <v>1040</v>
      </c>
      <c r="X533" s="149">
        <v>1050</v>
      </c>
      <c r="Y533" s="149">
        <v>1125</v>
      </c>
      <c r="Z533" s="149">
        <v>1064</v>
      </c>
      <c r="AA533" s="175">
        <v>456</v>
      </c>
      <c r="AB533" s="149"/>
      <c r="AC533" s="149"/>
      <c r="AD533" s="149">
        <f>G533-AC533-AB533-AA533</f>
        <v>0</v>
      </c>
      <c r="AE533" s="175"/>
      <c r="AF533" s="149"/>
      <c r="AG533" s="149"/>
      <c r="AH533" s="149"/>
      <c r="AI533" s="175"/>
      <c r="AJ533" s="149"/>
      <c r="AK533" s="149"/>
      <c r="AL533" s="495"/>
      <c r="AM533" s="552"/>
      <c r="AN533" s="552"/>
      <c r="AO533" s="552"/>
      <c r="AP533" s="495"/>
    </row>
    <row r="534" spans="1:42" s="1028" customFormat="1" ht="9.75" customHeight="1">
      <c r="A534" s="1054" t="s">
        <v>14</v>
      </c>
      <c r="B534" s="150"/>
      <c r="C534" s="151">
        <f>C533/B533-1</f>
        <v>6.1668959193030615E-2</v>
      </c>
      <c r="D534" s="151">
        <f>D533/C533-1</f>
        <v>-0.1934787302958324</v>
      </c>
      <c r="E534" s="151">
        <f>E533/D533-1</f>
        <v>8.8085676037483296E-2</v>
      </c>
      <c r="F534" s="151">
        <f>F533/E533-1</f>
        <v>5.2903543307086576E-2</v>
      </c>
      <c r="G534" s="151">
        <f>G533/F533-1</f>
        <v>-0.89343304510399624</v>
      </c>
      <c r="H534" s="151"/>
      <c r="I534" s="151"/>
      <c r="J534" s="151"/>
      <c r="K534" s="151"/>
      <c r="L534" s="151"/>
      <c r="M534" s="151"/>
      <c r="N534" s="151"/>
      <c r="O534" s="151"/>
      <c r="P534" s="151"/>
      <c r="Q534" s="151"/>
      <c r="R534" s="1020"/>
      <c r="S534" s="4"/>
      <c r="T534" s="4"/>
      <c r="U534" s="4"/>
      <c r="V534" s="4"/>
      <c r="W534" s="151"/>
      <c r="X534" s="151"/>
      <c r="Y534" s="151"/>
      <c r="Z534" s="151"/>
      <c r="AA534" s="176">
        <f>AA533/W533-1</f>
        <v>-0.56153846153846154</v>
      </c>
      <c r="AB534" s="151"/>
      <c r="AC534" s="151"/>
      <c r="AD534" s="151">
        <f>AD533/Z533-1</f>
        <v>-1</v>
      </c>
      <c r="AE534" s="176"/>
      <c r="AF534" s="151"/>
      <c r="AG534" s="151"/>
      <c r="AH534" s="150"/>
      <c r="AI534" s="176"/>
      <c r="AJ534" s="151"/>
      <c r="AK534" s="150"/>
      <c r="AL534" s="496"/>
      <c r="AM534" s="553"/>
      <c r="AN534" s="553"/>
      <c r="AO534" s="553"/>
      <c r="AP534" s="496"/>
    </row>
    <row r="535" spans="1:42" s="1028" customFormat="1" ht="9.75" customHeight="1">
      <c r="A535" s="1054" t="s">
        <v>15</v>
      </c>
      <c r="B535" s="150"/>
      <c r="C535" s="151"/>
      <c r="D535" s="151">
        <v>-0.16</v>
      </c>
      <c r="E535" s="151">
        <v>0.1</v>
      </c>
      <c r="F535" s="151">
        <v>0.08</v>
      </c>
      <c r="G535" s="151"/>
      <c r="H535" s="151"/>
      <c r="I535" s="150"/>
      <c r="J535" s="150"/>
      <c r="K535" s="150"/>
      <c r="L535" s="150"/>
      <c r="M535" s="150"/>
      <c r="N535" s="150"/>
      <c r="O535" s="150"/>
      <c r="P535" s="150"/>
      <c r="Q535" s="150"/>
      <c r="R535" s="1020"/>
      <c r="S535" s="4"/>
      <c r="T535" s="4"/>
      <c r="U535" s="4"/>
      <c r="V535" s="4"/>
      <c r="W535" s="151">
        <v>0.08</v>
      </c>
      <c r="X535" s="151">
        <v>0.05</v>
      </c>
      <c r="Y535" s="151">
        <v>0.09</v>
      </c>
      <c r="Z535" s="151">
        <v>0.11</v>
      </c>
      <c r="AA535" s="176"/>
      <c r="AB535" s="151"/>
      <c r="AC535" s="151"/>
      <c r="AD535" s="150"/>
      <c r="AE535" s="176"/>
      <c r="AF535" s="151"/>
      <c r="AG535" s="151"/>
      <c r="AH535" s="150"/>
      <c r="AI535" s="176"/>
      <c r="AJ535" s="151"/>
      <c r="AK535" s="150"/>
      <c r="AL535" s="496"/>
      <c r="AM535" s="553"/>
      <c r="AN535" s="553"/>
      <c r="AO535" s="553"/>
      <c r="AP535" s="496"/>
    </row>
    <row r="536" spans="1:42" s="1028" customFormat="1" ht="9.75" customHeight="1">
      <c r="A536" s="1054" t="s">
        <v>18</v>
      </c>
      <c r="B536" s="151">
        <f t="shared" ref="B536:G536" si="815">B533/B$2</f>
        <v>8.6164664981036657E-2</v>
      </c>
      <c r="C536" s="151">
        <f t="shared" si="815"/>
        <v>7.9073182392514429E-2</v>
      </c>
      <c r="D536" s="151">
        <f t="shared" si="815"/>
        <v>6.5904398920120691E-2</v>
      </c>
      <c r="E536" s="151">
        <f t="shared" si="815"/>
        <v>7.0856943596896524E-2</v>
      </c>
      <c r="F536" s="151">
        <f t="shared" si="815"/>
        <v>8.2004599463395944E-2</v>
      </c>
      <c r="G536" s="151">
        <f t="shared" si="815"/>
        <v>9.2281539644635119E-3</v>
      </c>
      <c r="H536" s="151"/>
      <c r="I536" s="151"/>
      <c r="J536" s="151"/>
      <c r="K536" s="151"/>
      <c r="L536" s="151"/>
      <c r="M536" s="151"/>
      <c r="N536" s="151"/>
      <c r="O536" s="151"/>
      <c r="P536" s="151"/>
      <c r="Q536" s="151"/>
      <c r="R536" s="1020"/>
      <c r="S536" s="4"/>
      <c r="T536" s="4"/>
      <c r="U536" s="4"/>
      <c r="V536" s="4"/>
      <c r="W536" s="151">
        <f t="shared" ref="W536:AB536" si="816">W533/W$2</f>
        <v>8.1460014098848593E-2</v>
      </c>
      <c r="X536" s="151">
        <f t="shared" si="816"/>
        <v>7.8669363902000453E-2</v>
      </c>
      <c r="Y536" s="151">
        <f t="shared" si="816"/>
        <v>8.6598414286813946E-2</v>
      </c>
      <c r="Z536" s="151">
        <f t="shared" si="816"/>
        <v>8.1376673040152961E-2</v>
      </c>
      <c r="AA536" s="176">
        <f t="shared" si="816"/>
        <v>3.8206954335986594E-2</v>
      </c>
      <c r="AB536" s="151">
        <f t="shared" si="816"/>
        <v>0</v>
      </c>
      <c r="AC536" s="151">
        <f>AC533/AC$2</f>
        <v>0</v>
      </c>
      <c r="AD536" s="151">
        <f>AD533/AD$2</f>
        <v>0</v>
      </c>
      <c r="AE536" s="176"/>
      <c r="AF536" s="151"/>
      <c r="AG536" s="151"/>
      <c r="AH536" s="150"/>
      <c r="AI536" s="176"/>
      <c r="AJ536" s="151"/>
      <c r="AK536" s="150"/>
      <c r="AL536" s="496"/>
      <c r="AM536" s="553"/>
      <c r="AN536" s="553"/>
      <c r="AO536" s="553"/>
      <c r="AP536" s="496"/>
    </row>
  </sheetData>
  <pageMargins left="0" right="0" top="0" bottom="0" header="0" footer="0"/>
  <pageSetup paperSize="5" scale="45" orientation="landscape" r:id="rId1"/>
  <ignoredErrors>
    <ignoredError sqref="AC68 AC70:AC71 AC73 AC75 AC198 AC203 AC228 AC253:AC254 AC256 AC261 AC263 AC333 AC336 AC338 C422:E422 E421 B65:F79 AC200 AH151 AH107 AH147 AH109:AH112 AH153:AH155 AH157" evalError="1"/>
    <ignoredError sqref="AC88 AC83 AC80 AC78 AH158:AH160 AH176:AH181 AI73:AL73" evalError="1" formula="1"/>
    <ignoredError sqref="W79:AD79 W78:AB78 AD78 W82:AH82 W80:AB80 AD80:AH80 W85:AD85 W83:AB83 AD83:AH83 W90:AH91 W88:AB88 AD88:AH88 W106:Z106 AH194 AH336:AH338 W104:AH104 W102:AD102 AH102 W105:AD105 AH353:AH354 AD337:AD338 W81:AC81 W84:AC84 W89:AC89 W96:AH96 W92:AC92 W98:AH99 W97:AC97 AD340:AD341 AD343:AD346 AD348:AD349 AD351:AD354 AD356:AD357 AD359:AD361 AH78 W87:AD87 W86:AD86 AH86 AH79 AH85 AH87 W93:AD93 AH93 W94:AD94 AH94 W95:AD95 AH95 W101:AD101 W100:AD100 AH101 W103:AD103 AH103 AH357 AD58:AD66 AH58:AH60 AH68:AL68 AI60:AL60 AH73 AH67 AH44 AH62:AH63 AH65:AH66 AH70:AL71 AI72:AL72 AH340:AH341 AH343:AH346 AH348:AH349 AL58 AL66 AL59 AI62:AL63 AL65 AL158:AL159 AL261:AL262 AP261 AM424 AL511 AL336:AP34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99" r:id="rId4" name="Button 175">
              <controlPr defaultSize="0" print="0" autoFill="0" autoPict="0" macro="[0]!updateDScontrols">
                <anchor moveWithCells="1" sizeWithCells="1">
                  <from>
                    <xdr:col>17</xdr:col>
                    <xdr:colOff>171450</xdr:colOff>
                    <xdr:row>2</xdr:row>
                    <xdr:rowOff>47625</xdr:rowOff>
                  </from>
                  <to>
                    <xdr:col>18</xdr:col>
                    <xdr:colOff>590550</xdr:colOff>
                    <xdr:row>4</xdr:row>
                    <xdr:rowOff>57150</xdr:rowOff>
                  </to>
                </anchor>
              </controlPr>
            </control>
          </mc:Choice>
        </mc:AlternateContent>
        <mc:AlternateContent xmlns:mc="http://schemas.openxmlformats.org/markup-compatibility/2006">
          <mc:Choice Requires="x14">
            <control shapeId="1200" r:id="rId5" name="Button 176">
              <controlPr defaultSize="0" print="0" autoFill="0" autoPict="0" macro="[0]!updateDScontrols">
                <anchor moveWithCells="1" sizeWithCells="1">
                  <from>
                    <xdr:col>42</xdr:col>
                    <xdr:colOff>152400</xdr:colOff>
                    <xdr:row>5</xdr:row>
                    <xdr:rowOff>0</xdr:rowOff>
                  </from>
                  <to>
                    <xdr:col>44</xdr:col>
                    <xdr:colOff>219075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pageSetUpPr fitToPage="1"/>
  </sheetPr>
  <dimension ref="A1:DP1048576"/>
  <sheetViews>
    <sheetView zoomScale="115" zoomScaleNormal="115" workbookViewId="0">
      <pane xSplit="6" ySplit="1" topLeftCell="H2" activePane="bottomRight" state="frozen"/>
      <selection pane="topRight" activeCell="G1" sqref="G1"/>
      <selection pane="bottomLeft" activeCell="A2" sqref="A2"/>
      <selection pane="bottomRight" activeCell="A52" sqref="A52"/>
    </sheetView>
  </sheetViews>
  <sheetFormatPr defaultRowHeight="15" outlineLevelRow="2" outlineLevelCol="1"/>
  <cols>
    <col min="1" max="1" width="42.28515625" style="105" customWidth="1"/>
    <col min="2" max="5" width="11.7109375" style="105" hidden="1" customWidth="1"/>
    <col min="6" max="6" width="14.42578125" style="105" hidden="1" customWidth="1"/>
    <col min="7" max="7" width="10" style="105" hidden="1" customWidth="1"/>
    <col min="8" max="17" width="10" style="105" customWidth="1"/>
    <col min="18" max="18" width="15.140625" style="105" customWidth="1"/>
    <col min="19" max="27" width="10.5703125" style="105" hidden="1" customWidth="1" outlineLevel="1"/>
    <col min="28" max="28" width="11" style="105" hidden="1" customWidth="1" outlineLevel="1"/>
    <col min="29" max="30" width="10.5703125" style="105" hidden="1" customWidth="1" outlineLevel="1"/>
    <col min="31" max="33" width="10.42578125" style="105" hidden="1" customWidth="1" outlineLevel="1"/>
    <col min="34" max="34" width="9.42578125" style="105" hidden="1" customWidth="1" outlineLevel="1"/>
    <col min="35" max="35" width="9.28515625" style="105" customWidth="1" collapsed="1"/>
    <col min="36" max="42" width="9.28515625" style="105" customWidth="1"/>
    <col min="43" max="43" width="9.28515625" style="1382" customWidth="1"/>
    <col min="44" max="53" width="9.140625" style="105" customWidth="1"/>
    <col min="54" max="54" width="28.7109375" hidden="1" customWidth="1" outlineLevel="1"/>
    <col min="55" max="59" width="9.140625" hidden="1" customWidth="1" outlineLevel="1"/>
    <col min="60" max="60" width="9.140625" style="105" collapsed="1"/>
    <col min="61" max="61" width="9.140625" style="105"/>
    <col min="62" max="65" width="9.5703125" style="105" customWidth="1"/>
    <col min="66" max="66" width="10.28515625" style="105" customWidth="1"/>
    <col min="67" max="140" width="9.140625" style="105" customWidth="1"/>
    <col min="141" max="16384" width="9.140625" style="105"/>
  </cols>
  <sheetData>
    <row r="1" spans="1:120">
      <c r="A1" s="672" t="s">
        <v>12</v>
      </c>
      <c r="B1" s="673">
        <v>2010</v>
      </c>
      <c r="C1" s="673">
        <v>2011</v>
      </c>
      <c r="D1" s="673">
        <v>2012</v>
      </c>
      <c r="E1" s="673">
        <v>2013</v>
      </c>
      <c r="F1" s="673">
        <v>2014</v>
      </c>
      <c r="G1" s="673">
        <v>2015</v>
      </c>
      <c r="H1" s="673">
        <v>2016</v>
      </c>
      <c r="I1" s="673">
        <v>2017</v>
      </c>
      <c r="J1" s="1245">
        <v>2018</v>
      </c>
      <c r="K1" s="1245">
        <v>2019</v>
      </c>
      <c r="L1" s="1245">
        <v>2020</v>
      </c>
      <c r="M1" s="1245">
        <v>2021</v>
      </c>
      <c r="N1" s="1245">
        <v>2022</v>
      </c>
      <c r="O1" s="1245">
        <v>2023</v>
      </c>
      <c r="P1" s="1245">
        <v>2024</v>
      </c>
      <c r="Q1" s="1245">
        <v>2025</v>
      </c>
      <c r="R1" s="674" t="s">
        <v>1479</v>
      </c>
      <c r="S1" s="675" t="s">
        <v>291</v>
      </c>
      <c r="T1" s="675" t="s">
        <v>292</v>
      </c>
      <c r="U1" s="675" t="s">
        <v>293</v>
      </c>
      <c r="V1" s="675" t="s">
        <v>294</v>
      </c>
      <c r="W1" s="676" t="s">
        <v>0</v>
      </c>
      <c r="X1" s="675" t="s">
        <v>1</v>
      </c>
      <c r="Y1" s="675" t="s">
        <v>2</v>
      </c>
      <c r="Z1" s="675" t="s">
        <v>3</v>
      </c>
      <c r="AA1" s="676" t="s">
        <v>4</v>
      </c>
      <c r="AB1" s="675" t="s">
        <v>5</v>
      </c>
      <c r="AC1" s="675" t="s">
        <v>6</v>
      </c>
      <c r="AD1" s="675" t="s">
        <v>7</v>
      </c>
      <c r="AE1" s="676" t="s">
        <v>8</v>
      </c>
      <c r="AF1" s="675" t="s">
        <v>9</v>
      </c>
      <c r="AG1" s="675" t="s">
        <v>10</v>
      </c>
      <c r="AH1" s="677" t="s">
        <v>11</v>
      </c>
      <c r="AI1" s="676" t="s">
        <v>894</v>
      </c>
      <c r="AJ1" s="675" t="s">
        <v>896</v>
      </c>
      <c r="AK1" s="675" t="s">
        <v>942</v>
      </c>
      <c r="AL1" s="677" t="s">
        <v>947</v>
      </c>
      <c r="AM1" s="675" t="s">
        <v>1480</v>
      </c>
      <c r="AN1" s="675" t="s">
        <v>1481</v>
      </c>
      <c r="AO1" s="675" t="s">
        <v>1482</v>
      </c>
      <c r="AP1" s="675" t="s">
        <v>1483</v>
      </c>
    </row>
    <row r="2" spans="1:120">
      <c r="A2" s="672" t="s">
        <v>290</v>
      </c>
      <c r="B2" s="673"/>
      <c r="C2" s="673"/>
      <c r="D2" s="673"/>
      <c r="E2" s="673"/>
      <c r="F2" s="673"/>
      <c r="G2" s="673"/>
      <c r="H2" s="673"/>
      <c r="I2" s="673"/>
      <c r="J2" s="673"/>
      <c r="K2" s="673"/>
      <c r="L2" s="673"/>
      <c r="M2" s="673"/>
      <c r="N2" s="673"/>
      <c r="O2" s="673"/>
      <c r="P2" s="673"/>
      <c r="Q2" s="673"/>
      <c r="R2" s="675"/>
      <c r="S2" s="675"/>
      <c r="T2" s="675"/>
      <c r="U2" s="675"/>
      <c r="V2" s="675"/>
      <c r="W2" s="676"/>
      <c r="X2" s="675"/>
      <c r="Y2" s="675"/>
      <c r="Z2" s="675"/>
      <c r="AA2" s="676"/>
      <c r="AB2" s="675"/>
      <c r="AC2" s="675"/>
      <c r="AD2" s="675"/>
      <c r="AE2" s="676"/>
      <c r="AF2" s="675"/>
      <c r="AG2" s="675"/>
      <c r="AH2" s="677"/>
      <c r="AI2" s="676"/>
      <c r="AJ2" s="675"/>
      <c r="AK2" s="675"/>
      <c r="AL2" s="677"/>
      <c r="AM2" s="675"/>
      <c r="AN2" s="675"/>
      <c r="AO2" s="675"/>
      <c r="AP2" s="675"/>
    </row>
    <row r="3" spans="1:120">
      <c r="A3" s="678" t="s">
        <v>261</v>
      </c>
      <c r="B3" s="679">
        <v>50624</v>
      </c>
      <c r="C3" s="679">
        <v>58566</v>
      </c>
      <c r="D3" s="679">
        <v>56673</v>
      </c>
      <c r="E3" s="680">
        <v>51869</v>
      </c>
      <c r="F3" s="680">
        <v>52180</v>
      </c>
      <c r="G3" s="680">
        <f>G196+G267+G325</f>
        <v>49414</v>
      </c>
      <c r="H3" s="680">
        <f>H196+H267+H325</f>
        <v>48518</v>
      </c>
      <c r="I3" s="680">
        <f>I196+I267+I325</f>
        <v>49109</v>
      </c>
      <c r="J3" s="680">
        <f>J196+J267+J325</f>
        <v>52257.86029421589</v>
      </c>
      <c r="K3" s="680">
        <f t="shared" ref="K3:Q3" si="0">K196+K267+K325</f>
        <v>53311.369525681919</v>
      </c>
      <c r="L3" s="680">
        <f t="shared" si="0"/>
        <v>54983.750913794494</v>
      </c>
      <c r="M3" s="680">
        <f t="shared" si="0"/>
        <v>57005.038212037085</v>
      </c>
      <c r="N3" s="680">
        <f t="shared" si="0"/>
        <v>58206.58063878044</v>
      </c>
      <c r="O3" s="680">
        <f t="shared" si="0"/>
        <v>57674.975218288324</v>
      </c>
      <c r="P3" s="680">
        <f t="shared" si="0"/>
        <v>58416.956918083248</v>
      </c>
      <c r="Q3" s="680">
        <f t="shared" si="0"/>
        <v>59056.427094547711</v>
      </c>
      <c r="R3" s="681">
        <f>(N3/J3)^(1/($N$1-$J$1))-1</f>
        <v>2.7318516478024524E-2</v>
      </c>
      <c r="S3" s="682">
        <v>12702</v>
      </c>
      <c r="T3" s="682">
        <v>13073</v>
      </c>
      <c r="U3" s="682">
        <v>12705</v>
      </c>
      <c r="V3" s="682">
        <v>13389</v>
      </c>
      <c r="W3" s="683">
        <f>W196+W267+W325</f>
        <v>12767</v>
      </c>
      <c r="X3" s="682">
        <v>13347</v>
      </c>
      <c r="Y3" s="682">
        <v>12991</v>
      </c>
      <c r="Z3" s="682">
        <v>13075</v>
      </c>
      <c r="AA3" s="683">
        <f t="shared" ref="AA3:AH3" si="1">AA196+AA267+AA325</f>
        <v>11935</v>
      </c>
      <c r="AB3" s="682">
        <f t="shared" si="1"/>
        <v>12694</v>
      </c>
      <c r="AC3" s="682">
        <f t="shared" si="1"/>
        <v>12265</v>
      </c>
      <c r="AD3" s="682">
        <f>AD196+AD267+AD325</f>
        <v>12520</v>
      </c>
      <c r="AE3" s="683">
        <f t="shared" si="1"/>
        <v>11600</v>
      </c>
      <c r="AF3" s="682">
        <f t="shared" si="1"/>
        <v>12470</v>
      </c>
      <c r="AG3" s="682">
        <f t="shared" si="1"/>
        <v>12126</v>
      </c>
      <c r="AH3" s="684">
        <f t="shared" si="1"/>
        <v>12322</v>
      </c>
      <c r="AI3" s="683">
        <f>AI196+AI267+AI325</f>
        <v>11539</v>
      </c>
      <c r="AJ3" s="682">
        <f>AJ196+AJ267+AJ325</f>
        <v>12242</v>
      </c>
      <c r="AK3" s="682">
        <f>AK196+AK267+AK325</f>
        <v>12413.050232664675</v>
      </c>
      <c r="AL3" s="684">
        <f>AL196+AL267+AL325</f>
        <v>12914.949767335325</v>
      </c>
      <c r="AM3" s="682">
        <f t="shared" ref="AM3:AP3" si="2">AM196+AM267+AM325</f>
        <v>12694</v>
      </c>
      <c r="AN3" s="682">
        <f t="shared" si="2"/>
        <v>13104.529357901018</v>
      </c>
      <c r="AO3" s="682">
        <f t="shared" si="2"/>
        <v>13088.832761004065</v>
      </c>
      <c r="AP3" s="682">
        <f t="shared" si="2"/>
        <v>13370.498175310804</v>
      </c>
    </row>
    <row r="4" spans="1:120" s="695" customFormat="1">
      <c r="A4" s="685" t="s">
        <v>586</v>
      </c>
      <c r="B4" s="686"/>
      <c r="C4" s="687">
        <v>0.15688211125158036</v>
      </c>
      <c r="D4" s="687">
        <v>-3.2322507939760325E-2</v>
      </c>
      <c r="E4" s="687">
        <v>-8.4766996629788482E-2</v>
      </c>
      <c r="F4" s="687">
        <v>5.9958742215966421E-3</v>
      </c>
      <c r="G4" s="687">
        <f t="shared" ref="G4:Q4" si="3">G3/F3-1</f>
        <v>-5.3008815638175499E-2</v>
      </c>
      <c r="H4" s="1313">
        <f t="shared" si="3"/>
        <v>-1.8132513052980914E-2</v>
      </c>
      <c r="I4" s="1313">
        <f t="shared" si="3"/>
        <v>1.2181046209654101E-2</v>
      </c>
      <c r="J4" s="1313">
        <f t="shared" si="3"/>
        <v>6.4119821096253027E-2</v>
      </c>
      <c r="K4" s="1313">
        <f t="shared" si="3"/>
        <v>2.0159823336330485E-2</v>
      </c>
      <c r="L4" s="1313">
        <f t="shared" si="3"/>
        <v>3.137006989300728E-2</v>
      </c>
      <c r="M4" s="1313">
        <f t="shared" si="3"/>
        <v>3.6761538902859492E-2</v>
      </c>
      <c r="N4" s="1313">
        <f t="shared" si="3"/>
        <v>2.1077828634621376E-2</v>
      </c>
      <c r="O4" s="1313">
        <f t="shared" si="3"/>
        <v>-9.1330810822090047E-3</v>
      </c>
      <c r="P4" s="1313">
        <f t="shared" si="3"/>
        <v>1.2864881120220106E-2</v>
      </c>
      <c r="Q4" s="1313">
        <f t="shared" si="3"/>
        <v>1.0946653338365087E-2</v>
      </c>
      <c r="R4" s="1326"/>
      <c r="S4" s="1311"/>
      <c r="T4" s="1311"/>
      <c r="U4" s="1311"/>
      <c r="V4" s="1311"/>
      <c r="W4" s="1310">
        <v>5.1173043615178049E-3</v>
      </c>
      <c r="X4" s="1311">
        <v>2.0959228945154118E-2</v>
      </c>
      <c r="Y4" s="1311">
        <v>2.2510822510822592E-2</v>
      </c>
      <c r="Z4" s="1311">
        <v>-2.3452087534543309E-2</v>
      </c>
      <c r="AA4" s="1310">
        <f t="shared" ref="AA4:AH4" si="4">AA3/W3-1</f>
        <v>-6.5168011279078897E-2</v>
      </c>
      <c r="AB4" s="1311">
        <f t="shared" si="4"/>
        <v>-4.8924852026672627E-2</v>
      </c>
      <c r="AC4" s="1311">
        <f t="shared" si="4"/>
        <v>-5.588484335309063E-2</v>
      </c>
      <c r="AD4" s="1311">
        <f t="shared" si="4"/>
        <v>-4.2447418738049691E-2</v>
      </c>
      <c r="AE4" s="1310">
        <f t="shared" si="4"/>
        <v>-2.8068705488060286E-2</v>
      </c>
      <c r="AF4" s="1311">
        <f t="shared" si="4"/>
        <v>-1.7646132030880723E-2</v>
      </c>
      <c r="AG4" s="1311">
        <f t="shared" si="4"/>
        <v>-1.1333061557276758E-2</v>
      </c>
      <c r="AH4" s="1312">
        <f t="shared" si="4"/>
        <v>-1.5814696485622948E-2</v>
      </c>
      <c r="AI4" s="1310">
        <f>AI3/AE3-1</f>
        <v>-5.2586206896552135E-3</v>
      </c>
      <c r="AJ4" s="1311">
        <f>AJ3/AF3-1</f>
        <v>-1.8283881315156347E-2</v>
      </c>
      <c r="AK4" s="1311">
        <f>AK3/AG3-1</f>
        <v>2.3672293638848263E-2</v>
      </c>
      <c r="AL4" s="1312">
        <f>AL3/AH3-1</f>
        <v>4.8121227668830091E-2</v>
      </c>
      <c r="AM4" s="1311">
        <f t="shared" ref="AM4:AP4" si="5">AM3/AI3-1</f>
        <v>0.100095328884652</v>
      </c>
      <c r="AN4" s="1311">
        <f t="shared" si="5"/>
        <v>7.0456572284023578E-2</v>
      </c>
      <c r="AO4" s="1311">
        <f t="shared" si="5"/>
        <v>5.4441294901158344E-2</v>
      </c>
      <c r="AP4" s="1311">
        <f t="shared" si="5"/>
        <v>3.5272952367779054E-2</v>
      </c>
      <c r="AQ4" s="1383"/>
      <c r="AR4" s="692"/>
      <c r="AS4" s="692"/>
      <c r="AT4" s="692"/>
      <c r="AU4" s="692"/>
      <c r="AV4" s="692"/>
      <c r="AW4" s="692"/>
      <c r="AX4" s="692"/>
      <c r="AY4" s="692"/>
      <c r="AZ4" s="692"/>
      <c r="BA4" s="692"/>
      <c r="BB4"/>
      <c r="BC4"/>
      <c r="BD4"/>
      <c r="BE4"/>
      <c r="BF4"/>
      <c r="BG4"/>
      <c r="BH4" s="693"/>
      <c r="BI4" s="693"/>
      <c r="BJ4" s="694"/>
      <c r="BK4" s="694"/>
      <c r="BL4" s="694"/>
      <c r="BM4" s="694"/>
      <c r="BN4" s="694"/>
      <c r="BO4" s="693"/>
      <c r="BP4" s="693"/>
      <c r="BQ4" s="693"/>
      <c r="BR4" s="693"/>
      <c r="BS4" s="693"/>
      <c r="BT4" s="693"/>
      <c r="BU4" s="693"/>
      <c r="BV4" s="693"/>
      <c r="BW4" s="693"/>
      <c r="BX4" s="693"/>
      <c r="BY4" s="693"/>
      <c r="BZ4" s="693"/>
      <c r="CA4" s="693"/>
      <c r="CB4" s="693"/>
      <c r="CC4" s="693"/>
      <c r="CD4" s="693"/>
      <c r="CE4" s="693"/>
      <c r="CF4" s="693"/>
      <c r="CG4" s="693"/>
      <c r="CH4" s="693"/>
      <c r="CI4" s="693"/>
      <c r="CJ4" s="693"/>
      <c r="CK4" s="693"/>
      <c r="CL4" s="693"/>
      <c r="CM4" s="693"/>
      <c r="CN4" s="693"/>
      <c r="CO4" s="693"/>
      <c r="CP4" s="693"/>
      <c r="CQ4" s="693"/>
      <c r="CR4" s="693"/>
      <c r="CS4" s="693"/>
      <c r="CT4" s="693"/>
      <c r="CU4" s="693"/>
      <c r="CV4" s="693"/>
      <c r="CW4" s="693"/>
      <c r="CX4" s="693"/>
      <c r="CY4" s="693"/>
      <c r="CZ4" s="693"/>
      <c r="DA4" s="693"/>
      <c r="DB4" s="693"/>
      <c r="DC4" s="693"/>
      <c r="DD4" s="693"/>
      <c r="DE4" s="693"/>
      <c r="DF4" s="693"/>
      <c r="DG4" s="693"/>
      <c r="DH4" s="693"/>
      <c r="DI4" s="693"/>
      <c r="DJ4" s="693"/>
      <c r="DK4" s="693"/>
      <c r="DL4" s="693"/>
      <c r="DM4" s="693"/>
      <c r="DN4" s="693"/>
      <c r="DO4" s="693"/>
      <c r="DP4" s="693"/>
    </row>
    <row r="5" spans="1:120" s="695" customFormat="1">
      <c r="A5" s="685" t="s">
        <v>1478</v>
      </c>
      <c r="B5" s="686"/>
      <c r="C5" s="687"/>
      <c r="D5" s="687"/>
      <c r="E5" s="687"/>
      <c r="F5" s="687">
        <v>0</v>
      </c>
      <c r="G5" s="687">
        <f>Sales!G4</f>
        <v>0.05</v>
      </c>
      <c r="H5" s="1313">
        <f>Sales!H4</f>
        <v>0</v>
      </c>
      <c r="I5" s="1313">
        <f>Sales!I4</f>
        <v>0.02</v>
      </c>
      <c r="J5" s="1313">
        <f>Sales!J4</f>
        <v>2.3254474538859787E-2</v>
      </c>
      <c r="K5" s="1313">
        <f>Sales!K4</f>
        <v>2.0159823336330485E-2</v>
      </c>
      <c r="L5" s="1313">
        <f>Sales!L4</f>
        <v>3.137006989300728E-2</v>
      </c>
      <c r="M5" s="1313">
        <f>Sales!M4</f>
        <v>3.6761538902859492E-2</v>
      </c>
      <c r="N5" s="1313">
        <f>Sales!N4</f>
        <v>2.1077828634621376E-2</v>
      </c>
      <c r="O5" s="1313">
        <f>Sales!O4</f>
        <v>-9.1330810822090047E-3</v>
      </c>
      <c r="P5" s="1313">
        <f>Sales!P4</f>
        <v>1.2864881120220106E-2</v>
      </c>
      <c r="Q5" s="1313">
        <f>Sales!Q4</f>
        <v>1.0946653338365087E-2</v>
      </c>
      <c r="R5" s="1326"/>
      <c r="S5" s="1311"/>
      <c r="T5" s="1311"/>
      <c r="U5" s="1311"/>
      <c r="V5" s="1311"/>
      <c r="W5" s="1310">
        <v>0.03</v>
      </c>
      <c r="X5" s="1311">
        <v>0.01</v>
      </c>
      <c r="Y5" s="1311">
        <v>0.03</v>
      </c>
      <c r="Z5" s="1311">
        <v>0.04</v>
      </c>
      <c r="AA5" s="1310"/>
      <c r="AB5" s="1311">
        <v>0.06</v>
      </c>
      <c r="AC5" s="1311">
        <v>0.06</v>
      </c>
      <c r="AD5" s="1311">
        <v>0.06</v>
      </c>
      <c r="AE5" s="1310">
        <v>0.01</v>
      </c>
      <c r="AF5" s="1311">
        <v>0</v>
      </c>
      <c r="AG5" s="1311">
        <f>Sales!AG4</f>
        <v>0.01</v>
      </c>
      <c r="AH5" s="1312">
        <f>Sales!AH4</f>
        <v>0</v>
      </c>
      <c r="AI5" s="1310">
        <f>Sales!AI4</f>
        <v>0.02</v>
      </c>
      <c r="AJ5" s="1311">
        <f>Sales!AJ4</f>
        <v>0</v>
      </c>
      <c r="AK5" s="1311">
        <f>Sales!AK4</f>
        <v>0.02</v>
      </c>
      <c r="AL5" s="1312">
        <f>Sales!AL4</f>
        <v>0.02</v>
      </c>
      <c r="AM5" s="1311">
        <f>Sales!AM4</f>
        <v>0.04</v>
      </c>
      <c r="AN5" s="1311">
        <f>Sales!AN4</f>
        <v>1.7054304945041232E-2</v>
      </c>
      <c r="AO5" s="1311">
        <f>Sales!AO4</f>
        <v>2.9820871040427816E-2</v>
      </c>
      <c r="AP5" s="1311">
        <f>Sales!AP4</f>
        <v>9.9295862225709589E-3</v>
      </c>
      <c r="AQ5" s="1383"/>
      <c r="AR5" s="692"/>
      <c r="AS5" s="692"/>
      <c r="AT5" s="692"/>
      <c r="AU5" s="692"/>
      <c r="AV5" s="692"/>
      <c r="AW5" s="692"/>
      <c r="AX5" s="692"/>
      <c r="AY5" s="692"/>
      <c r="AZ5" s="692"/>
      <c r="BA5" s="692"/>
      <c r="BB5"/>
      <c r="BC5"/>
      <c r="BD5"/>
      <c r="BE5"/>
      <c r="BF5"/>
      <c r="BG5"/>
      <c r="BH5" s="693"/>
      <c r="BI5" s="693"/>
      <c r="BJ5" s="694"/>
      <c r="BK5" s="694"/>
      <c r="BL5" s="694"/>
      <c r="BM5" s="694"/>
      <c r="BN5" s="694"/>
      <c r="BO5" s="693"/>
      <c r="BP5" s="693"/>
      <c r="BQ5" s="693"/>
      <c r="BR5" s="693"/>
      <c r="BS5" s="693"/>
      <c r="BT5" s="693"/>
      <c r="BU5" s="693"/>
      <c r="BV5" s="693"/>
      <c r="BW5" s="693"/>
      <c r="BX5" s="693"/>
      <c r="BY5" s="693"/>
      <c r="BZ5" s="693"/>
      <c r="CA5" s="693"/>
      <c r="CB5" s="693"/>
      <c r="CC5" s="693"/>
      <c r="CD5" s="693"/>
      <c r="CE5" s="693"/>
      <c r="CF5" s="693"/>
      <c r="CG5" s="693"/>
      <c r="CH5" s="693"/>
      <c r="CI5" s="693"/>
      <c r="CJ5" s="693"/>
      <c r="CK5" s="693"/>
      <c r="CL5" s="693"/>
      <c r="CM5" s="693"/>
      <c r="CN5" s="693"/>
      <c r="CO5" s="693"/>
      <c r="CP5" s="693"/>
      <c r="CQ5" s="693"/>
      <c r="CR5" s="693"/>
      <c r="CS5" s="693"/>
      <c r="CT5" s="693"/>
      <c r="CU5" s="693"/>
      <c r="CV5" s="693"/>
      <c r="CW5" s="693"/>
      <c r="CX5" s="693"/>
      <c r="CY5" s="693"/>
      <c r="CZ5" s="693"/>
      <c r="DA5" s="693"/>
      <c r="DB5" s="693"/>
      <c r="DC5" s="693"/>
      <c r="DD5" s="693"/>
      <c r="DE5" s="693"/>
      <c r="DF5" s="693"/>
      <c r="DG5" s="693"/>
      <c r="DH5" s="693"/>
      <c r="DI5" s="693"/>
      <c r="DJ5" s="693"/>
      <c r="DK5" s="693"/>
      <c r="DL5" s="693"/>
      <c r="DM5" s="693"/>
      <c r="DN5" s="693"/>
      <c r="DO5" s="693"/>
      <c r="DP5" s="693"/>
    </row>
    <row r="6" spans="1:120" s="695" customFormat="1">
      <c r="A6" s="685" t="s">
        <v>1834</v>
      </c>
      <c r="B6" s="686"/>
      <c r="C6" s="687"/>
      <c r="D6" s="687"/>
      <c r="E6" s="687"/>
      <c r="F6" s="687"/>
      <c r="G6" s="687"/>
      <c r="H6" s="1313">
        <f>H4-H5</f>
        <v>-1.8132513052980914E-2</v>
      </c>
      <c r="I6" s="1313">
        <f>I4-I5</f>
        <v>-7.8189537903458999E-3</v>
      </c>
      <c r="J6" s="1313">
        <f t="shared" ref="J6:Q6" si="6">J4-J5</f>
        <v>4.086534655739324E-2</v>
      </c>
      <c r="K6" s="1313">
        <f t="shared" si="6"/>
        <v>0</v>
      </c>
      <c r="L6" s="1313">
        <f t="shared" si="6"/>
        <v>0</v>
      </c>
      <c r="M6" s="1313">
        <f t="shared" si="6"/>
        <v>0</v>
      </c>
      <c r="N6" s="1313">
        <f t="shared" si="6"/>
        <v>0</v>
      </c>
      <c r="O6" s="1313">
        <f t="shared" si="6"/>
        <v>0</v>
      </c>
      <c r="P6" s="1313">
        <f t="shared" si="6"/>
        <v>0</v>
      </c>
      <c r="Q6" s="1313">
        <f t="shared" si="6"/>
        <v>0</v>
      </c>
      <c r="R6" s="1326"/>
      <c r="S6" s="1311"/>
      <c r="T6" s="1311"/>
      <c r="U6" s="1311"/>
      <c r="V6" s="1311"/>
      <c r="W6" s="1310"/>
      <c r="X6" s="1311"/>
      <c r="Y6" s="1311"/>
      <c r="Z6" s="1311"/>
      <c r="AA6" s="1310"/>
      <c r="AB6" s="1311"/>
      <c r="AC6" s="1311"/>
      <c r="AD6" s="1311"/>
      <c r="AE6" s="1310"/>
      <c r="AF6" s="1311"/>
      <c r="AG6" s="1311"/>
      <c r="AH6" s="1312"/>
      <c r="AI6" s="1310">
        <f>Sales!AI5</f>
        <v>-1.2029934572321434E-2</v>
      </c>
      <c r="AJ6" s="1311">
        <f>Sales!AJ5</f>
        <v>-1.3818166159451507E-2</v>
      </c>
      <c r="AK6" s="1311">
        <f>Sales!AK5</f>
        <v>1.0437037023717358E-2</v>
      </c>
      <c r="AL6" s="1312">
        <f>Sales!AL5</f>
        <v>2.7010921615556321E-2</v>
      </c>
      <c r="AM6" s="1311">
        <f>Sales!AM5</f>
        <v>6.0095328884652001E-2</v>
      </c>
      <c r="AN6" s="1311">
        <f>Sales!AN5</f>
        <v>5.3402267338982345E-2</v>
      </c>
      <c r="AO6" s="1311">
        <f>Sales!AO5</f>
        <v>2.4620423860730527E-2</v>
      </c>
      <c r="AP6" s="1311">
        <f>Sales!AP5</f>
        <v>2.5343366145208095E-2</v>
      </c>
      <c r="AQ6" s="1383"/>
      <c r="AR6" s="692"/>
      <c r="AS6" s="692"/>
      <c r="AT6" s="692"/>
      <c r="AU6" s="692"/>
      <c r="AV6" s="692"/>
      <c r="AW6" s="692"/>
      <c r="AX6" s="692"/>
      <c r="AY6" s="692"/>
      <c r="AZ6" s="692"/>
      <c r="BA6" s="692"/>
      <c r="BB6"/>
      <c r="BC6"/>
      <c r="BD6"/>
      <c r="BE6"/>
      <c r="BF6"/>
      <c r="BG6"/>
      <c r="BH6" s="693"/>
      <c r="BI6" s="693"/>
      <c r="BJ6" s="694"/>
      <c r="BK6" s="694"/>
      <c r="BL6" s="694"/>
      <c r="BM6" s="694"/>
      <c r="BN6" s="694"/>
      <c r="BO6" s="693"/>
      <c r="BP6" s="693"/>
      <c r="BQ6" s="693"/>
      <c r="BR6" s="693"/>
      <c r="BS6" s="693"/>
      <c r="BT6" s="693"/>
      <c r="BU6" s="693"/>
      <c r="BV6" s="693"/>
      <c r="BW6" s="693"/>
      <c r="BX6" s="693"/>
      <c r="BY6" s="693"/>
      <c r="BZ6" s="693"/>
      <c r="CA6" s="693"/>
      <c r="CB6" s="693"/>
      <c r="CC6" s="693"/>
      <c r="CD6" s="693"/>
      <c r="CE6" s="693"/>
      <c r="CF6" s="693"/>
      <c r="CG6" s="693"/>
      <c r="CH6" s="693"/>
      <c r="CI6" s="693"/>
      <c r="CJ6" s="693"/>
      <c r="CK6" s="693"/>
      <c r="CL6" s="693"/>
      <c r="CM6" s="693"/>
      <c r="CN6" s="693"/>
      <c r="CO6" s="693"/>
      <c r="CP6" s="693"/>
      <c r="CQ6" s="693"/>
      <c r="CR6" s="693"/>
      <c r="CS6" s="693"/>
      <c r="CT6" s="693"/>
      <c r="CU6" s="693"/>
      <c r="CV6" s="693"/>
      <c r="CW6" s="693"/>
      <c r="CX6" s="693"/>
      <c r="CY6" s="693"/>
      <c r="CZ6" s="693"/>
      <c r="DA6" s="693"/>
      <c r="DB6" s="693"/>
      <c r="DC6" s="693"/>
      <c r="DD6" s="693"/>
      <c r="DE6" s="693"/>
      <c r="DF6" s="693"/>
      <c r="DG6" s="693"/>
      <c r="DH6" s="693"/>
      <c r="DI6" s="693"/>
      <c r="DJ6" s="693"/>
      <c r="DK6" s="693"/>
      <c r="DL6" s="693"/>
      <c r="DM6" s="693"/>
      <c r="DN6" s="693"/>
      <c r="DO6" s="693"/>
      <c r="DP6" s="693"/>
    </row>
    <row r="7" spans="1:120" s="703" customFormat="1" hidden="1" outlineLevel="1">
      <c r="A7" s="705" t="s">
        <v>87</v>
      </c>
      <c r="B7" s="697"/>
      <c r="C7" s="697"/>
      <c r="D7" s="697"/>
      <c r="E7" s="706">
        <v>6051</v>
      </c>
      <c r="F7" s="706">
        <v>5816</v>
      </c>
      <c r="G7" s="706">
        <v>601</v>
      </c>
      <c r="H7" s="706"/>
      <c r="I7" s="706"/>
      <c r="J7" s="707"/>
      <c r="K7" s="707"/>
      <c r="L7" s="707"/>
      <c r="M7" s="707"/>
      <c r="N7" s="707"/>
      <c r="O7" s="707"/>
      <c r="P7" s="707"/>
      <c r="Q7" s="707"/>
      <c r="R7" s="708"/>
      <c r="S7" s="709">
        <v>1314</v>
      </c>
      <c r="T7" s="709">
        <v>1415</v>
      </c>
      <c r="U7" s="709">
        <v>1633</v>
      </c>
      <c r="V7" s="709">
        <v>1689</v>
      </c>
      <c r="W7" s="710">
        <v>1255</v>
      </c>
      <c r="X7" s="709">
        <v>1290</v>
      </c>
      <c r="Y7" s="709">
        <v>1713</v>
      </c>
      <c r="Z7" s="709">
        <v>1558</v>
      </c>
      <c r="AA7" s="710">
        <f>587-AB7</f>
        <v>548</v>
      </c>
      <c r="AB7" s="709">
        <v>39</v>
      </c>
      <c r="AC7" s="709">
        <v>14</v>
      </c>
      <c r="AD7" s="709">
        <f>G7-SUM(AA7:AC7)</f>
        <v>0</v>
      </c>
      <c r="AE7" s="710"/>
      <c r="AF7" s="709"/>
      <c r="AG7" s="709"/>
      <c r="AH7" s="711"/>
      <c r="AI7" s="710"/>
      <c r="AJ7" s="709"/>
      <c r="AK7" s="709"/>
      <c r="AL7" s="711"/>
      <c r="AM7" s="712"/>
      <c r="AN7" s="712"/>
      <c r="AO7" s="712"/>
      <c r="AP7" s="712"/>
      <c r="AQ7" s="1384"/>
      <c r="AR7" s="702"/>
      <c r="AS7" s="702"/>
      <c r="AT7" s="702"/>
      <c r="AU7" s="702"/>
      <c r="AV7" s="702"/>
      <c r="AW7" s="702"/>
      <c r="AX7" s="702"/>
      <c r="AY7" s="702"/>
      <c r="AZ7" s="702"/>
      <c r="BA7" s="702"/>
      <c r="BB7"/>
      <c r="BC7"/>
      <c r="BD7"/>
      <c r="BE7"/>
      <c r="BF7"/>
      <c r="BG7"/>
      <c r="BJ7" s="704"/>
      <c r="BK7" s="704"/>
      <c r="BL7" s="704"/>
      <c r="BM7" s="704"/>
      <c r="BN7" s="704"/>
    </row>
    <row r="8" spans="1:120" s="703" customFormat="1" hidden="1" outlineLevel="1">
      <c r="A8" s="705" t="s">
        <v>88</v>
      </c>
      <c r="B8" s="697"/>
      <c r="C8" s="697"/>
      <c r="D8" s="697"/>
      <c r="E8" s="706">
        <v>57920</v>
      </c>
      <c r="F8" s="706">
        <v>57996</v>
      </c>
      <c r="G8" s="706">
        <f t="shared" ref="G8:Q8" si="7">G3+G7</f>
        <v>50015</v>
      </c>
      <c r="H8" s="706">
        <f t="shared" si="7"/>
        <v>48518</v>
      </c>
      <c r="I8" s="706">
        <f t="shared" si="7"/>
        <v>49109</v>
      </c>
      <c r="J8" s="706">
        <f t="shared" si="7"/>
        <v>52257.86029421589</v>
      </c>
      <c r="K8" s="706">
        <f t="shared" si="7"/>
        <v>53311.369525681919</v>
      </c>
      <c r="L8" s="706">
        <f t="shared" si="7"/>
        <v>54983.750913794494</v>
      </c>
      <c r="M8" s="706">
        <f t="shared" si="7"/>
        <v>57005.038212037085</v>
      </c>
      <c r="N8" s="706">
        <f t="shared" si="7"/>
        <v>58206.58063878044</v>
      </c>
      <c r="O8" s="706">
        <f t="shared" si="7"/>
        <v>57674.975218288324</v>
      </c>
      <c r="P8" s="706">
        <f t="shared" si="7"/>
        <v>58416.956918083248</v>
      </c>
      <c r="Q8" s="706">
        <f t="shared" si="7"/>
        <v>59056.427094547711</v>
      </c>
      <c r="R8" s="708"/>
      <c r="S8" s="709">
        <v>14016</v>
      </c>
      <c r="T8" s="709">
        <v>14488</v>
      </c>
      <c r="U8" s="709">
        <v>14338</v>
      </c>
      <c r="V8" s="709">
        <v>15078</v>
      </c>
      <c r="W8" s="710">
        <v>14022</v>
      </c>
      <c r="X8" s="709">
        <v>14637</v>
      </c>
      <c r="Y8" s="709">
        <v>14704</v>
      </c>
      <c r="Z8" s="709">
        <v>14633</v>
      </c>
      <c r="AA8" s="710">
        <f t="shared" ref="AA8:AP8" si="8">AA3+AA7</f>
        <v>12483</v>
      </c>
      <c r="AB8" s="709">
        <f t="shared" si="8"/>
        <v>12733</v>
      </c>
      <c r="AC8" s="709">
        <f t="shared" si="8"/>
        <v>12279</v>
      </c>
      <c r="AD8" s="709">
        <f t="shared" si="8"/>
        <v>12520</v>
      </c>
      <c r="AE8" s="710">
        <f t="shared" si="8"/>
        <v>11600</v>
      </c>
      <c r="AF8" s="709">
        <f t="shared" si="8"/>
        <v>12470</v>
      </c>
      <c r="AG8" s="709">
        <f t="shared" si="8"/>
        <v>12126</v>
      </c>
      <c r="AH8" s="711">
        <f t="shared" si="8"/>
        <v>12322</v>
      </c>
      <c r="AI8" s="710">
        <f t="shared" si="8"/>
        <v>11539</v>
      </c>
      <c r="AJ8" s="709">
        <f t="shared" si="8"/>
        <v>12242</v>
      </c>
      <c r="AK8" s="709">
        <f t="shared" si="8"/>
        <v>12413.050232664675</v>
      </c>
      <c r="AL8" s="711">
        <f t="shared" si="8"/>
        <v>12914.949767335325</v>
      </c>
      <c r="AM8" s="709">
        <f t="shared" si="8"/>
        <v>12694</v>
      </c>
      <c r="AN8" s="709">
        <f t="shared" si="8"/>
        <v>13104.529357901018</v>
      </c>
      <c r="AO8" s="709">
        <f t="shared" si="8"/>
        <v>13088.832761004065</v>
      </c>
      <c r="AP8" s="709">
        <f t="shared" si="8"/>
        <v>13370.498175310804</v>
      </c>
      <c r="AQ8" s="1384"/>
      <c r="AR8" s="702"/>
      <c r="AS8" s="702"/>
      <c r="AT8" s="702"/>
      <c r="AU8" s="702"/>
      <c r="AV8" s="702"/>
      <c r="AW8" s="702"/>
      <c r="AX8" s="702"/>
      <c r="AY8" s="702"/>
      <c r="AZ8" s="702"/>
      <c r="BA8" s="702"/>
      <c r="BB8"/>
      <c r="BC8"/>
      <c r="BD8"/>
      <c r="BE8"/>
      <c r="BF8"/>
      <c r="BG8"/>
      <c r="BJ8" s="704"/>
      <c r="BK8" s="704"/>
      <c r="BL8" s="704"/>
      <c r="BM8" s="704"/>
      <c r="BN8" s="704"/>
    </row>
    <row r="9" spans="1:120" s="703" customFormat="1" hidden="1" outlineLevel="1">
      <c r="A9" s="696" t="s">
        <v>295</v>
      </c>
      <c r="B9" s="697"/>
      <c r="C9" s="697"/>
      <c r="D9" s="697"/>
      <c r="E9" s="697"/>
      <c r="F9" s="697">
        <v>0.11812450596695512</v>
      </c>
      <c r="G9" s="697">
        <f>G8/F8-1</f>
        <v>-0.13761293882336711</v>
      </c>
      <c r="H9" s="697">
        <f t="shared" ref="H9:Q9" si="9">H8/G8-1</f>
        <v>-2.9931020693791832E-2</v>
      </c>
      <c r="I9" s="697">
        <f t="shared" si="9"/>
        <v>1.2181046209654101E-2</v>
      </c>
      <c r="J9" s="697">
        <f t="shared" si="9"/>
        <v>6.4119821096253027E-2</v>
      </c>
      <c r="K9" s="697">
        <f t="shared" si="9"/>
        <v>2.0159823336330485E-2</v>
      </c>
      <c r="L9" s="697">
        <f t="shared" si="9"/>
        <v>3.137006989300728E-2</v>
      </c>
      <c r="M9" s="697">
        <f t="shared" si="9"/>
        <v>3.6761538902859492E-2</v>
      </c>
      <c r="N9" s="697">
        <f t="shared" si="9"/>
        <v>2.1077828634621376E-2</v>
      </c>
      <c r="O9" s="697">
        <f t="shared" si="9"/>
        <v>-9.1330810822090047E-3</v>
      </c>
      <c r="P9" s="697">
        <f t="shared" si="9"/>
        <v>1.2864881120220106E-2</v>
      </c>
      <c r="Q9" s="697">
        <f t="shared" si="9"/>
        <v>1.0946653338365087E-2</v>
      </c>
      <c r="R9" s="698"/>
      <c r="S9" s="699"/>
      <c r="T9" s="699"/>
      <c r="U9" s="699"/>
      <c r="V9" s="699"/>
      <c r="W9" s="700"/>
      <c r="X9" s="699"/>
      <c r="Y9" s="699"/>
      <c r="Z9" s="699"/>
      <c r="AA9" s="700">
        <f t="shared" ref="AA9:AH9" si="10">AA8/W8-1</f>
        <v>-0.1097560975609756</v>
      </c>
      <c r="AB9" s="699">
        <f t="shared" si="10"/>
        <v>-0.13008130081300817</v>
      </c>
      <c r="AC9" s="699">
        <f t="shared" si="10"/>
        <v>-0.16492110990206743</v>
      </c>
      <c r="AD9" s="699">
        <f t="shared" si="10"/>
        <v>-0.14439964463883004</v>
      </c>
      <c r="AE9" s="700">
        <f t="shared" si="10"/>
        <v>-7.0736201233677853E-2</v>
      </c>
      <c r="AF9" s="699">
        <f t="shared" si="10"/>
        <v>-2.0654990968349995E-2</v>
      </c>
      <c r="AG9" s="699">
        <f t="shared" si="10"/>
        <v>-1.2460298069875364E-2</v>
      </c>
      <c r="AH9" s="701">
        <f t="shared" si="10"/>
        <v>-1.5814696485622948E-2</v>
      </c>
      <c r="AI9" s="700">
        <f>AI8/AE8-1</f>
        <v>-5.2586206896552135E-3</v>
      </c>
      <c r="AJ9" s="699">
        <f>AJ8/AF8-1</f>
        <v>-1.8283881315156347E-2</v>
      </c>
      <c r="AK9" s="699">
        <f>AK8/AG8-1</f>
        <v>2.3672293638848263E-2</v>
      </c>
      <c r="AL9" s="701">
        <f>AL8/AH8-1</f>
        <v>4.8121227668830091E-2</v>
      </c>
      <c r="AM9" s="699">
        <f t="shared" ref="AM9:AP9" si="11">AM8/AI8-1</f>
        <v>0.100095328884652</v>
      </c>
      <c r="AN9" s="699">
        <f t="shared" si="11"/>
        <v>7.0456572284023578E-2</v>
      </c>
      <c r="AO9" s="699">
        <f t="shared" si="11"/>
        <v>5.4441294901158344E-2</v>
      </c>
      <c r="AP9" s="699">
        <f t="shared" si="11"/>
        <v>3.5272952367779054E-2</v>
      </c>
      <c r="AQ9" s="1384"/>
      <c r="AR9" s="702"/>
      <c r="AS9" s="702"/>
      <c r="AT9" s="702"/>
      <c r="AU9" s="702"/>
      <c r="AV9" s="702"/>
      <c r="AW9" s="702"/>
      <c r="AX9" s="702"/>
      <c r="AY9" s="702"/>
      <c r="AZ9" s="702"/>
      <c r="BA9" s="702"/>
      <c r="BB9"/>
      <c r="BC9"/>
      <c r="BD9"/>
      <c r="BE9"/>
      <c r="BF9"/>
      <c r="BG9"/>
      <c r="BJ9" s="704"/>
      <c r="BK9" s="704"/>
      <c r="BL9" s="704"/>
      <c r="BM9" s="704"/>
      <c r="BN9" s="704"/>
    </row>
    <row r="10" spans="1:120" s="693" customFormat="1" collapsed="1">
      <c r="A10" s="713" t="s">
        <v>89</v>
      </c>
      <c r="B10" s="714">
        <v>937</v>
      </c>
      <c r="C10" s="714">
        <v>809</v>
      </c>
      <c r="D10" s="714">
        <v>832</v>
      </c>
      <c r="E10" s="714">
        <v>626</v>
      </c>
      <c r="F10" s="714">
        <v>913</v>
      </c>
      <c r="G10" s="714">
        <f>G200+G329+G394+G271</f>
        <v>919</v>
      </c>
      <c r="H10" s="714">
        <f>H200+H329+H394+H271</f>
        <v>868</v>
      </c>
      <c r="I10" s="714">
        <f t="shared" ref="I10:Q10" si="12">I200+I329+I394+I271</f>
        <v>1026</v>
      </c>
      <c r="J10" s="714">
        <f t="shared" si="12"/>
        <v>1092.2384797969426</v>
      </c>
      <c r="K10" s="714">
        <f t="shared" si="12"/>
        <v>1102.4781542087978</v>
      </c>
      <c r="L10" s="714">
        <f t="shared" si="12"/>
        <v>1127.2473916124395</v>
      </c>
      <c r="M10" s="714">
        <f t="shared" si="12"/>
        <v>1163.9432806667512</v>
      </c>
      <c r="N10" s="714">
        <f t="shared" si="12"/>
        <v>1176.7258520521075</v>
      </c>
      <c r="O10" s="714">
        <f t="shared" si="12"/>
        <v>1140.1100612441649</v>
      </c>
      <c r="P10" s="714">
        <f t="shared" si="12"/>
        <v>1137.6663862443468</v>
      </c>
      <c r="Q10" s="714">
        <f t="shared" si="12"/>
        <v>1131.0249421034346</v>
      </c>
      <c r="R10" s="715"/>
      <c r="S10" s="716">
        <v>136</v>
      </c>
      <c r="T10" s="716">
        <v>150</v>
      </c>
      <c r="U10" s="716">
        <v>152</v>
      </c>
      <c r="V10" s="716">
        <v>188</v>
      </c>
      <c r="W10" s="717">
        <v>199</v>
      </c>
      <c r="X10" s="716">
        <v>236</v>
      </c>
      <c r="Y10" s="716">
        <v>254</v>
      </c>
      <c r="Z10" s="716">
        <v>224</v>
      </c>
      <c r="AA10" s="717">
        <f>AA200+AA329+AA394+AA271</f>
        <v>213</v>
      </c>
      <c r="AB10" s="716">
        <f>AB200+AB329+AB394+AB271</f>
        <v>202</v>
      </c>
      <c r="AC10" s="716">
        <f>AC200+AC329+AC394+AC271</f>
        <v>220</v>
      </c>
      <c r="AD10" s="716">
        <f>AD200+AD329+AD394+AD271</f>
        <v>284</v>
      </c>
      <c r="AE10" s="717">
        <f>AE202+AE329+AE394+AE271</f>
        <v>210</v>
      </c>
      <c r="AF10" s="716">
        <f>AF202+AF329+AF394+AF271</f>
        <v>209</v>
      </c>
      <c r="AG10" s="714">
        <f>AG202+AG329+AG394+AG271</f>
        <v>215</v>
      </c>
      <c r="AH10" s="718">
        <f>AH200+AH329+AH394+AH271</f>
        <v>234</v>
      </c>
      <c r="AI10" s="717">
        <f>AI200+AI329+AI394+AI271</f>
        <v>246</v>
      </c>
      <c r="AJ10" s="716">
        <f>AJ200+AJ329+AJ394+AJ271</f>
        <v>252</v>
      </c>
      <c r="AK10" s="716">
        <f>AK200+AK329+AK394+AK271</f>
        <v>279</v>
      </c>
      <c r="AL10" s="718">
        <f>AL200+AL329+AL394+AL271</f>
        <v>249</v>
      </c>
      <c r="AM10" s="716">
        <f t="shared" ref="AM10:AP10" si="13">AM200+AM329+AM394+AM271</f>
        <v>235</v>
      </c>
      <c r="AN10" s="716">
        <f t="shared" si="13"/>
        <v>269.6626232464464</v>
      </c>
      <c r="AO10" s="716">
        <f t="shared" si="13"/>
        <v>294.55503517860177</v>
      </c>
      <c r="AP10" s="716">
        <f t="shared" si="13"/>
        <v>293.02082137189427</v>
      </c>
      <c r="AQ10" s="1383"/>
      <c r="AR10" s="692"/>
      <c r="AS10" s="692"/>
      <c r="AT10" s="692"/>
      <c r="AU10" s="692"/>
      <c r="AV10" s="692"/>
      <c r="AW10" s="692"/>
      <c r="AX10" s="692"/>
      <c r="AY10" s="692"/>
      <c r="AZ10" s="692"/>
      <c r="BA10" s="692"/>
      <c r="BB10"/>
      <c r="BC10"/>
      <c r="BD10"/>
      <c r="BE10"/>
      <c r="BF10"/>
      <c r="BG10"/>
      <c r="BJ10" s="714"/>
      <c r="BK10" s="714"/>
      <c r="BL10" s="714"/>
      <c r="BM10" s="714"/>
      <c r="BN10" s="714"/>
    </row>
    <row r="11" spans="1:120" s="693" customFormat="1" hidden="1" outlineLevel="1">
      <c r="A11" s="713" t="s">
        <v>90</v>
      </c>
      <c r="B11" s="714"/>
      <c r="C11" s="714"/>
      <c r="D11" s="714"/>
      <c r="E11" s="714"/>
      <c r="F11" s="714">
        <v>65</v>
      </c>
      <c r="G11" s="714">
        <v>23</v>
      </c>
      <c r="H11" s="714"/>
      <c r="I11" s="714"/>
      <c r="J11" s="714"/>
      <c r="K11" s="714"/>
      <c r="L11" s="714"/>
      <c r="M11" s="714"/>
      <c r="N11" s="714"/>
      <c r="O11" s="714"/>
      <c r="P11" s="714"/>
      <c r="Q11" s="714"/>
      <c r="R11" s="715"/>
      <c r="S11" s="716"/>
      <c r="T11" s="716"/>
      <c r="U11" s="716"/>
      <c r="V11" s="716"/>
      <c r="W11" s="717">
        <v>18</v>
      </c>
      <c r="X11" s="716">
        <v>16</v>
      </c>
      <c r="Y11" s="716">
        <v>15</v>
      </c>
      <c r="Z11" s="716">
        <f>F11-SUM(W11:Y11)</f>
        <v>16</v>
      </c>
      <c r="AA11" s="717">
        <v>18</v>
      </c>
      <c r="AB11" s="716">
        <v>3</v>
      </c>
      <c r="AC11" s="716">
        <v>2</v>
      </c>
      <c r="AD11" s="716">
        <f>G11-SUM(AA11:AC11)</f>
        <v>0</v>
      </c>
      <c r="AE11" s="717">
        <v>0</v>
      </c>
      <c r="AF11" s="716">
        <v>0</v>
      </c>
      <c r="AG11" s="716"/>
      <c r="AH11" s="718"/>
      <c r="AI11" s="717">
        <v>0</v>
      </c>
      <c r="AJ11" s="716"/>
      <c r="AK11" s="716"/>
      <c r="AL11" s="718"/>
      <c r="AM11" s="716"/>
      <c r="AN11" s="716"/>
      <c r="AO11" s="716"/>
      <c r="AP11" s="716"/>
      <c r="AQ11" s="1383"/>
      <c r="AR11" s="692"/>
      <c r="AS11" s="692"/>
      <c r="AT11" s="692"/>
      <c r="AU11" s="692"/>
      <c r="AV11" s="692"/>
      <c r="AW11" s="692"/>
      <c r="AX11" s="692"/>
      <c r="AY11" s="692"/>
      <c r="AZ11" s="692"/>
      <c r="BA11" s="692"/>
      <c r="BB11"/>
      <c r="BC11"/>
      <c r="BD11"/>
      <c r="BE11"/>
      <c r="BF11"/>
      <c r="BG11"/>
      <c r="BJ11" s="714"/>
      <c r="BK11" s="714"/>
      <c r="BL11" s="714"/>
      <c r="BM11" s="714"/>
      <c r="BN11" s="714"/>
    </row>
    <row r="12" spans="1:120" s="693" customFormat="1" hidden="1" outlineLevel="1">
      <c r="A12" s="713" t="s">
        <v>91</v>
      </c>
      <c r="B12" s="714"/>
      <c r="C12" s="714"/>
      <c r="D12" s="714"/>
      <c r="E12" s="714"/>
      <c r="F12" s="714">
        <v>978</v>
      </c>
      <c r="G12" s="714">
        <f>G10+G11</f>
        <v>942</v>
      </c>
      <c r="H12" s="714"/>
      <c r="I12" s="714"/>
      <c r="J12" s="714"/>
      <c r="K12" s="714"/>
      <c r="L12" s="714"/>
      <c r="M12" s="714"/>
      <c r="N12" s="714"/>
      <c r="O12" s="714"/>
      <c r="P12" s="714"/>
      <c r="Q12" s="714"/>
      <c r="R12" s="715"/>
      <c r="S12" s="716"/>
      <c r="T12" s="716"/>
      <c r="U12" s="716"/>
      <c r="V12" s="716"/>
      <c r="W12" s="717">
        <f t="shared" ref="W12:AE12" si="14">W10+W11</f>
        <v>217</v>
      </c>
      <c r="X12" s="716">
        <f t="shared" si="14"/>
        <v>252</v>
      </c>
      <c r="Y12" s="716">
        <f t="shared" si="14"/>
        <v>269</v>
      </c>
      <c r="Z12" s="716">
        <f t="shared" si="14"/>
        <v>240</v>
      </c>
      <c r="AA12" s="717">
        <f t="shared" si="14"/>
        <v>231</v>
      </c>
      <c r="AB12" s="716">
        <f t="shared" si="14"/>
        <v>205</v>
      </c>
      <c r="AC12" s="716">
        <f t="shared" si="14"/>
        <v>222</v>
      </c>
      <c r="AD12" s="716">
        <f t="shared" si="14"/>
        <v>284</v>
      </c>
      <c r="AE12" s="717">
        <f t="shared" si="14"/>
        <v>210</v>
      </c>
      <c r="AF12" s="716">
        <f>AF10+AF11</f>
        <v>209</v>
      </c>
      <c r="AG12" s="716"/>
      <c r="AH12" s="718"/>
      <c r="AI12" s="717">
        <f>AI10+AI11</f>
        <v>246</v>
      </c>
      <c r="AJ12" s="716"/>
      <c r="AK12" s="716"/>
      <c r="AL12" s="718"/>
      <c r="AM12" s="716"/>
      <c r="AN12" s="716"/>
      <c r="AO12" s="716"/>
      <c r="AP12" s="716"/>
      <c r="AQ12" s="1383"/>
      <c r="AR12" s="692"/>
      <c r="AS12" s="692"/>
      <c r="AT12" s="692"/>
      <c r="AU12" s="692"/>
      <c r="AV12" s="692"/>
      <c r="AW12" s="692"/>
      <c r="AX12" s="692"/>
      <c r="AY12" s="692"/>
      <c r="AZ12" s="692"/>
      <c r="BA12" s="692"/>
      <c r="BB12"/>
      <c r="BC12"/>
      <c r="BD12"/>
      <c r="BE12"/>
      <c r="BF12"/>
      <c r="BG12"/>
      <c r="BJ12" s="714"/>
      <c r="BK12" s="714"/>
      <c r="BL12" s="714"/>
      <c r="BM12" s="714"/>
      <c r="BN12" s="714"/>
    </row>
    <row r="13" spans="1:120" s="693" customFormat="1" collapsed="1">
      <c r="A13" s="713" t="s">
        <v>92</v>
      </c>
      <c r="B13" s="714">
        <v>-14488</v>
      </c>
      <c r="C13" s="714">
        <v>-15609</v>
      </c>
      <c r="D13" s="714">
        <v>-15658</v>
      </c>
      <c r="E13" s="714">
        <v>-13703</v>
      </c>
      <c r="F13" s="714">
        <v>-14272</v>
      </c>
      <c r="G13" s="714">
        <f>G203+G330+G397+G272-G388</f>
        <v>-13433</v>
      </c>
      <c r="H13" s="714">
        <f t="shared" ref="H13:Q13" si="15">H203+H330+H397+H272-H388</f>
        <v>-13580</v>
      </c>
      <c r="I13" s="714">
        <f t="shared" si="15"/>
        <v>-13557</v>
      </c>
      <c r="J13" s="714">
        <f t="shared" si="15"/>
        <v>-14297.106424492</v>
      </c>
      <c r="K13" s="714">
        <f t="shared" si="15"/>
        <v>-14522.716410777019</v>
      </c>
      <c r="L13" s="714">
        <f t="shared" si="15"/>
        <v>-14851.14109709713</v>
      </c>
      <c r="M13" s="714">
        <f t="shared" si="15"/>
        <v>-15174.416195889507</v>
      </c>
      <c r="N13" s="714">
        <f t="shared" si="15"/>
        <v>-15124.006073421844</v>
      </c>
      <c r="O13" s="714">
        <f t="shared" si="15"/>
        <v>-14902.900142764162</v>
      </c>
      <c r="P13" s="714">
        <f t="shared" si="15"/>
        <v>-15039.124778919138</v>
      </c>
      <c r="Q13" s="714">
        <f t="shared" si="15"/>
        <v>-15295.637556579381</v>
      </c>
      <c r="R13" s="715"/>
      <c r="S13" s="716">
        <v>-3224</v>
      </c>
      <c r="T13" s="716">
        <v>-3381</v>
      </c>
      <c r="U13" s="716">
        <v>-3403</v>
      </c>
      <c r="V13" s="716">
        <v>-3695</v>
      </c>
      <c r="W13" s="717">
        <f t="shared" ref="W13:AH13" si="16">W203+W330+W397+W272-W388</f>
        <v>-3349</v>
      </c>
      <c r="X13" s="716">
        <f t="shared" si="16"/>
        <v>-3601</v>
      </c>
      <c r="Y13" s="716">
        <f t="shared" si="16"/>
        <v>-3624</v>
      </c>
      <c r="Z13" s="716">
        <f>Z203+Z330+Z397+Z272-Z388</f>
        <v>-3698</v>
      </c>
      <c r="AA13" s="717">
        <f t="shared" si="16"/>
        <v>-3158</v>
      </c>
      <c r="AB13" s="716">
        <f t="shared" si="16"/>
        <v>-3358</v>
      </c>
      <c r="AC13" s="716">
        <f t="shared" si="16"/>
        <v>-3377</v>
      </c>
      <c r="AD13" s="716">
        <f t="shared" si="16"/>
        <v>-3540</v>
      </c>
      <c r="AE13" s="717">
        <f t="shared" si="16"/>
        <v>-3248</v>
      </c>
      <c r="AF13" s="716">
        <f t="shared" si="16"/>
        <v>-3472</v>
      </c>
      <c r="AG13" s="714">
        <f t="shared" si="16"/>
        <v>-3370</v>
      </c>
      <c r="AH13" s="718">
        <f t="shared" si="16"/>
        <v>-3490</v>
      </c>
      <c r="AI13" s="717">
        <f>AI203+AI330+AI397+AI272-AI388</f>
        <v>-3211</v>
      </c>
      <c r="AJ13" s="716">
        <f>AJ203+AJ330+AJ397+AJ272-AJ388</f>
        <v>-3347</v>
      </c>
      <c r="AK13" s="716">
        <f>AK203+AK330+AK397+AK272-AK388</f>
        <v>-3448</v>
      </c>
      <c r="AL13" s="718">
        <f>AL203+AL330+AL397+AL272-AL388</f>
        <v>-3551</v>
      </c>
      <c r="AM13" s="716">
        <f t="shared" ref="AM13:AP13" si="17">AM203+AM330+AM397+AM272-AM388</f>
        <v>-3404</v>
      </c>
      <c r="AN13" s="716">
        <f t="shared" si="17"/>
        <v>-3603.1142762929367</v>
      </c>
      <c r="AO13" s="716">
        <f t="shared" si="17"/>
        <v>-3624.9562066004341</v>
      </c>
      <c r="AP13" s="716">
        <f t="shared" si="17"/>
        <v>-3665.0359415986291</v>
      </c>
      <c r="AQ13" s="1383"/>
      <c r="AR13" s="692"/>
      <c r="AS13" s="692"/>
      <c r="AT13" s="692"/>
      <c r="AU13" s="692"/>
      <c r="AV13" s="692"/>
      <c r="AW13" s="692"/>
      <c r="AX13" s="692"/>
      <c r="AY13" s="692"/>
      <c r="AZ13" s="692"/>
      <c r="BA13" s="692"/>
      <c r="BB13"/>
      <c r="BC13"/>
      <c r="BD13"/>
      <c r="BE13"/>
      <c r="BF13"/>
      <c r="BG13"/>
      <c r="BJ13" s="714"/>
      <c r="BK13" s="714"/>
      <c r="BL13" s="714"/>
      <c r="BM13" s="714"/>
      <c r="BN13" s="714"/>
    </row>
    <row r="14" spans="1:120" s="693" customFormat="1" hidden="1" outlineLevel="1">
      <c r="A14" s="713" t="s">
        <v>93</v>
      </c>
      <c r="B14" s="714"/>
      <c r="C14" s="714"/>
      <c r="D14" s="714"/>
      <c r="E14" s="714"/>
      <c r="F14" s="714">
        <v>-2609</v>
      </c>
      <c r="G14" s="714">
        <v>-370</v>
      </c>
      <c r="H14" s="714"/>
      <c r="I14" s="714"/>
      <c r="J14" s="714"/>
      <c r="K14" s="714"/>
      <c r="L14" s="714"/>
      <c r="M14" s="714"/>
      <c r="N14" s="714"/>
      <c r="O14" s="714"/>
      <c r="P14" s="714"/>
      <c r="Q14" s="714"/>
      <c r="R14" s="715"/>
      <c r="S14" s="716"/>
      <c r="T14" s="716"/>
      <c r="U14" s="716"/>
      <c r="V14" s="716"/>
      <c r="W14" s="717">
        <v>-605</v>
      </c>
      <c r="X14" s="716">
        <v>-580</v>
      </c>
      <c r="Y14" s="716">
        <v>-726</v>
      </c>
      <c r="Z14" s="716">
        <v>-698</v>
      </c>
      <c r="AA14" s="717">
        <f>-277-AA389</f>
        <v>-260</v>
      </c>
      <c r="AB14" s="716">
        <v>-59</v>
      </c>
      <c r="AC14" s="716">
        <f>AC399-AC389</f>
        <v>0</v>
      </c>
      <c r="AD14" s="716">
        <f>G14-SUM(AA14:AC14)</f>
        <v>-51</v>
      </c>
      <c r="AE14" s="717"/>
      <c r="AF14" s="716"/>
      <c r="AG14" s="716"/>
      <c r="AH14" s="718"/>
      <c r="AI14" s="717"/>
      <c r="AJ14" s="716"/>
      <c r="AK14" s="716"/>
      <c r="AL14" s="718"/>
      <c r="AM14" s="716"/>
      <c r="AN14" s="716"/>
      <c r="AO14" s="716"/>
      <c r="AP14" s="716"/>
      <c r="AQ14" s="1383"/>
      <c r="AR14" s="692"/>
      <c r="AS14" s="692"/>
      <c r="AT14" s="692"/>
      <c r="AU14" s="692"/>
      <c r="AV14" s="692"/>
      <c r="AW14" s="692"/>
      <c r="AX14" s="692"/>
      <c r="AY14" s="692"/>
      <c r="AZ14" s="692"/>
      <c r="BA14" s="692"/>
      <c r="BB14"/>
      <c r="BC14"/>
      <c r="BD14"/>
      <c r="BE14"/>
      <c r="BF14"/>
      <c r="BG14"/>
      <c r="BJ14" s="714"/>
      <c r="BK14" s="714"/>
      <c r="BL14" s="714"/>
      <c r="BM14" s="714"/>
      <c r="BN14" s="714"/>
    </row>
    <row r="15" spans="1:120" s="693" customFormat="1" hidden="1" outlineLevel="1">
      <c r="A15" s="713" t="s">
        <v>94</v>
      </c>
      <c r="B15" s="714"/>
      <c r="C15" s="714"/>
      <c r="D15" s="714"/>
      <c r="E15" s="714"/>
      <c r="F15" s="714">
        <v>-16881</v>
      </c>
      <c r="G15" s="714">
        <f>G13+G14</f>
        <v>-13803</v>
      </c>
      <c r="H15" s="714">
        <f t="shared" ref="H15:Q15" si="18">H13+H14</f>
        <v>-13580</v>
      </c>
      <c r="I15" s="714">
        <f t="shared" si="18"/>
        <v>-13557</v>
      </c>
      <c r="J15" s="714">
        <f t="shared" si="18"/>
        <v>-14297.106424492</v>
      </c>
      <c r="K15" s="714">
        <f t="shared" si="18"/>
        <v>-14522.716410777019</v>
      </c>
      <c r="L15" s="714">
        <f t="shared" si="18"/>
        <v>-14851.14109709713</v>
      </c>
      <c r="M15" s="714">
        <f t="shared" si="18"/>
        <v>-15174.416195889507</v>
      </c>
      <c r="N15" s="714">
        <f t="shared" si="18"/>
        <v>-15124.006073421844</v>
      </c>
      <c r="O15" s="714">
        <f t="shared" si="18"/>
        <v>-14902.900142764162</v>
      </c>
      <c r="P15" s="714">
        <f t="shared" si="18"/>
        <v>-15039.124778919138</v>
      </c>
      <c r="Q15" s="714">
        <f t="shared" si="18"/>
        <v>-15295.637556579381</v>
      </c>
      <c r="R15" s="715"/>
      <c r="S15" s="716"/>
      <c r="T15" s="716"/>
      <c r="U15" s="716"/>
      <c r="V15" s="716"/>
      <c r="W15" s="717">
        <f t="shared" ref="W15:AC15" si="19">W13+W14</f>
        <v>-3954</v>
      </c>
      <c r="X15" s="716">
        <f t="shared" si="19"/>
        <v>-4181</v>
      </c>
      <c r="Y15" s="716">
        <f t="shared" si="19"/>
        <v>-4350</v>
      </c>
      <c r="Z15" s="716">
        <f t="shared" si="19"/>
        <v>-4396</v>
      </c>
      <c r="AA15" s="717">
        <f t="shared" si="19"/>
        <v>-3418</v>
      </c>
      <c r="AB15" s="716">
        <f t="shared" si="19"/>
        <v>-3417</v>
      </c>
      <c r="AC15" s="716">
        <f t="shared" si="19"/>
        <v>-3377</v>
      </c>
      <c r="AD15" s="716">
        <f>G15-SUM(AA15:AC15)</f>
        <v>-3591</v>
      </c>
      <c r="AE15" s="717">
        <f t="shared" ref="AE15:AP15" si="20">AE13+AE14</f>
        <v>-3248</v>
      </c>
      <c r="AF15" s="716">
        <f t="shared" si="20"/>
        <v>-3472</v>
      </c>
      <c r="AG15" s="714">
        <f t="shared" si="20"/>
        <v>-3370</v>
      </c>
      <c r="AH15" s="718">
        <f t="shared" si="20"/>
        <v>-3490</v>
      </c>
      <c r="AI15" s="717">
        <f t="shared" si="20"/>
        <v>-3211</v>
      </c>
      <c r="AJ15" s="716">
        <f t="shared" si="20"/>
        <v>-3347</v>
      </c>
      <c r="AK15" s="716">
        <f t="shared" si="20"/>
        <v>-3448</v>
      </c>
      <c r="AL15" s="718">
        <f t="shared" si="20"/>
        <v>-3551</v>
      </c>
      <c r="AM15" s="716">
        <f t="shared" si="20"/>
        <v>-3404</v>
      </c>
      <c r="AN15" s="716">
        <f t="shared" si="20"/>
        <v>-3603.1142762929367</v>
      </c>
      <c r="AO15" s="716">
        <f t="shared" si="20"/>
        <v>-3624.9562066004341</v>
      </c>
      <c r="AP15" s="716">
        <f t="shared" si="20"/>
        <v>-3665.0359415986291</v>
      </c>
      <c r="AQ15" s="1383"/>
      <c r="AR15" s="692"/>
      <c r="AS15" s="692"/>
      <c r="AT15" s="692"/>
      <c r="AU15" s="692"/>
      <c r="AV15" s="692"/>
      <c r="AW15" s="692"/>
      <c r="AX15" s="692"/>
      <c r="AY15" s="692"/>
      <c r="AZ15" s="692"/>
      <c r="BA15" s="692"/>
      <c r="BB15"/>
      <c r="BC15"/>
      <c r="BD15"/>
      <c r="BE15"/>
      <c r="BF15"/>
      <c r="BG15"/>
      <c r="BJ15" s="714"/>
      <c r="BK15" s="714"/>
      <c r="BL15" s="714"/>
      <c r="BM15" s="714"/>
      <c r="BN15" s="714"/>
    </row>
    <row r="16" spans="1:120" s="693" customFormat="1" hidden="1" outlineLevel="1">
      <c r="A16" s="713" t="s">
        <v>96</v>
      </c>
      <c r="B16" s="714">
        <v>-2345</v>
      </c>
      <c r="C16" s="714">
        <v>-2482.5204407545734</v>
      </c>
      <c r="D16" s="714">
        <v>-3452</v>
      </c>
      <c r="E16" s="714">
        <v>-4536</v>
      </c>
      <c r="F16" s="714"/>
      <c r="G16" s="714"/>
      <c r="H16" s="714"/>
      <c r="I16" s="714"/>
      <c r="J16" s="714"/>
      <c r="K16" s="714"/>
      <c r="L16" s="714"/>
      <c r="M16" s="714"/>
      <c r="N16" s="714"/>
      <c r="O16" s="714"/>
      <c r="P16" s="714"/>
      <c r="Q16" s="714"/>
      <c r="R16" s="715"/>
      <c r="S16" s="716">
        <v>-1070</v>
      </c>
      <c r="T16" s="716">
        <v>-1124</v>
      </c>
      <c r="U16" s="716">
        <v>-1121</v>
      </c>
      <c r="V16" s="716">
        <v>-1221</v>
      </c>
      <c r="W16" s="717"/>
      <c r="X16" s="716"/>
      <c r="Y16" s="716"/>
      <c r="Z16" s="716"/>
      <c r="AA16" s="717"/>
      <c r="AB16" s="716"/>
      <c r="AC16" s="716"/>
      <c r="AD16" s="716"/>
      <c r="AE16" s="717"/>
      <c r="AF16" s="716"/>
      <c r="AG16" s="716"/>
      <c r="AH16" s="718"/>
      <c r="AI16" s="717"/>
      <c r="AJ16" s="716"/>
      <c r="AK16" s="716"/>
      <c r="AL16" s="718"/>
      <c r="AM16" s="716"/>
      <c r="AN16" s="716"/>
      <c r="AO16" s="716"/>
      <c r="AP16" s="716"/>
      <c r="AQ16" s="1383"/>
      <c r="AR16" s="692"/>
      <c r="AS16" s="692"/>
      <c r="AT16" s="692"/>
      <c r="AU16" s="692"/>
      <c r="AV16" s="692"/>
      <c r="AW16" s="692"/>
      <c r="AX16" s="692"/>
      <c r="AY16" s="692"/>
      <c r="AZ16" s="692"/>
      <c r="BA16" s="692"/>
      <c r="BB16"/>
      <c r="BC16"/>
      <c r="BD16"/>
      <c r="BE16"/>
      <c r="BF16"/>
      <c r="BG16"/>
      <c r="BJ16" s="714"/>
      <c r="BK16" s="714"/>
      <c r="BL16" s="714"/>
      <c r="BM16" s="714"/>
      <c r="BN16" s="714"/>
    </row>
    <row r="17" spans="1:120" s="695" customFormat="1" collapsed="1">
      <c r="A17" s="678" t="s">
        <v>97</v>
      </c>
      <c r="B17" s="680">
        <v>37073</v>
      </c>
      <c r="C17" s="680">
        <v>43766</v>
      </c>
      <c r="D17" s="680">
        <v>41847</v>
      </c>
      <c r="E17" s="680">
        <v>38792</v>
      </c>
      <c r="F17" s="680">
        <v>38821</v>
      </c>
      <c r="G17" s="680">
        <f t="shared" ref="G17:Q17" si="21">G13+G10+G3</f>
        <v>36900</v>
      </c>
      <c r="H17" s="680">
        <f t="shared" si="21"/>
        <v>35806</v>
      </c>
      <c r="I17" s="680">
        <f t="shared" si="21"/>
        <v>36578</v>
      </c>
      <c r="J17" s="680">
        <f t="shared" si="21"/>
        <v>39052.992349520835</v>
      </c>
      <c r="K17" s="680">
        <f t="shared" si="21"/>
        <v>39891.131269113699</v>
      </c>
      <c r="L17" s="680">
        <f t="shared" si="21"/>
        <v>41259.857208309804</v>
      </c>
      <c r="M17" s="680">
        <f t="shared" si="21"/>
        <v>42994.565296814326</v>
      </c>
      <c r="N17" s="680">
        <f t="shared" si="21"/>
        <v>44259.300417410705</v>
      </c>
      <c r="O17" s="680">
        <f t="shared" si="21"/>
        <v>43912.185136768327</v>
      </c>
      <c r="P17" s="680">
        <f t="shared" si="21"/>
        <v>44515.49852540846</v>
      </c>
      <c r="Q17" s="680">
        <f t="shared" si="21"/>
        <v>44891.814480071764</v>
      </c>
      <c r="R17" s="719"/>
      <c r="S17" s="682">
        <v>9614</v>
      </c>
      <c r="T17" s="682">
        <v>9842</v>
      </c>
      <c r="U17" s="682">
        <v>9454</v>
      </c>
      <c r="V17" s="682">
        <v>9882</v>
      </c>
      <c r="W17" s="683">
        <f t="shared" ref="W17:AP17" si="22">W13+W10+W3</f>
        <v>9617</v>
      </c>
      <c r="X17" s="682">
        <f t="shared" si="22"/>
        <v>9982</v>
      </c>
      <c r="Y17" s="682">
        <f t="shared" si="22"/>
        <v>9621</v>
      </c>
      <c r="Z17" s="682">
        <f t="shared" si="22"/>
        <v>9601</v>
      </c>
      <c r="AA17" s="683">
        <f t="shared" si="22"/>
        <v>8990</v>
      </c>
      <c r="AB17" s="682">
        <f t="shared" si="22"/>
        <v>9538</v>
      </c>
      <c r="AC17" s="682">
        <f t="shared" si="22"/>
        <v>9108</v>
      </c>
      <c r="AD17" s="682">
        <f t="shared" si="22"/>
        <v>9264</v>
      </c>
      <c r="AE17" s="683">
        <f t="shared" si="22"/>
        <v>8562</v>
      </c>
      <c r="AF17" s="682">
        <f t="shared" si="22"/>
        <v>9207</v>
      </c>
      <c r="AG17" s="680">
        <f t="shared" si="22"/>
        <v>8971</v>
      </c>
      <c r="AH17" s="684">
        <f t="shared" si="22"/>
        <v>9066</v>
      </c>
      <c r="AI17" s="683">
        <f t="shared" si="22"/>
        <v>8574</v>
      </c>
      <c r="AJ17" s="682">
        <f t="shared" si="22"/>
        <v>9147</v>
      </c>
      <c r="AK17" s="682">
        <f t="shared" si="22"/>
        <v>9244.0502326646747</v>
      </c>
      <c r="AL17" s="684">
        <f t="shared" si="22"/>
        <v>9612.9497673353253</v>
      </c>
      <c r="AM17" s="682">
        <f t="shared" si="22"/>
        <v>9525</v>
      </c>
      <c r="AN17" s="682">
        <f t="shared" si="22"/>
        <v>9771.0777048545278</v>
      </c>
      <c r="AO17" s="682">
        <f t="shared" si="22"/>
        <v>9758.4315895822328</v>
      </c>
      <c r="AP17" s="682">
        <f t="shared" si="22"/>
        <v>9998.4830550840688</v>
      </c>
      <c r="AQ17" s="1383"/>
      <c r="AR17" s="692"/>
      <c r="AS17" s="692"/>
      <c r="AT17" s="692"/>
      <c r="AU17" s="692"/>
      <c r="AV17" s="692"/>
      <c r="AW17" s="692"/>
      <c r="AX17" s="692"/>
      <c r="AY17" s="692"/>
      <c r="AZ17" s="692"/>
      <c r="BA17" s="692"/>
      <c r="BB17"/>
      <c r="BC17"/>
      <c r="BD17"/>
      <c r="BE17"/>
      <c r="BF17"/>
      <c r="BG17"/>
      <c r="BH17" s="693"/>
      <c r="BI17" s="693"/>
      <c r="BJ17" s="720"/>
      <c r="BK17" s="720"/>
      <c r="BL17" s="720"/>
      <c r="BM17" s="720"/>
      <c r="BN17" s="720"/>
      <c r="BO17" s="693"/>
      <c r="BP17" s="693"/>
      <c r="BQ17" s="693"/>
      <c r="BR17" s="693"/>
      <c r="BS17" s="693"/>
      <c r="BT17" s="693"/>
      <c r="BU17" s="693"/>
      <c r="BV17" s="693"/>
      <c r="BW17" s="693"/>
      <c r="BX17" s="693"/>
      <c r="BY17" s="693"/>
      <c r="BZ17" s="693"/>
      <c r="CA17" s="693"/>
      <c r="CB17" s="693"/>
      <c r="CC17" s="693"/>
      <c r="CD17" s="693"/>
      <c r="CE17" s="693"/>
      <c r="CF17" s="693"/>
      <c r="CG17" s="693"/>
      <c r="CH17" s="693"/>
      <c r="CI17" s="693"/>
      <c r="CJ17" s="693"/>
      <c r="CK17" s="693"/>
      <c r="CL17" s="693"/>
      <c r="CM17" s="693"/>
      <c r="CN17" s="693"/>
      <c r="CO17" s="693"/>
      <c r="CP17" s="693"/>
      <c r="CQ17" s="693"/>
      <c r="CR17" s="693"/>
      <c r="CS17" s="693"/>
      <c r="CT17" s="693"/>
      <c r="CU17" s="693"/>
      <c r="CV17" s="693"/>
      <c r="CW17" s="693"/>
      <c r="CX17" s="693"/>
      <c r="CY17" s="693"/>
      <c r="CZ17" s="693"/>
      <c r="DA17" s="693"/>
      <c r="DB17" s="693"/>
      <c r="DC17" s="693"/>
      <c r="DD17" s="693"/>
      <c r="DE17" s="693"/>
      <c r="DF17" s="693"/>
      <c r="DG17" s="693"/>
      <c r="DH17" s="693"/>
      <c r="DI17" s="693"/>
      <c r="DJ17" s="693"/>
      <c r="DK17" s="693"/>
      <c r="DL17" s="693"/>
      <c r="DM17" s="693"/>
      <c r="DN17" s="693"/>
      <c r="DO17" s="693"/>
      <c r="DP17" s="693"/>
    </row>
    <row r="18" spans="1:120" s="695" customFormat="1">
      <c r="A18" s="685" t="s">
        <v>98</v>
      </c>
      <c r="B18" s="686">
        <v>0.73232063843236406</v>
      </c>
      <c r="C18" s="686">
        <v>0.74729365160673433</v>
      </c>
      <c r="D18" s="686">
        <v>0.73839394420623572</v>
      </c>
      <c r="E18" s="686">
        <v>0.74788409261794131</v>
      </c>
      <c r="F18" s="686">
        <v>0.74398236872364887</v>
      </c>
      <c r="G18" s="686">
        <f t="shared" ref="G18:Q18" si="23">G17/G3</f>
        <v>0.74675193265066575</v>
      </c>
      <c r="H18" s="686">
        <f t="shared" si="23"/>
        <v>0.73799414650232908</v>
      </c>
      <c r="I18" s="686">
        <f t="shared" si="23"/>
        <v>0.7448329226821967</v>
      </c>
      <c r="J18" s="686">
        <f t="shared" si="23"/>
        <v>0.74731326789212948</v>
      </c>
      <c r="K18" s="686">
        <f t="shared" si="23"/>
        <v>0.74826686359833183</v>
      </c>
      <c r="L18" s="686">
        <f t="shared" si="23"/>
        <v>0.75040091886416582</v>
      </c>
      <c r="M18" s="686">
        <f t="shared" si="23"/>
        <v>0.75422395362478101</v>
      </c>
      <c r="N18" s="686">
        <f t="shared" si="23"/>
        <v>0.76038310327960945</v>
      </c>
      <c r="O18" s="686">
        <f t="shared" si="23"/>
        <v>0.76137328140271288</v>
      </c>
      <c r="P18" s="686">
        <f t="shared" si="23"/>
        <v>0.76203042530667109</v>
      </c>
      <c r="Q18" s="686">
        <f t="shared" si="23"/>
        <v>0.76015120942215497</v>
      </c>
      <c r="R18" s="721"/>
      <c r="S18" s="722">
        <v>0.75688867894819711</v>
      </c>
      <c r="T18" s="722">
        <v>0.75284938422703285</v>
      </c>
      <c r="U18" s="722">
        <v>0.74411648957103504</v>
      </c>
      <c r="V18" s="722">
        <v>0.73806856374635899</v>
      </c>
      <c r="W18" s="723">
        <f t="shared" ref="W18:AP18" si="24">W17/W3</f>
        <v>0.75327014960444894</v>
      </c>
      <c r="X18" s="722">
        <f t="shared" si="24"/>
        <v>0.74788341949501758</v>
      </c>
      <c r="Y18" s="722">
        <f t="shared" si="24"/>
        <v>0.74058963898083285</v>
      </c>
      <c r="Z18" s="722">
        <f t="shared" si="24"/>
        <v>0.73430210325047807</v>
      </c>
      <c r="AA18" s="723">
        <f t="shared" si="24"/>
        <v>0.75324675324675328</v>
      </c>
      <c r="AB18" s="722">
        <f t="shared" si="24"/>
        <v>0.75137860406491253</v>
      </c>
      <c r="AC18" s="722">
        <f t="shared" si="24"/>
        <v>0.74260089686098651</v>
      </c>
      <c r="AD18" s="722">
        <f t="shared" si="24"/>
        <v>0.7399361022364217</v>
      </c>
      <c r="AE18" s="723">
        <f t="shared" si="24"/>
        <v>0.73810344827586205</v>
      </c>
      <c r="AF18" s="722">
        <f t="shared" si="24"/>
        <v>0.73833199679230155</v>
      </c>
      <c r="AG18" s="686">
        <f t="shared" si="24"/>
        <v>0.73981527296717797</v>
      </c>
      <c r="AH18" s="724">
        <f t="shared" si="24"/>
        <v>0.7357571822756046</v>
      </c>
      <c r="AI18" s="723">
        <f t="shared" si="24"/>
        <v>0.74304532455152095</v>
      </c>
      <c r="AJ18" s="722">
        <f t="shared" si="24"/>
        <v>0.74718183303381802</v>
      </c>
      <c r="AK18" s="722">
        <f t="shared" si="24"/>
        <v>0.74470416693708008</v>
      </c>
      <c r="AL18" s="724">
        <f t="shared" si="24"/>
        <v>0.74432730599142827</v>
      </c>
      <c r="AM18" s="722">
        <f t="shared" si="24"/>
        <v>0.75035449818812039</v>
      </c>
      <c r="AN18" s="722">
        <f t="shared" si="24"/>
        <v>0.7456259922042392</v>
      </c>
      <c r="AO18" s="722">
        <f t="shared" si="24"/>
        <v>0.74555399765331309</v>
      </c>
      <c r="AP18" s="722">
        <f t="shared" si="24"/>
        <v>0.74780183385737231</v>
      </c>
      <c r="AQ18" s="1383"/>
      <c r="AR18" s="692"/>
      <c r="AS18" s="692"/>
      <c r="AT18" s="692"/>
      <c r="AU18" s="692"/>
      <c r="AV18" s="692"/>
      <c r="AW18" s="692"/>
      <c r="AX18" s="692"/>
      <c r="AY18" s="692"/>
      <c r="AZ18" s="692"/>
      <c r="BA18" s="692"/>
      <c r="BB18"/>
      <c r="BC18"/>
      <c r="BD18"/>
      <c r="BE18"/>
      <c r="BF18"/>
      <c r="BG18"/>
      <c r="BH18" s="693"/>
      <c r="BI18" s="693"/>
      <c r="BJ18" s="725"/>
      <c r="BK18" s="725"/>
      <c r="BL18" s="725"/>
      <c r="BM18" s="725"/>
      <c r="BN18" s="725"/>
      <c r="BO18" s="693"/>
      <c r="BP18" s="693"/>
      <c r="BQ18" s="693"/>
      <c r="BR18" s="693"/>
      <c r="BS18" s="693"/>
      <c r="BT18" s="693"/>
      <c r="BU18" s="693"/>
      <c r="BV18" s="693"/>
      <c r="BW18" s="693"/>
      <c r="BX18" s="693"/>
      <c r="BY18" s="693"/>
      <c r="BZ18" s="693"/>
      <c r="CA18" s="693"/>
      <c r="CB18" s="693"/>
      <c r="CC18" s="693"/>
      <c r="CD18" s="693"/>
      <c r="CE18" s="693"/>
      <c r="CF18" s="693"/>
      <c r="CG18" s="693"/>
      <c r="CH18" s="693"/>
      <c r="CI18" s="693"/>
      <c r="CJ18" s="693"/>
      <c r="CK18" s="693"/>
      <c r="CL18" s="693"/>
      <c r="CM18" s="693"/>
      <c r="CN18" s="693"/>
      <c r="CO18" s="693"/>
      <c r="CP18" s="693"/>
      <c r="CQ18" s="693"/>
      <c r="CR18" s="693"/>
      <c r="CS18" s="693"/>
      <c r="CT18" s="693"/>
      <c r="CU18" s="693"/>
      <c r="CV18" s="693"/>
      <c r="CW18" s="693"/>
      <c r="CX18" s="693"/>
      <c r="CY18" s="693"/>
      <c r="CZ18" s="693"/>
      <c r="DA18" s="693"/>
      <c r="DB18" s="693"/>
      <c r="DC18" s="693"/>
      <c r="DD18" s="693"/>
      <c r="DE18" s="693"/>
      <c r="DF18" s="693"/>
      <c r="DG18" s="693"/>
      <c r="DH18" s="693"/>
      <c r="DI18" s="693"/>
      <c r="DJ18" s="693"/>
      <c r="DK18" s="693"/>
      <c r="DL18" s="693"/>
      <c r="DM18" s="693"/>
      <c r="DN18" s="693"/>
      <c r="DO18" s="693"/>
      <c r="DP18" s="693"/>
    </row>
    <row r="19" spans="1:120" s="695" customFormat="1" hidden="1" outlineLevel="1">
      <c r="A19" s="726" t="s">
        <v>99</v>
      </c>
      <c r="B19" s="686"/>
      <c r="C19" s="686"/>
      <c r="D19" s="686"/>
      <c r="E19" s="686"/>
      <c r="F19" s="727">
        <v>3272</v>
      </c>
      <c r="G19" s="727">
        <f>G7+G11+G14</f>
        <v>254</v>
      </c>
      <c r="H19" s="727">
        <f t="shared" ref="H19:Q19" si="25">H7+H11+H14</f>
        <v>0</v>
      </c>
      <c r="I19" s="727">
        <f t="shared" si="25"/>
        <v>0</v>
      </c>
      <c r="J19" s="727">
        <f t="shared" si="25"/>
        <v>0</v>
      </c>
      <c r="K19" s="727">
        <f t="shared" si="25"/>
        <v>0</v>
      </c>
      <c r="L19" s="727">
        <f t="shared" si="25"/>
        <v>0</v>
      </c>
      <c r="M19" s="727">
        <f t="shared" si="25"/>
        <v>0</v>
      </c>
      <c r="N19" s="727">
        <f t="shared" si="25"/>
        <v>0</v>
      </c>
      <c r="O19" s="727">
        <f t="shared" si="25"/>
        <v>0</v>
      </c>
      <c r="P19" s="727">
        <f t="shared" si="25"/>
        <v>0</v>
      </c>
      <c r="Q19" s="727">
        <f t="shared" si="25"/>
        <v>0</v>
      </c>
      <c r="R19" s="721"/>
      <c r="S19" s="722"/>
      <c r="T19" s="722"/>
      <c r="U19" s="722"/>
      <c r="V19" s="722"/>
      <c r="W19" s="728">
        <f t="shared" ref="W19:Z20" si="26">W7+W11+W14</f>
        <v>668</v>
      </c>
      <c r="X19" s="729">
        <f t="shared" si="26"/>
        <v>726</v>
      </c>
      <c r="Y19" s="729">
        <f t="shared" si="26"/>
        <v>1002</v>
      </c>
      <c r="Z19" s="729">
        <f t="shared" si="26"/>
        <v>876</v>
      </c>
      <c r="AA19" s="728">
        <f t="shared" ref="AA19:AH20" si="27">AA7+AA11+AA14</f>
        <v>306</v>
      </c>
      <c r="AB19" s="729">
        <f t="shared" si="27"/>
        <v>-17</v>
      </c>
      <c r="AC19" s="729">
        <f t="shared" si="27"/>
        <v>16</v>
      </c>
      <c r="AD19" s="729">
        <f t="shared" si="27"/>
        <v>-51</v>
      </c>
      <c r="AE19" s="728">
        <f t="shared" si="27"/>
        <v>0</v>
      </c>
      <c r="AF19" s="729">
        <f t="shared" si="27"/>
        <v>0</v>
      </c>
      <c r="AG19" s="727">
        <f t="shared" si="27"/>
        <v>0</v>
      </c>
      <c r="AH19" s="730">
        <f t="shared" si="27"/>
        <v>0</v>
      </c>
      <c r="AI19" s="728">
        <f t="shared" ref="AI19:AP20" si="28">AI7+AI11+AI14</f>
        <v>0</v>
      </c>
      <c r="AJ19" s="729">
        <f t="shared" si="28"/>
        <v>0</v>
      </c>
      <c r="AK19" s="729">
        <f t="shared" si="28"/>
        <v>0</v>
      </c>
      <c r="AL19" s="730">
        <f t="shared" si="28"/>
        <v>0</v>
      </c>
      <c r="AM19" s="729">
        <f t="shared" si="28"/>
        <v>0</v>
      </c>
      <c r="AN19" s="729">
        <f t="shared" si="28"/>
        <v>0</v>
      </c>
      <c r="AO19" s="729">
        <f t="shared" si="28"/>
        <v>0</v>
      </c>
      <c r="AP19" s="729">
        <f t="shared" si="28"/>
        <v>0</v>
      </c>
      <c r="AQ19" s="1383"/>
      <c r="AR19" s="692"/>
      <c r="AS19" s="692"/>
      <c r="AT19" s="692"/>
      <c r="AU19" s="692"/>
      <c r="AV19" s="692"/>
      <c r="AW19" s="692"/>
      <c r="AX19" s="692"/>
      <c r="AY19" s="692"/>
      <c r="AZ19" s="692"/>
      <c r="BA19" s="692"/>
      <c r="BB19"/>
      <c r="BC19"/>
      <c r="BD19"/>
      <c r="BE19"/>
      <c r="BF19"/>
      <c r="BG19"/>
      <c r="BH19" s="693"/>
      <c r="BI19" s="693"/>
      <c r="BJ19" s="725"/>
      <c r="BK19" s="725"/>
      <c r="BL19" s="725"/>
      <c r="BM19" s="725"/>
      <c r="BN19" s="725"/>
      <c r="BO19" s="693"/>
      <c r="BP19" s="693"/>
      <c r="BQ19" s="693"/>
      <c r="BR19" s="693"/>
      <c r="BS19" s="693"/>
      <c r="BT19" s="693"/>
      <c r="BU19" s="693"/>
      <c r="BV19" s="693"/>
      <c r="BW19" s="693"/>
      <c r="BX19" s="693"/>
      <c r="BY19" s="693"/>
      <c r="BZ19" s="693"/>
      <c r="CA19" s="693"/>
      <c r="CB19" s="693"/>
      <c r="CC19" s="693"/>
      <c r="CD19" s="693"/>
      <c r="CE19" s="693"/>
      <c r="CF19" s="693"/>
      <c r="CG19" s="693"/>
      <c r="CH19" s="693"/>
      <c r="CI19" s="693"/>
      <c r="CJ19" s="693"/>
      <c r="CK19" s="693"/>
      <c r="CL19" s="693"/>
      <c r="CM19" s="693"/>
      <c r="CN19" s="693"/>
      <c r="CO19" s="693"/>
      <c r="CP19" s="693"/>
      <c r="CQ19" s="693"/>
      <c r="CR19" s="693"/>
      <c r="CS19" s="693"/>
      <c r="CT19" s="693"/>
      <c r="CU19" s="693"/>
      <c r="CV19" s="693"/>
      <c r="CW19" s="693"/>
      <c r="CX19" s="693"/>
      <c r="CY19" s="693"/>
      <c r="CZ19" s="693"/>
      <c r="DA19" s="693"/>
      <c r="DB19" s="693"/>
      <c r="DC19" s="693"/>
      <c r="DD19" s="693"/>
      <c r="DE19" s="693"/>
      <c r="DF19" s="693"/>
      <c r="DG19" s="693"/>
      <c r="DH19" s="693"/>
      <c r="DI19" s="693"/>
      <c r="DJ19" s="693"/>
      <c r="DK19" s="693"/>
      <c r="DL19" s="693"/>
      <c r="DM19" s="693"/>
      <c r="DN19" s="693"/>
      <c r="DO19" s="693"/>
      <c r="DP19" s="693"/>
    </row>
    <row r="20" spans="1:120" s="695" customFormat="1" hidden="1" outlineLevel="1">
      <c r="A20" s="726" t="s">
        <v>100</v>
      </c>
      <c r="B20" s="686"/>
      <c r="C20" s="686"/>
      <c r="D20" s="686"/>
      <c r="E20" s="686"/>
      <c r="F20" s="727">
        <v>42093</v>
      </c>
      <c r="G20" s="727">
        <f>G8+G12+G15</f>
        <v>37154</v>
      </c>
      <c r="H20" s="727">
        <f>H8+H12+H15</f>
        <v>34938</v>
      </c>
      <c r="I20" s="727">
        <f t="shared" ref="I20:Q20" si="29">I8+I12+I15</f>
        <v>35552</v>
      </c>
      <c r="J20" s="727">
        <f t="shared" si="29"/>
        <v>37960.753869723892</v>
      </c>
      <c r="K20" s="727">
        <f t="shared" si="29"/>
        <v>38788.653114904897</v>
      </c>
      <c r="L20" s="727">
        <f t="shared" si="29"/>
        <v>40132.609816697368</v>
      </c>
      <c r="M20" s="727">
        <f t="shared" si="29"/>
        <v>41830.622016147579</v>
      </c>
      <c r="N20" s="727">
        <f t="shared" si="29"/>
        <v>43082.574565358598</v>
      </c>
      <c r="O20" s="727">
        <f t="shared" si="29"/>
        <v>42772.075075524161</v>
      </c>
      <c r="P20" s="727">
        <f t="shared" si="29"/>
        <v>43377.832139164108</v>
      </c>
      <c r="Q20" s="727">
        <f t="shared" si="29"/>
        <v>43760.789537968332</v>
      </c>
      <c r="R20" s="721"/>
      <c r="S20" s="722"/>
      <c r="T20" s="722"/>
      <c r="U20" s="722"/>
      <c r="V20" s="722"/>
      <c r="W20" s="728">
        <f t="shared" si="26"/>
        <v>10285</v>
      </c>
      <c r="X20" s="729">
        <f t="shared" si="26"/>
        <v>10708</v>
      </c>
      <c r="Y20" s="729">
        <f t="shared" si="26"/>
        <v>10623</v>
      </c>
      <c r="Z20" s="729">
        <f t="shared" si="26"/>
        <v>10477</v>
      </c>
      <c r="AA20" s="728">
        <f t="shared" si="27"/>
        <v>9296</v>
      </c>
      <c r="AB20" s="729">
        <f t="shared" si="27"/>
        <v>9521</v>
      </c>
      <c r="AC20" s="729">
        <f t="shared" si="27"/>
        <v>9124</v>
      </c>
      <c r="AD20" s="729">
        <f t="shared" ref="AD20:AI20" si="30">AD8+AD12+AD15</f>
        <v>9213</v>
      </c>
      <c r="AE20" s="728">
        <f t="shared" si="30"/>
        <v>8562</v>
      </c>
      <c r="AF20" s="729">
        <f t="shared" si="30"/>
        <v>9207</v>
      </c>
      <c r="AG20" s="727">
        <f t="shared" si="30"/>
        <v>8756</v>
      </c>
      <c r="AH20" s="730">
        <f t="shared" si="30"/>
        <v>8832</v>
      </c>
      <c r="AI20" s="728">
        <f t="shared" si="30"/>
        <v>8574</v>
      </c>
      <c r="AJ20" s="729">
        <f t="shared" si="28"/>
        <v>8895</v>
      </c>
      <c r="AK20" s="729">
        <f t="shared" si="28"/>
        <v>8965.0502326646747</v>
      </c>
      <c r="AL20" s="730">
        <f t="shared" si="28"/>
        <v>9363.9497673353253</v>
      </c>
      <c r="AM20" s="729">
        <f t="shared" si="28"/>
        <v>9290</v>
      </c>
      <c r="AN20" s="729">
        <f t="shared" si="28"/>
        <v>9501.4150816080801</v>
      </c>
      <c r="AO20" s="729">
        <f t="shared" si="28"/>
        <v>9463.8765544036305</v>
      </c>
      <c r="AP20" s="729">
        <f t="shared" si="28"/>
        <v>9705.4622337121746</v>
      </c>
      <c r="AQ20" s="1383"/>
      <c r="AR20" s="692"/>
      <c r="AS20" s="692"/>
      <c r="AT20" s="692"/>
      <c r="AU20" s="692"/>
      <c r="AV20" s="692"/>
      <c r="AW20" s="692"/>
      <c r="AX20" s="692"/>
      <c r="AY20" s="692"/>
      <c r="AZ20" s="692"/>
      <c r="BA20" s="692"/>
      <c r="BB20"/>
      <c r="BC20"/>
      <c r="BD20"/>
      <c r="BE20"/>
      <c r="BF20"/>
      <c r="BG20"/>
      <c r="BH20" s="693"/>
      <c r="BI20" s="693"/>
      <c r="BJ20" s="725"/>
      <c r="BK20" s="725"/>
      <c r="BL20" s="725"/>
      <c r="BM20" s="725"/>
      <c r="BN20" s="725"/>
      <c r="BO20" s="693"/>
      <c r="BP20" s="693"/>
      <c r="BQ20" s="693"/>
      <c r="BR20" s="693"/>
      <c r="BS20" s="693"/>
      <c r="BT20" s="693"/>
      <c r="BU20" s="693"/>
      <c r="BV20" s="693"/>
      <c r="BW20" s="693"/>
      <c r="BX20" s="693"/>
      <c r="BY20" s="693"/>
      <c r="BZ20" s="693"/>
      <c r="CA20" s="693"/>
      <c r="CB20" s="693"/>
      <c r="CC20" s="693"/>
      <c r="CD20" s="693"/>
      <c r="CE20" s="693"/>
      <c r="CF20" s="693"/>
      <c r="CG20" s="693"/>
      <c r="CH20" s="693"/>
      <c r="CI20" s="693"/>
      <c r="CJ20" s="693"/>
      <c r="CK20" s="693"/>
      <c r="CL20" s="693"/>
      <c r="CM20" s="693"/>
      <c r="CN20" s="693"/>
      <c r="CO20" s="693"/>
      <c r="CP20" s="693"/>
      <c r="CQ20" s="693"/>
      <c r="CR20" s="693"/>
      <c r="CS20" s="693"/>
      <c r="CT20" s="693"/>
      <c r="CU20" s="693"/>
      <c r="CV20" s="693"/>
      <c r="CW20" s="693"/>
      <c r="CX20" s="693"/>
      <c r="CY20" s="693"/>
      <c r="CZ20" s="693"/>
      <c r="DA20" s="693"/>
      <c r="DB20" s="693"/>
      <c r="DC20" s="693"/>
      <c r="DD20" s="693"/>
      <c r="DE20" s="693"/>
      <c r="DF20" s="693"/>
      <c r="DG20" s="693"/>
      <c r="DH20" s="693"/>
      <c r="DI20" s="693"/>
      <c r="DJ20" s="693"/>
      <c r="DK20" s="693"/>
      <c r="DL20" s="693"/>
      <c r="DM20" s="693"/>
      <c r="DN20" s="693"/>
      <c r="DO20" s="693"/>
      <c r="DP20" s="693"/>
    </row>
    <row r="21" spans="1:120" s="693" customFormat="1" collapsed="1">
      <c r="A21" s="713" t="s">
        <v>1847</v>
      </c>
      <c r="B21" s="714"/>
      <c r="C21" s="714"/>
      <c r="D21" s="714"/>
      <c r="E21" s="714"/>
      <c r="F21" s="714"/>
      <c r="G21" s="714">
        <f t="shared" ref="G21:Q21" si="31">G211+G339+G403+G279</f>
        <v>-14118</v>
      </c>
      <c r="H21" s="714">
        <f t="shared" si="31"/>
        <v>-14111</v>
      </c>
      <c r="I21" s="714">
        <f t="shared" si="31"/>
        <v>-15000</v>
      </c>
      <c r="J21" s="714">
        <f t="shared" si="31"/>
        <v>-15418.924223493861</v>
      </c>
      <c r="K21" s="714">
        <f t="shared" si="31"/>
        <v>-15545.240048362957</v>
      </c>
      <c r="L21" s="714">
        <f t="shared" si="31"/>
        <v>-15365.147743566435</v>
      </c>
      <c r="M21" s="714">
        <f t="shared" si="31"/>
        <v>-15842.78864177078</v>
      </c>
      <c r="N21" s="714">
        <f t="shared" si="31"/>
        <v>-15860.96625029489</v>
      </c>
      <c r="O21" s="714">
        <f t="shared" si="31"/>
        <v>-15725.915201633101</v>
      </c>
      <c r="P21" s="714">
        <f t="shared" si="31"/>
        <v>-15928.252635857829</v>
      </c>
      <c r="Q21" s="714">
        <f t="shared" si="31"/>
        <v>-16103.246691617709</v>
      </c>
      <c r="R21" s="715"/>
      <c r="S21" s="716"/>
      <c r="T21" s="716"/>
      <c r="U21" s="716"/>
      <c r="V21" s="716"/>
      <c r="W21" s="717"/>
      <c r="X21" s="716"/>
      <c r="Y21" s="716"/>
      <c r="Z21" s="716"/>
      <c r="AA21" s="717"/>
      <c r="AB21" s="716"/>
      <c r="AC21" s="716"/>
      <c r="AD21" s="716"/>
      <c r="AE21" s="717"/>
      <c r="AF21" s="716"/>
      <c r="AG21" s="714"/>
      <c r="AH21" s="718"/>
      <c r="AI21" s="717">
        <f t="shared" ref="AI21:AL21" si="32">AI211+AI339+AI403+AI279</f>
        <v>-3468.9999999999973</v>
      </c>
      <c r="AJ21" s="716">
        <f t="shared" si="32"/>
        <v>-3809.0000000000009</v>
      </c>
      <c r="AK21" s="716">
        <f t="shared" si="32"/>
        <v>-3678</v>
      </c>
      <c r="AL21" s="718">
        <f t="shared" si="32"/>
        <v>-4044.0000000000018</v>
      </c>
      <c r="AM21" s="716">
        <f>AM211+AM339+AM403+AM279</f>
        <v>-3917</v>
      </c>
      <c r="AN21" s="716">
        <f t="shared" ref="AN21:AP21" si="33">AN211+AN339+AN403+AN279</f>
        <v>-3908.2725561955331</v>
      </c>
      <c r="AO21" s="716">
        <f t="shared" si="33"/>
        <v>-3857.7418634720307</v>
      </c>
      <c r="AP21" s="716">
        <f t="shared" si="33"/>
        <v>-3735.9098038262973</v>
      </c>
      <c r="AQ21" s="1383"/>
      <c r="AR21" s="692"/>
      <c r="AS21" s="692"/>
      <c r="AT21" s="692"/>
      <c r="AU21" s="692"/>
      <c r="AV21" s="692"/>
      <c r="AW21" s="692"/>
      <c r="AX21" s="692"/>
      <c r="AY21" s="692"/>
      <c r="AZ21" s="692"/>
      <c r="BA21" s="692"/>
      <c r="BB21"/>
      <c r="BC21"/>
      <c r="BD21"/>
      <c r="BE21"/>
      <c r="BF21"/>
      <c r="BG21"/>
      <c r="BJ21" s="714"/>
      <c r="BK21" s="714"/>
      <c r="BL21" s="714"/>
      <c r="BM21" s="714"/>
      <c r="BN21" s="714"/>
    </row>
    <row r="22" spans="1:120" s="693" customFormat="1">
      <c r="A22" s="713" t="s">
        <v>95</v>
      </c>
      <c r="B22" s="731"/>
      <c r="C22" s="731"/>
      <c r="D22" s="731"/>
      <c r="E22" s="731"/>
      <c r="F22" s="731"/>
      <c r="G22" s="732">
        <f t="shared" ref="G22:Q22" si="34">-G21/G$3</f>
        <v>0.28570850366292955</v>
      </c>
      <c r="H22" s="732">
        <f t="shared" si="34"/>
        <v>0.29084051279937345</v>
      </c>
      <c r="I22" s="732">
        <f t="shared" si="34"/>
        <v>0.30544299415585741</v>
      </c>
      <c r="J22" s="732">
        <f t="shared" si="34"/>
        <v>0.29505464128619308</v>
      </c>
      <c r="K22" s="732">
        <f t="shared" si="34"/>
        <v>0.29159333528046549</v>
      </c>
      <c r="L22" s="732">
        <f t="shared" si="34"/>
        <v>0.27944888240994081</v>
      </c>
      <c r="M22" s="732">
        <f t="shared" si="34"/>
        <v>0.27791909520070179</v>
      </c>
      <c r="N22" s="732">
        <f t="shared" si="34"/>
        <v>0.27249438252910252</v>
      </c>
      <c r="O22" s="732">
        <f t="shared" si="34"/>
        <v>0.27266444661854877</v>
      </c>
      <c r="P22" s="732">
        <f t="shared" si="34"/>
        <v>0.27266488150339036</v>
      </c>
      <c r="Q22" s="732">
        <f t="shared" si="34"/>
        <v>0.27267559999586249</v>
      </c>
      <c r="R22" s="721"/>
      <c r="S22" s="732"/>
      <c r="T22" s="732"/>
      <c r="U22" s="732"/>
      <c r="V22" s="732"/>
      <c r="W22" s="733"/>
      <c r="X22" s="732"/>
      <c r="Y22" s="732"/>
      <c r="Z22" s="732"/>
      <c r="AA22" s="733"/>
      <c r="AB22" s="732"/>
      <c r="AC22" s="732"/>
      <c r="AD22" s="732"/>
      <c r="AE22" s="733"/>
      <c r="AF22" s="732"/>
      <c r="AG22" s="731"/>
      <c r="AH22" s="734"/>
      <c r="AI22" s="733">
        <f>-AI21/AI$3</f>
        <v>0.30063263714359972</v>
      </c>
      <c r="AJ22" s="732">
        <f>-AJ21/AJ$3</f>
        <v>0.31114197026629642</v>
      </c>
      <c r="AK22" s="732">
        <f>-AK21/AK$3</f>
        <v>0.29630106469088652</v>
      </c>
      <c r="AL22" s="734">
        <f>-AL21/AL$3</f>
        <v>0.31312549199596146</v>
      </c>
      <c r="AM22" s="732">
        <f t="shared" ref="AM22:AP22" si="35">-AM21/AM$3</f>
        <v>0.3085709784149992</v>
      </c>
      <c r="AN22" s="732">
        <f t="shared" si="35"/>
        <v>0.29823829986226458</v>
      </c>
      <c r="AO22" s="732">
        <f t="shared" si="35"/>
        <v>0.29473536211460444</v>
      </c>
      <c r="AP22" s="732">
        <f t="shared" si="35"/>
        <v>0.27941440586894617</v>
      </c>
      <c r="AQ22" s="1383"/>
      <c r="AR22" s="692"/>
      <c r="AS22" s="692"/>
      <c r="AT22" s="692"/>
      <c r="AU22" s="692"/>
      <c r="AV22" s="692"/>
      <c r="AW22" s="692"/>
      <c r="AX22" s="692"/>
      <c r="AY22" s="692"/>
      <c r="AZ22" s="692"/>
      <c r="BA22" s="692"/>
      <c r="BB22"/>
      <c r="BC22"/>
      <c r="BD22"/>
      <c r="BE22"/>
      <c r="BF22"/>
      <c r="BG22"/>
      <c r="BJ22" s="725"/>
      <c r="BK22" s="725"/>
      <c r="BL22" s="725"/>
      <c r="BM22" s="725"/>
      <c r="BN22" s="725"/>
    </row>
    <row r="23" spans="1:120" s="741" customFormat="1" hidden="1" outlineLevel="1">
      <c r="A23" s="713" t="s">
        <v>102</v>
      </c>
      <c r="B23" s="735"/>
      <c r="C23" s="735"/>
      <c r="D23" s="735"/>
      <c r="E23" s="735"/>
      <c r="F23" s="735"/>
      <c r="G23" s="735"/>
      <c r="H23" s="736">
        <f t="shared" ref="H23:P23" si="36">H21/G21-1</f>
        <v>-4.9582093780986547E-4</v>
      </c>
      <c r="I23" s="736">
        <f t="shared" si="36"/>
        <v>6.3000496066898171E-2</v>
      </c>
      <c r="J23" s="736">
        <f t="shared" si="36"/>
        <v>2.7928281566257374E-2</v>
      </c>
      <c r="K23" s="736">
        <f t="shared" si="36"/>
        <v>8.1922592677787787E-3</v>
      </c>
      <c r="L23" s="736">
        <f t="shared" si="36"/>
        <v>-1.1585044954998125E-2</v>
      </c>
      <c r="M23" s="736">
        <f t="shared" si="36"/>
        <v>3.1085994497146219E-2</v>
      </c>
      <c r="N23" s="736">
        <f t="shared" si="36"/>
        <v>1.1473742997607506E-3</v>
      </c>
      <c r="O23" s="736">
        <f t="shared" si="36"/>
        <v>-8.5146797824677822E-3</v>
      </c>
      <c r="P23" s="736">
        <f t="shared" si="36"/>
        <v>1.2866496584168052E-2</v>
      </c>
      <c r="Q23" s="736">
        <f>Q21/P21-1</f>
        <v>1.0986393784710113E-2</v>
      </c>
      <c r="R23" s="737"/>
      <c r="S23" s="736"/>
      <c r="T23" s="736"/>
      <c r="U23" s="736"/>
      <c r="V23" s="736"/>
      <c r="W23" s="738"/>
      <c r="X23" s="736"/>
      <c r="Y23" s="736"/>
      <c r="Z23" s="736"/>
      <c r="AA23" s="738"/>
      <c r="AB23" s="736"/>
      <c r="AC23" s="736"/>
      <c r="AD23" s="736"/>
      <c r="AE23" s="738"/>
      <c r="AF23" s="736"/>
      <c r="AG23" s="736"/>
      <c r="AH23" s="739"/>
      <c r="AI23" s="738"/>
      <c r="AJ23" s="736"/>
      <c r="AK23" s="736"/>
      <c r="AL23" s="739"/>
      <c r="AM23" s="736">
        <f>AM21/AI21-1</f>
        <v>0.12914384548861424</v>
      </c>
      <c r="AN23" s="736">
        <f t="shared" ref="AN23:AP23" si="37">AN21/AJ21-1</f>
        <v>2.6062629612898958E-2</v>
      </c>
      <c r="AO23" s="736">
        <f t="shared" si="37"/>
        <v>4.8869457170209518E-2</v>
      </c>
      <c r="AP23" s="736">
        <f t="shared" si="37"/>
        <v>-7.6184519330787404E-2</v>
      </c>
      <c r="AQ23" s="1385"/>
      <c r="AR23" s="740"/>
      <c r="AS23" s="740"/>
      <c r="AT23" s="740"/>
      <c r="AU23" s="740"/>
      <c r="AV23" s="740"/>
      <c r="AW23" s="740"/>
      <c r="AX23" s="740"/>
      <c r="AY23" s="740"/>
      <c r="AZ23" s="740"/>
      <c r="BA23" s="740"/>
      <c r="BB23"/>
      <c r="BC23"/>
      <c r="BD23"/>
      <c r="BE23"/>
      <c r="BF23"/>
      <c r="BG23"/>
    </row>
    <row r="24" spans="1:120" s="693" customFormat="1" hidden="1" outlineLevel="1">
      <c r="A24" s="713" t="s">
        <v>1848</v>
      </c>
      <c r="B24" s="732"/>
      <c r="C24" s="732"/>
      <c r="D24" s="732"/>
      <c r="E24" s="732"/>
      <c r="F24" s="714"/>
      <c r="G24" s="714"/>
      <c r="H24" s="714"/>
      <c r="I24" s="714"/>
      <c r="J24" s="732"/>
      <c r="K24" s="732"/>
      <c r="L24" s="732"/>
      <c r="M24" s="732"/>
      <c r="N24" s="732"/>
      <c r="O24" s="732"/>
      <c r="P24" s="732"/>
      <c r="Q24" s="732"/>
      <c r="R24" s="721"/>
      <c r="S24" s="732"/>
      <c r="T24" s="732"/>
      <c r="U24" s="732"/>
      <c r="V24" s="732"/>
      <c r="W24" s="717"/>
      <c r="X24" s="716"/>
      <c r="Y24" s="716"/>
      <c r="Z24" s="716"/>
      <c r="AA24" s="717"/>
      <c r="AB24" s="716"/>
      <c r="AC24" s="716"/>
      <c r="AD24" s="716"/>
      <c r="AE24" s="717"/>
      <c r="AF24" s="716"/>
      <c r="AG24" s="716"/>
      <c r="AH24" s="718"/>
      <c r="AI24" s="717"/>
      <c r="AJ24" s="716"/>
      <c r="AK24" s="716"/>
      <c r="AL24" s="718"/>
      <c r="AM24" s="732"/>
      <c r="AN24" s="732"/>
      <c r="AO24" s="732"/>
      <c r="AP24" s="732"/>
      <c r="AQ24" s="1383"/>
      <c r="AR24" s="692"/>
      <c r="AS24" s="692"/>
      <c r="AT24" s="692"/>
      <c r="AU24" s="692"/>
      <c r="AV24" s="692"/>
      <c r="AW24" s="692"/>
      <c r="AX24" s="692"/>
      <c r="AY24" s="692"/>
      <c r="AZ24" s="692"/>
      <c r="BA24" s="692"/>
      <c r="BB24"/>
      <c r="BC24"/>
      <c r="BD24"/>
      <c r="BE24"/>
      <c r="BF24"/>
      <c r="BG24"/>
      <c r="BJ24" s="742"/>
      <c r="BK24" s="742"/>
      <c r="BL24" s="742"/>
      <c r="BM24" s="742"/>
      <c r="BN24" s="742"/>
    </row>
    <row r="25" spans="1:120" s="693" customFormat="1" hidden="1" outlineLevel="1">
      <c r="A25" s="713" t="s">
        <v>1849</v>
      </c>
      <c r="B25" s="731"/>
      <c r="C25" s="731"/>
      <c r="D25" s="714"/>
      <c r="E25" s="731"/>
      <c r="F25" s="714"/>
      <c r="G25" s="716">
        <f t="shared" ref="G25" si="38">G21+G24</f>
        <v>-14118</v>
      </c>
      <c r="H25" s="716">
        <f t="shared" ref="H25" si="39">H21+H24</f>
        <v>-14111</v>
      </c>
      <c r="I25" s="716">
        <f t="shared" ref="I25" si="40">I21+I24</f>
        <v>-15000</v>
      </c>
      <c r="J25" s="716">
        <f t="shared" ref="J25" si="41">J21+J24</f>
        <v>-15418.924223493861</v>
      </c>
      <c r="K25" s="716">
        <f t="shared" ref="K25" si="42">K21+K24</f>
        <v>-15545.240048362957</v>
      </c>
      <c r="L25" s="716">
        <f t="shared" ref="L25" si="43">L21+L24</f>
        <v>-15365.147743566435</v>
      </c>
      <c r="M25" s="716">
        <f t="shared" ref="M25" si="44">M21+M24</f>
        <v>-15842.78864177078</v>
      </c>
      <c r="N25" s="716">
        <f t="shared" ref="N25" si="45">N21+N24</f>
        <v>-15860.96625029489</v>
      </c>
      <c r="O25" s="716">
        <f t="shared" ref="O25" si="46">O21+O24</f>
        <v>-15725.915201633101</v>
      </c>
      <c r="P25" s="716">
        <f t="shared" ref="P25" si="47">P21+P24</f>
        <v>-15928.252635857829</v>
      </c>
      <c r="Q25" s="716">
        <f t="shared" ref="Q25" si="48">Q21+Q24</f>
        <v>-16103.246691617709</v>
      </c>
      <c r="R25" s="721"/>
      <c r="S25" s="732"/>
      <c r="T25" s="732"/>
      <c r="U25" s="732"/>
      <c r="V25" s="732"/>
      <c r="W25" s="717"/>
      <c r="X25" s="716"/>
      <c r="Y25" s="716"/>
      <c r="Z25" s="716"/>
      <c r="AA25" s="717"/>
      <c r="AB25" s="716"/>
      <c r="AC25" s="716"/>
      <c r="AD25" s="716"/>
      <c r="AE25" s="717"/>
      <c r="AF25" s="716"/>
      <c r="AG25" s="714"/>
      <c r="AH25" s="718"/>
      <c r="AI25" s="717">
        <f t="shared" ref="AI25:AO25" si="49">AI21+AI24</f>
        <v>-3468.9999999999973</v>
      </c>
      <c r="AJ25" s="716">
        <f t="shared" si="49"/>
        <v>-3809.0000000000009</v>
      </c>
      <c r="AK25" s="716">
        <f t="shared" si="49"/>
        <v>-3678</v>
      </c>
      <c r="AL25" s="718">
        <f t="shared" si="49"/>
        <v>-4044.0000000000018</v>
      </c>
      <c r="AM25" s="716">
        <f t="shared" si="49"/>
        <v>-3917</v>
      </c>
      <c r="AN25" s="716">
        <f t="shared" si="49"/>
        <v>-3908.2725561955331</v>
      </c>
      <c r="AO25" s="716">
        <f t="shared" si="49"/>
        <v>-3857.7418634720307</v>
      </c>
      <c r="AP25" s="716">
        <f>AP21+AP24</f>
        <v>-3735.9098038262973</v>
      </c>
      <c r="AQ25" s="1383"/>
      <c r="AR25" s="692"/>
      <c r="AS25" s="692"/>
      <c r="AT25" s="692"/>
      <c r="AU25" s="692"/>
      <c r="AV25" s="692"/>
      <c r="AW25" s="692"/>
      <c r="AX25" s="692"/>
      <c r="AY25" s="692"/>
      <c r="AZ25" s="692"/>
      <c r="BA25" s="692"/>
      <c r="BB25"/>
      <c r="BC25"/>
      <c r="BD25"/>
      <c r="BE25"/>
      <c r="BF25"/>
      <c r="BG25"/>
      <c r="BJ25" s="725"/>
      <c r="BK25" s="725"/>
      <c r="BL25" s="725"/>
      <c r="BM25" s="725"/>
      <c r="BN25" s="725"/>
    </row>
    <row r="26" spans="1:120" s="693" customFormat="1" collapsed="1">
      <c r="A26" s="713" t="s">
        <v>101</v>
      </c>
      <c r="B26" s="714">
        <v>-13316</v>
      </c>
      <c r="C26" s="714">
        <v>-15079</v>
      </c>
      <c r="D26" s="714">
        <v>-14352</v>
      </c>
      <c r="E26" s="714">
        <v>-12638</v>
      </c>
      <c r="F26" s="714">
        <v>-12355</v>
      </c>
      <c r="G26" s="714">
        <f t="shared" ref="G26:Q26" si="50">G216+G344+G406+G284</f>
        <v>-11729</v>
      </c>
      <c r="H26" s="714">
        <f t="shared" si="50"/>
        <v>-11991</v>
      </c>
      <c r="I26" s="714">
        <f t="shared" si="50"/>
        <v>-12851.281569965869</v>
      </c>
      <c r="J26" s="714">
        <f t="shared" si="50"/>
        <v>-13194.019422565412</v>
      </c>
      <c r="K26" s="714">
        <f t="shared" si="50"/>
        <v>-13329.596750739251</v>
      </c>
      <c r="L26" s="714">
        <f>L216+L344+L406+L284</f>
        <v>-13193.577371216063</v>
      </c>
      <c r="M26" s="714">
        <f t="shared" si="50"/>
        <v>-13635.652970879959</v>
      </c>
      <c r="N26" s="714">
        <f t="shared" si="50"/>
        <v>-13602.214361270449</v>
      </c>
      <c r="O26" s="714">
        <f t="shared" si="50"/>
        <v>-13458.003570443878</v>
      </c>
      <c r="P26" s="714">
        <f>P216+P344+P406+P284</f>
        <v>-13618.42645995722</v>
      </c>
      <c r="Q26" s="714">
        <f t="shared" si="50"/>
        <v>-13753.108023929804</v>
      </c>
      <c r="R26" s="715"/>
      <c r="S26" s="716">
        <v>-2989</v>
      </c>
      <c r="T26" s="716">
        <v>-3165</v>
      </c>
      <c r="U26" s="716">
        <v>-3033</v>
      </c>
      <c r="V26" s="716">
        <v>-3451</v>
      </c>
      <c r="W26" s="717">
        <f t="shared" ref="W26:AH26" si="51">W216+W344+W406+W284</f>
        <v>-2982</v>
      </c>
      <c r="X26" s="716">
        <f t="shared" si="51"/>
        <v>-3185</v>
      </c>
      <c r="Y26" s="716">
        <f t="shared" si="51"/>
        <v>-2966</v>
      </c>
      <c r="Z26" s="716">
        <f t="shared" si="51"/>
        <v>-3222</v>
      </c>
      <c r="AA26" s="717">
        <f t="shared" si="51"/>
        <v>-2691</v>
      </c>
      <c r="AB26" s="716">
        <f t="shared" si="51"/>
        <v>-3011</v>
      </c>
      <c r="AC26" s="716">
        <f t="shared" si="51"/>
        <v>-2888</v>
      </c>
      <c r="AD26" s="716">
        <f t="shared" si="51"/>
        <v>-3139</v>
      </c>
      <c r="AE26" s="717">
        <f>AE216+AE344+AE406+AE284</f>
        <v>-2741</v>
      </c>
      <c r="AF26" s="716">
        <f t="shared" si="51"/>
        <v>-3067</v>
      </c>
      <c r="AG26" s="714">
        <f t="shared" si="51"/>
        <v>-2944</v>
      </c>
      <c r="AH26" s="718">
        <f t="shared" si="51"/>
        <v>-3239</v>
      </c>
      <c r="AI26" s="717">
        <f>AI216+AI344+AI406+AI284</f>
        <v>-2985.4377682403401</v>
      </c>
      <c r="AJ26" s="716">
        <f>AJ216+AJ344+AJ406+AJ284</f>
        <v>-3236.2815193189272</v>
      </c>
      <c r="AK26" s="716">
        <f>AK216+AK344+AK406+AK284</f>
        <v>-3165.2233078092099</v>
      </c>
      <c r="AL26" s="718">
        <f>AL216+AL344+AL406+AL284</f>
        <v>-3464.3389745973927</v>
      </c>
      <c r="AM26" s="716">
        <f t="shared" ref="AM26:AP26" si="52">AM216+AM344+AM406+AM284</f>
        <v>-3256.7050000000004</v>
      </c>
      <c r="AN26" s="716">
        <f t="shared" si="52"/>
        <v>-3313.43211692554</v>
      </c>
      <c r="AO26" s="716">
        <f t="shared" si="52"/>
        <v>-3303.2444245852794</v>
      </c>
      <c r="AP26" s="716">
        <f t="shared" si="52"/>
        <v>-3320.6378810545925</v>
      </c>
      <c r="AQ26" s="1383"/>
      <c r="AR26" s="692"/>
      <c r="AS26" s="692"/>
      <c r="AT26" s="692"/>
      <c r="AU26" s="692"/>
      <c r="AV26" s="692"/>
      <c r="AW26" s="692"/>
      <c r="AX26" s="692"/>
      <c r="AY26" s="692"/>
      <c r="AZ26" s="692"/>
      <c r="BA26" s="692"/>
      <c r="BB26"/>
      <c r="BC26"/>
      <c r="BD26"/>
      <c r="BE26"/>
      <c r="BF26"/>
      <c r="BG26"/>
      <c r="BJ26" s="714"/>
      <c r="BK26" s="714"/>
      <c r="BL26" s="714"/>
      <c r="BM26" s="714"/>
      <c r="BN26" s="714"/>
    </row>
    <row r="27" spans="1:120" s="693" customFormat="1">
      <c r="A27" s="713" t="s">
        <v>95</v>
      </c>
      <c r="B27" s="731">
        <v>0.26303729456384323</v>
      </c>
      <c r="C27" s="731">
        <v>0.25747020455554415</v>
      </c>
      <c r="D27" s="731">
        <v>0.25324228468582921</v>
      </c>
      <c r="E27" s="731">
        <v>0.24365227785382407</v>
      </c>
      <c r="F27" s="731">
        <v>0.23677654273668072</v>
      </c>
      <c r="G27" s="731">
        <f t="shared" ref="G27:Q27" si="53">-G26/G$3</f>
        <v>0.23736188124822924</v>
      </c>
      <c r="H27" s="731">
        <f t="shared" si="53"/>
        <v>0.24714538934003874</v>
      </c>
      <c r="I27" s="731">
        <f t="shared" si="53"/>
        <v>0.26168892809802419</v>
      </c>
      <c r="J27" s="731">
        <f t="shared" si="53"/>
        <v>0.25247913612004086</v>
      </c>
      <c r="K27" s="731">
        <f t="shared" si="53"/>
        <v>0.25003290797693589</v>
      </c>
      <c r="L27" s="731">
        <f t="shared" si="53"/>
        <v>0.23995411647891079</v>
      </c>
      <c r="M27" s="731">
        <f t="shared" si="53"/>
        <v>0.23920083905847953</v>
      </c>
      <c r="N27" s="731">
        <f t="shared" si="53"/>
        <v>0.23368860036089978</v>
      </c>
      <c r="O27" s="731">
        <f t="shared" si="53"/>
        <v>0.2333421647691743</v>
      </c>
      <c r="P27" s="731">
        <f t="shared" si="53"/>
        <v>0.2331245442835036</v>
      </c>
      <c r="Q27" s="731">
        <f t="shared" si="53"/>
        <v>0.23288080062668637</v>
      </c>
      <c r="R27" s="721"/>
      <c r="S27" s="732">
        <v>0.2353172728704141</v>
      </c>
      <c r="T27" s="732">
        <v>0.24210204237741911</v>
      </c>
      <c r="U27" s="732">
        <v>0.23872491145218419</v>
      </c>
      <c r="V27" s="732">
        <v>0.2577488983493913</v>
      </c>
      <c r="W27" s="733">
        <f t="shared" ref="W27:AH27" si="54">-W26/W$3</f>
        <v>0.23357092504112165</v>
      </c>
      <c r="X27" s="732">
        <f t="shared" si="54"/>
        <v>0.23863040383606804</v>
      </c>
      <c r="Y27" s="732">
        <f t="shared" si="54"/>
        <v>0.22831190824416905</v>
      </c>
      <c r="Z27" s="732">
        <f t="shared" si="54"/>
        <v>0.2464244741873805</v>
      </c>
      <c r="AA27" s="733">
        <f t="shared" si="54"/>
        <v>0.22547130289065773</v>
      </c>
      <c r="AB27" s="732">
        <f t="shared" si="54"/>
        <v>0.23719867654009769</v>
      </c>
      <c r="AC27" s="732">
        <f t="shared" si="54"/>
        <v>0.23546677537708927</v>
      </c>
      <c r="AD27" s="732">
        <f t="shared" si="54"/>
        <v>0.25071884984025561</v>
      </c>
      <c r="AE27" s="733">
        <f t="shared" si="54"/>
        <v>0.23629310344827587</v>
      </c>
      <c r="AF27" s="732">
        <f t="shared" si="54"/>
        <v>0.24595028067361668</v>
      </c>
      <c r="AG27" s="731">
        <f t="shared" si="54"/>
        <v>0.24278410028038924</v>
      </c>
      <c r="AH27" s="734">
        <f t="shared" si="54"/>
        <v>0.26286317156305794</v>
      </c>
      <c r="AI27" s="733">
        <f>-AI26/AI$3</f>
        <v>0.25872586604041425</v>
      </c>
      <c r="AJ27" s="732">
        <f>-AJ26/AJ$3</f>
        <v>0.26435888901477922</v>
      </c>
      <c r="AK27" s="732">
        <f>-AK26/AK$3</f>
        <v>0.25499158131818339</v>
      </c>
      <c r="AL27" s="734">
        <f>-AL26/AL$3</f>
        <v>0.26824254348704074</v>
      </c>
      <c r="AM27" s="732">
        <f t="shared" ref="AM27:AP27" si="55">-AM26/AM$3</f>
        <v>0.25655467149834571</v>
      </c>
      <c r="AN27" s="732">
        <f t="shared" si="55"/>
        <v>0.25284632713099281</v>
      </c>
      <c r="AO27" s="732">
        <f t="shared" si="55"/>
        <v>0.25237119954857473</v>
      </c>
      <c r="AP27" s="732">
        <f t="shared" si="55"/>
        <v>0.24835558387691883</v>
      </c>
      <c r="AQ27" s="1383"/>
      <c r="AR27" s="692"/>
      <c r="AS27" s="692"/>
      <c r="AT27" s="692"/>
      <c r="AU27" s="692"/>
      <c r="AV27" s="692"/>
      <c r="AW27" s="692"/>
      <c r="AX27" s="692"/>
      <c r="AY27" s="692"/>
      <c r="AZ27" s="692"/>
      <c r="BA27" s="692"/>
      <c r="BB27"/>
      <c r="BC27"/>
      <c r="BD27"/>
      <c r="BE27"/>
      <c r="BF27"/>
      <c r="BG27"/>
      <c r="BJ27" s="725"/>
      <c r="BK27" s="725"/>
      <c r="BL27" s="725"/>
      <c r="BM27" s="725"/>
      <c r="BN27" s="725"/>
    </row>
    <row r="28" spans="1:120" s="741" customFormat="1" hidden="1" outlineLevel="1">
      <c r="A28" s="713" t="s">
        <v>102</v>
      </c>
      <c r="B28" s="735"/>
      <c r="C28" s="735">
        <v>0.13239711625112638</v>
      </c>
      <c r="D28" s="735">
        <v>-4.821274620332916E-2</v>
      </c>
      <c r="E28" s="735">
        <v>-0.11942586399108135</v>
      </c>
      <c r="F28" s="735">
        <v>-2.2392783668301997E-2</v>
      </c>
      <c r="G28" s="735">
        <f t="shared" ref="G28:Q28" si="56">G26/F26-1</f>
        <v>-5.0667745851881829E-2</v>
      </c>
      <c r="H28" s="735">
        <f t="shared" si="56"/>
        <v>2.2337795208457578E-2</v>
      </c>
      <c r="I28" s="735">
        <f t="shared" si="56"/>
        <v>7.1743938784577521E-2</v>
      </c>
      <c r="J28" s="736">
        <f t="shared" si="56"/>
        <v>2.6669546592188897E-2</v>
      </c>
      <c r="K28" s="736">
        <f t="shared" si="56"/>
        <v>1.0275665347434959E-2</v>
      </c>
      <c r="L28" s="736">
        <f t="shared" si="56"/>
        <v>-1.0204313158659106E-2</v>
      </c>
      <c r="M28" s="736">
        <f t="shared" si="56"/>
        <v>3.350687893249904E-2</v>
      </c>
      <c r="N28" s="736">
        <f t="shared" si="56"/>
        <v>-2.4522925070710189E-3</v>
      </c>
      <c r="O28" s="736">
        <f t="shared" si="56"/>
        <v>-1.0602008393367335E-2</v>
      </c>
      <c r="P28" s="736">
        <f t="shared" si="56"/>
        <v>1.1920259098879837E-2</v>
      </c>
      <c r="Q28" s="736">
        <f t="shared" si="56"/>
        <v>9.8896568093673753E-3</v>
      </c>
      <c r="R28" s="737"/>
      <c r="S28" s="736"/>
      <c r="T28" s="736"/>
      <c r="U28" s="736"/>
      <c r="V28" s="736"/>
      <c r="W28" s="738"/>
      <c r="X28" s="736"/>
      <c r="Y28" s="736"/>
      <c r="Z28" s="736"/>
      <c r="AA28" s="738">
        <f t="shared" ref="AA28:AH28" si="57">AA26/W26-1</f>
        <v>-9.7585513078470854E-2</v>
      </c>
      <c r="AB28" s="736">
        <f t="shared" si="57"/>
        <v>-5.4631083202511754E-2</v>
      </c>
      <c r="AC28" s="736">
        <f t="shared" si="57"/>
        <v>-2.6298044504383E-2</v>
      </c>
      <c r="AD28" s="736">
        <f t="shared" si="57"/>
        <v>-2.5760397268777102E-2</v>
      </c>
      <c r="AE28" s="738">
        <f t="shared" si="57"/>
        <v>1.8580453363062022E-2</v>
      </c>
      <c r="AF28" s="736">
        <f t="shared" si="57"/>
        <v>1.8598472268349431E-2</v>
      </c>
      <c r="AG28" s="736">
        <f t="shared" si="57"/>
        <v>1.939058171745156E-2</v>
      </c>
      <c r="AH28" s="739">
        <f t="shared" si="57"/>
        <v>3.1857279388340265E-2</v>
      </c>
      <c r="AI28" s="738">
        <f>AI26/AE26-1</f>
        <v>8.9178317490091308E-2</v>
      </c>
      <c r="AJ28" s="736">
        <f>AJ26/AF26-1</f>
        <v>5.519449602834281E-2</v>
      </c>
      <c r="AK28" s="736">
        <f>AK26/AG26-1</f>
        <v>7.5143786619976227E-2</v>
      </c>
      <c r="AL28" s="739">
        <f>AL26/AH26-1</f>
        <v>6.957053862222673E-2</v>
      </c>
      <c r="AM28" s="736">
        <f t="shared" ref="AM28:AP28" si="58">AM26/AI26-1</f>
        <v>9.0863468884011978E-2</v>
      </c>
      <c r="AN28" s="736">
        <f t="shared" si="58"/>
        <v>2.3839272679482271E-2</v>
      </c>
      <c r="AO28" s="736">
        <f t="shared" si="58"/>
        <v>4.3605491099330873E-2</v>
      </c>
      <c r="AP28" s="736">
        <f t="shared" si="58"/>
        <v>-4.1480090313477547E-2</v>
      </c>
      <c r="AQ28" s="1385"/>
      <c r="AR28" s="740"/>
      <c r="AS28" s="740"/>
      <c r="AT28" s="740"/>
      <c r="AU28" s="740"/>
      <c r="AV28" s="740"/>
      <c r="AW28" s="740"/>
      <c r="AX28" s="740"/>
      <c r="AY28" s="740"/>
      <c r="AZ28" s="740"/>
      <c r="BA28" s="740"/>
      <c r="BB28"/>
      <c r="BC28"/>
      <c r="BD28"/>
      <c r="BE28"/>
      <c r="BF28"/>
      <c r="BG28"/>
    </row>
    <row r="29" spans="1:120" s="693" customFormat="1" hidden="1" outlineLevel="1">
      <c r="A29" s="713" t="s">
        <v>103</v>
      </c>
      <c r="B29" s="732"/>
      <c r="C29" s="732"/>
      <c r="D29" s="732"/>
      <c r="E29" s="732"/>
      <c r="F29" s="714">
        <v>-1812</v>
      </c>
      <c r="G29" s="714">
        <v>-244</v>
      </c>
      <c r="H29" s="714"/>
      <c r="I29" s="714"/>
      <c r="J29" s="732"/>
      <c r="K29" s="732"/>
      <c r="L29" s="732"/>
      <c r="M29" s="732"/>
      <c r="N29" s="732"/>
      <c r="O29" s="732"/>
      <c r="P29" s="732"/>
      <c r="Q29" s="732"/>
      <c r="R29" s="721"/>
      <c r="S29" s="732"/>
      <c r="T29" s="732"/>
      <c r="U29" s="732"/>
      <c r="V29" s="732"/>
      <c r="W29" s="717">
        <v>-469</v>
      </c>
      <c r="X29" s="716">
        <v>-463</v>
      </c>
      <c r="Y29" s="716">
        <v>-433</v>
      </c>
      <c r="Z29" s="716">
        <v>-447</v>
      </c>
      <c r="AA29" s="717">
        <v>-232</v>
      </c>
      <c r="AB29" s="716">
        <v>-8</v>
      </c>
      <c r="AC29" s="716">
        <v>-4</v>
      </c>
      <c r="AD29" s="716">
        <f>G29-SUM(AA29:AC29)</f>
        <v>0</v>
      </c>
      <c r="AE29" s="717">
        <v>0</v>
      </c>
      <c r="AF29" s="716">
        <v>0</v>
      </c>
      <c r="AG29" s="716"/>
      <c r="AH29" s="718"/>
      <c r="AI29" s="717"/>
      <c r="AJ29" s="716"/>
      <c r="AK29" s="716"/>
      <c r="AL29" s="718"/>
      <c r="AM29" s="732"/>
      <c r="AN29" s="732"/>
      <c r="AO29" s="732"/>
      <c r="AP29" s="732"/>
      <c r="AQ29" s="1383"/>
      <c r="AR29" s="692"/>
      <c r="AS29" s="692"/>
      <c r="AT29" s="692"/>
      <c r="AU29" s="692"/>
      <c r="AV29" s="692"/>
      <c r="AW29" s="692"/>
      <c r="AX29" s="692"/>
      <c r="AY29" s="692"/>
      <c r="AZ29" s="692"/>
      <c r="BA29" s="692"/>
      <c r="BB29"/>
      <c r="BC29"/>
      <c r="BD29"/>
      <c r="BE29"/>
      <c r="BF29"/>
      <c r="BG29"/>
      <c r="BJ29" s="742"/>
      <c r="BK29" s="742"/>
      <c r="BL29" s="742"/>
      <c r="BM29" s="742"/>
      <c r="BN29" s="742"/>
    </row>
    <row r="30" spans="1:120" s="693" customFormat="1" hidden="1" outlineLevel="1">
      <c r="A30" s="713" t="s">
        <v>104</v>
      </c>
      <c r="B30" s="731"/>
      <c r="C30" s="731"/>
      <c r="D30" s="714"/>
      <c r="E30" s="731"/>
      <c r="F30" s="714">
        <v>-14167</v>
      </c>
      <c r="G30" s="714">
        <f>G26+G29</f>
        <v>-11973</v>
      </c>
      <c r="H30" s="714">
        <f t="shared" ref="H30:Q30" si="59">H26+H29</f>
        <v>-11991</v>
      </c>
      <c r="I30" s="714">
        <f t="shared" si="59"/>
        <v>-12851.281569965869</v>
      </c>
      <c r="J30" s="714">
        <f t="shared" si="59"/>
        <v>-13194.019422565412</v>
      </c>
      <c r="K30" s="714">
        <f t="shared" si="59"/>
        <v>-13329.596750739251</v>
      </c>
      <c r="L30" s="714">
        <f t="shared" si="59"/>
        <v>-13193.577371216063</v>
      </c>
      <c r="M30" s="714">
        <f t="shared" si="59"/>
        <v>-13635.652970879959</v>
      </c>
      <c r="N30" s="714">
        <f t="shared" si="59"/>
        <v>-13602.214361270449</v>
      </c>
      <c r="O30" s="714">
        <f t="shared" si="59"/>
        <v>-13458.003570443878</v>
      </c>
      <c r="P30" s="714">
        <f t="shared" si="59"/>
        <v>-13618.42645995722</v>
      </c>
      <c r="Q30" s="714">
        <f t="shared" si="59"/>
        <v>-13753.108023929804</v>
      </c>
      <c r="R30" s="721"/>
      <c r="S30" s="732"/>
      <c r="T30" s="732"/>
      <c r="U30" s="732"/>
      <c r="V30" s="732"/>
      <c r="W30" s="717">
        <f t="shared" ref="W30:AH30" si="60">W26+W29</f>
        <v>-3451</v>
      </c>
      <c r="X30" s="716">
        <f t="shared" si="60"/>
        <v>-3648</v>
      </c>
      <c r="Y30" s="716">
        <f t="shared" si="60"/>
        <v>-3399</v>
      </c>
      <c r="Z30" s="716">
        <f t="shared" si="60"/>
        <v>-3669</v>
      </c>
      <c r="AA30" s="717">
        <f t="shared" si="60"/>
        <v>-2923</v>
      </c>
      <c r="AB30" s="716">
        <f t="shared" si="60"/>
        <v>-3019</v>
      </c>
      <c r="AC30" s="716">
        <f t="shared" si="60"/>
        <v>-2892</v>
      </c>
      <c r="AD30" s="716">
        <f t="shared" si="60"/>
        <v>-3139</v>
      </c>
      <c r="AE30" s="717">
        <f t="shared" si="60"/>
        <v>-2741</v>
      </c>
      <c r="AF30" s="716">
        <f t="shared" si="60"/>
        <v>-3067</v>
      </c>
      <c r="AG30" s="714">
        <f t="shared" si="60"/>
        <v>-2944</v>
      </c>
      <c r="AH30" s="718">
        <f t="shared" si="60"/>
        <v>-3239</v>
      </c>
      <c r="AI30" s="717">
        <f>AI26+AI29</f>
        <v>-2985.4377682403401</v>
      </c>
      <c r="AJ30" s="716">
        <f>AJ26+AJ29</f>
        <v>-3236.2815193189272</v>
      </c>
      <c r="AK30" s="716">
        <f>AK26+AK29</f>
        <v>-3165.2233078092099</v>
      </c>
      <c r="AL30" s="718">
        <f>AL26+AL29</f>
        <v>-3464.3389745973927</v>
      </c>
      <c r="AM30" s="716">
        <f t="shared" ref="AM30:AP30" si="61">AM26+AM29</f>
        <v>-3256.7050000000004</v>
      </c>
      <c r="AN30" s="716">
        <f t="shared" si="61"/>
        <v>-3313.43211692554</v>
      </c>
      <c r="AO30" s="716">
        <f t="shared" si="61"/>
        <v>-3303.2444245852794</v>
      </c>
      <c r="AP30" s="716">
        <f t="shared" si="61"/>
        <v>-3320.6378810545925</v>
      </c>
      <c r="AQ30" s="1383"/>
      <c r="AR30" s="692"/>
      <c r="AS30" s="692"/>
      <c r="AT30" s="692"/>
      <c r="AU30" s="692"/>
      <c r="AV30" s="692"/>
      <c r="AW30" s="692"/>
      <c r="AX30" s="692"/>
      <c r="AY30" s="692"/>
      <c r="AZ30" s="692"/>
      <c r="BA30" s="692"/>
      <c r="BB30"/>
      <c r="BC30"/>
      <c r="BD30"/>
      <c r="BE30"/>
      <c r="BF30"/>
      <c r="BG30"/>
      <c r="BJ30" s="725"/>
      <c r="BK30" s="725"/>
      <c r="BL30" s="725"/>
      <c r="BM30" s="725"/>
      <c r="BN30" s="725"/>
    </row>
    <row r="31" spans="1:120" s="693" customFormat="1" collapsed="1">
      <c r="A31" s="713" t="s">
        <v>105</v>
      </c>
      <c r="B31" s="714">
        <v>-9070</v>
      </c>
      <c r="C31" s="714">
        <v>-9243</v>
      </c>
      <c r="D31" s="714">
        <v>-9116</v>
      </c>
      <c r="E31" s="714">
        <v>-9071</v>
      </c>
      <c r="F31" s="714">
        <v>-8723</v>
      </c>
      <c r="G31" s="714">
        <f t="shared" ref="G31:Q31" si="62">G221+G349+G289</f>
        <v>-8738</v>
      </c>
      <c r="H31" s="714">
        <f t="shared" si="62"/>
        <v>-8402</v>
      </c>
      <c r="I31" s="714">
        <f t="shared" si="62"/>
        <v>-8313</v>
      </c>
      <c r="J31" s="714">
        <f t="shared" si="62"/>
        <v>-8940.9875763963992</v>
      </c>
      <c r="K31" s="714">
        <f t="shared" si="62"/>
        <v>-9076.4274523986951</v>
      </c>
      <c r="L31" s="714">
        <f t="shared" si="62"/>
        <v>-9355.1995898894456</v>
      </c>
      <c r="M31" s="714">
        <f t="shared" si="62"/>
        <v>-9506.4687746860873</v>
      </c>
      <c r="N31" s="714">
        <f t="shared" si="62"/>
        <v>-9658.7921387266051</v>
      </c>
      <c r="O31" s="714">
        <f t="shared" si="62"/>
        <v>-9621.2453087787017</v>
      </c>
      <c r="P31" s="714">
        <f t="shared" si="62"/>
        <v>-9556.9998805525756</v>
      </c>
      <c r="Q31" s="714">
        <f t="shared" si="62"/>
        <v>-9501.3207323582301</v>
      </c>
      <c r="R31" s="715"/>
      <c r="S31" s="716">
        <v>-2122</v>
      </c>
      <c r="T31" s="716">
        <v>-2247</v>
      </c>
      <c r="U31" s="716">
        <v>-2216</v>
      </c>
      <c r="V31" s="716">
        <v>-2486</v>
      </c>
      <c r="W31" s="717">
        <f t="shared" ref="W31:AH31" si="63">W221+W349+W289</f>
        <v>-2180</v>
      </c>
      <c r="X31" s="716">
        <f t="shared" si="63"/>
        <v>-2124</v>
      </c>
      <c r="Y31" s="716">
        <f t="shared" si="63"/>
        <v>-2104</v>
      </c>
      <c r="Z31" s="716">
        <f t="shared" si="63"/>
        <v>-2315</v>
      </c>
      <c r="AA31" s="717">
        <f t="shared" si="63"/>
        <v>-2044</v>
      </c>
      <c r="AB31" s="716">
        <f t="shared" si="63"/>
        <v>-2163</v>
      </c>
      <c r="AC31" s="716">
        <f t="shared" si="63"/>
        <v>-2153</v>
      </c>
      <c r="AD31" s="716">
        <f t="shared" si="63"/>
        <v>-2378</v>
      </c>
      <c r="AE31" s="717">
        <f t="shared" si="63"/>
        <v>-2011</v>
      </c>
      <c r="AF31" s="716">
        <f t="shared" si="63"/>
        <v>-2138</v>
      </c>
      <c r="AG31" s="714">
        <f t="shared" si="63"/>
        <v>-2080</v>
      </c>
      <c r="AH31" s="718">
        <f t="shared" si="63"/>
        <v>-2173</v>
      </c>
      <c r="AI31" s="717">
        <f>AI221+AI349+AI289</f>
        <v>-1984</v>
      </c>
      <c r="AJ31" s="716">
        <f>AJ221+AJ349+AJ289</f>
        <v>-2029</v>
      </c>
      <c r="AK31" s="716">
        <f>AK221+AK349+AK289</f>
        <v>-2049</v>
      </c>
      <c r="AL31" s="718">
        <f>AL221+AL349+AL289</f>
        <v>-2251</v>
      </c>
      <c r="AM31" s="716">
        <f t="shared" ref="AM31:AP31" si="64">AM221+AM349+AM289</f>
        <v>-2111</v>
      </c>
      <c r="AN31" s="716">
        <f t="shared" si="64"/>
        <v>-2246.9604158083453</v>
      </c>
      <c r="AO31" s="716">
        <f t="shared" si="64"/>
        <v>-2234.7096249641004</v>
      </c>
      <c r="AP31" s="716">
        <f t="shared" si="64"/>
        <v>-2348.3175356239531</v>
      </c>
      <c r="AQ31" s="1383"/>
      <c r="AR31" s="692"/>
      <c r="AS31" s="692"/>
      <c r="AT31" s="692"/>
      <c r="AU31" s="692"/>
      <c r="AV31" s="692"/>
      <c r="AW31" s="692"/>
      <c r="AX31" s="692"/>
      <c r="AY31" s="692"/>
      <c r="AZ31" s="692"/>
      <c r="BA31" s="692"/>
      <c r="BB31"/>
      <c r="BC31"/>
      <c r="BD31"/>
      <c r="BE31"/>
      <c r="BF31"/>
      <c r="BG31"/>
      <c r="BJ31" s="714"/>
      <c r="BK31" s="714"/>
      <c r="BL31" s="714"/>
      <c r="BM31" s="714"/>
      <c r="BN31" s="714"/>
    </row>
    <row r="32" spans="1:120" s="693" customFormat="1">
      <c r="A32" s="713" t="s">
        <v>95</v>
      </c>
      <c r="B32" s="731">
        <v>0.17916403286978508</v>
      </c>
      <c r="C32" s="731">
        <v>0.15782194447290238</v>
      </c>
      <c r="D32" s="731">
        <v>0.16085261059058106</v>
      </c>
      <c r="E32" s="731">
        <v>0.17488287801962638</v>
      </c>
      <c r="F32" s="731">
        <v>0.16717133001149867</v>
      </c>
      <c r="G32" s="731">
        <f t="shared" ref="G32:Q32" si="65">-G31/G$3</f>
        <v>0.17683247662605739</v>
      </c>
      <c r="H32" s="731">
        <f t="shared" si="65"/>
        <v>0.17317284306855188</v>
      </c>
      <c r="I32" s="731">
        <f t="shared" si="65"/>
        <v>0.16927650736117617</v>
      </c>
      <c r="J32" s="731">
        <f t="shared" si="65"/>
        <v>0.17109364076634465</v>
      </c>
      <c r="K32" s="731">
        <f t="shared" si="65"/>
        <v>0.1702531286131426</v>
      </c>
      <c r="L32" s="731">
        <f t="shared" si="65"/>
        <v>0.1701448052272182</v>
      </c>
      <c r="M32" s="731">
        <f t="shared" si="65"/>
        <v>0.16676541359950739</v>
      </c>
      <c r="N32" s="731">
        <f t="shared" si="65"/>
        <v>0.16593986509304387</v>
      </c>
      <c r="O32" s="731">
        <f t="shared" si="65"/>
        <v>0.166818369186362</v>
      </c>
      <c r="P32" s="731">
        <f t="shared" si="65"/>
        <v>0.16359975570028643</v>
      </c>
      <c r="Q32" s="731">
        <f t="shared" si="65"/>
        <v>0.16088546496635966</v>
      </c>
      <c r="R32" s="721"/>
      <c r="S32" s="732">
        <v>0.16706030546370651</v>
      </c>
      <c r="T32" s="732">
        <v>0.17188097605752314</v>
      </c>
      <c r="U32" s="732">
        <v>0.17441951987406532</v>
      </c>
      <c r="V32" s="732">
        <v>0.18567480767794459</v>
      </c>
      <c r="W32" s="733">
        <f t="shared" ref="W32:AH32" si="66">-W31/W$3</f>
        <v>0.17075272186104801</v>
      </c>
      <c r="X32" s="732">
        <f t="shared" si="66"/>
        <v>0.15913688469318948</v>
      </c>
      <c r="Y32" s="732">
        <f t="shared" si="66"/>
        <v>0.16195827880840583</v>
      </c>
      <c r="Z32" s="732">
        <f t="shared" si="66"/>
        <v>0.17705544933078393</v>
      </c>
      <c r="AA32" s="733">
        <f t="shared" si="66"/>
        <v>0.17126099706744868</v>
      </c>
      <c r="AB32" s="732">
        <f t="shared" si="66"/>
        <v>0.17039546242319206</v>
      </c>
      <c r="AC32" s="732">
        <f t="shared" si="66"/>
        <v>0.17554015491235223</v>
      </c>
      <c r="AD32" s="732">
        <f t="shared" si="66"/>
        <v>0.18993610223642174</v>
      </c>
      <c r="AE32" s="733">
        <f t="shared" si="66"/>
        <v>0.17336206896551723</v>
      </c>
      <c r="AF32" s="732">
        <f t="shared" si="66"/>
        <v>0.17145148356054532</v>
      </c>
      <c r="AG32" s="731">
        <f t="shared" si="66"/>
        <v>0.17153224476331849</v>
      </c>
      <c r="AH32" s="734">
        <f t="shared" si="66"/>
        <v>0.1763512416815452</v>
      </c>
      <c r="AI32" s="733">
        <f>-AI31/AI$3</f>
        <v>0.17193864286333305</v>
      </c>
      <c r="AJ32" s="732">
        <f>-AJ31/AJ$3</f>
        <v>0.16574089201110931</v>
      </c>
      <c r="AK32" s="732">
        <f>-AK31/AK$3</f>
        <v>0.16506821140609748</v>
      </c>
      <c r="AL32" s="734">
        <f>-AL31/AL$3</f>
        <v>0.17429413513425049</v>
      </c>
      <c r="AM32" s="732">
        <f t="shared" ref="AM32:AP32" si="67">-AM31/AM$3</f>
        <v>0.16629903891602332</v>
      </c>
      <c r="AN32" s="732">
        <f t="shared" si="67"/>
        <v>0.17146441161227982</v>
      </c>
      <c r="AO32" s="732">
        <f t="shared" si="67"/>
        <v>0.17073406512015607</v>
      </c>
      <c r="AP32" s="732">
        <f t="shared" si="67"/>
        <v>0.1756342587114833</v>
      </c>
      <c r="AQ32" s="1383"/>
      <c r="AR32" s="692"/>
      <c r="AS32" s="692"/>
      <c r="AT32" s="692"/>
      <c r="AU32" s="692"/>
      <c r="AV32" s="692"/>
      <c r="AW32" s="692"/>
      <c r="AX32" s="692"/>
      <c r="AY32" s="692"/>
      <c r="AZ32" s="692"/>
      <c r="BA32" s="692"/>
      <c r="BB32"/>
      <c r="BC32"/>
      <c r="BD32"/>
      <c r="BE32"/>
      <c r="BF32"/>
      <c r="BG32"/>
      <c r="BJ32" s="725"/>
      <c r="BK32" s="725"/>
      <c r="BL32" s="725"/>
      <c r="BM32" s="725"/>
      <c r="BN32" s="725"/>
    </row>
    <row r="33" spans="1:66" s="741" customFormat="1" hidden="1" outlineLevel="1">
      <c r="A33" s="740" t="s">
        <v>295</v>
      </c>
      <c r="B33" s="735"/>
      <c r="C33" s="735">
        <v>1.9073869900771756E-2</v>
      </c>
      <c r="D33" s="735">
        <v>-1.3740127664178314E-2</v>
      </c>
      <c r="E33" s="735">
        <v>-4.9363756033348194E-3</v>
      </c>
      <c r="F33" s="735">
        <v>-3.8364017197662914E-2</v>
      </c>
      <c r="G33" s="735">
        <f t="shared" ref="G33:Q33" si="68">G31/F31-1</f>
        <v>1.7195918835262169E-3</v>
      </c>
      <c r="H33" s="735">
        <f t="shared" si="68"/>
        <v>-3.8452735179674957E-2</v>
      </c>
      <c r="I33" s="735">
        <f t="shared" si="68"/>
        <v>-1.059271601999523E-2</v>
      </c>
      <c r="J33" s="736">
        <f t="shared" si="68"/>
        <v>7.5542833681751409E-2</v>
      </c>
      <c r="K33" s="736">
        <f t="shared" si="68"/>
        <v>1.5148200894479213E-2</v>
      </c>
      <c r="L33" s="736">
        <f t="shared" si="68"/>
        <v>3.0713861698644207E-2</v>
      </c>
      <c r="M33" s="736">
        <f t="shared" si="68"/>
        <v>1.6169530467326831E-2</v>
      </c>
      <c r="N33" s="736">
        <f t="shared" si="68"/>
        <v>1.6023127793374226E-2</v>
      </c>
      <c r="O33" s="736">
        <f t="shared" si="68"/>
        <v>-3.8873214588975857E-3</v>
      </c>
      <c r="P33" s="736">
        <f t="shared" si="68"/>
        <v>-6.6774545460873691E-3</v>
      </c>
      <c r="Q33" s="736">
        <f t="shared" si="68"/>
        <v>-5.8260069990840879E-3</v>
      </c>
      <c r="R33" s="737"/>
      <c r="S33" s="736"/>
      <c r="T33" s="736"/>
      <c r="U33" s="736"/>
      <c r="V33" s="736"/>
      <c r="W33" s="738"/>
      <c r="X33" s="736"/>
      <c r="Y33" s="736"/>
      <c r="Z33" s="736"/>
      <c r="AA33" s="738">
        <f t="shared" ref="AA33:AH33" si="69">AA31/W31-1</f>
        <v>-6.2385321100917435E-2</v>
      </c>
      <c r="AB33" s="736">
        <f t="shared" si="69"/>
        <v>1.836158192090398E-2</v>
      </c>
      <c r="AC33" s="736">
        <f t="shared" si="69"/>
        <v>2.3288973384030465E-2</v>
      </c>
      <c r="AD33" s="736">
        <f t="shared" si="69"/>
        <v>2.7213822894168516E-2</v>
      </c>
      <c r="AE33" s="738">
        <f t="shared" si="69"/>
        <v>-1.6144814090019555E-2</v>
      </c>
      <c r="AF33" s="736">
        <f t="shared" si="69"/>
        <v>-1.1558021266759089E-2</v>
      </c>
      <c r="AG33" s="736">
        <f t="shared" si="69"/>
        <v>-3.3906177426846207E-2</v>
      </c>
      <c r="AH33" s="739">
        <f t="shared" si="69"/>
        <v>-8.6206896551724088E-2</v>
      </c>
      <c r="AI33" s="738">
        <f>AI31/AE31-1</f>
        <v>-1.3426156141223222E-2</v>
      </c>
      <c r="AJ33" s="736">
        <f>AJ31/AF31-1</f>
        <v>-5.0982226379794215E-2</v>
      </c>
      <c r="AK33" s="736">
        <f>AK31/AG31-1</f>
        <v>-1.4903846153846101E-2</v>
      </c>
      <c r="AL33" s="739">
        <f>AL31/AH31-1</f>
        <v>3.5895075931891451E-2</v>
      </c>
      <c r="AM33" s="736">
        <f t="shared" ref="AM33:AP33" si="70">AM31/AI31-1</f>
        <v>6.4012096774193505E-2</v>
      </c>
      <c r="AN33" s="736">
        <f t="shared" si="70"/>
        <v>0.10742258048710962</v>
      </c>
      <c r="AO33" s="736">
        <f t="shared" si="70"/>
        <v>9.0634272798487236E-2</v>
      </c>
      <c r="AP33" s="736">
        <f t="shared" si="70"/>
        <v>4.3233023378033364E-2</v>
      </c>
      <c r="AQ33" s="1385"/>
      <c r="AR33" s="740"/>
      <c r="AS33" s="740"/>
      <c r="AT33" s="740"/>
      <c r="AU33" s="740"/>
      <c r="AV33" s="740"/>
      <c r="AW33" s="740"/>
      <c r="AX33" s="740"/>
      <c r="AY33" s="740"/>
      <c r="AZ33" s="740"/>
      <c r="BA33" s="740"/>
      <c r="BB33"/>
      <c r="BC33"/>
      <c r="BD33"/>
      <c r="BE33"/>
      <c r="BF33"/>
      <c r="BG33"/>
    </row>
    <row r="34" spans="1:66" s="693" customFormat="1" hidden="1" outlineLevel="1">
      <c r="A34" s="713" t="s">
        <v>106</v>
      </c>
      <c r="B34" s="732"/>
      <c r="C34" s="732"/>
      <c r="D34" s="732"/>
      <c r="E34" s="732"/>
      <c r="F34" s="714">
        <v>-849</v>
      </c>
      <c r="G34" s="714">
        <v>-181</v>
      </c>
      <c r="H34" s="714"/>
      <c r="I34" s="714"/>
      <c r="J34" s="732"/>
      <c r="K34" s="732"/>
      <c r="L34" s="732"/>
      <c r="M34" s="732"/>
      <c r="N34" s="732"/>
      <c r="O34" s="732"/>
      <c r="P34" s="732"/>
      <c r="Q34" s="732"/>
      <c r="R34" s="721"/>
      <c r="S34" s="732"/>
      <c r="T34" s="732"/>
      <c r="U34" s="732"/>
      <c r="V34" s="732"/>
      <c r="W34" s="717">
        <v>-216</v>
      </c>
      <c r="X34" s="716">
        <v>-206</v>
      </c>
      <c r="Y34" s="716">
        <v>-211</v>
      </c>
      <c r="Z34" s="716">
        <v>-216</v>
      </c>
      <c r="AA34" s="717">
        <v>-123</v>
      </c>
      <c r="AB34" s="716">
        <v>-40</v>
      </c>
      <c r="AC34" s="716">
        <v>-18</v>
      </c>
      <c r="AD34" s="716">
        <f>G34-SUM(AA34:AC34)</f>
        <v>0</v>
      </c>
      <c r="AE34" s="717">
        <v>0</v>
      </c>
      <c r="AF34" s="716">
        <v>0</v>
      </c>
      <c r="AG34" s="716"/>
      <c r="AH34" s="718"/>
      <c r="AI34" s="717"/>
      <c r="AJ34" s="716"/>
      <c r="AK34" s="716"/>
      <c r="AL34" s="718"/>
      <c r="AM34" s="732"/>
      <c r="AN34" s="732"/>
      <c r="AO34" s="732"/>
      <c r="AP34" s="732"/>
      <c r="AQ34" s="1383"/>
      <c r="AR34" s="692"/>
      <c r="AS34" s="692"/>
      <c r="AT34" s="692"/>
      <c r="AU34" s="692"/>
      <c r="AV34" s="692"/>
      <c r="AW34" s="692"/>
      <c r="AX34" s="692"/>
      <c r="AY34" s="692"/>
      <c r="AZ34" s="692"/>
      <c r="BA34" s="692"/>
      <c r="BB34"/>
      <c r="BC34"/>
      <c r="BD34"/>
      <c r="BE34"/>
      <c r="BF34"/>
      <c r="BG34"/>
      <c r="BJ34" s="742"/>
      <c r="BK34" s="742"/>
      <c r="BL34" s="742"/>
      <c r="BM34" s="742"/>
      <c r="BN34" s="742"/>
    </row>
    <row r="35" spans="1:66" s="693" customFormat="1" hidden="1" outlineLevel="1">
      <c r="A35" s="713" t="s">
        <v>107</v>
      </c>
      <c r="B35" s="731"/>
      <c r="C35" s="731"/>
      <c r="D35" s="714"/>
      <c r="E35" s="731"/>
      <c r="F35" s="714">
        <v>-9572</v>
      </c>
      <c r="G35" s="714">
        <f>G31+G34</f>
        <v>-8919</v>
      </c>
      <c r="H35" s="714">
        <f t="shared" ref="H35:Q35" si="71">H31+H34</f>
        <v>-8402</v>
      </c>
      <c r="I35" s="714">
        <f t="shared" si="71"/>
        <v>-8313</v>
      </c>
      <c r="J35" s="714">
        <f t="shared" si="71"/>
        <v>-8940.9875763963992</v>
      </c>
      <c r="K35" s="714">
        <f t="shared" si="71"/>
        <v>-9076.4274523986951</v>
      </c>
      <c r="L35" s="714">
        <f t="shared" si="71"/>
        <v>-9355.1995898894456</v>
      </c>
      <c r="M35" s="714">
        <f t="shared" si="71"/>
        <v>-9506.4687746860873</v>
      </c>
      <c r="N35" s="714">
        <f t="shared" si="71"/>
        <v>-9658.7921387266051</v>
      </c>
      <c r="O35" s="714">
        <f t="shared" si="71"/>
        <v>-9621.2453087787017</v>
      </c>
      <c r="P35" s="714">
        <f t="shared" si="71"/>
        <v>-9556.9998805525756</v>
      </c>
      <c r="Q35" s="714">
        <f t="shared" si="71"/>
        <v>-9501.3207323582301</v>
      </c>
      <c r="R35" s="721"/>
      <c r="S35" s="732"/>
      <c r="T35" s="732"/>
      <c r="U35" s="732"/>
      <c r="V35" s="732"/>
      <c r="W35" s="717">
        <f t="shared" ref="W35:AH35" si="72">W31+W34</f>
        <v>-2396</v>
      </c>
      <c r="X35" s="716">
        <f t="shared" si="72"/>
        <v>-2330</v>
      </c>
      <c r="Y35" s="716">
        <f t="shared" si="72"/>
        <v>-2315</v>
      </c>
      <c r="Z35" s="716">
        <f t="shared" si="72"/>
        <v>-2531</v>
      </c>
      <c r="AA35" s="717">
        <f t="shared" si="72"/>
        <v>-2167</v>
      </c>
      <c r="AB35" s="716">
        <f t="shared" si="72"/>
        <v>-2203</v>
      </c>
      <c r="AC35" s="716">
        <f t="shared" si="72"/>
        <v>-2171</v>
      </c>
      <c r="AD35" s="716">
        <f t="shared" si="72"/>
        <v>-2378</v>
      </c>
      <c r="AE35" s="717">
        <f t="shared" si="72"/>
        <v>-2011</v>
      </c>
      <c r="AF35" s="716">
        <f t="shared" si="72"/>
        <v>-2138</v>
      </c>
      <c r="AG35" s="716">
        <f t="shared" si="72"/>
        <v>-2080</v>
      </c>
      <c r="AH35" s="718">
        <f t="shared" si="72"/>
        <v>-2173</v>
      </c>
      <c r="AI35" s="717">
        <f>AI31+AI34</f>
        <v>-1984</v>
      </c>
      <c r="AJ35" s="716">
        <f>AJ31+AJ34</f>
        <v>-2029</v>
      </c>
      <c r="AK35" s="716">
        <f>AK31+AK34</f>
        <v>-2049</v>
      </c>
      <c r="AL35" s="718">
        <f>AL31+AL34</f>
        <v>-2251</v>
      </c>
      <c r="AM35" s="716">
        <f t="shared" ref="AM35:AP35" si="73">AM31+AM34</f>
        <v>-2111</v>
      </c>
      <c r="AN35" s="716">
        <f t="shared" si="73"/>
        <v>-2246.9604158083453</v>
      </c>
      <c r="AO35" s="716">
        <f t="shared" si="73"/>
        <v>-2234.7096249641004</v>
      </c>
      <c r="AP35" s="716">
        <f t="shared" si="73"/>
        <v>-2348.3175356239531</v>
      </c>
      <c r="AQ35" s="1383"/>
      <c r="AR35" s="692"/>
      <c r="AS35" s="692"/>
      <c r="AT35" s="692"/>
      <c r="AU35" s="692"/>
      <c r="AV35" s="692"/>
      <c r="AW35" s="692"/>
      <c r="AX35" s="692"/>
      <c r="AY35" s="692"/>
      <c r="AZ35" s="692"/>
      <c r="BA35" s="692"/>
      <c r="BB35"/>
      <c r="BC35"/>
      <c r="BD35"/>
      <c r="BE35"/>
      <c r="BF35"/>
      <c r="BG35"/>
      <c r="BJ35" s="725"/>
      <c r="BK35" s="725"/>
      <c r="BL35" s="725"/>
      <c r="BM35" s="725"/>
      <c r="BN35" s="725"/>
    </row>
    <row r="36" spans="1:66" s="693" customFormat="1" collapsed="1">
      <c r="A36" s="713" t="s">
        <v>108</v>
      </c>
      <c r="B36" s="714">
        <v>-2481</v>
      </c>
      <c r="C36" s="714">
        <v>-2957</v>
      </c>
      <c r="D36" s="714">
        <v>-2923</v>
      </c>
      <c r="E36" s="714">
        <v>-2603</v>
      </c>
      <c r="F36" s="714">
        <v>-2552</v>
      </c>
      <c r="G36" s="714">
        <f t="shared" ref="G36:Q36" si="74">G226+G354+G407+G294</f>
        <v>-2389</v>
      </c>
      <c r="H36" s="714">
        <f t="shared" si="74"/>
        <v>-2120</v>
      </c>
      <c r="I36" s="714">
        <f t="shared" si="74"/>
        <v>-2148.7184300341301</v>
      </c>
      <c r="J36" s="714">
        <f t="shared" si="74"/>
        <v>-2224.9048009284475</v>
      </c>
      <c r="K36" s="714">
        <f t="shared" si="74"/>
        <v>-2215.6432976237043</v>
      </c>
      <c r="L36" s="714">
        <f t="shared" si="74"/>
        <v>-2171.5703723503734</v>
      </c>
      <c r="M36" s="714">
        <f t="shared" si="74"/>
        <v>-2207.1356708908238</v>
      </c>
      <c r="N36" s="714">
        <f t="shared" si="74"/>
        <v>-2258.7518890244414</v>
      </c>
      <c r="O36" s="714">
        <f t="shared" si="74"/>
        <v>-2267.9116311892258</v>
      </c>
      <c r="P36" s="714">
        <f t="shared" si="74"/>
        <v>-2309.8261759006064</v>
      </c>
      <c r="Q36" s="714">
        <f t="shared" si="74"/>
        <v>-2350.1386676879038</v>
      </c>
      <c r="R36" s="715"/>
      <c r="S36" s="716">
        <v>-648</v>
      </c>
      <c r="T36" s="716">
        <v>-619</v>
      </c>
      <c r="U36" s="716">
        <v>-641</v>
      </c>
      <c r="V36" s="716">
        <v>-695</v>
      </c>
      <c r="W36" s="717">
        <f t="shared" ref="W36:AP36" si="75">W226+W354+W407+W294</f>
        <v>-632</v>
      </c>
      <c r="X36" s="716">
        <f t="shared" si="75"/>
        <v>-631</v>
      </c>
      <c r="Y36" s="716">
        <f t="shared" si="75"/>
        <v>-576</v>
      </c>
      <c r="Z36" s="716">
        <f t="shared" si="75"/>
        <v>-713</v>
      </c>
      <c r="AA36" s="717">
        <f t="shared" si="75"/>
        <v>-577</v>
      </c>
      <c r="AB36" s="716">
        <f t="shared" si="75"/>
        <v>-585</v>
      </c>
      <c r="AC36" s="716">
        <f t="shared" si="75"/>
        <v>-553</v>
      </c>
      <c r="AD36" s="716">
        <f t="shared" si="75"/>
        <v>-674</v>
      </c>
      <c r="AE36" s="717">
        <f t="shared" si="75"/>
        <v>-553</v>
      </c>
      <c r="AF36" s="716">
        <f t="shared" si="75"/>
        <v>-566</v>
      </c>
      <c r="AG36" s="714">
        <f t="shared" si="75"/>
        <v>-428</v>
      </c>
      <c r="AH36" s="718">
        <f t="shared" si="75"/>
        <v>-573</v>
      </c>
      <c r="AI36" s="717">
        <f t="shared" si="75"/>
        <v>-483.56223175965704</v>
      </c>
      <c r="AJ36" s="716">
        <f t="shared" si="75"/>
        <v>-572.71848068107397</v>
      </c>
      <c r="AK36" s="716">
        <f t="shared" si="75"/>
        <v>-512.77669219079007</v>
      </c>
      <c r="AL36" s="718">
        <f t="shared" si="75"/>
        <v>-579.66102540260897</v>
      </c>
      <c r="AM36" s="716">
        <f t="shared" si="75"/>
        <v>-511.12900000000002</v>
      </c>
      <c r="AN36" s="716">
        <f t="shared" si="75"/>
        <v>-594.84043926999357</v>
      </c>
      <c r="AO36" s="716">
        <f t="shared" si="75"/>
        <v>-554.49743888675118</v>
      </c>
      <c r="AP36" s="716">
        <f t="shared" si="75"/>
        <v>-564.4379227717028</v>
      </c>
      <c r="AQ36" s="1383"/>
      <c r="AR36" s="692"/>
      <c r="AS36" s="692"/>
      <c r="AT36" s="692"/>
      <c r="AU36" s="692"/>
      <c r="AV36" s="692"/>
      <c r="AW36" s="692"/>
      <c r="AX36" s="692"/>
      <c r="AY36" s="692"/>
      <c r="AZ36" s="692"/>
      <c r="BA36" s="692"/>
      <c r="BB36"/>
      <c r="BC36"/>
      <c r="BD36"/>
      <c r="BE36"/>
      <c r="BF36"/>
      <c r="BG36"/>
      <c r="BJ36" s="714"/>
      <c r="BK36" s="714"/>
      <c r="BL36" s="714"/>
      <c r="BM36" s="714"/>
      <c r="BN36" s="714"/>
    </row>
    <row r="37" spans="1:66" s="693" customFormat="1">
      <c r="A37" s="713" t="s">
        <v>95</v>
      </c>
      <c r="B37" s="731">
        <v>4.9008375474083439E-2</v>
      </c>
      <c r="C37" s="731">
        <v>5.04900454188437E-2</v>
      </c>
      <c r="D37" s="731">
        <v>5.1576588498932471E-2</v>
      </c>
      <c r="E37" s="731">
        <v>5.0184117681081185E-2</v>
      </c>
      <c r="F37" s="731">
        <v>4.8907627443464927E-2</v>
      </c>
      <c r="G37" s="731">
        <f t="shared" ref="G37:Q37" si="76">-G36/G$3</f>
        <v>4.8346622414700287E-2</v>
      </c>
      <c r="H37" s="731">
        <f t="shared" si="76"/>
        <v>4.3695123459334677E-2</v>
      </c>
      <c r="I37" s="731">
        <f t="shared" si="76"/>
        <v>4.3754066057833191E-2</v>
      </c>
      <c r="J37" s="731">
        <f t="shared" si="76"/>
        <v>4.2575505166152182E-2</v>
      </c>
      <c r="K37" s="731">
        <f t="shared" si="76"/>
        <v>4.1560427303529553E-2</v>
      </c>
      <c r="L37" s="731">
        <f t="shared" si="76"/>
        <v>3.9494765931030053E-2</v>
      </c>
      <c r="M37" s="731">
        <f t="shared" si="76"/>
        <v>3.8718256142222338E-2</v>
      </c>
      <c r="N37" s="731">
        <f t="shared" si="76"/>
        <v>3.8805782168202747E-2</v>
      </c>
      <c r="O37" s="731">
        <f t="shared" si="76"/>
        <v>3.932228184937455E-2</v>
      </c>
      <c r="P37" s="731">
        <f t="shared" si="76"/>
        <v>3.9540337219886722E-2</v>
      </c>
      <c r="Q37" s="731">
        <f t="shared" si="76"/>
        <v>3.979479936917614E-2</v>
      </c>
      <c r="R37" s="721"/>
      <c r="S37" s="732">
        <v>5.1015588096362779E-2</v>
      </c>
      <c r="T37" s="732">
        <v>4.7349498967337263E-2</v>
      </c>
      <c r="U37" s="732">
        <v>5.0452577725304995E-2</v>
      </c>
      <c r="V37" s="732">
        <v>5.1908282918813949E-2</v>
      </c>
      <c r="W37" s="733">
        <f t="shared" ref="W37:AH37" si="77">-W36/W$3</f>
        <v>4.9502623952377221E-2</v>
      </c>
      <c r="X37" s="732">
        <f t="shared" si="77"/>
        <v>4.7276541544916457E-2</v>
      </c>
      <c r="Y37" s="732">
        <f t="shared" si="77"/>
        <v>4.4338388114848741E-2</v>
      </c>
      <c r="Z37" s="732">
        <f t="shared" si="77"/>
        <v>5.4531548757170173E-2</v>
      </c>
      <c r="AA37" s="733">
        <f t="shared" si="77"/>
        <v>4.834520318391286E-2</v>
      </c>
      <c r="AB37" s="732">
        <f t="shared" si="77"/>
        <v>4.6084764455648339E-2</v>
      </c>
      <c r="AC37" s="732">
        <f t="shared" si="77"/>
        <v>4.5087647778230738E-2</v>
      </c>
      <c r="AD37" s="732">
        <f t="shared" si="77"/>
        <v>5.3833865814696485E-2</v>
      </c>
      <c r="AE37" s="733">
        <f t="shared" si="77"/>
        <v>4.7672413793103448E-2</v>
      </c>
      <c r="AF37" s="732">
        <f t="shared" si="77"/>
        <v>4.5388933440256615E-2</v>
      </c>
      <c r="AG37" s="731">
        <f t="shared" si="77"/>
        <v>3.529605805706746E-2</v>
      </c>
      <c r="AH37" s="734">
        <f t="shared" si="77"/>
        <v>4.6502191202726827E-2</v>
      </c>
      <c r="AI37" s="733">
        <f>-AI36/AI$3</f>
        <v>4.1906771103185463E-2</v>
      </c>
      <c r="AJ37" s="732">
        <f>-AJ36/AJ$3</f>
        <v>4.6783081251517235E-2</v>
      </c>
      <c r="AK37" s="732">
        <f>-AK36/AK$3</f>
        <v>4.1309483372703126E-2</v>
      </c>
      <c r="AL37" s="734">
        <f>-AL36/AL$3</f>
        <v>4.4882948508920717E-2</v>
      </c>
      <c r="AM37" s="732">
        <f t="shared" ref="AM37:AP37" si="78">-AM36/AM$3</f>
        <v>4.0265400976839456E-2</v>
      </c>
      <c r="AN37" s="732">
        <f t="shared" si="78"/>
        <v>4.5391972731271789E-2</v>
      </c>
      <c r="AO37" s="732">
        <f t="shared" si="78"/>
        <v>4.2364162566029671E-2</v>
      </c>
      <c r="AP37" s="732">
        <f t="shared" si="78"/>
        <v>4.2215175184269614E-2</v>
      </c>
      <c r="AQ37" s="1383"/>
      <c r="AR37" s="692"/>
      <c r="AS37" s="692"/>
      <c r="AT37" s="692"/>
      <c r="AU37" s="692"/>
      <c r="AV37" s="692"/>
      <c r="AW37" s="692"/>
      <c r="AX37" s="692"/>
      <c r="AY37" s="692"/>
      <c r="AZ37" s="692"/>
      <c r="BA37" s="692"/>
      <c r="BB37"/>
      <c r="BC37"/>
      <c r="BD37"/>
      <c r="BE37"/>
      <c r="BF37"/>
      <c r="BG37"/>
      <c r="BJ37" s="725"/>
      <c r="BK37" s="725"/>
      <c r="BL37" s="725"/>
      <c r="BM37" s="725"/>
      <c r="BN37" s="725"/>
    </row>
    <row r="38" spans="1:66" s="741" customFormat="1" hidden="1" outlineLevel="1">
      <c r="A38" s="740" t="s">
        <v>295</v>
      </c>
      <c r="B38" s="735"/>
      <c r="C38" s="735">
        <v>0.19185812172511074</v>
      </c>
      <c r="D38" s="735">
        <v>-1.1498140006763635E-2</v>
      </c>
      <c r="E38" s="735">
        <v>-0.10947656517276771</v>
      </c>
      <c r="F38" s="735">
        <v>-1.9592777564348851E-2</v>
      </c>
      <c r="G38" s="735">
        <f t="shared" ref="G38:Q38" si="79">G36/F36-1</f>
        <v>-6.3871473354231934E-2</v>
      </c>
      <c r="H38" s="735">
        <f t="shared" si="79"/>
        <v>-0.11259941398074513</v>
      </c>
      <c r="I38" s="735">
        <f t="shared" si="79"/>
        <v>1.3546429261382054E-2</v>
      </c>
      <c r="J38" s="736">
        <f t="shared" si="79"/>
        <v>3.5456656316345425E-2</v>
      </c>
      <c r="K38" s="736">
        <f t="shared" si="79"/>
        <v>-4.162651499011738E-3</v>
      </c>
      <c r="L38" s="736">
        <f t="shared" si="79"/>
        <v>-1.9891706088520422E-2</v>
      </c>
      <c r="M38" s="736">
        <f t="shared" si="79"/>
        <v>1.6377686393813207E-2</v>
      </c>
      <c r="N38" s="736">
        <f t="shared" si="79"/>
        <v>2.3386064941256945E-2</v>
      </c>
      <c r="O38" s="736">
        <f t="shared" si="79"/>
        <v>4.0552228021557557E-3</v>
      </c>
      <c r="P38" s="736">
        <f t="shared" si="79"/>
        <v>1.8481559922774338E-2</v>
      </c>
      <c r="Q38" s="736">
        <f t="shared" si="79"/>
        <v>1.7452608429108007E-2</v>
      </c>
      <c r="R38" s="737"/>
      <c r="S38" s="736"/>
      <c r="T38" s="736"/>
      <c r="U38" s="736"/>
      <c r="V38" s="736"/>
      <c r="W38" s="738"/>
      <c r="X38" s="736"/>
      <c r="Y38" s="736"/>
      <c r="Z38" s="736"/>
      <c r="AA38" s="738">
        <f t="shared" ref="AA38:AH38" si="80">AA36/W36-1</f>
        <v>-8.7025316455696222E-2</v>
      </c>
      <c r="AB38" s="736">
        <f t="shared" si="80"/>
        <v>-7.2900158478605426E-2</v>
      </c>
      <c r="AC38" s="736">
        <f t="shared" si="80"/>
        <v>-3.993055555555558E-2</v>
      </c>
      <c r="AD38" s="736">
        <f t="shared" si="80"/>
        <v>-5.4698457223001373E-2</v>
      </c>
      <c r="AE38" s="738">
        <f t="shared" si="80"/>
        <v>-4.1594454072790277E-2</v>
      </c>
      <c r="AF38" s="736">
        <f t="shared" si="80"/>
        <v>-3.2478632478632474E-2</v>
      </c>
      <c r="AG38" s="736">
        <f t="shared" si="80"/>
        <v>-0.22603978300180827</v>
      </c>
      <c r="AH38" s="739">
        <f t="shared" si="80"/>
        <v>-0.14985163204747776</v>
      </c>
      <c r="AI38" s="738">
        <f>AI36/AE36-1</f>
        <v>-0.12556558452141586</v>
      </c>
      <c r="AJ38" s="736">
        <f>AJ36/AF36-1</f>
        <v>1.1870107210377956E-2</v>
      </c>
      <c r="AK38" s="736">
        <f>AK36/AG36-1</f>
        <v>0.19807638362334123</v>
      </c>
      <c r="AL38" s="739">
        <f>AL36/AH36-1</f>
        <v>1.1624826182563552E-2</v>
      </c>
      <c r="AM38" s="736">
        <f t="shared" ref="AM38:AP38" si="81">AM36/AI36-1</f>
        <v>5.7007695038607586E-2</v>
      </c>
      <c r="AN38" s="736">
        <f t="shared" si="81"/>
        <v>3.8626234939393322E-2</v>
      </c>
      <c r="AO38" s="736">
        <f t="shared" si="81"/>
        <v>8.1362408493477201E-2</v>
      </c>
      <c r="AP38" s="736">
        <f t="shared" si="81"/>
        <v>-2.6262077255121308E-2</v>
      </c>
      <c r="AQ38" s="1385"/>
      <c r="AR38" s="740"/>
      <c r="AS38" s="740"/>
      <c r="AT38" s="740"/>
      <c r="AU38" s="740"/>
      <c r="AV38" s="740"/>
      <c r="AW38" s="740"/>
      <c r="AX38" s="740"/>
      <c r="AY38" s="740"/>
      <c r="AZ38" s="740"/>
      <c r="BA38" s="740"/>
      <c r="BB38"/>
      <c r="BC38"/>
      <c r="BD38"/>
      <c r="BE38"/>
      <c r="BF38"/>
      <c r="BG38"/>
    </row>
    <row r="39" spans="1:66" s="741" customFormat="1" hidden="1" outlineLevel="1">
      <c r="A39" s="713" t="s">
        <v>109</v>
      </c>
      <c r="B39" s="735"/>
      <c r="C39" s="735"/>
      <c r="D39" s="735"/>
      <c r="E39" s="735"/>
      <c r="F39" s="714">
        <v>-431</v>
      </c>
      <c r="G39" s="714">
        <v>-58</v>
      </c>
      <c r="H39" s="714"/>
      <c r="I39" s="714"/>
      <c r="J39" s="736"/>
      <c r="K39" s="736"/>
      <c r="L39" s="736"/>
      <c r="M39" s="736"/>
      <c r="N39" s="736"/>
      <c r="O39" s="736"/>
      <c r="P39" s="736"/>
      <c r="Q39" s="736"/>
      <c r="R39" s="737"/>
      <c r="S39" s="736"/>
      <c r="T39" s="736"/>
      <c r="U39" s="736"/>
      <c r="V39" s="736"/>
      <c r="W39" s="717">
        <v>-116</v>
      </c>
      <c r="X39" s="716">
        <v>-105</v>
      </c>
      <c r="Y39" s="716">
        <v>-102</v>
      </c>
      <c r="Z39" s="716">
        <v>-108</v>
      </c>
      <c r="AA39" s="717">
        <v>-51</v>
      </c>
      <c r="AB39" s="716">
        <v>-5</v>
      </c>
      <c r="AC39" s="716">
        <v>-2</v>
      </c>
      <c r="AD39" s="716">
        <f>G39-SUM(AA39:AC39)</f>
        <v>0</v>
      </c>
      <c r="AE39" s="717">
        <v>0</v>
      </c>
      <c r="AF39" s="716"/>
      <c r="AG39" s="716"/>
      <c r="AH39" s="718"/>
      <c r="AI39" s="717"/>
      <c r="AJ39" s="716"/>
      <c r="AK39" s="716"/>
      <c r="AL39" s="718"/>
      <c r="AM39" s="736"/>
      <c r="AN39" s="736"/>
      <c r="AO39" s="736"/>
      <c r="AP39" s="736"/>
      <c r="AQ39" s="1385"/>
      <c r="AR39" s="740"/>
      <c r="AS39" s="740"/>
      <c r="AT39" s="740"/>
      <c r="AU39" s="740"/>
      <c r="AV39" s="740"/>
      <c r="AW39" s="740"/>
      <c r="AX39" s="740"/>
      <c r="AY39" s="740"/>
      <c r="AZ39" s="740"/>
      <c r="BA39" s="740"/>
      <c r="BB39"/>
      <c r="BC39"/>
      <c r="BD39"/>
      <c r="BE39"/>
      <c r="BF39"/>
      <c r="BG39"/>
    </row>
    <row r="40" spans="1:66" s="741" customFormat="1" hidden="1" outlineLevel="1">
      <c r="A40" s="713" t="s">
        <v>110</v>
      </c>
      <c r="B40" s="735"/>
      <c r="C40" s="735"/>
      <c r="D40" s="714"/>
      <c r="E40" s="735"/>
      <c r="F40" s="714">
        <v>-2983</v>
      </c>
      <c r="G40" s="714">
        <f>G36+G39</f>
        <v>-2447</v>
      </c>
      <c r="H40" s="714">
        <f t="shared" ref="H40:Q40" si="82">H226+H354+H407+H294</f>
        <v>-2120</v>
      </c>
      <c r="I40" s="714">
        <f t="shared" si="82"/>
        <v>-2148.7184300341301</v>
      </c>
      <c r="J40" s="714">
        <f t="shared" si="82"/>
        <v>-2224.9048009284475</v>
      </c>
      <c r="K40" s="714">
        <f t="shared" si="82"/>
        <v>-2215.6432976237043</v>
      </c>
      <c r="L40" s="714">
        <f t="shared" si="82"/>
        <v>-2171.5703723503734</v>
      </c>
      <c r="M40" s="714">
        <f t="shared" si="82"/>
        <v>-2207.1356708908238</v>
      </c>
      <c r="N40" s="714">
        <f t="shared" si="82"/>
        <v>-2258.7518890244414</v>
      </c>
      <c r="O40" s="714">
        <f t="shared" si="82"/>
        <v>-2267.9116311892258</v>
      </c>
      <c r="P40" s="714">
        <f t="shared" si="82"/>
        <v>-2309.8261759006064</v>
      </c>
      <c r="Q40" s="714">
        <f t="shared" si="82"/>
        <v>-2350.1386676879038</v>
      </c>
      <c r="R40" s="715"/>
      <c r="S40" s="736"/>
      <c r="T40" s="736"/>
      <c r="U40" s="736"/>
      <c r="V40" s="736"/>
      <c r="W40" s="717">
        <f t="shared" ref="W40:AH40" si="83">W36+W39</f>
        <v>-748</v>
      </c>
      <c r="X40" s="716">
        <f t="shared" si="83"/>
        <v>-736</v>
      </c>
      <c r="Y40" s="716">
        <f t="shared" si="83"/>
        <v>-678</v>
      </c>
      <c r="Z40" s="716">
        <f t="shared" si="83"/>
        <v>-821</v>
      </c>
      <c r="AA40" s="717">
        <f t="shared" si="83"/>
        <v>-628</v>
      </c>
      <c r="AB40" s="716">
        <f t="shared" si="83"/>
        <v>-590</v>
      </c>
      <c r="AC40" s="716">
        <f t="shared" si="83"/>
        <v>-555</v>
      </c>
      <c r="AD40" s="716">
        <f t="shared" si="83"/>
        <v>-674</v>
      </c>
      <c r="AE40" s="717">
        <f t="shared" si="83"/>
        <v>-553</v>
      </c>
      <c r="AF40" s="716">
        <f t="shared" si="83"/>
        <v>-566</v>
      </c>
      <c r="AG40" s="716">
        <f t="shared" si="83"/>
        <v>-428</v>
      </c>
      <c r="AH40" s="718">
        <f t="shared" si="83"/>
        <v>-573</v>
      </c>
      <c r="AI40" s="717">
        <f>AI36+AI39</f>
        <v>-483.56223175965704</v>
      </c>
      <c r="AJ40" s="716">
        <f>AJ36+AJ39</f>
        <v>-572.71848068107397</v>
      </c>
      <c r="AK40" s="716">
        <f>AK36+AK39</f>
        <v>-512.77669219079007</v>
      </c>
      <c r="AL40" s="718">
        <f>AL36+AL39</f>
        <v>-579.66102540260897</v>
      </c>
      <c r="AM40" s="716">
        <f>AM226+AM354+AM407+AM294</f>
        <v>-511.12900000000002</v>
      </c>
      <c r="AN40" s="716">
        <f>AN226+AN354+AN407+AN294</f>
        <v>-594.84043926999357</v>
      </c>
      <c r="AO40" s="716">
        <f>AO226+AO354+AO407+AO294</f>
        <v>-554.49743888675118</v>
      </c>
      <c r="AP40" s="716">
        <f>AP226+AP354+AP407+AP294</f>
        <v>-564.4379227717028</v>
      </c>
      <c r="AQ40" s="1385"/>
      <c r="AR40" s="740"/>
      <c r="AS40" s="740"/>
      <c r="AT40" s="740"/>
      <c r="AU40" s="740"/>
      <c r="AV40" s="740"/>
      <c r="AW40" s="740"/>
      <c r="AX40" s="740"/>
      <c r="AY40" s="740"/>
      <c r="AZ40" s="740"/>
      <c r="BA40" s="740"/>
      <c r="BB40"/>
      <c r="BC40"/>
      <c r="BD40"/>
      <c r="BE40"/>
      <c r="BF40"/>
      <c r="BG40"/>
    </row>
    <row r="41" spans="1:66" s="693" customFormat="1" collapsed="1">
      <c r="A41" s="713" t="s">
        <v>458</v>
      </c>
      <c r="B41" s="714">
        <v>-680</v>
      </c>
      <c r="C41" s="714">
        <v>-578</v>
      </c>
      <c r="D41" s="714">
        <v>-614</v>
      </c>
      <c r="E41" s="714">
        <v>-273</v>
      </c>
      <c r="F41" s="714">
        <v>-718</v>
      </c>
      <c r="G41" s="714">
        <f t="shared" ref="G41:Q41" si="84">G231+G359+G410+G299</f>
        <v>-254</v>
      </c>
      <c r="H41" s="714">
        <f t="shared" si="84"/>
        <v>-306</v>
      </c>
      <c r="I41" s="714">
        <f t="shared" si="84"/>
        <v>-415</v>
      </c>
      <c r="J41" s="714">
        <f t="shared" si="84"/>
        <v>-303</v>
      </c>
      <c r="K41" s="714">
        <f t="shared" si="84"/>
        <v>-313</v>
      </c>
      <c r="L41" s="714">
        <f t="shared" si="84"/>
        <v>-313</v>
      </c>
      <c r="M41" s="714">
        <f t="shared" si="84"/>
        <v>-313</v>
      </c>
      <c r="N41" s="714">
        <f t="shared" si="84"/>
        <v>-313</v>
      </c>
      <c r="O41" s="714">
        <f t="shared" si="84"/>
        <v>-313</v>
      </c>
      <c r="P41" s="714">
        <f t="shared" si="84"/>
        <v>-313</v>
      </c>
      <c r="Q41" s="714">
        <f t="shared" si="84"/>
        <v>-313</v>
      </c>
      <c r="R41" s="715"/>
      <c r="S41" s="716">
        <v>-102</v>
      </c>
      <c r="T41" s="716">
        <v>-80</v>
      </c>
      <c r="U41" s="716">
        <v>-131</v>
      </c>
      <c r="V41" s="716">
        <v>40</v>
      </c>
      <c r="W41" s="717">
        <f t="shared" ref="W41:AP41" si="85">W231+W359+W410+W299</f>
        <v>-23</v>
      </c>
      <c r="X41" s="716">
        <f t="shared" si="85"/>
        <v>-183</v>
      </c>
      <c r="Y41" s="716">
        <f t="shared" si="85"/>
        <v>-390</v>
      </c>
      <c r="Z41" s="716">
        <f t="shared" si="85"/>
        <v>-122</v>
      </c>
      <c r="AA41" s="717">
        <f t="shared" si="85"/>
        <v>-27</v>
      </c>
      <c r="AB41" s="716">
        <f t="shared" si="85"/>
        <v>-186</v>
      </c>
      <c r="AC41" s="716">
        <f t="shared" si="85"/>
        <v>-25</v>
      </c>
      <c r="AD41" s="716">
        <f t="shared" si="85"/>
        <v>-16</v>
      </c>
      <c r="AE41" s="717">
        <f t="shared" si="85"/>
        <v>4</v>
      </c>
      <c r="AF41" s="716">
        <f t="shared" si="85"/>
        <v>-104</v>
      </c>
      <c r="AG41" s="714">
        <f t="shared" si="85"/>
        <v>-138</v>
      </c>
      <c r="AH41" s="718">
        <f t="shared" si="85"/>
        <v>-68</v>
      </c>
      <c r="AI41" s="717">
        <f t="shared" si="85"/>
        <v>-111</v>
      </c>
      <c r="AJ41" s="716">
        <f t="shared" si="85"/>
        <v>-74</v>
      </c>
      <c r="AK41" s="716">
        <f t="shared" si="85"/>
        <v>-135</v>
      </c>
      <c r="AL41" s="718">
        <f t="shared" si="85"/>
        <v>-95</v>
      </c>
      <c r="AM41" s="716">
        <f t="shared" si="85"/>
        <v>-157</v>
      </c>
      <c r="AN41" s="716">
        <f t="shared" si="85"/>
        <v>-75.149999999999991</v>
      </c>
      <c r="AO41" s="716">
        <f t="shared" si="85"/>
        <v>-51.149999999999991</v>
      </c>
      <c r="AP41" s="716">
        <f t="shared" si="85"/>
        <v>-19.700000000000045</v>
      </c>
      <c r="AQ41" s="1383"/>
      <c r="AR41" s="692"/>
      <c r="AS41" s="692"/>
      <c r="AT41" s="692"/>
      <c r="AU41" s="692"/>
      <c r="AV41" s="692"/>
      <c r="AW41" s="692"/>
      <c r="AX41" s="692"/>
      <c r="AY41" s="692"/>
      <c r="AZ41" s="692"/>
      <c r="BA41" s="692"/>
      <c r="BB41"/>
      <c r="BC41"/>
      <c r="BD41"/>
      <c r="BE41"/>
      <c r="BF41"/>
      <c r="BG41"/>
      <c r="BJ41" s="714"/>
      <c r="BK41" s="714"/>
      <c r="BL41" s="714"/>
      <c r="BM41" s="714"/>
      <c r="BN41" s="714"/>
    </row>
    <row r="42" spans="1:66" s="693" customFormat="1" hidden="1" outlineLevel="1">
      <c r="A42" s="713" t="s">
        <v>112</v>
      </c>
      <c r="B42" s="714"/>
      <c r="C42" s="714"/>
      <c r="D42" s="714"/>
      <c r="E42" s="714"/>
      <c r="F42" s="714">
        <v>-38</v>
      </c>
      <c r="G42" s="714">
        <f>109-124</f>
        <v>-15</v>
      </c>
      <c r="H42" s="714"/>
      <c r="I42" s="714"/>
      <c r="J42" s="714"/>
      <c r="K42" s="714"/>
      <c r="L42" s="714"/>
      <c r="M42" s="714"/>
      <c r="N42" s="714"/>
      <c r="O42" s="714"/>
      <c r="P42" s="714"/>
      <c r="Q42" s="714"/>
      <c r="R42" s="715"/>
      <c r="S42" s="716"/>
      <c r="T42" s="716"/>
      <c r="U42" s="716"/>
      <c r="V42" s="716"/>
      <c r="W42" s="717">
        <v>-10</v>
      </c>
      <c r="X42" s="716">
        <v>-14</v>
      </c>
      <c r="Y42" s="716">
        <v>-2</v>
      </c>
      <c r="Z42" s="716">
        <v>-12</v>
      </c>
      <c r="AA42" s="717">
        <f>8-10</f>
        <v>-2</v>
      </c>
      <c r="AB42" s="716">
        <f>2-4</f>
        <v>-2</v>
      </c>
      <c r="AC42" s="716">
        <f>92-7</f>
        <v>85</v>
      </c>
      <c r="AD42" s="716">
        <f>G42-SUM(AA42:AC42)</f>
        <v>-96</v>
      </c>
      <c r="AE42" s="717">
        <v>0</v>
      </c>
      <c r="AF42" s="716"/>
      <c r="AG42" s="716"/>
      <c r="AH42" s="718"/>
      <c r="AI42" s="717">
        <v>0</v>
      </c>
      <c r="AJ42" s="716"/>
      <c r="AK42" s="716"/>
      <c r="AL42" s="718"/>
      <c r="AM42" s="716"/>
      <c r="AN42" s="716"/>
      <c r="AO42" s="716"/>
      <c r="AP42" s="716"/>
      <c r="AQ42" s="1383"/>
      <c r="AR42" s="692"/>
      <c r="AS42" s="692"/>
      <c r="AT42" s="692"/>
      <c r="AU42" s="692"/>
      <c r="AV42" s="692"/>
      <c r="AW42" s="692"/>
      <c r="AX42" s="692"/>
      <c r="AY42" s="692"/>
      <c r="AZ42" s="692"/>
      <c r="BA42" s="692"/>
      <c r="BB42"/>
      <c r="BC42"/>
      <c r="BD42"/>
      <c r="BE42"/>
      <c r="BF42"/>
      <c r="BG42"/>
      <c r="BJ42" s="714"/>
      <c r="BK42" s="714"/>
      <c r="BL42" s="714"/>
      <c r="BM42" s="714"/>
      <c r="BN42" s="714"/>
    </row>
    <row r="43" spans="1:66" s="693" customFormat="1" hidden="1" outlineLevel="1">
      <c r="A43" s="713" t="s">
        <v>113</v>
      </c>
      <c r="B43" s="714"/>
      <c r="C43" s="714"/>
      <c r="D43" s="714"/>
      <c r="E43" s="714"/>
      <c r="F43" s="716">
        <v>-756</v>
      </c>
      <c r="G43" s="716">
        <f>G41+G42</f>
        <v>-269</v>
      </c>
      <c r="H43" s="716">
        <f t="shared" ref="H43:M43" si="86">H41+H42</f>
        <v>-306</v>
      </c>
      <c r="I43" s="716">
        <f t="shared" si="86"/>
        <v>-415</v>
      </c>
      <c r="J43" s="714">
        <f t="shared" si="86"/>
        <v>-303</v>
      </c>
      <c r="K43" s="714">
        <f t="shared" si="86"/>
        <v>-313</v>
      </c>
      <c r="L43" s="714">
        <f t="shared" si="86"/>
        <v>-313</v>
      </c>
      <c r="M43" s="714">
        <f t="shared" si="86"/>
        <v>-313</v>
      </c>
      <c r="N43" s="714">
        <f>N41+N42</f>
        <v>-313</v>
      </c>
      <c r="O43" s="714">
        <f>O41+O42</f>
        <v>-313</v>
      </c>
      <c r="P43" s="714">
        <f>P41+P42</f>
        <v>-313</v>
      </c>
      <c r="Q43" s="714">
        <f>Q41+Q42</f>
        <v>-313</v>
      </c>
      <c r="R43" s="715"/>
      <c r="S43" s="716"/>
      <c r="T43" s="716"/>
      <c r="U43" s="716"/>
      <c r="V43" s="716"/>
      <c r="W43" s="717">
        <f t="shared" ref="W43:AH43" si="87">W41+W42</f>
        <v>-33</v>
      </c>
      <c r="X43" s="716">
        <f t="shared" si="87"/>
        <v>-197</v>
      </c>
      <c r="Y43" s="716">
        <f t="shared" si="87"/>
        <v>-392</v>
      </c>
      <c r="Z43" s="716">
        <f t="shared" si="87"/>
        <v>-134</v>
      </c>
      <c r="AA43" s="717">
        <f t="shared" si="87"/>
        <v>-29</v>
      </c>
      <c r="AB43" s="716">
        <f t="shared" si="87"/>
        <v>-188</v>
      </c>
      <c r="AC43" s="716">
        <f t="shared" si="87"/>
        <v>60</v>
      </c>
      <c r="AD43" s="716">
        <f t="shared" si="87"/>
        <v>-112</v>
      </c>
      <c r="AE43" s="717">
        <f t="shared" si="87"/>
        <v>4</v>
      </c>
      <c r="AF43" s="716">
        <f t="shared" si="87"/>
        <v>-104</v>
      </c>
      <c r="AG43" s="714">
        <f t="shared" si="87"/>
        <v>-138</v>
      </c>
      <c r="AH43" s="718">
        <f t="shared" si="87"/>
        <v>-68</v>
      </c>
      <c r="AI43" s="717">
        <f>AI41+AI42</f>
        <v>-111</v>
      </c>
      <c r="AJ43" s="716">
        <f>AJ41+AJ42</f>
        <v>-74</v>
      </c>
      <c r="AK43" s="716">
        <f>AK41+AK42</f>
        <v>-135</v>
      </c>
      <c r="AL43" s="718">
        <f>AL41+AL42</f>
        <v>-95</v>
      </c>
      <c r="AM43" s="716">
        <f t="shared" ref="AM43:AP43" si="88">AM41+AM42</f>
        <v>-157</v>
      </c>
      <c r="AN43" s="716">
        <f t="shared" si="88"/>
        <v>-75.149999999999991</v>
      </c>
      <c r="AO43" s="716">
        <f t="shared" si="88"/>
        <v>-51.149999999999991</v>
      </c>
      <c r="AP43" s="716">
        <f t="shared" si="88"/>
        <v>-19.700000000000045</v>
      </c>
      <c r="AQ43" s="1383"/>
      <c r="AR43" s="692"/>
      <c r="AS43" s="692"/>
      <c r="AT43" s="692"/>
      <c r="AU43" s="692"/>
      <c r="AV43" s="692"/>
      <c r="AW43" s="692"/>
      <c r="AX43" s="692"/>
      <c r="AY43" s="692"/>
      <c r="AZ43" s="692"/>
      <c r="BA43" s="692"/>
      <c r="BB43"/>
      <c r="BC43"/>
      <c r="BD43"/>
      <c r="BE43"/>
      <c r="BF43"/>
      <c r="BG43"/>
      <c r="BJ43" s="714"/>
      <c r="BK43" s="714"/>
      <c r="BL43" s="714"/>
      <c r="BM43" s="714"/>
      <c r="BN43" s="714"/>
    </row>
    <row r="44" spans="1:66" s="693" customFormat="1" hidden="1" outlineLevel="1">
      <c r="A44" s="713" t="s">
        <v>114</v>
      </c>
      <c r="B44" s="714"/>
      <c r="C44" s="714"/>
      <c r="D44" s="714">
        <v>645</v>
      </c>
      <c r="E44" s="714">
        <v>661</v>
      </c>
      <c r="F44" s="716">
        <v>581</v>
      </c>
      <c r="G44" s="716">
        <f t="shared" ref="G44:Q44" si="89">G232+G360+G415+G300</f>
        <v>823</v>
      </c>
      <c r="H44" s="716">
        <f t="shared" si="89"/>
        <v>753</v>
      </c>
      <c r="I44" s="716">
        <f t="shared" si="89"/>
        <v>778</v>
      </c>
      <c r="J44" s="716">
        <f t="shared" si="89"/>
        <v>980</v>
      </c>
      <c r="K44" s="716">
        <f t="shared" si="89"/>
        <v>980</v>
      </c>
      <c r="L44" s="716">
        <f t="shared" si="89"/>
        <v>980</v>
      </c>
      <c r="M44" s="716">
        <f t="shared" si="89"/>
        <v>980</v>
      </c>
      <c r="N44" s="716">
        <f t="shared" si="89"/>
        <v>980</v>
      </c>
      <c r="O44" s="716">
        <f t="shared" si="89"/>
        <v>980</v>
      </c>
      <c r="P44" s="716">
        <f t="shared" si="89"/>
        <v>980</v>
      </c>
      <c r="Q44" s="716">
        <f t="shared" si="89"/>
        <v>980</v>
      </c>
      <c r="R44" s="715"/>
      <c r="S44" s="716">
        <v>196</v>
      </c>
      <c r="T44" s="716">
        <v>75</v>
      </c>
      <c r="U44" s="716">
        <v>113</v>
      </c>
      <c r="V44" s="716">
        <v>277</v>
      </c>
      <c r="W44" s="717">
        <f t="shared" ref="W44:AP44" si="90">W232+W360+W415+W300</f>
        <v>213</v>
      </c>
      <c r="X44" s="716">
        <f t="shared" si="90"/>
        <v>122</v>
      </c>
      <c r="Y44" s="716">
        <f t="shared" si="90"/>
        <v>45</v>
      </c>
      <c r="Z44" s="716">
        <f t="shared" si="90"/>
        <v>201</v>
      </c>
      <c r="AA44" s="717">
        <f t="shared" si="90"/>
        <v>246</v>
      </c>
      <c r="AB44" s="716">
        <f t="shared" si="90"/>
        <v>105</v>
      </c>
      <c r="AC44" s="716">
        <f t="shared" si="90"/>
        <v>216</v>
      </c>
      <c r="AD44" s="716">
        <f t="shared" si="90"/>
        <v>256</v>
      </c>
      <c r="AE44" s="717">
        <f t="shared" si="90"/>
        <v>234</v>
      </c>
      <c r="AF44" s="716">
        <f t="shared" si="90"/>
        <v>139</v>
      </c>
      <c r="AG44" s="716">
        <f t="shared" si="90"/>
        <v>158</v>
      </c>
      <c r="AH44" s="718">
        <f t="shared" si="90"/>
        <v>255.35318749999999</v>
      </c>
      <c r="AI44" s="717">
        <f t="shared" si="90"/>
        <v>210</v>
      </c>
      <c r="AJ44" s="716">
        <f t="shared" si="90"/>
        <v>232</v>
      </c>
      <c r="AK44" s="716">
        <f t="shared" si="90"/>
        <v>128</v>
      </c>
      <c r="AL44" s="718">
        <f t="shared" si="90"/>
        <v>208</v>
      </c>
      <c r="AM44" s="716">
        <f t="shared" si="90"/>
        <v>98</v>
      </c>
      <c r="AN44" s="716">
        <f t="shared" si="90"/>
        <v>243.10000000000002</v>
      </c>
      <c r="AO44" s="716">
        <f t="shared" si="90"/>
        <v>269.10000000000002</v>
      </c>
      <c r="AP44" s="716">
        <f t="shared" si="90"/>
        <v>369.79999999999995</v>
      </c>
      <c r="AQ44" s="1383"/>
      <c r="AR44" s="692"/>
      <c r="AS44" s="692"/>
      <c r="AT44" s="692"/>
      <c r="AU44" s="692"/>
      <c r="AV44" s="692"/>
      <c r="AW44" s="692"/>
      <c r="AX44" s="692"/>
      <c r="AY44" s="692"/>
      <c r="AZ44" s="692"/>
      <c r="BA44" s="692"/>
      <c r="BB44"/>
      <c r="BC44"/>
      <c r="BD44"/>
      <c r="BE44"/>
      <c r="BF44"/>
      <c r="BG44"/>
      <c r="BJ44" s="714"/>
      <c r="BK44" s="714"/>
      <c r="BL44" s="714"/>
      <c r="BM44" s="714"/>
      <c r="BN44" s="714"/>
    </row>
    <row r="45" spans="1:66" s="693" customFormat="1" hidden="1" outlineLevel="1">
      <c r="A45" s="713" t="s">
        <v>115</v>
      </c>
      <c r="B45" s="714"/>
      <c r="C45" s="714"/>
      <c r="D45" s="714">
        <v>366</v>
      </c>
      <c r="E45" s="714">
        <v>557</v>
      </c>
      <c r="F45" s="716">
        <v>810</v>
      </c>
      <c r="G45" s="716">
        <f t="shared" ref="G45:Q45" si="91">G235+G363+G416+G303</f>
        <v>1226</v>
      </c>
      <c r="H45" s="716">
        <f t="shared" si="91"/>
        <v>1174</v>
      </c>
      <c r="I45" s="716">
        <f t="shared" si="91"/>
        <v>1191</v>
      </c>
      <c r="J45" s="716">
        <f t="shared" si="91"/>
        <v>0</v>
      </c>
      <c r="K45" s="716">
        <f t="shared" si="91"/>
        <v>0</v>
      </c>
      <c r="L45" s="716">
        <f t="shared" si="91"/>
        <v>0</v>
      </c>
      <c r="M45" s="716">
        <f t="shared" si="91"/>
        <v>0</v>
      </c>
      <c r="N45" s="716">
        <f t="shared" si="91"/>
        <v>0</v>
      </c>
      <c r="O45" s="716">
        <f t="shared" si="91"/>
        <v>0</v>
      </c>
      <c r="P45" s="716">
        <f t="shared" si="91"/>
        <v>0</v>
      </c>
      <c r="Q45" s="716">
        <f t="shared" si="91"/>
        <v>0</v>
      </c>
      <c r="R45" s="715"/>
      <c r="S45" s="716">
        <v>123</v>
      </c>
      <c r="T45" s="716">
        <v>160</v>
      </c>
      <c r="U45" s="716">
        <v>35</v>
      </c>
      <c r="V45" s="716">
        <v>239</v>
      </c>
      <c r="W45" s="717">
        <f t="shared" ref="W45:AP45" si="92">W235+W363+W416+W303</f>
        <v>-10</v>
      </c>
      <c r="X45" s="716">
        <f t="shared" si="92"/>
        <v>118</v>
      </c>
      <c r="Y45" s="716">
        <f t="shared" si="92"/>
        <v>297</v>
      </c>
      <c r="Z45" s="716">
        <f t="shared" si="92"/>
        <v>405</v>
      </c>
      <c r="AA45" s="717">
        <f t="shared" si="92"/>
        <v>168</v>
      </c>
      <c r="AB45" s="716">
        <f t="shared" si="92"/>
        <v>252</v>
      </c>
      <c r="AC45" s="716">
        <f t="shared" si="92"/>
        <v>466</v>
      </c>
      <c r="AD45" s="716">
        <f t="shared" si="92"/>
        <v>340</v>
      </c>
      <c r="AE45" s="717">
        <f t="shared" si="92"/>
        <v>543</v>
      </c>
      <c r="AF45" s="716">
        <f t="shared" si="92"/>
        <v>100</v>
      </c>
      <c r="AG45" s="716">
        <f t="shared" si="92"/>
        <v>372</v>
      </c>
      <c r="AH45" s="718">
        <f t="shared" si="92"/>
        <v>159</v>
      </c>
      <c r="AI45" s="717">
        <f t="shared" si="92"/>
        <v>235</v>
      </c>
      <c r="AJ45" s="716">
        <f t="shared" si="92"/>
        <v>248</v>
      </c>
      <c r="AK45" s="716">
        <f t="shared" si="92"/>
        <v>296</v>
      </c>
      <c r="AL45" s="718">
        <f t="shared" si="92"/>
        <v>412</v>
      </c>
      <c r="AM45" s="716">
        <f t="shared" si="92"/>
        <v>309</v>
      </c>
      <c r="AN45" s="716">
        <f t="shared" si="92"/>
        <v>0</v>
      </c>
      <c r="AO45" s="716">
        <f t="shared" si="92"/>
        <v>0</v>
      </c>
      <c r="AP45" s="716">
        <f t="shared" si="92"/>
        <v>-309</v>
      </c>
      <c r="AQ45" s="1383"/>
      <c r="AR45" s="692"/>
      <c r="AS45" s="692"/>
      <c r="AT45" s="692"/>
      <c r="AU45" s="692"/>
      <c r="AV45" s="692"/>
      <c r="AW45" s="692"/>
      <c r="AX45" s="692"/>
      <c r="AY45" s="692"/>
      <c r="AZ45" s="692"/>
      <c r="BA45" s="692"/>
      <c r="BB45"/>
      <c r="BC45"/>
      <c r="BD45"/>
      <c r="BE45"/>
      <c r="BF45"/>
      <c r="BG45"/>
      <c r="BJ45" s="714"/>
      <c r="BK45" s="714"/>
      <c r="BL45" s="714"/>
      <c r="BM45" s="714"/>
      <c r="BN45" s="714"/>
    </row>
    <row r="46" spans="1:66" s="693" customFormat="1" hidden="1" outlineLevel="1">
      <c r="A46" s="713" t="s">
        <v>116</v>
      </c>
      <c r="B46" s="714"/>
      <c r="C46" s="714"/>
      <c r="D46" s="716">
        <v>1011</v>
      </c>
      <c r="E46" s="716">
        <v>1218</v>
      </c>
      <c r="F46" s="716">
        <v>1391</v>
      </c>
      <c r="G46" s="716">
        <f t="shared" ref="G46:Q46" si="93">G238+G366+G417+G306</f>
        <v>2049</v>
      </c>
      <c r="H46" s="716">
        <f t="shared" si="93"/>
        <v>1927</v>
      </c>
      <c r="I46" s="716">
        <f t="shared" si="93"/>
        <v>1969</v>
      </c>
      <c r="J46" s="716">
        <f t="shared" si="93"/>
        <v>980</v>
      </c>
      <c r="K46" s="716">
        <f t="shared" si="93"/>
        <v>980</v>
      </c>
      <c r="L46" s="716">
        <f t="shared" si="93"/>
        <v>980</v>
      </c>
      <c r="M46" s="716">
        <f t="shared" si="93"/>
        <v>980</v>
      </c>
      <c r="N46" s="716">
        <f t="shared" si="93"/>
        <v>980</v>
      </c>
      <c r="O46" s="716">
        <f t="shared" si="93"/>
        <v>980</v>
      </c>
      <c r="P46" s="716">
        <f t="shared" si="93"/>
        <v>980</v>
      </c>
      <c r="Q46" s="716">
        <f t="shared" si="93"/>
        <v>980</v>
      </c>
      <c r="R46" s="715"/>
      <c r="S46" s="716">
        <v>319</v>
      </c>
      <c r="T46" s="716">
        <v>235</v>
      </c>
      <c r="U46" s="716">
        <v>148</v>
      </c>
      <c r="V46" s="716">
        <v>516</v>
      </c>
      <c r="W46" s="717">
        <f t="shared" ref="W46:AP46" si="94">W238+W366+W417+W306</f>
        <v>203</v>
      </c>
      <c r="X46" s="716">
        <f t="shared" si="94"/>
        <v>240</v>
      </c>
      <c r="Y46" s="716">
        <f t="shared" si="94"/>
        <v>342</v>
      </c>
      <c r="Z46" s="716">
        <f t="shared" si="94"/>
        <v>606</v>
      </c>
      <c r="AA46" s="717">
        <f t="shared" si="94"/>
        <v>414</v>
      </c>
      <c r="AB46" s="716">
        <f t="shared" si="94"/>
        <v>357</v>
      </c>
      <c r="AC46" s="716">
        <f t="shared" si="94"/>
        <v>682</v>
      </c>
      <c r="AD46" s="716">
        <f t="shared" si="94"/>
        <v>596</v>
      </c>
      <c r="AE46" s="717">
        <f t="shared" si="94"/>
        <v>777</v>
      </c>
      <c r="AF46" s="716">
        <f t="shared" si="94"/>
        <v>239</v>
      </c>
      <c r="AG46" s="716">
        <f t="shared" si="94"/>
        <v>530</v>
      </c>
      <c r="AH46" s="718">
        <f t="shared" si="94"/>
        <v>414.35318749999999</v>
      </c>
      <c r="AI46" s="717">
        <f t="shared" si="94"/>
        <v>445</v>
      </c>
      <c r="AJ46" s="716">
        <f t="shared" si="94"/>
        <v>480</v>
      </c>
      <c r="AK46" s="716">
        <f t="shared" si="94"/>
        <v>424</v>
      </c>
      <c r="AL46" s="718">
        <f t="shared" si="94"/>
        <v>620</v>
      </c>
      <c r="AM46" s="716">
        <f t="shared" si="94"/>
        <v>407</v>
      </c>
      <c r="AN46" s="716">
        <f t="shared" si="94"/>
        <v>243.10000000000002</v>
      </c>
      <c r="AO46" s="716">
        <f t="shared" si="94"/>
        <v>269.10000000000002</v>
      </c>
      <c r="AP46" s="716">
        <f t="shared" si="94"/>
        <v>60.799999999999955</v>
      </c>
      <c r="AQ46" s="1383"/>
      <c r="AR46" s="692"/>
      <c r="AS46" s="692"/>
      <c r="AT46" s="692"/>
      <c r="AU46" s="692"/>
      <c r="AV46" s="692"/>
      <c r="AW46" s="692"/>
      <c r="AX46" s="692"/>
      <c r="AY46" s="692"/>
      <c r="AZ46" s="692"/>
      <c r="BA46" s="692"/>
      <c r="BB46"/>
      <c r="BC46"/>
      <c r="BD46"/>
      <c r="BE46"/>
      <c r="BF46"/>
      <c r="BG46"/>
      <c r="BJ46" s="714"/>
      <c r="BK46" s="714"/>
      <c r="BL46" s="714"/>
      <c r="BM46" s="714"/>
      <c r="BN46" s="714"/>
    </row>
    <row r="47" spans="1:66" s="693" customFormat="1" hidden="1" outlineLevel="1">
      <c r="A47" s="713" t="s">
        <v>117</v>
      </c>
      <c r="B47" s="714"/>
      <c r="C47" s="714"/>
      <c r="D47" s="714">
        <v>-1198</v>
      </c>
      <c r="E47" s="714">
        <v>-1179</v>
      </c>
      <c r="F47" s="716">
        <v>-1299</v>
      </c>
      <c r="G47" s="716">
        <f t="shared" ref="G47:Q47" si="95">G233+G361+G418+G301</f>
        <v>-1077</v>
      </c>
      <c r="H47" s="716">
        <f t="shared" si="95"/>
        <v>-1059</v>
      </c>
      <c r="I47" s="716">
        <f t="shared" si="95"/>
        <v>-1193</v>
      </c>
      <c r="J47" s="716">
        <f t="shared" si="95"/>
        <v>-1283</v>
      </c>
      <c r="K47" s="716">
        <f t="shared" si="95"/>
        <v>-1293</v>
      </c>
      <c r="L47" s="716">
        <f t="shared" si="95"/>
        <v>-1293</v>
      </c>
      <c r="M47" s="716">
        <f t="shared" si="95"/>
        <v>-1293</v>
      </c>
      <c r="N47" s="716">
        <f t="shared" si="95"/>
        <v>-1293</v>
      </c>
      <c r="O47" s="716">
        <f t="shared" si="95"/>
        <v>-1293</v>
      </c>
      <c r="P47" s="716">
        <f t="shared" si="95"/>
        <v>-1293</v>
      </c>
      <c r="Q47" s="716">
        <f t="shared" si="95"/>
        <v>-1293</v>
      </c>
      <c r="R47" s="715"/>
      <c r="S47" s="716">
        <v>-313</v>
      </c>
      <c r="T47" s="716">
        <v>-211</v>
      </c>
      <c r="U47" s="716">
        <v>-297</v>
      </c>
      <c r="V47" s="716">
        <v>-358</v>
      </c>
      <c r="W47" s="717">
        <f t="shared" ref="W47:AP47" si="96">W233+W361+W418+W301</f>
        <v>-236</v>
      </c>
      <c r="X47" s="716">
        <f t="shared" si="96"/>
        <v>-305</v>
      </c>
      <c r="Y47" s="716">
        <f t="shared" si="96"/>
        <v>-435</v>
      </c>
      <c r="Z47" s="716">
        <f t="shared" si="96"/>
        <v>-323</v>
      </c>
      <c r="AA47" s="717">
        <f t="shared" si="96"/>
        <v>-273</v>
      </c>
      <c r="AB47" s="716">
        <f t="shared" si="96"/>
        <v>-291</v>
      </c>
      <c r="AC47" s="716">
        <f t="shared" si="96"/>
        <v>-241</v>
      </c>
      <c r="AD47" s="716">
        <f t="shared" si="96"/>
        <v>-272</v>
      </c>
      <c r="AE47" s="717">
        <f t="shared" si="96"/>
        <v>-230</v>
      </c>
      <c r="AF47" s="716">
        <f t="shared" si="96"/>
        <v>-243</v>
      </c>
      <c r="AG47" s="716">
        <f t="shared" si="96"/>
        <v>-296</v>
      </c>
      <c r="AH47" s="718">
        <f t="shared" si="96"/>
        <v>-382.5</v>
      </c>
      <c r="AI47" s="717">
        <f t="shared" si="96"/>
        <v>-321</v>
      </c>
      <c r="AJ47" s="716">
        <f t="shared" si="96"/>
        <v>-306</v>
      </c>
      <c r="AK47" s="716">
        <f t="shared" si="96"/>
        <v>-263</v>
      </c>
      <c r="AL47" s="718">
        <f t="shared" si="96"/>
        <v>-303</v>
      </c>
      <c r="AM47" s="716">
        <f t="shared" si="96"/>
        <v>-255</v>
      </c>
      <c r="AN47" s="716">
        <f t="shared" si="96"/>
        <v>-318.25</v>
      </c>
      <c r="AO47" s="716">
        <f t="shared" si="96"/>
        <v>-320.25</v>
      </c>
      <c r="AP47" s="716">
        <f t="shared" si="96"/>
        <v>-389.5</v>
      </c>
      <c r="AQ47" s="1383"/>
      <c r="AR47" s="692"/>
      <c r="AS47" s="692"/>
      <c r="AT47" s="692"/>
      <c r="AU47" s="692"/>
      <c r="AV47" s="692"/>
      <c r="AW47" s="692"/>
      <c r="AX47" s="692"/>
      <c r="AY47" s="692"/>
      <c r="AZ47" s="692"/>
      <c r="BA47" s="692"/>
      <c r="BB47"/>
      <c r="BC47"/>
      <c r="BD47"/>
      <c r="BE47"/>
      <c r="BF47"/>
      <c r="BG47"/>
      <c r="BJ47" s="714"/>
      <c r="BK47" s="714"/>
      <c r="BL47" s="714"/>
      <c r="BM47" s="714"/>
      <c r="BN47" s="714"/>
    </row>
    <row r="48" spans="1:66" s="693" customFormat="1" hidden="1" outlineLevel="1">
      <c r="A48" s="713" t="s">
        <v>118</v>
      </c>
      <c r="B48" s="714"/>
      <c r="C48" s="714"/>
      <c r="D48" s="714">
        <v>-713</v>
      </c>
      <c r="E48" s="714">
        <v>-889</v>
      </c>
      <c r="F48" s="716">
        <v>-1213</v>
      </c>
      <c r="G48" s="716">
        <f t="shared" ref="G48:Q48" si="97">G236+G364+G419+G304</f>
        <v>-1796</v>
      </c>
      <c r="H48" s="716">
        <f t="shared" si="97"/>
        <v>-1285</v>
      </c>
      <c r="I48" s="716">
        <f t="shared" si="97"/>
        <v>-1138</v>
      </c>
      <c r="J48" s="716">
        <f t="shared" si="97"/>
        <v>0</v>
      </c>
      <c r="K48" s="716">
        <f t="shared" si="97"/>
        <v>0</v>
      </c>
      <c r="L48" s="716">
        <f t="shared" si="97"/>
        <v>0</v>
      </c>
      <c r="M48" s="716">
        <f t="shared" si="97"/>
        <v>0</v>
      </c>
      <c r="N48" s="716">
        <f t="shared" si="97"/>
        <v>1</v>
      </c>
      <c r="O48" s="716">
        <f t="shared" si="97"/>
        <v>2</v>
      </c>
      <c r="P48" s="716">
        <f t="shared" si="97"/>
        <v>3</v>
      </c>
      <c r="Q48" s="716">
        <f t="shared" si="97"/>
        <v>4</v>
      </c>
      <c r="R48" s="715"/>
      <c r="S48" s="716">
        <v>-157</v>
      </c>
      <c r="T48" s="716">
        <v>-151</v>
      </c>
      <c r="U48" s="716">
        <v>-184</v>
      </c>
      <c r="V48" s="716">
        <v>-397</v>
      </c>
      <c r="W48" s="717">
        <f t="shared" ref="W48:AP48" si="98">W236+W364+W419+W304</f>
        <v>-206</v>
      </c>
      <c r="X48" s="716">
        <f t="shared" si="98"/>
        <v>-318</v>
      </c>
      <c r="Y48" s="716">
        <f t="shared" si="98"/>
        <v>-321</v>
      </c>
      <c r="Z48" s="716">
        <f t="shared" si="98"/>
        <v>-368</v>
      </c>
      <c r="AA48" s="717">
        <f t="shared" si="98"/>
        <v>-229</v>
      </c>
      <c r="AB48" s="716">
        <f t="shared" si="98"/>
        <v>-371</v>
      </c>
      <c r="AC48" s="716">
        <f t="shared" si="98"/>
        <v>-651</v>
      </c>
      <c r="AD48" s="716">
        <f t="shared" si="98"/>
        <v>-545</v>
      </c>
      <c r="AE48" s="717">
        <f t="shared" si="98"/>
        <v>-348</v>
      </c>
      <c r="AF48" s="716">
        <f t="shared" si="98"/>
        <v>-292</v>
      </c>
      <c r="AG48" s="716">
        <f t="shared" si="98"/>
        <v>-314</v>
      </c>
      <c r="AH48" s="718">
        <f t="shared" si="98"/>
        <v>-230</v>
      </c>
      <c r="AI48" s="717">
        <f t="shared" si="98"/>
        <v>-241</v>
      </c>
      <c r="AJ48" s="716">
        <f t="shared" si="98"/>
        <v>-262</v>
      </c>
      <c r="AK48" s="716">
        <f t="shared" si="98"/>
        <v>-256</v>
      </c>
      <c r="AL48" s="718">
        <f t="shared" si="98"/>
        <v>-379</v>
      </c>
      <c r="AM48" s="716">
        <f t="shared" si="98"/>
        <v>-236</v>
      </c>
      <c r="AN48" s="716">
        <f t="shared" si="98"/>
        <v>0</v>
      </c>
      <c r="AO48" s="716">
        <f t="shared" si="98"/>
        <v>0</v>
      </c>
      <c r="AP48" s="716">
        <f t="shared" si="98"/>
        <v>236</v>
      </c>
      <c r="AQ48" s="1383"/>
      <c r="AR48" s="692"/>
      <c r="AS48" s="692"/>
      <c r="AT48" s="692"/>
      <c r="AU48" s="692"/>
      <c r="AV48" s="692"/>
      <c r="AW48" s="692"/>
      <c r="AX48" s="692"/>
      <c r="AY48" s="692"/>
      <c r="AZ48" s="692"/>
      <c r="BA48" s="692"/>
      <c r="BB48"/>
      <c r="BC48"/>
      <c r="BD48"/>
      <c r="BE48"/>
      <c r="BF48"/>
      <c r="BG48"/>
      <c r="BJ48" s="714"/>
      <c r="BK48" s="714"/>
      <c r="BL48" s="714"/>
      <c r="BM48" s="714"/>
      <c r="BN48" s="714"/>
    </row>
    <row r="49" spans="1:120" s="693" customFormat="1" hidden="1" outlineLevel="1">
      <c r="A49" s="713" t="s">
        <v>119</v>
      </c>
      <c r="B49" s="714"/>
      <c r="C49" s="714"/>
      <c r="D49" s="714">
        <v>-1911</v>
      </c>
      <c r="E49" s="714">
        <v>-2068</v>
      </c>
      <c r="F49" s="716">
        <v>-2512</v>
      </c>
      <c r="G49" s="716">
        <f t="shared" ref="G49:Q49" si="99">G239+G367+G420+G307</f>
        <v>-2873</v>
      </c>
      <c r="H49" s="716">
        <f t="shared" si="99"/>
        <v>-2344</v>
      </c>
      <c r="I49" s="716">
        <f t="shared" si="99"/>
        <v>-2331</v>
      </c>
      <c r="J49" s="716">
        <f t="shared" si="99"/>
        <v>-1283</v>
      </c>
      <c r="K49" s="716">
        <f t="shared" si="99"/>
        <v>-1293</v>
      </c>
      <c r="L49" s="716">
        <f t="shared" si="99"/>
        <v>-1293</v>
      </c>
      <c r="M49" s="716">
        <f t="shared" si="99"/>
        <v>-1293</v>
      </c>
      <c r="N49" s="716">
        <f t="shared" si="99"/>
        <v>-1292</v>
      </c>
      <c r="O49" s="716">
        <f t="shared" si="99"/>
        <v>-1291</v>
      </c>
      <c r="P49" s="716">
        <f t="shared" si="99"/>
        <v>-1290</v>
      </c>
      <c r="Q49" s="716">
        <f t="shared" si="99"/>
        <v>-1289</v>
      </c>
      <c r="R49" s="715"/>
      <c r="S49" s="716">
        <v>-470</v>
      </c>
      <c r="T49" s="716">
        <v>-362</v>
      </c>
      <c r="U49" s="716">
        <v>-481</v>
      </c>
      <c r="V49" s="716">
        <v>-755</v>
      </c>
      <c r="W49" s="717">
        <f t="shared" ref="W49:AP49" si="100">W239+W367+W420+W307</f>
        <v>-442</v>
      </c>
      <c r="X49" s="716">
        <f t="shared" si="100"/>
        <v>-623</v>
      </c>
      <c r="Y49" s="716">
        <f t="shared" si="100"/>
        <v>-756</v>
      </c>
      <c r="Z49" s="716">
        <f t="shared" si="100"/>
        <v>-691</v>
      </c>
      <c r="AA49" s="717">
        <f t="shared" si="100"/>
        <v>-502</v>
      </c>
      <c r="AB49" s="716">
        <f t="shared" si="100"/>
        <v>-662</v>
      </c>
      <c r="AC49" s="716">
        <f t="shared" si="100"/>
        <v>-892</v>
      </c>
      <c r="AD49" s="716">
        <f t="shared" si="100"/>
        <v>-817</v>
      </c>
      <c r="AE49" s="717">
        <f t="shared" si="100"/>
        <v>-578</v>
      </c>
      <c r="AF49" s="716">
        <f t="shared" si="100"/>
        <v>-535</v>
      </c>
      <c r="AG49" s="716">
        <f t="shared" si="100"/>
        <v>-610</v>
      </c>
      <c r="AH49" s="718">
        <f t="shared" si="100"/>
        <v>-612.5</v>
      </c>
      <c r="AI49" s="717">
        <f t="shared" si="100"/>
        <v>-562</v>
      </c>
      <c r="AJ49" s="716">
        <f t="shared" si="100"/>
        <v>-568</v>
      </c>
      <c r="AK49" s="716">
        <f t="shared" si="100"/>
        <v>-519</v>
      </c>
      <c r="AL49" s="718">
        <f t="shared" si="100"/>
        <v>-682</v>
      </c>
      <c r="AM49" s="716">
        <f t="shared" si="100"/>
        <v>-491</v>
      </c>
      <c r="AN49" s="716">
        <f t="shared" si="100"/>
        <v>-318.25</v>
      </c>
      <c r="AO49" s="716">
        <f t="shared" si="100"/>
        <v>-320.25</v>
      </c>
      <c r="AP49" s="716">
        <f t="shared" si="100"/>
        <v>-153.5</v>
      </c>
      <c r="AQ49" s="1383"/>
      <c r="AR49" s="692"/>
      <c r="AS49" s="692"/>
      <c r="AT49" s="692"/>
      <c r="AU49" s="692"/>
      <c r="AV49" s="692"/>
      <c r="AW49" s="692"/>
      <c r="AX49" s="692"/>
      <c r="AY49" s="692"/>
      <c r="AZ49" s="692"/>
      <c r="BA49" s="692"/>
      <c r="BB49"/>
      <c r="BC49"/>
      <c r="BD49"/>
      <c r="BE49"/>
      <c r="BF49"/>
      <c r="BG49"/>
      <c r="BJ49" s="714"/>
      <c r="BK49" s="714"/>
      <c r="BL49" s="714"/>
      <c r="BM49" s="714"/>
      <c r="BN49" s="714"/>
    </row>
    <row r="50" spans="1:120" s="695" customFormat="1" collapsed="1">
      <c r="A50" s="678" t="s">
        <v>574</v>
      </c>
      <c r="B50" s="743">
        <v>11526</v>
      </c>
      <c r="C50" s="743">
        <v>15909</v>
      </c>
      <c r="D50" s="743">
        <v>14842</v>
      </c>
      <c r="E50" s="743">
        <v>14207</v>
      </c>
      <c r="F50" s="743">
        <v>14473</v>
      </c>
      <c r="G50" s="743">
        <f t="shared" ref="G50:Q50" si="101">G41+G31+G17+G21</f>
        <v>13790</v>
      </c>
      <c r="H50" s="743">
        <f t="shared" si="101"/>
        <v>12987</v>
      </c>
      <c r="I50" s="743">
        <f t="shared" si="101"/>
        <v>12850</v>
      </c>
      <c r="J50" s="743">
        <f t="shared" si="101"/>
        <v>14390.080549630573</v>
      </c>
      <c r="K50" s="743">
        <f t="shared" si="101"/>
        <v>14956.463768352045</v>
      </c>
      <c r="L50" s="743">
        <f t="shared" si="101"/>
        <v>16226.509874853924</v>
      </c>
      <c r="M50" s="743">
        <f t="shared" si="101"/>
        <v>17332.307880357461</v>
      </c>
      <c r="N50" s="743">
        <f t="shared" si="101"/>
        <v>18426.542028389209</v>
      </c>
      <c r="O50" s="743">
        <f t="shared" si="101"/>
        <v>18252.024626356528</v>
      </c>
      <c r="P50" s="743">
        <f t="shared" si="101"/>
        <v>18717.246008998056</v>
      </c>
      <c r="Q50" s="743">
        <f t="shared" si="101"/>
        <v>18974.247056095825</v>
      </c>
      <c r="R50" s="681">
        <f>(N50/J50)^(1/($N$1-$J$1))-1</f>
        <v>6.3763670507948067E-2</v>
      </c>
      <c r="S50" s="744">
        <v>3753</v>
      </c>
      <c r="T50" s="744">
        <v>3731</v>
      </c>
      <c r="U50" s="744">
        <v>3433</v>
      </c>
      <c r="V50" s="744">
        <v>3290</v>
      </c>
      <c r="W50" s="745">
        <f t="shared" ref="W50:AG50" si="102">W41+W36+W31+W26+W17</f>
        <v>3800</v>
      </c>
      <c r="X50" s="744">
        <f t="shared" si="102"/>
        <v>3859</v>
      </c>
      <c r="Y50" s="744">
        <f t="shared" si="102"/>
        <v>3585</v>
      </c>
      <c r="Z50" s="744">
        <f t="shared" si="102"/>
        <v>3229</v>
      </c>
      <c r="AA50" s="745">
        <f t="shared" si="102"/>
        <v>3651</v>
      </c>
      <c r="AB50" s="744">
        <f t="shared" si="102"/>
        <v>3593</v>
      </c>
      <c r="AC50" s="744">
        <f t="shared" si="102"/>
        <v>3489</v>
      </c>
      <c r="AD50" s="744">
        <f t="shared" si="102"/>
        <v>3057</v>
      </c>
      <c r="AE50" s="745">
        <f t="shared" si="102"/>
        <v>3261</v>
      </c>
      <c r="AF50" s="744">
        <f t="shared" si="102"/>
        <v>3332</v>
      </c>
      <c r="AG50" s="743">
        <f t="shared" si="102"/>
        <v>3381</v>
      </c>
      <c r="AH50" s="746">
        <f>AH41+AH36+AH31+AH26+AH17</f>
        <v>3013</v>
      </c>
      <c r="AI50" s="745">
        <f t="shared" ref="AI50:AL50" si="103">AI41+AI31+AI17+AI21</f>
        <v>3010.0000000000027</v>
      </c>
      <c r="AJ50" s="744">
        <f t="shared" si="103"/>
        <v>3234.9999999999991</v>
      </c>
      <c r="AK50" s="744">
        <f t="shared" si="103"/>
        <v>3382.0502326646747</v>
      </c>
      <c r="AL50" s="746">
        <f t="shared" si="103"/>
        <v>3222.9497673353235</v>
      </c>
      <c r="AM50" s="744">
        <f>AM41+AM31+AM17+AM21</f>
        <v>3340</v>
      </c>
      <c r="AN50" s="744">
        <f t="shared" ref="AN50:AP50" si="104">AN41+AN31+AN17+AN21</f>
        <v>3540.6947328506494</v>
      </c>
      <c r="AO50" s="744">
        <f t="shared" si="104"/>
        <v>3614.8301011461017</v>
      </c>
      <c r="AP50" s="744">
        <f t="shared" si="104"/>
        <v>3894.5557156338182</v>
      </c>
      <c r="AQ50" s="1386"/>
      <c r="AR50" s="692"/>
      <c r="AS50" s="692"/>
      <c r="AT50" s="692"/>
      <c r="AU50" s="692"/>
      <c r="AV50" s="692"/>
      <c r="AW50" s="692"/>
      <c r="AX50" s="692"/>
      <c r="AY50" s="692"/>
      <c r="AZ50" s="692"/>
      <c r="BA50" s="692"/>
      <c r="BB50"/>
      <c r="BC50"/>
      <c r="BD50"/>
      <c r="BE50"/>
      <c r="BF50"/>
      <c r="BG50"/>
      <c r="BH50" s="693"/>
      <c r="BI50" s="693"/>
      <c r="BJ50" s="747"/>
      <c r="BK50" s="747"/>
      <c r="BL50" s="747"/>
      <c r="BM50" s="747"/>
      <c r="BN50" s="747"/>
      <c r="BO50" s="693"/>
      <c r="BP50" s="693"/>
      <c r="BQ50" s="693"/>
      <c r="BR50" s="693"/>
      <c r="BS50" s="693"/>
      <c r="BT50" s="693"/>
      <c r="BU50" s="693"/>
      <c r="BV50" s="693"/>
      <c r="BW50" s="693"/>
      <c r="BX50" s="693"/>
      <c r="BY50" s="693"/>
      <c r="BZ50" s="693"/>
      <c r="CA50" s="693"/>
      <c r="CB50" s="693"/>
      <c r="CC50" s="693"/>
      <c r="CD50" s="693"/>
      <c r="CE50" s="693"/>
      <c r="CF50" s="693"/>
      <c r="CG50" s="693"/>
      <c r="CH50" s="693"/>
      <c r="CI50" s="693"/>
      <c r="CJ50" s="693"/>
      <c r="CK50" s="693"/>
      <c r="CL50" s="693"/>
      <c r="CM50" s="693"/>
      <c r="CN50" s="693"/>
      <c r="CO50" s="693"/>
      <c r="CP50" s="693"/>
      <c r="CQ50" s="693"/>
      <c r="CR50" s="693"/>
      <c r="CS50" s="693"/>
      <c r="CT50" s="693"/>
      <c r="CU50" s="693"/>
      <c r="CV50" s="693"/>
      <c r="CW50" s="693"/>
      <c r="CX50" s="693"/>
      <c r="CY50" s="693"/>
      <c r="CZ50" s="693"/>
      <c r="DA50" s="693"/>
      <c r="DB50" s="693"/>
      <c r="DC50" s="693"/>
      <c r="DD50" s="693"/>
      <c r="DE50" s="693"/>
      <c r="DF50" s="693"/>
      <c r="DG50" s="693"/>
      <c r="DH50" s="693"/>
      <c r="DI50" s="693"/>
      <c r="DJ50" s="693"/>
      <c r="DK50" s="693"/>
      <c r="DL50" s="693"/>
      <c r="DM50" s="693"/>
      <c r="DN50" s="693"/>
      <c r="DO50" s="693"/>
      <c r="DP50" s="693"/>
    </row>
    <row r="51" spans="1:120" s="695" customFormat="1">
      <c r="A51" s="748" t="s">
        <v>121</v>
      </c>
      <c r="B51" s="749">
        <v>0.22767857142857142</v>
      </c>
      <c r="C51" s="749">
        <v>0.27164224976949081</v>
      </c>
      <c r="D51" s="749">
        <v>0.26188837718137387</v>
      </c>
      <c r="E51" s="749">
        <v>0.27390155969847113</v>
      </c>
      <c r="F51" s="749">
        <v>0.27736680720582596</v>
      </c>
      <c r="G51" s="749">
        <f t="shared" ref="G51:Q51" si="105">G50/G$3</f>
        <v>0.27907070870603473</v>
      </c>
      <c r="H51" s="749">
        <f t="shared" si="105"/>
        <v>0.26767385300300917</v>
      </c>
      <c r="I51" s="749">
        <f t="shared" si="105"/>
        <v>0.2616628316601845</v>
      </c>
      <c r="J51" s="749">
        <f t="shared" si="105"/>
        <v>0.27536681503248084</v>
      </c>
      <c r="K51" s="749">
        <f t="shared" si="105"/>
        <v>0.28054923183218922</v>
      </c>
      <c r="L51" s="749">
        <f t="shared" si="105"/>
        <v>0.29511464032882062</v>
      </c>
      <c r="M51" s="749">
        <f t="shared" si="105"/>
        <v>0.30404870207941725</v>
      </c>
      <c r="N51" s="749">
        <f t="shared" si="105"/>
        <v>0.31657145680384513</v>
      </c>
      <c r="O51" s="749">
        <f t="shared" si="105"/>
        <v>0.3164635018441922</v>
      </c>
      <c r="P51" s="749">
        <f t="shared" si="105"/>
        <v>0.32040775481072764</v>
      </c>
      <c r="Q51" s="749">
        <f t="shared" si="105"/>
        <v>0.32129012860392958</v>
      </c>
      <c r="R51" s="750"/>
      <c r="S51" s="751">
        <v>0.2954652810581011</v>
      </c>
      <c r="T51" s="751">
        <v>0.28539738392105868</v>
      </c>
      <c r="U51" s="751">
        <v>0.27020857929948838</v>
      </c>
      <c r="V51" s="751">
        <v>0.24572410187467325</v>
      </c>
      <c r="W51" s="752">
        <f t="shared" ref="W51:AH51" si="106">W50/W$3</f>
        <v>0.2976423592073314</v>
      </c>
      <c r="X51" s="751">
        <f t="shared" si="106"/>
        <v>0.28912864314078068</v>
      </c>
      <c r="Y51" s="751">
        <f t="shared" si="106"/>
        <v>0.27596028019398045</v>
      </c>
      <c r="Z51" s="751">
        <f t="shared" si="106"/>
        <v>0.24695984703632887</v>
      </c>
      <c r="AA51" s="752">
        <f t="shared" si="106"/>
        <v>0.3059069962295769</v>
      </c>
      <c r="AB51" s="751">
        <f t="shared" si="106"/>
        <v>0.28304710887033246</v>
      </c>
      <c r="AC51" s="751">
        <f t="shared" si="106"/>
        <v>0.28446799836934367</v>
      </c>
      <c r="AD51" s="751">
        <f t="shared" si="106"/>
        <v>0.24416932907348243</v>
      </c>
      <c r="AE51" s="752">
        <f t="shared" si="106"/>
        <v>0.2811206896551724</v>
      </c>
      <c r="AF51" s="751">
        <f t="shared" si="106"/>
        <v>0.26720128307939056</v>
      </c>
      <c r="AG51" s="749">
        <f t="shared" si="106"/>
        <v>0.27882236516575953</v>
      </c>
      <c r="AH51" s="753">
        <f t="shared" si="106"/>
        <v>0.24452199318292486</v>
      </c>
      <c r="AI51" s="752">
        <f>AI50/AI$3</f>
        <v>0.26085449345697226</v>
      </c>
      <c r="AJ51" s="751">
        <f>AJ50/AJ$3</f>
        <v>0.26425420682894946</v>
      </c>
      <c r="AK51" s="751">
        <f>AK50/AK$3</f>
        <v>0.27245924001538979</v>
      </c>
      <c r="AL51" s="753">
        <f>AL50/AL$3</f>
        <v>0.2495518624073052</v>
      </c>
      <c r="AM51" s="751">
        <f t="shared" ref="AM51:AP51" si="107">AM50/AM$3</f>
        <v>0.26311643296045378</v>
      </c>
      <c r="AN51" s="751">
        <f t="shared" si="107"/>
        <v>0.2701886222808822</v>
      </c>
      <c r="AO51" s="751">
        <f t="shared" si="107"/>
        <v>0.27617665892377119</v>
      </c>
      <c r="AP51" s="751">
        <f t="shared" si="107"/>
        <v>0.29127977615862372</v>
      </c>
      <c r="AQ51" s="1383"/>
      <c r="AR51" s="692"/>
      <c r="AS51" s="692"/>
      <c r="AT51" s="692"/>
      <c r="AU51" s="692"/>
      <c r="AV51" s="692"/>
      <c r="AW51" s="692"/>
      <c r="AX51" s="692"/>
      <c r="AY51" s="692"/>
      <c r="AZ51" s="692"/>
      <c r="BA51" s="692"/>
      <c r="BB51"/>
      <c r="BC51"/>
      <c r="BD51"/>
      <c r="BE51"/>
      <c r="BF51"/>
      <c r="BG51"/>
      <c r="BH51" s="693"/>
      <c r="BI51" s="693"/>
      <c r="BJ51" s="754"/>
      <c r="BK51" s="754"/>
      <c r="BL51" s="754"/>
      <c r="BM51" s="754"/>
      <c r="BN51" s="754"/>
      <c r="BO51" s="693"/>
      <c r="BP51" s="693"/>
      <c r="BQ51" s="693"/>
      <c r="BR51" s="693"/>
      <c r="BS51" s="693"/>
      <c r="BT51" s="693"/>
      <c r="BU51" s="693"/>
      <c r="BV51" s="693"/>
      <c r="BW51" s="693"/>
      <c r="BX51" s="693"/>
      <c r="BY51" s="693"/>
      <c r="BZ51" s="693"/>
      <c r="CA51" s="693"/>
      <c r="CB51" s="693"/>
      <c r="CC51" s="693"/>
      <c r="CD51" s="693"/>
      <c r="CE51" s="693"/>
      <c r="CF51" s="693"/>
      <c r="CG51" s="693"/>
      <c r="CH51" s="693"/>
      <c r="CI51" s="693"/>
      <c r="CJ51" s="693"/>
      <c r="CK51" s="693"/>
      <c r="CL51" s="693"/>
      <c r="CM51" s="693"/>
      <c r="CN51" s="693"/>
      <c r="CO51" s="693"/>
      <c r="CP51" s="693"/>
      <c r="CQ51" s="693"/>
      <c r="CR51" s="693"/>
      <c r="CS51" s="693"/>
      <c r="CT51" s="693"/>
      <c r="CU51" s="693"/>
      <c r="CV51" s="693"/>
      <c r="CW51" s="693"/>
      <c r="CX51" s="693"/>
      <c r="CY51" s="693"/>
      <c r="CZ51" s="693"/>
      <c r="DA51" s="693"/>
      <c r="DB51" s="693"/>
      <c r="DC51" s="693"/>
      <c r="DD51" s="693"/>
      <c r="DE51" s="693"/>
      <c r="DF51" s="693"/>
      <c r="DG51" s="693"/>
      <c r="DH51" s="693"/>
      <c r="DI51" s="693"/>
      <c r="DJ51" s="693"/>
      <c r="DK51" s="693"/>
      <c r="DL51" s="693"/>
      <c r="DM51" s="693"/>
      <c r="DN51" s="693"/>
      <c r="DO51" s="693"/>
      <c r="DP51" s="693"/>
    </row>
    <row r="52" spans="1:120" s="695" customFormat="1">
      <c r="A52" s="685" t="s">
        <v>586</v>
      </c>
      <c r="B52" s="687"/>
      <c r="C52" s="687">
        <v>0.38027069234773547</v>
      </c>
      <c r="D52" s="687">
        <v>-6.7068954679741055E-2</v>
      </c>
      <c r="E52" s="687">
        <v>-4.2783991375825337E-2</v>
      </c>
      <c r="F52" s="687">
        <v>1.8723164637150624E-2</v>
      </c>
      <c r="G52" s="687">
        <f t="shared" ref="G52:O52" si="108">G50/F50-1</f>
        <v>-4.7191321771574701E-2</v>
      </c>
      <c r="H52" s="1313">
        <f t="shared" si="108"/>
        <v>-5.8230601885424171E-2</v>
      </c>
      <c r="I52" s="1313">
        <f t="shared" si="108"/>
        <v>-1.0549010549010585E-2</v>
      </c>
      <c r="J52" s="1313">
        <f t="shared" si="108"/>
        <v>0.11985062643039468</v>
      </c>
      <c r="K52" s="1313">
        <f t="shared" si="108"/>
        <v>3.9359280635577365E-2</v>
      </c>
      <c r="L52" s="1313">
        <f t="shared" si="108"/>
        <v>8.4916202531062357E-2</v>
      </c>
      <c r="M52" s="1313">
        <f t="shared" si="108"/>
        <v>6.8147618559502021E-2</v>
      </c>
      <c r="N52" s="1313">
        <f t="shared" si="108"/>
        <v>6.3132628129219492E-2</v>
      </c>
      <c r="O52" s="1313">
        <f t="shared" si="108"/>
        <v>-9.4709795122605023E-3</v>
      </c>
      <c r="P52" s="1313">
        <f>P51/O51-1</f>
        <v>1.2463531950920981E-2</v>
      </c>
      <c r="Q52" s="1313">
        <f>Q51/P51-1</f>
        <v>2.753908979897135E-3</v>
      </c>
      <c r="R52" s="688"/>
      <c r="S52" s="689"/>
      <c r="T52" s="689"/>
      <c r="U52" s="689"/>
      <c r="V52" s="689"/>
      <c r="W52" s="690"/>
      <c r="X52" s="689"/>
      <c r="Y52" s="689"/>
      <c r="Z52" s="689"/>
      <c r="AA52" s="690">
        <f t="shared" ref="AA52:AH52" si="109">AA50/W50-1</f>
        <v>-3.9210526315789473E-2</v>
      </c>
      <c r="AB52" s="689">
        <f t="shared" si="109"/>
        <v>-6.8929774552992984E-2</v>
      </c>
      <c r="AC52" s="689">
        <f t="shared" si="109"/>
        <v>-2.6778242677824249E-2</v>
      </c>
      <c r="AD52" s="689">
        <f t="shared" si="109"/>
        <v>-5.32672654072468E-2</v>
      </c>
      <c r="AE52" s="690">
        <f t="shared" si="109"/>
        <v>-0.10682004930156119</v>
      </c>
      <c r="AF52" s="689">
        <f t="shared" si="109"/>
        <v>-7.2641246868911824E-2</v>
      </c>
      <c r="AG52" s="689">
        <f t="shared" si="109"/>
        <v>-3.095442820292349E-2</v>
      </c>
      <c r="AH52" s="691">
        <f t="shared" si="109"/>
        <v>-1.439319594373567E-2</v>
      </c>
      <c r="AI52" s="1310">
        <f>AI50/AE50-1</f>
        <v>-7.6970254523151538E-2</v>
      </c>
      <c r="AJ52" s="1311">
        <f>AJ50/AF50-1</f>
        <v>-2.9111644657863422E-2</v>
      </c>
      <c r="AK52" s="1311">
        <f>AK50/AG50-1</f>
        <v>3.1062782155411028E-4</v>
      </c>
      <c r="AL52" s="1312">
        <f>AL50/AH50-1</f>
        <v>6.9681303463432931E-2</v>
      </c>
      <c r="AM52" s="1311">
        <f t="shared" ref="AM52:AP52" si="110">AM50/AI50-1</f>
        <v>0.10963455149501566</v>
      </c>
      <c r="AN52" s="1311">
        <f t="shared" si="110"/>
        <v>9.4496053431422089E-2</v>
      </c>
      <c r="AO52" s="1311">
        <f t="shared" si="110"/>
        <v>6.8828034023025841E-2</v>
      </c>
      <c r="AP52" s="1311">
        <f t="shared" si="110"/>
        <v>0.20838238160123934</v>
      </c>
      <c r="AQ52" s="1387"/>
      <c r="AR52" s="692"/>
      <c r="AS52" s="692"/>
      <c r="AT52" s="692"/>
      <c r="AU52" s="692"/>
      <c r="AV52" s="692"/>
      <c r="AW52" s="692"/>
      <c r="AX52" s="692"/>
      <c r="AY52" s="692"/>
      <c r="AZ52" s="692"/>
      <c r="BA52" s="692"/>
      <c r="BB52"/>
      <c r="BC52"/>
      <c r="BD52"/>
      <c r="BE52"/>
      <c r="BF52"/>
      <c r="BG52"/>
      <c r="BH52" s="693"/>
      <c r="BI52" s="693"/>
      <c r="BJ52" s="755"/>
      <c r="BK52" s="755"/>
      <c r="BL52" s="755"/>
      <c r="BM52" s="755"/>
      <c r="BN52" s="755"/>
      <c r="BO52" s="693"/>
      <c r="BP52" s="693"/>
      <c r="BQ52" s="693"/>
      <c r="BR52" s="693"/>
      <c r="BS52" s="693"/>
      <c r="BT52" s="693"/>
      <c r="BU52" s="693"/>
      <c r="BV52" s="693"/>
      <c r="BW52" s="693"/>
      <c r="BX52" s="693"/>
      <c r="BY52" s="693"/>
      <c r="BZ52" s="693"/>
      <c r="CA52" s="693"/>
      <c r="CB52" s="693"/>
      <c r="CC52" s="693"/>
      <c r="CD52" s="693"/>
      <c r="CE52" s="693"/>
      <c r="CF52" s="693"/>
      <c r="CG52" s="693"/>
      <c r="CH52" s="693"/>
      <c r="CI52" s="693"/>
      <c r="CJ52" s="693"/>
      <c r="CK52" s="693"/>
      <c r="CL52" s="693"/>
      <c r="CM52" s="693"/>
      <c r="CN52" s="693"/>
      <c r="CO52" s="693"/>
      <c r="CP52" s="693"/>
      <c r="CQ52" s="693"/>
      <c r="CR52" s="693"/>
      <c r="CS52" s="693"/>
      <c r="CT52" s="693"/>
      <c r="CU52" s="693"/>
      <c r="CV52" s="693"/>
      <c r="CW52" s="693"/>
      <c r="CX52" s="693"/>
      <c r="CY52" s="693"/>
      <c r="CZ52" s="693"/>
      <c r="DA52" s="693"/>
      <c r="DB52" s="693"/>
      <c r="DC52" s="693"/>
      <c r="DD52" s="693"/>
      <c r="DE52" s="693"/>
      <c r="DF52" s="693"/>
      <c r="DG52" s="693"/>
      <c r="DH52" s="693"/>
      <c r="DI52" s="693"/>
      <c r="DJ52" s="693"/>
      <c r="DK52" s="693"/>
      <c r="DL52" s="693"/>
      <c r="DM52" s="693"/>
      <c r="DN52" s="693"/>
      <c r="DO52" s="693"/>
      <c r="DP52" s="693"/>
    </row>
    <row r="53" spans="1:120" s="695" customFormat="1">
      <c r="A53" s="685" t="s">
        <v>587</v>
      </c>
      <c r="B53" s="687"/>
      <c r="C53" s="687"/>
      <c r="D53" s="687"/>
      <c r="E53" s="687">
        <v>0.05</v>
      </c>
      <c r="F53" s="687"/>
      <c r="G53" s="687">
        <v>0.1</v>
      </c>
      <c r="H53" s="1313">
        <v>-0.02</v>
      </c>
      <c r="I53" s="1313">
        <v>0</v>
      </c>
      <c r="J53" s="1313">
        <f>J52-J54</f>
        <v>7.6600474220410525E-2</v>
      </c>
      <c r="K53" s="1313"/>
      <c r="L53" s="1313"/>
      <c r="M53" s="1313"/>
      <c r="N53" s="1313"/>
      <c r="O53" s="1313"/>
      <c r="P53" s="1313"/>
      <c r="Q53" s="1313"/>
      <c r="R53" s="688"/>
      <c r="S53" s="689">
        <v>0.1</v>
      </c>
      <c r="T53" s="689">
        <v>0.01</v>
      </c>
      <c r="U53" s="689">
        <v>-0.02</v>
      </c>
      <c r="V53" s="689">
        <v>0.1</v>
      </c>
      <c r="W53" s="690">
        <v>0.06</v>
      </c>
      <c r="X53" s="689"/>
      <c r="Y53" s="689"/>
      <c r="Z53" s="689"/>
      <c r="AA53" s="690">
        <f t="shared" ref="AA53:AF53" si="111">AA52-AA54</f>
        <v>9.0789473684210531E-2</v>
      </c>
      <c r="AB53" s="689">
        <f t="shared" si="111"/>
        <v>6.107022544700702E-2</v>
      </c>
      <c r="AC53" s="689">
        <f t="shared" si="111"/>
        <v>0.14322175732217576</v>
      </c>
      <c r="AD53" s="689">
        <f t="shared" si="111"/>
        <v>0.11673273459275321</v>
      </c>
      <c r="AE53" s="690">
        <f t="shared" si="111"/>
        <v>-4.6820049301561195E-2</v>
      </c>
      <c r="AF53" s="689">
        <f t="shared" si="111"/>
        <v>-4.2641246868911825E-2</v>
      </c>
      <c r="AG53" s="689">
        <v>-0.03</v>
      </c>
      <c r="AH53" s="691">
        <v>0.01</v>
      </c>
      <c r="AI53" s="1310">
        <v>-0.05</v>
      </c>
      <c r="AJ53" s="1311">
        <v>0</v>
      </c>
      <c r="AK53" s="1311">
        <v>0.01</v>
      </c>
      <c r="AL53" s="1312">
        <v>0.05</v>
      </c>
      <c r="AM53" s="1313">
        <v>0.04</v>
      </c>
      <c r="AN53" s="1313">
        <f t="shared" ref="AN53:AP53" si="112">AN52-AN54</f>
        <v>4.1093786092439744E-2</v>
      </c>
      <c r="AO53" s="1313">
        <f t="shared" si="112"/>
        <v>4.420761016229531E-2</v>
      </c>
      <c r="AP53" s="1313">
        <f t="shared" si="112"/>
        <v>0.18303901545603124</v>
      </c>
      <c r="AQ53" s="1383"/>
      <c r="AR53" s="692"/>
      <c r="AS53" s="692"/>
      <c r="AT53" s="692"/>
      <c r="AU53" s="692"/>
      <c r="AV53" s="692"/>
      <c r="AW53" s="692"/>
      <c r="AX53" s="692"/>
      <c r="AY53" s="692"/>
      <c r="AZ53" s="692"/>
      <c r="BA53" s="692"/>
      <c r="BB53"/>
      <c r="BC53"/>
      <c r="BD53"/>
      <c r="BE53"/>
      <c r="BF53"/>
      <c r="BG53"/>
      <c r="BH53" s="693"/>
      <c r="BI53" s="693"/>
      <c r="BJ53" s="755"/>
      <c r="BK53" s="755"/>
      <c r="BL53" s="755"/>
      <c r="BM53" s="755"/>
      <c r="BN53" s="755"/>
      <c r="BO53" s="693"/>
      <c r="BP53" s="693"/>
      <c r="BQ53" s="693"/>
      <c r="BR53" s="693"/>
      <c r="BS53" s="693"/>
      <c r="BT53" s="693"/>
      <c r="BU53" s="693"/>
      <c r="BV53" s="693"/>
      <c r="BW53" s="693"/>
      <c r="BX53" s="693"/>
      <c r="BY53" s="693"/>
      <c r="BZ53" s="693"/>
      <c r="CA53" s="693"/>
      <c r="CB53" s="693"/>
      <c r="CC53" s="693"/>
      <c r="CD53" s="693"/>
      <c r="CE53" s="693"/>
      <c r="CF53" s="693"/>
      <c r="CG53" s="693"/>
      <c r="CH53" s="693"/>
      <c r="CI53" s="693"/>
      <c r="CJ53" s="693"/>
      <c r="CK53" s="693"/>
      <c r="CL53" s="693"/>
      <c r="CM53" s="693"/>
      <c r="CN53" s="693"/>
      <c r="CO53" s="693"/>
      <c r="CP53" s="693"/>
      <c r="CQ53" s="693"/>
      <c r="CR53" s="693"/>
      <c r="CS53" s="693"/>
      <c r="CT53" s="693"/>
      <c r="CU53" s="693"/>
      <c r="CV53" s="693"/>
      <c r="CW53" s="693"/>
      <c r="CX53" s="693"/>
      <c r="CY53" s="693"/>
      <c r="CZ53" s="693"/>
      <c r="DA53" s="693"/>
      <c r="DB53" s="693"/>
      <c r="DC53" s="693"/>
      <c r="DD53" s="693"/>
      <c r="DE53" s="693"/>
      <c r="DF53" s="693"/>
      <c r="DG53" s="693"/>
      <c r="DH53" s="693"/>
      <c r="DI53" s="693"/>
      <c r="DJ53" s="693"/>
      <c r="DK53" s="693"/>
      <c r="DL53" s="693"/>
      <c r="DM53" s="693"/>
      <c r="DN53" s="693"/>
      <c r="DO53" s="693"/>
      <c r="DP53" s="693"/>
    </row>
    <row r="54" spans="1:120" s="695" customFormat="1">
      <c r="A54" s="685" t="s">
        <v>870</v>
      </c>
      <c r="B54" s="687"/>
      <c r="C54" s="687"/>
      <c r="D54" s="687"/>
      <c r="E54" s="687"/>
      <c r="F54" s="687"/>
      <c r="G54" s="1311">
        <f>G52-G53</f>
        <v>-0.14719132177157471</v>
      </c>
      <c r="H54" s="1311">
        <f>H52-H53</f>
        <v>-3.8230601885424167E-2</v>
      </c>
      <c r="I54" s="1311">
        <f>I52-I53</f>
        <v>-1.0549010549010585E-2</v>
      </c>
      <c r="J54" s="1315">
        <f>AVERAGE(AM54:AP54)</f>
        <v>4.3250152209984155E-2</v>
      </c>
      <c r="K54" s="1313"/>
      <c r="L54" s="1313"/>
      <c r="M54" s="1313"/>
      <c r="N54" s="1313"/>
      <c r="O54" s="1313"/>
      <c r="P54" s="1313"/>
      <c r="Q54" s="1313"/>
      <c r="R54" s="688"/>
      <c r="S54" s="689"/>
      <c r="T54" s="689"/>
      <c r="U54" s="689"/>
      <c r="V54" s="689"/>
      <c r="W54" s="690"/>
      <c r="X54" s="689"/>
      <c r="Y54" s="689"/>
      <c r="Z54" s="689"/>
      <c r="AA54" s="690">
        <v>-0.13</v>
      </c>
      <c r="AB54" s="689">
        <v>-0.13</v>
      </c>
      <c r="AC54" s="689">
        <v>-0.17</v>
      </c>
      <c r="AD54" s="689">
        <v>-0.17</v>
      </c>
      <c r="AE54" s="690">
        <v>-0.06</v>
      </c>
      <c r="AF54" s="689">
        <v>-0.03</v>
      </c>
      <c r="AG54" s="689">
        <f t="shared" ref="AG54:AM54" si="113">AG52-AG53</f>
        <v>-9.5442820292349073E-4</v>
      </c>
      <c r="AH54" s="691">
        <f t="shared" si="113"/>
        <v>-2.4393195943735672E-2</v>
      </c>
      <c r="AI54" s="1310">
        <f t="shared" si="113"/>
        <v>-2.6970254523151535E-2</v>
      </c>
      <c r="AJ54" s="1311">
        <f t="shared" si="113"/>
        <v>-2.9111644657863422E-2</v>
      </c>
      <c r="AK54" s="1311">
        <f t="shared" si="113"/>
        <v>-9.6893721784458899E-3</v>
      </c>
      <c r="AL54" s="1312">
        <f t="shared" si="113"/>
        <v>1.9681303463432928E-2</v>
      </c>
      <c r="AM54" s="1311">
        <f t="shared" si="113"/>
        <v>6.9634551495015656E-2</v>
      </c>
      <c r="AN54" s="1314">
        <f>AN6</f>
        <v>5.3402267338982345E-2</v>
      </c>
      <c r="AO54" s="1314">
        <f t="shared" ref="AO54:AP54" si="114">AO6</f>
        <v>2.4620423860730527E-2</v>
      </c>
      <c r="AP54" s="1314">
        <f t="shared" si="114"/>
        <v>2.5343366145208095E-2</v>
      </c>
      <c r="AQ54" s="1383"/>
      <c r="AR54" s="692"/>
      <c r="AS54" s="692"/>
      <c r="AT54" s="692"/>
      <c r="AU54" s="692"/>
      <c r="AV54" s="692"/>
      <c r="AW54" s="692"/>
      <c r="AX54" s="692"/>
      <c r="AY54" s="692"/>
      <c r="AZ54" s="692"/>
      <c r="BA54" s="692"/>
      <c r="BB54"/>
      <c r="BC54"/>
      <c r="BD54"/>
      <c r="BE54"/>
      <c r="BF54"/>
      <c r="BG54"/>
      <c r="BH54" s="693"/>
      <c r="BI54" s="693"/>
      <c r="BJ54" s="755"/>
      <c r="BK54" s="755"/>
      <c r="BL54" s="755"/>
      <c r="BM54" s="755"/>
      <c r="BN54" s="755"/>
      <c r="BO54" s="693"/>
      <c r="BP54" s="693"/>
      <c r="BQ54" s="693"/>
      <c r="BR54" s="693"/>
      <c r="BS54" s="693"/>
      <c r="BT54" s="693"/>
      <c r="BU54" s="693"/>
      <c r="BV54" s="693"/>
      <c r="BW54" s="693"/>
      <c r="BX54" s="693"/>
      <c r="BY54" s="693"/>
      <c r="BZ54" s="693"/>
      <c r="CA54" s="693"/>
      <c r="CB54" s="693"/>
      <c r="CC54" s="693"/>
      <c r="CD54" s="693"/>
      <c r="CE54" s="693"/>
      <c r="CF54" s="693"/>
      <c r="CG54" s="693"/>
      <c r="CH54" s="693"/>
      <c r="CI54" s="693"/>
      <c r="CJ54" s="693"/>
      <c r="CK54" s="693"/>
      <c r="CL54" s="693"/>
      <c r="CM54" s="693"/>
      <c r="CN54" s="693"/>
      <c r="CO54" s="693"/>
      <c r="CP54" s="693"/>
      <c r="CQ54" s="693"/>
      <c r="CR54" s="693"/>
      <c r="CS54" s="693"/>
      <c r="CT54" s="693"/>
      <c r="CU54" s="693"/>
      <c r="CV54" s="693"/>
      <c r="CW54" s="693"/>
      <c r="CX54" s="693"/>
      <c r="CY54" s="693"/>
      <c r="CZ54" s="693"/>
      <c r="DA54" s="693"/>
      <c r="DB54" s="693"/>
      <c r="DC54" s="693"/>
      <c r="DD54" s="693"/>
      <c r="DE54" s="693"/>
      <c r="DF54" s="693"/>
      <c r="DG54" s="693"/>
      <c r="DH54" s="693"/>
      <c r="DI54" s="693"/>
      <c r="DJ54" s="693"/>
      <c r="DK54" s="693"/>
      <c r="DL54" s="693"/>
      <c r="DM54" s="693"/>
      <c r="DN54" s="693"/>
      <c r="DO54" s="693"/>
      <c r="DP54" s="693"/>
    </row>
    <row r="55" spans="1:120" s="695" customFormat="1" outlineLevel="1">
      <c r="A55" s="726" t="s">
        <v>124</v>
      </c>
      <c r="B55" s="687"/>
      <c r="C55" s="687"/>
      <c r="D55" s="687"/>
      <c r="E55" s="727">
        <v>278</v>
      </c>
      <c r="F55" s="729">
        <v>142</v>
      </c>
      <c r="G55" s="729">
        <f>G19+G29+G34+G39+G42</f>
        <v>-244</v>
      </c>
      <c r="H55" s="729">
        <f t="shared" ref="H55:Q55" si="115">H19+H29+H34+H39+H42</f>
        <v>0</v>
      </c>
      <c r="I55" s="729">
        <f t="shared" si="115"/>
        <v>0</v>
      </c>
      <c r="J55" s="727">
        <f t="shared" si="115"/>
        <v>0</v>
      </c>
      <c r="K55" s="727">
        <f t="shared" si="115"/>
        <v>0</v>
      </c>
      <c r="L55" s="727">
        <f t="shared" si="115"/>
        <v>0</v>
      </c>
      <c r="M55" s="727">
        <f t="shared" si="115"/>
        <v>0</v>
      </c>
      <c r="N55" s="727">
        <f t="shared" si="115"/>
        <v>0</v>
      </c>
      <c r="O55" s="727">
        <f t="shared" si="115"/>
        <v>0</v>
      </c>
      <c r="P55" s="727">
        <f t="shared" si="115"/>
        <v>0</v>
      </c>
      <c r="Q55" s="727">
        <f t="shared" si="115"/>
        <v>0</v>
      </c>
      <c r="R55" s="688"/>
      <c r="S55" s="729">
        <v>-39</v>
      </c>
      <c r="T55" s="729">
        <v>24</v>
      </c>
      <c r="U55" s="729">
        <v>188</v>
      </c>
      <c r="V55" s="729">
        <v>105</v>
      </c>
      <c r="W55" s="728">
        <f t="shared" ref="W55:AP55" si="116">W19+W29+W34+W39+W42</f>
        <v>-143</v>
      </c>
      <c r="X55" s="729">
        <f t="shared" si="116"/>
        <v>-62</v>
      </c>
      <c r="Y55" s="729">
        <f t="shared" si="116"/>
        <v>254</v>
      </c>
      <c r="Z55" s="729">
        <f t="shared" si="116"/>
        <v>93</v>
      </c>
      <c r="AA55" s="728">
        <f t="shared" si="116"/>
        <v>-102</v>
      </c>
      <c r="AB55" s="729">
        <f t="shared" si="116"/>
        <v>-72</v>
      </c>
      <c r="AC55" s="729">
        <f t="shared" si="116"/>
        <v>77</v>
      </c>
      <c r="AD55" s="729">
        <f t="shared" si="116"/>
        <v>-147</v>
      </c>
      <c r="AE55" s="728">
        <f t="shared" si="116"/>
        <v>0</v>
      </c>
      <c r="AF55" s="729">
        <f t="shared" si="116"/>
        <v>0</v>
      </c>
      <c r="AG55" s="727">
        <f t="shared" si="116"/>
        <v>0</v>
      </c>
      <c r="AH55" s="730">
        <f t="shared" si="116"/>
        <v>0</v>
      </c>
      <c r="AI55" s="728">
        <f t="shared" si="116"/>
        <v>0</v>
      </c>
      <c r="AJ55" s="729">
        <f t="shared" si="116"/>
        <v>0</v>
      </c>
      <c r="AK55" s="729">
        <f t="shared" si="116"/>
        <v>0</v>
      </c>
      <c r="AL55" s="730">
        <f t="shared" si="116"/>
        <v>0</v>
      </c>
      <c r="AM55" s="729">
        <f t="shared" si="116"/>
        <v>0</v>
      </c>
      <c r="AN55" s="729">
        <f t="shared" si="116"/>
        <v>0</v>
      </c>
      <c r="AO55" s="729">
        <f t="shared" si="116"/>
        <v>0</v>
      </c>
      <c r="AP55" s="729">
        <f t="shared" si="116"/>
        <v>0</v>
      </c>
      <c r="AQ55" s="1383"/>
      <c r="AR55" s="692"/>
      <c r="AS55" s="692"/>
      <c r="AT55" s="692"/>
      <c r="AU55" s="692"/>
      <c r="AV55" s="692"/>
      <c r="AW55" s="692"/>
      <c r="AX55" s="692"/>
      <c r="AY55" s="692"/>
      <c r="AZ55" s="692"/>
      <c r="BA55" s="692"/>
      <c r="BB55"/>
      <c r="BC55"/>
      <c r="BD55"/>
      <c r="BE55"/>
      <c r="BF55"/>
      <c r="BG55"/>
      <c r="BH55" s="693"/>
      <c r="BI55" s="693"/>
      <c r="BJ55" s="755"/>
      <c r="BK55" s="755"/>
      <c r="BL55" s="755"/>
      <c r="BM55" s="755"/>
      <c r="BN55" s="755"/>
      <c r="BO55" s="693"/>
      <c r="BP55" s="693"/>
      <c r="BQ55" s="693"/>
      <c r="BR55" s="693"/>
      <c r="BS55" s="693"/>
      <c r="BT55" s="693"/>
      <c r="BU55" s="693"/>
      <c r="BV55" s="693"/>
      <c r="BW55" s="693"/>
      <c r="BX55" s="693"/>
      <c r="BY55" s="693"/>
      <c r="BZ55" s="693"/>
      <c r="CA55" s="693"/>
      <c r="CB55" s="693"/>
      <c r="CC55" s="693"/>
      <c r="CD55" s="693"/>
      <c r="CE55" s="693"/>
      <c r="CF55" s="693"/>
      <c r="CG55" s="693"/>
      <c r="CH55" s="693"/>
      <c r="CI55" s="693"/>
      <c r="CJ55" s="693"/>
      <c r="CK55" s="693"/>
      <c r="CL55" s="693"/>
      <c r="CM55" s="693"/>
      <c r="CN55" s="693"/>
      <c r="CO55" s="693"/>
      <c r="CP55" s="693"/>
      <c r="CQ55" s="693"/>
      <c r="CR55" s="693"/>
      <c r="CS55" s="693"/>
      <c r="CT55" s="693"/>
      <c r="CU55" s="693"/>
      <c r="CV55" s="693"/>
      <c r="CW55" s="693"/>
      <c r="CX55" s="693"/>
      <c r="CY55" s="693"/>
      <c r="CZ55" s="693"/>
      <c r="DA55" s="693"/>
      <c r="DB55" s="693"/>
      <c r="DC55" s="693"/>
      <c r="DD55" s="693"/>
      <c r="DE55" s="693"/>
      <c r="DF55" s="693"/>
      <c r="DG55" s="693"/>
      <c r="DH55" s="693"/>
      <c r="DI55" s="693"/>
      <c r="DJ55" s="693"/>
      <c r="DK55" s="693"/>
      <c r="DL55" s="693"/>
      <c r="DM55" s="693"/>
      <c r="DN55" s="693"/>
      <c r="DO55" s="693"/>
      <c r="DP55" s="693"/>
    </row>
    <row r="56" spans="1:120" s="695" customFormat="1" outlineLevel="1">
      <c r="A56" s="726" t="s">
        <v>125</v>
      </c>
      <c r="B56" s="687"/>
      <c r="C56" s="687"/>
      <c r="D56" s="687"/>
      <c r="E56" s="727">
        <v>14485</v>
      </c>
      <c r="F56" s="727">
        <v>14615</v>
      </c>
      <c r="G56" s="727">
        <f>G20+G30+G35+G40+G43</f>
        <v>13546</v>
      </c>
      <c r="H56" s="727">
        <f t="shared" ref="H56:Q56" si="117">H20+H30+H35+H40+H43</f>
        <v>12119</v>
      </c>
      <c r="I56" s="727">
        <f t="shared" si="117"/>
        <v>11824.000000000002</v>
      </c>
      <c r="J56" s="727">
        <f t="shared" si="117"/>
        <v>13297.842069833634</v>
      </c>
      <c r="K56" s="727">
        <f t="shared" si="117"/>
        <v>13853.985614143248</v>
      </c>
      <c r="L56" s="727">
        <f t="shared" si="117"/>
        <v>15099.262483241486</v>
      </c>
      <c r="M56" s="727">
        <f t="shared" si="117"/>
        <v>16168.364599690711</v>
      </c>
      <c r="N56" s="727">
        <f t="shared" si="117"/>
        <v>17249.816176337099</v>
      </c>
      <c r="O56" s="727">
        <f t="shared" si="117"/>
        <v>17111.914565112358</v>
      </c>
      <c r="P56" s="727">
        <f t="shared" si="117"/>
        <v>17579.579622753707</v>
      </c>
      <c r="Q56" s="727">
        <f t="shared" si="117"/>
        <v>17843.222113992393</v>
      </c>
      <c r="R56" s="688"/>
      <c r="S56" s="729">
        <v>3714</v>
      </c>
      <c r="T56" s="729">
        <v>3755</v>
      </c>
      <c r="U56" s="729">
        <v>3621</v>
      </c>
      <c r="V56" s="729">
        <v>3395</v>
      </c>
      <c r="W56" s="728">
        <f t="shared" ref="W56:AP56" si="118">W20+W30+W35+W40+W43</f>
        <v>3657</v>
      </c>
      <c r="X56" s="729">
        <f t="shared" si="118"/>
        <v>3797</v>
      </c>
      <c r="Y56" s="729">
        <f t="shared" si="118"/>
        <v>3839</v>
      </c>
      <c r="Z56" s="729">
        <f t="shared" si="118"/>
        <v>3322</v>
      </c>
      <c r="AA56" s="728">
        <f t="shared" si="118"/>
        <v>3549</v>
      </c>
      <c r="AB56" s="729">
        <f t="shared" si="118"/>
        <v>3521</v>
      </c>
      <c r="AC56" s="729">
        <f t="shared" si="118"/>
        <v>3566</v>
      </c>
      <c r="AD56" s="729">
        <f t="shared" si="118"/>
        <v>2910</v>
      </c>
      <c r="AE56" s="728">
        <f t="shared" si="118"/>
        <v>3261</v>
      </c>
      <c r="AF56" s="729">
        <f t="shared" si="118"/>
        <v>3332</v>
      </c>
      <c r="AG56" s="727">
        <f t="shared" si="118"/>
        <v>3166</v>
      </c>
      <c r="AH56" s="730">
        <f t="shared" si="118"/>
        <v>2779</v>
      </c>
      <c r="AI56" s="728">
        <f t="shared" si="118"/>
        <v>3010.0000000000027</v>
      </c>
      <c r="AJ56" s="729">
        <f t="shared" si="118"/>
        <v>2982.9999999999991</v>
      </c>
      <c r="AK56" s="729">
        <f t="shared" si="118"/>
        <v>3103.0502326646742</v>
      </c>
      <c r="AL56" s="730">
        <f t="shared" si="118"/>
        <v>2973.9497673353235</v>
      </c>
      <c r="AM56" s="729">
        <f t="shared" si="118"/>
        <v>3254.1660000000002</v>
      </c>
      <c r="AN56" s="729">
        <f t="shared" si="118"/>
        <v>3271.0321096042012</v>
      </c>
      <c r="AO56" s="729">
        <f t="shared" si="118"/>
        <v>3320.2750659674994</v>
      </c>
      <c r="AP56" s="729">
        <f t="shared" si="118"/>
        <v>3452.3688942619265</v>
      </c>
      <c r="AQ56" s="1383"/>
      <c r="AR56" s="692"/>
      <c r="AS56" s="692"/>
      <c r="AT56" s="692"/>
      <c r="AU56" s="692"/>
      <c r="AV56" s="692"/>
      <c r="AW56" s="692"/>
      <c r="AX56" s="692"/>
      <c r="AY56" s="692"/>
      <c r="AZ56" s="692"/>
      <c r="BA56" s="692"/>
      <c r="BB56"/>
      <c r="BC56"/>
      <c r="BD56"/>
      <c r="BE56"/>
      <c r="BF56"/>
      <c r="BG56"/>
      <c r="BH56" s="693"/>
      <c r="BI56" s="693"/>
      <c r="BJ56" s="755"/>
      <c r="BK56" s="755"/>
      <c r="BL56" s="755"/>
      <c r="BM56" s="755"/>
      <c r="BN56" s="755"/>
      <c r="BO56" s="693"/>
      <c r="BP56" s="693"/>
      <c r="BQ56" s="693"/>
      <c r="BR56" s="693"/>
      <c r="BS56" s="693"/>
      <c r="BT56" s="693"/>
      <c r="BU56" s="693"/>
      <c r="BV56" s="693"/>
      <c r="BW56" s="693"/>
      <c r="BX56" s="693"/>
      <c r="BY56" s="693"/>
      <c r="BZ56" s="693"/>
      <c r="CA56" s="693"/>
      <c r="CB56" s="693"/>
      <c r="CC56" s="693"/>
      <c r="CD56" s="693"/>
      <c r="CE56" s="693"/>
      <c r="CF56" s="693"/>
      <c r="CG56" s="693"/>
      <c r="CH56" s="693"/>
      <c r="CI56" s="693"/>
      <c r="CJ56" s="693"/>
      <c r="CK56" s="693"/>
      <c r="CL56" s="693"/>
      <c r="CM56" s="693"/>
      <c r="CN56" s="693"/>
      <c r="CO56" s="693"/>
      <c r="CP56" s="693"/>
      <c r="CQ56" s="693"/>
      <c r="CR56" s="693"/>
      <c r="CS56" s="693"/>
      <c r="CT56" s="693"/>
      <c r="CU56" s="693"/>
      <c r="CV56" s="693"/>
      <c r="CW56" s="693"/>
      <c r="CX56" s="693"/>
      <c r="CY56" s="693"/>
      <c r="CZ56" s="693"/>
      <c r="DA56" s="693"/>
      <c r="DB56" s="693"/>
      <c r="DC56" s="693"/>
      <c r="DD56" s="693"/>
      <c r="DE56" s="693"/>
      <c r="DF56" s="693"/>
      <c r="DG56" s="693"/>
      <c r="DH56" s="693"/>
      <c r="DI56" s="693"/>
      <c r="DJ56" s="693"/>
      <c r="DK56" s="693"/>
      <c r="DL56" s="693"/>
      <c r="DM56" s="693"/>
      <c r="DN56" s="693"/>
      <c r="DO56" s="693"/>
      <c r="DP56" s="693"/>
    </row>
    <row r="57" spans="1:120" s="693" customFormat="1" outlineLevel="1">
      <c r="A57" s="713" t="s">
        <v>126</v>
      </c>
      <c r="B57" s="714"/>
      <c r="C57" s="714">
        <v>505</v>
      </c>
      <c r="D57" s="714">
        <v>536</v>
      </c>
      <c r="E57" s="714">
        <v>542</v>
      </c>
      <c r="F57" s="714">
        <v>1215</v>
      </c>
      <c r="G57" s="714">
        <f t="shared" ref="G57:M57" si="119">G202+G329+G396+G271</f>
        <v>947</v>
      </c>
      <c r="H57" s="714">
        <f t="shared" si="119"/>
        <v>918</v>
      </c>
      <c r="I57" s="714">
        <f t="shared" si="119"/>
        <v>1026</v>
      </c>
      <c r="J57" s="714">
        <f t="shared" si="119"/>
        <v>1092.2384797969426</v>
      </c>
      <c r="K57" s="714">
        <f t="shared" si="119"/>
        <v>1102.4781542087978</v>
      </c>
      <c r="L57" s="714">
        <f t="shared" si="119"/>
        <v>1127.2473916124395</v>
      </c>
      <c r="M57" s="714">
        <f t="shared" si="119"/>
        <v>1163.9432806667512</v>
      </c>
      <c r="N57" s="714">
        <f>N200+N329+N396+N271</f>
        <v>1176.7258520521075</v>
      </c>
      <c r="O57" s="714">
        <f>O200+O329+O396+O271</f>
        <v>1140.1100612441649</v>
      </c>
      <c r="P57" s="714">
        <f>P200+P329+P396+P271</f>
        <v>1137.6663862443468</v>
      </c>
      <c r="Q57" s="714">
        <f>Q200+Q329+Q396+Q271</f>
        <v>1131.0249421034346</v>
      </c>
      <c r="R57" s="715"/>
      <c r="S57" s="716"/>
      <c r="T57" s="716"/>
      <c r="U57" s="716"/>
      <c r="V57" s="716"/>
      <c r="W57" s="717">
        <f t="shared" ref="W57:AH57" si="120">W202+W329+W396+W271</f>
        <v>199</v>
      </c>
      <c r="X57" s="716">
        <f t="shared" si="120"/>
        <v>538</v>
      </c>
      <c r="Y57" s="716">
        <f t="shared" si="120"/>
        <v>254</v>
      </c>
      <c r="Z57" s="716">
        <f t="shared" si="120"/>
        <v>224</v>
      </c>
      <c r="AA57" s="717">
        <f t="shared" si="120"/>
        <v>241</v>
      </c>
      <c r="AB57" s="716">
        <f t="shared" si="120"/>
        <v>202</v>
      </c>
      <c r="AC57" s="716">
        <f t="shared" si="120"/>
        <v>220</v>
      </c>
      <c r="AD57" s="716">
        <f t="shared" si="120"/>
        <v>284</v>
      </c>
      <c r="AE57" s="717">
        <f t="shared" si="120"/>
        <v>210</v>
      </c>
      <c r="AF57" s="716">
        <f t="shared" si="120"/>
        <v>209</v>
      </c>
      <c r="AG57" s="714">
        <f t="shared" si="120"/>
        <v>215</v>
      </c>
      <c r="AH57" s="718">
        <f t="shared" si="120"/>
        <v>284</v>
      </c>
      <c r="AI57" s="717">
        <f>AI202+AI329+AI396+AI271</f>
        <v>246</v>
      </c>
      <c r="AJ57" s="716">
        <f>AJ202+AJ329+AJ396+AJ271</f>
        <v>252</v>
      </c>
      <c r="AK57" s="716">
        <f>AK202+AK329+AK396+AK271</f>
        <v>279</v>
      </c>
      <c r="AL57" s="718">
        <f>AL202+AL329+AL396+AL271</f>
        <v>249</v>
      </c>
      <c r="AM57" s="716">
        <f t="shared" ref="AM57:AP57" si="121">AM202+AM329+AM396+AM271</f>
        <v>235</v>
      </c>
      <c r="AN57" s="716">
        <f t="shared" si="121"/>
        <v>269.6626232464464</v>
      </c>
      <c r="AO57" s="716">
        <f t="shared" si="121"/>
        <v>294.55503517860177</v>
      </c>
      <c r="AP57" s="716">
        <f t="shared" si="121"/>
        <v>293.02082137189427</v>
      </c>
      <c r="AQ57" s="1392"/>
      <c r="AR57" s="692"/>
      <c r="AS57" s="692"/>
      <c r="AT57" s="692"/>
      <c r="AU57" s="692"/>
      <c r="AV57" s="692"/>
      <c r="AW57" s="692"/>
      <c r="AX57" s="692"/>
      <c r="AY57" s="692"/>
      <c r="AZ57" s="692"/>
      <c r="BA57" s="692"/>
      <c r="BB57"/>
      <c r="BC57"/>
      <c r="BD57"/>
      <c r="BE57"/>
      <c r="BF57"/>
      <c r="BG57"/>
      <c r="BJ57" s="714"/>
      <c r="BK57" s="714"/>
      <c r="BL57" s="714"/>
      <c r="BM57" s="714"/>
      <c r="BN57" s="714"/>
    </row>
    <row r="58" spans="1:120" s="693" customFormat="1" outlineLevel="1">
      <c r="A58" s="713" t="s">
        <v>127</v>
      </c>
      <c r="B58" s="714"/>
      <c r="C58" s="714"/>
      <c r="D58" s="714"/>
      <c r="E58" s="714"/>
      <c r="F58" s="714">
        <v>65</v>
      </c>
      <c r="G58" s="714">
        <f>G11</f>
        <v>23</v>
      </c>
      <c r="H58" s="714"/>
      <c r="I58" s="714"/>
      <c r="J58" s="714"/>
      <c r="K58" s="714"/>
      <c r="L58" s="714"/>
      <c r="M58" s="714"/>
      <c r="N58" s="714"/>
      <c r="O58" s="714"/>
      <c r="P58" s="714"/>
      <c r="Q58" s="714"/>
      <c r="R58" s="715"/>
      <c r="S58" s="716"/>
      <c r="T58" s="716"/>
      <c r="U58" s="716"/>
      <c r="V58" s="716"/>
      <c r="W58" s="717">
        <v>18</v>
      </c>
      <c r="X58" s="716">
        <v>16</v>
      </c>
      <c r="Y58" s="716">
        <v>15</v>
      </c>
      <c r="Z58" s="716">
        <v>16</v>
      </c>
      <c r="AA58" s="717"/>
      <c r="AB58" s="716"/>
      <c r="AC58" s="716"/>
      <c r="AD58" s="716"/>
      <c r="AE58" s="717"/>
      <c r="AF58" s="716"/>
      <c r="AG58" s="714"/>
      <c r="AH58" s="718"/>
      <c r="AI58" s="717"/>
      <c r="AJ58" s="716"/>
      <c r="AK58" s="716"/>
      <c r="AL58" s="718"/>
      <c r="AM58" s="716"/>
      <c r="AN58" s="716"/>
      <c r="AO58" s="716"/>
      <c r="AP58" s="716"/>
      <c r="AQ58" s="1383"/>
      <c r="AR58" s="692"/>
      <c r="AS58" s="692"/>
      <c r="AT58" s="692"/>
      <c r="AU58" s="692"/>
      <c r="AV58" s="692"/>
      <c r="AW58" s="692"/>
      <c r="AX58" s="692"/>
      <c r="AY58" s="692"/>
      <c r="AZ58" s="692"/>
      <c r="BA58" s="692"/>
      <c r="BB58"/>
      <c r="BC58"/>
      <c r="BD58"/>
      <c r="BE58"/>
      <c r="BF58"/>
      <c r="BG58"/>
      <c r="BJ58" s="714"/>
      <c r="BK58" s="714"/>
      <c r="BL58" s="714"/>
      <c r="BM58" s="714"/>
      <c r="BN58" s="714"/>
    </row>
    <row r="59" spans="1:120" s="693" customFormat="1" outlineLevel="1">
      <c r="A59" s="713" t="s">
        <v>128</v>
      </c>
      <c r="B59" s="714"/>
      <c r="C59" s="714"/>
      <c r="D59" s="714"/>
      <c r="E59" s="714"/>
      <c r="F59" s="714">
        <v>1280</v>
      </c>
      <c r="G59" s="714">
        <f>G57+G58</f>
        <v>970</v>
      </c>
      <c r="H59" s="714">
        <f>H202+H329+H394+H271</f>
        <v>918</v>
      </c>
      <c r="I59" s="714">
        <f t="shared" ref="I59:Q59" si="122">I200+I329+I394+I271</f>
        <v>1026</v>
      </c>
      <c r="J59" s="714">
        <f t="shared" si="122"/>
        <v>1092.2384797969426</v>
      </c>
      <c r="K59" s="714">
        <f t="shared" si="122"/>
        <v>1102.4781542087978</v>
      </c>
      <c r="L59" s="714">
        <f t="shared" si="122"/>
        <v>1127.2473916124395</v>
      </c>
      <c r="M59" s="714">
        <f t="shared" si="122"/>
        <v>1163.9432806667512</v>
      </c>
      <c r="N59" s="714">
        <f t="shared" si="122"/>
        <v>1176.7258520521075</v>
      </c>
      <c r="O59" s="714">
        <f t="shared" si="122"/>
        <v>1140.1100612441649</v>
      </c>
      <c r="P59" s="714">
        <f t="shared" si="122"/>
        <v>1137.6663862443468</v>
      </c>
      <c r="Q59" s="714">
        <f t="shared" si="122"/>
        <v>1131.0249421034346</v>
      </c>
      <c r="R59" s="715"/>
      <c r="S59" s="716"/>
      <c r="T59" s="716"/>
      <c r="U59" s="716"/>
      <c r="V59" s="716"/>
      <c r="W59" s="717">
        <v>217</v>
      </c>
      <c r="X59" s="716">
        <v>554</v>
      </c>
      <c r="Y59" s="716">
        <v>269</v>
      </c>
      <c r="Z59" s="716">
        <v>240</v>
      </c>
      <c r="AA59" s="717"/>
      <c r="AB59" s="716"/>
      <c r="AC59" s="716"/>
      <c r="AD59" s="716"/>
      <c r="AE59" s="717"/>
      <c r="AF59" s="716"/>
      <c r="AG59" s="714"/>
      <c r="AH59" s="718"/>
      <c r="AI59" s="717"/>
      <c r="AJ59" s="716"/>
      <c r="AK59" s="716"/>
      <c r="AL59" s="718"/>
      <c r="AM59" s="716">
        <f t="shared" ref="AM59:AP59" si="123">AM200+AM329+AM394+AM271</f>
        <v>235</v>
      </c>
      <c r="AN59" s="716">
        <f t="shared" si="123"/>
        <v>269.6626232464464</v>
      </c>
      <c r="AO59" s="716">
        <f t="shared" si="123"/>
        <v>294.55503517860177</v>
      </c>
      <c r="AP59" s="716">
        <f t="shared" si="123"/>
        <v>293.02082137189427</v>
      </c>
      <c r="AQ59" s="1392"/>
      <c r="AR59" s="692"/>
      <c r="AS59" s="692"/>
      <c r="AT59" s="692"/>
      <c r="AU59" s="692"/>
      <c r="AV59" s="692"/>
      <c r="AW59" s="692"/>
      <c r="AX59" s="692"/>
      <c r="AY59" s="692"/>
      <c r="AZ59" s="692"/>
      <c r="BA59" s="692"/>
      <c r="BB59"/>
      <c r="BC59"/>
      <c r="BD59"/>
      <c r="BE59"/>
      <c r="BF59"/>
      <c r="BG59"/>
      <c r="BJ59" s="714"/>
      <c r="BK59" s="714"/>
      <c r="BL59" s="714"/>
      <c r="BM59" s="714"/>
      <c r="BN59" s="714"/>
    </row>
    <row r="60" spans="1:120" s="693" customFormat="1" outlineLevel="1">
      <c r="A60" s="713" t="s">
        <v>129</v>
      </c>
      <c r="B60" s="714"/>
      <c r="C60" s="714">
        <v>-18983</v>
      </c>
      <c r="D60" s="714">
        <v>-18756</v>
      </c>
      <c r="E60" s="714">
        <v>-19161</v>
      </c>
      <c r="F60" s="714">
        <v>-17106</v>
      </c>
      <c r="G60" s="714">
        <f t="shared" ref="G60:M60" si="124">G207+G333+G397+G275-G388</f>
        <v>-17378</v>
      </c>
      <c r="H60" s="714">
        <f t="shared" si="124"/>
        <v>-17520</v>
      </c>
      <c r="I60" s="714">
        <f t="shared" si="124"/>
        <v>-17175</v>
      </c>
      <c r="J60" s="714">
        <f t="shared" si="124"/>
        <v>-18195.106424492002</v>
      </c>
      <c r="K60" s="714">
        <f t="shared" si="124"/>
        <v>-18120.716410777019</v>
      </c>
      <c r="L60" s="714">
        <f t="shared" si="124"/>
        <v>-19348.141097097126</v>
      </c>
      <c r="M60" s="714">
        <f t="shared" si="124"/>
        <v>-19517.416195889506</v>
      </c>
      <c r="N60" s="714">
        <f>N207+N333+N397+N275</f>
        <v>-19367.006073421846</v>
      </c>
      <c r="O60" s="714">
        <f>O207+O333+O397+O275</f>
        <v>-18855.900142764163</v>
      </c>
      <c r="P60" s="714">
        <f>P207+P333+P397+P275</f>
        <v>-18992.12477891914</v>
      </c>
      <c r="Q60" s="714">
        <f>Q207+Q333+Q397+Q275</f>
        <v>-20556.637556579379</v>
      </c>
      <c r="R60" s="715"/>
      <c r="S60" s="716">
        <v>-4498</v>
      </c>
      <c r="T60" s="716">
        <v>-4670</v>
      </c>
      <c r="U60" s="716">
        <v>-4796</v>
      </c>
      <c r="V60" s="716">
        <v>-5197</v>
      </c>
      <c r="W60" s="717">
        <f t="shared" ref="W60:AH60" si="125">W207+W333+W397+W275-W388</f>
        <v>-4065</v>
      </c>
      <c r="X60" s="716">
        <f t="shared" si="125"/>
        <v>-4314</v>
      </c>
      <c r="Y60" s="716">
        <f t="shared" si="125"/>
        <v>-4366</v>
      </c>
      <c r="Z60" s="716">
        <f t="shared" si="125"/>
        <v>-4361</v>
      </c>
      <c r="AA60" s="717">
        <f t="shared" si="125"/>
        <v>-3954</v>
      </c>
      <c r="AB60" s="716">
        <f t="shared" si="125"/>
        <v>-4487</v>
      </c>
      <c r="AC60" s="716">
        <f t="shared" si="125"/>
        <v>-4388</v>
      </c>
      <c r="AD60" s="716">
        <f t="shared" si="125"/>
        <v>-4549</v>
      </c>
      <c r="AE60" s="717">
        <f t="shared" si="125"/>
        <v>-4212</v>
      </c>
      <c r="AF60" s="716">
        <f t="shared" si="125"/>
        <v>-4451</v>
      </c>
      <c r="AG60" s="714">
        <f t="shared" si="125"/>
        <v>-4368</v>
      </c>
      <c r="AH60" s="718">
        <f t="shared" si="125"/>
        <v>-4489</v>
      </c>
      <c r="AI60" s="717">
        <f>AI207+AI333+AI397+AI275-AI388</f>
        <v>-4105</v>
      </c>
      <c r="AJ60" s="716">
        <f>AJ207+AJ333+AJ397+AJ275-AJ388</f>
        <v>-4258</v>
      </c>
      <c r="AK60" s="716">
        <f>AK207+AK333+AK397+AK275-AK388</f>
        <v>-4323</v>
      </c>
      <c r="AL60" s="718">
        <f>AL207+AL333+AL397+AL275-AL388</f>
        <v>-4489</v>
      </c>
      <c r="AM60" s="716">
        <f t="shared" ref="AM60:AP60" si="126">AM207+AM333+AM397+AM275-AM388</f>
        <v>-4355</v>
      </c>
      <c r="AN60" s="716">
        <f t="shared" si="126"/>
        <v>-4632.1142762929367</v>
      </c>
      <c r="AO60" s="716">
        <f t="shared" si="126"/>
        <v>-4651.9562066004337</v>
      </c>
      <c r="AP60" s="716">
        <f t="shared" si="126"/>
        <v>-4556.0359415986286</v>
      </c>
      <c r="AQ60" s="1383"/>
      <c r="AR60" s="692"/>
      <c r="AS60" s="692"/>
      <c r="AT60" s="692"/>
      <c r="AU60" s="692"/>
      <c r="AV60" s="692"/>
      <c r="AW60" s="692"/>
      <c r="AX60" s="692"/>
      <c r="AY60" s="692"/>
      <c r="AZ60" s="692"/>
      <c r="BA60" s="692"/>
      <c r="BB60"/>
      <c r="BC60"/>
      <c r="BD60"/>
      <c r="BE60"/>
      <c r="BF60"/>
      <c r="BG60"/>
      <c r="BJ60" s="714"/>
      <c r="BK60" s="714"/>
      <c r="BL60" s="714"/>
      <c r="BM60" s="714"/>
      <c r="BN60" s="714"/>
    </row>
    <row r="61" spans="1:120" s="693" customFormat="1" outlineLevel="1">
      <c r="A61" s="713" t="s">
        <v>130</v>
      </c>
      <c r="B61" s="714"/>
      <c r="C61" s="714"/>
      <c r="D61" s="714"/>
      <c r="E61" s="714"/>
      <c r="F61" s="714">
        <v>-2995</v>
      </c>
      <c r="G61" s="714">
        <v>-376</v>
      </c>
      <c r="H61" s="714"/>
      <c r="I61" s="714"/>
      <c r="J61" s="714"/>
      <c r="K61" s="714"/>
      <c r="L61" s="714"/>
      <c r="M61" s="714"/>
      <c r="N61" s="714"/>
      <c r="O61" s="714"/>
      <c r="P61" s="714"/>
      <c r="Q61" s="714"/>
      <c r="R61" s="715"/>
      <c r="S61" s="716"/>
      <c r="T61" s="716"/>
      <c r="U61" s="716"/>
      <c r="V61" s="716"/>
      <c r="W61" s="717">
        <v>-658</v>
      </c>
      <c r="X61" s="716">
        <v>-599</v>
      </c>
      <c r="Y61" s="716">
        <v>-730</v>
      </c>
      <c r="Z61" s="716">
        <v>-1008</v>
      </c>
      <c r="AA61" s="717">
        <f>-342-AB61</f>
        <v>-281</v>
      </c>
      <c r="AB61" s="716">
        <v>-61</v>
      </c>
      <c r="AC61" s="716">
        <v>-34</v>
      </c>
      <c r="AD61" s="716">
        <f>G61-SUM(AA61:AC61)</f>
        <v>0</v>
      </c>
      <c r="AE61" s="717">
        <v>0</v>
      </c>
      <c r="AF61" s="716"/>
      <c r="AG61" s="714"/>
      <c r="AH61" s="718"/>
      <c r="AI61" s="717"/>
      <c r="AJ61" s="716"/>
      <c r="AK61" s="716"/>
      <c r="AL61" s="718"/>
      <c r="AM61" s="716"/>
      <c r="AN61" s="716"/>
      <c r="AO61" s="716"/>
      <c r="AP61" s="716"/>
      <c r="AQ61" s="1383"/>
      <c r="AR61" s="692"/>
      <c r="AS61" s="692"/>
      <c r="AT61" s="692"/>
      <c r="AU61" s="692"/>
      <c r="AV61" s="692"/>
      <c r="AW61" s="692"/>
      <c r="AX61" s="692"/>
      <c r="AY61" s="692"/>
      <c r="AZ61" s="692"/>
      <c r="BA61" s="692"/>
      <c r="BB61"/>
      <c r="BC61"/>
      <c r="BD61"/>
      <c r="BE61"/>
      <c r="BF61"/>
      <c r="BG61"/>
      <c r="BJ61" s="714"/>
      <c r="BK61" s="714"/>
      <c r="BL61" s="714"/>
      <c r="BM61" s="714"/>
      <c r="BN61" s="714"/>
    </row>
    <row r="62" spans="1:120" s="693" customFormat="1" outlineLevel="1">
      <c r="A62" s="713" t="s">
        <v>131</v>
      </c>
      <c r="B62" s="714"/>
      <c r="C62" s="714"/>
      <c r="D62" s="714"/>
      <c r="E62" s="714"/>
      <c r="F62" s="714">
        <v>-20101</v>
      </c>
      <c r="G62" s="714">
        <f>G60+G61</f>
        <v>-17754</v>
      </c>
      <c r="H62" s="714">
        <f t="shared" ref="H62:Q62" si="127">H60+H61</f>
        <v>-17520</v>
      </c>
      <c r="I62" s="714">
        <f t="shared" si="127"/>
        <v>-17175</v>
      </c>
      <c r="J62" s="714">
        <f t="shared" si="127"/>
        <v>-18195.106424492002</v>
      </c>
      <c r="K62" s="714">
        <f t="shared" si="127"/>
        <v>-18120.716410777019</v>
      </c>
      <c r="L62" s="714">
        <f t="shared" si="127"/>
        <v>-19348.141097097126</v>
      </c>
      <c r="M62" s="714">
        <f t="shared" si="127"/>
        <v>-19517.416195889506</v>
      </c>
      <c r="N62" s="714">
        <f t="shared" si="127"/>
        <v>-19367.006073421846</v>
      </c>
      <c r="O62" s="714">
        <f t="shared" si="127"/>
        <v>-18855.900142764163</v>
      </c>
      <c r="P62" s="714">
        <f t="shared" si="127"/>
        <v>-18992.12477891914</v>
      </c>
      <c r="Q62" s="714">
        <f t="shared" si="127"/>
        <v>-20556.637556579379</v>
      </c>
      <c r="R62" s="715"/>
      <c r="S62" s="716"/>
      <c r="T62" s="716"/>
      <c r="U62" s="716"/>
      <c r="V62" s="716"/>
      <c r="W62" s="717">
        <f t="shared" ref="W62:AH62" si="128">W60+W61</f>
        <v>-4723</v>
      </c>
      <c r="X62" s="716">
        <f t="shared" si="128"/>
        <v>-4913</v>
      </c>
      <c r="Y62" s="716">
        <f t="shared" si="128"/>
        <v>-5096</v>
      </c>
      <c r="Z62" s="716">
        <f t="shared" si="128"/>
        <v>-5369</v>
      </c>
      <c r="AA62" s="717">
        <f t="shared" si="128"/>
        <v>-4235</v>
      </c>
      <c r="AB62" s="716">
        <f t="shared" si="128"/>
        <v>-4548</v>
      </c>
      <c r="AC62" s="716">
        <f t="shared" si="128"/>
        <v>-4422</v>
      </c>
      <c r="AD62" s="716">
        <f t="shared" si="128"/>
        <v>-4549</v>
      </c>
      <c r="AE62" s="717">
        <f t="shared" si="128"/>
        <v>-4212</v>
      </c>
      <c r="AF62" s="716">
        <f t="shared" si="128"/>
        <v>-4451</v>
      </c>
      <c r="AG62" s="714">
        <f t="shared" si="128"/>
        <v>-4368</v>
      </c>
      <c r="AH62" s="718">
        <f t="shared" si="128"/>
        <v>-4489</v>
      </c>
      <c r="AI62" s="717">
        <f>AI60+AI61</f>
        <v>-4105</v>
      </c>
      <c r="AJ62" s="716">
        <f>AJ60+AJ61</f>
        <v>-4258</v>
      </c>
      <c r="AK62" s="716">
        <f>AK60+AK61</f>
        <v>-4323</v>
      </c>
      <c r="AL62" s="718">
        <f>AL60+AL61</f>
        <v>-4489</v>
      </c>
      <c r="AM62" s="716">
        <f t="shared" ref="AM62:AP62" si="129">AM60+AM61</f>
        <v>-4355</v>
      </c>
      <c r="AN62" s="716">
        <f t="shared" si="129"/>
        <v>-4632.1142762929367</v>
      </c>
      <c r="AO62" s="716">
        <f t="shared" si="129"/>
        <v>-4651.9562066004337</v>
      </c>
      <c r="AP62" s="716">
        <f t="shared" si="129"/>
        <v>-4556.0359415986286</v>
      </c>
      <c r="AQ62" s="1383"/>
      <c r="AR62" s="692"/>
      <c r="AS62" s="692"/>
      <c r="AT62" s="692"/>
      <c r="AU62" s="692"/>
      <c r="AV62" s="692"/>
      <c r="AW62" s="692"/>
      <c r="AX62" s="692"/>
      <c r="AY62" s="692"/>
      <c r="AZ62" s="692"/>
      <c r="BA62" s="692"/>
      <c r="BB62"/>
      <c r="BC62"/>
      <c r="BD62"/>
      <c r="BE62"/>
      <c r="BF62"/>
      <c r="BG62"/>
      <c r="BJ62" s="714"/>
      <c r="BK62" s="714"/>
      <c r="BL62" s="714"/>
      <c r="BM62" s="714"/>
      <c r="BN62" s="714"/>
    </row>
    <row r="63" spans="1:120" s="693" customFormat="1" outlineLevel="1">
      <c r="A63" s="713" t="s">
        <v>132</v>
      </c>
      <c r="B63" s="714"/>
      <c r="C63" s="714">
        <v>40392</v>
      </c>
      <c r="D63" s="714">
        <v>38749</v>
      </c>
      <c r="E63" s="714">
        <v>33334</v>
      </c>
      <c r="F63" s="714">
        <v>36289</v>
      </c>
      <c r="G63" s="714">
        <f>G3+G57+G60</f>
        <v>32983</v>
      </c>
      <c r="H63" s="714">
        <f>H3+H57+H60</f>
        <v>31916</v>
      </c>
      <c r="I63" s="714">
        <f t="shared" ref="I63:Q63" si="130">I3+I10+I60</f>
        <v>32960</v>
      </c>
      <c r="J63" s="714">
        <f t="shared" si="130"/>
        <v>35154.992349520835</v>
      </c>
      <c r="K63" s="714">
        <f t="shared" si="130"/>
        <v>36293.131269113699</v>
      </c>
      <c r="L63" s="714">
        <f t="shared" si="130"/>
        <v>36762.857208309804</v>
      </c>
      <c r="M63" s="714">
        <f t="shared" si="130"/>
        <v>38651.565296814333</v>
      </c>
      <c r="N63" s="714">
        <f t="shared" si="130"/>
        <v>40016.300417410705</v>
      </c>
      <c r="O63" s="714">
        <f t="shared" si="130"/>
        <v>39959.185136768327</v>
      </c>
      <c r="P63" s="714">
        <f t="shared" si="130"/>
        <v>40562.498525408453</v>
      </c>
      <c r="Q63" s="714">
        <f t="shared" si="130"/>
        <v>39630.814480071764</v>
      </c>
      <c r="R63" s="715"/>
      <c r="S63" s="716">
        <v>8340</v>
      </c>
      <c r="T63" s="716">
        <v>8553</v>
      </c>
      <c r="U63" s="716">
        <v>8061</v>
      </c>
      <c r="V63" s="716">
        <v>8380</v>
      </c>
      <c r="W63" s="717">
        <f t="shared" ref="W63:AD63" si="131">W3+W57+W60</f>
        <v>8901</v>
      </c>
      <c r="X63" s="716">
        <f t="shared" si="131"/>
        <v>9571</v>
      </c>
      <c r="Y63" s="716">
        <f t="shared" si="131"/>
        <v>8879</v>
      </c>
      <c r="Z63" s="716">
        <f t="shared" si="131"/>
        <v>8938</v>
      </c>
      <c r="AA63" s="717">
        <f t="shared" si="131"/>
        <v>8222</v>
      </c>
      <c r="AB63" s="716">
        <f t="shared" si="131"/>
        <v>8409</v>
      </c>
      <c r="AC63" s="716">
        <f t="shared" si="131"/>
        <v>8097</v>
      </c>
      <c r="AD63" s="716">
        <f t="shared" si="131"/>
        <v>8255</v>
      </c>
      <c r="AE63" s="717">
        <f>AE3+AE10+AE60</f>
        <v>7598</v>
      </c>
      <c r="AF63" s="716">
        <f>AF3+AF10+AF60</f>
        <v>8228</v>
      </c>
      <c r="AG63" s="714">
        <f>AG3+AG10+AG60</f>
        <v>7973</v>
      </c>
      <c r="AH63" s="718">
        <f>AH3+AH57+AH60</f>
        <v>8117</v>
      </c>
      <c r="AI63" s="717">
        <f t="shared" ref="AI63:AP63" si="132">AI3+AI10+AI60</f>
        <v>7680</v>
      </c>
      <c r="AJ63" s="716">
        <f t="shared" si="132"/>
        <v>8236</v>
      </c>
      <c r="AK63" s="716">
        <f t="shared" si="132"/>
        <v>8369.0502326646747</v>
      </c>
      <c r="AL63" s="718">
        <f t="shared" si="132"/>
        <v>8674.9497673353253</v>
      </c>
      <c r="AM63" s="716">
        <f t="shared" si="132"/>
        <v>8574</v>
      </c>
      <c r="AN63" s="716">
        <f t="shared" si="132"/>
        <v>8742.0777048545278</v>
      </c>
      <c r="AO63" s="716">
        <f t="shared" si="132"/>
        <v>8731.4315895822328</v>
      </c>
      <c r="AP63" s="716">
        <f t="shared" si="132"/>
        <v>9107.4830550840707</v>
      </c>
      <c r="AQ63" s="1383"/>
      <c r="AR63" s="692"/>
      <c r="AS63" s="692"/>
      <c r="AT63" s="692"/>
      <c r="AU63" s="692"/>
      <c r="AV63" s="692"/>
      <c r="AW63" s="692"/>
      <c r="AX63" s="692"/>
      <c r="AY63" s="692"/>
      <c r="AZ63" s="692"/>
      <c r="BA63" s="692"/>
      <c r="BB63"/>
      <c r="BC63"/>
      <c r="BD63"/>
      <c r="BE63"/>
      <c r="BF63"/>
      <c r="BG63"/>
      <c r="BJ63" s="714"/>
      <c r="BK63" s="714"/>
      <c r="BL63" s="714"/>
      <c r="BM63" s="714"/>
      <c r="BN63" s="714"/>
    </row>
    <row r="64" spans="1:120" s="693" customFormat="1" outlineLevel="1">
      <c r="A64" s="713" t="s">
        <v>133</v>
      </c>
      <c r="B64" s="714"/>
      <c r="C64" s="714"/>
      <c r="D64" s="714"/>
      <c r="E64" s="714"/>
      <c r="F64" s="714">
        <v>2886</v>
      </c>
      <c r="G64" s="714">
        <f>G7+G11+G61</f>
        <v>248</v>
      </c>
      <c r="H64" s="714">
        <f t="shared" ref="H64:Q64" si="133">H7+H11+H61</f>
        <v>0</v>
      </c>
      <c r="I64" s="714">
        <f t="shared" si="133"/>
        <v>0</v>
      </c>
      <c r="J64" s="714">
        <f t="shared" si="133"/>
        <v>0</v>
      </c>
      <c r="K64" s="714">
        <f t="shared" si="133"/>
        <v>0</v>
      </c>
      <c r="L64" s="714">
        <f t="shared" si="133"/>
        <v>0</v>
      </c>
      <c r="M64" s="714">
        <f t="shared" si="133"/>
        <v>0</v>
      </c>
      <c r="N64" s="714">
        <f t="shared" si="133"/>
        <v>0</v>
      </c>
      <c r="O64" s="714">
        <f t="shared" si="133"/>
        <v>0</v>
      </c>
      <c r="P64" s="714">
        <f t="shared" si="133"/>
        <v>0</v>
      </c>
      <c r="Q64" s="714">
        <f t="shared" si="133"/>
        <v>0</v>
      </c>
      <c r="R64" s="715"/>
      <c r="S64" s="716"/>
      <c r="T64" s="716"/>
      <c r="U64" s="716"/>
      <c r="V64" s="716"/>
      <c r="W64" s="717">
        <f t="shared" ref="W64:AC64" si="134">W7+W11+W61</f>
        <v>615</v>
      </c>
      <c r="X64" s="716">
        <f t="shared" si="134"/>
        <v>707</v>
      </c>
      <c r="Y64" s="716">
        <f t="shared" si="134"/>
        <v>998</v>
      </c>
      <c r="Z64" s="716">
        <f t="shared" si="134"/>
        <v>566</v>
      </c>
      <c r="AA64" s="717">
        <f t="shared" si="134"/>
        <v>285</v>
      </c>
      <c r="AB64" s="716">
        <f t="shared" si="134"/>
        <v>-19</v>
      </c>
      <c r="AC64" s="716">
        <f t="shared" si="134"/>
        <v>-18</v>
      </c>
      <c r="AD64" s="716">
        <f>G64-SUM(AA64:AC64)</f>
        <v>0</v>
      </c>
      <c r="AE64" s="717">
        <f t="shared" ref="AE64:AP64" si="135">AE7+AE11+AE61</f>
        <v>0</v>
      </c>
      <c r="AF64" s="716">
        <f t="shared" si="135"/>
        <v>0</v>
      </c>
      <c r="AG64" s="714">
        <f t="shared" si="135"/>
        <v>0</v>
      </c>
      <c r="AH64" s="718">
        <f t="shared" si="135"/>
        <v>0</v>
      </c>
      <c r="AI64" s="717">
        <f t="shared" si="135"/>
        <v>0</v>
      </c>
      <c r="AJ64" s="716">
        <f t="shared" si="135"/>
        <v>0</v>
      </c>
      <c r="AK64" s="716">
        <f t="shared" si="135"/>
        <v>0</v>
      </c>
      <c r="AL64" s="718">
        <f t="shared" si="135"/>
        <v>0</v>
      </c>
      <c r="AM64" s="716">
        <f t="shared" si="135"/>
        <v>0</v>
      </c>
      <c r="AN64" s="716">
        <f t="shared" si="135"/>
        <v>0</v>
      </c>
      <c r="AO64" s="716">
        <f t="shared" si="135"/>
        <v>0</v>
      </c>
      <c r="AP64" s="716">
        <f t="shared" si="135"/>
        <v>0</v>
      </c>
      <c r="AQ64" s="1383"/>
      <c r="AR64" s="692"/>
      <c r="AS64" s="692"/>
      <c r="AT64" s="692"/>
      <c r="AU64" s="692"/>
      <c r="AV64" s="692"/>
      <c r="AW64" s="692"/>
      <c r="AX64" s="692"/>
      <c r="AY64" s="692"/>
      <c r="AZ64" s="692"/>
      <c r="BA64" s="692"/>
      <c r="BB64"/>
      <c r="BC64"/>
      <c r="BD64"/>
      <c r="BE64"/>
      <c r="BF64"/>
      <c r="BG64"/>
      <c r="BJ64" s="714"/>
      <c r="BK64" s="714"/>
      <c r="BL64" s="714"/>
      <c r="BM64" s="714"/>
      <c r="BN64" s="714"/>
    </row>
    <row r="65" spans="1:66" s="693" customFormat="1" outlineLevel="1">
      <c r="A65" s="713" t="s">
        <v>134</v>
      </c>
      <c r="B65" s="714"/>
      <c r="C65" s="714"/>
      <c r="D65" s="714"/>
      <c r="E65" s="714"/>
      <c r="F65" s="714">
        <v>39175</v>
      </c>
      <c r="G65" s="714">
        <f>G8+G57+G62+G11</f>
        <v>33231</v>
      </c>
      <c r="H65" s="714">
        <f t="shared" ref="H65:Q65" si="136">H8+H57+H62+H11</f>
        <v>31916</v>
      </c>
      <c r="I65" s="714">
        <f t="shared" si="136"/>
        <v>32960</v>
      </c>
      <c r="J65" s="714">
        <f t="shared" si="136"/>
        <v>35154.992349520835</v>
      </c>
      <c r="K65" s="714">
        <f t="shared" si="136"/>
        <v>36293.131269113699</v>
      </c>
      <c r="L65" s="714">
        <f t="shared" si="136"/>
        <v>36762.857208309804</v>
      </c>
      <c r="M65" s="714">
        <f t="shared" si="136"/>
        <v>38651.565296814333</v>
      </c>
      <c r="N65" s="714">
        <f t="shared" si="136"/>
        <v>40016.300417410705</v>
      </c>
      <c r="O65" s="714">
        <f t="shared" si="136"/>
        <v>39959.185136768327</v>
      </c>
      <c r="P65" s="714">
        <f t="shared" si="136"/>
        <v>40562.498525408453</v>
      </c>
      <c r="Q65" s="714">
        <f t="shared" si="136"/>
        <v>39630.814480071764</v>
      </c>
      <c r="R65" s="715"/>
      <c r="S65" s="716"/>
      <c r="T65" s="716"/>
      <c r="U65" s="716"/>
      <c r="V65" s="716"/>
      <c r="W65" s="717">
        <f t="shared" ref="W65:AH65" si="137">W8+W57+W62+W11</f>
        <v>9516</v>
      </c>
      <c r="X65" s="716">
        <f t="shared" si="137"/>
        <v>10278</v>
      </c>
      <c r="Y65" s="716">
        <f t="shared" si="137"/>
        <v>9877</v>
      </c>
      <c r="Z65" s="716">
        <f t="shared" si="137"/>
        <v>9504</v>
      </c>
      <c r="AA65" s="717">
        <f t="shared" si="137"/>
        <v>8507</v>
      </c>
      <c r="AB65" s="716">
        <f t="shared" si="137"/>
        <v>8390</v>
      </c>
      <c r="AC65" s="716">
        <f t="shared" si="137"/>
        <v>8079</v>
      </c>
      <c r="AD65" s="716">
        <f t="shared" si="137"/>
        <v>8255</v>
      </c>
      <c r="AE65" s="717">
        <f t="shared" si="137"/>
        <v>7598</v>
      </c>
      <c r="AF65" s="716">
        <f t="shared" si="137"/>
        <v>8228</v>
      </c>
      <c r="AG65" s="714">
        <f t="shared" si="137"/>
        <v>7973</v>
      </c>
      <c r="AH65" s="718">
        <f t="shared" si="137"/>
        <v>8117</v>
      </c>
      <c r="AI65" s="717">
        <f>AI8+AI57+AI62+AI11</f>
        <v>7680</v>
      </c>
      <c r="AJ65" s="716">
        <f>AJ8+AJ57+AJ62+AJ11</f>
        <v>8236</v>
      </c>
      <c r="AK65" s="716">
        <f>AK8+AK57+AK62+AK11</f>
        <v>8369.0502326646747</v>
      </c>
      <c r="AL65" s="718">
        <f>AL8+AL57+AL62+AL11</f>
        <v>8674.9497673353253</v>
      </c>
      <c r="AM65" s="716">
        <f t="shared" ref="AM65:AP65" si="138">AM8+AM57+AM62+AM11</f>
        <v>8574</v>
      </c>
      <c r="AN65" s="716">
        <f t="shared" si="138"/>
        <v>8742.0777048545278</v>
      </c>
      <c r="AO65" s="716">
        <f t="shared" si="138"/>
        <v>8731.4315895822328</v>
      </c>
      <c r="AP65" s="716">
        <f t="shared" si="138"/>
        <v>9107.4830550840707</v>
      </c>
      <c r="AQ65" s="1383"/>
      <c r="AR65" s="692"/>
      <c r="AS65" s="692"/>
      <c r="AT65" s="692"/>
      <c r="AU65" s="692"/>
      <c r="AV65" s="692"/>
      <c r="AW65" s="692"/>
      <c r="AX65" s="692"/>
      <c r="AY65" s="692"/>
      <c r="AZ65" s="692"/>
      <c r="BA65" s="692"/>
      <c r="BB65"/>
      <c r="BC65"/>
      <c r="BD65"/>
      <c r="BE65"/>
      <c r="BF65"/>
      <c r="BG65"/>
      <c r="BJ65" s="714"/>
      <c r="BK65" s="714"/>
      <c r="BL65" s="714"/>
      <c r="BM65" s="714"/>
      <c r="BN65" s="714"/>
    </row>
    <row r="66" spans="1:66" s="693" customFormat="1" outlineLevel="1">
      <c r="A66" s="713" t="s">
        <v>1850</v>
      </c>
      <c r="B66" s="731"/>
      <c r="C66" s="714"/>
      <c r="D66" s="714"/>
      <c r="E66" s="714"/>
      <c r="F66" s="714"/>
      <c r="G66" s="714">
        <f t="shared" ref="G66:Q66" si="139">G215+G343+G405+G283</f>
        <v>-14247</v>
      </c>
      <c r="H66" s="714">
        <f t="shared" si="139"/>
        <v>-14192</v>
      </c>
      <c r="I66" s="714">
        <f t="shared" si="139"/>
        <v>-14997</v>
      </c>
      <c r="J66" s="714">
        <f t="shared" si="139"/>
        <v>-15418.924223493861</v>
      </c>
      <c r="K66" s="714">
        <f t="shared" si="139"/>
        <v>-15545.240048362957</v>
      </c>
      <c r="L66" s="714">
        <f t="shared" si="139"/>
        <v>-15365.147743566435</v>
      </c>
      <c r="M66" s="714">
        <f t="shared" si="139"/>
        <v>-15842.78864177078</v>
      </c>
      <c r="N66" s="714">
        <f t="shared" si="139"/>
        <v>-15860.96625029489</v>
      </c>
      <c r="O66" s="714">
        <f t="shared" si="139"/>
        <v>-15725.915201633101</v>
      </c>
      <c r="P66" s="714">
        <f t="shared" si="139"/>
        <v>-15928.252635857829</v>
      </c>
      <c r="Q66" s="714">
        <f t="shared" si="139"/>
        <v>-16103.246691617709</v>
      </c>
      <c r="R66" s="715"/>
      <c r="S66" s="716"/>
      <c r="T66" s="716"/>
      <c r="U66" s="716"/>
      <c r="V66" s="716"/>
      <c r="W66" s="717"/>
      <c r="X66" s="716"/>
      <c r="Y66" s="716"/>
      <c r="Z66" s="716"/>
      <c r="AA66" s="717"/>
      <c r="AB66" s="716"/>
      <c r="AC66" s="716"/>
      <c r="AD66" s="716"/>
      <c r="AE66" s="717"/>
      <c r="AF66" s="716"/>
      <c r="AG66" s="714"/>
      <c r="AH66" s="718"/>
      <c r="AI66" s="717">
        <f>AI215+AI343+AI405+AI283</f>
        <v>-3472</v>
      </c>
      <c r="AJ66" s="716">
        <f t="shared" ref="AJ66:AL66" si="140">AJ215+AJ343+AJ405+AJ283</f>
        <v>-3806</v>
      </c>
      <c r="AK66" s="716">
        <f t="shared" si="140"/>
        <v>-3678</v>
      </c>
      <c r="AL66" s="718">
        <f t="shared" si="140"/>
        <v>-4041.0000000000014</v>
      </c>
      <c r="AM66" s="716">
        <f>AM215+AM343+AM405+AM283</f>
        <v>-3923</v>
      </c>
      <c r="AN66" s="716">
        <f t="shared" ref="AN66:AP66" si="141">AN215+AN343+AN405+AN283</f>
        <v>-3908.2725561955322</v>
      </c>
      <c r="AO66" s="716">
        <f t="shared" si="141"/>
        <v>-3857.7418634720307</v>
      </c>
      <c r="AP66" s="716">
        <f t="shared" si="141"/>
        <v>-3729.9098038262973</v>
      </c>
      <c r="AQ66" s="1383"/>
      <c r="AR66" s="692"/>
      <c r="AS66" s="692"/>
      <c r="AT66" s="692"/>
      <c r="AU66" s="692"/>
      <c r="AV66" s="692"/>
      <c r="AW66" s="692"/>
      <c r="AX66" s="692"/>
      <c r="AY66" s="692"/>
      <c r="AZ66" s="692"/>
      <c r="BA66" s="692"/>
      <c r="BB66"/>
      <c r="BC66"/>
      <c r="BD66"/>
      <c r="BE66"/>
      <c r="BF66"/>
      <c r="BG66"/>
      <c r="BJ66" s="714"/>
      <c r="BK66" s="714"/>
      <c r="BL66" s="714"/>
      <c r="BM66" s="714"/>
      <c r="BN66" s="714"/>
    </row>
    <row r="67" spans="1:66" s="693" customFormat="1" outlineLevel="1">
      <c r="A67" s="713" t="s">
        <v>1851</v>
      </c>
      <c r="B67" s="731"/>
      <c r="C67" s="714"/>
      <c r="D67" s="714"/>
      <c r="E67" s="714"/>
      <c r="F67" s="714"/>
      <c r="G67" s="714"/>
      <c r="H67" s="714"/>
      <c r="I67" s="714"/>
      <c r="J67" s="714"/>
      <c r="K67" s="714"/>
      <c r="L67" s="714"/>
      <c r="M67" s="714"/>
      <c r="N67" s="714"/>
      <c r="O67" s="714"/>
      <c r="P67" s="714"/>
      <c r="Q67" s="714"/>
      <c r="R67" s="715"/>
      <c r="S67" s="716"/>
      <c r="T67" s="716"/>
      <c r="U67" s="716"/>
      <c r="V67" s="716"/>
      <c r="W67" s="717"/>
      <c r="X67" s="716"/>
      <c r="Y67" s="716"/>
      <c r="Z67" s="716"/>
      <c r="AA67" s="717"/>
      <c r="AB67" s="716"/>
      <c r="AC67" s="716"/>
      <c r="AD67" s="716"/>
      <c r="AE67" s="717"/>
      <c r="AF67" s="716"/>
      <c r="AG67" s="714"/>
      <c r="AH67" s="718"/>
      <c r="AI67" s="717"/>
      <c r="AJ67" s="716"/>
      <c r="AK67" s="716"/>
      <c r="AL67" s="718"/>
      <c r="AM67" s="716"/>
      <c r="AN67" s="716"/>
      <c r="AO67" s="716"/>
      <c r="AP67" s="716"/>
      <c r="AQ67" s="1383"/>
      <c r="AR67" s="692"/>
      <c r="AS67" s="692"/>
      <c r="AT67" s="692"/>
      <c r="AU67" s="692"/>
      <c r="AV67" s="692"/>
      <c r="AW67" s="692"/>
      <c r="AX67" s="692"/>
      <c r="AY67" s="692"/>
      <c r="AZ67" s="692"/>
      <c r="BA67" s="692"/>
      <c r="BB67"/>
      <c r="BC67"/>
      <c r="BD67"/>
      <c r="BE67"/>
      <c r="BF67"/>
      <c r="BG67"/>
      <c r="BJ67" s="714"/>
      <c r="BK67" s="714"/>
      <c r="BL67" s="714"/>
      <c r="BM67" s="714"/>
      <c r="BN67" s="714"/>
    </row>
    <row r="68" spans="1:66" s="693" customFormat="1" outlineLevel="1">
      <c r="A68" s="713" t="s">
        <v>1852</v>
      </c>
      <c r="B68" s="731"/>
      <c r="C68" s="714"/>
      <c r="D68" s="714"/>
      <c r="E68" s="714"/>
      <c r="F68" s="714"/>
      <c r="G68" s="714"/>
      <c r="H68" s="714"/>
      <c r="I68" s="714"/>
      <c r="J68" s="714"/>
      <c r="K68" s="714"/>
      <c r="L68" s="714"/>
      <c r="M68" s="714"/>
      <c r="N68" s="714"/>
      <c r="O68" s="714"/>
      <c r="P68" s="714"/>
      <c r="Q68" s="714"/>
      <c r="R68" s="715"/>
      <c r="S68" s="716"/>
      <c r="T68" s="716"/>
      <c r="U68" s="716"/>
      <c r="V68" s="716"/>
      <c r="W68" s="717"/>
      <c r="X68" s="716"/>
      <c r="Y68" s="716"/>
      <c r="Z68" s="716"/>
      <c r="AA68" s="717"/>
      <c r="AB68" s="716"/>
      <c r="AC68" s="716"/>
      <c r="AD68" s="716"/>
      <c r="AE68" s="717"/>
      <c r="AF68" s="716"/>
      <c r="AG68" s="716"/>
      <c r="AH68" s="718"/>
      <c r="AI68" s="717"/>
      <c r="AJ68" s="716"/>
      <c r="AK68" s="716"/>
      <c r="AL68" s="718"/>
      <c r="AM68" s="716"/>
      <c r="AN68" s="716"/>
      <c r="AO68" s="716"/>
      <c r="AP68" s="716"/>
      <c r="AQ68" s="1383"/>
      <c r="AR68" s="692"/>
      <c r="AS68" s="692"/>
      <c r="AT68" s="692"/>
      <c r="AU68" s="692"/>
      <c r="AV68" s="692"/>
      <c r="AW68" s="692"/>
      <c r="AX68" s="692"/>
      <c r="AY68" s="692"/>
      <c r="AZ68" s="692"/>
      <c r="BA68" s="692"/>
      <c r="BB68"/>
      <c r="BC68"/>
      <c r="BD68"/>
      <c r="BE68"/>
      <c r="BF68"/>
      <c r="BG68"/>
      <c r="BJ68" s="714"/>
      <c r="BK68" s="714"/>
      <c r="BL68" s="714"/>
      <c r="BM68" s="714"/>
      <c r="BN68" s="714"/>
    </row>
    <row r="69" spans="1:66" s="693" customFormat="1" outlineLevel="1">
      <c r="A69" s="713" t="s">
        <v>135</v>
      </c>
      <c r="B69" s="731"/>
      <c r="C69" s="714">
        <v>-15079</v>
      </c>
      <c r="D69" s="714">
        <v>-14353</v>
      </c>
      <c r="E69" s="714">
        <v>-14504</v>
      </c>
      <c r="F69" s="714">
        <v>-12377</v>
      </c>
      <c r="G69" s="714">
        <f t="shared" ref="G69:Q69" si="142">G220+G348+G406+G288</f>
        <v>-11772</v>
      </c>
      <c r="H69" s="714">
        <f t="shared" si="142"/>
        <v>-11998</v>
      </c>
      <c r="I69" s="714">
        <f t="shared" si="142"/>
        <v>-12848.680378898873</v>
      </c>
      <c r="J69" s="714">
        <f t="shared" si="142"/>
        <v>-13194.019422565412</v>
      </c>
      <c r="K69" s="714">
        <f t="shared" si="142"/>
        <v>-13329.596750739251</v>
      </c>
      <c r="L69" s="714">
        <f t="shared" si="142"/>
        <v>-13193.577371216063</v>
      </c>
      <c r="M69" s="714">
        <f t="shared" si="142"/>
        <v>-13635.652970879959</v>
      </c>
      <c r="N69" s="714">
        <f t="shared" si="142"/>
        <v>-13602.214361270449</v>
      </c>
      <c r="O69" s="714">
        <f t="shared" si="142"/>
        <v>-13458.003570443878</v>
      </c>
      <c r="P69" s="714">
        <f t="shared" si="142"/>
        <v>-13618.42645995722</v>
      </c>
      <c r="Q69" s="714">
        <f t="shared" si="142"/>
        <v>-13753.108023929804</v>
      </c>
      <c r="R69" s="715"/>
      <c r="S69" s="716">
        <v>-3447</v>
      </c>
      <c r="T69" s="716">
        <v>-3646</v>
      </c>
      <c r="U69" s="716">
        <v>-3471</v>
      </c>
      <c r="V69" s="716">
        <v>-3940</v>
      </c>
      <c r="W69" s="717">
        <f t="shared" ref="W69:AH69" si="143">W220+W348+W406+W288</f>
        <v>-2988</v>
      </c>
      <c r="X69" s="716">
        <f t="shared" si="143"/>
        <v>-3188</v>
      </c>
      <c r="Y69" s="716">
        <f t="shared" si="143"/>
        <v>-2972</v>
      </c>
      <c r="Z69" s="716">
        <f t="shared" si="143"/>
        <v>-3229</v>
      </c>
      <c r="AA69" s="717">
        <f t="shared" si="143"/>
        <v>-2691</v>
      </c>
      <c r="AB69" s="716">
        <f t="shared" si="143"/>
        <v>-3016</v>
      </c>
      <c r="AC69" s="716">
        <f t="shared" si="143"/>
        <v>-2890</v>
      </c>
      <c r="AD69" s="716">
        <f t="shared" si="143"/>
        <v>-3175</v>
      </c>
      <c r="AE69" s="717">
        <f t="shared" si="143"/>
        <v>-2741</v>
      </c>
      <c r="AF69" s="716">
        <f t="shared" si="143"/>
        <v>-3067</v>
      </c>
      <c r="AG69" s="714">
        <f t="shared" si="143"/>
        <v>-2944</v>
      </c>
      <c r="AH69" s="718">
        <f t="shared" si="143"/>
        <v>-3246</v>
      </c>
      <c r="AI69" s="717">
        <f>AI220+AI348+AI406+AI288</f>
        <v>-2985.4377682403433</v>
      </c>
      <c r="AJ69" s="716">
        <f>AJ220+AJ348+AJ406+AJ288</f>
        <v>-3236.2815193189258</v>
      </c>
      <c r="AK69" s="716">
        <f>AK220+AK348+AK406+AK288</f>
        <v>-3165.2233078092104</v>
      </c>
      <c r="AL69" s="718">
        <f>AL220+AL348+AL406+AL288</f>
        <v>-3461.737783530396</v>
      </c>
      <c r="AM69" s="716">
        <f t="shared" ref="AM69:AP69" si="144">AM220+AM348+AM406+AM288</f>
        <v>-3256.7050000000004</v>
      </c>
      <c r="AN69" s="716">
        <f t="shared" si="144"/>
        <v>-3313.43211692554</v>
      </c>
      <c r="AO69" s="716">
        <f t="shared" si="144"/>
        <v>-3303.2444245852794</v>
      </c>
      <c r="AP69" s="716">
        <f t="shared" si="144"/>
        <v>-3320.6378810545925</v>
      </c>
      <c r="AQ69" s="1383"/>
      <c r="AR69" s="692"/>
      <c r="AS69" s="692"/>
      <c r="AT69" s="692"/>
      <c r="AU69" s="692"/>
      <c r="AV69" s="692"/>
      <c r="AW69" s="692"/>
      <c r="AX69" s="692"/>
      <c r="AY69" s="692"/>
      <c r="AZ69" s="692"/>
      <c r="BA69" s="692"/>
      <c r="BB69"/>
      <c r="BC69"/>
      <c r="BD69"/>
      <c r="BE69"/>
      <c r="BF69"/>
      <c r="BG69"/>
      <c r="BJ69" s="714"/>
      <c r="BK69" s="714"/>
      <c r="BL69" s="714"/>
      <c r="BM69" s="714"/>
      <c r="BN69" s="714"/>
    </row>
    <row r="70" spans="1:66" s="693" customFormat="1" outlineLevel="1">
      <c r="A70" s="713" t="s">
        <v>136</v>
      </c>
      <c r="B70" s="731"/>
      <c r="C70" s="714"/>
      <c r="D70" s="714"/>
      <c r="E70" s="714"/>
      <c r="F70" s="714">
        <v>-1812</v>
      </c>
      <c r="G70" s="714">
        <f>G29</f>
        <v>-244</v>
      </c>
      <c r="H70" s="714"/>
      <c r="I70" s="714"/>
      <c r="J70" s="714"/>
      <c r="K70" s="714"/>
      <c r="L70" s="714"/>
      <c r="M70" s="714"/>
      <c r="N70" s="714"/>
      <c r="O70" s="714"/>
      <c r="P70" s="714"/>
      <c r="Q70" s="714"/>
      <c r="R70" s="715"/>
      <c r="S70" s="716"/>
      <c r="T70" s="716"/>
      <c r="U70" s="716"/>
      <c r="V70" s="716"/>
      <c r="W70" s="717">
        <v>-469</v>
      </c>
      <c r="X70" s="716">
        <v>-463</v>
      </c>
      <c r="Y70" s="716">
        <v>-433</v>
      </c>
      <c r="Z70" s="716">
        <v>-447</v>
      </c>
      <c r="AA70" s="717">
        <v>-232</v>
      </c>
      <c r="AB70" s="716">
        <v>-8</v>
      </c>
      <c r="AC70" s="716">
        <v>-4</v>
      </c>
      <c r="AD70" s="716">
        <f>G70-SUM(AA70:AC70)</f>
        <v>0</v>
      </c>
      <c r="AE70" s="717">
        <v>0</v>
      </c>
      <c r="AF70" s="716"/>
      <c r="AG70" s="714"/>
      <c r="AH70" s="718"/>
      <c r="AI70" s="717"/>
      <c r="AJ70" s="716"/>
      <c r="AK70" s="716"/>
      <c r="AL70" s="718"/>
      <c r="AM70" s="716"/>
      <c r="AN70" s="716"/>
      <c r="AO70" s="716"/>
      <c r="AP70" s="716"/>
      <c r="AQ70" s="1383"/>
      <c r="AR70" s="692"/>
      <c r="AS70" s="692"/>
      <c r="AT70" s="692"/>
      <c r="AU70" s="692"/>
      <c r="AV70" s="692"/>
      <c r="AW70" s="692"/>
      <c r="AX70" s="692"/>
      <c r="AY70" s="692"/>
      <c r="AZ70" s="692"/>
      <c r="BA70" s="692"/>
      <c r="BB70"/>
      <c r="BC70"/>
      <c r="BD70"/>
      <c r="BE70"/>
      <c r="BF70"/>
      <c r="BG70"/>
      <c r="BJ70" s="714"/>
      <c r="BK70" s="714"/>
      <c r="BL70" s="714"/>
      <c r="BM70" s="714"/>
      <c r="BN70" s="714"/>
    </row>
    <row r="71" spans="1:66" s="693" customFormat="1" outlineLevel="1">
      <c r="A71" s="713" t="s">
        <v>137</v>
      </c>
      <c r="B71" s="731"/>
      <c r="C71" s="714"/>
      <c r="D71" s="714"/>
      <c r="E71" s="714"/>
      <c r="F71" s="714">
        <v>-14189</v>
      </c>
      <c r="G71" s="714">
        <f>G69+G70</f>
        <v>-12016</v>
      </c>
      <c r="H71" s="714">
        <f>H69+H70</f>
        <v>-11998</v>
      </c>
      <c r="I71" s="714">
        <f>I69+I70</f>
        <v>-12848.680378898873</v>
      </c>
      <c r="J71" s="714"/>
      <c r="K71" s="714"/>
      <c r="L71" s="714"/>
      <c r="M71" s="714"/>
      <c r="N71" s="714"/>
      <c r="O71" s="714"/>
      <c r="P71" s="714"/>
      <c r="Q71" s="714"/>
      <c r="R71" s="715"/>
      <c r="S71" s="716"/>
      <c r="T71" s="716"/>
      <c r="U71" s="716"/>
      <c r="V71" s="716"/>
      <c r="W71" s="717">
        <f t="shared" ref="W71:AH71" si="145">W69+W70</f>
        <v>-3457</v>
      </c>
      <c r="X71" s="716">
        <f t="shared" si="145"/>
        <v>-3651</v>
      </c>
      <c r="Y71" s="716">
        <f t="shared" si="145"/>
        <v>-3405</v>
      </c>
      <c r="Z71" s="716">
        <f t="shared" si="145"/>
        <v>-3676</v>
      </c>
      <c r="AA71" s="717">
        <f t="shared" si="145"/>
        <v>-2923</v>
      </c>
      <c r="AB71" s="716">
        <f t="shared" si="145"/>
        <v>-3024</v>
      </c>
      <c r="AC71" s="716">
        <f t="shared" si="145"/>
        <v>-2894</v>
      </c>
      <c r="AD71" s="716">
        <f t="shared" si="145"/>
        <v>-3175</v>
      </c>
      <c r="AE71" s="717">
        <f t="shared" si="145"/>
        <v>-2741</v>
      </c>
      <c r="AF71" s="716">
        <f t="shared" si="145"/>
        <v>-3067</v>
      </c>
      <c r="AG71" s="716">
        <f t="shared" si="145"/>
        <v>-2944</v>
      </c>
      <c r="AH71" s="718">
        <f t="shared" si="145"/>
        <v>-3246</v>
      </c>
      <c r="AI71" s="717">
        <f>AI69+AI70</f>
        <v>-2985.4377682403433</v>
      </c>
      <c r="AJ71" s="716">
        <f>AJ69+AJ70</f>
        <v>-3236.2815193189258</v>
      </c>
      <c r="AK71" s="716">
        <f>AK69+AK70</f>
        <v>-3165.2233078092104</v>
      </c>
      <c r="AL71" s="718">
        <f>AL69+AL70</f>
        <v>-3461.737783530396</v>
      </c>
      <c r="AM71" s="716"/>
      <c r="AN71" s="716"/>
      <c r="AO71" s="716"/>
      <c r="AP71" s="716"/>
      <c r="AQ71" s="1383"/>
      <c r="AR71" s="692"/>
      <c r="AS71" s="692"/>
      <c r="AT71" s="692"/>
      <c r="AU71" s="692"/>
      <c r="AV71" s="692"/>
      <c r="AW71" s="692"/>
      <c r="AX71" s="692"/>
      <c r="AY71" s="692"/>
      <c r="AZ71" s="692"/>
      <c r="BA71" s="692"/>
      <c r="BB71"/>
      <c r="BC71"/>
      <c r="BD71"/>
      <c r="BE71"/>
      <c r="BF71"/>
      <c r="BG71"/>
      <c r="BJ71" s="714"/>
      <c r="BK71" s="714"/>
      <c r="BL71" s="714"/>
      <c r="BM71" s="714"/>
      <c r="BN71" s="714"/>
    </row>
    <row r="72" spans="1:66" s="693" customFormat="1" outlineLevel="1">
      <c r="A72" s="713" t="s">
        <v>138</v>
      </c>
      <c r="B72" s="714"/>
      <c r="C72" s="714">
        <v>-9583</v>
      </c>
      <c r="D72" s="714">
        <v>-9332</v>
      </c>
      <c r="E72" s="714">
        <v>-9823</v>
      </c>
      <c r="F72" s="714">
        <v>-9086</v>
      </c>
      <c r="G72" s="714">
        <f t="shared" ref="G72:Q72" si="146">G225+G353+G293</f>
        <v>-8935</v>
      </c>
      <c r="H72" s="714">
        <f t="shared" si="146"/>
        <v>-9039</v>
      </c>
      <c r="I72" s="714">
        <f t="shared" si="146"/>
        <v>-8972</v>
      </c>
      <c r="J72" s="714">
        <f t="shared" si="146"/>
        <v>-8940.9875763963992</v>
      </c>
      <c r="K72" s="714">
        <f t="shared" si="146"/>
        <v>-9076.4274523986951</v>
      </c>
      <c r="L72" s="714">
        <f t="shared" si="146"/>
        <v>-9355.1995898894456</v>
      </c>
      <c r="M72" s="714">
        <f t="shared" si="146"/>
        <v>-9506.4687746860873</v>
      </c>
      <c r="N72" s="714">
        <f t="shared" si="146"/>
        <v>-9658.7921387266051</v>
      </c>
      <c r="O72" s="714">
        <f t="shared" si="146"/>
        <v>-9621.2453087787017</v>
      </c>
      <c r="P72" s="714">
        <f t="shared" si="146"/>
        <v>-9556.9998805525756</v>
      </c>
      <c r="Q72" s="714">
        <f t="shared" si="146"/>
        <v>-9501.3207323582301</v>
      </c>
      <c r="R72" s="715"/>
      <c r="S72" s="716">
        <v>-2289</v>
      </c>
      <c r="T72" s="716">
        <v>-2433</v>
      </c>
      <c r="U72" s="716">
        <v>-2410</v>
      </c>
      <c r="V72" s="716">
        <v>-2691</v>
      </c>
      <c r="W72" s="717">
        <f t="shared" ref="W72:AC72" si="147">W225+W353+W293</f>
        <v>-2210</v>
      </c>
      <c r="X72" s="716">
        <f t="shared" si="147"/>
        <v>-2178</v>
      </c>
      <c r="Y72" s="716">
        <f t="shared" si="147"/>
        <v>-2161</v>
      </c>
      <c r="Z72" s="716">
        <f t="shared" si="147"/>
        <v>-2537</v>
      </c>
      <c r="AA72" s="717">
        <f t="shared" si="147"/>
        <v>-2067</v>
      </c>
      <c r="AB72" s="716">
        <f t="shared" si="147"/>
        <v>-2206</v>
      </c>
      <c r="AC72" s="716">
        <f t="shared" si="147"/>
        <v>-2190</v>
      </c>
      <c r="AD72" s="716">
        <f t="shared" ref="AD72:AP72" si="148">AD225+AD353+AD293</f>
        <v>-2472</v>
      </c>
      <c r="AE72" s="717">
        <f t="shared" si="148"/>
        <v>-2041</v>
      </c>
      <c r="AF72" s="716">
        <f t="shared" si="148"/>
        <v>-2190</v>
      </c>
      <c r="AG72" s="714">
        <f t="shared" si="148"/>
        <v>-2224</v>
      </c>
      <c r="AH72" s="718">
        <f t="shared" si="148"/>
        <v>-2584</v>
      </c>
      <c r="AI72" s="717">
        <f t="shared" si="148"/>
        <v>-2169</v>
      </c>
      <c r="AJ72" s="716">
        <f t="shared" si="148"/>
        <v>-2062</v>
      </c>
      <c r="AK72" s="716">
        <f t="shared" si="148"/>
        <v>-2239</v>
      </c>
      <c r="AL72" s="718">
        <f t="shared" si="148"/>
        <v>-2502</v>
      </c>
      <c r="AM72" s="716">
        <f t="shared" si="148"/>
        <v>-2120</v>
      </c>
      <c r="AN72" s="716">
        <f t="shared" si="148"/>
        <v>-2246.9604158083453</v>
      </c>
      <c r="AO72" s="716">
        <f t="shared" si="148"/>
        <v>-2234.7096249641004</v>
      </c>
      <c r="AP72" s="716">
        <f t="shared" si="148"/>
        <v>-2339.3175356239531</v>
      </c>
      <c r="AQ72" s="1383"/>
      <c r="AR72" s="692"/>
      <c r="AS72" s="692"/>
      <c r="AT72" s="692"/>
      <c r="AU72" s="692"/>
      <c r="AV72" s="692"/>
      <c r="AW72" s="692"/>
      <c r="AX72" s="692"/>
      <c r="AY72" s="692"/>
      <c r="AZ72" s="692"/>
      <c r="BA72" s="692"/>
      <c r="BB72"/>
      <c r="BC72"/>
      <c r="BD72"/>
      <c r="BE72"/>
      <c r="BF72"/>
      <c r="BG72"/>
      <c r="BJ72" s="714"/>
      <c r="BK72" s="714"/>
      <c r="BL72" s="714"/>
      <c r="BM72" s="714"/>
      <c r="BN72" s="714"/>
    </row>
    <row r="73" spans="1:66" s="693" customFormat="1" outlineLevel="1">
      <c r="A73" s="713" t="s">
        <v>139</v>
      </c>
      <c r="B73" s="714"/>
      <c r="C73" s="714"/>
      <c r="D73" s="714"/>
      <c r="E73" s="714"/>
      <c r="F73" s="714">
        <v>-857</v>
      </c>
      <c r="G73" s="714">
        <f>G34</f>
        <v>-181</v>
      </c>
      <c r="H73" s="714"/>
      <c r="I73" s="714"/>
      <c r="J73" s="714"/>
      <c r="K73" s="714"/>
      <c r="L73" s="714"/>
      <c r="M73" s="714"/>
      <c r="N73" s="714"/>
      <c r="O73" s="714"/>
      <c r="P73" s="714"/>
      <c r="Q73" s="714"/>
      <c r="R73" s="715"/>
      <c r="S73" s="716"/>
      <c r="T73" s="716"/>
      <c r="U73" s="716"/>
      <c r="V73" s="716"/>
      <c r="W73" s="717">
        <v>-222</v>
      </c>
      <c r="X73" s="716">
        <v>-208</v>
      </c>
      <c r="Y73" s="716">
        <v>-211</v>
      </c>
      <c r="Z73" s="716">
        <v>-216</v>
      </c>
      <c r="AA73" s="717">
        <v>-123</v>
      </c>
      <c r="AB73" s="716">
        <v>-40</v>
      </c>
      <c r="AC73" s="716">
        <v>-18</v>
      </c>
      <c r="AD73" s="716">
        <f>G73-SUM(AA73:AC73)</f>
        <v>0</v>
      </c>
      <c r="AE73" s="717">
        <v>0</v>
      </c>
      <c r="AF73" s="716"/>
      <c r="AG73" s="714"/>
      <c r="AH73" s="718"/>
      <c r="AI73" s="717"/>
      <c r="AJ73" s="716"/>
      <c r="AK73" s="716"/>
      <c r="AL73" s="718"/>
      <c r="AM73" s="716"/>
      <c r="AN73" s="716"/>
      <c r="AO73" s="716"/>
      <c r="AP73" s="716"/>
      <c r="AQ73" s="1383"/>
      <c r="AR73" s="692"/>
      <c r="AS73" s="692"/>
      <c r="AT73" s="692"/>
      <c r="AU73" s="692"/>
      <c r="AV73" s="692"/>
      <c r="AW73" s="692"/>
      <c r="AX73" s="692"/>
      <c r="AY73" s="692"/>
      <c r="AZ73" s="692"/>
      <c r="BA73" s="692"/>
      <c r="BB73"/>
      <c r="BC73"/>
      <c r="BD73"/>
      <c r="BE73"/>
      <c r="BF73"/>
      <c r="BG73"/>
      <c r="BJ73" s="714"/>
      <c r="BK73" s="714"/>
      <c r="BL73" s="714"/>
      <c r="BM73" s="714"/>
      <c r="BN73" s="714"/>
    </row>
    <row r="74" spans="1:66" s="693" customFormat="1" outlineLevel="1">
      <c r="A74" s="713" t="s">
        <v>140</v>
      </c>
      <c r="B74" s="714"/>
      <c r="C74" s="714"/>
      <c r="D74" s="714"/>
      <c r="E74" s="714"/>
      <c r="F74" s="714">
        <v>-9943</v>
      </c>
      <c r="G74" s="714">
        <f>G73+G72</f>
        <v>-9116</v>
      </c>
      <c r="H74" s="714">
        <f t="shared" ref="H74:Q74" si="149">H73+H72</f>
        <v>-9039</v>
      </c>
      <c r="I74" s="714">
        <f t="shared" si="149"/>
        <v>-8972</v>
      </c>
      <c r="J74" s="714">
        <f t="shared" si="149"/>
        <v>-8940.9875763963992</v>
      </c>
      <c r="K74" s="714">
        <f t="shared" si="149"/>
        <v>-9076.4274523986951</v>
      </c>
      <c r="L74" s="714">
        <f t="shared" si="149"/>
        <v>-9355.1995898894456</v>
      </c>
      <c r="M74" s="714">
        <f t="shared" si="149"/>
        <v>-9506.4687746860873</v>
      </c>
      <c r="N74" s="714">
        <f t="shared" si="149"/>
        <v>-9658.7921387266051</v>
      </c>
      <c r="O74" s="714">
        <f t="shared" si="149"/>
        <v>-9621.2453087787017</v>
      </c>
      <c r="P74" s="714">
        <f t="shared" si="149"/>
        <v>-9556.9998805525756</v>
      </c>
      <c r="Q74" s="714">
        <f t="shared" si="149"/>
        <v>-9501.3207323582301</v>
      </c>
      <c r="R74" s="715"/>
      <c r="S74" s="716"/>
      <c r="T74" s="716"/>
      <c r="U74" s="716"/>
      <c r="V74" s="716"/>
      <c r="W74" s="717">
        <f t="shared" ref="W74:AH74" si="150">W73+W72</f>
        <v>-2432</v>
      </c>
      <c r="X74" s="716">
        <f t="shared" si="150"/>
        <v>-2386</v>
      </c>
      <c r="Y74" s="716">
        <f t="shared" si="150"/>
        <v>-2372</v>
      </c>
      <c r="Z74" s="716">
        <f t="shared" si="150"/>
        <v>-2753</v>
      </c>
      <c r="AA74" s="717">
        <f t="shared" si="150"/>
        <v>-2190</v>
      </c>
      <c r="AB74" s="716">
        <f t="shared" si="150"/>
        <v>-2246</v>
      </c>
      <c r="AC74" s="716">
        <f t="shared" si="150"/>
        <v>-2208</v>
      </c>
      <c r="AD74" s="716">
        <f t="shared" si="150"/>
        <v>-2472</v>
      </c>
      <c r="AE74" s="717">
        <f t="shared" si="150"/>
        <v>-2041</v>
      </c>
      <c r="AF74" s="716">
        <f t="shared" si="150"/>
        <v>-2190</v>
      </c>
      <c r="AG74" s="714">
        <f t="shared" si="150"/>
        <v>-2224</v>
      </c>
      <c r="AH74" s="718">
        <f t="shared" si="150"/>
        <v>-2584</v>
      </c>
      <c r="AI74" s="717">
        <f>AI73+AI72</f>
        <v>-2169</v>
      </c>
      <c r="AJ74" s="716">
        <f>AJ73+AJ72</f>
        <v>-2062</v>
      </c>
      <c r="AK74" s="716">
        <f>AK73+AK72</f>
        <v>-2239</v>
      </c>
      <c r="AL74" s="718">
        <f>AL73+AL72</f>
        <v>-2502</v>
      </c>
      <c r="AM74" s="716">
        <f t="shared" ref="AM74:AP74" si="151">AM73+AM72</f>
        <v>-2120</v>
      </c>
      <c r="AN74" s="716">
        <f t="shared" si="151"/>
        <v>-2246.9604158083453</v>
      </c>
      <c r="AO74" s="716">
        <f t="shared" si="151"/>
        <v>-2234.7096249641004</v>
      </c>
      <c r="AP74" s="716">
        <f t="shared" si="151"/>
        <v>-2339.3175356239531</v>
      </c>
      <c r="AQ74" s="1383"/>
      <c r="AR74" s="692"/>
      <c r="AS74" s="692"/>
      <c r="AT74" s="692"/>
      <c r="AU74" s="692"/>
      <c r="AV74" s="692"/>
      <c r="AW74" s="692"/>
      <c r="AX74" s="692"/>
      <c r="AY74" s="692"/>
      <c r="AZ74" s="692"/>
      <c r="BA74" s="692"/>
      <c r="BB74"/>
      <c r="BC74"/>
      <c r="BD74"/>
      <c r="BE74"/>
      <c r="BF74"/>
      <c r="BG74"/>
      <c r="BJ74" s="714"/>
      <c r="BK74" s="714"/>
      <c r="BL74" s="714"/>
      <c r="BM74" s="714"/>
      <c r="BN74" s="714"/>
    </row>
    <row r="75" spans="1:66" s="693" customFormat="1" outlineLevel="1">
      <c r="A75" s="713" t="s">
        <v>141</v>
      </c>
      <c r="B75" s="714"/>
      <c r="C75" s="714">
        <v>-2970</v>
      </c>
      <c r="D75" s="714">
        <v>-2937</v>
      </c>
      <c r="E75" s="714">
        <v>-3039</v>
      </c>
      <c r="F75" s="714">
        <v>-2616</v>
      </c>
      <c r="G75" s="714">
        <f t="shared" ref="G75:Q75" si="152">G230+G358+G409+G298</f>
        <v>-2475</v>
      </c>
      <c r="H75" s="714">
        <f t="shared" si="152"/>
        <v>-2194</v>
      </c>
      <c r="I75" s="714">
        <f t="shared" si="152"/>
        <v>-2148.3196211011264</v>
      </c>
      <c r="J75" s="714">
        <f t="shared" si="152"/>
        <v>-2224.9048009284475</v>
      </c>
      <c r="K75" s="714">
        <f t="shared" si="152"/>
        <v>-2215.6432976237043</v>
      </c>
      <c r="L75" s="714">
        <f t="shared" si="152"/>
        <v>-2171.5703723503734</v>
      </c>
      <c r="M75" s="714">
        <f t="shared" si="152"/>
        <v>-2207.1356708908238</v>
      </c>
      <c r="N75" s="714">
        <f t="shared" si="152"/>
        <v>-2258.7518890244414</v>
      </c>
      <c r="O75" s="714">
        <f t="shared" si="152"/>
        <v>-2267.9116311892258</v>
      </c>
      <c r="P75" s="714">
        <f t="shared" si="152"/>
        <v>-2309.8261759006064</v>
      </c>
      <c r="Q75" s="714">
        <f t="shared" si="152"/>
        <v>-2350.1386676879038</v>
      </c>
      <c r="R75" s="715"/>
      <c r="S75" s="716">
        <v>-756</v>
      </c>
      <c r="T75" s="716">
        <v>-727</v>
      </c>
      <c r="U75" s="716">
        <v>-741</v>
      </c>
      <c r="V75" s="716">
        <v>-815</v>
      </c>
      <c r="W75" s="717">
        <f t="shared" ref="W75:AP75" si="153">W230+W358+W409+W298</f>
        <v>-649</v>
      </c>
      <c r="X75" s="716">
        <f t="shared" si="153"/>
        <v>-638</v>
      </c>
      <c r="Y75" s="716">
        <f t="shared" si="153"/>
        <v>-593</v>
      </c>
      <c r="Z75" s="716">
        <f t="shared" si="153"/>
        <v>-736</v>
      </c>
      <c r="AA75" s="717">
        <f t="shared" si="153"/>
        <v>-591</v>
      </c>
      <c r="AB75" s="716">
        <f t="shared" si="153"/>
        <v>-601</v>
      </c>
      <c r="AC75" s="716">
        <f t="shared" si="153"/>
        <v>-573</v>
      </c>
      <c r="AD75" s="716">
        <f t="shared" si="153"/>
        <v>-710</v>
      </c>
      <c r="AE75" s="717">
        <f t="shared" si="153"/>
        <v>-564</v>
      </c>
      <c r="AF75" s="716">
        <f t="shared" si="153"/>
        <v>-582</v>
      </c>
      <c r="AG75" s="714">
        <f t="shared" si="153"/>
        <v>-456</v>
      </c>
      <c r="AH75" s="718">
        <f t="shared" si="153"/>
        <v>-592</v>
      </c>
      <c r="AI75" s="717">
        <f t="shared" si="153"/>
        <v>-486.5622317596567</v>
      </c>
      <c r="AJ75" s="716">
        <f t="shared" si="153"/>
        <v>-569.7184806810742</v>
      </c>
      <c r="AK75" s="716">
        <f t="shared" si="153"/>
        <v>-512.77669219078984</v>
      </c>
      <c r="AL75" s="718">
        <f t="shared" si="153"/>
        <v>-579.26221646960573</v>
      </c>
      <c r="AM75" s="716">
        <f t="shared" si="153"/>
        <v>-558.12900000000002</v>
      </c>
      <c r="AN75" s="716">
        <f t="shared" si="153"/>
        <v>-594.84043926999357</v>
      </c>
      <c r="AO75" s="716">
        <f t="shared" si="153"/>
        <v>-554.49743888675118</v>
      </c>
      <c r="AP75" s="716">
        <f t="shared" si="153"/>
        <v>-517.4379227717028</v>
      </c>
      <c r="AQ75" s="1383"/>
      <c r="AR75" s="692"/>
      <c r="AS75" s="692"/>
      <c r="AT75" s="692"/>
      <c r="AU75" s="692"/>
      <c r="AV75" s="692"/>
      <c r="AW75" s="692"/>
      <c r="AX75" s="692"/>
      <c r="AY75" s="692"/>
      <c r="AZ75" s="692"/>
      <c r="BA75" s="692"/>
      <c r="BB75"/>
      <c r="BC75"/>
      <c r="BD75"/>
      <c r="BE75"/>
      <c r="BF75"/>
      <c r="BG75"/>
      <c r="BJ75" s="714"/>
      <c r="BK75" s="714"/>
      <c r="BL75" s="714"/>
      <c r="BM75" s="714"/>
      <c r="BN75" s="714"/>
    </row>
    <row r="76" spans="1:66" s="693" customFormat="1" outlineLevel="1">
      <c r="A76" s="713" t="s">
        <v>142</v>
      </c>
      <c r="B76" s="714"/>
      <c r="C76" s="714"/>
      <c r="D76" s="714"/>
      <c r="E76" s="714"/>
      <c r="F76" s="714">
        <v>-431</v>
      </c>
      <c r="G76" s="714">
        <f>G39</f>
        <v>-58</v>
      </c>
      <c r="H76" s="714"/>
      <c r="I76" s="714"/>
      <c r="J76" s="714"/>
      <c r="K76" s="714"/>
      <c r="L76" s="714"/>
      <c r="M76" s="714"/>
      <c r="N76" s="714"/>
      <c r="O76" s="714"/>
      <c r="P76" s="714"/>
      <c r="Q76" s="714"/>
      <c r="R76" s="715"/>
      <c r="S76" s="716"/>
      <c r="T76" s="716"/>
      <c r="U76" s="716"/>
      <c r="V76" s="716"/>
      <c r="W76" s="717">
        <v>-116</v>
      </c>
      <c r="X76" s="716">
        <v>-105</v>
      </c>
      <c r="Y76" s="716">
        <v>-102</v>
      </c>
      <c r="Z76" s="716">
        <v>-108</v>
      </c>
      <c r="AA76" s="717">
        <v>-51</v>
      </c>
      <c r="AB76" s="716">
        <v>-5</v>
      </c>
      <c r="AC76" s="716">
        <v>-2</v>
      </c>
      <c r="AD76" s="716">
        <f>G76-SUM(AA76:AC76)</f>
        <v>0</v>
      </c>
      <c r="AE76" s="717">
        <v>0</v>
      </c>
      <c r="AF76" s="716"/>
      <c r="AG76" s="714"/>
      <c r="AH76" s="718"/>
      <c r="AI76" s="717"/>
      <c r="AJ76" s="716"/>
      <c r="AK76" s="716"/>
      <c r="AL76" s="718"/>
      <c r="AM76" s="716"/>
      <c r="AN76" s="716"/>
      <c r="AO76" s="716"/>
      <c r="AP76" s="716"/>
      <c r="AQ76" s="1383"/>
      <c r="AR76" s="692"/>
      <c r="AS76" s="692"/>
      <c r="AT76" s="692"/>
      <c r="AU76" s="692"/>
      <c r="AV76" s="692"/>
      <c r="AW76" s="692"/>
      <c r="AX76" s="692"/>
      <c r="AY76" s="692"/>
      <c r="AZ76" s="692"/>
      <c r="BA76" s="692"/>
      <c r="BB76"/>
      <c r="BC76"/>
      <c r="BD76"/>
      <c r="BE76"/>
      <c r="BF76"/>
      <c r="BG76"/>
      <c r="BJ76" s="714"/>
      <c r="BK76" s="714"/>
      <c r="BL76" s="714"/>
      <c r="BM76" s="714"/>
      <c r="BN76" s="714"/>
    </row>
    <row r="77" spans="1:66" s="693" customFormat="1" outlineLevel="1">
      <c r="A77" s="713" t="s">
        <v>143</v>
      </c>
      <c r="B77" s="714"/>
      <c r="C77" s="714"/>
      <c r="D77" s="714"/>
      <c r="E77" s="714"/>
      <c r="F77" s="714">
        <v>-3047</v>
      </c>
      <c r="G77" s="714">
        <f>G75+G76</f>
        <v>-2533</v>
      </c>
      <c r="H77" s="714">
        <f t="shared" ref="H77:Q77" si="154">H75+H76</f>
        <v>-2194</v>
      </c>
      <c r="I77" s="714">
        <f t="shared" si="154"/>
        <v>-2148.3196211011264</v>
      </c>
      <c r="J77" s="714">
        <f t="shared" si="154"/>
        <v>-2224.9048009284475</v>
      </c>
      <c r="K77" s="714">
        <f t="shared" si="154"/>
        <v>-2215.6432976237043</v>
      </c>
      <c r="L77" s="714">
        <f t="shared" si="154"/>
        <v>-2171.5703723503734</v>
      </c>
      <c r="M77" s="714">
        <f t="shared" si="154"/>
        <v>-2207.1356708908238</v>
      </c>
      <c r="N77" s="714">
        <f t="shared" si="154"/>
        <v>-2258.7518890244414</v>
      </c>
      <c r="O77" s="714">
        <f t="shared" si="154"/>
        <v>-2267.9116311892258</v>
      </c>
      <c r="P77" s="714">
        <f t="shared" si="154"/>
        <v>-2309.8261759006064</v>
      </c>
      <c r="Q77" s="714">
        <f t="shared" si="154"/>
        <v>-2350.1386676879038</v>
      </c>
      <c r="R77" s="715"/>
      <c r="S77" s="716"/>
      <c r="T77" s="716"/>
      <c r="U77" s="716"/>
      <c r="V77" s="716"/>
      <c r="W77" s="717">
        <f t="shared" ref="W77:AH77" si="155">W75+W76</f>
        <v>-765</v>
      </c>
      <c r="X77" s="716">
        <f t="shared" si="155"/>
        <v>-743</v>
      </c>
      <c r="Y77" s="716">
        <f t="shared" si="155"/>
        <v>-695</v>
      </c>
      <c r="Z77" s="716">
        <f t="shared" si="155"/>
        <v>-844</v>
      </c>
      <c r="AA77" s="717">
        <f t="shared" si="155"/>
        <v>-642</v>
      </c>
      <c r="AB77" s="716">
        <f t="shared" si="155"/>
        <v>-606</v>
      </c>
      <c r="AC77" s="716">
        <f t="shared" si="155"/>
        <v>-575</v>
      </c>
      <c r="AD77" s="716">
        <f t="shared" si="155"/>
        <v>-710</v>
      </c>
      <c r="AE77" s="717">
        <f t="shared" si="155"/>
        <v>-564</v>
      </c>
      <c r="AF77" s="716">
        <f t="shared" si="155"/>
        <v>-582</v>
      </c>
      <c r="AG77" s="714">
        <f t="shared" si="155"/>
        <v>-456</v>
      </c>
      <c r="AH77" s="718">
        <f t="shared" si="155"/>
        <v>-592</v>
      </c>
      <c r="AI77" s="717">
        <f>AI75+AI76</f>
        <v>-486.5622317596567</v>
      </c>
      <c r="AJ77" s="716">
        <f>AJ75+AJ76</f>
        <v>-569.7184806810742</v>
      </c>
      <c r="AK77" s="716">
        <f>AK75+AK76</f>
        <v>-512.77669219078984</v>
      </c>
      <c r="AL77" s="718">
        <f>AL75+AL76</f>
        <v>-579.26221646960573</v>
      </c>
      <c r="AM77" s="716">
        <f t="shared" ref="AM77:AP77" si="156">AM75+AM76</f>
        <v>-558.12900000000002</v>
      </c>
      <c r="AN77" s="716">
        <f t="shared" si="156"/>
        <v>-594.84043926999357</v>
      </c>
      <c r="AO77" s="716">
        <f t="shared" si="156"/>
        <v>-554.49743888675118</v>
      </c>
      <c r="AP77" s="716">
        <f t="shared" si="156"/>
        <v>-517.4379227717028</v>
      </c>
      <c r="AQ77" s="1383"/>
      <c r="AR77" s="692"/>
      <c r="AS77" s="692"/>
      <c r="AT77" s="692"/>
      <c r="AU77" s="692"/>
      <c r="AV77" s="692"/>
      <c r="AW77" s="692"/>
      <c r="AX77" s="692"/>
      <c r="AY77" s="692"/>
      <c r="AZ77" s="692"/>
      <c r="BA77" s="692"/>
      <c r="BB77"/>
      <c r="BC77"/>
      <c r="BD77"/>
      <c r="BE77"/>
      <c r="BF77"/>
      <c r="BG77"/>
      <c r="BJ77" s="714"/>
      <c r="BK77" s="714"/>
      <c r="BL77" s="714"/>
      <c r="BM77" s="714"/>
      <c r="BN77" s="714"/>
    </row>
    <row r="78" spans="1:66" s="693" customFormat="1" outlineLevel="1">
      <c r="A78" s="713" t="s">
        <v>144</v>
      </c>
      <c r="B78" s="714"/>
      <c r="C78" s="714">
        <v>-1762</v>
      </c>
      <c r="D78" s="714">
        <v>-990</v>
      </c>
      <c r="E78" s="714">
        <v>-846</v>
      </c>
      <c r="F78" s="714">
        <v>-1121</v>
      </c>
      <c r="G78" s="714">
        <f t="shared" ref="G78:Q78" si="157">G237+G305+G365+G412</f>
        <v>-824</v>
      </c>
      <c r="H78" s="714">
        <f t="shared" si="157"/>
        <v>-417</v>
      </c>
      <c r="I78" s="714">
        <f t="shared" si="157"/>
        <v>-362</v>
      </c>
      <c r="J78" s="714">
        <f t="shared" si="157"/>
        <v>-303</v>
      </c>
      <c r="K78" s="714">
        <f t="shared" si="157"/>
        <v>-313</v>
      </c>
      <c r="L78" s="714">
        <f t="shared" si="157"/>
        <v>-313</v>
      </c>
      <c r="M78" s="714">
        <f t="shared" si="157"/>
        <v>-313</v>
      </c>
      <c r="N78" s="714">
        <f t="shared" si="157"/>
        <v>-313</v>
      </c>
      <c r="O78" s="714">
        <f t="shared" si="157"/>
        <v>-313</v>
      </c>
      <c r="P78" s="714">
        <f t="shared" si="157"/>
        <v>-313</v>
      </c>
      <c r="Q78" s="714">
        <f t="shared" si="157"/>
        <v>-313</v>
      </c>
      <c r="R78" s="715"/>
      <c r="S78" s="716"/>
      <c r="T78" s="716"/>
      <c r="U78" s="716"/>
      <c r="V78" s="716"/>
      <c r="W78" s="717">
        <f t="shared" ref="W78:AP78" si="158">W237+W305+W365+W412</f>
        <v>-239</v>
      </c>
      <c r="X78" s="716">
        <f t="shared" si="158"/>
        <v>-383</v>
      </c>
      <c r="Y78" s="716">
        <f t="shared" si="158"/>
        <v>-414</v>
      </c>
      <c r="Z78" s="716">
        <f t="shared" si="158"/>
        <v>-85</v>
      </c>
      <c r="AA78" s="717">
        <f t="shared" si="158"/>
        <v>-88</v>
      </c>
      <c r="AB78" s="716">
        <f t="shared" si="158"/>
        <v>-305</v>
      </c>
      <c r="AC78" s="716">
        <f t="shared" si="158"/>
        <v>-210</v>
      </c>
      <c r="AD78" s="716">
        <f t="shared" si="158"/>
        <v>-221</v>
      </c>
      <c r="AE78" s="717">
        <f t="shared" si="158"/>
        <v>199</v>
      </c>
      <c r="AF78" s="716">
        <f t="shared" si="158"/>
        <v>-296</v>
      </c>
      <c r="AG78" s="714">
        <f t="shared" si="158"/>
        <v>-80</v>
      </c>
      <c r="AH78" s="718">
        <f t="shared" si="158"/>
        <v>-240</v>
      </c>
      <c r="AI78" s="717">
        <f t="shared" si="158"/>
        <v>-117</v>
      </c>
      <c r="AJ78" s="716">
        <f t="shared" si="158"/>
        <v>-88</v>
      </c>
      <c r="AK78" s="716">
        <f t="shared" si="158"/>
        <v>-95</v>
      </c>
      <c r="AL78" s="718">
        <f t="shared" si="158"/>
        <v>-62</v>
      </c>
      <c r="AM78" s="716">
        <f t="shared" si="158"/>
        <v>-84</v>
      </c>
      <c r="AN78" s="716">
        <f t="shared" si="158"/>
        <v>-75.149999999999991</v>
      </c>
      <c r="AO78" s="716">
        <f t="shared" si="158"/>
        <v>-51.149999999999991</v>
      </c>
      <c r="AP78" s="716">
        <f t="shared" si="158"/>
        <v>-92.700000000000045</v>
      </c>
      <c r="AQ78" s="1383"/>
      <c r="AR78" s="692"/>
      <c r="AS78" s="692"/>
      <c r="AT78" s="692"/>
      <c r="AU78" s="692"/>
      <c r="AV78" s="692"/>
      <c r="AW78" s="692"/>
      <c r="AX78" s="692"/>
      <c r="AY78" s="692"/>
      <c r="AZ78" s="692"/>
      <c r="BA78" s="692"/>
      <c r="BB78"/>
      <c r="BC78"/>
      <c r="BD78"/>
      <c r="BE78"/>
      <c r="BF78"/>
      <c r="BG78"/>
      <c r="BJ78" s="714"/>
      <c r="BK78" s="714"/>
      <c r="BL78" s="714"/>
      <c r="BM78" s="714"/>
      <c r="BN78" s="714"/>
    </row>
    <row r="79" spans="1:66" s="693" customFormat="1" outlineLevel="1">
      <c r="A79" s="713" t="s">
        <v>145</v>
      </c>
      <c r="B79" s="714"/>
      <c r="C79" s="714"/>
      <c r="D79" s="714"/>
      <c r="E79" s="714"/>
      <c r="F79" s="714">
        <v>112</v>
      </c>
      <c r="G79" s="714">
        <f>13420-727</f>
        <v>12693</v>
      </c>
      <c r="H79" s="714"/>
      <c r="I79" s="714"/>
      <c r="J79" s="714"/>
      <c r="K79" s="714"/>
      <c r="L79" s="714"/>
      <c r="M79" s="714"/>
      <c r="N79" s="714"/>
      <c r="O79" s="714"/>
      <c r="P79" s="714"/>
      <c r="Q79" s="714"/>
      <c r="R79" s="715"/>
      <c r="S79" s="716"/>
      <c r="T79" s="716"/>
      <c r="U79" s="716"/>
      <c r="V79" s="716"/>
      <c r="W79" s="717">
        <f>+W413</f>
        <v>-5</v>
      </c>
      <c r="X79" s="716">
        <f>+X413</f>
        <v>-2</v>
      </c>
      <c r="Y79" s="716">
        <f>+Y413</f>
        <v>3</v>
      </c>
      <c r="Z79" s="716">
        <f>+Z413</f>
        <v>-16</v>
      </c>
      <c r="AA79" s="717">
        <f>13318-592</f>
        <v>12726</v>
      </c>
      <c r="AB79" s="716">
        <f>5-29</f>
        <v>-24</v>
      </c>
      <c r="AC79" s="716">
        <f>92-7</f>
        <v>85</v>
      </c>
      <c r="AD79" s="716">
        <f>G79-SUM(AA79:AC79)</f>
        <v>-94</v>
      </c>
      <c r="AE79" s="717">
        <v>0</v>
      </c>
      <c r="AF79" s="716"/>
      <c r="AG79" s="714"/>
      <c r="AH79" s="718"/>
      <c r="AI79" s="717"/>
      <c r="AJ79" s="716"/>
      <c r="AK79" s="716"/>
      <c r="AL79" s="718"/>
      <c r="AM79" s="716"/>
      <c r="AN79" s="716"/>
      <c r="AO79" s="716"/>
      <c r="AP79" s="716"/>
      <c r="AQ79" s="1383"/>
      <c r="AR79" s="692"/>
      <c r="AS79" s="692"/>
      <c r="AT79" s="692"/>
      <c r="AU79" s="692"/>
      <c r="AV79" s="692"/>
      <c r="AW79" s="692"/>
      <c r="AX79" s="692"/>
      <c r="AY79" s="692"/>
      <c r="AZ79" s="692"/>
      <c r="BA79" s="692"/>
      <c r="BB79"/>
      <c r="BC79"/>
      <c r="BD79"/>
      <c r="BE79"/>
      <c r="BF79"/>
      <c r="BG79"/>
      <c r="BJ79" s="714"/>
      <c r="BK79" s="714"/>
      <c r="BL79" s="714"/>
      <c r="BM79" s="714"/>
      <c r="BN79" s="714"/>
    </row>
    <row r="80" spans="1:66" s="693" customFormat="1" outlineLevel="1">
      <c r="A80" s="713" t="s">
        <v>146</v>
      </c>
      <c r="B80" s="714"/>
      <c r="C80" s="714"/>
      <c r="D80" s="714"/>
      <c r="E80" s="714"/>
      <c r="F80" s="714">
        <v>-1009</v>
      </c>
      <c r="G80" s="714">
        <f>G78+G79</f>
        <v>11869</v>
      </c>
      <c r="H80" s="714">
        <f t="shared" ref="H80:Q80" si="159">H78+H79</f>
        <v>-417</v>
      </c>
      <c r="I80" s="714">
        <f t="shared" si="159"/>
        <v>-362</v>
      </c>
      <c r="J80" s="714">
        <f t="shared" si="159"/>
        <v>-303</v>
      </c>
      <c r="K80" s="714">
        <f t="shared" si="159"/>
        <v>-313</v>
      </c>
      <c r="L80" s="714">
        <f t="shared" si="159"/>
        <v>-313</v>
      </c>
      <c r="M80" s="714">
        <f t="shared" si="159"/>
        <v>-313</v>
      </c>
      <c r="N80" s="714">
        <f t="shared" si="159"/>
        <v>-313</v>
      </c>
      <c r="O80" s="714">
        <f t="shared" si="159"/>
        <v>-313</v>
      </c>
      <c r="P80" s="714">
        <f t="shared" si="159"/>
        <v>-313</v>
      </c>
      <c r="Q80" s="714">
        <f t="shared" si="159"/>
        <v>-313</v>
      </c>
      <c r="R80" s="715"/>
      <c r="S80" s="716"/>
      <c r="T80" s="716"/>
      <c r="U80" s="716"/>
      <c r="V80" s="716"/>
      <c r="W80" s="717">
        <f>+W78+W79</f>
        <v>-244</v>
      </c>
      <c r="X80" s="716">
        <f>+X78+X79</f>
        <v>-385</v>
      </c>
      <c r="Y80" s="716">
        <f>+Y78+Y79</f>
        <v>-411</v>
      </c>
      <c r="Z80" s="716">
        <f>+Z78+Z79</f>
        <v>-101</v>
      </c>
      <c r="AA80" s="717">
        <f t="shared" ref="AA80:AH80" si="160">AA78+AA79</f>
        <v>12638</v>
      </c>
      <c r="AB80" s="716">
        <f t="shared" si="160"/>
        <v>-329</v>
      </c>
      <c r="AC80" s="716">
        <f t="shared" si="160"/>
        <v>-125</v>
      </c>
      <c r="AD80" s="716">
        <f t="shared" si="160"/>
        <v>-315</v>
      </c>
      <c r="AE80" s="717">
        <f t="shared" si="160"/>
        <v>199</v>
      </c>
      <c r="AF80" s="716">
        <f t="shared" si="160"/>
        <v>-296</v>
      </c>
      <c r="AG80" s="714">
        <f t="shared" si="160"/>
        <v>-80</v>
      </c>
      <c r="AH80" s="718">
        <f t="shared" si="160"/>
        <v>-240</v>
      </c>
      <c r="AI80" s="717">
        <f>AI78+AI79</f>
        <v>-117</v>
      </c>
      <c r="AJ80" s="716">
        <f>AJ78+AJ79</f>
        <v>-88</v>
      </c>
      <c r="AK80" s="716">
        <f>AK78+AK79</f>
        <v>-95</v>
      </c>
      <c r="AL80" s="718">
        <f>AL78+AL79</f>
        <v>-62</v>
      </c>
      <c r="AM80" s="716">
        <f t="shared" ref="AM80:AP80" si="161">AM78+AM79</f>
        <v>-84</v>
      </c>
      <c r="AN80" s="716">
        <f t="shared" si="161"/>
        <v>-75.149999999999991</v>
      </c>
      <c r="AO80" s="716">
        <f t="shared" si="161"/>
        <v>-51.149999999999991</v>
      </c>
      <c r="AP80" s="716">
        <f t="shared" si="161"/>
        <v>-92.700000000000045</v>
      </c>
      <c r="AQ80" s="1383"/>
      <c r="AR80" s="692"/>
      <c r="AS80" s="692"/>
      <c r="AT80" s="692"/>
      <c r="AU80" s="692"/>
      <c r="AV80" s="692"/>
      <c r="AW80" s="692"/>
      <c r="AX80" s="692"/>
      <c r="AY80" s="692"/>
      <c r="AZ80" s="692"/>
      <c r="BA80" s="692"/>
      <c r="BB80"/>
      <c r="BC80"/>
      <c r="BD80"/>
      <c r="BE80"/>
      <c r="BF80"/>
      <c r="BG80"/>
      <c r="BJ80" s="714"/>
      <c r="BK80" s="714"/>
      <c r="BL80" s="714"/>
      <c r="BM80" s="714"/>
      <c r="BN80" s="714"/>
    </row>
    <row r="81" spans="1:120" s="695" customFormat="1" outlineLevel="1">
      <c r="A81" s="756" t="s">
        <v>575</v>
      </c>
      <c r="B81" s="757">
        <v>14006</v>
      </c>
      <c r="C81" s="757">
        <v>10998</v>
      </c>
      <c r="D81" s="757">
        <v>11193</v>
      </c>
      <c r="E81" s="757">
        <v>10983</v>
      </c>
      <c r="F81" s="757">
        <v>11089</v>
      </c>
      <c r="G81" s="757">
        <f t="shared" ref="G81:Q81" si="162">G63+G72+G78+G66</f>
        <v>8977</v>
      </c>
      <c r="H81" s="757">
        <f t="shared" si="162"/>
        <v>8268</v>
      </c>
      <c r="I81" s="757">
        <f t="shared" si="162"/>
        <v>8629</v>
      </c>
      <c r="J81" s="757">
        <f t="shared" si="162"/>
        <v>10492.080549630573</v>
      </c>
      <c r="K81" s="757">
        <f t="shared" si="162"/>
        <v>11358.463768352045</v>
      </c>
      <c r="L81" s="757">
        <f t="shared" si="162"/>
        <v>11729.509874853924</v>
      </c>
      <c r="M81" s="757">
        <f t="shared" si="162"/>
        <v>12989.307880357466</v>
      </c>
      <c r="N81" s="757">
        <f t="shared" si="162"/>
        <v>14183.542028389211</v>
      </c>
      <c r="O81" s="757">
        <f t="shared" si="162"/>
        <v>14299.024626356526</v>
      </c>
      <c r="P81" s="757">
        <f t="shared" si="162"/>
        <v>14764.246008998049</v>
      </c>
      <c r="Q81" s="757">
        <f t="shared" si="162"/>
        <v>13713.247056095823</v>
      </c>
      <c r="R81" s="719"/>
      <c r="S81" s="758">
        <v>3059</v>
      </c>
      <c r="T81" s="758">
        <v>3033</v>
      </c>
      <c r="U81" s="758">
        <v>2558</v>
      </c>
      <c r="V81" s="758">
        <v>2333</v>
      </c>
      <c r="W81" s="759">
        <f t="shared" ref="W81:AH81" si="163">W63+W69+W72+W75+W78</f>
        <v>2815</v>
      </c>
      <c r="X81" s="758">
        <f t="shared" si="163"/>
        <v>3184</v>
      </c>
      <c r="Y81" s="758">
        <f t="shared" si="163"/>
        <v>2739</v>
      </c>
      <c r="Z81" s="758">
        <f t="shared" si="163"/>
        <v>2351</v>
      </c>
      <c r="AA81" s="759">
        <f t="shared" si="163"/>
        <v>2785</v>
      </c>
      <c r="AB81" s="758">
        <f t="shared" si="163"/>
        <v>2281</v>
      </c>
      <c r="AC81" s="758">
        <f t="shared" si="163"/>
        <v>2234</v>
      </c>
      <c r="AD81" s="758">
        <f t="shared" si="163"/>
        <v>1677</v>
      </c>
      <c r="AE81" s="759">
        <f t="shared" si="163"/>
        <v>2451</v>
      </c>
      <c r="AF81" s="758">
        <f t="shared" si="163"/>
        <v>2093</v>
      </c>
      <c r="AG81" s="757">
        <f t="shared" si="163"/>
        <v>2269</v>
      </c>
      <c r="AH81" s="760">
        <f t="shared" si="163"/>
        <v>1455</v>
      </c>
      <c r="AI81" s="759">
        <f t="shared" ref="AI81:AL81" si="164">AI63+AI72+AI78+AI66</f>
        <v>1922</v>
      </c>
      <c r="AJ81" s="758">
        <f t="shared" si="164"/>
        <v>2280</v>
      </c>
      <c r="AK81" s="758">
        <f t="shared" si="164"/>
        <v>2357.0502326646747</v>
      </c>
      <c r="AL81" s="760">
        <f t="shared" si="164"/>
        <v>2069.9497673353239</v>
      </c>
      <c r="AM81" s="758">
        <f>AM63+AM72+AM78+AM66</f>
        <v>2447</v>
      </c>
      <c r="AN81" s="758">
        <f t="shared" ref="AN81:AP81" si="165">AN63+AN72+AN78+AN66</f>
        <v>2511.6947328506503</v>
      </c>
      <c r="AO81" s="758">
        <f t="shared" si="165"/>
        <v>2587.8301011461026</v>
      </c>
      <c r="AP81" s="758">
        <f t="shared" si="165"/>
        <v>2945.55571563382</v>
      </c>
      <c r="AQ81" s="1383"/>
      <c r="AR81" s="692"/>
      <c r="AS81" s="692"/>
      <c r="AT81" s="692"/>
      <c r="AU81" s="692"/>
      <c r="AV81" s="692"/>
      <c r="AW81" s="692"/>
      <c r="AX81" s="692"/>
      <c r="AY81" s="692"/>
      <c r="AZ81" s="692"/>
      <c r="BA81" s="692"/>
      <c r="BB81"/>
      <c r="BC81"/>
      <c r="BD81"/>
      <c r="BE81"/>
      <c r="BF81"/>
      <c r="BG81"/>
      <c r="BH81" s="693"/>
      <c r="BI81" s="693"/>
      <c r="BJ81" s="720"/>
      <c r="BK81" s="720"/>
      <c r="BL81" s="720"/>
      <c r="BM81" s="720"/>
      <c r="BN81" s="720"/>
      <c r="BO81" s="693"/>
      <c r="BP81" s="693"/>
      <c r="BQ81" s="693"/>
      <c r="BR81" s="693"/>
      <c r="BS81" s="693"/>
      <c r="BT81" s="693"/>
      <c r="BU81" s="693"/>
      <c r="BV81" s="693"/>
      <c r="BW81" s="693"/>
      <c r="BX81" s="693"/>
      <c r="BY81" s="693"/>
      <c r="BZ81" s="693"/>
      <c r="CA81" s="693"/>
      <c r="CB81" s="693"/>
      <c r="CC81" s="693"/>
      <c r="CD81" s="693"/>
      <c r="CE81" s="693"/>
      <c r="CF81" s="693"/>
      <c r="CG81" s="693"/>
      <c r="CH81" s="693"/>
      <c r="CI81" s="693"/>
      <c r="CJ81" s="693"/>
      <c r="CK81" s="693"/>
      <c r="CL81" s="693"/>
      <c r="CM81" s="693"/>
      <c r="CN81" s="693"/>
      <c r="CO81" s="693"/>
      <c r="CP81" s="693"/>
      <c r="CQ81" s="693"/>
      <c r="CR81" s="693"/>
      <c r="CS81" s="693"/>
      <c r="CT81" s="693"/>
      <c r="CU81" s="693"/>
      <c r="CV81" s="693"/>
      <c r="CW81" s="693"/>
      <c r="CX81" s="693"/>
      <c r="CY81" s="693"/>
      <c r="CZ81" s="693"/>
      <c r="DA81" s="693"/>
      <c r="DB81" s="693"/>
      <c r="DC81" s="693"/>
      <c r="DD81" s="693"/>
      <c r="DE81" s="693"/>
      <c r="DF81" s="693"/>
      <c r="DG81" s="693"/>
      <c r="DH81" s="693"/>
      <c r="DI81" s="693"/>
      <c r="DJ81" s="693"/>
      <c r="DK81" s="693"/>
      <c r="DL81" s="693"/>
      <c r="DM81" s="693"/>
      <c r="DN81" s="693"/>
      <c r="DO81" s="693"/>
      <c r="DP81" s="693"/>
    </row>
    <row r="82" spans="1:120" s="695" customFormat="1" outlineLevel="1">
      <c r="A82" s="761" t="s">
        <v>147</v>
      </c>
      <c r="B82" s="762">
        <v>0.27666719342604296</v>
      </c>
      <c r="C82" s="762">
        <v>0.18778813646142814</v>
      </c>
      <c r="D82" s="762">
        <v>0.19750145571965486</v>
      </c>
      <c r="E82" s="762">
        <v>0.21174497291252964</v>
      </c>
      <c r="F82" s="762">
        <v>0.21251437332311229</v>
      </c>
      <c r="G82" s="762">
        <f t="shared" ref="G82:Q82" si="166">G81/G3</f>
        <v>0.18166916258550209</v>
      </c>
      <c r="H82" s="762">
        <f t="shared" si="166"/>
        <v>0.17041098149140524</v>
      </c>
      <c r="I82" s="762">
        <f t="shared" si="166"/>
        <v>0.17571117310472623</v>
      </c>
      <c r="J82" s="762">
        <f t="shared" si="166"/>
        <v>0.20077516550733859</v>
      </c>
      <c r="K82" s="762">
        <f t="shared" si="166"/>
        <v>0.21305893788529073</v>
      </c>
      <c r="L82" s="762">
        <f t="shared" si="166"/>
        <v>0.21332684074689398</v>
      </c>
      <c r="M82" s="762">
        <f t="shared" si="166"/>
        <v>0.22786245370176186</v>
      </c>
      <c r="N82" s="762">
        <f t="shared" si="166"/>
        <v>0.24367591898946475</v>
      </c>
      <c r="O82" s="762">
        <f t="shared" si="166"/>
        <v>0.24792424395914447</v>
      </c>
      <c r="P82" s="762">
        <f t="shared" si="166"/>
        <v>0.25273904680967224</v>
      </c>
      <c r="Q82" s="762">
        <f t="shared" si="166"/>
        <v>0.2322058365322591</v>
      </c>
      <c r="R82" s="721"/>
      <c r="S82" s="763">
        <v>0.24082821602897181</v>
      </c>
      <c r="T82" s="763">
        <v>0.23200489558632295</v>
      </c>
      <c r="U82" s="763">
        <v>0.20133805588351042</v>
      </c>
      <c r="V82" s="763">
        <v>0.17424751661811935</v>
      </c>
      <c r="W82" s="764">
        <f t="shared" ref="W82:AP82" si="167">W81/W3</f>
        <v>0.22049032662332577</v>
      </c>
      <c r="X82" s="763">
        <f t="shared" si="167"/>
        <v>0.23855548063235185</v>
      </c>
      <c r="Y82" s="763">
        <f t="shared" si="167"/>
        <v>0.21083827265029637</v>
      </c>
      <c r="Z82" s="763">
        <f t="shared" si="167"/>
        <v>0.17980879541108988</v>
      </c>
      <c r="AA82" s="764">
        <f t="shared" si="167"/>
        <v>0.23334729786342689</v>
      </c>
      <c r="AB82" s="763">
        <f t="shared" si="167"/>
        <v>0.1796911926894596</v>
      </c>
      <c r="AC82" s="763">
        <f t="shared" si="167"/>
        <v>0.18214431308601711</v>
      </c>
      <c r="AD82" s="763">
        <f t="shared" si="167"/>
        <v>0.13394568690095845</v>
      </c>
      <c r="AE82" s="764">
        <f t="shared" si="167"/>
        <v>0.21129310344827587</v>
      </c>
      <c r="AF82" s="763">
        <f t="shared" si="167"/>
        <v>0.16784282277465917</v>
      </c>
      <c r="AG82" s="762">
        <f t="shared" si="167"/>
        <v>0.18711858815767771</v>
      </c>
      <c r="AH82" s="765">
        <f t="shared" si="167"/>
        <v>0.11808148027917546</v>
      </c>
      <c r="AI82" s="764">
        <f t="shared" si="167"/>
        <v>0.16656556027385389</v>
      </c>
      <c r="AJ82" s="763">
        <f t="shared" si="167"/>
        <v>0.18624407776507107</v>
      </c>
      <c r="AK82" s="763">
        <f t="shared" si="167"/>
        <v>0.18988485412410139</v>
      </c>
      <c r="AL82" s="765">
        <f t="shared" si="167"/>
        <v>0.16027547955088997</v>
      </c>
      <c r="AM82" s="763">
        <f t="shared" si="167"/>
        <v>0.19276823696234441</v>
      </c>
      <c r="AN82" s="763">
        <f t="shared" si="167"/>
        <v>0.19166615330113268</v>
      </c>
      <c r="AO82" s="763">
        <f t="shared" si="167"/>
        <v>0.19771282500117957</v>
      </c>
      <c r="AP82" s="763">
        <f t="shared" si="167"/>
        <v>0.22030261528122522</v>
      </c>
      <c r="AQ82" s="1383"/>
      <c r="AR82" s="692"/>
      <c r="AS82" s="692"/>
      <c r="AT82" s="692"/>
      <c r="AU82" s="692"/>
      <c r="AV82" s="692"/>
      <c r="AW82" s="692"/>
      <c r="AX82" s="692"/>
      <c r="AY82" s="692"/>
      <c r="AZ82" s="692"/>
      <c r="BA82" s="692"/>
      <c r="BB82"/>
      <c r="BC82"/>
      <c r="BD82"/>
      <c r="BE82"/>
      <c r="BF82"/>
      <c r="BG82"/>
      <c r="BH82" s="693"/>
      <c r="BI82" s="693"/>
      <c r="BJ82" s="731"/>
      <c r="BK82" s="731"/>
      <c r="BL82" s="731"/>
      <c r="BM82" s="731"/>
      <c r="BN82" s="731"/>
      <c r="BO82" s="693"/>
      <c r="BP82" s="693"/>
      <c r="BQ82" s="693"/>
      <c r="BR82" s="693"/>
      <c r="BS82" s="693"/>
      <c r="BT82" s="693"/>
      <c r="BU82" s="693"/>
      <c r="BV82" s="693"/>
      <c r="BW82" s="693"/>
      <c r="BX82" s="693"/>
      <c r="BY82" s="693"/>
      <c r="BZ82" s="693"/>
      <c r="CA82" s="693"/>
      <c r="CB82" s="693"/>
      <c r="CC82" s="693"/>
      <c r="CD82" s="693"/>
      <c r="CE82" s="693"/>
      <c r="CF82" s="693"/>
      <c r="CG82" s="693"/>
      <c r="CH82" s="693"/>
      <c r="CI82" s="693"/>
      <c r="CJ82" s="693"/>
      <c r="CK82" s="693"/>
      <c r="CL82" s="693"/>
      <c r="CM82" s="693"/>
      <c r="CN82" s="693"/>
      <c r="CO82" s="693"/>
      <c r="CP82" s="693"/>
      <c r="CQ82" s="693"/>
      <c r="CR82" s="693"/>
      <c r="CS82" s="693"/>
      <c r="CT82" s="693"/>
      <c r="CU82" s="693"/>
      <c r="CV82" s="693"/>
      <c r="CW82" s="693"/>
      <c r="CX82" s="693"/>
      <c r="CY82" s="693"/>
      <c r="CZ82" s="693"/>
      <c r="DA82" s="693"/>
      <c r="DB82" s="693"/>
      <c r="DC82" s="693"/>
      <c r="DD82" s="693"/>
      <c r="DE82" s="693"/>
      <c r="DF82" s="693"/>
      <c r="DG82" s="693"/>
      <c r="DH82" s="693"/>
      <c r="DI82" s="693"/>
      <c r="DJ82" s="693"/>
      <c r="DK82" s="693"/>
      <c r="DL82" s="693"/>
      <c r="DM82" s="693"/>
      <c r="DN82" s="693"/>
      <c r="DO82" s="693"/>
      <c r="DP82" s="693"/>
    </row>
    <row r="83" spans="1:120" s="695" customFormat="1" outlineLevel="1">
      <c r="A83" s="761" t="s">
        <v>122</v>
      </c>
      <c r="B83" s="762"/>
      <c r="C83" s="766">
        <v>-0.21476510067114096</v>
      </c>
      <c r="D83" s="766">
        <v>1.7730496453900679E-2</v>
      </c>
      <c r="E83" s="762">
        <v>-1.8761726078799223E-2</v>
      </c>
      <c r="F83" s="762">
        <v>9.6512792497496225E-3</v>
      </c>
      <c r="G83" s="762">
        <f t="shared" ref="G83:Q83" si="168">G81/F81-1</f>
        <v>-0.1904590134367391</v>
      </c>
      <c r="H83" s="762">
        <f t="shared" si="168"/>
        <v>-7.8979614570569234E-2</v>
      </c>
      <c r="I83" s="762">
        <f t="shared" si="168"/>
        <v>4.3662312530237113E-2</v>
      </c>
      <c r="J83" s="762">
        <f t="shared" si="168"/>
        <v>0.21590920728132734</v>
      </c>
      <c r="K83" s="762">
        <f t="shared" si="168"/>
        <v>8.257496829377442E-2</v>
      </c>
      <c r="L83" s="762">
        <f t="shared" si="168"/>
        <v>3.2666926977900079E-2</v>
      </c>
      <c r="M83" s="762">
        <f t="shared" si="168"/>
        <v>0.10740414722735636</v>
      </c>
      <c r="N83" s="762">
        <f t="shared" si="168"/>
        <v>9.1939783014742149E-2</v>
      </c>
      <c r="O83" s="762">
        <f t="shared" si="168"/>
        <v>8.1420140142829389E-3</v>
      </c>
      <c r="P83" s="762">
        <f t="shared" si="168"/>
        <v>3.2535182979124944E-2</v>
      </c>
      <c r="Q83" s="762">
        <f t="shared" si="168"/>
        <v>-7.1185413211192539E-2</v>
      </c>
      <c r="R83" s="721"/>
      <c r="S83" s="767"/>
      <c r="T83" s="767"/>
      <c r="U83" s="767"/>
      <c r="V83" s="767"/>
      <c r="W83" s="768"/>
      <c r="X83" s="767"/>
      <c r="Y83" s="767"/>
      <c r="Z83" s="767"/>
      <c r="AA83" s="768">
        <f t="shared" ref="AA83:AG83" si="169">AA81/W81-1</f>
        <v>-1.0657193605683846E-2</v>
      </c>
      <c r="AB83" s="767">
        <f t="shared" si="169"/>
        <v>-0.28360552763819091</v>
      </c>
      <c r="AC83" s="767">
        <f t="shared" si="169"/>
        <v>-0.18437385907265424</v>
      </c>
      <c r="AD83" s="767">
        <f t="shared" si="169"/>
        <v>-0.28668651637601017</v>
      </c>
      <c r="AE83" s="768">
        <f t="shared" si="169"/>
        <v>-0.1199281867145422</v>
      </c>
      <c r="AF83" s="767">
        <f t="shared" si="169"/>
        <v>-8.241999123191579E-2</v>
      </c>
      <c r="AG83" s="767">
        <f t="shared" si="169"/>
        <v>1.5666965085049167E-2</v>
      </c>
      <c r="AH83" s="769"/>
      <c r="AI83" s="768">
        <f>AI81/AE81-1</f>
        <v>-0.21583027335781313</v>
      </c>
      <c r="AJ83" s="767">
        <f>AJ81/AF81-1</f>
        <v>8.93454371715241E-2</v>
      </c>
      <c r="AK83" s="767">
        <f>AK81/AG81-1</f>
        <v>3.8805743792276193E-2</v>
      </c>
      <c r="AL83" s="769">
        <f t="shared" ref="AL83:AP83" si="170">AL81/AH81-1</f>
        <v>0.42264588820297178</v>
      </c>
      <c r="AM83" s="767">
        <f t="shared" si="170"/>
        <v>0.27315296566077008</v>
      </c>
      <c r="AN83" s="767">
        <f t="shared" si="170"/>
        <v>0.1016204968643204</v>
      </c>
      <c r="AO83" s="767">
        <f t="shared" si="170"/>
        <v>9.7910458285196844E-2</v>
      </c>
      <c r="AP83" s="767">
        <f t="shared" si="170"/>
        <v>0.42300830779370857</v>
      </c>
      <c r="AQ83" s="1383"/>
      <c r="AR83" s="692"/>
      <c r="AS83" s="692"/>
      <c r="AT83" s="692"/>
      <c r="AU83" s="692"/>
      <c r="AV83" s="692"/>
      <c r="AW83" s="692"/>
      <c r="AX83" s="692"/>
      <c r="AY83" s="692"/>
      <c r="AZ83" s="692"/>
      <c r="BA83" s="692"/>
      <c r="BB83"/>
      <c r="BC83"/>
      <c r="BD83"/>
      <c r="BE83"/>
      <c r="BF83"/>
      <c r="BG83"/>
      <c r="BH83" s="693"/>
      <c r="BI83" s="693"/>
      <c r="BJ83" s="755"/>
      <c r="BK83" s="755"/>
      <c r="BL83" s="755"/>
      <c r="BM83" s="755"/>
      <c r="BN83" s="755"/>
      <c r="BO83" s="693"/>
      <c r="BP83" s="693"/>
      <c r="BQ83" s="693"/>
      <c r="BR83" s="693"/>
      <c r="BS83" s="693"/>
      <c r="BT83" s="693"/>
      <c r="BU83" s="693"/>
      <c r="BV83" s="693"/>
      <c r="BW83" s="693"/>
      <c r="BX83" s="693"/>
      <c r="BY83" s="693"/>
      <c r="BZ83" s="693"/>
      <c r="CA83" s="693"/>
      <c r="CB83" s="693"/>
      <c r="CC83" s="693"/>
      <c r="CD83" s="693"/>
      <c r="CE83" s="693"/>
      <c r="CF83" s="693"/>
      <c r="CG83" s="693"/>
      <c r="CH83" s="693"/>
      <c r="CI83" s="693"/>
      <c r="CJ83" s="693"/>
      <c r="CK83" s="693"/>
      <c r="CL83" s="693"/>
      <c r="CM83" s="693"/>
      <c r="CN83" s="693"/>
      <c r="CO83" s="693"/>
      <c r="CP83" s="693"/>
      <c r="CQ83" s="693"/>
      <c r="CR83" s="693"/>
      <c r="CS83" s="693"/>
      <c r="CT83" s="693"/>
      <c r="CU83" s="693"/>
      <c r="CV83" s="693"/>
      <c r="CW83" s="693"/>
      <c r="CX83" s="693"/>
      <c r="CY83" s="693"/>
      <c r="CZ83" s="693"/>
      <c r="DA83" s="693"/>
      <c r="DB83" s="693"/>
      <c r="DC83" s="693"/>
      <c r="DD83" s="693"/>
      <c r="DE83" s="693"/>
      <c r="DF83" s="693"/>
      <c r="DG83" s="693"/>
      <c r="DH83" s="693"/>
      <c r="DI83" s="693"/>
      <c r="DJ83" s="693"/>
      <c r="DK83" s="693"/>
      <c r="DL83" s="693"/>
      <c r="DM83" s="693"/>
      <c r="DN83" s="693"/>
      <c r="DO83" s="693"/>
      <c r="DP83" s="693"/>
    </row>
    <row r="84" spans="1:120" s="695" customFormat="1" outlineLevel="1">
      <c r="A84" s="761" t="s">
        <v>123</v>
      </c>
      <c r="B84" s="766"/>
      <c r="C84" s="766"/>
      <c r="D84" s="766"/>
      <c r="E84" s="766">
        <v>0.03</v>
      </c>
      <c r="F84" s="770"/>
      <c r="G84" s="762">
        <v>-0.02</v>
      </c>
      <c r="H84" s="762">
        <v>-0.03</v>
      </c>
      <c r="I84" s="762"/>
      <c r="J84" s="766"/>
      <c r="K84" s="766"/>
      <c r="L84" s="766"/>
      <c r="M84" s="766"/>
      <c r="N84" s="766"/>
      <c r="O84" s="766"/>
      <c r="P84" s="766"/>
      <c r="Q84" s="766"/>
      <c r="R84" s="688"/>
      <c r="S84" s="767">
        <v>0.06</v>
      </c>
      <c r="T84" s="767">
        <v>0.02</v>
      </c>
      <c r="U84" s="767">
        <v>0.01</v>
      </c>
      <c r="V84" s="767">
        <v>0.02</v>
      </c>
      <c r="W84" s="768">
        <v>0.31</v>
      </c>
      <c r="X84" s="767"/>
      <c r="Y84" s="767"/>
      <c r="Z84" s="767"/>
      <c r="AA84" s="768"/>
      <c r="AB84" s="767">
        <v>-0.14000000000000001</v>
      </c>
      <c r="AC84" s="767">
        <v>0.02</v>
      </c>
      <c r="AD84" s="767">
        <v>-0.12</v>
      </c>
      <c r="AE84" s="768">
        <v>-0.05</v>
      </c>
      <c r="AF84" s="767">
        <v>-0.04</v>
      </c>
      <c r="AG84" s="767">
        <v>0.01</v>
      </c>
      <c r="AH84" s="769"/>
      <c r="AI84" s="768">
        <v>-0.19</v>
      </c>
      <c r="AJ84" s="767"/>
      <c r="AK84" s="767">
        <v>0.06</v>
      </c>
      <c r="AL84" s="769"/>
      <c r="AM84" s="767"/>
      <c r="AN84" s="767"/>
      <c r="AO84" s="767"/>
      <c r="AP84" s="767"/>
      <c r="AQ84" s="1383"/>
      <c r="AR84" s="692"/>
      <c r="AS84" s="692"/>
      <c r="AT84" s="692"/>
      <c r="AU84" s="692"/>
      <c r="AV84" s="692"/>
      <c r="AW84" s="692"/>
      <c r="AX84" s="692"/>
      <c r="AY84" s="692"/>
      <c r="AZ84" s="692"/>
      <c r="BA84" s="692"/>
      <c r="BB84"/>
      <c r="BC84"/>
      <c r="BD84"/>
      <c r="BE84"/>
      <c r="BF84"/>
      <c r="BG84"/>
      <c r="BH84" s="693"/>
      <c r="BI84" s="693"/>
      <c r="BJ84" s="755"/>
      <c r="BK84" s="755"/>
      <c r="BL84" s="755"/>
      <c r="BM84" s="755"/>
      <c r="BN84" s="755"/>
      <c r="BO84" s="693"/>
      <c r="BP84" s="693"/>
      <c r="BQ84" s="693"/>
      <c r="BR84" s="693"/>
      <c r="BS84" s="693"/>
      <c r="BT84" s="693"/>
      <c r="BU84" s="693"/>
      <c r="BV84" s="693"/>
      <c r="BW84" s="693"/>
      <c r="BX84" s="693"/>
      <c r="BY84" s="693"/>
      <c r="BZ84" s="693"/>
      <c r="CA84" s="693"/>
      <c r="CB84" s="693"/>
      <c r="CC84" s="693"/>
      <c r="CD84" s="693"/>
      <c r="CE84" s="693"/>
      <c r="CF84" s="693"/>
      <c r="CG84" s="693"/>
      <c r="CH84" s="693"/>
      <c r="CI84" s="693"/>
      <c r="CJ84" s="693"/>
      <c r="CK84" s="693"/>
      <c r="CL84" s="693"/>
      <c r="CM84" s="693"/>
      <c r="CN84" s="693"/>
      <c r="CO84" s="693"/>
      <c r="CP84" s="693"/>
      <c r="CQ84" s="693"/>
      <c r="CR84" s="693"/>
      <c r="CS84" s="693"/>
      <c r="CT84" s="693"/>
      <c r="CU84" s="693"/>
      <c r="CV84" s="693"/>
      <c r="CW84" s="693"/>
      <c r="CX84" s="693"/>
      <c r="CY84" s="693"/>
      <c r="CZ84" s="693"/>
      <c r="DA84" s="693"/>
      <c r="DB84" s="693"/>
      <c r="DC84" s="693"/>
      <c r="DD84" s="693"/>
      <c r="DE84" s="693"/>
      <c r="DF84" s="693"/>
      <c r="DG84" s="693"/>
      <c r="DH84" s="693"/>
      <c r="DI84" s="693"/>
      <c r="DJ84" s="693"/>
      <c r="DK84" s="693"/>
      <c r="DL84" s="693"/>
      <c r="DM84" s="693"/>
      <c r="DN84" s="693"/>
      <c r="DO84" s="693"/>
      <c r="DP84" s="693"/>
    </row>
    <row r="85" spans="1:120" s="695" customFormat="1" outlineLevel="1">
      <c r="A85" s="761" t="s">
        <v>559</v>
      </c>
      <c r="B85" s="766"/>
      <c r="C85" s="766"/>
      <c r="D85" s="766"/>
      <c r="E85" s="770">
        <v>-73</v>
      </c>
      <c r="F85" s="771">
        <v>-102</v>
      </c>
      <c r="G85" s="771">
        <f>G64+G70+G73+G76+G79</f>
        <v>12458</v>
      </c>
      <c r="H85" s="771">
        <f t="shared" ref="H85:Q85" si="171">H64+H70+H73+H76+H79</f>
        <v>0</v>
      </c>
      <c r="I85" s="771">
        <f t="shared" si="171"/>
        <v>0</v>
      </c>
      <c r="J85" s="771">
        <f t="shared" si="171"/>
        <v>0</v>
      </c>
      <c r="K85" s="771">
        <f t="shared" si="171"/>
        <v>0</v>
      </c>
      <c r="L85" s="771">
        <f t="shared" si="171"/>
        <v>0</v>
      </c>
      <c r="M85" s="771">
        <f t="shared" si="171"/>
        <v>0</v>
      </c>
      <c r="N85" s="771">
        <f t="shared" si="171"/>
        <v>0</v>
      </c>
      <c r="O85" s="771">
        <f t="shared" si="171"/>
        <v>0</v>
      </c>
      <c r="P85" s="771">
        <f t="shared" si="171"/>
        <v>0</v>
      </c>
      <c r="Q85" s="771">
        <f t="shared" si="171"/>
        <v>0</v>
      </c>
      <c r="R85" s="688"/>
      <c r="S85" s="772">
        <v>-163</v>
      </c>
      <c r="T85" s="772">
        <v>-63</v>
      </c>
      <c r="U85" s="772">
        <v>113</v>
      </c>
      <c r="V85" s="772">
        <v>40</v>
      </c>
      <c r="W85" s="773">
        <f t="shared" ref="W85:AP85" si="172">W64+W70+W73+W76+W79</f>
        <v>-197</v>
      </c>
      <c r="X85" s="774">
        <f t="shared" si="172"/>
        <v>-71</v>
      </c>
      <c r="Y85" s="774">
        <f t="shared" si="172"/>
        <v>255</v>
      </c>
      <c r="Z85" s="774">
        <f t="shared" si="172"/>
        <v>-221</v>
      </c>
      <c r="AA85" s="773">
        <f t="shared" si="172"/>
        <v>12605</v>
      </c>
      <c r="AB85" s="774">
        <f t="shared" si="172"/>
        <v>-96</v>
      </c>
      <c r="AC85" s="774">
        <f t="shared" si="172"/>
        <v>43</v>
      </c>
      <c r="AD85" s="774">
        <f t="shared" si="172"/>
        <v>-94</v>
      </c>
      <c r="AE85" s="773">
        <f t="shared" si="172"/>
        <v>0</v>
      </c>
      <c r="AF85" s="774">
        <f t="shared" si="172"/>
        <v>0</v>
      </c>
      <c r="AG85" s="774">
        <f t="shared" si="172"/>
        <v>0</v>
      </c>
      <c r="AH85" s="775">
        <f t="shared" si="172"/>
        <v>0</v>
      </c>
      <c r="AI85" s="773">
        <f t="shared" si="172"/>
        <v>0</v>
      </c>
      <c r="AJ85" s="774">
        <f t="shared" si="172"/>
        <v>0</v>
      </c>
      <c r="AK85" s="774">
        <f t="shared" si="172"/>
        <v>0</v>
      </c>
      <c r="AL85" s="775">
        <f t="shared" si="172"/>
        <v>0</v>
      </c>
      <c r="AM85" s="774">
        <f t="shared" si="172"/>
        <v>0</v>
      </c>
      <c r="AN85" s="774">
        <f t="shared" si="172"/>
        <v>0</v>
      </c>
      <c r="AO85" s="774">
        <f t="shared" si="172"/>
        <v>0</v>
      </c>
      <c r="AP85" s="774">
        <f t="shared" si="172"/>
        <v>0</v>
      </c>
      <c r="AQ85" s="1383"/>
      <c r="AR85" s="692"/>
      <c r="AS85" s="692"/>
      <c r="AT85" s="692"/>
      <c r="AU85" s="692"/>
      <c r="AV85" s="692"/>
      <c r="AW85" s="692"/>
      <c r="AX85" s="692"/>
      <c r="AY85" s="692"/>
      <c r="AZ85" s="692"/>
      <c r="BA85" s="692"/>
      <c r="BB85"/>
      <c r="BC85"/>
      <c r="BD85"/>
      <c r="BE85"/>
      <c r="BF85"/>
      <c r="BG85"/>
      <c r="BH85" s="693"/>
      <c r="BI85" s="693"/>
      <c r="BJ85" s="755"/>
      <c r="BK85" s="755"/>
      <c r="BL85" s="755"/>
      <c r="BM85" s="755"/>
      <c r="BN85" s="755"/>
      <c r="BO85" s="693"/>
      <c r="BP85" s="693"/>
      <c r="BQ85" s="693"/>
      <c r="BR85" s="693"/>
      <c r="BS85" s="693"/>
      <c r="BT85" s="693"/>
      <c r="BU85" s="693"/>
      <c r="BV85" s="693"/>
      <c r="BW85" s="693"/>
      <c r="BX85" s="693"/>
      <c r="BY85" s="693"/>
      <c r="BZ85" s="693"/>
      <c r="CA85" s="693"/>
      <c r="CB85" s="693"/>
      <c r="CC85" s="693"/>
      <c r="CD85" s="693"/>
      <c r="CE85" s="693"/>
      <c r="CF85" s="693"/>
      <c r="CG85" s="693"/>
      <c r="CH85" s="693"/>
      <c r="CI85" s="693"/>
      <c r="CJ85" s="693"/>
      <c r="CK85" s="693"/>
      <c r="CL85" s="693"/>
      <c r="CM85" s="693"/>
      <c r="CN85" s="693"/>
      <c r="CO85" s="693"/>
      <c r="CP85" s="693"/>
      <c r="CQ85" s="693"/>
      <c r="CR85" s="693"/>
      <c r="CS85" s="693"/>
      <c r="CT85" s="693"/>
      <c r="CU85" s="693"/>
      <c r="CV85" s="693"/>
      <c r="CW85" s="693"/>
      <c r="CX85" s="693"/>
      <c r="CY85" s="693"/>
      <c r="CZ85" s="693"/>
      <c r="DA85" s="693"/>
      <c r="DB85" s="693"/>
      <c r="DC85" s="693"/>
      <c r="DD85" s="693"/>
      <c r="DE85" s="693"/>
      <c r="DF85" s="693"/>
      <c r="DG85" s="693"/>
      <c r="DH85" s="693"/>
      <c r="DI85" s="693"/>
      <c r="DJ85" s="693"/>
      <c r="DK85" s="693"/>
      <c r="DL85" s="693"/>
      <c r="DM85" s="693"/>
      <c r="DN85" s="693"/>
      <c r="DO85" s="693"/>
      <c r="DP85" s="693"/>
    </row>
    <row r="86" spans="1:120" s="695" customFormat="1" outlineLevel="1">
      <c r="A86" s="761" t="s">
        <v>560</v>
      </c>
      <c r="B86" s="766"/>
      <c r="C86" s="766"/>
      <c r="D86" s="766"/>
      <c r="E86" s="776">
        <v>10910</v>
      </c>
      <c r="F86" s="776">
        <v>10987</v>
      </c>
      <c r="G86" s="776">
        <f>G65+G71+G74+G77+G80</f>
        <v>21435</v>
      </c>
      <c r="H86" s="776">
        <f t="shared" ref="H86:Q86" si="173">H65+H71+H74+H77+H80</f>
        <v>8268</v>
      </c>
      <c r="I86" s="776">
        <f t="shared" si="173"/>
        <v>8629</v>
      </c>
      <c r="J86" s="776">
        <f t="shared" si="173"/>
        <v>23686.099972195985</v>
      </c>
      <c r="K86" s="776">
        <f t="shared" si="173"/>
        <v>24688.060519091297</v>
      </c>
      <c r="L86" s="776">
        <f t="shared" si="173"/>
        <v>24923.087246069987</v>
      </c>
      <c r="M86" s="776">
        <f t="shared" si="173"/>
        <v>26624.960851237422</v>
      </c>
      <c r="N86" s="776">
        <f t="shared" si="173"/>
        <v>27785.756389659658</v>
      </c>
      <c r="O86" s="776">
        <f t="shared" si="173"/>
        <v>27757.028196800402</v>
      </c>
      <c r="P86" s="776">
        <f t="shared" si="173"/>
        <v>28382.672468955272</v>
      </c>
      <c r="Q86" s="776">
        <f t="shared" si="173"/>
        <v>27466.355080025627</v>
      </c>
      <c r="R86" s="688"/>
      <c r="S86" s="777">
        <v>2896</v>
      </c>
      <c r="T86" s="777">
        <v>2970</v>
      </c>
      <c r="U86" s="777">
        <v>2671</v>
      </c>
      <c r="V86" s="777">
        <v>2373</v>
      </c>
      <c r="W86" s="778">
        <f t="shared" ref="W86:AP86" si="174">W65+W71+W74+W77+W80</f>
        <v>2618</v>
      </c>
      <c r="X86" s="777">
        <f t="shared" si="174"/>
        <v>3113</v>
      </c>
      <c r="Y86" s="777">
        <f t="shared" si="174"/>
        <v>2994</v>
      </c>
      <c r="Z86" s="777">
        <f t="shared" si="174"/>
        <v>2130</v>
      </c>
      <c r="AA86" s="778">
        <f t="shared" si="174"/>
        <v>15390</v>
      </c>
      <c r="AB86" s="777">
        <f t="shared" si="174"/>
        <v>2185</v>
      </c>
      <c r="AC86" s="777">
        <f t="shared" si="174"/>
        <v>2277</v>
      </c>
      <c r="AD86" s="777">
        <f t="shared" si="174"/>
        <v>1583</v>
      </c>
      <c r="AE86" s="778">
        <f t="shared" si="174"/>
        <v>2451</v>
      </c>
      <c r="AF86" s="777">
        <f t="shared" si="174"/>
        <v>2093</v>
      </c>
      <c r="AG86" s="777">
        <f t="shared" si="174"/>
        <v>2269</v>
      </c>
      <c r="AH86" s="779">
        <f t="shared" si="174"/>
        <v>1455</v>
      </c>
      <c r="AI86" s="778">
        <f t="shared" si="174"/>
        <v>1922.0000000000005</v>
      </c>
      <c r="AJ86" s="777">
        <f t="shared" si="174"/>
        <v>2280.0000000000005</v>
      </c>
      <c r="AK86" s="777">
        <f t="shared" si="174"/>
        <v>2357.0502326646747</v>
      </c>
      <c r="AL86" s="779">
        <f t="shared" si="174"/>
        <v>2069.9497673353235</v>
      </c>
      <c r="AM86" s="777">
        <f t="shared" si="174"/>
        <v>5811.8710000000001</v>
      </c>
      <c r="AN86" s="777">
        <f t="shared" si="174"/>
        <v>5825.1268497761885</v>
      </c>
      <c r="AO86" s="777">
        <f t="shared" si="174"/>
        <v>5891.074525731382</v>
      </c>
      <c r="AP86" s="777">
        <f t="shared" si="174"/>
        <v>6158.0275966884146</v>
      </c>
      <c r="AQ86" s="1383"/>
      <c r="AR86" s="692"/>
      <c r="AS86" s="692"/>
      <c r="AT86" s="692"/>
      <c r="AU86" s="692"/>
      <c r="AV86" s="692"/>
      <c r="AW86" s="692"/>
      <c r="AX86" s="692"/>
      <c r="AY86" s="692"/>
      <c r="AZ86" s="692"/>
      <c r="BA86" s="692"/>
      <c r="BB86"/>
      <c r="BC86"/>
      <c r="BD86"/>
      <c r="BE86"/>
      <c r="BF86"/>
      <c r="BG86"/>
      <c r="BH86" s="693"/>
      <c r="BI86" s="693"/>
      <c r="BJ86" s="755"/>
      <c r="BK86" s="755"/>
      <c r="BL86" s="755"/>
      <c r="BM86" s="755"/>
      <c r="BN86" s="755"/>
      <c r="BO86" s="693"/>
      <c r="BP86" s="693"/>
      <c r="BQ86" s="693"/>
      <c r="BR86" s="693"/>
      <c r="BS86" s="693"/>
      <c r="BT86" s="693"/>
      <c r="BU86" s="693"/>
      <c r="BV86" s="693"/>
      <c r="BW86" s="693"/>
      <c r="BX86" s="693"/>
      <c r="BY86" s="693"/>
      <c r="BZ86" s="693"/>
      <c r="CA86" s="693"/>
      <c r="CB86" s="693"/>
      <c r="CC86" s="693"/>
      <c r="CD86" s="693"/>
      <c r="CE86" s="693"/>
      <c r="CF86" s="693"/>
      <c r="CG86" s="693"/>
      <c r="CH86" s="693"/>
      <c r="CI86" s="693"/>
      <c r="CJ86" s="693"/>
      <c r="CK86" s="693"/>
      <c r="CL86" s="693"/>
      <c r="CM86" s="693"/>
      <c r="CN86" s="693"/>
      <c r="CO86" s="693"/>
      <c r="CP86" s="693"/>
      <c r="CQ86" s="693"/>
      <c r="CR86" s="693"/>
      <c r="CS86" s="693"/>
      <c r="CT86" s="693"/>
      <c r="CU86" s="693"/>
      <c r="CV86" s="693"/>
      <c r="CW86" s="693"/>
      <c r="CX86" s="693"/>
      <c r="CY86" s="693"/>
      <c r="CZ86" s="693"/>
      <c r="DA86" s="693"/>
      <c r="DB86" s="693"/>
      <c r="DC86" s="693"/>
      <c r="DD86" s="693"/>
      <c r="DE86" s="693"/>
      <c r="DF86" s="693"/>
      <c r="DG86" s="693"/>
      <c r="DH86" s="693"/>
      <c r="DI86" s="693"/>
      <c r="DJ86" s="693"/>
      <c r="DK86" s="693"/>
      <c r="DL86" s="693"/>
      <c r="DM86" s="693"/>
      <c r="DN86" s="693"/>
      <c r="DO86" s="693"/>
      <c r="DP86" s="693"/>
    </row>
    <row r="87" spans="1:120" s="693" customFormat="1" outlineLevel="1">
      <c r="A87" s="780" t="s">
        <v>148</v>
      </c>
      <c r="B87" s="714"/>
      <c r="C87" s="714"/>
      <c r="D87" s="714">
        <v>9660</v>
      </c>
      <c r="E87" s="714">
        <v>11373</v>
      </c>
      <c r="F87" s="714">
        <v>9535</v>
      </c>
      <c r="G87" s="714">
        <v>9056</v>
      </c>
      <c r="H87" s="714">
        <v>9733</v>
      </c>
      <c r="I87" s="714">
        <v>13470.026404804021</v>
      </c>
      <c r="J87" s="714">
        <v>13985.447953256358</v>
      </c>
      <c r="K87" s="714">
        <v>15022.61915542038</v>
      </c>
      <c r="L87" s="714">
        <v>15953.13919466293</v>
      </c>
      <c r="M87" s="714">
        <v>16661.165730922286</v>
      </c>
      <c r="N87" s="714">
        <v>17907.943389569085</v>
      </c>
      <c r="O87" s="714">
        <v>18876.552934357849</v>
      </c>
      <c r="P87" s="714">
        <f t="shared" ref="N87:Q88" si="175">O87*1.05</f>
        <v>19820.380581075744</v>
      </c>
      <c r="Q87" s="714">
        <f t="shared" si="175"/>
        <v>20811.399610129531</v>
      </c>
      <c r="R87" s="715"/>
      <c r="S87" s="716"/>
      <c r="T87" s="716"/>
      <c r="U87" s="716"/>
      <c r="V87" s="716"/>
      <c r="W87" s="717"/>
      <c r="X87" s="716"/>
      <c r="Y87" s="716"/>
      <c r="Z87" s="716"/>
      <c r="AA87" s="717"/>
      <c r="AB87" s="716"/>
      <c r="AC87" s="716"/>
      <c r="AD87" s="716"/>
      <c r="AE87" s="717"/>
      <c r="AF87" s="716"/>
      <c r="AG87" s="716"/>
      <c r="AH87" s="718"/>
      <c r="AI87" s="717"/>
      <c r="AJ87" s="716"/>
      <c r="AK87" s="716"/>
      <c r="AL87" s="718"/>
      <c r="AM87" s="716"/>
      <c r="AN87" s="716"/>
      <c r="AO87" s="716"/>
      <c r="AP87" s="716"/>
      <c r="AQ87" s="1388"/>
      <c r="AR87" s="781"/>
      <c r="AS87" s="781"/>
      <c r="AT87" s="781"/>
      <c r="AU87" s="781"/>
      <c r="AV87" s="781"/>
      <c r="AW87" s="781"/>
      <c r="AX87" s="781"/>
      <c r="AY87" s="781"/>
      <c r="AZ87" s="781"/>
      <c r="BA87" s="781"/>
      <c r="BB87"/>
      <c r="BC87"/>
      <c r="BD87"/>
      <c r="BE87"/>
      <c r="BF87"/>
      <c r="BG87"/>
      <c r="BL87" s="782"/>
      <c r="BM87" s="783"/>
      <c r="BN87" s="784"/>
      <c r="BO87" s="784"/>
      <c r="BP87" s="784"/>
      <c r="BQ87" s="784"/>
      <c r="BR87" s="785"/>
      <c r="BS87" s="785"/>
      <c r="BT87" s="714"/>
      <c r="BU87" s="714"/>
      <c r="BV87" s="714"/>
      <c r="BW87" s="714"/>
      <c r="BX87" s="714"/>
      <c r="BY87" s="714"/>
      <c r="BZ87" s="714"/>
      <c r="CA87" s="714"/>
      <c r="CB87" s="714"/>
      <c r="CC87" s="714"/>
      <c r="CD87" s="714"/>
      <c r="CE87" s="714"/>
      <c r="CF87" s="714"/>
      <c r="CG87" s="714"/>
      <c r="CH87" s="714"/>
      <c r="CI87" s="714"/>
      <c r="CJ87" s="714"/>
      <c r="CK87" s="714"/>
      <c r="CL87" s="714"/>
      <c r="CM87" s="714"/>
      <c r="CN87" s="714"/>
      <c r="CO87" s="714"/>
      <c r="CP87" s="714"/>
      <c r="CQ87" s="714"/>
      <c r="CR87" s="714"/>
      <c r="CS87" s="714"/>
      <c r="CT87" s="714"/>
      <c r="CU87" s="714"/>
      <c r="CV87" s="714"/>
      <c r="CW87" s="714"/>
      <c r="CX87" s="714"/>
    </row>
    <row r="88" spans="1:120" s="693" customFormat="1" outlineLevel="1">
      <c r="A88" s="780" t="s">
        <v>149</v>
      </c>
      <c r="B88" s="714"/>
      <c r="C88" s="714"/>
      <c r="D88" s="714">
        <v>10304.322</v>
      </c>
      <c r="E88" s="714">
        <v>12274.878900000002</v>
      </c>
      <c r="F88" s="714">
        <v>10428.429500000002</v>
      </c>
      <c r="G88" s="714">
        <f>G87*Sales!G7</f>
        <v>9406.0948503292529</v>
      </c>
      <c r="H88" s="714">
        <f>H87*Sales!H7</f>
        <v>9878.3099392057156</v>
      </c>
      <c r="I88" s="714">
        <f>I87*Sales!I7</f>
        <v>13681.543060519652</v>
      </c>
      <c r="J88" s="714">
        <f>J87*Sales!J7</f>
        <v>14654.959791322946</v>
      </c>
      <c r="K88" s="714">
        <f>K87*Sales!K7</f>
        <v>15710.750005668666</v>
      </c>
      <c r="L88" s="714">
        <f>L87*Sales!L7</f>
        <v>16683.893740496682</v>
      </c>
      <c r="M88" s="714">
        <f>M87*Sales!M7</f>
        <v>17424.352364486807</v>
      </c>
      <c r="N88" s="714">
        <f t="shared" si="175"/>
        <v>18295.569982711149</v>
      </c>
      <c r="O88" s="714">
        <f t="shared" si="175"/>
        <v>19210.348481846708</v>
      </c>
      <c r="P88" s="714">
        <f t="shared" si="175"/>
        <v>20170.865905939045</v>
      </c>
      <c r="Q88" s="714">
        <f t="shared" si="175"/>
        <v>21179.409201235998</v>
      </c>
      <c r="R88" s="715"/>
      <c r="S88" s="716"/>
      <c r="T88" s="716"/>
      <c r="U88" s="716"/>
      <c r="V88" s="716"/>
      <c r="W88" s="717"/>
      <c r="X88" s="716"/>
      <c r="Y88" s="716"/>
      <c r="Z88" s="716"/>
      <c r="AA88" s="717"/>
      <c r="AB88" s="716"/>
      <c r="AC88" s="716"/>
      <c r="AD88" s="716"/>
      <c r="AE88" s="717"/>
      <c r="AF88" s="716"/>
      <c r="AG88" s="716"/>
      <c r="AH88" s="718"/>
      <c r="AI88" s="717"/>
      <c r="AJ88" s="716"/>
      <c r="AK88" s="716"/>
      <c r="AL88" s="718"/>
      <c r="AM88" s="716"/>
      <c r="AN88" s="716"/>
      <c r="AO88" s="716"/>
      <c r="AP88" s="716"/>
      <c r="AQ88" s="1388"/>
      <c r="AR88" s="781"/>
      <c r="AS88" s="781"/>
      <c r="AT88" s="781"/>
      <c r="AU88" s="781"/>
      <c r="AV88" s="781"/>
      <c r="AW88" s="781"/>
      <c r="AX88" s="781"/>
      <c r="AY88" s="781"/>
      <c r="AZ88" s="781"/>
      <c r="BA88" s="781"/>
      <c r="BB88"/>
      <c r="BC88"/>
      <c r="BD88"/>
      <c r="BE88"/>
      <c r="BF88"/>
      <c r="BG88"/>
      <c r="BL88" s="782"/>
      <c r="BM88" s="783"/>
      <c r="BN88" s="784"/>
      <c r="BO88" s="784"/>
      <c r="BP88" s="784"/>
      <c r="BQ88" s="784"/>
      <c r="BR88" s="785"/>
      <c r="BS88" s="785"/>
      <c r="BT88" s="714"/>
      <c r="BU88" s="714"/>
      <c r="BV88" s="714"/>
      <c r="BW88" s="714"/>
      <c r="BX88" s="714"/>
      <c r="BY88" s="714"/>
      <c r="BZ88" s="714"/>
      <c r="CA88" s="714"/>
      <c r="CB88" s="714"/>
      <c r="CC88" s="714"/>
      <c r="CD88" s="714"/>
      <c r="CE88" s="714"/>
      <c r="CF88" s="714"/>
      <c r="CG88" s="714"/>
      <c r="CH88" s="714"/>
      <c r="CI88" s="714"/>
      <c r="CJ88" s="714"/>
      <c r="CK88" s="714"/>
      <c r="CL88" s="714"/>
      <c r="CM88" s="714"/>
      <c r="CN88" s="714"/>
      <c r="CO88" s="714"/>
      <c r="CP88" s="714"/>
      <c r="CQ88" s="714"/>
      <c r="CR88" s="714"/>
      <c r="CS88" s="714"/>
      <c r="CT88" s="714"/>
      <c r="CU88" s="714"/>
      <c r="CV88" s="714"/>
      <c r="CW88" s="714"/>
      <c r="CX88" s="714"/>
    </row>
    <row r="89" spans="1:120" s="693" customFormat="1" outlineLevel="1">
      <c r="A89" s="780" t="s">
        <v>565</v>
      </c>
      <c r="B89" s="714"/>
      <c r="C89" s="714"/>
      <c r="D89" s="714">
        <v>709</v>
      </c>
      <c r="E89" s="714">
        <v>817</v>
      </c>
      <c r="F89" s="714">
        <v>813</v>
      </c>
      <c r="G89" s="714">
        <v>650</v>
      </c>
      <c r="H89" s="714">
        <v>678</v>
      </c>
      <c r="I89" s="714">
        <v>669</v>
      </c>
      <c r="J89" s="786">
        <f t="shared" ref="J89:Q89" si="176">J88*J90</f>
        <v>879.29758747937672</v>
      </c>
      <c r="K89" s="786">
        <f t="shared" si="176"/>
        <v>942.64500034011996</v>
      </c>
      <c r="L89" s="786">
        <f t="shared" si="176"/>
        <v>1001.0336244298009</v>
      </c>
      <c r="M89" s="786">
        <f t="shared" si="176"/>
        <v>1045.4611418692084</v>
      </c>
      <c r="N89" s="786">
        <f t="shared" si="176"/>
        <v>1097.7341989626689</v>
      </c>
      <c r="O89" s="786">
        <f t="shared" si="176"/>
        <v>1152.6209089108024</v>
      </c>
      <c r="P89" s="786">
        <f t="shared" si="176"/>
        <v>1210.2519543563426</v>
      </c>
      <c r="Q89" s="786">
        <f t="shared" si="176"/>
        <v>1270.7645520741598</v>
      </c>
      <c r="R89" s="715"/>
      <c r="S89" s="716"/>
      <c r="T89" s="716"/>
      <c r="U89" s="716"/>
      <c r="V89" s="716"/>
      <c r="W89" s="717">
        <v>241</v>
      </c>
      <c r="X89" s="716">
        <v>217</v>
      </c>
      <c r="Y89" s="716">
        <v>164</v>
      </c>
      <c r="Z89" s="716">
        <f>F89-SUM(W89:Y89)</f>
        <v>191</v>
      </c>
      <c r="AA89" s="717">
        <v>182</v>
      </c>
      <c r="AB89" s="716">
        <v>186</v>
      </c>
      <c r="AC89" s="716">
        <v>160</v>
      </c>
      <c r="AD89" s="716">
        <f>G89-AA89-AB89-AC89</f>
        <v>122</v>
      </c>
      <c r="AE89" s="787">
        <v>179</v>
      </c>
      <c r="AF89" s="716">
        <v>181</v>
      </c>
      <c r="AG89" s="786">
        <v>162</v>
      </c>
      <c r="AH89" s="718">
        <f>+H89-AE89-AF89-AG89</f>
        <v>156</v>
      </c>
      <c r="AI89" s="787">
        <v>174</v>
      </c>
      <c r="AJ89" s="716">
        <v>155</v>
      </c>
      <c r="AK89" s="716">
        <v>180</v>
      </c>
      <c r="AL89" s="718">
        <f>I89-AI89-AJ89-AK89</f>
        <v>160</v>
      </c>
      <c r="AM89" s="787">
        <v>188</v>
      </c>
      <c r="AN89" s="788">
        <f>J89/4</f>
        <v>219.82439686984418</v>
      </c>
      <c r="AO89" s="788">
        <f>J89/4</f>
        <v>219.82439686984418</v>
      </c>
      <c r="AP89" s="716">
        <f>J89-AM89-AN89-AO89</f>
        <v>251.64879373968836</v>
      </c>
      <c r="AQ89" s="1388"/>
      <c r="AR89" s="781"/>
      <c r="AS89" s="781"/>
      <c r="AT89" s="781"/>
      <c r="AU89" s="781"/>
      <c r="AV89" s="781"/>
      <c r="AW89" s="781"/>
      <c r="AX89" s="781"/>
      <c r="AY89" s="781"/>
      <c r="AZ89" s="781"/>
      <c r="BA89" s="781"/>
      <c r="BB89"/>
      <c r="BC89"/>
      <c r="BD89"/>
      <c r="BE89"/>
      <c r="BF89"/>
      <c r="BG89"/>
      <c r="BL89" s="782"/>
      <c r="BM89" s="783"/>
      <c r="BN89" s="784"/>
      <c r="BO89" s="784"/>
      <c r="BP89" s="784"/>
      <c r="BQ89" s="784"/>
      <c r="BR89" s="785"/>
      <c r="BS89" s="785"/>
      <c r="BT89" s="714"/>
      <c r="BU89" s="714"/>
      <c r="BV89" s="714"/>
      <c r="BW89" s="714"/>
      <c r="BX89" s="714"/>
      <c r="BY89" s="714"/>
      <c r="BZ89" s="714"/>
      <c r="CA89" s="714"/>
      <c r="CB89" s="714"/>
      <c r="CC89" s="714"/>
      <c r="CD89" s="714"/>
      <c r="CE89" s="714"/>
      <c r="CF89" s="714"/>
      <c r="CG89" s="714"/>
      <c r="CH89" s="714"/>
      <c r="CI89" s="714"/>
      <c r="CJ89" s="714"/>
      <c r="CK89" s="714"/>
      <c r="CL89" s="714"/>
      <c r="CM89" s="714"/>
      <c r="CN89" s="714"/>
      <c r="CO89" s="714"/>
      <c r="CP89" s="714"/>
      <c r="CQ89" s="714"/>
      <c r="CR89" s="714"/>
      <c r="CS89" s="714"/>
      <c r="CT89" s="714"/>
      <c r="CU89" s="714"/>
      <c r="CV89" s="714"/>
      <c r="CW89" s="714"/>
      <c r="CX89" s="714"/>
    </row>
    <row r="90" spans="1:120" s="693" customFormat="1" outlineLevel="1">
      <c r="A90" s="780" t="s">
        <v>572</v>
      </c>
      <c r="B90" s="714"/>
      <c r="C90" s="714"/>
      <c r="D90" s="731">
        <v>6.8806079623676353E-2</v>
      </c>
      <c r="E90" s="731">
        <v>6.6558701446740948E-2</v>
      </c>
      <c r="F90" s="731">
        <v>7.7959965112675875E-2</v>
      </c>
      <c r="G90" s="755">
        <f>G89/G88</f>
        <v>6.9104129858657257E-2</v>
      </c>
      <c r="H90" s="755">
        <f>H89/H88</f>
        <v>6.8635222439124635E-2</v>
      </c>
      <c r="I90" s="755">
        <f>I89/I88</f>
        <v>4.8897993233709858E-2</v>
      </c>
      <c r="J90" s="789">
        <v>0.06</v>
      </c>
      <c r="K90" s="789">
        <v>0.06</v>
      </c>
      <c r="L90" s="789">
        <v>0.06</v>
      </c>
      <c r="M90" s="789">
        <v>0.06</v>
      </c>
      <c r="N90" s="789">
        <v>0.06</v>
      </c>
      <c r="O90" s="789">
        <v>0.06</v>
      </c>
      <c r="P90" s="789">
        <v>0.06</v>
      </c>
      <c r="Q90" s="789">
        <v>0.06</v>
      </c>
      <c r="R90" s="715"/>
      <c r="S90" s="716"/>
      <c r="T90" s="716"/>
      <c r="U90" s="716"/>
      <c r="V90" s="716"/>
      <c r="W90" s="717"/>
      <c r="X90" s="716"/>
      <c r="Y90" s="716"/>
      <c r="Z90" s="716"/>
      <c r="AA90" s="717"/>
      <c r="AB90" s="716"/>
      <c r="AC90" s="716"/>
      <c r="AD90" s="716"/>
      <c r="AE90" s="790"/>
      <c r="AF90" s="755"/>
      <c r="AG90" s="789"/>
      <c r="AH90" s="791"/>
      <c r="AI90" s="790"/>
      <c r="AJ90" s="755"/>
      <c r="AK90" s="755"/>
      <c r="AL90" s="791"/>
      <c r="AM90" s="790"/>
      <c r="AN90" s="792"/>
      <c r="AO90" s="792"/>
      <c r="AP90" s="792"/>
      <c r="AQ90" s="1388"/>
      <c r="AR90" s="781"/>
      <c r="AS90" s="781"/>
      <c r="AT90" s="781"/>
      <c r="AU90" s="781"/>
      <c r="AV90" s="781"/>
      <c r="AW90" s="781"/>
      <c r="AX90" s="781"/>
      <c r="AY90" s="781"/>
      <c r="AZ90" s="781"/>
      <c r="BA90" s="781"/>
      <c r="BB90"/>
      <c r="BC90"/>
      <c r="BD90"/>
      <c r="BE90"/>
      <c r="BF90"/>
      <c r="BG90"/>
      <c r="BL90" s="782"/>
      <c r="BM90" s="783"/>
      <c r="BN90" s="784"/>
      <c r="BO90" s="784"/>
      <c r="BP90" s="784"/>
      <c r="BQ90" s="784"/>
      <c r="BR90" s="785"/>
      <c r="BS90" s="785"/>
      <c r="BT90" s="714"/>
      <c r="BU90" s="714"/>
      <c r="BV90" s="714"/>
      <c r="BW90" s="714"/>
      <c r="BX90" s="714"/>
      <c r="BY90" s="714"/>
      <c r="BZ90" s="714"/>
      <c r="CA90" s="714"/>
      <c r="CB90" s="714"/>
      <c r="CC90" s="714"/>
      <c r="CD90" s="714"/>
      <c r="CE90" s="714"/>
      <c r="CF90" s="714"/>
      <c r="CG90" s="714"/>
      <c r="CH90" s="714"/>
      <c r="CI90" s="714"/>
      <c r="CJ90" s="714"/>
      <c r="CK90" s="714"/>
      <c r="CL90" s="714"/>
      <c r="CM90" s="714"/>
      <c r="CN90" s="714"/>
      <c r="CO90" s="714"/>
      <c r="CP90" s="714"/>
      <c r="CQ90" s="714"/>
      <c r="CR90" s="714"/>
      <c r="CS90" s="714"/>
      <c r="CT90" s="714"/>
      <c r="CU90" s="714"/>
      <c r="CV90" s="714"/>
      <c r="CW90" s="714"/>
      <c r="CX90" s="714"/>
    </row>
    <row r="91" spans="1:120" s="693" customFormat="1" outlineLevel="1">
      <c r="A91" s="780" t="s">
        <v>561</v>
      </c>
      <c r="B91" s="714"/>
      <c r="C91" s="714"/>
      <c r="D91" s="714">
        <v>-18</v>
      </c>
      <c r="E91" s="714">
        <v>-59</v>
      </c>
      <c r="F91" s="714">
        <v>-56</v>
      </c>
      <c r="G91" s="714">
        <v>-157</v>
      </c>
      <c r="H91" s="714">
        <v>-68</v>
      </c>
      <c r="I91" s="714">
        <v>-67</v>
      </c>
      <c r="J91" s="793">
        <f t="shared" ref="J91:Q91" si="177">I91</f>
        <v>-67</v>
      </c>
      <c r="K91" s="793">
        <f t="shared" si="177"/>
        <v>-67</v>
      </c>
      <c r="L91" s="793">
        <f t="shared" si="177"/>
        <v>-67</v>
      </c>
      <c r="M91" s="793">
        <f t="shared" si="177"/>
        <v>-67</v>
      </c>
      <c r="N91" s="793">
        <f t="shared" si="177"/>
        <v>-67</v>
      </c>
      <c r="O91" s="793">
        <f t="shared" si="177"/>
        <v>-67</v>
      </c>
      <c r="P91" s="793">
        <f t="shared" si="177"/>
        <v>-67</v>
      </c>
      <c r="Q91" s="793">
        <f t="shared" si="177"/>
        <v>-67</v>
      </c>
      <c r="R91" s="715"/>
      <c r="S91" s="716"/>
      <c r="T91" s="716"/>
      <c r="U91" s="716"/>
      <c r="V91" s="716"/>
      <c r="W91" s="717">
        <v>-56</v>
      </c>
      <c r="X91" s="716">
        <v>0</v>
      </c>
      <c r="Y91" s="716">
        <v>0</v>
      </c>
      <c r="Z91" s="716">
        <f>F91-SUM(W91:Y91)</f>
        <v>0</v>
      </c>
      <c r="AA91" s="717">
        <v>-157</v>
      </c>
      <c r="AB91" s="716">
        <v>0</v>
      </c>
      <c r="AC91" s="716">
        <v>0</v>
      </c>
      <c r="AD91" s="716">
        <f>G91-AA91-AB91-AC91</f>
        <v>0</v>
      </c>
      <c r="AE91" s="717">
        <v>-68</v>
      </c>
      <c r="AF91" s="716">
        <v>0</v>
      </c>
      <c r="AG91" s="716">
        <v>0</v>
      </c>
      <c r="AH91" s="718">
        <f>+H91-AE91-AF91-AG91</f>
        <v>0</v>
      </c>
      <c r="AI91" s="717">
        <v>-67</v>
      </c>
      <c r="AJ91" s="716">
        <v>0</v>
      </c>
      <c r="AK91" s="716">
        <v>0</v>
      </c>
      <c r="AL91" s="718">
        <f>I91-AI91-AJ91-AK91</f>
        <v>0</v>
      </c>
      <c r="AM91" s="717">
        <v>-125</v>
      </c>
      <c r="AN91" s="716">
        <f>J91/4</f>
        <v>-16.75</v>
      </c>
      <c r="AO91" s="716">
        <f>J91/4</f>
        <v>-16.75</v>
      </c>
      <c r="AP91" s="716">
        <f t="shared" ref="AP91:AP92" si="178">J91-AM91-AN91-AO91</f>
        <v>91.5</v>
      </c>
      <c r="AQ91" s="1388"/>
      <c r="AR91" s="781"/>
      <c r="AS91" s="781"/>
      <c r="AT91" s="781"/>
      <c r="AU91" s="781"/>
      <c r="AV91" s="781"/>
      <c r="AW91" s="781"/>
      <c r="AX91" s="781"/>
      <c r="AY91" s="781"/>
      <c r="AZ91" s="781"/>
      <c r="BA91" s="781"/>
      <c r="BB91"/>
      <c r="BC91"/>
      <c r="BD91"/>
      <c r="BE91"/>
      <c r="BF91"/>
      <c r="BG91"/>
      <c r="BL91" s="782"/>
      <c r="BM91" s="783"/>
      <c r="BN91" s="784"/>
      <c r="BO91" s="784"/>
      <c r="BP91" s="784"/>
      <c r="BQ91" s="784"/>
      <c r="BR91" s="785"/>
      <c r="BS91" s="785"/>
      <c r="BT91" s="714"/>
      <c r="BU91" s="714"/>
      <c r="BV91" s="714"/>
      <c r="BW91" s="714"/>
      <c r="BX91" s="714"/>
      <c r="BY91" s="714"/>
      <c r="BZ91" s="714"/>
      <c r="CA91" s="714"/>
      <c r="CB91" s="714"/>
      <c r="CC91" s="714"/>
      <c r="CD91" s="714"/>
      <c r="CE91" s="714"/>
      <c r="CF91" s="714"/>
      <c r="CG91" s="714"/>
      <c r="CH91" s="714"/>
      <c r="CI91" s="714"/>
      <c r="CJ91" s="714"/>
      <c r="CK91" s="714"/>
      <c r="CL91" s="714"/>
      <c r="CM91" s="714"/>
      <c r="CN91" s="714"/>
      <c r="CO91" s="714"/>
      <c r="CP91" s="714"/>
      <c r="CQ91" s="714"/>
      <c r="CR91" s="714"/>
      <c r="CS91" s="714"/>
      <c r="CT91" s="714"/>
      <c r="CU91" s="714"/>
      <c r="CV91" s="714"/>
      <c r="CW91" s="714"/>
      <c r="CX91" s="714"/>
    </row>
    <row r="92" spans="1:120" s="693" customFormat="1" outlineLevel="1">
      <c r="A92" s="780" t="s">
        <v>562</v>
      </c>
      <c r="B92" s="714"/>
      <c r="C92" s="714">
        <v>-79</v>
      </c>
      <c r="D92" s="714">
        <v>-153</v>
      </c>
      <c r="E92" s="714">
        <v>-154</v>
      </c>
      <c r="F92" s="714">
        <v>-158</v>
      </c>
      <c r="G92" s="714">
        <v>-150</v>
      </c>
      <c r="H92" s="714">
        <v>-146</v>
      </c>
      <c r="I92" s="714">
        <v>-146</v>
      </c>
      <c r="J92" s="793">
        <f t="shared" ref="J92:Q92" si="179">I92</f>
        <v>-146</v>
      </c>
      <c r="K92" s="793">
        <f t="shared" si="179"/>
        <v>-146</v>
      </c>
      <c r="L92" s="793">
        <f t="shared" si="179"/>
        <v>-146</v>
      </c>
      <c r="M92" s="793">
        <f t="shared" si="179"/>
        <v>-146</v>
      </c>
      <c r="N92" s="793">
        <f t="shared" si="179"/>
        <v>-146</v>
      </c>
      <c r="O92" s="793">
        <f t="shared" si="179"/>
        <v>-146</v>
      </c>
      <c r="P92" s="793">
        <f t="shared" si="179"/>
        <v>-146</v>
      </c>
      <c r="Q92" s="793">
        <f t="shared" si="179"/>
        <v>-146</v>
      </c>
      <c r="R92" s="715"/>
      <c r="S92" s="716"/>
      <c r="T92" s="716"/>
      <c r="U92" s="716"/>
      <c r="V92" s="716"/>
      <c r="W92" s="717">
        <v>-40</v>
      </c>
      <c r="X92" s="716">
        <v>-41</v>
      </c>
      <c r="Y92" s="716">
        <v>-39</v>
      </c>
      <c r="Z92" s="716">
        <f>F92-SUM(W92:Y92)</f>
        <v>-38</v>
      </c>
      <c r="AA92" s="717">
        <v>-38</v>
      </c>
      <c r="AB92" s="716">
        <v>-38</v>
      </c>
      <c r="AC92" s="716">
        <v>-37</v>
      </c>
      <c r="AD92" s="716">
        <f>G92-AA92-AB92-AC92</f>
        <v>-37</v>
      </c>
      <c r="AE92" s="717">
        <v>-36</v>
      </c>
      <c r="AF92" s="716">
        <v>-37</v>
      </c>
      <c r="AG92" s="716">
        <v>-37</v>
      </c>
      <c r="AH92" s="718">
        <f>+H92-AE92-AF92-AG92</f>
        <v>-36</v>
      </c>
      <c r="AI92" s="717">
        <v>-36</v>
      </c>
      <c r="AJ92" s="716">
        <v>-36</v>
      </c>
      <c r="AK92" s="716">
        <v>-38</v>
      </c>
      <c r="AL92" s="718">
        <f>I92-AI92-AJ92-AK92</f>
        <v>-36</v>
      </c>
      <c r="AM92" s="717">
        <v>-38</v>
      </c>
      <c r="AN92" s="716">
        <f>J92/4</f>
        <v>-36.5</v>
      </c>
      <c r="AO92" s="716">
        <f>J92/4</f>
        <v>-36.5</v>
      </c>
      <c r="AP92" s="716">
        <f t="shared" si="178"/>
        <v>-35</v>
      </c>
      <c r="AQ92" s="1389"/>
      <c r="AR92" s="794"/>
      <c r="AS92" s="794"/>
      <c r="AT92" s="794"/>
      <c r="AU92" s="794"/>
      <c r="AV92" s="794"/>
      <c r="AW92" s="794"/>
      <c r="AX92" s="794"/>
      <c r="AY92" s="794"/>
      <c r="AZ92" s="794"/>
      <c r="BA92" s="794"/>
      <c r="BB92"/>
      <c r="BC92"/>
      <c r="BD92"/>
      <c r="BE92"/>
      <c r="BF92"/>
      <c r="BG92"/>
      <c r="BL92" s="714"/>
      <c r="BM92" s="714"/>
      <c r="BN92" s="784"/>
      <c r="BO92" s="784"/>
      <c r="BP92" s="785"/>
      <c r="BQ92" s="785"/>
      <c r="BR92" s="785"/>
      <c r="BS92" s="785"/>
      <c r="BT92" s="714"/>
      <c r="BU92" s="714"/>
      <c r="BV92" s="714"/>
      <c r="BW92" s="714"/>
      <c r="BX92" s="714"/>
      <c r="BY92" s="714"/>
      <c r="BZ92" s="714"/>
      <c r="CA92" s="714"/>
      <c r="CB92" s="714"/>
      <c r="CC92" s="714"/>
      <c r="CD92" s="714"/>
      <c r="CE92" s="714"/>
      <c r="CF92" s="714"/>
      <c r="CG92" s="714"/>
      <c r="CH92" s="714"/>
      <c r="CI92" s="714"/>
      <c r="CJ92" s="714"/>
      <c r="CK92" s="714"/>
      <c r="CL92" s="714"/>
      <c r="CM92" s="714"/>
      <c r="CN92" s="714"/>
      <c r="CO92" s="714"/>
      <c r="CP92" s="714"/>
      <c r="CQ92" s="714"/>
      <c r="CR92" s="714"/>
      <c r="CS92" s="714"/>
      <c r="CT92" s="714"/>
      <c r="CU92" s="714"/>
      <c r="CV92" s="714"/>
      <c r="CW92" s="714"/>
      <c r="CX92" s="714"/>
    </row>
    <row r="93" spans="1:120" s="799" customFormat="1" outlineLevel="1">
      <c r="A93" s="795" t="s">
        <v>563</v>
      </c>
      <c r="B93" s="720">
        <v>495</v>
      </c>
      <c r="C93" s="720">
        <v>889</v>
      </c>
      <c r="D93" s="720">
        <v>538</v>
      </c>
      <c r="E93" s="720">
        <v>604</v>
      </c>
      <c r="F93" s="720">
        <v>599</v>
      </c>
      <c r="G93" s="720">
        <f>G89+G91+G92</f>
        <v>343</v>
      </c>
      <c r="H93" s="720">
        <f t="shared" ref="H93:Q93" si="180">H89+H91+H92</f>
        <v>464</v>
      </c>
      <c r="I93" s="720">
        <f t="shared" si="180"/>
        <v>456</v>
      </c>
      <c r="J93" s="720">
        <f t="shared" si="180"/>
        <v>666.29758747937672</v>
      </c>
      <c r="K93" s="720">
        <f t="shared" si="180"/>
        <v>729.64500034011996</v>
      </c>
      <c r="L93" s="720">
        <f t="shared" si="180"/>
        <v>788.03362442980085</v>
      </c>
      <c r="M93" s="720">
        <f t="shared" si="180"/>
        <v>832.4611418692084</v>
      </c>
      <c r="N93" s="720">
        <f t="shared" si="180"/>
        <v>884.73419896266887</v>
      </c>
      <c r="O93" s="720">
        <f t="shared" si="180"/>
        <v>939.62090891080243</v>
      </c>
      <c r="P93" s="720">
        <f t="shared" si="180"/>
        <v>997.25195435634259</v>
      </c>
      <c r="Q93" s="720">
        <f t="shared" si="180"/>
        <v>1057.7645520741598</v>
      </c>
      <c r="R93" s="719"/>
      <c r="S93" s="796"/>
      <c r="T93" s="796"/>
      <c r="U93" s="796"/>
      <c r="V93" s="796"/>
      <c r="W93" s="797">
        <f t="shared" ref="W93:AP93" si="181">W89+W91+W92</f>
        <v>145</v>
      </c>
      <c r="X93" s="796">
        <f t="shared" si="181"/>
        <v>176</v>
      </c>
      <c r="Y93" s="796">
        <f t="shared" si="181"/>
        <v>125</v>
      </c>
      <c r="Z93" s="796">
        <f t="shared" si="181"/>
        <v>153</v>
      </c>
      <c r="AA93" s="797">
        <f t="shared" si="181"/>
        <v>-13</v>
      </c>
      <c r="AB93" s="796">
        <f t="shared" si="181"/>
        <v>148</v>
      </c>
      <c r="AC93" s="796">
        <f t="shared" si="181"/>
        <v>123</v>
      </c>
      <c r="AD93" s="796">
        <f t="shared" si="181"/>
        <v>85</v>
      </c>
      <c r="AE93" s="797">
        <f t="shared" si="181"/>
        <v>75</v>
      </c>
      <c r="AF93" s="796">
        <f t="shared" si="181"/>
        <v>144</v>
      </c>
      <c r="AG93" s="796">
        <f t="shared" si="181"/>
        <v>125</v>
      </c>
      <c r="AH93" s="798">
        <f t="shared" si="181"/>
        <v>120</v>
      </c>
      <c r="AI93" s="797">
        <f t="shared" si="181"/>
        <v>71</v>
      </c>
      <c r="AJ93" s="796">
        <f t="shared" si="181"/>
        <v>119</v>
      </c>
      <c r="AK93" s="796">
        <f t="shared" si="181"/>
        <v>142</v>
      </c>
      <c r="AL93" s="798">
        <f t="shared" si="181"/>
        <v>124</v>
      </c>
      <c r="AM93" s="797">
        <f t="shared" si="181"/>
        <v>25</v>
      </c>
      <c r="AN93" s="796">
        <f t="shared" si="181"/>
        <v>166.57439686984418</v>
      </c>
      <c r="AO93" s="796">
        <f t="shared" si="181"/>
        <v>166.57439686984418</v>
      </c>
      <c r="AP93" s="796">
        <f t="shared" si="181"/>
        <v>308.14879373968836</v>
      </c>
      <c r="AQ93" s="1388"/>
      <c r="AR93" s="781"/>
      <c r="AS93" s="781"/>
      <c r="AT93" s="781"/>
      <c r="AU93" s="781"/>
      <c r="AV93" s="781"/>
      <c r="AW93" s="781"/>
      <c r="AX93" s="781"/>
      <c r="AY93" s="781"/>
      <c r="AZ93" s="781"/>
      <c r="BA93" s="781"/>
      <c r="BB93"/>
      <c r="BC93"/>
      <c r="BD93"/>
      <c r="BE93"/>
      <c r="BF93"/>
      <c r="BG93"/>
      <c r="BL93" s="720"/>
      <c r="BM93" s="720"/>
      <c r="BN93" s="800"/>
      <c r="BO93" s="800"/>
      <c r="BP93" s="800"/>
      <c r="BQ93" s="800"/>
      <c r="BR93" s="800"/>
      <c r="BS93" s="800"/>
      <c r="BT93" s="800"/>
      <c r="BU93" s="800"/>
      <c r="BV93" s="720"/>
      <c r="BW93" s="720"/>
      <c r="BX93" s="720"/>
      <c r="BY93" s="720"/>
      <c r="BZ93" s="720"/>
      <c r="CA93" s="720"/>
      <c r="CB93" s="720"/>
      <c r="CC93" s="720"/>
      <c r="CD93" s="720"/>
      <c r="CE93" s="720"/>
      <c r="CF93" s="720"/>
      <c r="CG93" s="720"/>
      <c r="CH93" s="720"/>
      <c r="CI93" s="720"/>
      <c r="CJ93" s="720"/>
      <c r="CK93" s="720"/>
      <c r="CL93" s="720"/>
      <c r="CM93" s="720"/>
      <c r="CN93" s="720"/>
      <c r="CO93" s="720"/>
      <c r="CP93" s="720"/>
      <c r="CQ93" s="720"/>
      <c r="CR93" s="720"/>
      <c r="CS93" s="720"/>
      <c r="CT93" s="720"/>
      <c r="CU93" s="720"/>
      <c r="CV93" s="720"/>
      <c r="CW93" s="720"/>
      <c r="CX93" s="720"/>
    </row>
    <row r="94" spans="1:120" s="693" customFormat="1" outlineLevel="1">
      <c r="A94" s="780" t="s">
        <v>566</v>
      </c>
      <c r="B94" s="714"/>
      <c r="C94" s="714"/>
      <c r="D94" s="714"/>
      <c r="E94" s="714"/>
      <c r="F94" s="714"/>
      <c r="G94" s="714">
        <f>-17-62</f>
        <v>-79</v>
      </c>
      <c r="H94" s="714">
        <f>268-12-22</f>
        <v>234</v>
      </c>
      <c r="I94" s="714">
        <f>589+47-7</f>
        <v>629</v>
      </c>
      <c r="J94" s="833">
        <f>AM94</f>
        <v>128</v>
      </c>
      <c r="K94" s="714"/>
      <c r="L94" s="714"/>
      <c r="M94" s="714"/>
      <c r="N94" s="714"/>
      <c r="O94" s="714"/>
      <c r="P94" s="714"/>
      <c r="Q94" s="714"/>
      <c r="R94" s="715"/>
      <c r="S94" s="716"/>
      <c r="T94" s="716"/>
      <c r="U94" s="716"/>
      <c r="V94" s="716"/>
      <c r="W94" s="717"/>
      <c r="X94" s="716"/>
      <c r="Y94" s="716"/>
      <c r="Z94" s="716"/>
      <c r="AA94" s="717">
        <v>28</v>
      </c>
      <c r="AB94" s="716">
        <v>-28</v>
      </c>
      <c r="AC94" s="716">
        <v>-3</v>
      </c>
      <c r="AD94" s="716">
        <f>G94-AA94-AB94-AC94</f>
        <v>-76</v>
      </c>
      <c r="AE94" s="717">
        <f>53-3</f>
        <v>50</v>
      </c>
      <c r="AF94" s="716">
        <f>81-22-2</f>
        <v>57</v>
      </c>
      <c r="AG94" s="716">
        <f>95-4</f>
        <v>91</v>
      </c>
      <c r="AH94" s="718">
        <f>+H94-AE94-AF94-AG94</f>
        <v>36</v>
      </c>
      <c r="AI94" s="717">
        <f>97+47-1</f>
        <v>143</v>
      </c>
      <c r="AJ94" s="716">
        <f>79-3</f>
        <v>76</v>
      </c>
      <c r="AK94" s="716">
        <f>120-1</f>
        <v>119</v>
      </c>
      <c r="AL94" s="718">
        <f>I94-AI94-AJ94-AK94</f>
        <v>291</v>
      </c>
      <c r="AM94" s="717">
        <f>127+4-3</f>
        <v>128</v>
      </c>
      <c r="AN94" s="716"/>
      <c r="AO94" s="716"/>
      <c r="AP94" s="716"/>
      <c r="AQ94" s="1389"/>
      <c r="AR94" s="794"/>
      <c r="AS94" s="794"/>
      <c r="AT94" s="794"/>
      <c r="AU94" s="794"/>
      <c r="AV94" s="794"/>
      <c r="AW94" s="794"/>
      <c r="AX94" s="794"/>
      <c r="AY94" s="794"/>
      <c r="AZ94" s="794"/>
      <c r="BA94" s="794"/>
      <c r="BB94"/>
      <c r="BC94"/>
      <c r="BD94"/>
      <c r="BE94"/>
      <c r="BF94"/>
      <c r="BG94"/>
      <c r="BL94" s="714"/>
      <c r="BM94" s="714"/>
      <c r="BN94" s="784"/>
      <c r="BO94" s="784"/>
      <c r="BP94" s="784"/>
      <c r="BQ94" s="784"/>
      <c r="BR94" s="784"/>
      <c r="BS94" s="784"/>
      <c r="BT94" s="784"/>
      <c r="BU94" s="784"/>
      <c r="BV94" s="714"/>
      <c r="BW94" s="714"/>
      <c r="BX94" s="714"/>
      <c r="BY94" s="714"/>
      <c r="BZ94" s="714"/>
      <c r="CA94" s="714"/>
      <c r="CB94" s="714"/>
      <c r="CC94" s="714"/>
      <c r="CD94" s="714"/>
      <c r="CE94" s="714"/>
      <c r="CF94" s="714"/>
      <c r="CG94" s="714"/>
      <c r="CH94" s="714"/>
      <c r="CI94" s="714"/>
      <c r="CJ94" s="714"/>
      <c r="CK94" s="714"/>
      <c r="CL94" s="714"/>
      <c r="CM94" s="714"/>
      <c r="CN94" s="714"/>
      <c r="CO94" s="714"/>
      <c r="CP94" s="714"/>
      <c r="CQ94" s="714"/>
      <c r="CR94" s="714"/>
      <c r="CS94" s="714"/>
      <c r="CT94" s="714"/>
      <c r="CU94" s="714"/>
      <c r="CV94" s="714"/>
      <c r="CW94" s="714"/>
      <c r="CX94" s="714"/>
    </row>
    <row r="95" spans="1:120" s="693" customFormat="1" outlineLevel="1">
      <c r="A95" s="780" t="s">
        <v>568</v>
      </c>
      <c r="B95" s="714"/>
      <c r="C95" s="714"/>
      <c r="D95" s="714"/>
      <c r="E95" s="714"/>
      <c r="F95" s="786">
        <v>812</v>
      </c>
      <c r="G95" s="786"/>
      <c r="H95" s="786"/>
      <c r="I95" s="786"/>
      <c r="J95" s="714"/>
      <c r="K95" s="714"/>
      <c r="L95" s="714"/>
      <c r="M95" s="714"/>
      <c r="N95" s="714"/>
      <c r="O95" s="714"/>
      <c r="P95" s="714"/>
      <c r="Q95" s="714"/>
      <c r="R95" s="715"/>
      <c r="S95" s="716"/>
      <c r="T95" s="716"/>
      <c r="U95" s="716"/>
      <c r="V95" s="716"/>
      <c r="W95" s="717"/>
      <c r="X95" s="716"/>
      <c r="Y95" s="716">
        <v>812</v>
      </c>
      <c r="Z95" s="716">
        <f>F95-SUM(W95:Y95)</f>
        <v>0</v>
      </c>
      <c r="AA95" s="717"/>
      <c r="AB95" s="716"/>
      <c r="AC95" s="716"/>
      <c r="AD95" s="716"/>
      <c r="AE95" s="717"/>
      <c r="AF95" s="716"/>
      <c r="AG95" s="716"/>
      <c r="AH95" s="718"/>
      <c r="AI95" s="717"/>
      <c r="AJ95" s="716"/>
      <c r="AK95" s="716"/>
      <c r="AL95" s="718"/>
      <c r="AM95" s="716"/>
      <c r="AN95" s="716"/>
      <c r="AO95" s="716"/>
      <c r="AP95" s="716"/>
      <c r="AQ95" s="1389"/>
      <c r="AR95" s="794"/>
      <c r="AS95" s="794"/>
      <c r="AT95" s="794"/>
      <c r="AU95" s="794"/>
      <c r="AV95" s="794"/>
      <c r="AW95" s="794"/>
      <c r="AX95" s="794"/>
      <c r="AY95" s="794"/>
      <c r="AZ95" s="794"/>
      <c r="BA95" s="794"/>
      <c r="BB95"/>
      <c r="BC95"/>
      <c r="BD95"/>
      <c r="BE95"/>
      <c r="BF95"/>
      <c r="BG95"/>
      <c r="BL95" s="714"/>
      <c r="BM95" s="714"/>
      <c r="BN95" s="784"/>
      <c r="BO95" s="784"/>
      <c r="BP95" s="784"/>
      <c r="BQ95" s="784"/>
      <c r="BR95" s="784"/>
      <c r="BS95" s="784"/>
      <c r="BT95" s="784"/>
      <c r="BU95" s="784"/>
      <c r="BV95" s="714"/>
      <c r="BW95" s="714"/>
      <c r="BX95" s="714"/>
      <c r="BY95" s="714"/>
      <c r="BZ95" s="714"/>
      <c r="CA95" s="714"/>
      <c r="CB95" s="714"/>
      <c r="CC95" s="714"/>
      <c r="CD95" s="714"/>
      <c r="CE95" s="714"/>
      <c r="CF95" s="714"/>
      <c r="CG95" s="714"/>
      <c r="CH95" s="714"/>
      <c r="CI95" s="714"/>
      <c r="CJ95" s="714"/>
      <c r="CK95" s="714"/>
      <c r="CL95" s="714"/>
      <c r="CM95" s="714"/>
      <c r="CN95" s="714"/>
      <c r="CO95" s="714"/>
      <c r="CP95" s="714"/>
      <c r="CQ95" s="714"/>
      <c r="CR95" s="714"/>
      <c r="CS95" s="714"/>
      <c r="CT95" s="714"/>
      <c r="CU95" s="714"/>
      <c r="CV95" s="714"/>
      <c r="CW95" s="714"/>
      <c r="CX95" s="714"/>
    </row>
    <row r="96" spans="1:120" s="693" customFormat="1" outlineLevel="1">
      <c r="A96" s="780" t="s">
        <v>564</v>
      </c>
      <c r="B96" s="714"/>
      <c r="C96" s="714"/>
      <c r="D96" s="714"/>
      <c r="E96" s="714">
        <v>-5</v>
      </c>
      <c r="F96" s="786">
        <v>507</v>
      </c>
      <c r="G96" s="786">
        <v>2</v>
      </c>
      <c r="H96" s="786">
        <v>5</v>
      </c>
      <c r="I96" s="786">
        <v>23</v>
      </c>
      <c r="J96" s="714">
        <f t="shared" ref="J96:Q96" si="182">I96</f>
        <v>23</v>
      </c>
      <c r="K96" s="714">
        <f t="shared" si="182"/>
        <v>23</v>
      </c>
      <c r="L96" s="714">
        <f t="shared" si="182"/>
        <v>23</v>
      </c>
      <c r="M96" s="714">
        <f t="shared" si="182"/>
        <v>23</v>
      </c>
      <c r="N96" s="714">
        <f t="shared" si="182"/>
        <v>23</v>
      </c>
      <c r="O96" s="714">
        <f t="shared" si="182"/>
        <v>23</v>
      </c>
      <c r="P96" s="714">
        <f t="shared" si="182"/>
        <v>23</v>
      </c>
      <c r="Q96" s="714">
        <f t="shared" si="182"/>
        <v>23</v>
      </c>
      <c r="R96" s="715"/>
      <c r="S96" s="716"/>
      <c r="T96" s="716"/>
      <c r="U96" s="716"/>
      <c r="V96" s="716"/>
      <c r="W96" s="717">
        <v>70</v>
      </c>
      <c r="X96" s="716"/>
      <c r="Y96" s="716">
        <v>1</v>
      </c>
      <c r="Z96" s="716">
        <f>F96-SUM(W96:Y96)</f>
        <v>436</v>
      </c>
      <c r="AA96" s="717"/>
      <c r="AB96" s="716">
        <v>1</v>
      </c>
      <c r="AC96" s="716"/>
      <c r="AD96" s="716">
        <f>G96-AA96-AB96-AC96</f>
        <v>1</v>
      </c>
      <c r="AE96" s="717">
        <v>2</v>
      </c>
      <c r="AF96" s="716">
        <v>2</v>
      </c>
      <c r="AG96" s="716">
        <v>1</v>
      </c>
      <c r="AH96" s="718">
        <f>+H96-AE96-AF96-AG96</f>
        <v>0</v>
      </c>
      <c r="AI96" s="717">
        <v>1</v>
      </c>
      <c r="AJ96" s="716">
        <v>20</v>
      </c>
      <c r="AK96" s="716">
        <v>1</v>
      </c>
      <c r="AL96" s="718">
        <f>I96-AI96-AJ96-AK96</f>
        <v>1</v>
      </c>
      <c r="AM96" s="716">
        <v>-1</v>
      </c>
      <c r="AN96" s="716">
        <f>J96/4</f>
        <v>5.75</v>
      </c>
      <c r="AO96" s="716">
        <f>J96/4</f>
        <v>5.75</v>
      </c>
      <c r="AP96" s="716">
        <f t="shared" ref="AP96" si="183">J96-AM96-AN96-AO96</f>
        <v>12.5</v>
      </c>
      <c r="AQ96" s="1389"/>
      <c r="AR96" s="794"/>
      <c r="AS96" s="794"/>
      <c r="AT96" s="794"/>
      <c r="AU96" s="794"/>
      <c r="AV96" s="794"/>
      <c r="AW96" s="794"/>
      <c r="AX96" s="794"/>
      <c r="AY96" s="794"/>
      <c r="AZ96" s="794"/>
      <c r="BA96" s="794"/>
      <c r="BB96"/>
      <c r="BC96"/>
      <c r="BD96"/>
      <c r="BE96"/>
      <c r="BF96"/>
      <c r="BG96"/>
      <c r="BL96" s="714"/>
      <c r="BM96" s="714"/>
      <c r="BN96" s="784"/>
      <c r="BO96" s="784"/>
      <c r="BP96" s="784"/>
      <c r="BQ96" s="784"/>
      <c r="BR96" s="784"/>
      <c r="BS96" s="784"/>
      <c r="BT96" s="784"/>
      <c r="BU96" s="784"/>
      <c r="BV96" s="714"/>
      <c r="BW96" s="714"/>
      <c r="BX96" s="714"/>
      <c r="BY96" s="714"/>
      <c r="BZ96" s="714"/>
      <c r="CA96" s="714"/>
      <c r="CB96" s="714"/>
      <c r="CC96" s="714"/>
      <c r="CD96" s="714"/>
      <c r="CE96" s="714"/>
      <c r="CF96" s="714"/>
      <c r="CG96" s="714"/>
      <c r="CH96" s="714"/>
      <c r="CI96" s="714"/>
      <c r="CJ96" s="714"/>
      <c r="CK96" s="714"/>
      <c r="CL96" s="714"/>
      <c r="CM96" s="714"/>
      <c r="CN96" s="714"/>
      <c r="CO96" s="714"/>
      <c r="CP96" s="714"/>
      <c r="CQ96" s="714"/>
      <c r="CR96" s="714"/>
      <c r="CS96" s="714"/>
      <c r="CT96" s="714"/>
      <c r="CU96" s="714"/>
      <c r="CV96" s="714"/>
      <c r="CW96" s="714"/>
      <c r="CX96" s="714"/>
    </row>
    <row r="97" spans="1:102" s="799" customFormat="1" outlineLevel="1">
      <c r="A97" s="795" t="s">
        <v>595</v>
      </c>
      <c r="B97" s="720"/>
      <c r="C97" s="720"/>
      <c r="D97" s="720">
        <v>538</v>
      </c>
      <c r="E97" s="720">
        <v>599</v>
      </c>
      <c r="F97" s="720">
        <v>1918</v>
      </c>
      <c r="G97" s="720">
        <f>G93+G94+G95+G96</f>
        <v>266</v>
      </c>
      <c r="H97" s="720">
        <f>H93+H94+H95+H96</f>
        <v>703</v>
      </c>
      <c r="I97" s="720">
        <f t="shared" ref="I97:Q97" si="184">I93+I94+I95+I96</f>
        <v>1108</v>
      </c>
      <c r="J97" s="720">
        <f t="shared" si="184"/>
        <v>817.29758747937672</v>
      </c>
      <c r="K97" s="720">
        <f t="shared" si="184"/>
        <v>752.64500034011996</v>
      </c>
      <c r="L97" s="720">
        <f>L93+L94+L95+L96</f>
        <v>811.03362442980085</v>
      </c>
      <c r="M97" s="720">
        <f t="shared" si="184"/>
        <v>855.4611418692084</v>
      </c>
      <c r="N97" s="720">
        <f t="shared" si="184"/>
        <v>907.73419896266887</v>
      </c>
      <c r="O97" s="720">
        <f t="shared" si="184"/>
        <v>962.62090891080243</v>
      </c>
      <c r="P97" s="720">
        <f t="shared" si="184"/>
        <v>1020.2519543563426</v>
      </c>
      <c r="Q97" s="720">
        <f t="shared" si="184"/>
        <v>1080.7645520741598</v>
      </c>
      <c r="R97" s="719"/>
      <c r="S97" s="796"/>
      <c r="T97" s="796"/>
      <c r="U97" s="796"/>
      <c r="V97" s="796"/>
      <c r="W97" s="797">
        <f t="shared" ref="W97:AH97" si="185">W93+W94+W95+W96</f>
        <v>215</v>
      </c>
      <c r="X97" s="796">
        <f t="shared" si="185"/>
        <v>176</v>
      </c>
      <c r="Y97" s="796">
        <f t="shared" si="185"/>
        <v>938</v>
      </c>
      <c r="Z97" s="796">
        <f t="shared" si="185"/>
        <v>589</v>
      </c>
      <c r="AA97" s="797">
        <f t="shared" si="185"/>
        <v>15</v>
      </c>
      <c r="AB97" s="796">
        <f t="shared" si="185"/>
        <v>121</v>
      </c>
      <c r="AC97" s="796">
        <f t="shared" si="185"/>
        <v>120</v>
      </c>
      <c r="AD97" s="796">
        <f t="shared" si="185"/>
        <v>10</v>
      </c>
      <c r="AE97" s="797">
        <f t="shared" si="185"/>
        <v>127</v>
      </c>
      <c r="AF97" s="796">
        <f t="shared" si="185"/>
        <v>203</v>
      </c>
      <c r="AG97" s="796">
        <f t="shared" si="185"/>
        <v>217</v>
      </c>
      <c r="AH97" s="798">
        <f t="shared" si="185"/>
        <v>156</v>
      </c>
      <c r="AI97" s="797">
        <f>AI93+AI94+AI95+AI96</f>
        <v>215</v>
      </c>
      <c r="AJ97" s="796">
        <f>AJ93+AJ94+AJ95+AJ96</f>
        <v>215</v>
      </c>
      <c r="AK97" s="796">
        <f>AK93+AK94+AK95+AK96</f>
        <v>262</v>
      </c>
      <c r="AL97" s="798">
        <f>AL93+AL94+AL95+AL96</f>
        <v>416</v>
      </c>
      <c r="AM97" s="796">
        <f t="shared" ref="AM97:AP97" si="186">AM93+AM94+AM95+AM96</f>
        <v>152</v>
      </c>
      <c r="AN97" s="796">
        <f t="shared" si="186"/>
        <v>172.32439686984418</v>
      </c>
      <c r="AO97" s="796">
        <f t="shared" si="186"/>
        <v>172.32439686984418</v>
      </c>
      <c r="AP97" s="796">
        <f t="shared" si="186"/>
        <v>320.64879373968836</v>
      </c>
      <c r="AQ97" s="1388"/>
      <c r="AR97" s="781"/>
      <c r="AS97" s="781"/>
      <c r="AT97" s="781"/>
      <c r="AU97" s="781"/>
      <c r="AV97" s="781"/>
      <c r="AW97" s="781"/>
      <c r="AX97" s="781"/>
      <c r="AY97" s="781"/>
      <c r="AZ97" s="781"/>
      <c r="BA97" s="781"/>
      <c r="BB97"/>
      <c r="BC97"/>
      <c r="BD97"/>
      <c r="BE97"/>
      <c r="BF97"/>
      <c r="BG97"/>
      <c r="BL97" s="720"/>
      <c r="BM97" s="720"/>
      <c r="BN97" s="800"/>
      <c r="BO97" s="800"/>
      <c r="BP97" s="800"/>
      <c r="BQ97" s="800"/>
      <c r="BR97" s="800"/>
      <c r="BS97" s="800"/>
      <c r="BT97" s="800"/>
      <c r="BU97" s="800"/>
      <c r="BV97" s="720"/>
      <c r="BW97" s="720"/>
      <c r="BX97" s="720"/>
      <c r="BY97" s="720"/>
      <c r="BZ97" s="720"/>
      <c r="CA97" s="720"/>
      <c r="CB97" s="720"/>
      <c r="CC97" s="720"/>
      <c r="CD97" s="720"/>
      <c r="CE97" s="720"/>
      <c r="CF97" s="720"/>
      <c r="CG97" s="720"/>
      <c r="CH97" s="720"/>
      <c r="CI97" s="720"/>
      <c r="CJ97" s="720"/>
      <c r="CK97" s="720"/>
      <c r="CL97" s="720"/>
      <c r="CM97" s="720"/>
      <c r="CN97" s="720"/>
      <c r="CO97" s="720"/>
      <c r="CP97" s="720"/>
      <c r="CQ97" s="720"/>
      <c r="CR97" s="720"/>
      <c r="CS97" s="720"/>
      <c r="CT97" s="720"/>
      <c r="CU97" s="720"/>
      <c r="CV97" s="720"/>
      <c r="CW97" s="720"/>
      <c r="CX97" s="720"/>
    </row>
    <row r="98" spans="1:102" s="693" customFormat="1" outlineLevel="1">
      <c r="A98" s="780" t="s">
        <v>571</v>
      </c>
      <c r="B98" s="714"/>
      <c r="C98" s="714"/>
      <c r="D98" s="714"/>
      <c r="E98" s="714">
        <v>1</v>
      </c>
      <c r="F98" s="786">
        <v>2</v>
      </c>
      <c r="G98" s="786">
        <v>2</v>
      </c>
      <c r="H98" s="786"/>
      <c r="I98" s="786"/>
      <c r="J98" s="714"/>
      <c r="K98" s="714"/>
      <c r="L98" s="714"/>
      <c r="M98" s="714"/>
      <c r="N98" s="714"/>
      <c r="O98" s="714"/>
      <c r="P98" s="714"/>
      <c r="Q98" s="714"/>
      <c r="R98" s="715"/>
      <c r="S98" s="716"/>
      <c r="T98" s="716"/>
      <c r="U98" s="716"/>
      <c r="V98" s="716"/>
      <c r="W98" s="717">
        <v>1</v>
      </c>
      <c r="X98" s="716">
        <v>2</v>
      </c>
      <c r="Y98" s="716"/>
      <c r="Z98" s="716">
        <f>F98-SUM(W98:Y98)</f>
        <v>-1</v>
      </c>
      <c r="AA98" s="717"/>
      <c r="AB98" s="716"/>
      <c r="AC98" s="716">
        <v>2</v>
      </c>
      <c r="AD98" s="716">
        <f>G98-AA98-AB98-AC98</f>
        <v>0</v>
      </c>
      <c r="AE98" s="717"/>
      <c r="AF98" s="716"/>
      <c r="AG98" s="716"/>
      <c r="AH98" s="718"/>
      <c r="AI98" s="717"/>
      <c r="AJ98" s="716"/>
      <c r="AK98" s="716"/>
      <c r="AL98" s="718"/>
      <c r="AM98" s="716"/>
      <c r="AN98" s="716"/>
      <c r="AO98" s="716"/>
      <c r="AP98" s="716"/>
      <c r="AQ98" s="1389"/>
      <c r="AR98" s="794"/>
      <c r="AS98" s="794"/>
      <c r="AT98" s="794"/>
      <c r="AU98" s="794"/>
      <c r="AV98" s="794"/>
      <c r="AW98" s="794"/>
      <c r="AX98" s="794"/>
      <c r="AY98" s="794"/>
      <c r="AZ98" s="794"/>
      <c r="BA98" s="794"/>
      <c r="BB98"/>
      <c r="BC98"/>
      <c r="BD98"/>
      <c r="BE98"/>
      <c r="BF98"/>
      <c r="BG98"/>
      <c r="BL98" s="714"/>
      <c r="BM98" s="714"/>
      <c r="BN98" s="784"/>
      <c r="BO98" s="784"/>
      <c r="BP98" s="784"/>
      <c r="BQ98" s="784"/>
      <c r="BR98" s="784"/>
      <c r="BS98" s="784"/>
      <c r="BT98" s="784"/>
      <c r="BU98" s="784"/>
      <c r="BV98" s="714"/>
      <c r="BW98" s="714"/>
      <c r="BX98" s="714"/>
      <c r="BY98" s="714"/>
      <c r="BZ98" s="714"/>
      <c r="CA98" s="714"/>
      <c r="CB98" s="714"/>
      <c r="CC98" s="714"/>
      <c r="CD98" s="714"/>
      <c r="CE98" s="714"/>
      <c r="CF98" s="714"/>
      <c r="CG98" s="714"/>
      <c r="CH98" s="714"/>
      <c r="CI98" s="714"/>
      <c r="CJ98" s="714"/>
      <c r="CK98" s="714"/>
      <c r="CL98" s="714"/>
      <c r="CM98" s="714"/>
      <c r="CN98" s="714"/>
      <c r="CO98" s="714"/>
      <c r="CP98" s="714"/>
      <c r="CQ98" s="714"/>
      <c r="CR98" s="714"/>
      <c r="CS98" s="714"/>
      <c r="CT98" s="714"/>
      <c r="CU98" s="714"/>
      <c r="CV98" s="714"/>
      <c r="CW98" s="714"/>
      <c r="CX98" s="714"/>
    </row>
    <row r="99" spans="1:102" s="799" customFormat="1" outlineLevel="1">
      <c r="A99" s="795" t="s">
        <v>569</v>
      </c>
      <c r="B99" s="720"/>
      <c r="C99" s="720"/>
      <c r="D99" s="720">
        <v>538</v>
      </c>
      <c r="E99" s="720">
        <v>600</v>
      </c>
      <c r="F99" s="720">
        <v>1920</v>
      </c>
      <c r="G99" s="720">
        <f>G97+G98</f>
        <v>268</v>
      </c>
      <c r="H99" s="720">
        <f t="shared" ref="H99:Q99" si="187">H97+H98</f>
        <v>703</v>
      </c>
      <c r="I99" s="720">
        <f t="shared" si="187"/>
        <v>1108</v>
      </c>
      <c r="J99" s="720">
        <f t="shared" si="187"/>
        <v>817.29758747937672</v>
      </c>
      <c r="K99" s="720">
        <f t="shared" si="187"/>
        <v>752.64500034011996</v>
      </c>
      <c r="L99" s="720">
        <f t="shared" si="187"/>
        <v>811.03362442980085</v>
      </c>
      <c r="M99" s="720">
        <f t="shared" si="187"/>
        <v>855.4611418692084</v>
      </c>
      <c r="N99" s="720">
        <f t="shared" si="187"/>
        <v>907.73419896266887</v>
      </c>
      <c r="O99" s="720">
        <f t="shared" si="187"/>
        <v>962.62090891080243</v>
      </c>
      <c r="P99" s="720">
        <f t="shared" si="187"/>
        <v>1020.2519543563426</v>
      </c>
      <c r="Q99" s="720">
        <f t="shared" si="187"/>
        <v>1080.7645520741598</v>
      </c>
      <c r="R99" s="719"/>
      <c r="S99" s="796"/>
      <c r="T99" s="796"/>
      <c r="U99" s="796"/>
      <c r="V99" s="796"/>
      <c r="W99" s="797">
        <f t="shared" ref="W99:AH99" si="188">W97+W98</f>
        <v>216</v>
      </c>
      <c r="X99" s="796">
        <f t="shared" si="188"/>
        <v>178</v>
      </c>
      <c r="Y99" s="796">
        <f t="shared" si="188"/>
        <v>938</v>
      </c>
      <c r="Z99" s="796">
        <f t="shared" si="188"/>
        <v>588</v>
      </c>
      <c r="AA99" s="797">
        <f t="shared" si="188"/>
        <v>15</v>
      </c>
      <c r="AB99" s="796">
        <f t="shared" si="188"/>
        <v>121</v>
      </c>
      <c r="AC99" s="796">
        <f t="shared" si="188"/>
        <v>122</v>
      </c>
      <c r="AD99" s="796">
        <f t="shared" si="188"/>
        <v>10</v>
      </c>
      <c r="AE99" s="797">
        <f t="shared" si="188"/>
        <v>127</v>
      </c>
      <c r="AF99" s="796">
        <f t="shared" si="188"/>
        <v>203</v>
      </c>
      <c r="AG99" s="796">
        <f t="shared" si="188"/>
        <v>217</v>
      </c>
      <c r="AH99" s="798">
        <f t="shared" si="188"/>
        <v>156</v>
      </c>
      <c r="AI99" s="797">
        <f>AI97+AI98</f>
        <v>215</v>
      </c>
      <c r="AJ99" s="796">
        <f>AJ97+AJ98</f>
        <v>215</v>
      </c>
      <c r="AK99" s="796">
        <f>AK97+AK98</f>
        <v>262</v>
      </c>
      <c r="AL99" s="798">
        <f>AL97+AL98</f>
        <v>416</v>
      </c>
      <c r="AM99" s="796">
        <f t="shared" ref="AM99:AP99" si="189">AM97+AM98</f>
        <v>152</v>
      </c>
      <c r="AN99" s="796">
        <f t="shared" si="189"/>
        <v>172.32439686984418</v>
      </c>
      <c r="AO99" s="796">
        <f t="shared" si="189"/>
        <v>172.32439686984418</v>
      </c>
      <c r="AP99" s="796">
        <f t="shared" si="189"/>
        <v>320.64879373968836</v>
      </c>
      <c r="AQ99" s="1388"/>
      <c r="AR99" s="781"/>
      <c r="AS99" s="781"/>
      <c r="AT99" s="781"/>
      <c r="AU99" s="781"/>
      <c r="AV99" s="781"/>
      <c r="AW99" s="781"/>
      <c r="AX99" s="781"/>
      <c r="AY99" s="781"/>
      <c r="AZ99" s="781"/>
      <c r="BA99" s="781"/>
      <c r="BB99"/>
      <c r="BC99"/>
      <c r="BD99"/>
      <c r="BE99"/>
      <c r="BF99"/>
      <c r="BG99"/>
      <c r="BL99" s="720"/>
      <c r="BM99" s="720"/>
      <c r="BN99" s="800"/>
      <c r="BO99" s="800"/>
      <c r="BP99" s="800"/>
      <c r="BQ99" s="800"/>
      <c r="BR99" s="800"/>
      <c r="BS99" s="800"/>
      <c r="BT99" s="800"/>
      <c r="BU99" s="800"/>
      <c r="BV99" s="720"/>
      <c r="BW99" s="720"/>
      <c r="BX99" s="720"/>
      <c r="BY99" s="720"/>
      <c r="BZ99" s="720"/>
      <c r="CA99" s="720"/>
      <c r="CB99" s="720"/>
      <c r="CC99" s="720"/>
      <c r="CD99" s="720"/>
      <c r="CE99" s="720"/>
      <c r="CF99" s="720"/>
      <c r="CG99" s="720"/>
      <c r="CH99" s="720"/>
      <c r="CI99" s="720"/>
      <c r="CJ99" s="720"/>
      <c r="CK99" s="720"/>
      <c r="CL99" s="720"/>
      <c r="CM99" s="720"/>
      <c r="CN99" s="720"/>
      <c r="CO99" s="720"/>
      <c r="CP99" s="720"/>
      <c r="CQ99" s="720"/>
      <c r="CR99" s="720"/>
      <c r="CS99" s="720"/>
      <c r="CT99" s="720"/>
      <c r="CU99" s="720"/>
      <c r="CV99" s="720"/>
      <c r="CW99" s="720"/>
      <c r="CX99" s="720"/>
    </row>
    <row r="100" spans="1:102" s="693" customFormat="1" outlineLevel="1">
      <c r="A100" s="780" t="s">
        <v>567</v>
      </c>
      <c r="B100" s="714"/>
      <c r="C100" s="714"/>
      <c r="D100" s="714">
        <v>203</v>
      </c>
      <c r="E100" s="714">
        <v>259</v>
      </c>
      <c r="F100" s="786">
        <v>257</v>
      </c>
      <c r="G100" s="786">
        <v>423</v>
      </c>
      <c r="H100" s="786">
        <f>260+36+15</f>
        <v>311</v>
      </c>
      <c r="I100" s="786">
        <f>306+70-19</f>
        <v>357</v>
      </c>
      <c r="J100" s="786">
        <f t="shared" ref="J100:Q100" si="190">J101*J89</f>
        <v>281.37522799340053</v>
      </c>
      <c r="K100" s="786">
        <f t="shared" si="190"/>
        <v>301.64640010883841</v>
      </c>
      <c r="L100" s="786">
        <f t="shared" si="190"/>
        <v>320.33075981753626</v>
      </c>
      <c r="M100" s="786">
        <f t="shared" si="190"/>
        <v>334.54756539814667</v>
      </c>
      <c r="N100" s="786">
        <f t="shared" si="190"/>
        <v>351.27494366805405</v>
      </c>
      <c r="O100" s="786">
        <f t="shared" si="190"/>
        <v>368.83869085145676</v>
      </c>
      <c r="P100" s="786">
        <f t="shared" si="190"/>
        <v>387.28062539402964</v>
      </c>
      <c r="Q100" s="786">
        <f t="shared" si="190"/>
        <v>406.64465666373115</v>
      </c>
      <c r="R100" s="715"/>
      <c r="S100" s="716"/>
      <c r="T100" s="716"/>
      <c r="U100" s="716"/>
      <c r="V100" s="716"/>
      <c r="W100" s="717">
        <v>76</v>
      </c>
      <c r="X100" s="716">
        <v>51</v>
      </c>
      <c r="Y100" s="716">
        <v>79</v>
      </c>
      <c r="Z100" s="716">
        <f>F100-SUM(W100:Y100)</f>
        <v>51</v>
      </c>
      <c r="AA100" s="717">
        <v>184</v>
      </c>
      <c r="AB100" s="716">
        <v>63</v>
      </c>
      <c r="AC100" s="716">
        <v>72</v>
      </c>
      <c r="AD100" s="716">
        <f>G100-AA100-AB100-AC100</f>
        <v>104</v>
      </c>
      <c r="AE100" s="787">
        <f>52+36</f>
        <v>88</v>
      </c>
      <c r="AF100" s="716">
        <f>56+15</f>
        <v>71</v>
      </c>
      <c r="AG100" s="786">
        <f>79-1</f>
        <v>78</v>
      </c>
      <c r="AH100" s="718">
        <f>+H100-AE100-AF100-AG100</f>
        <v>74</v>
      </c>
      <c r="AI100" s="787">
        <f>66+70</f>
        <v>136</v>
      </c>
      <c r="AJ100" s="716">
        <v>93</v>
      </c>
      <c r="AK100" s="716">
        <f>84+13</f>
        <v>97</v>
      </c>
      <c r="AL100" s="718">
        <f>I100-AI100-AJ100-AK100</f>
        <v>31</v>
      </c>
      <c r="AM100" s="801">
        <f>79+133</f>
        <v>212</v>
      </c>
      <c r="AN100" s="801">
        <f t="shared" ref="AN100:AO100" si="191">AN101*AN89</f>
        <v>70.343806998350132</v>
      </c>
      <c r="AO100" s="801">
        <f t="shared" si="191"/>
        <v>70.343806998350132</v>
      </c>
      <c r="AP100" s="716">
        <f t="shared" ref="AP100" si="192">J100-AM100-AN100-AO100</f>
        <v>-71.312386003299736</v>
      </c>
      <c r="AQ100" s="1389"/>
      <c r="AR100" s="794"/>
      <c r="AS100" s="794"/>
      <c r="AT100" s="794"/>
      <c r="AU100" s="794"/>
      <c r="AV100" s="794"/>
      <c r="AW100" s="794"/>
      <c r="AX100" s="794"/>
      <c r="AY100" s="794"/>
      <c r="AZ100" s="794"/>
      <c r="BA100" s="794"/>
      <c r="BB100"/>
      <c r="BC100"/>
      <c r="BD100"/>
      <c r="BE100"/>
      <c r="BF100"/>
      <c r="BG100"/>
      <c r="BL100" s="714"/>
      <c r="BM100" s="714"/>
      <c r="BN100" s="784"/>
      <c r="BO100" s="784"/>
      <c r="BP100" s="784"/>
      <c r="BQ100" s="784"/>
      <c r="BR100" s="784"/>
      <c r="BS100" s="784"/>
      <c r="BT100" s="784"/>
      <c r="BU100" s="784"/>
      <c r="BV100" s="714"/>
      <c r="BW100" s="714"/>
      <c r="BX100" s="714"/>
      <c r="BY100" s="714"/>
      <c r="BZ100" s="714"/>
      <c r="CA100" s="714"/>
      <c r="CB100" s="714"/>
      <c r="CC100" s="714"/>
      <c r="CD100" s="714"/>
      <c r="CE100" s="714"/>
      <c r="CF100" s="714"/>
      <c r="CG100" s="714"/>
      <c r="CH100" s="714"/>
      <c r="CI100" s="714"/>
      <c r="CJ100" s="714"/>
      <c r="CK100" s="714"/>
      <c r="CL100" s="714"/>
      <c r="CM100" s="714"/>
      <c r="CN100" s="714"/>
      <c r="CO100" s="714"/>
      <c r="CP100" s="714"/>
      <c r="CQ100" s="714"/>
      <c r="CR100" s="714"/>
      <c r="CS100" s="714"/>
      <c r="CT100" s="714"/>
      <c r="CU100" s="714"/>
      <c r="CV100" s="714"/>
      <c r="CW100" s="714"/>
      <c r="CX100" s="714"/>
    </row>
    <row r="101" spans="1:102" s="693" customFormat="1" outlineLevel="1">
      <c r="A101" s="780"/>
      <c r="B101" s="714"/>
      <c r="C101" s="714"/>
      <c r="D101" s="714"/>
      <c r="E101" s="735">
        <v>0.31701346389228885</v>
      </c>
      <c r="F101" s="735">
        <v>0.31611316113161131</v>
      </c>
      <c r="G101" s="735">
        <f>G100/G89</f>
        <v>0.65076923076923077</v>
      </c>
      <c r="H101" s="735">
        <f>H100/H89</f>
        <v>0.45870206489675514</v>
      </c>
      <c r="I101" s="735">
        <f>I100/I89</f>
        <v>0.53363228699551568</v>
      </c>
      <c r="J101" s="789">
        <v>0.32</v>
      </c>
      <c r="K101" s="789">
        <v>0.32</v>
      </c>
      <c r="L101" s="789">
        <v>0.32</v>
      </c>
      <c r="M101" s="789">
        <v>0.32</v>
      </c>
      <c r="N101" s="789">
        <v>0.32</v>
      </c>
      <c r="O101" s="789">
        <v>0.32</v>
      </c>
      <c r="P101" s="789">
        <v>0.32</v>
      </c>
      <c r="Q101" s="789">
        <v>0.32</v>
      </c>
      <c r="R101" s="715"/>
      <c r="S101" s="716"/>
      <c r="T101" s="716"/>
      <c r="U101" s="716"/>
      <c r="V101" s="716"/>
      <c r="W101" s="717"/>
      <c r="X101" s="716"/>
      <c r="Y101" s="716"/>
      <c r="Z101" s="716"/>
      <c r="AA101" s="738">
        <f t="shared" ref="AA101:AM101" si="193">AA100/AA89</f>
        <v>1.0109890109890109</v>
      </c>
      <c r="AB101" s="736">
        <f t="shared" si="193"/>
        <v>0.33870967741935482</v>
      </c>
      <c r="AC101" s="736">
        <f t="shared" si="193"/>
        <v>0.45</v>
      </c>
      <c r="AD101" s="736">
        <f t="shared" si="193"/>
        <v>0.85245901639344257</v>
      </c>
      <c r="AE101" s="738">
        <f t="shared" si="193"/>
        <v>0.49162011173184356</v>
      </c>
      <c r="AF101" s="736">
        <f t="shared" si="193"/>
        <v>0.39226519337016574</v>
      </c>
      <c r="AG101" s="736">
        <f t="shared" si="193"/>
        <v>0.48148148148148145</v>
      </c>
      <c r="AH101" s="739">
        <f>AH100/AH89</f>
        <v>0.47435897435897434</v>
      </c>
      <c r="AI101" s="738">
        <f t="shared" si="193"/>
        <v>0.7816091954022989</v>
      </c>
      <c r="AJ101" s="736">
        <f t="shared" si="193"/>
        <v>0.6</v>
      </c>
      <c r="AK101" s="736">
        <f t="shared" si="193"/>
        <v>0.53888888888888886</v>
      </c>
      <c r="AL101" s="739">
        <f>AL100/AL89</f>
        <v>0.19375000000000001</v>
      </c>
      <c r="AM101" s="738">
        <f t="shared" si="193"/>
        <v>1.1276595744680851</v>
      </c>
      <c r="AN101" s="802">
        <v>0.32</v>
      </c>
      <c r="AO101" s="802">
        <v>0.32</v>
      </c>
      <c r="AP101" s="739">
        <f>AP100/AP89</f>
        <v>-0.28338059938036897</v>
      </c>
      <c r="AQ101" s="1389"/>
      <c r="AR101" s="794"/>
      <c r="AS101" s="794"/>
      <c r="AT101" s="794"/>
      <c r="AU101" s="794"/>
      <c r="AV101" s="794"/>
      <c r="AW101" s="794"/>
      <c r="AX101" s="794"/>
      <c r="AY101" s="794"/>
      <c r="AZ101" s="794"/>
      <c r="BA101" s="794"/>
      <c r="BB101"/>
      <c r="BC101"/>
      <c r="BD101"/>
      <c r="BE101"/>
      <c r="BF101"/>
      <c r="BG101"/>
      <c r="BL101" s="714"/>
      <c r="BM101" s="714"/>
      <c r="BN101" s="784"/>
      <c r="BO101" s="784"/>
      <c r="BP101" s="784"/>
      <c r="BQ101" s="784"/>
      <c r="BR101" s="784"/>
      <c r="BS101" s="784"/>
      <c r="BT101" s="784"/>
      <c r="BU101" s="784"/>
      <c r="BV101" s="714"/>
      <c r="BW101" s="714"/>
      <c r="BX101" s="714"/>
      <c r="BY101" s="714"/>
      <c r="BZ101" s="714"/>
      <c r="CA101" s="714"/>
      <c r="CB101" s="714"/>
      <c r="CC101" s="714"/>
      <c r="CD101" s="714"/>
      <c r="CE101" s="714"/>
      <c r="CF101" s="714"/>
      <c r="CG101" s="714"/>
      <c r="CH101" s="714"/>
      <c r="CI101" s="714"/>
      <c r="CJ101" s="714"/>
      <c r="CK101" s="714"/>
      <c r="CL101" s="714"/>
      <c r="CM101" s="714"/>
      <c r="CN101" s="714"/>
      <c r="CO101" s="714"/>
      <c r="CP101" s="714"/>
      <c r="CQ101" s="714"/>
      <c r="CR101" s="714"/>
      <c r="CS101" s="714"/>
      <c r="CT101" s="714"/>
      <c r="CU101" s="714"/>
      <c r="CV101" s="714"/>
      <c r="CW101" s="714"/>
      <c r="CX101" s="714"/>
    </row>
    <row r="102" spans="1:102" s="693" customFormat="1" outlineLevel="1">
      <c r="A102" s="780" t="s">
        <v>570</v>
      </c>
      <c r="B102" s="714"/>
      <c r="C102" s="714"/>
      <c r="D102" s="714"/>
      <c r="E102" s="714"/>
      <c r="F102" s="714">
        <v>-1233</v>
      </c>
      <c r="G102" s="714"/>
      <c r="H102" s="714"/>
      <c r="I102" s="714"/>
      <c r="J102" s="714"/>
      <c r="K102" s="714"/>
      <c r="L102" s="714"/>
      <c r="M102" s="714"/>
      <c r="N102" s="714"/>
      <c r="O102" s="714"/>
      <c r="P102" s="714"/>
      <c r="Q102" s="714"/>
      <c r="R102" s="715"/>
      <c r="S102" s="716"/>
      <c r="T102" s="716"/>
      <c r="U102" s="716"/>
      <c r="V102" s="716"/>
      <c r="W102" s="717"/>
      <c r="X102" s="716"/>
      <c r="Y102" s="716">
        <v>-812</v>
      </c>
      <c r="Z102" s="716">
        <f>F102-SUM(W102:Y102)</f>
        <v>-421</v>
      </c>
      <c r="AA102" s="717"/>
      <c r="AB102" s="716"/>
      <c r="AC102" s="716"/>
      <c r="AD102" s="716"/>
      <c r="AE102" s="717"/>
      <c r="AF102" s="716"/>
      <c r="AG102" s="716"/>
      <c r="AH102" s="718"/>
      <c r="AI102" s="717"/>
      <c r="AJ102" s="716"/>
      <c r="AK102" s="716"/>
      <c r="AL102" s="718"/>
      <c r="AM102" s="716"/>
      <c r="AN102" s="716"/>
      <c r="AO102" s="716"/>
      <c r="AP102" s="716"/>
      <c r="AQ102" s="1389"/>
      <c r="AR102" s="794"/>
      <c r="AS102" s="794"/>
      <c r="AT102" s="794"/>
      <c r="AU102" s="794"/>
      <c r="AV102" s="794"/>
      <c r="AW102" s="794"/>
      <c r="AX102" s="794"/>
      <c r="AY102" s="794"/>
      <c r="AZ102" s="794"/>
      <c r="BA102" s="794"/>
      <c r="BB102"/>
      <c r="BC102"/>
      <c r="BD102"/>
      <c r="BE102"/>
      <c r="BF102"/>
      <c r="BG102"/>
      <c r="BL102" s="714"/>
      <c r="BM102" s="714"/>
      <c r="BN102" s="784"/>
      <c r="BO102" s="784"/>
      <c r="BP102" s="784"/>
      <c r="BQ102" s="784"/>
      <c r="BR102" s="784"/>
      <c r="BS102" s="784"/>
      <c r="BT102" s="784"/>
      <c r="BU102" s="784"/>
      <c r="BV102" s="714"/>
      <c r="BW102" s="714"/>
      <c r="BX102" s="714"/>
      <c r="BY102" s="714"/>
      <c r="BZ102" s="714"/>
      <c r="CA102" s="714"/>
      <c r="CB102" s="714"/>
      <c r="CC102" s="714"/>
      <c r="CD102" s="714"/>
      <c r="CE102" s="714"/>
      <c r="CF102" s="714"/>
      <c r="CG102" s="714"/>
      <c r="CH102" s="714"/>
      <c r="CI102" s="714"/>
      <c r="CJ102" s="714"/>
      <c r="CK102" s="714"/>
      <c r="CL102" s="714"/>
      <c r="CM102" s="714"/>
      <c r="CN102" s="714"/>
      <c r="CO102" s="714"/>
      <c r="CP102" s="714"/>
      <c r="CQ102" s="714"/>
      <c r="CR102" s="714"/>
      <c r="CS102" s="714"/>
      <c r="CT102" s="714"/>
      <c r="CU102" s="714"/>
      <c r="CV102" s="714"/>
      <c r="CW102" s="714"/>
      <c r="CX102" s="714"/>
    </row>
    <row r="103" spans="1:102" s="693" customFormat="1" outlineLevel="1">
      <c r="A103" s="780" t="s">
        <v>29</v>
      </c>
      <c r="B103" s="714">
        <v>10.5</v>
      </c>
      <c r="C103" s="714">
        <v>-31</v>
      </c>
      <c r="D103" s="714">
        <v>14</v>
      </c>
      <c r="E103" s="714">
        <v>18</v>
      </c>
      <c r="F103" s="714">
        <v>1</v>
      </c>
      <c r="G103" s="714">
        <v>292</v>
      </c>
      <c r="H103" s="714">
        <v>120</v>
      </c>
      <c r="I103" s="714">
        <v>-131</v>
      </c>
      <c r="J103" s="714">
        <f t="shared" ref="J103:Q103" si="194">I103</f>
        <v>-131</v>
      </c>
      <c r="K103" s="714">
        <f t="shared" si="194"/>
        <v>-131</v>
      </c>
      <c r="L103" s="714">
        <f t="shared" si="194"/>
        <v>-131</v>
      </c>
      <c r="M103" s="714">
        <f t="shared" si="194"/>
        <v>-131</v>
      </c>
      <c r="N103" s="714">
        <f t="shared" si="194"/>
        <v>-131</v>
      </c>
      <c r="O103" s="714">
        <f t="shared" si="194"/>
        <v>-131</v>
      </c>
      <c r="P103" s="714">
        <f t="shared" si="194"/>
        <v>-131</v>
      </c>
      <c r="Q103" s="714">
        <f t="shared" si="194"/>
        <v>-131</v>
      </c>
      <c r="R103" s="715"/>
      <c r="S103" s="716"/>
      <c r="T103" s="716"/>
      <c r="U103" s="716"/>
      <c r="V103" s="716"/>
      <c r="W103" s="717"/>
      <c r="X103" s="716">
        <f>236-X102-X100-X99</f>
        <v>7</v>
      </c>
      <c r="Y103" s="716"/>
      <c r="Z103" s="716">
        <f>F103-SUM(W103:Y103)</f>
        <v>-6</v>
      </c>
      <c r="AA103" s="717">
        <v>22</v>
      </c>
      <c r="AB103" s="716">
        <v>53</v>
      </c>
      <c r="AC103" s="716">
        <v>88</v>
      </c>
      <c r="AD103" s="716">
        <f>G103-AA103-AB103-AC103</f>
        <v>129</v>
      </c>
      <c r="AE103" s="717">
        <v>38</v>
      </c>
      <c r="AF103" s="716">
        <v>32</v>
      </c>
      <c r="AG103" s="716"/>
      <c r="AH103" s="718">
        <f>+H103-AE103-AF103-AG103</f>
        <v>50</v>
      </c>
      <c r="AI103" s="717">
        <f>20-19</f>
        <v>1</v>
      </c>
      <c r="AJ103" s="716">
        <f>16+1</f>
        <v>17</v>
      </c>
      <c r="AK103" s="716">
        <v>0</v>
      </c>
      <c r="AL103" s="718">
        <f>I103-AI103-AJ103-AK103</f>
        <v>-149</v>
      </c>
      <c r="AM103" s="716">
        <f>10+1</f>
        <v>11</v>
      </c>
      <c r="AN103" s="716">
        <f t="shared" ref="AN103:AO103" si="195">AJ103</f>
        <v>17</v>
      </c>
      <c r="AO103" s="716">
        <f t="shared" si="195"/>
        <v>0</v>
      </c>
      <c r="AP103" s="716">
        <f t="shared" ref="AP103:AP105" si="196">J103-AM103-AN103-AO103</f>
        <v>-159</v>
      </c>
      <c r="AQ103" s="1389"/>
      <c r="AR103" s="794"/>
      <c r="AS103" s="794"/>
      <c r="AT103" s="794"/>
      <c r="AU103" s="794"/>
      <c r="AV103" s="794"/>
      <c r="AW103" s="794"/>
      <c r="AX103" s="794"/>
      <c r="AY103" s="794"/>
      <c r="AZ103" s="794"/>
      <c r="BA103" s="794"/>
      <c r="BB103"/>
      <c r="BC103"/>
      <c r="BD103"/>
      <c r="BE103"/>
      <c r="BF103"/>
      <c r="BG103"/>
      <c r="BL103" s="714"/>
      <c r="BM103" s="714"/>
      <c r="BN103" s="784"/>
      <c r="BO103" s="784"/>
      <c r="BP103" s="784"/>
      <c r="BQ103" s="784"/>
      <c r="BR103" s="784"/>
      <c r="BS103" s="784"/>
      <c r="BT103" s="784"/>
      <c r="BU103" s="784"/>
      <c r="BV103" s="784"/>
      <c r="BW103" s="784"/>
      <c r="BX103" s="780"/>
      <c r="BY103" s="780"/>
      <c r="BZ103" s="714"/>
      <c r="CA103" s="714"/>
      <c r="CB103" s="714"/>
      <c r="CC103" s="714"/>
      <c r="CD103" s="714"/>
      <c r="CE103" s="714"/>
      <c r="CF103" s="714"/>
      <c r="CG103" s="714"/>
      <c r="CH103" s="714"/>
      <c r="CI103" s="714"/>
      <c r="CJ103" s="714"/>
      <c r="CK103" s="714"/>
      <c r="CL103" s="714"/>
      <c r="CM103" s="714"/>
      <c r="CN103" s="714"/>
      <c r="CO103" s="714"/>
      <c r="CP103" s="714"/>
      <c r="CQ103" s="714"/>
      <c r="CR103" s="714"/>
      <c r="CS103" s="714"/>
      <c r="CT103" s="714"/>
      <c r="CU103" s="714"/>
      <c r="CV103" s="714"/>
      <c r="CW103" s="714"/>
      <c r="CX103" s="714"/>
    </row>
    <row r="104" spans="1:102" s="693" customFormat="1">
      <c r="A104" s="795" t="s">
        <v>594</v>
      </c>
      <c r="B104" s="720">
        <v>804</v>
      </c>
      <c r="C104" s="720">
        <v>858</v>
      </c>
      <c r="D104" s="720">
        <v>755</v>
      </c>
      <c r="E104" s="720">
        <v>877</v>
      </c>
      <c r="F104" s="720">
        <v>945</v>
      </c>
      <c r="G104" s="720">
        <f t="shared" ref="G104:Q104" si="197">G97+G100+G102+G103</f>
        <v>981</v>
      </c>
      <c r="H104" s="720">
        <f t="shared" si="197"/>
        <v>1134</v>
      </c>
      <c r="I104" s="720">
        <f t="shared" si="197"/>
        <v>1334</v>
      </c>
      <c r="J104" s="720">
        <f t="shared" si="197"/>
        <v>967.6728154727773</v>
      </c>
      <c r="K104" s="720">
        <f t="shared" si="197"/>
        <v>923.29140044895848</v>
      </c>
      <c r="L104" s="720">
        <f t="shared" si="197"/>
        <v>1000.3643842473371</v>
      </c>
      <c r="M104" s="720">
        <f t="shared" si="197"/>
        <v>1059.008707267355</v>
      </c>
      <c r="N104" s="720">
        <f t="shared" si="197"/>
        <v>1128.0091426307229</v>
      </c>
      <c r="O104" s="720">
        <f t="shared" si="197"/>
        <v>1200.4595997622591</v>
      </c>
      <c r="P104" s="720">
        <f t="shared" si="197"/>
        <v>1276.5325797503722</v>
      </c>
      <c r="Q104" s="720">
        <f t="shared" si="197"/>
        <v>1356.409208737891</v>
      </c>
      <c r="R104" s="719"/>
      <c r="S104" s="796">
        <v>275</v>
      </c>
      <c r="T104" s="796">
        <v>218</v>
      </c>
      <c r="U104" s="796">
        <v>228</v>
      </c>
      <c r="V104" s="796">
        <v>199</v>
      </c>
      <c r="W104" s="797">
        <f>W99+W100+W102+W103</f>
        <v>292</v>
      </c>
      <c r="X104" s="796">
        <f>X99+X100+X102+X103</f>
        <v>236</v>
      </c>
      <c r="Y104" s="796">
        <f>Y99+Y100+Y102+Y103</f>
        <v>205</v>
      </c>
      <c r="Z104" s="796">
        <f>Z99+Z100+Z102+Z103</f>
        <v>212</v>
      </c>
      <c r="AA104" s="797">
        <f t="shared" ref="AA104:AF104" si="198">AA97+AA100+AA102+AA103</f>
        <v>221</v>
      </c>
      <c r="AB104" s="720">
        <f t="shared" si="198"/>
        <v>237</v>
      </c>
      <c r="AC104" s="720">
        <f t="shared" si="198"/>
        <v>280</v>
      </c>
      <c r="AD104" s="720">
        <f t="shared" si="198"/>
        <v>243</v>
      </c>
      <c r="AE104" s="797">
        <f>AE97+AE100+AE102+AE103</f>
        <v>253</v>
      </c>
      <c r="AF104" s="720">
        <f t="shared" si="198"/>
        <v>306</v>
      </c>
      <c r="AG104" s="720">
        <f t="shared" ref="AG104:AP104" si="199">AG97+AG100+AG102+AG103</f>
        <v>295</v>
      </c>
      <c r="AH104" s="798">
        <f t="shared" si="199"/>
        <v>280</v>
      </c>
      <c r="AI104" s="797">
        <f>AI97+AI100+AI102+AI103</f>
        <v>352</v>
      </c>
      <c r="AJ104" s="720">
        <f>AJ97+AJ100+AJ102+AJ103</f>
        <v>325</v>
      </c>
      <c r="AK104" s="720">
        <f>AK97+AK100+AK102+AK103</f>
        <v>359</v>
      </c>
      <c r="AL104" s="798">
        <f t="shared" si="199"/>
        <v>298</v>
      </c>
      <c r="AM104" s="796">
        <f t="shared" si="199"/>
        <v>375</v>
      </c>
      <c r="AN104" s="796">
        <f t="shared" si="199"/>
        <v>259.66820386819433</v>
      </c>
      <c r="AO104" s="796">
        <f t="shared" si="199"/>
        <v>242.66820386819433</v>
      </c>
      <c r="AP104" s="796">
        <f t="shared" si="199"/>
        <v>90.336407736388622</v>
      </c>
      <c r="AQ104" s="1392"/>
      <c r="AR104" s="781"/>
      <c r="AS104" s="781"/>
      <c r="AT104" s="781"/>
      <c r="AU104" s="781"/>
      <c r="AV104" s="781"/>
      <c r="AW104" s="781"/>
      <c r="AX104" s="781"/>
      <c r="AY104" s="781"/>
      <c r="AZ104" s="781"/>
      <c r="BA104" s="781"/>
      <c r="BB104"/>
      <c r="BC104"/>
      <c r="BD104"/>
      <c r="BE104"/>
      <c r="BF104"/>
      <c r="BG104"/>
      <c r="BL104" s="714"/>
      <c r="BM104" s="714"/>
      <c r="BN104" s="784"/>
      <c r="BO104" s="784"/>
      <c r="BP104" s="784"/>
      <c r="BQ104" s="784"/>
      <c r="BR104" s="784"/>
      <c r="BS104" s="784"/>
      <c r="BT104" s="720"/>
      <c r="BU104" s="720"/>
      <c r="BV104" s="720"/>
      <c r="BW104" s="720"/>
      <c r="BX104" s="720"/>
      <c r="BY104" s="720"/>
      <c r="BZ104" s="720"/>
      <c r="CA104" s="720"/>
      <c r="CB104" s="720"/>
      <c r="CC104" s="720"/>
      <c r="CD104" s="720"/>
      <c r="CE104" s="720"/>
      <c r="CF104" s="720"/>
      <c r="CG104" s="720"/>
      <c r="CH104" s="720"/>
      <c r="CI104" s="720"/>
      <c r="CJ104" s="720"/>
      <c r="CK104" s="720"/>
      <c r="CL104" s="720"/>
      <c r="CM104" s="720"/>
      <c r="CN104" s="720"/>
      <c r="CO104" s="720"/>
      <c r="CP104" s="720"/>
      <c r="CQ104" s="720"/>
      <c r="CR104" s="720"/>
      <c r="CS104" s="720"/>
      <c r="CT104" s="720"/>
      <c r="CU104" s="720"/>
      <c r="CV104" s="720"/>
      <c r="CW104" s="720"/>
      <c r="CX104" s="720"/>
    </row>
    <row r="105" spans="1:102" s="693" customFormat="1" outlineLevel="1">
      <c r="A105" s="780" t="s">
        <v>151</v>
      </c>
      <c r="B105" s="720"/>
      <c r="C105" s="714">
        <v>-251</v>
      </c>
      <c r="D105" s="714">
        <v>-203</v>
      </c>
      <c r="E105" s="714">
        <v>-321</v>
      </c>
      <c r="F105" s="714">
        <v>973</v>
      </c>
      <c r="G105" s="714">
        <f>G106-G104</f>
        <v>-715</v>
      </c>
      <c r="H105" s="714">
        <f>-296-135</f>
        <v>-431</v>
      </c>
      <c r="I105" s="714">
        <v>-226</v>
      </c>
      <c r="J105" s="714">
        <f t="shared" ref="J105:Q105" si="200">I105*(J104-J94)/(I104-I94)</f>
        <v>-269.17171105935842</v>
      </c>
      <c r="K105" s="714">
        <f t="shared" si="200"/>
        <v>-295.97710142051722</v>
      </c>
      <c r="L105" s="714">
        <f t="shared" si="200"/>
        <v>-320.68418558850811</v>
      </c>
      <c r="M105" s="714">
        <f t="shared" si="200"/>
        <v>-339.48364232967702</v>
      </c>
      <c r="N105" s="714">
        <f t="shared" si="200"/>
        <v>-361.60293082913961</v>
      </c>
      <c r="O105" s="714">
        <f t="shared" si="200"/>
        <v>-384.82818375357533</v>
      </c>
      <c r="P105" s="714">
        <f t="shared" si="200"/>
        <v>-409.21469932423287</v>
      </c>
      <c r="Q105" s="714">
        <f t="shared" si="200"/>
        <v>-434.82054067342335</v>
      </c>
      <c r="R105" s="715"/>
      <c r="S105" s="803">
        <v>-164</v>
      </c>
      <c r="T105" s="803">
        <v>-47</v>
      </c>
      <c r="U105" s="803">
        <v>-66</v>
      </c>
      <c r="V105" s="716">
        <v>-44</v>
      </c>
      <c r="W105" s="804">
        <f t="shared" ref="W105:AM105" si="201">W106-W104</f>
        <v>-77</v>
      </c>
      <c r="X105" s="716">
        <f t="shared" si="201"/>
        <v>-51</v>
      </c>
      <c r="Y105" s="716">
        <f t="shared" si="201"/>
        <v>733</v>
      </c>
      <c r="Z105" s="716">
        <f t="shared" si="201"/>
        <v>368</v>
      </c>
      <c r="AA105" s="804">
        <f t="shared" si="201"/>
        <v>-206</v>
      </c>
      <c r="AB105" s="716">
        <f t="shared" si="201"/>
        <v>-116</v>
      </c>
      <c r="AC105" s="716">
        <f t="shared" si="201"/>
        <v>-160</v>
      </c>
      <c r="AD105" s="716">
        <f t="shared" si="201"/>
        <v>-233</v>
      </c>
      <c r="AE105" s="717">
        <f t="shared" si="201"/>
        <v>-126</v>
      </c>
      <c r="AF105" s="716">
        <f t="shared" si="201"/>
        <v>-103</v>
      </c>
      <c r="AG105" s="716">
        <f t="shared" si="201"/>
        <v>-78</v>
      </c>
      <c r="AH105" s="718">
        <f>+H105-AE105-AF105-AG105</f>
        <v>-124</v>
      </c>
      <c r="AI105" s="717">
        <f t="shared" si="201"/>
        <v>-137</v>
      </c>
      <c r="AJ105" s="716">
        <f t="shared" si="201"/>
        <v>-110</v>
      </c>
      <c r="AK105" s="716">
        <f t="shared" si="201"/>
        <v>-97</v>
      </c>
      <c r="AL105" s="718">
        <f>I105-AI105-AJ105-AK105</f>
        <v>118</v>
      </c>
      <c r="AM105" s="717">
        <f t="shared" si="201"/>
        <v>-223</v>
      </c>
      <c r="AN105" s="716">
        <f t="shared" ref="AN105:AO105" si="202">AJ105*(AN104-AN94)/(AJ104-AJ94)</f>
        <v>-114.71286114659186</v>
      </c>
      <c r="AO105" s="716">
        <f t="shared" si="202"/>
        <v>-98.07839906339521</v>
      </c>
      <c r="AP105" s="716">
        <f t="shared" si="196"/>
        <v>166.61954915062864</v>
      </c>
      <c r="AQ105" s="1388"/>
      <c r="AR105" s="781"/>
      <c r="AS105" s="781"/>
      <c r="AT105" s="781"/>
      <c r="AU105" s="781"/>
      <c r="AV105" s="781"/>
      <c r="AW105" s="781"/>
      <c r="AX105" s="781"/>
      <c r="AY105" s="781"/>
      <c r="AZ105" s="781"/>
      <c r="BA105" s="781"/>
      <c r="BB105"/>
      <c r="BC105"/>
      <c r="BD105"/>
      <c r="BE105"/>
      <c r="BF105"/>
      <c r="BG105"/>
      <c r="BL105" s="714"/>
      <c r="BM105" s="714"/>
      <c r="BN105" s="784"/>
      <c r="BO105" s="784"/>
      <c r="BP105" s="784"/>
      <c r="BQ105" s="784"/>
      <c r="BR105" s="784"/>
      <c r="BS105" s="784"/>
      <c r="BT105" s="720"/>
      <c r="BU105" s="720"/>
      <c r="BV105" s="720"/>
      <c r="BW105" s="720"/>
      <c r="BX105" s="720"/>
      <c r="BY105" s="720"/>
      <c r="BZ105" s="714"/>
      <c r="CA105" s="714"/>
      <c r="CB105" s="714"/>
      <c r="CC105" s="714"/>
      <c r="CD105" s="714"/>
      <c r="CE105" s="714"/>
      <c r="CF105" s="714"/>
      <c r="CG105" s="714"/>
      <c r="CH105" s="714"/>
      <c r="CI105" s="714"/>
      <c r="CJ105" s="714"/>
      <c r="CK105" s="714"/>
      <c r="CL105" s="714"/>
      <c r="CM105" s="714"/>
      <c r="CN105" s="714"/>
      <c r="CO105" s="714"/>
      <c r="CP105" s="714"/>
      <c r="CQ105" s="714"/>
      <c r="CR105" s="714"/>
      <c r="CS105" s="714"/>
      <c r="CT105" s="714"/>
      <c r="CU105" s="714"/>
      <c r="CV105" s="714"/>
      <c r="CW105" s="714"/>
      <c r="CX105" s="714"/>
    </row>
    <row r="106" spans="1:102" s="693" customFormat="1" outlineLevel="1">
      <c r="A106" s="780" t="s">
        <v>152</v>
      </c>
      <c r="B106" s="720"/>
      <c r="C106" s="714">
        <v>607</v>
      </c>
      <c r="D106" s="714">
        <v>552</v>
      </c>
      <c r="E106" s="714">
        <v>556</v>
      </c>
      <c r="F106" s="714">
        <v>1918</v>
      </c>
      <c r="G106" s="714">
        <v>266</v>
      </c>
      <c r="H106" s="714">
        <f t="shared" ref="H106:P106" si="203">H104+H105</f>
        <v>703</v>
      </c>
      <c r="I106" s="714">
        <f t="shared" si="203"/>
        <v>1108</v>
      </c>
      <c r="J106" s="714">
        <f t="shared" si="203"/>
        <v>698.50110441341894</v>
      </c>
      <c r="K106" s="714">
        <f t="shared" si="203"/>
        <v>627.31429902844127</v>
      </c>
      <c r="L106" s="714">
        <f t="shared" si="203"/>
        <v>679.68019865882889</v>
      </c>
      <c r="M106" s="714">
        <f t="shared" si="203"/>
        <v>719.52506493767805</v>
      </c>
      <c r="N106" s="714">
        <f t="shared" si="203"/>
        <v>766.40621180158325</v>
      </c>
      <c r="O106" s="714">
        <f t="shared" si="203"/>
        <v>815.6314160086838</v>
      </c>
      <c r="P106" s="714">
        <f t="shared" si="203"/>
        <v>867.31788042613925</v>
      </c>
      <c r="Q106" s="714">
        <f>Q104+Q105</f>
        <v>921.5886680644677</v>
      </c>
      <c r="R106" s="715"/>
      <c r="S106" s="716">
        <v>111</v>
      </c>
      <c r="T106" s="716">
        <v>171</v>
      </c>
      <c r="U106" s="716">
        <v>162</v>
      </c>
      <c r="V106" s="716">
        <v>155</v>
      </c>
      <c r="W106" s="717">
        <v>215</v>
      </c>
      <c r="X106" s="716">
        <v>185</v>
      </c>
      <c r="Y106" s="716">
        <v>938</v>
      </c>
      <c r="Z106" s="716">
        <v>580</v>
      </c>
      <c r="AA106" s="717">
        <v>15</v>
      </c>
      <c r="AB106" s="716">
        <v>121</v>
      </c>
      <c r="AC106" s="716">
        <v>120</v>
      </c>
      <c r="AD106" s="716">
        <f>G106-AA106-AB106-AC106</f>
        <v>10</v>
      </c>
      <c r="AE106" s="717">
        <v>127</v>
      </c>
      <c r="AF106" s="716">
        <v>203</v>
      </c>
      <c r="AG106" s="714">
        <v>217</v>
      </c>
      <c r="AH106" s="718">
        <f>AH104+AH105</f>
        <v>156</v>
      </c>
      <c r="AI106" s="717">
        <v>215</v>
      </c>
      <c r="AJ106" s="716">
        <v>215</v>
      </c>
      <c r="AK106" s="716">
        <v>262</v>
      </c>
      <c r="AL106" s="718">
        <f>AL104+AL105</f>
        <v>416</v>
      </c>
      <c r="AM106" s="716">
        <v>152</v>
      </c>
      <c r="AN106" s="716">
        <f t="shared" ref="AN106:AP106" si="204">AN104+AN105</f>
        <v>144.95534272160245</v>
      </c>
      <c r="AO106" s="716">
        <f t="shared" si="204"/>
        <v>144.58980480479912</v>
      </c>
      <c r="AP106" s="716">
        <f t="shared" si="204"/>
        <v>256.95595688701724</v>
      </c>
      <c r="AQ106" s="1388"/>
      <c r="AR106" s="781"/>
      <c r="AS106" s="781"/>
      <c r="AT106" s="781"/>
      <c r="AU106" s="781"/>
      <c r="AV106" s="781"/>
      <c r="AW106" s="781"/>
      <c r="AX106" s="781"/>
      <c r="AY106" s="781"/>
      <c r="AZ106" s="781"/>
      <c r="BA106" s="781"/>
      <c r="BB106"/>
      <c r="BC106"/>
      <c r="BD106"/>
      <c r="BE106"/>
      <c r="BF106"/>
      <c r="BG106"/>
      <c r="BL106" s="714"/>
      <c r="BM106" s="714"/>
      <c r="BN106" s="784"/>
      <c r="BO106" s="784"/>
      <c r="BP106" s="784"/>
      <c r="BQ106" s="784"/>
      <c r="BR106" s="784"/>
      <c r="BS106" s="784"/>
      <c r="BT106" s="720"/>
      <c r="BU106" s="720"/>
      <c r="BV106" s="720"/>
      <c r="BW106" s="720"/>
      <c r="BX106" s="720"/>
      <c r="BY106" s="720"/>
      <c r="BZ106" s="714"/>
      <c r="CA106" s="714"/>
      <c r="CB106" s="714"/>
      <c r="CC106" s="714"/>
      <c r="CD106" s="714"/>
      <c r="CE106" s="714"/>
      <c r="CF106" s="714"/>
      <c r="CG106" s="714"/>
      <c r="CH106" s="714"/>
      <c r="CI106" s="714"/>
      <c r="CJ106" s="714"/>
      <c r="CK106" s="714"/>
      <c r="CL106" s="714"/>
      <c r="CM106" s="714"/>
      <c r="CN106" s="714"/>
      <c r="CO106" s="714"/>
      <c r="CP106" s="714"/>
      <c r="CQ106" s="714"/>
      <c r="CR106" s="714"/>
      <c r="CS106" s="714"/>
      <c r="CT106" s="714"/>
      <c r="CU106" s="714"/>
      <c r="CV106" s="714"/>
      <c r="CW106" s="714"/>
      <c r="CX106" s="714"/>
    </row>
    <row r="107" spans="1:102" s="693" customFormat="1">
      <c r="A107" s="795" t="s">
        <v>156</v>
      </c>
      <c r="B107" s="720">
        <v>-692</v>
      </c>
      <c r="C107" s="720">
        <v>-753</v>
      </c>
      <c r="D107" s="720">
        <v>-820</v>
      </c>
      <c r="E107" s="720">
        <v>-775</v>
      </c>
      <c r="F107" s="796">
        <v>-735</v>
      </c>
      <c r="G107" s="796">
        <f t="shared" ref="G107:Q107" si="205">G112+G108+G111</f>
        <v>-679</v>
      </c>
      <c r="H107" s="796">
        <f t="shared" si="205"/>
        <v>-806</v>
      </c>
      <c r="I107" s="796">
        <f t="shared" si="205"/>
        <v>-738</v>
      </c>
      <c r="J107" s="796">
        <f t="shared" si="205"/>
        <v>-830</v>
      </c>
      <c r="K107" s="796">
        <f t="shared" si="205"/>
        <v>-750</v>
      </c>
      <c r="L107" s="796">
        <f t="shared" si="205"/>
        <v>-700</v>
      </c>
      <c r="M107" s="796">
        <f t="shared" si="205"/>
        <v>-600</v>
      </c>
      <c r="N107" s="796">
        <f t="shared" si="205"/>
        <v>-500</v>
      </c>
      <c r="O107" s="796">
        <f t="shared" si="205"/>
        <v>-400</v>
      </c>
      <c r="P107" s="796">
        <f t="shared" si="205"/>
        <v>-200</v>
      </c>
      <c r="Q107" s="796">
        <f t="shared" si="205"/>
        <v>-200</v>
      </c>
      <c r="R107" s="719"/>
      <c r="S107" s="796">
        <v>-168</v>
      </c>
      <c r="T107" s="796">
        <v>-170</v>
      </c>
      <c r="U107" s="796">
        <v>-232</v>
      </c>
      <c r="V107" s="796">
        <v>-205</v>
      </c>
      <c r="W107" s="797">
        <f t="shared" ref="W107:AP107" si="206">W112+W108+W111</f>
        <v>-193</v>
      </c>
      <c r="X107" s="796">
        <f t="shared" si="206"/>
        <v>-222</v>
      </c>
      <c r="Y107" s="796">
        <f t="shared" si="206"/>
        <v>-145</v>
      </c>
      <c r="Z107" s="796">
        <f t="shared" si="206"/>
        <v>-175</v>
      </c>
      <c r="AA107" s="797">
        <f t="shared" si="206"/>
        <v>-122</v>
      </c>
      <c r="AB107" s="796">
        <f t="shared" si="206"/>
        <v>-227</v>
      </c>
      <c r="AC107" s="796">
        <f t="shared" si="206"/>
        <v>-140</v>
      </c>
      <c r="AD107" s="796">
        <f t="shared" si="206"/>
        <v>-190</v>
      </c>
      <c r="AE107" s="797">
        <f t="shared" si="206"/>
        <v>-226</v>
      </c>
      <c r="AF107" s="796">
        <f t="shared" si="206"/>
        <v>-183</v>
      </c>
      <c r="AG107" s="796">
        <f t="shared" si="206"/>
        <v>-212</v>
      </c>
      <c r="AH107" s="798">
        <f t="shared" si="206"/>
        <v>-185</v>
      </c>
      <c r="AI107" s="797">
        <f t="shared" si="206"/>
        <v>-190</v>
      </c>
      <c r="AJ107" s="796">
        <f t="shared" si="206"/>
        <v>-180</v>
      </c>
      <c r="AK107" s="796">
        <f t="shared" si="206"/>
        <v>-183</v>
      </c>
      <c r="AL107" s="798">
        <f t="shared" si="206"/>
        <v>-185</v>
      </c>
      <c r="AM107" s="797">
        <f t="shared" si="206"/>
        <v>-190</v>
      </c>
      <c r="AN107" s="796">
        <f t="shared" si="206"/>
        <v>-205</v>
      </c>
      <c r="AO107" s="796">
        <f t="shared" si="206"/>
        <v>-205</v>
      </c>
      <c r="AP107" s="798">
        <f t="shared" si="206"/>
        <v>-230</v>
      </c>
      <c r="AQ107" s="1388"/>
      <c r="AR107" s="781"/>
      <c r="AS107" s="781"/>
      <c r="AT107" s="781"/>
      <c r="AU107" s="781"/>
      <c r="AV107" s="781"/>
      <c r="AW107" s="781"/>
      <c r="AX107" s="781"/>
      <c r="AY107" s="781"/>
      <c r="AZ107" s="781"/>
      <c r="BA107" s="781"/>
      <c r="BB107"/>
      <c r="BC107"/>
      <c r="BD107"/>
      <c r="BE107"/>
      <c r="BF107"/>
      <c r="BG107"/>
      <c r="BL107" s="720"/>
      <c r="BM107" s="720"/>
      <c r="BN107" s="784"/>
      <c r="BO107" s="784"/>
      <c r="BP107" s="784"/>
      <c r="BQ107" s="784"/>
      <c r="BR107" s="784"/>
      <c r="BS107" s="784"/>
      <c r="BT107" s="720"/>
      <c r="BU107" s="720"/>
      <c r="BV107" s="720"/>
      <c r="BW107" s="720"/>
      <c r="BX107" s="720"/>
      <c r="BY107" s="720"/>
      <c r="BZ107" s="720"/>
      <c r="CA107" s="720"/>
      <c r="CB107" s="720"/>
      <c r="CC107" s="720"/>
      <c r="CD107" s="720"/>
      <c r="CE107" s="720"/>
      <c r="CF107" s="720"/>
      <c r="CG107" s="720"/>
      <c r="CH107" s="720"/>
      <c r="CI107" s="720"/>
      <c r="CJ107" s="720"/>
      <c r="CK107" s="720"/>
      <c r="CL107" s="720"/>
      <c r="CM107" s="720"/>
      <c r="CN107" s="720"/>
      <c r="CO107" s="720"/>
      <c r="CP107" s="720"/>
      <c r="CQ107" s="720"/>
      <c r="CR107" s="720"/>
      <c r="CS107" s="720"/>
      <c r="CT107" s="720"/>
      <c r="CU107" s="720"/>
      <c r="CV107" s="720"/>
      <c r="CW107" s="720"/>
      <c r="CX107" s="720"/>
    </row>
    <row r="108" spans="1:102" s="693" customFormat="1" hidden="1" outlineLevel="1">
      <c r="A108" s="780" t="s">
        <v>154</v>
      </c>
      <c r="B108" s="714">
        <v>-692</v>
      </c>
      <c r="C108" s="805">
        <v>-751</v>
      </c>
      <c r="D108" s="805">
        <v>-724</v>
      </c>
      <c r="E108" s="805">
        <v>-787</v>
      </c>
      <c r="F108" s="805">
        <v>-704</v>
      </c>
      <c r="G108" s="805">
        <v>-655</v>
      </c>
      <c r="H108" s="805">
        <v>-707</v>
      </c>
      <c r="I108" s="805">
        <v>-777</v>
      </c>
      <c r="J108" s="805">
        <v>-830</v>
      </c>
      <c r="K108" s="805">
        <v>-750</v>
      </c>
      <c r="L108" s="805">
        <v>-700</v>
      </c>
      <c r="M108" s="805">
        <v>-600</v>
      </c>
      <c r="N108" s="805">
        <v>-500</v>
      </c>
      <c r="O108" s="805">
        <v>-400</v>
      </c>
      <c r="P108" s="805">
        <v>-200</v>
      </c>
      <c r="Q108" s="805">
        <v>-200</v>
      </c>
      <c r="R108" s="806"/>
      <c r="S108" s="803">
        <v>-175</v>
      </c>
      <c r="T108" s="803">
        <v>-175</v>
      </c>
      <c r="U108" s="803">
        <v>-232</v>
      </c>
      <c r="V108" s="803">
        <v>-205</v>
      </c>
      <c r="W108" s="804">
        <v>-168</v>
      </c>
      <c r="X108" s="803">
        <v>-166</v>
      </c>
      <c r="Y108" s="803">
        <v>-182</v>
      </c>
      <c r="Z108" s="803">
        <v>-188</v>
      </c>
      <c r="AA108" s="804">
        <v>-179</v>
      </c>
      <c r="AB108" s="803">
        <v>-164</v>
      </c>
      <c r="AC108" s="803">
        <v>-154</v>
      </c>
      <c r="AD108" s="716">
        <f>G108-AA108-AB108-AC108</f>
        <v>-158</v>
      </c>
      <c r="AE108" s="717">
        <v>-185</v>
      </c>
      <c r="AF108" s="803">
        <v>-180</v>
      </c>
      <c r="AG108" s="716">
        <v>-174</v>
      </c>
      <c r="AH108" s="718">
        <f>+H108-AE108-AF108-AG108</f>
        <v>-168</v>
      </c>
      <c r="AI108" s="717">
        <v>-180</v>
      </c>
      <c r="AJ108" s="803">
        <v>-192</v>
      </c>
      <c r="AK108" s="803">
        <v>-197</v>
      </c>
      <c r="AL108" s="718">
        <f>I108-AI108-AJ108-AK108</f>
        <v>-208</v>
      </c>
      <c r="AM108" s="717">
        <v>-224</v>
      </c>
      <c r="AN108" s="788">
        <v>-205</v>
      </c>
      <c r="AO108" s="788">
        <v>-205</v>
      </c>
      <c r="AP108" s="716">
        <f>J108-AM108-AN108-AO108</f>
        <v>-196</v>
      </c>
      <c r="AQ108" s="1389"/>
      <c r="AR108" s="794"/>
      <c r="AS108" s="794"/>
      <c r="AT108" s="794"/>
      <c r="AU108" s="794"/>
      <c r="AV108" s="794"/>
      <c r="AW108" s="794"/>
      <c r="AX108" s="794"/>
      <c r="AY108" s="794"/>
      <c r="AZ108" s="794"/>
      <c r="BA108" s="794"/>
      <c r="BB108"/>
      <c r="BC108"/>
      <c r="BD108"/>
      <c r="BE108"/>
      <c r="BF108"/>
      <c r="BG108"/>
      <c r="BL108" s="714"/>
      <c r="BM108" s="714"/>
      <c r="BN108" s="784"/>
      <c r="BO108" s="784"/>
      <c r="BP108" s="785"/>
      <c r="BQ108" s="785"/>
      <c r="BR108" s="784"/>
      <c r="BS108" s="784"/>
      <c r="BT108" s="784"/>
      <c r="BU108" s="784"/>
      <c r="BV108" s="805"/>
      <c r="BW108" s="805"/>
      <c r="BX108" s="714"/>
      <c r="BY108" s="714"/>
      <c r="BZ108" s="714"/>
      <c r="CA108" s="714"/>
      <c r="CB108" s="714"/>
      <c r="CC108" s="714"/>
      <c r="CD108" s="714"/>
      <c r="CE108" s="714"/>
      <c r="CF108" s="714"/>
      <c r="CG108" s="714"/>
      <c r="CH108" s="714"/>
      <c r="CI108" s="714"/>
      <c r="CJ108" s="714"/>
      <c r="CK108" s="714"/>
      <c r="CL108" s="714"/>
      <c r="CM108" s="714"/>
      <c r="CN108" s="805"/>
      <c r="CO108" s="805"/>
      <c r="CP108" s="805"/>
      <c r="CQ108" s="805"/>
      <c r="CR108" s="805"/>
      <c r="CS108" s="714"/>
      <c r="CT108" s="805"/>
      <c r="CU108" s="805"/>
      <c r="CV108" s="805"/>
      <c r="CW108" s="714"/>
      <c r="CX108" s="805"/>
    </row>
    <row r="109" spans="1:102" s="693" customFormat="1" hidden="1" outlineLevel="1">
      <c r="A109" s="780" t="s">
        <v>596</v>
      </c>
      <c r="B109" s="714"/>
      <c r="C109" s="805"/>
      <c r="D109" s="805"/>
      <c r="E109" s="805"/>
      <c r="F109" s="805"/>
      <c r="G109" s="805"/>
      <c r="H109" s="805"/>
      <c r="I109" s="805"/>
      <c r="J109" s="805"/>
      <c r="K109" s="805"/>
      <c r="L109" s="805"/>
      <c r="M109" s="805"/>
      <c r="N109" s="805"/>
      <c r="O109" s="805"/>
      <c r="P109" s="805"/>
      <c r="Q109" s="805"/>
      <c r="R109" s="806"/>
      <c r="S109" s="803"/>
      <c r="T109" s="803"/>
      <c r="U109" s="803"/>
      <c r="V109" s="803"/>
      <c r="W109" s="804"/>
      <c r="X109" s="803"/>
      <c r="Y109" s="803"/>
      <c r="Z109" s="803"/>
      <c r="AA109" s="804"/>
      <c r="AB109" s="803"/>
      <c r="AC109" s="803"/>
      <c r="AD109" s="716"/>
      <c r="AE109" s="717"/>
      <c r="AF109" s="803"/>
      <c r="AG109" s="716"/>
      <c r="AH109" s="718"/>
      <c r="AI109" s="717"/>
      <c r="AJ109" s="803"/>
      <c r="AK109" s="803"/>
      <c r="AL109" s="718"/>
      <c r="AM109" s="716"/>
      <c r="AN109" s="716"/>
      <c r="AO109" s="716"/>
      <c r="AP109" s="716"/>
      <c r="AQ109" s="1389"/>
      <c r="AR109" s="794"/>
      <c r="AS109" s="794"/>
      <c r="AT109" s="794"/>
      <c r="AU109" s="794"/>
      <c r="AV109" s="794"/>
      <c r="AW109" s="794"/>
      <c r="AX109" s="794"/>
      <c r="AY109" s="794"/>
      <c r="AZ109" s="794"/>
      <c r="BA109" s="794"/>
      <c r="BB109"/>
      <c r="BC109"/>
      <c r="BD109"/>
      <c r="BE109"/>
      <c r="BF109"/>
      <c r="BG109"/>
      <c r="BL109" s="714"/>
      <c r="BM109" s="714"/>
      <c r="BN109" s="784"/>
      <c r="BO109" s="784"/>
      <c r="BP109" s="785"/>
      <c r="BQ109" s="785"/>
      <c r="BR109" s="784"/>
      <c r="BS109" s="784"/>
      <c r="BT109" s="784"/>
      <c r="BU109" s="784"/>
      <c r="BV109" s="805"/>
      <c r="BW109" s="805"/>
      <c r="BX109" s="714"/>
      <c r="BY109" s="714"/>
      <c r="BZ109" s="714"/>
      <c r="CA109" s="714"/>
      <c r="CB109" s="714"/>
      <c r="CC109" s="714"/>
      <c r="CD109" s="714"/>
      <c r="CE109" s="714"/>
      <c r="CF109" s="714"/>
      <c r="CG109" s="714"/>
      <c r="CH109" s="714"/>
      <c r="CI109" s="714"/>
      <c r="CJ109" s="714"/>
      <c r="CK109" s="714"/>
      <c r="CL109" s="714"/>
      <c r="CM109" s="714"/>
      <c r="CN109" s="805"/>
      <c r="CO109" s="805"/>
      <c r="CP109" s="805"/>
      <c r="CQ109" s="805"/>
      <c r="CR109" s="805"/>
      <c r="CS109" s="714"/>
      <c r="CT109" s="805"/>
      <c r="CU109" s="805"/>
      <c r="CV109" s="805"/>
      <c r="CW109" s="714"/>
      <c r="CX109" s="805"/>
    </row>
    <row r="110" spans="1:102" s="693" customFormat="1" hidden="1" outlineLevel="1">
      <c r="A110" s="780" t="s">
        <v>597</v>
      </c>
      <c r="B110" s="714"/>
      <c r="C110" s="805"/>
      <c r="D110" s="805"/>
      <c r="E110" s="805"/>
      <c r="F110" s="805"/>
      <c r="G110" s="805"/>
      <c r="H110" s="805"/>
      <c r="I110" s="805"/>
      <c r="J110" s="805"/>
      <c r="K110" s="805"/>
      <c r="L110" s="805"/>
      <c r="M110" s="805"/>
      <c r="N110" s="805"/>
      <c r="O110" s="805"/>
      <c r="P110" s="805"/>
      <c r="Q110" s="805"/>
      <c r="R110" s="806"/>
      <c r="S110" s="803"/>
      <c r="T110" s="803"/>
      <c r="U110" s="803"/>
      <c r="V110" s="803"/>
      <c r="W110" s="804"/>
      <c r="X110" s="803"/>
      <c r="Y110" s="803"/>
      <c r="Z110" s="803"/>
      <c r="AA110" s="804"/>
      <c r="AB110" s="803"/>
      <c r="AC110" s="803"/>
      <c r="AD110" s="716"/>
      <c r="AE110" s="717"/>
      <c r="AF110" s="803"/>
      <c r="AG110" s="716"/>
      <c r="AH110" s="718"/>
      <c r="AI110" s="717"/>
      <c r="AJ110" s="803"/>
      <c r="AK110" s="803"/>
      <c r="AL110" s="718"/>
      <c r="AM110" s="716"/>
      <c r="AN110" s="716"/>
      <c r="AO110" s="716"/>
      <c r="AP110" s="716"/>
      <c r="AQ110" s="1389"/>
      <c r="AR110" s="794"/>
      <c r="AS110" s="794"/>
      <c r="AT110" s="794"/>
      <c r="AU110" s="794"/>
      <c r="AV110" s="794"/>
      <c r="AW110" s="794"/>
      <c r="AX110" s="794"/>
      <c r="AY110" s="794"/>
      <c r="AZ110" s="794"/>
      <c r="BA110" s="794"/>
      <c r="BB110"/>
      <c r="BC110"/>
      <c r="BD110"/>
      <c r="BE110"/>
      <c r="BF110"/>
      <c r="BG110"/>
      <c r="BL110" s="714"/>
      <c r="BM110" s="714"/>
      <c r="BN110" s="784"/>
      <c r="BO110" s="784"/>
      <c r="BP110" s="785"/>
      <c r="BQ110" s="785"/>
      <c r="BR110" s="784"/>
      <c r="BS110" s="784"/>
      <c r="BT110" s="784"/>
      <c r="BU110" s="784"/>
      <c r="BV110" s="805"/>
      <c r="BW110" s="805"/>
      <c r="BX110" s="714"/>
      <c r="BY110" s="714"/>
      <c r="BZ110" s="714"/>
      <c r="CA110" s="714"/>
      <c r="CB110" s="714"/>
      <c r="CC110" s="714"/>
      <c r="CD110" s="714"/>
      <c r="CE110" s="714"/>
      <c r="CF110" s="714"/>
      <c r="CG110" s="714"/>
      <c r="CH110" s="714"/>
      <c r="CI110" s="714"/>
      <c r="CJ110" s="714"/>
      <c r="CK110" s="714"/>
      <c r="CL110" s="714"/>
      <c r="CM110" s="714"/>
      <c r="CN110" s="805"/>
      <c r="CO110" s="805"/>
      <c r="CP110" s="805"/>
      <c r="CQ110" s="805"/>
      <c r="CR110" s="805"/>
      <c r="CS110" s="714"/>
      <c r="CT110" s="805"/>
      <c r="CU110" s="805"/>
      <c r="CV110" s="805"/>
      <c r="CW110" s="714"/>
      <c r="CX110" s="805"/>
    </row>
    <row r="111" spans="1:102" s="693" customFormat="1" hidden="1" outlineLevel="1">
      <c r="A111" s="780" t="s">
        <v>155</v>
      </c>
      <c r="B111" s="784">
        <v>0</v>
      </c>
      <c r="C111" s="784">
        <v>0</v>
      </c>
      <c r="D111" s="784">
        <v>0</v>
      </c>
      <c r="E111" s="784">
        <v>0</v>
      </c>
      <c r="F111" s="784">
        <v>0</v>
      </c>
      <c r="G111" s="784">
        <v>0</v>
      </c>
      <c r="H111" s="784">
        <v>0</v>
      </c>
      <c r="I111" s="784">
        <v>0</v>
      </c>
      <c r="J111" s="714">
        <v>0</v>
      </c>
      <c r="K111" s="714">
        <v>0</v>
      </c>
      <c r="L111" s="714">
        <v>0</v>
      </c>
      <c r="M111" s="714">
        <v>0</v>
      </c>
      <c r="N111" s="714">
        <v>0</v>
      </c>
      <c r="O111" s="714">
        <v>0</v>
      </c>
      <c r="P111" s="714">
        <v>0</v>
      </c>
      <c r="Q111" s="714">
        <v>0</v>
      </c>
      <c r="R111" s="715"/>
      <c r="S111" s="716">
        <v>0</v>
      </c>
      <c r="T111" s="716">
        <v>0</v>
      </c>
      <c r="U111" s="716">
        <v>0</v>
      </c>
      <c r="V111" s="716">
        <v>0</v>
      </c>
      <c r="W111" s="717">
        <v>0</v>
      </c>
      <c r="X111" s="716">
        <v>0</v>
      </c>
      <c r="Y111" s="716">
        <v>0</v>
      </c>
      <c r="Z111" s="716">
        <v>0</v>
      </c>
      <c r="AA111" s="717">
        <v>0</v>
      </c>
      <c r="AB111" s="716">
        <v>0</v>
      </c>
      <c r="AC111" s="716">
        <v>0</v>
      </c>
      <c r="AD111" s="716">
        <f>G111-AA111-AB111-AC111</f>
        <v>0</v>
      </c>
      <c r="AE111" s="717">
        <v>0</v>
      </c>
      <c r="AF111" s="716">
        <v>0</v>
      </c>
      <c r="AG111" s="716">
        <v>0</v>
      </c>
      <c r="AH111" s="718">
        <f>+H111-SUM(AE111:AG111)</f>
        <v>0</v>
      </c>
      <c r="AI111" s="717">
        <v>0</v>
      </c>
      <c r="AJ111" s="716">
        <f>I111/4</f>
        <v>0</v>
      </c>
      <c r="AK111" s="716">
        <f>I111/4</f>
        <v>0</v>
      </c>
      <c r="AL111" s="718">
        <f>I111-AI111-AJ111-AK111</f>
        <v>0</v>
      </c>
      <c r="AM111" s="717">
        <f>J111/4</f>
        <v>0</v>
      </c>
      <c r="AN111" s="788">
        <f>J111/4</f>
        <v>0</v>
      </c>
      <c r="AO111" s="788">
        <f>J111/4</f>
        <v>0</v>
      </c>
      <c r="AP111" s="716">
        <f>J111-AM111-AN111-AO111</f>
        <v>0</v>
      </c>
      <c r="AQ111" s="1389"/>
      <c r="AR111" s="794"/>
      <c r="AS111" s="794"/>
      <c r="AT111" s="794"/>
      <c r="AU111" s="794"/>
      <c r="AV111" s="794"/>
      <c r="AW111" s="794"/>
      <c r="AX111" s="794"/>
      <c r="AY111" s="794"/>
      <c r="AZ111" s="794"/>
      <c r="BA111" s="794"/>
      <c r="BB111"/>
      <c r="BC111"/>
      <c r="BD111"/>
      <c r="BE111"/>
      <c r="BF111"/>
      <c r="BG111"/>
      <c r="BL111" s="714"/>
      <c r="BM111" s="714"/>
      <c r="BN111" s="784"/>
      <c r="BO111" s="784"/>
      <c r="BP111" s="785"/>
      <c r="BQ111" s="784"/>
      <c r="BR111" s="785"/>
      <c r="BS111" s="785"/>
      <c r="BT111" s="805"/>
      <c r="BU111" s="805"/>
      <c r="BV111" s="805"/>
      <c r="BW111" s="805"/>
      <c r="BX111" s="714"/>
      <c r="BY111" s="714"/>
      <c r="BZ111" s="714"/>
      <c r="CA111" s="714"/>
      <c r="CB111" s="714"/>
      <c r="CC111" s="714"/>
      <c r="CD111" s="714"/>
      <c r="CE111" s="714"/>
      <c r="CF111" s="714"/>
      <c r="CG111" s="714"/>
      <c r="CH111" s="714"/>
      <c r="CI111" s="714"/>
      <c r="CJ111" s="714"/>
      <c r="CK111" s="714"/>
      <c r="CL111" s="714"/>
      <c r="CM111" s="714"/>
      <c r="CN111" s="805"/>
      <c r="CO111" s="805"/>
      <c r="CP111" s="805"/>
      <c r="CQ111" s="805"/>
      <c r="CR111" s="805"/>
      <c r="CS111" s="805"/>
      <c r="CT111" s="805"/>
      <c r="CU111" s="805"/>
      <c r="CV111" s="805"/>
      <c r="CW111" s="805"/>
      <c r="CX111" s="805"/>
    </row>
    <row r="112" spans="1:102" s="693" customFormat="1" hidden="1" outlineLevel="1">
      <c r="A112" s="780" t="s">
        <v>153</v>
      </c>
      <c r="B112" s="714">
        <v>64</v>
      </c>
      <c r="C112" s="805">
        <v>-2</v>
      </c>
      <c r="D112" s="805">
        <v>-96</v>
      </c>
      <c r="E112" s="805">
        <v>12</v>
      </c>
      <c r="F112" s="805">
        <v>-31</v>
      </c>
      <c r="G112" s="805">
        <v>-24</v>
      </c>
      <c r="H112" s="805">
        <v>-99</v>
      </c>
      <c r="I112" s="805">
        <v>39</v>
      </c>
      <c r="J112" s="805">
        <v>0</v>
      </c>
      <c r="K112" s="805">
        <v>0</v>
      </c>
      <c r="L112" s="805">
        <v>0</v>
      </c>
      <c r="M112" s="805">
        <v>0</v>
      </c>
      <c r="N112" s="805">
        <v>0</v>
      </c>
      <c r="O112" s="805">
        <v>0</v>
      </c>
      <c r="P112" s="805">
        <v>0</v>
      </c>
      <c r="Q112" s="805">
        <v>0</v>
      </c>
      <c r="R112" s="806"/>
      <c r="S112" s="803">
        <v>7</v>
      </c>
      <c r="T112" s="803">
        <v>5</v>
      </c>
      <c r="U112" s="803">
        <v>0</v>
      </c>
      <c r="V112" s="803">
        <v>0</v>
      </c>
      <c r="W112" s="804">
        <v>-25</v>
      </c>
      <c r="X112" s="803">
        <v>-56</v>
      </c>
      <c r="Y112" s="803">
        <v>37</v>
      </c>
      <c r="Z112" s="803">
        <v>13</v>
      </c>
      <c r="AA112" s="804">
        <v>57</v>
      </c>
      <c r="AB112" s="803">
        <v>-63</v>
      </c>
      <c r="AC112" s="803">
        <v>14</v>
      </c>
      <c r="AD112" s="716">
        <f>G112-AA112-AB112-AC112</f>
        <v>-32</v>
      </c>
      <c r="AE112" s="717">
        <v>-41</v>
      </c>
      <c r="AF112" s="803">
        <v>-3</v>
      </c>
      <c r="AG112" s="716">
        <v>-38</v>
      </c>
      <c r="AH112" s="718">
        <f>+H112-SUM(AE112:AG112)</f>
        <v>-17</v>
      </c>
      <c r="AI112" s="717">
        <v>-10</v>
      </c>
      <c r="AJ112" s="803">
        <v>12</v>
      </c>
      <c r="AK112" s="803">
        <v>14</v>
      </c>
      <c r="AL112" s="718">
        <f>I112-AI112-AJ112-AK112</f>
        <v>23</v>
      </c>
      <c r="AM112" s="717">
        <v>34</v>
      </c>
      <c r="AN112" s="788">
        <f>J112/4</f>
        <v>0</v>
      </c>
      <c r="AO112" s="788">
        <f>J112/4</f>
        <v>0</v>
      </c>
      <c r="AP112" s="716">
        <f>J112-AM112-AN112-AO112</f>
        <v>-34</v>
      </c>
      <c r="AQ112" s="1389"/>
      <c r="AR112" s="794"/>
      <c r="AS112" s="794"/>
      <c r="AT112" s="794"/>
      <c r="AU112" s="794"/>
      <c r="AV112" s="794"/>
      <c r="AW112" s="794"/>
      <c r="AX112" s="794"/>
      <c r="AY112" s="794"/>
      <c r="AZ112" s="794"/>
      <c r="BA112" s="794"/>
      <c r="BB112"/>
      <c r="BC112"/>
      <c r="BD112"/>
      <c r="BE112"/>
      <c r="BF112"/>
      <c r="BG112"/>
      <c r="BL112" s="714"/>
      <c r="BM112" s="714"/>
      <c r="BN112" s="784"/>
      <c r="BO112" s="784"/>
      <c r="BP112" s="785"/>
      <c r="BQ112" s="785"/>
      <c r="BR112" s="784"/>
      <c r="BS112" s="784"/>
      <c r="BT112" s="784"/>
      <c r="BU112" s="784"/>
      <c r="BV112" s="805"/>
      <c r="BW112" s="805"/>
      <c r="BX112" s="714"/>
      <c r="BY112" s="714"/>
      <c r="BZ112" s="714"/>
      <c r="CA112" s="714"/>
      <c r="CB112" s="714"/>
      <c r="CC112" s="714"/>
      <c r="CD112" s="714"/>
      <c r="CE112" s="714"/>
      <c r="CF112" s="714"/>
      <c r="CG112" s="714"/>
      <c r="CH112" s="714"/>
      <c r="CI112" s="714"/>
      <c r="CJ112" s="714"/>
      <c r="CK112" s="714"/>
      <c r="CL112" s="714"/>
      <c r="CM112" s="714"/>
      <c r="CN112" s="805"/>
      <c r="CO112" s="805"/>
      <c r="CP112" s="805"/>
      <c r="CQ112" s="805"/>
      <c r="CR112" s="805"/>
      <c r="CS112" s="805"/>
      <c r="CT112" s="805"/>
      <c r="CU112" s="805"/>
      <c r="CV112" s="805"/>
      <c r="CW112" s="805"/>
      <c r="CX112" s="805"/>
    </row>
    <row r="113" spans="1:102" s="693" customFormat="1" hidden="1" outlineLevel="1">
      <c r="A113" s="780" t="s">
        <v>151</v>
      </c>
      <c r="B113" s="720"/>
      <c r="C113" s="784">
        <v>0</v>
      </c>
      <c r="D113" s="784">
        <v>0</v>
      </c>
      <c r="E113" s="784">
        <v>0</v>
      </c>
      <c r="F113" s="784">
        <v>0</v>
      </c>
      <c r="G113" s="784">
        <f>G114-G107</f>
        <v>-430</v>
      </c>
      <c r="H113" s="784">
        <f>H114-H107</f>
        <v>-348</v>
      </c>
      <c r="I113" s="784">
        <f>I114-I107</f>
        <v>0</v>
      </c>
      <c r="J113" s="714">
        <v>0</v>
      </c>
      <c r="K113" s="714">
        <v>0</v>
      </c>
      <c r="L113" s="714">
        <v>0</v>
      </c>
      <c r="M113" s="714">
        <v>0</v>
      </c>
      <c r="N113" s="714">
        <v>0</v>
      </c>
      <c r="O113" s="714">
        <v>0</v>
      </c>
      <c r="P113" s="714">
        <v>0</v>
      </c>
      <c r="Q113" s="714">
        <v>0</v>
      </c>
      <c r="R113" s="715"/>
      <c r="S113" s="716">
        <v>0</v>
      </c>
      <c r="T113" s="716">
        <v>0</v>
      </c>
      <c r="U113" s="716">
        <v>0</v>
      </c>
      <c r="V113" s="716">
        <v>0</v>
      </c>
      <c r="W113" s="717">
        <f t="shared" ref="W113:AK113" si="207">W114-W107</f>
        <v>0</v>
      </c>
      <c r="X113" s="716">
        <f t="shared" si="207"/>
        <v>0</v>
      </c>
      <c r="Y113" s="716">
        <f t="shared" si="207"/>
        <v>0</v>
      </c>
      <c r="Z113" s="716">
        <f t="shared" si="207"/>
        <v>0</v>
      </c>
      <c r="AA113" s="717">
        <f t="shared" si="207"/>
        <v>0</v>
      </c>
      <c r="AB113" s="716">
        <f t="shared" si="207"/>
        <v>-19</v>
      </c>
      <c r="AC113" s="716">
        <f t="shared" si="207"/>
        <v>-45</v>
      </c>
      <c r="AD113" s="716">
        <f t="shared" si="207"/>
        <v>-366</v>
      </c>
      <c r="AE113" s="717">
        <f t="shared" si="207"/>
        <v>0</v>
      </c>
      <c r="AF113" s="716">
        <f t="shared" si="207"/>
        <v>0</v>
      </c>
      <c r="AG113" s="716">
        <f t="shared" si="207"/>
        <v>0</v>
      </c>
      <c r="AH113" s="718">
        <f>+H113-SUM(AE113:AG113)</f>
        <v>-348</v>
      </c>
      <c r="AI113" s="717">
        <f t="shared" si="207"/>
        <v>0</v>
      </c>
      <c r="AJ113" s="716">
        <f t="shared" si="207"/>
        <v>0</v>
      </c>
      <c r="AK113" s="716">
        <f t="shared" si="207"/>
        <v>0</v>
      </c>
      <c r="AL113" s="718">
        <f>I113-AI113-AJ113-AK113</f>
        <v>0</v>
      </c>
      <c r="AM113" s="717">
        <f>J113/4</f>
        <v>0</v>
      </c>
      <c r="AN113" s="788">
        <f>J113/4</f>
        <v>0</v>
      </c>
      <c r="AO113" s="788">
        <f>J113/4</f>
        <v>0</v>
      </c>
      <c r="AP113" s="716">
        <f>J113-AM113-AN113-AO113</f>
        <v>0</v>
      </c>
      <c r="AQ113" s="1388"/>
      <c r="AR113" s="781"/>
      <c r="AS113" s="781"/>
      <c r="AT113" s="781"/>
      <c r="AU113" s="781"/>
      <c r="AV113" s="781"/>
      <c r="AW113" s="781"/>
      <c r="AX113" s="781"/>
      <c r="AY113" s="781"/>
      <c r="AZ113" s="781"/>
      <c r="BA113" s="781"/>
      <c r="BB113"/>
      <c r="BC113"/>
      <c r="BD113"/>
      <c r="BE113"/>
      <c r="BF113"/>
      <c r="BG113"/>
      <c r="BL113" s="720"/>
      <c r="BM113" s="720"/>
      <c r="BN113" s="784"/>
      <c r="BO113" s="784"/>
      <c r="BP113" s="784"/>
      <c r="BQ113" s="784"/>
      <c r="BR113" s="784"/>
      <c r="BS113" s="784"/>
      <c r="BT113" s="720"/>
      <c r="BU113" s="720"/>
      <c r="BV113" s="720"/>
      <c r="BW113" s="720"/>
      <c r="BX113" s="720"/>
      <c r="BY113" s="720"/>
      <c r="BZ113" s="714"/>
      <c r="CA113" s="714"/>
      <c r="CB113" s="714"/>
      <c r="CC113" s="714"/>
      <c r="CD113" s="714"/>
      <c r="CE113" s="714"/>
      <c r="CF113" s="714"/>
      <c r="CG113" s="714"/>
      <c r="CH113" s="714"/>
      <c r="CI113" s="714"/>
      <c r="CJ113" s="714"/>
      <c r="CK113" s="714"/>
      <c r="CL113" s="714"/>
      <c r="CM113" s="714"/>
      <c r="CN113" s="805"/>
      <c r="CO113" s="805"/>
      <c r="CP113" s="714"/>
      <c r="CQ113" s="714"/>
      <c r="CR113" s="714"/>
      <c r="CS113" s="714"/>
      <c r="CT113" s="714"/>
      <c r="CU113" s="714"/>
      <c r="CV113" s="714"/>
      <c r="CW113" s="714"/>
      <c r="CX113" s="714"/>
    </row>
    <row r="114" spans="1:102" s="693" customFormat="1" hidden="1" outlineLevel="1">
      <c r="A114" s="780" t="s">
        <v>592</v>
      </c>
      <c r="B114" s="720"/>
      <c r="C114" s="714">
        <v>-753</v>
      </c>
      <c r="D114" s="714">
        <v>-820</v>
      </c>
      <c r="E114" s="714">
        <v>-775</v>
      </c>
      <c r="F114" s="714">
        <v>-735</v>
      </c>
      <c r="G114" s="714">
        <f>-655-454</f>
        <v>-1109</v>
      </c>
      <c r="H114" s="714">
        <f>-707-447</f>
        <v>-1154</v>
      </c>
      <c r="I114" s="714">
        <f>-777+39</f>
        <v>-738</v>
      </c>
      <c r="J114" s="714">
        <f t="shared" ref="J114:Q114" si="208">J107+J113</f>
        <v>-830</v>
      </c>
      <c r="K114" s="714">
        <f t="shared" si="208"/>
        <v>-750</v>
      </c>
      <c r="L114" s="714">
        <f t="shared" si="208"/>
        <v>-700</v>
      </c>
      <c r="M114" s="714">
        <f t="shared" si="208"/>
        <v>-600</v>
      </c>
      <c r="N114" s="714">
        <f t="shared" si="208"/>
        <v>-500</v>
      </c>
      <c r="O114" s="714">
        <f t="shared" si="208"/>
        <v>-400</v>
      </c>
      <c r="P114" s="714">
        <f t="shared" si="208"/>
        <v>-200</v>
      </c>
      <c r="Q114" s="714">
        <f t="shared" si="208"/>
        <v>-200</v>
      </c>
      <c r="R114" s="715"/>
      <c r="S114" s="716">
        <v>-168</v>
      </c>
      <c r="T114" s="716">
        <v>-170</v>
      </c>
      <c r="U114" s="716">
        <v>-232</v>
      </c>
      <c r="V114" s="716">
        <v>-205</v>
      </c>
      <c r="W114" s="804">
        <v>-193</v>
      </c>
      <c r="X114" s="716">
        <v>-222</v>
      </c>
      <c r="Y114" s="716">
        <v>-145</v>
      </c>
      <c r="Z114" s="716">
        <v>-175</v>
      </c>
      <c r="AA114" s="804">
        <f>57-179</f>
        <v>-122</v>
      </c>
      <c r="AB114" s="803">
        <f>-82-164</f>
        <v>-246</v>
      </c>
      <c r="AC114" s="803">
        <f>-154-31</f>
        <v>-185</v>
      </c>
      <c r="AD114" s="716">
        <f>G114-AA114-AB114-AC114</f>
        <v>-556</v>
      </c>
      <c r="AE114" s="717">
        <f>-41-185</f>
        <v>-226</v>
      </c>
      <c r="AF114" s="803">
        <f>-180-3</f>
        <v>-183</v>
      </c>
      <c r="AG114" s="714">
        <f>-174-38</f>
        <v>-212</v>
      </c>
      <c r="AH114" s="718">
        <f>AH107+AH113</f>
        <v>-533</v>
      </c>
      <c r="AI114" s="717">
        <f>-180-10</f>
        <v>-190</v>
      </c>
      <c r="AJ114" s="803">
        <f>-192+12</f>
        <v>-180</v>
      </c>
      <c r="AK114" s="803">
        <f>-197+14</f>
        <v>-183</v>
      </c>
      <c r="AL114" s="718">
        <f>AL107+AL113</f>
        <v>-185</v>
      </c>
      <c r="AM114" s="716">
        <f>-224+34</f>
        <v>-190</v>
      </c>
      <c r="AN114" s="716">
        <f t="shared" ref="AN114:AP114" si="209">AN107+AN113</f>
        <v>-205</v>
      </c>
      <c r="AO114" s="716">
        <f t="shared" si="209"/>
        <v>-205</v>
      </c>
      <c r="AP114" s="716">
        <f t="shared" si="209"/>
        <v>-230</v>
      </c>
      <c r="AQ114" s="1388"/>
      <c r="AR114" s="781"/>
      <c r="AS114" s="781"/>
      <c r="AT114" s="781"/>
      <c r="AU114" s="781"/>
      <c r="AV114" s="781"/>
      <c r="AW114" s="781"/>
      <c r="AX114" s="781"/>
      <c r="AY114" s="781"/>
      <c r="AZ114" s="781"/>
      <c r="BA114" s="781"/>
      <c r="BB114"/>
      <c r="BC114"/>
      <c r="BD114"/>
      <c r="BE114"/>
      <c r="BF114"/>
      <c r="BG114"/>
      <c r="BL114" s="720"/>
      <c r="BM114" s="720"/>
      <c r="BN114" s="784"/>
      <c r="BO114" s="784"/>
      <c r="BP114" s="784"/>
      <c r="BQ114" s="784"/>
      <c r="BR114" s="784"/>
      <c r="BS114" s="784"/>
      <c r="BT114" s="720"/>
      <c r="BU114" s="720"/>
      <c r="BV114" s="720"/>
      <c r="BW114" s="720"/>
      <c r="BX114" s="720"/>
      <c r="BY114" s="720"/>
      <c r="BZ114" s="714"/>
      <c r="CA114" s="714"/>
      <c r="CB114" s="714"/>
      <c r="CC114" s="714"/>
      <c r="CD114" s="714"/>
      <c r="CE114" s="714"/>
      <c r="CF114" s="714"/>
      <c r="CG114" s="714"/>
      <c r="CH114" s="714"/>
      <c r="CI114" s="714"/>
      <c r="CJ114" s="714"/>
      <c r="CK114" s="714"/>
      <c r="CL114" s="714"/>
      <c r="CM114" s="714"/>
      <c r="CN114" s="805"/>
      <c r="CO114" s="805"/>
      <c r="CP114" s="714"/>
      <c r="CQ114" s="714"/>
      <c r="CR114" s="714"/>
      <c r="CS114" s="714"/>
      <c r="CT114" s="714"/>
      <c r="CU114" s="714"/>
      <c r="CV114" s="714"/>
      <c r="CW114" s="714"/>
      <c r="CX114" s="714"/>
    </row>
    <row r="115" spans="1:102" s="693" customFormat="1" collapsed="1">
      <c r="A115" s="807" t="s">
        <v>157</v>
      </c>
      <c r="B115" s="808">
        <v>11638</v>
      </c>
      <c r="C115" s="808">
        <v>16014</v>
      </c>
      <c r="D115" s="808">
        <v>14777</v>
      </c>
      <c r="E115" s="808">
        <v>14309</v>
      </c>
      <c r="F115" s="808">
        <v>14683</v>
      </c>
      <c r="G115" s="808">
        <f t="shared" ref="G115:Q115" si="210">G50+G104+G107</f>
        <v>14092</v>
      </c>
      <c r="H115" s="808">
        <f t="shared" si="210"/>
        <v>13315</v>
      </c>
      <c r="I115" s="808">
        <f t="shared" si="210"/>
        <v>13446</v>
      </c>
      <c r="J115" s="808">
        <f t="shared" si="210"/>
        <v>14527.75336510335</v>
      </c>
      <c r="K115" s="808">
        <f>K50+K104+K107</f>
        <v>15129.755168801003</v>
      </c>
      <c r="L115" s="808">
        <f t="shared" si="210"/>
        <v>16526.87425910126</v>
      </c>
      <c r="M115" s="808">
        <f t="shared" si="210"/>
        <v>17791.316587624817</v>
      </c>
      <c r="N115" s="808">
        <f t="shared" si="210"/>
        <v>19054.551171019932</v>
      </c>
      <c r="O115" s="808">
        <f t="shared" si="210"/>
        <v>19052.484226118788</v>
      </c>
      <c r="P115" s="808">
        <f t="shared" si="210"/>
        <v>19793.778588748428</v>
      </c>
      <c r="Q115" s="808">
        <f t="shared" si="210"/>
        <v>20130.656264833717</v>
      </c>
      <c r="R115" s="809"/>
      <c r="S115" s="810">
        <v>3860</v>
      </c>
      <c r="T115" s="810">
        <v>3779</v>
      </c>
      <c r="U115" s="810">
        <v>3429</v>
      </c>
      <c r="V115" s="810">
        <v>3284</v>
      </c>
      <c r="W115" s="811">
        <f t="shared" ref="W115:AC115" si="211">W50+W104+W107</f>
        <v>3899</v>
      </c>
      <c r="X115" s="810">
        <f t="shared" si="211"/>
        <v>3873</v>
      </c>
      <c r="Y115" s="810">
        <f t="shared" si="211"/>
        <v>3645</v>
      </c>
      <c r="Z115" s="810">
        <f t="shared" si="211"/>
        <v>3266</v>
      </c>
      <c r="AA115" s="811">
        <f t="shared" si="211"/>
        <v>3750</v>
      </c>
      <c r="AB115" s="810">
        <f t="shared" si="211"/>
        <v>3603</v>
      </c>
      <c r="AC115" s="810">
        <f t="shared" si="211"/>
        <v>3629</v>
      </c>
      <c r="AD115" s="810">
        <f t="shared" ref="AD115:AL115" si="212">AD50+AD104+AD107</f>
        <v>3110</v>
      </c>
      <c r="AE115" s="811">
        <f t="shared" si="212"/>
        <v>3288</v>
      </c>
      <c r="AF115" s="808">
        <f t="shared" si="212"/>
        <v>3455</v>
      </c>
      <c r="AG115" s="808">
        <f t="shared" si="212"/>
        <v>3464</v>
      </c>
      <c r="AH115" s="812">
        <f>AH50+AH104+AH107</f>
        <v>3108</v>
      </c>
      <c r="AI115" s="811">
        <f t="shared" si="212"/>
        <v>3172.0000000000027</v>
      </c>
      <c r="AJ115" s="808">
        <f t="shared" si="212"/>
        <v>3379.9999999999991</v>
      </c>
      <c r="AK115" s="808">
        <f t="shared" si="212"/>
        <v>3558.0502326646747</v>
      </c>
      <c r="AL115" s="812">
        <f t="shared" si="212"/>
        <v>3335.9497673353235</v>
      </c>
      <c r="AM115" s="811">
        <f t="shared" ref="AM115:AP115" si="213">AM50+AM104+AM107</f>
        <v>3525</v>
      </c>
      <c r="AN115" s="808">
        <f t="shared" si="213"/>
        <v>3595.3629367188437</v>
      </c>
      <c r="AO115" s="808">
        <f t="shared" si="213"/>
        <v>3652.498305014296</v>
      </c>
      <c r="AP115" s="812">
        <f t="shared" si="213"/>
        <v>3754.8921233702067</v>
      </c>
      <c r="AQ115" s="1392"/>
      <c r="AR115" s="813"/>
      <c r="AS115" s="813"/>
      <c r="AT115" s="813"/>
      <c r="AU115" s="813"/>
      <c r="AV115" s="813"/>
      <c r="AW115" s="813"/>
      <c r="AX115" s="813"/>
      <c r="AY115" s="813"/>
      <c r="AZ115" s="813"/>
      <c r="BA115" s="813"/>
      <c r="BB115"/>
      <c r="BC115"/>
      <c r="BD115"/>
      <c r="BE115"/>
      <c r="BF115"/>
      <c r="BG115"/>
      <c r="BL115" s="720"/>
      <c r="BM115" s="720"/>
      <c r="BN115" s="720"/>
      <c r="BO115" s="720"/>
      <c r="BP115" s="720"/>
      <c r="BQ115" s="720"/>
      <c r="BR115" s="720"/>
      <c r="BS115" s="720"/>
      <c r="BT115" s="814"/>
      <c r="BU115" s="814"/>
      <c r="BV115" s="814"/>
      <c r="BW115" s="814"/>
      <c r="BX115" s="814"/>
      <c r="BY115" s="814"/>
      <c r="BZ115" s="814"/>
      <c r="CA115" s="814"/>
      <c r="CB115" s="814"/>
      <c r="CC115" s="814"/>
      <c r="CD115" s="814"/>
      <c r="CE115" s="814"/>
      <c r="CF115" s="814"/>
      <c r="CG115" s="814"/>
      <c r="CH115" s="814"/>
      <c r="CI115" s="814"/>
      <c r="CJ115" s="814"/>
      <c r="CK115" s="814"/>
      <c r="CL115" s="814"/>
      <c r="CM115" s="814"/>
      <c r="CN115" s="814"/>
      <c r="CO115" s="814"/>
      <c r="CP115" s="814"/>
      <c r="CQ115" s="814"/>
      <c r="CR115" s="814"/>
      <c r="CS115" s="814"/>
      <c r="CT115" s="814"/>
      <c r="CU115" s="814"/>
      <c r="CV115" s="814"/>
      <c r="CW115" s="814"/>
      <c r="CX115" s="814"/>
    </row>
    <row r="116" spans="1:102" s="693" customFormat="1">
      <c r="A116" s="815" t="s">
        <v>158</v>
      </c>
      <c r="B116" s="816"/>
      <c r="C116" s="816"/>
      <c r="D116" s="816"/>
      <c r="E116" s="816">
        <v>14587</v>
      </c>
      <c r="F116" s="816">
        <v>14826</v>
      </c>
      <c r="G116" s="816">
        <f t="shared" ref="G116:Q116" si="214">G56+G104+G107</f>
        <v>13848</v>
      </c>
      <c r="H116" s="816">
        <f t="shared" si="214"/>
        <v>12447</v>
      </c>
      <c r="I116" s="816">
        <f t="shared" si="214"/>
        <v>12420.000000000002</v>
      </c>
      <c r="J116" s="816">
        <f t="shared" si="214"/>
        <v>13435.514885306411</v>
      </c>
      <c r="K116" s="816">
        <f t="shared" si="214"/>
        <v>14027.277014592208</v>
      </c>
      <c r="L116" s="816">
        <f t="shared" si="214"/>
        <v>15399.626867488823</v>
      </c>
      <c r="M116" s="816">
        <f t="shared" si="214"/>
        <v>16627.373306958067</v>
      </c>
      <c r="N116" s="816">
        <f t="shared" si="214"/>
        <v>17877.825318967822</v>
      </c>
      <c r="O116" s="816">
        <f t="shared" si="214"/>
        <v>17912.374164874618</v>
      </c>
      <c r="P116" s="816">
        <f t="shared" si="214"/>
        <v>18656.112202504079</v>
      </c>
      <c r="Q116" s="816">
        <f t="shared" si="214"/>
        <v>18999.631322730285</v>
      </c>
      <c r="R116" s="806"/>
      <c r="S116" s="817">
        <v>3821</v>
      </c>
      <c r="T116" s="817">
        <v>3803</v>
      </c>
      <c r="U116" s="817">
        <v>3617</v>
      </c>
      <c r="V116" s="817">
        <v>3389</v>
      </c>
      <c r="W116" s="818">
        <f>W56+W104+W107</f>
        <v>3756</v>
      </c>
      <c r="X116" s="817">
        <f>X56+X104+X107</f>
        <v>3811</v>
      </c>
      <c r="Y116" s="817">
        <f>Y56+Y104+Y107</f>
        <v>3899</v>
      </c>
      <c r="Z116" s="817">
        <f>Z56+Z104+Z107+1</f>
        <v>3360</v>
      </c>
      <c r="AA116" s="818">
        <f t="shared" ref="AA116:AH116" si="215">AA56+AA104+AA107</f>
        <v>3648</v>
      </c>
      <c r="AB116" s="817">
        <f t="shared" si="215"/>
        <v>3531</v>
      </c>
      <c r="AC116" s="817">
        <f t="shared" si="215"/>
        <v>3706</v>
      </c>
      <c r="AD116" s="817">
        <f t="shared" si="215"/>
        <v>2963</v>
      </c>
      <c r="AE116" s="818">
        <f t="shared" si="215"/>
        <v>3288</v>
      </c>
      <c r="AF116" s="817">
        <f t="shared" si="215"/>
        <v>3455</v>
      </c>
      <c r="AG116" s="816">
        <f t="shared" si="215"/>
        <v>3249</v>
      </c>
      <c r="AH116" s="819">
        <f t="shared" si="215"/>
        <v>2874</v>
      </c>
      <c r="AI116" s="818">
        <f t="shared" ref="AI116:AP116" si="216">AI56+AI104+AI107</f>
        <v>3172.0000000000027</v>
      </c>
      <c r="AJ116" s="817">
        <f t="shared" si="216"/>
        <v>3127.9999999999991</v>
      </c>
      <c r="AK116" s="817">
        <f t="shared" si="216"/>
        <v>3279.0502326646742</v>
      </c>
      <c r="AL116" s="819">
        <f t="shared" si="216"/>
        <v>3086.9497673353235</v>
      </c>
      <c r="AM116" s="818">
        <f t="shared" si="216"/>
        <v>3439.1660000000002</v>
      </c>
      <c r="AN116" s="817">
        <f t="shared" si="216"/>
        <v>3325.7003134723955</v>
      </c>
      <c r="AO116" s="817">
        <f t="shared" si="216"/>
        <v>3357.9432698356936</v>
      </c>
      <c r="AP116" s="819">
        <f t="shared" si="216"/>
        <v>3312.705301998315</v>
      </c>
      <c r="AQ116" s="1390"/>
      <c r="AR116" s="813"/>
      <c r="AS116" s="813"/>
      <c r="AT116" s="813"/>
      <c r="AU116" s="813"/>
      <c r="AV116" s="813"/>
      <c r="AW116" s="813"/>
      <c r="AX116" s="813"/>
      <c r="AY116" s="813"/>
      <c r="AZ116" s="813"/>
      <c r="BA116" s="813"/>
      <c r="BB116"/>
      <c r="BC116"/>
      <c r="BD116"/>
      <c r="BE116"/>
      <c r="BF116"/>
      <c r="BG116"/>
      <c r="BL116" s="714"/>
      <c r="BM116" s="714"/>
      <c r="BN116" s="714"/>
      <c r="BO116" s="714"/>
      <c r="BP116" s="714"/>
      <c r="BQ116" s="714"/>
      <c r="BR116" s="714"/>
      <c r="BS116" s="714"/>
      <c r="BT116" s="805"/>
      <c r="BU116" s="805"/>
      <c r="BV116" s="805"/>
      <c r="BW116" s="805"/>
      <c r="BX116" s="805"/>
      <c r="BY116" s="805"/>
      <c r="BZ116" s="805"/>
      <c r="CA116" s="805"/>
      <c r="CB116" s="805"/>
      <c r="CC116" s="805"/>
      <c r="CD116" s="805"/>
      <c r="CE116" s="805"/>
      <c r="CF116" s="805"/>
      <c r="CG116" s="805"/>
      <c r="CH116" s="805"/>
      <c r="CI116" s="805"/>
      <c r="CJ116" s="805"/>
      <c r="CK116" s="805"/>
      <c r="CL116" s="805"/>
      <c r="CM116" s="805"/>
      <c r="CN116" s="805"/>
      <c r="CO116" s="805"/>
      <c r="CP116" s="805"/>
      <c r="CQ116" s="805"/>
      <c r="CR116" s="805"/>
      <c r="CS116" s="805"/>
      <c r="CT116" s="805"/>
      <c r="CU116" s="805"/>
      <c r="CV116" s="805"/>
      <c r="CW116" s="805"/>
      <c r="CX116" s="805"/>
    </row>
    <row r="117" spans="1:102" s="693" customFormat="1">
      <c r="A117" s="815" t="s">
        <v>159</v>
      </c>
      <c r="B117" s="820"/>
      <c r="C117" s="820"/>
      <c r="D117" s="816">
        <v>10925</v>
      </c>
      <c r="E117" s="816">
        <v>10764</v>
      </c>
      <c r="F117" s="816">
        <v>12272</v>
      </c>
      <c r="G117" s="816">
        <f>G81+G106+G114</f>
        <v>8134</v>
      </c>
      <c r="H117" s="816">
        <f>H81+H106+H114</f>
        <v>7817</v>
      </c>
      <c r="I117" s="816">
        <f t="shared" ref="I117:Q117" si="217">I81+I106+I114</f>
        <v>8999</v>
      </c>
      <c r="J117" s="816">
        <f t="shared" si="217"/>
        <v>10360.581654043992</v>
      </c>
      <c r="K117" s="816">
        <f t="shared" si="217"/>
        <v>11235.778067380486</v>
      </c>
      <c r="L117" s="816">
        <f t="shared" si="217"/>
        <v>11709.190073512753</v>
      </c>
      <c r="M117" s="816">
        <f t="shared" si="217"/>
        <v>13108.832945295144</v>
      </c>
      <c r="N117" s="816">
        <f t="shared" si="217"/>
        <v>14449.948240190794</v>
      </c>
      <c r="O117" s="816">
        <f t="shared" si="217"/>
        <v>14714.65604236521</v>
      </c>
      <c r="P117" s="816">
        <f t="shared" si="217"/>
        <v>15431.563889424187</v>
      </c>
      <c r="Q117" s="816">
        <f t="shared" si="217"/>
        <v>14434.83572416029</v>
      </c>
      <c r="R117" s="806"/>
      <c r="S117" s="817">
        <v>3002</v>
      </c>
      <c r="T117" s="817">
        <v>3034</v>
      </c>
      <c r="U117" s="817">
        <v>2488</v>
      </c>
      <c r="V117" s="817">
        <v>2283</v>
      </c>
      <c r="W117" s="818">
        <f t="shared" ref="W117:AH117" si="218">W81+W106+W114</f>
        <v>2837</v>
      </c>
      <c r="X117" s="817">
        <f t="shared" si="218"/>
        <v>3147</v>
      </c>
      <c r="Y117" s="817">
        <f t="shared" si="218"/>
        <v>3532</v>
      </c>
      <c r="Z117" s="817">
        <f t="shared" si="218"/>
        <v>2756</v>
      </c>
      <c r="AA117" s="818">
        <f t="shared" si="218"/>
        <v>2678</v>
      </c>
      <c r="AB117" s="817">
        <f t="shared" si="218"/>
        <v>2156</v>
      </c>
      <c r="AC117" s="817">
        <f t="shared" si="218"/>
        <v>2169</v>
      </c>
      <c r="AD117" s="817">
        <f t="shared" si="218"/>
        <v>1131</v>
      </c>
      <c r="AE117" s="818">
        <f t="shared" si="218"/>
        <v>2352</v>
      </c>
      <c r="AF117" s="817">
        <f t="shared" si="218"/>
        <v>2113</v>
      </c>
      <c r="AG117" s="816">
        <f t="shared" si="218"/>
        <v>2274</v>
      </c>
      <c r="AH117" s="819">
        <f t="shared" si="218"/>
        <v>1078</v>
      </c>
      <c r="AI117" s="818">
        <f t="shared" ref="AI117:AP117" si="219">AI81+AI106+AI114</f>
        <v>1947</v>
      </c>
      <c r="AJ117" s="817">
        <f t="shared" si="219"/>
        <v>2315</v>
      </c>
      <c r="AK117" s="817">
        <f t="shared" si="219"/>
        <v>2436.0502326646747</v>
      </c>
      <c r="AL117" s="819">
        <f>AL81+AL106+AL114</f>
        <v>2300.9497673353239</v>
      </c>
      <c r="AM117" s="818">
        <f t="shared" si="219"/>
        <v>2409</v>
      </c>
      <c r="AN117" s="817">
        <f t="shared" si="219"/>
        <v>2451.6500755722527</v>
      </c>
      <c r="AO117" s="817">
        <f t="shared" si="219"/>
        <v>2527.4199059509019</v>
      </c>
      <c r="AP117" s="819">
        <f t="shared" si="219"/>
        <v>2972.5116725208372</v>
      </c>
      <c r="AQ117" s="1389"/>
      <c r="AR117" s="794"/>
      <c r="AS117" s="794"/>
      <c r="AT117" s="794"/>
      <c r="AU117" s="794"/>
      <c r="AV117" s="794"/>
      <c r="AW117" s="794"/>
      <c r="AX117" s="794"/>
      <c r="AY117" s="794"/>
      <c r="AZ117" s="794"/>
      <c r="BA117" s="794"/>
      <c r="BB117"/>
      <c r="BC117"/>
      <c r="BD117"/>
      <c r="BE117"/>
      <c r="BF117"/>
      <c r="BG117"/>
      <c r="BL117" s="783"/>
      <c r="BM117" s="783"/>
      <c r="BN117" s="783"/>
      <c r="BO117" s="783"/>
      <c r="BP117" s="783"/>
      <c r="BQ117" s="783"/>
      <c r="BR117" s="783"/>
      <c r="BS117" s="783"/>
      <c r="BT117" s="821"/>
      <c r="BU117" s="821"/>
      <c r="BV117" s="821"/>
      <c r="BW117" s="821"/>
      <c r="BX117" s="821"/>
      <c r="BY117" s="821"/>
      <c r="BZ117" s="805"/>
      <c r="CA117" s="805"/>
      <c r="CB117" s="805"/>
      <c r="CC117" s="805"/>
      <c r="CD117" s="805"/>
      <c r="CE117" s="805"/>
      <c r="CF117" s="805"/>
      <c r="CG117" s="805"/>
      <c r="CH117" s="805"/>
      <c r="CI117" s="805"/>
      <c r="CJ117" s="805"/>
      <c r="CK117" s="805"/>
      <c r="CL117" s="805"/>
      <c r="CM117" s="805"/>
      <c r="CN117" s="805"/>
      <c r="CO117" s="805"/>
      <c r="CP117" s="805"/>
      <c r="CQ117" s="805"/>
      <c r="CR117" s="805"/>
      <c r="CS117" s="805"/>
      <c r="CT117" s="805"/>
      <c r="CU117" s="805"/>
      <c r="CV117" s="805"/>
      <c r="CW117" s="805"/>
      <c r="CX117" s="805"/>
    </row>
    <row r="118" spans="1:102" s="693" customFormat="1">
      <c r="A118" s="815" t="s">
        <v>160</v>
      </c>
      <c r="B118" s="820"/>
      <c r="C118" s="820"/>
      <c r="D118" s="816"/>
      <c r="E118" s="816">
        <v>10691</v>
      </c>
      <c r="F118" s="816">
        <v>12172</v>
      </c>
      <c r="G118" s="816">
        <f>G86+G106+G114</f>
        <v>20592</v>
      </c>
      <c r="H118" s="816">
        <f t="shared" ref="H118:Q118" si="220">H86+H106+H114</f>
        <v>7817</v>
      </c>
      <c r="I118" s="816">
        <f t="shared" si="220"/>
        <v>8999</v>
      </c>
      <c r="J118" s="816">
        <f t="shared" si="220"/>
        <v>23554.601076609404</v>
      </c>
      <c r="K118" s="816">
        <f t="shared" si="220"/>
        <v>24565.374818119737</v>
      </c>
      <c r="L118" s="816">
        <f t="shared" si="220"/>
        <v>24902.767444728815</v>
      </c>
      <c r="M118" s="816">
        <f t="shared" si="220"/>
        <v>26744.485916175101</v>
      </c>
      <c r="N118" s="816">
        <f t="shared" si="220"/>
        <v>28052.162601461241</v>
      </c>
      <c r="O118" s="816">
        <f t="shared" si="220"/>
        <v>28172.659612809086</v>
      </c>
      <c r="P118" s="816">
        <f t="shared" si="220"/>
        <v>29049.990349381413</v>
      </c>
      <c r="Q118" s="816">
        <f t="shared" si="220"/>
        <v>28187.943748090096</v>
      </c>
      <c r="R118" s="806"/>
      <c r="S118" s="817">
        <v>2839</v>
      </c>
      <c r="T118" s="817">
        <v>2971</v>
      </c>
      <c r="U118" s="817">
        <v>2601</v>
      </c>
      <c r="V118" s="817">
        <v>2323</v>
      </c>
      <c r="W118" s="818">
        <f>W86+W106+W114</f>
        <v>2640</v>
      </c>
      <c r="X118" s="817">
        <f>X86+X106+X114</f>
        <v>3076</v>
      </c>
      <c r="Y118" s="817">
        <f>Y86+Y106+Y114</f>
        <v>3787</v>
      </c>
      <c r="Z118" s="817">
        <f>Z86+Z106+Z114+3-1</f>
        <v>2537</v>
      </c>
      <c r="AA118" s="818">
        <f t="shared" ref="AA118:AH118" si="221">AA86+AA106+AA114</f>
        <v>15283</v>
      </c>
      <c r="AB118" s="817">
        <f t="shared" si="221"/>
        <v>2060</v>
      </c>
      <c r="AC118" s="817">
        <f t="shared" si="221"/>
        <v>2212</v>
      </c>
      <c r="AD118" s="817">
        <f t="shared" si="221"/>
        <v>1037</v>
      </c>
      <c r="AE118" s="818">
        <f t="shared" si="221"/>
        <v>2352</v>
      </c>
      <c r="AF118" s="817">
        <f t="shared" si="221"/>
        <v>2113</v>
      </c>
      <c r="AG118" s="816">
        <f t="shared" si="221"/>
        <v>2274</v>
      </c>
      <c r="AH118" s="819">
        <f t="shared" si="221"/>
        <v>1078</v>
      </c>
      <c r="AI118" s="818">
        <f t="shared" ref="AI118:AP118" si="222">AI86+AI106+AI114</f>
        <v>1947.0000000000005</v>
      </c>
      <c r="AJ118" s="817">
        <f t="shared" si="222"/>
        <v>2315.0000000000005</v>
      </c>
      <c r="AK118" s="817">
        <f t="shared" si="222"/>
        <v>2436.0502326646747</v>
      </c>
      <c r="AL118" s="819">
        <f t="shared" si="222"/>
        <v>2300.9497673353235</v>
      </c>
      <c r="AM118" s="818">
        <f t="shared" si="222"/>
        <v>5773.8710000000001</v>
      </c>
      <c r="AN118" s="817">
        <f t="shared" si="222"/>
        <v>5765.0821924977909</v>
      </c>
      <c r="AO118" s="817">
        <f t="shared" si="222"/>
        <v>5830.6643305361813</v>
      </c>
      <c r="AP118" s="819">
        <f t="shared" si="222"/>
        <v>6184.9835535754319</v>
      </c>
      <c r="AQ118" s="1389"/>
      <c r="AR118" s="794"/>
      <c r="AS118" s="794"/>
      <c r="AT118" s="794"/>
      <c r="AU118" s="794"/>
      <c r="AV118" s="794"/>
      <c r="AW118" s="794"/>
      <c r="AX118" s="794"/>
      <c r="AY118" s="794"/>
      <c r="AZ118" s="794"/>
      <c r="BA118" s="794"/>
      <c r="BB118"/>
      <c r="BC118"/>
      <c r="BD118"/>
      <c r="BE118"/>
      <c r="BF118"/>
      <c r="BG118"/>
      <c r="BL118" s="783"/>
      <c r="BM118" s="783"/>
      <c r="BN118" s="783"/>
      <c r="BO118" s="783"/>
      <c r="BP118" s="783"/>
      <c r="BQ118" s="783"/>
      <c r="BR118" s="783"/>
      <c r="BS118" s="783"/>
      <c r="BT118" s="821"/>
      <c r="BU118" s="821"/>
      <c r="BV118" s="821"/>
      <c r="BW118" s="821"/>
      <c r="BX118" s="821"/>
      <c r="BY118" s="821"/>
      <c r="BZ118" s="805"/>
      <c r="CA118" s="805"/>
      <c r="CB118" s="805"/>
      <c r="CC118" s="805"/>
      <c r="CD118" s="805"/>
      <c r="CE118" s="805"/>
      <c r="CF118" s="805"/>
      <c r="CG118" s="805"/>
      <c r="CH118" s="805"/>
      <c r="CI118" s="805"/>
      <c r="CJ118" s="805"/>
      <c r="CK118" s="805"/>
      <c r="CL118" s="805"/>
      <c r="CM118" s="805"/>
      <c r="CN118" s="805"/>
      <c r="CO118" s="805"/>
      <c r="CP118" s="805"/>
      <c r="CQ118" s="805"/>
      <c r="CR118" s="805"/>
      <c r="CS118" s="805"/>
      <c r="CT118" s="805"/>
      <c r="CU118" s="805"/>
      <c r="CV118" s="805"/>
      <c r="CW118" s="805"/>
      <c r="CX118" s="805"/>
    </row>
    <row r="119" spans="1:102" s="693" customFormat="1">
      <c r="A119" s="780" t="s">
        <v>161</v>
      </c>
      <c r="B119" s="714">
        <v>-1733</v>
      </c>
      <c r="C119" s="714">
        <v>-2445</v>
      </c>
      <c r="D119" s="714">
        <v>-2201</v>
      </c>
      <c r="E119" s="714">
        <v>-2057</v>
      </c>
      <c r="F119" s="714">
        <v>-2028</v>
      </c>
      <c r="G119" s="714">
        <v>-2051</v>
      </c>
      <c r="H119" s="714">
        <v>-2001</v>
      </c>
      <c r="I119" s="714">
        <v>-2056</v>
      </c>
      <c r="J119" s="716">
        <f t="shared" ref="J119:Q119" si="223">-J115*J120</f>
        <v>-2324.4405384165361</v>
      </c>
      <c r="K119" s="716">
        <f t="shared" si="223"/>
        <v>-2420.7608270081605</v>
      </c>
      <c r="L119" s="716">
        <f t="shared" si="223"/>
        <v>-2644.2998814562015</v>
      </c>
      <c r="M119" s="716">
        <f t="shared" si="223"/>
        <v>-2846.6106540199708</v>
      </c>
      <c r="N119" s="716">
        <f t="shared" si="223"/>
        <v>-3048.7281873631891</v>
      </c>
      <c r="O119" s="716">
        <f t="shared" si="223"/>
        <v>-3048.3974761790059</v>
      </c>
      <c r="P119" s="716">
        <f t="shared" si="223"/>
        <v>-3167.0045741997487</v>
      </c>
      <c r="Q119" s="716">
        <f t="shared" si="223"/>
        <v>-3220.9050023733948</v>
      </c>
      <c r="R119" s="715"/>
      <c r="S119" s="716">
        <v>-579</v>
      </c>
      <c r="T119" s="716">
        <v>-575</v>
      </c>
      <c r="U119" s="716">
        <v>-485</v>
      </c>
      <c r="V119" s="716">
        <v>-418</v>
      </c>
      <c r="W119" s="717">
        <v>-566</v>
      </c>
      <c r="X119" s="716">
        <v>-538</v>
      </c>
      <c r="Y119" s="716">
        <v>-517</v>
      </c>
      <c r="Z119" s="716">
        <v>-407</v>
      </c>
      <c r="AA119" s="717">
        <v>-551</v>
      </c>
      <c r="AB119" s="716">
        <v>-529</v>
      </c>
      <c r="AC119" s="716">
        <v>-568</v>
      </c>
      <c r="AD119" s="716">
        <f>G119-AA119-AB119-AC119</f>
        <v>-403</v>
      </c>
      <c r="AE119" s="717">
        <v>-500</v>
      </c>
      <c r="AF119" s="716">
        <v>-525</v>
      </c>
      <c r="AG119" s="716">
        <v>-526</v>
      </c>
      <c r="AH119" s="718">
        <f>H119-AE119-AF119-AG119</f>
        <v>-450</v>
      </c>
      <c r="AI119" s="717">
        <v>-482</v>
      </c>
      <c r="AJ119" s="716">
        <v>-514</v>
      </c>
      <c r="AK119" s="716">
        <v>-541</v>
      </c>
      <c r="AL119" s="718">
        <f>I119-AI119-AJ119-AK119</f>
        <v>-519</v>
      </c>
      <c r="AM119" s="716">
        <v>-543</v>
      </c>
      <c r="AN119" s="716">
        <f t="shared" ref="AN119:AO119" si="224">-AN115*AN120</f>
        <v>-575.25806987501505</v>
      </c>
      <c r="AO119" s="716">
        <f t="shared" si="224"/>
        <v>-584.39972880228731</v>
      </c>
      <c r="AP119" s="716">
        <f>J119-AM119-AN119-AO119</f>
        <v>-621.78273973923376</v>
      </c>
      <c r="AQ119" s="1392"/>
      <c r="AR119" s="794"/>
      <c r="AS119" s="794"/>
      <c r="AT119" s="794"/>
      <c r="AU119" s="794"/>
      <c r="AV119" s="794"/>
      <c r="AW119" s="794"/>
      <c r="AX119" s="794"/>
      <c r="AY119" s="794"/>
      <c r="AZ119" s="794"/>
      <c r="BA119" s="794"/>
      <c r="BB119"/>
      <c r="BC119"/>
      <c r="BD119"/>
      <c r="BE119"/>
      <c r="BF119"/>
      <c r="BG119"/>
      <c r="BL119" s="714"/>
      <c r="BM119" s="714"/>
      <c r="BN119" s="714"/>
      <c r="BO119" s="714"/>
      <c r="BP119" s="714"/>
      <c r="BQ119" s="714"/>
      <c r="BR119" s="714"/>
      <c r="BS119" s="714"/>
      <c r="BT119" s="714"/>
      <c r="BU119" s="714"/>
      <c r="BV119" s="714"/>
      <c r="BW119" s="714"/>
      <c r="BX119" s="714"/>
      <c r="BY119" s="714"/>
      <c r="BZ119" s="714"/>
      <c r="CA119" s="714"/>
      <c r="CB119" s="714"/>
      <c r="CC119" s="714"/>
      <c r="CD119" s="714"/>
      <c r="CE119" s="714"/>
      <c r="CF119" s="714"/>
      <c r="CG119" s="714"/>
      <c r="CH119" s="714"/>
      <c r="CI119" s="714"/>
      <c r="CJ119" s="714"/>
      <c r="CK119" s="714"/>
      <c r="CL119" s="714"/>
      <c r="CM119" s="714"/>
      <c r="CN119" s="714"/>
      <c r="CO119" s="714"/>
      <c r="CP119" s="714"/>
      <c r="CQ119" s="714"/>
      <c r="CR119" s="714"/>
      <c r="CS119" s="714"/>
      <c r="CT119" s="714"/>
      <c r="CU119" s="714"/>
      <c r="CV119" s="714"/>
      <c r="CW119" s="714"/>
      <c r="CX119" s="714"/>
    </row>
    <row r="120" spans="1:102" s="693" customFormat="1">
      <c r="A120" s="780" t="s">
        <v>577</v>
      </c>
      <c r="B120" s="731">
        <v>0.14890874720742395</v>
      </c>
      <c r="C120" s="731">
        <v>0.15267890595728736</v>
      </c>
      <c r="D120" s="731">
        <v>0.14894768897611152</v>
      </c>
      <c r="E120" s="731">
        <v>0.14375567824446153</v>
      </c>
      <c r="F120" s="731">
        <v>0.1381189130286726</v>
      </c>
      <c r="G120" s="731">
        <f>-G119/G115</f>
        <v>0.1455435708203236</v>
      </c>
      <c r="H120" s="731">
        <f>-H119/H115</f>
        <v>0.15028163725122043</v>
      </c>
      <c r="I120" s="731">
        <f>-I119/I115</f>
        <v>0.15290792800832961</v>
      </c>
      <c r="J120" s="822">
        <v>0.16</v>
      </c>
      <c r="K120" s="822">
        <v>0.16</v>
      </c>
      <c r="L120" s="822">
        <v>0.16</v>
      </c>
      <c r="M120" s="822">
        <v>0.16</v>
      </c>
      <c r="N120" s="822">
        <v>0.16</v>
      </c>
      <c r="O120" s="822">
        <v>0.16</v>
      </c>
      <c r="P120" s="822">
        <v>0.16</v>
      </c>
      <c r="Q120" s="822">
        <v>0.16</v>
      </c>
      <c r="R120" s="721"/>
      <c r="S120" s="732">
        <v>0.15</v>
      </c>
      <c r="T120" s="732">
        <v>0.1521566551997883</v>
      </c>
      <c r="U120" s="732">
        <v>0.14144065325167687</v>
      </c>
      <c r="V120" s="732">
        <v>0.12728380024360536</v>
      </c>
      <c r="W120" s="733">
        <f t="shared" ref="W120:AG120" si="225">-W119/W115</f>
        <v>0.14516542703257246</v>
      </c>
      <c r="X120" s="732">
        <f t="shared" si="225"/>
        <v>0.1389104053705138</v>
      </c>
      <c r="Y120" s="732">
        <f t="shared" si="225"/>
        <v>0.14183813443072701</v>
      </c>
      <c r="Z120" s="732">
        <f t="shared" si="225"/>
        <v>0.12461726883037355</v>
      </c>
      <c r="AA120" s="733">
        <f t="shared" si="225"/>
        <v>0.14693333333333333</v>
      </c>
      <c r="AB120" s="732">
        <f t="shared" si="225"/>
        <v>0.14682209270052735</v>
      </c>
      <c r="AC120" s="732">
        <f t="shared" si="225"/>
        <v>0.15651694681730505</v>
      </c>
      <c r="AD120" s="732">
        <f t="shared" si="225"/>
        <v>0.12958199356913183</v>
      </c>
      <c r="AE120" s="733">
        <f t="shared" si="225"/>
        <v>0.15206812652068127</v>
      </c>
      <c r="AF120" s="732">
        <f t="shared" si="225"/>
        <v>0.15195369030390737</v>
      </c>
      <c r="AG120" s="732">
        <f t="shared" si="225"/>
        <v>0.15184757505773672</v>
      </c>
      <c r="AH120" s="734">
        <f t="shared" ref="AH120:AM120" si="226">-AH119/AH115</f>
        <v>0.14478764478764478</v>
      </c>
      <c r="AI120" s="733">
        <f t="shared" si="226"/>
        <v>0.15195460277427478</v>
      </c>
      <c r="AJ120" s="732">
        <f t="shared" si="226"/>
        <v>0.1520710059171598</v>
      </c>
      <c r="AK120" s="732">
        <f t="shared" si="226"/>
        <v>0.15204956777544912</v>
      </c>
      <c r="AL120" s="734">
        <f t="shared" si="226"/>
        <v>0.15557788222169927</v>
      </c>
      <c r="AM120" s="733">
        <f t="shared" si="226"/>
        <v>0.15404255319148935</v>
      </c>
      <c r="AN120" s="823">
        <v>0.16</v>
      </c>
      <c r="AO120" s="823">
        <v>0.16</v>
      </c>
      <c r="AP120" s="734">
        <f>-AP119/AP115</f>
        <v>0.16559270394728468</v>
      </c>
      <c r="AQ120" s="1392"/>
      <c r="AR120" s="794"/>
      <c r="AS120" s="794"/>
      <c r="AT120" s="794"/>
      <c r="AU120" s="794"/>
      <c r="AV120" s="794"/>
      <c r="AW120" s="794"/>
      <c r="AX120" s="794"/>
      <c r="AY120" s="794"/>
      <c r="AZ120" s="794"/>
      <c r="BA120" s="794"/>
      <c r="BB120"/>
      <c r="BC120"/>
      <c r="BD120"/>
      <c r="BE120"/>
      <c r="BF120"/>
      <c r="BG120"/>
      <c r="BL120" s="731"/>
      <c r="BM120" s="731"/>
      <c r="BN120" s="731"/>
      <c r="BO120" s="731"/>
      <c r="BP120" s="731"/>
      <c r="BQ120" s="731"/>
      <c r="BR120" s="731"/>
      <c r="BS120" s="731"/>
      <c r="BT120" s="731"/>
      <c r="BU120" s="731"/>
      <c r="BV120" s="731"/>
      <c r="BW120" s="731"/>
      <c r="BX120" s="731"/>
      <c r="BY120" s="731"/>
      <c r="BZ120" s="731"/>
      <c r="CA120" s="731"/>
      <c r="CB120" s="731"/>
      <c r="CC120" s="731"/>
      <c r="CD120" s="731"/>
      <c r="CE120" s="731"/>
      <c r="CF120" s="731"/>
      <c r="CG120" s="731"/>
      <c r="CH120" s="731"/>
      <c r="CI120" s="731"/>
      <c r="CJ120" s="731"/>
      <c r="CK120" s="731"/>
      <c r="CL120" s="731"/>
      <c r="CM120" s="731"/>
      <c r="CN120" s="731"/>
      <c r="CO120" s="731"/>
      <c r="CP120" s="731"/>
      <c r="CQ120" s="731"/>
      <c r="CR120" s="731"/>
      <c r="CS120" s="731"/>
      <c r="CT120" s="731"/>
      <c r="CU120" s="731"/>
      <c r="CV120" s="731"/>
      <c r="CW120" s="731"/>
      <c r="CX120" s="731"/>
    </row>
    <row r="121" spans="1:102" s="693" customFormat="1" outlineLevel="1">
      <c r="A121" s="780" t="s">
        <v>162</v>
      </c>
      <c r="B121" s="714"/>
      <c r="C121" s="714"/>
      <c r="D121" s="714"/>
      <c r="E121" s="714">
        <v>-2098</v>
      </c>
      <c r="F121" s="714">
        <v>-2068</v>
      </c>
      <c r="G121" s="714">
        <f>G119-33</f>
        <v>-2084</v>
      </c>
      <c r="H121" s="714">
        <f>H119</f>
        <v>-2001</v>
      </c>
      <c r="I121" s="714">
        <f t="shared" ref="I121:Q121" si="227">I119</f>
        <v>-2056</v>
      </c>
      <c r="J121" s="714">
        <f t="shared" si="227"/>
        <v>-2324.4405384165361</v>
      </c>
      <c r="K121" s="714">
        <f t="shared" si="227"/>
        <v>-2420.7608270081605</v>
      </c>
      <c r="L121" s="714">
        <f t="shared" si="227"/>
        <v>-2644.2998814562015</v>
      </c>
      <c r="M121" s="714">
        <f t="shared" si="227"/>
        <v>-2846.6106540199708</v>
      </c>
      <c r="N121" s="714">
        <f t="shared" si="227"/>
        <v>-3048.7281873631891</v>
      </c>
      <c r="O121" s="714">
        <f t="shared" si="227"/>
        <v>-3048.3974761790059</v>
      </c>
      <c r="P121" s="714">
        <f t="shared" si="227"/>
        <v>-3167.0045741997487</v>
      </c>
      <c r="Q121" s="714">
        <f t="shared" si="227"/>
        <v>-3220.9050023733948</v>
      </c>
      <c r="R121" s="715"/>
      <c r="S121" s="716">
        <v>-573</v>
      </c>
      <c r="T121" s="716">
        <v>-579</v>
      </c>
      <c r="U121" s="716">
        <v>-513</v>
      </c>
      <c r="V121" s="716">
        <v>-433</v>
      </c>
      <c r="W121" s="717">
        <v>-545</v>
      </c>
      <c r="X121" s="716">
        <v>-528</v>
      </c>
      <c r="Y121" s="716">
        <v>-553</v>
      </c>
      <c r="Z121" s="716">
        <v>-442</v>
      </c>
      <c r="AA121" s="717">
        <f>AA119+19</f>
        <v>-532</v>
      </c>
      <c r="AB121" s="716">
        <f>AB119+13</f>
        <v>-516</v>
      </c>
      <c r="AC121" s="716">
        <f>AC119-17</f>
        <v>-585</v>
      </c>
      <c r="AD121" s="716">
        <f>G121-AA121-AB121-AC121</f>
        <v>-451</v>
      </c>
      <c r="AE121" s="717">
        <f t="shared" ref="AE121:AL121" si="228">AE119</f>
        <v>-500</v>
      </c>
      <c r="AF121" s="716">
        <f t="shared" si="228"/>
        <v>-525</v>
      </c>
      <c r="AG121" s="716">
        <f t="shared" si="228"/>
        <v>-526</v>
      </c>
      <c r="AH121" s="718">
        <f t="shared" si="228"/>
        <v>-450</v>
      </c>
      <c r="AI121" s="717">
        <f>AI119</f>
        <v>-482</v>
      </c>
      <c r="AJ121" s="716">
        <f t="shared" si="228"/>
        <v>-514</v>
      </c>
      <c r="AK121" s="716">
        <f t="shared" si="228"/>
        <v>-541</v>
      </c>
      <c r="AL121" s="718">
        <f t="shared" si="228"/>
        <v>-519</v>
      </c>
      <c r="AM121" s="716">
        <f t="shared" ref="AM121:AP121" si="229">AM119</f>
        <v>-543</v>
      </c>
      <c r="AN121" s="716">
        <f t="shared" si="229"/>
        <v>-575.25806987501505</v>
      </c>
      <c r="AO121" s="716">
        <f t="shared" si="229"/>
        <v>-584.39972880228731</v>
      </c>
      <c r="AP121" s="716">
        <f t="shared" si="229"/>
        <v>-621.78273973923376</v>
      </c>
      <c r="AQ121" s="1392"/>
      <c r="AR121" s="794"/>
      <c r="AS121" s="794"/>
      <c r="AT121" s="794"/>
      <c r="AU121" s="794"/>
      <c r="AV121" s="794"/>
      <c r="AW121" s="794"/>
      <c r="AX121" s="794"/>
      <c r="AY121" s="794"/>
      <c r="AZ121" s="794"/>
      <c r="BA121" s="794"/>
      <c r="BB121"/>
      <c r="BC121"/>
      <c r="BD121"/>
      <c r="BE121"/>
      <c r="BF121"/>
      <c r="BG121"/>
      <c r="BL121" s="714"/>
      <c r="BM121" s="714"/>
      <c r="BN121" s="714"/>
      <c r="BO121" s="714"/>
      <c r="BP121" s="714"/>
      <c r="BQ121" s="714"/>
      <c r="BR121" s="714"/>
      <c r="BS121" s="714"/>
      <c r="BT121" s="714"/>
      <c r="BU121" s="714"/>
      <c r="BV121" s="714"/>
      <c r="BW121" s="714"/>
      <c r="BX121" s="714"/>
      <c r="BY121" s="714"/>
      <c r="BZ121" s="714"/>
      <c r="CA121" s="714"/>
      <c r="CB121" s="714"/>
      <c r="CC121" s="714"/>
      <c r="CD121" s="714"/>
      <c r="CE121" s="714"/>
      <c r="CF121" s="714"/>
      <c r="CG121" s="714"/>
      <c r="CH121" s="714"/>
      <c r="CI121" s="714"/>
      <c r="CJ121" s="714"/>
      <c r="CK121" s="714"/>
      <c r="CL121" s="714"/>
      <c r="CM121" s="714"/>
      <c r="CN121" s="714"/>
      <c r="CO121" s="714"/>
      <c r="CP121" s="714"/>
      <c r="CQ121" s="714"/>
      <c r="CR121" s="714"/>
      <c r="CS121" s="714"/>
      <c r="CT121" s="714"/>
      <c r="CU121" s="714"/>
      <c r="CV121" s="714"/>
      <c r="CW121" s="714"/>
      <c r="CX121" s="714"/>
    </row>
    <row r="122" spans="1:102" s="693" customFormat="1" outlineLevel="1">
      <c r="A122" s="780" t="s">
        <v>164</v>
      </c>
      <c r="B122" s="731"/>
      <c r="C122" s="714">
        <v>917</v>
      </c>
      <c r="D122" s="714">
        <v>659</v>
      </c>
      <c r="E122" s="714">
        <v>559</v>
      </c>
      <c r="F122" s="714">
        <v>483</v>
      </c>
      <c r="G122" s="714">
        <f t="shared" ref="G122:Q122" si="230">G123-G119</f>
        <v>945</v>
      </c>
      <c r="H122" s="714">
        <f t="shared" si="230"/>
        <v>882</v>
      </c>
      <c r="I122" s="714">
        <f t="shared" si="230"/>
        <v>760</v>
      </c>
      <c r="J122" s="714">
        <f t="shared" si="230"/>
        <v>822.15619858015748</v>
      </c>
      <c r="K122" s="714">
        <f t="shared" si="230"/>
        <v>791.57300723799017</v>
      </c>
      <c r="L122" s="714">
        <f t="shared" si="230"/>
        <v>946.46732079685239</v>
      </c>
      <c r="M122" s="714">
        <f t="shared" si="230"/>
        <v>945.82987695217503</v>
      </c>
      <c r="N122" s="714">
        <f t="shared" si="230"/>
        <v>953.48569253552432</v>
      </c>
      <c r="O122" s="714">
        <f t="shared" si="230"/>
        <v>914.77235003605074</v>
      </c>
      <c r="P122" s="714">
        <f t="shared" si="230"/>
        <v>929.42781023324187</v>
      </c>
      <c r="Q122" s="714">
        <f t="shared" si="230"/>
        <v>1127.853822370153</v>
      </c>
      <c r="R122" s="715"/>
      <c r="S122" s="716">
        <v>125</v>
      </c>
      <c r="T122" s="716">
        <v>128</v>
      </c>
      <c r="U122" s="716">
        <v>156</v>
      </c>
      <c r="V122" s="716">
        <v>150</v>
      </c>
      <c r="W122" s="717">
        <f t="shared" ref="W122:AL122" si="231">W123-W119</f>
        <v>183</v>
      </c>
      <c r="X122" s="716">
        <f t="shared" si="231"/>
        <v>114</v>
      </c>
      <c r="Y122" s="716">
        <f t="shared" si="231"/>
        <v>87</v>
      </c>
      <c r="Z122" s="716">
        <f t="shared" si="231"/>
        <v>99</v>
      </c>
      <c r="AA122" s="717">
        <f t="shared" si="231"/>
        <v>179</v>
      </c>
      <c r="AB122" s="716">
        <f t="shared" si="231"/>
        <v>229</v>
      </c>
      <c r="AC122" s="716">
        <f t="shared" si="231"/>
        <v>211</v>
      </c>
      <c r="AD122" s="716">
        <f t="shared" si="231"/>
        <v>326</v>
      </c>
      <c r="AE122" s="717">
        <f t="shared" si="231"/>
        <v>159</v>
      </c>
      <c r="AF122" s="716">
        <f t="shared" si="231"/>
        <v>218</v>
      </c>
      <c r="AG122" s="716">
        <f t="shared" si="231"/>
        <v>197</v>
      </c>
      <c r="AH122" s="718">
        <f t="shared" si="231"/>
        <v>308</v>
      </c>
      <c r="AI122" s="717">
        <f t="shared" si="231"/>
        <v>200</v>
      </c>
      <c r="AJ122" s="716">
        <f t="shared" si="231"/>
        <v>178</v>
      </c>
      <c r="AK122" s="716">
        <f t="shared" si="231"/>
        <v>188</v>
      </c>
      <c r="AL122" s="718">
        <f t="shared" si="231"/>
        <v>194</v>
      </c>
      <c r="AM122" s="716">
        <f t="shared" ref="AM122:AP122" si="232">AM123-AM119</f>
        <v>162</v>
      </c>
      <c r="AN122" s="716">
        <f t="shared" si="232"/>
        <v>219.76880891703843</v>
      </c>
      <c r="AO122" s="716">
        <f t="shared" si="232"/>
        <v>217.92384243940654</v>
      </c>
      <c r="AP122" s="716">
        <f t="shared" si="232"/>
        <v>222.46354722371251</v>
      </c>
      <c r="AQ122" s="1392"/>
      <c r="AR122" s="794"/>
      <c r="AS122" s="794"/>
      <c r="AT122" s="794"/>
      <c r="AU122" s="794"/>
      <c r="AV122" s="794"/>
      <c r="AW122" s="794"/>
      <c r="AX122" s="794"/>
      <c r="AY122" s="794"/>
      <c r="AZ122" s="794"/>
      <c r="BA122" s="794"/>
      <c r="BB122"/>
      <c r="BC122"/>
      <c r="BD122"/>
      <c r="BE122"/>
      <c r="BF122"/>
      <c r="BG122"/>
      <c r="BL122" s="731"/>
      <c r="BM122" s="731"/>
      <c r="BN122" s="731"/>
      <c r="BO122" s="731"/>
      <c r="BP122" s="731"/>
      <c r="BQ122" s="731"/>
      <c r="BR122" s="731"/>
      <c r="BS122" s="731"/>
      <c r="BT122" s="731"/>
      <c r="BU122" s="731"/>
      <c r="BV122" s="731"/>
      <c r="BW122" s="731"/>
      <c r="BX122" s="731"/>
      <c r="BY122" s="731"/>
      <c r="BZ122" s="714"/>
      <c r="CA122" s="714"/>
      <c r="CB122" s="714"/>
      <c r="CC122" s="714"/>
      <c r="CD122" s="714"/>
      <c r="CE122" s="714"/>
      <c r="CF122" s="714"/>
      <c r="CG122" s="714"/>
      <c r="CH122" s="714"/>
      <c r="CI122" s="714"/>
      <c r="CJ122" s="714"/>
      <c r="CK122" s="714"/>
      <c r="CL122" s="714"/>
      <c r="CM122" s="714"/>
      <c r="CN122" s="714"/>
      <c r="CO122" s="714"/>
      <c r="CP122" s="714"/>
      <c r="CQ122" s="714"/>
      <c r="CR122" s="714"/>
      <c r="CS122" s="714"/>
      <c r="CT122" s="714"/>
      <c r="CU122" s="714"/>
      <c r="CV122" s="714"/>
      <c r="CW122" s="714"/>
      <c r="CX122" s="714"/>
    </row>
    <row r="123" spans="1:102" s="693" customFormat="1" outlineLevel="1">
      <c r="A123" s="780" t="s">
        <v>165</v>
      </c>
      <c r="B123" s="731"/>
      <c r="C123" s="714">
        <v>-1528</v>
      </c>
      <c r="D123" s="714">
        <v>-1542</v>
      </c>
      <c r="E123" s="714">
        <v>-1498</v>
      </c>
      <c r="F123" s="714">
        <v>-1545</v>
      </c>
      <c r="G123" s="714">
        <v>-1106</v>
      </c>
      <c r="H123" s="714">
        <v>-1119</v>
      </c>
      <c r="I123" s="714">
        <v>-1296</v>
      </c>
      <c r="J123" s="714">
        <f t="shared" ref="J123:Q123" si="233">-J117*J125</f>
        <v>-1502.2843398363786</v>
      </c>
      <c r="K123" s="714">
        <f t="shared" si="233"/>
        <v>-1629.1878197701703</v>
      </c>
      <c r="L123" s="714">
        <f t="shared" si="233"/>
        <v>-1697.8325606593492</v>
      </c>
      <c r="M123" s="714">
        <f t="shared" si="233"/>
        <v>-1900.7807770677957</v>
      </c>
      <c r="N123" s="714">
        <f t="shared" si="233"/>
        <v>-2095.2424948276648</v>
      </c>
      <c r="O123" s="714">
        <f t="shared" si="233"/>
        <v>-2133.6251261429552</v>
      </c>
      <c r="P123" s="714">
        <f t="shared" si="233"/>
        <v>-2237.5767639665069</v>
      </c>
      <c r="Q123" s="714">
        <f t="shared" si="233"/>
        <v>-2093.0511800032418</v>
      </c>
      <c r="R123" s="715"/>
      <c r="S123" s="716">
        <v>-454</v>
      </c>
      <c r="T123" s="716">
        <v>-447</v>
      </c>
      <c r="U123" s="716">
        <v>-329</v>
      </c>
      <c r="V123" s="716">
        <v>-268</v>
      </c>
      <c r="W123" s="717">
        <v>-383</v>
      </c>
      <c r="X123" s="716">
        <v>-424</v>
      </c>
      <c r="Y123" s="716">
        <v>-430</v>
      </c>
      <c r="Z123" s="716">
        <v>-308</v>
      </c>
      <c r="AA123" s="717">
        <v>-372</v>
      </c>
      <c r="AB123" s="716">
        <v>-300</v>
      </c>
      <c r="AC123" s="716">
        <v>-357</v>
      </c>
      <c r="AD123" s="716">
        <f>G123-AA123-AB123-AC123</f>
        <v>-77</v>
      </c>
      <c r="AE123" s="717">
        <v>-341</v>
      </c>
      <c r="AF123" s="716">
        <v>-307</v>
      </c>
      <c r="AG123" s="714">
        <v>-329</v>
      </c>
      <c r="AH123" s="718">
        <f>+H123-AE123-AF123-AG123</f>
        <v>-142</v>
      </c>
      <c r="AI123" s="717">
        <v>-282</v>
      </c>
      <c r="AJ123" s="716">
        <v>-336</v>
      </c>
      <c r="AK123" s="716">
        <v>-353</v>
      </c>
      <c r="AL123" s="718">
        <f>I123-AI123-AJ123-AK123</f>
        <v>-325</v>
      </c>
      <c r="AM123" s="716">
        <v>-381</v>
      </c>
      <c r="AN123" s="716">
        <f t="shared" ref="AN123:AO123" si="234">-AN117*AN125</f>
        <v>-355.48926095797663</v>
      </c>
      <c r="AO123" s="716">
        <f t="shared" si="234"/>
        <v>-366.47588636288077</v>
      </c>
      <c r="AP123" s="716">
        <f>J123-AM123-AN123-AO123</f>
        <v>-399.31919251552125</v>
      </c>
      <c r="AQ123" s="1392"/>
      <c r="AR123" s="794"/>
      <c r="AS123" s="794"/>
      <c r="AT123" s="794"/>
      <c r="AU123" s="794"/>
      <c r="AV123" s="794"/>
      <c r="AW123" s="794"/>
      <c r="AX123" s="794"/>
      <c r="AY123" s="794"/>
      <c r="AZ123" s="794"/>
      <c r="BA123" s="794"/>
      <c r="BB123"/>
      <c r="BC123"/>
      <c r="BD123"/>
      <c r="BE123"/>
      <c r="BF123"/>
      <c r="BG123"/>
      <c r="BL123" s="731"/>
      <c r="BM123" s="731"/>
      <c r="BN123" s="731"/>
      <c r="BO123" s="731"/>
      <c r="BP123" s="731"/>
      <c r="BQ123" s="731"/>
      <c r="BR123" s="731"/>
      <c r="BS123" s="731"/>
      <c r="BT123" s="731"/>
      <c r="BU123" s="731"/>
      <c r="BV123" s="731"/>
      <c r="BW123" s="731"/>
      <c r="BX123" s="731"/>
      <c r="BY123" s="731"/>
      <c r="BZ123" s="714"/>
      <c r="CA123" s="714"/>
      <c r="CB123" s="714"/>
      <c r="CC123" s="714"/>
      <c r="CD123" s="714"/>
      <c r="CE123" s="714"/>
      <c r="CF123" s="714"/>
      <c r="CG123" s="714"/>
      <c r="CH123" s="714"/>
      <c r="CI123" s="714"/>
      <c r="CJ123" s="714"/>
      <c r="CK123" s="714"/>
      <c r="CL123" s="714"/>
      <c r="CM123" s="714"/>
      <c r="CN123" s="714"/>
      <c r="CO123" s="714"/>
      <c r="CP123" s="714"/>
      <c r="CQ123" s="714"/>
      <c r="CR123" s="714"/>
      <c r="CS123" s="714"/>
      <c r="CT123" s="714"/>
      <c r="CU123" s="714"/>
      <c r="CV123" s="714"/>
      <c r="CW123" s="714"/>
      <c r="CX123" s="714"/>
    </row>
    <row r="124" spans="1:102" s="693" customFormat="1" outlineLevel="1">
      <c r="A124" s="780" t="s">
        <v>166</v>
      </c>
      <c r="B124" s="731"/>
      <c r="C124" s="714"/>
      <c r="D124" s="714"/>
      <c r="E124" s="714">
        <v>-1443</v>
      </c>
      <c r="F124" s="714">
        <v>-1641</v>
      </c>
      <c r="G124" s="714">
        <f>G123-1713</f>
        <v>-2819</v>
      </c>
      <c r="H124" s="716">
        <f>H123</f>
        <v>-1119</v>
      </c>
      <c r="I124" s="716">
        <f>I123</f>
        <v>-1296</v>
      </c>
      <c r="J124" s="714">
        <f t="shared" ref="J124:Q124" si="235">-J125*J118</f>
        <v>-3415.4171561083635</v>
      </c>
      <c r="K124" s="714">
        <f t="shared" si="235"/>
        <v>-3561.9793486273616</v>
      </c>
      <c r="L124" s="714">
        <f t="shared" si="235"/>
        <v>-3610.9012794856781</v>
      </c>
      <c r="M124" s="714">
        <f t="shared" si="235"/>
        <v>-3877.9504578453893</v>
      </c>
      <c r="N124" s="714">
        <f t="shared" si="235"/>
        <v>-4067.5635772118799</v>
      </c>
      <c r="O124" s="714">
        <f t="shared" si="235"/>
        <v>-4085.0356438573172</v>
      </c>
      <c r="P124" s="714">
        <f t="shared" si="235"/>
        <v>-4212.2486006603049</v>
      </c>
      <c r="Q124" s="714">
        <f t="shared" si="235"/>
        <v>-4087.2518434730637</v>
      </c>
      <c r="R124" s="715"/>
      <c r="S124" s="716">
        <v>-417</v>
      </c>
      <c r="T124" s="716">
        <v>-426</v>
      </c>
      <c r="U124" s="716">
        <v>-336</v>
      </c>
      <c r="V124" s="716">
        <v>-264</v>
      </c>
      <c r="W124" s="717">
        <v>-544</v>
      </c>
      <c r="X124" s="716">
        <v>-475</v>
      </c>
      <c r="Y124" s="716">
        <v>-533</v>
      </c>
      <c r="Z124" s="716">
        <v>-89</v>
      </c>
      <c r="AA124" s="717">
        <f>AA123-1923</f>
        <v>-2295</v>
      </c>
      <c r="AB124" s="716">
        <f>AB123+78</f>
        <v>-222</v>
      </c>
      <c r="AC124" s="716">
        <f>AC123+36</f>
        <v>-321</v>
      </c>
      <c r="AD124" s="716">
        <f>G124-AA124-AB124-AC124</f>
        <v>19</v>
      </c>
      <c r="AE124" s="717">
        <f>AE123</f>
        <v>-341</v>
      </c>
      <c r="AF124" s="716">
        <f>AF123</f>
        <v>-307</v>
      </c>
      <c r="AG124" s="716">
        <f>AG123</f>
        <v>-329</v>
      </c>
      <c r="AH124" s="718">
        <f>+H124-AE124-AF124-AG124</f>
        <v>-142</v>
      </c>
      <c r="AI124" s="717">
        <f>AI123</f>
        <v>-282</v>
      </c>
      <c r="AJ124" s="716">
        <f>AJ123</f>
        <v>-336</v>
      </c>
      <c r="AK124" s="716">
        <f>AK123</f>
        <v>-353</v>
      </c>
      <c r="AL124" s="718">
        <f>I124-AI124-AJ124-AK124</f>
        <v>-325</v>
      </c>
      <c r="AM124" s="717">
        <f>AM123</f>
        <v>-381</v>
      </c>
      <c r="AN124" s="716">
        <f t="shared" ref="AN124:AO124" si="236">-AN125*AN118</f>
        <v>-835.93691791217964</v>
      </c>
      <c r="AO124" s="716">
        <f t="shared" si="236"/>
        <v>-845.44632792774621</v>
      </c>
      <c r="AP124" s="716">
        <f>J124-AM124-AN124-AO124</f>
        <v>-1353.0339102684379</v>
      </c>
      <c r="AQ124" s="1392"/>
      <c r="AR124" s="794"/>
      <c r="AS124" s="794"/>
      <c r="AT124" s="794"/>
      <c r="AU124" s="794"/>
      <c r="AV124" s="794"/>
      <c r="AW124" s="794"/>
      <c r="AX124" s="794"/>
      <c r="AY124" s="794"/>
      <c r="AZ124" s="794"/>
      <c r="BA124" s="794"/>
      <c r="BB124"/>
      <c r="BC124"/>
      <c r="BD124"/>
      <c r="BE124"/>
      <c r="BF124"/>
      <c r="BG124"/>
      <c r="BL124" s="731"/>
      <c r="BM124" s="731"/>
      <c r="BN124" s="731"/>
      <c r="BO124" s="731"/>
      <c r="BP124" s="731"/>
      <c r="BQ124" s="731"/>
      <c r="BR124" s="731"/>
      <c r="BS124" s="731"/>
      <c r="BT124" s="731"/>
      <c r="BU124" s="731"/>
      <c r="BV124" s="731"/>
      <c r="BW124" s="731"/>
      <c r="BX124" s="731"/>
      <c r="BY124" s="731"/>
      <c r="BZ124" s="714"/>
      <c r="CA124" s="714"/>
      <c r="CB124" s="714"/>
      <c r="CC124" s="714"/>
      <c r="CD124" s="714"/>
      <c r="CE124" s="714"/>
      <c r="CF124" s="714"/>
      <c r="CG124" s="714"/>
      <c r="CH124" s="714"/>
      <c r="CI124" s="714"/>
      <c r="CJ124" s="714"/>
      <c r="CK124" s="714"/>
      <c r="CL124" s="714"/>
      <c r="CM124" s="714"/>
      <c r="CN124" s="714"/>
      <c r="CO124" s="714"/>
      <c r="CP124" s="714"/>
      <c r="CQ124" s="714"/>
      <c r="CR124" s="714"/>
      <c r="CS124" s="714"/>
      <c r="CT124" s="714"/>
      <c r="CU124" s="714"/>
      <c r="CV124" s="714"/>
      <c r="CW124" s="714"/>
      <c r="CX124" s="714"/>
    </row>
    <row r="125" spans="1:102" s="693" customFormat="1" outlineLevel="1">
      <c r="A125" s="780" t="s">
        <v>163</v>
      </c>
      <c r="B125" s="731">
        <v>0.14809434284737652</v>
      </c>
      <c r="C125" s="731">
        <v>0.15343583307185441</v>
      </c>
      <c r="D125" s="731">
        <v>0.14894768897611152</v>
      </c>
      <c r="E125" s="731">
        <v>0.1344326439351593</v>
      </c>
      <c r="F125" s="731">
        <v>0.13481761419651658</v>
      </c>
      <c r="G125" s="731">
        <f>-G124/G118</f>
        <v>0.13689782439782439</v>
      </c>
      <c r="H125" s="731">
        <f>-H124/H118</f>
        <v>0.14314954586158374</v>
      </c>
      <c r="I125" s="731">
        <f>-I124/I118</f>
        <v>0.14401600177797533</v>
      </c>
      <c r="J125" s="824">
        <v>0.14499999999999999</v>
      </c>
      <c r="K125" s="824">
        <v>0.14499999999999999</v>
      </c>
      <c r="L125" s="824">
        <v>0.14499999999999999</v>
      </c>
      <c r="M125" s="824">
        <v>0.14499999999999999</v>
      </c>
      <c r="N125" s="824">
        <v>0.14499999999999999</v>
      </c>
      <c r="O125" s="824">
        <v>0.14499999999999999</v>
      </c>
      <c r="P125" s="824">
        <v>0.14499999999999999</v>
      </c>
      <c r="Q125" s="824">
        <v>0.14499999999999999</v>
      </c>
      <c r="R125" s="721"/>
      <c r="S125" s="732">
        <v>0.14688270517787955</v>
      </c>
      <c r="T125" s="732">
        <v>0.14338606529787951</v>
      </c>
      <c r="U125" s="732">
        <v>0.12918108419838523</v>
      </c>
      <c r="V125" s="732">
        <v>0.113646147223418</v>
      </c>
      <c r="W125" s="733">
        <f t="shared" ref="W125:AM125" si="237">-W124/W118</f>
        <v>0.20606060606060606</v>
      </c>
      <c r="X125" s="732">
        <f t="shared" si="237"/>
        <v>0.15442132639791939</v>
      </c>
      <c r="Y125" s="732">
        <f t="shared" si="237"/>
        <v>0.1407446527594402</v>
      </c>
      <c r="Z125" s="732">
        <f t="shared" si="237"/>
        <v>3.5080804099329919E-2</v>
      </c>
      <c r="AA125" s="733">
        <f t="shared" si="237"/>
        <v>0.15016685205784205</v>
      </c>
      <c r="AB125" s="732">
        <f t="shared" si="237"/>
        <v>0.10776699029126213</v>
      </c>
      <c r="AC125" s="732">
        <f t="shared" si="237"/>
        <v>0.14511754068716093</v>
      </c>
      <c r="AD125" s="732">
        <f t="shared" si="237"/>
        <v>-1.8322082931533271E-2</v>
      </c>
      <c r="AE125" s="733">
        <f t="shared" si="237"/>
        <v>0.14498299319727892</v>
      </c>
      <c r="AF125" s="732">
        <f t="shared" si="237"/>
        <v>0.14529105537150971</v>
      </c>
      <c r="AG125" s="732">
        <f t="shared" si="237"/>
        <v>0.14467897977132807</v>
      </c>
      <c r="AH125" s="734">
        <f>-AH124/AH118</f>
        <v>0.13172541743970315</v>
      </c>
      <c r="AI125" s="733">
        <f t="shared" si="237"/>
        <v>0.14483821263482277</v>
      </c>
      <c r="AJ125" s="732">
        <f t="shared" si="237"/>
        <v>0.14514038876889845</v>
      </c>
      <c r="AK125" s="732">
        <f t="shared" si="237"/>
        <v>0.14490669989751023</v>
      </c>
      <c r="AL125" s="734">
        <f>-AL124/AL118</f>
        <v>0.14124602136637471</v>
      </c>
      <c r="AM125" s="733">
        <f t="shared" si="237"/>
        <v>6.598692627528395E-2</v>
      </c>
      <c r="AN125" s="825">
        <v>0.14499999999999999</v>
      </c>
      <c r="AO125" s="825">
        <v>0.14499999999999999</v>
      </c>
      <c r="AP125" s="734">
        <f>-AP124/AP118</f>
        <v>0.21876111691295808</v>
      </c>
      <c r="AQ125" s="1392"/>
      <c r="AR125" s="794"/>
      <c r="AS125" s="794"/>
      <c r="AT125" s="794"/>
      <c r="AU125" s="794"/>
      <c r="AV125" s="794"/>
      <c r="AW125" s="794"/>
      <c r="AX125" s="794"/>
      <c r="AY125" s="794"/>
      <c r="AZ125" s="794"/>
      <c r="BA125" s="794"/>
      <c r="BB125"/>
      <c r="BC125"/>
      <c r="BD125"/>
      <c r="BE125"/>
      <c r="BF125"/>
      <c r="BG125"/>
      <c r="BL125" s="731"/>
      <c r="BM125" s="731"/>
      <c r="BN125" s="731"/>
      <c r="BO125" s="731"/>
      <c r="BP125" s="731"/>
      <c r="BQ125" s="731"/>
      <c r="BR125" s="731"/>
      <c r="BS125" s="731"/>
      <c r="BT125" s="731"/>
      <c r="BU125" s="731"/>
      <c r="BV125" s="731"/>
      <c r="BW125" s="731"/>
      <c r="BX125" s="731"/>
      <c r="BY125" s="731"/>
      <c r="BZ125" s="731"/>
      <c r="CA125" s="731"/>
      <c r="CB125" s="731"/>
      <c r="CC125" s="731"/>
      <c r="CD125" s="731"/>
      <c r="CE125" s="731"/>
      <c r="CF125" s="731"/>
      <c r="CG125" s="731"/>
      <c r="CH125" s="731"/>
      <c r="CI125" s="731"/>
      <c r="CJ125" s="731"/>
      <c r="CK125" s="731"/>
      <c r="CL125" s="731"/>
      <c r="CM125" s="731"/>
      <c r="CN125" s="731"/>
      <c r="CO125" s="731"/>
      <c r="CP125" s="731"/>
      <c r="CQ125" s="731"/>
      <c r="CR125" s="731"/>
      <c r="CS125" s="731"/>
      <c r="CT125" s="731"/>
      <c r="CU125" s="731"/>
      <c r="CV125" s="731"/>
      <c r="CW125" s="731"/>
      <c r="CX125" s="731"/>
    </row>
    <row r="126" spans="1:102" s="693" customFormat="1">
      <c r="A126" s="795" t="s">
        <v>593</v>
      </c>
      <c r="B126" s="720">
        <v>9905</v>
      </c>
      <c r="C126" s="720">
        <v>13569</v>
      </c>
      <c r="D126" s="720">
        <v>12576</v>
      </c>
      <c r="E126" s="720">
        <v>12252</v>
      </c>
      <c r="F126" s="720">
        <v>12655</v>
      </c>
      <c r="G126" s="720">
        <f t="shared" ref="G126:Q126" si="238">G115+G119</f>
        <v>12041</v>
      </c>
      <c r="H126" s="720">
        <f t="shared" si="238"/>
        <v>11314</v>
      </c>
      <c r="I126" s="720">
        <f t="shared" si="238"/>
        <v>11390</v>
      </c>
      <c r="J126" s="720">
        <f t="shared" si="238"/>
        <v>12203.312826686813</v>
      </c>
      <c r="K126" s="720">
        <f t="shared" si="238"/>
        <v>12708.994341792843</v>
      </c>
      <c r="L126" s="720">
        <f t="shared" si="238"/>
        <v>13882.574377645058</v>
      </c>
      <c r="M126" s="720">
        <f t="shared" si="238"/>
        <v>14944.705933604846</v>
      </c>
      <c r="N126" s="720">
        <f t="shared" si="238"/>
        <v>16005.822983656743</v>
      </c>
      <c r="O126" s="720">
        <f t="shared" si="238"/>
        <v>16004.086749939783</v>
      </c>
      <c r="P126" s="720">
        <f t="shared" si="238"/>
        <v>16626.774014548679</v>
      </c>
      <c r="Q126" s="720">
        <f t="shared" si="238"/>
        <v>16909.751262460322</v>
      </c>
      <c r="R126" s="719"/>
      <c r="S126" s="796">
        <v>3281</v>
      </c>
      <c r="T126" s="796">
        <v>3204</v>
      </c>
      <c r="U126" s="796">
        <v>2944</v>
      </c>
      <c r="V126" s="796">
        <v>2866</v>
      </c>
      <c r="W126" s="797">
        <f t="shared" ref="W126:AL126" si="239">W115+W119</f>
        <v>3333</v>
      </c>
      <c r="X126" s="796">
        <f t="shared" si="239"/>
        <v>3335</v>
      </c>
      <c r="Y126" s="796">
        <f t="shared" si="239"/>
        <v>3128</v>
      </c>
      <c r="Z126" s="796">
        <f t="shared" si="239"/>
        <v>2859</v>
      </c>
      <c r="AA126" s="797">
        <f t="shared" si="239"/>
        <v>3199</v>
      </c>
      <c r="AB126" s="796">
        <f t="shared" si="239"/>
        <v>3074</v>
      </c>
      <c r="AC126" s="796">
        <f t="shared" si="239"/>
        <v>3061</v>
      </c>
      <c r="AD126" s="796">
        <f t="shared" si="239"/>
        <v>2707</v>
      </c>
      <c r="AE126" s="797">
        <f t="shared" si="239"/>
        <v>2788</v>
      </c>
      <c r="AF126" s="796">
        <f t="shared" si="239"/>
        <v>2930</v>
      </c>
      <c r="AG126" s="720">
        <f t="shared" si="239"/>
        <v>2938</v>
      </c>
      <c r="AH126" s="798">
        <f t="shared" si="239"/>
        <v>2658</v>
      </c>
      <c r="AI126" s="797">
        <f t="shared" si="239"/>
        <v>2690.0000000000027</v>
      </c>
      <c r="AJ126" s="796">
        <f t="shared" si="239"/>
        <v>2865.9999999999991</v>
      </c>
      <c r="AK126" s="796">
        <f t="shared" si="239"/>
        <v>3017.0502326646747</v>
      </c>
      <c r="AL126" s="798">
        <f t="shared" si="239"/>
        <v>2816.9497673353235</v>
      </c>
      <c r="AM126" s="796">
        <f t="shared" ref="AM126:AP126" si="240">AM115+AM119</f>
        <v>2982</v>
      </c>
      <c r="AN126" s="796">
        <f t="shared" si="240"/>
        <v>3020.1048668438289</v>
      </c>
      <c r="AO126" s="796">
        <f t="shared" si="240"/>
        <v>3068.0985762120085</v>
      </c>
      <c r="AP126" s="796">
        <f t="shared" si="240"/>
        <v>3133.1093836309728</v>
      </c>
      <c r="AQ126" s="1392"/>
      <c r="AR126" s="794"/>
      <c r="AS126" s="794"/>
      <c r="AT126" s="794"/>
      <c r="AU126" s="794"/>
      <c r="AV126" s="794"/>
      <c r="AW126" s="794"/>
      <c r="AX126" s="794"/>
      <c r="AY126" s="794"/>
      <c r="AZ126" s="794"/>
      <c r="BA126" s="794"/>
      <c r="BB126"/>
      <c r="BC126"/>
      <c r="BD126"/>
      <c r="BE126"/>
      <c r="BF126"/>
      <c r="BG126"/>
      <c r="BL126" s="720"/>
      <c r="BM126" s="720"/>
      <c r="BN126" s="720"/>
      <c r="BO126" s="720"/>
      <c r="BP126" s="720"/>
      <c r="BQ126" s="720"/>
      <c r="BR126" s="720"/>
      <c r="BS126" s="720"/>
      <c r="BT126" s="720"/>
      <c r="BU126" s="720"/>
      <c r="BV126" s="814"/>
      <c r="BW126" s="814"/>
      <c r="BX126" s="720"/>
      <c r="BY126" s="720"/>
      <c r="BZ126" s="720"/>
      <c r="CA126" s="720"/>
      <c r="CB126" s="720"/>
      <c r="CC126" s="720"/>
      <c r="CD126" s="720"/>
      <c r="CE126" s="720"/>
      <c r="CF126" s="720"/>
      <c r="CG126" s="720"/>
      <c r="CH126" s="720"/>
      <c r="CI126" s="720"/>
      <c r="CJ126" s="720"/>
      <c r="CK126" s="720"/>
      <c r="CL126" s="720"/>
      <c r="CM126" s="720"/>
      <c r="CN126" s="720"/>
      <c r="CO126" s="720"/>
      <c r="CP126" s="720"/>
      <c r="CQ126" s="720"/>
      <c r="CR126" s="720"/>
      <c r="CS126" s="720"/>
      <c r="CT126" s="720"/>
      <c r="CU126" s="720"/>
      <c r="CV126" s="720"/>
      <c r="CW126" s="720"/>
      <c r="CX126" s="720"/>
    </row>
    <row r="127" spans="1:102" s="693" customFormat="1" hidden="1" outlineLevel="1">
      <c r="A127" s="780" t="s">
        <v>167</v>
      </c>
      <c r="B127" s="720"/>
      <c r="C127" s="720"/>
      <c r="D127" s="720"/>
      <c r="E127" s="714">
        <v>12489</v>
      </c>
      <c r="F127" s="714">
        <v>12758</v>
      </c>
      <c r="G127" s="714">
        <f>G116+G121</f>
        <v>11764</v>
      </c>
      <c r="H127" s="714">
        <f t="shared" ref="H127:Q127" si="241">H116+H121</f>
        <v>10446</v>
      </c>
      <c r="I127" s="714">
        <f t="shared" si="241"/>
        <v>10364.000000000002</v>
      </c>
      <c r="J127" s="714">
        <f t="shared" si="241"/>
        <v>11111.074346889875</v>
      </c>
      <c r="K127" s="714">
        <f t="shared" si="241"/>
        <v>11606.516187584048</v>
      </c>
      <c r="L127" s="714">
        <f t="shared" si="241"/>
        <v>12755.326986032622</v>
      </c>
      <c r="M127" s="714">
        <f t="shared" si="241"/>
        <v>13780.762652938096</v>
      </c>
      <c r="N127" s="714">
        <f t="shared" si="241"/>
        <v>14829.097131604633</v>
      </c>
      <c r="O127" s="714">
        <f t="shared" si="241"/>
        <v>14863.976688695613</v>
      </c>
      <c r="P127" s="714">
        <f t="shared" si="241"/>
        <v>15489.107628304329</v>
      </c>
      <c r="Q127" s="714">
        <f t="shared" si="241"/>
        <v>15778.726320356891</v>
      </c>
      <c r="R127" s="719"/>
      <c r="S127" s="716">
        <v>3248</v>
      </c>
      <c r="T127" s="716">
        <v>3224</v>
      </c>
      <c r="U127" s="716">
        <v>3104</v>
      </c>
      <c r="V127" s="716">
        <v>2956</v>
      </c>
      <c r="W127" s="717">
        <f t="shared" ref="W127:AL127" si="242">W116+W121</f>
        <v>3211</v>
      </c>
      <c r="X127" s="716">
        <f t="shared" si="242"/>
        <v>3283</v>
      </c>
      <c r="Y127" s="716">
        <f t="shared" si="242"/>
        <v>3346</v>
      </c>
      <c r="Z127" s="716">
        <f t="shared" si="242"/>
        <v>2918</v>
      </c>
      <c r="AA127" s="717">
        <f t="shared" si="242"/>
        <v>3116</v>
      </c>
      <c r="AB127" s="716">
        <f t="shared" si="242"/>
        <v>3015</v>
      </c>
      <c r="AC127" s="716">
        <f t="shared" si="242"/>
        <v>3121</v>
      </c>
      <c r="AD127" s="716">
        <f t="shared" si="242"/>
        <v>2512</v>
      </c>
      <c r="AE127" s="717">
        <f t="shared" si="242"/>
        <v>2788</v>
      </c>
      <c r="AF127" s="716">
        <f t="shared" si="242"/>
        <v>2930</v>
      </c>
      <c r="AG127" s="714">
        <f t="shared" si="242"/>
        <v>2723</v>
      </c>
      <c r="AH127" s="718">
        <f t="shared" si="242"/>
        <v>2424</v>
      </c>
      <c r="AI127" s="717">
        <f t="shared" si="242"/>
        <v>2690.0000000000027</v>
      </c>
      <c r="AJ127" s="716">
        <f t="shared" si="242"/>
        <v>2613.9999999999991</v>
      </c>
      <c r="AK127" s="716">
        <f t="shared" si="242"/>
        <v>2738.0502326646742</v>
      </c>
      <c r="AL127" s="718">
        <f t="shared" si="242"/>
        <v>2567.9497673353235</v>
      </c>
      <c r="AM127" s="716">
        <f t="shared" ref="AM127:AP127" si="243">AM116+AM121</f>
        <v>2896.1660000000002</v>
      </c>
      <c r="AN127" s="716">
        <f t="shared" si="243"/>
        <v>2750.4422435973802</v>
      </c>
      <c r="AO127" s="716">
        <f t="shared" si="243"/>
        <v>2773.5435410334062</v>
      </c>
      <c r="AP127" s="716">
        <f t="shared" si="243"/>
        <v>2690.9225622590811</v>
      </c>
      <c r="AQ127" s="1389"/>
      <c r="AR127" s="794"/>
      <c r="AS127" s="794"/>
      <c r="AT127" s="794"/>
      <c r="AU127" s="794"/>
      <c r="AV127" s="794"/>
      <c r="AW127" s="794"/>
      <c r="AX127" s="794"/>
      <c r="AY127" s="794"/>
      <c r="AZ127" s="794"/>
      <c r="BA127" s="794"/>
      <c r="BB127"/>
      <c r="BC127"/>
      <c r="BD127"/>
      <c r="BE127"/>
      <c r="BF127"/>
      <c r="BG127"/>
      <c r="BL127" s="720"/>
      <c r="BM127" s="720"/>
      <c r="BN127" s="720"/>
      <c r="BO127" s="720"/>
      <c r="BP127" s="720"/>
      <c r="BQ127" s="720"/>
      <c r="BR127" s="720"/>
      <c r="BS127" s="720"/>
      <c r="BT127" s="720"/>
      <c r="BU127" s="720"/>
      <c r="BV127" s="814"/>
      <c r="BW127" s="814"/>
      <c r="BX127" s="720"/>
      <c r="BY127" s="720"/>
      <c r="BZ127" s="720"/>
      <c r="CA127" s="720"/>
      <c r="CB127" s="720"/>
      <c r="CC127" s="720"/>
      <c r="CD127" s="720"/>
      <c r="CE127" s="720"/>
      <c r="CF127" s="720"/>
      <c r="CG127" s="720"/>
      <c r="CH127" s="714"/>
      <c r="CI127" s="714"/>
      <c r="CJ127" s="714"/>
      <c r="CK127" s="714"/>
      <c r="CL127" s="714"/>
      <c r="CM127" s="714"/>
      <c r="CN127" s="720"/>
      <c r="CO127" s="720"/>
      <c r="CP127" s="720"/>
      <c r="CQ127" s="720"/>
      <c r="CR127" s="720"/>
      <c r="CS127" s="720"/>
      <c r="CT127" s="720"/>
      <c r="CU127" s="720"/>
      <c r="CV127" s="720"/>
      <c r="CW127" s="720"/>
      <c r="CX127" s="714"/>
    </row>
    <row r="128" spans="1:102" s="693" customFormat="1" hidden="1" outlineLevel="1">
      <c r="A128" s="780" t="s">
        <v>168</v>
      </c>
      <c r="B128" s="805"/>
      <c r="C128" s="805">
        <v>-700.1761721282603</v>
      </c>
      <c r="D128" s="805">
        <v>-743.67224512826033</v>
      </c>
      <c r="E128" s="805"/>
      <c r="F128" s="805"/>
      <c r="G128" s="805"/>
      <c r="H128" s="805"/>
      <c r="I128" s="805"/>
      <c r="J128" s="805"/>
      <c r="K128" s="805"/>
      <c r="L128" s="805"/>
      <c r="M128" s="805"/>
      <c r="N128" s="805"/>
      <c r="O128" s="805"/>
      <c r="P128" s="805"/>
      <c r="Q128" s="805"/>
      <c r="R128" s="806"/>
      <c r="S128" s="803"/>
      <c r="T128" s="803"/>
      <c r="U128" s="803"/>
      <c r="V128" s="803"/>
      <c r="W128" s="804"/>
      <c r="X128" s="803"/>
      <c r="Y128" s="803"/>
      <c r="Z128" s="803"/>
      <c r="AA128" s="804"/>
      <c r="AB128" s="803"/>
      <c r="AC128" s="803"/>
      <c r="AD128" s="716"/>
      <c r="AE128" s="717"/>
      <c r="AF128" s="803"/>
      <c r="AG128" s="716"/>
      <c r="AH128" s="718"/>
      <c r="AI128" s="717"/>
      <c r="AJ128" s="803"/>
      <c r="AK128" s="803"/>
      <c r="AL128" s="718"/>
      <c r="AM128" s="716"/>
      <c r="AN128" s="716"/>
      <c r="AO128" s="716"/>
      <c r="AP128" s="716"/>
      <c r="AQ128" s="1389"/>
      <c r="AR128" s="794"/>
      <c r="AS128" s="794"/>
      <c r="AT128" s="794"/>
      <c r="AU128" s="794"/>
      <c r="AV128" s="794"/>
      <c r="AW128" s="794"/>
      <c r="AX128" s="794"/>
      <c r="AY128" s="794"/>
      <c r="AZ128" s="794"/>
      <c r="BA128" s="794"/>
      <c r="BB128"/>
      <c r="BC128"/>
      <c r="BD128"/>
      <c r="BE128"/>
      <c r="BF128"/>
      <c r="BG128"/>
      <c r="BL128" s="780"/>
      <c r="BM128" s="780"/>
      <c r="BN128" s="805"/>
      <c r="BO128" s="805"/>
      <c r="BP128" s="805"/>
      <c r="BQ128" s="805"/>
      <c r="BR128" s="805"/>
      <c r="BS128" s="805"/>
      <c r="BT128" s="805"/>
      <c r="BU128" s="805"/>
      <c r="BV128" s="805"/>
      <c r="BW128" s="805"/>
      <c r="BX128" s="805"/>
      <c r="BY128" s="805"/>
      <c r="BZ128" s="805"/>
      <c r="CA128" s="805"/>
      <c r="CB128" s="805"/>
      <c r="CC128" s="805"/>
      <c r="CD128" s="805"/>
      <c r="CE128" s="805"/>
      <c r="CF128" s="805"/>
      <c r="CG128" s="805"/>
      <c r="CH128" s="805"/>
      <c r="CI128" s="805"/>
      <c r="CJ128" s="805"/>
      <c r="CK128" s="805"/>
      <c r="CL128" s="714"/>
      <c r="CM128" s="714"/>
      <c r="CN128" s="805"/>
      <c r="CO128" s="805"/>
      <c r="CP128" s="805"/>
      <c r="CQ128" s="805"/>
      <c r="CR128" s="805"/>
      <c r="CS128" s="805"/>
      <c r="CT128" s="805"/>
      <c r="CU128" s="805"/>
      <c r="CV128" s="805"/>
      <c r="CW128" s="805"/>
      <c r="CX128" s="805"/>
    </row>
    <row r="129" spans="1:102" s="693" customFormat="1" collapsed="1">
      <c r="A129" s="780" t="s">
        <v>169</v>
      </c>
      <c r="B129" s="714">
        <v>-175</v>
      </c>
      <c r="C129" s="714">
        <v>-217</v>
      </c>
      <c r="D129" s="714">
        <v>-113</v>
      </c>
      <c r="E129" s="714">
        <v>-120</v>
      </c>
      <c r="F129" s="714">
        <v>-70</v>
      </c>
      <c r="G129" s="714">
        <v>-11</v>
      </c>
      <c r="H129" s="714">
        <v>14</v>
      </c>
      <c r="I129" s="714">
        <v>0</v>
      </c>
      <c r="J129" s="714"/>
      <c r="K129" s="714"/>
      <c r="L129" s="714"/>
      <c r="M129" s="714"/>
      <c r="N129" s="714"/>
      <c r="O129" s="714"/>
      <c r="P129" s="714"/>
      <c r="Q129" s="714"/>
      <c r="R129" s="715"/>
      <c r="S129" s="716">
        <v>-25</v>
      </c>
      <c r="T129" s="716">
        <v>-33</v>
      </c>
      <c r="U129" s="716">
        <v>-32</v>
      </c>
      <c r="V129" s="716">
        <v>-30</v>
      </c>
      <c r="W129" s="717">
        <v>-27</v>
      </c>
      <c r="X129" s="716">
        <v>-30</v>
      </c>
      <c r="Y129" s="716">
        <v>-17</v>
      </c>
      <c r="Z129" s="716">
        <v>4</v>
      </c>
      <c r="AA129" s="717">
        <v>0</v>
      </c>
      <c r="AB129" s="716">
        <v>0</v>
      </c>
      <c r="AC129" s="716">
        <v>0</v>
      </c>
      <c r="AD129" s="716">
        <f>G129-SUM(AA129:AC129)</f>
        <v>-11</v>
      </c>
      <c r="AE129" s="717"/>
      <c r="AF129" s="716"/>
      <c r="AG129" s="716"/>
      <c r="AH129" s="718">
        <f>+H129-AE129-AF129-AG129</f>
        <v>14</v>
      </c>
      <c r="AI129" s="717">
        <v>1</v>
      </c>
      <c r="AJ129" s="716"/>
      <c r="AK129" s="716"/>
      <c r="AL129" s="718">
        <f>I129-AI129-AJ129-AK129</f>
        <v>-1</v>
      </c>
      <c r="AM129" s="716">
        <v>-3</v>
      </c>
      <c r="AN129" s="716"/>
      <c r="AO129" s="716"/>
      <c r="AP129" s="716">
        <f>J129-AM129-AN129-AO129</f>
        <v>3</v>
      </c>
      <c r="AQ129" s="1389"/>
      <c r="AR129" s="794"/>
      <c r="AS129" s="794"/>
      <c r="AT129" s="794"/>
      <c r="AU129" s="794"/>
      <c r="AV129" s="794"/>
      <c r="AW129" s="794"/>
      <c r="AX129" s="794"/>
      <c r="AY129" s="794"/>
      <c r="AZ129" s="794"/>
      <c r="BA129" s="794"/>
      <c r="BB129"/>
      <c r="BC129"/>
      <c r="BD129"/>
      <c r="BE129"/>
      <c r="BF129"/>
      <c r="BG129"/>
      <c r="BL129" s="714"/>
      <c r="BM129" s="714"/>
      <c r="BN129" s="720"/>
      <c r="BO129" s="720"/>
      <c r="BP129" s="720"/>
      <c r="BQ129" s="720"/>
      <c r="BR129" s="714"/>
      <c r="BS129" s="714"/>
      <c r="BT129" s="714"/>
      <c r="BU129" s="714"/>
      <c r="BV129" s="714"/>
      <c r="BW129" s="714"/>
      <c r="BX129" s="714"/>
      <c r="BY129" s="714"/>
      <c r="BZ129" s="714"/>
      <c r="CA129" s="714"/>
      <c r="CB129" s="714"/>
      <c r="CC129" s="714"/>
      <c r="CD129" s="714"/>
      <c r="CE129" s="714"/>
      <c r="CF129" s="714"/>
      <c r="CG129" s="714"/>
      <c r="CH129" s="714"/>
      <c r="CI129" s="714"/>
      <c r="CJ129" s="714"/>
      <c r="CK129" s="714"/>
      <c r="CL129" s="714"/>
      <c r="CM129" s="714"/>
      <c r="CN129" s="714"/>
      <c r="CO129" s="714"/>
      <c r="CP129" s="714"/>
      <c r="CQ129" s="714"/>
      <c r="CR129" s="714"/>
      <c r="CS129" s="714"/>
      <c r="CT129" s="714"/>
      <c r="CU129" s="714"/>
      <c r="CV129" s="714"/>
      <c r="CW129" s="714"/>
      <c r="CX129" s="714"/>
    </row>
    <row r="130" spans="1:102" s="693" customFormat="1">
      <c r="A130" s="826" t="s">
        <v>170</v>
      </c>
      <c r="B130" s="827">
        <v>9730</v>
      </c>
      <c r="C130" s="827">
        <v>13352</v>
      </c>
      <c r="D130" s="827">
        <v>12463</v>
      </c>
      <c r="E130" s="827">
        <v>12132</v>
      </c>
      <c r="F130" s="827">
        <v>12585</v>
      </c>
      <c r="G130" s="827">
        <f>G115+G119+G129</f>
        <v>12030</v>
      </c>
      <c r="H130" s="827">
        <f t="shared" ref="H130:Q130" si="244">H115+H119</f>
        <v>11314</v>
      </c>
      <c r="I130" s="827">
        <f t="shared" si="244"/>
        <v>11390</v>
      </c>
      <c r="J130" s="827">
        <f t="shared" si="244"/>
        <v>12203.312826686813</v>
      </c>
      <c r="K130" s="827">
        <f t="shared" si="244"/>
        <v>12708.994341792843</v>
      </c>
      <c r="L130" s="827">
        <f t="shared" si="244"/>
        <v>13882.574377645058</v>
      </c>
      <c r="M130" s="827">
        <f t="shared" si="244"/>
        <v>14944.705933604846</v>
      </c>
      <c r="N130" s="827">
        <f t="shared" si="244"/>
        <v>16005.822983656743</v>
      </c>
      <c r="O130" s="827">
        <f t="shared" si="244"/>
        <v>16004.086749939783</v>
      </c>
      <c r="P130" s="827">
        <f t="shared" si="244"/>
        <v>16626.774014548679</v>
      </c>
      <c r="Q130" s="827">
        <f t="shared" si="244"/>
        <v>16909.751262460322</v>
      </c>
      <c r="R130" s="681">
        <f>(N130/J130)^(1/($N$1-$J$1))-1</f>
        <v>7.0163332065970918E-2</v>
      </c>
      <c r="S130" s="828">
        <v>3256</v>
      </c>
      <c r="T130" s="828">
        <v>3171</v>
      </c>
      <c r="U130" s="828">
        <v>2912</v>
      </c>
      <c r="V130" s="828">
        <v>2836</v>
      </c>
      <c r="W130" s="829">
        <f>W115+W119</f>
        <v>3333</v>
      </c>
      <c r="X130" s="828">
        <f>X115+X119</f>
        <v>3335</v>
      </c>
      <c r="Y130" s="828">
        <f>Y115+Y119</f>
        <v>3128</v>
      </c>
      <c r="Z130" s="828">
        <f>Z115+Z119+Z129</f>
        <v>2863</v>
      </c>
      <c r="AA130" s="829">
        <f>AA115+AA119</f>
        <v>3199</v>
      </c>
      <c r="AB130" s="828">
        <f>AB115+AB119</f>
        <v>3074</v>
      </c>
      <c r="AC130" s="828">
        <f>AC115+AC119</f>
        <v>3061</v>
      </c>
      <c r="AD130" s="828">
        <f>AD115+AD119+AD129</f>
        <v>2696</v>
      </c>
      <c r="AE130" s="829">
        <f>AE115+AE119</f>
        <v>2788</v>
      </c>
      <c r="AF130" s="828">
        <f>AF115+AF119</f>
        <v>2930</v>
      </c>
      <c r="AG130" s="827">
        <f>AG115+AG119</f>
        <v>2938</v>
      </c>
      <c r="AH130" s="830">
        <f>AH115+AH119</f>
        <v>2658</v>
      </c>
      <c r="AI130" s="829">
        <f t="shared" ref="AI130:AP130" si="245">AI115+AI119+AI129</f>
        <v>2691.0000000000027</v>
      </c>
      <c r="AJ130" s="828">
        <f t="shared" si="245"/>
        <v>2865.9999999999991</v>
      </c>
      <c r="AK130" s="828">
        <f t="shared" si="245"/>
        <v>3017.0502326646747</v>
      </c>
      <c r="AL130" s="830">
        <f t="shared" si="245"/>
        <v>2815.9497673353235</v>
      </c>
      <c r="AM130" s="829">
        <f t="shared" si="245"/>
        <v>2979</v>
      </c>
      <c r="AN130" s="828">
        <f t="shared" si="245"/>
        <v>3020.1048668438289</v>
      </c>
      <c r="AO130" s="828">
        <f t="shared" si="245"/>
        <v>3068.0985762120085</v>
      </c>
      <c r="AP130" s="830">
        <f t="shared" si="245"/>
        <v>3136.1093836309728</v>
      </c>
      <c r="AQ130" s="1392"/>
      <c r="AR130" s="831"/>
      <c r="AS130" s="831"/>
      <c r="AT130" s="831"/>
      <c r="AU130" s="831"/>
      <c r="AV130" s="831"/>
      <c r="AW130" s="831"/>
      <c r="AX130" s="831"/>
      <c r="AY130" s="831"/>
      <c r="AZ130" s="831"/>
      <c r="BA130" s="831"/>
      <c r="BB130"/>
      <c r="BC130"/>
      <c r="BD130"/>
      <c r="BE130"/>
      <c r="BF130"/>
      <c r="BG130"/>
      <c r="BL130" s="832"/>
      <c r="BM130" s="832"/>
      <c r="BN130" s="832"/>
      <c r="BO130" s="832"/>
      <c r="BP130" s="832"/>
      <c r="BQ130" s="832"/>
      <c r="BR130" s="833"/>
      <c r="BS130" s="833"/>
      <c r="BT130" s="832"/>
      <c r="BU130" s="832"/>
      <c r="BV130" s="832"/>
      <c r="BW130" s="832"/>
      <c r="BX130" s="832"/>
      <c r="BY130" s="832"/>
      <c r="BZ130" s="832"/>
      <c r="CA130" s="832"/>
      <c r="CB130" s="832"/>
      <c r="CC130" s="832"/>
      <c r="CD130" s="832"/>
      <c r="CE130" s="832"/>
      <c r="CF130" s="832"/>
      <c r="CG130" s="832"/>
      <c r="CH130" s="832"/>
      <c r="CI130" s="832"/>
      <c r="CJ130" s="832"/>
      <c r="CK130" s="832"/>
      <c r="CL130" s="832"/>
      <c r="CM130" s="832"/>
      <c r="CN130" s="832"/>
      <c r="CO130" s="832"/>
      <c r="CP130" s="832"/>
      <c r="CQ130" s="832"/>
      <c r="CR130" s="832"/>
      <c r="CS130" s="832"/>
      <c r="CT130" s="832"/>
      <c r="CU130" s="832"/>
      <c r="CV130" s="832"/>
      <c r="CW130" s="832"/>
      <c r="CX130" s="832"/>
    </row>
    <row r="131" spans="1:102" s="838" customFormat="1">
      <c r="A131" s="685" t="s">
        <v>586</v>
      </c>
      <c r="B131" s="834"/>
      <c r="C131" s="834">
        <v>0.37225077081192182</v>
      </c>
      <c r="D131" s="834">
        <v>-6.6581785500299584E-2</v>
      </c>
      <c r="E131" s="834">
        <v>-2.6558613495948014E-2</v>
      </c>
      <c r="F131" s="834">
        <v>3.7339268051434171E-2</v>
      </c>
      <c r="G131" s="834">
        <f t="shared" ref="G131:Q131" si="246">G130/F130-1</f>
        <v>-4.4100119189511289E-2</v>
      </c>
      <c r="H131" s="1344">
        <f t="shared" si="246"/>
        <v>-5.9517871986699888E-2</v>
      </c>
      <c r="I131" s="1344">
        <f t="shared" si="246"/>
        <v>6.7173413470036358E-3</v>
      </c>
      <c r="J131" s="1344">
        <f t="shared" si="246"/>
        <v>7.1405867136682399E-2</v>
      </c>
      <c r="K131" s="1344">
        <f t="shared" si="246"/>
        <v>4.1438052296764782E-2</v>
      </c>
      <c r="L131" s="1344">
        <f t="shared" si="246"/>
        <v>9.2342478428286023E-2</v>
      </c>
      <c r="M131" s="1344">
        <f t="shared" si="246"/>
        <v>7.650825611063361E-2</v>
      </c>
      <c r="N131" s="1344">
        <f t="shared" si="246"/>
        <v>7.1002872506568115E-2</v>
      </c>
      <c r="O131" s="1344">
        <f t="shared" si="246"/>
        <v>-1.0847512925338254E-4</v>
      </c>
      <c r="P131" s="1344">
        <f t="shared" si="246"/>
        <v>3.8908016079782781E-2</v>
      </c>
      <c r="Q131" s="1344">
        <f t="shared" si="246"/>
        <v>1.701937174728152E-2</v>
      </c>
      <c r="R131" s="1345"/>
      <c r="S131" s="1346"/>
      <c r="T131" s="1346"/>
      <c r="U131" s="1346"/>
      <c r="V131" s="1346"/>
      <c r="W131" s="1347"/>
      <c r="X131" s="1346"/>
      <c r="Y131" s="1346"/>
      <c r="Z131" s="1346"/>
      <c r="AA131" s="1347">
        <f t="shared" ref="AA131:AH131" si="247">AA130/W130-1</f>
        <v>-4.0204020402040186E-2</v>
      </c>
      <c r="AB131" s="1346">
        <f t="shared" si="247"/>
        <v>-7.8260869565217384E-2</v>
      </c>
      <c r="AC131" s="1346">
        <f t="shared" si="247"/>
        <v>-2.1419437340153502E-2</v>
      </c>
      <c r="AD131" s="1346">
        <f t="shared" si="247"/>
        <v>-5.8330422633601109E-2</v>
      </c>
      <c r="AE131" s="1347">
        <f t="shared" si="247"/>
        <v>-0.1284776492653954</v>
      </c>
      <c r="AF131" s="1346">
        <f t="shared" si="247"/>
        <v>-4.6844502277163302E-2</v>
      </c>
      <c r="AG131" s="1346">
        <f t="shared" si="247"/>
        <v>-4.0182946749428239E-2</v>
      </c>
      <c r="AH131" s="1348">
        <f t="shared" si="247"/>
        <v>-1.4094955489614258E-2</v>
      </c>
      <c r="AI131" s="1347">
        <f t="shared" ref="AI131:AP131" si="248">AI130/AE130-1</f>
        <v>-3.479196556671349E-2</v>
      </c>
      <c r="AJ131" s="1346">
        <f t="shared" si="248"/>
        <v>-2.184300341296963E-2</v>
      </c>
      <c r="AK131" s="1346">
        <f t="shared" si="248"/>
        <v>2.6906137734742819E-2</v>
      </c>
      <c r="AL131" s="1348">
        <f t="shared" si="248"/>
        <v>5.9424291698767284E-2</v>
      </c>
      <c r="AM131" s="1347">
        <f t="shared" si="248"/>
        <v>0.10702341137123628</v>
      </c>
      <c r="AN131" s="1346">
        <f t="shared" si="248"/>
        <v>5.3770016344671934E-2</v>
      </c>
      <c r="AO131" s="1346">
        <f t="shared" si="248"/>
        <v>1.6919951479312134E-2</v>
      </c>
      <c r="AP131" s="1348">
        <f t="shared" si="248"/>
        <v>0.11369507368684695</v>
      </c>
      <c r="AQ131" s="1390"/>
      <c r="AR131" s="835"/>
      <c r="AS131" s="835"/>
      <c r="AT131" s="835"/>
      <c r="AU131" s="835"/>
      <c r="AV131" s="835"/>
      <c r="AW131" s="835"/>
      <c r="AX131" s="835"/>
      <c r="AY131" s="835"/>
      <c r="AZ131" s="835"/>
      <c r="BA131" s="835"/>
      <c r="BB131"/>
      <c r="BC131"/>
      <c r="BD131"/>
      <c r="BE131"/>
      <c r="BF131"/>
      <c r="BG131"/>
      <c r="BH131" s="741"/>
      <c r="BI131" s="741"/>
      <c r="BJ131" s="741"/>
      <c r="BK131" s="741"/>
      <c r="BL131" s="836"/>
      <c r="BM131" s="836"/>
      <c r="BN131" s="836"/>
      <c r="BO131" s="836"/>
      <c r="BP131" s="836"/>
      <c r="BQ131" s="836"/>
      <c r="BR131" s="836"/>
      <c r="BS131" s="836"/>
      <c r="BT131" s="837"/>
      <c r="BU131" s="837"/>
      <c r="BV131" s="837"/>
      <c r="BW131" s="837"/>
      <c r="BX131" s="837"/>
      <c r="BY131" s="837"/>
      <c r="BZ131" s="837"/>
      <c r="CA131" s="837"/>
      <c r="CB131" s="837"/>
      <c r="CC131" s="837"/>
      <c r="CD131" s="837"/>
      <c r="CE131" s="837"/>
      <c r="CF131" s="837"/>
      <c r="CG131" s="837"/>
      <c r="CH131" s="837"/>
      <c r="CI131" s="837"/>
      <c r="CJ131" s="837"/>
      <c r="CK131" s="837"/>
      <c r="CL131" s="837"/>
      <c r="CM131" s="837"/>
      <c r="CN131" s="837"/>
      <c r="CO131" s="837"/>
      <c r="CP131" s="837"/>
      <c r="CQ131" s="837"/>
      <c r="CR131" s="837"/>
      <c r="CS131" s="837"/>
      <c r="CT131" s="837"/>
      <c r="CU131" s="837"/>
      <c r="CV131" s="837"/>
      <c r="CW131" s="837"/>
      <c r="CX131" s="837"/>
    </row>
    <row r="132" spans="1:102" s="799" customFormat="1" hidden="1" outlineLevel="1">
      <c r="A132" s="839" t="s">
        <v>171</v>
      </c>
      <c r="B132" s="840"/>
      <c r="C132" s="840"/>
      <c r="D132" s="840"/>
      <c r="E132" s="840"/>
      <c r="F132" s="840"/>
      <c r="G132" s="840"/>
      <c r="H132" s="840"/>
      <c r="I132" s="834">
        <v>0.02</v>
      </c>
      <c r="J132" s="840"/>
      <c r="K132" s="840"/>
      <c r="L132" s="840"/>
      <c r="M132" s="840"/>
      <c r="N132" s="840"/>
      <c r="O132" s="840"/>
      <c r="P132" s="840"/>
      <c r="Q132" s="840"/>
      <c r="R132" s="841"/>
      <c r="S132" s="842"/>
      <c r="T132" s="842"/>
      <c r="U132" s="843"/>
      <c r="V132" s="843"/>
      <c r="W132" s="844"/>
      <c r="X132" s="842"/>
      <c r="Y132" s="842"/>
      <c r="Z132" s="842"/>
      <c r="AA132" s="844">
        <v>0.08</v>
      </c>
      <c r="AB132" s="843">
        <v>0.05</v>
      </c>
      <c r="AC132" s="843">
        <v>0.13</v>
      </c>
      <c r="AD132" s="842"/>
      <c r="AE132" s="845">
        <v>-0.06</v>
      </c>
      <c r="AF132" s="842">
        <v>-0.02</v>
      </c>
      <c r="AG132" s="842">
        <v>-0.02</v>
      </c>
      <c r="AH132" s="846"/>
      <c r="AI132" s="845"/>
      <c r="AJ132" s="847">
        <v>0.01</v>
      </c>
      <c r="AK132" s="847">
        <v>0.04</v>
      </c>
      <c r="AL132" s="846"/>
      <c r="AM132" s="842"/>
      <c r="AN132" s="842"/>
      <c r="AO132" s="842"/>
      <c r="AP132" s="842"/>
      <c r="AQ132" s="1391"/>
      <c r="AR132" s="848"/>
      <c r="AS132" s="848"/>
      <c r="AT132" s="848"/>
      <c r="AU132" s="848"/>
      <c r="AV132" s="848"/>
      <c r="AW132" s="848"/>
      <c r="AX132" s="848"/>
      <c r="AY132" s="848"/>
      <c r="AZ132" s="848"/>
      <c r="BA132" s="848"/>
      <c r="BB132"/>
      <c r="BC132"/>
      <c r="BD132"/>
      <c r="BE132"/>
      <c r="BF132"/>
      <c r="BG132"/>
      <c r="BH132" s="849"/>
      <c r="BI132" s="849"/>
      <c r="BJ132" s="849"/>
      <c r="BK132" s="849"/>
      <c r="BL132" s="850"/>
      <c r="BM132" s="850"/>
      <c r="BN132" s="850"/>
      <c r="BO132" s="850"/>
      <c r="BP132" s="850"/>
      <c r="BQ132" s="850"/>
      <c r="BR132" s="850"/>
      <c r="BS132" s="850"/>
      <c r="BT132" s="851"/>
      <c r="BU132" s="851"/>
      <c r="BV132" s="851"/>
      <c r="BW132" s="851"/>
      <c r="BX132" s="851"/>
      <c r="BY132" s="851"/>
      <c r="BZ132" s="851"/>
      <c r="CA132" s="851"/>
      <c r="CB132" s="851"/>
      <c r="CC132" s="851"/>
      <c r="CD132" s="852"/>
      <c r="CE132" s="852"/>
      <c r="CF132" s="852"/>
      <c r="CG132" s="852"/>
      <c r="CH132" s="852"/>
      <c r="CI132" s="852"/>
      <c r="CJ132" s="851"/>
      <c r="CK132" s="851"/>
      <c r="CL132" s="851"/>
      <c r="CM132" s="851"/>
      <c r="CN132" s="851"/>
      <c r="CO132" s="851"/>
      <c r="CP132" s="851"/>
      <c r="CQ132" s="852"/>
      <c r="CR132" s="852"/>
      <c r="CS132" s="852"/>
      <c r="CT132" s="851"/>
      <c r="CU132" s="852"/>
      <c r="CV132" s="852"/>
      <c r="CW132" s="852"/>
      <c r="CX132" s="851"/>
    </row>
    <row r="133" spans="1:102" s="693" customFormat="1" ht="12.75" customHeight="1" collapsed="1">
      <c r="A133" s="853" t="s">
        <v>177</v>
      </c>
      <c r="B133" s="854">
        <v>5.1095944349652189</v>
      </c>
      <c r="C133" s="854">
        <v>5.604197271773347</v>
      </c>
      <c r="D133" s="854">
        <v>5.1542597187758474</v>
      </c>
      <c r="E133" s="854">
        <v>4.9700942236788199</v>
      </c>
      <c r="F133" s="854">
        <v>5.1875515251442703</v>
      </c>
      <c r="G133" s="854">
        <f t="shared" ref="G133:Q133" si="249">G130/G140</f>
        <v>5.0062421972534334</v>
      </c>
      <c r="H133" s="854">
        <f>H130/H140</f>
        <v>4.7577796467619846</v>
      </c>
      <c r="I133" s="854">
        <f t="shared" si="249"/>
        <v>4.8550724637681162</v>
      </c>
      <c r="J133" s="854">
        <f t="shared" si="249"/>
        <v>5.2743484821722744</v>
      </c>
      <c r="K133" s="854">
        <f t="shared" si="249"/>
        <v>5.5130727170636566</v>
      </c>
      <c r="L133" s="854">
        <f t="shared" si="249"/>
        <v>6.0465151147020091</v>
      </c>
      <c r="M133" s="854">
        <f t="shared" si="249"/>
        <v>6.5371941685457085</v>
      </c>
      <c r="N133" s="854">
        <f t="shared" si="249"/>
        <v>7.0329210945349114</v>
      </c>
      <c r="O133" s="854">
        <f t="shared" si="249"/>
        <v>7.0648862970385391</v>
      </c>
      <c r="P133" s="854">
        <f t="shared" si="249"/>
        <v>7.3747312757944625</v>
      </c>
      <c r="Q133" s="854">
        <f t="shared" si="249"/>
        <v>7.5366078418829581</v>
      </c>
      <c r="R133" s="855">
        <f>(N133/J133)^(1/($N$1-$J$1))-1</f>
        <v>7.4587368003210752E-2</v>
      </c>
      <c r="S133" s="856">
        <v>1.3338795575583777</v>
      </c>
      <c r="T133" s="856">
        <v>1.2932300163132138</v>
      </c>
      <c r="U133" s="856">
        <v>1.1924651924651926</v>
      </c>
      <c r="V133" s="856">
        <v>1.1661184210526316</v>
      </c>
      <c r="W133" s="857">
        <f t="shared" ref="W133:AL133" si="250">W130/W140</f>
        <v>1.3659836065573769</v>
      </c>
      <c r="X133" s="856">
        <f t="shared" si="250"/>
        <v>1.3690476190476191</v>
      </c>
      <c r="Y133" s="856">
        <f t="shared" si="250"/>
        <v>1.2914946325350949</v>
      </c>
      <c r="Z133" s="856">
        <f t="shared" si="250"/>
        <v>1.1889534883720929</v>
      </c>
      <c r="AA133" s="857">
        <f t="shared" si="250"/>
        <v>1.3279369032793691</v>
      </c>
      <c r="AB133" s="856">
        <f t="shared" si="250"/>
        <v>1.2712985938792389</v>
      </c>
      <c r="AC133" s="856">
        <f t="shared" si="250"/>
        <v>1.2727650727650728</v>
      </c>
      <c r="AD133" s="856">
        <f t="shared" si="250"/>
        <v>1.1149710504549215</v>
      </c>
      <c r="AE133" s="857">
        <f t="shared" si="250"/>
        <v>1.1719209751996638</v>
      </c>
      <c r="AF133" s="856">
        <f>AF130/AF140</f>
        <v>1.2305753884922301</v>
      </c>
      <c r="AG133" s="854">
        <f t="shared" si="250"/>
        <v>1.2349726775956285</v>
      </c>
      <c r="AH133" s="858">
        <f t="shared" si="250"/>
        <v>1.1191578947368421</v>
      </c>
      <c r="AI133" s="857">
        <f t="shared" si="250"/>
        <v>1.1344856661045544</v>
      </c>
      <c r="AJ133" s="856">
        <f t="shared" si="250"/>
        <v>1.2175021240441797</v>
      </c>
      <c r="AK133" s="856">
        <f t="shared" si="250"/>
        <v>1.2920986007129227</v>
      </c>
      <c r="AL133" s="858">
        <f t="shared" si="250"/>
        <v>1.2127259979910954</v>
      </c>
      <c r="AM133" s="857">
        <f>AM130/AM140</f>
        <v>1.2807394668959586</v>
      </c>
      <c r="AN133" s="856">
        <f t="shared" ref="AN133:AP133" si="251">AN130/AN140</f>
        <v>1.3053083000219685</v>
      </c>
      <c r="AO133" s="856">
        <f t="shared" si="251"/>
        <v>1.3260514827752867</v>
      </c>
      <c r="AP133" s="858">
        <f t="shared" si="251"/>
        <v>1.3626845094033131</v>
      </c>
      <c r="AQ133" s="1392"/>
      <c r="AR133" s="794"/>
      <c r="AS133" s="794"/>
      <c r="AT133" s="794"/>
      <c r="AU133" s="794"/>
      <c r="AV133" s="794"/>
      <c r="AW133" s="794"/>
      <c r="AX133" s="794"/>
      <c r="AY133" s="794"/>
      <c r="AZ133" s="794"/>
      <c r="BA133" s="794"/>
      <c r="BB133"/>
      <c r="BC133"/>
      <c r="BD133"/>
      <c r="BE133"/>
      <c r="BF133"/>
      <c r="BG133"/>
      <c r="BL133" s="859"/>
      <c r="BM133" s="859"/>
      <c r="BN133" s="859"/>
      <c r="BO133" s="859"/>
      <c r="BP133" s="859"/>
      <c r="BQ133" s="859"/>
      <c r="BR133" s="860"/>
      <c r="BS133" s="860"/>
      <c r="BT133" s="860"/>
      <c r="BU133" s="860"/>
      <c r="BV133" s="860"/>
      <c r="BW133" s="860"/>
      <c r="BX133" s="860"/>
      <c r="BY133" s="860"/>
      <c r="BZ133" s="860"/>
      <c r="CA133" s="860"/>
      <c r="CB133" s="860"/>
      <c r="CC133" s="860"/>
      <c r="CD133" s="860"/>
      <c r="CE133" s="860"/>
      <c r="CF133" s="860"/>
      <c r="CG133" s="860"/>
      <c r="CH133" s="860"/>
      <c r="CI133" s="860"/>
      <c r="CJ133" s="860"/>
      <c r="CK133" s="860"/>
      <c r="CL133" s="860"/>
      <c r="CM133" s="860"/>
      <c r="CN133" s="860"/>
      <c r="CO133" s="860"/>
      <c r="CP133" s="860"/>
      <c r="CQ133" s="860"/>
      <c r="CR133" s="860"/>
      <c r="CS133" s="860"/>
      <c r="CT133" s="860"/>
      <c r="CU133" s="860"/>
      <c r="CV133" s="860"/>
      <c r="CW133" s="860"/>
      <c r="CX133" s="860"/>
    </row>
    <row r="134" spans="1:102" s="693" customFormat="1" ht="12.75" customHeight="1">
      <c r="A134" s="685" t="s">
        <v>586</v>
      </c>
      <c r="B134" s="1344">
        <v>0.23069220171834703</v>
      </c>
      <c r="C134" s="1344">
        <v>9.0309396503369443E-2</v>
      </c>
      <c r="D134" s="1344">
        <v>-7.481173962303489E-2</v>
      </c>
      <c r="E134" s="1344">
        <v>-3.5730736351168413E-2</v>
      </c>
      <c r="F134" s="1344">
        <v>4.3753154704678998E-2</v>
      </c>
      <c r="G134" s="1344">
        <f t="shared" ref="G134:Q134" si="252">G133/F133-1</f>
        <v>-3.4950848586664307E-2</v>
      </c>
      <c r="H134" s="1344">
        <f t="shared" si="252"/>
        <v>-4.9630549362506327E-2</v>
      </c>
      <c r="I134" s="1344">
        <f>I133/H133-1</f>
        <v>2.0449206190611635E-2</v>
      </c>
      <c r="J134" s="1344">
        <f t="shared" si="252"/>
        <v>8.6358344089214611E-2</v>
      </c>
      <c r="K134" s="1344">
        <f t="shared" si="252"/>
        <v>4.526136938017844E-2</v>
      </c>
      <c r="L134" s="1344">
        <f t="shared" si="252"/>
        <v>9.6759543183110974E-2</v>
      </c>
      <c r="M134" s="1344">
        <f t="shared" si="252"/>
        <v>8.1150719800670013E-2</v>
      </c>
      <c r="N134" s="1344">
        <f t="shared" si="252"/>
        <v>7.5831757969563984E-2</v>
      </c>
      <c r="O134" s="1344">
        <f t="shared" si="252"/>
        <v>4.5450819188725955E-3</v>
      </c>
      <c r="P134" s="1344">
        <f t="shared" si="252"/>
        <v>4.38570368621225E-2</v>
      </c>
      <c r="Q134" s="1344">
        <f t="shared" si="252"/>
        <v>2.1950164695466512E-2</v>
      </c>
      <c r="R134" s="1345"/>
      <c r="S134" s="1346"/>
      <c r="T134" s="1346"/>
      <c r="U134" s="1346"/>
      <c r="V134" s="1346"/>
      <c r="W134" s="1347"/>
      <c r="X134" s="1346"/>
      <c r="Y134" s="1346"/>
      <c r="Z134" s="1346"/>
      <c r="AA134" s="1347">
        <f t="shared" ref="AA134:AH134" si="253">AA133/W133-1</f>
        <v>-2.7852972096711448E-2</v>
      </c>
      <c r="AB134" s="1346">
        <f t="shared" si="253"/>
        <v>-7.1399287949077683E-2</v>
      </c>
      <c r="AC134" s="1346">
        <f t="shared" si="253"/>
        <v>-1.4502235857734469E-2</v>
      </c>
      <c r="AD134" s="1346">
        <f t="shared" si="253"/>
        <v>-6.2224837759185747E-2</v>
      </c>
      <c r="AE134" s="1347">
        <f t="shared" si="253"/>
        <v>-0.11748745568740548</v>
      </c>
      <c r="AF134" s="1346">
        <f>AF133/AB133-1</f>
        <v>-3.2032762077354393E-2</v>
      </c>
      <c r="AG134" s="1346">
        <f t="shared" si="253"/>
        <v>-2.9693142888766233E-2</v>
      </c>
      <c r="AH134" s="1348">
        <f t="shared" si="253"/>
        <v>3.7551147899421711E-3</v>
      </c>
      <c r="AI134" s="1347">
        <f t="shared" ref="AI134:AP134" si="254">AI133/AE133-1</f>
        <v>-3.1943543879937364E-2</v>
      </c>
      <c r="AJ134" s="1346">
        <f t="shared" si="254"/>
        <v>-1.0623700563415772E-2</v>
      </c>
      <c r="AK134" s="1346">
        <f t="shared" si="254"/>
        <v>4.625683155072946E-2</v>
      </c>
      <c r="AL134" s="1348">
        <f t="shared" si="254"/>
        <v>8.3605810846069106E-2</v>
      </c>
      <c r="AM134" s="1347">
        <f t="shared" si="254"/>
        <v>0.12891639371133801</v>
      </c>
      <c r="AN134" s="1346">
        <f t="shared" si="254"/>
        <v>7.2119936584687627E-2</v>
      </c>
      <c r="AO134" s="1346">
        <f t="shared" si="254"/>
        <v>2.6277315093159448E-2</v>
      </c>
      <c r="AP134" s="1348">
        <f t="shared" si="254"/>
        <v>0.12365407491933622</v>
      </c>
      <c r="AQ134" s="1390"/>
      <c r="AR134" s="813"/>
      <c r="AS134" s="813"/>
      <c r="AT134" s="813"/>
      <c r="AU134" s="813"/>
      <c r="AV134" s="813"/>
      <c r="AW134" s="813"/>
      <c r="AX134" s="813"/>
      <c r="AY134" s="813"/>
      <c r="AZ134" s="813"/>
      <c r="BA134" s="813"/>
      <c r="BB134"/>
      <c r="BC134"/>
      <c r="BD134"/>
      <c r="BE134"/>
      <c r="BF134"/>
      <c r="BG134"/>
      <c r="BH134" s="741"/>
      <c r="BI134" s="741"/>
      <c r="BJ134" s="741"/>
      <c r="BK134" s="741"/>
      <c r="BL134" s="736"/>
      <c r="BM134" s="736"/>
      <c r="BN134" s="736"/>
      <c r="BO134" s="736"/>
      <c r="BP134" s="736"/>
      <c r="BQ134" s="736"/>
      <c r="BR134" s="736"/>
      <c r="BS134" s="736"/>
      <c r="BT134" s="735"/>
      <c r="BU134" s="735"/>
      <c r="BV134" s="735"/>
      <c r="BW134" s="735"/>
      <c r="BX134" s="735"/>
      <c r="BY134" s="735"/>
      <c r="BZ134" s="735"/>
      <c r="CA134" s="735"/>
      <c r="CB134" s="735"/>
      <c r="CC134" s="735"/>
      <c r="CD134" s="735"/>
      <c r="CE134" s="735"/>
      <c r="CF134" s="735"/>
      <c r="CG134" s="735"/>
      <c r="CH134" s="735"/>
      <c r="CI134" s="735"/>
      <c r="CJ134" s="735"/>
      <c r="CK134" s="735"/>
      <c r="CL134" s="735"/>
      <c r="CM134" s="735"/>
      <c r="CN134" s="735"/>
      <c r="CO134" s="735"/>
      <c r="CP134" s="735"/>
      <c r="CQ134" s="735"/>
      <c r="CR134" s="735"/>
      <c r="CS134" s="735"/>
      <c r="CT134" s="735"/>
      <c r="CU134" s="735"/>
      <c r="CV134" s="735"/>
      <c r="CW134" s="735"/>
      <c r="CX134" s="735"/>
    </row>
    <row r="135" spans="1:102" s="693" customFormat="1">
      <c r="A135" s="685" t="s">
        <v>587</v>
      </c>
      <c r="B135" s="1344"/>
      <c r="C135" s="1344"/>
      <c r="D135" s="1344"/>
      <c r="E135" s="1344"/>
      <c r="F135" s="1344">
        <v>0.1</v>
      </c>
      <c r="G135" s="1344">
        <v>0.1</v>
      </c>
      <c r="H135" s="1344">
        <v>-0.02</v>
      </c>
      <c r="I135" s="1344">
        <v>0.03</v>
      </c>
      <c r="J135" s="1344">
        <f>J134-J136</f>
        <v>4.3108191879230456E-2</v>
      </c>
      <c r="K135" s="1344">
        <f t="shared" ref="K135:Q135" si="255">K134-K136</f>
        <v>4.526136938017844E-2</v>
      </c>
      <c r="L135" s="1344">
        <f t="shared" si="255"/>
        <v>9.6759543183110974E-2</v>
      </c>
      <c r="M135" s="1344">
        <f t="shared" si="255"/>
        <v>8.1150719800670013E-2</v>
      </c>
      <c r="N135" s="1344">
        <f t="shared" si="255"/>
        <v>7.5831757969563984E-2</v>
      </c>
      <c r="O135" s="1344">
        <f t="shared" si="255"/>
        <v>4.5450819188725955E-3</v>
      </c>
      <c r="P135" s="1344">
        <f t="shared" si="255"/>
        <v>4.38570368621225E-2</v>
      </c>
      <c r="Q135" s="1344">
        <f t="shared" si="255"/>
        <v>2.1950164695466512E-2</v>
      </c>
      <c r="R135" s="1345"/>
      <c r="S135" s="1346"/>
      <c r="T135" s="1346"/>
      <c r="U135" s="1346"/>
      <c r="V135" s="1346"/>
      <c r="W135" s="1347"/>
      <c r="X135" s="1346"/>
      <c r="Y135" s="1346"/>
      <c r="Z135" s="1346"/>
      <c r="AA135" s="1347">
        <v>0.11</v>
      </c>
      <c r="AB135" s="1346">
        <v>7.0000000000000007E-2</v>
      </c>
      <c r="AC135" s="1346">
        <v>0.14000000000000001</v>
      </c>
      <c r="AD135" s="1346">
        <v>0.04</v>
      </c>
      <c r="AE135" s="1347">
        <v>-0.05</v>
      </c>
      <c r="AF135" s="1346">
        <v>-0.01</v>
      </c>
      <c r="AG135" s="1346">
        <v>-0.03</v>
      </c>
      <c r="AH135" s="1348">
        <f>AH134-AH54</f>
        <v>2.8148310733677843E-2</v>
      </c>
      <c r="AI135" s="1347">
        <v>-0.01</v>
      </c>
      <c r="AJ135" s="1346">
        <v>0.02</v>
      </c>
      <c r="AK135" s="1346">
        <v>0.06</v>
      </c>
      <c r="AL135" s="1348">
        <v>0.06</v>
      </c>
      <c r="AM135" s="1347">
        <v>0.06</v>
      </c>
      <c r="AN135" s="1346">
        <f t="shared" ref="AN135:AP135" si="256">AN134-AN136</f>
        <v>1.8717669245705282E-2</v>
      </c>
      <c r="AO135" s="1346">
        <f t="shared" si="256"/>
        <v>1.6568912324289205E-3</v>
      </c>
      <c r="AP135" s="1348">
        <f t="shared" si="256"/>
        <v>9.8310708774128119E-2</v>
      </c>
      <c r="AQ135" s="1390"/>
      <c r="AR135" s="813"/>
      <c r="AS135" s="813"/>
      <c r="AT135" s="813"/>
      <c r="AU135" s="813"/>
      <c r="AV135" s="813"/>
      <c r="AW135" s="813"/>
      <c r="AX135" s="813"/>
      <c r="AY135" s="813"/>
      <c r="AZ135" s="813"/>
      <c r="BA135" s="813"/>
      <c r="BB135"/>
      <c r="BC135"/>
      <c r="BD135"/>
      <c r="BE135"/>
      <c r="BF135"/>
      <c r="BG135"/>
      <c r="BH135" s="741"/>
      <c r="BI135" s="741"/>
      <c r="BJ135" s="741"/>
      <c r="BK135" s="741"/>
      <c r="BL135" s="736"/>
      <c r="BM135" s="736"/>
      <c r="BN135" s="736"/>
      <c r="BO135" s="736"/>
      <c r="BP135" s="736"/>
      <c r="BQ135" s="736"/>
      <c r="BR135" s="736"/>
      <c r="BS135" s="736"/>
      <c r="BT135" s="735"/>
      <c r="BU135" s="735"/>
      <c r="BV135" s="735"/>
      <c r="BW135" s="735"/>
      <c r="BX135" s="735"/>
      <c r="BY135" s="735"/>
      <c r="BZ135" s="735"/>
      <c r="CA135" s="735"/>
      <c r="CB135" s="735"/>
      <c r="CC135" s="735"/>
      <c r="CD135" s="735"/>
      <c r="CE135" s="735"/>
      <c r="CF135" s="735"/>
      <c r="CG135" s="735"/>
      <c r="CH135" s="735"/>
      <c r="CI135" s="735"/>
      <c r="CJ135" s="735"/>
      <c r="CK135" s="735"/>
      <c r="CL135" s="735"/>
      <c r="CM135" s="735"/>
      <c r="CN135" s="735"/>
      <c r="CO135" s="735"/>
      <c r="CP135" s="735"/>
      <c r="CQ135" s="735"/>
      <c r="CR135" s="735"/>
      <c r="CS135" s="735"/>
      <c r="CT135" s="735"/>
      <c r="CU135" s="735"/>
      <c r="CV135" s="735"/>
      <c r="CW135" s="735"/>
      <c r="CX135" s="735"/>
    </row>
    <row r="136" spans="1:102" s="693" customFormat="1">
      <c r="A136" s="685" t="s">
        <v>1834</v>
      </c>
      <c r="B136" s="1344"/>
      <c r="C136" s="1344"/>
      <c r="D136" s="1344"/>
      <c r="E136" s="1344"/>
      <c r="F136" s="1344">
        <f>F134-F135</f>
        <v>-5.6246845295321007E-2</v>
      </c>
      <c r="G136" s="1344">
        <f>G134-G135</f>
        <v>-0.13495084858666431</v>
      </c>
      <c r="H136" s="1344">
        <f>H134-H135</f>
        <v>-2.9630549362506326E-2</v>
      </c>
      <c r="I136" s="1344">
        <f>I134-I135</f>
        <v>-9.5507938093883638E-3</v>
      </c>
      <c r="J136" s="1315">
        <f>J54</f>
        <v>4.3250152209984155E-2</v>
      </c>
      <c r="K136" s="1315">
        <f t="shared" ref="K136:Q136" si="257">K54</f>
        <v>0</v>
      </c>
      <c r="L136" s="1315">
        <f t="shared" si="257"/>
        <v>0</v>
      </c>
      <c r="M136" s="1315">
        <f t="shared" si="257"/>
        <v>0</v>
      </c>
      <c r="N136" s="1315">
        <f t="shared" si="257"/>
        <v>0</v>
      </c>
      <c r="O136" s="1315">
        <f t="shared" si="257"/>
        <v>0</v>
      </c>
      <c r="P136" s="1315">
        <f t="shared" si="257"/>
        <v>0</v>
      </c>
      <c r="Q136" s="1315">
        <f t="shared" si="257"/>
        <v>0</v>
      </c>
      <c r="R136" s="1345"/>
      <c r="S136" s="1346"/>
      <c r="T136" s="1346"/>
      <c r="U136" s="1346"/>
      <c r="V136" s="1346"/>
      <c r="W136" s="1347"/>
      <c r="X136" s="1346"/>
      <c r="Y136" s="1346"/>
      <c r="Z136" s="1346"/>
      <c r="AA136" s="1347"/>
      <c r="AB136" s="1346"/>
      <c r="AC136" s="1346"/>
      <c r="AD136" s="1346"/>
      <c r="AE136" s="1347"/>
      <c r="AF136" s="1346"/>
      <c r="AG136" s="1346"/>
      <c r="AH136" s="1348"/>
      <c r="AI136" s="1347">
        <f>AI134-AI135</f>
        <v>-2.1943543879937362E-2</v>
      </c>
      <c r="AJ136" s="1346">
        <f>AJ134-AJ135</f>
        <v>-3.0623700563415773E-2</v>
      </c>
      <c r="AK136" s="1346">
        <f>AK134-AK135</f>
        <v>-1.3743168449270537E-2</v>
      </c>
      <c r="AL136" s="1348">
        <f>AL134-AL135</f>
        <v>2.3605810846069109E-2</v>
      </c>
      <c r="AM136" s="1347">
        <f>AM134-AM135</f>
        <v>6.8916393711338009E-2</v>
      </c>
      <c r="AN136" s="1314">
        <f t="shared" ref="AN136:AP136" si="258">AN54</f>
        <v>5.3402267338982345E-2</v>
      </c>
      <c r="AO136" s="1314">
        <f t="shared" si="258"/>
        <v>2.4620423860730527E-2</v>
      </c>
      <c r="AP136" s="1349">
        <f t="shared" si="258"/>
        <v>2.5343366145208095E-2</v>
      </c>
      <c r="AQ136" s="1390"/>
      <c r="AR136" s="813"/>
      <c r="AS136" s="813"/>
      <c r="AT136" s="813"/>
      <c r="AU136" s="813"/>
      <c r="AV136" s="813"/>
      <c r="AW136" s="813"/>
      <c r="AX136" s="813"/>
      <c r="AY136" s="813"/>
      <c r="AZ136" s="813"/>
      <c r="BA136" s="813"/>
      <c r="BB136"/>
      <c r="BC136"/>
      <c r="BD136"/>
      <c r="BE136"/>
      <c r="BF136"/>
      <c r="BG136"/>
      <c r="BH136" s="741"/>
      <c r="BI136" s="741"/>
      <c r="BJ136" s="741"/>
      <c r="BK136" s="741"/>
      <c r="BL136" s="736"/>
      <c r="BM136" s="736"/>
      <c r="BN136" s="736"/>
      <c r="BO136" s="736"/>
      <c r="BP136" s="736"/>
      <c r="BQ136" s="736"/>
      <c r="BR136" s="736"/>
      <c r="BS136" s="736"/>
      <c r="BT136" s="735"/>
      <c r="BU136" s="735"/>
      <c r="BV136" s="735"/>
      <c r="BW136" s="735"/>
      <c r="BX136" s="735"/>
      <c r="BY136" s="735"/>
      <c r="BZ136" s="735"/>
      <c r="CA136" s="735"/>
      <c r="CB136" s="735"/>
      <c r="CC136" s="735"/>
      <c r="CD136" s="735"/>
      <c r="CE136" s="735"/>
      <c r="CF136" s="735"/>
      <c r="CG136" s="735"/>
      <c r="CH136" s="735"/>
      <c r="CI136" s="735"/>
      <c r="CJ136" s="735"/>
      <c r="CK136" s="735"/>
      <c r="CL136" s="735"/>
      <c r="CM136" s="735"/>
      <c r="CN136" s="735"/>
      <c r="CO136" s="735"/>
      <c r="CP136" s="735"/>
      <c r="CQ136" s="735"/>
      <c r="CR136" s="735"/>
      <c r="CS136" s="735"/>
      <c r="CT136" s="735"/>
      <c r="CU136" s="735"/>
      <c r="CV136" s="735"/>
      <c r="CW136" s="735"/>
      <c r="CX136" s="735"/>
    </row>
    <row r="137" spans="1:102" s="693" customFormat="1" hidden="1" outlineLevel="1">
      <c r="A137" s="815" t="s">
        <v>172</v>
      </c>
      <c r="B137" s="861"/>
      <c r="C137" s="861"/>
      <c r="D137" s="861"/>
      <c r="E137" s="816">
        <v>12369</v>
      </c>
      <c r="F137" s="816">
        <v>12688</v>
      </c>
      <c r="G137" s="816">
        <f t="shared" ref="G137:Q137" si="259">G116+G121+G129</f>
        <v>11753</v>
      </c>
      <c r="H137" s="816">
        <f t="shared" si="259"/>
        <v>10460</v>
      </c>
      <c r="I137" s="816">
        <f t="shared" si="259"/>
        <v>10364.000000000002</v>
      </c>
      <c r="J137" s="816">
        <f t="shared" si="259"/>
        <v>11111.074346889875</v>
      </c>
      <c r="K137" s="816">
        <f t="shared" si="259"/>
        <v>11606.516187584048</v>
      </c>
      <c r="L137" s="816">
        <f t="shared" si="259"/>
        <v>12755.326986032622</v>
      </c>
      <c r="M137" s="816">
        <f t="shared" si="259"/>
        <v>13780.762652938096</v>
      </c>
      <c r="N137" s="816">
        <f t="shared" si="259"/>
        <v>14829.097131604633</v>
      </c>
      <c r="O137" s="816">
        <f t="shared" si="259"/>
        <v>14863.976688695613</v>
      </c>
      <c r="P137" s="816">
        <f t="shared" si="259"/>
        <v>15489.107628304329</v>
      </c>
      <c r="Q137" s="816">
        <f t="shared" si="259"/>
        <v>15778.726320356891</v>
      </c>
      <c r="R137" s="737"/>
      <c r="S137" s="817">
        <v>3223</v>
      </c>
      <c r="T137" s="817">
        <v>3191</v>
      </c>
      <c r="U137" s="817">
        <v>3072</v>
      </c>
      <c r="V137" s="817">
        <v>2926</v>
      </c>
      <c r="W137" s="818">
        <f>W116+W121</f>
        <v>3211</v>
      </c>
      <c r="X137" s="817">
        <f>X116+X121</f>
        <v>3283</v>
      </c>
      <c r="Y137" s="817">
        <f>Y116+Y121</f>
        <v>3346</v>
      </c>
      <c r="Z137" s="817">
        <f t="shared" ref="Z137:AL137" si="260">Z116+Z121+Z129</f>
        <v>2922</v>
      </c>
      <c r="AA137" s="818">
        <f t="shared" si="260"/>
        <v>3116</v>
      </c>
      <c r="AB137" s="817">
        <f t="shared" si="260"/>
        <v>3015</v>
      </c>
      <c r="AC137" s="817">
        <f t="shared" si="260"/>
        <v>3121</v>
      </c>
      <c r="AD137" s="817">
        <f t="shared" si="260"/>
        <v>2501</v>
      </c>
      <c r="AE137" s="818">
        <f t="shared" si="260"/>
        <v>2788</v>
      </c>
      <c r="AF137" s="817">
        <f t="shared" si="260"/>
        <v>2930</v>
      </c>
      <c r="AG137" s="817">
        <f t="shared" si="260"/>
        <v>2723</v>
      </c>
      <c r="AH137" s="819">
        <f t="shared" si="260"/>
        <v>2438</v>
      </c>
      <c r="AI137" s="818">
        <f t="shared" si="260"/>
        <v>2691.0000000000027</v>
      </c>
      <c r="AJ137" s="817">
        <f t="shared" si="260"/>
        <v>2613.9999999999991</v>
      </c>
      <c r="AK137" s="817">
        <f t="shared" si="260"/>
        <v>2738.0502326646742</v>
      </c>
      <c r="AL137" s="819">
        <f t="shared" si="260"/>
        <v>2566.9497673353235</v>
      </c>
      <c r="AM137" s="818">
        <f t="shared" ref="AM137:AP137" si="261">AM116+AM121+AM129</f>
        <v>2893.1660000000002</v>
      </c>
      <c r="AN137" s="817">
        <f t="shared" si="261"/>
        <v>2750.4422435973802</v>
      </c>
      <c r="AO137" s="817">
        <f t="shared" si="261"/>
        <v>2773.5435410334062</v>
      </c>
      <c r="AP137" s="819">
        <f t="shared" si="261"/>
        <v>2693.9225622590811</v>
      </c>
      <c r="AQ137" s="1390"/>
      <c r="AR137" s="813"/>
      <c r="AS137" s="813"/>
      <c r="AT137" s="813"/>
      <c r="AU137" s="813"/>
      <c r="AV137" s="813"/>
      <c r="AW137" s="813"/>
      <c r="AX137" s="813"/>
      <c r="AY137" s="813"/>
      <c r="AZ137" s="813"/>
      <c r="BA137" s="813"/>
      <c r="BB137"/>
      <c r="BC137"/>
      <c r="BD137"/>
      <c r="BE137"/>
      <c r="BF137"/>
      <c r="BG137"/>
      <c r="BH137" s="741"/>
      <c r="BI137" s="741"/>
      <c r="BJ137" s="741"/>
      <c r="BK137" s="741"/>
      <c r="BL137" s="736"/>
      <c r="BM137" s="736"/>
      <c r="BN137" s="736"/>
      <c r="BO137" s="736"/>
      <c r="BP137" s="736"/>
      <c r="BQ137" s="736"/>
      <c r="BR137" s="736"/>
      <c r="BS137" s="736"/>
      <c r="BT137" s="735"/>
      <c r="BU137" s="735"/>
      <c r="BV137" s="735"/>
      <c r="BW137" s="735"/>
      <c r="BX137" s="735"/>
      <c r="BY137" s="735"/>
      <c r="BZ137" s="735"/>
      <c r="CA137" s="735"/>
      <c r="CB137" s="735"/>
      <c r="CC137" s="735"/>
      <c r="CD137" s="755"/>
      <c r="CE137" s="755"/>
      <c r="CF137" s="755"/>
      <c r="CG137" s="755"/>
      <c r="CH137" s="805"/>
      <c r="CI137" s="805"/>
      <c r="CJ137" s="805"/>
      <c r="CK137" s="805"/>
      <c r="CL137" s="805"/>
      <c r="CM137" s="805"/>
      <c r="CN137" s="735"/>
      <c r="CO137" s="735"/>
      <c r="CP137" s="735"/>
      <c r="CQ137" s="755"/>
      <c r="CR137" s="755"/>
      <c r="CS137" s="755"/>
      <c r="CT137" s="735"/>
      <c r="CU137" s="755"/>
      <c r="CV137" s="755"/>
      <c r="CW137" s="755"/>
      <c r="CX137" s="805"/>
    </row>
    <row r="138" spans="1:102" s="693" customFormat="1" hidden="1" outlineLevel="1">
      <c r="A138" s="863" t="s">
        <v>179</v>
      </c>
      <c r="B138" s="861"/>
      <c r="C138" s="861"/>
      <c r="D138" s="861"/>
      <c r="E138" s="862">
        <v>5.0848013109381398</v>
      </c>
      <c r="F138" s="862">
        <v>5.2300082440230833</v>
      </c>
      <c r="G138" s="862">
        <f>G137/G140</f>
        <v>4.8909696213066995</v>
      </c>
      <c r="H138" s="862">
        <f t="shared" ref="H138:Q138" si="262">H137/H140</f>
        <v>4.3986543313709001</v>
      </c>
      <c r="I138" s="862">
        <f t="shared" si="262"/>
        <v>4.4177323103154311</v>
      </c>
      <c r="J138" s="862">
        <f t="shared" si="262"/>
        <v>4.8022761482164462</v>
      </c>
      <c r="K138" s="862">
        <f t="shared" si="262"/>
        <v>5.0348254167922342</v>
      </c>
      <c r="L138" s="862">
        <f t="shared" si="262"/>
        <v>5.5555457738592473</v>
      </c>
      <c r="M138" s="862">
        <f t="shared" si="262"/>
        <v>6.0280557980286193</v>
      </c>
      <c r="N138" s="862">
        <f t="shared" si="262"/>
        <v>6.5158705138910955</v>
      </c>
      <c r="O138" s="862">
        <f t="shared" si="262"/>
        <v>6.5615931023281311</v>
      </c>
      <c r="P138" s="862">
        <f t="shared" si="262"/>
        <v>6.8701244366857512</v>
      </c>
      <c r="Q138" s="862">
        <f t="shared" si="262"/>
        <v>7.0325145932172939</v>
      </c>
      <c r="R138" s="737"/>
      <c r="S138" s="864">
        <v>1.3203605079885292</v>
      </c>
      <c r="T138" s="864">
        <v>1.3013866231647635</v>
      </c>
      <c r="U138" s="864">
        <v>1.257985257985258</v>
      </c>
      <c r="V138" s="864">
        <v>1.203125</v>
      </c>
      <c r="W138" s="865">
        <f t="shared" ref="W138:AD138" si="263">W137/W140</f>
        <v>1.3159836065573771</v>
      </c>
      <c r="X138" s="864">
        <f t="shared" si="263"/>
        <v>1.3477011494252873</v>
      </c>
      <c r="Y138" s="864">
        <f t="shared" si="263"/>
        <v>1.3815028901734103</v>
      </c>
      <c r="Z138" s="864">
        <f t="shared" si="263"/>
        <v>1.2134551495016612</v>
      </c>
      <c r="AA138" s="865">
        <f t="shared" si="263"/>
        <v>1.2934827729348277</v>
      </c>
      <c r="AB138" s="864">
        <f t="shared" si="263"/>
        <v>1.2468982630272953</v>
      </c>
      <c r="AC138" s="864">
        <f t="shared" si="263"/>
        <v>1.2977130977130977</v>
      </c>
      <c r="AD138" s="864">
        <f t="shared" si="263"/>
        <v>1.0343258891645988</v>
      </c>
      <c r="AE138" s="865">
        <f t="shared" ref="AE138:AL138" si="264">AE137/AE140</f>
        <v>1.1719209751996638</v>
      </c>
      <c r="AF138" s="864">
        <f t="shared" si="264"/>
        <v>1.2305753884922301</v>
      </c>
      <c r="AG138" s="864">
        <f t="shared" si="264"/>
        <v>1.144598570828079</v>
      </c>
      <c r="AH138" s="866">
        <f t="shared" si="264"/>
        <v>1.0265263157894737</v>
      </c>
      <c r="AI138" s="865">
        <f t="shared" si="264"/>
        <v>1.1344856661045544</v>
      </c>
      <c r="AJ138" s="864">
        <f t="shared" si="264"/>
        <v>1.1104502973661847</v>
      </c>
      <c r="AK138" s="864">
        <f t="shared" si="264"/>
        <v>1.172612519342473</v>
      </c>
      <c r="AL138" s="866">
        <f t="shared" si="264"/>
        <v>1.1054908558722323</v>
      </c>
      <c r="AM138" s="865">
        <f t="shared" ref="AM138:AP138" si="265">AM137/AM140</f>
        <v>1.2438374892519348</v>
      </c>
      <c r="AN138" s="864">
        <f t="shared" si="265"/>
        <v>1.1887584198526955</v>
      </c>
      <c r="AO138" s="864">
        <f t="shared" si="265"/>
        <v>1.1987429457595835</v>
      </c>
      <c r="AP138" s="866">
        <f t="shared" si="265"/>
        <v>1.1705479930908227</v>
      </c>
      <c r="AQ138" s="1389"/>
      <c r="AR138" s="794"/>
      <c r="AS138" s="794"/>
      <c r="AT138" s="794"/>
      <c r="AU138" s="794"/>
      <c r="AV138" s="794"/>
      <c r="AW138" s="794"/>
      <c r="AX138" s="794"/>
      <c r="AY138" s="794"/>
      <c r="AZ138" s="794"/>
      <c r="BA138" s="794"/>
      <c r="BB138"/>
      <c r="BC138"/>
      <c r="BD138"/>
      <c r="BE138"/>
      <c r="BF138"/>
      <c r="BG138"/>
      <c r="BL138" s="859"/>
      <c r="BM138" s="859"/>
      <c r="BN138" s="859"/>
      <c r="BO138" s="859"/>
      <c r="BP138" s="859"/>
      <c r="BQ138" s="859"/>
      <c r="BR138" s="859"/>
      <c r="BS138" s="859"/>
      <c r="BT138" s="735"/>
      <c r="BU138" s="735"/>
      <c r="BV138" s="735"/>
      <c r="BW138" s="735"/>
      <c r="BX138" s="735"/>
      <c r="BY138" s="735"/>
      <c r="BZ138" s="735"/>
      <c r="CA138" s="735"/>
      <c r="CB138" s="735"/>
      <c r="CC138" s="735"/>
      <c r="CD138" s="735"/>
      <c r="CE138" s="735"/>
      <c r="CF138" s="735"/>
      <c r="CG138" s="735"/>
      <c r="CH138" s="859"/>
      <c r="CI138" s="859"/>
      <c r="CJ138" s="859"/>
      <c r="CK138" s="859"/>
      <c r="CL138" s="859"/>
      <c r="CM138" s="859"/>
      <c r="CN138" s="735"/>
      <c r="CO138" s="735"/>
      <c r="CP138" s="735"/>
      <c r="CQ138" s="735"/>
      <c r="CR138" s="735"/>
      <c r="CS138" s="735"/>
      <c r="CT138" s="735"/>
      <c r="CU138" s="735"/>
      <c r="CV138" s="735"/>
      <c r="CW138" s="735"/>
      <c r="CX138" s="859"/>
    </row>
    <row r="139" spans="1:102" s="693" customFormat="1" hidden="1" outlineLevel="1">
      <c r="A139" s="867"/>
      <c r="B139" s="735"/>
      <c r="C139" s="735"/>
      <c r="D139" s="735"/>
      <c r="E139" s="859"/>
      <c r="F139" s="859"/>
      <c r="G139" s="859"/>
      <c r="H139" s="859"/>
      <c r="I139" s="859"/>
      <c r="J139" s="735"/>
      <c r="K139" s="735"/>
      <c r="L139" s="735"/>
      <c r="M139" s="735"/>
      <c r="N139" s="735"/>
      <c r="O139" s="735"/>
      <c r="P139" s="735"/>
      <c r="Q139" s="735"/>
      <c r="R139" s="737"/>
      <c r="S139" s="868"/>
      <c r="T139" s="868"/>
      <c r="U139" s="868"/>
      <c r="V139" s="868"/>
      <c r="W139" s="869"/>
      <c r="X139" s="868"/>
      <c r="Y139" s="868"/>
      <c r="Z139" s="868"/>
      <c r="AA139" s="869"/>
      <c r="AB139" s="868"/>
      <c r="AC139" s="868"/>
      <c r="AD139" s="868"/>
      <c r="AE139" s="869"/>
      <c r="AF139" s="868"/>
      <c r="AG139" s="868"/>
      <c r="AH139" s="870"/>
      <c r="AI139" s="869"/>
      <c r="AJ139" s="868"/>
      <c r="AK139" s="868"/>
      <c r="AL139" s="739"/>
      <c r="AM139" s="736"/>
      <c r="AN139" s="736"/>
      <c r="AO139" s="736"/>
      <c r="AP139" s="736"/>
      <c r="AQ139" s="1389"/>
      <c r="AR139" s="794"/>
      <c r="AS139" s="794"/>
      <c r="AT139" s="794"/>
      <c r="AU139" s="794"/>
      <c r="AV139" s="794"/>
      <c r="AW139" s="794"/>
      <c r="AX139" s="794"/>
      <c r="AY139" s="794"/>
      <c r="AZ139" s="794"/>
      <c r="BA139" s="794"/>
      <c r="BB139"/>
      <c r="BC139"/>
      <c r="BD139"/>
      <c r="BE139"/>
      <c r="BF139"/>
      <c r="BG139"/>
      <c r="BL139" s="859"/>
      <c r="BM139" s="859"/>
      <c r="BN139" s="859"/>
      <c r="BO139" s="859"/>
      <c r="BP139" s="859"/>
      <c r="BQ139" s="859"/>
      <c r="BR139" s="859"/>
      <c r="BS139" s="859"/>
      <c r="BT139" s="735"/>
      <c r="BU139" s="735"/>
      <c r="BV139" s="735"/>
      <c r="BW139" s="735"/>
      <c r="BX139" s="735"/>
      <c r="BY139" s="735"/>
      <c r="BZ139" s="735"/>
      <c r="CA139" s="735"/>
      <c r="CB139" s="735"/>
      <c r="CC139" s="735"/>
      <c r="CD139" s="735"/>
      <c r="CE139" s="735"/>
      <c r="CF139" s="735"/>
      <c r="CG139" s="735"/>
      <c r="CH139" s="859"/>
      <c r="CI139" s="859"/>
      <c r="CJ139" s="859"/>
      <c r="CK139" s="859"/>
      <c r="CL139" s="859"/>
      <c r="CM139" s="859"/>
      <c r="CN139" s="735"/>
      <c r="CO139" s="735"/>
      <c r="CP139" s="735"/>
      <c r="CQ139" s="735"/>
      <c r="CR139" s="735"/>
      <c r="CS139" s="735"/>
      <c r="CT139" s="735"/>
      <c r="CU139" s="735"/>
      <c r="CV139" s="735"/>
      <c r="CW139" s="735"/>
      <c r="CX139" s="859"/>
    </row>
    <row r="140" spans="1:102" s="693" customFormat="1" collapsed="1">
      <c r="A140" s="815" t="s">
        <v>175</v>
      </c>
      <c r="B140" s="727">
        <v>2285.6999999999998</v>
      </c>
      <c r="C140" s="727">
        <v>2382.5</v>
      </c>
      <c r="D140" s="727">
        <v>2418</v>
      </c>
      <c r="E140" s="727">
        <v>2441</v>
      </c>
      <c r="F140" s="727">
        <v>2426</v>
      </c>
      <c r="G140" s="727">
        <f>'BS CF Shares'!G157</f>
        <v>2403</v>
      </c>
      <c r="H140" s="727">
        <f>'BS CF Shares'!H157</f>
        <v>2378</v>
      </c>
      <c r="I140" s="727">
        <f>'BS CF Shares'!I157</f>
        <v>2346</v>
      </c>
      <c r="J140" s="727">
        <f>'BS CF Shares'!J157</f>
        <v>2313.71</v>
      </c>
      <c r="K140" s="727">
        <f>'BS CF Shares'!K157</f>
        <v>2305.2469999999998</v>
      </c>
      <c r="L140" s="727">
        <f>'BS CF Shares'!L157</f>
        <v>2295.9629</v>
      </c>
      <c r="M140" s="727">
        <f>'BS CF Shares'!M157</f>
        <v>2286.1040300000004</v>
      </c>
      <c r="N140" s="727">
        <f>'BS CF Shares'!N157</f>
        <v>2275.8428210000002</v>
      </c>
      <c r="O140" s="727">
        <f>'BS CF Shares'!O157</f>
        <v>2265.2999747000003</v>
      </c>
      <c r="P140" s="727">
        <f>'BS CF Shares'!P157</f>
        <v>2254.5599822900008</v>
      </c>
      <c r="Q140" s="727">
        <f>'BS CF Shares'!Q157</f>
        <v>2243.6819876030013</v>
      </c>
      <c r="R140" s="719"/>
      <c r="S140" s="729">
        <v>2441</v>
      </c>
      <c r="T140" s="729">
        <v>2452</v>
      </c>
      <c r="U140" s="729">
        <v>2442</v>
      </c>
      <c r="V140" s="729">
        <v>2432</v>
      </c>
      <c r="W140" s="728">
        <v>2440</v>
      </c>
      <c r="X140" s="729">
        <v>2436</v>
      </c>
      <c r="Y140" s="729">
        <v>2422</v>
      </c>
      <c r="Z140" s="729">
        <v>2408</v>
      </c>
      <c r="AA140" s="728">
        <v>2409</v>
      </c>
      <c r="AB140" s="729">
        <v>2418</v>
      </c>
      <c r="AC140" s="729">
        <v>2405</v>
      </c>
      <c r="AD140" s="817">
        <v>2418</v>
      </c>
      <c r="AE140" s="818">
        <v>2379</v>
      </c>
      <c r="AF140" s="729">
        <v>2381</v>
      </c>
      <c r="AG140" s="817">
        <v>2379</v>
      </c>
      <c r="AH140" s="819">
        <v>2375</v>
      </c>
      <c r="AI140" s="818">
        <v>2372</v>
      </c>
      <c r="AJ140" s="729">
        <v>2354</v>
      </c>
      <c r="AK140" s="729">
        <v>2335</v>
      </c>
      <c r="AL140" s="730">
        <v>2322</v>
      </c>
      <c r="AM140" s="729">
        <v>2326</v>
      </c>
      <c r="AN140" s="729">
        <f>J140</f>
        <v>2313.71</v>
      </c>
      <c r="AO140" s="729">
        <f>J140</f>
        <v>2313.71</v>
      </c>
      <c r="AP140" s="871">
        <f>J140*4-AM140-AN140-AO140</f>
        <v>2301.42</v>
      </c>
      <c r="AQ140" s="1392"/>
      <c r="AR140" s="781"/>
      <c r="AS140" s="781"/>
      <c r="AT140" s="781"/>
      <c r="AU140" s="781"/>
      <c r="AV140" s="781"/>
      <c r="AW140" s="781"/>
      <c r="AX140" s="781"/>
      <c r="AY140" s="781"/>
      <c r="AZ140" s="781"/>
      <c r="BA140" s="781"/>
      <c r="BB140"/>
      <c r="BC140"/>
      <c r="BD140"/>
      <c r="BE140"/>
      <c r="BF140"/>
      <c r="BG140"/>
      <c r="BH140" s="799"/>
      <c r="BI140" s="799"/>
      <c r="BJ140" s="799"/>
      <c r="BK140" s="799"/>
      <c r="BL140" s="720"/>
      <c r="BM140" s="720"/>
      <c r="BN140" s="720"/>
      <c r="BO140" s="720"/>
      <c r="BP140" s="720"/>
      <c r="BQ140" s="720"/>
      <c r="BR140" s="720"/>
      <c r="BS140" s="720"/>
      <c r="BT140" s="720"/>
      <c r="BU140" s="720"/>
      <c r="BV140" s="720"/>
      <c r="BW140" s="720"/>
      <c r="BX140" s="720"/>
      <c r="BY140" s="720"/>
      <c r="BZ140" s="720"/>
      <c r="CA140" s="720"/>
      <c r="CB140" s="720"/>
      <c r="CC140" s="720"/>
      <c r="CD140" s="720"/>
      <c r="CE140" s="720"/>
      <c r="CF140" s="720"/>
      <c r="CG140" s="720"/>
      <c r="CH140" s="720"/>
      <c r="CI140" s="720"/>
      <c r="CJ140" s="720"/>
      <c r="CK140" s="720"/>
      <c r="CL140" s="814"/>
      <c r="CM140" s="814"/>
      <c r="CN140" s="720"/>
      <c r="CO140" s="720"/>
      <c r="CP140" s="720"/>
      <c r="CQ140" s="720"/>
      <c r="CR140" s="720"/>
      <c r="CS140" s="720"/>
      <c r="CT140" s="720"/>
      <c r="CU140" s="720"/>
      <c r="CV140" s="720"/>
      <c r="CW140" s="720"/>
      <c r="CX140" s="720"/>
    </row>
    <row r="141" spans="1:102" s="693" customFormat="1">
      <c r="A141" s="815" t="s">
        <v>176</v>
      </c>
      <c r="B141" s="727">
        <v>2300.8000000000002</v>
      </c>
      <c r="C141" s="727">
        <v>2413.4</v>
      </c>
      <c r="D141" s="727">
        <v>2445</v>
      </c>
      <c r="E141" s="727">
        <v>2479</v>
      </c>
      <c r="F141" s="727">
        <v>2470</v>
      </c>
      <c r="G141" s="727">
        <f>'BS CF Shares'!G159</f>
        <v>2438</v>
      </c>
      <c r="H141" s="727">
        <f>'BS CF Shares'!H159</f>
        <v>2400</v>
      </c>
      <c r="I141" s="727">
        <f>'BS CF Shares'!I159</f>
        <v>2371</v>
      </c>
      <c r="J141" s="727">
        <f>'BS CF Shares'!J159</f>
        <v>2338.71</v>
      </c>
      <c r="K141" s="727">
        <f>'BS CF Shares'!K159</f>
        <v>2330.2469999999998</v>
      </c>
      <c r="L141" s="727">
        <f>'BS CF Shares'!L159</f>
        <v>2320.9629</v>
      </c>
      <c r="M141" s="727">
        <f>'BS CF Shares'!M159</f>
        <v>2311.1040300000004</v>
      </c>
      <c r="N141" s="727">
        <f>'BS CF Shares'!N159</f>
        <v>2300.8428210000002</v>
      </c>
      <c r="O141" s="727">
        <f>'BS CF Shares'!O159</f>
        <v>2290.2999747000003</v>
      </c>
      <c r="P141" s="727">
        <f>'BS CF Shares'!P159</f>
        <v>2279.5599822900008</v>
      </c>
      <c r="Q141" s="727">
        <f>'BS CF Shares'!Q159</f>
        <v>2268.6819876030013</v>
      </c>
      <c r="R141" s="719"/>
      <c r="S141" s="729">
        <v>2473</v>
      </c>
      <c r="T141" s="729">
        <v>2490</v>
      </c>
      <c r="U141" s="729">
        <v>2480</v>
      </c>
      <c r="V141" s="729">
        <v>2469</v>
      </c>
      <c r="W141" s="728">
        <v>2479</v>
      </c>
      <c r="X141" s="729">
        <v>2471</v>
      </c>
      <c r="Y141" s="729">
        <v>2460</v>
      </c>
      <c r="Z141" s="729">
        <v>2449</v>
      </c>
      <c r="AA141" s="728">
        <v>2446</v>
      </c>
      <c r="AB141" s="729">
        <v>2451</v>
      </c>
      <c r="AC141" s="729">
        <v>2438</v>
      </c>
      <c r="AD141" s="817">
        <f>G141*4-SUM(AA141:AC141)</f>
        <v>2417</v>
      </c>
      <c r="AE141" s="818">
        <v>2398</v>
      </c>
      <c r="AF141" s="729">
        <v>2401</v>
      </c>
      <c r="AG141" s="817">
        <v>2401</v>
      </c>
      <c r="AH141" s="819">
        <v>2395</v>
      </c>
      <c r="AI141" s="818">
        <v>2389</v>
      </c>
      <c r="AJ141" s="729">
        <v>2373</v>
      </c>
      <c r="AK141" s="729">
        <v>2359</v>
      </c>
      <c r="AL141" s="730">
        <v>2348</v>
      </c>
      <c r="AM141" s="729">
        <v>2347</v>
      </c>
      <c r="AN141" s="729">
        <f>J141</f>
        <v>2338.71</v>
      </c>
      <c r="AO141" s="729">
        <f>J141</f>
        <v>2338.71</v>
      </c>
      <c r="AP141" s="871">
        <f>J141*4-AM141-AN141-AO141</f>
        <v>2330.42</v>
      </c>
      <c r="AQ141" s="1392"/>
      <c r="AR141" s="781"/>
      <c r="AS141" s="781"/>
      <c r="AT141" s="781"/>
      <c r="AU141" s="781"/>
      <c r="AV141" s="781"/>
      <c r="AW141" s="781"/>
      <c r="AX141" s="781"/>
      <c r="AY141" s="781"/>
      <c r="AZ141" s="781"/>
      <c r="BA141" s="781"/>
      <c r="BB141"/>
      <c r="BC141"/>
      <c r="BD141"/>
      <c r="BE141"/>
      <c r="BF141"/>
      <c r="BG141"/>
      <c r="BH141" s="799"/>
      <c r="BI141" s="799"/>
      <c r="BJ141" s="799"/>
      <c r="BK141" s="799"/>
      <c r="BL141" s="720"/>
      <c r="BM141" s="720"/>
      <c r="BN141" s="720"/>
      <c r="BO141" s="720"/>
      <c r="BP141" s="720"/>
      <c r="BQ141" s="720"/>
      <c r="BR141" s="720"/>
      <c r="BS141" s="720"/>
      <c r="BT141" s="720"/>
      <c r="BU141" s="720"/>
      <c r="BV141" s="720"/>
      <c r="BW141" s="720"/>
      <c r="BX141" s="720"/>
      <c r="BY141" s="720"/>
      <c r="BZ141" s="720"/>
      <c r="CA141" s="720"/>
      <c r="CB141" s="720"/>
      <c r="CC141" s="720"/>
      <c r="CD141" s="720"/>
      <c r="CE141" s="720"/>
      <c r="CF141" s="720"/>
      <c r="CG141" s="720"/>
      <c r="CH141" s="720"/>
      <c r="CI141" s="720"/>
      <c r="CJ141" s="720"/>
      <c r="CK141" s="720"/>
      <c r="CL141" s="814"/>
      <c r="CM141" s="814"/>
      <c r="CN141" s="720"/>
      <c r="CO141" s="720"/>
      <c r="CP141" s="720"/>
      <c r="CQ141" s="720"/>
      <c r="CR141" s="720"/>
      <c r="CS141" s="720"/>
      <c r="CT141" s="720"/>
      <c r="CU141" s="720"/>
      <c r="CV141" s="720"/>
      <c r="CW141" s="720"/>
      <c r="CX141" s="720"/>
    </row>
    <row r="142" spans="1:102" s="693" customFormat="1" hidden="1" outlineLevel="1">
      <c r="A142" s="795" t="s">
        <v>173</v>
      </c>
      <c r="B142" s="814">
        <v>13831</v>
      </c>
      <c r="C142" s="814">
        <v>9107</v>
      </c>
      <c r="D142" s="814">
        <v>9270</v>
      </c>
      <c r="E142" s="814">
        <v>9146</v>
      </c>
      <c r="F142" s="872">
        <v>10657</v>
      </c>
      <c r="G142" s="872">
        <f>G81+G106+G114+G123</f>
        <v>7028</v>
      </c>
      <c r="H142" s="872">
        <f>H81+H106+H114+H123</f>
        <v>6698</v>
      </c>
      <c r="I142" s="872">
        <f t="shared" ref="I142:Q142" si="266">I117+I123</f>
        <v>7703</v>
      </c>
      <c r="J142" s="872">
        <f t="shared" si="266"/>
        <v>8858.2973142076135</v>
      </c>
      <c r="K142" s="872">
        <f t="shared" si="266"/>
        <v>9606.5902476103165</v>
      </c>
      <c r="L142" s="872">
        <f t="shared" si="266"/>
        <v>10011.357512853403</v>
      </c>
      <c r="M142" s="872">
        <f t="shared" si="266"/>
        <v>11208.052168227348</v>
      </c>
      <c r="N142" s="872">
        <f t="shared" si="266"/>
        <v>12354.705745363128</v>
      </c>
      <c r="O142" s="872">
        <f t="shared" si="266"/>
        <v>12581.030916222255</v>
      </c>
      <c r="P142" s="872">
        <f t="shared" si="266"/>
        <v>13193.987125457681</v>
      </c>
      <c r="Q142" s="872">
        <f t="shared" si="266"/>
        <v>12341.784544157048</v>
      </c>
      <c r="R142" s="809"/>
      <c r="S142" s="872">
        <v>2523</v>
      </c>
      <c r="T142" s="872">
        <v>2554</v>
      </c>
      <c r="U142" s="872">
        <v>2127</v>
      </c>
      <c r="V142" s="872">
        <v>1985</v>
      </c>
      <c r="W142" s="873">
        <f t="shared" ref="W142:AL142" si="267">W117+W123</f>
        <v>2454</v>
      </c>
      <c r="X142" s="872">
        <f t="shared" si="267"/>
        <v>2723</v>
      </c>
      <c r="Y142" s="872">
        <f t="shared" si="267"/>
        <v>3102</v>
      </c>
      <c r="Z142" s="872">
        <f t="shared" si="267"/>
        <v>2448</v>
      </c>
      <c r="AA142" s="873">
        <f t="shared" si="267"/>
        <v>2306</v>
      </c>
      <c r="AB142" s="872">
        <f t="shared" si="267"/>
        <v>1856</v>
      </c>
      <c r="AC142" s="872">
        <f t="shared" si="267"/>
        <v>1812</v>
      </c>
      <c r="AD142" s="872">
        <f t="shared" si="267"/>
        <v>1054</v>
      </c>
      <c r="AE142" s="873">
        <f t="shared" si="267"/>
        <v>2011</v>
      </c>
      <c r="AF142" s="872">
        <f t="shared" si="267"/>
        <v>1806</v>
      </c>
      <c r="AG142" s="872">
        <f t="shared" si="267"/>
        <v>1945</v>
      </c>
      <c r="AH142" s="874">
        <f t="shared" si="267"/>
        <v>936</v>
      </c>
      <c r="AI142" s="873">
        <f t="shared" si="267"/>
        <v>1665</v>
      </c>
      <c r="AJ142" s="872">
        <f t="shared" si="267"/>
        <v>1979</v>
      </c>
      <c r="AK142" s="872">
        <f t="shared" si="267"/>
        <v>2083.0502326646747</v>
      </c>
      <c r="AL142" s="874">
        <f t="shared" si="267"/>
        <v>1975.9497673353239</v>
      </c>
      <c r="AM142" s="873">
        <f t="shared" ref="AM142:AP142" si="268">AM117+AM123</f>
        <v>2028</v>
      </c>
      <c r="AN142" s="872">
        <f t="shared" si="268"/>
        <v>2096.1608146142762</v>
      </c>
      <c r="AO142" s="872">
        <f t="shared" si="268"/>
        <v>2160.9440195880211</v>
      </c>
      <c r="AP142" s="874">
        <f t="shared" si="268"/>
        <v>2573.1924800053162</v>
      </c>
      <c r="AQ142" s="1388"/>
      <c r="AR142" s="781"/>
      <c r="AS142" s="781"/>
      <c r="AT142" s="781"/>
      <c r="AU142" s="781"/>
      <c r="AV142" s="781"/>
      <c r="AW142" s="781"/>
      <c r="AX142" s="781"/>
      <c r="AY142" s="781"/>
      <c r="AZ142" s="781"/>
      <c r="BA142" s="781"/>
      <c r="BB142"/>
      <c r="BC142"/>
      <c r="BD142"/>
      <c r="BE142"/>
      <c r="BF142"/>
      <c r="BG142"/>
      <c r="BL142" s="780"/>
      <c r="BM142" s="780"/>
      <c r="BN142" s="814"/>
      <c r="BO142" s="814"/>
      <c r="BP142" s="814"/>
      <c r="BQ142" s="814"/>
      <c r="BR142" s="814"/>
      <c r="BS142" s="814"/>
      <c r="BT142" s="814"/>
      <c r="BU142" s="814"/>
      <c r="BV142" s="814"/>
      <c r="BW142" s="814"/>
      <c r="BX142" s="814"/>
      <c r="BY142" s="814"/>
      <c r="BZ142" s="814"/>
      <c r="CA142" s="814"/>
      <c r="CB142" s="814"/>
      <c r="CC142" s="814"/>
      <c r="CD142" s="814"/>
      <c r="CE142" s="814"/>
      <c r="CF142" s="814"/>
      <c r="CG142" s="814"/>
      <c r="CH142" s="814"/>
      <c r="CI142" s="814"/>
      <c r="CJ142" s="814"/>
      <c r="CK142" s="814"/>
      <c r="CL142" s="814"/>
      <c r="CM142" s="814"/>
      <c r="CN142" s="814"/>
      <c r="CO142" s="814"/>
      <c r="CP142" s="814"/>
      <c r="CQ142" s="814"/>
      <c r="CR142" s="814"/>
      <c r="CS142" s="814"/>
      <c r="CT142" s="814"/>
      <c r="CU142" s="814"/>
      <c r="CV142" s="814"/>
      <c r="CW142" s="814"/>
      <c r="CX142" s="814"/>
    </row>
    <row r="143" spans="1:102" s="799" customFormat="1" hidden="1" outlineLevel="1">
      <c r="A143" s="849" t="s">
        <v>296</v>
      </c>
      <c r="B143" s="851"/>
      <c r="C143" s="851">
        <v>-0.34155158701467714</v>
      </c>
      <c r="D143" s="851"/>
      <c r="E143" s="851">
        <v>-1.337648327939589E-2</v>
      </c>
      <c r="F143" s="851">
        <v>0.16520883446315326</v>
      </c>
      <c r="G143" s="851">
        <f t="shared" ref="G143:Q143" si="269">G142/F142-1</f>
        <v>-0.34052735291357794</v>
      </c>
      <c r="H143" s="851">
        <f t="shared" si="269"/>
        <v>-4.6955036994877686E-2</v>
      </c>
      <c r="I143" s="851">
        <f t="shared" si="269"/>
        <v>0.15004478948939992</v>
      </c>
      <c r="J143" s="851">
        <f t="shared" si="269"/>
        <v>0.14998017839901512</v>
      </c>
      <c r="K143" s="851">
        <f t="shared" si="269"/>
        <v>8.4473675567711348E-2</v>
      </c>
      <c r="L143" s="851">
        <f t="shared" si="269"/>
        <v>4.2134332245905348E-2</v>
      </c>
      <c r="M143" s="851">
        <f t="shared" si="269"/>
        <v>0.11953370497832383</v>
      </c>
      <c r="N143" s="851">
        <f t="shared" si="269"/>
        <v>0.10230623126347682</v>
      </c>
      <c r="O143" s="851">
        <f t="shared" si="269"/>
        <v>1.8318944661557035E-2</v>
      </c>
      <c r="P143" s="851">
        <f t="shared" si="269"/>
        <v>4.8720666320362316E-2</v>
      </c>
      <c r="Q143" s="851">
        <f t="shared" si="269"/>
        <v>-6.4590223804017244E-2</v>
      </c>
      <c r="R143" s="841"/>
      <c r="S143" s="850"/>
      <c r="T143" s="850"/>
      <c r="U143" s="850"/>
      <c r="V143" s="850"/>
      <c r="W143" s="875">
        <v>-3.844629409433209E-2</v>
      </c>
      <c r="X143" s="850">
        <v>5.4424432263116662E-2</v>
      </c>
      <c r="Y143" s="850">
        <v>0.45039962388340382</v>
      </c>
      <c r="Z143" s="850">
        <v>0.23526448362720398</v>
      </c>
      <c r="AA143" s="875">
        <f t="shared" ref="AA143:AH143" si="270">AA142/W142-1</f>
        <v>-6.0309698451507687E-2</v>
      </c>
      <c r="AB143" s="850">
        <f t="shared" si="270"/>
        <v>-0.31839882482556003</v>
      </c>
      <c r="AC143" s="850">
        <f t="shared" si="270"/>
        <v>-0.41586073500967113</v>
      </c>
      <c r="AD143" s="850">
        <f t="shared" si="270"/>
        <v>-0.56944444444444442</v>
      </c>
      <c r="AE143" s="875">
        <f t="shared" si="270"/>
        <v>-0.12792714657415438</v>
      </c>
      <c r="AF143" s="850">
        <f t="shared" si="270"/>
        <v>-2.6939655172413812E-2</v>
      </c>
      <c r="AG143" s="850">
        <f t="shared" si="270"/>
        <v>7.3399558498896234E-2</v>
      </c>
      <c r="AH143" s="876">
        <f t="shared" si="270"/>
        <v>-0.11195445920303604</v>
      </c>
      <c r="AI143" s="875">
        <f t="shared" ref="AI143:AP143" si="271">AI142/AE142-1</f>
        <v>-0.17205370462456493</v>
      </c>
      <c r="AJ143" s="850">
        <f t="shared" si="271"/>
        <v>9.5791805094130655E-2</v>
      </c>
      <c r="AK143" s="850">
        <f t="shared" si="271"/>
        <v>7.0976983375154123E-2</v>
      </c>
      <c r="AL143" s="876">
        <f t="shared" si="271"/>
        <v>1.1110574437343206</v>
      </c>
      <c r="AM143" s="875">
        <f t="shared" si="271"/>
        <v>0.21801801801801801</v>
      </c>
      <c r="AN143" s="850">
        <f t="shared" si="271"/>
        <v>5.9202028607516999E-2</v>
      </c>
      <c r="AO143" s="850">
        <f t="shared" si="271"/>
        <v>3.7394099144552717E-2</v>
      </c>
      <c r="AP143" s="876">
        <f t="shared" si="271"/>
        <v>0.30225602013932096</v>
      </c>
      <c r="AQ143" s="1391"/>
      <c r="AR143" s="848"/>
      <c r="AS143" s="848"/>
      <c r="AT143" s="848"/>
      <c r="AU143" s="848"/>
      <c r="AV143" s="848"/>
      <c r="AW143" s="848"/>
      <c r="AX143" s="848"/>
      <c r="AY143" s="848"/>
      <c r="AZ143" s="848"/>
      <c r="BA143" s="848"/>
      <c r="BB143"/>
      <c r="BC143"/>
      <c r="BD143"/>
      <c r="BE143"/>
      <c r="BF143"/>
      <c r="BG143"/>
      <c r="BH143" s="849"/>
      <c r="BI143" s="849"/>
      <c r="BJ143" s="849"/>
      <c r="BK143" s="849"/>
      <c r="BL143" s="850"/>
      <c r="BM143" s="850"/>
      <c r="BN143" s="850"/>
      <c r="BO143" s="850"/>
      <c r="BP143" s="850"/>
      <c r="BQ143" s="850"/>
      <c r="BR143" s="850"/>
      <c r="BS143" s="850"/>
      <c r="BT143" s="851"/>
      <c r="BU143" s="851"/>
      <c r="BV143" s="851"/>
      <c r="BW143" s="851"/>
      <c r="BX143" s="851"/>
      <c r="BY143" s="851"/>
      <c r="BZ143" s="851"/>
      <c r="CA143" s="851"/>
      <c r="CB143" s="851"/>
      <c r="CC143" s="851"/>
      <c r="CD143" s="851"/>
      <c r="CE143" s="851"/>
      <c r="CF143" s="851"/>
      <c r="CG143" s="851"/>
      <c r="CH143" s="851"/>
      <c r="CI143" s="851"/>
      <c r="CJ143" s="851"/>
      <c r="CK143" s="851"/>
      <c r="CL143" s="851"/>
      <c r="CM143" s="851"/>
      <c r="CN143" s="851"/>
      <c r="CO143" s="851"/>
      <c r="CP143" s="851"/>
      <c r="CQ143" s="851"/>
      <c r="CR143" s="851"/>
      <c r="CS143" s="851"/>
      <c r="CT143" s="851"/>
      <c r="CU143" s="851"/>
      <c r="CV143" s="851"/>
      <c r="CW143" s="851"/>
      <c r="CX143" s="851"/>
    </row>
    <row r="144" spans="1:102" s="693" customFormat="1" hidden="1" outlineLevel="1">
      <c r="A144" s="795" t="s">
        <v>178</v>
      </c>
      <c r="B144" s="860">
        <v>4.2849017806361296</v>
      </c>
      <c r="C144" s="860">
        <v>3.8224554039874081</v>
      </c>
      <c r="D144" s="860">
        <v>3.8337468982630272</v>
      </c>
      <c r="E144" s="860">
        <v>3.7468250716919296</v>
      </c>
      <c r="F144" s="860">
        <v>4.3928276999175599</v>
      </c>
      <c r="G144" s="860">
        <f t="shared" ref="G144:Q144" si="272">G142/G140</f>
        <v>2.9246774864752392</v>
      </c>
      <c r="H144" s="860">
        <f t="shared" si="272"/>
        <v>2.8166526492851136</v>
      </c>
      <c r="I144" s="860">
        <f t="shared" si="272"/>
        <v>3.2834612105711849</v>
      </c>
      <c r="J144" s="860">
        <f t="shared" si="272"/>
        <v>3.8286117595582909</v>
      </c>
      <c r="K144" s="860">
        <f t="shared" si="272"/>
        <v>4.1672715538119416</v>
      </c>
      <c r="L144" s="860">
        <f t="shared" si="272"/>
        <v>4.3604178067744055</v>
      </c>
      <c r="M144" s="860">
        <f t="shared" si="272"/>
        <v>4.9026868511435788</v>
      </c>
      <c r="N144" s="860">
        <f t="shared" si="272"/>
        <v>5.4286287398065998</v>
      </c>
      <c r="O144" s="860">
        <f t="shared" si="272"/>
        <v>5.5538034947836845</v>
      </c>
      <c r="P144" s="860">
        <f t="shared" si="272"/>
        <v>5.8521339991390642</v>
      </c>
      <c r="Q144" s="860">
        <f t="shared" si="272"/>
        <v>5.5006835248261625</v>
      </c>
      <c r="R144" s="877"/>
      <c r="S144" s="878">
        <v>1.0335927898402295</v>
      </c>
      <c r="T144" s="878">
        <v>1.0415986949429037</v>
      </c>
      <c r="U144" s="878">
        <v>0.87100737100737102</v>
      </c>
      <c r="V144" s="878">
        <v>0.81620065789473684</v>
      </c>
      <c r="W144" s="879">
        <f t="shared" ref="W144:AL144" si="273">W142/W140</f>
        <v>1.0057377049180327</v>
      </c>
      <c r="X144" s="878">
        <f t="shared" si="273"/>
        <v>1.117816091954023</v>
      </c>
      <c r="Y144" s="878">
        <f t="shared" si="273"/>
        <v>1.2807597027250206</v>
      </c>
      <c r="Z144" s="878">
        <f t="shared" si="273"/>
        <v>1.0166112956810631</v>
      </c>
      <c r="AA144" s="879">
        <f t="shared" si="273"/>
        <v>0.95724366957243667</v>
      </c>
      <c r="AB144" s="878">
        <f t="shared" si="273"/>
        <v>0.76757650951199341</v>
      </c>
      <c r="AC144" s="878">
        <f t="shared" si="273"/>
        <v>0.75343035343035347</v>
      </c>
      <c r="AD144" s="878">
        <f t="shared" si="273"/>
        <v>0.4358974358974359</v>
      </c>
      <c r="AE144" s="879">
        <f t="shared" si="273"/>
        <v>0.84531315678856667</v>
      </c>
      <c r="AF144" s="878">
        <f t="shared" si="273"/>
        <v>0.75850482990340196</v>
      </c>
      <c r="AG144" s="860">
        <f t="shared" si="273"/>
        <v>0.8175704077343422</v>
      </c>
      <c r="AH144" s="880">
        <f t="shared" si="273"/>
        <v>0.39410526315789474</v>
      </c>
      <c r="AI144" s="879">
        <f t="shared" si="273"/>
        <v>0.70193929173693081</v>
      </c>
      <c r="AJ144" s="878">
        <f t="shared" si="273"/>
        <v>0.84069668649107898</v>
      </c>
      <c r="AK144" s="878">
        <f t="shared" si="273"/>
        <v>0.8920986007129228</v>
      </c>
      <c r="AL144" s="880">
        <f t="shared" si="273"/>
        <v>0.85096889204794313</v>
      </c>
      <c r="AM144" s="879">
        <f t="shared" ref="AM144:AP144" si="274">AM142/AM140</f>
        <v>0.87188306104901114</v>
      </c>
      <c r="AN144" s="878">
        <f t="shared" si="274"/>
        <v>0.90597387512448668</v>
      </c>
      <c r="AO144" s="878">
        <f t="shared" si="274"/>
        <v>0.9339735833738978</v>
      </c>
      <c r="AP144" s="880">
        <f t="shared" si="274"/>
        <v>1.1180890406815427</v>
      </c>
      <c r="AQ144" s="1388"/>
      <c r="AR144" s="781"/>
      <c r="AS144" s="781"/>
      <c r="AT144" s="781"/>
      <c r="AU144" s="781"/>
      <c r="AV144" s="781"/>
      <c r="AW144" s="781"/>
      <c r="AX144" s="781"/>
      <c r="AY144" s="781"/>
      <c r="AZ144" s="781"/>
      <c r="BA144" s="781"/>
      <c r="BB144"/>
      <c r="BC144"/>
      <c r="BD144"/>
      <c r="BE144"/>
      <c r="BF144"/>
      <c r="BG144"/>
      <c r="BL144" s="860"/>
      <c r="BM144" s="860"/>
      <c r="BN144" s="860"/>
      <c r="BO144" s="860"/>
      <c r="BP144" s="860"/>
      <c r="BQ144" s="860"/>
      <c r="BR144" s="860"/>
      <c r="BS144" s="860"/>
      <c r="BT144" s="860"/>
      <c r="BU144" s="860"/>
      <c r="BV144" s="860"/>
      <c r="BW144" s="860"/>
      <c r="BX144" s="860"/>
      <c r="BY144" s="860"/>
      <c r="BZ144" s="860"/>
      <c r="CA144" s="860"/>
      <c r="CB144" s="860"/>
      <c r="CC144" s="860"/>
      <c r="CD144" s="860"/>
      <c r="CE144" s="860"/>
      <c r="CF144" s="860"/>
      <c r="CG144" s="860"/>
      <c r="CH144" s="860"/>
      <c r="CI144" s="860"/>
      <c r="CJ144" s="860"/>
      <c r="CK144" s="860"/>
      <c r="CL144" s="860"/>
      <c r="CM144" s="860"/>
      <c r="CN144" s="860"/>
      <c r="CO144" s="860"/>
      <c r="CP144" s="860"/>
      <c r="CQ144" s="860"/>
      <c r="CR144" s="860"/>
      <c r="CS144" s="860"/>
      <c r="CT144" s="860"/>
      <c r="CU144" s="860"/>
      <c r="CV144" s="860"/>
      <c r="CW144" s="860"/>
      <c r="CX144" s="860"/>
    </row>
    <row r="145" spans="1:102" s="693" customFormat="1" hidden="1" outlineLevel="1">
      <c r="A145" s="741" t="s">
        <v>296</v>
      </c>
      <c r="B145" s="735"/>
      <c r="C145" s="735">
        <v>-0.10792461538758247</v>
      </c>
      <c r="D145" s="735">
        <v>2.953989800336343E-3</v>
      </c>
      <c r="E145" s="735">
        <v>-2.267281301498536E-2</v>
      </c>
      <c r="F145" s="735">
        <v>0.17241334085925697</v>
      </c>
      <c r="G145" s="735">
        <f t="shared" ref="G145:Q145" si="275">G144/F144-1</f>
        <v>-0.33421529678249695</v>
      </c>
      <c r="H145" s="735">
        <f t="shared" si="275"/>
        <v>-3.6935640832081895E-2</v>
      </c>
      <c r="I145" s="735">
        <f t="shared" si="275"/>
        <v>0.16573167493853047</v>
      </c>
      <c r="J145" s="735">
        <f t="shared" si="275"/>
        <v>0.16602923379511236</v>
      </c>
      <c r="K145" s="735">
        <f t="shared" si="275"/>
        <v>8.8454984605887965E-2</v>
      </c>
      <c r="L145" s="735">
        <f t="shared" si="275"/>
        <v>4.6348372182702269E-2</v>
      </c>
      <c r="M145" s="735">
        <f t="shared" si="275"/>
        <v>0.12436171678931696</v>
      </c>
      <c r="N145" s="735">
        <f t="shared" si="275"/>
        <v>0.10727625578214162</v>
      </c>
      <c r="O145" s="735">
        <f t="shared" si="275"/>
        <v>2.3058264062011391E-2</v>
      </c>
      <c r="P145" s="735">
        <f t="shared" si="275"/>
        <v>5.3716431385370633E-2</v>
      </c>
      <c r="Q145" s="735">
        <f t="shared" si="275"/>
        <v>-6.0055096886811765E-2</v>
      </c>
      <c r="R145" s="737"/>
      <c r="S145" s="736"/>
      <c r="T145" s="736"/>
      <c r="U145" s="736"/>
      <c r="V145" s="736"/>
      <c r="W145" s="738"/>
      <c r="X145" s="736"/>
      <c r="Y145" s="736"/>
      <c r="Z145" s="736"/>
      <c r="AA145" s="738">
        <f t="shared" ref="AA145:AH145" si="276">AA144/W144-1</f>
        <v>-4.8217378257234822E-2</v>
      </c>
      <c r="AB145" s="736">
        <f t="shared" si="276"/>
        <v>-0.31332487066793391</v>
      </c>
      <c r="AC145" s="736">
        <f t="shared" si="276"/>
        <v>-0.41173168407210958</v>
      </c>
      <c r="AD145" s="736">
        <f t="shared" si="276"/>
        <v>-0.57122507122507127</v>
      </c>
      <c r="AE145" s="738">
        <f t="shared" si="276"/>
        <v>-0.11693001096979305</v>
      </c>
      <c r="AF145" s="736">
        <f t="shared" si="276"/>
        <v>-1.1818599834899857E-2</v>
      </c>
      <c r="AG145" s="736">
        <f t="shared" si="276"/>
        <v>8.5130701214731097E-2</v>
      </c>
      <c r="AH145" s="739">
        <f t="shared" si="276"/>
        <v>-9.5876160990712056E-2</v>
      </c>
      <c r="AI145" s="738">
        <f t="shared" ref="AI145:AP145" si="277">AI144/AE144-1</f>
        <v>-0.16961035552354131</v>
      </c>
      <c r="AJ145" s="736">
        <f t="shared" si="277"/>
        <v>0.1083603602077845</v>
      </c>
      <c r="AK145" s="736">
        <f t="shared" si="277"/>
        <v>9.1158134239610833E-2</v>
      </c>
      <c r="AL145" s="739">
        <f t="shared" si="277"/>
        <v>1.1592426480917362</v>
      </c>
      <c r="AM145" s="738">
        <f t="shared" si="277"/>
        <v>0.24210607856351629</v>
      </c>
      <c r="AN145" s="736">
        <f t="shared" si="277"/>
        <v>7.7646539688247529E-2</v>
      </c>
      <c r="AO145" s="736">
        <f t="shared" si="277"/>
        <v>4.6939859145065821E-2</v>
      </c>
      <c r="AP145" s="739">
        <f t="shared" si="277"/>
        <v>0.31390119090105362</v>
      </c>
      <c r="AQ145" s="1390"/>
      <c r="AR145" s="813"/>
      <c r="AS145" s="813"/>
      <c r="AT145" s="813"/>
      <c r="AU145" s="813"/>
      <c r="AV145" s="813"/>
      <c r="AW145" s="813"/>
      <c r="AX145" s="813"/>
      <c r="AY145" s="813"/>
      <c r="AZ145" s="813"/>
      <c r="BA145" s="813"/>
      <c r="BB145"/>
      <c r="BC145"/>
      <c r="BD145"/>
      <c r="BE145"/>
      <c r="BF145"/>
      <c r="BG145"/>
      <c r="BH145" s="741"/>
      <c r="BI145" s="741"/>
      <c r="BJ145" s="741"/>
      <c r="BK145" s="741"/>
      <c r="BL145" s="736"/>
      <c r="BM145" s="736"/>
      <c r="BN145" s="736"/>
      <c r="BO145" s="736"/>
      <c r="BP145" s="736"/>
      <c r="BQ145" s="736"/>
      <c r="BR145" s="736"/>
      <c r="BS145" s="736"/>
      <c r="BT145" s="735"/>
      <c r="BU145" s="735"/>
      <c r="BV145" s="735"/>
      <c r="BW145" s="735"/>
      <c r="BX145" s="735"/>
      <c r="BY145" s="735"/>
      <c r="BZ145" s="735"/>
      <c r="CA145" s="735"/>
      <c r="CB145" s="735"/>
      <c r="CC145" s="735"/>
      <c r="CD145" s="735"/>
      <c r="CE145" s="735"/>
      <c r="CF145" s="735"/>
      <c r="CG145" s="735"/>
      <c r="CH145" s="735"/>
      <c r="CI145" s="735"/>
      <c r="CJ145" s="735"/>
      <c r="CK145" s="735"/>
      <c r="CL145" s="735"/>
      <c r="CM145" s="735"/>
      <c r="CN145" s="735"/>
      <c r="CO145" s="735"/>
      <c r="CP145" s="735"/>
      <c r="CQ145" s="735"/>
      <c r="CR145" s="735"/>
      <c r="CS145" s="735"/>
      <c r="CT145" s="735"/>
      <c r="CU145" s="735"/>
      <c r="CV145" s="735"/>
      <c r="CW145" s="735"/>
      <c r="CX145" s="735"/>
    </row>
    <row r="146" spans="1:102" s="693" customFormat="1" hidden="1" outlineLevel="1">
      <c r="A146" s="780" t="s">
        <v>576</v>
      </c>
      <c r="B146" s="805"/>
      <c r="C146" s="805"/>
      <c r="D146" s="805"/>
      <c r="E146" s="805"/>
      <c r="F146" s="714">
        <v>-447</v>
      </c>
      <c r="G146" s="714">
        <v>10766</v>
      </c>
      <c r="H146" s="714"/>
      <c r="I146" s="714"/>
      <c r="J146" s="805"/>
      <c r="K146" s="805"/>
      <c r="L146" s="805"/>
      <c r="M146" s="805"/>
      <c r="N146" s="805"/>
      <c r="O146" s="805"/>
      <c r="P146" s="805"/>
      <c r="Q146" s="805"/>
      <c r="R146" s="806"/>
      <c r="S146" s="803"/>
      <c r="T146" s="803"/>
      <c r="U146" s="803"/>
      <c r="V146" s="803"/>
      <c r="W146" s="804">
        <v>514</v>
      </c>
      <c r="X146" s="803">
        <v>-138</v>
      </c>
      <c r="Y146" s="803">
        <v>138</v>
      </c>
      <c r="Z146" s="803">
        <v>-961</v>
      </c>
      <c r="AA146" s="804">
        <v>10699</v>
      </c>
      <c r="AB146" s="803">
        <v>-18</v>
      </c>
      <c r="AC146" s="803">
        <v>83</v>
      </c>
      <c r="AD146" s="716">
        <f>G146-SUM(AA146:AC146)</f>
        <v>2</v>
      </c>
      <c r="AE146" s="804"/>
      <c r="AF146" s="803"/>
      <c r="AG146" s="805"/>
      <c r="AH146" s="881"/>
      <c r="AI146" s="804"/>
      <c r="AJ146" s="803"/>
      <c r="AK146" s="803"/>
      <c r="AL146" s="881"/>
      <c r="AM146" s="804"/>
      <c r="AN146" s="803"/>
      <c r="AO146" s="803"/>
      <c r="AP146" s="881"/>
      <c r="AQ146" s="1389"/>
      <c r="AR146" s="794"/>
      <c r="AS146" s="794"/>
      <c r="AT146" s="794"/>
      <c r="AU146" s="794"/>
      <c r="AV146" s="794"/>
      <c r="AW146" s="794"/>
      <c r="AX146" s="794"/>
      <c r="AY146" s="794"/>
      <c r="AZ146" s="794"/>
      <c r="BA146" s="794"/>
      <c r="BB146"/>
      <c r="BC146"/>
      <c r="BD146"/>
      <c r="BE146"/>
      <c r="BF146"/>
      <c r="BG146"/>
      <c r="BL146" s="780"/>
      <c r="BM146" s="780"/>
      <c r="BN146" s="805"/>
      <c r="BO146" s="805"/>
      <c r="BP146" s="805"/>
      <c r="BQ146" s="805"/>
      <c r="BR146" s="805"/>
      <c r="BS146" s="805"/>
      <c r="BT146" s="805"/>
      <c r="BU146" s="805"/>
      <c r="BV146" s="805"/>
      <c r="BW146" s="805"/>
      <c r="BX146" s="805"/>
      <c r="BY146" s="805"/>
      <c r="BZ146" s="805"/>
      <c r="CA146" s="805"/>
      <c r="CB146" s="805"/>
      <c r="CC146" s="805"/>
      <c r="CD146" s="805"/>
      <c r="CE146" s="805"/>
      <c r="CF146" s="805"/>
      <c r="CG146" s="805"/>
      <c r="CH146" s="805"/>
      <c r="CI146" s="805"/>
      <c r="CJ146" s="805"/>
      <c r="CK146" s="805"/>
      <c r="CL146" s="805"/>
      <c r="CM146" s="805"/>
      <c r="CN146" s="805"/>
      <c r="CO146" s="805"/>
      <c r="CP146" s="805"/>
      <c r="CQ146" s="805"/>
      <c r="CR146" s="805"/>
      <c r="CS146" s="805"/>
      <c r="CT146" s="805"/>
      <c r="CU146" s="805"/>
      <c r="CV146" s="805"/>
      <c r="CW146" s="805"/>
      <c r="CX146" s="805"/>
    </row>
    <row r="147" spans="1:102" s="799" customFormat="1" hidden="1" outlineLevel="1">
      <c r="A147" s="795" t="s">
        <v>174</v>
      </c>
      <c r="B147" s="814"/>
      <c r="C147" s="814"/>
      <c r="D147" s="814"/>
      <c r="E147" s="814">
        <v>9146</v>
      </c>
      <c r="F147" s="814">
        <v>10210</v>
      </c>
      <c r="G147" s="814">
        <f>G142+G146</f>
        <v>17794</v>
      </c>
      <c r="H147" s="814">
        <f t="shared" ref="H147:Q147" si="278">H142+H146</f>
        <v>6698</v>
      </c>
      <c r="I147" s="814">
        <f t="shared" si="278"/>
        <v>7703</v>
      </c>
      <c r="J147" s="814">
        <f t="shared" si="278"/>
        <v>8858.2973142076135</v>
      </c>
      <c r="K147" s="814">
        <f t="shared" si="278"/>
        <v>9606.5902476103165</v>
      </c>
      <c r="L147" s="814">
        <f t="shared" si="278"/>
        <v>10011.357512853403</v>
      </c>
      <c r="M147" s="814">
        <f t="shared" si="278"/>
        <v>11208.052168227348</v>
      </c>
      <c r="N147" s="814">
        <f t="shared" si="278"/>
        <v>12354.705745363128</v>
      </c>
      <c r="O147" s="814">
        <f t="shared" si="278"/>
        <v>12581.030916222255</v>
      </c>
      <c r="P147" s="814">
        <f t="shared" si="278"/>
        <v>13193.987125457681</v>
      </c>
      <c r="Q147" s="814">
        <f t="shared" si="278"/>
        <v>12341.784544157048</v>
      </c>
      <c r="R147" s="809"/>
      <c r="S147" s="872">
        <v>2397</v>
      </c>
      <c r="T147" s="872">
        <v>2512</v>
      </c>
      <c r="U147" s="872">
        <v>2233</v>
      </c>
      <c r="V147" s="872">
        <v>2029</v>
      </c>
      <c r="W147" s="873">
        <f>W142+W146</f>
        <v>2968</v>
      </c>
      <c r="X147" s="872">
        <f t="shared" ref="X147:AL147" si="279">X142+X146</f>
        <v>2585</v>
      </c>
      <c r="Y147" s="872">
        <f t="shared" si="279"/>
        <v>3240</v>
      </c>
      <c r="Z147" s="872">
        <f t="shared" si="279"/>
        <v>1487</v>
      </c>
      <c r="AA147" s="873">
        <f t="shared" si="279"/>
        <v>13005</v>
      </c>
      <c r="AB147" s="872">
        <f t="shared" si="279"/>
        <v>1838</v>
      </c>
      <c r="AC147" s="872">
        <f t="shared" si="279"/>
        <v>1895</v>
      </c>
      <c r="AD147" s="872">
        <f t="shared" si="279"/>
        <v>1056</v>
      </c>
      <c r="AE147" s="873">
        <f t="shared" si="279"/>
        <v>2011</v>
      </c>
      <c r="AF147" s="872">
        <f t="shared" si="279"/>
        <v>1806</v>
      </c>
      <c r="AG147" s="814">
        <f t="shared" si="279"/>
        <v>1945</v>
      </c>
      <c r="AH147" s="874">
        <f t="shared" si="279"/>
        <v>936</v>
      </c>
      <c r="AI147" s="873">
        <f t="shared" si="279"/>
        <v>1665</v>
      </c>
      <c r="AJ147" s="872">
        <f t="shared" si="279"/>
        <v>1979</v>
      </c>
      <c r="AK147" s="872">
        <f t="shared" si="279"/>
        <v>2083.0502326646747</v>
      </c>
      <c r="AL147" s="874">
        <f t="shared" si="279"/>
        <v>1975.9497673353239</v>
      </c>
      <c r="AM147" s="873">
        <f t="shared" ref="AM147:AP147" si="280">AM142+AM146</f>
        <v>2028</v>
      </c>
      <c r="AN147" s="872">
        <f t="shared" si="280"/>
        <v>2096.1608146142762</v>
      </c>
      <c r="AO147" s="872">
        <f t="shared" si="280"/>
        <v>2160.9440195880211</v>
      </c>
      <c r="AP147" s="874">
        <f t="shared" si="280"/>
        <v>2573.1924800053162</v>
      </c>
      <c r="AQ147" s="1388"/>
      <c r="AR147" s="781"/>
      <c r="AS147" s="781"/>
      <c r="AT147" s="781"/>
      <c r="AU147" s="781"/>
      <c r="AV147" s="781"/>
      <c r="AW147" s="781"/>
      <c r="AX147" s="781"/>
      <c r="AY147" s="781"/>
      <c r="AZ147" s="781"/>
      <c r="BA147" s="781"/>
      <c r="BB147"/>
      <c r="BC147"/>
      <c r="BD147"/>
      <c r="BE147"/>
      <c r="BF147"/>
      <c r="BG147"/>
      <c r="BL147" s="795"/>
      <c r="BM147" s="795"/>
      <c r="BN147" s="814"/>
      <c r="BO147" s="814"/>
      <c r="BP147" s="814"/>
      <c r="BQ147" s="814"/>
      <c r="BR147" s="814"/>
      <c r="BS147" s="814"/>
      <c r="BT147" s="814"/>
      <c r="BU147" s="814"/>
      <c r="BV147" s="814"/>
      <c r="BW147" s="814"/>
      <c r="BX147" s="814"/>
      <c r="BY147" s="814"/>
      <c r="BZ147" s="814"/>
      <c r="CA147" s="814"/>
      <c r="CB147" s="814"/>
      <c r="CC147" s="814"/>
      <c r="CD147" s="852"/>
      <c r="CE147" s="852"/>
      <c r="CF147" s="852"/>
      <c r="CG147" s="852"/>
      <c r="CH147" s="814"/>
      <c r="CI147" s="814"/>
      <c r="CJ147" s="814"/>
      <c r="CK147" s="814"/>
      <c r="CL147" s="814"/>
      <c r="CM147" s="814"/>
      <c r="CN147" s="851"/>
      <c r="CO147" s="851"/>
      <c r="CP147" s="814"/>
      <c r="CQ147" s="852"/>
      <c r="CR147" s="852"/>
      <c r="CS147" s="852"/>
      <c r="CT147" s="814"/>
      <c r="CU147" s="852"/>
      <c r="CV147" s="852"/>
      <c r="CW147" s="852"/>
      <c r="CX147" s="814"/>
    </row>
    <row r="148" spans="1:102" s="693" customFormat="1" hidden="1" outlineLevel="1">
      <c r="A148" s="795" t="s">
        <v>180</v>
      </c>
      <c r="B148" s="882">
        <v>6.0511003193769968</v>
      </c>
      <c r="C148" s="882">
        <v>3.8224554039874081</v>
      </c>
      <c r="D148" s="882">
        <v>3.8337468982630272</v>
      </c>
      <c r="E148" s="882">
        <v>3.7468250716919296</v>
      </c>
      <c r="F148" s="882">
        <v>4.2085737840065951</v>
      </c>
      <c r="G148" s="882">
        <f t="shared" ref="G148:Q148" si="281">G147/G140</f>
        <v>7.4049105285060337</v>
      </c>
      <c r="H148" s="882">
        <f t="shared" si="281"/>
        <v>2.8166526492851136</v>
      </c>
      <c r="I148" s="882">
        <f t="shared" si="281"/>
        <v>3.2834612105711849</v>
      </c>
      <c r="J148" s="882">
        <f t="shared" si="281"/>
        <v>3.8286117595582909</v>
      </c>
      <c r="K148" s="882">
        <f t="shared" si="281"/>
        <v>4.1672715538119416</v>
      </c>
      <c r="L148" s="882">
        <f t="shared" si="281"/>
        <v>4.3604178067744055</v>
      </c>
      <c r="M148" s="882">
        <f t="shared" si="281"/>
        <v>4.9026868511435788</v>
      </c>
      <c r="N148" s="882">
        <f t="shared" si="281"/>
        <v>5.4286287398065998</v>
      </c>
      <c r="O148" s="882">
        <f t="shared" si="281"/>
        <v>5.5538034947836845</v>
      </c>
      <c r="P148" s="882">
        <f t="shared" si="281"/>
        <v>5.8521339991390642</v>
      </c>
      <c r="Q148" s="882">
        <f t="shared" si="281"/>
        <v>5.5006835248261625</v>
      </c>
      <c r="R148" s="883"/>
      <c r="S148" s="884">
        <v>0.98197460057353547</v>
      </c>
      <c r="T148" s="884">
        <v>1.0244698205546492</v>
      </c>
      <c r="U148" s="884">
        <v>0.9144144144144144</v>
      </c>
      <c r="V148" s="884">
        <v>0.83429276315789469</v>
      </c>
      <c r="W148" s="885">
        <f t="shared" ref="W148:AL148" si="282">W147/W140</f>
        <v>1.2163934426229508</v>
      </c>
      <c r="X148" s="884">
        <f t="shared" si="282"/>
        <v>1.0611658456486042</v>
      </c>
      <c r="Y148" s="884">
        <f t="shared" si="282"/>
        <v>1.3377374071015689</v>
      </c>
      <c r="Z148" s="884">
        <f t="shared" si="282"/>
        <v>0.61752491694352163</v>
      </c>
      <c r="AA148" s="885">
        <f t="shared" si="282"/>
        <v>5.3985056039850559</v>
      </c>
      <c r="AB148" s="884">
        <f t="shared" si="282"/>
        <v>0.76013234077750202</v>
      </c>
      <c r="AC148" s="884">
        <f t="shared" si="282"/>
        <v>0.78794178794178793</v>
      </c>
      <c r="AD148" s="884">
        <f t="shared" si="282"/>
        <v>0.43672456575682383</v>
      </c>
      <c r="AE148" s="885">
        <f t="shared" si="282"/>
        <v>0.84531315678856667</v>
      </c>
      <c r="AF148" s="884">
        <f t="shared" si="282"/>
        <v>0.75850482990340196</v>
      </c>
      <c r="AG148" s="882">
        <f t="shared" si="282"/>
        <v>0.8175704077343422</v>
      </c>
      <c r="AH148" s="886">
        <f t="shared" si="282"/>
        <v>0.39410526315789474</v>
      </c>
      <c r="AI148" s="885">
        <f t="shared" si="282"/>
        <v>0.70193929173693081</v>
      </c>
      <c r="AJ148" s="884">
        <f t="shared" si="282"/>
        <v>0.84069668649107898</v>
      </c>
      <c r="AK148" s="884">
        <f t="shared" si="282"/>
        <v>0.8920986007129228</v>
      </c>
      <c r="AL148" s="886">
        <f t="shared" si="282"/>
        <v>0.85096889204794313</v>
      </c>
      <c r="AM148" s="885">
        <f t="shared" ref="AM148:AP148" si="283">AM147/AM140</f>
        <v>0.87188306104901114</v>
      </c>
      <c r="AN148" s="884">
        <f t="shared" si="283"/>
        <v>0.90597387512448668</v>
      </c>
      <c r="AO148" s="884">
        <f t="shared" si="283"/>
        <v>0.9339735833738978</v>
      </c>
      <c r="AP148" s="886">
        <f t="shared" si="283"/>
        <v>1.1180890406815427</v>
      </c>
      <c r="AQ148" s="1388"/>
      <c r="AR148" s="781"/>
      <c r="AS148" s="781"/>
      <c r="AT148" s="781"/>
      <c r="AU148" s="781"/>
      <c r="AV148" s="781"/>
      <c r="AW148" s="781"/>
      <c r="AX148" s="781"/>
      <c r="AY148" s="781"/>
      <c r="AZ148" s="781"/>
      <c r="BA148" s="781"/>
      <c r="BB148"/>
      <c r="BC148"/>
      <c r="BD148"/>
      <c r="BE148"/>
      <c r="BF148"/>
      <c r="BG148"/>
      <c r="BL148" s="887"/>
      <c r="BM148" s="887"/>
      <c r="BN148" s="882"/>
      <c r="BO148" s="882"/>
      <c r="BP148" s="882"/>
      <c r="BQ148" s="882"/>
      <c r="BR148" s="882"/>
      <c r="BS148" s="882"/>
      <c r="BT148" s="860"/>
      <c r="BU148" s="860"/>
      <c r="BV148" s="860"/>
      <c r="BW148" s="860"/>
      <c r="BX148" s="882"/>
      <c r="BY148" s="882"/>
      <c r="BZ148" s="882"/>
      <c r="CA148" s="882"/>
      <c r="CB148" s="882"/>
      <c r="CC148" s="882"/>
      <c r="CD148" s="882"/>
      <c r="CE148" s="882"/>
      <c r="CF148" s="882"/>
      <c r="CG148" s="882"/>
      <c r="CH148" s="882"/>
      <c r="CI148" s="882"/>
      <c r="CJ148" s="882"/>
      <c r="CK148" s="882"/>
      <c r="CL148" s="882"/>
      <c r="CM148" s="882"/>
      <c r="CN148" s="882"/>
      <c r="CO148" s="882"/>
      <c r="CP148" s="882"/>
      <c r="CQ148" s="882"/>
      <c r="CR148" s="882"/>
      <c r="CS148" s="882"/>
      <c r="CT148" s="882"/>
      <c r="CU148" s="882"/>
      <c r="CV148" s="882"/>
      <c r="CW148" s="882"/>
      <c r="CX148" s="882"/>
    </row>
    <row r="149" spans="1:102" s="693" customFormat="1" hidden="1" outlineLevel="1">
      <c r="A149" s="795" t="s">
        <v>181</v>
      </c>
      <c r="B149" s="882">
        <v>6.0113873435326841</v>
      </c>
      <c r="C149" s="882">
        <v>3.7735145437971327</v>
      </c>
      <c r="D149" s="882">
        <v>3.7914110429447851</v>
      </c>
      <c r="E149" s="882">
        <v>3.6893908834207343</v>
      </c>
      <c r="F149" s="882">
        <v>4.1336032388663968</v>
      </c>
      <c r="G149" s="882">
        <f t="shared" ref="G149:Q149" si="284">G147/G141</f>
        <v>7.2986054142739949</v>
      </c>
      <c r="H149" s="882">
        <f t="shared" si="284"/>
        <v>2.7908333333333335</v>
      </c>
      <c r="I149" s="882">
        <f t="shared" si="284"/>
        <v>3.2488401518346688</v>
      </c>
      <c r="J149" s="882">
        <f t="shared" si="284"/>
        <v>3.7876852257046036</v>
      </c>
      <c r="K149" s="882">
        <f t="shared" si="284"/>
        <v>4.1225630791973202</v>
      </c>
      <c r="L149" s="882">
        <f t="shared" si="284"/>
        <v>4.3134500395734046</v>
      </c>
      <c r="M149" s="882">
        <f t="shared" si="284"/>
        <v>4.8496528164625055</v>
      </c>
      <c r="N149" s="882">
        <f t="shared" si="284"/>
        <v>5.3696435204528585</v>
      </c>
      <c r="O149" s="882">
        <f t="shared" si="284"/>
        <v>5.4931803934854457</v>
      </c>
      <c r="P149" s="882">
        <f t="shared" si="284"/>
        <v>5.7879534769702632</v>
      </c>
      <c r="Q149" s="882">
        <f t="shared" si="284"/>
        <v>5.4400681151424335</v>
      </c>
      <c r="R149" s="883"/>
      <c r="S149" s="884">
        <v>0.96926809543065107</v>
      </c>
      <c r="T149" s="884">
        <v>1.0088353413654618</v>
      </c>
      <c r="U149" s="884">
        <v>0.9004032258064516</v>
      </c>
      <c r="V149" s="884">
        <v>0.82179019846091539</v>
      </c>
      <c r="W149" s="885">
        <f t="shared" ref="W149:AL149" si="285">W147/W141</f>
        <v>1.1972569584509882</v>
      </c>
      <c r="X149" s="884">
        <f t="shared" si="285"/>
        <v>1.0461351679481992</v>
      </c>
      <c r="Y149" s="884">
        <f t="shared" si="285"/>
        <v>1.3170731707317074</v>
      </c>
      <c r="Z149" s="884">
        <f t="shared" si="285"/>
        <v>0.60718660677827685</v>
      </c>
      <c r="AA149" s="885">
        <f t="shared" si="285"/>
        <v>5.3168438266557647</v>
      </c>
      <c r="AB149" s="884">
        <f t="shared" si="285"/>
        <v>0.74989800081599345</v>
      </c>
      <c r="AC149" s="884">
        <f t="shared" si="285"/>
        <v>0.77727645611156682</v>
      </c>
      <c r="AD149" s="884">
        <f t="shared" si="285"/>
        <v>0.43690525444766237</v>
      </c>
      <c r="AE149" s="885">
        <f t="shared" si="285"/>
        <v>0.83861551292743952</v>
      </c>
      <c r="AF149" s="884">
        <f t="shared" si="285"/>
        <v>0.75218658892128276</v>
      </c>
      <c r="AG149" s="882">
        <f t="shared" si="285"/>
        <v>0.81007913369429407</v>
      </c>
      <c r="AH149" s="886">
        <f t="shared" si="285"/>
        <v>0.39081419624217117</v>
      </c>
      <c r="AI149" s="885">
        <f t="shared" si="285"/>
        <v>0.69694432817078278</v>
      </c>
      <c r="AJ149" s="884">
        <f t="shared" si="285"/>
        <v>0.83396544458491362</v>
      </c>
      <c r="AK149" s="884">
        <f t="shared" si="285"/>
        <v>0.88302256577561455</v>
      </c>
      <c r="AL149" s="886">
        <f t="shared" si="285"/>
        <v>0.84154589750226738</v>
      </c>
      <c r="AM149" s="885">
        <f t="shared" ref="AM149:AP149" si="286">AM147/AM141</f>
        <v>0.86408180656156797</v>
      </c>
      <c r="AN149" s="884">
        <f t="shared" si="286"/>
        <v>0.89628932813999007</v>
      </c>
      <c r="AO149" s="884">
        <f t="shared" si="286"/>
        <v>0.92398972920457045</v>
      </c>
      <c r="AP149" s="886">
        <f t="shared" si="286"/>
        <v>1.1041754190254616</v>
      </c>
      <c r="AQ149" s="1388"/>
      <c r="AR149" s="781"/>
      <c r="AS149" s="781"/>
      <c r="AT149" s="781"/>
      <c r="AU149" s="781"/>
      <c r="AV149" s="781"/>
      <c r="AW149" s="781"/>
      <c r="AX149" s="781"/>
      <c r="AY149" s="781"/>
      <c r="AZ149" s="781"/>
      <c r="BA149" s="781"/>
      <c r="BB149"/>
      <c r="BC149"/>
      <c r="BD149"/>
      <c r="BE149"/>
      <c r="BF149"/>
      <c r="BG149"/>
      <c r="BL149" s="887"/>
      <c r="BM149" s="887"/>
      <c r="BN149" s="882"/>
      <c r="BO149" s="882"/>
      <c r="BP149" s="882"/>
      <c r="BQ149" s="882"/>
      <c r="BR149" s="882"/>
      <c r="BS149" s="882"/>
      <c r="BT149" s="860"/>
      <c r="BU149" s="860"/>
      <c r="BV149" s="882"/>
      <c r="BW149" s="882"/>
      <c r="BX149" s="882"/>
      <c r="BY149" s="882"/>
      <c r="BZ149" s="882"/>
      <c r="CA149" s="882"/>
      <c r="CB149" s="882"/>
      <c r="CC149" s="882"/>
      <c r="CD149" s="882"/>
      <c r="CE149" s="882"/>
      <c r="CF149" s="882"/>
      <c r="CG149" s="882"/>
      <c r="CH149" s="882"/>
      <c r="CI149" s="882"/>
      <c r="CJ149" s="882"/>
      <c r="CK149" s="882"/>
      <c r="CL149" s="882"/>
      <c r="CM149" s="882"/>
      <c r="CN149" s="882"/>
      <c r="CO149" s="882"/>
      <c r="CP149" s="882"/>
      <c r="CQ149" s="882"/>
      <c r="CR149" s="882"/>
      <c r="CS149" s="882"/>
      <c r="CT149" s="882"/>
      <c r="CU149" s="882"/>
      <c r="CV149" s="882"/>
      <c r="CW149" s="882"/>
      <c r="CX149" s="882"/>
    </row>
    <row r="150" spans="1:102" s="693" customFormat="1" hidden="1" outlineLevel="1">
      <c r="A150" s="741" t="s">
        <v>296</v>
      </c>
      <c r="B150" s="735"/>
      <c r="C150" s="735">
        <v>-0.37227226792217172</v>
      </c>
      <c r="D150" s="735">
        <v>4.7426607052756253E-3</v>
      </c>
      <c r="E150" s="735">
        <v>-2.6908229777379056E-2</v>
      </c>
      <c r="F150" s="735">
        <v>0.12040262728512974</v>
      </c>
      <c r="G150" s="735">
        <f>G149/F149-1</f>
        <v>0.76567633430526616</v>
      </c>
      <c r="H150" s="735">
        <f t="shared" ref="H150:Q150" si="287">H149/G149-1</f>
        <v>-0.61762101457420093</v>
      </c>
      <c r="I150" s="735">
        <f t="shared" si="287"/>
        <v>0.16411113233848984</v>
      </c>
      <c r="J150" s="735">
        <f t="shared" si="287"/>
        <v>0.16585767495074855</v>
      </c>
      <c r="K150" s="735">
        <f t="shared" si="287"/>
        <v>8.8412271225738248E-2</v>
      </c>
      <c r="L150" s="735">
        <f t="shared" si="287"/>
        <v>4.6302981108842234E-2</v>
      </c>
      <c r="M150" s="735">
        <f t="shared" si="287"/>
        <v>0.12430949053999729</v>
      </c>
      <c r="N150" s="735">
        <f t="shared" si="287"/>
        <v>0.10722225356528736</v>
      </c>
      <c r="O150" s="735">
        <f t="shared" si="287"/>
        <v>2.3006531543861009E-2</v>
      </c>
      <c r="P150" s="735">
        <f t="shared" si="287"/>
        <v>5.366164268597462E-2</v>
      </c>
      <c r="Q150" s="735">
        <f t="shared" si="287"/>
        <v>-6.0105072235295931E-2</v>
      </c>
      <c r="R150" s="737"/>
      <c r="S150" s="736"/>
      <c r="T150" s="736"/>
      <c r="U150" s="736"/>
      <c r="V150" s="736"/>
      <c r="W150" s="738">
        <v>0.22314837206586202</v>
      </c>
      <c r="X150" s="736">
        <v>2.4136351099505848E-2</v>
      </c>
      <c r="Y150" s="736">
        <v>0.45508430453762649</v>
      </c>
      <c r="Z150" s="736">
        <v>-0.25865718820669104</v>
      </c>
      <c r="AA150" s="738">
        <f t="shared" ref="AA150:AH150" si="288">AA149/W149-1</f>
        <v>3.4408543956467792</v>
      </c>
      <c r="AB150" s="736">
        <f t="shared" si="288"/>
        <v>-0.28317293616389949</v>
      </c>
      <c r="AC150" s="736">
        <f t="shared" si="288"/>
        <v>-0.40984565369306969</v>
      </c>
      <c r="AD150" s="736">
        <f t="shared" si="288"/>
        <v>-0.28044319560031938</v>
      </c>
      <c r="AE150" s="738">
        <f t="shared" si="288"/>
        <v>-0.84227193044056003</v>
      </c>
      <c r="AF150" s="736">
        <f t="shared" si="288"/>
        <v>3.0518658574887336E-3</v>
      </c>
      <c r="AG150" s="736">
        <f t="shared" si="288"/>
        <v>4.2202072795086476E-2</v>
      </c>
      <c r="AH150" s="739">
        <f t="shared" si="288"/>
        <v>-0.1054944012146517</v>
      </c>
      <c r="AI150" s="738">
        <f t="shared" ref="AI150:AP150" si="289">AI149/AE149-1</f>
        <v>-0.16893461016731126</v>
      </c>
      <c r="AJ150" s="736">
        <f t="shared" si="289"/>
        <v>0.10872150190940078</v>
      </c>
      <c r="AK150" s="736">
        <f t="shared" si="289"/>
        <v>9.0044822841774064E-2</v>
      </c>
      <c r="AL150" s="739">
        <f t="shared" si="289"/>
        <v>1.1533145561089002</v>
      </c>
      <c r="AM150" s="738">
        <f t="shared" si="289"/>
        <v>0.23981467620155295</v>
      </c>
      <c r="AN150" s="736">
        <f t="shared" si="289"/>
        <v>7.4731973560483222E-2</v>
      </c>
      <c r="AO150" s="736">
        <f t="shared" si="289"/>
        <v>4.639424292964911E-2</v>
      </c>
      <c r="AP150" s="739">
        <f t="shared" si="289"/>
        <v>0.31207985482750988</v>
      </c>
      <c r="AQ150" s="1390"/>
      <c r="AR150" s="813"/>
      <c r="AS150" s="813"/>
      <c r="AT150" s="813"/>
      <c r="AU150" s="813"/>
      <c r="AV150" s="813"/>
      <c r="AW150" s="813"/>
      <c r="AX150" s="813"/>
      <c r="AY150" s="813"/>
      <c r="AZ150" s="813"/>
      <c r="BA150" s="813"/>
      <c r="BB150"/>
      <c r="BC150"/>
      <c r="BD150"/>
      <c r="BE150"/>
      <c r="BF150"/>
      <c r="BG150"/>
      <c r="BH150" s="741"/>
      <c r="BI150" s="741"/>
      <c r="BJ150" s="741"/>
      <c r="BK150" s="741"/>
      <c r="BL150" s="736"/>
      <c r="BM150" s="736"/>
      <c r="BN150" s="736"/>
      <c r="BO150" s="736"/>
      <c r="BP150" s="736"/>
      <c r="BQ150" s="736"/>
      <c r="BR150" s="736"/>
      <c r="BS150" s="736"/>
      <c r="BT150" s="735"/>
      <c r="BU150" s="735"/>
      <c r="BV150" s="735"/>
      <c r="BW150" s="735"/>
      <c r="BX150" s="735"/>
      <c r="BY150" s="735"/>
      <c r="BZ150" s="735"/>
      <c r="CA150" s="735"/>
      <c r="CB150" s="735"/>
      <c r="CC150" s="735"/>
      <c r="CD150" s="735"/>
      <c r="CE150" s="735"/>
      <c r="CF150" s="735"/>
      <c r="CG150" s="735"/>
      <c r="CH150" s="735"/>
      <c r="CI150" s="735"/>
      <c r="CJ150" s="735"/>
      <c r="CK150" s="735"/>
      <c r="CL150" s="735"/>
      <c r="CM150" s="735"/>
      <c r="CN150" s="735"/>
      <c r="CO150" s="735"/>
      <c r="CP150" s="735"/>
      <c r="CQ150" s="735"/>
      <c r="CR150" s="735"/>
      <c r="CS150" s="735"/>
      <c r="CT150" s="735"/>
      <c r="CU150" s="735"/>
      <c r="CV150" s="735"/>
      <c r="CW150" s="735"/>
      <c r="CX150" s="735"/>
    </row>
    <row r="151" spans="1:102" s="693" customFormat="1" hidden="1" outlineLevel="1">
      <c r="A151" s="795"/>
      <c r="B151" s="882"/>
      <c r="C151" s="882"/>
      <c r="D151" s="882"/>
      <c r="E151" s="882"/>
      <c r="F151" s="882"/>
      <c r="G151" s="882"/>
      <c r="H151" s="882"/>
      <c r="I151" s="882"/>
      <c r="J151" s="882"/>
      <c r="K151" s="882"/>
      <c r="L151" s="882"/>
      <c r="M151" s="882"/>
      <c r="N151" s="882"/>
      <c r="O151" s="882"/>
      <c r="P151" s="882"/>
      <c r="Q151" s="882"/>
      <c r="R151" s="883"/>
      <c r="S151" s="884"/>
      <c r="T151" s="884"/>
      <c r="U151" s="884"/>
      <c r="V151" s="884"/>
      <c r="W151" s="885"/>
      <c r="X151" s="884"/>
      <c r="Y151" s="884"/>
      <c r="Z151" s="884"/>
      <c r="AA151" s="885"/>
      <c r="AB151" s="884"/>
      <c r="AC151" s="884"/>
      <c r="AD151" s="884"/>
      <c r="AE151" s="885"/>
      <c r="AF151" s="884"/>
      <c r="AG151" s="884"/>
      <c r="AH151" s="886"/>
      <c r="AI151" s="885"/>
      <c r="AJ151" s="884"/>
      <c r="AK151" s="884"/>
      <c r="AL151" s="886"/>
      <c r="AM151" s="884"/>
      <c r="AN151" s="884"/>
      <c r="AO151" s="884"/>
      <c r="AP151" s="884"/>
      <c r="AQ151" s="1388"/>
      <c r="AR151" s="781"/>
      <c r="AS151" s="781"/>
      <c r="AT151" s="781"/>
      <c r="AU151" s="781"/>
      <c r="AV151" s="781"/>
      <c r="AW151" s="781"/>
      <c r="AX151" s="781"/>
      <c r="AY151" s="781"/>
      <c r="AZ151" s="781"/>
      <c r="BA151" s="781"/>
      <c r="BB151"/>
      <c r="BC151"/>
      <c r="BD151"/>
      <c r="BE151"/>
      <c r="BF151"/>
      <c r="BG151"/>
      <c r="BL151" s="887"/>
      <c r="BM151" s="887"/>
      <c r="BN151" s="882"/>
      <c r="BO151" s="882"/>
      <c r="BP151" s="882"/>
      <c r="BQ151" s="882"/>
      <c r="BR151" s="882"/>
      <c r="BS151" s="882"/>
      <c r="BT151" s="860"/>
      <c r="BU151" s="860"/>
      <c r="BV151" s="882"/>
      <c r="BW151" s="882"/>
      <c r="BX151" s="882"/>
      <c r="BY151" s="882"/>
      <c r="BZ151" s="882"/>
      <c r="CA151" s="882"/>
      <c r="CB151" s="882"/>
      <c r="CC151" s="882"/>
      <c r="CD151" s="882"/>
      <c r="CE151" s="882"/>
      <c r="CF151" s="882"/>
      <c r="CG151" s="882"/>
      <c r="CH151" s="882"/>
      <c r="CI151" s="882"/>
      <c r="CJ151" s="882"/>
      <c r="CK151" s="882"/>
      <c r="CL151" s="882"/>
      <c r="CM151" s="882"/>
      <c r="CN151" s="882"/>
      <c r="CO151" s="882"/>
      <c r="CP151" s="882"/>
      <c r="CQ151" s="882"/>
      <c r="CR151" s="882"/>
      <c r="CS151" s="882"/>
      <c r="CT151" s="882"/>
      <c r="CU151" s="882"/>
      <c r="CV151" s="882"/>
      <c r="CW151" s="882"/>
      <c r="CX151" s="882"/>
    </row>
    <row r="152" spans="1:102" s="693" customFormat="1" hidden="1" outlineLevel="1">
      <c r="A152" s="888" t="s">
        <v>182</v>
      </c>
      <c r="B152" s="889"/>
      <c r="C152" s="889"/>
      <c r="D152" s="889"/>
      <c r="E152" s="889"/>
      <c r="F152" s="889"/>
      <c r="G152" s="889"/>
      <c r="H152" s="889"/>
      <c r="I152" s="889"/>
      <c r="J152" s="889"/>
      <c r="K152" s="889"/>
      <c r="L152" s="889"/>
      <c r="M152" s="889"/>
      <c r="N152" s="889"/>
      <c r="O152" s="889"/>
      <c r="P152" s="889"/>
      <c r="Q152" s="889"/>
      <c r="R152" s="890"/>
      <c r="S152" s="891"/>
      <c r="T152" s="891"/>
      <c r="U152" s="891"/>
      <c r="V152" s="891"/>
      <c r="W152" s="892"/>
      <c r="X152" s="891"/>
      <c r="Y152" s="891"/>
      <c r="Z152" s="891"/>
      <c r="AA152" s="892"/>
      <c r="AB152" s="891"/>
      <c r="AC152" s="891"/>
      <c r="AD152" s="891"/>
      <c r="AE152" s="892"/>
      <c r="AF152" s="891"/>
      <c r="AG152" s="891"/>
      <c r="AH152" s="893"/>
      <c r="AI152" s="892"/>
      <c r="AJ152" s="891"/>
      <c r="AK152" s="891"/>
      <c r="AL152" s="893"/>
      <c r="AM152" s="891"/>
      <c r="AN152" s="891"/>
      <c r="AO152" s="891"/>
      <c r="AP152" s="891"/>
      <c r="AQ152" s="1389"/>
      <c r="AR152" s="831"/>
      <c r="AS152" s="831"/>
      <c r="AT152" s="831"/>
      <c r="AU152" s="831"/>
      <c r="AV152" s="831"/>
      <c r="AW152" s="831"/>
      <c r="AX152" s="831"/>
      <c r="AY152" s="831"/>
      <c r="AZ152" s="831"/>
      <c r="BA152" s="831"/>
      <c r="BB152"/>
      <c r="BC152"/>
      <c r="BD152"/>
      <c r="BE152"/>
      <c r="BF152"/>
      <c r="BG152"/>
      <c r="BL152" s="894"/>
      <c r="BM152" s="894"/>
      <c r="BN152" s="895"/>
      <c r="BO152" s="895"/>
      <c r="BP152" s="895"/>
      <c r="BQ152" s="895"/>
      <c r="BR152" s="895"/>
      <c r="BS152" s="895"/>
      <c r="BT152" s="895"/>
      <c r="BU152" s="895"/>
      <c r="BV152" s="895"/>
      <c r="BW152" s="895"/>
      <c r="BX152" s="895"/>
      <c r="BY152" s="895"/>
      <c r="BZ152" s="895"/>
      <c r="CA152" s="895"/>
      <c r="CB152" s="895"/>
      <c r="CC152" s="895"/>
      <c r="CD152" s="895"/>
      <c r="CE152" s="895"/>
      <c r="CF152" s="895"/>
      <c r="CG152" s="895"/>
      <c r="CH152" s="895"/>
      <c r="CI152" s="895"/>
      <c r="CJ152" s="895"/>
      <c r="CK152" s="895"/>
      <c r="CL152" s="895"/>
      <c r="CM152" s="895"/>
      <c r="CN152" s="895"/>
      <c r="CO152" s="895"/>
      <c r="CP152" s="895"/>
      <c r="CQ152" s="895"/>
      <c r="CR152" s="895"/>
      <c r="CS152" s="895"/>
      <c r="CT152" s="895"/>
      <c r="CU152" s="895"/>
      <c r="CV152" s="895"/>
      <c r="CW152" s="895"/>
      <c r="CX152" s="895"/>
    </row>
    <row r="153" spans="1:102" s="693" customFormat="1" hidden="1" outlineLevel="1">
      <c r="A153" s="896" t="s">
        <v>183</v>
      </c>
      <c r="B153" s="714">
        <v>1910</v>
      </c>
      <c r="C153" s="714">
        <v>1910</v>
      </c>
      <c r="D153" s="714">
        <v>1520</v>
      </c>
      <c r="E153" s="714">
        <v>1288.56</v>
      </c>
      <c r="F153" s="714">
        <v>0</v>
      </c>
      <c r="G153" s="714">
        <f t="shared" ref="G153:Q153" si="290">G249+G373+G426</f>
        <v>0</v>
      </c>
      <c r="H153" s="714">
        <f t="shared" si="290"/>
        <v>0</v>
      </c>
      <c r="I153" s="714">
        <f t="shared" si="290"/>
        <v>0</v>
      </c>
      <c r="J153" s="714">
        <f t="shared" si="290"/>
        <v>0</v>
      </c>
      <c r="K153" s="714">
        <f t="shared" si="290"/>
        <v>0</v>
      </c>
      <c r="L153" s="714">
        <f t="shared" si="290"/>
        <v>0</v>
      </c>
      <c r="M153" s="714">
        <f t="shared" si="290"/>
        <v>0</v>
      </c>
      <c r="N153" s="714">
        <f t="shared" si="290"/>
        <v>0</v>
      </c>
      <c r="O153" s="714">
        <f t="shared" si="290"/>
        <v>0</v>
      </c>
      <c r="P153" s="714">
        <f t="shared" si="290"/>
        <v>0</v>
      </c>
      <c r="Q153" s="714">
        <f t="shared" si="290"/>
        <v>0</v>
      </c>
      <c r="R153" s="715"/>
      <c r="S153" s="716"/>
      <c r="T153" s="716"/>
      <c r="U153" s="716"/>
      <c r="V153" s="716"/>
      <c r="W153" s="717"/>
      <c r="X153" s="716"/>
      <c r="Y153" s="716"/>
      <c r="Z153" s="716"/>
      <c r="AA153" s="717"/>
      <c r="AB153" s="716"/>
      <c r="AC153" s="716"/>
      <c r="AD153" s="716"/>
      <c r="AE153" s="717"/>
      <c r="AF153" s="716">
        <f t="shared" ref="AF153:AP153" si="291">AF249+AF373+AF426</f>
        <v>0</v>
      </c>
      <c r="AG153" s="714">
        <f t="shared" si="291"/>
        <v>0</v>
      </c>
      <c r="AH153" s="718">
        <f t="shared" si="291"/>
        <v>0</v>
      </c>
      <c r="AI153" s="717">
        <f t="shared" si="291"/>
        <v>0</v>
      </c>
      <c r="AJ153" s="716">
        <f t="shared" si="291"/>
        <v>0</v>
      </c>
      <c r="AK153" s="716">
        <f t="shared" si="291"/>
        <v>0</v>
      </c>
      <c r="AL153" s="718">
        <f t="shared" si="291"/>
        <v>0</v>
      </c>
      <c r="AM153" s="717">
        <f t="shared" si="291"/>
        <v>0</v>
      </c>
      <c r="AN153" s="716">
        <f t="shared" si="291"/>
        <v>0</v>
      </c>
      <c r="AO153" s="716">
        <f t="shared" si="291"/>
        <v>0</v>
      </c>
      <c r="AP153" s="718">
        <f t="shared" si="291"/>
        <v>0</v>
      </c>
      <c r="AQ153" s="1383"/>
      <c r="AR153" s="692"/>
      <c r="AS153" s="692"/>
      <c r="AT153" s="692"/>
      <c r="AU153" s="692"/>
      <c r="AV153" s="692"/>
      <c r="AW153" s="692"/>
      <c r="AX153" s="692"/>
      <c r="AY153" s="692"/>
      <c r="AZ153" s="692"/>
      <c r="BA153" s="692"/>
      <c r="BB153"/>
      <c r="BC153"/>
      <c r="BD153"/>
      <c r="BE153"/>
      <c r="BF153"/>
      <c r="BG153"/>
      <c r="BJ153" s="714"/>
      <c r="BK153" s="714"/>
      <c r="BL153" s="714"/>
      <c r="BM153" s="714"/>
      <c r="BN153" s="714"/>
    </row>
    <row r="154" spans="1:102" s="693" customFormat="1" hidden="1" outlineLevel="1">
      <c r="A154" s="896" t="s">
        <v>184</v>
      </c>
      <c r="B154" s="714">
        <v>9616</v>
      </c>
      <c r="C154" s="714">
        <v>13999</v>
      </c>
      <c r="D154" s="714">
        <v>13322</v>
      </c>
      <c r="E154" s="714">
        <v>12918.44</v>
      </c>
      <c r="F154" s="714">
        <v>14473</v>
      </c>
      <c r="G154" s="714">
        <f t="shared" ref="G154:Q154" si="292">G50-G153</f>
        <v>13790</v>
      </c>
      <c r="H154" s="714">
        <f t="shared" si="292"/>
        <v>12987</v>
      </c>
      <c r="I154" s="714">
        <f t="shared" si="292"/>
        <v>12850</v>
      </c>
      <c r="J154" s="714">
        <f t="shared" si="292"/>
        <v>14390.080549630573</v>
      </c>
      <c r="K154" s="714">
        <f t="shared" si="292"/>
        <v>14956.463768352045</v>
      </c>
      <c r="L154" s="714">
        <f t="shared" si="292"/>
        <v>16226.509874853924</v>
      </c>
      <c r="M154" s="714">
        <f t="shared" si="292"/>
        <v>17332.307880357461</v>
      </c>
      <c r="N154" s="714">
        <f t="shared" si="292"/>
        <v>18426.542028389209</v>
      </c>
      <c r="O154" s="714">
        <f t="shared" si="292"/>
        <v>18252.024626356528</v>
      </c>
      <c r="P154" s="714">
        <f t="shared" si="292"/>
        <v>18717.246008998056</v>
      </c>
      <c r="Q154" s="714">
        <f t="shared" si="292"/>
        <v>18974.247056095825</v>
      </c>
      <c r="R154" s="715"/>
      <c r="S154" s="716"/>
      <c r="T154" s="716"/>
      <c r="U154" s="716"/>
      <c r="V154" s="716"/>
      <c r="W154" s="717"/>
      <c r="X154" s="716"/>
      <c r="Y154" s="716"/>
      <c r="Z154" s="716"/>
      <c r="AA154" s="717"/>
      <c r="AB154" s="716"/>
      <c r="AC154" s="716"/>
      <c r="AD154" s="716"/>
      <c r="AE154" s="717"/>
      <c r="AF154" s="716">
        <f t="shared" ref="AF154:AL154" si="293">AF50-AF153</f>
        <v>3332</v>
      </c>
      <c r="AG154" s="714">
        <f t="shared" si="293"/>
        <v>3381</v>
      </c>
      <c r="AH154" s="718">
        <f t="shared" si="293"/>
        <v>3013</v>
      </c>
      <c r="AI154" s="717">
        <f t="shared" si="293"/>
        <v>3010.0000000000027</v>
      </c>
      <c r="AJ154" s="716">
        <f t="shared" si="293"/>
        <v>3234.9999999999991</v>
      </c>
      <c r="AK154" s="716">
        <f t="shared" si="293"/>
        <v>3382.0502326646747</v>
      </c>
      <c r="AL154" s="718">
        <f t="shared" si="293"/>
        <v>3222.9497673353235</v>
      </c>
      <c r="AM154" s="717">
        <f t="shared" ref="AM154:AP154" si="294">AM50-AM153</f>
        <v>3340</v>
      </c>
      <c r="AN154" s="716">
        <f t="shared" si="294"/>
        <v>3540.6947328506494</v>
      </c>
      <c r="AO154" s="716">
        <f t="shared" si="294"/>
        <v>3614.8301011461017</v>
      </c>
      <c r="AP154" s="718">
        <f t="shared" si="294"/>
        <v>3894.5557156338182</v>
      </c>
      <c r="AQ154" s="1383"/>
      <c r="AR154" s="692"/>
      <c r="AS154" s="692"/>
      <c r="AT154" s="692"/>
      <c r="AU154" s="692"/>
      <c r="AV154" s="692"/>
      <c r="AW154" s="692"/>
      <c r="AX154" s="692"/>
      <c r="AY154" s="692"/>
      <c r="AZ154" s="692"/>
      <c r="BA154" s="692"/>
      <c r="BB154"/>
      <c r="BC154"/>
      <c r="BD154"/>
      <c r="BE154"/>
      <c r="BF154"/>
      <c r="BG154"/>
      <c r="BJ154" s="714"/>
      <c r="BK154" s="714"/>
      <c r="BL154" s="714"/>
      <c r="BM154" s="714"/>
      <c r="BN154" s="714"/>
    </row>
    <row r="155" spans="1:102" s="693" customFormat="1" hidden="1" outlineLevel="1">
      <c r="A155" s="896" t="s">
        <v>185</v>
      </c>
      <c r="B155" s="725">
        <v>0.18994943109987358</v>
      </c>
      <c r="C155" s="725">
        <v>0.23902947102414371</v>
      </c>
      <c r="D155" s="725">
        <v>0.23506784535845993</v>
      </c>
      <c r="E155" s="725">
        <v>0.24905897549596098</v>
      </c>
      <c r="F155" s="725">
        <v>0.27736680720582596</v>
      </c>
      <c r="G155" s="725">
        <f t="shared" ref="G155:Q155" si="295">G154/G3</f>
        <v>0.27907070870603473</v>
      </c>
      <c r="H155" s="725">
        <f t="shared" si="295"/>
        <v>0.26767385300300917</v>
      </c>
      <c r="I155" s="725">
        <f t="shared" si="295"/>
        <v>0.2616628316601845</v>
      </c>
      <c r="J155" s="731">
        <f t="shared" si="295"/>
        <v>0.27536681503248084</v>
      </c>
      <c r="K155" s="731">
        <f t="shared" si="295"/>
        <v>0.28054923183218922</v>
      </c>
      <c r="L155" s="731">
        <f t="shared" si="295"/>
        <v>0.29511464032882062</v>
      </c>
      <c r="M155" s="731">
        <f t="shared" si="295"/>
        <v>0.30404870207941725</v>
      </c>
      <c r="N155" s="731">
        <f t="shared" si="295"/>
        <v>0.31657145680384513</v>
      </c>
      <c r="O155" s="731">
        <f t="shared" si="295"/>
        <v>0.3164635018441922</v>
      </c>
      <c r="P155" s="731">
        <f t="shared" si="295"/>
        <v>0.32040775481072764</v>
      </c>
      <c r="Q155" s="731">
        <f t="shared" si="295"/>
        <v>0.32129012860392958</v>
      </c>
      <c r="R155" s="721"/>
      <c r="S155" s="732"/>
      <c r="T155" s="732"/>
      <c r="U155" s="732"/>
      <c r="V155" s="732"/>
      <c r="W155" s="733"/>
      <c r="X155" s="732"/>
      <c r="Y155" s="732"/>
      <c r="Z155" s="732"/>
      <c r="AA155" s="733"/>
      <c r="AB155" s="732"/>
      <c r="AC155" s="732"/>
      <c r="AD155" s="732"/>
      <c r="AE155" s="733"/>
      <c r="AF155" s="732">
        <f t="shared" ref="AF155:AP155" si="296">AF154/AF3</f>
        <v>0.26720128307939056</v>
      </c>
      <c r="AG155" s="731">
        <f t="shared" si="296"/>
        <v>0.27882236516575953</v>
      </c>
      <c r="AH155" s="734">
        <f t="shared" si="296"/>
        <v>0.24452199318292486</v>
      </c>
      <c r="AI155" s="733">
        <f t="shared" si="296"/>
        <v>0.26085449345697226</v>
      </c>
      <c r="AJ155" s="732">
        <f t="shared" si="296"/>
        <v>0.26425420682894946</v>
      </c>
      <c r="AK155" s="732">
        <f t="shared" si="296"/>
        <v>0.27245924001538979</v>
      </c>
      <c r="AL155" s="734">
        <f t="shared" si="296"/>
        <v>0.2495518624073052</v>
      </c>
      <c r="AM155" s="733">
        <f t="shared" si="296"/>
        <v>0.26311643296045378</v>
      </c>
      <c r="AN155" s="732">
        <f t="shared" si="296"/>
        <v>0.2701886222808822</v>
      </c>
      <c r="AO155" s="732">
        <f t="shared" si="296"/>
        <v>0.27617665892377119</v>
      </c>
      <c r="AP155" s="734">
        <f t="shared" si="296"/>
        <v>0.29127977615862372</v>
      </c>
      <c r="AQ155" s="1383"/>
      <c r="AR155" s="692"/>
      <c r="AS155" s="692"/>
      <c r="AT155" s="692"/>
      <c r="AU155" s="692"/>
      <c r="AV155" s="692"/>
      <c r="AW155" s="692"/>
      <c r="AX155" s="692"/>
      <c r="AY155" s="692"/>
      <c r="AZ155" s="692"/>
      <c r="BA155" s="692"/>
      <c r="BB155"/>
      <c r="BC155"/>
      <c r="BD155"/>
      <c r="BE155"/>
      <c r="BF155"/>
      <c r="BG155"/>
      <c r="BJ155" s="725"/>
      <c r="BK155" s="725"/>
      <c r="BL155" s="725"/>
      <c r="BM155" s="725"/>
      <c r="BN155" s="725"/>
    </row>
    <row r="156" spans="1:102" s="693" customFormat="1" hidden="1" outlineLevel="1">
      <c r="A156" s="897"/>
      <c r="B156" s="732"/>
      <c r="C156" s="732"/>
      <c r="D156" s="732"/>
      <c r="E156" s="732"/>
      <c r="F156" s="714"/>
      <c r="G156" s="714"/>
      <c r="H156" s="714"/>
      <c r="I156" s="714"/>
      <c r="J156" s="732"/>
      <c r="K156" s="732"/>
      <c r="L156" s="732"/>
      <c r="M156" s="732"/>
      <c r="N156" s="732"/>
      <c r="O156" s="732"/>
      <c r="P156" s="732"/>
      <c r="Q156" s="732"/>
      <c r="R156" s="721"/>
      <c r="S156" s="732"/>
      <c r="T156" s="732"/>
      <c r="U156" s="732"/>
      <c r="V156" s="732"/>
      <c r="W156" s="733"/>
      <c r="X156" s="732"/>
      <c r="Y156" s="732"/>
      <c r="Z156" s="732"/>
      <c r="AA156" s="733"/>
      <c r="AB156" s="732"/>
      <c r="AC156" s="732"/>
      <c r="AD156" s="732"/>
      <c r="AE156" s="733"/>
      <c r="AF156" s="732"/>
      <c r="AG156" s="732"/>
      <c r="AH156" s="734"/>
      <c r="AI156" s="733"/>
      <c r="AJ156" s="732"/>
      <c r="AK156" s="732"/>
      <c r="AL156" s="734"/>
      <c r="AM156" s="732"/>
      <c r="AN156" s="732"/>
      <c r="AO156" s="732"/>
      <c r="AP156" s="732"/>
      <c r="AQ156" s="1383"/>
      <c r="AR156" s="692"/>
      <c r="AS156" s="692"/>
      <c r="AT156" s="692"/>
      <c r="AU156" s="692"/>
      <c r="AV156" s="692"/>
      <c r="AW156" s="692"/>
      <c r="AX156" s="692"/>
      <c r="AY156" s="692"/>
      <c r="AZ156" s="692"/>
      <c r="BA156" s="692"/>
      <c r="BB156"/>
      <c r="BC156"/>
      <c r="BD156"/>
      <c r="BE156"/>
      <c r="BF156"/>
      <c r="BG156"/>
      <c r="BJ156" s="742"/>
      <c r="BK156" s="742"/>
      <c r="BL156" s="742"/>
      <c r="BM156" s="742"/>
      <c r="BN156" s="742"/>
    </row>
    <row r="157" spans="1:102" s="693" customFormat="1" hidden="1" outlineLevel="1">
      <c r="A157" s="896" t="s">
        <v>186</v>
      </c>
      <c r="B157" s="714">
        <v>1084</v>
      </c>
      <c r="C157" s="714">
        <v>3036</v>
      </c>
      <c r="D157" s="714">
        <v>2876</v>
      </c>
      <c r="E157" s="714">
        <v>2955</v>
      </c>
      <c r="F157" s="714">
        <v>2743</v>
      </c>
      <c r="G157" s="714">
        <f t="shared" ref="G157:Q157" si="297">G252+G376+G428+G316</f>
        <v>3709</v>
      </c>
      <c r="H157" s="714">
        <f t="shared" si="297"/>
        <v>4963</v>
      </c>
      <c r="I157" s="714">
        <f t="shared" si="297"/>
        <v>3598</v>
      </c>
      <c r="J157" s="714">
        <f t="shared" si="297"/>
        <v>3598</v>
      </c>
      <c r="K157" s="714">
        <f t="shared" si="297"/>
        <v>3598</v>
      </c>
      <c r="L157" s="714">
        <f t="shared" si="297"/>
        <v>4497</v>
      </c>
      <c r="M157" s="714">
        <f t="shared" si="297"/>
        <v>4343</v>
      </c>
      <c r="N157" s="714">
        <f t="shared" si="297"/>
        <v>4243</v>
      </c>
      <c r="O157" s="714">
        <f t="shared" si="297"/>
        <v>3953</v>
      </c>
      <c r="P157" s="714">
        <f t="shared" si="297"/>
        <v>3953</v>
      </c>
      <c r="Q157" s="714">
        <f t="shared" si="297"/>
        <v>5261</v>
      </c>
      <c r="R157" s="715"/>
      <c r="S157" s="716">
        <v>722</v>
      </c>
      <c r="T157" s="716">
        <v>738</v>
      </c>
      <c r="U157" s="716">
        <v>739</v>
      </c>
      <c r="V157" s="716">
        <v>756</v>
      </c>
      <c r="W157" s="717">
        <v>683</v>
      </c>
      <c r="X157" s="716">
        <v>691</v>
      </c>
      <c r="Y157" s="716">
        <v>683</v>
      </c>
      <c r="Z157" s="716">
        <v>686</v>
      </c>
      <c r="AA157" s="717">
        <f t="shared" ref="AA157:AP157" si="298">AA252+AA376+AA428+AA316</f>
        <v>776</v>
      </c>
      <c r="AB157" s="716">
        <f t="shared" si="298"/>
        <v>991</v>
      </c>
      <c r="AC157" s="716">
        <f t="shared" si="298"/>
        <v>974</v>
      </c>
      <c r="AD157" s="716">
        <f t="shared" si="298"/>
        <v>968</v>
      </c>
      <c r="AE157" s="717">
        <f t="shared" si="298"/>
        <v>946</v>
      </c>
      <c r="AF157" s="716">
        <f t="shared" si="298"/>
        <v>954</v>
      </c>
      <c r="AG157" s="714">
        <f t="shared" si="298"/>
        <v>952</v>
      </c>
      <c r="AH157" s="718">
        <f t="shared" si="298"/>
        <v>2111</v>
      </c>
      <c r="AI157" s="717">
        <f t="shared" si="298"/>
        <v>869</v>
      </c>
      <c r="AJ157" s="716">
        <f t="shared" si="298"/>
        <v>954</v>
      </c>
      <c r="AK157" s="716">
        <f t="shared" si="298"/>
        <v>952</v>
      </c>
      <c r="AL157" s="718">
        <f t="shared" si="298"/>
        <v>823</v>
      </c>
      <c r="AM157" s="717">
        <f t="shared" si="298"/>
        <v>868</v>
      </c>
      <c r="AN157" s="716">
        <f t="shared" si="298"/>
        <v>954</v>
      </c>
      <c r="AO157" s="716">
        <f t="shared" si="298"/>
        <v>952</v>
      </c>
      <c r="AP157" s="718">
        <f t="shared" si="298"/>
        <v>824</v>
      </c>
      <c r="AQ157" s="1383"/>
      <c r="AR157" s="692"/>
      <c r="AS157" s="692"/>
      <c r="AT157" s="692"/>
      <c r="AU157" s="692"/>
      <c r="AV157" s="692"/>
      <c r="AW157" s="692"/>
      <c r="AX157" s="692"/>
      <c r="AY157" s="692"/>
      <c r="AZ157" s="692"/>
      <c r="BA157" s="692"/>
      <c r="BB157"/>
      <c r="BC157"/>
      <c r="BD157"/>
      <c r="BE157"/>
      <c r="BF157"/>
      <c r="BG157"/>
      <c r="BJ157" s="714"/>
      <c r="BK157" s="714"/>
      <c r="BL157" s="714"/>
      <c r="BM157" s="714"/>
      <c r="BN157" s="714"/>
    </row>
    <row r="158" spans="1:102" s="693" customFormat="1" hidden="1" outlineLevel="1">
      <c r="A158" s="896" t="s">
        <v>187</v>
      </c>
      <c r="B158" s="714"/>
      <c r="C158" s="714"/>
      <c r="D158" s="714"/>
      <c r="E158" s="714"/>
      <c r="F158" s="714">
        <v>73</v>
      </c>
      <c r="G158" s="714">
        <v>0</v>
      </c>
      <c r="H158" s="714"/>
      <c r="I158" s="714"/>
      <c r="J158" s="714"/>
      <c r="K158" s="714"/>
      <c r="L158" s="714"/>
      <c r="M158" s="714"/>
      <c r="N158" s="714"/>
      <c r="O158" s="714"/>
      <c r="P158" s="714"/>
      <c r="Q158" s="714"/>
      <c r="R158" s="715"/>
      <c r="S158" s="716"/>
      <c r="T158" s="716"/>
      <c r="U158" s="716"/>
      <c r="V158" s="716"/>
      <c r="W158" s="717">
        <v>56</v>
      </c>
      <c r="X158" s="716">
        <v>17</v>
      </c>
      <c r="Y158" s="716">
        <v>0</v>
      </c>
      <c r="Z158" s="716">
        <v>0</v>
      </c>
      <c r="AA158" s="717"/>
      <c r="AB158" s="716"/>
      <c r="AC158" s="716"/>
      <c r="AD158" s="716"/>
      <c r="AE158" s="717"/>
      <c r="AF158" s="716"/>
      <c r="AG158" s="716"/>
      <c r="AH158" s="718"/>
      <c r="AI158" s="717"/>
      <c r="AJ158" s="716"/>
      <c r="AK158" s="716"/>
      <c r="AL158" s="718"/>
      <c r="AM158" s="717"/>
      <c r="AN158" s="716"/>
      <c r="AO158" s="716"/>
      <c r="AP158" s="718"/>
      <c r="AQ158" s="1383"/>
      <c r="AR158" s="692"/>
      <c r="AS158" s="692"/>
      <c r="AT158" s="692"/>
      <c r="AU158" s="692"/>
      <c r="AV158" s="692"/>
      <c r="AW158" s="692"/>
      <c r="AX158" s="692"/>
      <c r="AY158" s="692"/>
      <c r="AZ158" s="692"/>
      <c r="BA158" s="692"/>
      <c r="BB158"/>
      <c r="BC158"/>
      <c r="BD158"/>
      <c r="BE158"/>
      <c r="BF158"/>
      <c r="BG158"/>
      <c r="BJ158" s="714"/>
      <c r="BK158" s="714"/>
      <c r="BL158" s="714"/>
      <c r="BM158" s="714"/>
      <c r="BN158" s="714"/>
    </row>
    <row r="159" spans="1:102" s="693" customFormat="1" hidden="1" outlineLevel="1">
      <c r="A159" s="896" t="s">
        <v>188</v>
      </c>
      <c r="B159" s="714"/>
      <c r="C159" s="714"/>
      <c r="D159" s="714"/>
      <c r="E159" s="714"/>
      <c r="F159" s="714">
        <v>2816</v>
      </c>
      <c r="G159" s="714">
        <f>G157+G158</f>
        <v>3709</v>
      </c>
      <c r="H159" s="714"/>
      <c r="I159" s="714"/>
      <c r="J159" s="714"/>
      <c r="K159" s="714"/>
      <c r="L159" s="714"/>
      <c r="M159" s="714"/>
      <c r="N159" s="714"/>
      <c r="O159" s="714"/>
      <c r="P159" s="714"/>
      <c r="Q159" s="714"/>
      <c r="R159" s="715"/>
      <c r="S159" s="716"/>
      <c r="T159" s="716"/>
      <c r="U159" s="716"/>
      <c r="V159" s="716"/>
      <c r="W159" s="717">
        <v>739</v>
      </c>
      <c r="X159" s="716">
        <v>708</v>
      </c>
      <c r="Y159" s="716">
        <v>683</v>
      </c>
      <c r="Z159" s="716">
        <v>686</v>
      </c>
      <c r="AA159" s="717">
        <f>AA157+AA158</f>
        <v>776</v>
      </c>
      <c r="AB159" s="716">
        <f>AB157+AB158</f>
        <v>991</v>
      </c>
      <c r="AC159" s="716">
        <f>AC157+AC158</f>
        <v>974</v>
      </c>
      <c r="AD159" s="716">
        <f>AD157+AD158</f>
        <v>968</v>
      </c>
      <c r="AE159" s="717">
        <f>AE157+AE158</f>
        <v>946</v>
      </c>
      <c r="AF159" s="716"/>
      <c r="AG159" s="716"/>
      <c r="AH159" s="718"/>
      <c r="AI159" s="717"/>
      <c r="AJ159" s="716"/>
      <c r="AK159" s="716"/>
      <c r="AL159" s="718"/>
      <c r="AM159" s="717"/>
      <c r="AN159" s="716"/>
      <c r="AO159" s="716"/>
      <c r="AP159" s="718"/>
      <c r="AQ159" s="1383"/>
      <c r="AR159" s="692"/>
      <c r="AS159" s="692"/>
      <c r="AT159" s="692"/>
      <c r="AU159" s="692"/>
      <c r="AV159" s="692"/>
      <c r="AW159" s="692"/>
      <c r="AX159" s="692"/>
      <c r="AY159" s="692"/>
      <c r="AZ159" s="692"/>
      <c r="BA159" s="692"/>
      <c r="BB159"/>
      <c r="BC159"/>
      <c r="BD159"/>
      <c r="BE159"/>
      <c r="BF159"/>
      <c r="BG159"/>
      <c r="BJ159" s="714"/>
      <c r="BK159" s="714"/>
      <c r="BL159" s="714"/>
      <c r="BM159" s="714"/>
      <c r="BN159" s="714"/>
    </row>
    <row r="160" spans="1:102" s="693" customFormat="1" hidden="1" outlineLevel="1">
      <c r="A160" s="896" t="s">
        <v>189</v>
      </c>
      <c r="B160" s="714">
        <v>975</v>
      </c>
      <c r="C160" s="714">
        <v>1200</v>
      </c>
      <c r="D160" s="714">
        <v>358</v>
      </c>
      <c r="E160" s="714">
        <v>258</v>
      </c>
      <c r="F160" s="714">
        <v>433</v>
      </c>
      <c r="G160" s="714">
        <f t="shared" ref="G160:Q160" si="299">G253+G377+G429+G317</f>
        <v>369</v>
      </c>
      <c r="H160" s="714">
        <f t="shared" si="299"/>
        <v>903</v>
      </c>
      <c r="I160" s="714">
        <f t="shared" si="299"/>
        <v>1092</v>
      </c>
      <c r="J160" s="714">
        <f t="shared" si="299"/>
        <v>283</v>
      </c>
      <c r="K160" s="714">
        <f t="shared" si="299"/>
        <v>283</v>
      </c>
      <c r="L160" s="714">
        <f t="shared" si="299"/>
        <v>283</v>
      </c>
      <c r="M160" s="714">
        <f t="shared" si="299"/>
        <v>283</v>
      </c>
      <c r="N160" s="714">
        <f t="shared" si="299"/>
        <v>283</v>
      </c>
      <c r="O160" s="714">
        <f t="shared" si="299"/>
        <v>283</v>
      </c>
      <c r="P160" s="714">
        <f t="shared" si="299"/>
        <v>283</v>
      </c>
      <c r="Q160" s="714">
        <f t="shared" si="299"/>
        <v>283</v>
      </c>
      <c r="R160" s="715"/>
      <c r="S160" s="716">
        <v>38</v>
      </c>
      <c r="T160" s="716">
        <v>89</v>
      </c>
      <c r="U160" s="716">
        <v>20</v>
      </c>
      <c r="V160" s="716">
        <v>111</v>
      </c>
      <c r="W160" s="717">
        <v>20</v>
      </c>
      <c r="X160" s="716">
        <v>75</v>
      </c>
      <c r="Y160" s="716">
        <v>120</v>
      </c>
      <c r="Z160" s="716">
        <v>218</v>
      </c>
      <c r="AA160" s="717">
        <f t="shared" ref="AA160:AP160" si="300">AA253+AA377+AA429+AA317</f>
        <v>118</v>
      </c>
      <c r="AB160" s="716">
        <f t="shared" si="300"/>
        <v>152</v>
      </c>
      <c r="AC160" s="716">
        <f t="shared" si="300"/>
        <v>0</v>
      </c>
      <c r="AD160" s="716">
        <f t="shared" si="300"/>
        <v>99</v>
      </c>
      <c r="AE160" s="717">
        <f t="shared" si="300"/>
        <v>36</v>
      </c>
      <c r="AF160" s="716">
        <f t="shared" si="300"/>
        <v>111</v>
      </c>
      <c r="AG160" s="714">
        <f t="shared" si="300"/>
        <v>165</v>
      </c>
      <c r="AH160" s="718">
        <f t="shared" si="300"/>
        <v>288</v>
      </c>
      <c r="AI160" s="717">
        <f t="shared" si="300"/>
        <v>521</v>
      </c>
      <c r="AJ160" s="716">
        <f t="shared" si="300"/>
        <v>207.5</v>
      </c>
      <c r="AK160" s="716">
        <f t="shared" si="300"/>
        <v>112.5</v>
      </c>
      <c r="AL160" s="718">
        <f t="shared" si="300"/>
        <v>425</v>
      </c>
      <c r="AM160" s="717">
        <f t="shared" si="300"/>
        <v>41</v>
      </c>
      <c r="AN160" s="716">
        <f t="shared" si="300"/>
        <v>63.5</v>
      </c>
      <c r="AO160" s="716">
        <f t="shared" si="300"/>
        <v>54.5</v>
      </c>
      <c r="AP160" s="718">
        <f t="shared" si="300"/>
        <v>124</v>
      </c>
      <c r="AQ160" s="1383"/>
      <c r="AR160" s="692"/>
      <c r="AS160" s="692"/>
      <c r="AT160" s="692"/>
      <c r="AU160" s="692"/>
      <c r="AV160" s="692"/>
      <c r="AW160" s="692"/>
      <c r="AX160" s="692"/>
      <c r="AY160" s="692"/>
      <c r="AZ160" s="692"/>
      <c r="BA160" s="692"/>
      <c r="BB160"/>
      <c r="BC160"/>
      <c r="BD160"/>
      <c r="BE160"/>
      <c r="BF160"/>
      <c r="BG160"/>
      <c r="BJ160" s="714"/>
      <c r="BK160" s="714"/>
      <c r="BL160" s="714"/>
      <c r="BM160" s="714"/>
      <c r="BN160" s="714"/>
    </row>
    <row r="161" spans="1:102" s="693" customFormat="1" hidden="1" outlineLevel="1">
      <c r="A161" s="896" t="s">
        <v>190</v>
      </c>
      <c r="B161" s="714"/>
      <c r="C161" s="714"/>
      <c r="D161" s="714"/>
      <c r="E161" s="714"/>
      <c r="F161" s="714">
        <v>1070</v>
      </c>
      <c r="G161" s="714">
        <v>-83</v>
      </c>
      <c r="H161" s="714"/>
      <c r="I161" s="714"/>
      <c r="J161" s="714"/>
      <c r="K161" s="714"/>
      <c r="L161" s="714"/>
      <c r="M161" s="714"/>
      <c r="N161" s="714"/>
      <c r="O161" s="714"/>
      <c r="P161" s="714"/>
      <c r="Q161" s="714"/>
      <c r="R161" s="715"/>
      <c r="S161" s="716"/>
      <c r="T161" s="716"/>
      <c r="U161" s="716"/>
      <c r="V161" s="716"/>
      <c r="W161" s="717">
        <v>-2</v>
      </c>
      <c r="X161" s="716">
        <v>0</v>
      </c>
      <c r="Y161" s="716">
        <v>0</v>
      </c>
      <c r="Z161" s="716">
        <v>1072</v>
      </c>
      <c r="AA161" s="717">
        <f>20-AB161</f>
        <v>11</v>
      </c>
      <c r="AB161" s="716">
        <v>9</v>
      </c>
      <c r="AC161" s="716">
        <v>-103</v>
      </c>
      <c r="AD161" s="716">
        <f>+G161-SUM(AA161:AC161)</f>
        <v>0</v>
      </c>
      <c r="AE161" s="717"/>
      <c r="AF161" s="716"/>
      <c r="AG161" s="716"/>
      <c r="AH161" s="718"/>
      <c r="AI161" s="717"/>
      <c r="AJ161" s="716"/>
      <c r="AK161" s="716"/>
      <c r="AL161" s="718"/>
      <c r="AM161" s="717"/>
      <c r="AN161" s="716"/>
      <c r="AO161" s="716"/>
      <c r="AP161" s="718"/>
      <c r="AQ161" s="1383"/>
      <c r="AR161" s="692"/>
      <c r="AS161" s="692"/>
      <c r="AT161" s="692"/>
      <c r="AU161" s="692"/>
      <c r="AV161" s="692"/>
      <c r="AW161" s="692"/>
      <c r="AX161" s="692"/>
      <c r="AY161" s="692"/>
      <c r="AZ161" s="692"/>
      <c r="BA161" s="692"/>
      <c r="BB161"/>
      <c r="BC161"/>
      <c r="BD161"/>
      <c r="BE161"/>
      <c r="BF161"/>
      <c r="BG161"/>
      <c r="BJ161" s="714"/>
      <c r="BK161" s="714"/>
      <c r="BL161" s="714"/>
      <c r="BM161" s="714"/>
      <c r="BN161" s="714"/>
    </row>
    <row r="162" spans="1:102" s="693" customFormat="1" hidden="1" outlineLevel="1">
      <c r="A162" s="896" t="s">
        <v>191</v>
      </c>
      <c r="B162" s="714"/>
      <c r="C162" s="714"/>
      <c r="D162" s="714"/>
      <c r="E162" s="714"/>
      <c r="F162" s="714">
        <v>1503</v>
      </c>
      <c r="G162" s="714">
        <f>G161+G160</f>
        <v>286</v>
      </c>
      <c r="H162" s="714"/>
      <c r="I162" s="714"/>
      <c r="J162" s="714"/>
      <c r="K162" s="714"/>
      <c r="L162" s="714"/>
      <c r="M162" s="714"/>
      <c r="N162" s="714"/>
      <c r="O162" s="714"/>
      <c r="P162" s="714"/>
      <c r="Q162" s="714"/>
      <c r="R162" s="715"/>
      <c r="S162" s="716"/>
      <c r="T162" s="716"/>
      <c r="U162" s="716"/>
      <c r="V162" s="716"/>
      <c r="W162" s="898">
        <v>18</v>
      </c>
      <c r="X162" s="899">
        <v>75</v>
      </c>
      <c r="Y162" s="899">
        <v>120</v>
      </c>
      <c r="Z162" s="899">
        <v>1290</v>
      </c>
      <c r="AA162" s="717">
        <f>AA161+AA160</f>
        <v>129</v>
      </c>
      <c r="AB162" s="716">
        <f>AB161+AB160</f>
        <v>161</v>
      </c>
      <c r="AC162" s="716">
        <f>AC161+AC160</f>
        <v>-103</v>
      </c>
      <c r="AD162" s="716">
        <f>AD161+AD160</f>
        <v>99</v>
      </c>
      <c r="AE162" s="717">
        <f>AE161+AE160</f>
        <v>36</v>
      </c>
      <c r="AF162" s="716"/>
      <c r="AG162" s="716"/>
      <c r="AH162" s="718"/>
      <c r="AI162" s="717"/>
      <c r="AJ162" s="716"/>
      <c r="AK162" s="716"/>
      <c r="AL162" s="718"/>
      <c r="AM162" s="717"/>
      <c r="AN162" s="716"/>
      <c r="AO162" s="716"/>
      <c r="AP162" s="718"/>
      <c r="AQ162" s="1383"/>
      <c r="AR162" s="692"/>
      <c r="AS162" s="692"/>
      <c r="AT162" s="692"/>
      <c r="AU162" s="692"/>
      <c r="AV162" s="692"/>
      <c r="AW162" s="692"/>
      <c r="AX162" s="692"/>
      <c r="AY162" s="692"/>
      <c r="AZ162" s="692"/>
      <c r="BA162" s="692"/>
      <c r="BB162"/>
      <c r="BC162"/>
      <c r="BD162"/>
      <c r="BE162"/>
      <c r="BF162"/>
      <c r="BG162"/>
      <c r="BJ162" s="714"/>
      <c r="BK162" s="714"/>
      <c r="BL162" s="714"/>
      <c r="BM162" s="714"/>
      <c r="BN162" s="714"/>
    </row>
    <row r="163" spans="1:102" s="693" customFormat="1" hidden="1" outlineLevel="1">
      <c r="A163" s="897" t="s">
        <v>192</v>
      </c>
      <c r="B163" s="714">
        <v>2059</v>
      </c>
      <c r="C163" s="714">
        <v>4236</v>
      </c>
      <c r="D163" s="714">
        <v>3234</v>
      </c>
      <c r="E163" s="714">
        <v>3213</v>
      </c>
      <c r="F163" s="714">
        <v>3176</v>
      </c>
      <c r="G163" s="714">
        <f t="shared" ref="G163:Q163" si="301">G254+G378+G430+G318</f>
        <v>4078</v>
      </c>
      <c r="H163" s="714">
        <f t="shared" si="301"/>
        <v>5866</v>
      </c>
      <c r="I163" s="714">
        <f t="shared" si="301"/>
        <v>4690</v>
      </c>
      <c r="J163" s="714">
        <f t="shared" si="301"/>
        <v>3881</v>
      </c>
      <c r="K163" s="714">
        <f t="shared" si="301"/>
        <v>3881</v>
      </c>
      <c r="L163" s="714">
        <f t="shared" si="301"/>
        <v>4780</v>
      </c>
      <c r="M163" s="714">
        <f t="shared" si="301"/>
        <v>4626</v>
      </c>
      <c r="N163" s="714">
        <f t="shared" si="301"/>
        <v>4526</v>
      </c>
      <c r="O163" s="714">
        <f t="shared" si="301"/>
        <v>4236</v>
      </c>
      <c r="P163" s="714">
        <f t="shared" si="301"/>
        <v>4236</v>
      </c>
      <c r="Q163" s="714">
        <f t="shared" si="301"/>
        <v>5544</v>
      </c>
      <c r="R163" s="715"/>
      <c r="S163" s="716">
        <v>760</v>
      </c>
      <c r="T163" s="716">
        <v>827</v>
      </c>
      <c r="U163" s="716">
        <v>759</v>
      </c>
      <c r="V163" s="716">
        <v>867</v>
      </c>
      <c r="W163" s="717">
        <v>703</v>
      </c>
      <c r="X163" s="716">
        <v>766</v>
      </c>
      <c r="Y163" s="716">
        <v>803</v>
      </c>
      <c r="Z163" s="716">
        <v>904</v>
      </c>
      <c r="AA163" s="717">
        <f t="shared" ref="AA163:AP163" si="302">AA254+AA378+AA430+AA318</f>
        <v>894</v>
      </c>
      <c r="AB163" s="716">
        <f t="shared" si="302"/>
        <v>1143</v>
      </c>
      <c r="AC163" s="716">
        <f t="shared" si="302"/>
        <v>974</v>
      </c>
      <c r="AD163" s="716">
        <f t="shared" si="302"/>
        <v>1067</v>
      </c>
      <c r="AE163" s="717">
        <f t="shared" si="302"/>
        <v>962</v>
      </c>
      <c r="AF163" s="716">
        <f t="shared" si="302"/>
        <v>1065</v>
      </c>
      <c r="AG163" s="714">
        <f t="shared" si="302"/>
        <v>1117</v>
      </c>
      <c r="AH163" s="718">
        <f t="shared" si="302"/>
        <v>2399</v>
      </c>
      <c r="AI163" s="717">
        <f t="shared" si="302"/>
        <v>1390</v>
      </c>
      <c r="AJ163" s="716">
        <f t="shared" si="302"/>
        <v>1161.5</v>
      </c>
      <c r="AK163" s="716">
        <f t="shared" si="302"/>
        <v>1064.5</v>
      </c>
      <c r="AL163" s="718">
        <f t="shared" si="302"/>
        <v>1248</v>
      </c>
      <c r="AM163" s="717">
        <f t="shared" si="302"/>
        <v>909</v>
      </c>
      <c r="AN163" s="716">
        <f t="shared" si="302"/>
        <v>1017.5</v>
      </c>
      <c r="AO163" s="716">
        <f t="shared" si="302"/>
        <v>1006.5</v>
      </c>
      <c r="AP163" s="718">
        <f t="shared" si="302"/>
        <v>948</v>
      </c>
      <c r="AQ163" s="1383"/>
      <c r="AR163" s="692"/>
      <c r="AS163" s="692"/>
      <c r="AT163" s="692"/>
      <c r="AU163" s="692"/>
      <c r="AV163" s="692"/>
      <c r="AW163" s="692"/>
      <c r="AX163" s="692"/>
      <c r="AY163" s="692"/>
      <c r="AZ163" s="692"/>
      <c r="BA163" s="692"/>
      <c r="BB163"/>
      <c r="BC163"/>
      <c r="BD163"/>
      <c r="BE163"/>
      <c r="BF163"/>
      <c r="BG163"/>
      <c r="BJ163" s="714"/>
      <c r="BK163" s="714"/>
      <c r="BL163" s="714"/>
      <c r="BM163" s="714"/>
      <c r="BN163" s="714"/>
    </row>
    <row r="164" spans="1:102" s="693" customFormat="1" hidden="1" outlineLevel="1">
      <c r="A164" s="896" t="s">
        <v>193</v>
      </c>
      <c r="B164" s="714"/>
      <c r="C164" s="714"/>
      <c r="D164" s="714"/>
      <c r="E164" s="714"/>
      <c r="F164" s="714">
        <v>1143</v>
      </c>
      <c r="G164" s="714">
        <v>0</v>
      </c>
      <c r="H164" s="714"/>
      <c r="I164" s="714"/>
      <c r="J164" s="714"/>
      <c r="K164" s="714"/>
      <c r="L164" s="714"/>
      <c r="M164" s="714"/>
      <c r="N164" s="714"/>
      <c r="O164" s="714"/>
      <c r="P164" s="714"/>
      <c r="Q164" s="714"/>
      <c r="R164" s="715"/>
      <c r="S164" s="716"/>
      <c r="T164" s="716"/>
      <c r="U164" s="716"/>
      <c r="V164" s="716"/>
      <c r="W164" s="717">
        <v>54</v>
      </c>
      <c r="X164" s="716">
        <v>17</v>
      </c>
      <c r="Y164" s="716">
        <v>0</v>
      </c>
      <c r="Z164" s="716">
        <v>1072</v>
      </c>
      <c r="AA164" s="717"/>
      <c r="AB164" s="716"/>
      <c r="AC164" s="716"/>
      <c r="AD164" s="716">
        <f>+G164-SUM(AA164:AC164)</f>
        <v>0</v>
      </c>
      <c r="AE164" s="717"/>
      <c r="AF164" s="716"/>
      <c r="AG164" s="716"/>
      <c r="AH164" s="718"/>
      <c r="AI164" s="717"/>
      <c r="AJ164" s="716"/>
      <c r="AK164" s="716"/>
      <c r="AL164" s="718"/>
      <c r="AM164" s="717"/>
      <c r="AN164" s="716"/>
      <c r="AO164" s="716"/>
      <c r="AP164" s="718"/>
      <c r="AQ164" s="1383"/>
      <c r="AR164" s="692"/>
      <c r="AS164" s="692"/>
      <c r="AT164" s="692"/>
      <c r="AU164" s="692"/>
      <c r="AV164" s="692"/>
      <c r="AW164" s="692"/>
      <c r="AX164" s="692"/>
      <c r="AY164" s="692"/>
      <c r="AZ164" s="692"/>
      <c r="BA164" s="692"/>
      <c r="BB164"/>
      <c r="BC164"/>
      <c r="BD164"/>
      <c r="BE164"/>
      <c r="BF164"/>
      <c r="BG164"/>
      <c r="BJ164" s="714"/>
      <c r="BK164" s="714"/>
      <c r="BL164" s="714"/>
      <c r="BM164" s="714"/>
      <c r="BN164" s="714"/>
    </row>
    <row r="165" spans="1:102" s="693" customFormat="1" hidden="1" outlineLevel="1">
      <c r="A165" s="896" t="s">
        <v>194</v>
      </c>
      <c r="B165" s="714"/>
      <c r="C165" s="714"/>
      <c r="D165" s="714"/>
      <c r="E165" s="714"/>
      <c r="F165" s="714">
        <v>4319</v>
      </c>
      <c r="G165" s="714">
        <f>G163+G164</f>
        <v>4078</v>
      </c>
      <c r="H165" s="714"/>
      <c r="I165" s="714"/>
      <c r="J165" s="714"/>
      <c r="K165" s="714"/>
      <c r="L165" s="714"/>
      <c r="M165" s="714"/>
      <c r="N165" s="714"/>
      <c r="O165" s="714"/>
      <c r="P165" s="714"/>
      <c r="Q165" s="714"/>
      <c r="R165" s="715"/>
      <c r="S165" s="716"/>
      <c r="T165" s="716"/>
      <c r="U165" s="716"/>
      <c r="V165" s="716"/>
      <c r="W165" s="717">
        <v>757</v>
      </c>
      <c r="X165" s="716">
        <v>783</v>
      </c>
      <c r="Y165" s="716">
        <v>803</v>
      </c>
      <c r="Z165" s="716">
        <v>1976</v>
      </c>
      <c r="AA165" s="717">
        <f>AA163+AA164</f>
        <v>894</v>
      </c>
      <c r="AB165" s="716">
        <f>AB163+AB164</f>
        <v>1143</v>
      </c>
      <c r="AC165" s="716">
        <f>AC163+AC164</f>
        <v>974</v>
      </c>
      <c r="AD165" s="716">
        <f>AD163+AD164</f>
        <v>1067</v>
      </c>
      <c r="AE165" s="717">
        <f>AE163+AE164</f>
        <v>962</v>
      </c>
      <c r="AF165" s="716"/>
      <c r="AG165" s="716"/>
      <c r="AH165" s="718"/>
      <c r="AI165" s="717"/>
      <c r="AJ165" s="716"/>
      <c r="AK165" s="716"/>
      <c r="AL165" s="718"/>
      <c r="AM165" s="717"/>
      <c r="AN165" s="716"/>
      <c r="AO165" s="716"/>
      <c r="AP165" s="718"/>
      <c r="AQ165" s="1383"/>
      <c r="AR165" s="692"/>
      <c r="AS165" s="692"/>
      <c r="AT165" s="692"/>
      <c r="AU165" s="692"/>
      <c r="AV165" s="692"/>
      <c r="AW165" s="692"/>
      <c r="AX165" s="692"/>
      <c r="AY165" s="692"/>
      <c r="AZ165" s="692"/>
      <c r="BA165" s="692"/>
      <c r="BB165"/>
      <c r="BC165"/>
      <c r="BD165"/>
      <c r="BE165"/>
      <c r="BF165"/>
      <c r="BG165"/>
      <c r="BJ165" s="714"/>
      <c r="BK165" s="714"/>
      <c r="BL165" s="714"/>
      <c r="BM165" s="714"/>
      <c r="BN165" s="714"/>
    </row>
    <row r="166" spans="1:102" s="693" customFormat="1" hidden="1" outlineLevel="1">
      <c r="A166" s="897" t="s">
        <v>195</v>
      </c>
      <c r="B166" s="714">
        <v>600</v>
      </c>
      <c r="C166" s="714">
        <v>224</v>
      </c>
      <c r="D166" s="714">
        <v>330</v>
      </c>
      <c r="E166" s="714">
        <v>331</v>
      </c>
      <c r="F166" s="714">
        <v>0</v>
      </c>
      <c r="G166" s="714">
        <f t="shared" ref="G166:Q166" si="303">G379+G431+G319</f>
        <v>-10</v>
      </c>
      <c r="H166" s="714">
        <f t="shared" si="303"/>
        <v>-6</v>
      </c>
      <c r="I166" s="714">
        <f t="shared" si="303"/>
        <v>15</v>
      </c>
      <c r="J166" s="714">
        <f t="shared" si="303"/>
        <v>0</v>
      </c>
      <c r="K166" s="714">
        <f t="shared" si="303"/>
        <v>0</v>
      </c>
      <c r="L166" s="714">
        <f t="shared" si="303"/>
        <v>0</v>
      </c>
      <c r="M166" s="714">
        <f t="shared" si="303"/>
        <v>0</v>
      </c>
      <c r="N166" s="714">
        <f t="shared" si="303"/>
        <v>0</v>
      </c>
      <c r="O166" s="714">
        <f t="shared" si="303"/>
        <v>0</v>
      </c>
      <c r="P166" s="714">
        <f t="shared" si="303"/>
        <v>0</v>
      </c>
      <c r="Q166" s="714">
        <f t="shared" si="303"/>
        <v>0</v>
      </c>
      <c r="R166" s="715"/>
      <c r="S166" s="716">
        <v>53</v>
      </c>
      <c r="T166" s="716">
        <v>82</v>
      </c>
      <c r="U166" s="716">
        <v>75</v>
      </c>
      <c r="V166" s="716">
        <v>121</v>
      </c>
      <c r="W166" s="717">
        <v>-3</v>
      </c>
      <c r="X166" s="716">
        <v>4</v>
      </c>
      <c r="Y166" s="716">
        <v>-2</v>
      </c>
      <c r="Z166" s="716">
        <v>18</v>
      </c>
      <c r="AA166" s="717"/>
      <c r="AB166" s="716">
        <f t="shared" ref="AB166:AP166" si="304">AB379+AB431+AB319</f>
        <v>-3</v>
      </c>
      <c r="AC166" s="716">
        <f t="shared" si="304"/>
        <v>-3</v>
      </c>
      <c r="AD166" s="716">
        <f t="shared" si="304"/>
        <v>5</v>
      </c>
      <c r="AE166" s="717">
        <f t="shared" si="304"/>
        <v>-1</v>
      </c>
      <c r="AF166" s="716">
        <f t="shared" si="304"/>
        <v>-2</v>
      </c>
      <c r="AG166" s="714">
        <f t="shared" si="304"/>
        <v>-3</v>
      </c>
      <c r="AH166" s="718">
        <f t="shared" si="304"/>
        <v>0</v>
      </c>
      <c r="AI166" s="717">
        <f t="shared" si="304"/>
        <v>-1</v>
      </c>
      <c r="AJ166" s="716">
        <f t="shared" si="304"/>
        <v>3.75</v>
      </c>
      <c r="AK166" s="716">
        <f t="shared" si="304"/>
        <v>3.75</v>
      </c>
      <c r="AL166" s="718">
        <f t="shared" si="304"/>
        <v>8.5</v>
      </c>
      <c r="AM166" s="717">
        <f t="shared" si="304"/>
        <v>0</v>
      </c>
      <c r="AN166" s="716">
        <f t="shared" si="304"/>
        <v>0</v>
      </c>
      <c r="AO166" s="716">
        <f t="shared" si="304"/>
        <v>0</v>
      </c>
      <c r="AP166" s="718">
        <f t="shared" si="304"/>
        <v>0</v>
      </c>
      <c r="AQ166" s="1383"/>
      <c r="AR166" s="692"/>
      <c r="AS166" s="692"/>
      <c r="AT166" s="692"/>
      <c r="AU166" s="692"/>
      <c r="AV166" s="692"/>
      <c r="AW166" s="692"/>
      <c r="AX166" s="692"/>
      <c r="AY166" s="692"/>
      <c r="AZ166" s="692"/>
      <c r="BA166" s="692"/>
      <c r="BB166"/>
      <c r="BC166"/>
      <c r="BD166"/>
      <c r="BE166"/>
      <c r="BF166"/>
      <c r="BG166"/>
      <c r="BJ166" s="714"/>
      <c r="BK166" s="714"/>
      <c r="BL166" s="714"/>
      <c r="BM166" s="714"/>
      <c r="BN166" s="714"/>
    </row>
    <row r="167" spans="1:102" s="693" customFormat="1" hidden="1" outlineLevel="1">
      <c r="A167" s="897" t="s">
        <v>196</v>
      </c>
      <c r="B167" s="714">
        <v>-179</v>
      </c>
      <c r="C167" s="714">
        <v>451</v>
      </c>
      <c r="D167" s="714">
        <v>85</v>
      </c>
      <c r="E167" s="714">
        <v>31</v>
      </c>
      <c r="F167" s="714">
        <v>208</v>
      </c>
      <c r="G167" s="714">
        <f t="shared" ref="G167:Q167" si="305">G255+G380+G432+G320</f>
        <v>745</v>
      </c>
      <c r="H167" s="714">
        <f t="shared" si="305"/>
        <v>61</v>
      </c>
      <c r="I167" s="714">
        <f t="shared" si="305"/>
        <v>-484</v>
      </c>
      <c r="J167" s="714">
        <f t="shared" si="305"/>
        <v>424</v>
      </c>
      <c r="K167" s="714">
        <f t="shared" si="305"/>
        <v>124</v>
      </c>
      <c r="L167" s="714">
        <f t="shared" si="305"/>
        <v>124</v>
      </c>
      <c r="M167" s="714">
        <f t="shared" si="305"/>
        <v>124</v>
      </c>
      <c r="N167" s="714">
        <f t="shared" si="305"/>
        <v>124</v>
      </c>
      <c r="O167" s="714">
        <f t="shared" si="305"/>
        <v>124</v>
      </c>
      <c r="P167" s="714">
        <f t="shared" si="305"/>
        <v>124</v>
      </c>
      <c r="Q167" s="714">
        <f t="shared" si="305"/>
        <v>124</v>
      </c>
      <c r="R167" s="715"/>
      <c r="S167" s="716">
        <v>5</v>
      </c>
      <c r="T167" s="716">
        <v>-124</v>
      </c>
      <c r="U167" s="716">
        <v>116</v>
      </c>
      <c r="V167" s="716">
        <v>34</v>
      </c>
      <c r="W167" s="717">
        <v>285</v>
      </c>
      <c r="X167" s="716">
        <v>-94</v>
      </c>
      <c r="Y167" s="716">
        <v>43</v>
      </c>
      <c r="Z167" s="716">
        <v>-26</v>
      </c>
      <c r="AA167" s="717">
        <f t="shared" ref="AA167:AP167" si="306">AA255+AA380+AA432+AA320</f>
        <v>-19</v>
      </c>
      <c r="AB167" s="716">
        <f t="shared" si="306"/>
        <v>172</v>
      </c>
      <c r="AC167" s="716">
        <f t="shared" si="306"/>
        <v>284</v>
      </c>
      <c r="AD167" s="716">
        <f t="shared" si="306"/>
        <v>308</v>
      </c>
      <c r="AE167" s="717">
        <f t="shared" si="306"/>
        <v>-171</v>
      </c>
      <c r="AF167" s="716">
        <f t="shared" si="306"/>
        <v>176</v>
      </c>
      <c r="AG167" s="714">
        <f t="shared" si="306"/>
        <v>-2</v>
      </c>
      <c r="AH167" s="718">
        <f t="shared" si="306"/>
        <v>58</v>
      </c>
      <c r="AI167" s="717">
        <f t="shared" si="306"/>
        <v>-301</v>
      </c>
      <c r="AJ167" s="716">
        <f t="shared" si="306"/>
        <v>-119</v>
      </c>
      <c r="AK167" s="716">
        <f t="shared" si="306"/>
        <v>-143</v>
      </c>
      <c r="AL167" s="718">
        <f t="shared" si="306"/>
        <v>79</v>
      </c>
      <c r="AM167" s="717">
        <f t="shared" si="306"/>
        <v>-31</v>
      </c>
      <c r="AN167" s="716">
        <f t="shared" si="306"/>
        <v>108</v>
      </c>
      <c r="AO167" s="716">
        <f t="shared" si="306"/>
        <v>84</v>
      </c>
      <c r="AP167" s="718">
        <f t="shared" si="306"/>
        <v>263</v>
      </c>
      <c r="AQ167" s="1383"/>
      <c r="AR167" s="692"/>
      <c r="AS167" s="692"/>
      <c r="AT167" s="692"/>
      <c r="AU167" s="692"/>
      <c r="AV167" s="692"/>
      <c r="AW167" s="692"/>
      <c r="AX167" s="692"/>
      <c r="AY167" s="692"/>
      <c r="AZ167" s="692"/>
      <c r="BA167" s="692"/>
      <c r="BB167"/>
      <c r="BC167"/>
      <c r="BD167"/>
      <c r="BE167"/>
      <c r="BF167"/>
      <c r="BG167"/>
      <c r="BJ167" s="714"/>
      <c r="BK167" s="714"/>
      <c r="BL167" s="714"/>
      <c r="BM167" s="714"/>
      <c r="BN167" s="714"/>
    </row>
    <row r="168" spans="1:102" s="693" customFormat="1" hidden="1" outlineLevel="1">
      <c r="A168" s="896" t="s">
        <v>197</v>
      </c>
      <c r="B168" s="714"/>
      <c r="C168" s="714"/>
      <c r="D168" s="714"/>
      <c r="E168" s="714"/>
      <c r="F168" s="714">
        <v>-939</v>
      </c>
      <c r="G168" s="714">
        <f>-12627+8</f>
        <v>-12619</v>
      </c>
      <c r="H168" s="714"/>
      <c r="I168" s="714"/>
      <c r="J168" s="714"/>
      <c r="K168" s="714"/>
      <c r="L168" s="714"/>
      <c r="M168" s="714"/>
      <c r="N168" s="714"/>
      <c r="O168" s="714"/>
      <c r="P168" s="714"/>
      <c r="Q168" s="714"/>
      <c r="R168" s="715"/>
      <c r="S168" s="716"/>
      <c r="T168" s="716"/>
      <c r="U168" s="716"/>
      <c r="V168" s="716"/>
      <c r="W168" s="717">
        <v>-871</v>
      </c>
      <c r="X168" s="716">
        <v>9</v>
      </c>
      <c r="Y168" s="716">
        <v>15</v>
      </c>
      <c r="Z168" s="716">
        <v>-92</v>
      </c>
      <c r="AA168" s="717">
        <f>-12727-AB168</f>
        <v>-12741</v>
      </c>
      <c r="AB168" s="716">
        <v>14</v>
      </c>
      <c r="AC168" s="716">
        <v>-1</v>
      </c>
      <c r="AD168" s="716">
        <f>+G168-SUM(AA168:AC168)</f>
        <v>109</v>
      </c>
      <c r="AE168" s="717"/>
      <c r="AF168" s="716"/>
      <c r="AG168" s="716"/>
      <c r="AH168" s="718"/>
      <c r="AI168" s="717"/>
      <c r="AJ168" s="716"/>
      <c r="AK168" s="716"/>
      <c r="AL168" s="718"/>
      <c r="AM168" s="716"/>
      <c r="AN168" s="716"/>
      <c r="AO168" s="716"/>
      <c r="AP168" s="716"/>
      <c r="AQ168" s="1383"/>
      <c r="AR168" s="692"/>
      <c r="AS168" s="692"/>
      <c r="AT168" s="692"/>
      <c r="AU168" s="692"/>
      <c r="AV168" s="692"/>
      <c r="AW168" s="692"/>
      <c r="AX168" s="692"/>
      <c r="AY168" s="692"/>
      <c r="AZ168" s="692"/>
      <c r="BA168" s="692"/>
      <c r="BB168"/>
      <c r="BC168"/>
      <c r="BD168"/>
      <c r="BE168"/>
      <c r="BF168"/>
      <c r="BG168"/>
      <c r="BJ168" s="714"/>
      <c r="BK168" s="714"/>
      <c r="BL168" s="714"/>
      <c r="BM168" s="714"/>
      <c r="BN168" s="714"/>
    </row>
    <row r="169" spans="1:102" s="693" customFormat="1" hidden="1" outlineLevel="1">
      <c r="A169" s="896" t="s">
        <v>198</v>
      </c>
      <c r="B169" s="714"/>
      <c r="C169" s="714"/>
      <c r="D169" s="714"/>
      <c r="E169" s="714"/>
      <c r="F169" s="714">
        <v>-731</v>
      </c>
      <c r="G169" s="714">
        <f>+G167+G168</f>
        <v>-11874</v>
      </c>
      <c r="H169" s="714"/>
      <c r="I169" s="714"/>
      <c r="J169" s="714"/>
      <c r="K169" s="714"/>
      <c r="L169" s="714"/>
      <c r="M169" s="714"/>
      <c r="N169" s="714"/>
      <c r="O169" s="714"/>
      <c r="P169" s="714"/>
      <c r="Q169" s="714"/>
      <c r="R169" s="715"/>
      <c r="S169" s="716"/>
      <c r="T169" s="716"/>
      <c r="U169" s="716"/>
      <c r="V169" s="716"/>
      <c r="W169" s="717">
        <v>-586</v>
      </c>
      <c r="X169" s="716">
        <v>-85</v>
      </c>
      <c r="Y169" s="716">
        <v>58</v>
      </c>
      <c r="Z169" s="716">
        <v>-118</v>
      </c>
      <c r="AA169" s="717">
        <f>AA255+AA380+AA432+AA320</f>
        <v>-19</v>
      </c>
      <c r="AB169" s="716">
        <f>AB255+AB380+AB432+AB320</f>
        <v>172</v>
      </c>
      <c r="AC169" s="716">
        <f>AC255+AC380+AC432+AC320</f>
        <v>284</v>
      </c>
      <c r="AD169" s="716">
        <f>AD255+AD380+AD432+AD320</f>
        <v>308</v>
      </c>
      <c r="AE169" s="717">
        <f>AE255+AE380+AE432+AE320</f>
        <v>-171</v>
      </c>
      <c r="AF169" s="716"/>
      <c r="AG169" s="716"/>
      <c r="AH169" s="718"/>
      <c r="AI169" s="717"/>
      <c r="AJ169" s="716"/>
      <c r="AK169" s="716"/>
      <c r="AL169" s="718"/>
      <c r="AM169" s="716"/>
      <c r="AN169" s="716"/>
      <c r="AO169" s="716"/>
      <c r="AP169" s="716"/>
      <c r="AQ169" s="1383"/>
      <c r="AR169" s="692"/>
      <c r="AS169" s="692"/>
      <c r="AT169" s="692"/>
      <c r="AU169" s="692"/>
      <c r="AV169" s="692"/>
      <c r="AW169" s="692"/>
      <c r="AX169" s="692"/>
      <c r="AY169" s="692"/>
      <c r="AZ169" s="692"/>
      <c r="BA169" s="692"/>
      <c r="BB169"/>
      <c r="BC169"/>
      <c r="BD169"/>
      <c r="BE169"/>
      <c r="BF169"/>
      <c r="BG169"/>
      <c r="BJ169" s="714"/>
      <c r="BK169" s="714"/>
      <c r="BL169" s="714"/>
      <c r="BM169" s="714"/>
      <c r="BN169" s="714"/>
    </row>
    <row r="170" spans="1:102" s="693" customFormat="1" hidden="1" outlineLevel="1">
      <c r="A170" s="897"/>
      <c r="B170" s="900"/>
      <c r="C170" s="900"/>
      <c r="D170" s="900"/>
      <c r="E170" s="900"/>
      <c r="F170" s="900"/>
      <c r="G170" s="900"/>
      <c r="H170" s="900"/>
      <c r="I170" s="900"/>
      <c r="J170" s="900"/>
      <c r="K170" s="900"/>
      <c r="L170" s="900"/>
      <c r="M170" s="900"/>
      <c r="N170" s="900"/>
      <c r="O170" s="900"/>
      <c r="P170" s="900"/>
      <c r="Q170" s="900"/>
      <c r="R170" s="901"/>
      <c r="S170" s="902"/>
      <c r="T170" s="902"/>
      <c r="U170" s="902"/>
      <c r="V170" s="902"/>
      <c r="W170" s="903"/>
      <c r="X170" s="902"/>
      <c r="Y170" s="902"/>
      <c r="Z170" s="902"/>
      <c r="AA170" s="903"/>
      <c r="AB170" s="902"/>
      <c r="AC170" s="902"/>
      <c r="AD170" s="902"/>
      <c r="AE170" s="903"/>
      <c r="AF170" s="902"/>
      <c r="AG170" s="902"/>
      <c r="AH170" s="904"/>
      <c r="AI170" s="903"/>
      <c r="AJ170" s="902"/>
      <c r="AK170" s="902"/>
      <c r="AL170" s="904"/>
      <c r="AM170" s="902"/>
      <c r="AN170" s="902"/>
      <c r="AO170" s="902"/>
      <c r="AP170" s="902"/>
      <c r="AQ170" s="1383"/>
      <c r="AR170" s="692"/>
      <c r="AS170" s="692"/>
      <c r="AT170" s="692"/>
      <c r="AU170" s="692"/>
      <c r="AV170" s="692"/>
      <c r="AW170" s="692"/>
      <c r="AX170" s="692"/>
      <c r="AY170" s="692"/>
      <c r="AZ170" s="692"/>
      <c r="BA170" s="692"/>
      <c r="BB170"/>
      <c r="BC170"/>
      <c r="BD170"/>
      <c r="BE170"/>
      <c r="BF170"/>
      <c r="BG170"/>
      <c r="BJ170" s="905"/>
      <c r="BK170" s="905"/>
      <c r="BL170" s="905"/>
      <c r="BM170" s="905"/>
      <c r="BN170" s="905"/>
    </row>
    <row r="171" spans="1:102" s="693" customFormat="1" hidden="1" outlineLevel="1">
      <c r="A171" s="897" t="s">
        <v>199</v>
      </c>
      <c r="B171" s="714">
        <v>13585</v>
      </c>
      <c r="C171" s="714">
        <v>20145</v>
      </c>
      <c r="D171" s="714">
        <v>18076</v>
      </c>
      <c r="E171" s="714">
        <v>17420</v>
      </c>
      <c r="F171" s="714">
        <v>17649</v>
      </c>
      <c r="G171" s="714">
        <f t="shared" ref="G171:Q171" si="307">G50+G163</f>
        <v>17868</v>
      </c>
      <c r="H171" s="714">
        <f t="shared" si="307"/>
        <v>18853</v>
      </c>
      <c r="I171" s="714">
        <f t="shared" si="307"/>
        <v>17540</v>
      </c>
      <c r="J171" s="714">
        <f t="shared" si="307"/>
        <v>18271.080549630573</v>
      </c>
      <c r="K171" s="714">
        <f t="shared" si="307"/>
        <v>18837.463768352045</v>
      </c>
      <c r="L171" s="714">
        <f t="shared" si="307"/>
        <v>21006.509874853924</v>
      </c>
      <c r="M171" s="714">
        <f t="shared" si="307"/>
        <v>21958.307880357461</v>
      </c>
      <c r="N171" s="714">
        <f t="shared" si="307"/>
        <v>22952.542028389209</v>
      </c>
      <c r="O171" s="714">
        <f t="shared" si="307"/>
        <v>22488.024626356528</v>
      </c>
      <c r="P171" s="714">
        <f t="shared" si="307"/>
        <v>22953.246008998056</v>
      </c>
      <c r="Q171" s="714">
        <f t="shared" si="307"/>
        <v>24518.247056095825</v>
      </c>
      <c r="R171" s="715"/>
      <c r="S171" s="716">
        <v>4513</v>
      </c>
      <c r="T171" s="716">
        <v>4558</v>
      </c>
      <c r="U171" s="716">
        <v>4192</v>
      </c>
      <c r="V171" s="716">
        <v>4157</v>
      </c>
      <c r="W171" s="717">
        <v>4503</v>
      </c>
      <c r="X171" s="716">
        <v>4625</v>
      </c>
      <c r="Y171" s="716">
        <v>4388</v>
      </c>
      <c r="Z171" s="716">
        <v>4133</v>
      </c>
      <c r="AA171" s="717">
        <f t="shared" ref="AA171:AL171" si="308">AA50+AA163</f>
        <v>4545</v>
      </c>
      <c r="AB171" s="716">
        <f t="shared" si="308"/>
        <v>4736</v>
      </c>
      <c r="AC171" s="716">
        <f t="shared" si="308"/>
        <v>4463</v>
      </c>
      <c r="AD171" s="716">
        <f t="shared" si="308"/>
        <v>4124</v>
      </c>
      <c r="AE171" s="717">
        <f t="shared" si="308"/>
        <v>4223</v>
      </c>
      <c r="AF171" s="716">
        <f t="shared" si="308"/>
        <v>4397</v>
      </c>
      <c r="AG171" s="714">
        <f t="shared" si="308"/>
        <v>4498</v>
      </c>
      <c r="AH171" s="718">
        <f t="shared" si="308"/>
        <v>5412</v>
      </c>
      <c r="AI171" s="717">
        <f t="shared" si="308"/>
        <v>4400.0000000000027</v>
      </c>
      <c r="AJ171" s="716">
        <f t="shared" si="308"/>
        <v>4396.4999999999991</v>
      </c>
      <c r="AK171" s="716">
        <f t="shared" si="308"/>
        <v>4446.5502326646747</v>
      </c>
      <c r="AL171" s="718">
        <f t="shared" si="308"/>
        <v>4470.9497673353235</v>
      </c>
      <c r="AM171" s="717">
        <f t="shared" ref="AM171:AP171" si="309">AM50+AM163</f>
        <v>4249</v>
      </c>
      <c r="AN171" s="716">
        <f t="shared" si="309"/>
        <v>4558.1947328506494</v>
      </c>
      <c r="AO171" s="716">
        <f t="shared" si="309"/>
        <v>4621.3301011461017</v>
      </c>
      <c r="AP171" s="718">
        <f t="shared" si="309"/>
        <v>4842.5557156338182</v>
      </c>
      <c r="AQ171" s="1383"/>
      <c r="AR171" s="692"/>
      <c r="AS171" s="692"/>
      <c r="AT171" s="692"/>
      <c r="AU171" s="692"/>
      <c r="AV171" s="692"/>
      <c r="AW171" s="692"/>
      <c r="AX171" s="692"/>
      <c r="AY171" s="692"/>
      <c r="AZ171" s="692"/>
      <c r="BA171" s="692"/>
      <c r="BB171"/>
      <c r="BC171"/>
      <c r="BD171"/>
      <c r="BE171"/>
      <c r="BF171"/>
      <c r="BG171"/>
      <c r="BJ171" s="714"/>
      <c r="BK171" s="714"/>
      <c r="BL171" s="714"/>
      <c r="BM171" s="714"/>
      <c r="BN171" s="714"/>
    </row>
    <row r="172" spans="1:102" s="693" customFormat="1" hidden="1" outlineLevel="1">
      <c r="A172" s="897" t="s">
        <v>200</v>
      </c>
      <c r="B172" s="714">
        <v>13406</v>
      </c>
      <c r="C172" s="714">
        <v>20596</v>
      </c>
      <c r="D172" s="714">
        <v>18161</v>
      </c>
      <c r="E172" s="714">
        <v>17451</v>
      </c>
      <c r="F172" s="714">
        <v>17857</v>
      </c>
      <c r="G172" s="714">
        <f t="shared" ref="G172:P172" si="310">G171+G167</f>
        <v>18613</v>
      </c>
      <c r="H172" s="714">
        <f t="shared" si="310"/>
        <v>18914</v>
      </c>
      <c r="I172" s="714">
        <f t="shared" si="310"/>
        <v>17056</v>
      </c>
      <c r="J172" s="714">
        <f t="shared" si="310"/>
        <v>18695.080549630573</v>
      </c>
      <c r="K172" s="714">
        <f t="shared" si="310"/>
        <v>18961.463768352045</v>
      </c>
      <c r="L172" s="714">
        <f t="shared" si="310"/>
        <v>21130.509874853924</v>
      </c>
      <c r="M172" s="714">
        <f t="shared" si="310"/>
        <v>22082.307880357461</v>
      </c>
      <c r="N172" s="714">
        <f t="shared" si="310"/>
        <v>23076.542028389209</v>
      </c>
      <c r="O172" s="714">
        <f t="shared" si="310"/>
        <v>22612.024626356528</v>
      </c>
      <c r="P172" s="714">
        <f t="shared" si="310"/>
        <v>23077.246008998056</v>
      </c>
      <c r="Q172" s="714">
        <f>Q171+Q167</f>
        <v>24642.247056095825</v>
      </c>
      <c r="R172" s="715"/>
      <c r="S172" s="716">
        <v>4518</v>
      </c>
      <c r="T172" s="716">
        <v>4434</v>
      </c>
      <c r="U172" s="716">
        <v>4308</v>
      </c>
      <c r="V172" s="716">
        <v>4191</v>
      </c>
      <c r="W172" s="717">
        <v>4788</v>
      </c>
      <c r="X172" s="716">
        <v>4531</v>
      </c>
      <c r="Y172" s="716">
        <v>4431</v>
      </c>
      <c r="Z172" s="716">
        <v>4107</v>
      </c>
      <c r="AA172" s="717">
        <f t="shared" ref="AA172:AL172" si="311">AA171+AA167</f>
        <v>4526</v>
      </c>
      <c r="AB172" s="716">
        <f t="shared" si="311"/>
        <v>4908</v>
      </c>
      <c r="AC172" s="716">
        <f t="shared" si="311"/>
        <v>4747</v>
      </c>
      <c r="AD172" s="716">
        <f t="shared" si="311"/>
        <v>4432</v>
      </c>
      <c r="AE172" s="717">
        <f t="shared" si="311"/>
        <v>4052</v>
      </c>
      <c r="AF172" s="716">
        <f t="shared" si="311"/>
        <v>4573</v>
      </c>
      <c r="AG172" s="714">
        <f t="shared" si="311"/>
        <v>4496</v>
      </c>
      <c r="AH172" s="718">
        <f t="shared" si="311"/>
        <v>5470</v>
      </c>
      <c r="AI172" s="717">
        <f t="shared" si="311"/>
        <v>4099.0000000000027</v>
      </c>
      <c r="AJ172" s="716">
        <f t="shared" si="311"/>
        <v>4277.4999999999991</v>
      </c>
      <c r="AK172" s="716">
        <f t="shared" si="311"/>
        <v>4303.5502326646747</v>
      </c>
      <c r="AL172" s="718">
        <f t="shared" si="311"/>
        <v>4549.9497673353235</v>
      </c>
      <c r="AM172" s="717">
        <f t="shared" ref="AM172:AP172" si="312">AM171+AM167</f>
        <v>4218</v>
      </c>
      <c r="AN172" s="716">
        <f t="shared" si="312"/>
        <v>4666.1947328506494</v>
      </c>
      <c r="AO172" s="716">
        <f t="shared" si="312"/>
        <v>4705.3301011461017</v>
      </c>
      <c r="AP172" s="718">
        <f t="shared" si="312"/>
        <v>5105.5557156338182</v>
      </c>
      <c r="AQ172" s="1383"/>
      <c r="AR172" s="692"/>
      <c r="AS172" s="692"/>
      <c r="AT172" s="692"/>
      <c r="AU172" s="692"/>
      <c r="AV172" s="692"/>
      <c r="AW172" s="692"/>
      <c r="AX172" s="692"/>
      <c r="AY172" s="692"/>
      <c r="AZ172" s="692"/>
      <c r="BA172" s="692"/>
      <c r="BB172"/>
      <c r="BC172"/>
      <c r="BD172"/>
      <c r="BE172"/>
      <c r="BF172"/>
      <c r="BG172"/>
      <c r="BJ172" s="714"/>
      <c r="BK172" s="714"/>
      <c r="BL172" s="714"/>
      <c r="BM172" s="714"/>
      <c r="BN172" s="714"/>
    </row>
    <row r="173" spans="1:102" s="693" customFormat="1" hidden="1" outlineLevel="1">
      <c r="A173" s="897"/>
      <c r="B173" s="731">
        <v>0.26481510745891279</v>
      </c>
      <c r="C173" s="731">
        <v>0.3516716183451149</v>
      </c>
      <c r="D173" s="731">
        <v>0.32045242002364444</v>
      </c>
      <c r="E173" s="731">
        <v>0.33644373325107485</v>
      </c>
      <c r="F173" s="731">
        <v>0.34221924108853968</v>
      </c>
      <c r="G173" s="731">
        <f t="shared" ref="G173:Q173" si="313">G172/G3</f>
        <v>0.37667462662403367</v>
      </c>
      <c r="H173" s="731">
        <f t="shared" si="313"/>
        <v>0.38983470052351704</v>
      </c>
      <c r="I173" s="731">
        <f t="shared" si="313"/>
        <v>0.34730904722148692</v>
      </c>
      <c r="J173" s="731">
        <f t="shared" si="313"/>
        <v>0.35774676659885785</v>
      </c>
      <c r="K173" s="731">
        <f t="shared" si="313"/>
        <v>0.35567391978586588</v>
      </c>
      <c r="L173" s="731">
        <f t="shared" si="313"/>
        <v>0.38430462679752603</v>
      </c>
      <c r="M173" s="731">
        <f t="shared" si="313"/>
        <v>0.38737467025668265</v>
      </c>
      <c r="N173" s="731">
        <f t="shared" si="313"/>
        <v>0.39645933114673193</v>
      </c>
      <c r="O173" s="731">
        <f t="shared" si="313"/>
        <v>0.39205954646316721</v>
      </c>
      <c r="P173" s="731">
        <f t="shared" si="313"/>
        <v>0.39504361792345238</v>
      </c>
      <c r="Q173" s="731">
        <f t="shared" si="313"/>
        <v>0.41726613458420481</v>
      </c>
      <c r="R173" s="721"/>
      <c r="S173" s="732">
        <v>0.35569201700519604</v>
      </c>
      <c r="T173" s="732">
        <v>0.3391723399372753</v>
      </c>
      <c r="U173" s="732">
        <v>0.33907910271546637</v>
      </c>
      <c r="V173" s="732">
        <v>0.31301814922697735</v>
      </c>
      <c r="W173" s="733">
        <v>0.37502937260123759</v>
      </c>
      <c r="X173" s="732">
        <v>0.33947703603806101</v>
      </c>
      <c r="Y173" s="732">
        <v>0.34108228773766452</v>
      </c>
      <c r="Z173" s="732">
        <v>0.31411089866156788</v>
      </c>
      <c r="AA173" s="733">
        <f t="shared" ref="AA173:AP173" si="314">AA172/AA3</f>
        <v>0.37922077922077924</v>
      </c>
      <c r="AB173" s="732">
        <f t="shared" si="314"/>
        <v>0.38663935717661885</v>
      </c>
      <c r="AC173" s="732">
        <f t="shared" si="314"/>
        <v>0.38703628210354668</v>
      </c>
      <c r="AD173" s="732">
        <f t="shared" si="314"/>
        <v>0.35399361022364217</v>
      </c>
      <c r="AE173" s="733">
        <f t="shared" si="314"/>
        <v>0.34931034482758622</v>
      </c>
      <c r="AF173" s="732">
        <f t="shared" si="314"/>
        <v>0.36672012830793904</v>
      </c>
      <c r="AG173" s="731">
        <f t="shared" si="314"/>
        <v>0.37077354444994226</v>
      </c>
      <c r="AH173" s="734">
        <f t="shared" si="314"/>
        <v>0.44392144132446032</v>
      </c>
      <c r="AI173" s="733">
        <f t="shared" si="314"/>
        <v>0.35523008926250133</v>
      </c>
      <c r="AJ173" s="732">
        <f t="shared" si="314"/>
        <v>0.34941186080705761</v>
      </c>
      <c r="AK173" s="732">
        <f t="shared" si="314"/>
        <v>0.34669562694107003</v>
      </c>
      <c r="AL173" s="734">
        <f t="shared" si="314"/>
        <v>0.35230100382141022</v>
      </c>
      <c r="AM173" s="733">
        <f t="shared" si="314"/>
        <v>0.33228296833149518</v>
      </c>
      <c r="AN173" s="732">
        <f t="shared" si="314"/>
        <v>0.35607495739916023</v>
      </c>
      <c r="AO173" s="732">
        <f t="shared" si="314"/>
        <v>0.35949195677439066</v>
      </c>
      <c r="AP173" s="734">
        <f t="shared" si="314"/>
        <v>0.38185231759437693</v>
      </c>
      <c r="AQ173" s="1383"/>
      <c r="AR173" s="692"/>
      <c r="AS173" s="692"/>
      <c r="AT173" s="692"/>
      <c r="AU173" s="692"/>
      <c r="AV173" s="692"/>
      <c r="AW173" s="692"/>
      <c r="AX173" s="692"/>
      <c r="AY173" s="692"/>
      <c r="AZ173" s="692"/>
      <c r="BA173" s="692"/>
      <c r="BB173"/>
      <c r="BC173"/>
      <c r="BD173"/>
      <c r="BE173"/>
      <c r="BF173"/>
      <c r="BG173"/>
      <c r="BJ173" s="731"/>
      <c r="BK173" s="731"/>
      <c r="BL173" s="731"/>
      <c r="BM173" s="731"/>
      <c r="BN173" s="731"/>
    </row>
    <row r="174" spans="1:102" s="693" customFormat="1" hidden="1" outlineLevel="1">
      <c r="A174" s="896" t="s">
        <v>201</v>
      </c>
      <c r="B174" s="714">
        <v>2480</v>
      </c>
      <c r="C174" s="714">
        <v>-4911</v>
      </c>
      <c r="D174" s="714">
        <v>-3649</v>
      </c>
      <c r="E174" s="714">
        <v>-3224</v>
      </c>
      <c r="F174" s="714">
        <v>-3384</v>
      </c>
      <c r="G174" s="714">
        <f t="shared" ref="G174:Q174" si="315">G81-G50</f>
        <v>-4813</v>
      </c>
      <c r="H174" s="714">
        <f>H81-H50</f>
        <v>-4719</v>
      </c>
      <c r="I174" s="714">
        <f t="shared" si="315"/>
        <v>-4221</v>
      </c>
      <c r="J174" s="714">
        <f t="shared" si="315"/>
        <v>-3898</v>
      </c>
      <c r="K174" s="714">
        <f t="shared" si="315"/>
        <v>-3598</v>
      </c>
      <c r="L174" s="714">
        <f t="shared" si="315"/>
        <v>-4497</v>
      </c>
      <c r="M174" s="714">
        <f t="shared" si="315"/>
        <v>-4342.9999999999945</v>
      </c>
      <c r="N174" s="714">
        <f t="shared" si="315"/>
        <v>-4242.9999999999982</v>
      </c>
      <c r="O174" s="714">
        <f t="shared" si="315"/>
        <v>-3953.0000000000018</v>
      </c>
      <c r="P174" s="714">
        <f t="shared" si="315"/>
        <v>-3953.0000000000073</v>
      </c>
      <c r="Q174" s="714">
        <f t="shared" si="315"/>
        <v>-5261.0000000000018</v>
      </c>
      <c r="R174" s="906"/>
      <c r="S174" s="716">
        <v>694</v>
      </c>
      <c r="T174" s="716">
        <v>698</v>
      </c>
      <c r="U174" s="716">
        <v>875</v>
      </c>
      <c r="V174" s="716">
        <v>957</v>
      </c>
      <c r="W174" s="717">
        <v>-985</v>
      </c>
      <c r="X174" s="716">
        <v>-675</v>
      </c>
      <c r="Y174" s="716">
        <v>-846</v>
      </c>
      <c r="Z174" s="716">
        <v>-878</v>
      </c>
      <c r="AA174" s="717">
        <f t="shared" ref="AA174:AL174" si="316">AA81-AA50</f>
        <v>-866</v>
      </c>
      <c r="AB174" s="716">
        <f t="shared" si="316"/>
        <v>-1312</v>
      </c>
      <c r="AC174" s="716">
        <f t="shared" si="316"/>
        <v>-1255</v>
      </c>
      <c r="AD174" s="716">
        <f t="shared" si="316"/>
        <v>-1380</v>
      </c>
      <c r="AE174" s="717">
        <f t="shared" si="316"/>
        <v>-810</v>
      </c>
      <c r="AF174" s="716">
        <f t="shared" si="316"/>
        <v>-1239</v>
      </c>
      <c r="AG174" s="714">
        <f t="shared" si="316"/>
        <v>-1112</v>
      </c>
      <c r="AH174" s="718">
        <f t="shared" si="316"/>
        <v>-1558</v>
      </c>
      <c r="AI174" s="717">
        <f t="shared" si="316"/>
        <v>-1088.0000000000027</v>
      </c>
      <c r="AJ174" s="716">
        <f t="shared" si="316"/>
        <v>-954.99999999999909</v>
      </c>
      <c r="AK174" s="716">
        <f t="shared" si="316"/>
        <v>-1025</v>
      </c>
      <c r="AL174" s="718">
        <f t="shared" si="316"/>
        <v>-1152.9999999999995</v>
      </c>
      <c r="AM174" s="717">
        <f t="shared" ref="AM174:AP174" si="317">AM81-AM50</f>
        <v>-893</v>
      </c>
      <c r="AN174" s="716">
        <f t="shared" si="317"/>
        <v>-1028.9999999999991</v>
      </c>
      <c r="AO174" s="716">
        <f t="shared" si="317"/>
        <v>-1026.9999999999991</v>
      </c>
      <c r="AP174" s="718">
        <f t="shared" si="317"/>
        <v>-948.99999999999818</v>
      </c>
      <c r="AQ174" s="1383"/>
      <c r="AR174" s="692"/>
      <c r="AS174" s="692"/>
      <c r="AT174" s="692"/>
      <c r="AU174" s="692"/>
      <c r="AV174" s="692"/>
      <c r="AW174" s="692"/>
      <c r="AX174" s="692"/>
      <c r="AY174" s="692"/>
      <c r="AZ174" s="692"/>
      <c r="BA174" s="692"/>
      <c r="BB174"/>
      <c r="BC174"/>
      <c r="BD174"/>
      <c r="BE174"/>
      <c r="BF174"/>
      <c r="BG174"/>
      <c r="BJ174" s="907"/>
      <c r="BK174" s="907"/>
      <c r="BL174" s="907"/>
      <c r="BM174" s="907"/>
      <c r="BN174" s="907"/>
    </row>
    <row r="175" spans="1:102" s="693" customFormat="1" hidden="1" outlineLevel="1">
      <c r="A175" s="897"/>
      <c r="B175" s="908"/>
      <c r="C175" s="908"/>
      <c r="D175" s="908"/>
      <c r="E175" s="908"/>
      <c r="F175" s="720"/>
      <c r="G175" s="720"/>
      <c r="H175" s="720"/>
      <c r="I175" s="720"/>
      <c r="J175" s="714"/>
      <c r="K175" s="714"/>
      <c r="L175" s="714"/>
      <c r="M175" s="714"/>
      <c r="N175" s="909"/>
      <c r="O175" s="909"/>
      <c r="P175" s="909"/>
      <c r="Q175" s="909"/>
      <c r="R175" s="883"/>
      <c r="S175" s="910"/>
      <c r="T175" s="910"/>
      <c r="U175" s="910"/>
      <c r="V175" s="910"/>
      <c r="W175" s="911">
        <v>0</v>
      </c>
      <c r="X175" s="887">
        <v>1</v>
      </c>
      <c r="Y175" s="887">
        <v>-2</v>
      </c>
      <c r="Z175" s="887">
        <v>18</v>
      </c>
      <c r="AA175" s="717">
        <f>AA163+AA166+AA167+AA174</f>
        <v>9</v>
      </c>
      <c r="AB175" s="716">
        <f>AB163+AB166+AB167+AB174</f>
        <v>0</v>
      </c>
      <c r="AC175" s="716">
        <f>AC163+AC166+AC167+AC174</f>
        <v>0</v>
      </c>
      <c r="AD175" s="887">
        <f>AD163+AD166+AD167+AD174</f>
        <v>0</v>
      </c>
      <c r="AE175" s="911"/>
      <c r="AF175" s="716"/>
      <c r="AG175" s="887"/>
      <c r="AH175" s="912"/>
      <c r="AI175" s="911"/>
      <c r="AJ175" s="716"/>
      <c r="AK175" s="716"/>
      <c r="AL175" s="912"/>
      <c r="AM175" s="887"/>
      <c r="AN175" s="887"/>
      <c r="AO175" s="887"/>
      <c r="AP175" s="887"/>
      <c r="AQ175" s="1383"/>
      <c r="AR175" s="692"/>
      <c r="AS175" s="692"/>
      <c r="AT175" s="692"/>
      <c r="AU175" s="692"/>
      <c r="AV175" s="692"/>
      <c r="AW175" s="692"/>
      <c r="AX175" s="692"/>
      <c r="AY175" s="692"/>
      <c r="AZ175" s="692"/>
      <c r="BA175" s="692"/>
      <c r="BB175"/>
      <c r="BC175"/>
      <c r="BD175"/>
      <c r="BE175"/>
      <c r="BF175"/>
      <c r="BG175"/>
      <c r="BJ175" s="907"/>
      <c r="BK175" s="907"/>
      <c r="BL175" s="907"/>
      <c r="BM175" s="907"/>
      <c r="BN175" s="907"/>
    </row>
    <row r="176" spans="1:102" s="693" customFormat="1" hidden="1" outlineLevel="1">
      <c r="A176" s="913" t="s">
        <v>202</v>
      </c>
      <c r="B176" s="914"/>
      <c r="C176" s="914"/>
      <c r="D176" s="914"/>
      <c r="E176" s="914"/>
      <c r="F176" s="914"/>
      <c r="G176" s="914"/>
      <c r="H176" s="914"/>
      <c r="I176" s="914"/>
      <c r="J176" s="914"/>
      <c r="K176" s="914"/>
      <c r="L176" s="914"/>
      <c r="M176" s="914"/>
      <c r="N176" s="914"/>
      <c r="O176" s="914"/>
      <c r="P176" s="914"/>
      <c r="Q176" s="914"/>
      <c r="R176" s="915"/>
      <c r="S176" s="916"/>
      <c r="T176" s="916"/>
      <c r="U176" s="916"/>
      <c r="V176" s="916"/>
      <c r="W176" s="917"/>
      <c r="X176" s="916">
        <v>0</v>
      </c>
      <c r="Y176" s="916">
        <v>2426</v>
      </c>
      <c r="Z176" s="916">
        <v>2418</v>
      </c>
      <c r="AA176" s="917">
        <f>Z178</f>
        <v>2412</v>
      </c>
      <c r="AB176" s="916">
        <f>AA178</f>
        <v>2405.2612012313134</v>
      </c>
      <c r="AC176" s="916">
        <f>AB178</f>
        <v>2398.5224024626268</v>
      </c>
      <c r="AD176" s="916">
        <f>AC178</f>
        <v>2391.7836036939402</v>
      </c>
      <c r="AE176" s="917"/>
      <c r="AF176" s="916"/>
      <c r="AG176" s="916"/>
      <c r="AH176" s="918"/>
      <c r="AI176" s="917"/>
      <c r="AJ176" s="916"/>
      <c r="AK176" s="916"/>
      <c r="AL176" s="918"/>
      <c r="AM176" s="916"/>
      <c r="AN176" s="916"/>
      <c r="AO176" s="916"/>
      <c r="AP176" s="916"/>
      <c r="AQ176" s="1389"/>
      <c r="AR176" s="831"/>
      <c r="AS176" s="831"/>
      <c r="AT176" s="831"/>
      <c r="AU176" s="831"/>
      <c r="AV176" s="831"/>
      <c r="AW176" s="831"/>
      <c r="AX176" s="831"/>
      <c r="AY176" s="831"/>
      <c r="AZ176" s="831"/>
      <c r="BA176" s="831"/>
      <c r="BB176"/>
      <c r="BC176"/>
      <c r="BD176"/>
      <c r="BE176"/>
      <c r="BF176"/>
      <c r="BG176"/>
      <c r="BH176" s="838"/>
      <c r="BI176" s="838"/>
      <c r="BJ176" s="838"/>
      <c r="BK176" s="838"/>
      <c r="BL176" s="913"/>
      <c r="BM176" s="913"/>
      <c r="BN176" s="914"/>
      <c r="BO176" s="914"/>
      <c r="BP176" s="914"/>
      <c r="BQ176" s="914"/>
      <c r="BR176" s="914"/>
      <c r="BS176" s="914"/>
      <c r="BT176" s="914"/>
      <c r="BU176" s="914"/>
      <c r="BV176" s="914"/>
      <c r="BW176" s="914"/>
      <c r="BX176" s="914"/>
      <c r="BY176" s="914"/>
      <c r="BZ176" s="914"/>
      <c r="CA176" s="914"/>
      <c r="CB176" s="914"/>
      <c r="CC176" s="914"/>
      <c r="CD176" s="914"/>
      <c r="CE176" s="914"/>
      <c r="CF176" s="914"/>
      <c r="CG176" s="914"/>
      <c r="CH176" s="914"/>
      <c r="CI176" s="914"/>
      <c r="CJ176" s="914"/>
      <c r="CK176" s="914"/>
      <c r="CL176" s="914"/>
      <c r="CM176" s="914"/>
      <c r="CN176" s="914"/>
      <c r="CO176" s="914"/>
      <c r="CP176" s="914"/>
      <c r="CQ176" s="914"/>
      <c r="CR176" s="914"/>
      <c r="CS176" s="914"/>
      <c r="CT176" s="914"/>
      <c r="CU176" s="914"/>
      <c r="CV176" s="914"/>
      <c r="CW176" s="914"/>
      <c r="CX176" s="914"/>
    </row>
    <row r="177" spans="1:102" s="693" customFormat="1" hidden="1" outlineLevel="1">
      <c r="A177" s="913" t="s">
        <v>203</v>
      </c>
      <c r="B177" s="914"/>
      <c r="C177" s="914"/>
      <c r="D177" s="914"/>
      <c r="E177" s="914"/>
      <c r="F177" s="914"/>
      <c r="G177" s="914"/>
      <c r="H177" s="914"/>
      <c r="I177" s="914"/>
      <c r="J177" s="914"/>
      <c r="K177" s="914"/>
      <c r="L177" s="914"/>
      <c r="M177" s="914"/>
      <c r="N177" s="914"/>
      <c r="O177" s="914"/>
      <c r="P177" s="914"/>
      <c r="Q177" s="914"/>
      <c r="R177" s="915"/>
      <c r="S177" s="916"/>
      <c r="T177" s="916"/>
      <c r="U177" s="916"/>
      <c r="V177" s="916"/>
      <c r="W177" s="917"/>
      <c r="X177" s="916">
        <v>2426</v>
      </c>
      <c r="Y177" s="916">
        <v>-8</v>
      </c>
      <c r="Z177" s="916">
        <v>-6</v>
      </c>
      <c r="AA177" s="917">
        <v>-6.7387987686866886</v>
      </c>
      <c r="AB177" s="916">
        <v>-6.7387987686866886</v>
      </c>
      <c r="AC177" s="916">
        <v>-6.7387987686866886</v>
      </c>
      <c r="AD177" s="916">
        <v>-6.7387987686866886</v>
      </c>
      <c r="AE177" s="917"/>
      <c r="AF177" s="916"/>
      <c r="AG177" s="916"/>
      <c r="AH177" s="918"/>
      <c r="AI177" s="917"/>
      <c r="AJ177" s="916"/>
      <c r="AK177" s="916"/>
      <c r="AL177" s="918"/>
      <c r="AM177" s="916"/>
      <c r="AN177" s="916"/>
      <c r="AO177" s="916"/>
      <c r="AP177" s="916"/>
      <c r="AQ177" s="1389"/>
      <c r="AR177" s="831"/>
      <c r="AS177" s="831"/>
      <c r="AT177" s="831"/>
      <c r="AU177" s="831"/>
      <c r="AV177" s="831"/>
      <c r="AW177" s="831"/>
      <c r="AX177" s="831"/>
      <c r="AY177" s="831"/>
      <c r="AZ177" s="831"/>
      <c r="BA177" s="831"/>
      <c r="BB177"/>
      <c r="BC177"/>
      <c r="BD177"/>
      <c r="BE177"/>
      <c r="BF177"/>
      <c r="BG177"/>
      <c r="BH177" s="838"/>
      <c r="BI177" s="838"/>
      <c r="BJ177" s="838"/>
      <c r="BK177" s="838"/>
      <c r="BL177" s="913"/>
      <c r="BM177" s="913"/>
      <c r="BN177" s="914"/>
      <c r="BO177" s="914"/>
      <c r="BP177" s="914"/>
      <c r="BQ177" s="914"/>
      <c r="BR177" s="914"/>
      <c r="BS177" s="914"/>
      <c r="BT177" s="914"/>
      <c r="BU177" s="914"/>
      <c r="BV177" s="914"/>
      <c r="BW177" s="914"/>
      <c r="BX177" s="914"/>
      <c r="BY177" s="914"/>
      <c r="BZ177" s="914"/>
      <c r="CA177" s="914"/>
      <c r="CB177" s="914"/>
      <c r="CC177" s="914"/>
      <c r="CD177" s="914"/>
      <c r="CE177" s="914"/>
      <c r="CF177" s="914"/>
      <c r="CG177" s="914"/>
      <c r="CH177" s="914"/>
      <c r="CI177" s="914"/>
      <c r="CJ177" s="914"/>
      <c r="CK177" s="914"/>
      <c r="CL177" s="914"/>
      <c r="CM177" s="914"/>
      <c r="CN177" s="914"/>
      <c r="CO177" s="914"/>
      <c r="CP177" s="914"/>
      <c r="CQ177" s="914"/>
      <c r="CR177" s="914"/>
      <c r="CS177" s="914"/>
      <c r="CT177" s="914"/>
      <c r="CU177" s="914"/>
      <c r="CV177" s="914"/>
      <c r="CW177" s="914"/>
      <c r="CX177" s="914"/>
    </row>
    <row r="178" spans="1:102" s="838" customFormat="1" hidden="1" outlineLevel="1">
      <c r="A178" s="913" t="s">
        <v>204</v>
      </c>
      <c r="B178" s="914"/>
      <c r="C178" s="914"/>
      <c r="D178" s="914"/>
      <c r="E178" s="914"/>
      <c r="F178" s="914"/>
      <c r="G178" s="914"/>
      <c r="H178" s="914"/>
      <c r="I178" s="914"/>
      <c r="J178" s="914"/>
      <c r="K178" s="914"/>
      <c r="L178" s="914"/>
      <c r="M178" s="914"/>
      <c r="N178" s="914"/>
      <c r="O178" s="914"/>
      <c r="P178" s="914"/>
      <c r="Q178" s="914"/>
      <c r="R178" s="915"/>
      <c r="S178" s="916"/>
      <c r="T178" s="916"/>
      <c r="U178" s="916"/>
      <c r="V178" s="916"/>
      <c r="W178" s="917"/>
      <c r="X178" s="916">
        <v>2426</v>
      </c>
      <c r="Y178" s="916">
        <v>2418</v>
      </c>
      <c r="Z178" s="916">
        <v>2412</v>
      </c>
      <c r="AA178" s="917">
        <f>AA176+AA177</f>
        <v>2405.2612012313134</v>
      </c>
      <c r="AB178" s="916">
        <f>AB176+AB177</f>
        <v>2398.5224024626268</v>
      </c>
      <c r="AC178" s="916">
        <f>AC176+AC177</f>
        <v>2391.7836036939402</v>
      </c>
      <c r="AD178" s="916">
        <f>AD176+AD177</f>
        <v>2385.0448049252536</v>
      </c>
      <c r="AE178" s="917"/>
      <c r="AF178" s="916"/>
      <c r="AG178" s="916"/>
      <c r="AH178" s="918"/>
      <c r="AI178" s="917"/>
      <c r="AJ178" s="916"/>
      <c r="AK178" s="916"/>
      <c r="AL178" s="918"/>
      <c r="AM178" s="916"/>
      <c r="AN178" s="916"/>
      <c r="AO178" s="916"/>
      <c r="AP178" s="916"/>
      <c r="AQ178" s="1389"/>
      <c r="AR178" s="831"/>
      <c r="AS178" s="831"/>
      <c r="AT178" s="831"/>
      <c r="AU178" s="831"/>
      <c r="AV178" s="831"/>
      <c r="AW178" s="831"/>
      <c r="AX178" s="831"/>
      <c r="AY178" s="831"/>
      <c r="AZ178" s="831"/>
      <c r="BA178" s="831"/>
      <c r="BB178"/>
      <c r="BC178"/>
      <c r="BD178"/>
      <c r="BE178"/>
      <c r="BF178"/>
      <c r="BG178"/>
      <c r="BL178" s="913"/>
      <c r="BM178" s="913"/>
      <c r="BN178" s="914"/>
      <c r="BO178" s="914"/>
      <c r="BP178" s="914"/>
      <c r="BQ178" s="914"/>
      <c r="BR178" s="914"/>
      <c r="BS178" s="914"/>
      <c r="BT178" s="914"/>
      <c r="BU178" s="914"/>
      <c r="BV178" s="914"/>
      <c r="BW178" s="914"/>
      <c r="BX178" s="914"/>
      <c r="BY178" s="914"/>
      <c r="BZ178" s="914"/>
      <c r="CA178" s="914"/>
      <c r="CB178" s="914"/>
      <c r="CC178" s="914"/>
      <c r="CD178" s="914"/>
      <c r="CE178" s="914"/>
      <c r="CF178" s="914"/>
      <c r="CG178" s="914"/>
      <c r="CH178" s="914"/>
      <c r="CI178" s="914"/>
      <c r="CJ178" s="914"/>
      <c r="CK178" s="914"/>
      <c r="CL178" s="914"/>
      <c r="CM178" s="914"/>
      <c r="CN178" s="914"/>
      <c r="CO178" s="914"/>
      <c r="CP178" s="914"/>
      <c r="CQ178" s="914"/>
      <c r="CR178" s="914"/>
      <c r="CS178" s="914"/>
      <c r="CT178" s="914"/>
      <c r="CU178" s="914"/>
      <c r="CV178" s="914"/>
      <c r="CW178" s="914"/>
      <c r="CX178" s="914"/>
    </row>
    <row r="179" spans="1:102" s="693" customFormat="1" hidden="1" outlineLevel="1">
      <c r="A179" s="888" t="s">
        <v>585</v>
      </c>
      <c r="B179" s="889"/>
      <c r="C179" s="889"/>
      <c r="D179" s="889"/>
      <c r="E179" s="889"/>
      <c r="F179" s="889"/>
      <c r="G179" s="889"/>
      <c r="H179" s="889"/>
      <c r="I179" s="889"/>
      <c r="J179" s="889"/>
      <c r="K179" s="889"/>
      <c r="L179" s="889"/>
      <c r="M179" s="889"/>
      <c r="N179" s="889"/>
      <c r="O179" s="889"/>
      <c r="P179" s="889"/>
      <c r="Q179" s="889"/>
      <c r="R179" s="890"/>
      <c r="S179" s="891"/>
      <c r="T179" s="891"/>
      <c r="U179" s="891"/>
      <c r="V179" s="891"/>
      <c r="W179" s="892"/>
      <c r="X179" s="891"/>
      <c r="Y179" s="891"/>
      <c r="Z179" s="891"/>
      <c r="AA179" s="892"/>
      <c r="AB179" s="891"/>
      <c r="AC179" s="891"/>
      <c r="AD179" s="891"/>
      <c r="AE179" s="892"/>
      <c r="AF179" s="891"/>
      <c r="AG179" s="891"/>
      <c r="AH179" s="893"/>
      <c r="AI179" s="892"/>
      <c r="AJ179" s="891"/>
      <c r="AK179" s="891"/>
      <c r="AL179" s="893"/>
      <c r="AM179" s="891"/>
      <c r="AN179" s="891"/>
      <c r="AO179" s="891"/>
      <c r="AP179" s="891"/>
      <c r="AQ179" s="1389"/>
      <c r="AR179" s="831"/>
      <c r="AS179" s="831"/>
      <c r="AT179" s="831"/>
      <c r="AU179" s="831"/>
      <c r="AV179" s="831"/>
      <c r="AW179" s="831"/>
      <c r="AX179" s="831"/>
      <c r="AY179" s="831"/>
      <c r="AZ179" s="831"/>
      <c r="BA179" s="831"/>
      <c r="BB179"/>
      <c r="BC179"/>
      <c r="BD179"/>
      <c r="BE179"/>
      <c r="BF179"/>
      <c r="BG179"/>
      <c r="BL179" s="894"/>
      <c r="BM179" s="894"/>
      <c r="BN179" s="895"/>
      <c r="BO179" s="895"/>
      <c r="BP179" s="895"/>
      <c r="BQ179" s="895"/>
      <c r="BR179" s="895"/>
      <c r="BS179" s="895"/>
      <c r="BT179" s="895"/>
      <c r="BU179" s="895"/>
      <c r="BV179" s="895"/>
      <c r="BW179" s="895"/>
      <c r="BX179" s="895"/>
      <c r="BY179" s="895"/>
      <c r="BZ179" s="895"/>
      <c r="CA179" s="895"/>
      <c r="CB179" s="895"/>
      <c r="CC179" s="895"/>
      <c r="CD179" s="895"/>
      <c r="CE179" s="895"/>
      <c r="CF179" s="895"/>
      <c r="CG179" s="895"/>
      <c r="CH179" s="895"/>
      <c r="CI179" s="895"/>
      <c r="CJ179" s="895"/>
      <c r="CK179" s="895"/>
      <c r="CL179" s="895"/>
      <c r="CM179" s="895"/>
      <c r="CN179" s="895"/>
      <c r="CO179" s="895"/>
      <c r="CP179" s="895"/>
      <c r="CQ179" s="895"/>
      <c r="CR179" s="895"/>
      <c r="CS179" s="895"/>
      <c r="CT179" s="895"/>
      <c r="CU179" s="895"/>
      <c r="CV179" s="895"/>
      <c r="CW179" s="895"/>
      <c r="CX179" s="895"/>
    </row>
    <row r="180" spans="1:102" s="693" customFormat="1" hidden="1" outlineLevel="1">
      <c r="A180" s="780" t="s">
        <v>205</v>
      </c>
      <c r="B180" s="805">
        <v>4486</v>
      </c>
      <c r="C180" s="805">
        <v>5368</v>
      </c>
      <c r="D180" s="805">
        <v>6030</v>
      </c>
      <c r="E180" s="805">
        <v>6100</v>
      </c>
      <c r="F180" s="805">
        <v>6724.4179800000002</v>
      </c>
      <c r="G180" s="805">
        <f t="shared" ref="G180:P180" si="318">F184</f>
        <v>6549.5402183274618</v>
      </c>
      <c r="H180" s="805">
        <f t="shared" si="318"/>
        <v>6811.8187971446505</v>
      </c>
      <c r="I180" s="805">
        <f t="shared" si="318"/>
        <v>6762.6863577000022</v>
      </c>
      <c r="J180" s="805">
        <f t="shared" si="318"/>
        <v>7005.2671593450041</v>
      </c>
      <c r="K180" s="805">
        <f t="shared" si="318"/>
        <v>7254.2900738322833</v>
      </c>
      <c r="L180" s="805">
        <f t="shared" si="318"/>
        <v>7589.1433893284948</v>
      </c>
      <c r="M180" s="805">
        <f t="shared" si="318"/>
        <v>7936.5079958513797</v>
      </c>
      <c r="N180" s="805">
        <f t="shared" si="318"/>
        <v>8297.5500427795323</v>
      </c>
      <c r="O180" s="805">
        <f t="shared" si="318"/>
        <v>8673.3216955072003</v>
      </c>
      <c r="P180" s="805">
        <f t="shared" si="318"/>
        <v>9064.7996416564893</v>
      </c>
      <c r="Q180" s="805"/>
      <c r="R180" s="806"/>
      <c r="S180" s="803"/>
      <c r="T180" s="803"/>
      <c r="U180" s="803"/>
      <c r="V180" s="803"/>
      <c r="W180" s="804"/>
      <c r="X180" s="803"/>
      <c r="Y180" s="803"/>
      <c r="Z180" s="803"/>
      <c r="AA180" s="804"/>
      <c r="AB180" s="803"/>
      <c r="AC180" s="803"/>
      <c r="AD180" s="803"/>
      <c r="AE180" s="804"/>
      <c r="AF180" s="803"/>
      <c r="AG180" s="803"/>
      <c r="AH180" s="881"/>
      <c r="AI180" s="804"/>
      <c r="AJ180" s="803"/>
      <c r="AK180" s="803"/>
      <c r="AL180" s="881"/>
      <c r="AM180" s="803"/>
      <c r="AN180" s="803"/>
      <c r="AO180" s="803"/>
      <c r="AP180" s="803"/>
      <c r="AQ180" s="1389"/>
      <c r="AR180" s="794"/>
      <c r="AS180" s="794"/>
      <c r="AT180" s="794"/>
      <c r="AU180" s="794"/>
      <c r="AV180" s="794"/>
      <c r="AW180" s="794"/>
      <c r="AX180" s="794"/>
      <c r="AY180" s="794"/>
      <c r="AZ180" s="794"/>
      <c r="BA180" s="794"/>
      <c r="BB180"/>
      <c r="BC180"/>
      <c r="BD180"/>
      <c r="BE180"/>
      <c r="BF180"/>
      <c r="BG180"/>
      <c r="BL180" s="805"/>
      <c r="BM180" s="805"/>
      <c r="BN180" s="805"/>
      <c r="BO180" s="805"/>
      <c r="BP180" s="805"/>
      <c r="BQ180" s="805"/>
      <c r="BR180" s="805"/>
      <c r="BS180" s="805"/>
      <c r="BT180" s="805"/>
      <c r="BU180" s="805"/>
      <c r="BV180" s="805"/>
      <c r="BW180" s="805"/>
      <c r="BX180" s="805"/>
      <c r="BY180" s="805"/>
      <c r="BZ180" s="805"/>
      <c r="CA180" s="805"/>
      <c r="CB180" s="805"/>
      <c r="CC180" s="805"/>
      <c r="CD180" s="805"/>
      <c r="CE180" s="805"/>
      <c r="CF180" s="805"/>
      <c r="CG180" s="805"/>
      <c r="CH180" s="805"/>
      <c r="CI180" s="805"/>
      <c r="CJ180" s="805"/>
      <c r="CK180" s="805"/>
      <c r="CL180" s="805"/>
      <c r="CM180" s="805"/>
      <c r="CN180" s="805"/>
      <c r="CO180" s="805"/>
      <c r="CP180" s="805"/>
      <c r="CQ180" s="805"/>
      <c r="CR180" s="805"/>
      <c r="CS180" s="805"/>
      <c r="CT180" s="805"/>
      <c r="CU180" s="805"/>
      <c r="CV180" s="805"/>
      <c r="CW180" s="805"/>
      <c r="CX180" s="805"/>
    </row>
    <row r="181" spans="1:102" s="693" customFormat="1" hidden="1" outlineLevel="1">
      <c r="A181" s="867" t="s">
        <v>206</v>
      </c>
      <c r="B181" s="859">
        <v>2.2000000000000002</v>
      </c>
      <c r="C181" s="859">
        <v>2.25</v>
      </c>
      <c r="D181" s="859">
        <v>2.2999999999999998</v>
      </c>
      <c r="E181" s="859">
        <v>2.4500000000000002</v>
      </c>
      <c r="F181" s="859">
        <v>2.6</v>
      </c>
      <c r="G181" s="859">
        <f t="shared" ref="G181:P181" si="319">F181*(1+G182)</f>
        <v>2.7300000000000004</v>
      </c>
      <c r="H181" s="859">
        <f t="shared" si="319"/>
        <v>2.8665000000000007</v>
      </c>
      <c r="I181" s="859">
        <f t="shared" si="319"/>
        <v>3.0098250000000011</v>
      </c>
      <c r="J181" s="859">
        <f t="shared" si="319"/>
        <v>3.1603162500000015</v>
      </c>
      <c r="K181" s="859">
        <f t="shared" si="319"/>
        <v>3.3183320625000019</v>
      </c>
      <c r="L181" s="859">
        <f t="shared" si="319"/>
        <v>3.4842486656250022</v>
      </c>
      <c r="M181" s="859">
        <f t="shared" si="319"/>
        <v>3.6584610989062525</v>
      </c>
      <c r="N181" s="859">
        <f t="shared" si="319"/>
        <v>3.8413841538515654</v>
      </c>
      <c r="O181" s="859">
        <f t="shared" si="319"/>
        <v>4.0334533615441437</v>
      </c>
      <c r="P181" s="859">
        <f t="shared" si="319"/>
        <v>4.2351260296213509</v>
      </c>
      <c r="Q181" s="859"/>
      <c r="R181" s="919"/>
      <c r="S181" s="868"/>
      <c r="T181" s="868"/>
      <c r="U181" s="868"/>
      <c r="V181" s="868"/>
      <c r="W181" s="869"/>
      <c r="X181" s="868"/>
      <c r="Y181" s="868"/>
      <c r="Z181" s="868"/>
      <c r="AA181" s="869"/>
      <c r="AB181" s="868"/>
      <c r="AC181" s="868"/>
      <c r="AD181" s="868"/>
      <c r="AE181" s="869"/>
      <c r="AF181" s="868"/>
      <c r="AG181" s="868"/>
      <c r="AH181" s="870"/>
      <c r="AI181" s="869"/>
      <c r="AJ181" s="868"/>
      <c r="AK181" s="868"/>
      <c r="AL181" s="870"/>
      <c r="AM181" s="868"/>
      <c r="AN181" s="868"/>
      <c r="AO181" s="868"/>
      <c r="AP181" s="868"/>
      <c r="AQ181" s="1389"/>
      <c r="AR181" s="794"/>
      <c r="AS181" s="794"/>
      <c r="AT181" s="794"/>
      <c r="AU181" s="794"/>
      <c r="AV181" s="794"/>
      <c r="AW181" s="794"/>
      <c r="AX181" s="794"/>
      <c r="AY181" s="794"/>
      <c r="AZ181" s="794"/>
      <c r="BA181" s="794"/>
      <c r="BB181"/>
      <c r="BC181"/>
      <c r="BD181"/>
      <c r="BE181"/>
      <c r="BF181"/>
      <c r="BG181"/>
      <c r="BL181" s="859"/>
      <c r="BM181" s="859"/>
      <c r="BN181" s="859"/>
      <c r="BO181" s="859"/>
      <c r="BP181" s="859"/>
      <c r="BQ181" s="859"/>
      <c r="BR181" s="859"/>
      <c r="BS181" s="859"/>
      <c r="BT181" s="859"/>
      <c r="BU181" s="859"/>
      <c r="BV181" s="859"/>
      <c r="BW181" s="859"/>
      <c r="BX181" s="859"/>
      <c r="BY181" s="859"/>
      <c r="BZ181" s="859"/>
      <c r="CA181" s="859"/>
      <c r="CB181" s="859"/>
      <c r="CC181" s="859"/>
      <c r="CD181" s="859"/>
      <c r="CE181" s="859"/>
      <c r="CF181" s="859"/>
      <c r="CG181" s="859"/>
      <c r="CH181" s="859"/>
      <c r="CI181" s="859"/>
      <c r="CJ181" s="859"/>
      <c r="CK181" s="859"/>
      <c r="CL181" s="859"/>
      <c r="CM181" s="859"/>
      <c r="CN181" s="859"/>
      <c r="CO181" s="859"/>
      <c r="CP181" s="859"/>
      <c r="CQ181" s="859"/>
      <c r="CR181" s="859"/>
      <c r="CS181" s="859"/>
      <c r="CT181" s="859"/>
      <c r="CU181" s="859"/>
      <c r="CV181" s="859"/>
      <c r="CW181" s="859"/>
      <c r="CX181" s="859"/>
    </row>
    <row r="182" spans="1:102" s="693" customFormat="1" hidden="1" outlineLevel="1">
      <c r="A182" s="780" t="s">
        <v>297</v>
      </c>
      <c r="B182" s="731"/>
      <c r="C182" s="731">
        <v>2.2727272727272707E-2</v>
      </c>
      <c r="D182" s="731">
        <v>2.2222222222222143E-2</v>
      </c>
      <c r="E182" s="731">
        <v>6.5217391304347894E-2</v>
      </c>
      <c r="F182" s="731">
        <v>6.1224489795918435E-2</v>
      </c>
      <c r="G182" s="731">
        <v>0.05</v>
      </c>
      <c r="H182" s="731">
        <v>0.05</v>
      </c>
      <c r="I182" s="731">
        <v>0.05</v>
      </c>
      <c r="J182" s="731">
        <v>0.05</v>
      </c>
      <c r="K182" s="731">
        <v>0.05</v>
      </c>
      <c r="L182" s="731">
        <v>0.05</v>
      </c>
      <c r="M182" s="731">
        <v>0.05</v>
      </c>
      <c r="N182" s="731">
        <v>0.05</v>
      </c>
      <c r="O182" s="731">
        <v>0.05</v>
      </c>
      <c r="P182" s="731">
        <v>0.05</v>
      </c>
      <c r="Q182" s="731"/>
      <c r="R182" s="721"/>
      <c r="S182" s="732"/>
      <c r="T182" s="732"/>
      <c r="U182" s="732"/>
      <c r="V182" s="732"/>
      <c r="W182" s="733"/>
      <c r="X182" s="732"/>
      <c r="Y182" s="732"/>
      <c r="Z182" s="732"/>
      <c r="AA182" s="733"/>
      <c r="AB182" s="732"/>
      <c r="AC182" s="732"/>
      <c r="AD182" s="732"/>
      <c r="AE182" s="733"/>
      <c r="AF182" s="732"/>
      <c r="AG182" s="732"/>
      <c r="AH182" s="734"/>
      <c r="AI182" s="733"/>
      <c r="AJ182" s="732"/>
      <c r="AK182" s="732"/>
      <c r="AL182" s="734"/>
      <c r="AM182" s="732"/>
      <c r="AN182" s="732"/>
      <c r="AO182" s="732"/>
      <c r="AP182" s="732"/>
      <c r="AQ182" s="1389"/>
      <c r="AR182" s="794"/>
      <c r="AS182" s="794"/>
      <c r="AT182" s="794"/>
      <c r="AU182" s="794"/>
      <c r="AV182" s="794"/>
      <c r="AW182" s="794"/>
      <c r="AX182" s="794"/>
      <c r="AY182" s="794"/>
      <c r="AZ182" s="794"/>
      <c r="BA182" s="794"/>
      <c r="BB182"/>
      <c r="BC182"/>
      <c r="BD182"/>
      <c r="BE182"/>
      <c r="BF182"/>
      <c r="BG182"/>
      <c r="BL182" s="732"/>
      <c r="BM182" s="732"/>
      <c r="BN182" s="732"/>
      <c r="BO182" s="732"/>
      <c r="BP182" s="732"/>
      <c r="BQ182" s="732"/>
      <c r="BR182" s="732"/>
      <c r="BS182" s="732"/>
      <c r="BT182" s="732"/>
      <c r="BU182" s="732"/>
      <c r="BV182" s="731"/>
      <c r="BW182" s="731"/>
      <c r="BX182" s="731"/>
      <c r="BY182" s="731"/>
      <c r="BZ182" s="731"/>
      <c r="CA182" s="731"/>
      <c r="CB182" s="731"/>
      <c r="CC182" s="731"/>
      <c r="CD182" s="731"/>
      <c r="CE182" s="731"/>
      <c r="CF182" s="731"/>
      <c r="CG182" s="731"/>
      <c r="CH182" s="731"/>
      <c r="CI182" s="731"/>
      <c r="CJ182" s="731"/>
      <c r="CK182" s="731"/>
      <c r="CL182" s="731"/>
      <c r="CM182" s="731"/>
      <c r="CN182" s="731"/>
      <c r="CO182" s="731"/>
      <c r="CP182" s="731"/>
      <c r="CQ182" s="731"/>
      <c r="CR182" s="731"/>
      <c r="CS182" s="731"/>
      <c r="CT182" s="731"/>
      <c r="CU182" s="731"/>
      <c r="CV182" s="731"/>
      <c r="CW182" s="731"/>
      <c r="CX182" s="731"/>
    </row>
    <row r="183" spans="1:102" s="693" customFormat="1" hidden="1" outlineLevel="1">
      <c r="A183" s="867" t="s">
        <v>207</v>
      </c>
      <c r="B183" s="859">
        <v>1.0675066719166995</v>
      </c>
      <c r="C183" s="859">
        <v>1.3017255246402062</v>
      </c>
      <c r="D183" s="859">
        <v>1.0968461178839861</v>
      </c>
      <c r="E183" s="859">
        <v>1.1244000000000001</v>
      </c>
      <c r="F183" s="859">
        <v>1.03835693739734</v>
      </c>
      <c r="G183" s="859">
        <v>1.0383569373973391</v>
      </c>
      <c r="H183" s="859">
        <v>0.99210000000000009</v>
      </c>
      <c r="I183" s="859">
        <v>0.99210000000000009</v>
      </c>
      <c r="J183" s="859">
        <v>0.99210000000000009</v>
      </c>
      <c r="K183" s="859">
        <v>0.99210000000000009</v>
      </c>
      <c r="L183" s="859">
        <v>0.99210000000000009</v>
      </c>
      <c r="M183" s="859">
        <v>0.99210000000000009</v>
      </c>
      <c r="N183" s="859">
        <v>0.99210000000000009</v>
      </c>
      <c r="O183" s="859">
        <v>0.99210000000000009</v>
      </c>
      <c r="P183" s="859">
        <v>0.99210000000000009</v>
      </c>
      <c r="Q183" s="859"/>
      <c r="R183" s="919"/>
      <c r="S183" s="868"/>
      <c r="T183" s="868"/>
      <c r="U183" s="868"/>
      <c r="V183" s="868"/>
      <c r="W183" s="869"/>
      <c r="X183" s="868"/>
      <c r="Y183" s="868"/>
      <c r="Z183" s="868"/>
      <c r="AA183" s="869"/>
      <c r="AB183" s="868"/>
      <c r="AC183" s="868"/>
      <c r="AD183" s="868"/>
      <c r="AE183" s="869"/>
      <c r="AF183" s="868"/>
      <c r="AG183" s="868"/>
      <c r="AH183" s="870"/>
      <c r="AI183" s="869"/>
      <c r="AJ183" s="868"/>
      <c r="AK183" s="868"/>
      <c r="AL183" s="870"/>
      <c r="AM183" s="868"/>
      <c r="AN183" s="868"/>
      <c r="AO183" s="868"/>
      <c r="AP183" s="868"/>
      <c r="AQ183" s="1389"/>
      <c r="AR183" s="794"/>
      <c r="AS183" s="794"/>
      <c r="AT183" s="794"/>
      <c r="AU183" s="794"/>
      <c r="AV183" s="794"/>
      <c r="AW183" s="794"/>
      <c r="AX183" s="794"/>
      <c r="AY183" s="794"/>
      <c r="AZ183" s="794"/>
      <c r="BA183" s="794"/>
      <c r="BB183"/>
      <c r="BC183"/>
      <c r="BD183"/>
      <c r="BE183"/>
      <c r="BF183"/>
      <c r="BG183"/>
      <c r="BL183" s="859"/>
      <c r="BM183" s="859"/>
      <c r="BN183" s="859"/>
      <c r="BO183" s="859"/>
      <c r="BP183" s="859"/>
      <c r="BQ183" s="859"/>
      <c r="BR183" s="732"/>
      <c r="BS183" s="732"/>
      <c r="BT183" s="732"/>
      <c r="BU183" s="732"/>
      <c r="BV183" s="859"/>
      <c r="BW183" s="859"/>
      <c r="BX183" s="859"/>
      <c r="BY183" s="859"/>
      <c r="BZ183" s="859"/>
      <c r="CA183" s="859"/>
      <c r="CB183" s="859"/>
      <c r="CC183" s="859"/>
      <c r="CD183" s="859"/>
      <c r="CE183" s="859"/>
      <c r="CF183" s="859"/>
      <c r="CG183" s="859"/>
      <c r="CH183" s="859"/>
      <c r="CI183" s="859"/>
      <c r="CJ183" s="859"/>
      <c r="CK183" s="859"/>
      <c r="CL183" s="859"/>
      <c r="CM183" s="859"/>
      <c r="CN183" s="859"/>
      <c r="CO183" s="859"/>
      <c r="CP183" s="859"/>
      <c r="CQ183" s="859"/>
      <c r="CR183" s="859"/>
      <c r="CS183" s="859"/>
      <c r="CT183" s="859"/>
      <c r="CU183" s="859"/>
      <c r="CV183" s="859"/>
      <c r="CW183" s="859"/>
      <c r="CX183" s="859"/>
    </row>
    <row r="184" spans="1:102" s="693" customFormat="1" hidden="1" outlineLevel="1">
      <c r="A184" s="867" t="s">
        <v>208</v>
      </c>
      <c r="B184" s="805">
        <v>5368</v>
      </c>
      <c r="C184" s="805">
        <v>6030</v>
      </c>
      <c r="D184" s="805">
        <v>6100</v>
      </c>
      <c r="E184" s="805">
        <v>6724.4179800000002</v>
      </c>
      <c r="F184" s="805">
        <v>6549.5402183274618</v>
      </c>
      <c r="G184" s="805">
        <f t="shared" ref="G184:P184" si="320">G185*G140</f>
        <v>6811.8187971446505</v>
      </c>
      <c r="H184" s="805">
        <f t="shared" si="320"/>
        <v>6762.6863577000022</v>
      </c>
      <c r="I184" s="805">
        <f t="shared" si="320"/>
        <v>7005.2671593450041</v>
      </c>
      <c r="J184" s="805">
        <f t="shared" si="320"/>
        <v>7254.2900738322833</v>
      </c>
      <c r="K184" s="805">
        <f t="shared" si="320"/>
        <v>7589.1433893284948</v>
      </c>
      <c r="L184" s="805">
        <f t="shared" si="320"/>
        <v>7936.5079958513797</v>
      </c>
      <c r="M184" s="805">
        <f t="shared" si="320"/>
        <v>8297.5500427795323</v>
      </c>
      <c r="N184" s="805">
        <f t="shared" si="320"/>
        <v>8673.3216955072003</v>
      </c>
      <c r="O184" s="805">
        <f t="shared" si="320"/>
        <v>9064.7996416564893</v>
      </c>
      <c r="P184" s="805">
        <f t="shared" si="320"/>
        <v>9472.9137355749572</v>
      </c>
      <c r="Q184" s="805"/>
      <c r="R184" s="806"/>
      <c r="S184" s="803"/>
      <c r="T184" s="803"/>
      <c r="U184" s="803"/>
      <c r="V184" s="803"/>
      <c r="W184" s="804"/>
      <c r="X184" s="803"/>
      <c r="Y184" s="803"/>
      <c r="Z184" s="803"/>
      <c r="AA184" s="804"/>
      <c r="AB184" s="803"/>
      <c r="AC184" s="803"/>
      <c r="AD184" s="803"/>
      <c r="AE184" s="804"/>
      <c r="AF184" s="803"/>
      <c r="AG184" s="803"/>
      <c r="AH184" s="881"/>
      <c r="AI184" s="804"/>
      <c r="AJ184" s="803"/>
      <c r="AK184" s="803"/>
      <c r="AL184" s="881"/>
      <c r="AM184" s="803"/>
      <c r="AN184" s="803"/>
      <c r="AO184" s="803"/>
      <c r="AP184" s="803"/>
      <c r="AQ184" s="1389"/>
      <c r="AR184" s="794"/>
      <c r="AS184" s="794"/>
      <c r="AT184" s="794"/>
      <c r="AU184" s="794"/>
      <c r="AV184" s="794"/>
      <c r="AW184" s="794"/>
      <c r="AX184" s="794"/>
      <c r="AY184" s="794"/>
      <c r="AZ184" s="794"/>
      <c r="BA184" s="794"/>
      <c r="BB184"/>
      <c r="BC184"/>
      <c r="BD184"/>
      <c r="BE184"/>
      <c r="BF184"/>
      <c r="BG184"/>
      <c r="BL184" s="859"/>
      <c r="BM184" s="859"/>
      <c r="BN184" s="859"/>
      <c r="BO184" s="859"/>
      <c r="BP184" s="859"/>
      <c r="BQ184" s="859"/>
      <c r="BR184" s="859"/>
      <c r="BS184" s="859"/>
      <c r="BT184" s="732"/>
      <c r="BU184" s="732"/>
      <c r="BV184" s="805"/>
      <c r="BW184" s="805"/>
      <c r="BX184" s="805"/>
      <c r="BY184" s="805"/>
      <c r="BZ184" s="805"/>
      <c r="CA184" s="805"/>
      <c r="CB184" s="805"/>
      <c r="CC184" s="805"/>
      <c r="CD184" s="805"/>
      <c r="CE184" s="805"/>
      <c r="CF184" s="805"/>
      <c r="CG184" s="805"/>
      <c r="CH184" s="805"/>
      <c r="CI184" s="805"/>
      <c r="CJ184" s="805"/>
      <c r="CK184" s="805"/>
      <c r="CL184" s="805"/>
      <c r="CM184" s="805"/>
      <c r="CN184" s="805"/>
      <c r="CO184" s="805"/>
      <c r="CP184" s="805"/>
      <c r="CQ184" s="805"/>
      <c r="CR184" s="805"/>
      <c r="CS184" s="805"/>
      <c r="CT184" s="805"/>
      <c r="CU184" s="805"/>
      <c r="CV184" s="805"/>
      <c r="CW184" s="805"/>
      <c r="CX184" s="805"/>
    </row>
    <row r="185" spans="1:102" s="693" customFormat="1" hidden="1" outlineLevel="1">
      <c r="A185" s="867" t="s">
        <v>209</v>
      </c>
      <c r="B185" s="920">
        <v>2.348514678216739</v>
      </c>
      <c r="C185" s="920">
        <v>2.9288824304404639</v>
      </c>
      <c r="D185" s="920">
        <v>2.522746071133168</v>
      </c>
      <c r="E185" s="920">
        <v>2.7547800000000002</v>
      </c>
      <c r="F185" s="920">
        <v>2.6997280372330841</v>
      </c>
      <c r="G185" s="920">
        <f t="shared" ref="G185:P185" si="321">G181*G183</f>
        <v>2.8347144390947361</v>
      </c>
      <c r="H185" s="920">
        <f t="shared" si="321"/>
        <v>2.8438546500000008</v>
      </c>
      <c r="I185" s="920">
        <f t="shared" si="321"/>
        <v>2.9860473825000016</v>
      </c>
      <c r="J185" s="920">
        <f t="shared" si="321"/>
        <v>3.135349751625002</v>
      </c>
      <c r="K185" s="920">
        <f t="shared" si="321"/>
        <v>3.2921172392062523</v>
      </c>
      <c r="L185" s="920">
        <f t="shared" si="321"/>
        <v>3.4567231011665651</v>
      </c>
      <c r="M185" s="920">
        <f t="shared" si="321"/>
        <v>3.6295592562248933</v>
      </c>
      <c r="N185" s="920">
        <f t="shared" si="321"/>
        <v>3.8110372190361383</v>
      </c>
      <c r="O185" s="920">
        <f t="shared" si="321"/>
        <v>4.0015890799879452</v>
      </c>
      <c r="P185" s="920">
        <f t="shared" si="321"/>
        <v>4.201668533987343</v>
      </c>
      <c r="Q185" s="920"/>
      <c r="R185" s="921"/>
      <c r="S185" s="922"/>
      <c r="T185" s="922"/>
      <c r="U185" s="922"/>
      <c r="V185" s="922"/>
      <c r="W185" s="923"/>
      <c r="X185" s="922"/>
      <c r="Y185" s="922"/>
      <c r="Z185" s="922"/>
      <c r="AA185" s="923"/>
      <c r="AB185" s="922"/>
      <c r="AC185" s="922"/>
      <c r="AD185" s="922"/>
      <c r="AE185" s="923"/>
      <c r="AF185" s="922"/>
      <c r="AG185" s="922"/>
      <c r="AH185" s="924"/>
      <c r="AI185" s="923"/>
      <c r="AJ185" s="922"/>
      <c r="AK185" s="922"/>
      <c r="AL185" s="924"/>
      <c r="AM185" s="922"/>
      <c r="AN185" s="922"/>
      <c r="AO185" s="922"/>
      <c r="AP185" s="922"/>
      <c r="AQ185" s="1389"/>
      <c r="AR185" s="794"/>
      <c r="AS185" s="794"/>
      <c r="AT185" s="794"/>
      <c r="AU185" s="794"/>
      <c r="AV185" s="794"/>
      <c r="AW185" s="794"/>
      <c r="AX185" s="794"/>
      <c r="AY185" s="794"/>
      <c r="AZ185" s="794"/>
      <c r="BA185" s="794"/>
      <c r="BB185"/>
      <c r="BC185"/>
      <c r="BD185"/>
      <c r="BE185"/>
      <c r="BF185"/>
      <c r="BG185"/>
      <c r="BL185" s="859"/>
      <c r="BM185" s="859"/>
      <c r="BN185" s="920"/>
      <c r="BO185" s="920"/>
      <c r="BP185" s="859"/>
      <c r="BQ185" s="859"/>
      <c r="BR185" s="859"/>
      <c r="BS185" s="859"/>
      <c r="BT185" s="732"/>
      <c r="BU185" s="732"/>
      <c r="BV185" s="920"/>
      <c r="BW185" s="920"/>
      <c r="BX185" s="920"/>
      <c r="BY185" s="920"/>
      <c r="BZ185" s="920"/>
      <c r="CA185" s="920"/>
      <c r="CB185" s="920"/>
      <c r="CC185" s="920"/>
      <c r="CD185" s="920"/>
      <c r="CE185" s="920"/>
      <c r="CF185" s="920"/>
      <c r="CG185" s="920"/>
      <c r="CH185" s="920"/>
      <c r="CI185" s="920"/>
      <c r="CJ185" s="920"/>
      <c r="CK185" s="920"/>
      <c r="CL185" s="920"/>
      <c r="CM185" s="920"/>
      <c r="CN185" s="920"/>
      <c r="CO185" s="920"/>
      <c r="CP185" s="920"/>
      <c r="CQ185" s="920"/>
      <c r="CR185" s="920"/>
      <c r="CS185" s="920"/>
      <c r="CT185" s="920"/>
      <c r="CU185" s="920"/>
      <c r="CV185" s="920"/>
      <c r="CW185" s="920"/>
      <c r="CX185" s="920"/>
    </row>
    <row r="186" spans="1:102" s="693" customFormat="1" hidden="1" outlineLevel="1">
      <c r="A186" s="741" t="s">
        <v>14</v>
      </c>
      <c r="B186" s="735"/>
      <c r="C186" s="755">
        <v>0.24712119434757218</v>
      </c>
      <c r="D186" s="755">
        <v>-0.13866598231674965</v>
      </c>
      <c r="E186" s="755">
        <v>9.1976727868852581E-2</v>
      </c>
      <c r="F186" s="755">
        <v>-1.9984159449000005E-2</v>
      </c>
      <c r="G186" s="755">
        <f t="shared" ref="G186:P186" si="322">G185/F185-1</f>
        <v>4.9999999999999156E-2</v>
      </c>
      <c r="H186" s="755">
        <f t="shared" si="322"/>
        <v>3.2243850665196749E-3</v>
      </c>
      <c r="I186" s="755">
        <f t="shared" si="322"/>
        <v>5.0000000000000266E-2</v>
      </c>
      <c r="J186" s="735">
        <f t="shared" si="322"/>
        <v>5.0000000000000044E-2</v>
      </c>
      <c r="K186" s="735">
        <f t="shared" si="322"/>
        <v>5.0000000000000044E-2</v>
      </c>
      <c r="L186" s="735">
        <f t="shared" si="322"/>
        <v>5.0000000000000044E-2</v>
      </c>
      <c r="M186" s="735">
        <f t="shared" si="322"/>
        <v>5.0000000000000044E-2</v>
      </c>
      <c r="N186" s="735">
        <f t="shared" si="322"/>
        <v>5.0000000000000044E-2</v>
      </c>
      <c r="O186" s="735">
        <f t="shared" si="322"/>
        <v>5.0000000000000044E-2</v>
      </c>
      <c r="P186" s="735">
        <f t="shared" si="322"/>
        <v>5.0000000000000044E-2</v>
      </c>
      <c r="Q186" s="735"/>
      <c r="R186" s="737"/>
      <c r="S186" s="736"/>
      <c r="T186" s="736"/>
      <c r="U186" s="736"/>
      <c r="V186" s="736"/>
      <c r="W186" s="738"/>
      <c r="X186" s="736"/>
      <c r="Y186" s="736"/>
      <c r="Z186" s="736"/>
      <c r="AA186" s="738"/>
      <c r="AB186" s="736"/>
      <c r="AC186" s="736"/>
      <c r="AD186" s="736"/>
      <c r="AE186" s="738"/>
      <c r="AF186" s="736"/>
      <c r="AG186" s="736"/>
      <c r="AH186" s="739"/>
      <c r="AI186" s="738"/>
      <c r="AJ186" s="736"/>
      <c r="AK186" s="736"/>
      <c r="AL186" s="739"/>
      <c r="AM186" s="736"/>
      <c r="AN186" s="736"/>
      <c r="AO186" s="736"/>
      <c r="AP186" s="736"/>
      <c r="AQ186" s="1390"/>
      <c r="AR186" s="813"/>
      <c r="AS186" s="813"/>
      <c r="AT186" s="813"/>
      <c r="AU186" s="813"/>
      <c r="AV186" s="813"/>
      <c r="AW186" s="813"/>
      <c r="AX186" s="813"/>
      <c r="AY186" s="813"/>
      <c r="AZ186" s="813"/>
      <c r="BA186" s="813"/>
      <c r="BB186"/>
      <c r="BC186"/>
      <c r="BD186"/>
      <c r="BE186"/>
      <c r="BF186"/>
      <c r="BG186"/>
      <c r="BH186" s="741"/>
      <c r="BI186" s="741"/>
      <c r="BJ186" s="741"/>
      <c r="BK186" s="741"/>
      <c r="BL186" s="736"/>
      <c r="BM186" s="736"/>
      <c r="BN186" s="736"/>
      <c r="BO186" s="736"/>
      <c r="BP186" s="736"/>
      <c r="BQ186" s="736"/>
      <c r="BR186" s="736"/>
      <c r="BS186" s="736"/>
      <c r="BT186" s="735"/>
      <c r="BU186" s="735"/>
      <c r="BV186" s="735"/>
      <c r="BW186" s="735"/>
      <c r="BX186" s="735"/>
      <c r="BY186" s="735"/>
      <c r="BZ186" s="735"/>
      <c r="CA186" s="735"/>
      <c r="CB186" s="735"/>
      <c r="CC186" s="735"/>
      <c r="CD186" s="735"/>
      <c r="CE186" s="735"/>
      <c r="CF186" s="735"/>
      <c r="CG186" s="735"/>
      <c r="CH186" s="735"/>
      <c r="CI186" s="735"/>
      <c r="CJ186" s="735"/>
      <c r="CK186" s="735"/>
      <c r="CL186" s="735"/>
      <c r="CM186" s="735"/>
      <c r="CN186" s="735"/>
      <c r="CO186" s="735"/>
      <c r="CP186" s="735"/>
      <c r="CQ186" s="735"/>
      <c r="CR186" s="735"/>
      <c r="CS186" s="735"/>
      <c r="CT186" s="735"/>
      <c r="CU186" s="735"/>
      <c r="CV186" s="735"/>
      <c r="CW186" s="735"/>
      <c r="CX186" s="735"/>
    </row>
    <row r="187" spans="1:102" s="693" customFormat="1" hidden="1" outlineLevel="1">
      <c r="A187" s="867" t="s">
        <v>210</v>
      </c>
      <c r="B187" s="731">
        <v>0.55169578622816029</v>
      </c>
      <c r="C187" s="731">
        <v>0.45161773517076093</v>
      </c>
      <c r="D187" s="731">
        <v>0.48944876835432882</v>
      </c>
      <c r="E187" s="731">
        <v>0.55427118199802172</v>
      </c>
      <c r="F187" s="731">
        <v>0.52042433200853888</v>
      </c>
      <c r="G187" s="731">
        <f t="shared" ref="G187:P187" si="323">G184/G130</f>
        <v>0.56623597648750212</v>
      </c>
      <c r="H187" s="731">
        <f t="shared" si="323"/>
        <v>0.59772727220258104</v>
      </c>
      <c r="I187" s="731">
        <f t="shared" si="323"/>
        <v>0.61503662505223922</v>
      </c>
      <c r="J187" s="731">
        <f t="shared" si="323"/>
        <v>0.59445252095547696</v>
      </c>
      <c r="K187" s="731">
        <f t="shared" si="323"/>
        <v>0.59714743631382428</v>
      </c>
      <c r="L187" s="731">
        <f t="shared" si="323"/>
        <v>0.57168849090637275</v>
      </c>
      <c r="M187" s="731">
        <f t="shared" si="323"/>
        <v>0.55521668205739405</v>
      </c>
      <c r="N187" s="731">
        <f t="shared" si="323"/>
        <v>0.54188539410709291</v>
      </c>
      <c r="O187" s="731">
        <f t="shared" si="323"/>
        <v>0.56640530530057243</v>
      </c>
      <c r="P187" s="731">
        <f t="shared" si="323"/>
        <v>0.56973852698581307</v>
      </c>
      <c r="Q187" s="731"/>
      <c r="R187" s="721"/>
      <c r="S187" s="732"/>
      <c r="T187" s="732"/>
      <c r="U187" s="732"/>
      <c r="V187" s="732"/>
      <c r="W187" s="733"/>
      <c r="X187" s="732"/>
      <c r="Y187" s="732"/>
      <c r="Z187" s="732"/>
      <c r="AA187" s="733"/>
      <c r="AB187" s="732"/>
      <c r="AC187" s="732"/>
      <c r="AD187" s="732"/>
      <c r="AE187" s="733"/>
      <c r="AF187" s="732"/>
      <c r="AG187" s="732"/>
      <c r="AH187" s="734"/>
      <c r="AI187" s="733"/>
      <c r="AJ187" s="732"/>
      <c r="AK187" s="732"/>
      <c r="AL187" s="734"/>
      <c r="AM187" s="732"/>
      <c r="AN187" s="732"/>
      <c r="AO187" s="732"/>
      <c r="AP187" s="732"/>
      <c r="AQ187" s="1389"/>
      <c r="AR187" s="794"/>
      <c r="AS187" s="794"/>
      <c r="AT187" s="794"/>
      <c r="AU187" s="794"/>
      <c r="AV187" s="794"/>
      <c r="AW187" s="794"/>
      <c r="AX187" s="794"/>
      <c r="AY187" s="794"/>
      <c r="AZ187" s="794"/>
      <c r="BA187" s="794"/>
      <c r="BB187"/>
      <c r="BC187"/>
      <c r="BD187"/>
      <c r="BE187"/>
      <c r="BF187"/>
      <c r="BG187"/>
      <c r="BL187" s="859"/>
      <c r="BM187" s="859"/>
      <c r="BN187" s="859"/>
      <c r="BO187" s="859"/>
      <c r="BP187" s="859"/>
      <c r="BQ187" s="859"/>
      <c r="BR187" s="859"/>
      <c r="BS187" s="859"/>
      <c r="BT187" s="732"/>
      <c r="BU187" s="732"/>
      <c r="BV187" s="731"/>
      <c r="BW187" s="731"/>
      <c r="BX187" s="731"/>
      <c r="BY187" s="731"/>
      <c r="BZ187" s="731"/>
      <c r="CA187" s="731"/>
      <c r="CB187" s="731"/>
      <c r="CC187" s="731"/>
      <c r="CD187" s="731"/>
      <c r="CE187" s="731"/>
      <c r="CF187" s="731"/>
      <c r="CG187" s="731"/>
      <c r="CH187" s="731"/>
      <c r="CI187" s="731"/>
      <c r="CJ187" s="731"/>
      <c r="CK187" s="731"/>
      <c r="CL187" s="731"/>
      <c r="CM187" s="731"/>
      <c r="CN187" s="731"/>
      <c r="CO187" s="731"/>
      <c r="CP187" s="731"/>
      <c r="CQ187" s="731"/>
      <c r="CR187" s="731"/>
      <c r="CS187" s="731"/>
      <c r="CT187" s="731"/>
      <c r="CU187" s="731"/>
      <c r="CV187" s="731"/>
      <c r="CW187" s="731"/>
      <c r="CX187" s="731"/>
    </row>
    <row r="188" spans="1:102" s="693" customFormat="1" hidden="1" outlineLevel="1">
      <c r="A188" s="867"/>
      <c r="B188" s="859"/>
      <c r="C188" s="859"/>
      <c r="D188" s="859"/>
      <c r="E188" s="859"/>
      <c r="F188" s="859"/>
      <c r="G188" s="859"/>
      <c r="H188" s="859"/>
      <c r="I188" s="859"/>
      <c r="J188" s="859"/>
      <c r="K188" s="859"/>
      <c r="L188" s="859"/>
      <c r="M188" s="859"/>
      <c r="N188" s="859"/>
      <c r="O188" s="859"/>
      <c r="P188" s="859"/>
      <c r="Q188" s="859"/>
      <c r="R188" s="919"/>
      <c r="S188" s="868"/>
      <c r="T188" s="868"/>
      <c r="U188" s="868"/>
      <c r="V188" s="868"/>
      <c r="W188" s="869"/>
      <c r="X188" s="868"/>
      <c r="Y188" s="868"/>
      <c r="Z188" s="868"/>
      <c r="AA188" s="869"/>
      <c r="AB188" s="868"/>
      <c r="AC188" s="868"/>
      <c r="AD188" s="868"/>
      <c r="AE188" s="869"/>
      <c r="AF188" s="868"/>
      <c r="AG188" s="868"/>
      <c r="AH188" s="870"/>
      <c r="AI188" s="869"/>
      <c r="AJ188" s="868"/>
      <c r="AK188" s="868"/>
      <c r="AL188" s="870"/>
      <c r="AM188" s="868"/>
      <c r="AN188" s="868"/>
      <c r="AO188" s="868"/>
      <c r="AP188" s="868"/>
      <c r="AQ188" s="1389"/>
      <c r="AR188" s="794"/>
      <c r="AS188" s="794"/>
      <c r="AT188" s="794"/>
      <c r="AU188" s="794"/>
      <c r="AV188" s="794"/>
      <c r="AW188" s="794"/>
      <c r="AX188" s="794"/>
      <c r="AY188" s="794"/>
      <c r="AZ188" s="794"/>
      <c r="BA188" s="794"/>
      <c r="BB188"/>
      <c r="BC188"/>
      <c r="BD188"/>
      <c r="BE188"/>
      <c r="BF188"/>
      <c r="BG188"/>
      <c r="BL188" s="867"/>
      <c r="BM188" s="867"/>
      <c r="BN188" s="867"/>
      <c r="BO188" s="859"/>
      <c r="BP188" s="859"/>
      <c r="BQ188" s="859"/>
      <c r="BR188" s="859"/>
      <c r="BS188" s="859"/>
      <c r="BT188" s="732"/>
      <c r="BU188" s="732"/>
      <c r="BV188" s="859"/>
      <c r="BW188" s="859"/>
      <c r="BX188" s="859"/>
      <c r="BY188" s="859"/>
      <c r="BZ188" s="859"/>
      <c r="CA188" s="859"/>
      <c r="CB188" s="859"/>
      <c r="CC188" s="859"/>
      <c r="CD188" s="859"/>
      <c r="CE188" s="859"/>
      <c r="CF188" s="859"/>
      <c r="CG188" s="859"/>
      <c r="CH188" s="859"/>
      <c r="CI188" s="859"/>
      <c r="CJ188" s="859"/>
      <c r="CK188" s="859"/>
      <c r="CL188" s="859"/>
      <c r="CM188" s="859"/>
      <c r="CN188" s="859"/>
      <c r="CO188" s="859"/>
      <c r="CP188" s="859"/>
      <c r="CQ188" s="859"/>
      <c r="CR188" s="859"/>
      <c r="CS188" s="859"/>
      <c r="CT188" s="859"/>
      <c r="CU188" s="859"/>
      <c r="CV188" s="859"/>
      <c r="CW188" s="859"/>
      <c r="CX188" s="859"/>
    </row>
    <row r="189" spans="1:102" s="693" customFormat="1" hidden="1" outlineLevel="1">
      <c r="A189" s="780" t="s">
        <v>211</v>
      </c>
      <c r="B189" s="859">
        <v>4.2289638386648116</v>
      </c>
      <c r="C189" s="859">
        <v>5.5324438551421231</v>
      </c>
      <c r="D189" s="859">
        <v>5.0973415132924336</v>
      </c>
      <c r="E189" s="859"/>
      <c r="F189" s="859">
        <v>5.0951417004048585</v>
      </c>
      <c r="G189" s="859">
        <f t="shared" ref="G189" si="324">G130/G141</f>
        <v>4.9343724364232981</v>
      </c>
      <c r="H189" s="859">
        <f>H130/H141</f>
        <v>4.7141666666666664</v>
      </c>
      <c r="I189" s="859">
        <f t="shared" ref="I189:Q189" si="325">I130/I141</f>
        <v>4.8038802193167438</v>
      </c>
      <c r="J189" s="859">
        <f t="shared" si="325"/>
        <v>5.2179675234153926</v>
      </c>
      <c r="K189" s="859">
        <f t="shared" si="325"/>
        <v>5.4539258463986195</v>
      </c>
      <c r="L189" s="859">
        <f t="shared" si="325"/>
        <v>5.9813857333286364</v>
      </c>
      <c r="M189" s="859">
        <f t="shared" si="325"/>
        <v>6.4664791111133333</v>
      </c>
      <c r="N189" s="859">
        <f t="shared" si="325"/>
        <v>6.956504302497394</v>
      </c>
      <c r="O189" s="859">
        <f t="shared" si="325"/>
        <v>6.9877688192508982</v>
      </c>
      <c r="P189" s="859">
        <f t="shared" si="325"/>
        <v>7.2938523854264856</v>
      </c>
      <c r="Q189" s="859">
        <f t="shared" si="325"/>
        <v>7.4535573319055128</v>
      </c>
      <c r="R189" s="919"/>
      <c r="S189" s="868"/>
      <c r="T189" s="868"/>
      <c r="U189" s="868"/>
      <c r="V189" s="868"/>
      <c r="W189" s="869"/>
      <c r="X189" s="868"/>
      <c r="Y189" s="868"/>
      <c r="Z189" s="868"/>
      <c r="AA189" s="869"/>
      <c r="AB189" s="868"/>
      <c r="AC189" s="868"/>
      <c r="AD189" s="868"/>
      <c r="AE189" s="869"/>
      <c r="AF189" s="868"/>
      <c r="AG189" s="868"/>
      <c r="AH189" s="870"/>
      <c r="AI189" s="869"/>
      <c r="AJ189" s="868"/>
      <c r="AK189" s="868"/>
      <c r="AL189" s="870"/>
      <c r="AM189" s="868"/>
      <c r="AN189" s="868"/>
      <c r="AO189" s="868"/>
      <c r="AP189" s="868"/>
      <c r="AQ189" s="1389"/>
      <c r="AR189" s="794"/>
      <c r="AS189" s="794"/>
      <c r="AT189" s="794"/>
      <c r="AU189" s="794"/>
      <c r="AV189" s="794"/>
      <c r="AW189" s="794"/>
      <c r="AX189" s="794"/>
      <c r="AY189" s="794"/>
      <c r="AZ189" s="794"/>
      <c r="BA189" s="794"/>
      <c r="BB189"/>
      <c r="BC189"/>
      <c r="BD189"/>
      <c r="BE189"/>
      <c r="BF189"/>
      <c r="BG189"/>
      <c r="BL189" s="925"/>
      <c r="BM189" s="925"/>
      <c r="BN189" s="859"/>
      <c r="BO189" s="859"/>
      <c r="BP189" s="859"/>
      <c r="BQ189" s="859"/>
      <c r="BR189" s="859"/>
      <c r="BS189" s="859"/>
      <c r="BT189" s="859"/>
      <c r="BU189" s="859"/>
      <c r="BV189" s="859"/>
      <c r="BW189" s="859"/>
      <c r="BX189" s="859"/>
      <c r="BY189" s="859"/>
      <c r="BZ189" s="859"/>
      <c r="CA189" s="859"/>
      <c r="CB189" s="859"/>
      <c r="CC189" s="859"/>
      <c r="CD189" s="859"/>
      <c r="CE189" s="859"/>
      <c r="CF189" s="859"/>
      <c r="CG189" s="859"/>
      <c r="CH189" s="859"/>
      <c r="CI189" s="859"/>
      <c r="CJ189" s="859"/>
      <c r="CK189" s="859"/>
      <c r="CL189" s="859"/>
      <c r="CM189" s="859"/>
      <c r="CN189" s="859"/>
      <c r="CO189" s="859"/>
      <c r="CP189" s="859"/>
      <c r="CQ189" s="859"/>
      <c r="CR189" s="859"/>
      <c r="CS189" s="859"/>
      <c r="CT189" s="859"/>
      <c r="CU189" s="859"/>
      <c r="CV189" s="859"/>
      <c r="CW189" s="859"/>
      <c r="CX189" s="859"/>
    </row>
    <row r="190" spans="1:102" s="693" customFormat="1" hidden="1" outlineLevel="1">
      <c r="A190" s="795" t="s">
        <v>212</v>
      </c>
      <c r="B190" s="860">
        <v>4.5605876216968007</v>
      </c>
      <c r="C190" s="860">
        <v>5.4997099527637356</v>
      </c>
      <c r="D190" s="860">
        <v>5.0973415132924336</v>
      </c>
      <c r="E190" s="860">
        <v>4.9112545381202102</v>
      </c>
      <c r="F190" s="860">
        <v>5.0951417004048585</v>
      </c>
      <c r="G190" s="860">
        <f>G454</f>
        <v>4.9343724364232981</v>
      </c>
      <c r="H190" s="860">
        <f>H130/H140</f>
        <v>4.7577796467619846</v>
      </c>
      <c r="I190" s="860">
        <f t="shared" ref="I190:Q190" si="326">I130/I140</f>
        <v>4.8550724637681162</v>
      </c>
      <c r="J190" s="860">
        <f t="shared" si="326"/>
        <v>5.2743484821722744</v>
      </c>
      <c r="K190" s="860">
        <f t="shared" si="326"/>
        <v>5.5130727170636566</v>
      </c>
      <c r="L190" s="860">
        <f t="shared" si="326"/>
        <v>6.0465151147020091</v>
      </c>
      <c r="M190" s="860">
        <f t="shared" si="326"/>
        <v>6.5371941685457085</v>
      </c>
      <c r="N190" s="860">
        <f t="shared" si="326"/>
        <v>7.0329210945349114</v>
      </c>
      <c r="O190" s="860">
        <f t="shared" si="326"/>
        <v>7.0648862970385391</v>
      </c>
      <c r="P190" s="860">
        <f t="shared" si="326"/>
        <v>7.3747312757944625</v>
      </c>
      <c r="Q190" s="860">
        <f t="shared" si="326"/>
        <v>7.5366078418829581</v>
      </c>
      <c r="R190" s="919"/>
      <c r="S190" s="868"/>
      <c r="T190" s="868"/>
      <c r="U190" s="868"/>
      <c r="V190" s="868"/>
      <c r="W190" s="869"/>
      <c r="X190" s="868"/>
      <c r="Y190" s="868"/>
      <c r="Z190" s="868"/>
      <c r="AA190" s="869"/>
      <c r="AB190" s="868"/>
      <c r="AC190" s="868"/>
      <c r="AD190" s="868"/>
      <c r="AE190" s="869"/>
      <c r="AF190" s="868"/>
      <c r="AG190" s="868"/>
      <c r="AH190" s="870"/>
      <c r="AI190" s="869"/>
      <c r="AJ190" s="868"/>
      <c r="AK190" s="868"/>
      <c r="AL190" s="870"/>
      <c r="AM190" s="868"/>
      <c r="AN190" s="868"/>
      <c r="AO190" s="868"/>
      <c r="AP190" s="868"/>
      <c r="AQ190" s="1389"/>
      <c r="AR190" s="794"/>
      <c r="AS190" s="794"/>
      <c r="AT190" s="794"/>
      <c r="AU190" s="794"/>
      <c r="AV190" s="794"/>
      <c r="AW190" s="794"/>
      <c r="AX190" s="794"/>
      <c r="AY190" s="794"/>
      <c r="AZ190" s="794"/>
      <c r="BA190" s="794"/>
      <c r="BB190"/>
      <c r="BC190"/>
      <c r="BD190"/>
      <c r="BE190"/>
      <c r="BF190"/>
      <c r="BG190"/>
      <c r="BL190" s="925"/>
      <c r="BM190" s="925"/>
      <c r="BN190" s="859"/>
      <c r="BO190" s="859"/>
      <c r="BP190" s="859"/>
      <c r="BQ190" s="859"/>
      <c r="BR190" s="859"/>
      <c r="BS190" s="859"/>
      <c r="BT190" s="859"/>
      <c r="BU190" s="859"/>
      <c r="BV190" s="859"/>
      <c r="BW190" s="859"/>
      <c r="BX190" s="859"/>
      <c r="BY190" s="859"/>
      <c r="BZ190" s="859"/>
      <c r="CA190" s="859"/>
      <c r="CB190" s="859"/>
      <c r="CC190" s="859"/>
      <c r="CD190" s="859"/>
      <c r="CE190" s="859"/>
      <c r="CF190" s="859"/>
      <c r="CG190" s="859"/>
      <c r="CH190" s="859"/>
      <c r="CI190" s="859"/>
      <c r="CJ190" s="859"/>
      <c r="CK190" s="859"/>
      <c r="CL190" s="859"/>
      <c r="CM190" s="859"/>
      <c r="CN190" s="859"/>
      <c r="CO190" s="859"/>
      <c r="CP190" s="859"/>
      <c r="CQ190" s="859"/>
      <c r="CR190" s="859"/>
      <c r="CS190" s="859"/>
      <c r="CT190" s="859"/>
      <c r="CU190" s="859"/>
      <c r="CV190" s="859"/>
      <c r="CW190" s="859"/>
      <c r="CX190" s="859"/>
    </row>
    <row r="191" spans="1:102" s="693" customFormat="1" hidden="1" outlineLevel="1">
      <c r="A191" s="795"/>
      <c r="B191" s="860"/>
      <c r="C191" s="860"/>
      <c r="D191" s="860"/>
      <c r="E191" s="860"/>
      <c r="F191" s="860"/>
      <c r="G191" s="860"/>
      <c r="H191" s="860"/>
      <c r="I191" s="860"/>
      <c r="J191" s="860"/>
      <c r="K191" s="860"/>
      <c r="L191" s="860"/>
      <c r="M191" s="860"/>
      <c r="N191" s="860"/>
      <c r="O191" s="860"/>
      <c r="P191" s="860"/>
      <c r="Q191" s="860"/>
      <c r="R191" s="919"/>
      <c r="S191" s="868"/>
      <c r="T191" s="868"/>
      <c r="U191" s="868"/>
      <c r="V191" s="868"/>
      <c r="W191" s="869"/>
      <c r="X191" s="868"/>
      <c r="Y191" s="868"/>
      <c r="Z191" s="868"/>
      <c r="AA191" s="869"/>
      <c r="AB191" s="868"/>
      <c r="AC191" s="868"/>
      <c r="AD191" s="868"/>
      <c r="AE191" s="869"/>
      <c r="AF191" s="868"/>
      <c r="AG191" s="868"/>
      <c r="AH191" s="870"/>
      <c r="AI191" s="869"/>
      <c r="AJ191" s="868"/>
      <c r="AK191" s="868"/>
      <c r="AL191" s="870"/>
      <c r="AM191" s="868"/>
      <c r="AN191" s="868"/>
      <c r="AO191" s="868"/>
      <c r="AP191" s="868"/>
      <c r="AQ191" s="1389"/>
      <c r="AR191" s="794"/>
      <c r="AS191" s="794"/>
      <c r="AT191" s="794"/>
      <c r="AU191" s="794"/>
      <c r="AV191" s="794"/>
      <c r="AW191" s="794"/>
      <c r="AX191" s="794"/>
      <c r="AY191" s="794"/>
      <c r="AZ191" s="794"/>
      <c r="BA191" s="794"/>
      <c r="BB191"/>
      <c r="BC191"/>
      <c r="BD191"/>
      <c r="BE191"/>
      <c r="BF191"/>
      <c r="BG191"/>
      <c r="BL191" s="925"/>
      <c r="BM191" s="925"/>
      <c r="BN191" s="859"/>
      <c r="BO191" s="859"/>
      <c r="BP191" s="859"/>
      <c r="BQ191" s="859"/>
      <c r="BR191" s="859"/>
      <c r="BS191" s="859"/>
      <c r="BT191" s="859"/>
      <c r="BU191" s="859"/>
      <c r="BV191" s="859"/>
      <c r="BW191" s="859"/>
      <c r="BX191" s="859"/>
      <c r="BY191" s="859"/>
      <c r="BZ191" s="859"/>
      <c r="CA191" s="859"/>
      <c r="CB191" s="859"/>
      <c r="CC191" s="859"/>
      <c r="CD191" s="859"/>
      <c r="CE191" s="859"/>
      <c r="CF191" s="859"/>
      <c r="CG191" s="859"/>
      <c r="CH191" s="859"/>
      <c r="CI191" s="859"/>
      <c r="CJ191" s="859"/>
      <c r="CK191" s="859"/>
      <c r="CL191" s="859"/>
      <c r="CM191" s="859"/>
      <c r="CN191" s="859"/>
      <c r="CO191" s="859"/>
      <c r="CP191" s="859"/>
      <c r="CQ191" s="859"/>
      <c r="CR191" s="859"/>
      <c r="CS191" s="859"/>
      <c r="CT191" s="859"/>
      <c r="CU191" s="859"/>
      <c r="CV191" s="859"/>
      <c r="CW191" s="859"/>
      <c r="CX191" s="859"/>
    </row>
    <row r="192" spans="1:102" s="693" customFormat="1" collapsed="1">
      <c r="A192" s="926" t="s">
        <v>809</v>
      </c>
      <c r="B192" s="927"/>
      <c r="C192" s="927"/>
      <c r="D192" s="927"/>
      <c r="E192" s="927"/>
      <c r="F192" s="927"/>
      <c r="G192" s="927"/>
      <c r="H192" s="927"/>
      <c r="I192" s="927">
        <v>4.7883502729529699</v>
      </c>
      <c r="J192" s="927">
        <v>5.2361294082462324</v>
      </c>
      <c r="K192" s="927">
        <v>5.6170634103783934</v>
      </c>
      <c r="L192" s="927"/>
      <c r="M192" s="927"/>
      <c r="N192" s="927"/>
      <c r="O192" s="927"/>
      <c r="P192" s="927"/>
      <c r="Q192" s="927"/>
      <c r="R192" s="919"/>
      <c r="S192" s="868">
        <v>1.3338795575583777</v>
      </c>
      <c r="T192" s="868">
        <v>1.2932300163132138</v>
      </c>
      <c r="U192" s="868">
        <v>1.1924651924651926</v>
      </c>
      <c r="V192" s="868">
        <v>1.1661184210526316</v>
      </c>
      <c r="W192" s="869"/>
      <c r="X192" s="868"/>
      <c r="Y192" s="868"/>
      <c r="Z192" s="868"/>
      <c r="AA192" s="928">
        <v>1.3279369032793691</v>
      </c>
      <c r="AB192" s="929">
        <v>1.2712985938792389</v>
      </c>
      <c r="AC192" s="929">
        <v>1.2727650727650728</v>
      </c>
      <c r="AD192" s="929">
        <v>1.1149710504549215</v>
      </c>
      <c r="AE192" s="928"/>
      <c r="AF192" s="929"/>
      <c r="AG192" s="929"/>
      <c r="AH192" s="930"/>
      <c r="AI192" s="928"/>
      <c r="AJ192" s="929"/>
      <c r="AK192" s="929"/>
      <c r="AL192" s="930"/>
      <c r="AM192" s="929"/>
      <c r="AN192" s="929"/>
      <c r="AO192" s="929"/>
      <c r="AP192" s="929"/>
      <c r="AQ192" s="1389"/>
      <c r="AR192" s="794"/>
      <c r="AS192" s="794"/>
      <c r="AT192" s="794"/>
      <c r="AU192" s="794"/>
      <c r="AV192" s="794"/>
      <c r="AW192" s="794"/>
      <c r="AX192" s="794"/>
      <c r="AY192" s="794"/>
      <c r="AZ192" s="794"/>
      <c r="BA192" s="794"/>
      <c r="BB192"/>
      <c r="BC192"/>
      <c r="BD192"/>
      <c r="BE192"/>
      <c r="BF192"/>
      <c r="BG192"/>
      <c r="BL192" s="925"/>
      <c r="BM192" s="925"/>
      <c r="BN192" s="859"/>
      <c r="BO192" s="859"/>
      <c r="BP192" s="859"/>
      <c r="BQ192" s="859"/>
      <c r="BR192" s="859"/>
      <c r="BS192" s="859"/>
      <c r="BT192" s="859"/>
      <c r="BU192" s="859"/>
      <c r="BV192" s="859"/>
      <c r="BW192" s="859"/>
      <c r="BX192" s="859"/>
      <c r="BY192" s="859"/>
      <c r="BZ192" s="859"/>
      <c r="CA192" s="859"/>
      <c r="CB192" s="859"/>
      <c r="CC192" s="859"/>
      <c r="CD192" s="859"/>
      <c r="CE192" s="859"/>
      <c r="CF192" s="859"/>
      <c r="CG192" s="859"/>
      <c r="CH192" s="859"/>
      <c r="CI192" s="859"/>
      <c r="CJ192" s="859"/>
      <c r="CK192" s="859"/>
      <c r="CL192" s="859"/>
      <c r="CM192" s="859"/>
      <c r="CN192" s="859"/>
      <c r="CO192" s="859"/>
      <c r="CP192" s="859"/>
      <c r="CQ192" s="859"/>
      <c r="CR192" s="859"/>
      <c r="CS192" s="859"/>
      <c r="CT192" s="859"/>
      <c r="CU192" s="859"/>
      <c r="CV192" s="859"/>
      <c r="CW192" s="859"/>
      <c r="CX192" s="859"/>
    </row>
    <row r="193" spans="1:102" s="693" customFormat="1">
      <c r="A193" s="926" t="s">
        <v>728</v>
      </c>
      <c r="B193" s="927"/>
      <c r="C193" s="927"/>
      <c r="D193" s="927"/>
      <c r="E193" s="927"/>
      <c r="F193" s="927"/>
      <c r="G193" s="931"/>
      <c r="H193" s="931"/>
      <c r="I193" s="931">
        <f>I133/I192-1</f>
        <v>1.3934275274728236E-2</v>
      </c>
      <c r="J193" s="931">
        <f>J133/J192-1</f>
        <v>7.2991079757982469E-3</v>
      </c>
      <c r="K193" s="931">
        <f>K133/K192-1</f>
        <v>-1.851335577280433E-2</v>
      </c>
      <c r="L193" s="931"/>
      <c r="M193" s="931"/>
      <c r="N193" s="931"/>
      <c r="O193" s="931"/>
      <c r="P193" s="931"/>
      <c r="Q193" s="931"/>
      <c r="R193" s="919"/>
      <c r="S193" s="868"/>
      <c r="T193" s="868"/>
      <c r="U193" s="868"/>
      <c r="V193" s="868"/>
      <c r="W193" s="869"/>
      <c r="X193" s="868"/>
      <c r="Y193" s="868"/>
      <c r="Z193" s="868"/>
      <c r="AA193" s="932">
        <f>AA133/AA192-1</f>
        <v>0</v>
      </c>
      <c r="AB193" s="933">
        <f>AB133/AB192-1</f>
        <v>0</v>
      </c>
      <c r="AC193" s="933">
        <f>AC133/AC192-1</f>
        <v>0</v>
      </c>
      <c r="AD193" s="933">
        <f>AD133/AD192-1</f>
        <v>0</v>
      </c>
      <c r="AE193" s="932"/>
      <c r="AF193" s="933"/>
      <c r="AG193" s="933"/>
      <c r="AH193" s="934"/>
      <c r="AI193" s="932"/>
      <c r="AJ193" s="933"/>
      <c r="AK193" s="933"/>
      <c r="AL193" s="934"/>
      <c r="AM193" s="933"/>
      <c r="AN193" s="933"/>
      <c r="AO193" s="933"/>
      <c r="AP193" s="933"/>
      <c r="AQ193" s="1389"/>
      <c r="AR193" s="794"/>
      <c r="AS193" s="794"/>
      <c r="AT193" s="794"/>
      <c r="AU193" s="794"/>
      <c r="AV193" s="794"/>
      <c r="AW193" s="794"/>
      <c r="AX193" s="794"/>
      <c r="AY193" s="794"/>
      <c r="AZ193" s="794"/>
      <c r="BA193" s="794"/>
      <c r="BB193"/>
      <c r="BC193"/>
      <c r="BD193"/>
      <c r="BE193"/>
      <c r="BF193"/>
      <c r="BG193"/>
      <c r="BL193" s="925"/>
      <c r="BM193" s="925"/>
      <c r="BN193" s="859"/>
      <c r="BO193" s="859"/>
      <c r="BP193" s="859"/>
      <c r="BQ193" s="859"/>
      <c r="BR193" s="859"/>
      <c r="BS193" s="859"/>
      <c r="BT193" s="859"/>
      <c r="BU193" s="859"/>
      <c r="BV193" s="859"/>
      <c r="BW193" s="859"/>
      <c r="BX193" s="859"/>
      <c r="BY193" s="859"/>
      <c r="BZ193" s="859"/>
      <c r="CA193" s="859"/>
      <c r="CB193" s="859"/>
      <c r="CC193" s="859"/>
      <c r="CD193" s="859"/>
      <c r="CE193" s="859"/>
      <c r="CF193" s="859"/>
      <c r="CG193" s="859"/>
      <c r="CH193" s="859"/>
      <c r="CI193" s="859"/>
      <c r="CJ193" s="859"/>
      <c r="CK193" s="859"/>
      <c r="CL193" s="859"/>
      <c r="CM193" s="859"/>
      <c r="CN193" s="859"/>
      <c r="CO193" s="859"/>
      <c r="CP193" s="859"/>
      <c r="CQ193" s="859"/>
      <c r="CR193" s="859"/>
      <c r="CS193" s="859"/>
      <c r="CT193" s="859"/>
      <c r="CU193" s="859"/>
      <c r="CV193" s="859"/>
      <c r="CW193" s="859"/>
      <c r="CX193" s="859"/>
    </row>
    <row r="194" spans="1:102" s="693" customFormat="1">
      <c r="A194" s="897"/>
      <c r="B194" s="935"/>
      <c r="C194" s="935"/>
      <c r="D194" s="935"/>
      <c r="E194" s="935"/>
      <c r="F194" s="935"/>
      <c r="G194" s="935"/>
      <c r="H194" s="935"/>
      <c r="I194" s="935"/>
      <c r="J194" s="935"/>
      <c r="K194" s="935"/>
      <c r="L194" s="935"/>
      <c r="M194" s="935"/>
      <c r="N194" s="935"/>
      <c r="O194" s="935"/>
      <c r="P194" s="935"/>
      <c r="Q194" s="935"/>
      <c r="R194" s="936"/>
      <c r="S194" s="937"/>
      <c r="T194" s="937"/>
      <c r="U194" s="937"/>
      <c r="V194" s="937"/>
      <c r="W194" s="938"/>
      <c r="X194" s="937"/>
      <c r="Y194" s="937"/>
      <c r="Z194" s="937"/>
      <c r="AA194" s="938"/>
      <c r="AB194" s="937"/>
      <c r="AC194" s="937"/>
      <c r="AD194" s="937"/>
      <c r="AE194" s="938"/>
      <c r="AF194" s="937"/>
      <c r="AG194" s="937"/>
      <c r="AH194" s="939"/>
      <c r="AI194" s="938"/>
      <c r="AJ194" s="937"/>
      <c r="AK194" s="937"/>
      <c r="AL194" s="939"/>
      <c r="AM194" s="937"/>
      <c r="AN194" s="937"/>
      <c r="AO194" s="937"/>
      <c r="AP194" s="937"/>
      <c r="AQ194" s="1383"/>
      <c r="AR194" s="692"/>
      <c r="AS194" s="692"/>
      <c r="AT194" s="692"/>
      <c r="AU194" s="692"/>
      <c r="AV194" s="692"/>
      <c r="AW194" s="692"/>
      <c r="AX194" s="692"/>
      <c r="AY194" s="692"/>
      <c r="AZ194" s="692"/>
      <c r="BA194" s="692"/>
      <c r="BB194"/>
      <c r="BC194"/>
      <c r="BD194"/>
      <c r="BE194"/>
      <c r="BF194"/>
      <c r="BG194"/>
      <c r="BJ194" s="935"/>
      <c r="BK194" s="935"/>
      <c r="BL194" s="935"/>
      <c r="BM194" s="935"/>
      <c r="BN194" s="935"/>
    </row>
    <row r="195" spans="1:102" s="693" customFormat="1">
      <c r="A195" s="1055" t="s">
        <v>830</v>
      </c>
      <c r="B195" s="1056">
        <v>2010</v>
      </c>
      <c r="C195" s="1056">
        <v>2011</v>
      </c>
      <c r="D195" s="1056">
        <v>2012</v>
      </c>
      <c r="E195" s="1056">
        <v>2013</v>
      </c>
      <c r="F195" s="1056">
        <v>2014</v>
      </c>
      <c r="G195" s="1056">
        <v>2015</v>
      </c>
      <c r="H195" s="1056">
        <v>2016</v>
      </c>
      <c r="I195" s="1056">
        <v>2017</v>
      </c>
      <c r="J195" s="1056">
        <v>2018</v>
      </c>
      <c r="K195" s="1056">
        <v>2019</v>
      </c>
      <c r="L195" s="1056">
        <v>2020</v>
      </c>
      <c r="M195" s="1056">
        <v>2021</v>
      </c>
      <c r="N195" s="1056">
        <v>2022</v>
      </c>
      <c r="O195" s="1056">
        <v>2023</v>
      </c>
      <c r="P195" s="1056">
        <v>2024</v>
      </c>
      <c r="Q195" s="1056">
        <v>2025</v>
      </c>
      <c r="R195" s="941"/>
      <c r="S195" s="942" t="s">
        <v>76</v>
      </c>
      <c r="T195" s="942" t="s">
        <v>77</v>
      </c>
      <c r="U195" s="942" t="s">
        <v>78</v>
      </c>
      <c r="V195" s="942" t="s">
        <v>79</v>
      </c>
      <c r="W195" s="943" t="s">
        <v>80</v>
      </c>
      <c r="X195" s="942" t="s">
        <v>81</v>
      </c>
      <c r="Y195" s="942" t="s">
        <v>82</v>
      </c>
      <c r="Z195" s="942" t="s">
        <v>83</v>
      </c>
      <c r="AA195" s="943" t="s">
        <v>84</v>
      </c>
      <c r="AB195" s="942" t="s">
        <v>85</v>
      </c>
      <c r="AC195" s="942" t="s">
        <v>86</v>
      </c>
      <c r="AD195" s="942" t="s">
        <v>802</v>
      </c>
      <c r="AE195" s="943" t="s">
        <v>8</v>
      </c>
      <c r="AF195" s="942" t="s">
        <v>9</v>
      </c>
      <c r="AG195" s="942" t="s">
        <v>10</v>
      </c>
      <c r="AH195" s="944" t="s">
        <v>11</v>
      </c>
      <c r="AI195" s="1057" t="s">
        <v>894</v>
      </c>
      <c r="AJ195" s="1058" t="s">
        <v>896</v>
      </c>
      <c r="AK195" s="1058" t="s">
        <v>942</v>
      </c>
      <c r="AL195" s="1059" t="s">
        <v>947</v>
      </c>
      <c r="AM195" s="1058" t="str">
        <f>AM1</f>
        <v>1Q18</v>
      </c>
      <c r="AN195" s="1058" t="str">
        <f>AN1</f>
        <v>2Q18</v>
      </c>
      <c r="AO195" s="1058" t="str">
        <f>AO1</f>
        <v>3Q18</v>
      </c>
      <c r="AP195" s="1058" t="str">
        <f>AP1</f>
        <v>4Q18</v>
      </c>
      <c r="AQ195" s="1383"/>
      <c r="AR195" s="945"/>
      <c r="AS195" s="945"/>
      <c r="AT195" s="945"/>
      <c r="AU195" s="945"/>
      <c r="AV195" s="945"/>
      <c r="AW195" s="945"/>
      <c r="AX195" s="945"/>
      <c r="AY195" s="945"/>
      <c r="AZ195" s="945"/>
      <c r="BA195" s="945"/>
      <c r="BB195"/>
      <c r="BC195"/>
      <c r="BD195"/>
      <c r="BE195"/>
      <c r="BF195"/>
      <c r="BG195"/>
      <c r="BH195" s="946"/>
      <c r="BI195" s="946"/>
      <c r="BJ195" s="940"/>
      <c r="BK195" s="940"/>
      <c r="BL195" s="940"/>
      <c r="BM195" s="940"/>
      <c r="BN195" s="940"/>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row>
    <row r="196" spans="1:102" s="799" customFormat="1">
      <c r="A196" s="1062" t="s">
        <v>261</v>
      </c>
      <c r="B196" s="907">
        <v>30306</v>
      </c>
      <c r="C196" s="907">
        <v>32508</v>
      </c>
      <c r="D196" s="907">
        <v>32153</v>
      </c>
      <c r="E196" s="907">
        <v>32214</v>
      </c>
      <c r="F196" s="907">
        <v>31791</v>
      </c>
      <c r="G196" s="907">
        <f>Sales!G34</f>
        <v>33345</v>
      </c>
      <c r="H196" s="907">
        <f>Sales!H34</f>
        <v>32562</v>
      </c>
      <c r="I196" s="907">
        <f>Sales!I34</f>
        <v>32278</v>
      </c>
      <c r="J196" s="907">
        <f>Sales!J34</f>
        <v>34608.226549138832</v>
      </c>
      <c r="K196" s="907">
        <f>Sales!K34</f>
        <v>34903.528721070914</v>
      </c>
      <c r="L196" s="907">
        <f>Sales!L34</f>
        <v>35712.701477290568</v>
      </c>
      <c r="M196" s="907">
        <f>Sales!M34</f>
        <v>36964.895436166611</v>
      </c>
      <c r="N196" s="907">
        <f>Sales!N34</f>
        <v>37353.759981921139</v>
      </c>
      <c r="O196" s="907">
        <f>Sales!O34</f>
        <v>35962.968281720292</v>
      </c>
      <c r="P196" s="907">
        <f>Sales!P34</f>
        <v>35796.094777698003</v>
      </c>
      <c r="Q196" s="907">
        <f>Sales!Q34</f>
        <v>35473.622561165685</v>
      </c>
      <c r="R196" s="906"/>
      <c r="S196" s="910">
        <v>7877</v>
      </c>
      <c r="T196" s="910">
        <v>8121</v>
      </c>
      <c r="U196" s="910">
        <v>7893</v>
      </c>
      <c r="V196" s="910">
        <v>8323</v>
      </c>
      <c r="W196" s="1063">
        <v>7807</v>
      </c>
      <c r="X196" s="910">
        <v>8199</v>
      </c>
      <c r="Y196" s="910">
        <v>7925</v>
      </c>
      <c r="Z196" s="910">
        <v>7860</v>
      </c>
      <c r="AA196" s="1063">
        <f>Sales!AA34</f>
        <v>7960</v>
      </c>
      <c r="AB196" s="910">
        <f>Sales!AB34</f>
        <v>8633</v>
      </c>
      <c r="AC196" s="910">
        <f>Sales!AC34</f>
        <v>8254</v>
      </c>
      <c r="AD196" s="910">
        <f>Sales!AD34</f>
        <v>8498</v>
      </c>
      <c r="AE196" s="1063">
        <f>Sales!AE34</f>
        <v>7729</v>
      </c>
      <c r="AF196" s="910">
        <f>Sales!AF34</f>
        <v>8387</v>
      </c>
      <c r="AG196" s="910">
        <f>Sales!AG34</f>
        <v>8173</v>
      </c>
      <c r="AH196" s="1064">
        <f>Sales!AH34</f>
        <v>8273</v>
      </c>
      <c r="AI196" s="1063">
        <f>Sales!AI34</f>
        <v>7518</v>
      </c>
      <c r="AJ196" s="910">
        <f>Sales!AJ34</f>
        <v>8084</v>
      </c>
      <c r="AK196" s="910">
        <f>Sales!AK34</f>
        <v>8117.0502326646756</v>
      </c>
      <c r="AL196" s="1064">
        <f>Sales!AL34</f>
        <v>8558.9497673353253</v>
      </c>
      <c r="AM196" s="910">
        <f>Sales!AM34</f>
        <v>8398</v>
      </c>
      <c r="AN196" s="910">
        <f>Sales!AN34</f>
        <v>8715.9647722058362</v>
      </c>
      <c r="AO196" s="910">
        <f>Sales!AO34</f>
        <v>8631.9910790673421</v>
      </c>
      <c r="AP196" s="910">
        <f>Sales!AP34</f>
        <v>8862.2706978656515</v>
      </c>
      <c r="AQ196" s="1392"/>
      <c r="AR196" s="1065"/>
      <c r="AS196" s="1065"/>
      <c r="AT196" s="1065"/>
      <c r="AU196" s="1065"/>
      <c r="AV196" s="1065"/>
      <c r="AW196" s="1065"/>
      <c r="AX196" s="1065"/>
      <c r="AY196" s="1065"/>
      <c r="AZ196" s="1065"/>
      <c r="BA196" s="1065"/>
      <c r="BB196"/>
      <c r="BC196"/>
      <c r="BD196"/>
      <c r="BE196"/>
      <c r="BF196"/>
      <c r="BG196"/>
      <c r="BJ196" s="953"/>
      <c r="BK196" s="953"/>
      <c r="BL196" s="953"/>
      <c r="BM196" s="953"/>
      <c r="BN196" s="953"/>
    </row>
    <row r="197" spans="1:102" s="741" customFormat="1">
      <c r="A197" s="896" t="s">
        <v>586</v>
      </c>
      <c r="B197" s="755"/>
      <c r="C197" s="755">
        <v>7.265887942981597E-2</v>
      </c>
      <c r="D197" s="755">
        <v>-1.0920388827365568E-2</v>
      </c>
      <c r="E197" s="755">
        <v>1.8971791123689741E-3</v>
      </c>
      <c r="F197" s="755">
        <v>-1.3130936859750419E-2</v>
      </c>
      <c r="G197" s="755">
        <f t="shared" ref="G197:Q197" si="327">G196/F196-1</f>
        <v>4.8881758988392976E-2</v>
      </c>
      <c r="H197" s="755">
        <f t="shared" si="327"/>
        <v>-2.348178137651824E-2</v>
      </c>
      <c r="I197" s="755">
        <f t="shared" si="327"/>
        <v>-8.7218229838461614E-3</v>
      </c>
      <c r="J197" s="755">
        <f t="shared" si="327"/>
        <v>7.2192408115088647E-2</v>
      </c>
      <c r="K197" s="755">
        <f t="shared" si="327"/>
        <v>8.5327161018433628E-3</v>
      </c>
      <c r="L197" s="755">
        <f t="shared" si="327"/>
        <v>2.3183121760727898E-2</v>
      </c>
      <c r="M197" s="755">
        <f t="shared" si="327"/>
        <v>3.5062986194766221E-2</v>
      </c>
      <c r="N197" s="755">
        <f t="shared" si="327"/>
        <v>1.0519833511393184E-2</v>
      </c>
      <c r="O197" s="755">
        <f t="shared" si="327"/>
        <v>-3.7232977372933185E-2</v>
      </c>
      <c r="P197" s="755">
        <f t="shared" si="327"/>
        <v>-4.6401482412425921E-3</v>
      </c>
      <c r="Q197" s="755">
        <f t="shared" si="327"/>
        <v>-9.0085865102029761E-3</v>
      </c>
      <c r="R197" s="688"/>
      <c r="S197" s="792"/>
      <c r="T197" s="792"/>
      <c r="U197" s="792"/>
      <c r="V197" s="792"/>
      <c r="W197" s="952"/>
      <c r="X197" s="792"/>
      <c r="Y197" s="792"/>
      <c r="Z197" s="792"/>
      <c r="AA197" s="952">
        <f t="shared" ref="AA197:AH197" si="328">AA196/W196-1</f>
        <v>1.9597796848981774E-2</v>
      </c>
      <c r="AB197" s="792">
        <f t="shared" si="328"/>
        <v>5.2933284546895942E-2</v>
      </c>
      <c r="AC197" s="792">
        <f t="shared" si="328"/>
        <v>4.1514195583596258E-2</v>
      </c>
      <c r="AD197" s="792">
        <f t="shared" si="328"/>
        <v>8.1170483460559772E-2</v>
      </c>
      <c r="AE197" s="952">
        <f t="shared" si="328"/>
        <v>-2.902010050251258E-2</v>
      </c>
      <c r="AF197" s="792">
        <f t="shared" si="328"/>
        <v>-2.8495308699177602E-2</v>
      </c>
      <c r="AG197" s="792">
        <f t="shared" si="328"/>
        <v>-9.8134237945238789E-3</v>
      </c>
      <c r="AH197" s="791">
        <f t="shared" si="328"/>
        <v>-2.6476818074841146E-2</v>
      </c>
      <c r="AI197" s="952">
        <f>AI196/AE196-1</f>
        <v>-2.7299780049165445E-2</v>
      </c>
      <c r="AJ197" s="792">
        <f>AJ196/AF196-1</f>
        <v>-3.6127339930845381E-2</v>
      </c>
      <c r="AK197" s="792">
        <f>AK196/AG196-1</f>
        <v>-6.8456830215739561E-3</v>
      </c>
      <c r="AL197" s="791">
        <f>AL196/AH196-1</f>
        <v>3.4564217011401555E-2</v>
      </c>
      <c r="AM197" s="792">
        <f t="shared" ref="AM197:AP197" si="329">AM196/AI196-1</f>
        <v>0.11705240755520085</v>
      </c>
      <c r="AN197" s="792">
        <f t="shared" si="329"/>
        <v>7.8174761529667958E-2</v>
      </c>
      <c r="AO197" s="792">
        <f t="shared" si="329"/>
        <v>6.3439406144172761E-2</v>
      </c>
      <c r="AP197" s="792">
        <f t="shared" si="329"/>
        <v>3.5439036187352224E-2</v>
      </c>
      <c r="AQ197" s="1383"/>
      <c r="AR197" s="692"/>
      <c r="AS197" s="692"/>
      <c r="AT197" s="692"/>
      <c r="AU197" s="692"/>
      <c r="AV197" s="692"/>
      <c r="AW197" s="692"/>
      <c r="AX197" s="692"/>
      <c r="AY197" s="692"/>
      <c r="AZ197" s="692"/>
      <c r="BA197" s="692"/>
      <c r="BB197"/>
      <c r="BC197"/>
      <c r="BD197"/>
      <c r="BE197"/>
      <c r="BF197"/>
      <c r="BG197"/>
      <c r="BH197" s="693"/>
      <c r="BI197" s="693"/>
      <c r="BJ197" s="694"/>
      <c r="BK197" s="694"/>
      <c r="BL197" s="694"/>
      <c r="BM197" s="694"/>
      <c r="BN197" s="694"/>
      <c r="BO197" s="693"/>
      <c r="BP197" s="693"/>
      <c r="BQ197" s="693"/>
      <c r="BR197" s="693"/>
      <c r="BS197" s="693"/>
      <c r="BT197" s="693"/>
      <c r="BU197" s="693"/>
      <c r="BV197" s="693"/>
      <c r="BW197" s="693"/>
      <c r="BX197" s="693"/>
      <c r="BY197" s="693"/>
      <c r="BZ197" s="693"/>
      <c r="CA197" s="693"/>
      <c r="CB197" s="693"/>
      <c r="CC197" s="693"/>
      <c r="CD197" s="693"/>
      <c r="CE197" s="693"/>
      <c r="CF197" s="693"/>
      <c r="CG197" s="693"/>
      <c r="CH197" s="693"/>
      <c r="CI197" s="693"/>
      <c r="CJ197" s="693"/>
      <c r="CK197" s="693"/>
      <c r="CL197" s="693"/>
      <c r="CM197" s="693"/>
      <c r="CN197" s="693"/>
      <c r="CO197" s="693"/>
      <c r="CP197" s="693"/>
      <c r="CQ197" s="693"/>
      <c r="CR197" s="693"/>
      <c r="CS197" s="693"/>
      <c r="CT197" s="693"/>
      <c r="CU197" s="693"/>
      <c r="CV197" s="693"/>
      <c r="CW197" s="693"/>
      <c r="CX197" s="693"/>
    </row>
    <row r="198" spans="1:102" s="741" customFormat="1" outlineLevel="1">
      <c r="A198" s="713" t="s">
        <v>214</v>
      </c>
      <c r="B198" s="714">
        <v>157</v>
      </c>
      <c r="C198" s="714">
        <v>244</v>
      </c>
      <c r="D198" s="714">
        <v>256</v>
      </c>
      <c r="E198" s="714">
        <v>202</v>
      </c>
      <c r="F198" s="714">
        <v>262</v>
      </c>
      <c r="G198" s="714">
        <v>518</v>
      </c>
      <c r="H198" s="714">
        <v>624</v>
      </c>
      <c r="I198" s="714">
        <v>668</v>
      </c>
      <c r="J198" s="714">
        <f>I198/I196*J196</f>
        <v>716.22452862087914</v>
      </c>
      <c r="K198" s="714">
        <f t="shared" ref="K198:Q198" si="330">J198/J196*K196</f>
        <v>722.33586918877779</v>
      </c>
      <c r="L198" s="714">
        <f t="shared" si="330"/>
        <v>739.08186959632246</v>
      </c>
      <c r="M198" s="714">
        <f t="shared" si="330"/>
        <v>764.99628698678032</v>
      </c>
      <c r="N198" s="714">
        <f t="shared" si="330"/>
        <v>773.04392056271513</v>
      </c>
      <c r="O198" s="714">
        <f t="shared" si="330"/>
        <v>744.26119376012002</v>
      </c>
      <c r="P198" s="714">
        <f t="shared" si="330"/>
        <v>740.80771149086888</v>
      </c>
      <c r="Q198" s="714">
        <f t="shared" si="330"/>
        <v>734.13408113447781</v>
      </c>
      <c r="R198" s="715"/>
      <c r="S198" s="716">
        <v>63</v>
      </c>
      <c r="T198" s="716">
        <v>52</v>
      </c>
      <c r="U198" s="716">
        <v>52</v>
      </c>
      <c r="V198" s="716">
        <v>35</v>
      </c>
      <c r="W198" s="717">
        <v>67</v>
      </c>
      <c r="X198" s="716">
        <v>66</v>
      </c>
      <c r="Y198" s="716">
        <v>68</v>
      </c>
      <c r="Z198" s="716">
        <v>61</v>
      </c>
      <c r="AA198" s="717">
        <v>138</v>
      </c>
      <c r="AB198" s="716">
        <v>128</v>
      </c>
      <c r="AC198" s="716">
        <v>114</v>
      </c>
      <c r="AD198" s="716">
        <f>+G198-SUM(AA198:AC198)</f>
        <v>138</v>
      </c>
      <c r="AE198" s="717">
        <v>164</v>
      </c>
      <c r="AF198" s="716">
        <v>142</v>
      </c>
      <c r="AG198" s="716">
        <v>158</v>
      </c>
      <c r="AH198" s="718">
        <f>+H198-SUM(AE198:AG198)</f>
        <v>160</v>
      </c>
      <c r="AI198" s="717">
        <v>174</v>
      </c>
      <c r="AJ198" s="716">
        <v>157</v>
      </c>
      <c r="AK198" s="716">
        <v>171</v>
      </c>
      <c r="AL198" s="718">
        <f>I198-AI198-AJ198-AK198</f>
        <v>166</v>
      </c>
      <c r="AM198" s="716">
        <v>168</v>
      </c>
      <c r="AN198" s="716">
        <f t="shared" ref="AN198:AO198" si="331">AJ198/AJ196*AN196</f>
        <v>169.27343756015787</v>
      </c>
      <c r="AO198" s="716">
        <f t="shared" si="331"/>
        <v>181.84813845065355</v>
      </c>
      <c r="AP198" s="716">
        <f>J198-AM198-AN198-AO198</f>
        <v>197.10295261006775</v>
      </c>
      <c r="AQ198" s="1383"/>
      <c r="AR198" s="692"/>
      <c r="AS198" s="692"/>
      <c r="AT198" s="692"/>
      <c r="AU198" s="692"/>
      <c r="AV198" s="692"/>
      <c r="AW198" s="692"/>
      <c r="AX198" s="692"/>
      <c r="AY198" s="692"/>
      <c r="AZ198" s="692"/>
      <c r="BA198" s="692"/>
      <c r="BB198"/>
      <c r="BC198"/>
      <c r="BD198"/>
      <c r="BE198"/>
      <c r="BF198"/>
      <c r="BG198"/>
      <c r="BH198" s="693"/>
      <c r="BI198" s="693"/>
      <c r="BJ198" s="714"/>
      <c r="BK198" s="714"/>
      <c r="BL198" s="714"/>
      <c r="BM198" s="714"/>
      <c r="BN198" s="714"/>
      <c r="BO198" s="693"/>
      <c r="BP198" s="693"/>
      <c r="BQ198" s="693"/>
      <c r="BR198" s="693"/>
      <c r="BS198" s="693"/>
      <c r="BT198" s="693"/>
      <c r="BU198" s="693"/>
      <c r="BV198" s="693"/>
      <c r="BW198" s="693"/>
      <c r="BX198" s="693"/>
      <c r="BY198" s="693"/>
      <c r="BZ198" s="693"/>
      <c r="CA198" s="693"/>
      <c r="CB198" s="693"/>
      <c r="CC198" s="693"/>
      <c r="CD198" s="693"/>
      <c r="CE198" s="693"/>
      <c r="CF198" s="693"/>
      <c r="CG198" s="693"/>
      <c r="CH198" s="693"/>
      <c r="CI198" s="693"/>
      <c r="CJ198" s="693"/>
      <c r="CK198" s="693"/>
      <c r="CL198" s="693"/>
      <c r="CM198" s="693"/>
      <c r="CN198" s="693"/>
      <c r="CO198" s="693"/>
      <c r="CP198" s="693"/>
      <c r="CQ198" s="693"/>
      <c r="CR198" s="693"/>
      <c r="CS198" s="693"/>
      <c r="CT198" s="693"/>
      <c r="CU198" s="693"/>
      <c r="CV198" s="693"/>
      <c r="CW198" s="693"/>
      <c r="CX198" s="693"/>
    </row>
    <row r="199" spans="1:102" s="693" customFormat="1" outlineLevel="1">
      <c r="A199" s="713" t="s">
        <v>215</v>
      </c>
      <c r="B199" s="948">
        <v>30463</v>
      </c>
      <c r="C199" s="948">
        <v>32752</v>
      </c>
      <c r="D199" s="948">
        <v>32409</v>
      </c>
      <c r="E199" s="948">
        <v>32416</v>
      </c>
      <c r="F199" s="948">
        <v>32053</v>
      </c>
      <c r="G199" s="948">
        <f t="shared" ref="G199:Q199" si="332">G198+G196</f>
        <v>33863</v>
      </c>
      <c r="H199" s="948">
        <f t="shared" si="332"/>
        <v>33186</v>
      </c>
      <c r="I199" s="948">
        <f t="shared" si="332"/>
        <v>32946</v>
      </c>
      <c r="J199" s="908">
        <f t="shared" si="332"/>
        <v>35324.45107775971</v>
      </c>
      <c r="K199" s="908">
        <f t="shared" si="332"/>
        <v>35625.864590259691</v>
      </c>
      <c r="L199" s="908">
        <f t="shared" si="332"/>
        <v>36451.783346886892</v>
      </c>
      <c r="M199" s="908">
        <f t="shared" si="332"/>
        <v>37729.891723153392</v>
      </c>
      <c r="N199" s="908">
        <f t="shared" si="332"/>
        <v>38126.803902483851</v>
      </c>
      <c r="O199" s="908">
        <f t="shared" si="332"/>
        <v>36707.22947548041</v>
      </c>
      <c r="P199" s="908">
        <f t="shared" si="332"/>
        <v>36536.902489188869</v>
      </c>
      <c r="Q199" s="908">
        <f t="shared" si="332"/>
        <v>36207.756642300163</v>
      </c>
      <c r="R199" s="906"/>
      <c r="S199" s="948">
        <v>7940</v>
      </c>
      <c r="T199" s="948">
        <v>8173</v>
      </c>
      <c r="U199" s="948">
        <v>7945</v>
      </c>
      <c r="V199" s="948">
        <v>8358</v>
      </c>
      <c r="W199" s="949">
        <v>7874</v>
      </c>
      <c r="X199" s="948">
        <v>8265</v>
      </c>
      <c r="Y199" s="948">
        <v>7993</v>
      </c>
      <c r="Z199" s="948">
        <v>7921</v>
      </c>
      <c r="AA199" s="949">
        <f t="shared" ref="AA199:AP199" si="333">AA198+AA196</f>
        <v>8098</v>
      </c>
      <c r="AB199" s="948">
        <f t="shared" si="333"/>
        <v>8761</v>
      </c>
      <c r="AC199" s="948">
        <f t="shared" si="333"/>
        <v>8368</v>
      </c>
      <c r="AD199" s="948">
        <f t="shared" si="333"/>
        <v>8636</v>
      </c>
      <c r="AE199" s="949">
        <f t="shared" si="333"/>
        <v>7893</v>
      </c>
      <c r="AF199" s="948">
        <f t="shared" si="333"/>
        <v>8529</v>
      </c>
      <c r="AG199" s="948">
        <f t="shared" si="333"/>
        <v>8331</v>
      </c>
      <c r="AH199" s="950">
        <f t="shared" si="333"/>
        <v>8433</v>
      </c>
      <c r="AI199" s="949">
        <f t="shared" si="333"/>
        <v>7692</v>
      </c>
      <c r="AJ199" s="948">
        <f t="shared" si="333"/>
        <v>8241</v>
      </c>
      <c r="AK199" s="948">
        <f t="shared" si="333"/>
        <v>8288.0502326646747</v>
      </c>
      <c r="AL199" s="950">
        <f t="shared" si="333"/>
        <v>8724.9497673353253</v>
      </c>
      <c r="AM199" s="948">
        <f t="shared" si="333"/>
        <v>8566</v>
      </c>
      <c r="AN199" s="948">
        <f t="shared" si="333"/>
        <v>8885.2382097659938</v>
      </c>
      <c r="AO199" s="948">
        <f t="shared" si="333"/>
        <v>8813.8392175179961</v>
      </c>
      <c r="AP199" s="948">
        <f t="shared" si="333"/>
        <v>9059.3736504757198</v>
      </c>
      <c r="AQ199" s="1383"/>
      <c r="AR199" s="692"/>
      <c r="AS199" s="692"/>
      <c r="AT199" s="692"/>
      <c r="AU199" s="692"/>
      <c r="AV199" s="692"/>
      <c r="AW199" s="692"/>
      <c r="AX199" s="692"/>
      <c r="AY199" s="692"/>
      <c r="AZ199" s="692"/>
      <c r="BA199" s="692"/>
      <c r="BB199"/>
      <c r="BC199"/>
      <c r="BD199"/>
      <c r="BE199"/>
      <c r="BF199"/>
      <c r="BG199"/>
      <c r="BJ199" s="953"/>
      <c r="BK199" s="953"/>
      <c r="BL199" s="953"/>
      <c r="BM199" s="953"/>
      <c r="BN199" s="953"/>
    </row>
    <row r="200" spans="1:102" s="693" customFormat="1">
      <c r="A200" s="713" t="s">
        <v>216</v>
      </c>
      <c r="B200" s="714">
        <v>422</v>
      </c>
      <c r="C200" s="714">
        <v>453</v>
      </c>
      <c r="D200" s="714">
        <v>471</v>
      </c>
      <c r="E200" s="714">
        <v>497</v>
      </c>
      <c r="F200" s="714">
        <v>629</v>
      </c>
      <c r="G200" s="714">
        <f>792-28</f>
        <v>764</v>
      </c>
      <c r="H200" s="714">
        <v>765</v>
      </c>
      <c r="I200" s="714">
        <v>898</v>
      </c>
      <c r="J200" s="793">
        <f t="shared" ref="J200:Q200" si="334">I200/I196*J196</f>
        <v>962.8287824873496</v>
      </c>
      <c r="K200" s="793">
        <f t="shared" si="334"/>
        <v>971.04432714299764</v>
      </c>
      <c r="L200" s="793">
        <f t="shared" si="334"/>
        <v>993.55616601421798</v>
      </c>
      <c r="M200" s="793">
        <f t="shared" si="334"/>
        <v>1028.3932121468993</v>
      </c>
      <c r="N200" s="793">
        <f t="shared" si="334"/>
        <v>1039.2117375229316</v>
      </c>
      <c r="O200" s="793">
        <f t="shared" si="334"/>
        <v>1000.5187904140537</v>
      </c>
      <c r="P200" s="793">
        <f t="shared" si="334"/>
        <v>995.87623490838371</v>
      </c>
      <c r="Q200" s="793">
        <f t="shared" si="334"/>
        <v>986.90479769275623</v>
      </c>
      <c r="R200" s="715"/>
      <c r="S200" s="716">
        <v>113</v>
      </c>
      <c r="T200" s="716">
        <v>129</v>
      </c>
      <c r="U200" s="716">
        <v>128</v>
      </c>
      <c r="V200" s="716">
        <v>127</v>
      </c>
      <c r="W200" s="717">
        <v>145</v>
      </c>
      <c r="X200" s="716">
        <v>151</v>
      </c>
      <c r="Y200" s="716">
        <v>162</v>
      </c>
      <c r="Z200" s="716">
        <v>171</v>
      </c>
      <c r="AA200" s="717">
        <f>207-28</f>
        <v>179</v>
      </c>
      <c r="AB200" s="716">
        <v>172</v>
      </c>
      <c r="AC200" s="716">
        <v>189</v>
      </c>
      <c r="AD200" s="716">
        <f>+G200-SUM(AA200:AC200)</f>
        <v>224</v>
      </c>
      <c r="AE200" s="717">
        <v>177</v>
      </c>
      <c r="AF200" s="716">
        <v>189</v>
      </c>
      <c r="AG200" s="716">
        <v>193</v>
      </c>
      <c r="AH200" s="718">
        <f>+H200-SUM(AE200:AG200)</f>
        <v>206</v>
      </c>
      <c r="AI200" s="717">
        <v>217</v>
      </c>
      <c r="AJ200" s="716">
        <v>220</v>
      </c>
      <c r="AK200" s="716">
        <v>241</v>
      </c>
      <c r="AL200" s="718">
        <f>I200-AI200-AJ200-AK200</f>
        <v>220</v>
      </c>
      <c r="AM200" s="716">
        <v>223</v>
      </c>
      <c r="AN200" s="788">
        <f t="shared" ref="AN200:AO200" si="335">AJ200/AJ196*AN196</f>
        <v>237.19844753652697</v>
      </c>
      <c r="AO200" s="788">
        <f t="shared" si="335"/>
        <v>256.28889688074565</v>
      </c>
      <c r="AP200" s="716">
        <f>J200-AM200-AN200-AO200</f>
        <v>246.341438070077</v>
      </c>
      <c r="AQ200" s="1383"/>
      <c r="AR200" s="692"/>
      <c r="AS200" s="692"/>
      <c r="AT200" s="692"/>
      <c r="AU200" s="692"/>
      <c r="AV200" s="692"/>
      <c r="AW200" s="692"/>
      <c r="AX200" s="692"/>
      <c r="AY200" s="692"/>
      <c r="AZ200" s="692"/>
      <c r="BA200" s="692"/>
      <c r="BB200"/>
      <c r="BC200"/>
      <c r="BD200"/>
      <c r="BE200"/>
      <c r="BF200"/>
      <c r="BG200"/>
      <c r="BJ200" s="714"/>
      <c r="BK200" s="714"/>
      <c r="BL200" s="714"/>
      <c r="BM200" s="714"/>
      <c r="BN200" s="714"/>
    </row>
    <row r="201" spans="1:102" s="693" customFormat="1" outlineLevel="1">
      <c r="A201" s="713" t="s">
        <v>217</v>
      </c>
      <c r="B201" s="714"/>
      <c r="C201" s="714"/>
      <c r="D201" s="714"/>
      <c r="E201" s="714"/>
      <c r="F201" s="714">
        <v>0</v>
      </c>
      <c r="G201" s="714">
        <v>28</v>
      </c>
      <c r="H201" s="716">
        <f>H202-H200</f>
        <v>50</v>
      </c>
      <c r="I201" s="716">
        <f>I202-I200</f>
        <v>0</v>
      </c>
      <c r="J201" s="714">
        <v>0</v>
      </c>
      <c r="K201" s="714">
        <v>0</v>
      </c>
      <c r="L201" s="714">
        <v>0</v>
      </c>
      <c r="M201" s="714">
        <v>0</v>
      </c>
      <c r="N201" s="714"/>
      <c r="O201" s="714"/>
      <c r="P201" s="714"/>
      <c r="Q201" s="714"/>
      <c r="R201" s="715"/>
      <c r="S201" s="716"/>
      <c r="T201" s="716"/>
      <c r="U201" s="716"/>
      <c r="V201" s="716"/>
      <c r="W201" s="717">
        <v>0</v>
      </c>
      <c r="X201" s="716">
        <v>0</v>
      </c>
      <c r="Y201" s="716">
        <v>0</v>
      </c>
      <c r="Z201" s="716">
        <v>0</v>
      </c>
      <c r="AA201" s="717">
        <f>AA202-AA200</f>
        <v>28</v>
      </c>
      <c r="AB201" s="716">
        <f>AB202-AB200</f>
        <v>0</v>
      </c>
      <c r="AC201" s="716">
        <f>AC202-AC200</f>
        <v>0</v>
      </c>
      <c r="AD201" s="716">
        <f>+G201-SUM(AA201:AC201)</f>
        <v>0</v>
      </c>
      <c r="AE201" s="717">
        <f>AE202-AE200</f>
        <v>0</v>
      </c>
      <c r="AF201" s="716">
        <f>AF202-AF200</f>
        <v>0</v>
      </c>
      <c r="AG201" s="716">
        <f>AG202-AG200</f>
        <v>0</v>
      </c>
      <c r="AH201" s="718">
        <f>H201-AE201-AF201-AG201</f>
        <v>50</v>
      </c>
      <c r="AI201" s="717">
        <f>AI202-AI200</f>
        <v>0</v>
      </c>
      <c r="AJ201" s="716">
        <f>AJ202-AJ200</f>
        <v>0</v>
      </c>
      <c r="AK201" s="716">
        <f>AK202-AK200</f>
        <v>0</v>
      </c>
      <c r="AL201" s="718">
        <f>I201-AI201-AJ201-AK201</f>
        <v>0</v>
      </c>
      <c r="AM201" s="717">
        <f>AM202-AM200</f>
        <v>0</v>
      </c>
      <c r="AN201" s="716">
        <v>0</v>
      </c>
      <c r="AO201" s="716">
        <v>0</v>
      </c>
      <c r="AP201" s="716">
        <f>J201-AM201-AN201-AO201</f>
        <v>0</v>
      </c>
      <c r="AQ201" s="1383"/>
      <c r="AR201" s="692"/>
      <c r="AS201" s="692"/>
      <c r="AT201" s="692"/>
      <c r="AU201" s="692"/>
      <c r="AV201" s="692"/>
      <c r="AW201" s="692"/>
      <c r="AX201" s="692"/>
      <c r="AY201" s="692"/>
      <c r="AZ201" s="692"/>
      <c r="BA201" s="692"/>
      <c r="BB201"/>
      <c r="BC201"/>
      <c r="BD201"/>
      <c r="BE201"/>
      <c r="BF201"/>
      <c r="BG201"/>
      <c r="BJ201" s="714"/>
      <c r="BK201" s="714"/>
      <c r="BL201" s="714"/>
      <c r="BM201" s="714"/>
      <c r="BN201" s="714"/>
    </row>
    <row r="202" spans="1:102" s="693" customFormat="1" outlineLevel="1">
      <c r="A202" s="713" t="s">
        <v>218</v>
      </c>
      <c r="B202" s="714"/>
      <c r="C202" s="714"/>
      <c r="D202" s="714"/>
      <c r="E202" s="714"/>
      <c r="F202" s="714">
        <v>629</v>
      </c>
      <c r="G202" s="714">
        <f>+G200+G201</f>
        <v>792</v>
      </c>
      <c r="H202" s="714">
        <v>815</v>
      </c>
      <c r="I202" s="714">
        <v>898</v>
      </c>
      <c r="J202" s="714">
        <f>+J200+J201</f>
        <v>962.8287824873496</v>
      </c>
      <c r="K202" s="714">
        <f>+K200+K201</f>
        <v>971.04432714299764</v>
      </c>
      <c r="L202" s="714">
        <f>+L200+L201</f>
        <v>993.55616601421798</v>
      </c>
      <c r="M202" s="714">
        <f>+M200+M201</f>
        <v>1028.3932121468993</v>
      </c>
      <c r="N202" s="714"/>
      <c r="O202" s="714"/>
      <c r="P202" s="714"/>
      <c r="Q202" s="714"/>
      <c r="R202" s="715"/>
      <c r="S202" s="716"/>
      <c r="T202" s="716"/>
      <c r="U202" s="716"/>
      <c r="V202" s="716"/>
      <c r="W202" s="717">
        <v>145</v>
      </c>
      <c r="X202" s="716">
        <v>151</v>
      </c>
      <c r="Y202" s="716">
        <v>162</v>
      </c>
      <c r="Z202" s="716">
        <v>171</v>
      </c>
      <c r="AA202" s="717">
        <v>207</v>
      </c>
      <c r="AB202" s="716">
        <v>172</v>
      </c>
      <c r="AC202" s="716">
        <v>189</v>
      </c>
      <c r="AD202" s="716">
        <f>AD200+AD201</f>
        <v>224</v>
      </c>
      <c r="AE202" s="717">
        <v>177</v>
      </c>
      <c r="AF202" s="716">
        <v>189</v>
      </c>
      <c r="AG202" s="716">
        <v>193</v>
      </c>
      <c r="AH202" s="718">
        <f>AH200+AH201</f>
        <v>256</v>
      </c>
      <c r="AI202" s="717">
        <v>217</v>
      </c>
      <c r="AJ202" s="716">
        <v>220</v>
      </c>
      <c r="AK202" s="716">
        <v>241</v>
      </c>
      <c r="AL202" s="718">
        <f>+AL200+AL201</f>
        <v>220</v>
      </c>
      <c r="AM202" s="716">
        <v>223</v>
      </c>
      <c r="AN202" s="716">
        <f t="shared" ref="AN202:AP202" si="336">+AN200+AN201</f>
        <v>237.19844753652697</v>
      </c>
      <c r="AO202" s="716">
        <f t="shared" si="336"/>
        <v>256.28889688074565</v>
      </c>
      <c r="AP202" s="716">
        <f t="shared" si="336"/>
        <v>246.341438070077</v>
      </c>
      <c r="AQ202" s="1383"/>
      <c r="AR202" s="692"/>
      <c r="AS202" s="692"/>
      <c r="AT202" s="692"/>
      <c r="AU202" s="692"/>
      <c r="AV202" s="692"/>
      <c r="AW202" s="692"/>
      <c r="AX202" s="692"/>
      <c r="AY202" s="692"/>
      <c r="AZ202" s="692"/>
      <c r="BA202" s="692"/>
      <c r="BB202"/>
      <c r="BC202"/>
      <c r="BD202"/>
      <c r="BE202"/>
      <c r="BF202"/>
      <c r="BG202"/>
      <c r="BJ202" s="714"/>
      <c r="BK202" s="714"/>
      <c r="BL202" s="714"/>
      <c r="BM202" s="714"/>
      <c r="BN202" s="714"/>
    </row>
    <row r="203" spans="1:102" s="693" customFormat="1">
      <c r="A203" s="713" t="s">
        <v>219</v>
      </c>
      <c r="B203" s="714">
        <v>-5272</v>
      </c>
      <c r="C203" s="714">
        <v>-5840</v>
      </c>
      <c r="D203" s="714">
        <v>-6134</v>
      </c>
      <c r="E203" s="714">
        <v>-6421</v>
      </c>
      <c r="F203" s="714">
        <v>-6582</v>
      </c>
      <c r="G203" s="714">
        <f>-9204+2552</f>
        <v>-6652</v>
      </c>
      <c r="H203" s="714">
        <v>-6842</v>
      </c>
      <c r="I203" s="714">
        <f>-8650+2019</f>
        <v>-6631</v>
      </c>
      <c r="J203" s="714">
        <f t="shared" ref="J203:Q203" si="337">-J204*J196</f>
        <v>-7094.6864425734602</v>
      </c>
      <c r="K203" s="714">
        <f t="shared" si="337"/>
        <v>-7120.3198590984657</v>
      </c>
      <c r="L203" s="714">
        <f t="shared" si="337"/>
        <v>-7178.2529969354046</v>
      </c>
      <c r="M203" s="714">
        <f t="shared" si="337"/>
        <v>-7282.0844009248231</v>
      </c>
      <c r="N203" s="714">
        <f t="shared" si="337"/>
        <v>-7059.8606365830956</v>
      </c>
      <c r="O203" s="714">
        <f t="shared" si="337"/>
        <v>-6473.3342907096521</v>
      </c>
      <c r="P203" s="714">
        <f t="shared" si="337"/>
        <v>-6443.2970599856399</v>
      </c>
      <c r="Q203" s="714">
        <f t="shared" si="337"/>
        <v>-6385.2520610098227</v>
      </c>
      <c r="R203" s="715"/>
      <c r="S203" s="716">
        <v>-1524</v>
      </c>
      <c r="T203" s="716">
        <v>-1595</v>
      </c>
      <c r="U203" s="716">
        <v>-1590</v>
      </c>
      <c r="V203" s="716">
        <v>-1712</v>
      </c>
      <c r="W203" s="717">
        <v>-1484</v>
      </c>
      <c r="X203" s="716">
        <v>-1691</v>
      </c>
      <c r="Y203" s="716">
        <v>-1730</v>
      </c>
      <c r="Z203" s="716">
        <v>-1677</v>
      </c>
      <c r="AA203" s="717">
        <f>-1990+465</f>
        <v>-1525</v>
      </c>
      <c r="AB203" s="716">
        <f>-2426+789</f>
        <v>-1637</v>
      </c>
      <c r="AC203" s="716">
        <f>-2340+653</f>
        <v>-1687</v>
      </c>
      <c r="AD203" s="716">
        <f>G203-AA203-AB203-AC203</f>
        <v>-1803</v>
      </c>
      <c r="AE203" s="717">
        <v>-1624</v>
      </c>
      <c r="AF203" s="716">
        <v>-1750</v>
      </c>
      <c r="AG203" s="716">
        <v>-1674</v>
      </c>
      <c r="AH203" s="718">
        <f>+H203-SUM(AE203:AG203)</f>
        <v>-1794</v>
      </c>
      <c r="AI203" s="717">
        <f>-2068+529</f>
        <v>-1539</v>
      </c>
      <c r="AJ203" s="716">
        <f>-2162+511</f>
        <v>-1651</v>
      </c>
      <c r="AK203" s="716">
        <f>-2172+479</f>
        <v>-1693</v>
      </c>
      <c r="AL203" s="718">
        <f>I203-AI203-AJ203-AK203</f>
        <v>-1748</v>
      </c>
      <c r="AM203" s="716">
        <v>-1711</v>
      </c>
      <c r="AN203" s="716">
        <f t="shared" ref="AN203:AO203" si="338">-AN204*AN196</f>
        <v>-1812.9206726188138</v>
      </c>
      <c r="AO203" s="716">
        <f t="shared" si="338"/>
        <v>-1795.4541444460071</v>
      </c>
      <c r="AP203" s="716">
        <f>J203-AM203-AN203-AO203</f>
        <v>-1775.3116255086391</v>
      </c>
      <c r="AQ203" s="1392"/>
      <c r="AR203" s="692"/>
      <c r="AS203" s="692"/>
      <c r="AT203" s="692"/>
      <c r="AU203" s="692"/>
      <c r="AV203" s="692"/>
      <c r="AW203" s="692"/>
      <c r="AX203" s="692"/>
      <c r="AY203" s="692"/>
      <c r="AZ203" s="692"/>
      <c r="BA203" s="692"/>
      <c r="BB203"/>
      <c r="BC203"/>
      <c r="BD203"/>
      <c r="BE203"/>
      <c r="BF203"/>
      <c r="BG203"/>
      <c r="BJ203" s="714"/>
      <c r="BK203" s="714"/>
      <c r="BL203" s="714"/>
      <c r="BM203" s="714"/>
      <c r="BN203" s="714"/>
    </row>
    <row r="204" spans="1:102" s="693" customFormat="1">
      <c r="A204" s="713" t="s">
        <v>95</v>
      </c>
      <c r="B204" s="731">
        <v>0.17395895202270178</v>
      </c>
      <c r="C204" s="731">
        <v>0.17964808662483081</v>
      </c>
      <c r="D204" s="731">
        <v>0.19077535533231735</v>
      </c>
      <c r="E204" s="731">
        <v>0.19932327559446203</v>
      </c>
      <c r="F204" s="731">
        <v>0.20703972822496933</v>
      </c>
      <c r="G204" s="731">
        <f>-G203/G196</f>
        <v>0.19949017843754685</v>
      </c>
      <c r="H204" s="731">
        <f>-H203/H196</f>
        <v>0.21012222836435107</v>
      </c>
      <c r="I204" s="731">
        <f>-I203/I196</f>
        <v>0.20543404176219096</v>
      </c>
      <c r="J204" s="824">
        <v>0.20499999999999999</v>
      </c>
      <c r="K204" s="824">
        <v>0.20399999999999999</v>
      </c>
      <c r="L204" s="824">
        <v>0.20100000000000001</v>
      </c>
      <c r="M204" s="824">
        <v>0.19700000000000001</v>
      </c>
      <c r="N204" s="824">
        <v>0.189</v>
      </c>
      <c r="O204" s="824">
        <v>0.18</v>
      </c>
      <c r="P204" s="824">
        <v>0.18</v>
      </c>
      <c r="Q204" s="824">
        <v>0.18</v>
      </c>
      <c r="R204" s="721"/>
      <c r="S204" s="732">
        <v>0.19347467309889552</v>
      </c>
      <c r="T204" s="732">
        <v>0.19640438369658908</v>
      </c>
      <c r="U204" s="732">
        <v>0.20144431774990498</v>
      </c>
      <c r="V204" s="732">
        <v>0.20569506187672715</v>
      </c>
      <c r="W204" s="733">
        <f t="shared" ref="W204:AM204" si="339">-W203/W196</f>
        <v>0.19008582041757396</v>
      </c>
      <c r="X204" s="732">
        <f t="shared" si="339"/>
        <v>0.20624466398341262</v>
      </c>
      <c r="Y204" s="732">
        <f t="shared" si="339"/>
        <v>0.21829652996845425</v>
      </c>
      <c r="Z204" s="732">
        <f t="shared" si="339"/>
        <v>0.2133587786259542</v>
      </c>
      <c r="AA204" s="733">
        <f t="shared" si="339"/>
        <v>0.19158291457286433</v>
      </c>
      <c r="AB204" s="732">
        <f t="shared" si="339"/>
        <v>0.18962122089655972</v>
      </c>
      <c r="AC204" s="732">
        <f t="shared" si="339"/>
        <v>0.2043857523624909</v>
      </c>
      <c r="AD204" s="732">
        <f t="shared" si="339"/>
        <v>0.21216756883972698</v>
      </c>
      <c r="AE204" s="733">
        <f t="shared" si="339"/>
        <v>0.21011773838788977</v>
      </c>
      <c r="AF204" s="732">
        <f t="shared" si="339"/>
        <v>0.20865625372600452</v>
      </c>
      <c r="AG204" s="732">
        <f t="shared" si="339"/>
        <v>0.20482075125412946</v>
      </c>
      <c r="AH204" s="734">
        <f>-AH203/AH196</f>
        <v>0.21684999395624321</v>
      </c>
      <c r="AI204" s="733">
        <f t="shared" si="339"/>
        <v>0.20470869912210693</v>
      </c>
      <c r="AJ204" s="732">
        <f t="shared" si="339"/>
        <v>0.20423057892132607</v>
      </c>
      <c r="AK204" s="732">
        <f t="shared" si="339"/>
        <v>0.20857330575422839</v>
      </c>
      <c r="AL204" s="734">
        <f>-AL203/AL196</f>
        <v>0.20423066468635301</v>
      </c>
      <c r="AM204" s="733">
        <f t="shared" si="339"/>
        <v>0.20373898547273162</v>
      </c>
      <c r="AN204" s="825">
        <v>0.20799999999999999</v>
      </c>
      <c r="AO204" s="825">
        <v>0.20799999999999999</v>
      </c>
      <c r="AP204" s="734">
        <f>-AP203/AP196</f>
        <v>0.20032243270747721</v>
      </c>
      <c r="AQ204" s="1383"/>
      <c r="AR204" s="692"/>
      <c r="AS204" s="692"/>
      <c r="AT204" s="692"/>
      <c r="AU204" s="692"/>
      <c r="AV204" s="692"/>
      <c r="AW204" s="692"/>
      <c r="AX204" s="692"/>
      <c r="AY204" s="692"/>
      <c r="AZ204" s="692"/>
      <c r="BA204" s="692"/>
      <c r="BB204"/>
      <c r="BC204"/>
      <c r="BD204"/>
      <c r="BE204"/>
      <c r="BF204"/>
      <c r="BG204"/>
      <c r="BJ204" s="725"/>
      <c r="BK204" s="725"/>
      <c r="BL204" s="725"/>
      <c r="BM204" s="725"/>
      <c r="BN204" s="725"/>
    </row>
    <row r="205" spans="1:102" s="693" customFormat="1" outlineLevel="1">
      <c r="A205" s="713" t="s">
        <v>96</v>
      </c>
      <c r="B205" s="714">
        <v>-329</v>
      </c>
      <c r="C205" s="714">
        <v>-477</v>
      </c>
      <c r="D205" s="714">
        <v>-444</v>
      </c>
      <c r="E205" s="714">
        <v>-349</v>
      </c>
      <c r="F205" s="714"/>
      <c r="G205" s="714"/>
      <c r="H205" s="714"/>
      <c r="I205" s="714"/>
      <c r="J205" s="714"/>
      <c r="K205" s="714"/>
      <c r="L205" s="714"/>
      <c r="M205" s="714"/>
      <c r="N205" s="714"/>
      <c r="O205" s="714"/>
      <c r="P205" s="714"/>
      <c r="Q205" s="714"/>
      <c r="R205" s="715"/>
      <c r="S205" s="716">
        <v>-67</v>
      </c>
      <c r="T205" s="716">
        <v>-76</v>
      </c>
      <c r="U205" s="716">
        <v>-50</v>
      </c>
      <c r="V205" s="716">
        <v>-156</v>
      </c>
      <c r="W205" s="717"/>
      <c r="X205" s="716"/>
      <c r="Y205" s="716"/>
      <c r="Z205" s="716"/>
      <c r="AA205" s="717"/>
      <c r="AB205" s="716"/>
      <c r="AC205" s="716"/>
      <c r="AD205" s="716"/>
      <c r="AE205" s="717"/>
      <c r="AF205" s="716"/>
      <c r="AG205" s="716"/>
      <c r="AH205" s="718"/>
      <c r="AI205" s="717"/>
      <c r="AJ205" s="716"/>
      <c r="AK205" s="716"/>
      <c r="AL205" s="718"/>
      <c r="AM205" s="716"/>
      <c r="AN205" s="716"/>
      <c r="AO205" s="716"/>
      <c r="AP205" s="716"/>
      <c r="AQ205" s="1383"/>
      <c r="AR205" s="692"/>
      <c r="AS205" s="692"/>
      <c r="AT205" s="692"/>
      <c r="AU205" s="692"/>
      <c r="AV205" s="692"/>
      <c r="AW205" s="692"/>
      <c r="AX205" s="692"/>
      <c r="AY205" s="692"/>
      <c r="AZ205" s="692"/>
      <c r="BA205" s="692"/>
      <c r="BB205"/>
      <c r="BC205"/>
      <c r="BD205"/>
      <c r="BE205"/>
      <c r="BF205"/>
      <c r="BG205"/>
      <c r="BJ205" s="714"/>
      <c r="BK205" s="714"/>
      <c r="BL205" s="714"/>
      <c r="BM205" s="714"/>
      <c r="BN205" s="714"/>
    </row>
    <row r="206" spans="1:102" s="693" customFormat="1" outlineLevel="1">
      <c r="A206" s="713" t="s">
        <v>220</v>
      </c>
      <c r="B206" s="716"/>
      <c r="C206" s="716">
        <v>-733</v>
      </c>
      <c r="D206" s="716">
        <v>-444</v>
      </c>
      <c r="E206" s="714">
        <v>-234</v>
      </c>
      <c r="F206" s="714">
        <v>-307</v>
      </c>
      <c r="G206" s="714">
        <f>G207-G203</f>
        <v>-2552</v>
      </c>
      <c r="H206" s="716">
        <f>H207-H203</f>
        <v>-2489</v>
      </c>
      <c r="I206" s="716">
        <f>I207-I203</f>
        <v>-2019</v>
      </c>
      <c r="J206" s="714">
        <f t="shared" ref="J206:Q206" si="340">-J252-J255</f>
        <v>-2543</v>
      </c>
      <c r="K206" s="714">
        <f t="shared" si="340"/>
        <v>-2243</v>
      </c>
      <c r="L206" s="714">
        <f t="shared" si="340"/>
        <v>-2243</v>
      </c>
      <c r="M206" s="714">
        <f t="shared" si="340"/>
        <v>-2243</v>
      </c>
      <c r="N206" s="714">
        <f t="shared" si="340"/>
        <v>-2243</v>
      </c>
      <c r="O206" s="714">
        <f t="shared" si="340"/>
        <v>-1953</v>
      </c>
      <c r="P206" s="714">
        <f t="shared" si="340"/>
        <v>-1953</v>
      </c>
      <c r="Q206" s="714">
        <f t="shared" si="340"/>
        <v>-1953</v>
      </c>
      <c r="R206" s="715"/>
      <c r="S206" s="716">
        <v>-67</v>
      </c>
      <c r="T206" s="716">
        <v>-52</v>
      </c>
      <c r="U206" s="716">
        <v>-54</v>
      </c>
      <c r="V206" s="716">
        <v>-61</v>
      </c>
      <c r="W206" s="717">
        <v>-92</v>
      </c>
      <c r="X206" s="716">
        <v>-87</v>
      </c>
      <c r="Y206" s="716">
        <v>-96</v>
      </c>
      <c r="Z206" s="716">
        <v>-32</v>
      </c>
      <c r="AA206" s="717">
        <f t="shared" ref="AA206:AM206" si="341">AA207-AA203</f>
        <v>-465</v>
      </c>
      <c r="AB206" s="716">
        <f t="shared" si="341"/>
        <v>-789</v>
      </c>
      <c r="AC206" s="716">
        <f t="shared" si="341"/>
        <v>-653</v>
      </c>
      <c r="AD206" s="716">
        <f t="shared" si="341"/>
        <v>-645</v>
      </c>
      <c r="AE206" s="717">
        <f t="shared" si="341"/>
        <v>-616</v>
      </c>
      <c r="AF206" s="716">
        <f t="shared" si="341"/>
        <v>-626</v>
      </c>
      <c r="AG206" s="716">
        <f t="shared" si="341"/>
        <v>-606</v>
      </c>
      <c r="AH206" s="718">
        <f>H206-AE206-AF206-AG206</f>
        <v>-641</v>
      </c>
      <c r="AI206" s="717">
        <f t="shared" si="341"/>
        <v>-529</v>
      </c>
      <c r="AJ206" s="716">
        <f t="shared" si="341"/>
        <v>-511</v>
      </c>
      <c r="AK206" s="716">
        <f t="shared" si="341"/>
        <v>-479</v>
      </c>
      <c r="AL206" s="718">
        <f>I206-AI206-AJ206-AK206</f>
        <v>-500</v>
      </c>
      <c r="AM206" s="717">
        <f t="shared" si="341"/>
        <v>-562</v>
      </c>
      <c r="AN206" s="716">
        <f t="shared" ref="AN206:AO206" si="342">-AN252-AN255</f>
        <v>-689</v>
      </c>
      <c r="AO206" s="716">
        <f t="shared" si="342"/>
        <v>-687</v>
      </c>
      <c r="AP206" s="716">
        <f>J206-SUM(AM206:AO206)</f>
        <v>-605</v>
      </c>
      <c r="AQ206" s="1392"/>
      <c r="AR206" s="692"/>
      <c r="AS206" s="692"/>
      <c r="AT206" s="692"/>
      <c r="AU206" s="692"/>
      <c r="AV206" s="692"/>
      <c r="AW206" s="692"/>
      <c r="AX206" s="692"/>
      <c r="AY206" s="692"/>
      <c r="AZ206" s="692"/>
      <c r="BA206" s="692"/>
      <c r="BB206"/>
      <c r="BC206"/>
      <c r="BD206"/>
      <c r="BE206"/>
      <c r="BF206"/>
      <c r="BG206"/>
      <c r="BJ206" s="714"/>
      <c r="BK206" s="714"/>
      <c r="BL206" s="714"/>
      <c r="BM206" s="714"/>
      <c r="BN206" s="714"/>
    </row>
    <row r="207" spans="1:102" s="693" customFormat="1" outlineLevel="1">
      <c r="A207" s="713" t="s">
        <v>221</v>
      </c>
      <c r="B207" s="714"/>
      <c r="C207" s="714">
        <v>-6573</v>
      </c>
      <c r="D207" s="716">
        <v>-6578</v>
      </c>
      <c r="E207" s="714">
        <v>-6655</v>
      </c>
      <c r="F207" s="714">
        <v>-6889</v>
      </c>
      <c r="G207" s="714">
        <v>-9204</v>
      </c>
      <c r="H207" s="714">
        <v>-9331</v>
      </c>
      <c r="I207" s="714">
        <v>-8650</v>
      </c>
      <c r="J207" s="716">
        <f t="shared" ref="J207:Q207" si="343">J203+J206</f>
        <v>-9637.6864425734602</v>
      </c>
      <c r="K207" s="716">
        <f t="shared" si="343"/>
        <v>-9363.3198590984648</v>
      </c>
      <c r="L207" s="716">
        <f t="shared" si="343"/>
        <v>-9421.2529969354036</v>
      </c>
      <c r="M207" s="716">
        <f t="shared" si="343"/>
        <v>-9525.0844009248231</v>
      </c>
      <c r="N207" s="716">
        <f t="shared" si="343"/>
        <v>-9302.8606365830965</v>
      </c>
      <c r="O207" s="716">
        <f t="shared" si="343"/>
        <v>-8426.3342907096521</v>
      </c>
      <c r="P207" s="716">
        <f t="shared" si="343"/>
        <v>-8396.2970599856399</v>
      </c>
      <c r="Q207" s="716">
        <f t="shared" si="343"/>
        <v>-8338.2520610098218</v>
      </c>
      <c r="R207" s="715"/>
      <c r="S207" s="716">
        <v>-1591</v>
      </c>
      <c r="T207" s="716">
        <v>-1647</v>
      </c>
      <c r="U207" s="716">
        <v>-1644</v>
      </c>
      <c r="V207" s="716">
        <v>-1773</v>
      </c>
      <c r="W207" s="717">
        <v>-1576</v>
      </c>
      <c r="X207" s="716">
        <v>-1778</v>
      </c>
      <c r="Y207" s="716">
        <v>-1826</v>
      </c>
      <c r="Z207" s="716">
        <v>-1709</v>
      </c>
      <c r="AA207" s="717">
        <v>-1990</v>
      </c>
      <c r="AB207" s="716">
        <v>-2426</v>
      </c>
      <c r="AC207" s="716">
        <v>-2340</v>
      </c>
      <c r="AD207" s="716">
        <f>G207-AA207-AB207-AC207</f>
        <v>-2448</v>
      </c>
      <c r="AE207" s="717">
        <v>-2240</v>
      </c>
      <c r="AF207" s="716">
        <v>-2376</v>
      </c>
      <c r="AG207" s="716">
        <v>-2280</v>
      </c>
      <c r="AH207" s="718">
        <f>AH203+AH206</f>
        <v>-2435</v>
      </c>
      <c r="AI207" s="717">
        <v>-2068</v>
      </c>
      <c r="AJ207" s="716">
        <v>-2162</v>
      </c>
      <c r="AK207" s="716">
        <v>-2172</v>
      </c>
      <c r="AL207" s="718">
        <f>AL203+AL206</f>
        <v>-2248</v>
      </c>
      <c r="AM207" s="716">
        <v>-2273</v>
      </c>
      <c r="AN207" s="716">
        <f t="shared" ref="AN207:AP207" si="344">AN203+AN206</f>
        <v>-2501.920672618814</v>
      </c>
      <c r="AO207" s="716">
        <f t="shared" si="344"/>
        <v>-2482.4541444460074</v>
      </c>
      <c r="AP207" s="716">
        <f t="shared" si="344"/>
        <v>-2380.3116255086388</v>
      </c>
      <c r="AQ207" s="1392"/>
      <c r="AR207" s="692"/>
      <c r="AS207" s="692"/>
      <c r="AT207" s="692"/>
      <c r="AU207" s="692"/>
      <c r="AV207" s="692"/>
      <c r="AW207" s="692"/>
      <c r="AX207" s="692"/>
      <c r="AY207" s="692"/>
      <c r="AZ207" s="692"/>
      <c r="BA207" s="692"/>
      <c r="BB207"/>
      <c r="BC207"/>
      <c r="BD207"/>
      <c r="BE207"/>
      <c r="BF207"/>
      <c r="BG207"/>
      <c r="BJ207" s="714"/>
      <c r="BK207" s="714"/>
      <c r="BL207" s="714"/>
      <c r="BM207" s="714"/>
      <c r="BN207" s="714"/>
    </row>
    <row r="208" spans="1:102" s="1071" customFormat="1">
      <c r="A208" s="1066" t="s">
        <v>222</v>
      </c>
      <c r="B208" s="1081">
        <v>25613</v>
      </c>
      <c r="C208" s="1081">
        <v>27365</v>
      </c>
      <c r="D208" s="1081">
        <v>26746</v>
      </c>
      <c r="E208" s="1081">
        <v>26492</v>
      </c>
      <c r="F208" s="1081">
        <v>26100</v>
      </c>
      <c r="G208" s="1081">
        <f>G200+G203+G199</f>
        <v>27975</v>
      </c>
      <c r="H208" s="1081">
        <f>H200+H203+H199</f>
        <v>27109</v>
      </c>
      <c r="I208" s="1081">
        <f t="shared" ref="I208:Q208" si="345">I200+I203+I199</f>
        <v>27213</v>
      </c>
      <c r="J208" s="1081">
        <f t="shared" si="345"/>
        <v>29192.593417673597</v>
      </c>
      <c r="K208" s="1081">
        <f t="shared" si="345"/>
        <v>29476.589058304224</v>
      </c>
      <c r="L208" s="1081">
        <f t="shared" si="345"/>
        <v>30267.086515965704</v>
      </c>
      <c r="M208" s="1081">
        <f t="shared" si="345"/>
        <v>31476.200534375468</v>
      </c>
      <c r="N208" s="1081">
        <f t="shared" si="345"/>
        <v>32106.155003423686</v>
      </c>
      <c r="O208" s="1081">
        <f t="shared" si="345"/>
        <v>31234.413975184812</v>
      </c>
      <c r="P208" s="1081">
        <f t="shared" si="345"/>
        <v>31089.481664111612</v>
      </c>
      <c r="Q208" s="1081">
        <f t="shared" si="345"/>
        <v>30809.409378983095</v>
      </c>
      <c r="R208" s="1082"/>
      <c r="S208" s="1083">
        <v>6529</v>
      </c>
      <c r="T208" s="1083">
        <v>6707</v>
      </c>
      <c r="U208" s="1083">
        <v>6483</v>
      </c>
      <c r="V208" s="1083">
        <v>6773</v>
      </c>
      <c r="W208" s="1084">
        <v>6535</v>
      </c>
      <c r="X208" s="1083">
        <v>6725</v>
      </c>
      <c r="Y208" s="1083">
        <v>6425</v>
      </c>
      <c r="Z208" s="1083">
        <v>6415</v>
      </c>
      <c r="AA208" s="1084">
        <f t="shared" ref="AA208:AP208" si="346">AA200+AA203+AA199</f>
        <v>6752</v>
      </c>
      <c r="AB208" s="1083">
        <f t="shared" si="346"/>
        <v>7296</v>
      </c>
      <c r="AC208" s="1083">
        <f t="shared" si="346"/>
        <v>6870</v>
      </c>
      <c r="AD208" s="1083">
        <f t="shared" si="346"/>
        <v>7057</v>
      </c>
      <c r="AE208" s="1084">
        <f t="shared" si="346"/>
        <v>6446</v>
      </c>
      <c r="AF208" s="1083">
        <f t="shared" si="346"/>
        <v>6968</v>
      </c>
      <c r="AG208" s="1083">
        <f t="shared" si="346"/>
        <v>6850</v>
      </c>
      <c r="AH208" s="1085">
        <f t="shared" si="346"/>
        <v>6845</v>
      </c>
      <c r="AI208" s="1084">
        <f t="shared" si="346"/>
        <v>6370</v>
      </c>
      <c r="AJ208" s="1083">
        <f t="shared" si="346"/>
        <v>6810</v>
      </c>
      <c r="AK208" s="1083">
        <f t="shared" si="346"/>
        <v>6836.0502326646747</v>
      </c>
      <c r="AL208" s="1085">
        <f t="shared" si="346"/>
        <v>7196.9497673353253</v>
      </c>
      <c r="AM208" s="1083">
        <f t="shared" si="346"/>
        <v>7078</v>
      </c>
      <c r="AN208" s="1083">
        <f t="shared" si="346"/>
        <v>7309.5159846837068</v>
      </c>
      <c r="AO208" s="1083">
        <f t="shared" si="346"/>
        <v>7274.6739699527343</v>
      </c>
      <c r="AP208" s="1083">
        <f t="shared" si="346"/>
        <v>7530.403463037158</v>
      </c>
      <c r="AQ208" s="1393"/>
      <c r="AR208" s="1065"/>
      <c r="AS208" s="1065"/>
      <c r="AT208" s="1065"/>
      <c r="AU208" s="1065"/>
      <c r="AV208" s="1065"/>
      <c r="AW208" s="1065"/>
      <c r="AX208" s="1065"/>
      <c r="AY208" s="1065"/>
      <c r="AZ208" s="1065"/>
      <c r="BA208" s="1065"/>
      <c r="BB208"/>
      <c r="BC208"/>
      <c r="BD208"/>
      <c r="BE208"/>
      <c r="BF208"/>
      <c r="BG208"/>
      <c r="BH208" s="799"/>
      <c r="BI208" s="799"/>
      <c r="BJ208" s="1081"/>
      <c r="BK208" s="1081"/>
      <c r="BL208" s="1081"/>
      <c r="BM208" s="1081"/>
      <c r="BN208" s="1081"/>
      <c r="BO208" s="799"/>
      <c r="BP208" s="799"/>
      <c r="BQ208" s="799"/>
      <c r="BR208" s="799"/>
      <c r="BS208" s="799"/>
      <c r="BT208" s="799"/>
      <c r="BU208" s="799"/>
      <c r="BV208" s="799"/>
      <c r="BW208" s="799"/>
      <c r="BX208" s="799"/>
      <c r="BY208" s="799"/>
      <c r="BZ208" s="799"/>
      <c r="CA208" s="799"/>
      <c r="CB208" s="799"/>
      <c r="CC208" s="799"/>
      <c r="CD208" s="799"/>
      <c r="CE208" s="799"/>
      <c r="CF208" s="799"/>
      <c r="CG208" s="799"/>
      <c r="CH208" s="799"/>
      <c r="CI208" s="799"/>
      <c r="CJ208" s="799"/>
      <c r="CK208" s="799"/>
      <c r="CL208" s="799"/>
      <c r="CM208" s="799"/>
      <c r="CN208" s="799"/>
      <c r="CO208" s="799"/>
      <c r="CP208" s="799"/>
      <c r="CQ208" s="799"/>
      <c r="CR208" s="799"/>
      <c r="CS208" s="799"/>
      <c r="CT208" s="799"/>
      <c r="CU208" s="799"/>
      <c r="CV208" s="799"/>
      <c r="CW208" s="799"/>
      <c r="CX208" s="799"/>
    </row>
    <row r="209" spans="1:102" s="1071" customFormat="1">
      <c r="A209" s="1073" t="s">
        <v>591</v>
      </c>
      <c r="B209" s="1074">
        <v>0.84514617567478389</v>
      </c>
      <c r="C209" s="1074">
        <v>0.84179278946720804</v>
      </c>
      <c r="D209" s="1074">
        <v>0.83183528753149005</v>
      </c>
      <c r="E209" s="1074">
        <v>0.82237536474824613</v>
      </c>
      <c r="F209" s="1074">
        <v>0.82098707181277719</v>
      </c>
      <c r="G209" s="1074">
        <f t="shared" ref="G209:Q209" si="347">G208/G196</f>
        <v>0.83895636527215478</v>
      </c>
      <c r="H209" s="1074">
        <f t="shared" si="347"/>
        <v>0.83253485658129112</v>
      </c>
      <c r="I209" s="1074">
        <f t="shared" si="347"/>
        <v>0.84308197533924034</v>
      </c>
      <c r="J209" s="1074">
        <f t="shared" si="347"/>
        <v>0.8435160171014312</v>
      </c>
      <c r="K209" s="1074">
        <f t="shared" si="347"/>
        <v>0.84451601710143132</v>
      </c>
      <c r="L209" s="1074">
        <f t="shared" si="347"/>
        <v>0.84751601710143132</v>
      </c>
      <c r="M209" s="1074">
        <f t="shared" si="347"/>
        <v>0.85151601710143132</v>
      </c>
      <c r="N209" s="1074">
        <f t="shared" si="347"/>
        <v>0.85951601710143122</v>
      </c>
      <c r="O209" s="1074">
        <f t="shared" si="347"/>
        <v>0.86851601710143134</v>
      </c>
      <c r="P209" s="1074">
        <f t="shared" si="347"/>
        <v>0.86851601710143123</v>
      </c>
      <c r="Q209" s="1074">
        <f t="shared" si="347"/>
        <v>0.86851601710143134</v>
      </c>
      <c r="R209" s="1075"/>
      <c r="S209" s="1076">
        <v>0.82886885870255178</v>
      </c>
      <c r="T209" s="1076">
        <v>0.82588351188277309</v>
      </c>
      <c r="U209" s="1076">
        <v>0.8213606993538578</v>
      </c>
      <c r="V209" s="1076">
        <v>0.81376907365132767</v>
      </c>
      <c r="W209" s="1077">
        <v>0.83706929678493658</v>
      </c>
      <c r="X209" s="1076">
        <v>0.8202219782900354</v>
      </c>
      <c r="Y209" s="1076">
        <v>0.81072555205047314</v>
      </c>
      <c r="Z209" s="1076">
        <v>0.8161577608142494</v>
      </c>
      <c r="AA209" s="1077">
        <f t="shared" ref="AA209:AP209" si="348">AA208/AA196</f>
        <v>0.84824120603015074</v>
      </c>
      <c r="AB209" s="1076">
        <f t="shared" si="348"/>
        <v>0.845129155565852</v>
      </c>
      <c r="AC209" s="1076">
        <f t="shared" si="348"/>
        <v>0.83232372183183911</v>
      </c>
      <c r="AD209" s="1076">
        <f t="shared" si="348"/>
        <v>0.83043068957401744</v>
      </c>
      <c r="AE209" s="1077">
        <f t="shared" si="348"/>
        <v>0.83400181135981366</v>
      </c>
      <c r="AF209" s="1076">
        <f t="shared" si="348"/>
        <v>0.83080958626445689</v>
      </c>
      <c r="AG209" s="1076">
        <f t="shared" si="348"/>
        <v>0.83812553529915579</v>
      </c>
      <c r="AH209" s="1078">
        <f t="shared" si="348"/>
        <v>0.82739030581409401</v>
      </c>
      <c r="AI209" s="1077">
        <f t="shared" si="348"/>
        <v>0.84729981378026076</v>
      </c>
      <c r="AJ209" s="1076">
        <f t="shared" si="348"/>
        <v>0.84240475012370108</v>
      </c>
      <c r="AK209" s="1076">
        <f t="shared" si="348"/>
        <v>0.84218404921962975</v>
      </c>
      <c r="AL209" s="1078">
        <f t="shared" si="348"/>
        <v>0.84086832648580501</v>
      </c>
      <c r="AM209" s="1076">
        <f t="shared" si="348"/>
        <v>0.84281971898070973</v>
      </c>
      <c r="AN209" s="1076">
        <f t="shared" si="348"/>
        <v>0.83863532904502713</v>
      </c>
      <c r="AO209" s="1076">
        <f t="shared" si="348"/>
        <v>0.84275735497385829</v>
      </c>
      <c r="AP209" s="1076">
        <f t="shared" si="348"/>
        <v>0.84971490036416353</v>
      </c>
      <c r="AQ209" s="1393"/>
      <c r="AR209" s="1065"/>
      <c r="AS209" s="1065"/>
      <c r="AT209" s="1065"/>
      <c r="AU209" s="1065"/>
      <c r="AV209" s="1065"/>
      <c r="AW209" s="1065"/>
      <c r="AX209" s="1065"/>
      <c r="AY209" s="1065"/>
      <c r="AZ209" s="1065"/>
      <c r="BA209" s="1065"/>
      <c r="BB209"/>
      <c r="BC209"/>
      <c r="BD209"/>
      <c r="BE209"/>
      <c r="BF209"/>
      <c r="BG209"/>
      <c r="BH209" s="799"/>
      <c r="BI209" s="799"/>
      <c r="BJ209" s="1080"/>
      <c r="BK209" s="1080"/>
      <c r="BL209" s="1080"/>
      <c r="BM209" s="1080"/>
      <c r="BN209" s="1080"/>
      <c r="BO209" s="799"/>
      <c r="BP209" s="799"/>
      <c r="BQ209" s="799"/>
      <c r="BR209" s="799"/>
      <c r="BS209" s="799"/>
      <c r="BT209" s="799"/>
      <c r="BU209" s="799"/>
      <c r="BV209" s="799"/>
      <c r="BW209" s="799"/>
      <c r="BX209" s="799"/>
      <c r="BY209" s="799"/>
      <c r="BZ209" s="799"/>
      <c r="CA209" s="799"/>
      <c r="CB209" s="799"/>
      <c r="CC209" s="799"/>
      <c r="CD209" s="799"/>
      <c r="CE209" s="799"/>
      <c r="CF209" s="799"/>
      <c r="CG209" s="799"/>
      <c r="CH209" s="799"/>
      <c r="CI209" s="799"/>
      <c r="CJ209" s="799"/>
      <c r="CK209" s="799"/>
      <c r="CL209" s="799"/>
      <c r="CM209" s="799"/>
      <c r="CN209" s="799"/>
      <c r="CO209" s="799"/>
      <c r="CP209" s="799"/>
      <c r="CQ209" s="799"/>
      <c r="CR209" s="799"/>
      <c r="CS209" s="799"/>
      <c r="CT209" s="799"/>
      <c r="CU209" s="799"/>
      <c r="CV209" s="799"/>
      <c r="CW209" s="799"/>
      <c r="CX209" s="799"/>
    </row>
    <row r="210" spans="1:102" s="838" customFormat="1">
      <c r="A210" s="955" t="s">
        <v>586</v>
      </c>
      <c r="B210" s="956"/>
      <c r="C210" s="956">
        <v>6.8402764221293877E-2</v>
      </c>
      <c r="D210" s="956">
        <v>-2.2620135209208803E-2</v>
      </c>
      <c r="E210" s="956">
        <v>-9.4967471771479905E-3</v>
      </c>
      <c r="F210" s="960">
        <v>-1.4796919824852761E-2</v>
      </c>
      <c r="G210" s="960">
        <f t="shared" ref="G210:Q210" si="349">G208/F208-1</f>
        <v>7.1839080459770166E-2</v>
      </c>
      <c r="H210" s="960">
        <f t="shared" si="349"/>
        <v>-3.0956210902591597E-2</v>
      </c>
      <c r="I210" s="960">
        <f t="shared" si="349"/>
        <v>3.8363643070566944E-3</v>
      </c>
      <c r="J210" s="960">
        <f t="shared" si="349"/>
        <v>7.2744402222231885E-2</v>
      </c>
      <c r="K210" s="960">
        <f t="shared" si="349"/>
        <v>9.7283456994503581E-3</v>
      </c>
      <c r="L210" s="960">
        <f t="shared" si="349"/>
        <v>2.6817806364837216E-2</v>
      </c>
      <c r="M210" s="960">
        <f t="shared" si="349"/>
        <v>3.9948146901154891E-2</v>
      </c>
      <c r="N210" s="960">
        <f t="shared" si="349"/>
        <v>2.0013675677286402E-2</v>
      </c>
      <c r="O210" s="960">
        <f t="shared" si="349"/>
        <v>-2.7151835158894411E-2</v>
      </c>
      <c r="P210" s="960">
        <f t="shared" si="349"/>
        <v>-4.6401482412427031E-3</v>
      </c>
      <c r="Q210" s="960">
        <f t="shared" si="349"/>
        <v>-9.0085865102029761E-3</v>
      </c>
      <c r="R210" s="750"/>
      <c r="S210" s="957" t="e">
        <v>#DIV/0!</v>
      </c>
      <c r="T210" s="957" t="e">
        <v>#DIV/0!</v>
      </c>
      <c r="U210" s="957" t="e">
        <v>#DIV/0!</v>
      </c>
      <c r="V210" s="957" t="e">
        <v>#DIV/0!</v>
      </c>
      <c r="W210" s="961">
        <f t="shared" ref="W210:AD210" si="350">W208/S208-1</f>
        <v>9.1897687241537795E-4</v>
      </c>
      <c r="X210" s="962">
        <f t="shared" si="350"/>
        <v>2.6837632324436811E-3</v>
      </c>
      <c r="Y210" s="962">
        <f t="shared" si="350"/>
        <v>-8.9464753971926214E-3</v>
      </c>
      <c r="Z210" s="962">
        <f t="shared" si="350"/>
        <v>-5.2856931935626794E-2</v>
      </c>
      <c r="AA210" s="961">
        <f t="shared" si="350"/>
        <v>3.3205814843152215E-2</v>
      </c>
      <c r="AB210" s="962">
        <f t="shared" si="350"/>
        <v>8.4907063197026122E-2</v>
      </c>
      <c r="AC210" s="962">
        <f t="shared" si="350"/>
        <v>6.9260700389105034E-2</v>
      </c>
      <c r="AD210" s="962">
        <f t="shared" si="350"/>
        <v>0.10007794232268119</v>
      </c>
      <c r="AE210" s="961">
        <f t="shared" ref="AE210:AL210" si="351">AE208/AA208-1</f>
        <v>-4.5319905213270117E-2</v>
      </c>
      <c r="AF210" s="962">
        <f t="shared" si="351"/>
        <v>-4.4956140350877138E-2</v>
      </c>
      <c r="AG210" s="962">
        <f t="shared" si="351"/>
        <v>-2.9112081513827937E-3</v>
      </c>
      <c r="AH210" s="963">
        <f t="shared" si="351"/>
        <v>-3.0041093949270237E-2</v>
      </c>
      <c r="AI210" s="961">
        <f t="shared" si="351"/>
        <v>-1.1790257524045944E-2</v>
      </c>
      <c r="AJ210" s="962">
        <f t="shared" si="351"/>
        <v>-2.2675086107921905E-2</v>
      </c>
      <c r="AK210" s="962">
        <f t="shared" si="351"/>
        <v>-2.0364623847189955E-3</v>
      </c>
      <c r="AL210" s="963">
        <f t="shared" si="351"/>
        <v>5.1417058777987634E-2</v>
      </c>
      <c r="AM210" s="962">
        <f t="shared" ref="AM210" si="352">AM208/AI208-1</f>
        <v>0.11114599686028259</v>
      </c>
      <c r="AN210" s="962">
        <f t="shared" ref="AN210" si="353">AN208/AJ208-1</f>
        <v>7.3350364858106643E-2</v>
      </c>
      <c r="AO210" s="962">
        <f t="shared" ref="AO210" si="354">AO208/AK208-1</f>
        <v>6.4163328582956369E-2</v>
      </c>
      <c r="AP210" s="962">
        <f t="shared" ref="AP210" si="355">AP208/AL208-1</f>
        <v>4.6332641811017483E-2</v>
      </c>
      <c r="AQ210" s="1383"/>
      <c r="AR210" s="692"/>
      <c r="AS210" s="692"/>
      <c r="AT210" s="692"/>
      <c r="AU210" s="692"/>
      <c r="AV210" s="692"/>
      <c r="AW210" s="692"/>
      <c r="AX210" s="692"/>
      <c r="AY210" s="692"/>
      <c r="AZ210" s="692"/>
      <c r="BA210" s="692"/>
      <c r="BB210"/>
      <c r="BC210"/>
      <c r="BD210"/>
      <c r="BE210"/>
      <c r="BF210"/>
      <c r="BG210"/>
      <c r="BH210" s="693"/>
      <c r="BI210" s="693"/>
      <c r="BJ210" s="754"/>
      <c r="BK210" s="754"/>
      <c r="BL210" s="754"/>
      <c r="BM210" s="754"/>
      <c r="BN210" s="754"/>
      <c r="BO210" s="693"/>
      <c r="BP210" s="693"/>
      <c r="BQ210" s="693"/>
      <c r="BR210" s="693"/>
      <c r="BS210" s="693"/>
      <c r="BT210" s="693"/>
      <c r="BU210" s="693"/>
      <c r="BV210" s="693"/>
      <c r="BW210" s="693"/>
      <c r="BX210" s="693"/>
      <c r="BY210" s="693"/>
      <c r="BZ210" s="693"/>
      <c r="CA210" s="693"/>
      <c r="CB210" s="693"/>
      <c r="CC210" s="693"/>
      <c r="CD210" s="693"/>
      <c r="CE210" s="693"/>
      <c r="CF210" s="693"/>
      <c r="CG210" s="693"/>
      <c r="CH210" s="693"/>
      <c r="CI210" s="693"/>
      <c r="CJ210" s="693"/>
      <c r="CK210" s="693"/>
      <c r="CL210" s="693"/>
      <c r="CM210" s="693"/>
      <c r="CN210" s="693"/>
      <c r="CO210" s="693"/>
      <c r="CP210" s="693"/>
      <c r="CQ210" s="693"/>
      <c r="CR210" s="693"/>
      <c r="CS210" s="693"/>
      <c r="CT210" s="693"/>
      <c r="CU210" s="693"/>
      <c r="CV210" s="693"/>
      <c r="CW210" s="693"/>
      <c r="CX210" s="693"/>
    </row>
    <row r="211" spans="1:102" s="838" customFormat="1">
      <c r="A211" s="713" t="s">
        <v>1844</v>
      </c>
      <c r="B211" s="956"/>
      <c r="C211" s="956"/>
      <c r="D211" s="956"/>
      <c r="E211" s="956"/>
      <c r="F211" s="960"/>
      <c r="G211" s="1369">
        <f t="shared" ref="G211:I211" si="356">G216+G226</f>
        <v>-9418</v>
      </c>
      <c r="H211" s="1369">
        <f t="shared" si="356"/>
        <v>-9406</v>
      </c>
      <c r="I211" s="1369">
        <f t="shared" si="356"/>
        <v>-9890</v>
      </c>
      <c r="J211" s="1369">
        <f>-J196*J212</f>
        <v>-10070.993925799401</v>
      </c>
      <c r="K211" s="1369">
        <f t="shared" ref="K211:Q211" si="357">-K196*K212</f>
        <v>-10052.216271668425</v>
      </c>
      <c r="L211" s="1369">
        <f t="shared" si="357"/>
        <v>-9678.1421003457417</v>
      </c>
      <c r="M211" s="1369">
        <f t="shared" si="357"/>
        <v>-9980.5217677649835</v>
      </c>
      <c r="N211" s="1369">
        <f t="shared" si="357"/>
        <v>-9898.7463952091002</v>
      </c>
      <c r="O211" s="1369">
        <f t="shared" si="357"/>
        <v>-9530.1865946558755</v>
      </c>
      <c r="P211" s="1369">
        <f t="shared" si="357"/>
        <v>-9485.9651160899721</v>
      </c>
      <c r="Q211" s="1369">
        <f t="shared" si="357"/>
        <v>-9400.5099787089057</v>
      </c>
      <c r="R211" s="750"/>
      <c r="S211" s="957"/>
      <c r="T211" s="957"/>
      <c r="U211" s="957"/>
      <c r="V211" s="957"/>
      <c r="W211" s="961"/>
      <c r="X211" s="962"/>
      <c r="Y211" s="962"/>
      <c r="Z211" s="962"/>
      <c r="AA211" s="961"/>
      <c r="AB211" s="962"/>
      <c r="AC211" s="962"/>
      <c r="AD211" s="962"/>
      <c r="AE211" s="961"/>
      <c r="AF211" s="962"/>
      <c r="AG211" s="962"/>
      <c r="AH211" s="963"/>
      <c r="AI211" s="1368">
        <f>AI216+AI226</f>
        <v>-2285.9999999999973</v>
      </c>
      <c r="AJ211" s="1369">
        <f t="shared" ref="AJ211:AL211" si="358">AJ216+AJ226</f>
        <v>-2496.0000000000009</v>
      </c>
      <c r="AK211" s="1369">
        <f t="shared" si="358"/>
        <v>-2415</v>
      </c>
      <c r="AL211" s="1370">
        <f t="shared" si="358"/>
        <v>-2693.0000000000018</v>
      </c>
      <c r="AM211" s="716">
        <v>-2549</v>
      </c>
      <c r="AN211" s="1369">
        <f>-AN196*AN212</f>
        <v>-2536.3457487118981</v>
      </c>
      <c r="AO211" s="1369">
        <f>-AO196*AO212</f>
        <v>-2511.909404008597</v>
      </c>
      <c r="AP211" s="716">
        <f>J211-AM211-AN211-AO211</f>
        <v>-2473.7387730789064</v>
      </c>
      <c r="AQ211" s="1383"/>
      <c r="AR211" s="692"/>
      <c r="AS211" s="692"/>
      <c r="AT211" s="692"/>
      <c r="AU211" s="692"/>
      <c r="AV211" s="692"/>
      <c r="AW211" s="692"/>
      <c r="AX211" s="692"/>
      <c r="AY211" s="692"/>
      <c r="AZ211" s="692"/>
      <c r="BA211" s="692"/>
      <c r="BB211"/>
      <c r="BC211"/>
      <c r="BD211"/>
      <c r="BE211"/>
      <c r="BF211"/>
      <c r="BG211"/>
      <c r="BH211" s="693"/>
      <c r="BI211" s="693"/>
      <c r="BJ211" s="754"/>
      <c r="BK211" s="754"/>
      <c r="BL211" s="754"/>
      <c r="BM211" s="754"/>
      <c r="BN211" s="754"/>
      <c r="BO211" s="693"/>
      <c r="BP211" s="693"/>
      <c r="BQ211" s="693"/>
      <c r="BR211" s="693"/>
      <c r="BS211" s="693"/>
      <c r="BT211" s="693"/>
      <c r="BU211" s="693"/>
      <c r="BV211" s="693"/>
      <c r="BW211" s="693"/>
      <c r="BX211" s="693"/>
      <c r="BY211" s="693"/>
      <c r="BZ211" s="693"/>
      <c r="CA211" s="693"/>
      <c r="CB211" s="693"/>
      <c r="CC211" s="693"/>
      <c r="CD211" s="693"/>
      <c r="CE211" s="693"/>
      <c r="CF211" s="693"/>
      <c r="CG211" s="693"/>
      <c r="CH211" s="693"/>
      <c r="CI211" s="693"/>
      <c r="CJ211" s="693"/>
      <c r="CK211" s="693"/>
      <c r="CL211" s="693"/>
      <c r="CM211" s="693"/>
      <c r="CN211" s="693"/>
      <c r="CO211" s="693"/>
      <c r="CP211" s="693"/>
      <c r="CQ211" s="693"/>
      <c r="CR211" s="693"/>
      <c r="CS211" s="693"/>
      <c r="CT211" s="693"/>
      <c r="CU211" s="693"/>
      <c r="CV211" s="693"/>
      <c r="CW211" s="693"/>
      <c r="CX211" s="693"/>
    </row>
    <row r="212" spans="1:102" s="838" customFormat="1">
      <c r="A212" s="713" t="s">
        <v>95</v>
      </c>
      <c r="B212" s="956"/>
      <c r="C212" s="956"/>
      <c r="D212" s="956"/>
      <c r="E212" s="956"/>
      <c r="F212" s="960"/>
      <c r="G212" s="957">
        <f t="shared" ref="G212" si="359">-G211/G196</f>
        <v>0.28244114559904032</v>
      </c>
      <c r="H212" s="957">
        <f t="shared" ref="H212" si="360">-H211/H196</f>
        <v>0.28886432037344145</v>
      </c>
      <c r="I212" s="957">
        <f t="shared" ref="I212" si="361">-I211/I196</f>
        <v>0.30640064440175974</v>
      </c>
      <c r="J212" s="824">
        <v>0.29100000000000004</v>
      </c>
      <c r="K212" s="824">
        <v>0.28800000000000003</v>
      </c>
      <c r="L212" s="824">
        <v>0.27099999999999996</v>
      </c>
      <c r="M212" s="824">
        <v>0.26999999999999996</v>
      </c>
      <c r="N212" s="824">
        <v>0.26499999999999996</v>
      </c>
      <c r="O212" s="824">
        <v>0.26499999999999996</v>
      </c>
      <c r="P212" s="824">
        <v>0.26500000000000001</v>
      </c>
      <c r="Q212" s="824">
        <v>0.26499999999999996</v>
      </c>
      <c r="R212" s="750"/>
      <c r="S212" s="957"/>
      <c r="T212" s="957"/>
      <c r="U212" s="957"/>
      <c r="V212" s="957"/>
      <c r="W212" s="961"/>
      <c r="X212" s="962"/>
      <c r="Y212" s="962"/>
      <c r="Z212" s="962"/>
      <c r="AA212" s="961"/>
      <c r="AB212" s="962"/>
      <c r="AC212" s="962"/>
      <c r="AD212" s="962"/>
      <c r="AE212" s="961"/>
      <c r="AF212" s="962"/>
      <c r="AG212" s="962"/>
      <c r="AH212" s="963"/>
      <c r="AI212" s="958">
        <f>-AI211/AI196</f>
        <v>0.30407023144453277</v>
      </c>
      <c r="AJ212" s="957">
        <f t="shared" ref="AJ212:AL212" si="362">-AJ211/AJ196</f>
        <v>0.30875804057397338</v>
      </c>
      <c r="AK212" s="957">
        <f t="shared" si="362"/>
        <v>0.29752187442200917</v>
      </c>
      <c r="AL212" s="959">
        <f t="shared" si="362"/>
        <v>0.31464140732285417</v>
      </c>
      <c r="AM212" s="957">
        <f>-AM211/AM196</f>
        <v>0.30352464872588714</v>
      </c>
      <c r="AN212" s="825">
        <v>0.29099999999999998</v>
      </c>
      <c r="AO212" s="825">
        <v>0.29100000000000004</v>
      </c>
      <c r="AP212" s="957">
        <f t="shared" ref="AP212" si="363">-AP211/AP196</f>
        <v>0.27913148417760136</v>
      </c>
      <c r="AQ212" s="1383"/>
      <c r="AR212" s="692"/>
      <c r="AS212" s="692"/>
      <c r="AT212" s="692"/>
      <c r="AU212" s="692"/>
      <c r="AV212" s="692"/>
      <c r="AW212" s="692"/>
      <c r="AX212" s="692"/>
      <c r="AY212" s="692"/>
      <c r="AZ212" s="692"/>
      <c r="BA212" s="692"/>
      <c r="BB212"/>
      <c r="BC212"/>
      <c r="BD212"/>
      <c r="BE212"/>
      <c r="BF212"/>
      <c r="BG212"/>
      <c r="BH212" s="693"/>
      <c r="BI212" s="693"/>
      <c r="BJ212" s="754"/>
      <c r="BK212" s="754"/>
      <c r="BL212" s="754"/>
      <c r="BM212" s="754"/>
      <c r="BN212" s="754"/>
      <c r="BO212" s="693"/>
      <c r="BP212" s="693"/>
      <c r="BQ212" s="693"/>
      <c r="BR212" s="693"/>
      <c r="BS212" s="693"/>
      <c r="BT212" s="693"/>
      <c r="BU212" s="693"/>
      <c r="BV212" s="693"/>
      <c r="BW212" s="693"/>
      <c r="BX212" s="693"/>
      <c r="BY212" s="693"/>
      <c r="BZ212" s="693"/>
      <c r="CA212" s="693"/>
      <c r="CB212" s="693"/>
      <c r="CC212" s="693"/>
      <c r="CD212" s="693"/>
      <c r="CE212" s="693"/>
      <c r="CF212" s="693"/>
      <c r="CG212" s="693"/>
      <c r="CH212" s="693"/>
      <c r="CI212" s="693"/>
      <c r="CJ212" s="693"/>
      <c r="CK212" s="693"/>
      <c r="CL212" s="693"/>
      <c r="CM212" s="693"/>
      <c r="CN212" s="693"/>
      <c r="CO212" s="693"/>
      <c r="CP212" s="693"/>
      <c r="CQ212" s="693"/>
      <c r="CR212" s="693"/>
      <c r="CS212" s="693"/>
      <c r="CT212" s="693"/>
      <c r="CU212" s="693"/>
      <c r="CV212" s="693"/>
      <c r="CW212" s="693"/>
      <c r="CX212" s="693"/>
    </row>
    <row r="213" spans="1:102" s="838" customFormat="1">
      <c r="A213" s="896" t="s">
        <v>586</v>
      </c>
      <c r="B213" s="956"/>
      <c r="C213" s="956"/>
      <c r="D213" s="956"/>
      <c r="E213" s="956"/>
      <c r="F213" s="960"/>
      <c r="G213" s="962"/>
      <c r="H213" s="962"/>
      <c r="I213" s="962"/>
      <c r="J213" s="962"/>
      <c r="K213" s="962"/>
      <c r="L213" s="962"/>
      <c r="M213" s="962"/>
      <c r="N213" s="962"/>
      <c r="O213" s="962"/>
      <c r="P213" s="962"/>
      <c r="Q213" s="962"/>
      <c r="R213" s="750"/>
      <c r="S213" s="957"/>
      <c r="T213" s="957"/>
      <c r="U213" s="957"/>
      <c r="V213" s="957"/>
      <c r="W213" s="961"/>
      <c r="X213" s="962"/>
      <c r="Y213" s="962"/>
      <c r="Z213" s="962"/>
      <c r="AA213" s="961"/>
      <c r="AB213" s="962"/>
      <c r="AC213" s="962"/>
      <c r="AD213" s="962"/>
      <c r="AE213" s="961"/>
      <c r="AF213" s="962"/>
      <c r="AG213" s="962"/>
      <c r="AH213" s="963"/>
      <c r="AI213" s="961"/>
      <c r="AJ213" s="962"/>
      <c r="AK213" s="962"/>
      <c r="AL213" s="963"/>
      <c r="AM213" s="732">
        <f t="shared" ref="AM213" si="364">AM211/AI211-1</f>
        <v>0.11504811898512823</v>
      </c>
      <c r="AN213" s="732">
        <f t="shared" ref="AN213" si="365">AN211/AJ211-1</f>
        <v>1.6164162144189476E-2</v>
      </c>
      <c r="AO213" s="732">
        <f t="shared" ref="AO213" si="366">AO211/AK211-1</f>
        <v>4.012811760190349E-2</v>
      </c>
      <c r="AP213" s="732">
        <f t="shared" ref="AP213" si="367">AP211/AL211-1</f>
        <v>-8.1418947984068013E-2</v>
      </c>
      <c r="AQ213" s="1383"/>
      <c r="AR213" s="692"/>
      <c r="AS213" s="692"/>
      <c r="AT213" s="692"/>
      <c r="AU213" s="692"/>
      <c r="AV213" s="692"/>
      <c r="AW213" s="692"/>
      <c r="AX213" s="692"/>
      <c r="AY213" s="692"/>
      <c r="AZ213" s="692"/>
      <c r="BA213" s="692"/>
      <c r="BB213"/>
      <c r="BC213"/>
      <c r="BD213"/>
      <c r="BE213"/>
      <c r="BF213"/>
      <c r="BG213"/>
      <c r="BH213" s="693"/>
      <c r="BI213" s="693"/>
      <c r="BJ213" s="754"/>
      <c r="BK213" s="754"/>
      <c r="BL213" s="754"/>
      <c r="BM213" s="754"/>
      <c r="BN213" s="754"/>
      <c r="BO213" s="693"/>
      <c r="BP213" s="693"/>
      <c r="BQ213" s="693"/>
      <c r="BR213" s="693"/>
      <c r="BS213" s="693"/>
      <c r="BT213" s="693"/>
      <c r="BU213" s="693"/>
      <c r="BV213" s="693"/>
      <c r="BW213" s="693"/>
      <c r="BX213" s="693"/>
      <c r="BY213" s="693"/>
      <c r="BZ213" s="693"/>
      <c r="CA213" s="693"/>
      <c r="CB213" s="693"/>
      <c r="CC213" s="693"/>
      <c r="CD213" s="693"/>
      <c r="CE213" s="693"/>
      <c r="CF213" s="693"/>
      <c r="CG213" s="693"/>
      <c r="CH213" s="693"/>
      <c r="CI213" s="693"/>
      <c r="CJ213" s="693"/>
      <c r="CK213" s="693"/>
      <c r="CL213" s="693"/>
      <c r="CM213" s="693"/>
      <c r="CN213" s="693"/>
      <c r="CO213" s="693"/>
      <c r="CP213" s="693"/>
      <c r="CQ213" s="693"/>
      <c r="CR213" s="693"/>
      <c r="CS213" s="693"/>
      <c r="CT213" s="693"/>
      <c r="CU213" s="693"/>
      <c r="CV213" s="693"/>
      <c r="CW213" s="693"/>
      <c r="CX213" s="693"/>
    </row>
    <row r="214" spans="1:102" s="838" customFormat="1">
      <c r="A214" s="713" t="s">
        <v>1845</v>
      </c>
      <c r="B214" s="956"/>
      <c r="C214" s="956"/>
      <c r="D214" s="956"/>
      <c r="E214" s="956"/>
      <c r="F214" s="960"/>
      <c r="G214" s="1369">
        <f t="shared" ref="G214:I214" si="368">G219+G229</f>
        <v>-43</v>
      </c>
      <c r="H214" s="1369">
        <f t="shared" si="368"/>
        <v>-7</v>
      </c>
      <c r="I214" s="1369">
        <f t="shared" si="368"/>
        <v>3</v>
      </c>
      <c r="J214" s="1369">
        <v>0</v>
      </c>
      <c r="K214" s="1369">
        <v>0</v>
      </c>
      <c r="L214" s="1369">
        <v>0</v>
      </c>
      <c r="M214" s="1369">
        <v>0</v>
      </c>
      <c r="N214" s="1369">
        <v>0</v>
      </c>
      <c r="O214" s="1369">
        <v>0</v>
      </c>
      <c r="P214" s="1369">
        <v>0</v>
      </c>
      <c r="Q214" s="1369">
        <v>0</v>
      </c>
      <c r="R214" s="750"/>
      <c r="S214" s="957"/>
      <c r="T214" s="957"/>
      <c r="U214" s="957"/>
      <c r="V214" s="957"/>
      <c r="W214" s="961"/>
      <c r="X214" s="962"/>
      <c r="Y214" s="962"/>
      <c r="Z214" s="962"/>
      <c r="AA214" s="961"/>
      <c r="AB214" s="962"/>
      <c r="AC214" s="962"/>
      <c r="AD214" s="962"/>
      <c r="AE214" s="961"/>
      <c r="AF214" s="962"/>
      <c r="AG214" s="962"/>
      <c r="AH214" s="963"/>
      <c r="AI214" s="1368">
        <f>AI219+AI229</f>
        <v>3.1263880373444408E-13</v>
      </c>
      <c r="AJ214" s="1369">
        <f t="shared" ref="AJ214:AL214" si="369">AJ219+AJ229</f>
        <v>0</v>
      </c>
      <c r="AK214" s="1369">
        <f t="shared" si="369"/>
        <v>0</v>
      </c>
      <c r="AL214" s="1370">
        <f t="shared" si="369"/>
        <v>2.9999999999996874</v>
      </c>
      <c r="AM214" s="716">
        <f>AM215-AM211</f>
        <v>-6</v>
      </c>
      <c r="AN214" s="1369">
        <v>0</v>
      </c>
      <c r="AO214" s="1369">
        <v>0</v>
      </c>
      <c r="AP214" s="716">
        <f>J214-AM214-AN214-AO214</f>
        <v>6</v>
      </c>
      <c r="AQ214" s="1383"/>
      <c r="AR214" s="692"/>
      <c r="AS214" s="692"/>
      <c r="AT214" s="692"/>
      <c r="AU214" s="692"/>
      <c r="AV214" s="692"/>
      <c r="AW214" s="692"/>
      <c r="AX214" s="692"/>
      <c r="AY214" s="692"/>
      <c r="AZ214" s="692"/>
      <c r="BA214" s="692"/>
      <c r="BB214"/>
      <c r="BC214"/>
      <c r="BD214"/>
      <c r="BE214"/>
      <c r="BF214"/>
      <c r="BG214"/>
      <c r="BH214" s="693"/>
      <c r="BI214" s="693"/>
      <c r="BJ214" s="754"/>
      <c r="BK214" s="754"/>
      <c r="BL214" s="754"/>
      <c r="BM214" s="754"/>
      <c r="BN214" s="754"/>
      <c r="BO214" s="693"/>
      <c r="BP214" s="693"/>
      <c r="BQ214" s="693"/>
      <c r="BR214" s="693"/>
      <c r="BS214" s="693"/>
      <c r="BT214" s="693"/>
      <c r="BU214" s="693"/>
      <c r="BV214" s="693"/>
      <c r="BW214" s="693"/>
      <c r="BX214" s="693"/>
      <c r="BY214" s="693"/>
      <c r="BZ214" s="693"/>
      <c r="CA214" s="693"/>
      <c r="CB214" s="693"/>
      <c r="CC214" s="693"/>
      <c r="CD214" s="693"/>
      <c r="CE214" s="693"/>
      <c r="CF214" s="693"/>
      <c r="CG214" s="693"/>
      <c r="CH214" s="693"/>
      <c r="CI214" s="693"/>
      <c r="CJ214" s="693"/>
      <c r="CK214" s="693"/>
      <c r="CL214" s="693"/>
      <c r="CM214" s="693"/>
      <c r="CN214" s="693"/>
      <c r="CO214" s="693"/>
      <c r="CP214" s="693"/>
      <c r="CQ214" s="693"/>
      <c r="CR214" s="693"/>
      <c r="CS214" s="693"/>
      <c r="CT214" s="693"/>
      <c r="CU214" s="693"/>
      <c r="CV214" s="693"/>
      <c r="CW214" s="693"/>
      <c r="CX214" s="693"/>
    </row>
    <row r="215" spans="1:102" s="838" customFormat="1">
      <c r="A215" s="713" t="s">
        <v>1846</v>
      </c>
      <c r="B215" s="956"/>
      <c r="C215" s="956"/>
      <c r="D215" s="956"/>
      <c r="E215" s="956"/>
      <c r="F215" s="960"/>
      <c r="G215" s="1369">
        <f t="shared" ref="G215:I215" si="370">G220+G230</f>
        <v>-9461</v>
      </c>
      <c r="H215" s="1369">
        <f t="shared" si="370"/>
        <v>-9413</v>
      </c>
      <c r="I215" s="1369">
        <f t="shared" si="370"/>
        <v>-9887</v>
      </c>
      <c r="J215" s="714">
        <f t="shared" ref="J215:Q215" si="371">J211+J214</f>
        <v>-10070.993925799401</v>
      </c>
      <c r="K215" s="714">
        <f t="shared" si="371"/>
        <v>-10052.216271668425</v>
      </c>
      <c r="L215" s="714">
        <f t="shared" si="371"/>
        <v>-9678.1421003457417</v>
      </c>
      <c r="M215" s="714">
        <f t="shared" si="371"/>
        <v>-9980.5217677649835</v>
      </c>
      <c r="N215" s="714">
        <f t="shared" si="371"/>
        <v>-9898.7463952091002</v>
      </c>
      <c r="O215" s="714">
        <f t="shared" si="371"/>
        <v>-9530.1865946558755</v>
      </c>
      <c r="P215" s="714">
        <f t="shared" si="371"/>
        <v>-9485.9651160899721</v>
      </c>
      <c r="Q215" s="714">
        <f t="shared" si="371"/>
        <v>-9400.5099787089057</v>
      </c>
      <c r="R215" s="750"/>
      <c r="S215" s="957"/>
      <c r="T215" s="957"/>
      <c r="U215" s="957"/>
      <c r="V215" s="957"/>
      <c r="W215" s="961"/>
      <c r="X215" s="962"/>
      <c r="Y215" s="962"/>
      <c r="Z215" s="962"/>
      <c r="AA215" s="961"/>
      <c r="AB215" s="962"/>
      <c r="AC215" s="962"/>
      <c r="AD215" s="962"/>
      <c r="AE215" s="961"/>
      <c r="AF215" s="962"/>
      <c r="AG215" s="962"/>
      <c r="AH215" s="963"/>
      <c r="AI215" s="1368">
        <f>AI220+AI230</f>
        <v>-2286</v>
      </c>
      <c r="AJ215" s="1369">
        <f t="shared" ref="AJ215:AL215" si="372">AJ220+AJ230</f>
        <v>-2496</v>
      </c>
      <c r="AK215" s="1369">
        <f t="shared" si="372"/>
        <v>-2415</v>
      </c>
      <c r="AL215" s="1370">
        <f t="shared" si="372"/>
        <v>-2690.0000000000018</v>
      </c>
      <c r="AM215" s="716">
        <v>-2555</v>
      </c>
      <c r="AN215" s="1369">
        <f t="shared" ref="AN215:AP215" si="373">AN211+AN214</f>
        <v>-2536.3457487118981</v>
      </c>
      <c r="AO215" s="1369">
        <f t="shared" si="373"/>
        <v>-2511.909404008597</v>
      </c>
      <c r="AP215" s="716">
        <f t="shared" si="373"/>
        <v>-2467.7387730789064</v>
      </c>
      <c r="AQ215" s="1383"/>
      <c r="AR215" s="692"/>
      <c r="AS215" s="692"/>
      <c r="AT215" s="692"/>
      <c r="AU215" s="692"/>
      <c r="AV215" s="692"/>
      <c r="AW215" s="692"/>
      <c r="AX215" s="692"/>
      <c r="AY215" s="692"/>
      <c r="AZ215" s="692"/>
      <c r="BA215" s="692"/>
      <c r="BB215"/>
      <c r="BC215"/>
      <c r="BD215"/>
      <c r="BE215"/>
      <c r="BF215"/>
      <c r="BG215"/>
      <c r="BH215" s="693"/>
      <c r="BI215" s="693"/>
      <c r="BJ215" s="754"/>
      <c r="BK215" s="754"/>
      <c r="BL215" s="754"/>
      <c r="BM215" s="754"/>
      <c r="BN215" s="754"/>
      <c r="BO215" s="693"/>
      <c r="BP215" s="693"/>
      <c r="BQ215" s="693"/>
      <c r="BR215" s="693"/>
      <c r="BS215" s="693"/>
      <c r="BT215" s="693"/>
      <c r="BU215" s="693"/>
      <c r="BV215" s="693"/>
      <c r="BW215" s="693"/>
      <c r="BX215" s="693"/>
      <c r="BY215" s="693"/>
      <c r="BZ215" s="693"/>
      <c r="CA215" s="693"/>
      <c r="CB215" s="693"/>
      <c r="CC215" s="693"/>
      <c r="CD215" s="693"/>
      <c r="CE215" s="693"/>
      <c r="CF215" s="693"/>
      <c r="CG215" s="693"/>
      <c r="CH215" s="693"/>
      <c r="CI215" s="693"/>
      <c r="CJ215" s="693"/>
      <c r="CK215" s="693"/>
      <c r="CL215" s="693"/>
      <c r="CM215" s="693"/>
      <c r="CN215" s="693"/>
      <c r="CO215" s="693"/>
      <c r="CP215" s="693"/>
      <c r="CQ215" s="693"/>
      <c r="CR215" s="693"/>
      <c r="CS215" s="693"/>
      <c r="CT215" s="693"/>
      <c r="CU215" s="693"/>
      <c r="CV215" s="693"/>
      <c r="CW215" s="693"/>
      <c r="CX215" s="693"/>
    </row>
    <row r="216" spans="1:102" s="693" customFormat="1">
      <c r="A216" s="713" t="s">
        <v>223</v>
      </c>
      <c r="B216" s="714">
        <v>-8663</v>
      </c>
      <c r="C216" s="714">
        <v>-8929</v>
      </c>
      <c r="D216" s="714">
        <v>-8568</v>
      </c>
      <c r="E216" s="714">
        <v>-8487</v>
      </c>
      <c r="F216" s="714">
        <v>-8176</v>
      </c>
      <c r="G216" s="714">
        <f>-8430+43</f>
        <v>-8387</v>
      </c>
      <c r="H216" s="714">
        <v>-8428</v>
      </c>
      <c r="I216" s="714">
        <f>-8919-3</f>
        <v>-8922</v>
      </c>
      <c r="J216" s="1375">
        <f t="shared" ref="J216:Q216" si="374">-J196*J217</f>
        <v>-9067.3553558743733</v>
      </c>
      <c r="K216" s="1375">
        <f t="shared" si="374"/>
        <v>-9074.9174674784372</v>
      </c>
      <c r="L216" s="1375">
        <f t="shared" si="374"/>
        <v>-8749.6118619361896</v>
      </c>
      <c r="M216" s="1375">
        <f t="shared" si="374"/>
        <v>-9056.3993818608196</v>
      </c>
      <c r="N216" s="1375">
        <f t="shared" si="374"/>
        <v>-8964.9023956610727</v>
      </c>
      <c r="O216" s="1375">
        <f t="shared" si="374"/>
        <v>-8631.1123876128695</v>
      </c>
      <c r="P216" s="1375">
        <f t="shared" si="374"/>
        <v>-8591.0627466475198</v>
      </c>
      <c r="Q216" s="1375">
        <f t="shared" si="374"/>
        <v>-8513.6694146797636</v>
      </c>
      <c r="R216" s="715"/>
      <c r="S216" s="716">
        <v>-1996</v>
      </c>
      <c r="T216" s="716">
        <v>-2134</v>
      </c>
      <c r="U216" s="716">
        <v>-2027</v>
      </c>
      <c r="V216" s="716">
        <v>-2330</v>
      </c>
      <c r="W216" s="717">
        <v>-1961</v>
      </c>
      <c r="X216" s="716">
        <v>-2117</v>
      </c>
      <c r="Y216" s="716">
        <v>-1943</v>
      </c>
      <c r="Z216" s="716">
        <v>-2155</v>
      </c>
      <c r="AA216" s="717">
        <v>-1894</v>
      </c>
      <c r="AB216" s="716">
        <f>-2163+5</f>
        <v>-2158</v>
      </c>
      <c r="AC216" s="716">
        <f>-2061+2</f>
        <v>-2059</v>
      </c>
      <c r="AD216" s="716">
        <f>G216-AA216-AB216-AC216</f>
        <v>-2276</v>
      </c>
      <c r="AE216" s="717">
        <v>-1918</v>
      </c>
      <c r="AF216" s="716">
        <v>-2168</v>
      </c>
      <c r="AG216" s="716">
        <v>-2047</v>
      </c>
      <c r="AH216" s="718">
        <f>+H216-SUM(AE216:AG216)</f>
        <v>-2295</v>
      </c>
      <c r="AI216" s="717">
        <v>-2055.4377682403401</v>
      </c>
      <c r="AJ216" s="716">
        <v>-2252.7748526522601</v>
      </c>
      <c r="AK216" s="716">
        <v>-2187.1512810085401</v>
      </c>
      <c r="AL216" s="718">
        <f>I216-AI216-AJ216-AK216</f>
        <v>-2426.6360980988597</v>
      </c>
      <c r="AM216" s="1371">
        <f t="shared" ref="AM216:AO216" si="375">-AM196*AM217</f>
        <v>-2225.4700000000003</v>
      </c>
      <c r="AN216" s="1371">
        <f t="shared" si="375"/>
        <v>-2283.5827703179293</v>
      </c>
      <c r="AO216" s="1371">
        <f t="shared" si="375"/>
        <v>-2261.5816627156437</v>
      </c>
      <c r="AP216" s="1371">
        <f>J216-AM216-AN216-AO216</f>
        <v>-2296.7209228408001</v>
      </c>
      <c r="AQ216" s="1383"/>
      <c r="AR216" s="692"/>
      <c r="AS216" s="692"/>
      <c r="AT216" s="692"/>
      <c r="AU216" s="692"/>
      <c r="AV216" s="692"/>
      <c r="AW216" s="692"/>
      <c r="AX216" s="692"/>
      <c r="AY216" s="692"/>
      <c r="AZ216" s="692"/>
      <c r="BA216" s="692"/>
      <c r="BB216"/>
      <c r="BC216"/>
      <c r="BD216"/>
      <c r="BE216"/>
      <c r="BF216"/>
      <c r="BG216"/>
      <c r="BJ216" s="714"/>
      <c r="BK216" s="714"/>
      <c r="BL216" s="714"/>
      <c r="BM216" s="714"/>
      <c r="BN216" s="714"/>
    </row>
    <row r="217" spans="1:102" s="693" customFormat="1">
      <c r="A217" s="713" t="s">
        <v>95</v>
      </c>
      <c r="B217" s="731">
        <v>0.28585098660331287</v>
      </c>
      <c r="C217" s="731">
        <v>0.27467085025224558</v>
      </c>
      <c r="D217" s="731">
        <v>0.26647591204553228</v>
      </c>
      <c r="E217" s="731">
        <v>0.26345688210094992</v>
      </c>
      <c r="F217" s="731">
        <v>0.25717970494794123</v>
      </c>
      <c r="G217" s="731">
        <f>-G216/G196</f>
        <v>0.251521967311441</v>
      </c>
      <c r="H217" s="731">
        <f>-H216/H196</f>
        <v>0.2588293102389288</v>
      </c>
      <c r="I217" s="731">
        <f>-I216/I196</f>
        <v>0.27641117789206271</v>
      </c>
      <c r="J217" s="1376">
        <v>0.26200000000000001</v>
      </c>
      <c r="K217" s="1376">
        <v>0.26</v>
      </c>
      <c r="L217" s="1376">
        <v>0.245</v>
      </c>
      <c r="M217" s="1376">
        <v>0.245</v>
      </c>
      <c r="N217" s="1376">
        <v>0.24</v>
      </c>
      <c r="O217" s="1376">
        <v>0.24</v>
      </c>
      <c r="P217" s="1376">
        <v>0.24</v>
      </c>
      <c r="Q217" s="1376">
        <v>0.24</v>
      </c>
      <c r="R217" s="721"/>
      <c r="S217" s="732">
        <v>0.25339596293004951</v>
      </c>
      <c r="T217" s="732">
        <v>0.2627755202561261</v>
      </c>
      <c r="U217" s="732">
        <v>0.25680983149626252</v>
      </c>
      <c r="V217" s="732">
        <v>0.27994713444671393</v>
      </c>
      <c r="W217" s="733">
        <f t="shared" ref="W217:AI217" si="376">-W216/W196</f>
        <v>0.25118483412322273</v>
      </c>
      <c r="X217" s="732">
        <f t="shared" si="376"/>
        <v>0.25820221978290037</v>
      </c>
      <c r="Y217" s="732">
        <f t="shared" si="376"/>
        <v>0.24517350157728707</v>
      </c>
      <c r="Z217" s="732">
        <f t="shared" si="376"/>
        <v>0.2741730279898219</v>
      </c>
      <c r="AA217" s="733">
        <f t="shared" si="376"/>
        <v>0.2379396984924623</v>
      </c>
      <c r="AB217" s="732">
        <f t="shared" si="376"/>
        <v>0.24997104135294798</v>
      </c>
      <c r="AC217" s="732">
        <f t="shared" si="376"/>
        <v>0.24945480978919313</v>
      </c>
      <c r="AD217" s="732">
        <f t="shared" si="376"/>
        <v>0.26782772417039302</v>
      </c>
      <c r="AE217" s="733">
        <f t="shared" si="376"/>
        <v>0.24815629447535256</v>
      </c>
      <c r="AF217" s="732">
        <f t="shared" si="376"/>
        <v>0.25849529033027302</v>
      </c>
      <c r="AG217" s="732">
        <f t="shared" si="376"/>
        <v>0.2504588278477915</v>
      </c>
      <c r="AH217" s="734">
        <f>-AH216/AH196</f>
        <v>0.2774084370844917</v>
      </c>
      <c r="AI217" s="733">
        <f t="shared" si="376"/>
        <v>0.27340220380956903</v>
      </c>
      <c r="AJ217" s="732">
        <f>-AJ216/AJ196</f>
        <v>0.27867081304456459</v>
      </c>
      <c r="AK217" s="732">
        <f>-AK216/AK196</f>
        <v>0.26945149017397901</v>
      </c>
      <c r="AL217" s="734">
        <f>-AL216/AL196</f>
        <v>0.28352031079326562</v>
      </c>
      <c r="AM217" s="1372">
        <v>0.26500000000000001</v>
      </c>
      <c r="AN217" s="1372">
        <v>0.26200000000000001</v>
      </c>
      <c r="AO217" s="1372">
        <v>0.26200000000000001</v>
      </c>
      <c r="AP217" s="1373">
        <f>-AP216/AP196</f>
        <v>0.25915716198941335</v>
      </c>
      <c r="AQ217" s="1383"/>
      <c r="AR217" s="692"/>
      <c r="AS217" s="692"/>
      <c r="AT217" s="692"/>
      <c r="AU217" s="692"/>
      <c r="AV217" s="692"/>
      <c r="AW217" s="692"/>
      <c r="AX217" s="692"/>
      <c r="AY217" s="692"/>
      <c r="AZ217" s="692"/>
      <c r="BA217" s="692"/>
      <c r="BB217"/>
      <c r="BC217"/>
      <c r="BD217"/>
      <c r="BE217"/>
      <c r="BF217"/>
      <c r="BG217"/>
      <c r="BJ217" s="725"/>
      <c r="BK217" s="725"/>
      <c r="BL217" s="725"/>
      <c r="BM217" s="725"/>
      <c r="BN217" s="725"/>
    </row>
    <row r="218" spans="1:102" s="693" customFormat="1" outlineLevel="1">
      <c r="A218" s="896" t="s">
        <v>586</v>
      </c>
      <c r="B218" s="755"/>
      <c r="C218" s="755">
        <v>3.0705298395474978E-2</v>
      </c>
      <c r="D218" s="755">
        <v>-4.0430059357150827E-2</v>
      </c>
      <c r="E218" s="755">
        <v>-9.4537815126050084E-3</v>
      </c>
      <c r="F218" s="755">
        <v>-3.6644279486273135E-2</v>
      </c>
      <c r="G218" s="755">
        <f t="shared" ref="G218:Q218" si="377">G216/F216-1</f>
        <v>2.5807240704500911E-2</v>
      </c>
      <c r="H218" s="755">
        <f t="shared" si="377"/>
        <v>4.8885179444377869E-3</v>
      </c>
      <c r="I218" s="755">
        <f t="shared" si="377"/>
        <v>5.8614143331751301E-2</v>
      </c>
      <c r="J218" s="1377">
        <f t="shared" si="377"/>
        <v>1.6291790615823087E-2</v>
      </c>
      <c r="K218" s="1377">
        <f t="shared" si="377"/>
        <v>8.3399307816534041E-4</v>
      </c>
      <c r="L218" s="1377">
        <f t="shared" si="377"/>
        <v>-3.5846673725467793E-2</v>
      </c>
      <c r="M218" s="1377">
        <f t="shared" si="377"/>
        <v>3.5062986194765999E-2</v>
      </c>
      <c r="N218" s="1377">
        <f t="shared" si="377"/>
        <v>-1.0103020233737436E-2</v>
      </c>
      <c r="O218" s="1377">
        <f t="shared" si="377"/>
        <v>-3.7232977372933185E-2</v>
      </c>
      <c r="P218" s="1377">
        <f t="shared" si="377"/>
        <v>-4.6401482412427031E-3</v>
      </c>
      <c r="Q218" s="1377">
        <f t="shared" si="377"/>
        <v>-9.0085865102029761E-3</v>
      </c>
      <c r="R218" s="721"/>
      <c r="S218" s="792"/>
      <c r="T218" s="792"/>
      <c r="U218" s="792"/>
      <c r="V218" s="792"/>
      <c r="W218" s="952"/>
      <c r="X218" s="792"/>
      <c r="Y218" s="792"/>
      <c r="Z218" s="792"/>
      <c r="AA218" s="952">
        <f t="shared" ref="AA218:AK218" si="378">AA216/W216-1</f>
        <v>-3.4166241713411538E-2</v>
      </c>
      <c r="AB218" s="792">
        <f t="shared" si="378"/>
        <v>1.9367028814359921E-2</v>
      </c>
      <c r="AC218" s="792">
        <f t="shared" si="378"/>
        <v>5.9701492537313383E-2</v>
      </c>
      <c r="AD218" s="792">
        <f t="shared" si="378"/>
        <v>5.6148491879350448E-2</v>
      </c>
      <c r="AE218" s="952">
        <f t="shared" si="378"/>
        <v>1.2671594508975703E-2</v>
      </c>
      <c r="AF218" s="792">
        <f t="shared" si="378"/>
        <v>4.633920296570837E-3</v>
      </c>
      <c r="AG218" s="792">
        <f t="shared" si="378"/>
        <v>-5.8280718795531428E-3</v>
      </c>
      <c r="AH218" s="791">
        <f t="shared" si="378"/>
        <v>8.3479789103690916E-3</v>
      </c>
      <c r="AI218" s="952">
        <f t="shared" si="378"/>
        <v>7.1656813472544378E-2</v>
      </c>
      <c r="AJ218" s="792">
        <f t="shared" si="378"/>
        <v>3.9102791813773186E-2</v>
      </c>
      <c r="AK218" s="792">
        <f t="shared" si="378"/>
        <v>6.8466673672955558E-2</v>
      </c>
      <c r="AL218" s="734">
        <f>AL216/AH216-1</f>
        <v>5.7357776949394257E-2</v>
      </c>
      <c r="AM218" s="1374">
        <f t="shared" ref="AM218" si="379">AM216/AI216-1</f>
        <v>8.2723123213418681E-2</v>
      </c>
      <c r="AN218" s="1374">
        <f t="shared" ref="AN218" si="380">AN216/AJ216-1</f>
        <v>1.3675542244888872E-2</v>
      </c>
      <c r="AO218" s="1374">
        <f t="shared" ref="AO218" si="381">AO216/AK216-1</f>
        <v>3.4030742342058051E-2</v>
      </c>
      <c r="AP218" s="1374">
        <f t="shared" ref="AP218" si="382">AP216/AL216-1</f>
        <v>-5.3537147724721179E-2</v>
      </c>
      <c r="AQ218" s="1383"/>
      <c r="AR218" s="692"/>
      <c r="AS218" s="692"/>
      <c r="AT218" s="692"/>
      <c r="AU218" s="692"/>
      <c r="AV218" s="692"/>
      <c r="AW218" s="692"/>
      <c r="AX218" s="692"/>
      <c r="AY218" s="692"/>
      <c r="AZ218" s="692"/>
      <c r="BA218" s="692"/>
      <c r="BB218"/>
      <c r="BC218"/>
      <c r="BD218"/>
      <c r="BE218"/>
      <c r="BF218"/>
      <c r="BG218"/>
      <c r="BJ218" s="755"/>
      <c r="BK218" s="755"/>
      <c r="BL218" s="755"/>
      <c r="BM218" s="755"/>
      <c r="BN218" s="755"/>
    </row>
    <row r="219" spans="1:102" s="693" customFormat="1" outlineLevel="1">
      <c r="A219" s="713" t="s">
        <v>224</v>
      </c>
      <c r="B219" s="714"/>
      <c r="C219" s="714">
        <v>0</v>
      </c>
      <c r="D219" s="714">
        <v>0</v>
      </c>
      <c r="E219" s="714">
        <v>-27</v>
      </c>
      <c r="F219" s="714">
        <v>-2</v>
      </c>
      <c r="G219" s="714">
        <f>G220-G216</f>
        <v>-43</v>
      </c>
      <c r="H219" s="716">
        <f>H220-H216</f>
        <v>-7</v>
      </c>
      <c r="I219" s="1361">
        <f>I220-I216</f>
        <v>2.6011910669967619</v>
      </c>
      <c r="J219" s="1375">
        <v>0</v>
      </c>
      <c r="K219" s="1375">
        <v>0</v>
      </c>
      <c r="L219" s="1375">
        <v>0</v>
      </c>
      <c r="M219" s="1375">
        <v>0</v>
      </c>
      <c r="N219" s="1375">
        <v>0</v>
      </c>
      <c r="O219" s="1375">
        <v>0</v>
      </c>
      <c r="P219" s="1375">
        <v>0</v>
      </c>
      <c r="Q219" s="1375"/>
      <c r="R219" s="715"/>
      <c r="S219" s="716">
        <v>0</v>
      </c>
      <c r="T219" s="716">
        <v>0</v>
      </c>
      <c r="U219" s="716">
        <v>0</v>
      </c>
      <c r="V219" s="716">
        <v>-27</v>
      </c>
      <c r="W219" s="717">
        <v>0</v>
      </c>
      <c r="X219" s="716">
        <v>0</v>
      </c>
      <c r="Y219" s="716">
        <v>0</v>
      </c>
      <c r="Z219" s="716">
        <v>-2</v>
      </c>
      <c r="AA219" s="717">
        <f>AA220-AA216</f>
        <v>0</v>
      </c>
      <c r="AB219" s="716">
        <f>AB220-AB216</f>
        <v>-5</v>
      </c>
      <c r="AC219" s="716">
        <f>AC220-AC216</f>
        <v>-2</v>
      </c>
      <c r="AD219" s="716">
        <f>+G219-SUM(AA219:AC219)</f>
        <v>-36</v>
      </c>
      <c r="AE219" s="717">
        <f>AE220-AE216</f>
        <v>0</v>
      </c>
      <c r="AF219" s="716">
        <f>AF220-AF216</f>
        <v>0</v>
      </c>
      <c r="AG219" s="716">
        <f>AG220-AG216</f>
        <v>0</v>
      </c>
      <c r="AH219" s="718">
        <f>H219-AE219-AF219-AG219</f>
        <v>-7</v>
      </c>
      <c r="AI219" s="717">
        <f>AI220-AI216</f>
        <v>0</v>
      </c>
      <c r="AJ219" s="716">
        <f>AJ220-AJ216</f>
        <v>0</v>
      </c>
      <c r="AK219" s="716">
        <f>AK220-AK216</f>
        <v>0</v>
      </c>
      <c r="AL219" s="718">
        <f>I219-AI219-AJ219-AK219</f>
        <v>2.6011910669967619</v>
      </c>
      <c r="AM219" s="1371">
        <v>0</v>
      </c>
      <c r="AN219" s="1371">
        <v>0</v>
      </c>
      <c r="AO219" s="1371">
        <v>0</v>
      </c>
      <c r="AP219" s="1371">
        <f>J219-AM219-AN219-AO219</f>
        <v>0</v>
      </c>
      <c r="AQ219" s="1392"/>
      <c r="AR219" s="692"/>
      <c r="AS219" s="692"/>
      <c r="AT219" s="692"/>
      <c r="AU219" s="692"/>
      <c r="AV219" s="692"/>
      <c r="AW219" s="692"/>
      <c r="AX219" s="692"/>
      <c r="AY219" s="692"/>
      <c r="AZ219" s="692"/>
      <c r="BA219" s="692"/>
      <c r="BB219"/>
      <c r="BC219"/>
      <c r="BD219"/>
      <c r="BE219"/>
      <c r="BF219"/>
      <c r="BG219"/>
      <c r="BJ219" s="714"/>
      <c r="BK219" s="714"/>
      <c r="BL219" s="714"/>
      <c r="BM219" s="714"/>
      <c r="BN219" s="714"/>
    </row>
    <row r="220" spans="1:102" s="693" customFormat="1" outlineLevel="1">
      <c r="A220" s="713" t="s">
        <v>225</v>
      </c>
      <c r="B220" s="714"/>
      <c r="C220" s="714">
        <v>-8929</v>
      </c>
      <c r="D220" s="714">
        <v>-8568</v>
      </c>
      <c r="E220" s="714">
        <v>-8514</v>
      </c>
      <c r="F220" s="714">
        <v>-8178</v>
      </c>
      <c r="G220" s="714">
        <v>-8430</v>
      </c>
      <c r="H220" s="714">
        <v>-8435</v>
      </c>
      <c r="I220" s="1360">
        <f>-(9089-(188/(9089+986))*9089)</f>
        <v>-8919.3988089330032</v>
      </c>
      <c r="J220" s="1375">
        <f t="shared" ref="J220:Q220" si="383">J216+J219</f>
        <v>-9067.3553558743733</v>
      </c>
      <c r="K220" s="1375">
        <f t="shared" si="383"/>
        <v>-9074.9174674784372</v>
      </c>
      <c r="L220" s="1375">
        <f t="shared" si="383"/>
        <v>-8749.6118619361896</v>
      </c>
      <c r="M220" s="1375">
        <f t="shared" si="383"/>
        <v>-9056.3993818608196</v>
      </c>
      <c r="N220" s="1375">
        <f t="shared" si="383"/>
        <v>-8964.9023956610727</v>
      </c>
      <c r="O220" s="1375">
        <f t="shared" si="383"/>
        <v>-8631.1123876128695</v>
      </c>
      <c r="P220" s="1375">
        <f t="shared" si="383"/>
        <v>-8591.0627466475198</v>
      </c>
      <c r="Q220" s="1375">
        <f t="shared" si="383"/>
        <v>-8513.6694146797636</v>
      </c>
      <c r="R220" s="715"/>
      <c r="S220" s="716">
        <v>-1996</v>
      </c>
      <c r="T220" s="716">
        <v>-2134</v>
      </c>
      <c r="U220" s="716">
        <v>-2027</v>
      </c>
      <c r="V220" s="716">
        <v>-2357</v>
      </c>
      <c r="W220" s="717">
        <v>-1961</v>
      </c>
      <c r="X220" s="716">
        <v>-2117</v>
      </c>
      <c r="Y220" s="716">
        <v>-1943</v>
      </c>
      <c r="Z220" s="716">
        <v>-2157</v>
      </c>
      <c r="AA220" s="717">
        <v>-1894</v>
      </c>
      <c r="AB220" s="716">
        <v>-2163</v>
      </c>
      <c r="AC220" s="716">
        <v>-2061</v>
      </c>
      <c r="AD220" s="716">
        <f>AD216+AD219</f>
        <v>-2312</v>
      </c>
      <c r="AE220" s="717">
        <v>-1918</v>
      </c>
      <c r="AF220" s="716">
        <v>-2168</v>
      </c>
      <c r="AG220" s="716">
        <v>-2047</v>
      </c>
      <c r="AH220" s="718">
        <f>AH216+AH219</f>
        <v>-2302</v>
      </c>
      <c r="AI220" s="717">
        <f>-(2095-(44/(2095+235))*2095)</f>
        <v>-2055.4377682403433</v>
      </c>
      <c r="AJ220" s="716">
        <f>-(2297-(49/(2297+248))*2297)</f>
        <v>-2252.7748526522591</v>
      </c>
      <c r="AK220" s="716">
        <f>-(2227-(44/(2227+232))*2227)</f>
        <v>-2187.1512810085401</v>
      </c>
      <c r="AL220" s="718">
        <f>AL216+AL219</f>
        <v>-2424.034907031863</v>
      </c>
      <c r="AM220" s="1371">
        <f t="shared" ref="AM220:AP220" si="384">AM216+AM219</f>
        <v>-2225.4700000000003</v>
      </c>
      <c r="AN220" s="1371">
        <f t="shared" si="384"/>
        <v>-2283.5827703179293</v>
      </c>
      <c r="AO220" s="1371">
        <f t="shared" si="384"/>
        <v>-2261.5816627156437</v>
      </c>
      <c r="AP220" s="1371">
        <f t="shared" si="384"/>
        <v>-2296.7209228408001</v>
      </c>
      <c r="AQ220" s="1383"/>
      <c r="AR220" s="692"/>
      <c r="AS220" s="692"/>
      <c r="AT220" s="692"/>
      <c r="AU220" s="692"/>
      <c r="AV220" s="692"/>
      <c r="AW220" s="692"/>
      <c r="AX220" s="692"/>
      <c r="AY220" s="692"/>
      <c r="AZ220" s="692"/>
      <c r="BA220" s="692"/>
      <c r="BB220"/>
      <c r="BC220"/>
      <c r="BD220"/>
      <c r="BE220"/>
      <c r="BF220"/>
      <c r="BG220"/>
      <c r="BJ220" s="714"/>
      <c r="BK220" s="714"/>
      <c r="BL220" s="714"/>
      <c r="BM220" s="714"/>
      <c r="BN220" s="714"/>
    </row>
    <row r="221" spans="1:102" s="693" customFormat="1">
      <c r="A221" s="713" t="s">
        <v>226</v>
      </c>
      <c r="B221" s="714">
        <v>-7276</v>
      </c>
      <c r="C221" s="714">
        <v>-6860</v>
      </c>
      <c r="D221" s="714">
        <v>-6697</v>
      </c>
      <c r="E221" s="714">
        <v>-7161</v>
      </c>
      <c r="F221" s="714">
        <v>-6997</v>
      </c>
      <c r="G221" s="714">
        <f>-7685+183</f>
        <v>-7502</v>
      </c>
      <c r="H221" s="714">
        <v>-7112</v>
      </c>
      <c r="I221" s="714">
        <f>-7615+581</f>
        <v>-7034</v>
      </c>
      <c r="J221" s="714">
        <f t="shared" ref="J221:Q221" si="385">-J196*J222</f>
        <v>-7440.7687080648484</v>
      </c>
      <c r="K221" s="714">
        <f t="shared" si="385"/>
        <v>-7504.2586750302462</v>
      </c>
      <c r="L221" s="714">
        <f t="shared" si="385"/>
        <v>-7678.230817617472</v>
      </c>
      <c r="M221" s="714">
        <f t="shared" si="385"/>
        <v>-7762.6280415949877</v>
      </c>
      <c r="N221" s="714">
        <f t="shared" si="385"/>
        <v>-7844.289596203439</v>
      </c>
      <c r="O221" s="714">
        <f t="shared" si="385"/>
        <v>-7732.0381805698626</v>
      </c>
      <c r="P221" s="714">
        <f t="shared" si="385"/>
        <v>-7588.7720928719764</v>
      </c>
      <c r="Q221" s="714">
        <f t="shared" si="385"/>
        <v>-7449.4607378447936</v>
      </c>
      <c r="R221" s="715"/>
      <c r="S221" s="716">
        <v>-1696</v>
      </c>
      <c r="T221" s="716">
        <v>-1770</v>
      </c>
      <c r="U221" s="716">
        <v>-1737</v>
      </c>
      <c r="V221" s="716">
        <v>-1958</v>
      </c>
      <c r="W221" s="717">
        <v>-1742</v>
      </c>
      <c r="X221" s="716">
        <v>-1693</v>
      </c>
      <c r="Y221" s="716">
        <v>-1694</v>
      </c>
      <c r="Z221" s="716">
        <v>-1868</v>
      </c>
      <c r="AA221" s="717">
        <f>-1761+20</f>
        <v>-1741</v>
      </c>
      <c r="AB221" s="716">
        <f>-1898+40</f>
        <v>-1858</v>
      </c>
      <c r="AC221" s="716">
        <f>-1885+34</f>
        <v>-1851</v>
      </c>
      <c r="AD221" s="716">
        <f>G221-AA221-AB221-AC221</f>
        <v>-2052</v>
      </c>
      <c r="AE221" s="717">
        <v>-1705</v>
      </c>
      <c r="AF221" s="716">
        <v>-1801</v>
      </c>
      <c r="AG221" s="716">
        <v>-1771</v>
      </c>
      <c r="AH221" s="718">
        <f>+H221-SUM(AE221:AG221)</f>
        <v>-1835</v>
      </c>
      <c r="AI221" s="717">
        <f>-1861+182</f>
        <v>-1679</v>
      </c>
      <c r="AJ221" s="716">
        <f>-1739+31</f>
        <v>-1708</v>
      </c>
      <c r="AK221" s="716">
        <f>-1857+128</f>
        <v>-1729</v>
      </c>
      <c r="AL221" s="718">
        <f>I221-AI221-AJ221-AK221</f>
        <v>-1918</v>
      </c>
      <c r="AM221" s="716">
        <v>-1790</v>
      </c>
      <c r="AN221" s="716">
        <f t="shared" ref="AN221:AO221" si="386">-AN196*AN222</f>
        <v>-1873.9324260242547</v>
      </c>
      <c r="AO221" s="716">
        <f t="shared" si="386"/>
        <v>-1855.8780819994786</v>
      </c>
      <c r="AP221" s="716">
        <f>J221-AM221-AN221-AO221</f>
        <v>-1920.9582000411151</v>
      </c>
      <c r="AQ221" s="1383"/>
      <c r="AR221" s="692"/>
      <c r="AS221" s="692"/>
      <c r="AT221" s="692"/>
      <c r="AU221" s="692"/>
      <c r="AV221" s="692"/>
      <c r="AW221" s="692"/>
      <c r="AX221" s="692"/>
      <c r="AY221" s="692"/>
      <c r="AZ221" s="692"/>
      <c r="BA221" s="692"/>
      <c r="BB221"/>
      <c r="BC221"/>
      <c r="BD221"/>
      <c r="BE221"/>
      <c r="BF221"/>
      <c r="BG221"/>
      <c r="BJ221" s="714"/>
      <c r="BK221" s="714"/>
      <c r="BL221" s="714"/>
      <c r="BM221" s="714"/>
      <c r="BN221" s="714"/>
    </row>
    <row r="222" spans="1:102" s="693" customFormat="1">
      <c r="A222" s="713" t="s">
        <v>95</v>
      </c>
      <c r="B222" s="731">
        <v>0.24008447172177128</v>
      </c>
      <c r="C222" s="731">
        <v>0.21102497846683893</v>
      </c>
      <c r="D222" s="731">
        <v>0.20828538550057538</v>
      </c>
      <c r="E222" s="731">
        <v>0.22229465449804434</v>
      </c>
      <c r="F222" s="731">
        <v>0.22009373722122613</v>
      </c>
      <c r="G222" s="731">
        <f>-G221/G196</f>
        <v>0.22498125656020393</v>
      </c>
      <c r="H222" s="731">
        <f>-H221/H196</f>
        <v>0.21841410232786684</v>
      </c>
      <c r="I222" s="731">
        <f>-I221/I196</f>
        <v>0.2179193258566206</v>
      </c>
      <c r="J222" s="824">
        <v>0.215</v>
      </c>
      <c r="K222" s="824">
        <v>0.215</v>
      </c>
      <c r="L222" s="824">
        <v>0.215</v>
      </c>
      <c r="M222" s="824">
        <v>0.21</v>
      </c>
      <c r="N222" s="824">
        <v>0.21</v>
      </c>
      <c r="O222" s="824">
        <v>0.215</v>
      </c>
      <c r="P222" s="824">
        <v>0.21199999999999999</v>
      </c>
      <c r="Q222" s="824">
        <v>0.21</v>
      </c>
      <c r="R222" s="721"/>
      <c r="S222" s="732">
        <v>0.21531039735940077</v>
      </c>
      <c r="T222" s="732">
        <v>0.21795345400812707</v>
      </c>
      <c r="U222" s="732">
        <v>0.22006841505131128</v>
      </c>
      <c r="V222" s="732">
        <v>0.23525171212303256</v>
      </c>
      <c r="W222" s="733">
        <f t="shared" ref="W222:AI222" si="387">-W221/W196</f>
        <v>0.2231330856923274</v>
      </c>
      <c r="X222" s="732">
        <f t="shared" si="387"/>
        <v>0.20648859617026466</v>
      </c>
      <c r="Y222" s="732">
        <f t="shared" si="387"/>
        <v>0.21375394321766561</v>
      </c>
      <c r="Z222" s="732">
        <f t="shared" si="387"/>
        <v>0.23765903307888039</v>
      </c>
      <c r="AA222" s="733">
        <f t="shared" si="387"/>
        <v>0.21871859296482413</v>
      </c>
      <c r="AB222" s="732">
        <f t="shared" si="387"/>
        <v>0.21522066489053632</v>
      </c>
      <c r="AC222" s="732">
        <f t="shared" si="387"/>
        <v>0.22425490671189727</v>
      </c>
      <c r="AD222" s="732">
        <f t="shared" si="387"/>
        <v>0.24146858084255118</v>
      </c>
      <c r="AE222" s="733">
        <f t="shared" si="387"/>
        <v>0.22059774873851729</v>
      </c>
      <c r="AF222" s="732">
        <f t="shared" si="387"/>
        <v>0.21473709312030523</v>
      </c>
      <c r="AG222" s="732">
        <f t="shared" si="387"/>
        <v>0.21668909825033647</v>
      </c>
      <c r="AH222" s="734">
        <f>-AH221/AH196</f>
        <v>0.22180587453160885</v>
      </c>
      <c r="AI222" s="733">
        <f t="shared" si="387"/>
        <v>0.22333067305134344</v>
      </c>
      <c r="AJ222" s="732">
        <f>-AJ221/AJ196</f>
        <v>0.21128154379020286</v>
      </c>
      <c r="AK222" s="732">
        <f>-AK221/AK196</f>
        <v>0.21300841444126453</v>
      </c>
      <c r="AL222" s="734">
        <f>-AL221/AL196</f>
        <v>0.22409291468445372</v>
      </c>
      <c r="AM222" s="733">
        <f t="shared" ref="AM222" si="388">-AM221/AM196</f>
        <v>0.21314598713979518</v>
      </c>
      <c r="AN222" s="825">
        <v>0.215</v>
      </c>
      <c r="AO222" s="825">
        <v>0.215</v>
      </c>
      <c r="AP222" s="734">
        <f>-AP221/AP196</f>
        <v>0.21675688607703553</v>
      </c>
      <c r="AQ222" s="1383"/>
      <c r="AR222" s="692"/>
      <c r="AS222" s="692"/>
      <c r="AT222" s="692"/>
      <c r="AU222" s="692"/>
      <c r="AV222" s="692"/>
      <c r="AW222" s="692"/>
      <c r="AX222" s="692"/>
      <c r="AY222" s="692"/>
      <c r="AZ222" s="692"/>
      <c r="BA222" s="692"/>
      <c r="BB222"/>
      <c r="BC222"/>
      <c r="BD222"/>
      <c r="BE222"/>
      <c r="BF222"/>
      <c r="BG222"/>
      <c r="BJ222" s="725"/>
      <c r="BK222" s="725"/>
      <c r="BL222" s="725"/>
      <c r="BM222" s="725"/>
      <c r="BN222" s="725"/>
    </row>
    <row r="223" spans="1:102" s="693" customFormat="1" outlineLevel="1">
      <c r="A223" s="896" t="s">
        <v>586</v>
      </c>
      <c r="B223" s="755"/>
      <c r="C223" s="755">
        <v>-5.7174271577789981E-2</v>
      </c>
      <c r="D223" s="755">
        <v>-2.3760932944606461E-2</v>
      </c>
      <c r="E223" s="755">
        <v>6.9284754367627377E-2</v>
      </c>
      <c r="F223" s="755">
        <v>-2.2901829353442205E-2</v>
      </c>
      <c r="G223" s="755">
        <f t="shared" ref="G223:Q223" si="389">G221/F221-1</f>
        <v>7.2173788766614289E-2</v>
      </c>
      <c r="H223" s="755">
        <f t="shared" si="389"/>
        <v>-5.1986137030125334E-2</v>
      </c>
      <c r="I223" s="755">
        <f t="shared" si="389"/>
        <v>-1.0967379077615247E-2</v>
      </c>
      <c r="J223" s="755">
        <f t="shared" si="389"/>
        <v>5.7828932053575199E-2</v>
      </c>
      <c r="K223" s="755">
        <f t="shared" si="389"/>
        <v>8.5327161018433628E-3</v>
      </c>
      <c r="L223" s="755">
        <f t="shared" si="389"/>
        <v>2.318312176072812E-2</v>
      </c>
      <c r="M223" s="755">
        <f t="shared" si="389"/>
        <v>1.0991753957678485E-2</v>
      </c>
      <c r="N223" s="755">
        <f t="shared" si="389"/>
        <v>1.0519833511393184E-2</v>
      </c>
      <c r="O223" s="755">
        <f t="shared" si="389"/>
        <v>-1.4309953024669753E-2</v>
      </c>
      <c r="P223" s="755">
        <f t="shared" si="389"/>
        <v>-1.8528890358806671E-2</v>
      </c>
      <c r="Q223" s="755">
        <f t="shared" si="389"/>
        <v>-1.8357562109163394E-2</v>
      </c>
      <c r="R223" s="688"/>
      <c r="S223" s="792"/>
      <c r="T223" s="792"/>
      <c r="U223" s="792"/>
      <c r="V223" s="792"/>
      <c r="W223" s="952"/>
      <c r="X223" s="792"/>
      <c r="Y223" s="792"/>
      <c r="Z223" s="792"/>
      <c r="AA223" s="952">
        <f t="shared" ref="AA223:AH223" si="390">AA221/W221-1</f>
        <v>-5.7405281285882737E-4</v>
      </c>
      <c r="AB223" s="792">
        <f t="shared" si="390"/>
        <v>9.7460129946839835E-2</v>
      </c>
      <c r="AC223" s="792">
        <f t="shared" si="390"/>
        <v>9.2680047225501827E-2</v>
      </c>
      <c r="AD223" s="792">
        <f t="shared" si="390"/>
        <v>9.8501070663811641E-2</v>
      </c>
      <c r="AE223" s="952">
        <f t="shared" si="390"/>
        <v>-2.0677771395749556E-2</v>
      </c>
      <c r="AF223" s="792">
        <f t="shared" si="390"/>
        <v>-3.0678148546824491E-2</v>
      </c>
      <c r="AG223" s="792">
        <f t="shared" si="390"/>
        <v>-4.3219881145326822E-2</v>
      </c>
      <c r="AH223" s="791">
        <f t="shared" si="390"/>
        <v>-0.10575048732943471</v>
      </c>
      <c r="AI223" s="952">
        <f>AI221/AE221-1</f>
        <v>-1.5249266862170097E-2</v>
      </c>
      <c r="AJ223" s="792">
        <f>AJ221/AF221-1</f>
        <v>-5.1637978900610726E-2</v>
      </c>
      <c r="AK223" s="792">
        <f>AK221/AG221-1</f>
        <v>-2.371541501976282E-2</v>
      </c>
      <c r="AL223" s="791">
        <f>AL221/AH221-1</f>
        <v>4.5231607629427684E-2</v>
      </c>
      <c r="AM223" s="792">
        <f t="shared" ref="AM223:AP223" si="391">AM221/AI221-1</f>
        <v>6.6110780226325216E-2</v>
      </c>
      <c r="AN223" s="792">
        <f t="shared" si="391"/>
        <v>9.7150132332701755E-2</v>
      </c>
      <c r="AO223" s="792">
        <f t="shared" si="391"/>
        <v>7.3382349334573993E-2</v>
      </c>
      <c r="AP223" s="792">
        <f t="shared" si="391"/>
        <v>1.5423357878598942E-3</v>
      </c>
      <c r="AQ223" s="1383"/>
      <c r="AR223" s="692"/>
      <c r="AS223" s="692"/>
      <c r="AT223" s="692"/>
      <c r="AU223" s="692"/>
      <c r="AV223" s="692"/>
      <c r="AW223" s="692"/>
      <c r="AX223" s="692"/>
      <c r="AY223" s="692"/>
      <c r="AZ223" s="692"/>
      <c r="BA223" s="692"/>
      <c r="BB223"/>
      <c r="BC223"/>
      <c r="BD223"/>
      <c r="BE223"/>
      <c r="BF223"/>
      <c r="BG223"/>
      <c r="BJ223" s="694"/>
      <c r="BK223" s="694"/>
      <c r="BL223" s="694"/>
      <c r="BM223" s="694"/>
      <c r="BN223" s="755"/>
    </row>
    <row r="224" spans="1:102" s="693" customFormat="1" outlineLevel="1">
      <c r="A224" s="713" t="s">
        <v>227</v>
      </c>
      <c r="B224" s="714"/>
      <c r="C224" s="714">
        <v>-372</v>
      </c>
      <c r="D224" s="714">
        <v>-221</v>
      </c>
      <c r="E224" s="714">
        <v>-81</v>
      </c>
      <c r="F224" s="714">
        <v>-334</v>
      </c>
      <c r="G224" s="716">
        <f>G225-G221</f>
        <v>-183</v>
      </c>
      <c r="H224" s="716">
        <f>H225-H221</f>
        <v>-597</v>
      </c>
      <c r="I224" s="716">
        <f>I225-I221</f>
        <v>-581</v>
      </c>
      <c r="J224" s="714">
        <v>0</v>
      </c>
      <c r="K224" s="714">
        <v>0</v>
      </c>
      <c r="L224" s="714">
        <v>0</v>
      </c>
      <c r="M224" s="714">
        <v>0</v>
      </c>
      <c r="N224" s="714">
        <v>0</v>
      </c>
      <c r="O224" s="714">
        <v>0</v>
      </c>
      <c r="P224" s="714">
        <v>0</v>
      </c>
      <c r="Q224" s="714">
        <v>0</v>
      </c>
      <c r="R224" s="715"/>
      <c r="S224" s="716">
        <v>-14</v>
      </c>
      <c r="T224" s="716">
        <v>-13</v>
      </c>
      <c r="U224" s="716">
        <v>-22</v>
      </c>
      <c r="V224" s="716">
        <v>-32</v>
      </c>
      <c r="W224" s="717">
        <v>-29</v>
      </c>
      <c r="X224" s="716">
        <v>-49</v>
      </c>
      <c r="Y224" s="716">
        <v>-51</v>
      </c>
      <c r="Z224" s="716">
        <v>-205</v>
      </c>
      <c r="AA224" s="717">
        <f>AA225-AA221</f>
        <v>-20</v>
      </c>
      <c r="AB224" s="716">
        <f>AB225-AB221</f>
        <v>-40</v>
      </c>
      <c r="AC224" s="716">
        <f>AC225-AC221</f>
        <v>-34</v>
      </c>
      <c r="AD224" s="716">
        <f>+G224-SUM(AA224:AC224)</f>
        <v>-89</v>
      </c>
      <c r="AE224" s="717">
        <f>AE225-AE221</f>
        <v>-27</v>
      </c>
      <c r="AF224" s="716">
        <f>AF225-AF221</f>
        <v>-43</v>
      </c>
      <c r="AG224" s="716">
        <f>AG225-AG221</f>
        <v>-118</v>
      </c>
      <c r="AH224" s="718">
        <f>+H224-SUM(AE224:AG224)</f>
        <v>-409</v>
      </c>
      <c r="AI224" s="717">
        <f>AI225-AI221</f>
        <v>-182</v>
      </c>
      <c r="AJ224" s="716">
        <f>AJ225-AJ221</f>
        <v>-31</v>
      </c>
      <c r="AK224" s="716">
        <f>AK225-AK221</f>
        <v>-128</v>
      </c>
      <c r="AL224" s="718">
        <f>I224-AI224-AJ224-AK224</f>
        <v>-240</v>
      </c>
      <c r="AM224" s="717">
        <f>AM225-AM221</f>
        <v>7</v>
      </c>
      <c r="AN224" s="716">
        <v>0</v>
      </c>
      <c r="AO224" s="716">
        <v>0</v>
      </c>
      <c r="AP224" s="716">
        <f>J224-AM224-AN224-AO224</f>
        <v>-7</v>
      </c>
      <c r="AQ224" s="1383"/>
      <c r="AR224" s="692"/>
      <c r="AS224" s="692"/>
      <c r="AT224" s="692"/>
      <c r="AU224" s="692"/>
      <c r="AV224" s="692"/>
      <c r="AW224" s="692"/>
      <c r="AX224" s="692"/>
      <c r="AY224" s="692"/>
      <c r="AZ224" s="692"/>
      <c r="BA224" s="692"/>
      <c r="BB224"/>
      <c r="BC224"/>
      <c r="BD224"/>
      <c r="BE224"/>
      <c r="BF224"/>
      <c r="BG224"/>
      <c r="BJ224" s="714"/>
      <c r="BK224" s="714"/>
      <c r="BL224" s="714"/>
      <c r="BM224" s="714"/>
      <c r="BN224" s="714"/>
    </row>
    <row r="225" spans="1:66" s="693" customFormat="1" outlineLevel="1">
      <c r="A225" s="713" t="s">
        <v>228</v>
      </c>
      <c r="B225" s="714"/>
      <c r="C225" s="714">
        <v>-7232</v>
      </c>
      <c r="D225" s="714">
        <v>-6918</v>
      </c>
      <c r="E225" s="714">
        <v>-7242</v>
      </c>
      <c r="F225" s="714">
        <v>-7331</v>
      </c>
      <c r="G225" s="714">
        <v>-7685</v>
      </c>
      <c r="H225" s="714">
        <v>-7709</v>
      </c>
      <c r="I225" s="714">
        <v>-7615</v>
      </c>
      <c r="J225" s="714">
        <f t="shared" ref="J225:Q225" si="392">J221+J224</f>
        <v>-7440.7687080648484</v>
      </c>
      <c r="K225" s="714">
        <f t="shared" si="392"/>
        <v>-7504.2586750302462</v>
      </c>
      <c r="L225" s="714">
        <f t="shared" si="392"/>
        <v>-7678.230817617472</v>
      </c>
      <c r="M225" s="714">
        <f t="shared" si="392"/>
        <v>-7762.6280415949877</v>
      </c>
      <c r="N225" s="714">
        <f t="shared" si="392"/>
        <v>-7844.289596203439</v>
      </c>
      <c r="O225" s="714">
        <f t="shared" si="392"/>
        <v>-7732.0381805698626</v>
      </c>
      <c r="P225" s="714">
        <f t="shared" si="392"/>
        <v>-7588.7720928719764</v>
      </c>
      <c r="Q225" s="714">
        <f t="shared" si="392"/>
        <v>-7449.4607378447936</v>
      </c>
      <c r="R225" s="715"/>
      <c r="S225" s="716">
        <v>-1710</v>
      </c>
      <c r="T225" s="716">
        <v>-1783</v>
      </c>
      <c r="U225" s="716">
        <v>-1759</v>
      </c>
      <c r="V225" s="716">
        <v>-1990</v>
      </c>
      <c r="W225" s="717">
        <v>-1771</v>
      </c>
      <c r="X225" s="716">
        <v>-1742</v>
      </c>
      <c r="Y225" s="716">
        <v>-1745</v>
      </c>
      <c r="Z225" s="716">
        <v>-2073</v>
      </c>
      <c r="AA225" s="717">
        <v>-1761</v>
      </c>
      <c r="AB225" s="716">
        <v>-1898</v>
      </c>
      <c r="AC225" s="716">
        <v>-1885</v>
      </c>
      <c r="AD225" s="716">
        <f>AD221+AD224</f>
        <v>-2141</v>
      </c>
      <c r="AE225" s="717">
        <v>-1732</v>
      </c>
      <c r="AF225" s="716">
        <v>-1844</v>
      </c>
      <c r="AG225" s="716">
        <v>-1889</v>
      </c>
      <c r="AH225" s="718">
        <f>AH221+AH224</f>
        <v>-2244</v>
      </c>
      <c r="AI225" s="717">
        <v>-1861</v>
      </c>
      <c r="AJ225" s="716">
        <v>-1739</v>
      </c>
      <c r="AK225" s="716">
        <v>-1857</v>
      </c>
      <c r="AL225" s="718">
        <f>AL221+AL224</f>
        <v>-2158</v>
      </c>
      <c r="AM225" s="716">
        <v>-1783</v>
      </c>
      <c r="AN225" s="716">
        <f t="shared" ref="AN225:AP225" si="393">AN221+AN224</f>
        <v>-1873.9324260242547</v>
      </c>
      <c r="AO225" s="716">
        <f t="shared" si="393"/>
        <v>-1855.8780819994786</v>
      </c>
      <c r="AP225" s="716">
        <f t="shared" si="393"/>
        <v>-1927.9582000411151</v>
      </c>
      <c r="AQ225" s="1392"/>
      <c r="AR225" s="692"/>
      <c r="AS225" s="692"/>
      <c r="AT225" s="692"/>
      <c r="AU225" s="692"/>
      <c r="AV225" s="692"/>
      <c r="AW225" s="692"/>
      <c r="AX225" s="692"/>
      <c r="AY225" s="692"/>
      <c r="AZ225" s="692"/>
      <c r="BA225" s="692"/>
      <c r="BB225"/>
      <c r="BC225"/>
      <c r="BD225"/>
      <c r="BE225"/>
      <c r="BF225"/>
      <c r="BG225"/>
      <c r="BJ225" s="714"/>
      <c r="BK225" s="714"/>
      <c r="BL225" s="714"/>
      <c r="BM225" s="714"/>
      <c r="BN225" s="714"/>
    </row>
    <row r="226" spans="1:66" s="693" customFormat="1">
      <c r="A226" s="713" t="s">
        <v>229</v>
      </c>
      <c r="B226" s="714">
        <v>-919</v>
      </c>
      <c r="C226" s="714">
        <v>-1047</v>
      </c>
      <c r="D226" s="714">
        <v>-1061</v>
      </c>
      <c r="E226" s="714">
        <v>-1051</v>
      </c>
      <c r="F226" s="714">
        <v>-1008</v>
      </c>
      <c r="G226" s="714">
        <v>-1031</v>
      </c>
      <c r="H226" s="714">
        <v>-978</v>
      </c>
      <c r="I226" s="714">
        <v>-968</v>
      </c>
      <c r="J226" s="1375">
        <f t="shared" ref="J226:Q226" si="394">-J196*J227</f>
        <v>-1003.6385699250262</v>
      </c>
      <c r="K226" s="1375">
        <f t="shared" si="394"/>
        <v>-977.29880418998562</v>
      </c>
      <c r="L226" s="1375">
        <f t="shared" si="394"/>
        <v>-928.53023840955473</v>
      </c>
      <c r="M226" s="1375">
        <f t="shared" si="394"/>
        <v>-924.1223859041653</v>
      </c>
      <c r="N226" s="1375">
        <f t="shared" si="394"/>
        <v>-933.84399954802848</v>
      </c>
      <c r="O226" s="1375">
        <f t="shared" si="394"/>
        <v>-899.07420704300739</v>
      </c>
      <c r="P226" s="1375">
        <f t="shared" si="394"/>
        <v>-894.90236944245009</v>
      </c>
      <c r="Q226" s="1375">
        <f t="shared" si="394"/>
        <v>-886.84056402914212</v>
      </c>
      <c r="R226" s="715"/>
      <c r="S226" s="716">
        <v>-265</v>
      </c>
      <c r="T226" s="716">
        <v>-251</v>
      </c>
      <c r="U226" s="716">
        <v>-263</v>
      </c>
      <c r="V226" s="716">
        <v>-272</v>
      </c>
      <c r="W226" s="717">
        <v>-253</v>
      </c>
      <c r="X226" s="716">
        <v>-240</v>
      </c>
      <c r="Y226" s="716">
        <v>-221</v>
      </c>
      <c r="Z226" s="716">
        <v>-294</v>
      </c>
      <c r="AA226" s="717">
        <v>-261</v>
      </c>
      <c r="AB226" s="716">
        <v>-277</v>
      </c>
      <c r="AC226" s="716">
        <v>-235</v>
      </c>
      <c r="AD226" s="716">
        <f>G226-AA226-AB226-AC226</f>
        <v>-258</v>
      </c>
      <c r="AE226" s="717">
        <v>-244</v>
      </c>
      <c r="AF226" s="716">
        <v>-254</v>
      </c>
      <c r="AG226" s="716">
        <v>-246</v>
      </c>
      <c r="AH226" s="718">
        <f>+H226-SUM(AE226:AG226)</f>
        <v>-234</v>
      </c>
      <c r="AI226" s="717">
        <v>-230.56223175965701</v>
      </c>
      <c r="AJ226" s="716">
        <v>-243.225147347741</v>
      </c>
      <c r="AK226" s="716">
        <v>-227.84871899146</v>
      </c>
      <c r="AL226" s="718">
        <f>I226-AI226-AJ226-AK226</f>
        <v>-266.36390190114196</v>
      </c>
      <c r="AM226" s="1371">
        <f t="shared" ref="AM226:AO226" si="395">-AM196*AM227</f>
        <v>-243.542</v>
      </c>
      <c r="AN226" s="1371">
        <f t="shared" si="395"/>
        <v>-252.76297839396926</v>
      </c>
      <c r="AO226" s="1371">
        <f t="shared" si="395"/>
        <v>-250.32774129295294</v>
      </c>
      <c r="AP226" s="1371">
        <f>J226-AM226-AN226-AO226</f>
        <v>-257.00585023810402</v>
      </c>
      <c r="AQ226" s="1383"/>
      <c r="AR226" s="692"/>
      <c r="AS226" s="692"/>
      <c r="AT226" s="692"/>
      <c r="AU226" s="692"/>
      <c r="AV226" s="692"/>
      <c r="AW226" s="692"/>
      <c r="AX226" s="692"/>
      <c r="AY226" s="692"/>
      <c r="AZ226" s="692"/>
      <c r="BA226" s="692"/>
      <c r="BB226"/>
      <c r="BC226"/>
      <c r="BD226"/>
      <c r="BE226"/>
      <c r="BF226"/>
      <c r="BG226"/>
      <c r="BJ226" s="714"/>
      <c r="BK226" s="714"/>
      <c r="BL226" s="714"/>
      <c r="BM226" s="714"/>
      <c r="BN226" s="714"/>
    </row>
    <row r="227" spans="1:66" s="693" customFormat="1">
      <c r="A227" s="713" t="s">
        <v>95</v>
      </c>
      <c r="B227" s="731">
        <v>3.0324028245231966E-2</v>
      </c>
      <c r="C227" s="731">
        <v>3.2207456626061275E-2</v>
      </c>
      <c r="D227" s="731">
        <v>3.2998476036450723E-2</v>
      </c>
      <c r="E227" s="731">
        <v>3.2625566523871607E-2</v>
      </c>
      <c r="F227" s="731">
        <v>3.1707086911390014E-2</v>
      </c>
      <c r="G227" s="731">
        <f>-G226/G196</f>
        <v>3.0919178287599339E-2</v>
      </c>
      <c r="H227" s="731">
        <f>-H226/H196</f>
        <v>3.0035010134512621E-2</v>
      </c>
      <c r="I227" s="731">
        <f>-I226/I196</f>
        <v>2.9989466509697006E-2</v>
      </c>
      <c r="J227" s="1376">
        <v>2.9000000000000001E-2</v>
      </c>
      <c r="K227" s="1376">
        <v>2.8000000000000001E-2</v>
      </c>
      <c r="L227" s="1376">
        <v>2.5999999999999999E-2</v>
      </c>
      <c r="M227" s="1376">
        <v>2.5000000000000001E-2</v>
      </c>
      <c r="N227" s="1376">
        <v>2.5000000000000001E-2</v>
      </c>
      <c r="O227" s="1376">
        <v>2.5000000000000001E-2</v>
      </c>
      <c r="P227" s="1376">
        <v>2.5000000000000001E-2</v>
      </c>
      <c r="Q227" s="1376">
        <v>2.5000000000000001E-2</v>
      </c>
      <c r="R227" s="721"/>
      <c r="S227" s="732">
        <v>3.3642249587406373E-2</v>
      </c>
      <c r="T227" s="732">
        <v>3.0907523703977344E-2</v>
      </c>
      <c r="U227" s="732">
        <v>3.33206638793868E-2</v>
      </c>
      <c r="V227" s="732">
        <v>3.268052384957347E-2</v>
      </c>
      <c r="W227" s="733">
        <v>3.2406814397335726E-2</v>
      </c>
      <c r="X227" s="732">
        <v>2.9271862422246615E-2</v>
      </c>
      <c r="Y227" s="732">
        <v>2.7886435331230284E-2</v>
      </c>
      <c r="Z227" s="732">
        <v>3.7404580152671757E-2</v>
      </c>
      <c r="AA227" s="733">
        <f t="shared" ref="AA227:AG227" si="396">-AA226/AA196</f>
        <v>3.2788944723618089E-2</v>
      </c>
      <c r="AB227" s="732">
        <f t="shared" si="396"/>
        <v>3.2086180933626779E-2</v>
      </c>
      <c r="AC227" s="732">
        <f t="shared" si="396"/>
        <v>2.8471044342137146E-2</v>
      </c>
      <c r="AD227" s="732">
        <f t="shared" si="396"/>
        <v>3.0360084725817839E-2</v>
      </c>
      <c r="AE227" s="733">
        <f t="shared" si="396"/>
        <v>3.1569413895717428E-2</v>
      </c>
      <c r="AF227" s="732">
        <f t="shared" si="396"/>
        <v>3.0284964826517231E-2</v>
      </c>
      <c r="AG227" s="732">
        <f t="shared" si="396"/>
        <v>3.0099106815122966E-2</v>
      </c>
      <c r="AH227" s="734">
        <f>-AH226/AH196</f>
        <v>2.8284781820379547E-2</v>
      </c>
      <c r="AI227" s="733">
        <f>-AI226/AI196</f>
        <v>3.066802763496369E-2</v>
      </c>
      <c r="AJ227" s="732">
        <f>-AJ226/AJ196</f>
        <v>3.0087227529408834E-2</v>
      </c>
      <c r="AK227" s="732">
        <f>-AK226/AK196</f>
        <v>2.8070384248030152E-2</v>
      </c>
      <c r="AL227" s="734">
        <f>-AL226/AL196</f>
        <v>3.112109652958853E-2</v>
      </c>
      <c r="AM227" s="1372">
        <v>2.9000000000000001E-2</v>
      </c>
      <c r="AN227" s="1372">
        <v>2.9000000000000001E-2</v>
      </c>
      <c r="AO227" s="1372">
        <v>2.9000000000000001E-2</v>
      </c>
      <c r="AP227" s="1373">
        <f>-AP226/AP196</f>
        <v>2.9000000000000015E-2</v>
      </c>
      <c r="AQ227" s="1383"/>
      <c r="AR227" s="692"/>
      <c r="AS227" s="692"/>
      <c r="AT227" s="692"/>
      <c r="AU227" s="692"/>
      <c r="AV227" s="692"/>
      <c r="AW227" s="692"/>
      <c r="AX227" s="692"/>
      <c r="AY227" s="692"/>
      <c r="AZ227" s="692"/>
      <c r="BA227" s="692"/>
      <c r="BB227"/>
      <c r="BC227"/>
      <c r="BD227"/>
      <c r="BE227"/>
      <c r="BF227"/>
      <c r="BG227"/>
      <c r="BJ227" s="725"/>
      <c r="BK227" s="725"/>
      <c r="BL227" s="725"/>
      <c r="BM227" s="725"/>
      <c r="BN227" s="725"/>
    </row>
    <row r="228" spans="1:66" s="693" customFormat="1" outlineLevel="1">
      <c r="A228" s="896" t="s">
        <v>586</v>
      </c>
      <c r="B228" s="755"/>
      <c r="C228" s="755">
        <v>0.13928182807399336</v>
      </c>
      <c r="D228" s="755">
        <v>1.3371537726838634E-2</v>
      </c>
      <c r="E228" s="755">
        <v>-9.4250706880301127E-3</v>
      </c>
      <c r="F228" s="755">
        <v>-4.0913415794481489E-2</v>
      </c>
      <c r="G228" s="755">
        <f>+G226/F226-1</f>
        <v>2.2817460317460236E-2</v>
      </c>
      <c r="H228" s="755">
        <f>+H226/G226-1</f>
        <v>-5.1406401551891356E-2</v>
      </c>
      <c r="I228" s="755">
        <f>+I226/H226-1</f>
        <v>-1.0224948875255602E-2</v>
      </c>
      <c r="J228" s="1377">
        <v>2.3221575054167332E-2</v>
      </c>
      <c r="K228" s="1377">
        <v>2.5000000000000001E-2</v>
      </c>
      <c r="L228" s="1377">
        <v>2.5000000000000001E-2</v>
      </c>
      <c r="M228" s="1377">
        <v>0</v>
      </c>
      <c r="N228" s="1377">
        <v>-0.02</v>
      </c>
      <c r="O228" s="1377">
        <v>-0.02</v>
      </c>
      <c r="P228" s="1377">
        <v>-4.3943217396924528E-2</v>
      </c>
      <c r="Q228" s="1377">
        <v>-4.3943217396924528E-2</v>
      </c>
      <c r="R228" s="721"/>
      <c r="S228" s="792"/>
      <c r="T228" s="792"/>
      <c r="U228" s="792"/>
      <c r="V228" s="792"/>
      <c r="W228" s="952"/>
      <c r="X228" s="792"/>
      <c r="Y228" s="792"/>
      <c r="Z228" s="792"/>
      <c r="AA228" s="952">
        <f t="shared" ref="AA228:AI228" si="397">AA226/W226-1</f>
        <v>3.1620553359683834E-2</v>
      </c>
      <c r="AB228" s="792">
        <f t="shared" si="397"/>
        <v>0.15416666666666656</v>
      </c>
      <c r="AC228" s="792">
        <f t="shared" si="397"/>
        <v>6.3348416289592757E-2</v>
      </c>
      <c r="AD228" s="732">
        <f t="shared" si="397"/>
        <v>-0.12244897959183676</v>
      </c>
      <c r="AE228" s="952">
        <f t="shared" si="397"/>
        <v>-6.5134099616858232E-2</v>
      </c>
      <c r="AF228" s="792">
        <f t="shared" si="397"/>
        <v>-8.3032490974729201E-2</v>
      </c>
      <c r="AG228" s="792">
        <f t="shared" si="397"/>
        <v>4.6808510638297829E-2</v>
      </c>
      <c r="AH228" s="791">
        <f t="shared" si="397"/>
        <v>-9.3023255813953543E-2</v>
      </c>
      <c r="AI228" s="952">
        <f t="shared" si="397"/>
        <v>-5.5072820657143362E-2</v>
      </c>
      <c r="AJ228" s="792">
        <f>AJ226/AF226-1</f>
        <v>-4.2420679733303102E-2</v>
      </c>
      <c r="AK228" s="792">
        <f>AK226/AG226-1</f>
        <v>-7.3785695156666664E-2</v>
      </c>
      <c r="AL228" s="791">
        <f>AL226/AH226-1</f>
        <v>0.13830727308180313</v>
      </c>
      <c r="AM228" s="1374">
        <f t="shared" ref="AM228:AP228" si="398">AM226/AI226-1</f>
        <v>5.6296159788535416E-2</v>
      </c>
      <c r="AN228" s="1374">
        <f t="shared" si="398"/>
        <v>3.9214000485698008E-2</v>
      </c>
      <c r="AO228" s="1374">
        <f t="shared" si="398"/>
        <v>9.865766373843643E-2</v>
      </c>
      <c r="AP228" s="1374">
        <f t="shared" si="398"/>
        <v>-3.5132582141370938E-2</v>
      </c>
      <c r="AQ228" s="1383"/>
      <c r="AR228" s="692"/>
      <c r="AS228" s="692"/>
      <c r="AT228" s="692"/>
      <c r="AU228" s="692"/>
      <c r="AV228" s="692"/>
      <c r="AW228" s="692"/>
      <c r="AX228" s="692"/>
      <c r="AY228" s="692"/>
      <c r="AZ228" s="692"/>
      <c r="BA228" s="692"/>
      <c r="BB228"/>
      <c r="BC228"/>
      <c r="BD228"/>
      <c r="BE228"/>
      <c r="BF228"/>
      <c r="BG228"/>
      <c r="BJ228" s="694"/>
      <c r="BK228" s="694"/>
      <c r="BL228" s="694"/>
      <c r="BM228" s="694"/>
      <c r="BN228" s="755"/>
    </row>
    <row r="229" spans="1:66" s="693" customFormat="1" outlineLevel="1">
      <c r="A229" s="713" t="s">
        <v>230</v>
      </c>
      <c r="B229" s="714"/>
      <c r="C229" s="714">
        <v>0</v>
      </c>
      <c r="D229" s="714">
        <v>0</v>
      </c>
      <c r="E229" s="714">
        <v>0</v>
      </c>
      <c r="F229" s="714">
        <v>-1</v>
      </c>
      <c r="G229" s="716">
        <f>G230-G226</f>
        <v>0</v>
      </c>
      <c r="H229" s="716">
        <f>H230-H226</f>
        <v>0</v>
      </c>
      <c r="I229" s="1361">
        <f>I230-I226</f>
        <v>0.39880893300323805</v>
      </c>
      <c r="J229" s="1375">
        <v>0</v>
      </c>
      <c r="K229" s="1375">
        <v>0</v>
      </c>
      <c r="L229" s="1375">
        <v>0</v>
      </c>
      <c r="M229" s="1375">
        <v>0</v>
      </c>
      <c r="N229" s="1375">
        <v>0</v>
      </c>
      <c r="O229" s="1375">
        <v>0</v>
      </c>
      <c r="P229" s="1375">
        <v>0</v>
      </c>
      <c r="Q229" s="1375">
        <v>0</v>
      </c>
      <c r="R229" s="715"/>
      <c r="S229" s="716">
        <v>0</v>
      </c>
      <c r="T229" s="716">
        <v>0</v>
      </c>
      <c r="U229" s="716">
        <v>0</v>
      </c>
      <c r="V229" s="716">
        <v>0</v>
      </c>
      <c r="W229" s="717">
        <v>0</v>
      </c>
      <c r="X229" s="716">
        <v>0</v>
      </c>
      <c r="Y229" s="716">
        <v>-1</v>
      </c>
      <c r="Z229" s="716">
        <v>0</v>
      </c>
      <c r="AA229" s="717">
        <f>AA230-AA226</f>
        <v>0</v>
      </c>
      <c r="AB229" s="716">
        <f>AB230-AB226</f>
        <v>0</v>
      </c>
      <c r="AC229" s="716">
        <f>AC230-AC226</f>
        <v>0</v>
      </c>
      <c r="AD229" s="716">
        <f>+G229-SUM(AA229:AC229)</f>
        <v>0</v>
      </c>
      <c r="AE229" s="717">
        <f>AE230-AE226</f>
        <v>0</v>
      </c>
      <c r="AF229" s="716">
        <f>AF230-AF226</f>
        <v>0</v>
      </c>
      <c r="AG229" s="716">
        <f>AG230-AG226</f>
        <v>0</v>
      </c>
      <c r="AH229" s="718">
        <f>+H229-SUM(AE229:AG229)</f>
        <v>0</v>
      </c>
      <c r="AI229" s="717">
        <f>AI230-AI226</f>
        <v>3.1263880373444408E-13</v>
      </c>
      <c r="AJ229" s="716">
        <f>AJ230-AJ226</f>
        <v>0</v>
      </c>
      <c r="AK229" s="716">
        <f>AK230-AK226</f>
        <v>0</v>
      </c>
      <c r="AL229" s="718">
        <f>I229-AI229-AJ229-AK229</f>
        <v>0.39880893300292541</v>
      </c>
      <c r="AM229" s="1371">
        <v>0</v>
      </c>
      <c r="AN229" s="1371">
        <v>0</v>
      </c>
      <c r="AO229" s="1371">
        <v>0</v>
      </c>
      <c r="AP229" s="1371">
        <f>J229-AM229-AN229-AO229</f>
        <v>0</v>
      </c>
      <c r="AQ229" s="1392"/>
      <c r="AR229" s="692"/>
      <c r="AS229" s="692"/>
      <c r="AT229" s="692"/>
      <c r="AU229" s="692"/>
      <c r="AV229" s="692"/>
      <c r="AW229" s="692"/>
      <c r="AX229" s="692"/>
      <c r="AY229" s="692"/>
      <c r="AZ229" s="692"/>
      <c r="BA229" s="692"/>
      <c r="BB229"/>
      <c r="BC229"/>
      <c r="BD229"/>
      <c r="BE229"/>
      <c r="BF229"/>
      <c r="BG229"/>
      <c r="BJ229" s="714"/>
      <c r="BK229" s="714"/>
      <c r="BL229" s="714"/>
      <c r="BM229" s="714"/>
      <c r="BN229" s="714"/>
    </row>
    <row r="230" spans="1:66" s="693" customFormat="1" outlineLevel="1">
      <c r="A230" s="713" t="s">
        <v>231</v>
      </c>
      <c r="B230" s="714"/>
      <c r="C230" s="714">
        <v>-1047</v>
      </c>
      <c r="D230" s="714">
        <v>-1061</v>
      </c>
      <c r="E230" s="714">
        <v>-1051</v>
      </c>
      <c r="F230" s="714">
        <v>-1009</v>
      </c>
      <c r="G230" s="714">
        <v>-1031</v>
      </c>
      <c r="H230" s="714">
        <v>-978</v>
      </c>
      <c r="I230" s="1360">
        <f>-9887-I220</f>
        <v>-967.60119106699676</v>
      </c>
      <c r="J230" s="1375">
        <f t="shared" ref="J230:Q230" si="399">J226+J229</f>
        <v>-1003.6385699250262</v>
      </c>
      <c r="K230" s="1375">
        <f t="shared" si="399"/>
        <v>-977.29880418998562</v>
      </c>
      <c r="L230" s="1375">
        <f t="shared" si="399"/>
        <v>-928.53023840955473</v>
      </c>
      <c r="M230" s="1375">
        <f t="shared" si="399"/>
        <v>-924.1223859041653</v>
      </c>
      <c r="N230" s="1375">
        <f t="shared" si="399"/>
        <v>-933.84399954802848</v>
      </c>
      <c r="O230" s="1375">
        <f t="shared" si="399"/>
        <v>-899.07420704300739</v>
      </c>
      <c r="P230" s="1375">
        <f t="shared" si="399"/>
        <v>-894.90236944245009</v>
      </c>
      <c r="Q230" s="1375">
        <f t="shared" si="399"/>
        <v>-886.84056402914212</v>
      </c>
      <c r="R230" s="715"/>
      <c r="S230" s="716">
        <v>-265</v>
      </c>
      <c r="T230" s="716">
        <v>-251</v>
      </c>
      <c r="U230" s="716">
        <v>-263</v>
      </c>
      <c r="V230" s="716">
        <v>-272</v>
      </c>
      <c r="W230" s="717">
        <v>-253</v>
      </c>
      <c r="X230" s="716">
        <v>-240</v>
      </c>
      <c r="Y230" s="716">
        <v>-222</v>
      </c>
      <c r="Z230" s="716">
        <v>-294</v>
      </c>
      <c r="AA230" s="717">
        <v>-261</v>
      </c>
      <c r="AB230" s="716">
        <v>-277</v>
      </c>
      <c r="AC230" s="716">
        <v>-235</v>
      </c>
      <c r="AD230" s="716">
        <f>AD226+AD229</f>
        <v>-258</v>
      </c>
      <c r="AE230" s="717">
        <v>-244</v>
      </c>
      <c r="AF230" s="716">
        <v>-254</v>
      </c>
      <c r="AG230" s="716">
        <v>-246</v>
      </c>
      <c r="AH230" s="718">
        <f>AH226+AH229</f>
        <v>-234</v>
      </c>
      <c r="AI230" s="717">
        <f>-2286-AI220</f>
        <v>-230.5622317596567</v>
      </c>
      <c r="AJ230" s="716">
        <f>-2496-AJ220</f>
        <v>-243.22514734774086</v>
      </c>
      <c r="AK230" s="716">
        <f>-2415-AK220</f>
        <v>-227.84871899145992</v>
      </c>
      <c r="AL230" s="718">
        <f>AL226+AL229</f>
        <v>-265.96509296813906</v>
      </c>
      <c r="AM230" s="1371">
        <f t="shared" ref="AM230:AP230" si="400">AM226+AM229</f>
        <v>-243.542</v>
      </c>
      <c r="AN230" s="1371">
        <f t="shared" si="400"/>
        <v>-252.76297839396926</v>
      </c>
      <c r="AO230" s="1371">
        <f t="shared" si="400"/>
        <v>-250.32774129295294</v>
      </c>
      <c r="AP230" s="1371">
        <f t="shared" si="400"/>
        <v>-257.00585023810402</v>
      </c>
      <c r="AQ230" s="1392"/>
      <c r="AR230" s="692"/>
      <c r="AS230" s="692"/>
      <c r="AT230" s="692"/>
      <c r="AU230" s="692"/>
      <c r="AV230" s="692"/>
      <c r="AW230" s="692"/>
      <c r="AX230" s="692"/>
      <c r="AY230" s="692"/>
      <c r="AZ230" s="692"/>
      <c r="BA230" s="692"/>
      <c r="BB230"/>
      <c r="BC230"/>
      <c r="BD230"/>
      <c r="BE230"/>
      <c r="BF230"/>
      <c r="BG230"/>
      <c r="BJ230" s="714"/>
      <c r="BK230" s="714"/>
      <c r="BL230" s="714"/>
      <c r="BM230" s="714"/>
      <c r="BN230" s="714"/>
    </row>
    <row r="231" spans="1:66" s="693" customFormat="1">
      <c r="A231" s="713" t="s">
        <v>232</v>
      </c>
      <c r="B231" s="714">
        <v>-284</v>
      </c>
      <c r="C231" s="714">
        <v>-489</v>
      </c>
      <c r="D231" s="714">
        <v>-228</v>
      </c>
      <c r="E231" s="714">
        <v>-270</v>
      </c>
      <c r="F231" s="714">
        <v>-405</v>
      </c>
      <c r="G231" s="714">
        <f t="shared" ref="G231:Q231" si="401">G232+G233</f>
        <v>-193</v>
      </c>
      <c r="H231" s="714">
        <f t="shared" si="401"/>
        <v>-237</v>
      </c>
      <c r="I231" s="714">
        <f t="shared" si="401"/>
        <v>-270</v>
      </c>
      <c r="J231" s="714">
        <f t="shared" si="401"/>
        <v>-270</v>
      </c>
      <c r="K231" s="714">
        <f t="shared" si="401"/>
        <v>-270</v>
      </c>
      <c r="L231" s="714">
        <f t="shared" si="401"/>
        <v>-270</v>
      </c>
      <c r="M231" s="714">
        <f t="shared" si="401"/>
        <v>-270</v>
      </c>
      <c r="N231" s="714">
        <f t="shared" si="401"/>
        <v>-270</v>
      </c>
      <c r="O231" s="714">
        <f t="shared" si="401"/>
        <v>-270</v>
      </c>
      <c r="P231" s="714">
        <f t="shared" si="401"/>
        <v>-270</v>
      </c>
      <c r="Q231" s="714">
        <f t="shared" si="401"/>
        <v>-270</v>
      </c>
      <c r="R231" s="715"/>
      <c r="S231" s="716">
        <v>1</v>
      </c>
      <c r="T231" s="716">
        <v>-80</v>
      </c>
      <c r="U231" s="716">
        <v>-111</v>
      </c>
      <c r="V231" s="716">
        <v>-80</v>
      </c>
      <c r="W231" s="717">
        <v>-40</v>
      </c>
      <c r="X231" s="716">
        <v>-82</v>
      </c>
      <c r="Y231" s="716">
        <v>-162</v>
      </c>
      <c r="Z231" s="716">
        <v>-121</v>
      </c>
      <c r="AA231" s="717">
        <f>+AA232+AA233</f>
        <v>-1</v>
      </c>
      <c r="AB231" s="716">
        <f>+AB232+AB233</f>
        <v>-131</v>
      </c>
      <c r="AC231" s="716">
        <f>+AC232+AC233</f>
        <v>-1</v>
      </c>
      <c r="AD231" s="716">
        <f>+AD232+AD233</f>
        <v>-60</v>
      </c>
      <c r="AE231" s="717">
        <f t="shared" ref="AE231:AP231" si="402">AE232+AE233</f>
        <v>23</v>
      </c>
      <c r="AF231" s="716">
        <f t="shared" si="402"/>
        <v>-76</v>
      </c>
      <c r="AG231" s="716">
        <f t="shared" si="402"/>
        <v>-110</v>
      </c>
      <c r="AH231" s="718">
        <f t="shared" si="402"/>
        <v>-74</v>
      </c>
      <c r="AI231" s="717">
        <f t="shared" si="402"/>
        <v>-50</v>
      </c>
      <c r="AJ231" s="716">
        <f t="shared" si="402"/>
        <v>-110</v>
      </c>
      <c r="AK231" s="716">
        <f t="shared" si="402"/>
        <v>-114</v>
      </c>
      <c r="AL231" s="718">
        <f t="shared" si="402"/>
        <v>4</v>
      </c>
      <c r="AM231" s="716">
        <f t="shared" si="402"/>
        <v>-108</v>
      </c>
      <c r="AN231" s="716">
        <f t="shared" si="402"/>
        <v>-67.5</v>
      </c>
      <c r="AO231" s="716">
        <f t="shared" si="402"/>
        <v>-67.5</v>
      </c>
      <c r="AP231" s="716">
        <f t="shared" si="402"/>
        <v>-27</v>
      </c>
      <c r="AQ231" s="1392"/>
      <c r="AR231" s="692"/>
      <c r="AS231" s="692"/>
      <c r="AT231" s="692"/>
      <c r="AU231" s="692"/>
      <c r="AV231" s="692"/>
      <c r="AW231" s="692"/>
      <c r="AX231" s="692"/>
      <c r="AY231" s="692"/>
      <c r="AZ231" s="692"/>
      <c r="BA231" s="692"/>
      <c r="BB231"/>
      <c r="BC231"/>
      <c r="BD231"/>
      <c r="BE231"/>
      <c r="BF231"/>
      <c r="BG231"/>
      <c r="BJ231" s="714"/>
      <c r="BK231" s="714"/>
      <c r="BL231" s="714"/>
      <c r="BM231" s="714"/>
      <c r="BN231" s="714"/>
    </row>
    <row r="232" spans="1:66" s="693" customFormat="1">
      <c r="A232" s="713" t="s">
        <v>114</v>
      </c>
      <c r="B232" s="714"/>
      <c r="C232" s="714"/>
      <c r="D232" s="714">
        <v>273</v>
      </c>
      <c r="E232" s="714">
        <v>263</v>
      </c>
      <c r="F232" s="714">
        <v>270</v>
      </c>
      <c r="G232" s="714">
        <f>1149-825</f>
        <v>324</v>
      </c>
      <c r="H232" s="714">
        <v>264</v>
      </c>
      <c r="I232" s="714">
        <v>351</v>
      </c>
      <c r="J232" s="793">
        <f t="shared" ref="J232:Q232" si="403">I232</f>
        <v>351</v>
      </c>
      <c r="K232" s="793">
        <f t="shared" si="403"/>
        <v>351</v>
      </c>
      <c r="L232" s="793">
        <f t="shared" si="403"/>
        <v>351</v>
      </c>
      <c r="M232" s="793">
        <f t="shared" si="403"/>
        <v>351</v>
      </c>
      <c r="N232" s="793">
        <f t="shared" si="403"/>
        <v>351</v>
      </c>
      <c r="O232" s="793">
        <f t="shared" si="403"/>
        <v>351</v>
      </c>
      <c r="P232" s="793">
        <f t="shared" si="403"/>
        <v>351</v>
      </c>
      <c r="Q232" s="793">
        <f t="shared" si="403"/>
        <v>351</v>
      </c>
      <c r="R232" s="715"/>
      <c r="S232" s="716">
        <v>75</v>
      </c>
      <c r="T232" s="716">
        <v>45</v>
      </c>
      <c r="U232" s="716">
        <v>25</v>
      </c>
      <c r="V232" s="716">
        <v>118</v>
      </c>
      <c r="W232" s="717">
        <v>78</v>
      </c>
      <c r="X232" s="716">
        <v>72</v>
      </c>
      <c r="Y232" s="716">
        <v>23</v>
      </c>
      <c r="Z232" s="716">
        <v>97</v>
      </c>
      <c r="AA232" s="717">
        <f>253-141</f>
        <v>112</v>
      </c>
      <c r="AB232" s="716">
        <f>174-128</f>
        <v>46</v>
      </c>
      <c r="AC232" s="716">
        <f>462-382</f>
        <v>80</v>
      </c>
      <c r="AD232" s="716">
        <f>G232-AA232-AB232-AC232</f>
        <v>86</v>
      </c>
      <c r="AE232" s="717">
        <v>94</v>
      </c>
      <c r="AF232" s="716">
        <v>34</v>
      </c>
      <c r="AG232" s="716">
        <v>22</v>
      </c>
      <c r="AH232" s="718">
        <f>+H232-SUM(AE232:AG232)</f>
        <v>114</v>
      </c>
      <c r="AI232" s="717">
        <v>96</v>
      </c>
      <c r="AJ232" s="716">
        <v>55</v>
      </c>
      <c r="AK232" s="716">
        <v>29</v>
      </c>
      <c r="AL232" s="718">
        <f>I232-AI232-AJ232-AK232</f>
        <v>171</v>
      </c>
      <c r="AM232" s="717">
        <v>45</v>
      </c>
      <c r="AN232" s="788">
        <f>J232/4</f>
        <v>87.75</v>
      </c>
      <c r="AO232" s="788">
        <f>J232/4</f>
        <v>87.75</v>
      </c>
      <c r="AP232" s="716">
        <f t="shared" ref="AP232:AP236" si="404">J232-AM232-AN232-AO232</f>
        <v>130.5</v>
      </c>
      <c r="AQ232" s="1392"/>
      <c r="AR232" s="692"/>
      <c r="AS232" s="692"/>
      <c r="AT232" s="692"/>
      <c r="AU232" s="692"/>
      <c r="AV232" s="692"/>
      <c r="AW232" s="692"/>
      <c r="AX232" s="692"/>
      <c r="AY232" s="692"/>
      <c r="AZ232" s="692"/>
      <c r="BA232" s="692"/>
      <c r="BB232"/>
      <c r="BC232"/>
      <c r="BD232"/>
      <c r="BE232"/>
      <c r="BF232"/>
      <c r="BG232"/>
      <c r="BJ232" s="714"/>
      <c r="BK232" s="714"/>
      <c r="BL232" s="714"/>
      <c r="BM232" s="714"/>
      <c r="BN232" s="714"/>
    </row>
    <row r="233" spans="1:66" s="693" customFormat="1">
      <c r="A233" s="713" t="s">
        <v>117</v>
      </c>
      <c r="B233" s="714"/>
      <c r="C233" s="714"/>
      <c r="D233" s="714">
        <v>-501</v>
      </c>
      <c r="E233" s="714">
        <v>-533</v>
      </c>
      <c r="F233" s="714">
        <v>-675</v>
      </c>
      <c r="G233" s="714">
        <f>-1639+1122</f>
        <v>-517</v>
      </c>
      <c r="H233" s="714">
        <v>-501</v>
      </c>
      <c r="I233" s="714">
        <v>-621</v>
      </c>
      <c r="J233" s="793">
        <f t="shared" ref="J233:Q233" si="405">I233</f>
        <v>-621</v>
      </c>
      <c r="K233" s="793">
        <f t="shared" si="405"/>
        <v>-621</v>
      </c>
      <c r="L233" s="793">
        <f t="shared" si="405"/>
        <v>-621</v>
      </c>
      <c r="M233" s="793">
        <f t="shared" si="405"/>
        <v>-621</v>
      </c>
      <c r="N233" s="793">
        <f t="shared" si="405"/>
        <v>-621</v>
      </c>
      <c r="O233" s="793">
        <f t="shared" si="405"/>
        <v>-621</v>
      </c>
      <c r="P233" s="793">
        <f t="shared" si="405"/>
        <v>-621</v>
      </c>
      <c r="Q233" s="793">
        <f t="shared" si="405"/>
        <v>-621</v>
      </c>
      <c r="R233" s="715"/>
      <c r="S233" s="716">
        <v>-74</v>
      </c>
      <c r="T233" s="716">
        <v>-125</v>
      </c>
      <c r="U233" s="716">
        <v>-136</v>
      </c>
      <c r="V233" s="716">
        <v>-198</v>
      </c>
      <c r="W233" s="717">
        <v>-118</v>
      </c>
      <c r="X233" s="716">
        <v>-154</v>
      </c>
      <c r="Y233" s="716">
        <v>-185</v>
      </c>
      <c r="Z233" s="716">
        <v>-218</v>
      </c>
      <c r="AA233" s="717">
        <f>-202+89</f>
        <v>-113</v>
      </c>
      <c r="AB233" s="716">
        <f>-349+172</f>
        <v>-177</v>
      </c>
      <c r="AC233" s="716">
        <f>-626+545</f>
        <v>-81</v>
      </c>
      <c r="AD233" s="716">
        <f>G233-AA233-AB233-AC233</f>
        <v>-146</v>
      </c>
      <c r="AE233" s="717">
        <v>-71</v>
      </c>
      <c r="AF233" s="716">
        <v>-110</v>
      </c>
      <c r="AG233" s="716">
        <v>-132</v>
      </c>
      <c r="AH233" s="718">
        <f>+H233-SUM(AE233:AG233)</f>
        <v>-188</v>
      </c>
      <c r="AI233" s="717">
        <v>-146</v>
      </c>
      <c r="AJ233" s="716">
        <v>-165</v>
      </c>
      <c r="AK233" s="716">
        <v>-143</v>
      </c>
      <c r="AL233" s="718">
        <f>I233-AI233-AJ233-AK233</f>
        <v>-167</v>
      </c>
      <c r="AM233" s="717">
        <v>-153</v>
      </c>
      <c r="AN233" s="1351">
        <f>J233/4</f>
        <v>-155.25</v>
      </c>
      <c r="AO233" s="1351">
        <f>J233/4</f>
        <v>-155.25</v>
      </c>
      <c r="AP233" s="716">
        <f t="shared" si="404"/>
        <v>-157.5</v>
      </c>
      <c r="AQ233" s="1392"/>
      <c r="AR233" s="692"/>
      <c r="AS233" s="692"/>
      <c r="AT233" s="692"/>
      <c r="AU233" s="692"/>
      <c r="AV233" s="692"/>
      <c r="AW233" s="692"/>
      <c r="AX233" s="692"/>
      <c r="AY233" s="692"/>
      <c r="AZ233" s="692"/>
      <c r="BA233" s="692"/>
      <c r="BB233"/>
      <c r="BC233"/>
      <c r="BD233"/>
      <c r="BE233"/>
      <c r="BF233"/>
      <c r="BG233"/>
      <c r="BJ233" s="714"/>
      <c r="BK233" s="714"/>
      <c r="BL233" s="714"/>
      <c r="BM233" s="714"/>
      <c r="BN233" s="714"/>
    </row>
    <row r="234" spans="1:66" s="693" customFormat="1" outlineLevel="1">
      <c r="A234" s="713" t="s">
        <v>233</v>
      </c>
      <c r="B234" s="714"/>
      <c r="C234" s="714">
        <v>-639</v>
      </c>
      <c r="D234" s="714">
        <v>50</v>
      </c>
      <c r="E234" s="714">
        <v>195</v>
      </c>
      <c r="F234" s="714">
        <v>-399</v>
      </c>
      <c r="G234" s="714">
        <f t="shared" ref="G234:M234" si="406">G235+G236</f>
        <v>-297</v>
      </c>
      <c r="H234" s="714">
        <f t="shared" si="406"/>
        <v>115</v>
      </c>
      <c r="I234" s="714">
        <f t="shared" si="406"/>
        <v>173</v>
      </c>
      <c r="J234" s="714">
        <f t="shared" si="406"/>
        <v>0</v>
      </c>
      <c r="K234" s="714">
        <f t="shared" si="406"/>
        <v>0</v>
      </c>
      <c r="L234" s="714">
        <f t="shared" si="406"/>
        <v>0</v>
      </c>
      <c r="M234" s="714">
        <f t="shared" si="406"/>
        <v>0</v>
      </c>
      <c r="N234" s="714">
        <v>0</v>
      </c>
      <c r="O234" s="714">
        <v>0</v>
      </c>
      <c r="P234" s="714">
        <v>0</v>
      </c>
      <c r="Q234" s="714">
        <v>0</v>
      </c>
      <c r="R234" s="715"/>
      <c r="S234" s="716">
        <v>47</v>
      </c>
      <c r="T234" s="716">
        <v>150</v>
      </c>
      <c r="U234" s="716">
        <v>-2</v>
      </c>
      <c r="V234" s="716">
        <v>0</v>
      </c>
      <c r="W234" s="717">
        <v>-197</v>
      </c>
      <c r="X234" s="716">
        <v>-51</v>
      </c>
      <c r="Y234" s="716">
        <v>-24</v>
      </c>
      <c r="Z234" s="716">
        <v>-127</v>
      </c>
      <c r="AA234" s="717">
        <f>+AA235+AA236</f>
        <v>52</v>
      </c>
      <c r="AB234" s="716">
        <f>+AB235+AB236</f>
        <v>-44</v>
      </c>
      <c r="AC234" s="716">
        <f>+AC235+AC236</f>
        <v>-163</v>
      </c>
      <c r="AD234" s="716">
        <f>+AD235+AD236</f>
        <v>-142</v>
      </c>
      <c r="AE234" s="717">
        <f t="shared" ref="AE234:AP234" si="407">AE235+AE236</f>
        <v>221</v>
      </c>
      <c r="AF234" s="716">
        <f t="shared" si="407"/>
        <v>-134</v>
      </c>
      <c r="AG234" s="716">
        <f t="shared" si="407"/>
        <v>68</v>
      </c>
      <c r="AH234" s="718">
        <f t="shared" si="407"/>
        <v>-40</v>
      </c>
      <c r="AI234" s="717">
        <f t="shared" si="407"/>
        <v>36</v>
      </c>
      <c r="AJ234" s="716">
        <f t="shared" si="407"/>
        <v>73</v>
      </c>
      <c r="AK234" s="716">
        <f t="shared" si="407"/>
        <v>160</v>
      </c>
      <c r="AL234" s="718">
        <f t="shared" si="407"/>
        <v>-96</v>
      </c>
      <c r="AM234" s="716">
        <f t="shared" ref="AM234" si="408">AM235+AM236</f>
        <v>65</v>
      </c>
      <c r="AN234" s="716">
        <f t="shared" si="407"/>
        <v>0</v>
      </c>
      <c r="AO234" s="716">
        <f t="shared" si="407"/>
        <v>0</v>
      </c>
      <c r="AP234" s="716">
        <f t="shared" si="407"/>
        <v>-65</v>
      </c>
      <c r="AQ234" s="1392"/>
      <c r="AR234" s="692"/>
      <c r="AS234" s="692"/>
      <c r="AT234" s="692"/>
      <c r="AU234" s="692"/>
      <c r="AV234" s="692"/>
      <c r="AW234" s="692"/>
      <c r="AX234" s="692"/>
      <c r="AY234" s="692"/>
      <c r="AZ234" s="692"/>
      <c r="BA234" s="692"/>
      <c r="BB234"/>
      <c r="BC234"/>
      <c r="BD234"/>
      <c r="BE234"/>
      <c r="BF234"/>
      <c r="BG234"/>
      <c r="BJ234" s="714"/>
      <c r="BK234" s="714"/>
      <c r="BL234" s="714"/>
      <c r="BM234" s="714"/>
      <c r="BN234" s="714"/>
    </row>
    <row r="235" spans="1:66" s="693" customFormat="1" outlineLevel="1">
      <c r="A235" s="713" t="s">
        <v>115</v>
      </c>
      <c r="B235" s="714"/>
      <c r="C235" s="714"/>
      <c r="D235" s="716">
        <v>304</v>
      </c>
      <c r="E235" s="716">
        <v>436</v>
      </c>
      <c r="F235" s="714">
        <v>464</v>
      </c>
      <c r="G235" s="714">
        <f t="shared" ref="G235:I236" si="409">G238-G232</f>
        <v>825</v>
      </c>
      <c r="H235" s="716">
        <f t="shared" si="409"/>
        <v>827</v>
      </c>
      <c r="I235" s="716">
        <f t="shared" si="409"/>
        <v>676</v>
      </c>
      <c r="J235" s="714">
        <v>0</v>
      </c>
      <c r="K235" s="714">
        <v>0</v>
      </c>
      <c r="L235" s="714">
        <v>0</v>
      </c>
      <c r="M235" s="714">
        <v>0</v>
      </c>
      <c r="N235" s="714">
        <v>0</v>
      </c>
      <c r="O235" s="714">
        <v>0</v>
      </c>
      <c r="P235" s="714">
        <v>0</v>
      </c>
      <c r="Q235" s="714">
        <v>0</v>
      </c>
      <c r="R235" s="715"/>
      <c r="S235" s="716">
        <v>47</v>
      </c>
      <c r="T235" s="716">
        <v>159</v>
      </c>
      <c r="U235" s="716">
        <v>31</v>
      </c>
      <c r="V235" s="716">
        <v>199</v>
      </c>
      <c r="W235" s="717">
        <v>19</v>
      </c>
      <c r="X235" s="716">
        <v>132</v>
      </c>
      <c r="Y235" s="716">
        <v>195</v>
      </c>
      <c r="Z235" s="716">
        <v>118</v>
      </c>
      <c r="AA235" s="717">
        <f t="shared" ref="AA235:AC236" si="410">AA238-AA232</f>
        <v>141</v>
      </c>
      <c r="AB235" s="716">
        <f t="shared" si="410"/>
        <v>128</v>
      </c>
      <c r="AC235" s="716">
        <f t="shared" si="410"/>
        <v>382</v>
      </c>
      <c r="AD235" s="716">
        <f>G235-AA235-AB235-AC235</f>
        <v>174</v>
      </c>
      <c r="AE235" s="717">
        <f t="shared" ref="AE235:AG236" si="411">AE238-AE232</f>
        <v>447</v>
      </c>
      <c r="AF235" s="716">
        <f t="shared" si="411"/>
        <v>31</v>
      </c>
      <c r="AG235" s="716">
        <f t="shared" si="411"/>
        <v>242</v>
      </c>
      <c r="AH235" s="718">
        <f>+H235-SUM(AE235:AG235)</f>
        <v>107</v>
      </c>
      <c r="AI235" s="717">
        <f t="shared" ref="AI235:AK236" si="412">AI238-AI232</f>
        <v>189</v>
      </c>
      <c r="AJ235" s="716">
        <f t="shared" si="412"/>
        <v>217</v>
      </c>
      <c r="AK235" s="716">
        <f t="shared" si="412"/>
        <v>218</v>
      </c>
      <c r="AL235" s="718">
        <f>I235-AI235-AJ235-AK235</f>
        <v>52</v>
      </c>
      <c r="AM235" s="716">
        <f t="shared" ref="AM235" si="413">AM238-AM232</f>
        <v>166</v>
      </c>
      <c r="AN235" s="716">
        <v>0</v>
      </c>
      <c r="AO235" s="716">
        <v>0</v>
      </c>
      <c r="AP235" s="716">
        <f t="shared" si="404"/>
        <v>-166</v>
      </c>
      <c r="AQ235" s="1392"/>
      <c r="AR235" s="692"/>
      <c r="AS235" s="692"/>
      <c r="AT235" s="692"/>
      <c r="AU235" s="692"/>
      <c r="AV235" s="692"/>
      <c r="AW235" s="692"/>
      <c r="AX235" s="692"/>
      <c r="AY235" s="692"/>
      <c r="AZ235" s="692"/>
      <c r="BA235" s="692"/>
      <c r="BB235"/>
      <c r="BC235"/>
      <c r="BD235"/>
      <c r="BE235"/>
      <c r="BF235"/>
      <c r="BG235"/>
      <c r="BJ235" s="714"/>
      <c r="BK235" s="714"/>
      <c r="BL235" s="714"/>
      <c r="BM235" s="714"/>
      <c r="BN235" s="714"/>
    </row>
    <row r="236" spans="1:66" s="693" customFormat="1" outlineLevel="1">
      <c r="A236" s="713" t="s">
        <v>118</v>
      </c>
      <c r="B236" s="714"/>
      <c r="C236" s="714"/>
      <c r="D236" s="716">
        <v>-254</v>
      </c>
      <c r="E236" s="716">
        <v>-241</v>
      </c>
      <c r="F236" s="714">
        <v>-863</v>
      </c>
      <c r="G236" s="714">
        <f t="shared" si="409"/>
        <v>-1122</v>
      </c>
      <c r="H236" s="716">
        <f t="shared" si="409"/>
        <v>-712</v>
      </c>
      <c r="I236" s="716">
        <f t="shared" si="409"/>
        <v>-503</v>
      </c>
      <c r="J236" s="714">
        <v>0</v>
      </c>
      <c r="K236" s="714">
        <v>0</v>
      </c>
      <c r="L236" s="714">
        <v>0</v>
      </c>
      <c r="M236" s="714">
        <v>0</v>
      </c>
      <c r="N236" s="714">
        <v>0</v>
      </c>
      <c r="O236" s="714">
        <v>0</v>
      </c>
      <c r="P236" s="714">
        <v>0</v>
      </c>
      <c r="Q236" s="714">
        <v>0</v>
      </c>
      <c r="R236" s="715"/>
      <c r="S236" s="716">
        <v>0</v>
      </c>
      <c r="T236" s="716">
        <v>-9</v>
      </c>
      <c r="U236" s="716">
        <v>-33</v>
      </c>
      <c r="V236" s="716">
        <v>-199</v>
      </c>
      <c r="W236" s="717">
        <v>-216</v>
      </c>
      <c r="X236" s="716">
        <v>-183</v>
      </c>
      <c r="Y236" s="716">
        <v>-219</v>
      </c>
      <c r="Z236" s="716">
        <v>-245</v>
      </c>
      <c r="AA236" s="717">
        <f t="shared" si="410"/>
        <v>-89</v>
      </c>
      <c r="AB236" s="716">
        <f t="shared" si="410"/>
        <v>-172</v>
      </c>
      <c r="AC236" s="716">
        <f t="shared" si="410"/>
        <v>-545</v>
      </c>
      <c r="AD236" s="716">
        <f>G236-AA236-AB236-AC236</f>
        <v>-316</v>
      </c>
      <c r="AE236" s="717">
        <f t="shared" si="411"/>
        <v>-226</v>
      </c>
      <c r="AF236" s="716">
        <f t="shared" si="411"/>
        <v>-165</v>
      </c>
      <c r="AG236" s="716">
        <f t="shared" si="411"/>
        <v>-174</v>
      </c>
      <c r="AH236" s="718">
        <f>+H236-SUM(AE236:AG236)</f>
        <v>-147</v>
      </c>
      <c r="AI236" s="717">
        <f t="shared" si="412"/>
        <v>-153</v>
      </c>
      <c r="AJ236" s="716">
        <f t="shared" si="412"/>
        <v>-144</v>
      </c>
      <c r="AK236" s="716">
        <f t="shared" si="412"/>
        <v>-58</v>
      </c>
      <c r="AL236" s="718">
        <f>I236-AI236-AJ236-AK236</f>
        <v>-148</v>
      </c>
      <c r="AM236" s="716">
        <f t="shared" ref="AM236" si="414">AM239-AM233</f>
        <v>-101</v>
      </c>
      <c r="AN236" s="716">
        <v>0</v>
      </c>
      <c r="AO236" s="716">
        <v>0</v>
      </c>
      <c r="AP236" s="716">
        <f t="shared" si="404"/>
        <v>101</v>
      </c>
      <c r="AQ236" s="1392"/>
      <c r="AR236" s="692"/>
      <c r="AS236" s="692"/>
      <c r="AT236" s="692"/>
      <c r="AU236" s="692"/>
      <c r="AV236" s="692"/>
      <c r="AW236" s="692"/>
      <c r="AX236" s="692"/>
      <c r="AY236" s="692"/>
      <c r="AZ236" s="692"/>
      <c r="BA236" s="692"/>
      <c r="BB236"/>
      <c r="BC236"/>
      <c r="BD236"/>
      <c r="BE236"/>
      <c r="BF236"/>
      <c r="BG236"/>
      <c r="BJ236" s="714"/>
      <c r="BK236" s="714"/>
      <c r="BL236" s="714"/>
      <c r="BM236" s="714"/>
      <c r="BN236" s="714"/>
    </row>
    <row r="237" spans="1:66" s="693" customFormat="1" outlineLevel="1">
      <c r="A237" s="713" t="s">
        <v>234</v>
      </c>
      <c r="B237" s="714"/>
      <c r="C237" s="714">
        <v>-1128</v>
      </c>
      <c r="D237" s="714">
        <v>-178</v>
      </c>
      <c r="E237" s="714">
        <v>-75</v>
      </c>
      <c r="F237" s="714">
        <v>-804</v>
      </c>
      <c r="G237" s="714">
        <f t="shared" ref="G237:M237" si="415">G238+G239</f>
        <v>-490</v>
      </c>
      <c r="H237" s="714">
        <f t="shared" si="415"/>
        <v>-122</v>
      </c>
      <c r="I237" s="714">
        <f t="shared" si="415"/>
        <v>-97</v>
      </c>
      <c r="J237" s="714">
        <f t="shared" si="415"/>
        <v>-270</v>
      </c>
      <c r="K237" s="714">
        <f t="shared" si="415"/>
        <v>-270</v>
      </c>
      <c r="L237" s="714">
        <f t="shared" si="415"/>
        <v>-270</v>
      </c>
      <c r="M237" s="714">
        <f t="shared" si="415"/>
        <v>-270</v>
      </c>
      <c r="N237" s="714">
        <f>N231+N234</f>
        <v>-270</v>
      </c>
      <c r="O237" s="714">
        <f>O231+O234</f>
        <v>-270</v>
      </c>
      <c r="P237" s="714">
        <f>P231+P234</f>
        <v>-270</v>
      </c>
      <c r="Q237" s="714">
        <f>Q231+Q234</f>
        <v>-270</v>
      </c>
      <c r="R237" s="715"/>
      <c r="S237" s="716">
        <v>48</v>
      </c>
      <c r="T237" s="716">
        <v>70</v>
      </c>
      <c r="U237" s="716">
        <v>-113</v>
      </c>
      <c r="V237" s="716">
        <v>-80</v>
      </c>
      <c r="W237" s="717">
        <v>-237</v>
      </c>
      <c r="X237" s="716">
        <v>-133</v>
      </c>
      <c r="Y237" s="716">
        <v>-186</v>
      </c>
      <c r="Z237" s="716">
        <v>-248</v>
      </c>
      <c r="AA237" s="717">
        <f>+AA238+AA239</f>
        <v>51</v>
      </c>
      <c r="AB237" s="716">
        <f>+AB238+AB239</f>
        <v>-175</v>
      </c>
      <c r="AC237" s="716">
        <f>+AC238+AC239</f>
        <v>-164</v>
      </c>
      <c r="AD237" s="716">
        <f>+AD238+AD239</f>
        <v>-202</v>
      </c>
      <c r="AE237" s="717">
        <f t="shared" ref="AE237:AP237" si="416">AE238+AE239</f>
        <v>244</v>
      </c>
      <c r="AF237" s="716">
        <f t="shared" si="416"/>
        <v>-210</v>
      </c>
      <c r="AG237" s="716">
        <f t="shared" si="416"/>
        <v>-42</v>
      </c>
      <c r="AH237" s="718">
        <f t="shared" si="416"/>
        <v>-114</v>
      </c>
      <c r="AI237" s="717">
        <f t="shared" si="416"/>
        <v>-14</v>
      </c>
      <c r="AJ237" s="716">
        <f t="shared" si="416"/>
        <v>-37</v>
      </c>
      <c r="AK237" s="716">
        <f t="shared" si="416"/>
        <v>46</v>
      </c>
      <c r="AL237" s="718">
        <f t="shared" si="416"/>
        <v>-92</v>
      </c>
      <c r="AM237" s="716">
        <f t="shared" si="416"/>
        <v>-43</v>
      </c>
      <c r="AN237" s="716">
        <f t="shared" si="416"/>
        <v>-67.5</v>
      </c>
      <c r="AO237" s="716">
        <f t="shared" si="416"/>
        <v>-67.5</v>
      </c>
      <c r="AP237" s="716">
        <f t="shared" si="416"/>
        <v>-92</v>
      </c>
      <c r="AQ237" s="1392"/>
      <c r="AR237" s="692"/>
      <c r="AS237" s="692"/>
      <c r="AT237" s="692"/>
      <c r="AU237" s="692"/>
      <c r="AV237" s="692"/>
      <c r="AW237" s="692"/>
      <c r="AX237" s="692"/>
      <c r="AY237" s="692"/>
      <c r="AZ237" s="692"/>
      <c r="BA237" s="692"/>
      <c r="BB237"/>
      <c r="BC237"/>
      <c r="BD237"/>
      <c r="BE237"/>
      <c r="BF237"/>
      <c r="BG237"/>
      <c r="BJ237" s="714"/>
      <c r="BK237" s="714"/>
      <c r="BL237" s="714"/>
      <c r="BM237" s="714"/>
      <c r="BN237" s="714"/>
    </row>
    <row r="238" spans="1:66" s="693" customFormat="1" outlineLevel="1">
      <c r="A238" s="713" t="s">
        <v>116</v>
      </c>
      <c r="B238" s="714"/>
      <c r="C238" s="714"/>
      <c r="D238" s="714">
        <v>577</v>
      </c>
      <c r="E238" s="714">
        <v>699</v>
      </c>
      <c r="F238" s="714">
        <v>734</v>
      </c>
      <c r="G238" s="714">
        <v>1149</v>
      </c>
      <c r="H238" s="714">
        <v>1091</v>
      </c>
      <c r="I238" s="714">
        <v>1027</v>
      </c>
      <c r="J238" s="714">
        <f t="shared" ref="J238:Q238" si="417">+J232+J235</f>
        <v>351</v>
      </c>
      <c r="K238" s="714">
        <f t="shared" si="417"/>
        <v>351</v>
      </c>
      <c r="L238" s="714">
        <f t="shared" si="417"/>
        <v>351</v>
      </c>
      <c r="M238" s="714">
        <f t="shared" si="417"/>
        <v>351</v>
      </c>
      <c r="N238" s="714">
        <f t="shared" si="417"/>
        <v>351</v>
      </c>
      <c r="O238" s="714">
        <f t="shared" si="417"/>
        <v>351</v>
      </c>
      <c r="P238" s="714">
        <f t="shared" si="417"/>
        <v>351</v>
      </c>
      <c r="Q238" s="714">
        <f t="shared" si="417"/>
        <v>351</v>
      </c>
      <c r="R238" s="715"/>
      <c r="S238" s="716">
        <v>122</v>
      </c>
      <c r="T238" s="716">
        <v>204</v>
      </c>
      <c r="U238" s="716">
        <v>56</v>
      </c>
      <c r="V238" s="716">
        <v>317</v>
      </c>
      <c r="W238" s="717">
        <v>97</v>
      </c>
      <c r="X238" s="716">
        <v>204</v>
      </c>
      <c r="Y238" s="716">
        <v>218</v>
      </c>
      <c r="Z238" s="716">
        <v>215</v>
      </c>
      <c r="AA238" s="717">
        <v>253</v>
      </c>
      <c r="AB238" s="716">
        <v>174</v>
      </c>
      <c r="AC238" s="716">
        <v>462</v>
      </c>
      <c r="AD238" s="716">
        <f>AD232+AD235</f>
        <v>260</v>
      </c>
      <c r="AE238" s="717">
        <v>541</v>
      </c>
      <c r="AF238" s="716">
        <v>65</v>
      </c>
      <c r="AG238" s="716">
        <v>264</v>
      </c>
      <c r="AH238" s="718">
        <f>+AH232+AH235</f>
        <v>221</v>
      </c>
      <c r="AI238" s="717">
        <v>285</v>
      </c>
      <c r="AJ238" s="716">
        <v>272</v>
      </c>
      <c r="AK238" s="716">
        <v>247</v>
      </c>
      <c r="AL238" s="718">
        <f>+AL232+AL235</f>
        <v>223</v>
      </c>
      <c r="AM238" s="716">
        <v>211</v>
      </c>
      <c r="AN238" s="716">
        <f t="shared" ref="AN238:AP238" si="418">+AN232+AN235</f>
        <v>87.75</v>
      </c>
      <c r="AO238" s="716">
        <f t="shared" si="418"/>
        <v>87.75</v>
      </c>
      <c r="AP238" s="716">
        <f t="shared" si="418"/>
        <v>-35.5</v>
      </c>
      <c r="AQ238" s="1392"/>
      <c r="AR238" s="692"/>
      <c r="AS238" s="692"/>
      <c r="AT238" s="692"/>
      <c r="AU238" s="692"/>
      <c r="AV238" s="692"/>
      <c r="AW238" s="692"/>
      <c r="AX238" s="692"/>
      <c r="AY238" s="692"/>
      <c r="AZ238" s="692"/>
      <c r="BA238" s="692"/>
      <c r="BB238"/>
      <c r="BC238"/>
      <c r="BD238"/>
      <c r="BE238"/>
      <c r="BF238"/>
      <c r="BG238"/>
      <c r="BJ238" s="714"/>
      <c r="BK238" s="714"/>
      <c r="BL238" s="714"/>
      <c r="BM238" s="714"/>
      <c r="BN238" s="714"/>
    </row>
    <row r="239" spans="1:66" s="693" customFormat="1" outlineLevel="1">
      <c r="A239" s="713" t="s">
        <v>119</v>
      </c>
      <c r="B239" s="714"/>
      <c r="C239" s="714"/>
      <c r="D239" s="714">
        <v>-755</v>
      </c>
      <c r="E239" s="714">
        <v>-774</v>
      </c>
      <c r="F239" s="714">
        <v>-1538</v>
      </c>
      <c r="G239" s="714">
        <v>-1639</v>
      </c>
      <c r="H239" s="714">
        <v>-1213</v>
      </c>
      <c r="I239" s="714">
        <v>-1124</v>
      </c>
      <c r="J239" s="714">
        <f t="shared" ref="J239:Q239" si="419">+J233+J236</f>
        <v>-621</v>
      </c>
      <c r="K239" s="714">
        <f t="shared" si="419"/>
        <v>-621</v>
      </c>
      <c r="L239" s="714">
        <f t="shared" si="419"/>
        <v>-621</v>
      </c>
      <c r="M239" s="714">
        <f t="shared" si="419"/>
        <v>-621</v>
      </c>
      <c r="N239" s="714">
        <f t="shared" si="419"/>
        <v>-621</v>
      </c>
      <c r="O239" s="714">
        <f t="shared" si="419"/>
        <v>-621</v>
      </c>
      <c r="P239" s="714">
        <f t="shared" si="419"/>
        <v>-621</v>
      </c>
      <c r="Q239" s="714">
        <f t="shared" si="419"/>
        <v>-621</v>
      </c>
      <c r="R239" s="715"/>
      <c r="S239" s="716">
        <v>-74</v>
      </c>
      <c r="T239" s="716">
        <v>-134</v>
      </c>
      <c r="U239" s="716">
        <v>-169</v>
      </c>
      <c r="V239" s="716">
        <v>-397</v>
      </c>
      <c r="W239" s="717">
        <v>-334</v>
      </c>
      <c r="X239" s="716">
        <v>-337</v>
      </c>
      <c r="Y239" s="716">
        <v>-404</v>
      </c>
      <c r="Z239" s="716">
        <v>-463</v>
      </c>
      <c r="AA239" s="717">
        <v>-202</v>
      </c>
      <c r="AB239" s="716">
        <v>-349</v>
      </c>
      <c r="AC239" s="716">
        <v>-626</v>
      </c>
      <c r="AD239" s="716">
        <f>AD233+AD236</f>
        <v>-462</v>
      </c>
      <c r="AE239" s="717">
        <v>-297</v>
      </c>
      <c r="AF239" s="716">
        <v>-275</v>
      </c>
      <c r="AG239" s="716">
        <v>-306</v>
      </c>
      <c r="AH239" s="718">
        <f>+AH233+AH236</f>
        <v>-335</v>
      </c>
      <c r="AI239" s="717">
        <v>-299</v>
      </c>
      <c r="AJ239" s="716">
        <v>-309</v>
      </c>
      <c r="AK239" s="716">
        <v>-201</v>
      </c>
      <c r="AL239" s="718">
        <f>+AL233+AL236</f>
        <v>-315</v>
      </c>
      <c r="AM239" s="716">
        <v>-254</v>
      </c>
      <c r="AN239" s="716">
        <f t="shared" ref="AN239:AP239" si="420">+AN233+AN236</f>
        <v>-155.25</v>
      </c>
      <c r="AO239" s="716">
        <f t="shared" si="420"/>
        <v>-155.25</v>
      </c>
      <c r="AP239" s="716">
        <f t="shared" si="420"/>
        <v>-56.5</v>
      </c>
      <c r="AQ239" s="1392"/>
      <c r="AR239" s="692"/>
      <c r="AS239" s="692"/>
      <c r="AT239" s="692"/>
      <c r="AU239" s="692"/>
      <c r="AV239" s="692"/>
      <c r="AW239" s="692"/>
      <c r="AX239" s="692"/>
      <c r="AY239" s="692"/>
      <c r="AZ239" s="692"/>
      <c r="BA239" s="692"/>
      <c r="BB239"/>
      <c r="BC239"/>
      <c r="BD239"/>
      <c r="BE239"/>
      <c r="BF239"/>
      <c r="BG239"/>
      <c r="BJ239" s="714"/>
      <c r="BK239" s="714"/>
      <c r="BL239" s="714"/>
      <c r="BM239" s="714"/>
      <c r="BN239" s="714"/>
    </row>
    <row r="240" spans="1:66" s="799" customFormat="1">
      <c r="A240" s="1066" t="s">
        <v>589</v>
      </c>
      <c r="B240" s="1067">
        <v>8471</v>
      </c>
      <c r="C240" s="1067">
        <v>10040</v>
      </c>
      <c r="D240" s="1067">
        <v>10192</v>
      </c>
      <c r="E240" s="1067">
        <v>9523</v>
      </c>
      <c r="F240" s="1067">
        <v>9514</v>
      </c>
      <c r="G240" s="1067">
        <f>G231+G226+G221+G216+G208</f>
        <v>10862</v>
      </c>
      <c r="H240" s="1067">
        <f>H231+H226+H221+H216+H208</f>
        <v>10354</v>
      </c>
      <c r="I240" s="1067">
        <f>I231+I221+I208+I211</f>
        <v>10019</v>
      </c>
      <c r="J240" s="1067">
        <f>J231+J221+J208+J211</f>
        <v>11410.83078380935</v>
      </c>
      <c r="K240" s="1067">
        <f t="shared" ref="K240:Q240" si="421">K231+K221+K208+K211</f>
        <v>11650.114111605551</v>
      </c>
      <c r="L240" s="1067">
        <f t="shared" si="421"/>
        <v>12640.713598002492</v>
      </c>
      <c r="M240" s="1067">
        <f t="shared" si="421"/>
        <v>13463.050725015497</v>
      </c>
      <c r="N240" s="1067">
        <f t="shared" si="421"/>
        <v>14093.119012011148</v>
      </c>
      <c r="O240" s="1067">
        <f t="shared" si="421"/>
        <v>13702.189199959073</v>
      </c>
      <c r="P240" s="1067">
        <f t="shared" si="421"/>
        <v>13744.744455149665</v>
      </c>
      <c r="Q240" s="1067">
        <f t="shared" si="421"/>
        <v>13689.438662429395</v>
      </c>
      <c r="R240" s="681">
        <f>(N240/J240)^(1/($N$1-$J$1))-1</f>
        <v>5.4198669087164308E-2</v>
      </c>
      <c r="S240" s="1068">
        <v>2573</v>
      </c>
      <c r="T240" s="1068">
        <v>2472</v>
      </c>
      <c r="U240" s="1068">
        <v>2345</v>
      </c>
      <c r="V240" s="1068">
        <v>2133</v>
      </c>
      <c r="W240" s="1069">
        <v>2539</v>
      </c>
      <c r="X240" s="1068">
        <v>2593</v>
      </c>
      <c r="Y240" s="1068">
        <v>2405</v>
      </c>
      <c r="Z240" s="1068">
        <v>1977</v>
      </c>
      <c r="AA240" s="1069">
        <f t="shared" ref="AA240:AH240" si="422">AA231+AA226+AA221+AA216+AA208</f>
        <v>2855</v>
      </c>
      <c r="AB240" s="1068">
        <f t="shared" si="422"/>
        <v>2872</v>
      </c>
      <c r="AC240" s="1068">
        <f t="shared" si="422"/>
        <v>2724</v>
      </c>
      <c r="AD240" s="796">
        <f t="shared" si="422"/>
        <v>2411</v>
      </c>
      <c r="AE240" s="1069">
        <f t="shared" si="422"/>
        <v>2602</v>
      </c>
      <c r="AF240" s="1068">
        <f t="shared" si="422"/>
        <v>2669</v>
      </c>
      <c r="AG240" s="1068">
        <f t="shared" si="422"/>
        <v>2676</v>
      </c>
      <c r="AH240" s="1070">
        <f t="shared" si="422"/>
        <v>2407</v>
      </c>
      <c r="AI240" s="1069">
        <f t="shared" ref="AI240:AL240" si="423">AI231+AI221+AI208+AI211</f>
        <v>2355.0000000000027</v>
      </c>
      <c r="AJ240" s="1068">
        <f t="shared" si="423"/>
        <v>2495.9999999999991</v>
      </c>
      <c r="AK240" s="1068">
        <f t="shared" si="423"/>
        <v>2578.0502326646747</v>
      </c>
      <c r="AL240" s="1070">
        <f t="shared" si="423"/>
        <v>2589.9497673353235</v>
      </c>
      <c r="AM240" s="1068">
        <f>AM231+AM221+AM208+AM211</f>
        <v>2631</v>
      </c>
      <c r="AN240" s="1068">
        <f t="shared" ref="AN240:AP240" si="424">AN231+AN221+AN208+AN211</f>
        <v>2831.7378099475541</v>
      </c>
      <c r="AO240" s="1068">
        <f t="shared" si="424"/>
        <v>2839.3864839446592</v>
      </c>
      <c r="AP240" s="1068">
        <f t="shared" si="424"/>
        <v>3108.7064899171369</v>
      </c>
      <c r="AQ240" s="1392"/>
      <c r="AR240" s="1065"/>
      <c r="AS240" s="1065"/>
      <c r="AT240" s="1065"/>
      <c r="AU240" s="1065"/>
      <c r="AV240" s="1065"/>
      <c r="AW240" s="1065"/>
      <c r="AX240" s="1065"/>
      <c r="AY240" s="1065"/>
      <c r="AZ240" s="1065"/>
      <c r="BA240" s="1065"/>
      <c r="BB240"/>
      <c r="BC240"/>
      <c r="BD240"/>
      <c r="BE240"/>
      <c r="BF240"/>
      <c r="BG240"/>
      <c r="BJ240" s="1072"/>
      <c r="BK240" s="1072"/>
      <c r="BL240" s="1072"/>
      <c r="BM240" s="1072"/>
      <c r="BN240" s="1072"/>
    </row>
    <row r="241" spans="1:102" s="799" customFormat="1">
      <c r="A241" s="1073" t="s">
        <v>590</v>
      </c>
      <c r="B241" s="1074">
        <v>0.27951560747046789</v>
      </c>
      <c r="C241" s="1074">
        <v>0.30884705303309956</v>
      </c>
      <c r="D241" s="1074">
        <v>0.31698441825024104</v>
      </c>
      <c r="E241" s="1074">
        <v>0.29561681256596511</v>
      </c>
      <c r="F241" s="1074">
        <v>0.29926708816960773</v>
      </c>
      <c r="G241" s="1074">
        <f t="shared" ref="G241:Q241" si="425">G240/G196</f>
        <v>0.32574598890388362</v>
      </c>
      <c r="H241" s="1074">
        <f t="shared" si="425"/>
        <v>0.31797801117867452</v>
      </c>
      <c r="I241" s="1074">
        <f t="shared" si="425"/>
        <v>0.31039717454613047</v>
      </c>
      <c r="J241" s="1074">
        <f t="shared" si="425"/>
        <v>0.3297144038168951</v>
      </c>
      <c r="K241" s="1074">
        <f t="shared" si="425"/>
        <v>0.33378040955992205</v>
      </c>
      <c r="L241" s="1074">
        <f t="shared" si="425"/>
        <v>0.35395568173526792</v>
      </c>
      <c r="M241" s="1074">
        <f t="shared" si="425"/>
        <v>0.36421178975778168</v>
      </c>
      <c r="N241" s="1074">
        <f t="shared" si="425"/>
        <v>0.37728782909222747</v>
      </c>
      <c r="O241" s="1074">
        <f t="shared" si="425"/>
        <v>0.38100829421590859</v>
      </c>
      <c r="P241" s="1074">
        <f t="shared" si="425"/>
        <v>0.38397329486659632</v>
      </c>
      <c r="Q241" s="1074">
        <f t="shared" si="425"/>
        <v>0.38590472790945635</v>
      </c>
      <c r="R241" s="1075"/>
      <c r="S241" s="1076">
        <v>0.32664720071093056</v>
      </c>
      <c r="T241" s="1076">
        <v>0.30439601034355374</v>
      </c>
      <c r="U241" s="1076">
        <v>0.29709869504624353</v>
      </c>
      <c r="V241" s="1076">
        <v>0.25627778445272137</v>
      </c>
      <c r="W241" s="1077">
        <v>0.32522095555270913</v>
      </c>
      <c r="X241" s="1076">
        <v>0.31625808025368946</v>
      </c>
      <c r="Y241" s="1076">
        <v>0.30347003154574131</v>
      </c>
      <c r="Z241" s="1076">
        <v>0.25152671755725192</v>
      </c>
      <c r="AA241" s="1077">
        <f t="shared" ref="AA241:AP241" si="426">AA240/AA196</f>
        <v>0.35866834170854273</v>
      </c>
      <c r="AB241" s="1076">
        <f t="shared" si="426"/>
        <v>0.3326769373334878</v>
      </c>
      <c r="AC241" s="1076">
        <f t="shared" si="426"/>
        <v>0.33002180760843225</v>
      </c>
      <c r="AD241" s="1076">
        <f t="shared" si="426"/>
        <v>0.28371381501529774</v>
      </c>
      <c r="AE241" s="1077">
        <f t="shared" si="426"/>
        <v>0.33665415965842932</v>
      </c>
      <c r="AF241" s="1076">
        <f t="shared" si="426"/>
        <v>0.3182305949684035</v>
      </c>
      <c r="AG241" s="1076">
        <f t="shared" si="426"/>
        <v>0.32741955218402058</v>
      </c>
      <c r="AH241" s="1078">
        <f t="shared" si="426"/>
        <v>0.29094645231475885</v>
      </c>
      <c r="AI241" s="1077">
        <f t="shared" si="426"/>
        <v>0.31324820430965716</v>
      </c>
      <c r="AJ241" s="1076">
        <f t="shared" si="426"/>
        <v>0.30875804057397316</v>
      </c>
      <c r="AK241" s="1076">
        <f t="shared" si="426"/>
        <v>0.31760924951407488</v>
      </c>
      <c r="AL241" s="1078">
        <f t="shared" si="426"/>
        <v>0.30260135153727602</v>
      </c>
      <c r="AM241" s="1076">
        <f t="shared" si="426"/>
        <v>0.3132888783043582</v>
      </c>
      <c r="AN241" s="1076">
        <f t="shared" si="426"/>
        <v>0.3248909195890311</v>
      </c>
      <c r="AO241" s="1076">
        <f t="shared" si="426"/>
        <v>0.32893760639190156</v>
      </c>
      <c r="AP241" s="1076">
        <f t="shared" si="426"/>
        <v>0.35077990685455179</v>
      </c>
      <c r="AQ241" s="1393"/>
      <c r="AR241" s="1079"/>
      <c r="AS241" s="1079"/>
      <c r="AT241" s="1079"/>
      <c r="AU241" s="1079"/>
      <c r="AV241" s="1079"/>
      <c r="AW241" s="1079"/>
      <c r="AX241" s="1079"/>
      <c r="AY241" s="1079"/>
      <c r="AZ241" s="1079"/>
      <c r="BA241" s="1079"/>
      <c r="BB241"/>
      <c r="BC241"/>
      <c r="BD241"/>
      <c r="BE241"/>
      <c r="BF241"/>
      <c r="BG241"/>
      <c r="BH241" s="1071"/>
      <c r="BI241" s="1071"/>
      <c r="BJ241" s="1080"/>
      <c r="BK241" s="1080"/>
      <c r="BL241" s="1080"/>
      <c r="BM241" s="1080"/>
      <c r="BN241" s="1080"/>
      <c r="BO241" s="1071"/>
      <c r="BP241" s="1071"/>
      <c r="BQ241" s="1071"/>
      <c r="BR241" s="1071"/>
      <c r="BS241" s="1071"/>
      <c r="BT241" s="1071"/>
      <c r="BU241" s="1071"/>
      <c r="BV241" s="1071"/>
      <c r="BW241" s="1071"/>
      <c r="BX241" s="1071"/>
      <c r="BY241" s="1071"/>
      <c r="BZ241" s="1071"/>
      <c r="CA241" s="1071"/>
      <c r="CB241" s="1071"/>
      <c r="CC241" s="1071"/>
      <c r="CD241" s="1071"/>
      <c r="CE241" s="1071"/>
      <c r="CF241" s="1071"/>
      <c r="CG241" s="1071"/>
      <c r="CH241" s="1071"/>
      <c r="CI241" s="1071"/>
      <c r="CJ241" s="1071"/>
      <c r="CK241" s="1071"/>
      <c r="CL241" s="1071"/>
      <c r="CM241" s="1071"/>
      <c r="CN241" s="1071"/>
      <c r="CO241" s="1071"/>
      <c r="CP241" s="1071"/>
      <c r="CQ241" s="1071"/>
      <c r="CR241" s="1071"/>
      <c r="CS241" s="1071"/>
      <c r="CT241" s="1071"/>
      <c r="CU241" s="1071"/>
      <c r="CV241" s="1071"/>
      <c r="CW241" s="1071"/>
      <c r="CX241" s="1071"/>
    </row>
    <row r="242" spans="1:102" s="693" customFormat="1">
      <c r="A242" s="896" t="s">
        <v>588</v>
      </c>
      <c r="B242" s="714"/>
      <c r="C242" s="714">
        <v>293.31445562631677</v>
      </c>
      <c r="D242" s="714">
        <v>81.37365217141479</v>
      </c>
      <c r="E242" s="714">
        <v>-213.67605684275927</v>
      </c>
      <c r="F242" s="714">
        <v>36.502756036426163</v>
      </c>
      <c r="G242" s="714">
        <f t="shared" ref="G242:Q242" si="427">(G241-F241)*10000</f>
        <v>264.78900734275891</v>
      </c>
      <c r="H242" s="714">
        <f t="shared" si="427"/>
        <v>-77.679777252090958</v>
      </c>
      <c r="I242" s="714">
        <f t="shared" si="427"/>
        <v>-75.808366325440517</v>
      </c>
      <c r="J242" s="714">
        <f t="shared" si="427"/>
        <v>193.17229270764625</v>
      </c>
      <c r="K242" s="714">
        <f t="shared" si="427"/>
        <v>40.660057430269568</v>
      </c>
      <c r="L242" s="714">
        <f t="shared" si="427"/>
        <v>201.7527217534587</v>
      </c>
      <c r="M242" s="714">
        <f t="shared" si="427"/>
        <v>102.56108022513754</v>
      </c>
      <c r="N242" s="714">
        <f t="shared" si="427"/>
        <v>130.7603933444579</v>
      </c>
      <c r="O242" s="714">
        <f t="shared" si="427"/>
        <v>37.204651236811273</v>
      </c>
      <c r="P242" s="714">
        <f t="shared" si="427"/>
        <v>29.650006506877212</v>
      </c>
      <c r="Q242" s="714">
        <f t="shared" si="427"/>
        <v>19.314330428600314</v>
      </c>
      <c r="R242" s="964"/>
      <c r="S242" s="716">
        <v>3266.4720071093057</v>
      </c>
      <c r="T242" s="716">
        <v>3043.9601034355373</v>
      </c>
      <c r="U242" s="716">
        <v>2970.9869504624353</v>
      </c>
      <c r="V242" s="716">
        <v>2562.7778445272138</v>
      </c>
      <c r="W242" s="717">
        <v>3252.2095555270912</v>
      </c>
      <c r="X242" s="716">
        <v>3162.5808025368947</v>
      </c>
      <c r="Y242" s="716">
        <v>3034.7003154574131</v>
      </c>
      <c r="Z242" s="716">
        <v>2515.2671755725191</v>
      </c>
      <c r="AA242" s="717">
        <f t="shared" ref="AA242:AH242" si="428">(AA241-W241)*10000</f>
        <v>334.4738615583359</v>
      </c>
      <c r="AB242" s="716">
        <f t="shared" si="428"/>
        <v>164.18857079798343</v>
      </c>
      <c r="AC242" s="716">
        <f t="shared" si="428"/>
        <v>265.51776062690936</v>
      </c>
      <c r="AD242" s="716">
        <f t="shared" si="428"/>
        <v>321.87097458045821</v>
      </c>
      <c r="AE242" s="717">
        <f t="shared" si="428"/>
        <v>-220.14182050113408</v>
      </c>
      <c r="AF242" s="716">
        <f t="shared" si="428"/>
        <v>-144.46342365084297</v>
      </c>
      <c r="AG242" s="716">
        <f t="shared" si="428"/>
        <v>-26.022554244116701</v>
      </c>
      <c r="AH242" s="718">
        <f t="shared" si="428"/>
        <v>72.326372994611091</v>
      </c>
      <c r="AI242" s="717">
        <f>(AI241-AE241)*10000</f>
        <v>-234.05955348772156</v>
      </c>
      <c r="AJ242" s="716">
        <f>(AJ241-AF241)*10000</f>
        <v>-94.725543944303439</v>
      </c>
      <c r="AK242" s="716">
        <f>(AK241-AG241)*10000</f>
        <v>-98.103026699457033</v>
      </c>
      <c r="AL242" s="718">
        <f>(AL241-AH241)*10000</f>
        <v>116.54899222517167</v>
      </c>
      <c r="AM242" s="716">
        <f t="shared" ref="AM242:AP242" si="429">(AM241-AI241)*10000</f>
        <v>0.40673994701034832</v>
      </c>
      <c r="AN242" s="716">
        <f t="shared" si="429"/>
        <v>161.32879015057944</v>
      </c>
      <c r="AO242" s="716">
        <f t="shared" si="429"/>
        <v>113.28356877826684</v>
      </c>
      <c r="AP242" s="716">
        <f t="shared" si="429"/>
        <v>481.78555317275772</v>
      </c>
      <c r="AQ242" s="1392"/>
      <c r="AR242" s="692"/>
      <c r="AS242" s="692"/>
      <c r="AT242" s="692"/>
      <c r="AU242" s="692"/>
      <c r="AV242" s="692"/>
      <c r="AW242" s="692"/>
      <c r="AX242" s="692"/>
      <c r="AY242" s="692"/>
      <c r="AZ242" s="692"/>
      <c r="BA242" s="692"/>
      <c r="BB242"/>
      <c r="BC242"/>
      <c r="BD242"/>
      <c r="BE242"/>
      <c r="BF242"/>
      <c r="BG242"/>
      <c r="BJ242" s="714"/>
      <c r="BK242" s="714"/>
      <c r="BL242" s="714"/>
      <c r="BM242" s="714"/>
      <c r="BN242" s="714"/>
    </row>
    <row r="243" spans="1:102" s="693" customFormat="1">
      <c r="A243" s="896" t="s">
        <v>586</v>
      </c>
      <c r="B243" s="755"/>
      <c r="C243" s="755">
        <v>0.18522016290874754</v>
      </c>
      <c r="D243" s="755">
        <v>1.5139442231075773E-2</v>
      </c>
      <c r="E243" s="755">
        <v>-6.5639717425431732E-2</v>
      </c>
      <c r="F243" s="755">
        <v>-9.4508033182816309E-4</v>
      </c>
      <c r="G243" s="755">
        <f t="shared" ref="G243:Q243" si="430">G240/F240-1</f>
        <v>0.14168593651461014</v>
      </c>
      <c r="H243" s="755">
        <f t="shared" si="430"/>
        <v>-4.6768550911434392E-2</v>
      </c>
      <c r="I243" s="755">
        <f t="shared" si="430"/>
        <v>-3.2354645547614469E-2</v>
      </c>
      <c r="J243" s="755">
        <f t="shared" si="430"/>
        <v>0.13891913203007777</v>
      </c>
      <c r="K243" s="755">
        <f t="shared" si="430"/>
        <v>2.0969842803708616E-2</v>
      </c>
      <c r="L243" s="755">
        <f t="shared" si="430"/>
        <v>8.5029165972728915E-2</v>
      </c>
      <c r="M243" s="755">
        <f t="shared" si="430"/>
        <v>6.5054644315567067E-2</v>
      </c>
      <c r="N243" s="755">
        <f t="shared" si="430"/>
        <v>4.6799815277003276E-2</v>
      </c>
      <c r="O243" s="755">
        <f t="shared" si="430"/>
        <v>-2.7739055614225405E-2</v>
      </c>
      <c r="P243" s="755">
        <f t="shared" si="430"/>
        <v>3.1057267250929055E-3</v>
      </c>
      <c r="Q243" s="755">
        <f t="shared" si="430"/>
        <v>-4.0237774445889274E-3</v>
      </c>
      <c r="R243" s="965"/>
      <c r="S243" s="792"/>
      <c r="T243" s="792"/>
      <c r="U243" s="792"/>
      <c r="V243" s="792"/>
      <c r="W243" s="952">
        <f t="shared" ref="W243:AD243" si="431">W240/S240-1</f>
        <v>-1.3214146910221491E-2</v>
      </c>
      <c r="X243" s="792">
        <f t="shared" si="431"/>
        <v>4.8948220064724879E-2</v>
      </c>
      <c r="Y243" s="792">
        <f t="shared" si="431"/>
        <v>2.5586353944562878E-2</v>
      </c>
      <c r="Z243" s="792">
        <f t="shared" si="431"/>
        <v>-7.3136427566807272E-2</v>
      </c>
      <c r="AA243" s="952">
        <f t="shared" si="431"/>
        <v>0.12445844820795582</v>
      </c>
      <c r="AB243" s="792">
        <f t="shared" si="431"/>
        <v>0.10759737755495569</v>
      </c>
      <c r="AC243" s="792">
        <f t="shared" si="431"/>
        <v>0.1326403326403327</v>
      </c>
      <c r="AD243" s="792">
        <f t="shared" si="431"/>
        <v>0.21952453211937284</v>
      </c>
      <c r="AE243" s="952">
        <f t="shared" ref="AE243:AL243" si="432">AE240/AA240-1</f>
        <v>-8.8616462346760017E-2</v>
      </c>
      <c r="AF243" s="792">
        <f t="shared" si="432"/>
        <v>-7.0682451253481937E-2</v>
      </c>
      <c r="AG243" s="792">
        <f t="shared" si="432"/>
        <v>-1.7621145374449365E-2</v>
      </c>
      <c r="AH243" s="791">
        <f t="shared" si="432"/>
        <v>-1.6590626296142386E-3</v>
      </c>
      <c r="AI243" s="952">
        <f t="shared" si="432"/>
        <v>-9.4926979246732213E-2</v>
      </c>
      <c r="AJ243" s="792">
        <f t="shared" si="432"/>
        <v>-6.4818284001499027E-2</v>
      </c>
      <c r="AK243" s="792">
        <f t="shared" si="432"/>
        <v>-3.6603052068507225E-2</v>
      </c>
      <c r="AL243" s="791">
        <f t="shared" si="432"/>
        <v>7.6007381526931317E-2</v>
      </c>
      <c r="AM243" s="792">
        <f t="shared" ref="AM243" si="433">AM240/AI240-1</f>
        <v>0.117197452229298</v>
      </c>
      <c r="AN243" s="792">
        <f t="shared" ref="AN243" si="434">AN240/AJ240-1</f>
        <v>0.13451034052386013</v>
      </c>
      <c r="AO243" s="792">
        <f t="shared" ref="AO243" si="435">AO240/AK240-1</f>
        <v>0.10136972816463197</v>
      </c>
      <c r="AP243" s="792">
        <f t="shared" ref="AP243" si="436">AP240/AL240-1</f>
        <v>0.20029605559320851</v>
      </c>
      <c r="AQ243" s="1383"/>
      <c r="AR243" s="692"/>
      <c r="AS243" s="692"/>
      <c r="AT243" s="692"/>
      <c r="AU243" s="692"/>
      <c r="AV243" s="692"/>
      <c r="AW243" s="692"/>
      <c r="AX243" s="692"/>
      <c r="AY243" s="692"/>
      <c r="AZ243" s="692"/>
      <c r="BA243" s="692"/>
      <c r="BB243"/>
      <c r="BC243"/>
      <c r="BD243"/>
      <c r="BE243"/>
      <c r="BF243"/>
      <c r="BG243"/>
      <c r="BJ243" s="755"/>
      <c r="BK243" s="755"/>
      <c r="BL243" s="755"/>
      <c r="BM243" s="755"/>
      <c r="BN243" s="755"/>
    </row>
    <row r="244" spans="1:102" s="693" customFormat="1">
      <c r="A244" s="896" t="s">
        <v>587</v>
      </c>
      <c r="B244" s="755"/>
      <c r="C244" s="755"/>
      <c r="D244" s="755">
        <v>0.05</v>
      </c>
      <c r="E244" s="755">
        <v>-0.01</v>
      </c>
      <c r="F244" s="755">
        <v>0.04</v>
      </c>
      <c r="G244" s="755"/>
      <c r="H244" s="755">
        <v>-0.01</v>
      </c>
      <c r="I244" s="755">
        <v>0.02</v>
      </c>
      <c r="J244" s="852"/>
      <c r="K244" s="852"/>
      <c r="L244" s="852"/>
      <c r="M244" s="852"/>
      <c r="N244" s="852"/>
      <c r="O244" s="852"/>
      <c r="P244" s="852"/>
      <c r="Q244" s="852"/>
      <c r="R244" s="966"/>
      <c r="S244" s="792">
        <v>0.02</v>
      </c>
      <c r="T244" s="792">
        <v>-0.06</v>
      </c>
      <c r="U244" s="792"/>
      <c r="V244" s="792">
        <v>0.02</v>
      </c>
      <c r="W244" s="952">
        <v>0.04</v>
      </c>
      <c r="X244" s="792">
        <v>0.08</v>
      </c>
      <c r="Y244" s="792">
        <v>0.05</v>
      </c>
      <c r="Z244" s="792">
        <v>0</v>
      </c>
      <c r="AA244" s="952"/>
      <c r="AB244" s="792">
        <v>0.09</v>
      </c>
      <c r="AC244" s="792">
        <v>0.18</v>
      </c>
      <c r="AD244" s="792"/>
      <c r="AE244" s="952">
        <v>-0.03</v>
      </c>
      <c r="AF244" s="792">
        <v>-0.04</v>
      </c>
      <c r="AG244" s="792">
        <v>-0.01</v>
      </c>
      <c r="AH244" s="792">
        <v>0.04</v>
      </c>
      <c r="AI244" s="952">
        <v>-0.03</v>
      </c>
      <c r="AJ244" s="792">
        <v>0.01</v>
      </c>
      <c r="AK244" s="792">
        <v>0.01</v>
      </c>
      <c r="AL244" s="791">
        <v>0.09</v>
      </c>
      <c r="AM244" s="792">
        <v>0.04</v>
      </c>
      <c r="AN244" s="967"/>
      <c r="AO244" s="967"/>
      <c r="AP244" s="967"/>
      <c r="AQ244" s="1383"/>
      <c r="AR244" s="692"/>
      <c r="AS244" s="692"/>
      <c r="AT244" s="692"/>
      <c r="AU244" s="692"/>
      <c r="AV244" s="692"/>
      <c r="AW244" s="692"/>
      <c r="AX244" s="692"/>
      <c r="AY244" s="692"/>
      <c r="AZ244" s="692"/>
      <c r="BA244" s="692"/>
      <c r="BB244"/>
      <c r="BC244"/>
      <c r="BD244"/>
      <c r="BE244"/>
      <c r="BF244"/>
      <c r="BG244"/>
      <c r="BJ244" s="755"/>
      <c r="BK244" s="755"/>
      <c r="BL244" s="755"/>
      <c r="BM244" s="755"/>
      <c r="BN244" s="755"/>
    </row>
    <row r="245" spans="1:102" s="693" customFormat="1" outlineLevel="1">
      <c r="A245" s="897"/>
      <c r="B245" s="968"/>
      <c r="C245" s="968"/>
      <c r="D245" s="968"/>
      <c r="E245" s="968"/>
      <c r="F245" s="968"/>
      <c r="G245" s="968"/>
      <c r="H245" s="968"/>
      <c r="I245" s="968"/>
      <c r="J245" s="968"/>
      <c r="K245" s="968"/>
      <c r="L245" s="968"/>
      <c r="M245" s="968"/>
      <c r="N245" s="968"/>
      <c r="O245" s="968"/>
      <c r="P245" s="968"/>
      <c r="Q245" s="968"/>
      <c r="R245" s="964"/>
      <c r="S245" s="969"/>
      <c r="T245" s="969"/>
      <c r="U245" s="969"/>
      <c r="V245" s="969"/>
      <c r="W245" s="970"/>
      <c r="X245" s="969"/>
      <c r="Y245" s="969"/>
      <c r="Z245" s="969"/>
      <c r="AA245" s="970"/>
      <c r="AB245" s="969"/>
      <c r="AC245" s="969"/>
      <c r="AD245" s="969"/>
      <c r="AE245" s="970"/>
      <c r="AF245" s="969"/>
      <c r="AG245" s="969"/>
      <c r="AH245" s="971"/>
      <c r="AI245" s="970"/>
      <c r="AJ245" s="969"/>
      <c r="AK245" s="969"/>
      <c r="AL245" s="971"/>
      <c r="AM245" s="969"/>
      <c r="AN245" s="969"/>
      <c r="AO245" s="969"/>
      <c r="AP245" s="969"/>
      <c r="AQ245" s="1383"/>
      <c r="AR245" s="692"/>
      <c r="AS245" s="692"/>
      <c r="AT245" s="692"/>
      <c r="AU245" s="692"/>
      <c r="AV245" s="692"/>
      <c r="AW245" s="692"/>
      <c r="AX245" s="692"/>
      <c r="AY245" s="692"/>
      <c r="AZ245" s="692"/>
      <c r="BA245" s="692"/>
      <c r="BB245"/>
      <c r="BC245"/>
      <c r="BD245"/>
      <c r="BE245"/>
      <c r="BF245"/>
      <c r="BG245"/>
      <c r="BJ245" s="747"/>
      <c r="BK245" s="747"/>
      <c r="BL245" s="747"/>
      <c r="BM245" s="747"/>
      <c r="BN245" s="747"/>
    </row>
    <row r="246" spans="1:102" s="693" customFormat="1" outlineLevel="1">
      <c r="A246" s="896" t="s">
        <v>237</v>
      </c>
      <c r="B246" s="714">
        <v>230</v>
      </c>
      <c r="C246" s="714">
        <v>230</v>
      </c>
      <c r="D246" s="714">
        <v>230</v>
      </c>
      <c r="E246" s="714">
        <v>1288.56</v>
      </c>
      <c r="F246" s="714"/>
      <c r="G246" s="714"/>
      <c r="H246" s="714"/>
      <c r="I246" s="714"/>
      <c r="J246" s="714"/>
      <c r="K246" s="714"/>
      <c r="L246" s="714"/>
      <c r="M246" s="714"/>
      <c r="N246" s="714"/>
      <c r="O246" s="714"/>
      <c r="P246" s="714"/>
      <c r="Q246" s="714"/>
      <c r="R246" s="715"/>
      <c r="S246" s="716"/>
      <c r="T246" s="716"/>
      <c r="U246" s="716"/>
      <c r="V246" s="716"/>
      <c r="W246" s="717"/>
      <c r="X246" s="716"/>
      <c r="Y246" s="716"/>
      <c r="Z246" s="716"/>
      <c r="AA246" s="717"/>
      <c r="AB246" s="716"/>
      <c r="AC246" s="716"/>
      <c r="AD246" s="716"/>
      <c r="AE246" s="717"/>
      <c r="AF246" s="716"/>
      <c r="AG246" s="716"/>
      <c r="AH246" s="718"/>
      <c r="AI246" s="717"/>
      <c r="AJ246" s="716"/>
      <c r="AK246" s="716"/>
      <c r="AL246" s="718"/>
      <c r="AM246" s="716"/>
      <c r="AN246" s="716"/>
      <c r="AO246" s="716"/>
      <c r="AP246" s="716"/>
      <c r="AQ246" s="1383"/>
      <c r="AR246" s="692"/>
      <c r="AS246" s="692"/>
      <c r="AT246" s="692"/>
      <c r="AU246" s="692"/>
      <c r="AV246" s="692"/>
      <c r="AW246" s="692"/>
      <c r="AX246" s="692"/>
      <c r="AY246" s="692"/>
      <c r="AZ246" s="692"/>
      <c r="BA246" s="692"/>
      <c r="BB246"/>
      <c r="BC246"/>
      <c r="BD246"/>
      <c r="BE246"/>
      <c r="BF246"/>
      <c r="BG246"/>
      <c r="BJ246" s="714"/>
      <c r="BK246" s="714"/>
      <c r="BL246" s="714"/>
      <c r="BM246" s="714"/>
      <c r="BN246" s="714"/>
    </row>
    <row r="247" spans="1:102" s="693" customFormat="1" outlineLevel="1">
      <c r="A247" s="896" t="s">
        <v>238</v>
      </c>
      <c r="B247" s="714">
        <v>970</v>
      </c>
      <c r="C247" s="714">
        <v>970</v>
      </c>
      <c r="D247" s="714">
        <v>970</v>
      </c>
      <c r="E247" s="714"/>
      <c r="F247" s="714"/>
      <c r="G247" s="714"/>
      <c r="H247" s="714"/>
      <c r="I247" s="714"/>
      <c r="J247" s="714"/>
      <c r="K247" s="714"/>
      <c r="L247" s="714"/>
      <c r="M247" s="714"/>
      <c r="N247" s="714"/>
      <c r="O247" s="714"/>
      <c r="P247" s="714"/>
      <c r="Q247" s="714"/>
      <c r="R247" s="715"/>
      <c r="S247" s="716"/>
      <c r="T247" s="716"/>
      <c r="U247" s="716"/>
      <c r="V247" s="716"/>
      <c r="W247" s="717"/>
      <c r="X247" s="716"/>
      <c r="Y247" s="716"/>
      <c r="Z247" s="716"/>
      <c r="AA247" s="717"/>
      <c r="AB247" s="716"/>
      <c r="AC247" s="716"/>
      <c r="AD247" s="716"/>
      <c r="AE247" s="717"/>
      <c r="AF247" s="716"/>
      <c r="AG247" s="716"/>
      <c r="AH247" s="718"/>
      <c r="AI247" s="717"/>
      <c r="AJ247" s="716"/>
      <c r="AK247" s="716"/>
      <c r="AL247" s="718"/>
      <c r="AM247" s="716"/>
      <c r="AN247" s="716"/>
      <c r="AO247" s="716"/>
      <c r="AP247" s="716"/>
      <c r="AQ247" s="1383"/>
      <c r="AR247" s="692"/>
      <c r="AS247" s="692"/>
      <c r="AT247" s="692"/>
      <c r="AU247" s="692"/>
      <c r="AV247" s="692"/>
      <c r="AW247" s="692"/>
      <c r="AX247" s="692"/>
      <c r="AY247" s="692"/>
      <c r="AZ247" s="692"/>
      <c r="BA247" s="692"/>
      <c r="BB247"/>
      <c r="BC247"/>
      <c r="BD247"/>
      <c r="BE247"/>
      <c r="BF247"/>
      <c r="BG247"/>
      <c r="BJ247" s="714"/>
      <c r="BK247" s="714"/>
      <c r="BL247" s="714"/>
      <c r="BM247" s="714"/>
      <c r="BN247" s="714"/>
    </row>
    <row r="248" spans="1:102" s="693" customFormat="1" outlineLevel="1">
      <c r="A248" s="896" t="s">
        <v>239</v>
      </c>
      <c r="B248" s="714">
        <v>80</v>
      </c>
      <c r="C248" s="714">
        <v>80</v>
      </c>
      <c r="D248" s="714">
        <v>80</v>
      </c>
      <c r="E248" s="714"/>
      <c r="F248" s="714"/>
      <c r="G248" s="714"/>
      <c r="H248" s="714"/>
      <c r="I248" s="714"/>
      <c r="J248" s="714"/>
      <c r="K248" s="714"/>
      <c r="L248" s="714"/>
      <c r="M248" s="714"/>
      <c r="N248" s="714"/>
      <c r="O248" s="714"/>
      <c r="P248" s="714"/>
      <c r="Q248" s="714"/>
      <c r="R248" s="715"/>
      <c r="S248" s="716"/>
      <c r="T248" s="716"/>
      <c r="U248" s="716"/>
      <c r="V248" s="716"/>
      <c r="W248" s="717"/>
      <c r="X248" s="716"/>
      <c r="Y248" s="716"/>
      <c r="Z248" s="716"/>
      <c r="AA248" s="717"/>
      <c r="AB248" s="716"/>
      <c r="AC248" s="716"/>
      <c r="AD248" s="716"/>
      <c r="AE248" s="717"/>
      <c r="AF248" s="716"/>
      <c r="AG248" s="716"/>
      <c r="AH248" s="718"/>
      <c r="AI248" s="717"/>
      <c r="AJ248" s="716"/>
      <c r="AK248" s="716"/>
      <c r="AL248" s="718"/>
      <c r="AM248" s="716"/>
      <c r="AN248" s="716"/>
      <c r="AO248" s="716"/>
      <c r="AP248" s="716"/>
      <c r="AQ248" s="1383"/>
      <c r="AR248" s="692"/>
      <c r="AS248" s="692"/>
      <c r="AT248" s="692"/>
      <c r="AU248" s="692"/>
      <c r="AV248" s="692"/>
      <c r="AW248" s="692"/>
      <c r="AX248" s="692"/>
      <c r="AY248" s="692"/>
      <c r="AZ248" s="692"/>
      <c r="BA248" s="692"/>
      <c r="BB248"/>
      <c r="BC248"/>
      <c r="BD248"/>
      <c r="BE248"/>
      <c r="BF248"/>
      <c r="BG248"/>
      <c r="BJ248" s="714"/>
      <c r="BK248" s="714"/>
      <c r="BL248" s="714"/>
      <c r="BM248" s="714"/>
      <c r="BN248" s="714"/>
    </row>
    <row r="249" spans="1:102" s="693" customFormat="1" outlineLevel="1">
      <c r="A249" s="897" t="s">
        <v>240</v>
      </c>
      <c r="B249" s="720">
        <v>1280</v>
      </c>
      <c r="C249" s="720">
        <v>1280</v>
      </c>
      <c r="D249" s="720">
        <v>1280</v>
      </c>
      <c r="E249" s="720">
        <v>1288.56</v>
      </c>
      <c r="F249" s="720"/>
      <c r="G249" s="720"/>
      <c r="H249" s="720"/>
      <c r="I249" s="720"/>
      <c r="J249" s="720"/>
      <c r="K249" s="720"/>
      <c r="L249" s="720"/>
      <c r="M249" s="720"/>
      <c r="N249" s="720"/>
      <c r="O249" s="720"/>
      <c r="P249" s="720"/>
      <c r="Q249" s="720"/>
      <c r="R249" s="719"/>
      <c r="S249" s="796"/>
      <c r="T249" s="796"/>
      <c r="U249" s="796"/>
      <c r="V249" s="796"/>
      <c r="W249" s="797"/>
      <c r="X249" s="796"/>
      <c r="Y249" s="796"/>
      <c r="Z249" s="796"/>
      <c r="AA249" s="797"/>
      <c r="AB249" s="796"/>
      <c r="AC249" s="796"/>
      <c r="AD249" s="796"/>
      <c r="AE249" s="797"/>
      <c r="AF249" s="796"/>
      <c r="AG249" s="796"/>
      <c r="AH249" s="798"/>
      <c r="AI249" s="797"/>
      <c r="AJ249" s="796"/>
      <c r="AK249" s="796"/>
      <c r="AL249" s="798"/>
      <c r="AM249" s="796"/>
      <c r="AN249" s="796"/>
      <c r="AO249" s="796"/>
      <c r="AP249" s="796"/>
      <c r="AQ249" s="1383"/>
      <c r="AR249" s="692"/>
      <c r="AS249" s="692"/>
      <c r="AT249" s="692"/>
      <c r="AU249" s="692"/>
      <c r="AV249" s="692"/>
      <c r="AW249" s="692"/>
      <c r="AX249" s="692"/>
      <c r="AY249" s="692"/>
      <c r="AZ249" s="692"/>
      <c r="BA249" s="692"/>
      <c r="BB249"/>
      <c r="BC249"/>
      <c r="BD249"/>
      <c r="BE249"/>
      <c r="BF249"/>
      <c r="BG249"/>
      <c r="BJ249" s="720"/>
      <c r="BK249" s="720"/>
      <c r="BL249" s="720"/>
      <c r="BM249" s="720"/>
      <c r="BN249" s="720"/>
    </row>
    <row r="250" spans="1:102" s="693" customFormat="1" outlineLevel="1">
      <c r="A250" s="896" t="s">
        <v>184</v>
      </c>
      <c r="B250" s="714">
        <v>7191</v>
      </c>
      <c r="C250" s="714">
        <v>8760</v>
      </c>
      <c r="D250" s="714">
        <v>8912</v>
      </c>
      <c r="E250" s="714">
        <v>8234.44</v>
      </c>
      <c r="F250" s="714"/>
      <c r="G250" s="714"/>
      <c r="H250" s="714"/>
      <c r="I250" s="714"/>
      <c r="J250" s="714"/>
      <c r="K250" s="714"/>
      <c r="L250" s="714"/>
      <c r="M250" s="714"/>
      <c r="N250" s="714"/>
      <c r="O250" s="714"/>
      <c r="P250" s="714"/>
      <c r="Q250" s="714"/>
      <c r="R250" s="715"/>
      <c r="S250" s="716"/>
      <c r="T250" s="716"/>
      <c r="U250" s="716"/>
      <c r="V250" s="716"/>
      <c r="W250" s="717"/>
      <c r="X250" s="716"/>
      <c r="Y250" s="716"/>
      <c r="Z250" s="716"/>
      <c r="AA250" s="717"/>
      <c r="AB250" s="716"/>
      <c r="AC250" s="716"/>
      <c r="AD250" s="716"/>
      <c r="AE250" s="717"/>
      <c r="AF250" s="716"/>
      <c r="AG250" s="716"/>
      <c r="AH250" s="718"/>
      <c r="AI250" s="717"/>
      <c r="AJ250" s="716"/>
      <c r="AK250" s="716"/>
      <c r="AL250" s="718"/>
      <c r="AM250" s="716"/>
      <c r="AN250" s="716"/>
      <c r="AO250" s="716"/>
      <c r="AP250" s="716"/>
      <c r="AQ250" s="1383"/>
      <c r="AR250" s="692"/>
      <c r="AS250" s="692"/>
      <c r="AT250" s="692"/>
      <c r="AU250" s="692"/>
      <c r="AV250" s="692"/>
      <c r="AW250" s="692"/>
      <c r="AX250" s="692"/>
      <c r="AY250" s="692"/>
      <c r="AZ250" s="692"/>
      <c r="BA250" s="692"/>
      <c r="BB250"/>
      <c r="BC250"/>
      <c r="BD250"/>
      <c r="BE250"/>
      <c r="BF250"/>
      <c r="BG250"/>
      <c r="BJ250" s="714"/>
      <c r="BK250" s="714"/>
      <c r="BL250" s="714"/>
      <c r="BM250" s="714"/>
      <c r="BN250" s="714"/>
    </row>
    <row r="251" spans="1:102" s="693" customFormat="1" outlineLevel="1">
      <c r="A251" s="896" t="s">
        <v>185</v>
      </c>
      <c r="B251" s="731">
        <v>0.23727974658483469</v>
      </c>
      <c r="C251" s="731">
        <v>0.26947212993724623</v>
      </c>
      <c r="D251" s="731">
        <v>0.27717475818741644</v>
      </c>
      <c r="E251" s="731">
        <v>0.25561681256596513</v>
      </c>
      <c r="F251" s="731"/>
      <c r="G251" s="731"/>
      <c r="H251" s="731"/>
      <c r="I251" s="731"/>
      <c r="J251" s="731"/>
      <c r="K251" s="731"/>
      <c r="L251" s="731"/>
      <c r="M251" s="731"/>
      <c r="N251" s="731"/>
      <c r="O251" s="731"/>
      <c r="P251" s="731"/>
      <c r="Q251" s="731"/>
      <c r="R251" s="972"/>
      <c r="S251" s="973"/>
      <c r="T251" s="973"/>
      <c r="U251" s="973"/>
      <c r="V251" s="973"/>
      <c r="W251" s="974"/>
      <c r="X251" s="973"/>
      <c r="Y251" s="973"/>
      <c r="Z251" s="973"/>
      <c r="AA251" s="974"/>
      <c r="AB251" s="973"/>
      <c r="AC251" s="973"/>
      <c r="AD251" s="973"/>
      <c r="AE251" s="974"/>
      <c r="AF251" s="973"/>
      <c r="AG251" s="973"/>
      <c r="AH251" s="975"/>
      <c r="AI251" s="974"/>
      <c r="AJ251" s="973"/>
      <c r="AK251" s="973"/>
      <c r="AL251" s="975"/>
      <c r="AM251" s="732"/>
      <c r="AN251" s="732"/>
      <c r="AO251" s="732"/>
      <c r="AP251" s="732"/>
      <c r="AQ251" s="1383"/>
      <c r="AR251" s="692"/>
      <c r="AS251" s="692"/>
      <c r="AT251" s="692"/>
      <c r="AU251" s="692"/>
      <c r="AV251" s="692"/>
      <c r="AW251" s="692"/>
      <c r="AX251" s="692"/>
      <c r="AY251" s="692"/>
      <c r="AZ251" s="692"/>
      <c r="BA251" s="692"/>
      <c r="BB251"/>
      <c r="BC251"/>
      <c r="BD251"/>
      <c r="BE251"/>
      <c r="BF251"/>
      <c r="BG251"/>
      <c r="BJ251" s="976"/>
      <c r="BK251" s="976"/>
      <c r="BL251" s="976"/>
      <c r="BM251" s="976"/>
      <c r="BN251" s="976"/>
    </row>
    <row r="252" spans="1:102" s="693" customFormat="1" outlineLevel="1">
      <c r="A252" s="896" t="s">
        <v>241</v>
      </c>
      <c r="B252" s="714">
        <v>453</v>
      </c>
      <c r="C252" s="714">
        <v>423</v>
      </c>
      <c r="D252" s="714">
        <v>322</v>
      </c>
      <c r="E252" s="714">
        <v>278</v>
      </c>
      <c r="F252" s="714">
        <v>276</v>
      </c>
      <c r="G252" s="714">
        <v>1290</v>
      </c>
      <c r="H252" s="714">
        <v>2440</v>
      </c>
      <c r="I252" s="714">
        <v>2243</v>
      </c>
      <c r="J252" s="714">
        <f t="shared" ref="J252:N252" si="437">I252</f>
        <v>2243</v>
      </c>
      <c r="K252" s="714">
        <f t="shared" si="437"/>
        <v>2243</v>
      </c>
      <c r="L252" s="714">
        <f t="shared" si="437"/>
        <v>2243</v>
      </c>
      <c r="M252" s="714">
        <f t="shared" si="437"/>
        <v>2243</v>
      </c>
      <c r="N252" s="714">
        <f t="shared" si="437"/>
        <v>2243</v>
      </c>
      <c r="O252" s="714">
        <f>N252-290</f>
        <v>1953</v>
      </c>
      <c r="P252" s="714">
        <f>O252</f>
        <v>1953</v>
      </c>
      <c r="Q252" s="714">
        <f>P252</f>
        <v>1953</v>
      </c>
      <c r="R252" s="715"/>
      <c r="S252" s="716">
        <v>69</v>
      </c>
      <c r="T252" s="716">
        <v>69</v>
      </c>
      <c r="U252" s="716">
        <v>70</v>
      </c>
      <c r="V252" s="716">
        <v>70</v>
      </c>
      <c r="W252" s="717">
        <v>69</v>
      </c>
      <c r="X252" s="716">
        <v>71</v>
      </c>
      <c r="Y252" s="716">
        <v>69</v>
      </c>
      <c r="Z252" s="716">
        <v>67</v>
      </c>
      <c r="AA252" s="717">
        <v>168</v>
      </c>
      <c r="AB252" s="716">
        <v>384</v>
      </c>
      <c r="AC252" s="716">
        <v>369</v>
      </c>
      <c r="AD252" s="716">
        <f>+G252-SUM(AA252:AC252)</f>
        <v>369</v>
      </c>
      <c r="AE252" s="717">
        <v>609</v>
      </c>
      <c r="AF252" s="716">
        <v>614</v>
      </c>
      <c r="AG252" s="716">
        <v>612</v>
      </c>
      <c r="AH252" s="718">
        <f>+H252-SUM(AE252:AG252)</f>
        <v>605</v>
      </c>
      <c r="AI252" s="717">
        <v>533</v>
      </c>
      <c r="AJ252" s="716">
        <f>AF252</f>
        <v>614</v>
      </c>
      <c r="AK252" s="716">
        <f>AG252</f>
        <v>612</v>
      </c>
      <c r="AL252" s="718">
        <f>I252-AI252-AJ252-AK252</f>
        <v>484</v>
      </c>
      <c r="AM252" s="716">
        <v>516</v>
      </c>
      <c r="AN252" s="716">
        <f t="shared" ref="AN252:AO252" si="438">AJ252</f>
        <v>614</v>
      </c>
      <c r="AO252" s="716">
        <f t="shared" si="438"/>
        <v>612</v>
      </c>
      <c r="AP252" s="716">
        <f t="shared" ref="AP252:AP255" si="439">J252-AM252-AN252-AO252</f>
        <v>501</v>
      </c>
      <c r="AQ252" s="1392"/>
      <c r="AR252" s="692"/>
      <c r="AS252" s="692"/>
      <c r="AT252" s="692"/>
      <c r="AU252" s="692"/>
      <c r="AV252" s="692"/>
      <c r="AW252" s="692"/>
      <c r="AX252" s="692"/>
      <c r="AY252" s="692"/>
      <c r="AZ252" s="692"/>
      <c r="BA252" s="692"/>
      <c r="BB252"/>
      <c r="BC252"/>
      <c r="BD252"/>
      <c r="BE252"/>
      <c r="BF252"/>
      <c r="BG252"/>
      <c r="BJ252" s="714"/>
      <c r="BK252" s="714"/>
      <c r="BL252" s="714"/>
      <c r="BM252" s="714"/>
      <c r="BN252" s="714"/>
    </row>
    <row r="253" spans="1:102" s="693" customFormat="1" outlineLevel="1">
      <c r="A253" s="896" t="s">
        <v>242</v>
      </c>
      <c r="B253" s="714">
        <v>833</v>
      </c>
      <c r="C253" s="714">
        <v>981</v>
      </c>
      <c r="D253" s="714">
        <v>241</v>
      </c>
      <c r="E253" s="714">
        <v>73</v>
      </c>
      <c r="F253" s="714">
        <v>266</v>
      </c>
      <c r="G253" s="714">
        <v>12</v>
      </c>
      <c r="H253" s="714">
        <v>617</v>
      </c>
      <c r="I253" s="714">
        <v>675</v>
      </c>
      <c r="J253" s="714">
        <v>0</v>
      </c>
      <c r="K253" s="714">
        <v>0</v>
      </c>
      <c r="L253" s="714">
        <v>0</v>
      </c>
      <c r="M253" s="714">
        <v>0</v>
      </c>
      <c r="N253" s="714">
        <v>0</v>
      </c>
      <c r="O253" s="714">
        <v>0</v>
      </c>
      <c r="P253" s="714">
        <v>0</v>
      </c>
      <c r="Q253" s="714">
        <v>0</v>
      </c>
      <c r="R253" s="715"/>
      <c r="S253" s="716">
        <v>0</v>
      </c>
      <c r="T253" s="716">
        <v>7</v>
      </c>
      <c r="U253" s="716">
        <v>-20</v>
      </c>
      <c r="V253" s="716">
        <v>86</v>
      </c>
      <c r="W253" s="717">
        <v>15</v>
      </c>
      <c r="X253" s="716">
        <v>41</v>
      </c>
      <c r="Y253" s="716">
        <v>53</v>
      </c>
      <c r="Z253" s="716">
        <v>157</v>
      </c>
      <c r="AA253" s="717">
        <v>16</v>
      </c>
      <c r="AB253" s="716">
        <v>20</v>
      </c>
      <c r="AC253" s="716">
        <v>-21</v>
      </c>
      <c r="AD253" s="716">
        <f>+G253-SUM(AA253:AC253)</f>
        <v>-3</v>
      </c>
      <c r="AE253" s="717">
        <v>2</v>
      </c>
      <c r="AF253" s="716">
        <v>73</v>
      </c>
      <c r="AG253" s="716">
        <v>92</v>
      </c>
      <c r="AH253" s="718">
        <f>-AH236</f>
        <v>147</v>
      </c>
      <c r="AI253" s="717">
        <v>499</v>
      </c>
      <c r="AJ253" s="716">
        <f>-AJ236</f>
        <v>144</v>
      </c>
      <c r="AK253" s="716">
        <f>-AK236</f>
        <v>58</v>
      </c>
      <c r="AL253" s="718">
        <f>-AL236</f>
        <v>148</v>
      </c>
      <c r="AM253" s="716">
        <v>4</v>
      </c>
      <c r="AN253" s="716">
        <v>0</v>
      </c>
      <c r="AO253" s="716">
        <v>0</v>
      </c>
      <c r="AP253" s="716">
        <f t="shared" si="439"/>
        <v>-4</v>
      </c>
      <c r="AQ253" s="1392"/>
      <c r="AR253" s="692"/>
      <c r="AS253" s="692"/>
      <c r="AT253" s="692"/>
      <c r="AU253" s="692"/>
      <c r="AV253" s="692"/>
      <c r="AW253" s="692"/>
      <c r="AX253" s="692"/>
      <c r="AY253" s="692"/>
      <c r="AZ253" s="692"/>
      <c r="BA253" s="692"/>
      <c r="BB253"/>
      <c r="BC253"/>
      <c r="BD253"/>
      <c r="BE253"/>
      <c r="BF253"/>
      <c r="BG253"/>
      <c r="BJ253" s="714"/>
      <c r="BK253" s="714"/>
      <c r="BL253" s="714"/>
      <c r="BM253" s="714"/>
      <c r="BN253" s="714"/>
    </row>
    <row r="254" spans="1:102" s="693" customFormat="1" outlineLevel="1">
      <c r="A254" s="897" t="s">
        <v>243</v>
      </c>
      <c r="B254" s="720">
        <v>1286</v>
      </c>
      <c r="C254" s="720">
        <v>1404</v>
      </c>
      <c r="D254" s="720">
        <v>563</v>
      </c>
      <c r="E254" s="720">
        <v>351</v>
      </c>
      <c r="F254" s="720">
        <v>542</v>
      </c>
      <c r="G254" s="720">
        <f t="shared" ref="G254:Q254" si="440">G252+G253</f>
        <v>1302</v>
      </c>
      <c r="H254" s="720">
        <f t="shared" si="440"/>
        <v>3057</v>
      </c>
      <c r="I254" s="720">
        <f t="shared" si="440"/>
        <v>2918</v>
      </c>
      <c r="J254" s="720">
        <f t="shared" si="440"/>
        <v>2243</v>
      </c>
      <c r="K254" s="720">
        <f t="shared" si="440"/>
        <v>2243</v>
      </c>
      <c r="L254" s="720">
        <f t="shared" si="440"/>
        <v>2243</v>
      </c>
      <c r="M254" s="720">
        <f t="shared" si="440"/>
        <v>2243</v>
      </c>
      <c r="N254" s="720">
        <f t="shared" si="440"/>
        <v>2243</v>
      </c>
      <c r="O254" s="720">
        <f t="shared" si="440"/>
        <v>1953</v>
      </c>
      <c r="P254" s="720">
        <f t="shared" si="440"/>
        <v>1953</v>
      </c>
      <c r="Q254" s="720">
        <f t="shared" si="440"/>
        <v>1953</v>
      </c>
      <c r="R254" s="719"/>
      <c r="S254" s="796">
        <v>69</v>
      </c>
      <c r="T254" s="796">
        <v>76</v>
      </c>
      <c r="U254" s="796">
        <v>50</v>
      </c>
      <c r="V254" s="796">
        <v>156</v>
      </c>
      <c r="W254" s="797">
        <v>84</v>
      </c>
      <c r="X254" s="796">
        <v>112</v>
      </c>
      <c r="Y254" s="796">
        <v>122</v>
      </c>
      <c r="Z254" s="796">
        <v>224</v>
      </c>
      <c r="AA254" s="797">
        <f t="shared" ref="AA254:AP254" si="441">AA252+AA253</f>
        <v>184</v>
      </c>
      <c r="AB254" s="796">
        <f t="shared" si="441"/>
        <v>404</v>
      </c>
      <c r="AC254" s="796">
        <f t="shared" si="441"/>
        <v>348</v>
      </c>
      <c r="AD254" s="796">
        <f t="shared" si="441"/>
        <v>366</v>
      </c>
      <c r="AE254" s="797">
        <f t="shared" si="441"/>
        <v>611</v>
      </c>
      <c r="AF254" s="796">
        <f t="shared" si="441"/>
        <v>687</v>
      </c>
      <c r="AG254" s="796">
        <f>AG252+AG253</f>
        <v>704</v>
      </c>
      <c r="AH254" s="798">
        <f t="shared" si="441"/>
        <v>752</v>
      </c>
      <c r="AI254" s="797">
        <f t="shared" si="441"/>
        <v>1032</v>
      </c>
      <c r="AJ254" s="796">
        <f t="shared" si="441"/>
        <v>758</v>
      </c>
      <c r="AK254" s="796">
        <f t="shared" si="441"/>
        <v>670</v>
      </c>
      <c r="AL254" s="798">
        <f t="shared" si="441"/>
        <v>632</v>
      </c>
      <c r="AM254" s="796">
        <f t="shared" si="441"/>
        <v>520</v>
      </c>
      <c r="AN254" s="796">
        <f t="shared" si="441"/>
        <v>614</v>
      </c>
      <c r="AO254" s="796">
        <f t="shared" si="441"/>
        <v>612</v>
      </c>
      <c r="AP254" s="796">
        <f t="shared" si="441"/>
        <v>497</v>
      </c>
      <c r="AQ254" s="1392"/>
      <c r="AR254" s="692"/>
      <c r="AS254" s="692"/>
      <c r="AT254" s="692"/>
      <c r="AU254" s="692"/>
      <c r="AV254" s="692"/>
      <c r="AW254" s="692"/>
      <c r="AX254" s="692"/>
      <c r="AY254" s="692"/>
      <c r="AZ254" s="692"/>
      <c r="BA254" s="692"/>
      <c r="BB254"/>
      <c r="BC254"/>
      <c r="BD254"/>
      <c r="BE254"/>
      <c r="BF254"/>
      <c r="BG254"/>
      <c r="BJ254" s="720"/>
      <c r="BK254" s="720"/>
      <c r="BL254" s="720"/>
      <c r="BM254" s="720"/>
      <c r="BN254" s="720"/>
    </row>
    <row r="255" spans="1:102" s="693" customFormat="1" outlineLevel="1">
      <c r="A255" s="897" t="s">
        <v>244</v>
      </c>
      <c r="B255" s="977">
        <v>-171</v>
      </c>
      <c r="C255" s="977">
        <v>340</v>
      </c>
      <c r="D255" s="977">
        <v>52</v>
      </c>
      <c r="E255" s="714">
        <v>-204</v>
      </c>
      <c r="F255" s="714">
        <v>501</v>
      </c>
      <c r="G255" s="714">
        <f>192+329</f>
        <v>521</v>
      </c>
      <c r="H255" s="714">
        <f>-27-102</f>
        <v>-129</v>
      </c>
      <c r="I255" s="714">
        <f>-400+30</f>
        <v>-370</v>
      </c>
      <c r="J255" s="714">
        <v>300</v>
      </c>
      <c r="K255" s="714">
        <v>0</v>
      </c>
      <c r="L255" s="714">
        <v>0</v>
      </c>
      <c r="M255" s="714">
        <v>0</v>
      </c>
      <c r="N255" s="714">
        <v>0</v>
      </c>
      <c r="O255" s="714">
        <v>0</v>
      </c>
      <c r="P255" s="714">
        <v>0</v>
      </c>
      <c r="Q255" s="714">
        <v>0</v>
      </c>
      <c r="R255" s="715"/>
      <c r="S255" s="716">
        <v>-35</v>
      </c>
      <c r="T255" s="716">
        <v>-161</v>
      </c>
      <c r="U255" s="716">
        <v>28</v>
      </c>
      <c r="V255" s="716">
        <v>-36</v>
      </c>
      <c r="W255" s="717">
        <v>234</v>
      </c>
      <c r="X255" s="716">
        <v>75</v>
      </c>
      <c r="Y255" s="716">
        <v>50</v>
      </c>
      <c r="Z255" s="716">
        <v>142</v>
      </c>
      <c r="AA255" s="717">
        <f>41-104</f>
        <v>-63</v>
      </c>
      <c r="AB255" s="716">
        <f>69+18</f>
        <v>87</v>
      </c>
      <c r="AC255" s="716">
        <f>184+45</f>
        <v>229</v>
      </c>
      <c r="AD255" s="716">
        <f>+G255-SUM(AA255:AC255)</f>
        <v>268</v>
      </c>
      <c r="AE255" s="717">
        <f>-187-2</f>
        <v>-189</v>
      </c>
      <c r="AF255" s="716">
        <f>111+5</f>
        <v>116</v>
      </c>
      <c r="AG255" s="716">
        <f>-61+13</f>
        <v>-48</v>
      </c>
      <c r="AH255" s="718">
        <f>+H255-SUM(AE255:AG255)</f>
        <v>-8</v>
      </c>
      <c r="AI255" s="717">
        <f>-334+7</f>
        <v>-327</v>
      </c>
      <c r="AJ255" s="716">
        <f>I255/4</f>
        <v>-92.5</v>
      </c>
      <c r="AK255" s="716">
        <f>I255/4</f>
        <v>-92.5</v>
      </c>
      <c r="AL255" s="718">
        <f>I255-AI255-AJ255-AK255</f>
        <v>142</v>
      </c>
      <c r="AM255" s="716">
        <f>23-47</f>
        <v>-24</v>
      </c>
      <c r="AN255" s="716">
        <f>J255/4</f>
        <v>75</v>
      </c>
      <c r="AO255" s="716">
        <f>J255/4</f>
        <v>75</v>
      </c>
      <c r="AP255" s="716">
        <f t="shared" si="439"/>
        <v>174</v>
      </c>
      <c r="AQ255" s="1392"/>
      <c r="AR255" s="692"/>
      <c r="AS255" s="692"/>
      <c r="AT255" s="692"/>
      <c r="AU255" s="692"/>
      <c r="AV255" s="692"/>
      <c r="AW255" s="692"/>
      <c r="AX255" s="692"/>
      <c r="AY255" s="692"/>
      <c r="AZ255" s="692"/>
      <c r="BA255" s="692"/>
      <c r="BB255"/>
      <c r="BC255"/>
      <c r="BD255"/>
      <c r="BE255"/>
      <c r="BF255"/>
      <c r="BG255"/>
      <c r="BJ255" s="714"/>
      <c r="BK255" s="714"/>
      <c r="BL255" s="714"/>
      <c r="BM255" s="714"/>
      <c r="BN255" s="714"/>
    </row>
    <row r="256" spans="1:102" s="693" customFormat="1" outlineLevel="1">
      <c r="A256" s="897"/>
      <c r="B256" s="973"/>
      <c r="C256" s="973"/>
      <c r="D256" s="973"/>
      <c r="E256" s="973"/>
      <c r="F256" s="973"/>
      <c r="G256" s="973"/>
      <c r="H256" s="973"/>
      <c r="I256" s="973"/>
      <c r="J256" s="973"/>
      <c r="K256" s="973"/>
      <c r="L256" s="973"/>
      <c r="M256" s="973"/>
      <c r="N256" s="973"/>
      <c r="O256" s="973"/>
      <c r="P256" s="973"/>
      <c r="Q256" s="973"/>
      <c r="R256" s="972"/>
      <c r="S256" s="973"/>
      <c r="T256" s="973"/>
      <c r="U256" s="973"/>
      <c r="V256" s="973"/>
      <c r="W256" s="974"/>
      <c r="X256" s="973"/>
      <c r="Y256" s="973"/>
      <c r="Z256" s="973"/>
      <c r="AA256" s="974"/>
      <c r="AB256" s="973"/>
      <c r="AC256" s="973"/>
      <c r="AD256" s="973"/>
      <c r="AE256" s="974"/>
      <c r="AF256" s="973"/>
      <c r="AG256" s="973"/>
      <c r="AH256" s="975"/>
      <c r="AI256" s="974"/>
      <c r="AJ256" s="973"/>
      <c r="AK256" s="973"/>
      <c r="AL256" s="975"/>
      <c r="AM256" s="973"/>
      <c r="AN256" s="973"/>
      <c r="AO256" s="973"/>
      <c r="AP256" s="973"/>
      <c r="AQ256" s="1383"/>
      <c r="AR256" s="692"/>
      <c r="AS256" s="692"/>
      <c r="AT256" s="692"/>
      <c r="AU256" s="692"/>
      <c r="AV256" s="692"/>
      <c r="AW256" s="692"/>
      <c r="AX256" s="692"/>
      <c r="AY256" s="692"/>
      <c r="AZ256" s="692"/>
      <c r="BA256" s="692"/>
      <c r="BB256"/>
      <c r="BC256"/>
      <c r="BD256"/>
      <c r="BE256"/>
      <c r="BF256"/>
      <c r="BG256"/>
      <c r="BJ256" s="978"/>
      <c r="BK256" s="978"/>
      <c r="BL256" s="978"/>
      <c r="BM256" s="978"/>
      <c r="BN256" s="978"/>
    </row>
    <row r="257" spans="1:102" s="693" customFormat="1" outlineLevel="1">
      <c r="A257" s="897" t="s">
        <v>245</v>
      </c>
      <c r="B257" s="714">
        <v>9757</v>
      </c>
      <c r="C257" s="714">
        <v>11444</v>
      </c>
      <c r="D257" s="714">
        <v>10755</v>
      </c>
      <c r="E257" s="714">
        <v>9874</v>
      </c>
      <c r="F257" s="714">
        <v>10056</v>
      </c>
      <c r="G257" s="714">
        <f t="shared" ref="G257:Q257" si="442">G240+G254</f>
        <v>12164</v>
      </c>
      <c r="H257" s="714">
        <f t="shared" si="442"/>
        <v>13411</v>
      </c>
      <c r="I257" s="714">
        <f t="shared" si="442"/>
        <v>12937</v>
      </c>
      <c r="J257" s="714">
        <f t="shared" si="442"/>
        <v>13653.83078380935</v>
      </c>
      <c r="K257" s="714">
        <f t="shared" si="442"/>
        <v>13893.114111605551</v>
      </c>
      <c r="L257" s="714">
        <f t="shared" si="442"/>
        <v>14883.713598002492</v>
      </c>
      <c r="M257" s="714">
        <f t="shared" si="442"/>
        <v>15706.050725015497</v>
      </c>
      <c r="N257" s="714">
        <f t="shared" si="442"/>
        <v>16336.119012011148</v>
      </c>
      <c r="O257" s="714">
        <f t="shared" si="442"/>
        <v>15655.189199959073</v>
      </c>
      <c r="P257" s="714">
        <f t="shared" si="442"/>
        <v>15697.744455149665</v>
      </c>
      <c r="Q257" s="714">
        <f t="shared" si="442"/>
        <v>15642.438662429395</v>
      </c>
      <c r="R257" s="715"/>
      <c r="S257" s="716">
        <v>2642</v>
      </c>
      <c r="T257" s="716">
        <v>2548</v>
      </c>
      <c r="U257" s="716">
        <v>2395</v>
      </c>
      <c r="V257" s="716">
        <v>2289</v>
      </c>
      <c r="W257" s="717">
        <v>2623</v>
      </c>
      <c r="X257" s="716">
        <v>2705</v>
      </c>
      <c r="Y257" s="716">
        <v>2527</v>
      </c>
      <c r="Z257" s="716">
        <v>2201</v>
      </c>
      <c r="AA257" s="717">
        <f t="shared" ref="AA257:AP257" si="443">AA240+AA254</f>
        <v>3039</v>
      </c>
      <c r="AB257" s="716">
        <f t="shared" si="443"/>
        <v>3276</v>
      </c>
      <c r="AC257" s="716">
        <f t="shared" si="443"/>
        <v>3072</v>
      </c>
      <c r="AD257" s="716">
        <f t="shared" si="443"/>
        <v>2777</v>
      </c>
      <c r="AE257" s="717">
        <f t="shared" si="443"/>
        <v>3213</v>
      </c>
      <c r="AF257" s="716">
        <f t="shared" si="443"/>
        <v>3356</v>
      </c>
      <c r="AG257" s="714">
        <f t="shared" si="443"/>
        <v>3380</v>
      </c>
      <c r="AH257" s="718">
        <f t="shared" si="443"/>
        <v>3159</v>
      </c>
      <c r="AI257" s="717">
        <f t="shared" si="443"/>
        <v>3387.0000000000027</v>
      </c>
      <c r="AJ257" s="716">
        <f t="shared" si="443"/>
        <v>3253.9999999999991</v>
      </c>
      <c r="AK257" s="716">
        <f t="shared" si="443"/>
        <v>3248.0502326646747</v>
      </c>
      <c r="AL257" s="718">
        <f t="shared" si="443"/>
        <v>3221.9497673353235</v>
      </c>
      <c r="AM257" s="716">
        <f t="shared" si="443"/>
        <v>3151</v>
      </c>
      <c r="AN257" s="716">
        <f t="shared" si="443"/>
        <v>3445.7378099475541</v>
      </c>
      <c r="AO257" s="716">
        <f t="shared" si="443"/>
        <v>3451.3864839446592</v>
      </c>
      <c r="AP257" s="716">
        <f t="shared" si="443"/>
        <v>3605.7064899171369</v>
      </c>
      <c r="AQ257" s="1392"/>
      <c r="AR257" s="692"/>
      <c r="AS257" s="692"/>
      <c r="AT257" s="692"/>
      <c r="AU257" s="692"/>
      <c r="AV257" s="692"/>
      <c r="AW257" s="692"/>
      <c r="AX257" s="692"/>
      <c r="AY257" s="692"/>
      <c r="AZ257" s="692"/>
      <c r="BA257" s="692"/>
      <c r="BB257"/>
      <c r="BC257"/>
      <c r="BD257"/>
      <c r="BE257"/>
      <c r="BF257"/>
      <c r="BG257"/>
      <c r="BJ257" s="714"/>
      <c r="BK257" s="714"/>
      <c r="BL257" s="714"/>
      <c r="BM257" s="714"/>
      <c r="BN257" s="714"/>
    </row>
    <row r="258" spans="1:102" s="693" customFormat="1" outlineLevel="1">
      <c r="A258" s="897" t="s">
        <v>246</v>
      </c>
      <c r="B258" s="720">
        <v>9586</v>
      </c>
      <c r="C258" s="720">
        <v>11784</v>
      </c>
      <c r="D258" s="720">
        <v>10807</v>
      </c>
      <c r="E258" s="720">
        <v>9670</v>
      </c>
      <c r="F258" s="720">
        <v>10557</v>
      </c>
      <c r="G258" s="720">
        <f t="shared" ref="G258:Q258" si="444">G257+G255</f>
        <v>12685</v>
      </c>
      <c r="H258" s="720">
        <f t="shared" si="444"/>
        <v>13282</v>
      </c>
      <c r="I258" s="720">
        <f t="shared" si="444"/>
        <v>12567</v>
      </c>
      <c r="J258" s="720">
        <f t="shared" si="444"/>
        <v>13953.83078380935</v>
      </c>
      <c r="K258" s="720">
        <f t="shared" si="444"/>
        <v>13893.114111605551</v>
      </c>
      <c r="L258" s="720">
        <f t="shared" si="444"/>
        <v>14883.713598002492</v>
      </c>
      <c r="M258" s="720">
        <f t="shared" si="444"/>
        <v>15706.050725015497</v>
      </c>
      <c r="N258" s="720">
        <f t="shared" si="444"/>
        <v>16336.119012011148</v>
      </c>
      <c r="O258" s="720">
        <f t="shared" si="444"/>
        <v>15655.189199959073</v>
      </c>
      <c r="P258" s="720">
        <f t="shared" si="444"/>
        <v>15697.744455149665</v>
      </c>
      <c r="Q258" s="720">
        <f t="shared" si="444"/>
        <v>15642.438662429395</v>
      </c>
      <c r="R258" s="719"/>
      <c r="S258" s="796">
        <v>2607</v>
      </c>
      <c r="T258" s="796">
        <v>2387</v>
      </c>
      <c r="U258" s="796">
        <v>2423</v>
      </c>
      <c r="V258" s="796">
        <v>2253</v>
      </c>
      <c r="W258" s="797">
        <v>2857</v>
      </c>
      <c r="X258" s="796">
        <v>2780</v>
      </c>
      <c r="Y258" s="796">
        <v>2577</v>
      </c>
      <c r="Z258" s="796">
        <v>2343</v>
      </c>
      <c r="AA258" s="797">
        <f t="shared" ref="AA258:AP258" si="445">AA257+AA255</f>
        <v>2976</v>
      </c>
      <c r="AB258" s="796">
        <f t="shared" si="445"/>
        <v>3363</v>
      </c>
      <c r="AC258" s="796">
        <f t="shared" si="445"/>
        <v>3301</v>
      </c>
      <c r="AD258" s="796">
        <f t="shared" si="445"/>
        <v>3045</v>
      </c>
      <c r="AE258" s="797">
        <f t="shared" si="445"/>
        <v>3024</v>
      </c>
      <c r="AF258" s="796">
        <f t="shared" si="445"/>
        <v>3472</v>
      </c>
      <c r="AG258" s="720">
        <f t="shared" si="445"/>
        <v>3332</v>
      </c>
      <c r="AH258" s="798">
        <f t="shared" si="445"/>
        <v>3151</v>
      </c>
      <c r="AI258" s="797">
        <f t="shared" si="445"/>
        <v>3060.0000000000027</v>
      </c>
      <c r="AJ258" s="796">
        <f t="shared" si="445"/>
        <v>3161.4999999999991</v>
      </c>
      <c r="AK258" s="796">
        <f t="shared" si="445"/>
        <v>3155.5502326646747</v>
      </c>
      <c r="AL258" s="798">
        <f t="shared" si="445"/>
        <v>3363.9497673353235</v>
      </c>
      <c r="AM258" s="796">
        <f t="shared" si="445"/>
        <v>3127</v>
      </c>
      <c r="AN258" s="796">
        <f t="shared" si="445"/>
        <v>3520.7378099475541</v>
      </c>
      <c r="AO258" s="796">
        <f t="shared" si="445"/>
        <v>3526.3864839446592</v>
      </c>
      <c r="AP258" s="796">
        <f t="shared" si="445"/>
        <v>3779.7064899171369</v>
      </c>
      <c r="AQ258" s="1392"/>
      <c r="AR258" s="692"/>
      <c r="AS258" s="692"/>
      <c r="AT258" s="692"/>
      <c r="AU258" s="692"/>
      <c r="AV258" s="692"/>
      <c r="AW258" s="692"/>
      <c r="AX258" s="692"/>
      <c r="AY258" s="692"/>
      <c r="AZ258" s="692"/>
      <c r="BA258" s="692"/>
      <c r="BB258"/>
      <c r="BC258"/>
      <c r="BD258"/>
      <c r="BE258"/>
      <c r="BF258"/>
      <c r="BG258"/>
      <c r="BJ258" s="720"/>
      <c r="BK258" s="720"/>
      <c r="BL258" s="720"/>
      <c r="BM258" s="720"/>
      <c r="BN258" s="720"/>
    </row>
    <row r="259" spans="1:102" s="693" customFormat="1" outlineLevel="1">
      <c r="A259" s="897" t="s">
        <v>247</v>
      </c>
      <c r="B259" s="979">
        <v>0.31630700191381245</v>
      </c>
      <c r="C259" s="979">
        <v>0.36249538575119972</v>
      </c>
      <c r="D259" s="979">
        <v>0.33611171585855132</v>
      </c>
      <c r="E259" s="979">
        <v>0.30018004594275782</v>
      </c>
      <c r="F259" s="979">
        <v>0.33207511559875436</v>
      </c>
      <c r="G259" s="979">
        <f t="shared" ref="G259:Q259" si="446">G258/G196</f>
        <v>0.38041685410106463</v>
      </c>
      <c r="H259" s="979">
        <f t="shared" si="446"/>
        <v>0.40789877771635646</v>
      </c>
      <c r="I259" s="979">
        <f t="shared" si="446"/>
        <v>0.38933639011091148</v>
      </c>
      <c r="J259" s="979">
        <f t="shared" si="446"/>
        <v>0.40319404301161937</v>
      </c>
      <c r="K259" s="979">
        <f t="shared" si="446"/>
        <v>0.39804325295105236</v>
      </c>
      <c r="L259" s="979">
        <f t="shared" si="446"/>
        <v>0.41676246775861892</v>
      </c>
      <c r="M259" s="979">
        <f t="shared" si="446"/>
        <v>0.4248909820978049</v>
      </c>
      <c r="N259" s="979">
        <f t="shared" si="446"/>
        <v>0.43733533170202071</v>
      </c>
      <c r="O259" s="979">
        <f t="shared" si="446"/>
        <v>0.43531415642118976</v>
      </c>
      <c r="P259" s="979">
        <f t="shared" si="446"/>
        <v>0.4385323190319021</v>
      </c>
      <c r="Q259" s="979">
        <f t="shared" si="446"/>
        <v>0.44095971973140863</v>
      </c>
      <c r="R259" s="972"/>
      <c r="S259" s="973">
        <v>0.3309635648089374</v>
      </c>
      <c r="T259" s="973">
        <v>0.29392931904937813</v>
      </c>
      <c r="U259" s="973">
        <v>0.30698086912454076</v>
      </c>
      <c r="V259" s="973">
        <v>0.27069566262165085</v>
      </c>
      <c r="W259" s="974">
        <v>0.36595363135647496</v>
      </c>
      <c r="X259" s="973">
        <v>0.33906573972435661</v>
      </c>
      <c r="Y259" s="973">
        <v>0.32517350157728708</v>
      </c>
      <c r="Z259" s="973">
        <v>0.29809160305343513</v>
      </c>
      <c r="AA259" s="974">
        <f t="shared" ref="AA259:AP259" si="447">AA258/AA196</f>
        <v>0.37386934673366834</v>
      </c>
      <c r="AB259" s="973">
        <f t="shared" si="447"/>
        <v>0.38955172014363487</v>
      </c>
      <c r="AC259" s="973">
        <f t="shared" si="447"/>
        <v>0.39992730797189241</v>
      </c>
      <c r="AD259" s="973">
        <f t="shared" si="447"/>
        <v>0.35831960461285006</v>
      </c>
      <c r="AE259" s="974">
        <f t="shared" si="447"/>
        <v>0.39125371975676027</v>
      </c>
      <c r="AF259" s="973">
        <f t="shared" si="447"/>
        <v>0.41397400739239298</v>
      </c>
      <c r="AG259" s="979">
        <f t="shared" si="447"/>
        <v>0.40768383702434846</v>
      </c>
      <c r="AH259" s="975">
        <f t="shared" si="447"/>
        <v>0.38087755348724767</v>
      </c>
      <c r="AI259" s="974">
        <f t="shared" si="447"/>
        <v>0.40702314445331239</v>
      </c>
      <c r="AJ259" s="973">
        <f t="shared" si="447"/>
        <v>0.39108114794656101</v>
      </c>
      <c r="AK259" s="973">
        <f t="shared" si="447"/>
        <v>0.38875578470194666</v>
      </c>
      <c r="AL259" s="975">
        <f t="shared" si="447"/>
        <v>0.39303300741098152</v>
      </c>
      <c r="AM259" s="973">
        <f t="shared" si="447"/>
        <v>0.37235055965706121</v>
      </c>
      <c r="AN259" s="973">
        <f t="shared" si="447"/>
        <v>0.40394126203616193</v>
      </c>
      <c r="AO259" s="973">
        <f t="shared" si="447"/>
        <v>0.40852526973715009</v>
      </c>
      <c r="AP259" s="973">
        <f t="shared" si="447"/>
        <v>0.42649413663559432</v>
      </c>
      <c r="AQ259" s="1383"/>
      <c r="AR259" s="692"/>
      <c r="AS259" s="692"/>
      <c r="AT259" s="692"/>
      <c r="AU259" s="692"/>
      <c r="AV259" s="692"/>
      <c r="AW259" s="692"/>
      <c r="AX259" s="692"/>
      <c r="AY259" s="692"/>
      <c r="AZ259" s="692"/>
      <c r="BA259" s="692"/>
      <c r="BB259"/>
      <c r="BC259"/>
      <c r="BD259"/>
      <c r="BE259"/>
      <c r="BF259"/>
      <c r="BG259"/>
      <c r="BJ259" s="976"/>
      <c r="BK259" s="976"/>
      <c r="BL259" s="976"/>
      <c r="BM259" s="976"/>
      <c r="BN259" s="976"/>
    </row>
    <row r="260" spans="1:102" s="693" customFormat="1" outlineLevel="1">
      <c r="A260" s="897" t="s">
        <v>248</v>
      </c>
      <c r="B260" s="968">
        <v>9586</v>
      </c>
      <c r="C260" s="968">
        <v>8296</v>
      </c>
      <c r="D260" s="968">
        <v>9577</v>
      </c>
      <c r="E260" s="968">
        <v>9376</v>
      </c>
      <c r="F260" s="968">
        <v>8471</v>
      </c>
      <c r="G260" s="968">
        <f t="shared" ref="G260:H260" si="448">G199+G202+G207+G220+G225+G230+G237</f>
        <v>7815</v>
      </c>
      <c r="H260" s="968">
        <f t="shared" si="448"/>
        <v>7426</v>
      </c>
      <c r="I260" s="968">
        <f t="shared" ref="I260:Q260" si="449">I199+I202+I207+I215+I225+I237</f>
        <v>7595</v>
      </c>
      <c r="J260" s="968">
        <f t="shared" si="449"/>
        <v>8867.8307838093478</v>
      </c>
      <c r="K260" s="968">
        <f t="shared" si="449"/>
        <v>9407.1141116055514</v>
      </c>
      <c r="L260" s="968">
        <f t="shared" si="449"/>
        <v>10397.713598002496</v>
      </c>
      <c r="M260" s="968">
        <f t="shared" si="449"/>
        <v>11220.050725015491</v>
      </c>
      <c r="N260" s="968">
        <f t="shared" si="449"/>
        <v>10810.907274488214</v>
      </c>
      <c r="O260" s="968">
        <f t="shared" si="449"/>
        <v>10748.670409545019</v>
      </c>
      <c r="P260" s="968">
        <f t="shared" si="449"/>
        <v>10795.868220241278</v>
      </c>
      <c r="Q260" s="968">
        <f t="shared" si="449"/>
        <v>10749.533864736641</v>
      </c>
      <c r="R260" s="964"/>
      <c r="S260" s="969">
        <v>2539</v>
      </c>
      <c r="T260" s="969">
        <v>2557</v>
      </c>
      <c r="U260" s="969">
        <v>2267</v>
      </c>
      <c r="V260" s="969">
        <v>2013</v>
      </c>
      <c r="W260" s="970">
        <v>2221</v>
      </c>
      <c r="X260" s="969">
        <v>2406</v>
      </c>
      <c r="Y260" s="969">
        <v>2233</v>
      </c>
      <c r="Z260" s="969">
        <v>1611</v>
      </c>
      <c r="AA260" s="970">
        <f t="shared" ref="AA260:AG260" si="450">AA199+AA202+AA207+AA220+AA225+AA230+AA237</f>
        <v>2450</v>
      </c>
      <c r="AB260" s="969">
        <f t="shared" si="450"/>
        <v>1994</v>
      </c>
      <c r="AC260" s="969">
        <f t="shared" si="450"/>
        <v>1872</v>
      </c>
      <c r="AD260" s="969">
        <f t="shared" si="450"/>
        <v>1499</v>
      </c>
      <c r="AE260" s="970">
        <f t="shared" si="450"/>
        <v>2180</v>
      </c>
      <c r="AF260" s="969">
        <f t="shared" si="450"/>
        <v>1866</v>
      </c>
      <c r="AG260" s="968">
        <f t="shared" si="450"/>
        <v>2020</v>
      </c>
      <c r="AH260" s="971">
        <f>AH199+AH202+AH207+AH220+AH225+AH230+AH237</f>
        <v>1360</v>
      </c>
      <c r="AI260" s="970">
        <f t="shared" ref="AI260:AL260" si="451">AI199+AI202+AI207+AI215+AI225+AI237</f>
        <v>1680</v>
      </c>
      <c r="AJ260" s="969">
        <f t="shared" si="451"/>
        <v>2027</v>
      </c>
      <c r="AK260" s="969">
        <f t="shared" si="451"/>
        <v>2131.0502326646747</v>
      </c>
      <c r="AL260" s="971">
        <f t="shared" si="451"/>
        <v>1756.9497673353235</v>
      </c>
      <c r="AM260" s="969">
        <f>AM199+AM202+AM207+AM215+AM225+AM237</f>
        <v>2135</v>
      </c>
      <c r="AN260" s="969">
        <f t="shared" ref="AN260:AP260" si="452">AN199+AN202+AN207+AN215+AN225+AN237</f>
        <v>2142.7378099475532</v>
      </c>
      <c r="AO260" s="969">
        <f t="shared" si="452"/>
        <v>2152.3864839446587</v>
      </c>
      <c r="AP260" s="969">
        <f t="shared" si="452"/>
        <v>2437.7064899171369</v>
      </c>
      <c r="AQ260" s="1392"/>
      <c r="AR260" s="692"/>
      <c r="AS260" s="692"/>
      <c r="AT260" s="692"/>
      <c r="AU260" s="692"/>
      <c r="AV260" s="692"/>
      <c r="AW260" s="692"/>
      <c r="AX260" s="692"/>
      <c r="AY260" s="692"/>
      <c r="AZ260" s="692"/>
      <c r="BA260" s="692"/>
      <c r="BB260"/>
      <c r="BC260"/>
      <c r="BD260"/>
      <c r="BE260"/>
      <c r="BF260"/>
      <c r="BG260"/>
      <c r="BJ260" s="747"/>
      <c r="BK260" s="747"/>
      <c r="BL260" s="747"/>
      <c r="BM260" s="747"/>
      <c r="BN260" s="747"/>
    </row>
    <row r="261" spans="1:102" s="693" customFormat="1" outlineLevel="1">
      <c r="A261" s="896" t="s">
        <v>147</v>
      </c>
      <c r="B261" s="731">
        <v>0.31630700191381245</v>
      </c>
      <c r="C261" s="731">
        <v>0.25519872031499941</v>
      </c>
      <c r="D261" s="731">
        <v>0.29785712064193076</v>
      </c>
      <c r="E261" s="731">
        <v>0.29105357918917241</v>
      </c>
      <c r="F261" s="731">
        <v>0.26645906074046116</v>
      </c>
      <c r="G261" s="731">
        <f t="shared" ref="G261:Q261" si="453">G260/G196</f>
        <v>0.23436797121007646</v>
      </c>
      <c r="H261" s="731">
        <f t="shared" si="453"/>
        <v>0.22805724464099256</v>
      </c>
      <c r="I261" s="731">
        <f t="shared" si="453"/>
        <v>0.23529958485655864</v>
      </c>
      <c r="J261" s="731">
        <f t="shared" si="453"/>
        <v>0.25623476462217071</v>
      </c>
      <c r="K261" s="731">
        <f t="shared" si="453"/>
        <v>0.26951756616879169</v>
      </c>
      <c r="L261" s="731">
        <f t="shared" si="453"/>
        <v>0.29114889571191699</v>
      </c>
      <c r="M261" s="731">
        <f t="shared" si="453"/>
        <v>0.30353259741775829</v>
      </c>
      <c r="N261" s="731">
        <f t="shared" si="453"/>
        <v>0.28941951974100033</v>
      </c>
      <c r="O261" s="731">
        <f t="shared" si="453"/>
        <v>0.2988816252691936</v>
      </c>
      <c r="P261" s="731">
        <f t="shared" si="453"/>
        <v>0.30159346395985676</v>
      </c>
      <c r="Q261" s="731">
        <f t="shared" si="453"/>
        <v>0.30302892934607029</v>
      </c>
      <c r="R261" s="721"/>
      <c r="S261" s="732">
        <v>0.32233083661292372</v>
      </c>
      <c r="T261" s="732">
        <v>0.31486270163772934</v>
      </c>
      <c r="U261" s="732">
        <v>0.28721652096794625</v>
      </c>
      <c r="V261" s="732">
        <v>0.24185990628379189</v>
      </c>
      <c r="W261" s="733">
        <v>0.28448827974894325</v>
      </c>
      <c r="X261" s="732">
        <v>0.2934504207830223</v>
      </c>
      <c r="Y261" s="732">
        <v>0.2817665615141956</v>
      </c>
      <c r="Z261" s="732">
        <v>0.20496183206106872</v>
      </c>
      <c r="AA261" s="733">
        <f t="shared" ref="AA261:AP261" si="454">AA260/AA196</f>
        <v>0.30778894472361806</v>
      </c>
      <c r="AB261" s="732">
        <f t="shared" si="454"/>
        <v>0.23097416888682962</v>
      </c>
      <c r="AC261" s="732">
        <f t="shared" si="454"/>
        <v>0.22679912769566271</v>
      </c>
      <c r="AD261" s="732">
        <f t="shared" si="454"/>
        <v>0.17639444575194163</v>
      </c>
      <c r="AE261" s="733">
        <f t="shared" si="454"/>
        <v>0.28205459956009832</v>
      </c>
      <c r="AF261" s="732">
        <f t="shared" si="454"/>
        <v>0.22248718254441396</v>
      </c>
      <c r="AG261" s="731">
        <f t="shared" si="454"/>
        <v>0.24715526734369264</v>
      </c>
      <c r="AH261" s="734">
        <f t="shared" si="454"/>
        <v>0.16439018493895804</v>
      </c>
      <c r="AI261" s="733">
        <f t="shared" si="454"/>
        <v>0.22346368715083798</v>
      </c>
      <c r="AJ261" s="732">
        <f t="shared" si="454"/>
        <v>0.25074220682830284</v>
      </c>
      <c r="AK261" s="732">
        <f t="shared" si="454"/>
        <v>0.26253998331670925</v>
      </c>
      <c r="AL261" s="734">
        <f t="shared" si="454"/>
        <v>0.20527632654658262</v>
      </c>
      <c r="AM261" s="732">
        <f t="shared" si="454"/>
        <v>0.25422719695165513</v>
      </c>
      <c r="AN261" s="732">
        <f t="shared" si="454"/>
        <v>0.24584057714190016</v>
      </c>
      <c r="AO261" s="732">
        <f t="shared" si="454"/>
        <v>0.24934994304665303</v>
      </c>
      <c r="AP261" s="732">
        <f t="shared" si="454"/>
        <v>0.27506567707350926</v>
      </c>
      <c r="AQ261" s="1383"/>
      <c r="AR261" s="692"/>
      <c r="AS261" s="692"/>
      <c r="AT261" s="692"/>
      <c r="AU261" s="692"/>
      <c r="AV261" s="692"/>
      <c r="AW261" s="692"/>
      <c r="AX261" s="692"/>
      <c r="AY261" s="692"/>
      <c r="AZ261" s="692"/>
      <c r="BA261" s="692"/>
      <c r="BB261"/>
      <c r="BC261"/>
      <c r="BD261"/>
      <c r="BE261"/>
      <c r="BF261"/>
      <c r="BG261"/>
      <c r="BJ261" s="725"/>
      <c r="BK261" s="725"/>
      <c r="BL261" s="725"/>
      <c r="BM261" s="725"/>
      <c r="BN261" s="725"/>
    </row>
    <row r="262" spans="1:102" s="693" customFormat="1" outlineLevel="1">
      <c r="A262" s="896" t="s">
        <v>122</v>
      </c>
      <c r="B262" s="731"/>
      <c r="C262" s="731">
        <v>-0.13457124973920298</v>
      </c>
      <c r="D262" s="731">
        <v>0.15441176470588225</v>
      </c>
      <c r="E262" s="731">
        <v>-2.0987783230656754E-2</v>
      </c>
      <c r="F262" s="731">
        <v>-9.6523037542662116E-2</v>
      </c>
      <c r="G262" s="731">
        <f t="shared" ref="G262:Q262" si="455">G260/F260-1</f>
        <v>-7.7440679966946036E-2</v>
      </c>
      <c r="H262" s="731">
        <f t="shared" si="455"/>
        <v>-4.9776071657069765E-2</v>
      </c>
      <c r="I262" s="731">
        <f t="shared" si="455"/>
        <v>2.2757877726905518E-2</v>
      </c>
      <c r="J262" s="731">
        <f t="shared" si="455"/>
        <v>0.16758798996831437</v>
      </c>
      <c r="K262" s="731">
        <f t="shared" si="455"/>
        <v>6.0813443664352818E-2</v>
      </c>
      <c r="L262" s="731">
        <f t="shared" si="455"/>
        <v>0.10530322845503082</v>
      </c>
      <c r="M262" s="731">
        <f t="shared" si="455"/>
        <v>7.908826486343834E-2</v>
      </c>
      <c r="N262" s="731">
        <f t="shared" si="455"/>
        <v>-3.6465383317303313E-2</v>
      </c>
      <c r="O262" s="731">
        <f t="shared" si="455"/>
        <v>-5.7568586394283194E-3</v>
      </c>
      <c r="P262" s="731">
        <f t="shared" si="455"/>
        <v>4.3910371141668847E-3</v>
      </c>
      <c r="Q262" s="731">
        <f t="shared" si="455"/>
        <v>-4.2918600486216985E-3</v>
      </c>
      <c r="R262" s="721"/>
      <c r="S262" s="792"/>
      <c r="T262" s="792"/>
      <c r="U262" s="792"/>
      <c r="V262" s="792"/>
      <c r="W262" s="952"/>
      <c r="X262" s="792"/>
      <c r="Y262" s="792"/>
      <c r="Z262" s="792"/>
      <c r="AA262" s="952">
        <f t="shared" ref="AA262:AH262" si="456">AA260/W260-1</f>
        <v>0.10310670868977945</v>
      </c>
      <c r="AB262" s="792">
        <f t="shared" si="456"/>
        <v>-0.17123857024106404</v>
      </c>
      <c r="AC262" s="792">
        <f t="shared" si="456"/>
        <v>-0.16166592028660998</v>
      </c>
      <c r="AD262" s="792">
        <f t="shared" si="456"/>
        <v>-6.9522036002482968E-2</v>
      </c>
      <c r="AE262" s="952">
        <f t="shared" si="456"/>
        <v>-0.11020408163265305</v>
      </c>
      <c r="AF262" s="792">
        <f t="shared" si="456"/>
        <v>-6.4192577733199641E-2</v>
      </c>
      <c r="AG262" s="792">
        <f t="shared" si="456"/>
        <v>7.9059829059829001E-2</v>
      </c>
      <c r="AH262" s="791">
        <f t="shared" si="456"/>
        <v>-9.2728485657104787E-2</v>
      </c>
      <c r="AI262" s="952">
        <f>AI260/AE260-1</f>
        <v>-0.22935779816513757</v>
      </c>
      <c r="AJ262" s="792">
        <f>AJ260/AF260-1</f>
        <v>8.6280814576634501E-2</v>
      </c>
      <c r="AK262" s="792">
        <f>AK260/AG260-1</f>
        <v>5.497536270528447E-2</v>
      </c>
      <c r="AL262" s="734">
        <f>AL260/AH260-1</f>
        <v>0.29187482892303196</v>
      </c>
      <c r="AM262" s="732">
        <f t="shared" ref="AM262:AP262" si="457">AM260/AI260-1</f>
        <v>0.27083333333333326</v>
      </c>
      <c r="AN262" s="732">
        <f t="shared" si="457"/>
        <v>5.7098080881871294E-2</v>
      </c>
      <c r="AO262" s="732">
        <f t="shared" si="457"/>
        <v>1.0012082752880458E-2</v>
      </c>
      <c r="AP262" s="732">
        <f t="shared" si="457"/>
        <v>0.3874651030087688</v>
      </c>
      <c r="AQ262" s="1383"/>
      <c r="AR262" s="692"/>
      <c r="AS262" s="692"/>
      <c r="AT262" s="692"/>
      <c r="AU262" s="692"/>
      <c r="AV262" s="692"/>
      <c r="AW262" s="692"/>
      <c r="AX262" s="692"/>
      <c r="AY262" s="692"/>
      <c r="AZ262" s="692"/>
      <c r="BA262" s="692"/>
      <c r="BB262"/>
      <c r="BC262"/>
      <c r="BD262"/>
      <c r="BE262"/>
      <c r="BF262"/>
      <c r="BG262"/>
      <c r="BJ262" s="755"/>
      <c r="BK262" s="755"/>
      <c r="BL262" s="755"/>
      <c r="BM262" s="755"/>
      <c r="BN262" s="755"/>
    </row>
    <row r="263" spans="1:102" s="693" customFormat="1" outlineLevel="1">
      <c r="A263" s="896" t="s">
        <v>123</v>
      </c>
      <c r="B263" s="755"/>
      <c r="C263" s="755"/>
      <c r="D263" s="755">
        <v>0.19</v>
      </c>
      <c r="E263" s="755">
        <v>0.03</v>
      </c>
      <c r="F263" s="755">
        <v>-0.05</v>
      </c>
      <c r="G263" s="755"/>
      <c r="H263" s="731">
        <v>0</v>
      </c>
      <c r="I263" s="731"/>
      <c r="J263" s="755"/>
      <c r="K263" s="755"/>
      <c r="L263" s="755"/>
      <c r="M263" s="755"/>
      <c r="N263" s="755"/>
      <c r="O263" s="755"/>
      <c r="P263" s="755"/>
      <c r="Q263" s="755"/>
      <c r="R263" s="688"/>
      <c r="S263" s="792">
        <v>0.09</v>
      </c>
      <c r="T263" s="792">
        <v>-0.03</v>
      </c>
      <c r="U263" s="792"/>
      <c r="V263" s="792">
        <v>0.14000000000000001</v>
      </c>
      <c r="W263" s="952">
        <v>-7.0000000000000007E-2</v>
      </c>
      <c r="X263" s="792">
        <v>-0.03</v>
      </c>
      <c r="Y263" s="792">
        <v>0.01</v>
      </c>
      <c r="Z263" s="792">
        <v>-0.14000000000000001</v>
      </c>
      <c r="AA263" s="952"/>
      <c r="AB263" s="792">
        <v>-0.04</v>
      </c>
      <c r="AC263" s="792">
        <v>0</v>
      </c>
      <c r="AD263" s="792"/>
      <c r="AE263" s="952">
        <v>-0.04</v>
      </c>
      <c r="AF263" s="792">
        <v>-0.03</v>
      </c>
      <c r="AG263" s="792">
        <v>0.09</v>
      </c>
      <c r="AH263" s="791">
        <v>-0.04</v>
      </c>
      <c r="AI263" s="952">
        <v>-0.17</v>
      </c>
      <c r="AJ263" s="792">
        <v>0.16</v>
      </c>
      <c r="AK263" s="792">
        <v>0.11</v>
      </c>
      <c r="AL263" s="791"/>
      <c r="AM263" s="732">
        <v>0.18</v>
      </c>
      <c r="AN263" s="792"/>
      <c r="AO263" s="792"/>
      <c r="AP263" s="792"/>
      <c r="AQ263" s="1383"/>
      <c r="AR263" s="692"/>
      <c r="AS263" s="692"/>
      <c r="AT263" s="692"/>
      <c r="AU263" s="692"/>
      <c r="AV263" s="692"/>
      <c r="AW263" s="692"/>
      <c r="AX263" s="692"/>
      <c r="AY263" s="692"/>
      <c r="AZ263" s="692"/>
      <c r="BA263" s="692"/>
      <c r="BB263"/>
      <c r="BC263"/>
      <c r="BD263"/>
      <c r="BE263"/>
      <c r="BF263"/>
      <c r="BG263"/>
      <c r="BJ263" s="755"/>
      <c r="BK263" s="755"/>
      <c r="BL263" s="755"/>
      <c r="BM263" s="755"/>
      <c r="BN263" s="755"/>
    </row>
    <row r="264" spans="1:102" s="693" customFormat="1" outlineLevel="1">
      <c r="A264" s="896" t="s">
        <v>236</v>
      </c>
      <c r="B264" s="714"/>
      <c r="C264" s="714">
        <v>-611.08281598813039</v>
      </c>
      <c r="D264" s="714">
        <v>426.58400326931354</v>
      </c>
      <c r="E264" s="714">
        <v>-68.035414527583555</v>
      </c>
      <c r="F264" s="714">
        <v>-245.94518448711244</v>
      </c>
      <c r="G264" s="714">
        <f>(G261-F261)*10000</f>
        <v>-320.91089530384698</v>
      </c>
      <c r="H264" s="714">
        <f>(H261-G261)*10000</f>
        <v>-63.107265690839078</v>
      </c>
      <c r="I264" s="714"/>
      <c r="J264" s="731"/>
      <c r="K264" s="731"/>
      <c r="L264" s="731"/>
      <c r="M264" s="731"/>
      <c r="N264" s="731"/>
      <c r="O264" s="731"/>
      <c r="P264" s="731"/>
      <c r="Q264" s="731"/>
      <c r="R264" s="721"/>
      <c r="S264" s="716">
        <v>3223.3083661292371</v>
      </c>
      <c r="T264" s="716">
        <v>3148.6270163772933</v>
      </c>
      <c r="U264" s="716">
        <v>2872.1652096794624</v>
      </c>
      <c r="V264" s="716">
        <v>2418.5990628379191</v>
      </c>
      <c r="W264" s="717"/>
      <c r="X264" s="716"/>
      <c r="Y264" s="716"/>
      <c r="Z264" s="716"/>
      <c r="AA264" s="717">
        <f t="shared" ref="AA264:AK264" si="458">(AA261-W261)*10000</f>
        <v>233.00664974674811</v>
      </c>
      <c r="AB264" s="716">
        <f t="shared" si="458"/>
        <v>-624.76251896192684</v>
      </c>
      <c r="AC264" s="716">
        <f t="shared" si="458"/>
        <v>-549.67433818532891</v>
      </c>
      <c r="AD264" s="716">
        <f t="shared" si="458"/>
        <v>-285.67386309127085</v>
      </c>
      <c r="AE264" s="717">
        <f t="shared" si="458"/>
        <v>-257.34345163519743</v>
      </c>
      <c r="AF264" s="716">
        <f t="shared" si="458"/>
        <v>-84.869863424156534</v>
      </c>
      <c r="AG264" s="716">
        <f t="shared" si="458"/>
        <v>203.56139648029929</v>
      </c>
      <c r="AH264" s="718">
        <f t="shared" si="458"/>
        <v>-120.04260812983586</v>
      </c>
      <c r="AI264" s="717">
        <f t="shared" si="458"/>
        <v>-585.90912409260341</v>
      </c>
      <c r="AJ264" s="716">
        <f t="shared" si="458"/>
        <v>282.55024283888872</v>
      </c>
      <c r="AK264" s="716">
        <f t="shared" si="458"/>
        <v>153.84715973016606</v>
      </c>
      <c r="AL264" s="718"/>
      <c r="AM264" s="716"/>
      <c r="AN264" s="716"/>
      <c r="AO264" s="716"/>
      <c r="AP264" s="716"/>
      <c r="AQ264" s="1383"/>
      <c r="AR264" s="692"/>
      <c r="AS264" s="692"/>
      <c r="AT264" s="692"/>
      <c r="AU264" s="692"/>
      <c r="AV264" s="692"/>
      <c r="AW264" s="692"/>
      <c r="AX264" s="692"/>
      <c r="AY264" s="692"/>
      <c r="AZ264" s="692"/>
      <c r="BA264" s="692"/>
      <c r="BB264"/>
      <c r="BC264"/>
      <c r="BD264"/>
      <c r="BE264"/>
      <c r="BF264"/>
      <c r="BG264"/>
      <c r="BJ264" s="714"/>
      <c r="BK264" s="714"/>
      <c r="BL264" s="714"/>
      <c r="BM264" s="714"/>
      <c r="BN264" s="714"/>
    </row>
    <row r="265" spans="1:102" s="693" customFormat="1">
      <c r="A265" s="897"/>
      <c r="B265" s="979"/>
      <c r="C265" s="979"/>
      <c r="D265" s="979"/>
      <c r="E265" s="979"/>
      <c r="F265" s="979"/>
      <c r="G265" s="979"/>
      <c r="H265" s="979"/>
      <c r="I265" s="979"/>
      <c r="J265" s="979"/>
      <c r="K265" s="979"/>
      <c r="L265" s="979"/>
      <c r="M265" s="979"/>
      <c r="N265" s="979"/>
      <c r="O265" s="979"/>
      <c r="P265" s="979"/>
      <c r="Q265" s="979"/>
      <c r="R265" s="972"/>
      <c r="S265" s="973"/>
      <c r="T265" s="973"/>
      <c r="U265" s="973"/>
      <c r="V265" s="973"/>
      <c r="W265" s="974"/>
      <c r="X265" s="973"/>
      <c r="Y265" s="973"/>
      <c r="Z265" s="973"/>
      <c r="AA265" s="974"/>
      <c r="AB265" s="973"/>
      <c r="AC265" s="973"/>
      <c r="AD265" s="973"/>
      <c r="AE265" s="974"/>
      <c r="AF265" s="973"/>
      <c r="AG265" s="973"/>
      <c r="AH265" s="975"/>
      <c r="AI265" s="974"/>
      <c r="AJ265" s="973"/>
      <c r="AK265" s="973"/>
      <c r="AL265" s="975"/>
      <c r="AM265" s="973"/>
      <c r="AN265" s="973"/>
      <c r="AO265" s="973"/>
      <c r="AP265" s="973"/>
      <c r="AQ265" s="1383"/>
      <c r="AR265" s="692"/>
      <c r="AS265" s="692"/>
      <c r="AT265" s="692"/>
      <c r="AU265" s="692"/>
      <c r="AV265" s="692"/>
      <c r="AW265" s="692"/>
      <c r="AX265" s="692"/>
      <c r="AY265" s="692"/>
      <c r="AZ265" s="692"/>
      <c r="BA265" s="692"/>
      <c r="BB265"/>
      <c r="BC265"/>
      <c r="BD265"/>
      <c r="BE265"/>
      <c r="BF265"/>
      <c r="BG265"/>
      <c r="BJ265" s="976"/>
      <c r="BK265" s="976"/>
      <c r="BL265" s="976"/>
      <c r="BM265" s="976"/>
      <c r="BN265" s="976"/>
    </row>
    <row r="266" spans="1:102" s="693" customFormat="1">
      <c r="A266" s="1055" t="s">
        <v>249</v>
      </c>
      <c r="B266" s="1056">
        <v>2010</v>
      </c>
      <c r="C266" s="1056">
        <v>2011</v>
      </c>
      <c r="D266" s="1056">
        <v>2012</v>
      </c>
      <c r="E266" s="1056">
        <v>2013</v>
      </c>
      <c r="F266" s="1056">
        <v>2014</v>
      </c>
      <c r="G266" s="1056">
        <v>2015</v>
      </c>
      <c r="H266" s="1056">
        <v>2016</v>
      </c>
      <c r="I266" s="1056">
        <v>2017</v>
      </c>
      <c r="J266" s="1056">
        <v>2018</v>
      </c>
      <c r="K266" s="1056">
        <v>2019</v>
      </c>
      <c r="L266" s="1056">
        <v>2020</v>
      </c>
      <c r="M266" s="1056">
        <v>2021</v>
      </c>
      <c r="N266" s="1056">
        <v>2022</v>
      </c>
      <c r="O266" s="1056">
        <v>2023</v>
      </c>
      <c r="P266" s="1056">
        <v>2024</v>
      </c>
      <c r="Q266" s="1056">
        <v>2025</v>
      </c>
      <c r="R266" s="941"/>
      <c r="S266" s="942" t="s">
        <v>76</v>
      </c>
      <c r="T266" s="942" t="s">
        <v>77</v>
      </c>
      <c r="U266" s="942" t="s">
        <v>78</v>
      </c>
      <c r="V266" s="942" t="s">
        <v>79</v>
      </c>
      <c r="W266" s="943" t="s">
        <v>80</v>
      </c>
      <c r="X266" s="942" t="s">
        <v>81</v>
      </c>
      <c r="Y266" s="942" t="s">
        <v>82</v>
      </c>
      <c r="Z266" s="942" t="s">
        <v>83</v>
      </c>
      <c r="AA266" s="943" t="s">
        <v>84</v>
      </c>
      <c r="AB266" s="942" t="s">
        <v>85</v>
      </c>
      <c r="AC266" s="942" t="s">
        <v>86</v>
      </c>
      <c r="AD266" s="942" t="s">
        <v>802</v>
      </c>
      <c r="AE266" s="943" t="s">
        <v>8</v>
      </c>
      <c r="AF266" s="942" t="s">
        <v>9</v>
      </c>
      <c r="AG266" s="942" t="s">
        <v>10</v>
      </c>
      <c r="AH266" s="944" t="s">
        <v>11</v>
      </c>
      <c r="AI266" s="1057" t="s">
        <v>894</v>
      </c>
      <c r="AJ266" s="1058" t="s">
        <v>896</v>
      </c>
      <c r="AK266" s="1058" t="s">
        <v>942</v>
      </c>
      <c r="AL266" s="1059" t="s">
        <v>947</v>
      </c>
      <c r="AM266" s="1058" t="str">
        <f>AM1</f>
        <v>1Q18</v>
      </c>
      <c r="AN266" s="1058" t="str">
        <f>AN1</f>
        <v>2Q18</v>
      </c>
      <c r="AO266" s="1058" t="str">
        <f>AO1</f>
        <v>3Q18</v>
      </c>
      <c r="AP266" s="1058" t="str">
        <f>AP1</f>
        <v>4Q18</v>
      </c>
      <c r="AQ266" s="1383"/>
      <c r="AR266" s="945"/>
      <c r="AS266" s="945"/>
      <c r="AT266" s="945"/>
      <c r="AU266" s="945"/>
      <c r="AV266" s="945"/>
      <c r="AW266" s="945"/>
      <c r="AX266" s="945"/>
      <c r="AY266" s="945"/>
      <c r="AZ266" s="945"/>
      <c r="BA266" s="945"/>
      <c r="BB266"/>
      <c r="BC266"/>
      <c r="BD266"/>
      <c r="BE266"/>
      <c r="BF266"/>
      <c r="BG266"/>
      <c r="BH266" s="946"/>
      <c r="BI266" s="946"/>
      <c r="BJ266" s="940"/>
      <c r="BK266" s="940"/>
      <c r="BL266" s="940"/>
      <c r="BM266" s="940"/>
      <c r="BN266" s="940"/>
      <c r="BO266" s="946"/>
      <c r="BP266" s="946"/>
      <c r="BQ266" s="946"/>
      <c r="BR266" s="946"/>
      <c r="BS266" s="946"/>
      <c r="BT266" s="946"/>
      <c r="BU266" s="946"/>
      <c r="BV266" s="946"/>
      <c r="BW266" s="946"/>
      <c r="BX266" s="946"/>
      <c r="BY266" s="946"/>
      <c r="BZ266" s="946"/>
      <c r="CA266" s="946"/>
      <c r="CB266" s="946"/>
      <c r="CC266" s="946"/>
      <c r="CD266" s="946"/>
      <c r="CE266" s="946"/>
      <c r="CF266" s="946"/>
      <c r="CG266" s="946"/>
      <c r="CH266" s="946"/>
      <c r="CI266" s="946"/>
      <c r="CJ266" s="946"/>
      <c r="CK266" s="946"/>
      <c r="CL266" s="946"/>
      <c r="CM266" s="946"/>
      <c r="CN266" s="946"/>
      <c r="CO266" s="946"/>
      <c r="CP266" s="946"/>
      <c r="CQ266" s="946"/>
      <c r="CR266" s="946"/>
      <c r="CS266" s="946"/>
      <c r="CT266" s="946"/>
      <c r="CU266" s="946"/>
      <c r="CV266" s="946"/>
      <c r="CW266" s="946"/>
      <c r="CX266" s="946"/>
    </row>
    <row r="267" spans="1:102" s="799" customFormat="1">
      <c r="A267" s="1062" t="s">
        <v>261</v>
      </c>
      <c r="B267" s="720">
        <v>4446</v>
      </c>
      <c r="C267" s="720">
        <v>9958</v>
      </c>
      <c r="D267" s="720">
        <v>10225</v>
      </c>
      <c r="E267" s="720">
        <v>10496</v>
      </c>
      <c r="F267" s="720">
        <v>10827</v>
      </c>
      <c r="G267" s="720">
        <f>Sales!G424</f>
        <v>5999</v>
      </c>
      <c r="H267" s="720">
        <f>Sales!H424</f>
        <v>5812</v>
      </c>
      <c r="I267" s="720">
        <f>Sales!I424</f>
        <v>6771</v>
      </c>
      <c r="J267" s="720">
        <f>Sales!J424</f>
        <v>7265.9763227608937</v>
      </c>
      <c r="K267" s="720">
        <f>Sales!K424</f>
        <v>7502.308976512948</v>
      </c>
      <c r="L267" s="720">
        <f>Sales!L424</f>
        <v>7785.9140338280413</v>
      </c>
      <c r="M267" s="720">
        <f>Sales!M424</f>
        <v>8085.7194284217767</v>
      </c>
      <c r="N267" s="720">
        <f>Sales!N424</f>
        <v>8402.5573380253536</v>
      </c>
      <c r="O267" s="720">
        <f>Sales!O424</f>
        <v>8737.3077201111009</v>
      </c>
      <c r="P267" s="720">
        <f>Sales!P424</f>
        <v>9090.9011495708382</v>
      </c>
      <c r="Q267" s="720">
        <f>Sales!Q424</f>
        <v>9464.3218351930518</v>
      </c>
      <c r="R267" s="719"/>
      <c r="S267" s="796">
        <v>2566</v>
      </c>
      <c r="T267" s="796">
        <v>2736</v>
      </c>
      <c r="U267" s="796">
        <v>2539</v>
      </c>
      <c r="V267" s="796">
        <v>2655</v>
      </c>
      <c r="W267" s="797">
        <v>2642</v>
      </c>
      <c r="X267" s="796">
        <v>2817</v>
      </c>
      <c r="Y267" s="796">
        <v>2665</v>
      </c>
      <c r="Z267" s="796">
        <v>2703</v>
      </c>
      <c r="AA267" s="797">
        <f>Sales!AA424</f>
        <v>1531</v>
      </c>
      <c r="AB267" s="796">
        <f>Sales!AB424</f>
        <v>1531</v>
      </c>
      <c r="AC267" s="796">
        <f>Sales!AC424</f>
        <v>1469</v>
      </c>
      <c r="AD267" s="796">
        <f>Sales!AD424</f>
        <v>1468</v>
      </c>
      <c r="AE267" s="797">
        <f>Sales!AE424</f>
        <v>1426</v>
      </c>
      <c r="AF267" s="796">
        <f>Sales!AF424</f>
        <v>1506</v>
      </c>
      <c r="AG267" s="796">
        <f>Sales!AG424</f>
        <v>1436</v>
      </c>
      <c r="AH267" s="798">
        <f>Sales!AH424</f>
        <v>1444</v>
      </c>
      <c r="AI267" s="797">
        <f>Sales!AI424</f>
        <v>1591</v>
      </c>
      <c r="AJ267" s="796">
        <f>Sales!AJ424</f>
        <v>1707</v>
      </c>
      <c r="AK267" s="796">
        <f>Sales!AK424</f>
        <v>1712</v>
      </c>
      <c r="AL267" s="798">
        <f>Sales!AL424</f>
        <v>1761</v>
      </c>
      <c r="AM267" s="796">
        <f>Sales!AM424</f>
        <v>1779</v>
      </c>
      <c r="AN267" s="796">
        <f>Sales!AN424</f>
        <v>1830.9249486414797</v>
      </c>
      <c r="AO267" s="796">
        <f>Sales!AO424</f>
        <v>1832.2559738089849</v>
      </c>
      <c r="AP267" s="796">
        <f>Sales!AP424</f>
        <v>1823.7954003104287</v>
      </c>
      <c r="AQ267" s="1392"/>
      <c r="AR267" s="1065"/>
      <c r="AS267" s="1065"/>
      <c r="AT267" s="1065"/>
      <c r="AU267" s="1065"/>
      <c r="AV267" s="1065"/>
      <c r="AW267" s="1065"/>
      <c r="AX267" s="1065"/>
      <c r="AY267" s="1065"/>
      <c r="AZ267" s="1065"/>
      <c r="BA267" s="1065"/>
      <c r="BB267"/>
      <c r="BC267"/>
      <c r="BD267"/>
      <c r="BE267"/>
      <c r="BF267"/>
      <c r="BG267"/>
      <c r="BJ267" s="720"/>
      <c r="BK267" s="720"/>
      <c r="BL267" s="720"/>
      <c r="BM267" s="720"/>
      <c r="BN267" s="720"/>
    </row>
    <row r="268" spans="1:102" s="693" customFormat="1">
      <c r="A268" s="896" t="s">
        <v>586</v>
      </c>
      <c r="B268" s="731"/>
      <c r="C268" s="755">
        <v>1.2397660818713452</v>
      </c>
      <c r="D268" s="755">
        <v>2.6812612974492778E-2</v>
      </c>
      <c r="E268" s="755">
        <v>2.6503667481662552E-2</v>
      </c>
      <c r="F268" s="755">
        <v>3.1535823170731669E-2</v>
      </c>
      <c r="G268" s="755">
        <f t="shared" ref="G268:Q268" si="459">G267/F267-1</f>
        <v>-0.44592223145839105</v>
      </c>
      <c r="H268" s="755">
        <f t="shared" si="459"/>
        <v>-3.1171861976996174E-2</v>
      </c>
      <c r="I268" s="755">
        <f t="shared" si="459"/>
        <v>0.16500344115622845</v>
      </c>
      <c r="J268" s="755">
        <f t="shared" si="459"/>
        <v>7.3102395918017038E-2</v>
      </c>
      <c r="K268" s="755">
        <f t="shared" si="459"/>
        <v>3.2525932270345503E-2</v>
      </c>
      <c r="L268" s="755">
        <f t="shared" si="459"/>
        <v>3.7802369670852043E-2</v>
      </c>
      <c r="M268" s="755">
        <f t="shared" si="459"/>
        <v>3.8506126999495294E-2</v>
      </c>
      <c r="N268" s="755">
        <f t="shared" si="459"/>
        <v>3.9184875558490484E-2</v>
      </c>
      <c r="O268" s="755">
        <f t="shared" si="459"/>
        <v>3.9839107145493768E-2</v>
      </c>
      <c r="P268" s="755">
        <f t="shared" si="459"/>
        <v>4.0469380361396023E-2</v>
      </c>
      <c r="Q268" s="755">
        <f t="shared" si="459"/>
        <v>4.1076311300540569E-2</v>
      </c>
      <c r="R268" s="688"/>
      <c r="S268" s="792"/>
      <c r="T268" s="792"/>
      <c r="U268" s="792"/>
      <c r="V268" s="792"/>
      <c r="W268" s="952">
        <f t="shared" ref="W268:AD268" si="460">W267/S267-1</f>
        <v>2.9618082618862118E-2</v>
      </c>
      <c r="X268" s="792">
        <f t="shared" si="460"/>
        <v>2.960526315789469E-2</v>
      </c>
      <c r="Y268" s="792">
        <f t="shared" si="460"/>
        <v>4.9625836943678614E-2</v>
      </c>
      <c r="Z268" s="792">
        <f t="shared" si="460"/>
        <v>1.8079096045197751E-2</v>
      </c>
      <c r="AA268" s="952">
        <f t="shared" si="460"/>
        <v>-0.42051476154428469</v>
      </c>
      <c r="AB268" s="792">
        <f t="shared" si="460"/>
        <v>-0.45651402200922964</v>
      </c>
      <c r="AC268" s="792">
        <f t="shared" si="460"/>
        <v>-0.448780487804878</v>
      </c>
      <c r="AD268" s="792">
        <f t="shared" si="460"/>
        <v>-0.45689974102848685</v>
      </c>
      <c r="AE268" s="952">
        <f t="shared" ref="AE268:AL268" si="461">AE267/AA267-1</f>
        <v>-6.8582625734813885E-2</v>
      </c>
      <c r="AF268" s="792">
        <f t="shared" si="461"/>
        <v>-1.6329196603527052E-2</v>
      </c>
      <c r="AG268" s="792">
        <f t="shared" si="461"/>
        <v>-2.24642614023145E-2</v>
      </c>
      <c r="AH268" s="791">
        <f t="shared" si="461"/>
        <v>-1.6348773841961872E-2</v>
      </c>
      <c r="AI268" s="952">
        <f t="shared" si="461"/>
        <v>0.11570827489481061</v>
      </c>
      <c r="AJ268" s="792">
        <f t="shared" si="461"/>
        <v>0.13346613545816743</v>
      </c>
      <c r="AK268" s="792">
        <f t="shared" si="461"/>
        <v>0.19220055710306405</v>
      </c>
      <c r="AL268" s="791">
        <f t="shared" si="461"/>
        <v>0.21952908587257625</v>
      </c>
      <c r="AM268" s="792">
        <f t="shared" ref="AM268" si="462">AM267/AI267-1</f>
        <v>0.11816467630421124</v>
      </c>
      <c r="AN268" s="792">
        <f t="shared" ref="AN268" si="463">AN267/AJ267-1</f>
        <v>7.2598095279132746E-2</v>
      </c>
      <c r="AO268" s="792">
        <f t="shared" ref="AO268" si="464">AO267/AK267-1</f>
        <v>7.0242975355715442E-2</v>
      </c>
      <c r="AP268" s="792">
        <f t="shared" ref="AP268" si="465">AP267/AL267-1</f>
        <v>3.5658943958221778E-2</v>
      </c>
      <c r="AQ268" s="1383"/>
      <c r="AR268" s="692"/>
      <c r="AS268" s="692"/>
      <c r="AT268" s="692"/>
      <c r="AU268" s="692"/>
      <c r="AV268" s="692"/>
      <c r="AW268" s="692"/>
      <c r="AX268" s="692"/>
      <c r="AY268" s="692"/>
      <c r="AZ268" s="692"/>
      <c r="BA268" s="692"/>
      <c r="BB268"/>
      <c r="BC268"/>
      <c r="BD268"/>
      <c r="BE268"/>
      <c r="BF268"/>
      <c r="BG268"/>
      <c r="BJ268" s="694"/>
      <c r="BK268" s="694"/>
      <c r="BL268" s="694"/>
      <c r="BM268" s="694"/>
      <c r="BN268" s="694"/>
    </row>
    <row r="269" spans="1:102" s="693" customFormat="1" outlineLevel="1">
      <c r="A269" s="713" t="s">
        <v>214</v>
      </c>
      <c r="B269" s="714">
        <v>14</v>
      </c>
      <c r="C269" s="714">
        <v>22</v>
      </c>
      <c r="D269" s="714">
        <v>56</v>
      </c>
      <c r="E269" s="714">
        <v>50</v>
      </c>
      <c r="F269" s="714">
        <v>49</v>
      </c>
      <c r="G269" s="714">
        <v>0</v>
      </c>
      <c r="H269" s="714">
        <v>0</v>
      </c>
      <c r="I269" s="714">
        <v>3</v>
      </c>
      <c r="J269" s="793">
        <v>0</v>
      </c>
      <c r="K269" s="793">
        <f t="shared" ref="K269:Q269" si="466">J269/J267*K267</f>
        <v>0</v>
      </c>
      <c r="L269" s="793">
        <f t="shared" si="466"/>
        <v>0</v>
      </c>
      <c r="M269" s="793">
        <f t="shared" si="466"/>
        <v>0</v>
      </c>
      <c r="N269" s="793">
        <f t="shared" si="466"/>
        <v>0</v>
      </c>
      <c r="O269" s="793">
        <f t="shared" si="466"/>
        <v>0</v>
      </c>
      <c r="P269" s="793">
        <f t="shared" si="466"/>
        <v>0</v>
      </c>
      <c r="Q269" s="793">
        <f t="shared" si="466"/>
        <v>0</v>
      </c>
      <c r="R269" s="715"/>
      <c r="S269" s="716">
        <v>14</v>
      </c>
      <c r="T269" s="716">
        <v>14</v>
      </c>
      <c r="U269" s="716">
        <v>12</v>
      </c>
      <c r="V269" s="716">
        <v>10</v>
      </c>
      <c r="W269" s="717">
        <v>13</v>
      </c>
      <c r="X269" s="716">
        <v>13</v>
      </c>
      <c r="Y269" s="716">
        <v>12</v>
      </c>
      <c r="Z269" s="716">
        <v>11</v>
      </c>
      <c r="AA269" s="717">
        <v>0</v>
      </c>
      <c r="AB269" s="716">
        <v>0</v>
      </c>
      <c r="AC269" s="716">
        <v>0</v>
      </c>
      <c r="AD269" s="716">
        <f>G269-AA269-AB269-AC269</f>
        <v>0</v>
      </c>
      <c r="AE269" s="717">
        <v>0</v>
      </c>
      <c r="AF269" s="716">
        <v>0</v>
      </c>
      <c r="AG269" s="716">
        <v>0</v>
      </c>
      <c r="AH269" s="718">
        <f>+H269-SUM(AE269:AG269)</f>
        <v>0</v>
      </c>
      <c r="AI269" s="717">
        <v>1</v>
      </c>
      <c r="AJ269" s="716">
        <v>1</v>
      </c>
      <c r="AK269" s="716">
        <v>1</v>
      </c>
      <c r="AL269" s="718">
        <f>I269-AI269-AJ269-AK269</f>
        <v>0</v>
      </c>
      <c r="AM269" s="717">
        <v>3</v>
      </c>
      <c r="AN269" s="980">
        <v>0</v>
      </c>
      <c r="AO269" s="980">
        <v>0</v>
      </c>
      <c r="AP269" s="716">
        <f t="shared" ref="AP269:AP275" si="467">J269-AM269-AN269-AO269</f>
        <v>-3</v>
      </c>
      <c r="AQ269" s="1383"/>
      <c r="AR269" s="692"/>
      <c r="AS269" s="692"/>
      <c r="AT269" s="692"/>
      <c r="AU269" s="692"/>
      <c r="AV269" s="692"/>
      <c r="AW269" s="692"/>
      <c r="AX269" s="692"/>
      <c r="AY269" s="692"/>
      <c r="AZ269" s="692"/>
      <c r="BA269" s="692"/>
      <c r="BB269"/>
      <c r="BC269"/>
      <c r="BD269"/>
      <c r="BE269"/>
      <c r="BF269"/>
      <c r="BG269"/>
      <c r="BJ269" s="714"/>
      <c r="BK269" s="714"/>
      <c r="BL269" s="714"/>
      <c r="BM269" s="714"/>
      <c r="BN269" s="714"/>
    </row>
    <row r="270" spans="1:102" s="693" customFormat="1" outlineLevel="1">
      <c r="A270" s="713" t="s">
        <v>215</v>
      </c>
      <c r="B270" s="716">
        <v>4460</v>
      </c>
      <c r="C270" s="716">
        <v>9980</v>
      </c>
      <c r="D270" s="716">
        <v>10281</v>
      </c>
      <c r="E270" s="716">
        <v>10546</v>
      </c>
      <c r="F270" s="716">
        <v>10876</v>
      </c>
      <c r="G270" s="716">
        <f t="shared" ref="G270:Q270" si="468">G269+G267</f>
        <v>5999</v>
      </c>
      <c r="H270" s="716">
        <f t="shared" si="468"/>
        <v>5812</v>
      </c>
      <c r="I270" s="716">
        <f t="shared" si="468"/>
        <v>6774</v>
      </c>
      <c r="J270" s="714">
        <f t="shared" si="468"/>
        <v>7265.9763227608937</v>
      </c>
      <c r="K270" s="714">
        <f t="shared" si="468"/>
        <v>7502.308976512948</v>
      </c>
      <c r="L270" s="714">
        <f t="shared" si="468"/>
        <v>7785.9140338280413</v>
      </c>
      <c r="M270" s="714">
        <f t="shared" si="468"/>
        <v>8085.7194284217767</v>
      </c>
      <c r="N270" s="714">
        <f t="shared" si="468"/>
        <v>8402.5573380253536</v>
      </c>
      <c r="O270" s="714">
        <f t="shared" si="468"/>
        <v>8737.3077201111009</v>
      </c>
      <c r="P270" s="714">
        <f t="shared" si="468"/>
        <v>9090.9011495708382</v>
      </c>
      <c r="Q270" s="714">
        <f t="shared" si="468"/>
        <v>9464.3218351930518</v>
      </c>
      <c r="R270" s="715"/>
      <c r="S270" s="716">
        <v>2580</v>
      </c>
      <c r="T270" s="716">
        <v>2750</v>
      </c>
      <c r="U270" s="716">
        <v>2551</v>
      </c>
      <c r="V270" s="716">
        <v>2665</v>
      </c>
      <c r="W270" s="717">
        <v>2655</v>
      </c>
      <c r="X270" s="716">
        <v>2830</v>
      </c>
      <c r="Y270" s="716">
        <v>2677</v>
      </c>
      <c r="Z270" s="716">
        <v>2714</v>
      </c>
      <c r="AA270" s="717">
        <f t="shared" ref="AA270:AP270" si="469">AA269+AA267</f>
        <v>1531</v>
      </c>
      <c r="AB270" s="716">
        <f t="shared" si="469"/>
        <v>1531</v>
      </c>
      <c r="AC270" s="716">
        <f t="shared" si="469"/>
        <v>1469</v>
      </c>
      <c r="AD270" s="716">
        <f t="shared" si="469"/>
        <v>1468</v>
      </c>
      <c r="AE270" s="717">
        <f t="shared" si="469"/>
        <v>1426</v>
      </c>
      <c r="AF270" s="716">
        <f t="shared" si="469"/>
        <v>1506</v>
      </c>
      <c r="AG270" s="716">
        <f t="shared" si="469"/>
        <v>1436</v>
      </c>
      <c r="AH270" s="718">
        <f t="shared" si="469"/>
        <v>1444</v>
      </c>
      <c r="AI270" s="717">
        <f t="shared" si="469"/>
        <v>1592</v>
      </c>
      <c r="AJ270" s="716">
        <f t="shared" si="469"/>
        <v>1708</v>
      </c>
      <c r="AK270" s="716">
        <f t="shared" si="469"/>
        <v>1713</v>
      </c>
      <c r="AL270" s="718">
        <f t="shared" si="469"/>
        <v>1761</v>
      </c>
      <c r="AM270" s="716">
        <f t="shared" si="469"/>
        <v>1782</v>
      </c>
      <c r="AN270" s="716">
        <f t="shared" si="469"/>
        <v>1830.9249486414797</v>
      </c>
      <c r="AO270" s="716">
        <f t="shared" si="469"/>
        <v>1832.2559738089849</v>
      </c>
      <c r="AP270" s="716">
        <f t="shared" si="469"/>
        <v>1820.7954003104287</v>
      </c>
      <c r="AQ270" s="1392"/>
      <c r="AR270" s="692"/>
      <c r="AS270" s="692"/>
      <c r="AT270" s="692"/>
      <c r="AU270" s="692"/>
      <c r="AV270" s="692"/>
      <c r="AW270" s="692"/>
      <c r="AX270" s="692"/>
      <c r="AY270" s="692"/>
      <c r="AZ270" s="692"/>
      <c r="BA270" s="692"/>
      <c r="BB270"/>
      <c r="BC270"/>
      <c r="BD270"/>
      <c r="BE270"/>
      <c r="BF270"/>
      <c r="BG270"/>
      <c r="BJ270" s="714"/>
      <c r="BK270" s="714"/>
      <c r="BL270" s="714"/>
      <c r="BM270" s="714"/>
      <c r="BN270" s="714"/>
    </row>
    <row r="271" spans="1:102" s="693" customFormat="1">
      <c r="A271" s="713" t="s">
        <v>216</v>
      </c>
      <c r="B271" s="714">
        <v>34</v>
      </c>
      <c r="C271" s="714">
        <v>43</v>
      </c>
      <c r="D271" s="714">
        <v>53</v>
      </c>
      <c r="E271" s="714">
        <v>27</v>
      </c>
      <c r="F271" s="714">
        <v>34</v>
      </c>
      <c r="G271" s="714">
        <v>23</v>
      </c>
      <c r="H271" s="714">
        <v>4</v>
      </c>
      <c r="I271" s="714">
        <v>3</v>
      </c>
      <c r="J271" s="793">
        <f t="shared" ref="J271:Q271" si="470">I271/I267*J267</f>
        <v>3.2193071877540511</v>
      </c>
      <c r="K271" s="793">
        <f t="shared" si="470"/>
        <v>3.3240181553003758</v>
      </c>
      <c r="L271" s="793">
        <f t="shared" si="470"/>
        <v>3.4496739183996636</v>
      </c>
      <c r="M271" s="793">
        <f t="shared" si="470"/>
        <v>3.5825075004084077</v>
      </c>
      <c r="N271" s="793">
        <f t="shared" si="470"/>
        <v>3.7228876109992703</v>
      </c>
      <c r="O271" s="793">
        <f t="shared" si="470"/>
        <v>3.8712041294245019</v>
      </c>
      <c r="P271" s="793">
        <f t="shared" si="470"/>
        <v>4.0278693617947887</v>
      </c>
      <c r="Q271" s="793">
        <f t="shared" si="470"/>
        <v>4.1933193775777813</v>
      </c>
      <c r="R271" s="947"/>
      <c r="S271" s="716">
        <v>7</v>
      </c>
      <c r="T271" s="716">
        <v>4</v>
      </c>
      <c r="U271" s="716">
        <v>9</v>
      </c>
      <c r="V271" s="716">
        <v>7</v>
      </c>
      <c r="W271" s="717">
        <v>8</v>
      </c>
      <c r="X271" s="716">
        <v>6</v>
      </c>
      <c r="Y271" s="716">
        <v>10</v>
      </c>
      <c r="Z271" s="716">
        <v>10</v>
      </c>
      <c r="AA271" s="717">
        <v>7</v>
      </c>
      <c r="AB271" s="716">
        <v>7</v>
      </c>
      <c r="AC271" s="716">
        <v>5</v>
      </c>
      <c r="AD271" s="716">
        <f>G271-AA271-AB271-AC271</f>
        <v>4</v>
      </c>
      <c r="AE271" s="717">
        <v>4</v>
      </c>
      <c r="AF271" s="716">
        <v>0</v>
      </c>
      <c r="AG271" s="716">
        <v>0</v>
      </c>
      <c r="AH271" s="718">
        <f>+H271-SUM(AE271:AG271)</f>
        <v>0</v>
      </c>
      <c r="AI271" s="717">
        <v>0</v>
      </c>
      <c r="AJ271" s="716">
        <v>1</v>
      </c>
      <c r="AK271" s="716">
        <v>2</v>
      </c>
      <c r="AL271" s="718">
        <f>I271-AI271-AJ271-AK271</f>
        <v>0</v>
      </c>
      <c r="AM271" s="717">
        <v>0</v>
      </c>
      <c r="AN271" s="788">
        <f t="shared" ref="AN271:AO271" si="471">AJ271/AJ267*AN267</f>
        <v>1.0725980952791327</v>
      </c>
      <c r="AO271" s="788">
        <f t="shared" si="471"/>
        <v>2.1404859507114309</v>
      </c>
      <c r="AP271" s="716">
        <f t="shared" si="467"/>
        <v>6.223141763487483E-3</v>
      </c>
      <c r="AQ271" s="1383"/>
      <c r="AR271" s="692"/>
      <c r="AS271" s="692"/>
      <c r="AT271" s="692"/>
      <c r="AU271" s="692"/>
      <c r="AV271" s="692"/>
      <c r="AW271" s="692"/>
      <c r="AX271" s="692"/>
      <c r="AY271" s="692"/>
      <c r="AZ271" s="692"/>
      <c r="BA271" s="692"/>
      <c r="BB271"/>
      <c r="BC271"/>
      <c r="BD271"/>
      <c r="BE271"/>
      <c r="BF271"/>
      <c r="BG271"/>
      <c r="BJ271" s="714"/>
      <c r="BK271" s="714"/>
      <c r="BL271" s="714"/>
      <c r="BM271" s="714"/>
      <c r="BN271" s="714"/>
    </row>
    <row r="272" spans="1:102" s="693" customFormat="1">
      <c r="A272" s="713" t="s">
        <v>219</v>
      </c>
      <c r="B272" s="714">
        <v>-1760</v>
      </c>
      <c r="C272" s="714">
        <v>-2634</v>
      </c>
      <c r="D272" s="714">
        <v>-2695</v>
      </c>
      <c r="E272" s="714">
        <v>-2908</v>
      </c>
      <c r="F272" s="714">
        <v>-3111</v>
      </c>
      <c r="G272" s="714">
        <f>-3145+887</f>
        <v>-2258</v>
      </c>
      <c r="H272" s="714">
        <v>-2216</v>
      </c>
      <c r="I272" s="714">
        <f>-3588+1015</f>
        <v>-2573</v>
      </c>
      <c r="J272" s="714">
        <f t="shared" ref="J272:Q272" si="472">-J273*J267</f>
        <v>-2724.7411210353353</v>
      </c>
      <c r="K272" s="714">
        <f t="shared" si="472"/>
        <v>-2775.8543213097905</v>
      </c>
      <c r="L272" s="714">
        <f t="shared" si="472"/>
        <v>-2834.072708313407</v>
      </c>
      <c r="M272" s="714">
        <f t="shared" si="472"/>
        <v>-2910.8589942318395</v>
      </c>
      <c r="N272" s="714">
        <f t="shared" si="472"/>
        <v>-2974.505297660975</v>
      </c>
      <c r="O272" s="714">
        <f t="shared" si="472"/>
        <v>-3058.0577020388851</v>
      </c>
      <c r="P272" s="714">
        <f t="shared" si="472"/>
        <v>-3090.9063908540852</v>
      </c>
      <c r="Q272" s="714">
        <f t="shared" si="472"/>
        <v>-3123.2262056137074</v>
      </c>
      <c r="R272" s="715"/>
      <c r="S272" s="716">
        <v>-688</v>
      </c>
      <c r="T272" s="716">
        <v>-733</v>
      </c>
      <c r="U272" s="716">
        <v>-695</v>
      </c>
      <c r="V272" s="716">
        <v>-792</v>
      </c>
      <c r="W272" s="717">
        <v>-772</v>
      </c>
      <c r="X272" s="716">
        <v>-783</v>
      </c>
      <c r="Y272" s="716">
        <v>-756</v>
      </c>
      <c r="Z272" s="716">
        <v>-800</v>
      </c>
      <c r="AA272" s="717">
        <f>-786+223</f>
        <v>-563</v>
      </c>
      <c r="AB272" s="716">
        <f>-817+224</f>
        <v>-593</v>
      </c>
      <c r="AC272" s="716">
        <f>-753+225</f>
        <v>-528</v>
      </c>
      <c r="AD272" s="716">
        <f>G272-AA272-AB272-AC272</f>
        <v>-574</v>
      </c>
      <c r="AE272" s="717">
        <v>-554</v>
      </c>
      <c r="AF272" s="716">
        <v>-564</v>
      </c>
      <c r="AG272" s="716">
        <v>-543</v>
      </c>
      <c r="AH272" s="718">
        <f>+H272-SUM(AE272:AG272)</f>
        <v>-555</v>
      </c>
      <c r="AI272" s="717">
        <f>-868+252</f>
        <v>-616</v>
      </c>
      <c r="AJ272" s="716">
        <f>-895+254</f>
        <v>-641</v>
      </c>
      <c r="AK272" s="716">
        <f>-884+255</f>
        <v>-629</v>
      </c>
      <c r="AL272" s="718">
        <f>I272-AI272-AJ272-AK272</f>
        <v>-687</v>
      </c>
      <c r="AM272" s="716">
        <v>-667</v>
      </c>
      <c r="AN272" s="716">
        <f t="shared" ref="AN272:AO272" si="473">-AN273*AN267</f>
        <v>-686.59685574055493</v>
      </c>
      <c r="AO272" s="716">
        <f t="shared" si="473"/>
        <v>-687.09599017836933</v>
      </c>
      <c r="AP272" s="716">
        <f t="shared" si="467"/>
        <v>-684.04827511641099</v>
      </c>
      <c r="AQ272" s="1383"/>
      <c r="AR272" s="692"/>
      <c r="AS272" s="692"/>
      <c r="AT272" s="692"/>
      <c r="AU272" s="692"/>
      <c r="AV272" s="692"/>
      <c r="AW272" s="692"/>
      <c r="AX272" s="692"/>
      <c r="AY272" s="692"/>
      <c r="AZ272" s="692"/>
      <c r="BA272" s="692"/>
      <c r="BB272"/>
      <c r="BC272"/>
      <c r="BD272"/>
      <c r="BE272"/>
      <c r="BF272"/>
      <c r="BG272"/>
      <c r="BJ272" s="714"/>
      <c r="BK272" s="714"/>
      <c r="BL272" s="714"/>
      <c r="BM272" s="714"/>
      <c r="BN272" s="714"/>
    </row>
    <row r="273" spans="1:102" s="693" customFormat="1">
      <c r="A273" s="713" t="s">
        <v>95</v>
      </c>
      <c r="B273" s="731">
        <v>0.39586144849302746</v>
      </c>
      <c r="C273" s="731">
        <v>0.26451094597308694</v>
      </c>
      <c r="D273" s="731">
        <v>0.26356968215158927</v>
      </c>
      <c r="E273" s="731">
        <v>0.27705792682926828</v>
      </c>
      <c r="F273" s="731">
        <v>0.28733721252424493</v>
      </c>
      <c r="G273" s="731">
        <f>-G272/G267</f>
        <v>0.37639606601100184</v>
      </c>
      <c r="H273" s="731">
        <f>-H272/H267</f>
        <v>0.3812801101169993</v>
      </c>
      <c r="I273" s="731">
        <f>-I272/I267</f>
        <v>0.38000295377344556</v>
      </c>
      <c r="J273" s="824">
        <v>0.375</v>
      </c>
      <c r="K273" s="824">
        <v>0.37</v>
      </c>
      <c r="L273" s="824">
        <v>0.36399999999999999</v>
      </c>
      <c r="M273" s="824">
        <v>0.36</v>
      </c>
      <c r="N273" s="824">
        <v>0.35399999999999998</v>
      </c>
      <c r="O273" s="824">
        <v>0.35</v>
      </c>
      <c r="P273" s="824">
        <v>0.34</v>
      </c>
      <c r="Q273" s="824">
        <v>0.33</v>
      </c>
      <c r="R273" s="721"/>
      <c r="S273" s="732">
        <f t="shared" ref="S273:AM273" si="474">-S272/S267</f>
        <v>0.26812159002338271</v>
      </c>
      <c r="T273" s="732">
        <f t="shared" si="474"/>
        <v>0.26790935672514621</v>
      </c>
      <c r="U273" s="732">
        <f t="shared" si="474"/>
        <v>0.27372981488775111</v>
      </c>
      <c r="V273" s="732">
        <f t="shared" si="474"/>
        <v>0.29830508474576273</v>
      </c>
      <c r="W273" s="733">
        <f t="shared" si="474"/>
        <v>0.29220287660862981</v>
      </c>
      <c r="X273" s="732">
        <f t="shared" si="474"/>
        <v>0.27795527156549521</v>
      </c>
      <c r="Y273" s="732">
        <f t="shared" si="474"/>
        <v>0.28367729831144467</v>
      </c>
      <c r="Z273" s="732">
        <f t="shared" si="474"/>
        <v>0.29596744358120608</v>
      </c>
      <c r="AA273" s="733">
        <f t="shared" si="474"/>
        <v>0.36773350751143041</v>
      </c>
      <c r="AB273" s="732">
        <f t="shared" si="474"/>
        <v>0.38732854343566298</v>
      </c>
      <c r="AC273" s="732">
        <f t="shared" si="474"/>
        <v>0.35942818243703201</v>
      </c>
      <c r="AD273" s="732">
        <f t="shared" si="474"/>
        <v>0.39100817438692098</v>
      </c>
      <c r="AE273" s="733">
        <f t="shared" si="474"/>
        <v>0.38849929873772793</v>
      </c>
      <c r="AF273" s="732">
        <f t="shared" si="474"/>
        <v>0.37450199203187251</v>
      </c>
      <c r="AG273" s="732">
        <f t="shared" si="474"/>
        <v>0.37813370473537605</v>
      </c>
      <c r="AH273" s="734">
        <f>-AH272/AH267</f>
        <v>0.38434903047091412</v>
      </c>
      <c r="AI273" s="733">
        <f t="shared" si="474"/>
        <v>0.38717787554996858</v>
      </c>
      <c r="AJ273" s="732">
        <f t="shared" si="474"/>
        <v>0.37551259519625074</v>
      </c>
      <c r="AK273" s="732">
        <f t="shared" si="474"/>
        <v>0.36740654205607476</v>
      </c>
      <c r="AL273" s="734">
        <f>-AL272/AL267</f>
        <v>0.3901192504258944</v>
      </c>
      <c r="AM273" s="733">
        <f t="shared" si="474"/>
        <v>0.37492973580663291</v>
      </c>
      <c r="AN273" s="825">
        <v>0.375</v>
      </c>
      <c r="AO273" s="825">
        <v>0.375</v>
      </c>
      <c r="AP273" s="734">
        <f>-AP272/AP267</f>
        <v>0.37506853838976617</v>
      </c>
      <c r="AQ273" s="1383"/>
      <c r="AR273" s="692"/>
      <c r="AS273" s="692"/>
      <c r="AT273" s="692"/>
      <c r="AU273" s="692"/>
      <c r="AV273" s="692"/>
      <c r="AW273" s="692"/>
      <c r="AX273" s="692"/>
      <c r="AY273" s="692"/>
      <c r="AZ273" s="692"/>
      <c r="BA273" s="692"/>
      <c r="BB273"/>
      <c r="BC273"/>
      <c r="BD273"/>
      <c r="BE273"/>
      <c r="BF273"/>
      <c r="BG273"/>
      <c r="BJ273" s="725"/>
      <c r="BK273" s="725"/>
      <c r="BL273" s="725"/>
      <c r="BM273" s="725"/>
      <c r="BN273" s="725"/>
    </row>
    <row r="274" spans="1:102" s="693" customFormat="1" outlineLevel="1">
      <c r="A274" s="713" t="s">
        <v>220</v>
      </c>
      <c r="B274" s="714"/>
      <c r="C274" s="714">
        <v>-1932</v>
      </c>
      <c r="D274" s="714">
        <v>-1923</v>
      </c>
      <c r="E274" s="714">
        <v>-1992</v>
      </c>
      <c r="F274" s="714">
        <v>-2082</v>
      </c>
      <c r="G274" s="714">
        <f>+G275-G272</f>
        <v>-887</v>
      </c>
      <c r="H274" s="716">
        <f>+H275-H272</f>
        <v>-876</v>
      </c>
      <c r="I274" s="716">
        <f>+I275-I272</f>
        <v>-1015</v>
      </c>
      <c r="J274" s="714">
        <f t="shared" ref="J274:Q274" si="475">-J316</f>
        <v>-901</v>
      </c>
      <c r="K274" s="714">
        <f t="shared" si="475"/>
        <v>-901</v>
      </c>
      <c r="L274" s="714">
        <f t="shared" si="475"/>
        <v>-1800</v>
      </c>
      <c r="M274" s="714">
        <f t="shared" si="475"/>
        <v>-1800</v>
      </c>
      <c r="N274" s="714">
        <f t="shared" si="475"/>
        <v>-1800</v>
      </c>
      <c r="O274" s="714">
        <f t="shared" si="475"/>
        <v>-1800</v>
      </c>
      <c r="P274" s="714">
        <f t="shared" si="475"/>
        <v>-1800</v>
      </c>
      <c r="Q274" s="714">
        <f t="shared" si="475"/>
        <v>-3528</v>
      </c>
      <c r="R274" s="715"/>
      <c r="S274" s="716">
        <v>-481</v>
      </c>
      <c r="T274" s="716">
        <v>-495</v>
      </c>
      <c r="U274" s="716">
        <v>-500</v>
      </c>
      <c r="V274" s="716">
        <v>-516</v>
      </c>
      <c r="W274" s="717">
        <v>-521</v>
      </c>
      <c r="X274" s="716">
        <v>-522</v>
      </c>
      <c r="Y274" s="716">
        <v>-519</v>
      </c>
      <c r="Z274" s="716">
        <v>-520</v>
      </c>
      <c r="AA274" s="717">
        <f t="shared" ref="AA274:AG274" si="476">+AA275-AA272</f>
        <v>-223</v>
      </c>
      <c r="AB274" s="716">
        <f t="shared" si="476"/>
        <v>-224</v>
      </c>
      <c r="AC274" s="716">
        <f t="shared" si="476"/>
        <v>-225</v>
      </c>
      <c r="AD274" s="716">
        <f t="shared" si="476"/>
        <v>-215</v>
      </c>
      <c r="AE274" s="717">
        <f t="shared" si="476"/>
        <v>-209</v>
      </c>
      <c r="AF274" s="716">
        <f t="shared" si="476"/>
        <v>-219</v>
      </c>
      <c r="AG274" s="716">
        <f t="shared" si="476"/>
        <v>-221</v>
      </c>
      <c r="AH274" s="718">
        <f>+H274-SUM(AE274:AG274)</f>
        <v>-227</v>
      </c>
      <c r="AI274" s="717">
        <f>+AI275-AI272</f>
        <v>-252</v>
      </c>
      <c r="AJ274" s="716">
        <f>+AJ275-AJ272</f>
        <v>-254</v>
      </c>
      <c r="AK274" s="716">
        <f>+AK275-AK272</f>
        <v>-255</v>
      </c>
      <c r="AL274" s="718">
        <f>I274-AI274-AJ274-AK274</f>
        <v>-254</v>
      </c>
      <c r="AM274" s="717">
        <f>+AM275-AM272</f>
        <v>-253</v>
      </c>
      <c r="AN274" s="716">
        <f t="shared" ref="AN274:AP274" si="477">-AN316</f>
        <v>-226</v>
      </c>
      <c r="AO274" s="716">
        <f t="shared" si="477"/>
        <v>-225</v>
      </c>
      <c r="AP274" s="716">
        <f t="shared" si="477"/>
        <v>-195</v>
      </c>
      <c r="AQ274" s="1383"/>
      <c r="AR274" s="692"/>
      <c r="AS274" s="692"/>
      <c r="AT274" s="692"/>
      <c r="AU274" s="692"/>
      <c r="AV274" s="692"/>
      <c r="AW274" s="692"/>
      <c r="AX274" s="692"/>
      <c r="AY274" s="692"/>
      <c r="AZ274" s="692"/>
      <c r="BA274" s="692"/>
      <c r="BB274"/>
      <c r="BC274"/>
      <c r="BD274"/>
      <c r="BE274"/>
      <c r="BF274"/>
      <c r="BG274"/>
      <c r="BJ274" s="714"/>
      <c r="BK274" s="714"/>
      <c r="BL274" s="714"/>
      <c r="BM274" s="714"/>
      <c r="BN274" s="714"/>
    </row>
    <row r="275" spans="1:102" s="693" customFormat="1" outlineLevel="1">
      <c r="A275" s="713" t="s">
        <v>221</v>
      </c>
      <c r="B275" s="714"/>
      <c r="C275" s="714">
        <v>-4566</v>
      </c>
      <c r="D275" s="714">
        <v>-4618</v>
      </c>
      <c r="E275" s="714">
        <v>-4900</v>
      </c>
      <c r="F275" s="714">
        <v>-5193</v>
      </c>
      <c r="G275" s="714">
        <v>-3145</v>
      </c>
      <c r="H275" s="714">
        <v>-3092</v>
      </c>
      <c r="I275" s="714">
        <v>-3588</v>
      </c>
      <c r="J275" s="714">
        <f t="shared" ref="J275:P275" si="478">J272+J274</f>
        <v>-3625.7411210353353</v>
      </c>
      <c r="K275" s="714">
        <f t="shared" si="478"/>
        <v>-3676.8543213097905</v>
      </c>
      <c r="L275" s="714">
        <f t="shared" si="478"/>
        <v>-4634.072708313407</v>
      </c>
      <c r="M275" s="714">
        <f t="shared" si="478"/>
        <v>-4710.8589942318395</v>
      </c>
      <c r="N275" s="714">
        <f t="shared" si="478"/>
        <v>-4774.505297660975</v>
      </c>
      <c r="O275" s="714">
        <f t="shared" si="478"/>
        <v>-4858.0577020388846</v>
      </c>
      <c r="P275" s="714">
        <f t="shared" si="478"/>
        <v>-4890.9063908540847</v>
      </c>
      <c r="Q275" s="714">
        <f>Q272+Q274</f>
        <v>-6651.2262056137079</v>
      </c>
      <c r="R275" s="715"/>
      <c r="S275" s="716">
        <v>-1169</v>
      </c>
      <c r="T275" s="716">
        <v>-1228</v>
      </c>
      <c r="U275" s="716">
        <v>-1195</v>
      </c>
      <c r="V275" s="716">
        <v>-1308</v>
      </c>
      <c r="W275" s="717">
        <v>-1293</v>
      </c>
      <c r="X275" s="716">
        <v>-1305</v>
      </c>
      <c r="Y275" s="716">
        <v>-1275</v>
      </c>
      <c r="Z275" s="716">
        <v>-1320</v>
      </c>
      <c r="AA275" s="717">
        <v>-786</v>
      </c>
      <c r="AB275" s="716">
        <v>-817</v>
      </c>
      <c r="AC275" s="716">
        <v>-753</v>
      </c>
      <c r="AD275" s="716">
        <f>G275-AA275-AB275-AC275</f>
        <v>-789</v>
      </c>
      <c r="AE275" s="717">
        <v>-763</v>
      </c>
      <c r="AF275" s="716">
        <v>-783</v>
      </c>
      <c r="AG275" s="716">
        <v>-764</v>
      </c>
      <c r="AH275" s="718">
        <f>AH272+AH274</f>
        <v>-782</v>
      </c>
      <c r="AI275" s="717">
        <v>-868</v>
      </c>
      <c r="AJ275" s="716">
        <v>-895</v>
      </c>
      <c r="AK275" s="716">
        <v>-884</v>
      </c>
      <c r="AL275" s="718">
        <f>AL272+AL274</f>
        <v>-941</v>
      </c>
      <c r="AM275" s="716">
        <v>-920</v>
      </c>
      <c r="AN275" s="716">
        <f t="shared" ref="AN275:AO275" si="479">AN272+AN274</f>
        <v>-912.59685574055493</v>
      </c>
      <c r="AO275" s="716">
        <f t="shared" si="479"/>
        <v>-912.09599017836933</v>
      </c>
      <c r="AP275" s="716">
        <f t="shared" si="467"/>
        <v>-881.04827511641099</v>
      </c>
      <c r="AQ275" s="1392"/>
      <c r="AR275" s="692"/>
      <c r="AS275" s="692"/>
      <c r="AT275" s="692"/>
      <c r="AU275" s="692"/>
      <c r="AV275" s="692"/>
      <c r="AW275" s="692"/>
      <c r="AX275" s="692"/>
      <c r="AY275" s="692"/>
      <c r="AZ275" s="692"/>
      <c r="BA275" s="692"/>
      <c r="BB275"/>
      <c r="BC275"/>
      <c r="BD275"/>
      <c r="BE275"/>
      <c r="BF275"/>
      <c r="BG275"/>
      <c r="BJ275" s="714"/>
      <c r="BK275" s="714"/>
      <c r="BL275" s="714"/>
      <c r="BM275" s="714"/>
      <c r="BN275" s="714"/>
    </row>
    <row r="276" spans="1:102" s="799" customFormat="1">
      <c r="A276" s="1066" t="s">
        <v>222</v>
      </c>
      <c r="B276" s="1081">
        <v>2734</v>
      </c>
      <c r="C276" s="1081">
        <v>7389</v>
      </c>
      <c r="D276" s="1081">
        <v>7639</v>
      </c>
      <c r="E276" s="1081">
        <v>7665</v>
      </c>
      <c r="F276" s="1081">
        <v>7799</v>
      </c>
      <c r="G276" s="1081">
        <f t="shared" ref="G276:Q276" si="480">G270+G271+G272</f>
        <v>3764</v>
      </c>
      <c r="H276" s="1081">
        <f t="shared" si="480"/>
        <v>3600</v>
      </c>
      <c r="I276" s="1081">
        <f t="shared" si="480"/>
        <v>4204</v>
      </c>
      <c r="J276" s="1081">
        <f t="shared" si="480"/>
        <v>4544.4545089133117</v>
      </c>
      <c r="K276" s="1081">
        <f t="shared" si="480"/>
        <v>4729.778673358458</v>
      </c>
      <c r="L276" s="1081">
        <f t="shared" si="480"/>
        <v>4955.2909994330339</v>
      </c>
      <c r="M276" s="1081">
        <f t="shared" si="480"/>
        <v>5178.4429416903458</v>
      </c>
      <c r="N276" s="1081">
        <f t="shared" si="480"/>
        <v>5431.7749279753771</v>
      </c>
      <c r="O276" s="1081">
        <f t="shared" si="480"/>
        <v>5683.1212222016402</v>
      </c>
      <c r="P276" s="1081">
        <f t="shared" si="480"/>
        <v>6004.0226280785482</v>
      </c>
      <c r="Q276" s="1081">
        <f t="shared" si="480"/>
        <v>6345.2889489569225</v>
      </c>
      <c r="R276" s="1082"/>
      <c r="S276" s="1083">
        <v>1899</v>
      </c>
      <c r="T276" s="1083">
        <v>2021</v>
      </c>
      <c r="U276" s="1083">
        <v>1865</v>
      </c>
      <c r="V276" s="1083">
        <v>1880</v>
      </c>
      <c r="W276" s="1084">
        <v>1891</v>
      </c>
      <c r="X276" s="1083">
        <v>2053</v>
      </c>
      <c r="Y276" s="1083">
        <v>1931</v>
      </c>
      <c r="Z276" s="1083">
        <v>1924</v>
      </c>
      <c r="AA276" s="1084">
        <f t="shared" ref="AA276:AP276" si="481">AA270+AA271+AA272</f>
        <v>975</v>
      </c>
      <c r="AB276" s="1083">
        <f t="shared" si="481"/>
        <v>945</v>
      </c>
      <c r="AC276" s="1083">
        <f t="shared" si="481"/>
        <v>946</v>
      </c>
      <c r="AD276" s="1083">
        <f t="shared" si="481"/>
        <v>898</v>
      </c>
      <c r="AE276" s="1084">
        <f t="shared" si="481"/>
        <v>876</v>
      </c>
      <c r="AF276" s="1083">
        <f t="shared" si="481"/>
        <v>942</v>
      </c>
      <c r="AG276" s="1083">
        <f t="shared" si="481"/>
        <v>893</v>
      </c>
      <c r="AH276" s="1085">
        <f t="shared" si="481"/>
        <v>889</v>
      </c>
      <c r="AI276" s="1084">
        <f t="shared" si="481"/>
        <v>976</v>
      </c>
      <c r="AJ276" s="1083">
        <f t="shared" si="481"/>
        <v>1068</v>
      </c>
      <c r="AK276" s="1083">
        <f t="shared" si="481"/>
        <v>1086</v>
      </c>
      <c r="AL276" s="1085">
        <f t="shared" si="481"/>
        <v>1074</v>
      </c>
      <c r="AM276" s="1083">
        <f t="shared" si="481"/>
        <v>1115</v>
      </c>
      <c r="AN276" s="1083">
        <f t="shared" si="481"/>
        <v>1145.4006909962038</v>
      </c>
      <c r="AO276" s="1083">
        <f t="shared" si="481"/>
        <v>1147.300469581327</v>
      </c>
      <c r="AP276" s="1083">
        <f t="shared" si="481"/>
        <v>1136.7533483357811</v>
      </c>
      <c r="AQ276" s="1392"/>
      <c r="AR276" s="1079"/>
      <c r="AS276" s="1079"/>
      <c r="AT276" s="1079"/>
      <c r="AU276" s="1079"/>
      <c r="AV276" s="1079"/>
      <c r="AW276" s="1079"/>
      <c r="AX276" s="1079"/>
      <c r="AY276" s="1079"/>
      <c r="AZ276" s="1079"/>
      <c r="BA276" s="1079"/>
      <c r="BB276"/>
      <c r="BC276"/>
      <c r="BD276"/>
      <c r="BE276"/>
      <c r="BF276"/>
      <c r="BG276"/>
      <c r="BJ276" s="1081"/>
      <c r="BK276" s="1081"/>
      <c r="BL276" s="1081"/>
      <c r="BM276" s="1081"/>
      <c r="BN276" s="1081"/>
    </row>
    <row r="277" spans="1:102" s="799" customFormat="1">
      <c r="A277" s="1073" t="s">
        <v>591</v>
      </c>
      <c r="B277" s="1074">
        <v>0.6149347728295097</v>
      </c>
      <c r="C277" s="1074">
        <v>0.74201646917051611</v>
      </c>
      <c r="D277" s="1074">
        <v>0.74709046454767725</v>
      </c>
      <c r="E277" s="1074">
        <v>0.73027820121951215</v>
      </c>
      <c r="F277" s="1074">
        <v>0.72032880761060314</v>
      </c>
      <c r="G277" s="1074">
        <f t="shared" ref="G277:Q277" si="482">G276/G267</f>
        <v>0.62743790631771967</v>
      </c>
      <c r="H277" s="1074">
        <f t="shared" si="482"/>
        <v>0.61940812112869925</v>
      </c>
      <c r="I277" s="1074">
        <f t="shared" si="482"/>
        <v>0.62088317826022743</v>
      </c>
      <c r="J277" s="1074">
        <f t="shared" si="482"/>
        <v>0.62544306601683641</v>
      </c>
      <c r="K277" s="1074">
        <f t="shared" si="482"/>
        <v>0.63044306601683653</v>
      </c>
      <c r="L277" s="1074">
        <f t="shared" si="482"/>
        <v>0.63644306601683653</v>
      </c>
      <c r="M277" s="1074">
        <f t="shared" si="482"/>
        <v>0.64044306601683654</v>
      </c>
      <c r="N277" s="1074">
        <f t="shared" si="482"/>
        <v>0.64644306601683643</v>
      </c>
      <c r="O277" s="1074">
        <f t="shared" si="482"/>
        <v>0.65044306601683655</v>
      </c>
      <c r="P277" s="1074">
        <f t="shared" si="482"/>
        <v>0.66044306601683656</v>
      </c>
      <c r="Q277" s="1074">
        <f t="shared" si="482"/>
        <v>0.67044306601683645</v>
      </c>
      <c r="R277" s="1075"/>
      <c r="S277" s="1076">
        <v>0.74006235385814501</v>
      </c>
      <c r="T277" s="1076">
        <v>0.73866959064327486</v>
      </c>
      <c r="U277" s="1076">
        <v>0.73454115793619534</v>
      </c>
      <c r="V277" s="1076">
        <v>0.70809792843691144</v>
      </c>
      <c r="W277" s="1077">
        <v>0.71574564723694167</v>
      </c>
      <c r="X277" s="1076">
        <v>0.72878949236776713</v>
      </c>
      <c r="Y277" s="1076">
        <v>0.72457786116322698</v>
      </c>
      <c r="Z277" s="1076">
        <v>0.71180170181280056</v>
      </c>
      <c r="AA277" s="1077">
        <f t="shared" ref="AA277:AP277" si="483">AA276/AA267</f>
        <v>0.63683866753755713</v>
      </c>
      <c r="AB277" s="1076">
        <f t="shared" si="483"/>
        <v>0.61724363161332463</v>
      </c>
      <c r="AC277" s="1076">
        <f t="shared" si="483"/>
        <v>0.64397549353301564</v>
      </c>
      <c r="AD277" s="1076">
        <f t="shared" si="483"/>
        <v>0.61171662125340598</v>
      </c>
      <c r="AE277" s="1077">
        <f t="shared" si="483"/>
        <v>0.61430575035063117</v>
      </c>
      <c r="AF277" s="1076">
        <f t="shared" si="483"/>
        <v>0.62549800796812749</v>
      </c>
      <c r="AG277" s="1076">
        <f t="shared" si="483"/>
        <v>0.621866295264624</v>
      </c>
      <c r="AH277" s="1078">
        <f t="shared" si="483"/>
        <v>0.61565096952908582</v>
      </c>
      <c r="AI277" s="1077">
        <f t="shared" si="483"/>
        <v>0.61345065996228787</v>
      </c>
      <c r="AJ277" s="1076">
        <f t="shared" si="483"/>
        <v>0.62565905096660812</v>
      </c>
      <c r="AK277" s="1076">
        <f t="shared" si="483"/>
        <v>0.63434579439252337</v>
      </c>
      <c r="AL277" s="1078">
        <f t="shared" si="483"/>
        <v>0.60988074957410565</v>
      </c>
      <c r="AM277" s="1076">
        <f t="shared" si="483"/>
        <v>0.6267566048341765</v>
      </c>
      <c r="AN277" s="1076">
        <f t="shared" si="483"/>
        <v>0.6255858230814294</v>
      </c>
      <c r="AO277" s="1076">
        <f t="shared" si="483"/>
        <v>0.62616822429906538</v>
      </c>
      <c r="AP277" s="1076">
        <f t="shared" si="483"/>
        <v>0.62328995244877472</v>
      </c>
      <c r="AQ277" s="1393"/>
      <c r="AR277" s="1079"/>
      <c r="AS277" s="1079"/>
      <c r="AT277" s="1079"/>
      <c r="AU277" s="1079"/>
      <c r="AV277" s="1079"/>
      <c r="AW277" s="1079"/>
      <c r="AX277" s="1079"/>
      <c r="AY277" s="1079"/>
      <c r="AZ277" s="1079"/>
      <c r="BA277" s="1079"/>
      <c r="BB277"/>
      <c r="BC277"/>
      <c r="BD277"/>
      <c r="BE277"/>
      <c r="BF277"/>
      <c r="BG277"/>
      <c r="BH277" s="1071"/>
      <c r="BI277" s="1071"/>
      <c r="BJ277" s="1080"/>
      <c r="BK277" s="1080"/>
      <c r="BL277" s="1080"/>
      <c r="BM277" s="1080"/>
      <c r="BN277" s="1080"/>
      <c r="BO277" s="1071"/>
      <c r="BP277" s="1071"/>
      <c r="BQ277" s="1071"/>
      <c r="BR277" s="1071"/>
      <c r="BS277" s="1071"/>
      <c r="BT277" s="1071"/>
      <c r="BU277" s="1071"/>
      <c r="BV277" s="1071"/>
      <c r="BW277" s="1071"/>
      <c r="BX277" s="1071"/>
      <c r="BY277" s="1071"/>
      <c r="BZ277" s="1071"/>
      <c r="CA277" s="1071"/>
      <c r="CB277" s="1071"/>
      <c r="CC277" s="1071"/>
      <c r="CD277" s="1071"/>
      <c r="CE277" s="1071"/>
      <c r="CF277" s="1071"/>
      <c r="CG277" s="1071"/>
      <c r="CH277" s="1071"/>
      <c r="CI277" s="1071"/>
      <c r="CJ277" s="1071"/>
      <c r="CK277" s="1071"/>
      <c r="CL277" s="1071"/>
      <c r="CM277" s="1071"/>
      <c r="CN277" s="1071"/>
      <c r="CO277" s="1071"/>
      <c r="CP277" s="1071"/>
      <c r="CQ277" s="1071"/>
      <c r="CR277" s="1071"/>
      <c r="CS277" s="1071"/>
      <c r="CT277" s="1071"/>
      <c r="CU277" s="1071"/>
      <c r="CV277" s="1071"/>
      <c r="CW277" s="1071"/>
      <c r="CX277" s="1071"/>
    </row>
    <row r="278" spans="1:102" s="838" customFormat="1">
      <c r="A278" s="955" t="s">
        <v>586</v>
      </c>
      <c r="B278" s="956"/>
      <c r="C278" s="956">
        <v>1.7026335040234089</v>
      </c>
      <c r="D278" s="956">
        <v>3.3834077683042363E-2</v>
      </c>
      <c r="E278" s="956">
        <v>3.4035868569184391E-3</v>
      </c>
      <c r="F278" s="956">
        <v>1.7482061317677822E-2</v>
      </c>
      <c r="G278" s="956">
        <f t="shared" ref="G278:Q278" si="484">G276/F276-1</f>
        <v>-0.51737402231055263</v>
      </c>
      <c r="H278" s="956">
        <f t="shared" si="484"/>
        <v>-4.3570669500531345E-2</v>
      </c>
      <c r="I278" s="956">
        <f t="shared" si="484"/>
        <v>0.1677777777777778</v>
      </c>
      <c r="J278" s="956">
        <f t="shared" si="484"/>
        <v>8.0983470245792555E-2</v>
      </c>
      <c r="K278" s="956">
        <f t="shared" si="484"/>
        <v>4.0780288169165013E-2</v>
      </c>
      <c r="L278" s="956">
        <f t="shared" si="484"/>
        <v>4.7679255552659283E-2</v>
      </c>
      <c r="M278" s="956">
        <f t="shared" si="484"/>
        <v>4.5033065118243121E-2</v>
      </c>
      <c r="N278" s="956">
        <f t="shared" si="484"/>
        <v>4.8920493889296202E-2</v>
      </c>
      <c r="O278" s="956">
        <f t="shared" si="484"/>
        <v>4.6273326409706161E-2</v>
      </c>
      <c r="P278" s="956">
        <f t="shared" si="484"/>
        <v>5.6465697867446041E-2</v>
      </c>
      <c r="Q278" s="956">
        <f t="shared" si="484"/>
        <v>5.6839612709385978E-2</v>
      </c>
      <c r="R278" s="750"/>
      <c r="S278" s="957"/>
      <c r="T278" s="957"/>
      <c r="U278" s="957"/>
      <c r="V278" s="957"/>
      <c r="W278" s="958">
        <v>-4.2127435492363974E-3</v>
      </c>
      <c r="X278" s="957">
        <v>1.5833745670460253E-2</v>
      </c>
      <c r="Y278" s="957">
        <v>3.5388739946380587E-2</v>
      </c>
      <c r="Z278" s="957">
        <v>2.3404255319148914E-2</v>
      </c>
      <c r="AA278" s="958">
        <f t="shared" ref="AA278:AH278" si="485">AA276/W276-1</f>
        <v>-0.48439978847170806</v>
      </c>
      <c r="AB278" s="957">
        <f t="shared" si="485"/>
        <v>-0.53969800292255243</v>
      </c>
      <c r="AC278" s="957">
        <f t="shared" si="485"/>
        <v>-0.51009839461418949</v>
      </c>
      <c r="AD278" s="957">
        <f t="shared" si="485"/>
        <v>-0.53326403326403327</v>
      </c>
      <c r="AE278" s="958">
        <f t="shared" si="485"/>
        <v>-0.10153846153846158</v>
      </c>
      <c r="AF278" s="957">
        <f t="shared" si="485"/>
        <v>-3.1746031746031633E-3</v>
      </c>
      <c r="AG278" s="957">
        <f t="shared" si="485"/>
        <v>-5.6025369978858319E-2</v>
      </c>
      <c r="AH278" s="959">
        <f t="shared" si="485"/>
        <v>-1.0022271714922093E-2</v>
      </c>
      <c r="AI278" s="958">
        <f>AI276/AE276-1</f>
        <v>0.11415525114155245</v>
      </c>
      <c r="AJ278" s="957">
        <f>AJ276/AF276-1</f>
        <v>0.13375796178343946</v>
      </c>
      <c r="AK278" s="957">
        <f>AK276/AG276-1</f>
        <v>0.21612541993281065</v>
      </c>
      <c r="AL278" s="959">
        <f>AL276/AH276-1</f>
        <v>0.20809898762654666</v>
      </c>
      <c r="AM278" s="957">
        <f t="shared" ref="AM278:AP278" si="486">AM276/AI276-1</f>
        <v>0.14241803278688514</v>
      </c>
      <c r="AN278" s="957">
        <f t="shared" si="486"/>
        <v>7.2472557112550406E-2</v>
      </c>
      <c r="AO278" s="957">
        <f t="shared" si="486"/>
        <v>5.6446104586857171E-2</v>
      </c>
      <c r="AP278" s="957">
        <f t="shared" si="486"/>
        <v>5.842956083406059E-2</v>
      </c>
      <c r="AQ278" s="1383"/>
      <c r="AR278" s="692"/>
      <c r="AS278" s="692"/>
      <c r="AT278" s="692"/>
      <c r="AU278" s="692"/>
      <c r="AV278" s="692"/>
      <c r="AW278" s="692"/>
      <c r="AX278" s="692"/>
      <c r="AY278" s="692"/>
      <c r="AZ278" s="692"/>
      <c r="BA278" s="692"/>
      <c r="BB278"/>
      <c r="BC278"/>
      <c r="BD278"/>
      <c r="BE278"/>
      <c r="BF278"/>
      <c r="BG278"/>
      <c r="BH278" s="693"/>
      <c r="BI278" s="693"/>
      <c r="BJ278" s="754"/>
      <c r="BK278" s="754"/>
      <c r="BL278" s="754"/>
      <c r="BM278" s="754"/>
      <c r="BN278" s="754"/>
      <c r="BO278" s="693"/>
      <c r="BP278" s="693"/>
      <c r="BQ278" s="693"/>
      <c r="BR278" s="693"/>
      <c r="BS278" s="693"/>
      <c r="BT278" s="693"/>
      <c r="BU278" s="693"/>
      <c r="BV278" s="693"/>
      <c r="BW278" s="693"/>
      <c r="BX278" s="693"/>
      <c r="BY278" s="693"/>
      <c r="BZ278" s="693"/>
      <c r="CA278" s="693"/>
      <c r="CB278" s="693"/>
      <c r="CC278" s="693"/>
      <c r="CD278" s="693"/>
      <c r="CE278" s="693"/>
      <c r="CF278" s="693"/>
      <c r="CG278" s="693"/>
      <c r="CH278" s="693"/>
      <c r="CI278" s="693"/>
      <c r="CJ278" s="693"/>
      <c r="CK278" s="693"/>
      <c r="CL278" s="693"/>
      <c r="CM278" s="693"/>
      <c r="CN278" s="693"/>
      <c r="CO278" s="693"/>
      <c r="CP278" s="693"/>
      <c r="CQ278" s="693"/>
      <c r="CR278" s="693"/>
      <c r="CS278" s="693"/>
      <c r="CT278" s="693"/>
      <c r="CU278" s="693"/>
      <c r="CV278" s="693"/>
      <c r="CW278" s="693"/>
      <c r="CX278" s="693"/>
    </row>
    <row r="279" spans="1:102" s="838" customFormat="1">
      <c r="A279" s="713" t="s">
        <v>1844</v>
      </c>
      <c r="B279" s="956"/>
      <c r="C279" s="956"/>
      <c r="D279" s="956"/>
      <c r="E279" s="956"/>
      <c r="F279" s="956"/>
      <c r="G279" s="1369">
        <f t="shared" ref="G279:I279" si="487">G284+G294</f>
        <v>-2081</v>
      </c>
      <c r="H279" s="1369">
        <f t="shared" si="487"/>
        <v>-2292</v>
      </c>
      <c r="I279" s="1369">
        <f t="shared" si="487"/>
        <v>-2532</v>
      </c>
      <c r="J279" s="1369">
        <f>-J267*J280</f>
        <v>-2819.1988132312267</v>
      </c>
      <c r="K279" s="1369">
        <f t="shared" ref="K279:Q279" si="488">-K267*K280</f>
        <v>-2850.8774110749205</v>
      </c>
      <c r="L279" s="1369">
        <f t="shared" si="488"/>
        <v>-2919.7177626855155</v>
      </c>
      <c r="M279" s="1369">
        <f t="shared" si="488"/>
        <v>-2991.7161885160572</v>
      </c>
      <c r="N279" s="1369">
        <f t="shared" si="488"/>
        <v>-2982.9078549990004</v>
      </c>
      <c r="O279" s="1369">
        <f t="shared" si="488"/>
        <v>-3101.7442406394407</v>
      </c>
      <c r="P279" s="1369">
        <f t="shared" si="488"/>
        <v>-3227.2699080976472</v>
      </c>
      <c r="Q279" s="1369">
        <f t="shared" si="488"/>
        <v>-3359.8342514935334</v>
      </c>
      <c r="R279" s="750"/>
      <c r="S279" s="957"/>
      <c r="T279" s="957"/>
      <c r="U279" s="957"/>
      <c r="V279" s="957"/>
      <c r="W279" s="958"/>
      <c r="X279" s="957"/>
      <c r="Y279" s="957"/>
      <c r="Z279" s="957"/>
      <c r="AA279" s="958"/>
      <c r="AB279" s="957"/>
      <c r="AC279" s="957"/>
      <c r="AD279" s="957"/>
      <c r="AE279" s="958"/>
      <c r="AF279" s="957"/>
      <c r="AG279" s="957"/>
      <c r="AH279" s="959"/>
      <c r="AI279" s="1368">
        <f t="shared" ref="AI279:AL279" si="489">AI284+AI294</f>
        <v>-605</v>
      </c>
      <c r="AJ279" s="1369">
        <f t="shared" si="489"/>
        <v>-649</v>
      </c>
      <c r="AK279" s="1369">
        <f t="shared" si="489"/>
        <v>-641</v>
      </c>
      <c r="AL279" s="1370">
        <f t="shared" si="489"/>
        <v>-636.99999999999989</v>
      </c>
      <c r="AM279" s="1368">
        <v>-639</v>
      </c>
      <c r="AN279" s="1369">
        <f>-AN267*AN280</f>
        <v>-710.39888007289414</v>
      </c>
      <c r="AO279" s="1369">
        <f>-AO267*AO280</f>
        <v>-710.91531783788605</v>
      </c>
      <c r="AP279" s="716">
        <f t="shared" ref="AP279" si="490">J279-AM279-AN279-AO279</f>
        <v>-758.88461532044653</v>
      </c>
      <c r="AQ279" s="1383"/>
      <c r="AR279" s="692"/>
      <c r="AS279" s="692"/>
      <c r="AT279" s="692"/>
      <c r="AU279" s="692"/>
      <c r="AV279" s="692"/>
      <c r="AW279" s="692"/>
      <c r="AX279" s="692"/>
      <c r="AY279" s="692"/>
      <c r="AZ279" s="692"/>
      <c r="BA279" s="692"/>
      <c r="BB279"/>
      <c r="BC279"/>
      <c r="BD279"/>
      <c r="BE279"/>
      <c r="BF279"/>
      <c r="BG279"/>
      <c r="BH279" s="693"/>
      <c r="BI279" s="693"/>
      <c r="BJ279" s="754"/>
      <c r="BK279" s="754"/>
      <c r="BL279" s="754"/>
      <c r="BM279" s="754"/>
      <c r="BN279" s="754"/>
      <c r="BO279" s="693"/>
      <c r="BP279" s="693"/>
      <c r="BQ279" s="693"/>
      <c r="BR279" s="693"/>
      <c r="BS279" s="693"/>
      <c r="BT279" s="693"/>
      <c r="BU279" s="693"/>
      <c r="BV279" s="693"/>
      <c r="BW279" s="693"/>
      <c r="BX279" s="693"/>
      <c r="BY279" s="693"/>
      <c r="BZ279" s="693"/>
      <c r="CA279" s="693"/>
      <c r="CB279" s="693"/>
      <c r="CC279" s="693"/>
      <c r="CD279" s="693"/>
      <c r="CE279" s="693"/>
      <c r="CF279" s="693"/>
      <c r="CG279" s="693"/>
      <c r="CH279" s="693"/>
      <c r="CI279" s="693"/>
      <c r="CJ279" s="693"/>
      <c r="CK279" s="693"/>
      <c r="CL279" s="693"/>
      <c r="CM279" s="693"/>
      <c r="CN279" s="693"/>
      <c r="CO279" s="693"/>
      <c r="CP279" s="693"/>
      <c r="CQ279" s="693"/>
      <c r="CR279" s="693"/>
      <c r="CS279" s="693"/>
      <c r="CT279" s="693"/>
      <c r="CU279" s="693"/>
      <c r="CV279" s="693"/>
      <c r="CW279" s="693"/>
      <c r="CX279" s="693"/>
    </row>
    <row r="280" spans="1:102" s="838" customFormat="1">
      <c r="A280" s="713" t="s">
        <v>95</v>
      </c>
      <c r="B280" s="956"/>
      <c r="C280" s="956"/>
      <c r="D280" s="956"/>
      <c r="E280" s="956"/>
      <c r="F280" s="956"/>
      <c r="G280" s="957">
        <f t="shared" ref="G280:H280" si="491">-G279/G267</f>
        <v>0.34689114852475411</v>
      </c>
      <c r="H280" s="957">
        <f t="shared" si="491"/>
        <v>0.39435650378527187</v>
      </c>
      <c r="I280" s="957">
        <f>-I279/I267</f>
        <v>0.37394771821001327</v>
      </c>
      <c r="J280" s="825">
        <v>0.38800000000000001</v>
      </c>
      <c r="K280" s="825">
        <v>0.38</v>
      </c>
      <c r="L280" s="825">
        <v>0.375</v>
      </c>
      <c r="M280" s="825">
        <v>0.37</v>
      </c>
      <c r="N280" s="825">
        <v>0.35499999999999998</v>
      </c>
      <c r="O280" s="825">
        <v>0.35499999999999998</v>
      </c>
      <c r="P280" s="825">
        <v>0.35499999999999998</v>
      </c>
      <c r="Q280" s="825">
        <v>0.35499999999999998</v>
      </c>
      <c r="R280" s="750"/>
      <c r="S280" s="957"/>
      <c r="T280" s="957"/>
      <c r="U280" s="957"/>
      <c r="V280" s="957"/>
      <c r="W280" s="958"/>
      <c r="X280" s="957"/>
      <c r="Y280" s="957"/>
      <c r="Z280" s="957"/>
      <c r="AA280" s="958"/>
      <c r="AB280" s="957"/>
      <c r="AC280" s="957"/>
      <c r="AD280" s="957"/>
      <c r="AE280" s="958"/>
      <c r="AF280" s="957"/>
      <c r="AG280" s="957"/>
      <c r="AH280" s="959"/>
      <c r="AI280" s="958">
        <f t="shared" ref="AI280:AL280" si="492">-AI279/AI267</f>
        <v>0.38026398491514768</v>
      </c>
      <c r="AJ280" s="957">
        <f t="shared" si="492"/>
        <v>0.38019917984768598</v>
      </c>
      <c r="AK280" s="957">
        <f t="shared" si="492"/>
        <v>0.37441588785046731</v>
      </c>
      <c r="AL280" s="959">
        <f t="shared" si="492"/>
        <v>0.3617262918796138</v>
      </c>
      <c r="AM280" s="958">
        <f t="shared" ref="AM280" si="493">-AM279/AM267</f>
        <v>0.35919055649241149</v>
      </c>
      <c r="AN280" s="825">
        <v>0.38800000000000001</v>
      </c>
      <c r="AO280" s="825">
        <v>0.38799999999999996</v>
      </c>
      <c r="AP280" s="959">
        <f t="shared" ref="AP280" si="494">-AP279/AP267</f>
        <v>0.41610183641831566</v>
      </c>
      <c r="AQ280" s="1383"/>
      <c r="AR280" s="692"/>
      <c r="AS280" s="692"/>
      <c r="AT280" s="692"/>
      <c r="AU280" s="692"/>
      <c r="AV280" s="692"/>
      <c r="AW280" s="692"/>
      <c r="AX280" s="692"/>
      <c r="AY280" s="692"/>
      <c r="AZ280" s="692"/>
      <c r="BA280" s="692"/>
      <c r="BB280"/>
      <c r="BC280"/>
      <c r="BD280"/>
      <c r="BE280"/>
      <c r="BF280"/>
      <c r="BG280"/>
      <c r="BH280" s="693"/>
      <c r="BI280" s="693"/>
      <c r="BJ280" s="754"/>
      <c r="BK280" s="754"/>
      <c r="BL280" s="754"/>
      <c r="BM280" s="754"/>
      <c r="BN280" s="754"/>
      <c r="BO280" s="693"/>
      <c r="BP280" s="693"/>
      <c r="BQ280" s="693"/>
      <c r="BR280" s="693"/>
      <c r="BS280" s="693"/>
      <c r="BT280" s="693"/>
      <c r="BU280" s="693"/>
      <c r="BV280" s="693"/>
      <c r="BW280" s="693"/>
      <c r="BX280" s="693"/>
      <c r="BY280" s="693"/>
      <c r="BZ280" s="693"/>
      <c r="CA280" s="693"/>
      <c r="CB280" s="693"/>
      <c r="CC280" s="693"/>
      <c r="CD280" s="693"/>
      <c r="CE280" s="693"/>
      <c r="CF280" s="693"/>
      <c r="CG280" s="693"/>
      <c r="CH280" s="693"/>
      <c r="CI280" s="693"/>
      <c r="CJ280" s="693"/>
      <c r="CK280" s="693"/>
      <c r="CL280" s="693"/>
      <c r="CM280" s="693"/>
      <c r="CN280" s="693"/>
      <c r="CO280" s="693"/>
      <c r="CP280" s="693"/>
      <c r="CQ280" s="693"/>
      <c r="CR280" s="693"/>
      <c r="CS280" s="693"/>
      <c r="CT280" s="693"/>
      <c r="CU280" s="693"/>
      <c r="CV280" s="693"/>
      <c r="CW280" s="693"/>
      <c r="CX280" s="693"/>
    </row>
    <row r="281" spans="1:102" s="838" customFormat="1" outlineLevel="1">
      <c r="A281" s="896" t="s">
        <v>586</v>
      </c>
      <c r="B281" s="956"/>
      <c r="C281" s="956"/>
      <c r="D281" s="956"/>
      <c r="E281" s="956"/>
      <c r="F281" s="956"/>
      <c r="G281" s="956"/>
      <c r="H281" s="962">
        <f>H279/G279-1</f>
        <v>0.1013935607880827</v>
      </c>
      <c r="I281" s="962">
        <f>I279/H279-1</f>
        <v>0.10471204188481686</v>
      </c>
      <c r="J281" s="956"/>
      <c r="K281" s="956"/>
      <c r="L281" s="956"/>
      <c r="M281" s="956"/>
      <c r="N281" s="956"/>
      <c r="O281" s="956"/>
      <c r="P281" s="956"/>
      <c r="Q281" s="956"/>
      <c r="R281" s="750"/>
      <c r="S281" s="957"/>
      <c r="T281" s="957"/>
      <c r="U281" s="957"/>
      <c r="V281" s="957"/>
      <c r="W281" s="958"/>
      <c r="X281" s="957"/>
      <c r="Y281" s="957"/>
      <c r="Z281" s="957"/>
      <c r="AA281" s="958"/>
      <c r="AB281" s="957"/>
      <c r="AC281" s="957"/>
      <c r="AD281" s="957"/>
      <c r="AE281" s="958"/>
      <c r="AF281" s="957"/>
      <c r="AG281" s="957"/>
      <c r="AH281" s="959"/>
      <c r="AI281" s="961"/>
      <c r="AJ281" s="962"/>
      <c r="AK281" s="962"/>
      <c r="AL281" s="963"/>
      <c r="AM281" s="957"/>
      <c r="AN281" s="957"/>
      <c r="AO281" s="957"/>
      <c r="AP281" s="957"/>
      <c r="AQ281" s="1383"/>
      <c r="AR281" s="692"/>
      <c r="AS281" s="692"/>
      <c r="AT281" s="692"/>
      <c r="AU281" s="692"/>
      <c r="AV281" s="692"/>
      <c r="AW281" s="692"/>
      <c r="AX281" s="692"/>
      <c r="AY281" s="692"/>
      <c r="AZ281" s="692"/>
      <c r="BA281" s="692"/>
      <c r="BB281"/>
      <c r="BC281"/>
      <c r="BD281"/>
      <c r="BE281"/>
      <c r="BF281"/>
      <c r="BG281"/>
      <c r="BH281" s="693"/>
      <c r="BI281" s="693"/>
      <c r="BJ281" s="754"/>
      <c r="BK281" s="754"/>
      <c r="BL281" s="754"/>
      <c r="BM281" s="754"/>
      <c r="BN281" s="754"/>
      <c r="BO281" s="693"/>
      <c r="BP281" s="693"/>
      <c r="BQ281" s="693"/>
      <c r="BR281" s="693"/>
      <c r="BS281" s="693"/>
      <c r="BT281" s="693"/>
      <c r="BU281" s="693"/>
      <c r="BV281" s="693"/>
      <c r="BW281" s="693"/>
      <c r="BX281" s="693"/>
      <c r="BY281" s="693"/>
      <c r="BZ281" s="693"/>
      <c r="CA281" s="693"/>
      <c r="CB281" s="693"/>
      <c r="CC281" s="693"/>
      <c r="CD281" s="693"/>
      <c r="CE281" s="693"/>
      <c r="CF281" s="693"/>
      <c r="CG281" s="693"/>
      <c r="CH281" s="693"/>
      <c r="CI281" s="693"/>
      <c r="CJ281" s="693"/>
      <c r="CK281" s="693"/>
      <c r="CL281" s="693"/>
      <c r="CM281" s="693"/>
      <c r="CN281" s="693"/>
      <c r="CO281" s="693"/>
      <c r="CP281" s="693"/>
      <c r="CQ281" s="693"/>
      <c r="CR281" s="693"/>
      <c r="CS281" s="693"/>
      <c r="CT281" s="693"/>
      <c r="CU281" s="693"/>
      <c r="CV281" s="693"/>
      <c r="CW281" s="693"/>
      <c r="CX281" s="693"/>
    </row>
    <row r="282" spans="1:102" s="838" customFormat="1" outlineLevel="1">
      <c r="A282" s="713" t="s">
        <v>1845</v>
      </c>
      <c r="B282" s="956"/>
      <c r="C282" s="956"/>
      <c r="D282" s="956"/>
      <c r="E282" s="956"/>
      <c r="F282" s="956"/>
      <c r="G282" s="1369">
        <f t="shared" ref="G282:I282" si="495">G287+G297</f>
        <v>-32</v>
      </c>
      <c r="H282" s="1369">
        <f t="shared" si="495"/>
        <v>0</v>
      </c>
      <c r="I282" s="1369">
        <f t="shared" si="495"/>
        <v>0</v>
      </c>
      <c r="J282" s="1369">
        <v>0</v>
      </c>
      <c r="K282" s="1369">
        <v>0</v>
      </c>
      <c r="L282" s="1369">
        <v>0</v>
      </c>
      <c r="M282" s="1369">
        <v>0</v>
      </c>
      <c r="N282" s="1369">
        <v>0</v>
      </c>
      <c r="O282" s="1369">
        <v>0</v>
      </c>
      <c r="P282" s="1369">
        <v>0</v>
      </c>
      <c r="Q282" s="1369">
        <v>0</v>
      </c>
      <c r="R282" s="750"/>
      <c r="S282" s="957"/>
      <c r="T282" s="957"/>
      <c r="U282" s="957"/>
      <c r="V282" s="957"/>
      <c r="W282" s="958"/>
      <c r="X282" s="957"/>
      <c r="Y282" s="957"/>
      <c r="Z282" s="957"/>
      <c r="AA282" s="958"/>
      <c r="AB282" s="957"/>
      <c r="AC282" s="957"/>
      <c r="AD282" s="957"/>
      <c r="AE282" s="958"/>
      <c r="AF282" s="957"/>
      <c r="AG282" s="957"/>
      <c r="AH282" s="959"/>
      <c r="AI282" s="1368">
        <f t="shared" ref="AI282:AL283" si="496">AI287+AI297</f>
        <v>0</v>
      </c>
      <c r="AJ282" s="1369">
        <f t="shared" si="496"/>
        <v>-3.4106051316484809E-13</v>
      </c>
      <c r="AK282" s="1369">
        <f t="shared" si="496"/>
        <v>0</v>
      </c>
      <c r="AL282" s="1370">
        <f t="shared" si="496"/>
        <v>3.4106051316484809E-13</v>
      </c>
      <c r="AM282" s="716">
        <f>AM283-AM279</f>
        <v>0</v>
      </c>
      <c r="AN282" s="1369">
        <v>0</v>
      </c>
      <c r="AO282" s="1369">
        <v>0</v>
      </c>
      <c r="AP282" s="716">
        <f t="shared" ref="AP282:AP284" si="497">J282-AM282-AN282-AO282</f>
        <v>0</v>
      </c>
      <c r="AQ282" s="1383"/>
      <c r="AR282" s="692"/>
      <c r="AS282" s="692"/>
      <c r="AT282" s="692"/>
      <c r="AU282" s="692"/>
      <c r="AV282" s="692"/>
      <c r="AW282" s="692"/>
      <c r="AX282" s="692"/>
      <c r="AY282" s="692"/>
      <c r="AZ282" s="692"/>
      <c r="BA282" s="692"/>
      <c r="BB282"/>
      <c r="BC282"/>
      <c r="BD282"/>
      <c r="BE282"/>
      <c r="BF282"/>
      <c r="BG282"/>
      <c r="BH282" s="693"/>
      <c r="BI282" s="693"/>
      <c r="BJ282" s="754"/>
      <c r="BK282" s="754"/>
      <c r="BL282" s="754"/>
      <c r="BM282" s="754"/>
      <c r="BN282" s="754"/>
      <c r="BO282" s="693"/>
      <c r="BP282" s="693"/>
      <c r="BQ282" s="693"/>
      <c r="BR282" s="693"/>
      <c r="BS282" s="693"/>
      <c r="BT282" s="693"/>
      <c r="BU282" s="693"/>
      <c r="BV282" s="693"/>
      <c r="BW282" s="693"/>
      <c r="BX282" s="693"/>
      <c r="BY282" s="693"/>
      <c r="BZ282" s="693"/>
      <c r="CA282" s="693"/>
      <c r="CB282" s="693"/>
      <c r="CC282" s="693"/>
      <c r="CD282" s="693"/>
      <c r="CE282" s="693"/>
      <c r="CF282" s="693"/>
      <c r="CG282" s="693"/>
      <c r="CH282" s="693"/>
      <c r="CI282" s="693"/>
      <c r="CJ282" s="693"/>
      <c r="CK282" s="693"/>
      <c r="CL282" s="693"/>
      <c r="CM282" s="693"/>
      <c r="CN282" s="693"/>
      <c r="CO282" s="693"/>
      <c r="CP282" s="693"/>
      <c r="CQ282" s="693"/>
      <c r="CR282" s="693"/>
      <c r="CS282" s="693"/>
      <c r="CT282" s="693"/>
      <c r="CU282" s="693"/>
      <c r="CV282" s="693"/>
      <c r="CW282" s="693"/>
      <c r="CX282" s="693"/>
    </row>
    <row r="283" spans="1:102" s="838" customFormat="1" outlineLevel="1">
      <c r="A283" s="713" t="s">
        <v>1846</v>
      </c>
      <c r="B283" s="956"/>
      <c r="C283" s="956"/>
      <c r="D283" s="956"/>
      <c r="E283" s="956"/>
      <c r="F283" s="956"/>
      <c r="G283" s="1369">
        <f t="shared" ref="G283:I283" si="498">G288+G298</f>
        <v>-2113</v>
      </c>
      <c r="H283" s="1369">
        <f t="shared" si="498"/>
        <v>-2292</v>
      </c>
      <c r="I283" s="1369">
        <f t="shared" si="498"/>
        <v>-2532</v>
      </c>
      <c r="J283" s="714">
        <f t="shared" ref="J283:Q283" si="499">J279+J282</f>
        <v>-2819.1988132312267</v>
      </c>
      <c r="K283" s="714">
        <f t="shared" si="499"/>
        <v>-2850.8774110749205</v>
      </c>
      <c r="L283" s="714">
        <f t="shared" si="499"/>
        <v>-2919.7177626855155</v>
      </c>
      <c r="M283" s="714">
        <f t="shared" si="499"/>
        <v>-2991.7161885160572</v>
      </c>
      <c r="N283" s="714">
        <f t="shared" si="499"/>
        <v>-2982.9078549990004</v>
      </c>
      <c r="O283" s="714">
        <f t="shared" si="499"/>
        <v>-3101.7442406394407</v>
      </c>
      <c r="P283" s="714">
        <f t="shared" si="499"/>
        <v>-3227.2699080976472</v>
      </c>
      <c r="Q283" s="714">
        <f t="shared" si="499"/>
        <v>-3359.8342514935334</v>
      </c>
      <c r="R283" s="750"/>
      <c r="S283" s="957"/>
      <c r="T283" s="957"/>
      <c r="U283" s="957"/>
      <c r="V283" s="957"/>
      <c r="W283" s="958"/>
      <c r="X283" s="957"/>
      <c r="Y283" s="957"/>
      <c r="Z283" s="957"/>
      <c r="AA283" s="958"/>
      <c r="AB283" s="957"/>
      <c r="AC283" s="957"/>
      <c r="AD283" s="957"/>
      <c r="AE283" s="958"/>
      <c r="AF283" s="957"/>
      <c r="AG283" s="957"/>
      <c r="AH283" s="959"/>
      <c r="AI283" s="1368">
        <f t="shared" si="496"/>
        <v>-605</v>
      </c>
      <c r="AJ283" s="1369">
        <f t="shared" si="496"/>
        <v>-649</v>
      </c>
      <c r="AK283" s="1369">
        <f t="shared" si="496"/>
        <v>-641</v>
      </c>
      <c r="AL283" s="1370">
        <f t="shared" si="496"/>
        <v>-636.99999999999955</v>
      </c>
      <c r="AM283" s="716">
        <v>-639</v>
      </c>
      <c r="AN283" s="716">
        <f t="shared" ref="AN283:AP283" si="500">AN279+AN282</f>
        <v>-710.39888007289414</v>
      </c>
      <c r="AO283" s="716">
        <f t="shared" si="500"/>
        <v>-710.91531783788605</v>
      </c>
      <c r="AP283" s="716">
        <f t="shared" si="500"/>
        <v>-758.88461532044653</v>
      </c>
      <c r="AQ283" s="1392"/>
      <c r="AR283" s="692"/>
      <c r="AS283" s="692"/>
      <c r="AT283" s="692"/>
      <c r="AU283" s="692"/>
      <c r="AV283" s="692"/>
      <c r="AW283" s="692"/>
      <c r="AX283" s="692"/>
      <c r="AY283" s="692"/>
      <c r="AZ283" s="692"/>
      <c r="BA283" s="692"/>
      <c r="BB283"/>
      <c r="BC283"/>
      <c r="BD283"/>
      <c r="BE283"/>
      <c r="BF283"/>
      <c r="BG283"/>
      <c r="BH283" s="693"/>
      <c r="BI283" s="693"/>
      <c r="BJ283" s="754"/>
      <c r="BK283" s="754"/>
      <c r="BL283" s="754"/>
      <c r="BM283" s="754"/>
      <c r="BN283" s="754"/>
      <c r="BO283" s="693"/>
      <c r="BP283" s="693"/>
      <c r="BQ283" s="693"/>
      <c r="BR283" s="693"/>
      <c r="BS283" s="693"/>
      <c r="BT283" s="693"/>
      <c r="BU283" s="693"/>
      <c r="BV283" s="693"/>
      <c r="BW283" s="693"/>
      <c r="BX283" s="693"/>
      <c r="BY283" s="693"/>
      <c r="BZ283" s="693"/>
      <c r="CA283" s="693"/>
      <c r="CB283" s="693"/>
      <c r="CC283" s="693"/>
      <c r="CD283" s="693"/>
      <c r="CE283" s="693"/>
      <c r="CF283" s="693"/>
      <c r="CG283" s="693"/>
      <c r="CH283" s="693"/>
      <c r="CI283" s="693"/>
      <c r="CJ283" s="693"/>
      <c r="CK283" s="693"/>
      <c r="CL283" s="693"/>
      <c r="CM283" s="693"/>
      <c r="CN283" s="693"/>
      <c r="CO283" s="693"/>
      <c r="CP283" s="693"/>
      <c r="CQ283" s="693"/>
      <c r="CR283" s="693"/>
      <c r="CS283" s="693"/>
      <c r="CT283" s="693"/>
      <c r="CU283" s="693"/>
      <c r="CV283" s="693"/>
      <c r="CW283" s="693"/>
      <c r="CX283" s="693"/>
    </row>
    <row r="284" spans="1:102" s="693" customFormat="1">
      <c r="A284" s="713" t="s">
        <v>223</v>
      </c>
      <c r="B284" s="714">
        <v>-1299</v>
      </c>
      <c r="C284" s="714">
        <v>-2537</v>
      </c>
      <c r="D284" s="714">
        <v>-2462</v>
      </c>
      <c r="E284" s="714">
        <v>-2452</v>
      </c>
      <c r="F284" s="714">
        <v>-2454</v>
      </c>
      <c r="G284" s="714">
        <v>-1663</v>
      </c>
      <c r="H284" s="714">
        <v>-1882</v>
      </c>
      <c r="I284" s="714">
        <v>-2118.2815699658699</v>
      </c>
      <c r="J284" s="1375">
        <f t="shared" ref="J284:Q284" si="501">-J267*J285</f>
        <v>-2361.4423048972903</v>
      </c>
      <c r="K284" s="1375">
        <f t="shared" si="501"/>
        <v>-2400.7388724841435</v>
      </c>
      <c r="L284" s="1375">
        <f t="shared" si="501"/>
        <v>-2491.4924908249732</v>
      </c>
      <c r="M284" s="1375">
        <f t="shared" si="501"/>
        <v>-2547.0016199528595</v>
      </c>
      <c r="N284" s="1375">
        <f t="shared" si="501"/>
        <v>-2520.7672014076061</v>
      </c>
      <c r="O284" s="1375">
        <f t="shared" si="501"/>
        <v>-2621.1923160333304</v>
      </c>
      <c r="P284" s="1375">
        <f t="shared" si="501"/>
        <v>-2727.2703448712514</v>
      </c>
      <c r="Q284" s="1375">
        <f t="shared" si="501"/>
        <v>-2839.2965505579155</v>
      </c>
      <c r="R284" s="715"/>
      <c r="S284" s="716">
        <v>-576</v>
      </c>
      <c r="T284" s="716">
        <v>-626</v>
      </c>
      <c r="U284" s="716">
        <v>-602</v>
      </c>
      <c r="V284" s="716">
        <v>-648</v>
      </c>
      <c r="W284" s="717">
        <v>-591</v>
      </c>
      <c r="X284" s="716">
        <v>-623</v>
      </c>
      <c r="Y284" s="716">
        <v>-604</v>
      </c>
      <c r="Z284" s="716">
        <v>-636</v>
      </c>
      <c r="AA284" s="717">
        <v>-389</v>
      </c>
      <c r="AB284" s="716">
        <v>-428</v>
      </c>
      <c r="AC284" s="716">
        <v>-425</v>
      </c>
      <c r="AD284" s="716">
        <f>G284-AA284-AB284-AC284</f>
        <v>-421</v>
      </c>
      <c r="AE284" s="717">
        <v>-413</v>
      </c>
      <c r="AF284" s="716">
        <v>-472</v>
      </c>
      <c r="AG284" s="716">
        <v>-498</v>
      </c>
      <c r="AH284" s="718">
        <f>+H284-SUM(AE284:AG284)</f>
        <v>-499</v>
      </c>
      <c r="AI284" s="717">
        <v>-495</v>
      </c>
      <c r="AJ284" s="716">
        <v>-536.506666666667</v>
      </c>
      <c r="AK284" s="716">
        <v>-540.07202680066996</v>
      </c>
      <c r="AL284" s="718">
        <f>I284-AI284-AJ284-AK284</f>
        <v>-546.70287649853287</v>
      </c>
      <c r="AM284" s="1371">
        <f t="shared" ref="AM284:AO284" si="502">-AM267*AM285</f>
        <v>-578.17500000000007</v>
      </c>
      <c r="AN284" s="1371">
        <f t="shared" si="502"/>
        <v>-595.05060830848095</v>
      </c>
      <c r="AO284" s="1371">
        <f t="shared" si="502"/>
        <v>-595.48319148792007</v>
      </c>
      <c r="AP284" s="1371">
        <f t="shared" si="497"/>
        <v>-592.73350510088903</v>
      </c>
      <c r="AQ284" s="1383"/>
      <c r="AR284" s="692"/>
      <c r="AS284" s="692"/>
      <c r="AT284" s="692"/>
      <c r="AU284" s="692"/>
      <c r="AV284" s="692"/>
      <c r="AW284" s="692"/>
      <c r="AX284" s="692"/>
      <c r="AY284" s="692"/>
      <c r="AZ284" s="692"/>
      <c r="BA284" s="692"/>
      <c r="BB284"/>
      <c r="BC284"/>
      <c r="BD284"/>
      <c r="BE284"/>
      <c r="BF284"/>
      <c r="BG284"/>
      <c r="BJ284" s="714"/>
      <c r="BK284" s="714"/>
      <c r="BL284" s="714"/>
      <c r="BM284" s="714"/>
      <c r="BN284" s="714"/>
    </row>
    <row r="285" spans="1:102" s="693" customFormat="1">
      <c r="A285" s="713" t="s">
        <v>95</v>
      </c>
      <c r="B285" s="731">
        <v>0.29217273954116058</v>
      </c>
      <c r="C285" s="731">
        <v>0.25477003414340227</v>
      </c>
      <c r="D285" s="731">
        <v>0.24078239608801957</v>
      </c>
      <c r="E285" s="731">
        <v>0.23361280487804878</v>
      </c>
      <c r="F285" s="731">
        <v>0.22665558326406207</v>
      </c>
      <c r="G285" s="731">
        <f>-G284/G267</f>
        <v>0.27721286881146856</v>
      </c>
      <c r="H285" s="731">
        <f>-H284/H267</f>
        <v>0.32381280110117</v>
      </c>
      <c r="I285" s="731">
        <f>-I284/I267</f>
        <v>0.312846192580988</v>
      </c>
      <c r="J285" s="1376">
        <v>0.32500000000000001</v>
      </c>
      <c r="K285" s="1376">
        <v>0.32</v>
      </c>
      <c r="L285" s="1376">
        <v>0.32</v>
      </c>
      <c r="M285" s="1376">
        <v>0.315</v>
      </c>
      <c r="N285" s="1376">
        <v>0.3</v>
      </c>
      <c r="O285" s="1376">
        <v>0.3</v>
      </c>
      <c r="P285" s="1376">
        <v>0.3</v>
      </c>
      <c r="Q285" s="1376">
        <v>0.3</v>
      </c>
      <c r="R285" s="721"/>
      <c r="S285" s="732">
        <v>0.22447388932190179</v>
      </c>
      <c r="T285" s="732">
        <v>0.22880116959064328</v>
      </c>
      <c r="U285" s="732">
        <v>0.23710122095313116</v>
      </c>
      <c r="V285" s="732">
        <v>0.2440677966101695</v>
      </c>
      <c r="W285" s="733">
        <v>0.22369417108251324</v>
      </c>
      <c r="X285" s="732">
        <v>0.22115725949591764</v>
      </c>
      <c r="Y285" s="732">
        <v>0.22664165103189493</v>
      </c>
      <c r="Z285" s="732">
        <v>0.23529411764705882</v>
      </c>
      <c r="AA285" s="733">
        <f t="shared" ref="AA285:AG285" si="503">-AA284/AA267</f>
        <v>0.25408229915088176</v>
      </c>
      <c r="AB285" s="732">
        <f t="shared" si="503"/>
        <v>0.27955584585238408</v>
      </c>
      <c r="AC285" s="732">
        <f t="shared" si="503"/>
        <v>0.28931245745405038</v>
      </c>
      <c r="AD285" s="732">
        <f t="shared" si="503"/>
        <v>0.28678474114441416</v>
      </c>
      <c r="AE285" s="733">
        <f t="shared" si="503"/>
        <v>0.28962131837307153</v>
      </c>
      <c r="AF285" s="732">
        <f t="shared" si="503"/>
        <v>0.31341301460823373</v>
      </c>
      <c r="AG285" s="732">
        <f t="shared" si="503"/>
        <v>0.34679665738161558</v>
      </c>
      <c r="AH285" s="734">
        <f>-AH284/AH267</f>
        <v>0.34556786703601106</v>
      </c>
      <c r="AI285" s="733">
        <f>-AI284/AI267</f>
        <v>0.31112507856693905</v>
      </c>
      <c r="AJ285" s="732">
        <f>-AJ284/AJ267</f>
        <v>0.31429798867408731</v>
      </c>
      <c r="AK285" s="732">
        <f>-AK284/AK267</f>
        <v>0.31546263247702683</v>
      </c>
      <c r="AL285" s="734">
        <f>-AL284/AL267</f>
        <v>0.31045024219110329</v>
      </c>
      <c r="AM285" s="1372">
        <v>0.32500000000000001</v>
      </c>
      <c r="AN285" s="1372">
        <v>0.32500000000000001</v>
      </c>
      <c r="AO285" s="1372">
        <v>0.32500000000000001</v>
      </c>
      <c r="AP285" s="1373">
        <f>-AP284/AP267</f>
        <v>0.32499999999999984</v>
      </c>
      <c r="AQ285" s="1383"/>
      <c r="AR285" s="692"/>
      <c r="AS285" s="692"/>
      <c r="AT285" s="692"/>
      <c r="AU285" s="692"/>
      <c r="AV285" s="692"/>
      <c r="AW285" s="692"/>
      <c r="AX285" s="692"/>
      <c r="AY285" s="692"/>
      <c r="AZ285" s="692"/>
      <c r="BA285" s="692"/>
      <c r="BB285"/>
      <c r="BC285"/>
      <c r="BD285"/>
      <c r="BE285"/>
      <c r="BF285"/>
      <c r="BG285"/>
      <c r="BJ285" s="725"/>
      <c r="BK285" s="725"/>
      <c r="BL285" s="725"/>
      <c r="BM285" s="725"/>
      <c r="BN285" s="725"/>
    </row>
    <row r="286" spans="1:102" s="693" customFormat="1" outlineLevel="1">
      <c r="A286" s="896" t="s">
        <v>586</v>
      </c>
      <c r="B286" s="755"/>
      <c r="C286" s="755">
        <v>0.95304080061585839</v>
      </c>
      <c r="D286" s="755">
        <v>-2.956247536460388E-2</v>
      </c>
      <c r="E286" s="755">
        <v>-4.0617384240454468E-3</v>
      </c>
      <c r="F286" s="755">
        <v>8.1566068515503964E-4</v>
      </c>
      <c r="G286" s="755">
        <f>G284/F284-1</f>
        <v>-0.32233088834555823</v>
      </c>
      <c r="H286" s="755">
        <f>H284/G284-1</f>
        <v>0.1316897173782321</v>
      </c>
      <c r="I286" s="755">
        <f>I284/H284-1</f>
        <v>0.12554812431767792</v>
      </c>
      <c r="J286" s="1378">
        <v>0.03</v>
      </c>
      <c r="K286" s="1378">
        <v>0.03</v>
      </c>
      <c r="L286" s="1378">
        <v>0.03</v>
      </c>
      <c r="M286" s="1378">
        <v>2.1066976022078965E-2</v>
      </c>
      <c r="N286" s="1378">
        <v>1.4692163133043668E-2</v>
      </c>
      <c r="O286" s="1378">
        <v>1.4061118812669804E-2</v>
      </c>
      <c r="P286" s="1378">
        <v>-1.900297693744557E-3</v>
      </c>
      <c r="Q286" s="1378">
        <v>0</v>
      </c>
      <c r="R286" s="688"/>
      <c r="S286" s="792"/>
      <c r="T286" s="792"/>
      <c r="U286" s="792"/>
      <c r="V286" s="792"/>
      <c r="W286" s="952">
        <v>2.6041666666666741E-2</v>
      </c>
      <c r="X286" s="792">
        <v>-4.7923322683706138E-3</v>
      </c>
      <c r="Y286" s="792">
        <v>3.3222591362125353E-3</v>
      </c>
      <c r="Z286" s="792">
        <v>-1.851851851851849E-2</v>
      </c>
      <c r="AA286" s="952">
        <f>AA284/W284-1</f>
        <v>-0.34179357021996615</v>
      </c>
      <c r="AB286" s="792">
        <v>0.04</v>
      </c>
      <c r="AC286" s="792">
        <v>0.04</v>
      </c>
      <c r="AD286" s="792">
        <f t="shared" ref="AD286:AL286" si="504">AD284/Z284-1</f>
        <v>-0.33805031446540879</v>
      </c>
      <c r="AE286" s="952">
        <f t="shared" si="504"/>
        <v>6.1696658097686319E-2</v>
      </c>
      <c r="AF286" s="792">
        <f t="shared" si="504"/>
        <v>0.10280373831775691</v>
      </c>
      <c r="AG286" s="792">
        <f t="shared" si="504"/>
        <v>0.17176470588235304</v>
      </c>
      <c r="AH286" s="791">
        <f t="shared" si="504"/>
        <v>0.18527315914489306</v>
      </c>
      <c r="AI286" s="952">
        <f t="shared" si="504"/>
        <v>0.19854721549636811</v>
      </c>
      <c r="AJ286" s="792">
        <f t="shared" si="504"/>
        <v>0.13666666666666738</v>
      </c>
      <c r="AK286" s="792">
        <f t="shared" si="504"/>
        <v>8.448198152744979E-2</v>
      </c>
      <c r="AL286" s="791">
        <f t="shared" si="504"/>
        <v>9.5596946890847523E-2</v>
      </c>
      <c r="AM286" s="1379">
        <f t="shared" ref="AM286" si="505">AM284/AI284-1</f>
        <v>0.1680303030303032</v>
      </c>
      <c r="AN286" s="1379">
        <f t="shared" ref="AN286" si="506">AN284/AJ284-1</f>
        <v>0.10912062287231072</v>
      </c>
      <c r="AO286" s="1379">
        <f t="shared" ref="AO286" si="507">AO284/AK284-1</f>
        <v>0.10259958290285831</v>
      </c>
      <c r="AP286" s="1379">
        <f t="shared" ref="AP286" si="508">AP284/AL284-1</f>
        <v>8.4196792409742649E-2</v>
      </c>
      <c r="AQ286" s="1383"/>
      <c r="AR286" s="692"/>
      <c r="AS286" s="692"/>
      <c r="AT286" s="692"/>
      <c r="AU286" s="692"/>
      <c r="AV286" s="692"/>
      <c r="AW286" s="692"/>
      <c r="AX286" s="692"/>
      <c r="AY286" s="692"/>
      <c r="AZ286" s="692"/>
      <c r="BA286" s="692"/>
      <c r="BB286"/>
      <c r="BC286"/>
      <c r="BD286"/>
      <c r="BE286"/>
      <c r="BF286"/>
      <c r="BG286"/>
      <c r="BJ286" s="755"/>
      <c r="BK286" s="755"/>
      <c r="BL286" s="755"/>
      <c r="BM286" s="755"/>
      <c r="BN286" s="755"/>
    </row>
    <row r="287" spans="1:102" s="693" customFormat="1" outlineLevel="1">
      <c r="A287" s="713" t="s">
        <v>224</v>
      </c>
      <c r="B287" s="714"/>
      <c r="C287" s="714">
        <v>0</v>
      </c>
      <c r="D287" s="714">
        <v>0</v>
      </c>
      <c r="E287" s="714">
        <v>0</v>
      </c>
      <c r="F287" s="714">
        <v>-20</v>
      </c>
      <c r="G287" s="716">
        <v>0</v>
      </c>
      <c r="H287" s="716">
        <f>H288-H284</f>
        <v>0</v>
      </c>
      <c r="I287" s="716">
        <f>I288-I284</f>
        <v>0</v>
      </c>
      <c r="J287" s="1375">
        <v>0</v>
      </c>
      <c r="K287" s="1375">
        <v>0</v>
      </c>
      <c r="L287" s="1375">
        <v>0</v>
      </c>
      <c r="M287" s="1375">
        <v>0</v>
      </c>
      <c r="N287" s="1375">
        <v>0</v>
      </c>
      <c r="O287" s="1375">
        <v>0</v>
      </c>
      <c r="P287" s="1375">
        <v>0</v>
      </c>
      <c r="Q287" s="1375">
        <v>0</v>
      </c>
      <c r="R287" s="715"/>
      <c r="S287" s="716">
        <v>0</v>
      </c>
      <c r="T287" s="716">
        <v>0</v>
      </c>
      <c r="U287" s="716">
        <v>0</v>
      </c>
      <c r="V287" s="716">
        <v>0</v>
      </c>
      <c r="W287" s="717">
        <v>-6</v>
      </c>
      <c r="X287" s="716">
        <v>-3</v>
      </c>
      <c r="Y287" s="716">
        <v>-6</v>
      </c>
      <c r="Z287" s="716">
        <v>-5</v>
      </c>
      <c r="AA287" s="717">
        <f>AA288-AA284</f>
        <v>0</v>
      </c>
      <c r="AB287" s="716">
        <f>AB288-AB284</f>
        <v>0</v>
      </c>
      <c r="AC287" s="716">
        <v>0</v>
      </c>
      <c r="AD287" s="716">
        <f>G287-AA287-AB287-AC287</f>
        <v>0</v>
      </c>
      <c r="AE287" s="717">
        <f>AE288-AE284</f>
        <v>0</v>
      </c>
      <c r="AF287" s="716">
        <f>AF288-AF284</f>
        <v>0</v>
      </c>
      <c r="AG287" s="716">
        <f>AG288-AG284</f>
        <v>0</v>
      </c>
      <c r="AH287" s="718">
        <f>+H287-SUM(AE287:AG287)</f>
        <v>0</v>
      </c>
      <c r="AI287" s="717">
        <f>AI288-AI284</f>
        <v>0</v>
      </c>
      <c r="AJ287" s="716">
        <f>AJ288-AJ284</f>
        <v>0</v>
      </c>
      <c r="AK287" s="716">
        <f>AK288-AK284</f>
        <v>0</v>
      </c>
      <c r="AL287" s="718">
        <f>I287-AI287-AJ287-AK287</f>
        <v>0</v>
      </c>
      <c r="AM287" s="1371">
        <v>0</v>
      </c>
      <c r="AN287" s="1371">
        <v>0</v>
      </c>
      <c r="AO287" s="1371">
        <v>0</v>
      </c>
      <c r="AP287" s="1371">
        <f t="shared" ref="AP287:AP289" si="509">J287-AM287-AN287-AO287</f>
        <v>0</v>
      </c>
      <c r="AQ287" s="1383"/>
      <c r="AR287" s="692"/>
      <c r="AS287" s="692"/>
      <c r="AT287" s="692"/>
      <c r="AU287" s="692"/>
      <c r="AV287" s="692"/>
      <c r="AW287" s="692"/>
      <c r="AX287" s="692"/>
      <c r="AY287" s="692"/>
      <c r="AZ287" s="692"/>
      <c r="BA287" s="692"/>
      <c r="BB287"/>
      <c r="BC287"/>
      <c r="BD287"/>
      <c r="BE287"/>
      <c r="BF287"/>
      <c r="BG287"/>
      <c r="BJ287" s="714"/>
      <c r="BK287" s="714"/>
      <c r="BL287" s="714"/>
      <c r="BM287" s="714"/>
      <c r="BN287" s="714"/>
    </row>
    <row r="288" spans="1:102" s="693" customFormat="1" outlineLevel="1">
      <c r="A288" s="713" t="s">
        <v>225</v>
      </c>
      <c r="B288" s="714"/>
      <c r="C288" s="714">
        <v>-2537</v>
      </c>
      <c r="D288" s="714">
        <v>-2462</v>
      </c>
      <c r="E288" s="714">
        <v>-2452</v>
      </c>
      <c r="F288" s="714">
        <v>-2474</v>
      </c>
      <c r="G288" s="714">
        <v>-1663</v>
      </c>
      <c r="H288" s="714">
        <v>-1882</v>
      </c>
      <c r="I288" s="714">
        <f>-(1961-(-188/(1961+383))*1961)</f>
        <v>-2118.2815699658704</v>
      </c>
      <c r="J288" s="1375">
        <f t="shared" ref="J288:P288" si="510">J284+J287</f>
        <v>-2361.4423048972903</v>
      </c>
      <c r="K288" s="1375">
        <f t="shared" si="510"/>
        <v>-2400.7388724841435</v>
      </c>
      <c r="L288" s="1375">
        <f t="shared" si="510"/>
        <v>-2491.4924908249732</v>
      </c>
      <c r="M288" s="1375">
        <f t="shared" si="510"/>
        <v>-2547.0016199528595</v>
      </c>
      <c r="N288" s="1375">
        <f t="shared" si="510"/>
        <v>-2520.7672014076061</v>
      </c>
      <c r="O288" s="1375">
        <f t="shared" si="510"/>
        <v>-2621.1923160333304</v>
      </c>
      <c r="P288" s="1375">
        <f t="shared" si="510"/>
        <v>-2727.2703448712514</v>
      </c>
      <c r="Q288" s="1375">
        <f>Q284+Q287</f>
        <v>-2839.2965505579155</v>
      </c>
      <c r="R288" s="715"/>
      <c r="S288" s="716">
        <v>-576</v>
      </c>
      <c r="T288" s="716">
        <v>-626</v>
      </c>
      <c r="U288" s="716">
        <v>-602</v>
      </c>
      <c r="V288" s="716">
        <v>-648</v>
      </c>
      <c r="W288" s="717">
        <v>-597</v>
      </c>
      <c r="X288" s="716">
        <v>-626</v>
      </c>
      <c r="Y288" s="716">
        <v>-610</v>
      </c>
      <c r="Z288" s="716">
        <v>-641</v>
      </c>
      <c r="AA288" s="717">
        <v>-389</v>
      </c>
      <c r="AB288" s="716">
        <v>-428</v>
      </c>
      <c r="AC288" s="716">
        <v>-425</v>
      </c>
      <c r="AD288" s="716">
        <f>AD284+AD287</f>
        <v>-421</v>
      </c>
      <c r="AE288" s="717">
        <v>-413</v>
      </c>
      <c r="AF288" s="716">
        <v>-472</v>
      </c>
      <c r="AG288" s="716">
        <v>-498</v>
      </c>
      <c r="AH288" s="718">
        <f>AH284+AH287</f>
        <v>-499</v>
      </c>
      <c r="AI288" s="717">
        <f>-(459-(-44/(459+102))*459)</f>
        <v>-495</v>
      </c>
      <c r="AJ288" s="716">
        <f>-(496-(-49/(496+104))*496)</f>
        <v>-536.50666666666666</v>
      </c>
      <c r="AK288" s="716">
        <f>-(503-(-44/(503+94))*503)</f>
        <v>-540.07202680067007</v>
      </c>
      <c r="AL288" s="718">
        <f>AL284+AL287</f>
        <v>-546.70287649853287</v>
      </c>
      <c r="AM288" s="1371">
        <f t="shared" ref="AM288:AP288" si="511">AM284+AM287</f>
        <v>-578.17500000000007</v>
      </c>
      <c r="AN288" s="1371">
        <f t="shared" si="511"/>
        <v>-595.05060830848095</v>
      </c>
      <c r="AO288" s="1371">
        <f t="shared" si="511"/>
        <v>-595.48319148792007</v>
      </c>
      <c r="AP288" s="1371">
        <f t="shared" si="511"/>
        <v>-592.73350510088903</v>
      </c>
      <c r="AQ288" s="1383"/>
      <c r="AR288" s="692"/>
      <c r="AS288" s="692"/>
      <c r="AT288" s="692"/>
      <c r="AU288" s="692"/>
      <c r="AV288" s="692"/>
      <c r="AW288" s="692"/>
      <c r="AX288" s="692"/>
      <c r="AY288" s="692"/>
      <c r="AZ288" s="692"/>
      <c r="BA288" s="692"/>
      <c r="BB288"/>
      <c r="BC288"/>
      <c r="BD288"/>
      <c r="BE288"/>
      <c r="BF288"/>
      <c r="BG288"/>
      <c r="BJ288" s="714"/>
      <c r="BK288" s="714"/>
      <c r="BL288" s="714"/>
      <c r="BM288" s="714"/>
      <c r="BN288" s="714"/>
    </row>
    <row r="289" spans="1:102" s="693" customFormat="1">
      <c r="A289" s="713" t="s">
        <v>226</v>
      </c>
      <c r="B289" s="714">
        <v>-352</v>
      </c>
      <c r="C289" s="714">
        <v>-869</v>
      </c>
      <c r="D289" s="714">
        <v>-950</v>
      </c>
      <c r="E289" s="714">
        <v>-939</v>
      </c>
      <c r="F289" s="714">
        <v>-903</v>
      </c>
      <c r="G289" s="714">
        <f>-468+13</f>
        <v>-455</v>
      </c>
      <c r="H289" s="714">
        <v>-486</v>
      </c>
      <c r="I289" s="714">
        <f>-583+78</f>
        <v>-505</v>
      </c>
      <c r="J289" s="714">
        <f t="shared" ref="J289:Q289" si="512">-J267*J290</f>
        <v>-617.60798743467603</v>
      </c>
      <c r="K289" s="714">
        <f t="shared" si="512"/>
        <v>-645.19857198011346</v>
      </c>
      <c r="L289" s="714">
        <f t="shared" si="512"/>
        <v>-700.73226304452373</v>
      </c>
      <c r="M289" s="714">
        <f t="shared" si="512"/>
        <v>-727.71474855795987</v>
      </c>
      <c r="N289" s="714">
        <f t="shared" si="512"/>
        <v>-756.23016042228176</v>
      </c>
      <c r="O289" s="714">
        <f t="shared" si="512"/>
        <v>-786.35769480999909</v>
      </c>
      <c r="P289" s="714">
        <f t="shared" si="512"/>
        <v>-818.18110346137541</v>
      </c>
      <c r="Q289" s="714">
        <f t="shared" si="512"/>
        <v>-851.78896516737461</v>
      </c>
      <c r="R289" s="715"/>
      <c r="S289" s="716">
        <v>-230</v>
      </c>
      <c r="T289" s="716">
        <v>-225</v>
      </c>
      <c r="U289" s="716">
        <v>-248</v>
      </c>
      <c r="V289" s="716">
        <v>-236</v>
      </c>
      <c r="W289" s="717">
        <v>-231</v>
      </c>
      <c r="X289" s="716">
        <v>-231</v>
      </c>
      <c r="Y289" s="716">
        <v>-209</v>
      </c>
      <c r="Z289" s="716">
        <v>-232</v>
      </c>
      <c r="AA289" s="717">
        <f>-110+3</f>
        <v>-107</v>
      </c>
      <c r="AB289" s="716">
        <f>-123+3</f>
        <v>-120</v>
      </c>
      <c r="AC289" s="716">
        <f>-114+3</f>
        <v>-111</v>
      </c>
      <c r="AD289" s="716">
        <f>G289-AA289-AB289-AC289</f>
        <v>-117</v>
      </c>
      <c r="AE289" s="717">
        <v>-111</v>
      </c>
      <c r="AF289" s="716">
        <v>-133</v>
      </c>
      <c r="AG289" s="716">
        <v>-113</v>
      </c>
      <c r="AH289" s="718">
        <f>+H289-SUM(AE289:AG289)</f>
        <v>-129</v>
      </c>
      <c r="AI289" s="717">
        <f>-122+3</f>
        <v>-119</v>
      </c>
      <c r="AJ289" s="716">
        <f>-128+2</f>
        <v>-126</v>
      </c>
      <c r="AK289" s="716">
        <f>-187+62</f>
        <v>-125</v>
      </c>
      <c r="AL289" s="718">
        <f>I289-AI289-AJ289-AK289</f>
        <v>-135</v>
      </c>
      <c r="AM289" s="716">
        <v>-122</v>
      </c>
      <c r="AN289" s="716">
        <f t="shared" ref="AN289:AO289" si="513">-AN267*AN290</f>
        <v>-155.62862063452579</v>
      </c>
      <c r="AO289" s="716">
        <f t="shared" si="513"/>
        <v>-155.74175777376374</v>
      </c>
      <c r="AP289" s="716">
        <f t="shared" si="509"/>
        <v>-184.23760902638654</v>
      </c>
      <c r="AQ289" s="1395"/>
      <c r="AR289" s="692"/>
      <c r="AS289" s="692"/>
      <c r="AT289" s="692"/>
      <c r="AU289" s="692"/>
      <c r="AV289" s="692"/>
      <c r="AW289" s="692"/>
      <c r="AX289" s="692"/>
      <c r="AY289" s="692"/>
      <c r="AZ289" s="692"/>
      <c r="BA289" s="692"/>
      <c r="BB289"/>
      <c r="BC289"/>
      <c r="BD289"/>
      <c r="BE289"/>
      <c r="BF289"/>
      <c r="BG289"/>
      <c r="BJ289" s="714"/>
      <c r="BK289" s="714"/>
      <c r="BL289" s="714"/>
      <c r="BM289" s="714"/>
      <c r="BN289" s="714"/>
    </row>
    <row r="290" spans="1:102" s="693" customFormat="1">
      <c r="A290" s="713" t="s">
        <v>95</v>
      </c>
      <c r="B290" s="731">
        <v>7.9172289698605486E-2</v>
      </c>
      <c r="C290" s="731">
        <v>8.7266519381401883E-2</v>
      </c>
      <c r="D290" s="731">
        <v>9.2909535452322736E-2</v>
      </c>
      <c r="E290" s="731">
        <v>8.946265243902439E-2</v>
      </c>
      <c r="F290" s="731">
        <v>8.3402604599612087E-2</v>
      </c>
      <c r="G290" s="731">
        <f>-G289/G267</f>
        <v>7.5845974329054849E-2</v>
      </c>
      <c r="H290" s="731">
        <f>-H289/H267</f>
        <v>8.3620096352374398E-2</v>
      </c>
      <c r="I290" s="731">
        <f>-I289/I267</f>
        <v>7.4582779500812282E-2</v>
      </c>
      <c r="J290" s="824">
        <v>8.5000000000000006E-2</v>
      </c>
      <c r="K290" s="824">
        <v>8.5999999999999993E-2</v>
      </c>
      <c r="L290" s="824">
        <v>0.09</v>
      </c>
      <c r="M290" s="824">
        <v>0.09</v>
      </c>
      <c r="N290" s="824">
        <v>0.09</v>
      </c>
      <c r="O290" s="824">
        <v>0.09</v>
      </c>
      <c r="P290" s="824">
        <v>0.09</v>
      </c>
      <c r="Q290" s="824">
        <v>0.09</v>
      </c>
      <c r="R290" s="721"/>
      <c r="S290" s="732">
        <v>8.9633671083398286E-2</v>
      </c>
      <c r="T290" s="732">
        <v>8.2236842105263164E-2</v>
      </c>
      <c r="U290" s="732">
        <v>9.7676250492319816E-2</v>
      </c>
      <c r="V290" s="732">
        <v>8.8888888888888892E-2</v>
      </c>
      <c r="W290" s="733">
        <v>8.743376230128691E-2</v>
      </c>
      <c r="X290" s="732">
        <v>8.200212992545261E-2</v>
      </c>
      <c r="Y290" s="732">
        <v>7.8424015009380857E-2</v>
      </c>
      <c r="Z290" s="732">
        <v>8.5830558638549756E-2</v>
      </c>
      <c r="AA290" s="733">
        <f t="shared" ref="AA290:AG290" si="514">-AA289/AA267</f>
        <v>6.9888961463096019E-2</v>
      </c>
      <c r="AB290" s="732">
        <f t="shared" si="514"/>
        <v>7.838014369693011E-2</v>
      </c>
      <c r="AC290" s="732">
        <f t="shared" si="514"/>
        <v>7.5561606535057863E-2</v>
      </c>
      <c r="AD290" s="732">
        <f t="shared" si="514"/>
        <v>7.970027247956403E-2</v>
      </c>
      <c r="AE290" s="733">
        <f t="shared" si="514"/>
        <v>7.7840112201963532E-2</v>
      </c>
      <c r="AF290" s="732">
        <f t="shared" si="514"/>
        <v>8.8313413014608239E-2</v>
      </c>
      <c r="AG290" s="732">
        <f t="shared" si="514"/>
        <v>7.8690807799442902E-2</v>
      </c>
      <c r="AH290" s="734">
        <f t="shared" ref="AH290:AM290" si="515">-AH289/AH267</f>
        <v>8.9335180055401656E-2</v>
      </c>
      <c r="AI290" s="733">
        <f t="shared" si="515"/>
        <v>7.4795725958516662E-2</v>
      </c>
      <c r="AJ290" s="732">
        <f t="shared" si="515"/>
        <v>7.3813708260105443E-2</v>
      </c>
      <c r="AK290" s="732">
        <f t="shared" si="515"/>
        <v>7.3014018691588786E-2</v>
      </c>
      <c r="AL290" s="734">
        <f t="shared" si="515"/>
        <v>7.6660988074957415E-2</v>
      </c>
      <c r="AM290" s="733">
        <f t="shared" si="515"/>
        <v>6.8577852726250707E-2</v>
      </c>
      <c r="AN290" s="825">
        <v>8.5000000000000006E-2</v>
      </c>
      <c r="AO290" s="825">
        <v>8.5000000000000006E-2</v>
      </c>
      <c r="AP290" s="734">
        <f>-AP289/AP267</f>
        <v>0.10101879245612057</v>
      </c>
      <c r="AQ290" s="1395"/>
      <c r="AR290" s="692"/>
      <c r="AS290" s="692"/>
      <c r="AT290" s="692"/>
      <c r="AU290" s="692"/>
      <c r="AV290" s="692"/>
      <c r="AW290" s="692"/>
      <c r="AX290" s="692"/>
      <c r="AY290" s="692"/>
      <c r="AZ290" s="692"/>
      <c r="BA290" s="692"/>
      <c r="BB290"/>
      <c r="BC290"/>
      <c r="BD290"/>
      <c r="BE290"/>
      <c r="BF290"/>
      <c r="BG290"/>
      <c r="BJ290" s="725"/>
      <c r="BK290" s="725"/>
      <c r="BL290" s="725"/>
      <c r="BM290" s="725"/>
      <c r="BN290" s="725"/>
    </row>
    <row r="291" spans="1:102" s="693" customFormat="1" outlineLevel="1">
      <c r="A291" s="896" t="s">
        <v>586</v>
      </c>
      <c r="B291" s="755"/>
      <c r="C291" s="755">
        <v>1.46875</v>
      </c>
      <c r="D291" s="755">
        <v>9.321058688147299E-2</v>
      </c>
      <c r="E291" s="755">
        <v>-1.1578947368421022E-2</v>
      </c>
      <c r="F291" s="755">
        <v>-3.833865814696491E-2</v>
      </c>
      <c r="G291" s="755">
        <f t="shared" ref="G291:Q291" si="516">G289/F289-1</f>
        <v>-0.49612403100775193</v>
      </c>
      <c r="H291" s="755">
        <f t="shared" si="516"/>
        <v>6.8131868131868112E-2</v>
      </c>
      <c r="I291" s="755">
        <f t="shared" si="516"/>
        <v>3.9094650205761416E-2</v>
      </c>
      <c r="J291" s="755">
        <f t="shared" si="516"/>
        <v>0.2229861137320317</v>
      </c>
      <c r="K291" s="755">
        <f t="shared" si="516"/>
        <v>4.4673296179408073E-2</v>
      </c>
      <c r="L291" s="755">
        <f t="shared" si="516"/>
        <v>8.6072247329961549E-2</v>
      </c>
      <c r="M291" s="755">
        <f t="shared" si="516"/>
        <v>3.8506126999495294E-2</v>
      </c>
      <c r="N291" s="755">
        <f t="shared" si="516"/>
        <v>3.9184875558490484E-2</v>
      </c>
      <c r="O291" s="755">
        <f t="shared" si="516"/>
        <v>3.983910714549399E-2</v>
      </c>
      <c r="P291" s="755">
        <f t="shared" si="516"/>
        <v>4.0469380361395801E-2</v>
      </c>
      <c r="Q291" s="755">
        <f t="shared" si="516"/>
        <v>4.1076311300540569E-2</v>
      </c>
      <c r="R291" s="688"/>
      <c r="S291" s="792"/>
      <c r="T291" s="792"/>
      <c r="U291" s="792"/>
      <c r="V291" s="792"/>
      <c r="W291" s="952"/>
      <c r="X291" s="792"/>
      <c r="Y291" s="792"/>
      <c r="Z291" s="792"/>
      <c r="AA291" s="952">
        <f t="shared" ref="AA291:AK291" si="517">AA289/W289-1</f>
        <v>-0.53679653679653683</v>
      </c>
      <c r="AB291" s="792">
        <f t="shared" si="517"/>
        <v>-0.48051948051948057</v>
      </c>
      <c r="AC291" s="792">
        <f t="shared" si="517"/>
        <v>-0.46889952153110048</v>
      </c>
      <c r="AD291" s="792">
        <f t="shared" si="517"/>
        <v>-0.49568965517241381</v>
      </c>
      <c r="AE291" s="952">
        <f t="shared" si="517"/>
        <v>3.7383177570093462E-2</v>
      </c>
      <c r="AF291" s="792">
        <f t="shared" si="517"/>
        <v>0.10833333333333339</v>
      </c>
      <c r="AG291" s="792">
        <f t="shared" si="517"/>
        <v>1.8018018018018056E-2</v>
      </c>
      <c r="AH291" s="791">
        <f t="shared" si="517"/>
        <v>0.10256410256410264</v>
      </c>
      <c r="AI291" s="952">
        <f t="shared" si="517"/>
        <v>7.2072072072072002E-2</v>
      </c>
      <c r="AJ291" s="792">
        <f t="shared" si="517"/>
        <v>-5.2631578947368474E-2</v>
      </c>
      <c r="AK291" s="792">
        <f t="shared" si="517"/>
        <v>0.10619469026548667</v>
      </c>
      <c r="AL291" s="791">
        <f>AL289/AH289-1</f>
        <v>4.6511627906976827E-2</v>
      </c>
      <c r="AM291" s="792">
        <f t="shared" ref="AM291:AP291" si="518">AM289/AI289-1</f>
        <v>2.5210084033613356E-2</v>
      </c>
      <c r="AN291" s="792">
        <f t="shared" si="518"/>
        <v>0.23514778281369675</v>
      </c>
      <c r="AO291" s="792">
        <f t="shared" si="518"/>
        <v>0.24593406219010983</v>
      </c>
      <c r="AP291" s="792">
        <f t="shared" si="518"/>
        <v>0.36472302982508542</v>
      </c>
      <c r="AQ291" s="1395"/>
      <c r="AR291" s="692"/>
      <c r="AS291" s="692"/>
      <c r="AT291" s="692"/>
      <c r="AU291" s="692"/>
      <c r="AV291" s="692"/>
      <c r="AW291" s="692"/>
      <c r="AX291" s="692"/>
      <c r="AY291" s="692"/>
      <c r="AZ291" s="692"/>
      <c r="BA291" s="692"/>
      <c r="BB291"/>
      <c r="BC291"/>
      <c r="BD291"/>
      <c r="BE291"/>
      <c r="BF291"/>
      <c r="BG291"/>
      <c r="BJ291" s="755"/>
      <c r="BK291" s="755"/>
      <c r="BL291" s="755"/>
      <c r="BM291" s="755"/>
      <c r="BN291" s="755"/>
    </row>
    <row r="292" spans="1:102" s="693" customFormat="1" outlineLevel="1">
      <c r="A292" s="713" t="s">
        <v>227</v>
      </c>
      <c r="B292" s="714"/>
      <c r="C292" s="714">
        <v>-23</v>
      </c>
      <c r="D292" s="714">
        <v>-25</v>
      </c>
      <c r="E292" s="714">
        <v>-103</v>
      </c>
      <c r="F292" s="714">
        <v>-25</v>
      </c>
      <c r="G292" s="714">
        <f>G293-G289</f>
        <v>-13</v>
      </c>
      <c r="H292" s="716">
        <f>H293-H289</f>
        <v>-30</v>
      </c>
      <c r="I292" s="716">
        <f>I293-I289</f>
        <v>-78</v>
      </c>
      <c r="J292" s="714">
        <v>0</v>
      </c>
      <c r="K292" s="714">
        <v>0</v>
      </c>
      <c r="L292" s="714">
        <v>0</v>
      </c>
      <c r="M292" s="714">
        <v>0</v>
      </c>
      <c r="N292" s="714">
        <v>0</v>
      </c>
      <c r="O292" s="714">
        <v>0</v>
      </c>
      <c r="P292" s="714">
        <v>0</v>
      </c>
      <c r="Q292" s="714">
        <v>0</v>
      </c>
      <c r="R292" s="715"/>
      <c r="S292" s="716">
        <v>10</v>
      </c>
      <c r="T292" s="716">
        <v>-40</v>
      </c>
      <c r="U292" s="716">
        <v>-22</v>
      </c>
      <c r="V292" s="716">
        <v>-51</v>
      </c>
      <c r="W292" s="717">
        <v>-1</v>
      </c>
      <c r="X292" s="716">
        <v>-3</v>
      </c>
      <c r="Y292" s="716">
        <v>-6</v>
      </c>
      <c r="Z292" s="716">
        <v>-15</v>
      </c>
      <c r="AA292" s="717">
        <f>AA293-AA289</f>
        <v>-3</v>
      </c>
      <c r="AB292" s="716">
        <f>AB293-AB289</f>
        <v>-3</v>
      </c>
      <c r="AC292" s="716">
        <f>AC293-AC289</f>
        <v>-3</v>
      </c>
      <c r="AD292" s="716">
        <f>G292-AA292-AB292-AC292</f>
        <v>-4</v>
      </c>
      <c r="AE292" s="717">
        <f>AE293-AE289</f>
        <v>-3</v>
      </c>
      <c r="AF292" s="716">
        <f>AF293-AF289</f>
        <v>-7</v>
      </c>
      <c r="AG292" s="716">
        <f>AG293-AG289</f>
        <v>-18</v>
      </c>
      <c r="AH292" s="718">
        <f>+H292-SUM(AE292:AG292)</f>
        <v>-2</v>
      </c>
      <c r="AI292" s="717">
        <f>AI293-AI289</f>
        <v>-3</v>
      </c>
      <c r="AJ292" s="716">
        <f>AJ293-AJ289</f>
        <v>-2</v>
      </c>
      <c r="AK292" s="716">
        <f>AK293-AK289</f>
        <v>-62</v>
      </c>
      <c r="AL292" s="718">
        <f>I292-AI292-AJ292-AK292</f>
        <v>-11</v>
      </c>
      <c r="AM292" s="717">
        <f>AM293-AM289</f>
        <v>-16</v>
      </c>
      <c r="AN292" s="716">
        <v>0</v>
      </c>
      <c r="AO292" s="716">
        <v>0</v>
      </c>
      <c r="AP292" s="716">
        <f t="shared" ref="AP292:AP294" si="519">J292-AM292-AN292-AO292</f>
        <v>16</v>
      </c>
      <c r="AQ292" s="1395"/>
      <c r="AR292" s="692"/>
      <c r="AS292" s="692"/>
      <c r="AT292" s="692"/>
      <c r="AU292" s="692"/>
      <c r="AV292" s="692"/>
      <c r="AW292" s="692"/>
      <c r="AX292" s="692"/>
      <c r="AY292" s="692"/>
      <c r="AZ292" s="692"/>
      <c r="BA292" s="692"/>
      <c r="BB292"/>
      <c r="BC292"/>
      <c r="BD292"/>
      <c r="BE292"/>
      <c r="BF292"/>
      <c r="BG292"/>
      <c r="BJ292" s="714"/>
      <c r="BK292" s="714"/>
      <c r="BL292" s="714"/>
      <c r="BM292" s="714"/>
      <c r="BN292" s="714"/>
    </row>
    <row r="293" spans="1:102" s="693" customFormat="1" outlineLevel="1">
      <c r="A293" s="713" t="s">
        <v>228</v>
      </c>
      <c r="B293" s="714"/>
      <c r="C293" s="714">
        <v>-892</v>
      </c>
      <c r="D293" s="714">
        <v>-975</v>
      </c>
      <c r="E293" s="714">
        <v>-1042</v>
      </c>
      <c r="F293" s="714">
        <v>-928</v>
      </c>
      <c r="G293" s="714">
        <v>-468</v>
      </c>
      <c r="H293" s="714">
        <v>-516</v>
      </c>
      <c r="I293" s="714">
        <v>-583</v>
      </c>
      <c r="J293" s="714">
        <f t="shared" ref="J293:P293" si="520">J289+J292</f>
        <v>-617.60798743467603</v>
      </c>
      <c r="K293" s="714">
        <f t="shared" si="520"/>
        <v>-645.19857198011346</v>
      </c>
      <c r="L293" s="714">
        <f t="shared" si="520"/>
        <v>-700.73226304452373</v>
      </c>
      <c r="M293" s="714">
        <f t="shared" si="520"/>
        <v>-727.71474855795987</v>
      </c>
      <c r="N293" s="714">
        <f t="shared" si="520"/>
        <v>-756.23016042228176</v>
      </c>
      <c r="O293" s="714">
        <f t="shared" si="520"/>
        <v>-786.35769480999909</v>
      </c>
      <c r="P293" s="714">
        <f t="shared" si="520"/>
        <v>-818.18110346137541</v>
      </c>
      <c r="Q293" s="714">
        <f>Q289+Q292</f>
        <v>-851.78896516737461</v>
      </c>
      <c r="R293" s="715"/>
      <c r="S293" s="716">
        <v>-220</v>
      </c>
      <c r="T293" s="716">
        <v>-265</v>
      </c>
      <c r="U293" s="716">
        <v>-270</v>
      </c>
      <c r="V293" s="716">
        <v>-287</v>
      </c>
      <c r="W293" s="717">
        <v>-232</v>
      </c>
      <c r="X293" s="716">
        <v>-234</v>
      </c>
      <c r="Y293" s="716">
        <v>-215</v>
      </c>
      <c r="Z293" s="716">
        <v>-247</v>
      </c>
      <c r="AA293" s="717">
        <v>-110</v>
      </c>
      <c r="AB293" s="716">
        <v>-123</v>
      </c>
      <c r="AC293" s="716">
        <v>-114</v>
      </c>
      <c r="AD293" s="716">
        <f>AD289+AD292</f>
        <v>-121</v>
      </c>
      <c r="AE293" s="717">
        <v>-114</v>
      </c>
      <c r="AF293" s="716">
        <v>-140</v>
      </c>
      <c r="AG293" s="716">
        <v>-131</v>
      </c>
      <c r="AH293" s="718">
        <f>AH289+AH292</f>
        <v>-131</v>
      </c>
      <c r="AI293" s="717">
        <v>-122</v>
      </c>
      <c r="AJ293" s="716">
        <v>-128</v>
      </c>
      <c r="AK293" s="716">
        <v>-187</v>
      </c>
      <c r="AL293" s="718">
        <f>AL289+AL292</f>
        <v>-146</v>
      </c>
      <c r="AM293" s="716">
        <v>-138</v>
      </c>
      <c r="AN293" s="716">
        <f t="shared" ref="AN293:AP293" si="521">AN289+AN292</f>
        <v>-155.62862063452579</v>
      </c>
      <c r="AO293" s="716">
        <f t="shared" si="521"/>
        <v>-155.74175777376374</v>
      </c>
      <c r="AP293" s="716">
        <f t="shared" si="521"/>
        <v>-168.23760902638654</v>
      </c>
      <c r="AQ293" s="1395"/>
      <c r="AR293" s="692"/>
      <c r="AS293" s="692"/>
      <c r="AT293" s="692"/>
      <c r="AU293" s="692"/>
      <c r="AV293" s="692"/>
      <c r="AW293" s="692"/>
      <c r="AX293" s="692"/>
      <c r="AY293" s="692"/>
      <c r="AZ293" s="692"/>
      <c r="BA293" s="692"/>
      <c r="BB293"/>
      <c r="BC293"/>
      <c r="BD293"/>
      <c r="BE293"/>
      <c r="BF293"/>
      <c r="BG293"/>
      <c r="BJ293" s="714"/>
      <c r="BK293" s="714"/>
      <c r="BL293" s="714"/>
      <c r="BM293" s="714"/>
      <c r="BN293" s="714"/>
    </row>
    <row r="294" spans="1:102" s="693" customFormat="1">
      <c r="A294" s="713" t="s">
        <v>229</v>
      </c>
      <c r="B294" s="714">
        <v>-255</v>
      </c>
      <c r="C294" s="714">
        <v>-496</v>
      </c>
      <c r="D294" s="714">
        <v>-496</v>
      </c>
      <c r="E294" s="714">
        <v>-564</v>
      </c>
      <c r="F294" s="714">
        <v>-568</v>
      </c>
      <c r="G294" s="714">
        <f>-450+32</f>
        <v>-418</v>
      </c>
      <c r="H294" s="714">
        <v>-410</v>
      </c>
      <c r="I294" s="714">
        <v>-413.71843003412999</v>
      </c>
      <c r="J294" s="1375">
        <f t="shared" ref="J294:Q294" si="522">-J267*J295</f>
        <v>-457.75650833393632</v>
      </c>
      <c r="K294" s="1375">
        <f t="shared" si="522"/>
        <v>-450.13853859077688</v>
      </c>
      <c r="L294" s="1375">
        <f t="shared" si="522"/>
        <v>-428.22527186054225</v>
      </c>
      <c r="M294" s="1375">
        <f t="shared" si="522"/>
        <v>-444.7145685631977</v>
      </c>
      <c r="N294" s="1375">
        <f t="shared" si="522"/>
        <v>-462.14065359139443</v>
      </c>
      <c r="O294" s="1375">
        <f t="shared" si="522"/>
        <v>-480.55192460611056</v>
      </c>
      <c r="P294" s="1375">
        <f t="shared" si="522"/>
        <v>-499.99956322639611</v>
      </c>
      <c r="Q294" s="1375">
        <f t="shared" si="522"/>
        <v>-520.53770093561786</v>
      </c>
      <c r="R294" s="715"/>
      <c r="S294" s="716">
        <v>-146</v>
      </c>
      <c r="T294" s="716">
        <v>-132</v>
      </c>
      <c r="U294" s="716">
        <v>-144</v>
      </c>
      <c r="V294" s="716">
        <v>-142</v>
      </c>
      <c r="W294" s="717">
        <v>-144</v>
      </c>
      <c r="X294" s="716">
        <v>-145</v>
      </c>
      <c r="Y294" s="716">
        <v>-131</v>
      </c>
      <c r="Z294" s="716">
        <v>-148</v>
      </c>
      <c r="AA294" s="717">
        <f>-120+7</f>
        <v>-113</v>
      </c>
      <c r="AB294" s="716">
        <f>-120+9</f>
        <v>-111</v>
      </c>
      <c r="AC294" s="716">
        <f>-99+6</f>
        <v>-93</v>
      </c>
      <c r="AD294" s="716">
        <f>G294-AA294-AB294-AC294</f>
        <v>-101</v>
      </c>
      <c r="AE294" s="717">
        <v>-119</v>
      </c>
      <c r="AF294" s="716">
        <v>-104</v>
      </c>
      <c r="AG294" s="716">
        <v>-86</v>
      </c>
      <c r="AH294" s="718">
        <f>+H294-SUM(AE294:AG294)</f>
        <v>-101</v>
      </c>
      <c r="AI294" s="717">
        <v>-110</v>
      </c>
      <c r="AJ294" s="716">
        <v>-112.493333333333</v>
      </c>
      <c r="AK294" s="716">
        <v>-100.92797319933</v>
      </c>
      <c r="AL294" s="718">
        <f>I294-AI294-AJ294-AK294</f>
        <v>-90.297123501466999</v>
      </c>
      <c r="AM294" s="1371">
        <f t="shared" ref="AM294:AO294" si="523">-AM267*AM295</f>
        <v>-112.077</v>
      </c>
      <c r="AN294" s="1371">
        <f t="shared" si="523"/>
        <v>-115.34827176441321</v>
      </c>
      <c r="AO294" s="1371">
        <f t="shared" si="523"/>
        <v>-115.43212634996605</v>
      </c>
      <c r="AP294" s="1371">
        <f t="shared" si="519"/>
        <v>-114.89911021955707</v>
      </c>
      <c r="AQ294" s="1395"/>
      <c r="AR294" s="692"/>
      <c r="AS294" s="692"/>
      <c r="AT294" s="692"/>
      <c r="AU294" s="692"/>
      <c r="AV294" s="692"/>
      <c r="AW294" s="692"/>
      <c r="AX294" s="692"/>
      <c r="AY294" s="692"/>
      <c r="AZ294" s="692"/>
      <c r="BA294" s="692"/>
      <c r="BB294"/>
      <c r="BC294"/>
      <c r="BD294"/>
      <c r="BE294"/>
      <c r="BF294"/>
      <c r="BG294"/>
      <c r="BJ294" s="714"/>
      <c r="BK294" s="714"/>
      <c r="BL294" s="714"/>
      <c r="BM294" s="714"/>
      <c r="BN294" s="714"/>
    </row>
    <row r="295" spans="1:102" s="693" customFormat="1">
      <c r="A295" s="713" t="s">
        <v>95</v>
      </c>
      <c r="B295" s="731">
        <v>5.7354925775978408E-2</v>
      </c>
      <c r="C295" s="731">
        <v>4.9809198634263911E-2</v>
      </c>
      <c r="D295" s="731">
        <v>4.8508557457212713E-2</v>
      </c>
      <c r="E295" s="731">
        <v>5.3734756097560975E-2</v>
      </c>
      <c r="F295" s="731">
        <v>5.2461438995104831E-2</v>
      </c>
      <c r="G295" s="731">
        <f>-G294/G267</f>
        <v>6.9678279713285551E-2</v>
      </c>
      <c r="H295" s="731">
        <f>-H294/H267</f>
        <v>7.0543702684101858E-2</v>
      </c>
      <c r="I295" s="731">
        <f>-I294/I267</f>
        <v>6.1101525629025252E-2</v>
      </c>
      <c r="J295" s="1376">
        <v>6.3E-2</v>
      </c>
      <c r="K295" s="1376">
        <v>0.06</v>
      </c>
      <c r="L295" s="1376">
        <v>5.5E-2</v>
      </c>
      <c r="M295" s="1376">
        <v>5.5E-2</v>
      </c>
      <c r="N295" s="1376">
        <v>5.5E-2</v>
      </c>
      <c r="O295" s="1376">
        <v>5.5E-2</v>
      </c>
      <c r="P295" s="1376">
        <v>5.5E-2</v>
      </c>
      <c r="Q295" s="1376">
        <v>5.5E-2</v>
      </c>
      <c r="R295" s="721"/>
      <c r="S295" s="732"/>
      <c r="T295" s="732"/>
      <c r="U295" s="732"/>
      <c r="V295" s="732"/>
      <c r="W295" s="733">
        <v>5.4504163512490537E-2</v>
      </c>
      <c r="X295" s="732">
        <v>5.1473198438054667E-2</v>
      </c>
      <c r="Y295" s="732">
        <v>4.9155722326454036E-2</v>
      </c>
      <c r="Z295" s="732">
        <v>5.4753977062523121E-2</v>
      </c>
      <c r="AA295" s="733">
        <f t="shared" ref="AA295:AG295" si="524">-AA294/AA267</f>
        <v>7.3807968647942521E-2</v>
      </c>
      <c r="AB295" s="732">
        <f t="shared" si="524"/>
        <v>7.2501632919660358E-2</v>
      </c>
      <c r="AC295" s="732">
        <f t="shared" si="524"/>
        <v>6.3308373042886321E-2</v>
      </c>
      <c r="AD295" s="732">
        <f t="shared" si="524"/>
        <v>6.8801089918256134E-2</v>
      </c>
      <c r="AE295" s="733">
        <f t="shared" si="524"/>
        <v>8.3450210378681625E-2</v>
      </c>
      <c r="AF295" s="732">
        <f t="shared" si="524"/>
        <v>6.9057104913678613E-2</v>
      </c>
      <c r="AG295" s="732">
        <f t="shared" si="524"/>
        <v>5.9888579387186627E-2</v>
      </c>
      <c r="AH295" s="734">
        <f>-AH294/AH267</f>
        <v>6.9944598337950137E-2</v>
      </c>
      <c r="AI295" s="733">
        <f>-AI294/AI267</f>
        <v>6.913890634820867E-2</v>
      </c>
      <c r="AJ295" s="732">
        <f>-AJ294/AJ267</f>
        <v>6.5901191173598717E-2</v>
      </c>
      <c r="AK295" s="732">
        <f>-AK294/AK267</f>
        <v>5.895325537344042E-2</v>
      </c>
      <c r="AL295" s="734">
        <f>-AL294/AL267</f>
        <v>5.1276049688510503E-2</v>
      </c>
      <c r="AM295" s="1372">
        <v>6.3E-2</v>
      </c>
      <c r="AN295" s="1372">
        <v>6.3E-2</v>
      </c>
      <c r="AO295" s="1372">
        <v>6.3E-2</v>
      </c>
      <c r="AP295" s="1373">
        <f>-AP294/AP267</f>
        <v>6.3000000000000042E-2</v>
      </c>
      <c r="AQ295" s="1395"/>
      <c r="AR295" s="692"/>
      <c r="AS295" s="692"/>
      <c r="AT295" s="692"/>
      <c r="AU295" s="692"/>
      <c r="AV295" s="692"/>
      <c r="AW295" s="692"/>
      <c r="AX295" s="692"/>
      <c r="AY295" s="692"/>
      <c r="AZ295" s="692"/>
      <c r="BA295" s="692"/>
      <c r="BB295"/>
      <c r="BC295"/>
      <c r="BD295"/>
      <c r="BE295"/>
      <c r="BF295"/>
      <c r="BG295"/>
      <c r="BJ295" s="725"/>
      <c r="BK295" s="725"/>
      <c r="BL295" s="725"/>
      <c r="BM295" s="725"/>
      <c r="BN295" s="725"/>
    </row>
    <row r="296" spans="1:102" s="693" customFormat="1" outlineLevel="1">
      <c r="A296" s="896" t="s">
        <v>586</v>
      </c>
      <c r="B296" s="755"/>
      <c r="C296" s="755">
        <v>0.94509803921568625</v>
      </c>
      <c r="D296" s="755">
        <v>0</v>
      </c>
      <c r="E296" s="755">
        <v>0.13709677419354849</v>
      </c>
      <c r="F296" s="755">
        <v>7.0921985815601829E-3</v>
      </c>
      <c r="G296" s="755">
        <f t="shared" ref="G296:Q296" si="525">G294/F294-1</f>
        <v>-0.2640845070422535</v>
      </c>
      <c r="H296" s="755">
        <f t="shared" si="525"/>
        <v>-1.9138755980861233E-2</v>
      </c>
      <c r="I296" s="755">
        <f t="shared" si="525"/>
        <v>9.0693415466585048E-3</v>
      </c>
      <c r="J296" s="1378">
        <f t="shared" si="525"/>
        <v>0.10644456495731491</v>
      </c>
      <c r="K296" s="1378">
        <f t="shared" si="525"/>
        <v>-1.6641969266337764E-2</v>
      </c>
      <c r="L296" s="1378">
        <f t="shared" si="525"/>
        <v>-4.8681161135052387E-2</v>
      </c>
      <c r="M296" s="1378">
        <f t="shared" si="525"/>
        <v>3.8506126999495294E-2</v>
      </c>
      <c r="N296" s="1378">
        <f t="shared" si="525"/>
        <v>3.9184875558490484E-2</v>
      </c>
      <c r="O296" s="1378">
        <f t="shared" si="525"/>
        <v>3.983910714549399E-2</v>
      </c>
      <c r="P296" s="1378">
        <f t="shared" si="525"/>
        <v>4.0469380361396023E-2</v>
      </c>
      <c r="Q296" s="1378">
        <f t="shared" si="525"/>
        <v>4.1076311300540569E-2</v>
      </c>
      <c r="R296" s="688"/>
      <c r="S296" s="792"/>
      <c r="T296" s="792"/>
      <c r="U296" s="792"/>
      <c r="V296" s="792"/>
      <c r="W296" s="952">
        <v>-1.3698630136986356E-2</v>
      </c>
      <c r="X296" s="792">
        <v>9.8484848484848397E-2</v>
      </c>
      <c r="Y296" s="792">
        <v>-9.027777777777779E-2</v>
      </c>
      <c r="Z296" s="792">
        <v>4.2253521126760507E-2</v>
      </c>
      <c r="AA296" s="952">
        <f t="shared" ref="AA296:AI296" si="526">AA294/W294-1</f>
        <v>-0.21527777777777779</v>
      </c>
      <c r="AB296" s="792">
        <f t="shared" si="526"/>
        <v>-0.23448275862068968</v>
      </c>
      <c r="AC296" s="792">
        <f t="shared" si="526"/>
        <v>-0.29007633587786263</v>
      </c>
      <c r="AD296" s="792">
        <f t="shared" si="526"/>
        <v>-0.31756756756756754</v>
      </c>
      <c r="AE296" s="952">
        <f t="shared" si="526"/>
        <v>5.3097345132743445E-2</v>
      </c>
      <c r="AF296" s="792">
        <f t="shared" si="526"/>
        <v>-6.3063063063063085E-2</v>
      </c>
      <c r="AG296" s="792">
        <f t="shared" si="526"/>
        <v>-7.5268817204301119E-2</v>
      </c>
      <c r="AH296" s="791">
        <f t="shared" si="526"/>
        <v>0</v>
      </c>
      <c r="AI296" s="952">
        <f t="shared" si="526"/>
        <v>-7.5630252100840289E-2</v>
      </c>
      <c r="AJ296" s="792">
        <f>AJ294/AF294-1</f>
        <v>8.1666666666663446E-2</v>
      </c>
      <c r="AK296" s="792">
        <f>AK294/AG294-1</f>
        <v>0.17358108371313952</v>
      </c>
      <c r="AL296" s="791">
        <f>AL294/AH294-1</f>
        <v>-0.10596907424290103</v>
      </c>
      <c r="AM296" s="1379">
        <f t="shared" ref="AM296:AP296" si="527">AM294/AI294-1</f>
        <v>1.8881818181818222E-2</v>
      </c>
      <c r="AN296" s="1379">
        <f t="shared" si="527"/>
        <v>2.5378734423493698E-2</v>
      </c>
      <c r="AO296" s="1379">
        <f t="shared" si="527"/>
        <v>0.14370796015085685</v>
      </c>
      <c r="AP296" s="1379">
        <f t="shared" si="527"/>
        <v>0.27245592953678521</v>
      </c>
      <c r="AQ296" s="1395"/>
      <c r="AR296" s="692"/>
      <c r="AS296" s="692"/>
      <c r="AT296" s="692"/>
      <c r="AU296" s="692"/>
      <c r="AV296" s="692"/>
      <c r="AW296" s="692"/>
      <c r="AX296" s="692"/>
      <c r="AY296" s="692"/>
      <c r="AZ296" s="692"/>
      <c r="BA296" s="692"/>
      <c r="BB296"/>
      <c r="BC296"/>
      <c r="BD296"/>
      <c r="BE296"/>
      <c r="BF296"/>
      <c r="BG296"/>
      <c r="BJ296" s="755"/>
      <c r="BK296" s="755"/>
      <c r="BL296" s="755"/>
      <c r="BM296" s="755"/>
      <c r="BN296" s="755"/>
    </row>
    <row r="297" spans="1:102" s="693" customFormat="1" outlineLevel="1">
      <c r="A297" s="713" t="s">
        <v>230</v>
      </c>
      <c r="B297" s="714"/>
      <c r="C297" s="714">
        <v>-13</v>
      </c>
      <c r="D297" s="714">
        <v>-14</v>
      </c>
      <c r="E297" s="714">
        <v>-25</v>
      </c>
      <c r="F297" s="714">
        <v>-45</v>
      </c>
      <c r="G297" s="714">
        <f>G298-G294</f>
        <v>-32</v>
      </c>
      <c r="H297" s="716">
        <f>H298-H294</f>
        <v>0</v>
      </c>
      <c r="I297" s="716">
        <f>I298-I294</f>
        <v>0</v>
      </c>
      <c r="J297" s="1375">
        <v>0</v>
      </c>
      <c r="K297" s="1375">
        <v>0</v>
      </c>
      <c r="L297" s="1375">
        <v>0</v>
      </c>
      <c r="M297" s="1375">
        <v>0</v>
      </c>
      <c r="N297" s="1375">
        <v>0</v>
      </c>
      <c r="O297" s="1375">
        <v>0</v>
      </c>
      <c r="P297" s="1375">
        <v>0</v>
      </c>
      <c r="Q297" s="1375">
        <v>0</v>
      </c>
      <c r="R297" s="715"/>
      <c r="S297" s="716">
        <v>-6</v>
      </c>
      <c r="T297" s="716">
        <v>-6</v>
      </c>
      <c r="U297" s="716">
        <v>-5</v>
      </c>
      <c r="V297" s="716">
        <v>-8</v>
      </c>
      <c r="W297" s="717">
        <v>-17</v>
      </c>
      <c r="X297" s="716">
        <v>-7</v>
      </c>
      <c r="Y297" s="716">
        <v>-7</v>
      </c>
      <c r="Z297" s="716">
        <v>-14</v>
      </c>
      <c r="AA297" s="717">
        <f>AA298-AA294</f>
        <v>-7</v>
      </c>
      <c r="AB297" s="716">
        <f>AB298-AB294</f>
        <v>-9</v>
      </c>
      <c r="AC297" s="716">
        <f>AC298-AC294</f>
        <v>-6</v>
      </c>
      <c r="AD297" s="716">
        <f>G297-AA297-AB297-AC297</f>
        <v>-10</v>
      </c>
      <c r="AE297" s="717">
        <f>AE298-AE294</f>
        <v>0</v>
      </c>
      <c r="AF297" s="716">
        <f>AF298-AF294</f>
        <v>0</v>
      </c>
      <c r="AG297" s="716">
        <f>AG298-AG294</f>
        <v>0</v>
      </c>
      <c r="AH297" s="718">
        <f>+H297-SUM(AE297:AG297)</f>
        <v>0</v>
      </c>
      <c r="AI297" s="717">
        <f>AI298-AI294</f>
        <v>0</v>
      </c>
      <c r="AJ297" s="716">
        <f>AJ298-AJ294</f>
        <v>-3.4106051316484809E-13</v>
      </c>
      <c r="AK297" s="716">
        <f>AK298-AK294</f>
        <v>0</v>
      </c>
      <c r="AL297" s="718">
        <f>I297-AI297-AJ297-AK297</f>
        <v>3.4106051316484809E-13</v>
      </c>
      <c r="AM297" s="1371">
        <v>0</v>
      </c>
      <c r="AN297" s="1371">
        <v>0</v>
      </c>
      <c r="AO297" s="1371">
        <v>0</v>
      </c>
      <c r="AP297" s="1371">
        <f t="shared" ref="AP297" si="528">J297-AM297-AN297-AO297</f>
        <v>0</v>
      </c>
      <c r="AQ297" s="1395"/>
      <c r="AR297" s="692"/>
      <c r="AS297" s="692"/>
      <c r="AT297" s="692"/>
      <c r="AU297" s="692"/>
      <c r="AV297" s="692"/>
      <c r="AW297" s="692"/>
      <c r="AX297" s="692"/>
      <c r="AY297" s="692"/>
      <c r="AZ297" s="692"/>
      <c r="BA297" s="692"/>
      <c r="BB297"/>
      <c r="BC297"/>
      <c r="BD297"/>
      <c r="BE297"/>
      <c r="BF297"/>
      <c r="BG297"/>
      <c r="BJ297" s="714"/>
      <c r="BK297" s="714"/>
      <c r="BL297" s="714"/>
      <c r="BM297" s="714"/>
      <c r="BN297" s="714"/>
    </row>
    <row r="298" spans="1:102" s="981" customFormat="1" outlineLevel="1">
      <c r="A298" s="713" t="s">
        <v>231</v>
      </c>
      <c r="B298" s="714"/>
      <c r="C298" s="714">
        <v>-509</v>
      </c>
      <c r="D298" s="714">
        <v>-510</v>
      </c>
      <c r="E298" s="714">
        <v>-589</v>
      </c>
      <c r="F298" s="714">
        <v>-613</v>
      </c>
      <c r="G298" s="714">
        <v>-450</v>
      </c>
      <c r="H298" s="714">
        <v>-410</v>
      </c>
      <c r="I298" s="714">
        <f>-2532-I288</f>
        <v>-413.7184300341296</v>
      </c>
      <c r="J298" s="1375">
        <f t="shared" ref="J298:P298" si="529">J294+J297</f>
        <v>-457.75650833393632</v>
      </c>
      <c r="K298" s="1375">
        <f t="shared" si="529"/>
        <v>-450.13853859077688</v>
      </c>
      <c r="L298" s="1375">
        <f t="shared" si="529"/>
        <v>-428.22527186054225</v>
      </c>
      <c r="M298" s="1375">
        <f t="shared" si="529"/>
        <v>-444.7145685631977</v>
      </c>
      <c r="N298" s="1375">
        <f t="shared" si="529"/>
        <v>-462.14065359139443</v>
      </c>
      <c r="O298" s="1375">
        <f t="shared" si="529"/>
        <v>-480.55192460611056</v>
      </c>
      <c r="P298" s="1375">
        <f t="shared" si="529"/>
        <v>-499.99956322639611</v>
      </c>
      <c r="Q298" s="1375">
        <f>Q294+Q297</f>
        <v>-520.53770093561786</v>
      </c>
      <c r="R298" s="715"/>
      <c r="S298" s="716">
        <v>-152</v>
      </c>
      <c r="T298" s="716">
        <v>-138</v>
      </c>
      <c r="U298" s="716">
        <v>-149</v>
      </c>
      <c r="V298" s="716">
        <v>-150</v>
      </c>
      <c r="W298" s="717">
        <v>-161</v>
      </c>
      <c r="X298" s="716">
        <v>-152</v>
      </c>
      <c r="Y298" s="716">
        <v>-138</v>
      </c>
      <c r="Z298" s="716">
        <v>-162</v>
      </c>
      <c r="AA298" s="717">
        <v>-120</v>
      </c>
      <c r="AB298" s="716">
        <v>-120</v>
      </c>
      <c r="AC298" s="716">
        <v>-99</v>
      </c>
      <c r="AD298" s="716">
        <f>AD294+AD297</f>
        <v>-111</v>
      </c>
      <c r="AE298" s="717">
        <v>-119</v>
      </c>
      <c r="AF298" s="716">
        <v>-104</v>
      </c>
      <c r="AG298" s="716">
        <v>-86</v>
      </c>
      <c r="AH298" s="718">
        <f>AH294+AH297</f>
        <v>-101</v>
      </c>
      <c r="AI298" s="717">
        <f>-605-AI288</f>
        <v>-110</v>
      </c>
      <c r="AJ298" s="716">
        <f>-649-AJ288</f>
        <v>-112.49333333333334</v>
      </c>
      <c r="AK298" s="716">
        <f>-641-AK288</f>
        <v>-100.92797319932993</v>
      </c>
      <c r="AL298" s="718">
        <f>AL294+AL297</f>
        <v>-90.297123501466658</v>
      </c>
      <c r="AM298" s="1371">
        <f t="shared" ref="AM298:AP298" si="530">AM294+AM297</f>
        <v>-112.077</v>
      </c>
      <c r="AN298" s="1371">
        <f t="shared" si="530"/>
        <v>-115.34827176441321</v>
      </c>
      <c r="AO298" s="1371">
        <f t="shared" si="530"/>
        <v>-115.43212634996605</v>
      </c>
      <c r="AP298" s="1371">
        <f t="shared" si="530"/>
        <v>-114.89911021955707</v>
      </c>
      <c r="AQ298" s="1395"/>
      <c r="AR298" s="692"/>
      <c r="AS298" s="692"/>
      <c r="AT298" s="692"/>
      <c r="AU298" s="692"/>
      <c r="AV298" s="692"/>
      <c r="AW298" s="692"/>
      <c r="AX298" s="692"/>
      <c r="AY298" s="692"/>
      <c r="AZ298" s="692"/>
      <c r="BA298" s="692"/>
      <c r="BB298"/>
      <c r="BC298"/>
      <c r="BD298"/>
      <c r="BE298"/>
      <c r="BF298"/>
      <c r="BG298"/>
      <c r="BH298" s="693"/>
      <c r="BI298" s="693"/>
      <c r="BJ298" s="714"/>
      <c r="BK298" s="714"/>
      <c r="BL298" s="714"/>
      <c r="BM298" s="714"/>
      <c r="BN298" s="714"/>
      <c r="BO298" s="693"/>
      <c r="BP298" s="693"/>
      <c r="BQ298" s="693"/>
      <c r="BR298" s="693"/>
      <c r="BS298" s="693"/>
      <c r="BT298" s="693"/>
      <c r="BU298" s="693"/>
      <c r="BV298" s="693"/>
      <c r="BW298" s="693"/>
      <c r="BX298" s="693"/>
      <c r="BY298" s="693"/>
      <c r="BZ298" s="693"/>
      <c r="CA298" s="693"/>
      <c r="CB298" s="693"/>
      <c r="CC298" s="693"/>
      <c r="CD298" s="693"/>
      <c r="CE298" s="693"/>
      <c r="CF298" s="693"/>
      <c r="CG298" s="693"/>
      <c r="CH298" s="693"/>
      <c r="CI298" s="693"/>
      <c r="CJ298" s="693"/>
      <c r="CK298" s="693"/>
      <c r="CL298" s="693"/>
      <c r="CM298" s="693"/>
      <c r="CN298" s="693"/>
      <c r="CO298" s="693"/>
      <c r="CP298" s="693"/>
      <c r="CQ298" s="693"/>
      <c r="CR298" s="693"/>
      <c r="CS298" s="693"/>
      <c r="CT298" s="693"/>
      <c r="CU298" s="693"/>
      <c r="CV298" s="693"/>
      <c r="CW298" s="693"/>
      <c r="CX298" s="693"/>
    </row>
    <row r="299" spans="1:102" s="693" customFormat="1">
      <c r="A299" s="713" t="s">
        <v>232</v>
      </c>
      <c r="B299" s="714">
        <v>-32</v>
      </c>
      <c r="C299" s="714">
        <v>5</v>
      </c>
      <c r="D299" s="714">
        <v>-33</v>
      </c>
      <c r="E299" s="714">
        <v>-16</v>
      </c>
      <c r="F299" s="714">
        <v>-63</v>
      </c>
      <c r="G299" s="714">
        <f t="shared" ref="G299:Q299" si="531">+G300+G301</f>
        <v>7</v>
      </c>
      <c r="H299" s="714">
        <f t="shared" si="531"/>
        <v>28</v>
      </c>
      <c r="I299" s="714">
        <f t="shared" si="531"/>
        <v>1</v>
      </c>
      <c r="J299" s="714">
        <f t="shared" si="531"/>
        <v>1</v>
      </c>
      <c r="K299" s="714">
        <f t="shared" si="531"/>
        <v>1</v>
      </c>
      <c r="L299" s="714">
        <f t="shared" si="531"/>
        <v>1</v>
      </c>
      <c r="M299" s="714">
        <f t="shared" si="531"/>
        <v>1</v>
      </c>
      <c r="N299" s="714">
        <f t="shared" si="531"/>
        <v>1</v>
      </c>
      <c r="O299" s="714">
        <f t="shared" si="531"/>
        <v>1</v>
      </c>
      <c r="P299" s="714">
        <f t="shared" si="531"/>
        <v>1</v>
      </c>
      <c r="Q299" s="714">
        <f t="shared" si="531"/>
        <v>1</v>
      </c>
      <c r="R299" s="715"/>
      <c r="S299" s="716">
        <v>-3</v>
      </c>
      <c r="T299" s="716">
        <v>-13</v>
      </c>
      <c r="U299" s="716">
        <v>3</v>
      </c>
      <c r="V299" s="716">
        <v>-3</v>
      </c>
      <c r="W299" s="717">
        <v>0</v>
      </c>
      <c r="X299" s="716">
        <v>-23</v>
      </c>
      <c r="Y299" s="716">
        <v>-27</v>
      </c>
      <c r="Z299" s="716">
        <v>-13</v>
      </c>
      <c r="AA299" s="717">
        <f t="shared" ref="AA299:AP299" si="532">+AA300+AA301</f>
        <v>16</v>
      </c>
      <c r="AB299" s="716">
        <f t="shared" si="532"/>
        <v>1</v>
      </c>
      <c r="AC299" s="716">
        <f t="shared" si="532"/>
        <v>-15</v>
      </c>
      <c r="AD299" s="716">
        <f t="shared" si="532"/>
        <v>5</v>
      </c>
      <c r="AE299" s="717">
        <f t="shared" si="532"/>
        <v>10</v>
      </c>
      <c r="AF299" s="716">
        <f t="shared" si="532"/>
        <v>5</v>
      </c>
      <c r="AG299" s="716">
        <f t="shared" si="532"/>
        <v>10</v>
      </c>
      <c r="AH299" s="718">
        <f t="shared" si="532"/>
        <v>3</v>
      </c>
      <c r="AI299" s="717">
        <f t="shared" si="532"/>
        <v>6</v>
      </c>
      <c r="AJ299" s="716">
        <f t="shared" si="532"/>
        <v>-2</v>
      </c>
      <c r="AK299" s="716">
        <f t="shared" si="532"/>
        <v>-3</v>
      </c>
      <c r="AL299" s="718">
        <f t="shared" si="532"/>
        <v>0</v>
      </c>
      <c r="AM299" s="716">
        <f t="shared" si="532"/>
        <v>6</v>
      </c>
      <c r="AN299" s="716">
        <f t="shared" si="532"/>
        <v>-2</v>
      </c>
      <c r="AO299" s="716">
        <f t="shared" si="532"/>
        <v>-3</v>
      </c>
      <c r="AP299" s="716">
        <f t="shared" si="532"/>
        <v>0</v>
      </c>
      <c r="AQ299" s="1395"/>
      <c r="AR299" s="692"/>
      <c r="AS299" s="692"/>
      <c r="AT299" s="692"/>
      <c r="AU299" s="692"/>
      <c r="AV299" s="692"/>
      <c r="AW299" s="692"/>
      <c r="AX299" s="692"/>
      <c r="AY299" s="692"/>
      <c r="AZ299" s="692"/>
      <c r="BA299" s="692"/>
      <c r="BB299"/>
      <c r="BC299"/>
      <c r="BD299"/>
      <c r="BE299"/>
      <c r="BF299"/>
      <c r="BG299"/>
      <c r="BJ299" s="714"/>
      <c r="BK299" s="714"/>
      <c r="BL299" s="714"/>
      <c r="BM299" s="714"/>
      <c r="BN299" s="714"/>
    </row>
    <row r="300" spans="1:102" s="693" customFormat="1">
      <c r="A300" s="713" t="s">
        <v>114</v>
      </c>
      <c r="B300" s="714"/>
      <c r="C300" s="714"/>
      <c r="D300" s="714">
        <v>48</v>
      </c>
      <c r="E300" s="714">
        <v>39</v>
      </c>
      <c r="F300" s="714">
        <v>26</v>
      </c>
      <c r="G300" s="714">
        <f>54-9</f>
        <v>45</v>
      </c>
      <c r="H300" s="714">
        <v>44</v>
      </c>
      <c r="I300" s="714">
        <v>30</v>
      </c>
      <c r="J300" s="793">
        <f t="shared" ref="J300:Q300" si="533">I300</f>
        <v>30</v>
      </c>
      <c r="K300" s="793">
        <f t="shared" si="533"/>
        <v>30</v>
      </c>
      <c r="L300" s="793">
        <f t="shared" si="533"/>
        <v>30</v>
      </c>
      <c r="M300" s="793">
        <f t="shared" si="533"/>
        <v>30</v>
      </c>
      <c r="N300" s="793">
        <f t="shared" si="533"/>
        <v>30</v>
      </c>
      <c r="O300" s="793">
        <f t="shared" si="533"/>
        <v>30</v>
      </c>
      <c r="P300" s="793">
        <f t="shared" si="533"/>
        <v>30</v>
      </c>
      <c r="Q300" s="793">
        <f t="shared" si="533"/>
        <v>30</v>
      </c>
      <c r="R300" s="715"/>
      <c r="S300" s="716">
        <v>5</v>
      </c>
      <c r="T300" s="716">
        <v>4</v>
      </c>
      <c r="U300" s="716">
        <v>19</v>
      </c>
      <c r="V300" s="716">
        <v>11</v>
      </c>
      <c r="W300" s="717">
        <v>10</v>
      </c>
      <c r="X300" s="716">
        <v>6</v>
      </c>
      <c r="Y300" s="716">
        <v>7</v>
      </c>
      <c r="Z300" s="716">
        <v>3</v>
      </c>
      <c r="AA300" s="717">
        <f>22-1</f>
        <v>21</v>
      </c>
      <c r="AB300" s="716">
        <f>16-6</f>
        <v>10</v>
      </c>
      <c r="AC300" s="716">
        <v>8</v>
      </c>
      <c r="AD300" s="716">
        <f>8-2</f>
        <v>6</v>
      </c>
      <c r="AE300" s="717">
        <v>17</v>
      </c>
      <c r="AF300" s="716">
        <v>9</v>
      </c>
      <c r="AG300" s="716">
        <v>18</v>
      </c>
      <c r="AH300" s="718">
        <f>+H300-SUM(AE300:AG300)</f>
        <v>0</v>
      </c>
      <c r="AI300" s="717">
        <v>8</v>
      </c>
      <c r="AJ300" s="716">
        <v>7</v>
      </c>
      <c r="AK300" s="716">
        <v>9</v>
      </c>
      <c r="AL300" s="718">
        <f>I300-AI300-AJ300-AK300</f>
        <v>6</v>
      </c>
      <c r="AM300" s="716">
        <v>9</v>
      </c>
      <c r="AN300" s="788">
        <f t="shared" ref="AN300:AO301" si="534">AJ300</f>
        <v>7</v>
      </c>
      <c r="AO300" s="788">
        <f t="shared" si="534"/>
        <v>9</v>
      </c>
      <c r="AP300" s="716">
        <f t="shared" ref="AP300:AP304" si="535">J300-AM300-AN300-AO300</f>
        <v>5</v>
      </c>
      <c r="AQ300" s="1395"/>
      <c r="AR300" s="692"/>
      <c r="AS300" s="692"/>
      <c r="AT300" s="692"/>
      <c r="AU300" s="692"/>
      <c r="AV300" s="692"/>
      <c r="AW300" s="692"/>
      <c r="AX300" s="692"/>
      <c r="AY300" s="692"/>
      <c r="AZ300" s="692"/>
      <c r="BA300" s="692"/>
      <c r="BB300"/>
      <c r="BC300"/>
      <c r="BD300"/>
      <c r="BE300"/>
      <c r="BF300"/>
      <c r="BG300"/>
      <c r="BJ300" s="714"/>
      <c r="BK300" s="714"/>
      <c r="BL300" s="714"/>
      <c r="BM300" s="714"/>
      <c r="BN300" s="714"/>
    </row>
    <row r="301" spans="1:102" s="693" customFormat="1">
      <c r="A301" s="713" t="s">
        <v>117</v>
      </c>
      <c r="B301" s="714"/>
      <c r="C301" s="714"/>
      <c r="D301" s="714">
        <v>-81</v>
      </c>
      <c r="E301" s="714">
        <v>-55</v>
      </c>
      <c r="F301" s="714">
        <v>-89</v>
      </c>
      <c r="G301" s="714">
        <f>-69+31</f>
        <v>-38</v>
      </c>
      <c r="H301" s="714">
        <v>-16</v>
      </c>
      <c r="I301" s="714">
        <v>-29</v>
      </c>
      <c r="J301" s="793">
        <f t="shared" ref="J301:Q301" si="536">I301</f>
        <v>-29</v>
      </c>
      <c r="K301" s="793">
        <f t="shared" si="536"/>
        <v>-29</v>
      </c>
      <c r="L301" s="793">
        <f t="shared" si="536"/>
        <v>-29</v>
      </c>
      <c r="M301" s="793">
        <f t="shared" si="536"/>
        <v>-29</v>
      </c>
      <c r="N301" s="793">
        <f t="shared" si="536"/>
        <v>-29</v>
      </c>
      <c r="O301" s="793">
        <f t="shared" si="536"/>
        <v>-29</v>
      </c>
      <c r="P301" s="793">
        <f t="shared" si="536"/>
        <v>-29</v>
      </c>
      <c r="Q301" s="793">
        <f t="shared" si="536"/>
        <v>-29</v>
      </c>
      <c r="R301" s="715"/>
      <c r="S301" s="716">
        <v>-8</v>
      </c>
      <c r="T301" s="716">
        <v>-17</v>
      </c>
      <c r="U301" s="716">
        <v>-16</v>
      </c>
      <c r="V301" s="716">
        <v>-14</v>
      </c>
      <c r="W301" s="717">
        <v>-10</v>
      </c>
      <c r="X301" s="716">
        <v>-29</v>
      </c>
      <c r="Y301" s="716">
        <v>-34</v>
      </c>
      <c r="Z301" s="716">
        <v>-16</v>
      </c>
      <c r="AA301" s="717">
        <f>-14+9</f>
        <v>-5</v>
      </c>
      <c r="AB301" s="716">
        <f>-12+3</f>
        <v>-9</v>
      </c>
      <c r="AC301" s="716">
        <f>-34+11</f>
        <v>-23</v>
      </c>
      <c r="AD301" s="716">
        <f>G301-AA301-AB301-AC301</f>
        <v>-1</v>
      </c>
      <c r="AE301" s="717">
        <v>-7</v>
      </c>
      <c r="AF301" s="716">
        <v>-4</v>
      </c>
      <c r="AG301" s="716">
        <v>-8</v>
      </c>
      <c r="AH301" s="718">
        <f>+H301-SUM(AE301:AG301)</f>
        <v>3</v>
      </c>
      <c r="AI301" s="717">
        <v>-2</v>
      </c>
      <c r="AJ301" s="716">
        <v>-9</v>
      </c>
      <c r="AK301" s="716">
        <v>-12</v>
      </c>
      <c r="AL301" s="718">
        <f>I301-AI301-AJ301-AK301</f>
        <v>-6</v>
      </c>
      <c r="AM301" s="716">
        <v>-3</v>
      </c>
      <c r="AN301" s="788">
        <f t="shared" si="534"/>
        <v>-9</v>
      </c>
      <c r="AO301" s="788">
        <f t="shared" si="534"/>
        <v>-12</v>
      </c>
      <c r="AP301" s="716">
        <f t="shared" si="535"/>
        <v>-5</v>
      </c>
      <c r="AQ301" s="1395"/>
      <c r="AR301" s="692"/>
      <c r="AS301" s="692"/>
      <c r="AT301" s="692"/>
      <c r="AU301" s="692"/>
      <c r="AV301" s="692"/>
      <c r="AW301" s="692"/>
      <c r="AX301" s="692"/>
      <c r="AY301" s="692"/>
      <c r="AZ301" s="692"/>
      <c r="BA301" s="692"/>
      <c r="BB301"/>
      <c r="BC301"/>
      <c r="BD301"/>
      <c r="BE301"/>
      <c r="BF301"/>
      <c r="BG301"/>
      <c r="BJ301" s="714"/>
      <c r="BK301" s="714"/>
      <c r="BL301" s="714"/>
      <c r="BM301" s="714"/>
      <c r="BN301" s="714"/>
    </row>
    <row r="302" spans="1:102" s="693" customFormat="1" outlineLevel="1">
      <c r="A302" s="713" t="s">
        <v>233</v>
      </c>
      <c r="B302" s="714"/>
      <c r="C302" s="714">
        <v>-52</v>
      </c>
      <c r="D302" s="714">
        <v>-271</v>
      </c>
      <c r="E302" s="714">
        <v>-342</v>
      </c>
      <c r="F302" s="714">
        <v>-42</v>
      </c>
      <c r="G302" s="714">
        <f t="shared" ref="G302:M302" si="537">+G303+G304</f>
        <v>-22</v>
      </c>
      <c r="H302" s="714">
        <f t="shared" si="537"/>
        <v>-76</v>
      </c>
      <c r="I302" s="714">
        <f t="shared" si="537"/>
        <v>-78</v>
      </c>
      <c r="J302" s="714">
        <f t="shared" si="537"/>
        <v>0</v>
      </c>
      <c r="K302" s="714">
        <f t="shared" si="537"/>
        <v>0</v>
      </c>
      <c r="L302" s="714">
        <f t="shared" si="537"/>
        <v>0</v>
      </c>
      <c r="M302" s="714">
        <f t="shared" si="537"/>
        <v>0</v>
      </c>
      <c r="N302" s="714">
        <v>0</v>
      </c>
      <c r="O302" s="714">
        <v>0</v>
      </c>
      <c r="P302" s="714">
        <v>0</v>
      </c>
      <c r="Q302" s="714">
        <v>0</v>
      </c>
      <c r="R302" s="715"/>
      <c r="S302" s="716">
        <v>-55</v>
      </c>
      <c r="T302" s="716">
        <v>-87</v>
      </c>
      <c r="U302" s="716">
        <v>-96</v>
      </c>
      <c r="V302" s="716">
        <v>-104</v>
      </c>
      <c r="W302" s="717">
        <v>0</v>
      </c>
      <c r="X302" s="716">
        <v>-25</v>
      </c>
      <c r="Y302" s="716">
        <v>-41</v>
      </c>
      <c r="Z302" s="716">
        <v>24</v>
      </c>
      <c r="AA302" s="717">
        <f t="shared" ref="AA302:AP302" si="538">+AA303+AA304</f>
        <v>-8</v>
      </c>
      <c r="AB302" s="716">
        <f t="shared" si="538"/>
        <v>3</v>
      </c>
      <c r="AC302" s="716">
        <f t="shared" si="538"/>
        <v>-11</v>
      </c>
      <c r="AD302" s="716">
        <f t="shared" si="538"/>
        <v>-6</v>
      </c>
      <c r="AE302" s="717">
        <f t="shared" si="538"/>
        <v>0</v>
      </c>
      <c r="AF302" s="716">
        <f t="shared" si="538"/>
        <v>-5</v>
      </c>
      <c r="AG302" s="716">
        <f>+AG303+AG304</f>
        <v>-17</v>
      </c>
      <c r="AH302" s="718">
        <f t="shared" si="538"/>
        <v>-54</v>
      </c>
      <c r="AI302" s="717">
        <f>+AI303+AI304</f>
        <v>-5</v>
      </c>
      <c r="AJ302" s="716">
        <f>+AJ303+AJ304</f>
        <v>-6</v>
      </c>
      <c r="AK302" s="716">
        <f t="shared" si="538"/>
        <v>-2</v>
      </c>
      <c r="AL302" s="718">
        <f t="shared" si="538"/>
        <v>-65</v>
      </c>
      <c r="AM302" s="716">
        <f>+AM303+AM304</f>
        <v>-1</v>
      </c>
      <c r="AN302" s="716">
        <f t="shared" si="538"/>
        <v>0</v>
      </c>
      <c r="AO302" s="716">
        <f t="shared" si="538"/>
        <v>0</v>
      </c>
      <c r="AP302" s="716">
        <f t="shared" si="538"/>
        <v>1</v>
      </c>
      <c r="AQ302" s="1395"/>
      <c r="AR302" s="692"/>
      <c r="AS302" s="692"/>
      <c r="AT302" s="692"/>
      <c r="AU302" s="692"/>
      <c r="AV302" s="692"/>
      <c r="AW302" s="692"/>
      <c r="AX302" s="692"/>
      <c r="AY302" s="692"/>
      <c r="AZ302" s="692"/>
      <c r="BA302" s="692"/>
      <c r="BB302"/>
      <c r="BC302"/>
      <c r="BD302"/>
      <c r="BE302"/>
      <c r="BF302"/>
      <c r="BG302"/>
      <c r="BJ302" s="714"/>
      <c r="BK302" s="714"/>
      <c r="BL302" s="714"/>
      <c r="BM302" s="714"/>
      <c r="BN302" s="714"/>
    </row>
    <row r="303" spans="1:102" s="693" customFormat="1" outlineLevel="1">
      <c r="A303" s="713" t="s">
        <v>115</v>
      </c>
      <c r="B303" s="714"/>
      <c r="C303" s="714"/>
      <c r="D303" s="716">
        <v>1</v>
      </c>
      <c r="E303" s="716">
        <v>40</v>
      </c>
      <c r="F303" s="714">
        <v>53</v>
      </c>
      <c r="G303" s="714">
        <f t="shared" ref="G303:I304" si="539">+G306-G300</f>
        <v>9</v>
      </c>
      <c r="H303" s="716">
        <f t="shared" si="539"/>
        <v>4</v>
      </c>
      <c r="I303" s="716">
        <f t="shared" si="539"/>
        <v>17</v>
      </c>
      <c r="J303" s="714">
        <v>0</v>
      </c>
      <c r="K303" s="714">
        <v>0</v>
      </c>
      <c r="L303" s="714">
        <v>0</v>
      </c>
      <c r="M303" s="714">
        <v>0</v>
      </c>
      <c r="N303" s="714">
        <v>0</v>
      </c>
      <c r="O303" s="714">
        <v>0</v>
      </c>
      <c r="P303" s="714">
        <v>0</v>
      </c>
      <c r="Q303" s="714">
        <v>0</v>
      </c>
      <c r="R303" s="715"/>
      <c r="S303" s="716">
        <v>0</v>
      </c>
      <c r="T303" s="716">
        <v>0</v>
      </c>
      <c r="U303" s="716">
        <v>0</v>
      </c>
      <c r="V303" s="716">
        <v>40</v>
      </c>
      <c r="W303" s="717">
        <v>3</v>
      </c>
      <c r="X303" s="716">
        <v>10</v>
      </c>
      <c r="Y303" s="716">
        <v>1</v>
      </c>
      <c r="Z303" s="716">
        <v>39</v>
      </c>
      <c r="AA303" s="717">
        <f t="shared" ref="AA303:AC304" si="540">+AA306-AA300</f>
        <v>1</v>
      </c>
      <c r="AB303" s="716">
        <f t="shared" si="540"/>
        <v>6</v>
      </c>
      <c r="AC303" s="716">
        <f t="shared" si="540"/>
        <v>0</v>
      </c>
      <c r="AD303" s="716">
        <f>G303-AA303-AB303-AC303</f>
        <v>2</v>
      </c>
      <c r="AE303" s="717">
        <f t="shared" ref="AE303:AG304" si="541">+AE306-AE300</f>
        <v>1</v>
      </c>
      <c r="AF303" s="716">
        <f t="shared" si="541"/>
        <v>0</v>
      </c>
      <c r="AG303" s="716">
        <f t="shared" si="541"/>
        <v>1</v>
      </c>
      <c r="AH303" s="718">
        <f>+H303-SUM(AE303:AG303)</f>
        <v>2</v>
      </c>
      <c r="AI303" s="717">
        <f t="shared" ref="AI303:AK304" si="542">+AI306-AI300</f>
        <v>6</v>
      </c>
      <c r="AJ303" s="716">
        <f t="shared" si="542"/>
        <v>0</v>
      </c>
      <c r="AK303" s="716">
        <f t="shared" si="542"/>
        <v>8</v>
      </c>
      <c r="AL303" s="718">
        <f>I303-AI303-AJ303-AK303</f>
        <v>3</v>
      </c>
      <c r="AM303" s="716">
        <f t="shared" ref="AM303" si="543">+AM306-AM300</f>
        <v>10</v>
      </c>
      <c r="AN303" s="716">
        <v>0</v>
      </c>
      <c r="AO303" s="716">
        <v>0</v>
      </c>
      <c r="AP303" s="716">
        <f t="shared" si="535"/>
        <v>-10</v>
      </c>
      <c r="AQ303" s="1395"/>
      <c r="AR303" s="692"/>
      <c r="AS303" s="692"/>
      <c r="AT303" s="692"/>
      <c r="AU303" s="692"/>
      <c r="AV303" s="692"/>
      <c r="AW303" s="692"/>
      <c r="AX303" s="692"/>
      <c r="AY303" s="692"/>
      <c r="AZ303" s="692"/>
      <c r="BA303" s="692"/>
      <c r="BB303"/>
      <c r="BC303"/>
      <c r="BD303"/>
      <c r="BE303"/>
      <c r="BF303"/>
      <c r="BG303"/>
      <c r="BJ303" s="714"/>
      <c r="BK303" s="714"/>
      <c r="BL303" s="714"/>
      <c r="BM303" s="714"/>
      <c r="BN303" s="714"/>
    </row>
    <row r="304" spans="1:102" s="693" customFormat="1" outlineLevel="1">
      <c r="A304" s="713" t="s">
        <v>118</v>
      </c>
      <c r="B304" s="714"/>
      <c r="C304" s="714"/>
      <c r="D304" s="716">
        <v>-272</v>
      </c>
      <c r="E304" s="716">
        <v>-382</v>
      </c>
      <c r="F304" s="714">
        <v>-95</v>
      </c>
      <c r="G304" s="714">
        <f t="shared" si="539"/>
        <v>-31</v>
      </c>
      <c r="H304" s="716">
        <f t="shared" si="539"/>
        <v>-80</v>
      </c>
      <c r="I304" s="716">
        <f t="shared" si="539"/>
        <v>-95</v>
      </c>
      <c r="J304" s="714">
        <v>0</v>
      </c>
      <c r="K304" s="714">
        <v>0</v>
      </c>
      <c r="L304" s="714">
        <v>0</v>
      </c>
      <c r="M304" s="714">
        <v>0</v>
      </c>
      <c r="N304" s="714">
        <v>1</v>
      </c>
      <c r="O304" s="714">
        <v>2</v>
      </c>
      <c r="P304" s="714">
        <v>3</v>
      </c>
      <c r="Q304" s="714">
        <v>4</v>
      </c>
      <c r="R304" s="715"/>
      <c r="S304" s="716">
        <v>-55</v>
      </c>
      <c r="T304" s="716">
        <v>-87</v>
      </c>
      <c r="U304" s="716">
        <v>-96</v>
      </c>
      <c r="V304" s="716">
        <v>-144</v>
      </c>
      <c r="W304" s="717">
        <v>-3</v>
      </c>
      <c r="X304" s="716">
        <v>-35</v>
      </c>
      <c r="Y304" s="716">
        <v>-42</v>
      </c>
      <c r="Z304" s="716">
        <v>-15</v>
      </c>
      <c r="AA304" s="717">
        <f t="shared" si="540"/>
        <v>-9</v>
      </c>
      <c r="AB304" s="716">
        <f t="shared" si="540"/>
        <v>-3</v>
      </c>
      <c r="AC304" s="716">
        <f t="shared" si="540"/>
        <v>-11</v>
      </c>
      <c r="AD304" s="716">
        <f>G304-AA304-AB304-AC304</f>
        <v>-8</v>
      </c>
      <c r="AE304" s="717">
        <f t="shared" si="541"/>
        <v>-1</v>
      </c>
      <c r="AF304" s="716">
        <f t="shared" si="541"/>
        <v>-5</v>
      </c>
      <c r="AG304" s="716">
        <f t="shared" si="541"/>
        <v>-18</v>
      </c>
      <c r="AH304" s="718">
        <f>+H304-SUM(AE304:AG304)</f>
        <v>-56</v>
      </c>
      <c r="AI304" s="717">
        <f t="shared" si="542"/>
        <v>-11</v>
      </c>
      <c r="AJ304" s="716">
        <f t="shared" si="542"/>
        <v>-6</v>
      </c>
      <c r="AK304" s="716">
        <f t="shared" si="542"/>
        <v>-10</v>
      </c>
      <c r="AL304" s="718">
        <f>I304-AI304-AJ304-AK304</f>
        <v>-68</v>
      </c>
      <c r="AM304" s="716">
        <f t="shared" ref="AM304" si="544">+AM307-AM301</f>
        <v>-11</v>
      </c>
      <c r="AN304" s="716">
        <v>0</v>
      </c>
      <c r="AO304" s="716">
        <v>0</v>
      </c>
      <c r="AP304" s="716">
        <f t="shared" si="535"/>
        <v>11</v>
      </c>
      <c r="AQ304" s="1395"/>
      <c r="AR304" s="692"/>
      <c r="AS304" s="692"/>
      <c r="AT304" s="692"/>
      <c r="AU304" s="692"/>
      <c r="AV304" s="692"/>
      <c r="AW304" s="692"/>
      <c r="AX304" s="692"/>
      <c r="AY304" s="692"/>
      <c r="AZ304" s="692"/>
      <c r="BA304" s="692"/>
      <c r="BB304"/>
      <c r="BC304"/>
      <c r="BD304"/>
      <c r="BE304"/>
      <c r="BF304"/>
      <c r="BG304"/>
      <c r="BJ304" s="714"/>
      <c r="BK304" s="714"/>
      <c r="BL304" s="714"/>
      <c r="BM304" s="714"/>
      <c r="BN304" s="714"/>
    </row>
    <row r="305" spans="1:102" s="693" customFormat="1" outlineLevel="1">
      <c r="A305" s="713" t="s">
        <v>234</v>
      </c>
      <c r="B305" s="714"/>
      <c r="C305" s="714">
        <v>-47</v>
      </c>
      <c r="D305" s="714">
        <v>-304</v>
      </c>
      <c r="E305" s="714">
        <v>-358</v>
      </c>
      <c r="F305" s="714">
        <v>-105</v>
      </c>
      <c r="G305" s="714">
        <f t="shared" ref="G305:M305" si="545">+G306+G307</f>
        <v>-15</v>
      </c>
      <c r="H305" s="714">
        <f t="shared" si="545"/>
        <v>-48</v>
      </c>
      <c r="I305" s="714">
        <f t="shared" si="545"/>
        <v>-77</v>
      </c>
      <c r="J305" s="714">
        <f t="shared" si="545"/>
        <v>1</v>
      </c>
      <c r="K305" s="714">
        <f t="shared" si="545"/>
        <v>1</v>
      </c>
      <c r="L305" s="714">
        <f t="shared" si="545"/>
        <v>1</v>
      </c>
      <c r="M305" s="714">
        <f t="shared" si="545"/>
        <v>1</v>
      </c>
      <c r="N305" s="714">
        <f t="shared" ref="N305:Q307" si="546">N299+N302</f>
        <v>1</v>
      </c>
      <c r="O305" s="714">
        <f t="shared" si="546"/>
        <v>1</v>
      </c>
      <c r="P305" s="714">
        <f t="shared" si="546"/>
        <v>1</v>
      </c>
      <c r="Q305" s="714">
        <f t="shared" si="546"/>
        <v>1</v>
      </c>
      <c r="R305" s="715"/>
      <c r="S305" s="716">
        <v>-58</v>
      </c>
      <c r="T305" s="716">
        <v>-100</v>
      </c>
      <c r="U305" s="716">
        <v>-93</v>
      </c>
      <c r="V305" s="716">
        <v>-107</v>
      </c>
      <c r="W305" s="717">
        <v>0</v>
      </c>
      <c r="X305" s="716">
        <v>-48</v>
      </c>
      <c r="Y305" s="716">
        <v>-68</v>
      </c>
      <c r="Z305" s="716">
        <v>11</v>
      </c>
      <c r="AA305" s="717">
        <f t="shared" ref="AA305:AP305" si="547">+AA306+AA307</f>
        <v>8</v>
      </c>
      <c r="AB305" s="716">
        <f t="shared" si="547"/>
        <v>4</v>
      </c>
      <c r="AC305" s="716">
        <f t="shared" si="547"/>
        <v>-26</v>
      </c>
      <c r="AD305" s="716">
        <f t="shared" si="547"/>
        <v>-1</v>
      </c>
      <c r="AE305" s="717">
        <f t="shared" si="547"/>
        <v>10</v>
      </c>
      <c r="AF305" s="716">
        <f t="shared" si="547"/>
        <v>0</v>
      </c>
      <c r="AG305" s="716">
        <f t="shared" si="547"/>
        <v>-7</v>
      </c>
      <c r="AH305" s="718">
        <f t="shared" si="547"/>
        <v>-51</v>
      </c>
      <c r="AI305" s="717">
        <f t="shared" si="547"/>
        <v>1</v>
      </c>
      <c r="AJ305" s="716">
        <f t="shared" si="547"/>
        <v>-8</v>
      </c>
      <c r="AK305" s="716">
        <f t="shared" si="547"/>
        <v>-5</v>
      </c>
      <c r="AL305" s="718">
        <f t="shared" si="547"/>
        <v>-65</v>
      </c>
      <c r="AM305" s="716">
        <f t="shared" si="547"/>
        <v>5</v>
      </c>
      <c r="AN305" s="716">
        <f t="shared" si="547"/>
        <v>-2</v>
      </c>
      <c r="AO305" s="716">
        <f t="shared" si="547"/>
        <v>-3</v>
      </c>
      <c r="AP305" s="716">
        <f t="shared" si="547"/>
        <v>1</v>
      </c>
      <c r="AQ305" s="1395"/>
      <c r="AR305" s="692"/>
      <c r="AS305" s="692"/>
      <c r="AT305" s="692"/>
      <c r="AU305" s="692"/>
      <c r="AV305" s="692"/>
      <c r="AW305" s="692"/>
      <c r="AX305" s="692"/>
      <c r="AY305" s="692"/>
      <c r="AZ305" s="692"/>
      <c r="BA305" s="692"/>
      <c r="BB305"/>
      <c r="BC305"/>
      <c r="BD305"/>
      <c r="BE305"/>
      <c r="BF305"/>
      <c r="BG305"/>
      <c r="BJ305" s="714"/>
      <c r="BK305" s="714"/>
      <c r="BL305" s="714"/>
      <c r="BM305" s="714"/>
      <c r="BN305" s="714"/>
    </row>
    <row r="306" spans="1:102" s="693" customFormat="1" outlineLevel="1">
      <c r="A306" s="713" t="s">
        <v>116</v>
      </c>
      <c r="B306" s="714"/>
      <c r="C306" s="714"/>
      <c r="D306" s="714">
        <v>49</v>
      </c>
      <c r="E306" s="714">
        <v>79</v>
      </c>
      <c r="F306" s="714">
        <v>79</v>
      </c>
      <c r="G306" s="714">
        <v>54</v>
      </c>
      <c r="H306" s="714">
        <v>48</v>
      </c>
      <c r="I306" s="714">
        <v>47</v>
      </c>
      <c r="J306" s="714">
        <f t="shared" ref="J306:M307" si="548">J300+J303</f>
        <v>30</v>
      </c>
      <c r="K306" s="714">
        <f t="shared" si="548"/>
        <v>30</v>
      </c>
      <c r="L306" s="714">
        <f t="shared" si="548"/>
        <v>30</v>
      </c>
      <c r="M306" s="714">
        <f t="shared" si="548"/>
        <v>30</v>
      </c>
      <c r="N306" s="714">
        <f t="shared" si="546"/>
        <v>30</v>
      </c>
      <c r="O306" s="714">
        <f t="shared" si="546"/>
        <v>30</v>
      </c>
      <c r="P306" s="714">
        <f t="shared" si="546"/>
        <v>30</v>
      </c>
      <c r="Q306" s="714">
        <f t="shared" si="546"/>
        <v>30</v>
      </c>
      <c r="R306" s="715"/>
      <c r="S306" s="716">
        <v>5</v>
      </c>
      <c r="T306" s="716">
        <v>4</v>
      </c>
      <c r="U306" s="716">
        <v>19</v>
      </c>
      <c r="V306" s="716">
        <v>51</v>
      </c>
      <c r="W306" s="717">
        <v>13</v>
      </c>
      <c r="X306" s="716">
        <v>16</v>
      </c>
      <c r="Y306" s="716">
        <v>8</v>
      </c>
      <c r="Z306" s="716">
        <v>42</v>
      </c>
      <c r="AA306" s="717">
        <v>22</v>
      </c>
      <c r="AB306" s="716">
        <v>16</v>
      </c>
      <c r="AC306" s="716">
        <v>8</v>
      </c>
      <c r="AD306" s="716">
        <f>AD300+AD303</f>
        <v>8</v>
      </c>
      <c r="AE306" s="717">
        <v>18</v>
      </c>
      <c r="AF306" s="716">
        <v>9</v>
      </c>
      <c r="AG306" s="716">
        <v>19</v>
      </c>
      <c r="AH306" s="718">
        <f>AH300+AH303</f>
        <v>2</v>
      </c>
      <c r="AI306" s="717">
        <v>14</v>
      </c>
      <c r="AJ306" s="716">
        <v>7</v>
      </c>
      <c r="AK306" s="716">
        <v>17</v>
      </c>
      <c r="AL306" s="718">
        <f>AL300+AL303</f>
        <v>9</v>
      </c>
      <c r="AM306" s="716">
        <v>19</v>
      </c>
      <c r="AN306" s="716">
        <f t="shared" ref="AN306:AP306" si="549">AN300+AN303</f>
        <v>7</v>
      </c>
      <c r="AO306" s="716">
        <f t="shared" si="549"/>
        <v>9</v>
      </c>
      <c r="AP306" s="716">
        <f t="shared" si="549"/>
        <v>-5</v>
      </c>
      <c r="AQ306" s="1395"/>
      <c r="AR306" s="692"/>
      <c r="AS306" s="692"/>
      <c r="AT306" s="692"/>
      <c r="AU306" s="692"/>
      <c r="AV306" s="692"/>
      <c r="AW306" s="692"/>
      <c r="AX306" s="692"/>
      <c r="AY306" s="692"/>
      <c r="AZ306" s="692"/>
      <c r="BA306" s="692"/>
      <c r="BB306"/>
      <c r="BC306"/>
      <c r="BD306"/>
      <c r="BE306"/>
      <c r="BF306"/>
      <c r="BG306"/>
      <c r="BJ306" s="714"/>
      <c r="BK306" s="714"/>
      <c r="BL306" s="714"/>
      <c r="BM306" s="714"/>
      <c r="BN306" s="714"/>
    </row>
    <row r="307" spans="1:102" s="693" customFormat="1" outlineLevel="1">
      <c r="A307" s="713" t="s">
        <v>119</v>
      </c>
      <c r="B307" s="714"/>
      <c r="C307" s="714"/>
      <c r="D307" s="714">
        <v>-353</v>
      </c>
      <c r="E307" s="714">
        <v>-437</v>
      </c>
      <c r="F307" s="714">
        <v>-184</v>
      </c>
      <c r="G307" s="714">
        <v>-69</v>
      </c>
      <c r="H307" s="714">
        <v>-96</v>
      </c>
      <c r="I307" s="714">
        <v>-124</v>
      </c>
      <c r="J307" s="714">
        <f t="shared" si="548"/>
        <v>-29</v>
      </c>
      <c r="K307" s="714">
        <f t="shared" si="548"/>
        <v>-29</v>
      </c>
      <c r="L307" s="714">
        <f t="shared" si="548"/>
        <v>-29</v>
      </c>
      <c r="M307" s="714">
        <f t="shared" si="548"/>
        <v>-29</v>
      </c>
      <c r="N307" s="714">
        <f t="shared" si="546"/>
        <v>-28</v>
      </c>
      <c r="O307" s="714">
        <f t="shared" si="546"/>
        <v>-27</v>
      </c>
      <c r="P307" s="714">
        <f t="shared" si="546"/>
        <v>-26</v>
      </c>
      <c r="Q307" s="714">
        <f t="shared" si="546"/>
        <v>-25</v>
      </c>
      <c r="R307" s="715"/>
      <c r="S307" s="716">
        <v>-63</v>
      </c>
      <c r="T307" s="716">
        <v>-104</v>
      </c>
      <c r="U307" s="716">
        <v>-112</v>
      </c>
      <c r="V307" s="716">
        <v>-158</v>
      </c>
      <c r="W307" s="717">
        <v>-13</v>
      </c>
      <c r="X307" s="716">
        <v>-64</v>
      </c>
      <c r="Y307" s="716">
        <v>-76</v>
      </c>
      <c r="Z307" s="716">
        <v>-31</v>
      </c>
      <c r="AA307" s="717">
        <v>-14</v>
      </c>
      <c r="AB307" s="716">
        <v>-12</v>
      </c>
      <c r="AC307" s="716">
        <v>-34</v>
      </c>
      <c r="AD307" s="716">
        <f>AD301+AD304</f>
        <v>-9</v>
      </c>
      <c r="AE307" s="717">
        <v>-8</v>
      </c>
      <c r="AF307" s="716">
        <v>-9</v>
      </c>
      <c r="AG307" s="716">
        <v>-26</v>
      </c>
      <c r="AH307" s="718">
        <f>AH301+AH304</f>
        <v>-53</v>
      </c>
      <c r="AI307" s="717">
        <v>-13</v>
      </c>
      <c r="AJ307" s="716">
        <v>-15</v>
      </c>
      <c r="AK307" s="716">
        <v>-22</v>
      </c>
      <c r="AL307" s="718">
        <f>AL301+AL304</f>
        <v>-74</v>
      </c>
      <c r="AM307" s="716">
        <v>-14</v>
      </c>
      <c r="AN307" s="716">
        <f t="shared" ref="AN307:AP307" si="550">AN301+AN304</f>
        <v>-9</v>
      </c>
      <c r="AO307" s="716">
        <f t="shared" si="550"/>
        <v>-12</v>
      </c>
      <c r="AP307" s="716">
        <f t="shared" si="550"/>
        <v>6</v>
      </c>
      <c r="AQ307" s="1395"/>
      <c r="AR307" s="692"/>
      <c r="AS307" s="692"/>
      <c r="AT307" s="692"/>
      <c r="AU307" s="692"/>
      <c r="AV307" s="692"/>
      <c r="AW307" s="692"/>
      <c r="AX307" s="692"/>
      <c r="AY307" s="692"/>
      <c r="AZ307" s="692"/>
      <c r="BA307" s="692"/>
      <c r="BB307"/>
      <c r="BC307"/>
      <c r="BD307"/>
      <c r="BE307"/>
      <c r="BF307"/>
      <c r="BG307"/>
      <c r="BJ307" s="714"/>
      <c r="BK307" s="714"/>
      <c r="BL307" s="714"/>
      <c r="BM307" s="714"/>
      <c r="BN307" s="714"/>
    </row>
    <row r="308" spans="1:102" s="799" customFormat="1">
      <c r="A308" s="1066" t="s">
        <v>235</v>
      </c>
      <c r="B308" s="1081">
        <v>796</v>
      </c>
      <c r="C308" s="1081">
        <v>3492</v>
      </c>
      <c r="D308" s="1081">
        <v>3698</v>
      </c>
      <c r="E308" s="1081">
        <v>3694</v>
      </c>
      <c r="F308" s="1081">
        <v>3811</v>
      </c>
      <c r="G308" s="1081">
        <f t="shared" ref="G308:H308" si="551">G276+G284+G289+G294+G299</f>
        <v>1235</v>
      </c>
      <c r="H308" s="1081">
        <f t="shared" si="551"/>
        <v>850</v>
      </c>
      <c r="I308" s="1081">
        <f>I276+I289+I299+I279</f>
        <v>1168</v>
      </c>
      <c r="J308" s="1081">
        <f>J276+J289+J299+J279</f>
        <v>1108.6477082474089</v>
      </c>
      <c r="K308" s="1081">
        <f t="shared" ref="K308:Q308" si="552">K276+K289+K299+K279</f>
        <v>1234.7026903034243</v>
      </c>
      <c r="L308" s="1081">
        <f t="shared" si="552"/>
        <v>1335.8409737029942</v>
      </c>
      <c r="M308" s="1081">
        <f t="shared" si="552"/>
        <v>1460.0120046163288</v>
      </c>
      <c r="N308" s="1081">
        <f t="shared" si="552"/>
        <v>1693.6369125540946</v>
      </c>
      <c r="O308" s="1081">
        <f t="shared" si="552"/>
        <v>1796.0192867522005</v>
      </c>
      <c r="P308" s="1081">
        <f t="shared" si="552"/>
        <v>1959.5716165195254</v>
      </c>
      <c r="Q308" s="1081">
        <f t="shared" si="552"/>
        <v>2134.6657322960141</v>
      </c>
      <c r="R308" s="681">
        <f>(N308/J308)^(1/($N$1-$J$1))-1</f>
        <v>0.11174884448316091</v>
      </c>
      <c r="S308" s="1083">
        <v>944</v>
      </c>
      <c r="T308" s="1083">
        <v>1025</v>
      </c>
      <c r="U308" s="1083">
        <v>874</v>
      </c>
      <c r="V308" s="1083">
        <v>851</v>
      </c>
      <c r="W308" s="1084">
        <v>925</v>
      </c>
      <c r="X308" s="1083">
        <v>1031</v>
      </c>
      <c r="Y308" s="1083">
        <v>960</v>
      </c>
      <c r="Z308" s="1083">
        <v>895</v>
      </c>
      <c r="AA308" s="1084">
        <f t="shared" ref="AA308:AL308" si="553">AA276+AA284+AA289+AA294+AA299</f>
        <v>382</v>
      </c>
      <c r="AB308" s="1083">
        <f t="shared" si="553"/>
        <v>287</v>
      </c>
      <c r="AC308" s="1083">
        <f t="shared" si="553"/>
        <v>302</v>
      </c>
      <c r="AD308" s="1083">
        <f t="shared" si="553"/>
        <v>264</v>
      </c>
      <c r="AE308" s="1084">
        <f t="shared" si="553"/>
        <v>243</v>
      </c>
      <c r="AF308" s="1083">
        <f t="shared" si="553"/>
        <v>238</v>
      </c>
      <c r="AG308" s="1083">
        <f t="shared" si="553"/>
        <v>206</v>
      </c>
      <c r="AH308" s="1085">
        <f t="shared" si="553"/>
        <v>163</v>
      </c>
      <c r="AI308" s="1084">
        <f t="shared" si="553"/>
        <v>258</v>
      </c>
      <c r="AJ308" s="1083">
        <f t="shared" si="553"/>
        <v>291</v>
      </c>
      <c r="AK308" s="1083">
        <f t="shared" si="553"/>
        <v>317.00000000000006</v>
      </c>
      <c r="AL308" s="1085">
        <f t="shared" si="553"/>
        <v>302.00000000000011</v>
      </c>
      <c r="AM308" s="1083">
        <f>AM276+AM279+AM289+AM299</f>
        <v>360</v>
      </c>
      <c r="AN308" s="1083">
        <f t="shared" ref="AN308:AP308" si="554">AN276+AN279+AN289+AN299</f>
        <v>277.37319028878392</v>
      </c>
      <c r="AO308" s="1083">
        <f t="shared" si="554"/>
        <v>277.64339396967716</v>
      </c>
      <c r="AP308" s="1083">
        <f t="shared" si="554"/>
        <v>193.63112398894802</v>
      </c>
      <c r="AQ308" s="1395"/>
      <c r="AR308" s="1079"/>
      <c r="AS308" s="1079"/>
      <c r="AT308" s="1079"/>
      <c r="AU308" s="1079"/>
      <c r="AV308" s="1079"/>
      <c r="AW308" s="1079"/>
      <c r="AX308" s="1079"/>
      <c r="AY308" s="1079"/>
      <c r="AZ308" s="1079"/>
      <c r="BA308" s="1079"/>
      <c r="BB308"/>
      <c r="BC308"/>
      <c r="BD308"/>
      <c r="BE308"/>
      <c r="BF308"/>
      <c r="BG308"/>
      <c r="BJ308" s="1081"/>
      <c r="BK308" s="1081"/>
      <c r="BL308" s="1081"/>
      <c r="BM308" s="1081"/>
      <c r="BN308" s="1081"/>
    </row>
    <row r="309" spans="1:102" s="799" customFormat="1">
      <c r="A309" s="1073" t="s">
        <v>121</v>
      </c>
      <c r="B309" s="1074">
        <v>0.17903733693207377</v>
      </c>
      <c r="C309" s="1074">
        <v>0.35067282586864834</v>
      </c>
      <c r="D309" s="1074">
        <v>0.36166259168704157</v>
      </c>
      <c r="E309" s="1074">
        <v>0.3519435975609756</v>
      </c>
      <c r="F309" s="1074">
        <v>0.35199039438440932</v>
      </c>
      <c r="G309" s="1074">
        <f t="shared" ref="G309:Q309" si="555">G308/G267</f>
        <v>0.20586764460743456</v>
      </c>
      <c r="H309" s="1074">
        <f t="shared" si="555"/>
        <v>0.14624913971094289</v>
      </c>
      <c r="I309" s="1074">
        <f t="shared" si="555"/>
        <v>0.17250036922168069</v>
      </c>
      <c r="J309" s="1074">
        <f t="shared" si="555"/>
        <v>0.15258069377057229</v>
      </c>
      <c r="K309" s="1074">
        <f t="shared" si="555"/>
        <v>0.16457635831433201</v>
      </c>
      <c r="L309" s="1074">
        <f t="shared" si="555"/>
        <v>0.17157150308866323</v>
      </c>
      <c r="M309" s="1074">
        <f t="shared" si="555"/>
        <v>0.1805667408498372</v>
      </c>
      <c r="N309" s="1074">
        <f t="shared" si="555"/>
        <v>0.20156207740346208</v>
      </c>
      <c r="O309" s="1074">
        <f t="shared" si="555"/>
        <v>0.2055575177486553</v>
      </c>
      <c r="P309" s="1074">
        <f t="shared" si="555"/>
        <v>0.21555306611292682</v>
      </c>
      <c r="Q309" s="1074">
        <f t="shared" si="555"/>
        <v>0.22554872599093853</v>
      </c>
      <c r="R309" s="1075"/>
      <c r="S309" s="1076">
        <v>0.36788776305533905</v>
      </c>
      <c r="T309" s="1076">
        <v>0.3746345029239766</v>
      </c>
      <c r="U309" s="1076">
        <v>0.34423001181567547</v>
      </c>
      <c r="V309" s="1076">
        <v>0.32052730696798493</v>
      </c>
      <c r="W309" s="1077">
        <v>0.350113550340651</v>
      </c>
      <c r="X309" s="1076">
        <v>0.36599219027334046</v>
      </c>
      <c r="Y309" s="1076">
        <v>0.36022514071294559</v>
      </c>
      <c r="Z309" s="1076">
        <v>0.3311135775064743</v>
      </c>
      <c r="AA309" s="1077">
        <f t="shared" ref="AA309:AP309" si="556">AA308/AA267</f>
        <v>0.24951012410189419</v>
      </c>
      <c r="AB309" s="1076">
        <f t="shared" si="556"/>
        <v>0.18745917700849118</v>
      </c>
      <c r="AC309" s="1076">
        <f t="shared" si="556"/>
        <v>0.20558202859087815</v>
      </c>
      <c r="AD309" s="1076">
        <f t="shared" si="556"/>
        <v>0.17983651226158037</v>
      </c>
      <c r="AE309" s="1077">
        <f t="shared" si="556"/>
        <v>0.17040673211781207</v>
      </c>
      <c r="AF309" s="1076">
        <f t="shared" si="556"/>
        <v>0.15803452855245684</v>
      </c>
      <c r="AG309" s="1076">
        <f t="shared" si="556"/>
        <v>0.14345403899721448</v>
      </c>
      <c r="AH309" s="1078">
        <f t="shared" si="556"/>
        <v>0.1128808864265928</v>
      </c>
      <c r="AI309" s="1077">
        <f t="shared" si="556"/>
        <v>0.16216216216216217</v>
      </c>
      <c r="AJ309" s="1076">
        <f t="shared" si="556"/>
        <v>0.17047451669595781</v>
      </c>
      <c r="AK309" s="1076">
        <f t="shared" si="556"/>
        <v>0.18516355140186919</v>
      </c>
      <c r="AL309" s="1078">
        <f t="shared" si="556"/>
        <v>0.17149346961953443</v>
      </c>
      <c r="AM309" s="1076">
        <f t="shared" si="556"/>
        <v>0.20236087689713322</v>
      </c>
      <c r="AN309" s="1076">
        <f t="shared" si="556"/>
        <v>0.15149347901703503</v>
      </c>
      <c r="AO309" s="1076">
        <f t="shared" si="556"/>
        <v>0.15153089848712473</v>
      </c>
      <c r="AP309" s="1076">
        <f t="shared" si="556"/>
        <v>0.10616932357433845</v>
      </c>
      <c r="AQ309" s="1393"/>
      <c r="AR309" s="1079"/>
      <c r="AS309" s="1079"/>
      <c r="AT309" s="1079"/>
      <c r="AU309" s="1079"/>
      <c r="AV309" s="1079"/>
      <c r="AW309" s="1079"/>
      <c r="AX309" s="1079"/>
      <c r="AY309" s="1079"/>
      <c r="AZ309" s="1079"/>
      <c r="BA309" s="1079"/>
      <c r="BB309"/>
      <c r="BC309"/>
      <c r="BD309"/>
      <c r="BE309"/>
      <c r="BF309"/>
      <c r="BG309"/>
      <c r="BJ309" s="1074"/>
      <c r="BK309" s="1074"/>
      <c r="BL309" s="1074"/>
      <c r="BM309" s="1074"/>
      <c r="BN309" s="1074"/>
    </row>
    <row r="310" spans="1:102" s="693" customFormat="1">
      <c r="A310" s="896" t="s">
        <v>588</v>
      </c>
      <c r="B310" s="714"/>
      <c r="C310" s="714"/>
      <c r="D310" s="714">
        <v>109.89765818393226</v>
      </c>
      <c r="E310" s="714">
        <v>-97.189941260659722</v>
      </c>
      <c r="F310" s="714">
        <v>0.46796823433725709</v>
      </c>
      <c r="G310" s="714">
        <f t="shared" ref="G310:Q310" si="557">(G309-F309)*10000</f>
        <v>-1461.2274977697475</v>
      </c>
      <c r="H310" s="714">
        <f t="shared" si="557"/>
        <v>-596.18504896491675</v>
      </c>
      <c r="I310" s="714">
        <f t="shared" si="557"/>
        <v>262.51229510737801</v>
      </c>
      <c r="J310" s="714">
        <f t="shared" si="557"/>
        <v>-199.19675451108398</v>
      </c>
      <c r="K310" s="714">
        <f t="shared" si="557"/>
        <v>119.9566454375972</v>
      </c>
      <c r="L310" s="714">
        <f t="shared" si="557"/>
        <v>69.951447743312187</v>
      </c>
      <c r="M310" s="714">
        <f t="shared" si="557"/>
        <v>89.952377611739749</v>
      </c>
      <c r="N310" s="714">
        <f t="shared" si="557"/>
        <v>209.95336553624873</v>
      </c>
      <c r="O310" s="714">
        <f t="shared" si="557"/>
        <v>39.954403451932244</v>
      </c>
      <c r="P310" s="714">
        <f t="shared" si="557"/>
        <v>99.955483642715222</v>
      </c>
      <c r="Q310" s="714">
        <f t="shared" si="557"/>
        <v>99.956598780117091</v>
      </c>
      <c r="R310" s="715"/>
      <c r="S310" s="716">
        <v>3678.8776305533906</v>
      </c>
      <c r="T310" s="716">
        <v>3746.3450292397661</v>
      </c>
      <c r="U310" s="716">
        <v>3442.3001181567547</v>
      </c>
      <c r="V310" s="716">
        <v>3205.2730696798494</v>
      </c>
      <c r="W310" s="717">
        <v>-177.74212714688042</v>
      </c>
      <c r="X310" s="716">
        <v>-86.423126506361413</v>
      </c>
      <c r="Y310" s="716">
        <v>159.95128897270118</v>
      </c>
      <c r="Z310" s="716">
        <v>105.86270538489373</v>
      </c>
      <c r="AA310" s="717">
        <f t="shared" ref="AA310:AH310" si="558">(AA309-W309)*10000</f>
        <v>-1006.0342623875681</v>
      </c>
      <c r="AB310" s="716">
        <f t="shared" si="558"/>
        <v>-1785.3301326484927</v>
      </c>
      <c r="AC310" s="716">
        <f t="shared" si="558"/>
        <v>-1546.4311212206744</v>
      </c>
      <c r="AD310" s="716">
        <f t="shared" si="558"/>
        <v>-1512.7706524489392</v>
      </c>
      <c r="AE310" s="717">
        <f t="shared" si="558"/>
        <v>-791.03391984082111</v>
      </c>
      <c r="AF310" s="716">
        <f t="shared" si="558"/>
        <v>-294.24648456034345</v>
      </c>
      <c r="AG310" s="716">
        <f t="shared" si="558"/>
        <v>-621.27989593663665</v>
      </c>
      <c r="AH310" s="718">
        <f t="shared" si="558"/>
        <v>-669.55625834987575</v>
      </c>
      <c r="AI310" s="717">
        <f>(AI309-AE309)*10000</f>
        <v>-82.445699556498994</v>
      </c>
      <c r="AJ310" s="716">
        <f>(AJ309-AF309)*10000</f>
        <v>124.39988143500975</v>
      </c>
      <c r="AK310" s="716">
        <f>(AK309-AG309)*10000</f>
        <v>417.09512404654703</v>
      </c>
      <c r="AL310" s="718">
        <f>(AL309-AH309)*10000</f>
        <v>586.12583192941634</v>
      </c>
      <c r="AM310" s="716">
        <f t="shared" ref="AM310" si="559">(AM309-AL309)*10000</f>
        <v>308.6740727759879</v>
      </c>
      <c r="AN310" s="716">
        <f t="shared" ref="AN310" si="560">(AN309-AM309)*10000</f>
        <v>-508.67397880098196</v>
      </c>
      <c r="AO310" s="716">
        <f t="shared" ref="AO310" si="561">(AO309-AN309)*10000</f>
        <v>0.37419470089700146</v>
      </c>
      <c r="AP310" s="716">
        <f t="shared" ref="AP310" si="562">(AP309-AO309)*10000</f>
        <v>-453.61574912786278</v>
      </c>
      <c r="AQ310" s="1395"/>
      <c r="AR310" s="692"/>
      <c r="AS310" s="692"/>
      <c r="AT310" s="692"/>
      <c r="AU310" s="692"/>
      <c r="AV310" s="692"/>
      <c r="AW310" s="692"/>
      <c r="AX310" s="692"/>
      <c r="AY310" s="692"/>
      <c r="AZ310" s="692"/>
      <c r="BA310" s="692"/>
      <c r="BB310"/>
      <c r="BC310"/>
      <c r="BD310"/>
      <c r="BE310"/>
      <c r="BF310"/>
      <c r="BG310"/>
      <c r="BJ310" s="714"/>
      <c r="BK310" s="714"/>
      <c r="BL310" s="714"/>
      <c r="BM310" s="714"/>
      <c r="BN310" s="714"/>
    </row>
    <row r="311" spans="1:102" s="741" customFormat="1">
      <c r="A311" s="896" t="s">
        <v>586</v>
      </c>
      <c r="B311" s="755"/>
      <c r="C311" s="731">
        <v>3.3869346733668344</v>
      </c>
      <c r="D311" s="731">
        <v>5.8991981672394056E-2</v>
      </c>
      <c r="E311" s="731">
        <v>-1.0816657652785722E-3</v>
      </c>
      <c r="F311" s="731">
        <v>3.1672983216026074E-2</v>
      </c>
      <c r="G311" s="731">
        <f t="shared" ref="G311:Q311" si="563">G308/F308-1</f>
        <v>-0.67593807399632644</v>
      </c>
      <c r="H311" s="731">
        <f t="shared" si="563"/>
        <v>-0.31174089068825916</v>
      </c>
      <c r="I311" s="731">
        <f t="shared" si="563"/>
        <v>0.37411764705882344</v>
      </c>
      <c r="J311" s="731">
        <f t="shared" si="563"/>
        <v>-5.0815318281328015E-2</v>
      </c>
      <c r="K311" s="731">
        <f t="shared" si="563"/>
        <v>0.11370156734034809</v>
      </c>
      <c r="L311" s="731">
        <f t="shared" si="563"/>
        <v>8.1913066355039366E-2</v>
      </c>
      <c r="M311" s="731">
        <f t="shared" si="563"/>
        <v>9.295345281192291E-2</v>
      </c>
      <c r="N311" s="731">
        <f t="shared" si="563"/>
        <v>0.16001574452749745</v>
      </c>
      <c r="O311" s="731">
        <f t="shared" si="563"/>
        <v>6.0451194373006389E-2</v>
      </c>
      <c r="P311" s="731">
        <f t="shared" si="563"/>
        <v>9.1063793676225968E-2</v>
      </c>
      <c r="Q311" s="731">
        <f t="shared" si="563"/>
        <v>8.9353261856017552E-2</v>
      </c>
      <c r="R311" s="721"/>
      <c r="S311" s="792"/>
      <c r="T311" s="792"/>
      <c r="U311" s="792"/>
      <c r="V311" s="792"/>
      <c r="W311" s="952">
        <f t="shared" ref="W311:AD311" si="564">W308/S308-1</f>
        <v>-2.0127118644067798E-2</v>
      </c>
      <c r="X311" s="792">
        <f t="shared" si="564"/>
        <v>5.8536585365853711E-3</v>
      </c>
      <c r="Y311" s="792">
        <f t="shared" si="564"/>
        <v>9.8398169336384456E-2</v>
      </c>
      <c r="Z311" s="792">
        <f t="shared" si="564"/>
        <v>5.1703877790834296E-2</v>
      </c>
      <c r="AA311" s="952">
        <f t="shared" si="564"/>
        <v>-0.58702702702702703</v>
      </c>
      <c r="AB311" s="792">
        <f t="shared" si="564"/>
        <v>-0.72162948593598442</v>
      </c>
      <c r="AC311" s="792">
        <f t="shared" si="564"/>
        <v>-0.68541666666666667</v>
      </c>
      <c r="AD311" s="792">
        <f t="shared" si="564"/>
        <v>-0.70502793296089383</v>
      </c>
      <c r="AE311" s="952">
        <f t="shared" ref="AE311:AL311" si="565">AE308/AA308-1</f>
        <v>-0.36387434554973819</v>
      </c>
      <c r="AF311" s="792">
        <f t="shared" si="565"/>
        <v>-0.17073170731707321</v>
      </c>
      <c r="AG311" s="792">
        <f t="shared" si="565"/>
        <v>-0.31788079470198671</v>
      </c>
      <c r="AH311" s="791">
        <f t="shared" si="565"/>
        <v>-0.38257575757575757</v>
      </c>
      <c r="AI311" s="952">
        <f t="shared" si="565"/>
        <v>6.1728395061728447E-2</v>
      </c>
      <c r="AJ311" s="792">
        <f t="shared" si="565"/>
        <v>0.2226890756302522</v>
      </c>
      <c r="AK311" s="792">
        <f t="shared" si="565"/>
        <v>0.53883495145631088</v>
      </c>
      <c r="AL311" s="734">
        <f t="shared" si="565"/>
        <v>0.85276073619631965</v>
      </c>
      <c r="AM311" s="732">
        <f t="shared" ref="AM311" si="566">AM308/AL308-1</f>
        <v>0.19205298013244998</v>
      </c>
      <c r="AN311" s="732">
        <f t="shared" ref="AN311" si="567">AN308/AM308-1</f>
        <v>-0.22951891586448914</v>
      </c>
      <c r="AO311" s="732">
        <f t="shared" ref="AO311" si="568">AO308/AN308-1</f>
        <v>9.7415211834972482E-4</v>
      </c>
      <c r="AP311" s="732">
        <f t="shared" ref="AP311" si="569">AP308/AO308-1</f>
        <v>-0.30259055970877713</v>
      </c>
      <c r="AQ311" s="1383"/>
      <c r="AR311" s="692"/>
      <c r="AS311" s="692"/>
      <c r="AT311" s="692"/>
      <c r="AU311" s="692"/>
      <c r="AV311" s="692"/>
      <c r="AW311" s="692"/>
      <c r="AX311" s="692"/>
      <c r="AY311" s="692"/>
      <c r="AZ311" s="692"/>
      <c r="BA311" s="692"/>
      <c r="BB311"/>
      <c r="BC311"/>
      <c r="BD311"/>
      <c r="BE311"/>
      <c r="BF311"/>
      <c r="BG311"/>
      <c r="BH311" s="693"/>
      <c r="BI311" s="693"/>
      <c r="BJ311" s="755"/>
      <c r="BK311" s="755"/>
      <c r="BL311" s="755"/>
      <c r="BM311" s="755"/>
      <c r="BN311" s="755"/>
      <c r="BO311" s="693"/>
      <c r="BP311" s="693"/>
      <c r="BQ311" s="693"/>
      <c r="BR311" s="693"/>
      <c r="BS311" s="693"/>
      <c r="BT311" s="693"/>
      <c r="BU311" s="693"/>
      <c r="BV311" s="693"/>
      <c r="BW311" s="693"/>
      <c r="BX311" s="693"/>
      <c r="BY311" s="693"/>
      <c r="BZ311" s="693"/>
      <c r="CA311" s="693"/>
      <c r="CB311" s="693"/>
      <c r="CC311" s="693"/>
      <c r="CD311" s="693"/>
      <c r="CE311" s="693"/>
      <c r="CF311" s="693"/>
      <c r="CG311" s="693"/>
      <c r="CH311" s="693"/>
      <c r="CI311" s="693"/>
      <c r="CJ311" s="693"/>
      <c r="CK311" s="693"/>
      <c r="CL311" s="693"/>
      <c r="CM311" s="693"/>
      <c r="CN311" s="693"/>
      <c r="CO311" s="693"/>
      <c r="CP311" s="693"/>
      <c r="CQ311" s="693"/>
      <c r="CR311" s="693"/>
      <c r="CS311" s="693"/>
      <c r="CT311" s="693"/>
      <c r="CU311" s="693"/>
      <c r="CV311" s="693"/>
      <c r="CW311" s="693"/>
      <c r="CX311" s="693"/>
    </row>
    <row r="312" spans="1:102" s="741" customFormat="1">
      <c r="A312" s="896" t="s">
        <v>587</v>
      </c>
      <c r="B312" s="755"/>
      <c r="C312" s="755"/>
      <c r="D312" s="755">
        <v>0.09</v>
      </c>
      <c r="E312" s="755">
        <v>0.06</v>
      </c>
      <c r="F312" s="755">
        <v>0.08</v>
      </c>
      <c r="G312" s="755"/>
      <c r="H312" s="755">
        <v>-0.27</v>
      </c>
      <c r="I312" s="755">
        <v>0.05</v>
      </c>
      <c r="J312" s="755"/>
      <c r="K312" s="755"/>
      <c r="L312" s="755"/>
      <c r="M312" s="755"/>
      <c r="N312" s="755"/>
      <c r="O312" s="755"/>
      <c r="P312" s="755"/>
      <c r="Q312" s="755"/>
      <c r="R312" s="688"/>
      <c r="S312" s="792">
        <v>0.08</v>
      </c>
      <c r="T312" s="792">
        <v>0.1</v>
      </c>
      <c r="U312" s="792"/>
      <c r="V312" s="792">
        <v>0.01</v>
      </c>
      <c r="W312" s="952">
        <v>0.03</v>
      </c>
      <c r="X312" s="792">
        <v>0.02</v>
      </c>
      <c r="Y312" s="792">
        <v>0.12</v>
      </c>
      <c r="Z312" s="792">
        <v>0.14000000000000001</v>
      </c>
      <c r="AA312" s="952"/>
      <c r="AB312" s="792">
        <v>-0.1</v>
      </c>
      <c r="AC312" s="792">
        <v>-0.12</v>
      </c>
      <c r="AD312" s="792"/>
      <c r="AE312" s="952">
        <v>-0.26</v>
      </c>
      <c r="AF312" s="792">
        <v>-0.15</v>
      </c>
      <c r="AG312" s="792">
        <v>-0.35</v>
      </c>
      <c r="AH312" s="791">
        <v>-0.36</v>
      </c>
      <c r="AI312" s="952">
        <v>-0.18</v>
      </c>
      <c r="AJ312" s="792">
        <v>-7.0000000000000007E-2</v>
      </c>
      <c r="AK312" s="792">
        <v>0.23</v>
      </c>
      <c r="AL312" s="791">
        <v>0.36</v>
      </c>
      <c r="AM312" s="792">
        <v>0.28999999999999998</v>
      </c>
      <c r="AN312" s="792"/>
      <c r="AO312" s="792"/>
      <c r="AP312" s="792"/>
      <c r="AQ312" s="1383"/>
      <c r="AR312" s="692"/>
      <c r="AS312" s="692"/>
      <c r="AT312" s="692"/>
      <c r="AU312" s="692"/>
      <c r="AV312" s="692"/>
      <c r="AW312" s="692"/>
      <c r="AX312" s="692"/>
      <c r="AY312" s="692"/>
      <c r="AZ312" s="692"/>
      <c r="BA312" s="692"/>
      <c r="BB312"/>
      <c r="BC312"/>
      <c r="BD312"/>
      <c r="BE312"/>
      <c r="BF312"/>
      <c r="BG312"/>
      <c r="BH312" s="693"/>
      <c r="BI312" s="693"/>
      <c r="BJ312" s="755"/>
      <c r="BK312" s="755"/>
      <c r="BL312" s="755"/>
      <c r="BM312" s="755"/>
      <c r="BN312" s="755"/>
      <c r="BO312" s="693"/>
      <c r="BP312" s="693"/>
      <c r="BQ312" s="693"/>
      <c r="BR312" s="693"/>
      <c r="BS312" s="693"/>
      <c r="BT312" s="693"/>
      <c r="BU312" s="693"/>
      <c r="BV312" s="693"/>
      <c r="BW312" s="693"/>
      <c r="BX312" s="693"/>
      <c r="BY312" s="693"/>
      <c r="BZ312" s="693"/>
      <c r="CA312" s="693"/>
      <c r="CB312" s="693"/>
      <c r="CC312" s="693"/>
      <c r="CD312" s="693"/>
      <c r="CE312" s="693"/>
      <c r="CF312" s="693"/>
      <c r="CG312" s="693"/>
      <c r="CH312" s="693"/>
      <c r="CI312" s="693"/>
      <c r="CJ312" s="693"/>
      <c r="CK312" s="693"/>
      <c r="CL312" s="693"/>
      <c r="CM312" s="693"/>
      <c r="CN312" s="693"/>
      <c r="CO312" s="693"/>
      <c r="CP312" s="693"/>
      <c r="CQ312" s="693"/>
      <c r="CR312" s="693"/>
      <c r="CS312" s="693"/>
      <c r="CT312" s="693"/>
      <c r="CU312" s="693"/>
      <c r="CV312" s="693"/>
      <c r="CW312" s="693"/>
      <c r="CX312" s="693"/>
    </row>
    <row r="313" spans="1:102" s="693" customFormat="1" outlineLevel="1">
      <c r="A313" s="896" t="s">
        <v>237</v>
      </c>
      <c r="B313" s="714"/>
      <c r="C313" s="714"/>
      <c r="D313" s="714"/>
      <c r="E313" s="714">
        <v>419.84000000000003</v>
      </c>
      <c r="F313" s="714">
        <v>0</v>
      </c>
      <c r="G313" s="714"/>
      <c r="H313" s="714"/>
      <c r="I313" s="714"/>
      <c r="J313" s="714"/>
      <c r="K313" s="714"/>
      <c r="L313" s="714"/>
      <c r="M313" s="714"/>
      <c r="N313" s="714"/>
      <c r="O313" s="714"/>
      <c r="P313" s="714"/>
      <c r="Q313" s="714"/>
      <c r="R313" s="715"/>
      <c r="S313" s="716"/>
      <c r="T313" s="716"/>
      <c r="U313" s="716"/>
      <c r="V313" s="716"/>
      <c r="W313" s="717"/>
      <c r="X313" s="716"/>
      <c r="Y313" s="716"/>
      <c r="Z313" s="716"/>
      <c r="AA313" s="717"/>
      <c r="AB313" s="716"/>
      <c r="AC313" s="716"/>
      <c r="AD313" s="716"/>
      <c r="AE313" s="717"/>
      <c r="AF313" s="716"/>
      <c r="AG313" s="716"/>
      <c r="AH313" s="718"/>
      <c r="AI313" s="717"/>
      <c r="AJ313" s="716"/>
      <c r="AK313" s="716"/>
      <c r="AL313" s="718"/>
      <c r="AM313" s="716"/>
      <c r="AN313" s="716"/>
      <c r="AO313" s="716"/>
      <c r="AP313" s="716"/>
      <c r="AQ313" s="1383"/>
      <c r="AR313" s="692"/>
      <c r="AS313" s="692"/>
      <c r="AT313" s="692"/>
      <c r="AU313" s="692"/>
      <c r="AV313" s="692"/>
      <c r="AW313" s="692"/>
      <c r="AX313" s="692"/>
      <c r="AY313" s="692"/>
      <c r="AZ313" s="692"/>
      <c r="BA313" s="692"/>
      <c r="BB313"/>
      <c r="BC313"/>
      <c r="BD313"/>
      <c r="BE313"/>
      <c r="BF313"/>
      <c r="BG313"/>
      <c r="BJ313" s="714"/>
      <c r="BK313" s="714"/>
      <c r="BL313" s="714"/>
      <c r="BM313" s="714"/>
      <c r="BN313" s="714"/>
    </row>
    <row r="314" spans="1:102" s="693" customFormat="1" outlineLevel="1">
      <c r="A314" s="896" t="s">
        <v>184</v>
      </c>
      <c r="B314" s="714"/>
      <c r="C314" s="714"/>
      <c r="D314" s="714"/>
      <c r="E314" s="714">
        <v>3274.16</v>
      </c>
      <c r="F314" s="714">
        <v>3811</v>
      </c>
      <c r="G314" s="714"/>
      <c r="H314" s="714"/>
      <c r="I314" s="714"/>
      <c r="J314" s="714"/>
      <c r="K314" s="714"/>
      <c r="L314" s="714"/>
      <c r="M314" s="714"/>
      <c r="N314" s="714"/>
      <c r="O314" s="714"/>
      <c r="P314" s="714"/>
      <c r="Q314" s="714"/>
      <c r="R314" s="715"/>
      <c r="S314" s="716"/>
      <c r="T314" s="716"/>
      <c r="U314" s="716"/>
      <c r="V314" s="716"/>
      <c r="W314" s="717"/>
      <c r="X314" s="716"/>
      <c r="Y314" s="716"/>
      <c r="Z314" s="716"/>
      <c r="AA314" s="717"/>
      <c r="AB314" s="716"/>
      <c r="AC314" s="716"/>
      <c r="AD314" s="716"/>
      <c r="AE314" s="717"/>
      <c r="AF314" s="716"/>
      <c r="AG314" s="716"/>
      <c r="AH314" s="718"/>
      <c r="AI314" s="717"/>
      <c r="AJ314" s="716"/>
      <c r="AK314" s="716"/>
      <c r="AL314" s="718"/>
      <c r="AM314" s="716"/>
      <c r="AN314" s="716"/>
      <c r="AO314" s="716"/>
      <c r="AP314" s="716"/>
      <c r="AQ314" s="1383"/>
      <c r="AR314" s="692"/>
      <c r="AS314" s="692"/>
      <c r="AT314" s="692"/>
      <c r="AU314" s="692"/>
      <c r="AV314" s="692"/>
      <c r="AW314" s="692"/>
      <c r="AX314" s="692"/>
      <c r="AY314" s="692"/>
      <c r="AZ314" s="692"/>
      <c r="BA314" s="692"/>
      <c r="BB314"/>
      <c r="BC314"/>
      <c r="BD314"/>
      <c r="BE314"/>
      <c r="BF314"/>
      <c r="BG314"/>
      <c r="BJ314" s="714"/>
      <c r="BK314" s="714"/>
      <c r="BL314" s="714"/>
      <c r="BM314" s="714"/>
      <c r="BN314" s="714"/>
    </row>
    <row r="315" spans="1:102" s="693" customFormat="1" outlineLevel="1">
      <c r="A315" s="896" t="s">
        <v>185</v>
      </c>
      <c r="B315" s="714"/>
      <c r="C315" s="714"/>
      <c r="D315" s="714"/>
      <c r="E315" s="982">
        <v>0.31194359756097562</v>
      </c>
      <c r="F315" s="982">
        <v>0.35199039438440932</v>
      </c>
      <c r="G315" s="982"/>
      <c r="H315" s="982"/>
      <c r="I315" s="982"/>
      <c r="J315" s="982"/>
      <c r="K315" s="982"/>
      <c r="L315" s="982"/>
      <c r="M315" s="982"/>
      <c r="N315" s="982"/>
      <c r="O315" s="982"/>
      <c r="P315" s="982"/>
      <c r="Q315" s="982"/>
      <c r="R315" s="983"/>
      <c r="S315" s="716"/>
      <c r="T315" s="716"/>
      <c r="U315" s="716"/>
      <c r="V315" s="716"/>
      <c r="W315" s="717"/>
      <c r="X315" s="716"/>
      <c r="Y315" s="716"/>
      <c r="Z315" s="716"/>
      <c r="AA315" s="717"/>
      <c r="AB315" s="716"/>
      <c r="AC315" s="716"/>
      <c r="AD315" s="716"/>
      <c r="AE315" s="717"/>
      <c r="AF315" s="716"/>
      <c r="AG315" s="984"/>
      <c r="AH315" s="985"/>
      <c r="AI315" s="717"/>
      <c r="AJ315" s="716"/>
      <c r="AK315" s="716"/>
      <c r="AL315" s="985"/>
      <c r="AM315" s="984"/>
      <c r="AN315" s="984"/>
      <c r="AO315" s="984"/>
      <c r="AP315" s="984"/>
      <c r="AQ315" s="1383"/>
      <c r="AR315" s="692"/>
      <c r="AS315" s="692"/>
      <c r="AT315" s="692"/>
      <c r="AU315" s="692"/>
      <c r="AV315" s="692"/>
      <c r="AW315" s="692"/>
      <c r="AX315" s="692"/>
      <c r="AY315" s="692"/>
      <c r="AZ315" s="692"/>
      <c r="BA315" s="692"/>
      <c r="BB315"/>
      <c r="BC315"/>
      <c r="BD315"/>
      <c r="BE315"/>
      <c r="BF315"/>
      <c r="BG315"/>
      <c r="BJ315" s="714"/>
      <c r="BK315" s="714"/>
      <c r="BL315" s="714"/>
      <c r="BM315" s="714"/>
      <c r="BN315" s="982"/>
    </row>
    <row r="316" spans="1:102" s="693" customFormat="1" outlineLevel="1">
      <c r="A316" s="896" t="s">
        <v>241</v>
      </c>
      <c r="B316" s="714">
        <v>32</v>
      </c>
      <c r="C316" s="714">
        <v>1928</v>
      </c>
      <c r="D316" s="714">
        <v>1915</v>
      </c>
      <c r="E316" s="714">
        <v>1989</v>
      </c>
      <c r="F316" s="714">
        <v>2064</v>
      </c>
      <c r="G316" s="714">
        <v>2063</v>
      </c>
      <c r="H316" s="714">
        <f t="shared" ref="H316:N317" si="570">G316</f>
        <v>2063</v>
      </c>
      <c r="I316" s="714">
        <v>901</v>
      </c>
      <c r="J316" s="793">
        <f t="shared" si="570"/>
        <v>901</v>
      </c>
      <c r="K316" s="793">
        <f t="shared" si="570"/>
        <v>901</v>
      </c>
      <c r="L316" s="793">
        <v>1800</v>
      </c>
      <c r="M316" s="793">
        <f t="shared" si="570"/>
        <v>1800</v>
      </c>
      <c r="N316" s="793">
        <f t="shared" si="570"/>
        <v>1800</v>
      </c>
      <c r="O316" s="793">
        <f>N316</f>
        <v>1800</v>
      </c>
      <c r="P316" s="793">
        <f>O316</f>
        <v>1800</v>
      </c>
      <c r="Q316" s="793">
        <f>19357-SUM(G316:P316)</f>
        <v>3528</v>
      </c>
      <c r="R316" s="715"/>
      <c r="S316" s="716">
        <v>480</v>
      </c>
      <c r="T316" s="716">
        <v>494</v>
      </c>
      <c r="U316" s="716">
        <v>498</v>
      </c>
      <c r="V316" s="716">
        <v>517</v>
      </c>
      <c r="W316" s="717">
        <v>511</v>
      </c>
      <c r="X316" s="716">
        <v>515</v>
      </c>
      <c r="Y316" s="716">
        <v>516</v>
      </c>
      <c r="Z316" s="716">
        <v>522</v>
      </c>
      <c r="AA316" s="717">
        <v>518</v>
      </c>
      <c r="AB316" s="716">
        <v>519</v>
      </c>
      <c r="AC316" s="716">
        <v>516</v>
      </c>
      <c r="AD316" s="716">
        <f>+G316-SUM(AA316:AC316)</f>
        <v>510</v>
      </c>
      <c r="AE316" s="717">
        <v>221</v>
      </c>
      <c r="AF316" s="716">
        <v>226</v>
      </c>
      <c r="AG316" s="716">
        <v>225</v>
      </c>
      <c r="AH316" s="718">
        <f>+H316-SUM(AE316:AG316)</f>
        <v>1391</v>
      </c>
      <c r="AI316" s="717">
        <v>225</v>
      </c>
      <c r="AJ316" s="716">
        <f>AF316</f>
        <v>226</v>
      </c>
      <c r="AK316" s="716">
        <f>AG316</f>
        <v>225</v>
      </c>
      <c r="AL316" s="718">
        <f>I316-AI316-AJ316-AK316</f>
        <v>225</v>
      </c>
      <c r="AM316" s="716">
        <v>255</v>
      </c>
      <c r="AN316" s="788">
        <f t="shared" ref="AN316:AO316" si="571">AJ316</f>
        <v>226</v>
      </c>
      <c r="AO316" s="788">
        <f t="shared" si="571"/>
        <v>225</v>
      </c>
      <c r="AP316" s="716">
        <f t="shared" ref="AP316" si="572">J316-AM316-AN316-AO316</f>
        <v>195</v>
      </c>
      <c r="AQ316" s="1392"/>
      <c r="AR316" s="692"/>
      <c r="AS316" s="692"/>
      <c r="AT316" s="692"/>
      <c r="AU316" s="692"/>
      <c r="AV316" s="692"/>
      <c r="AW316" s="692"/>
      <c r="AX316" s="692"/>
      <c r="AY316" s="692"/>
      <c r="AZ316" s="692"/>
      <c r="BA316" s="692"/>
      <c r="BB316"/>
      <c r="BC316"/>
      <c r="BD316"/>
      <c r="BE316"/>
      <c r="BF316"/>
      <c r="BG316"/>
      <c r="BJ316" s="714"/>
      <c r="BK316" s="714"/>
      <c r="BL316" s="714"/>
      <c r="BM316" s="714"/>
      <c r="BN316" s="714"/>
    </row>
    <row r="317" spans="1:102" s="693" customFormat="1" outlineLevel="1">
      <c r="A317" s="896" t="s">
        <v>242</v>
      </c>
      <c r="B317" s="714">
        <v>0</v>
      </c>
      <c r="C317" s="714">
        <v>29</v>
      </c>
      <c r="D317" s="714">
        <v>17</v>
      </c>
      <c r="E317" s="714">
        <v>61</v>
      </c>
      <c r="F317" s="714">
        <v>6</v>
      </c>
      <c r="G317" s="714">
        <v>121</v>
      </c>
      <c r="H317" s="714">
        <f t="shared" si="570"/>
        <v>121</v>
      </c>
      <c r="I317" s="714">
        <v>86</v>
      </c>
      <c r="J317" s="714">
        <f t="shared" si="570"/>
        <v>86</v>
      </c>
      <c r="K317" s="714">
        <f t="shared" si="570"/>
        <v>86</v>
      </c>
      <c r="L317" s="714">
        <f t="shared" si="570"/>
        <v>86</v>
      </c>
      <c r="M317" s="714">
        <f t="shared" si="570"/>
        <v>86</v>
      </c>
      <c r="N317" s="714">
        <f t="shared" si="570"/>
        <v>86</v>
      </c>
      <c r="O317" s="714">
        <f>N317</f>
        <v>86</v>
      </c>
      <c r="P317" s="714">
        <f>O317</f>
        <v>86</v>
      </c>
      <c r="Q317" s="714">
        <f>P317</f>
        <v>86</v>
      </c>
      <c r="R317" s="715"/>
      <c r="S317" s="716">
        <v>0</v>
      </c>
      <c r="T317" s="716">
        <v>40</v>
      </c>
      <c r="U317" s="716">
        <v>21</v>
      </c>
      <c r="V317" s="716">
        <v>0</v>
      </c>
      <c r="W317" s="717">
        <v>0</v>
      </c>
      <c r="X317" s="716">
        <v>1</v>
      </c>
      <c r="Y317" s="716">
        <v>6</v>
      </c>
      <c r="Z317" s="716">
        <v>-1</v>
      </c>
      <c r="AA317" s="717">
        <v>1</v>
      </c>
      <c r="AB317" s="716">
        <v>118</v>
      </c>
      <c r="AC317" s="716">
        <v>0</v>
      </c>
      <c r="AD317" s="716">
        <f>+G317-SUM(AA317:AC317)</f>
        <v>2</v>
      </c>
      <c r="AE317" s="717">
        <v>4</v>
      </c>
      <c r="AF317" s="716">
        <v>0</v>
      </c>
      <c r="AG317" s="716">
        <f>AC317</f>
        <v>0</v>
      </c>
      <c r="AH317" s="718">
        <f>+H317-SUM(AE317:AG317)</f>
        <v>117</v>
      </c>
      <c r="AI317" s="717">
        <v>0</v>
      </c>
      <c r="AJ317" s="716">
        <f>AF317</f>
        <v>0</v>
      </c>
      <c r="AK317" s="716">
        <f>AG317</f>
        <v>0</v>
      </c>
      <c r="AL317" s="718">
        <f>I317-AI317-AJ317-AK317</f>
        <v>86</v>
      </c>
      <c r="AM317" s="716">
        <v>0</v>
      </c>
      <c r="AN317" s="788">
        <f t="shared" ref="AN317" si="573">AJ317</f>
        <v>0</v>
      </c>
      <c r="AO317" s="788">
        <f t="shared" ref="AO317" si="574">AK317</f>
        <v>0</v>
      </c>
      <c r="AP317" s="716">
        <f t="shared" ref="AP317" si="575">J317-AM317-AN317-AO317</f>
        <v>86</v>
      </c>
      <c r="AQ317" s="1392"/>
      <c r="AR317" s="692"/>
      <c r="AS317" s="692"/>
      <c r="AT317" s="692"/>
      <c r="AU317" s="692"/>
      <c r="AV317" s="692"/>
      <c r="AW317" s="692"/>
      <c r="AX317" s="692"/>
      <c r="AY317" s="692"/>
      <c r="AZ317" s="692"/>
      <c r="BA317" s="692"/>
      <c r="BB317"/>
      <c r="BC317"/>
      <c r="BD317"/>
      <c r="BE317"/>
      <c r="BF317"/>
      <c r="BG317"/>
      <c r="BJ317" s="714"/>
      <c r="BK317" s="714"/>
      <c r="BL317" s="714"/>
      <c r="BM317" s="714"/>
      <c r="BN317" s="714"/>
    </row>
    <row r="318" spans="1:102" s="693" customFormat="1" outlineLevel="1">
      <c r="A318" s="896" t="s">
        <v>243</v>
      </c>
      <c r="B318" s="716">
        <v>32</v>
      </c>
      <c r="C318" s="716">
        <v>1957</v>
      </c>
      <c r="D318" s="716">
        <v>1932</v>
      </c>
      <c r="E318" s="716">
        <v>2050</v>
      </c>
      <c r="F318" s="714">
        <v>2070</v>
      </c>
      <c r="G318" s="714">
        <f t="shared" ref="G318:P318" si="576">SUM(G316:G317)</f>
        <v>2184</v>
      </c>
      <c r="H318" s="714">
        <f t="shared" si="576"/>
        <v>2184</v>
      </c>
      <c r="I318" s="714">
        <f t="shared" si="576"/>
        <v>987</v>
      </c>
      <c r="J318" s="714">
        <f t="shared" si="576"/>
        <v>987</v>
      </c>
      <c r="K318" s="714">
        <f t="shared" si="576"/>
        <v>987</v>
      </c>
      <c r="L318" s="714">
        <f t="shared" si="576"/>
        <v>1886</v>
      </c>
      <c r="M318" s="714">
        <f t="shared" si="576"/>
        <v>1886</v>
      </c>
      <c r="N318" s="714">
        <f t="shared" si="576"/>
        <v>1886</v>
      </c>
      <c r="O318" s="714">
        <f t="shared" si="576"/>
        <v>1886</v>
      </c>
      <c r="P318" s="714">
        <f t="shared" si="576"/>
        <v>1886</v>
      </c>
      <c r="Q318" s="714">
        <f>SUM(Q316:Q317)</f>
        <v>3614</v>
      </c>
      <c r="R318" s="715"/>
      <c r="S318" s="716">
        <v>480</v>
      </c>
      <c r="T318" s="716">
        <v>534</v>
      </c>
      <c r="U318" s="716">
        <v>519</v>
      </c>
      <c r="V318" s="716">
        <v>517</v>
      </c>
      <c r="W318" s="717">
        <v>511</v>
      </c>
      <c r="X318" s="716">
        <v>516</v>
      </c>
      <c r="Y318" s="716">
        <v>522</v>
      </c>
      <c r="Z318" s="716">
        <v>521</v>
      </c>
      <c r="AA318" s="717">
        <f t="shared" ref="AA318:AL318" si="577">SUM(AA316:AA317)</f>
        <v>519</v>
      </c>
      <c r="AB318" s="716">
        <f t="shared" si="577"/>
        <v>637</v>
      </c>
      <c r="AC318" s="716">
        <f t="shared" si="577"/>
        <v>516</v>
      </c>
      <c r="AD318" s="716">
        <f t="shared" si="577"/>
        <v>512</v>
      </c>
      <c r="AE318" s="717">
        <f t="shared" si="577"/>
        <v>225</v>
      </c>
      <c r="AF318" s="716">
        <f t="shared" si="577"/>
        <v>226</v>
      </c>
      <c r="AG318" s="716">
        <f t="shared" si="577"/>
        <v>225</v>
      </c>
      <c r="AH318" s="718">
        <f t="shared" si="577"/>
        <v>1508</v>
      </c>
      <c r="AI318" s="717">
        <f t="shared" si="577"/>
        <v>225</v>
      </c>
      <c r="AJ318" s="716">
        <f t="shared" si="577"/>
        <v>226</v>
      </c>
      <c r="AK318" s="716">
        <f t="shared" si="577"/>
        <v>225</v>
      </c>
      <c r="AL318" s="718">
        <f t="shared" si="577"/>
        <v>311</v>
      </c>
      <c r="AM318" s="716">
        <f t="shared" ref="AM318:AP318" si="578">SUM(AM316:AM317)</f>
        <v>255</v>
      </c>
      <c r="AN318" s="716">
        <f t="shared" si="578"/>
        <v>226</v>
      </c>
      <c r="AO318" s="716">
        <f t="shared" si="578"/>
        <v>225</v>
      </c>
      <c r="AP318" s="716">
        <f t="shared" si="578"/>
        <v>281</v>
      </c>
      <c r="AQ318" s="1395"/>
      <c r="AR318" s="692"/>
      <c r="AS318" s="692"/>
      <c r="AT318" s="692"/>
      <c r="AU318" s="692"/>
      <c r="AV318" s="692"/>
      <c r="AW318" s="692"/>
      <c r="AX318" s="692"/>
      <c r="AY318" s="692"/>
      <c r="AZ318" s="692"/>
      <c r="BA318" s="692"/>
      <c r="BB318"/>
      <c r="BC318"/>
      <c r="BD318"/>
      <c r="BE318"/>
      <c r="BF318"/>
      <c r="BG318"/>
      <c r="BJ318" s="714"/>
      <c r="BK318" s="714"/>
      <c r="BL318" s="714"/>
      <c r="BM318" s="714"/>
      <c r="BN318" s="714"/>
    </row>
    <row r="319" spans="1:102" s="693" customFormat="1" outlineLevel="1">
      <c r="A319" s="896" t="s">
        <v>195</v>
      </c>
      <c r="B319" s="714">
        <v>497</v>
      </c>
      <c r="C319" s="714">
        <v>212</v>
      </c>
      <c r="D319" s="714">
        <v>264</v>
      </c>
      <c r="E319" s="714">
        <v>330</v>
      </c>
      <c r="F319" s="714">
        <v>0</v>
      </c>
      <c r="G319" s="714"/>
      <c r="H319" s="714"/>
      <c r="I319" s="714"/>
      <c r="J319" s="714"/>
      <c r="K319" s="714"/>
      <c r="L319" s="714"/>
      <c r="M319" s="714"/>
      <c r="N319" s="714"/>
      <c r="O319" s="714"/>
      <c r="P319" s="714"/>
      <c r="Q319" s="714"/>
      <c r="R319" s="715"/>
      <c r="S319" s="716">
        <v>53</v>
      </c>
      <c r="T319" s="716">
        <v>82</v>
      </c>
      <c r="U319" s="716">
        <v>74</v>
      </c>
      <c r="V319" s="716">
        <v>121</v>
      </c>
      <c r="W319" s="717">
        <v>-3</v>
      </c>
      <c r="X319" s="716">
        <v>3</v>
      </c>
      <c r="Y319" s="716">
        <v>0</v>
      </c>
      <c r="Z319" s="716">
        <v>0</v>
      </c>
      <c r="AA319" s="717"/>
      <c r="AB319" s="716"/>
      <c r="AC319" s="716"/>
      <c r="AD319" s="716"/>
      <c r="AE319" s="717"/>
      <c r="AF319" s="716"/>
      <c r="AG319" s="716"/>
      <c r="AH319" s="718"/>
      <c r="AI319" s="717"/>
      <c r="AJ319" s="716"/>
      <c r="AK319" s="716"/>
      <c r="AL319" s="718"/>
      <c r="AM319" s="716"/>
      <c r="AN319" s="716"/>
      <c r="AO319" s="716"/>
      <c r="AP319" s="716"/>
      <c r="AQ319" s="1383"/>
      <c r="AR319" s="692"/>
      <c r="AS319" s="692"/>
      <c r="AT319" s="692"/>
      <c r="AU319" s="692"/>
      <c r="AV319" s="692"/>
      <c r="AW319" s="692"/>
      <c r="AX319" s="692"/>
      <c r="AY319" s="692"/>
      <c r="AZ319" s="692"/>
      <c r="BA319" s="692"/>
      <c r="BB319"/>
      <c r="BC319"/>
      <c r="BD319"/>
      <c r="BE319"/>
      <c r="BF319"/>
      <c r="BG319"/>
      <c r="BJ319" s="714"/>
      <c r="BK319" s="714"/>
      <c r="BL319" s="714"/>
      <c r="BM319" s="714"/>
      <c r="BN319" s="714"/>
    </row>
    <row r="320" spans="1:102" s="693" customFormat="1" outlineLevel="1">
      <c r="A320" s="896" t="s">
        <v>244</v>
      </c>
      <c r="B320" s="714">
        <v>25</v>
      </c>
      <c r="C320" s="714">
        <v>-149</v>
      </c>
      <c r="D320" s="714">
        <v>37</v>
      </c>
      <c r="E320" s="714">
        <v>82</v>
      </c>
      <c r="F320" s="714">
        <v>144</v>
      </c>
      <c r="G320" s="714">
        <v>85</v>
      </c>
      <c r="H320" s="714">
        <v>0</v>
      </c>
      <c r="I320" s="714">
        <v>60</v>
      </c>
      <c r="J320" s="714">
        <v>0</v>
      </c>
      <c r="K320" s="714">
        <v>0</v>
      </c>
      <c r="L320" s="714">
        <v>0</v>
      </c>
      <c r="M320" s="714"/>
      <c r="N320" s="714"/>
      <c r="O320" s="714"/>
      <c r="P320" s="714"/>
      <c r="Q320" s="714"/>
      <c r="R320" s="715"/>
      <c r="S320" s="716">
        <v>-1</v>
      </c>
      <c r="T320" s="716">
        <v>12</v>
      </c>
      <c r="U320" s="716">
        <v>30</v>
      </c>
      <c r="V320" s="716">
        <v>41</v>
      </c>
      <c r="W320" s="717">
        <v>37</v>
      </c>
      <c r="X320" s="716">
        <v>41</v>
      </c>
      <c r="Y320" s="716">
        <v>57</v>
      </c>
      <c r="Z320" s="716">
        <v>9</v>
      </c>
      <c r="AA320" s="717">
        <v>22</v>
      </c>
      <c r="AB320" s="716">
        <v>9</v>
      </c>
      <c r="AC320" s="716">
        <v>28</v>
      </c>
      <c r="AD320" s="716">
        <f>+G320-SUM(AA320:AC320)</f>
        <v>26</v>
      </c>
      <c r="AE320" s="717">
        <v>-13</v>
      </c>
      <c r="AF320" s="716">
        <v>5</v>
      </c>
      <c r="AG320" s="716">
        <v>31</v>
      </c>
      <c r="AH320" s="718">
        <f>+H320-SUM(AE320:AG320)</f>
        <v>-23</v>
      </c>
      <c r="AI320" s="717">
        <v>5</v>
      </c>
      <c r="AJ320" s="716">
        <f>I320/4</f>
        <v>15</v>
      </c>
      <c r="AK320" s="716">
        <f>I320/4</f>
        <v>15</v>
      </c>
      <c r="AL320" s="718">
        <f>I320-AI320-AJ320-AK320</f>
        <v>25</v>
      </c>
      <c r="AM320" s="716">
        <v>15</v>
      </c>
      <c r="AN320" s="716">
        <v>0</v>
      </c>
      <c r="AO320" s="716">
        <v>0</v>
      </c>
      <c r="AP320" s="716">
        <f t="shared" ref="AP320" si="579">J320-AM320-AN320-AO320</f>
        <v>-15</v>
      </c>
      <c r="AQ320" s="1395"/>
      <c r="AR320" s="692"/>
      <c r="AS320" s="692"/>
      <c r="AT320" s="692"/>
      <c r="AU320" s="692"/>
      <c r="AV320" s="692"/>
      <c r="AW320" s="692"/>
      <c r="AX320" s="692"/>
      <c r="AY320" s="692"/>
      <c r="AZ320" s="692"/>
      <c r="BA320" s="692"/>
      <c r="BB320"/>
      <c r="BC320"/>
      <c r="BD320"/>
      <c r="BE320"/>
      <c r="BF320"/>
      <c r="BG320"/>
      <c r="BJ320" s="714"/>
      <c r="BK320" s="714"/>
      <c r="BL320" s="714"/>
      <c r="BM320" s="714"/>
      <c r="BN320" s="714"/>
    </row>
    <row r="321" spans="1:102" s="693" customFormat="1" outlineLevel="1">
      <c r="A321" s="896" t="s">
        <v>253</v>
      </c>
      <c r="B321" s="714">
        <v>1350</v>
      </c>
      <c r="C321" s="714">
        <v>1472</v>
      </c>
      <c r="D321" s="714">
        <v>1465</v>
      </c>
      <c r="E321" s="714">
        <v>1232</v>
      </c>
      <c r="F321" s="714">
        <v>1597</v>
      </c>
      <c r="G321" s="714">
        <f t="shared" ref="G321:H321" si="580">G270+G271+G275+G288+G293+G298+G305</f>
        <v>281</v>
      </c>
      <c r="H321" s="714">
        <f t="shared" si="580"/>
        <v>-132</v>
      </c>
      <c r="I321" s="714">
        <f t="shared" ref="I321:Q321" si="581">I270+I271+I275+I293+I305+I283</f>
        <v>-3</v>
      </c>
      <c r="J321" s="714">
        <f t="shared" si="581"/>
        <v>207.64770824740935</v>
      </c>
      <c r="K321" s="714">
        <f t="shared" si="581"/>
        <v>333.70269030342342</v>
      </c>
      <c r="L321" s="714">
        <f t="shared" si="581"/>
        <v>-464.15902629700531</v>
      </c>
      <c r="M321" s="714">
        <f t="shared" si="581"/>
        <v>-339.9879953836712</v>
      </c>
      <c r="N321" s="714">
        <f t="shared" si="581"/>
        <v>-106.36308744590497</v>
      </c>
      <c r="O321" s="714">
        <f t="shared" si="581"/>
        <v>-3.9807132477994855</v>
      </c>
      <c r="P321" s="714">
        <f t="shared" si="581"/>
        <v>159.57161651952538</v>
      </c>
      <c r="Q321" s="714">
        <f t="shared" si="581"/>
        <v>-1393.3342677039855</v>
      </c>
      <c r="R321" s="715"/>
      <c r="S321" s="716">
        <v>412</v>
      </c>
      <c r="T321" s="716">
        <v>397</v>
      </c>
      <c r="U321" s="716">
        <v>251</v>
      </c>
      <c r="V321" s="716">
        <v>172</v>
      </c>
      <c r="W321" s="717">
        <v>380</v>
      </c>
      <c r="X321" s="716">
        <v>471</v>
      </c>
      <c r="Y321" s="716">
        <v>381</v>
      </c>
      <c r="Z321" s="716">
        <v>365</v>
      </c>
      <c r="AA321" s="717">
        <f t="shared" ref="AA321:AL321" si="582">AA270+AA271+AA275+AA288+AA293+AA298+AA305</f>
        <v>141</v>
      </c>
      <c r="AB321" s="716">
        <f t="shared" si="582"/>
        <v>54</v>
      </c>
      <c r="AC321" s="716">
        <f t="shared" si="582"/>
        <v>57</v>
      </c>
      <c r="AD321" s="716">
        <f t="shared" si="582"/>
        <v>29</v>
      </c>
      <c r="AE321" s="717">
        <f t="shared" si="582"/>
        <v>31</v>
      </c>
      <c r="AF321" s="716">
        <f t="shared" si="582"/>
        <v>7</v>
      </c>
      <c r="AG321" s="716">
        <f t="shared" si="582"/>
        <v>-50</v>
      </c>
      <c r="AH321" s="718">
        <f t="shared" si="582"/>
        <v>-120</v>
      </c>
      <c r="AI321" s="717">
        <f>AI270+AI271+AI275+AI288+AI293+AI298+AI305</f>
        <v>-2</v>
      </c>
      <c r="AJ321" s="716">
        <f t="shared" si="582"/>
        <v>29</v>
      </c>
      <c r="AK321" s="716">
        <f t="shared" si="582"/>
        <v>-2</v>
      </c>
      <c r="AL321" s="718">
        <f t="shared" si="582"/>
        <v>-27.999999999999531</v>
      </c>
      <c r="AM321" s="716">
        <f>AM270+AM271+AM275+AM293+AM305+AM283</f>
        <v>90</v>
      </c>
      <c r="AN321" s="716">
        <f t="shared" ref="AN321:AO321" si="583">AN270+AN271+AN275+AN293+AN305+AN283</f>
        <v>51.373190288783917</v>
      </c>
      <c r="AO321" s="716">
        <f t="shared" si="583"/>
        <v>52.643393969677277</v>
      </c>
      <c r="AP321" s="716">
        <f>AP270+AP271+AP275+AP293+AP305+AP283</f>
        <v>13.631123988948161</v>
      </c>
      <c r="AQ321" s="1395"/>
      <c r="AR321" s="692"/>
      <c r="AS321" s="692"/>
      <c r="AT321" s="692"/>
      <c r="AU321" s="692"/>
      <c r="AV321" s="692"/>
      <c r="AW321" s="692"/>
      <c r="AX321" s="692"/>
      <c r="AY321" s="692"/>
      <c r="AZ321" s="692"/>
      <c r="BA321" s="692"/>
      <c r="BB321"/>
      <c r="BC321"/>
      <c r="BD321"/>
      <c r="BE321"/>
      <c r="BF321"/>
      <c r="BG321"/>
      <c r="BJ321" s="714"/>
      <c r="BK321" s="714"/>
      <c r="BL321" s="714"/>
      <c r="BM321" s="714"/>
      <c r="BN321" s="714"/>
    </row>
    <row r="322" spans="1:102" s="693" customFormat="1" outlineLevel="1">
      <c r="A322" s="896" t="s">
        <v>254</v>
      </c>
      <c r="B322" s="731">
        <v>0.30364372469635625</v>
      </c>
      <c r="C322" s="731">
        <v>0.14782084755975095</v>
      </c>
      <c r="D322" s="731">
        <v>0.14327628361858191</v>
      </c>
      <c r="E322" s="731">
        <v>0.1173780487804878</v>
      </c>
      <c r="F322" s="731">
        <v>0.1475016163295465</v>
      </c>
      <c r="G322" s="731">
        <f t="shared" ref="G322:Q322" si="584">G321/G267</f>
        <v>4.6841140190031674E-2</v>
      </c>
      <c r="H322" s="731">
        <f t="shared" si="584"/>
        <v>-2.2711631108052306E-2</v>
      </c>
      <c r="I322" s="731">
        <f t="shared" si="584"/>
        <v>-4.4306601683650863E-4</v>
      </c>
      <c r="J322" s="731">
        <f t="shared" si="584"/>
        <v>2.857808765450371E-2</v>
      </c>
      <c r="K322" s="731">
        <f t="shared" si="584"/>
        <v>4.4479998270949311E-2</v>
      </c>
      <c r="L322" s="731">
        <f t="shared" si="584"/>
        <v>-5.9615226199562311E-2</v>
      </c>
      <c r="M322" s="731">
        <f t="shared" si="584"/>
        <v>-4.2047958551293965E-2</v>
      </c>
      <c r="N322" s="731">
        <f t="shared" si="584"/>
        <v>-1.2658418522723329E-2</v>
      </c>
      <c r="O322" s="731">
        <f t="shared" si="584"/>
        <v>-4.5559952508446939E-4</v>
      </c>
      <c r="P322" s="731">
        <f t="shared" si="584"/>
        <v>1.7552893150428593E-2</v>
      </c>
      <c r="Q322" s="731">
        <f t="shared" si="584"/>
        <v>-0.14721966264110717</v>
      </c>
      <c r="R322" s="721"/>
      <c r="S322" s="732">
        <v>0.16056118472330475</v>
      </c>
      <c r="T322" s="732">
        <v>0.14510233918128654</v>
      </c>
      <c r="U322" s="732">
        <v>9.8857818038597875E-2</v>
      </c>
      <c r="V322" s="732">
        <v>6.4783427495291895E-2</v>
      </c>
      <c r="W322" s="733">
        <v>0.14383043149129449</v>
      </c>
      <c r="X322" s="732">
        <v>0.16719914802981894</v>
      </c>
      <c r="Y322" s="732">
        <v>0.14296435272045027</v>
      </c>
      <c r="Z322" s="732">
        <v>0.13503514613392525</v>
      </c>
      <c r="AA322" s="733">
        <f t="shared" ref="AA322:AP322" si="585">AA321/AA267</f>
        <v>9.2096668843892879E-2</v>
      </c>
      <c r="AB322" s="732">
        <f t="shared" si="585"/>
        <v>3.5271064663618547E-2</v>
      </c>
      <c r="AC322" s="732">
        <f t="shared" si="585"/>
        <v>3.880190605854323E-2</v>
      </c>
      <c r="AD322" s="732">
        <f t="shared" si="585"/>
        <v>1.9754768392370572E-2</v>
      </c>
      <c r="AE322" s="733">
        <f t="shared" si="585"/>
        <v>2.1739130434782608E-2</v>
      </c>
      <c r="AF322" s="732">
        <f t="shared" si="585"/>
        <v>4.6480743691899072E-3</v>
      </c>
      <c r="AG322" s="732">
        <f t="shared" si="585"/>
        <v>-3.4818941504178275E-2</v>
      </c>
      <c r="AH322" s="734">
        <f t="shared" si="585"/>
        <v>-8.3102493074792241E-2</v>
      </c>
      <c r="AI322" s="733">
        <f t="shared" si="585"/>
        <v>-1.257071024512885E-3</v>
      </c>
      <c r="AJ322" s="732">
        <f t="shared" si="585"/>
        <v>1.698886936145284E-2</v>
      </c>
      <c r="AK322" s="732">
        <f t="shared" si="585"/>
        <v>-1.1682242990654205E-3</v>
      </c>
      <c r="AL322" s="734">
        <f t="shared" si="585"/>
        <v>-1.5900056785916827E-2</v>
      </c>
      <c r="AM322" s="732">
        <f t="shared" si="585"/>
        <v>5.0590219224283306E-2</v>
      </c>
      <c r="AN322" s="732">
        <f t="shared" si="585"/>
        <v>2.8058599740476579E-2</v>
      </c>
      <c r="AO322" s="732">
        <f t="shared" si="585"/>
        <v>2.8731462591572055E-2</v>
      </c>
      <c r="AP322" s="732">
        <f t="shared" si="585"/>
        <v>7.4740423112307462E-3</v>
      </c>
      <c r="AQ322" s="1383"/>
      <c r="AR322" s="692"/>
      <c r="AS322" s="692"/>
      <c r="AT322" s="692"/>
      <c r="AU322" s="692"/>
      <c r="AV322" s="692"/>
      <c r="AW322" s="692"/>
      <c r="AX322" s="692"/>
      <c r="AY322" s="692"/>
      <c r="AZ322" s="692"/>
      <c r="BA322" s="692"/>
      <c r="BB322"/>
      <c r="BC322"/>
      <c r="BD322"/>
      <c r="BE322"/>
      <c r="BF322"/>
      <c r="BG322"/>
      <c r="BJ322" s="731"/>
      <c r="BK322" s="731"/>
      <c r="BL322" s="731"/>
      <c r="BM322" s="731"/>
      <c r="BN322" s="731"/>
    </row>
    <row r="323" spans="1:102" s="693" customFormat="1">
      <c r="A323" s="896"/>
      <c r="B323" s="755"/>
      <c r="C323" s="755"/>
      <c r="D323" s="755"/>
      <c r="E323" s="755"/>
      <c r="F323" s="755"/>
      <c r="G323" s="755"/>
      <c r="H323" s="755"/>
      <c r="I323" s="755"/>
      <c r="J323" s="755"/>
      <c r="K323" s="755"/>
      <c r="L323" s="755"/>
      <c r="M323" s="755"/>
      <c r="N323" s="755"/>
      <c r="O323" s="755"/>
      <c r="P323" s="755"/>
      <c r="Q323" s="755"/>
      <c r="R323" s="688"/>
      <c r="S323" s="792"/>
      <c r="T323" s="792"/>
      <c r="U323" s="792"/>
      <c r="V323" s="792"/>
      <c r="W323" s="952"/>
      <c r="X323" s="792"/>
      <c r="Y323" s="792"/>
      <c r="Z323" s="792"/>
      <c r="AA323" s="952"/>
      <c r="AB323" s="792"/>
      <c r="AC323" s="792"/>
      <c r="AD323" s="792"/>
      <c r="AE323" s="952"/>
      <c r="AF323" s="792"/>
      <c r="AG323" s="792"/>
      <c r="AH323" s="791"/>
      <c r="AI323" s="952"/>
      <c r="AJ323" s="792"/>
      <c r="AK323" s="792"/>
      <c r="AL323" s="791"/>
      <c r="AM323" s="792"/>
      <c r="AN323" s="792"/>
      <c r="AO323" s="792"/>
      <c r="AP323" s="792"/>
      <c r="AQ323" s="1383"/>
      <c r="AR323" s="692"/>
      <c r="AS323" s="692"/>
      <c r="AT323" s="692"/>
      <c r="AU323" s="692"/>
      <c r="AV323" s="692"/>
      <c r="AW323" s="692"/>
      <c r="AX323" s="692"/>
      <c r="AY323" s="692"/>
      <c r="AZ323" s="692"/>
      <c r="BA323" s="692"/>
      <c r="BB323"/>
      <c r="BC323"/>
      <c r="BD323"/>
      <c r="BE323"/>
      <c r="BF323"/>
      <c r="BG323"/>
      <c r="BJ323" s="755"/>
      <c r="BK323" s="755"/>
      <c r="BL323" s="755"/>
      <c r="BM323" s="755"/>
      <c r="BN323" s="755"/>
    </row>
    <row r="324" spans="1:102" s="838" customFormat="1">
      <c r="A324" s="1060" t="s">
        <v>255</v>
      </c>
      <c r="B324" s="1056">
        <v>2010</v>
      </c>
      <c r="C324" s="1056">
        <v>2011</v>
      </c>
      <c r="D324" s="1056">
        <v>2012</v>
      </c>
      <c r="E324" s="1056">
        <v>2013</v>
      </c>
      <c r="F324" s="1056">
        <v>2014</v>
      </c>
      <c r="G324" s="1056">
        <v>2015</v>
      </c>
      <c r="H324" s="1056">
        <v>2016</v>
      </c>
      <c r="I324" s="1056">
        <v>2017</v>
      </c>
      <c r="J324" s="1056">
        <v>2018</v>
      </c>
      <c r="K324" s="1056">
        <v>2019</v>
      </c>
      <c r="L324" s="1056">
        <v>2020</v>
      </c>
      <c r="M324" s="1056">
        <v>2021</v>
      </c>
      <c r="N324" s="1056">
        <v>2022</v>
      </c>
      <c r="O324" s="1056">
        <v>2023</v>
      </c>
      <c r="P324" s="1056">
        <v>2024</v>
      </c>
      <c r="Q324" s="1056">
        <v>2025</v>
      </c>
      <c r="R324" s="941"/>
      <c r="S324" s="942" t="s">
        <v>76</v>
      </c>
      <c r="T324" s="942" t="s">
        <v>77</v>
      </c>
      <c r="U324" s="942" t="s">
        <v>78</v>
      </c>
      <c r="V324" s="942" t="s">
        <v>79</v>
      </c>
      <c r="W324" s="943" t="s">
        <v>80</v>
      </c>
      <c r="X324" s="942" t="s">
        <v>81</v>
      </c>
      <c r="Y324" s="942" t="s">
        <v>82</v>
      </c>
      <c r="Z324" s="942" t="s">
        <v>83</v>
      </c>
      <c r="AA324" s="943" t="s">
        <v>84</v>
      </c>
      <c r="AB324" s="942" t="s">
        <v>85</v>
      </c>
      <c r="AC324" s="942" t="s">
        <v>86</v>
      </c>
      <c r="AD324" s="942" t="s">
        <v>802</v>
      </c>
      <c r="AE324" s="943" t="s">
        <v>8</v>
      </c>
      <c r="AF324" s="942" t="s">
        <v>9</v>
      </c>
      <c r="AG324" s="942" t="s">
        <v>10</v>
      </c>
      <c r="AH324" s="944" t="s">
        <v>11</v>
      </c>
      <c r="AI324" s="1057" t="s">
        <v>894</v>
      </c>
      <c r="AJ324" s="1058" t="s">
        <v>896</v>
      </c>
      <c r="AK324" s="1058" t="s">
        <v>942</v>
      </c>
      <c r="AL324" s="1059" t="s">
        <v>947</v>
      </c>
      <c r="AM324" s="1058" t="str">
        <f>AM1</f>
        <v>1Q18</v>
      </c>
      <c r="AN324" s="1058" t="str">
        <f>AN1</f>
        <v>2Q18</v>
      </c>
      <c r="AO324" s="1058" t="str">
        <f>AO1</f>
        <v>3Q18</v>
      </c>
      <c r="AP324" s="1058" t="str">
        <f>AP1</f>
        <v>4Q18</v>
      </c>
      <c r="AQ324" s="1383"/>
      <c r="AR324" s="945"/>
      <c r="AS324" s="945"/>
      <c r="AT324" s="945"/>
      <c r="AU324" s="945"/>
      <c r="AV324" s="945"/>
      <c r="AW324" s="945"/>
      <c r="AX324" s="945"/>
      <c r="AY324" s="945"/>
      <c r="AZ324" s="945"/>
      <c r="BA324" s="945"/>
      <c r="BB324"/>
      <c r="BC324"/>
      <c r="BD324"/>
      <c r="BE324"/>
      <c r="BF324"/>
      <c r="BG324"/>
      <c r="BH324" s="946"/>
      <c r="BI324" s="946"/>
      <c r="BJ324" s="940"/>
      <c r="BK324" s="940"/>
      <c r="BL324" s="940"/>
      <c r="BM324" s="940"/>
      <c r="BN324" s="940"/>
      <c r="BO324" s="946"/>
      <c r="BP324" s="946"/>
      <c r="BQ324" s="946"/>
      <c r="BR324" s="946"/>
      <c r="BS324" s="946"/>
      <c r="BT324" s="946"/>
      <c r="BU324" s="946"/>
      <c r="BV324" s="946"/>
      <c r="BW324" s="946"/>
      <c r="BX324" s="946"/>
      <c r="BY324" s="946"/>
      <c r="BZ324" s="946"/>
      <c r="CA324" s="946"/>
      <c r="CB324" s="946"/>
      <c r="CC324" s="946"/>
      <c r="CD324" s="946"/>
      <c r="CE324" s="946"/>
      <c r="CF324" s="946"/>
      <c r="CG324" s="946"/>
      <c r="CH324" s="946"/>
      <c r="CI324" s="946"/>
      <c r="CJ324" s="946"/>
      <c r="CK324" s="946"/>
      <c r="CL324" s="946"/>
      <c r="CM324" s="946"/>
      <c r="CN324" s="946"/>
      <c r="CO324" s="946"/>
      <c r="CP324" s="946"/>
      <c r="CQ324" s="946"/>
      <c r="CR324" s="946"/>
      <c r="CS324" s="946"/>
      <c r="CT324" s="946"/>
      <c r="CU324" s="946"/>
      <c r="CV324" s="946"/>
      <c r="CW324" s="946"/>
      <c r="CX324" s="946"/>
    </row>
    <row r="325" spans="1:102" s="799" customFormat="1">
      <c r="A325" s="1062" t="s">
        <v>261</v>
      </c>
      <c r="B325" s="907">
        <v>8592</v>
      </c>
      <c r="C325" s="907">
        <v>9473</v>
      </c>
      <c r="D325" s="907">
        <v>8702</v>
      </c>
      <c r="E325" s="907">
        <v>9159</v>
      </c>
      <c r="F325" s="907">
        <v>9562</v>
      </c>
      <c r="G325" s="907">
        <f>Sales!G502</f>
        <v>10070</v>
      </c>
      <c r="H325" s="907">
        <f>Sales!H502</f>
        <v>10144</v>
      </c>
      <c r="I325" s="907">
        <f>Sales!I502</f>
        <v>10060</v>
      </c>
      <c r="J325" s="907">
        <f>Sales!J502</f>
        <v>10383.657422316164</v>
      </c>
      <c r="K325" s="907">
        <f>Sales!K502</f>
        <v>10905.531828098057</v>
      </c>
      <c r="L325" s="907">
        <f>Sales!L502</f>
        <v>11485.135402675887</v>
      </c>
      <c r="M325" s="907">
        <f>Sales!M502</f>
        <v>11954.423347448699</v>
      </c>
      <c r="N325" s="907">
        <f>Sales!N502</f>
        <v>12450.263318833948</v>
      </c>
      <c r="O325" s="907">
        <f>Sales!O502</f>
        <v>12974.699216456931</v>
      </c>
      <c r="P325" s="907">
        <f>Sales!P502</f>
        <v>13529.960990814401</v>
      </c>
      <c r="Q325" s="907">
        <f>Sales!Q502</f>
        <v>14118.482698188973</v>
      </c>
      <c r="R325" s="906"/>
      <c r="S325" s="910">
        <v>2259</v>
      </c>
      <c r="T325" s="910">
        <v>2216</v>
      </c>
      <c r="U325" s="910">
        <v>2273</v>
      </c>
      <c r="V325" s="910">
        <v>2411</v>
      </c>
      <c r="W325" s="1063">
        <v>2318</v>
      </c>
      <c r="X325" s="910">
        <v>2331</v>
      </c>
      <c r="Y325" s="910">
        <v>2401</v>
      </c>
      <c r="Z325" s="910">
        <v>2512</v>
      </c>
      <c r="AA325" s="1063">
        <f>Sales!AA502</f>
        <v>2444</v>
      </c>
      <c r="AB325" s="910">
        <f>Sales!AB502</f>
        <v>2530</v>
      </c>
      <c r="AC325" s="910">
        <f>Sales!AC502</f>
        <v>2542</v>
      </c>
      <c r="AD325" s="910">
        <f>Sales!AD502</f>
        <v>2554</v>
      </c>
      <c r="AE325" s="1063">
        <f>Sales!AE502</f>
        <v>2445</v>
      </c>
      <c r="AF325" s="910">
        <f>Sales!AF502</f>
        <v>2577</v>
      </c>
      <c r="AG325" s="910">
        <f>Sales!AG502</f>
        <v>2517</v>
      </c>
      <c r="AH325" s="1064">
        <f>Sales!AH502</f>
        <v>2605</v>
      </c>
      <c r="AI325" s="1063">
        <f>Sales!AI502</f>
        <v>2430</v>
      </c>
      <c r="AJ325" s="910">
        <f>Sales!AJ502</f>
        <v>2451</v>
      </c>
      <c r="AK325" s="910">
        <f>Sales!AK502</f>
        <v>2584</v>
      </c>
      <c r="AL325" s="1064">
        <f>Sales!AL502</f>
        <v>2595</v>
      </c>
      <c r="AM325" s="1063">
        <f>Sales!AM502</f>
        <v>2517</v>
      </c>
      <c r="AN325" s="910">
        <f>Sales!AN502</f>
        <v>2557.6396370537018</v>
      </c>
      <c r="AO325" s="910">
        <f>Sales!AO502</f>
        <v>2624.5857081277386</v>
      </c>
      <c r="AP325" s="1064">
        <f>Sales!AP502</f>
        <v>2684.4320771347238</v>
      </c>
      <c r="AQ325" s="1392"/>
      <c r="AR325" s="1065"/>
      <c r="AS325" s="1065"/>
      <c r="AT325" s="1065"/>
      <c r="AU325" s="1065"/>
      <c r="AV325" s="1065"/>
      <c r="AW325" s="1065"/>
      <c r="AX325" s="1065"/>
      <c r="AY325" s="1065"/>
      <c r="AZ325" s="1065"/>
      <c r="BA325" s="1065"/>
      <c r="BB325"/>
      <c r="BC325"/>
      <c r="BD325"/>
      <c r="BE325"/>
      <c r="BF325"/>
      <c r="BG325"/>
      <c r="BJ325" s="953"/>
      <c r="BK325" s="953"/>
      <c r="BL325" s="953"/>
      <c r="BM325" s="953"/>
      <c r="BN325" s="953"/>
    </row>
    <row r="326" spans="1:102" s="693" customFormat="1">
      <c r="A326" s="896" t="s">
        <v>586</v>
      </c>
      <c r="B326" s="735"/>
      <c r="C326" s="735">
        <v>0.10253724394785846</v>
      </c>
      <c r="D326" s="735">
        <v>-8.138921144304867E-2</v>
      </c>
      <c r="E326" s="735">
        <v>5.2516662836129546E-2</v>
      </c>
      <c r="F326" s="735">
        <v>4.4000436728900638E-2</v>
      </c>
      <c r="G326" s="735">
        <f t="shared" ref="G326:Q326" si="586">G325/F325-1</f>
        <v>5.3126960886843655E-2</v>
      </c>
      <c r="H326" s="735">
        <f t="shared" si="586"/>
        <v>7.3485600794438444E-3</v>
      </c>
      <c r="I326" s="735">
        <f t="shared" si="586"/>
        <v>-8.2807570977917466E-3</v>
      </c>
      <c r="J326" s="735">
        <f t="shared" si="586"/>
        <v>3.2172705995642481E-2</v>
      </c>
      <c r="K326" s="735">
        <f t="shared" si="586"/>
        <v>5.0259208731241456E-2</v>
      </c>
      <c r="L326" s="735">
        <f t="shared" si="586"/>
        <v>5.3147667047698022E-2</v>
      </c>
      <c r="M326" s="735">
        <f t="shared" si="586"/>
        <v>4.0860462529982433E-2</v>
      </c>
      <c r="N326" s="735">
        <f t="shared" si="586"/>
        <v>4.1477531535728085E-2</v>
      </c>
      <c r="O326" s="735">
        <f t="shared" si="586"/>
        <v>4.2122474376076191E-2</v>
      </c>
      <c r="P326" s="735">
        <f t="shared" si="586"/>
        <v>4.2795733842768691E-2</v>
      </c>
      <c r="Q326" s="735">
        <f t="shared" si="586"/>
        <v>4.3497664758540333E-2</v>
      </c>
      <c r="R326" s="737"/>
      <c r="S326" s="736"/>
      <c r="T326" s="736"/>
      <c r="U326" s="736"/>
      <c r="V326" s="736"/>
      <c r="W326" s="738">
        <f t="shared" ref="W326:AD326" si="587">W325/S325-1</f>
        <v>2.6117751217352714E-2</v>
      </c>
      <c r="X326" s="736">
        <f t="shared" si="587"/>
        <v>5.1895306859205848E-2</v>
      </c>
      <c r="Y326" s="736">
        <f t="shared" si="587"/>
        <v>5.6313242410910735E-2</v>
      </c>
      <c r="Z326" s="736">
        <f t="shared" si="587"/>
        <v>4.1891331397760245E-2</v>
      </c>
      <c r="AA326" s="738">
        <f t="shared" si="587"/>
        <v>5.4357204486626509E-2</v>
      </c>
      <c r="AB326" s="736">
        <f t="shared" si="587"/>
        <v>8.5371085371085398E-2</v>
      </c>
      <c r="AC326" s="736">
        <f t="shared" si="587"/>
        <v>5.8725531028738009E-2</v>
      </c>
      <c r="AD326" s="736">
        <f t="shared" si="587"/>
        <v>1.671974522292996E-2</v>
      </c>
      <c r="AE326" s="738">
        <f t="shared" ref="AE326:AL326" si="588">AE325/AA325-1</f>
        <v>4.0916530278223284E-4</v>
      </c>
      <c r="AF326" s="736">
        <f t="shared" si="588"/>
        <v>1.8577075098814122E-2</v>
      </c>
      <c r="AG326" s="736">
        <f t="shared" si="588"/>
        <v>-9.834775767112558E-3</v>
      </c>
      <c r="AH326" s="739">
        <f t="shared" si="588"/>
        <v>1.9968676585747858E-2</v>
      </c>
      <c r="AI326" s="738">
        <f t="shared" si="588"/>
        <v>-6.1349693251533388E-3</v>
      </c>
      <c r="AJ326" s="736">
        <f t="shared" si="588"/>
        <v>-4.8894062863795162E-2</v>
      </c>
      <c r="AK326" s="736">
        <f t="shared" si="588"/>
        <v>2.6618990862137482E-2</v>
      </c>
      <c r="AL326" s="739">
        <f t="shared" si="588"/>
        <v>-3.8387715930902067E-3</v>
      </c>
      <c r="AM326" s="738">
        <f t="shared" ref="AM326" si="589">AM325/AI325-1</f>
        <v>3.5802469135802539E-2</v>
      </c>
      <c r="AN326" s="736">
        <f t="shared" ref="AN326" si="590">AN325/AJ325-1</f>
        <v>4.3508623848919514E-2</v>
      </c>
      <c r="AO326" s="736">
        <f t="shared" ref="AO326" si="591">AO325/AK325-1</f>
        <v>1.5706543393087635E-2</v>
      </c>
      <c r="AP326" s="739">
        <f t="shared" ref="AP326" si="592">AP325/AL325-1</f>
        <v>3.4463228182937788E-2</v>
      </c>
      <c r="AQ326" s="1385"/>
      <c r="AR326" s="740"/>
      <c r="AS326" s="740"/>
      <c r="AT326" s="740"/>
      <c r="AU326" s="740"/>
      <c r="AV326" s="740"/>
      <c r="AW326" s="740"/>
      <c r="AX326" s="740"/>
      <c r="AY326" s="740"/>
      <c r="AZ326" s="740"/>
      <c r="BA326" s="740"/>
      <c r="BB326"/>
      <c r="BC326"/>
      <c r="BD326"/>
      <c r="BE326"/>
      <c r="BF326"/>
      <c r="BG326"/>
      <c r="BH326" s="741"/>
      <c r="BI326" s="741"/>
      <c r="BJ326" s="741"/>
      <c r="BK326" s="741"/>
      <c r="BL326" s="741"/>
      <c r="BM326" s="741"/>
      <c r="BN326" s="741"/>
      <c r="BO326" s="741"/>
      <c r="BP326" s="741"/>
      <c r="BQ326" s="741"/>
      <c r="BR326" s="741"/>
      <c r="BS326" s="741"/>
      <c r="BT326" s="741"/>
      <c r="BU326" s="741"/>
      <c r="BV326" s="741"/>
      <c r="BW326" s="741"/>
      <c r="BX326" s="741"/>
      <c r="BY326" s="741"/>
      <c r="BZ326" s="741"/>
      <c r="CA326" s="741"/>
      <c r="CB326" s="741"/>
      <c r="CC326" s="741"/>
      <c r="CD326" s="741"/>
      <c r="CE326" s="741"/>
      <c r="CF326" s="741"/>
      <c r="CG326" s="741"/>
      <c r="CH326" s="741"/>
      <c r="CI326" s="741"/>
      <c r="CJ326" s="741"/>
      <c r="CK326" s="741"/>
      <c r="CL326" s="741"/>
      <c r="CM326" s="741"/>
      <c r="CN326" s="741"/>
      <c r="CO326" s="741"/>
      <c r="CP326" s="741"/>
      <c r="CQ326" s="741"/>
      <c r="CR326" s="741"/>
      <c r="CS326" s="741"/>
      <c r="CT326" s="741"/>
      <c r="CU326" s="741"/>
      <c r="CV326" s="741"/>
      <c r="CW326" s="741"/>
      <c r="CX326" s="741"/>
    </row>
    <row r="327" spans="1:102" s="693" customFormat="1" outlineLevel="1">
      <c r="A327" s="713" t="s">
        <v>214</v>
      </c>
      <c r="B327" s="714">
        <v>267</v>
      </c>
      <c r="C327" s="714">
        <v>319</v>
      </c>
      <c r="D327" s="714">
        <v>279</v>
      </c>
      <c r="E327" s="714">
        <v>294</v>
      </c>
      <c r="F327" s="714">
        <v>286</v>
      </c>
      <c r="G327" s="714">
        <v>128</v>
      </c>
      <c r="H327" s="714">
        <v>104</v>
      </c>
      <c r="I327" s="714">
        <v>118</v>
      </c>
      <c r="J327" s="793">
        <f t="shared" ref="J327:Q327" si="593">I327/I325*J325</f>
        <v>121.79637930748582</v>
      </c>
      <c r="K327" s="793">
        <f t="shared" si="593"/>
        <v>127.91776895781021</v>
      </c>
      <c r="L327" s="793">
        <f t="shared" si="593"/>
        <v>134.71629995186427</v>
      </c>
      <c r="M327" s="793">
        <f t="shared" si="593"/>
        <v>140.22087027822528</v>
      </c>
      <c r="N327" s="793">
        <f t="shared" si="593"/>
        <v>146.03688584715761</v>
      </c>
      <c r="O327" s="793">
        <f t="shared" si="593"/>
        <v>152.18832082921645</v>
      </c>
      <c r="P327" s="793">
        <f t="shared" si="593"/>
        <v>158.70133170140147</v>
      </c>
      <c r="Q327" s="793">
        <f t="shared" si="593"/>
        <v>165.60446902448294</v>
      </c>
      <c r="R327" s="715"/>
      <c r="S327" s="716">
        <v>68</v>
      </c>
      <c r="T327" s="716">
        <v>79</v>
      </c>
      <c r="U327" s="716">
        <v>70</v>
      </c>
      <c r="V327" s="716">
        <v>77</v>
      </c>
      <c r="W327" s="717">
        <v>68</v>
      </c>
      <c r="X327" s="716">
        <v>80</v>
      </c>
      <c r="Y327" s="716">
        <v>68</v>
      </c>
      <c r="Z327" s="716">
        <v>70</v>
      </c>
      <c r="AA327" s="717">
        <v>38</v>
      </c>
      <c r="AB327" s="716">
        <v>32</v>
      </c>
      <c r="AC327" s="716">
        <v>31</v>
      </c>
      <c r="AD327" s="716">
        <f>G327-AA327-AB327-AC327</f>
        <v>27</v>
      </c>
      <c r="AE327" s="717">
        <v>25</v>
      </c>
      <c r="AF327" s="716">
        <v>17</v>
      </c>
      <c r="AG327" s="716">
        <v>29</v>
      </c>
      <c r="AH327" s="718">
        <f>+H327-SUM(AE327:AG327)</f>
        <v>33</v>
      </c>
      <c r="AI327" s="717">
        <v>27</v>
      </c>
      <c r="AJ327" s="716">
        <v>35</v>
      </c>
      <c r="AK327" s="716">
        <v>20</v>
      </c>
      <c r="AL327" s="718">
        <f>I327-AI327-AJ327-AK327</f>
        <v>36</v>
      </c>
      <c r="AM327" s="717">
        <v>57</v>
      </c>
      <c r="AN327" s="788">
        <f t="shared" ref="AN327:AO327" si="594">AJ327/AJ325*AN325</f>
        <v>36.522801834712183</v>
      </c>
      <c r="AO327" s="788">
        <f t="shared" si="594"/>
        <v>20.314130867861753</v>
      </c>
      <c r="AP327" s="716">
        <f t="shared" ref="AP327:AP330" si="595">J327-AM327-AN327-AO327</f>
        <v>7.9594466049118857</v>
      </c>
      <c r="AQ327" s="1392"/>
      <c r="AR327" s="692"/>
      <c r="AS327" s="692"/>
      <c r="AT327" s="692"/>
      <c r="AU327" s="692"/>
      <c r="AV327" s="692"/>
      <c r="AW327" s="692"/>
      <c r="AX327" s="692"/>
      <c r="AY327" s="692"/>
      <c r="AZ327" s="692"/>
      <c r="BA327" s="692"/>
      <c r="BB327"/>
      <c r="BC327"/>
      <c r="BD327"/>
      <c r="BE327"/>
      <c r="BF327"/>
      <c r="BG327"/>
      <c r="BJ327" s="714"/>
      <c r="BK327" s="714"/>
      <c r="BL327" s="714"/>
      <c r="BM327" s="714"/>
      <c r="BN327" s="714"/>
    </row>
    <row r="328" spans="1:102" s="693" customFormat="1" outlineLevel="1">
      <c r="A328" s="713" t="s">
        <v>215</v>
      </c>
      <c r="B328" s="948">
        <v>8859</v>
      </c>
      <c r="C328" s="948">
        <v>9792</v>
      </c>
      <c r="D328" s="948">
        <v>8981</v>
      </c>
      <c r="E328" s="948">
        <v>9453</v>
      </c>
      <c r="F328" s="948">
        <v>9848</v>
      </c>
      <c r="G328" s="948">
        <f t="shared" ref="G328:Q328" si="596">G327+G325</f>
        <v>10198</v>
      </c>
      <c r="H328" s="948">
        <f t="shared" si="596"/>
        <v>10248</v>
      </c>
      <c r="I328" s="948">
        <f t="shared" si="596"/>
        <v>10178</v>
      </c>
      <c r="J328" s="908">
        <f t="shared" si="596"/>
        <v>10505.453801623649</v>
      </c>
      <c r="K328" s="908">
        <f t="shared" si="596"/>
        <v>11033.449597055867</v>
      </c>
      <c r="L328" s="908">
        <f t="shared" si="596"/>
        <v>11619.851702627751</v>
      </c>
      <c r="M328" s="908">
        <f t="shared" si="596"/>
        <v>12094.644217726924</v>
      </c>
      <c r="N328" s="908">
        <f t="shared" si="596"/>
        <v>12596.300204681105</v>
      </c>
      <c r="O328" s="908">
        <f t="shared" si="596"/>
        <v>13126.887537286148</v>
      </c>
      <c r="P328" s="908">
        <f t="shared" si="596"/>
        <v>13688.662322515802</v>
      </c>
      <c r="Q328" s="908">
        <f t="shared" si="596"/>
        <v>14284.087167213456</v>
      </c>
      <c r="R328" s="947"/>
      <c r="S328" s="948">
        <v>2327</v>
      </c>
      <c r="T328" s="948">
        <v>2295</v>
      </c>
      <c r="U328" s="948">
        <v>2343</v>
      </c>
      <c r="V328" s="948">
        <v>2488</v>
      </c>
      <c r="W328" s="949">
        <v>2386</v>
      </c>
      <c r="X328" s="948">
        <v>2411</v>
      </c>
      <c r="Y328" s="948">
        <v>2469</v>
      </c>
      <c r="Z328" s="948">
        <v>2582</v>
      </c>
      <c r="AA328" s="949">
        <f t="shared" ref="AA328:AP328" si="597">AA327+AA325</f>
        <v>2482</v>
      </c>
      <c r="AB328" s="948">
        <f t="shared" si="597"/>
        <v>2562</v>
      </c>
      <c r="AC328" s="948">
        <f t="shared" si="597"/>
        <v>2573</v>
      </c>
      <c r="AD328" s="948">
        <f t="shared" si="597"/>
        <v>2581</v>
      </c>
      <c r="AE328" s="949">
        <f t="shared" si="597"/>
        <v>2470</v>
      </c>
      <c r="AF328" s="948">
        <f t="shared" si="597"/>
        <v>2594</v>
      </c>
      <c r="AG328" s="948">
        <f t="shared" si="597"/>
        <v>2546</v>
      </c>
      <c r="AH328" s="950">
        <f t="shared" si="597"/>
        <v>2638</v>
      </c>
      <c r="AI328" s="949">
        <f t="shared" si="597"/>
        <v>2457</v>
      </c>
      <c r="AJ328" s="948">
        <f t="shared" si="597"/>
        <v>2486</v>
      </c>
      <c r="AK328" s="948">
        <f t="shared" si="597"/>
        <v>2604</v>
      </c>
      <c r="AL328" s="950">
        <f t="shared" si="597"/>
        <v>2631</v>
      </c>
      <c r="AM328" s="948">
        <f t="shared" si="597"/>
        <v>2574</v>
      </c>
      <c r="AN328" s="948">
        <f t="shared" si="597"/>
        <v>2594.1624388884138</v>
      </c>
      <c r="AO328" s="948">
        <f t="shared" si="597"/>
        <v>2644.8998389956005</v>
      </c>
      <c r="AP328" s="948">
        <f t="shared" si="597"/>
        <v>2692.3915237396359</v>
      </c>
      <c r="AQ328" s="1383"/>
      <c r="AR328" s="692"/>
      <c r="AS328" s="692"/>
      <c r="AT328" s="692"/>
      <c r="AU328" s="692"/>
      <c r="AV328" s="692"/>
      <c r="AW328" s="692"/>
      <c r="AX328" s="692"/>
      <c r="AY328" s="692"/>
      <c r="AZ328" s="692"/>
      <c r="BA328" s="692"/>
      <c r="BB328"/>
      <c r="BC328"/>
      <c r="BD328"/>
      <c r="BE328"/>
      <c r="BF328"/>
      <c r="BG328"/>
      <c r="BJ328" s="951"/>
      <c r="BK328" s="951"/>
      <c r="BL328" s="951"/>
      <c r="BM328" s="951"/>
      <c r="BN328" s="951"/>
    </row>
    <row r="329" spans="1:102" s="693" customFormat="1">
      <c r="A329" s="713" t="s">
        <v>216</v>
      </c>
      <c r="B329" s="714">
        <v>16</v>
      </c>
      <c r="C329" s="714">
        <v>9</v>
      </c>
      <c r="D329" s="714">
        <v>12</v>
      </c>
      <c r="E329" s="714">
        <v>18</v>
      </c>
      <c r="F329" s="714">
        <v>12</v>
      </c>
      <c r="G329" s="714">
        <v>25</v>
      </c>
      <c r="H329" s="714">
        <v>37</v>
      </c>
      <c r="I329" s="714">
        <v>37</v>
      </c>
      <c r="J329" s="793">
        <f t="shared" ref="J329:Q329" si="598">I329/I325*J325</f>
        <v>38.190390121838774</v>
      </c>
      <c r="K329" s="793">
        <f t="shared" si="598"/>
        <v>40.109808910499815</v>
      </c>
      <c r="L329" s="793">
        <f t="shared" si="598"/>
        <v>42.241551679821853</v>
      </c>
      <c r="M329" s="793">
        <f t="shared" si="598"/>
        <v>43.967561019443522</v>
      </c>
      <c r="N329" s="793">
        <f t="shared" si="598"/>
        <v>45.791226918176541</v>
      </c>
      <c r="O329" s="793">
        <f t="shared" si="598"/>
        <v>47.720066700686516</v>
      </c>
      <c r="P329" s="793">
        <f t="shared" si="598"/>
        <v>49.76228197416826</v>
      </c>
      <c r="Q329" s="793">
        <f t="shared" si="598"/>
        <v>51.926825033100585</v>
      </c>
      <c r="R329" s="715"/>
      <c r="S329" s="716">
        <v>3</v>
      </c>
      <c r="T329" s="716">
        <v>5</v>
      </c>
      <c r="U329" s="716">
        <v>4</v>
      </c>
      <c r="V329" s="716">
        <v>6</v>
      </c>
      <c r="W329" s="717">
        <v>3</v>
      </c>
      <c r="X329" s="716">
        <v>3</v>
      </c>
      <c r="Y329" s="716">
        <v>3</v>
      </c>
      <c r="Z329" s="716">
        <v>3</v>
      </c>
      <c r="AA329" s="717">
        <v>6</v>
      </c>
      <c r="AB329" s="716">
        <v>6</v>
      </c>
      <c r="AC329" s="716">
        <v>6</v>
      </c>
      <c r="AD329" s="716">
        <f>G329-AA329-AB329-AC329</f>
        <v>7</v>
      </c>
      <c r="AE329" s="717">
        <v>9</v>
      </c>
      <c r="AF329" s="716">
        <v>12</v>
      </c>
      <c r="AG329" s="716">
        <v>10</v>
      </c>
      <c r="AH329" s="718">
        <f>H329-AE329-AF329-AG329</f>
        <v>6</v>
      </c>
      <c r="AI329" s="717">
        <v>10</v>
      </c>
      <c r="AJ329" s="716">
        <v>9</v>
      </c>
      <c r="AK329" s="716">
        <v>8</v>
      </c>
      <c r="AL329" s="718">
        <f>I329-AI329-AJ329-AK329</f>
        <v>10</v>
      </c>
      <c r="AM329" s="717">
        <v>4</v>
      </c>
      <c r="AN329" s="788">
        <f t="shared" ref="AN329:AO329" si="599">AJ329/AJ325*AN325</f>
        <v>9.3915776146402763</v>
      </c>
      <c r="AO329" s="788">
        <f t="shared" si="599"/>
        <v>8.1256523471447029</v>
      </c>
      <c r="AP329" s="716">
        <f t="shared" si="595"/>
        <v>16.673160160053797</v>
      </c>
      <c r="AQ329" s="1392"/>
      <c r="AR329" s="692"/>
      <c r="AS329" s="692"/>
      <c r="AT329" s="692"/>
      <c r="AU329" s="692"/>
      <c r="AV329" s="692"/>
      <c r="AW329" s="692"/>
      <c r="AX329" s="692"/>
      <c r="AY329" s="692"/>
      <c r="AZ329" s="692"/>
      <c r="BA329" s="692"/>
      <c r="BB329"/>
      <c r="BC329"/>
      <c r="BD329"/>
      <c r="BE329"/>
      <c r="BF329"/>
      <c r="BG329"/>
      <c r="BJ329" s="714"/>
      <c r="BK329" s="714"/>
      <c r="BL329" s="714"/>
      <c r="BM329" s="714"/>
      <c r="BN329" s="714"/>
    </row>
    <row r="330" spans="1:102" s="693" customFormat="1">
      <c r="A330" s="713" t="s">
        <v>219</v>
      </c>
      <c r="B330" s="714">
        <v>-4878</v>
      </c>
      <c r="C330" s="714">
        <v>-5055</v>
      </c>
      <c r="D330" s="714">
        <v>-4684</v>
      </c>
      <c r="E330" s="714">
        <v>-5047</v>
      </c>
      <c r="F330" s="714">
        <v>-5306</v>
      </c>
      <c r="G330" s="714">
        <f>-5844+506</f>
        <v>-5338</v>
      </c>
      <c r="H330" s="714">
        <v>-5396</v>
      </c>
      <c r="I330" s="714">
        <v>-5216</v>
      </c>
      <c r="J330" s="714">
        <f t="shared" ref="J330:Q330" si="600">-J325*J331</f>
        <v>-5399.5018596044056</v>
      </c>
      <c r="K330" s="714">
        <f t="shared" si="600"/>
        <v>-5561.8212323300095</v>
      </c>
      <c r="L330" s="714">
        <f t="shared" si="600"/>
        <v>-5799.9933783513234</v>
      </c>
      <c r="M330" s="714">
        <f t="shared" si="600"/>
        <v>-5977.2116737243496</v>
      </c>
      <c r="N330" s="714">
        <f t="shared" si="600"/>
        <v>-6100.6290262286338</v>
      </c>
      <c r="O330" s="714">
        <f t="shared" si="600"/>
        <v>-6357.6026160638958</v>
      </c>
      <c r="P330" s="714">
        <f t="shared" si="600"/>
        <v>-6494.3812755909121</v>
      </c>
      <c r="Q330" s="714">
        <f t="shared" si="600"/>
        <v>-6776.8716951307069</v>
      </c>
      <c r="R330" s="715"/>
      <c r="S330" s="716">
        <v>-1159</v>
      </c>
      <c r="T330" s="716">
        <v>-1225</v>
      </c>
      <c r="U330" s="716">
        <v>-1288</v>
      </c>
      <c r="V330" s="716">
        <v>-1375</v>
      </c>
      <c r="W330" s="717">
        <v>-1269</v>
      </c>
      <c r="X330" s="716">
        <v>-1300</v>
      </c>
      <c r="Y330" s="716">
        <v>-1321</v>
      </c>
      <c r="Z330" s="716">
        <v>-1416</v>
      </c>
      <c r="AA330" s="717">
        <f>-1409+108</f>
        <v>-1301</v>
      </c>
      <c r="AB330" s="716">
        <f>-1433+116</f>
        <v>-1317</v>
      </c>
      <c r="AC330" s="716">
        <f>-1487+133</f>
        <v>-1354</v>
      </c>
      <c r="AD330" s="716">
        <f>G330-AA330-AB330-AC330</f>
        <v>-1366</v>
      </c>
      <c r="AE330" s="717">
        <v>-1299</v>
      </c>
      <c r="AF330" s="716">
        <v>-1354</v>
      </c>
      <c r="AG330" s="716">
        <v>-1369</v>
      </c>
      <c r="AH330" s="718">
        <f>+H330-SUM(AE330:AG330)</f>
        <v>-1374</v>
      </c>
      <c r="AI330" s="717">
        <v>-1277</v>
      </c>
      <c r="AJ330" s="716">
        <v>-1269</v>
      </c>
      <c r="AK330" s="716">
        <v>-1340</v>
      </c>
      <c r="AL330" s="718">
        <f>I330-AI330-AJ330-AK330</f>
        <v>-1330</v>
      </c>
      <c r="AM330" s="716">
        <v>-1262</v>
      </c>
      <c r="AN330" s="716">
        <f t="shared" ref="AN330:AO330" si="601">-AN325*AN331</f>
        <v>-1329.972611267925</v>
      </c>
      <c r="AO330" s="716">
        <f t="shared" si="601"/>
        <v>-1364.7845682264242</v>
      </c>
      <c r="AP330" s="716">
        <f t="shared" si="595"/>
        <v>-1442.7446801100564</v>
      </c>
      <c r="AQ330" s="1392"/>
      <c r="AR330" s="692"/>
      <c r="AS330" s="692"/>
      <c r="AT330" s="692"/>
      <c r="AU330" s="692"/>
      <c r="AV330" s="692"/>
      <c r="AW330" s="692"/>
      <c r="AX330" s="692"/>
      <c r="AY330" s="692"/>
      <c r="AZ330" s="692"/>
      <c r="BA330" s="692"/>
      <c r="BB330"/>
      <c r="BC330"/>
      <c r="BD330"/>
      <c r="BE330"/>
      <c r="BF330"/>
      <c r="BG330"/>
      <c r="BJ330" s="714"/>
      <c r="BK330" s="714"/>
      <c r="BL330" s="714"/>
      <c r="BM330" s="714"/>
      <c r="BN330" s="714"/>
    </row>
    <row r="331" spans="1:102" s="693" customFormat="1">
      <c r="A331" s="713" t="s">
        <v>95</v>
      </c>
      <c r="B331" s="731">
        <v>0.56773743016759781</v>
      </c>
      <c r="C331" s="731">
        <v>0.53362187269080541</v>
      </c>
      <c r="D331" s="731">
        <v>0.53826706504251898</v>
      </c>
      <c r="E331" s="731">
        <v>0.55104269025002728</v>
      </c>
      <c r="F331" s="731">
        <v>0.554904831625183</v>
      </c>
      <c r="G331" s="731">
        <f>-G330/G325</f>
        <v>0.53008937437934456</v>
      </c>
      <c r="H331" s="731">
        <f>-H330/H325</f>
        <v>0.53194006309148267</v>
      </c>
      <c r="I331" s="731">
        <f>-I330/I325</f>
        <v>0.51848906560636188</v>
      </c>
      <c r="J331" s="824">
        <v>0.52</v>
      </c>
      <c r="K331" s="824">
        <v>0.51</v>
      </c>
      <c r="L331" s="824">
        <v>0.505</v>
      </c>
      <c r="M331" s="824">
        <v>0.5</v>
      </c>
      <c r="N331" s="824">
        <v>0.49</v>
      </c>
      <c r="O331" s="824">
        <v>0.49</v>
      </c>
      <c r="P331" s="824">
        <v>0.48</v>
      </c>
      <c r="Q331" s="824">
        <v>0.48</v>
      </c>
      <c r="R331" s="721"/>
      <c r="S331" s="732">
        <v>0.51305887560867636</v>
      </c>
      <c r="T331" s="732">
        <v>0.55279783393501802</v>
      </c>
      <c r="U331" s="732">
        <v>0.5666520017597888</v>
      </c>
      <c r="V331" s="732">
        <v>0.57030277892990455</v>
      </c>
      <c r="W331" s="733">
        <v>0.54745470232959448</v>
      </c>
      <c r="X331" s="732">
        <v>0.55770055770055771</v>
      </c>
      <c r="Y331" s="732">
        <v>0.55018742190753855</v>
      </c>
      <c r="Z331" s="732">
        <v>0.56369426751592355</v>
      </c>
      <c r="AA331" s="733">
        <f>-AA330/AA325</f>
        <v>0.53232405891980361</v>
      </c>
      <c r="AB331" s="732">
        <v>0.54</v>
      </c>
      <c r="AC331" s="732">
        <v>0.54</v>
      </c>
      <c r="AD331" s="732">
        <f t="shared" ref="AD331:AM331" si="602">-AD330/AD325</f>
        <v>0.53484729835552081</v>
      </c>
      <c r="AE331" s="733">
        <f t="shared" si="602"/>
        <v>0.53128834355828225</v>
      </c>
      <c r="AF331" s="732">
        <f t="shared" si="602"/>
        <v>0.52541715172681414</v>
      </c>
      <c r="AG331" s="732">
        <f t="shared" si="602"/>
        <v>0.54390147000397293</v>
      </c>
      <c r="AH331" s="734">
        <f t="shared" si="602"/>
        <v>0.52744721689059504</v>
      </c>
      <c r="AI331" s="733">
        <f t="shared" si="602"/>
        <v>0.52551440329218102</v>
      </c>
      <c r="AJ331" s="732">
        <f t="shared" si="602"/>
        <v>0.51774785801713585</v>
      </c>
      <c r="AK331" s="732">
        <f t="shared" si="602"/>
        <v>0.51857585139318885</v>
      </c>
      <c r="AL331" s="734">
        <f t="shared" si="602"/>
        <v>0.51252408477842004</v>
      </c>
      <c r="AM331" s="733">
        <f t="shared" si="602"/>
        <v>0.50139054429876839</v>
      </c>
      <c r="AN331" s="825">
        <v>0.52</v>
      </c>
      <c r="AO331" s="825">
        <v>0.52</v>
      </c>
      <c r="AP331" s="734">
        <f>-AP330/AP325</f>
        <v>0.5374487558835892</v>
      </c>
      <c r="AQ331" s="1394"/>
      <c r="AR331" s="740"/>
      <c r="AS331" s="740"/>
      <c r="AT331" s="740"/>
      <c r="AU331" s="740"/>
      <c r="AV331" s="740"/>
      <c r="AW331" s="740"/>
      <c r="AX331" s="740"/>
      <c r="AY331" s="740"/>
      <c r="AZ331" s="740"/>
      <c r="BA331" s="740"/>
      <c r="BB331"/>
      <c r="BC331"/>
      <c r="BD331"/>
      <c r="BE331"/>
      <c r="BF331"/>
      <c r="BG331"/>
      <c r="BH331" s="741"/>
      <c r="BI331" s="741"/>
      <c r="BJ331" s="741"/>
      <c r="BK331" s="741"/>
      <c r="BL331" s="741"/>
      <c r="BM331" s="741"/>
      <c r="BN331" s="741"/>
      <c r="BO331" s="741"/>
      <c r="BP331" s="741"/>
      <c r="BQ331" s="741"/>
      <c r="BR331" s="741"/>
      <c r="BS331" s="741"/>
      <c r="BT331" s="741"/>
      <c r="BU331" s="741"/>
      <c r="BV331" s="741"/>
      <c r="BW331" s="741"/>
      <c r="BX331" s="741"/>
      <c r="BY331" s="741"/>
      <c r="BZ331" s="741"/>
      <c r="CA331" s="741"/>
      <c r="CB331" s="741"/>
      <c r="CC331" s="741"/>
      <c r="CD331" s="741"/>
      <c r="CE331" s="741"/>
      <c r="CF331" s="741"/>
      <c r="CG331" s="741"/>
      <c r="CH331" s="741"/>
      <c r="CI331" s="741"/>
      <c r="CJ331" s="741"/>
      <c r="CK331" s="741"/>
      <c r="CL331" s="741"/>
      <c r="CM331" s="741"/>
      <c r="CN331" s="741"/>
      <c r="CO331" s="741"/>
      <c r="CP331" s="741"/>
      <c r="CQ331" s="741"/>
      <c r="CR331" s="741"/>
      <c r="CS331" s="741"/>
      <c r="CT331" s="741"/>
      <c r="CU331" s="741"/>
      <c r="CV331" s="741"/>
      <c r="CW331" s="741"/>
      <c r="CX331" s="741"/>
    </row>
    <row r="332" spans="1:102" s="693" customFormat="1" outlineLevel="1">
      <c r="A332" s="713" t="s">
        <v>220</v>
      </c>
      <c r="B332" s="714"/>
      <c r="C332" s="714">
        <v>-390</v>
      </c>
      <c r="D332" s="714">
        <v>-442</v>
      </c>
      <c r="E332" s="714">
        <v>-429</v>
      </c>
      <c r="F332" s="714">
        <v>-445</v>
      </c>
      <c r="G332" s="714">
        <f>+G333-G330</f>
        <v>-506</v>
      </c>
      <c r="H332" s="716">
        <f>+H333-H330</f>
        <v>-575</v>
      </c>
      <c r="I332" s="716">
        <f>+I333-I330</f>
        <v>-584</v>
      </c>
      <c r="J332" s="714">
        <f t="shared" ref="J332:P332" si="603">-J376</f>
        <v>-454</v>
      </c>
      <c r="K332" s="714">
        <f t="shared" si="603"/>
        <v>-454</v>
      </c>
      <c r="L332" s="714">
        <f t="shared" si="603"/>
        <v>-454</v>
      </c>
      <c r="M332" s="714">
        <f t="shared" si="603"/>
        <v>-300</v>
      </c>
      <c r="N332" s="714">
        <f t="shared" si="603"/>
        <v>-200</v>
      </c>
      <c r="O332" s="714">
        <f t="shared" si="603"/>
        <v>-200</v>
      </c>
      <c r="P332" s="714">
        <f t="shared" si="603"/>
        <v>-200</v>
      </c>
      <c r="Q332" s="714">
        <f>-Q376</f>
        <v>220</v>
      </c>
      <c r="R332" s="715"/>
      <c r="S332" s="716">
        <v>-102</v>
      </c>
      <c r="T332" s="716">
        <v>-102</v>
      </c>
      <c r="U332" s="716">
        <v>-120</v>
      </c>
      <c r="V332" s="716">
        <v>-105</v>
      </c>
      <c r="W332" s="717">
        <v>-103</v>
      </c>
      <c r="X332" s="716">
        <v>-104</v>
      </c>
      <c r="Y332" s="716">
        <v>-127</v>
      </c>
      <c r="Z332" s="716">
        <v>-111</v>
      </c>
      <c r="AA332" s="717">
        <f t="shared" ref="AA332:AI332" si="604">+AA333-AA330</f>
        <v>-108</v>
      </c>
      <c r="AB332" s="716">
        <f t="shared" si="604"/>
        <v>-116</v>
      </c>
      <c r="AC332" s="716">
        <f t="shared" si="604"/>
        <v>-133</v>
      </c>
      <c r="AD332" s="716">
        <f t="shared" si="604"/>
        <v>-149</v>
      </c>
      <c r="AE332" s="717">
        <f t="shared" si="604"/>
        <v>-139</v>
      </c>
      <c r="AF332" s="716">
        <f t="shared" si="604"/>
        <v>-134</v>
      </c>
      <c r="AG332" s="716">
        <f t="shared" si="604"/>
        <v>-171</v>
      </c>
      <c r="AH332" s="718">
        <f>H332-AE332-AF332-AG332</f>
        <v>-131</v>
      </c>
      <c r="AI332" s="717">
        <f t="shared" si="604"/>
        <v>-113</v>
      </c>
      <c r="AJ332" s="716">
        <f>+AJ333-AJ330</f>
        <v>-146</v>
      </c>
      <c r="AK332" s="716">
        <f>+AK333-AK330</f>
        <v>-141</v>
      </c>
      <c r="AL332" s="718">
        <f>I332-AI332-AJ332-AK332</f>
        <v>-184</v>
      </c>
      <c r="AM332" s="716">
        <f t="shared" ref="AM332:AO332" si="605">-AM376</f>
        <v>-97</v>
      </c>
      <c r="AN332" s="716">
        <f t="shared" si="605"/>
        <v>-114</v>
      </c>
      <c r="AO332" s="716">
        <f t="shared" si="605"/>
        <v>-115</v>
      </c>
      <c r="AP332" s="716">
        <f>J332-AM332-AN332-AO332</f>
        <v>-128</v>
      </c>
      <c r="AQ332" s="1392"/>
      <c r="AR332" s="740"/>
      <c r="AS332" s="740"/>
      <c r="AT332" s="740"/>
      <c r="AU332" s="740"/>
      <c r="AV332" s="740"/>
      <c r="AW332" s="740"/>
      <c r="AX332" s="740"/>
      <c r="AY332" s="740"/>
      <c r="AZ332" s="740"/>
      <c r="BA332" s="740"/>
      <c r="BB332"/>
      <c r="BC332"/>
      <c r="BD332"/>
      <c r="BE332"/>
      <c r="BF332"/>
      <c r="BG332"/>
      <c r="BH332" s="741"/>
      <c r="BI332" s="741"/>
      <c r="BJ332" s="714"/>
      <c r="BK332" s="714"/>
      <c r="BL332" s="714"/>
      <c r="BM332" s="714"/>
      <c r="BN332" s="714"/>
      <c r="BO332" s="741"/>
      <c r="BP332" s="741"/>
      <c r="BQ332" s="741"/>
      <c r="BR332" s="741"/>
      <c r="BS332" s="741"/>
      <c r="BT332" s="741"/>
      <c r="BU332" s="741"/>
      <c r="BV332" s="741"/>
      <c r="BW332" s="741"/>
      <c r="BX332" s="741"/>
      <c r="BY332" s="741"/>
      <c r="BZ332" s="741"/>
      <c r="CA332" s="741"/>
      <c r="CB332" s="741"/>
      <c r="CC332" s="741"/>
      <c r="CD332" s="741"/>
      <c r="CE332" s="741"/>
      <c r="CF332" s="741"/>
      <c r="CG332" s="741"/>
      <c r="CH332" s="741"/>
      <c r="CI332" s="741"/>
      <c r="CJ332" s="741"/>
      <c r="CK332" s="741"/>
      <c r="CL332" s="741"/>
      <c r="CM332" s="741"/>
      <c r="CN332" s="741"/>
      <c r="CO332" s="741"/>
      <c r="CP332" s="741"/>
      <c r="CQ332" s="741"/>
      <c r="CR332" s="741"/>
      <c r="CS332" s="741"/>
      <c r="CT332" s="741"/>
      <c r="CU332" s="741"/>
      <c r="CV332" s="741"/>
      <c r="CW332" s="741"/>
      <c r="CX332" s="741"/>
    </row>
    <row r="333" spans="1:102" s="693" customFormat="1" outlineLevel="1">
      <c r="A333" s="713" t="s">
        <v>221</v>
      </c>
      <c r="B333" s="714"/>
      <c r="C333" s="714">
        <v>-5445</v>
      </c>
      <c r="D333" s="714">
        <v>-5126</v>
      </c>
      <c r="E333" s="714">
        <v>-5476</v>
      </c>
      <c r="F333" s="714">
        <v>-5751</v>
      </c>
      <c r="G333" s="714">
        <v>-5844</v>
      </c>
      <c r="H333" s="714">
        <v>-5971</v>
      </c>
      <c r="I333" s="714">
        <v>-5800</v>
      </c>
      <c r="J333" s="714">
        <f t="shared" ref="J333:P333" si="606">J330+J332</f>
        <v>-5853.5018596044056</v>
      </c>
      <c r="K333" s="714">
        <f t="shared" si="606"/>
        <v>-6015.8212323300095</v>
      </c>
      <c r="L333" s="714">
        <f t="shared" si="606"/>
        <v>-6253.9933783513234</v>
      </c>
      <c r="M333" s="714">
        <f t="shared" si="606"/>
        <v>-6277.2116737243496</v>
      </c>
      <c r="N333" s="714">
        <f t="shared" si="606"/>
        <v>-6300.6290262286338</v>
      </c>
      <c r="O333" s="714">
        <f t="shared" si="606"/>
        <v>-6557.6026160638958</v>
      </c>
      <c r="P333" s="714">
        <f t="shared" si="606"/>
        <v>-6694.3812755909121</v>
      </c>
      <c r="Q333" s="714">
        <f>Q330+Q332</f>
        <v>-6556.8716951307069</v>
      </c>
      <c r="R333" s="715"/>
      <c r="S333" s="716">
        <v>-1261</v>
      </c>
      <c r="T333" s="716">
        <v>-1327</v>
      </c>
      <c r="U333" s="716">
        <v>-1408</v>
      </c>
      <c r="V333" s="716">
        <v>-1480</v>
      </c>
      <c r="W333" s="717">
        <v>-1372</v>
      </c>
      <c r="X333" s="716">
        <v>-1404</v>
      </c>
      <c r="Y333" s="716">
        <v>-1448</v>
      </c>
      <c r="Z333" s="716">
        <v>-1527</v>
      </c>
      <c r="AA333" s="717">
        <v>-1409</v>
      </c>
      <c r="AB333" s="716">
        <v>-1433</v>
      </c>
      <c r="AC333" s="716">
        <v>-1487</v>
      </c>
      <c r="AD333" s="716">
        <f>G333-AA333-AB333-AC333</f>
        <v>-1515</v>
      </c>
      <c r="AE333" s="717">
        <v>-1438</v>
      </c>
      <c r="AF333" s="716">
        <v>-1488</v>
      </c>
      <c r="AG333" s="716">
        <v>-1540</v>
      </c>
      <c r="AH333" s="718">
        <f>AH330+AH332</f>
        <v>-1505</v>
      </c>
      <c r="AI333" s="717">
        <v>-1390</v>
      </c>
      <c r="AJ333" s="716">
        <v>-1415</v>
      </c>
      <c r="AK333" s="716">
        <v>-1481</v>
      </c>
      <c r="AL333" s="718">
        <f>AL330+AL332</f>
        <v>-1514</v>
      </c>
      <c r="AM333" s="716">
        <v>-1398</v>
      </c>
      <c r="AN333" s="716">
        <f t="shared" ref="AN333:AO333" si="607">AN330+AN332</f>
        <v>-1443.972611267925</v>
      </c>
      <c r="AO333" s="716">
        <f t="shared" si="607"/>
        <v>-1479.7845682264242</v>
      </c>
      <c r="AP333" s="716">
        <f>J333-AM333-AN333-AO333</f>
        <v>-1531.7446801100564</v>
      </c>
      <c r="AQ333" s="1392"/>
      <c r="AR333" s="740"/>
      <c r="AS333" s="740"/>
      <c r="AT333" s="740"/>
      <c r="AU333" s="740"/>
      <c r="AV333" s="740"/>
      <c r="AW333" s="740"/>
      <c r="AX333" s="740"/>
      <c r="AY333" s="740"/>
      <c r="AZ333" s="740"/>
      <c r="BA333" s="740"/>
      <c r="BB333"/>
      <c r="BC333"/>
      <c r="BD333"/>
      <c r="BE333"/>
      <c r="BF333"/>
      <c r="BG333"/>
      <c r="BH333" s="741"/>
      <c r="BI333" s="741"/>
      <c r="BJ333" s="714"/>
      <c r="BK333" s="714"/>
      <c r="BL333" s="714"/>
      <c r="BM333" s="714"/>
      <c r="BN333" s="714"/>
      <c r="BO333" s="741"/>
      <c r="BP333" s="741"/>
      <c r="BQ333" s="741"/>
      <c r="BR333" s="741"/>
      <c r="BS333" s="741"/>
      <c r="BT333" s="741"/>
      <c r="BU333" s="741"/>
      <c r="BV333" s="741"/>
      <c r="BW333" s="741"/>
      <c r="BX333" s="741"/>
      <c r="BY333" s="741"/>
      <c r="BZ333" s="741"/>
      <c r="CA333" s="741"/>
      <c r="CB333" s="741"/>
      <c r="CC333" s="741"/>
      <c r="CD333" s="741"/>
      <c r="CE333" s="741"/>
      <c r="CF333" s="741"/>
      <c r="CG333" s="741"/>
      <c r="CH333" s="741"/>
      <c r="CI333" s="741"/>
      <c r="CJ333" s="741"/>
      <c r="CK333" s="741"/>
      <c r="CL333" s="741"/>
      <c r="CM333" s="741"/>
      <c r="CN333" s="741"/>
      <c r="CO333" s="741"/>
      <c r="CP333" s="741"/>
      <c r="CQ333" s="741"/>
      <c r="CR333" s="741"/>
      <c r="CS333" s="741"/>
      <c r="CT333" s="741"/>
      <c r="CU333" s="741"/>
      <c r="CV333" s="741"/>
      <c r="CW333" s="741"/>
      <c r="CX333" s="741"/>
    </row>
    <row r="334" spans="1:102" s="693" customFormat="1" outlineLevel="1">
      <c r="A334" s="713" t="s">
        <v>251</v>
      </c>
      <c r="B334" s="714">
        <v>-279</v>
      </c>
      <c r="C334" s="714">
        <v>-299.32364959880886</v>
      </c>
      <c r="D334" s="714">
        <v>-411</v>
      </c>
      <c r="E334" s="714">
        <v>-428</v>
      </c>
      <c r="F334" s="714"/>
      <c r="G334" s="714"/>
      <c r="H334" s="714"/>
      <c r="I334" s="714"/>
      <c r="J334" s="714"/>
      <c r="K334" s="714"/>
      <c r="L334" s="714"/>
      <c r="M334" s="714"/>
      <c r="N334" s="714"/>
      <c r="O334" s="714"/>
      <c r="P334" s="714"/>
      <c r="Q334" s="714"/>
      <c r="R334" s="715"/>
      <c r="S334" s="716">
        <v>-102</v>
      </c>
      <c r="T334" s="716">
        <v>-101</v>
      </c>
      <c r="U334" s="716">
        <v>-119</v>
      </c>
      <c r="V334" s="716">
        <v>-106</v>
      </c>
      <c r="W334" s="717"/>
      <c r="X334" s="716"/>
      <c r="Y334" s="716"/>
      <c r="Z334" s="716"/>
      <c r="AA334" s="717"/>
      <c r="AB334" s="716"/>
      <c r="AC334" s="716"/>
      <c r="AD334" s="716"/>
      <c r="AE334" s="717"/>
      <c r="AF334" s="716"/>
      <c r="AG334" s="716"/>
      <c r="AH334" s="718"/>
      <c r="AI334" s="717"/>
      <c r="AJ334" s="716"/>
      <c r="AK334" s="716"/>
      <c r="AL334" s="718"/>
      <c r="AM334" s="716"/>
      <c r="AN334" s="716"/>
      <c r="AO334" s="716"/>
      <c r="AP334" s="716"/>
      <c r="AQ334" s="1383"/>
      <c r="AR334" s="692"/>
      <c r="AS334" s="692"/>
      <c r="AT334" s="692"/>
      <c r="AU334" s="692"/>
      <c r="AV334" s="692"/>
      <c r="AW334" s="692"/>
      <c r="AX334" s="692"/>
      <c r="AY334" s="692"/>
      <c r="AZ334" s="692"/>
      <c r="BA334" s="692"/>
      <c r="BB334"/>
      <c r="BC334"/>
      <c r="BD334"/>
      <c r="BE334"/>
      <c r="BF334"/>
      <c r="BG334"/>
      <c r="BJ334" s="714"/>
      <c r="BK334" s="714"/>
      <c r="BL334" s="714"/>
      <c r="BM334" s="714"/>
      <c r="BN334" s="714"/>
    </row>
    <row r="335" spans="1:102" s="693" customFormat="1" outlineLevel="1">
      <c r="A335" s="713" t="s">
        <v>257</v>
      </c>
      <c r="B335" s="714">
        <v>-4599</v>
      </c>
      <c r="C335" s="714">
        <v>-4670.0543390105431</v>
      </c>
      <c r="D335" s="714">
        <v>-4367.2709999999997</v>
      </c>
      <c r="E335" s="714">
        <v>-4619</v>
      </c>
      <c r="F335" s="714"/>
      <c r="G335" s="714"/>
      <c r="H335" s="714"/>
      <c r="I335" s="714"/>
      <c r="J335" s="714"/>
      <c r="K335" s="714"/>
      <c r="L335" s="714"/>
      <c r="M335" s="714"/>
      <c r="N335" s="714"/>
      <c r="O335" s="714"/>
      <c r="P335" s="714"/>
      <c r="Q335" s="714"/>
      <c r="R335" s="715"/>
      <c r="S335" s="716">
        <v>-1057</v>
      </c>
      <c r="T335" s="716">
        <v>-1124</v>
      </c>
      <c r="U335" s="716">
        <v>-1169</v>
      </c>
      <c r="V335" s="716">
        <v>-1269</v>
      </c>
      <c r="W335" s="717"/>
      <c r="X335" s="716"/>
      <c r="Y335" s="716"/>
      <c r="Z335" s="716"/>
      <c r="AA335" s="717"/>
      <c r="AB335" s="716"/>
      <c r="AC335" s="716"/>
      <c r="AD335" s="716"/>
      <c r="AE335" s="717"/>
      <c r="AF335" s="716"/>
      <c r="AG335" s="716"/>
      <c r="AH335" s="718"/>
      <c r="AI335" s="717"/>
      <c r="AJ335" s="716"/>
      <c r="AK335" s="716"/>
      <c r="AL335" s="718"/>
      <c r="AM335" s="716"/>
      <c r="AN335" s="716"/>
      <c r="AO335" s="716"/>
      <c r="AP335" s="716"/>
      <c r="AQ335" s="1383"/>
      <c r="AR335" s="692"/>
      <c r="AS335" s="692"/>
      <c r="AT335" s="692"/>
      <c r="AU335" s="692"/>
      <c r="AV335" s="692"/>
      <c r="AW335" s="692"/>
      <c r="AX335" s="692"/>
      <c r="AY335" s="692"/>
      <c r="AZ335" s="692"/>
      <c r="BA335" s="692"/>
      <c r="BB335"/>
      <c r="BC335"/>
      <c r="BD335"/>
      <c r="BE335"/>
      <c r="BF335"/>
      <c r="BG335"/>
      <c r="BJ335" s="714"/>
      <c r="BK335" s="714"/>
      <c r="BL335" s="714"/>
      <c r="BM335" s="714"/>
      <c r="BN335" s="714"/>
    </row>
    <row r="336" spans="1:102" s="799" customFormat="1">
      <c r="A336" s="1066" t="s">
        <v>222</v>
      </c>
      <c r="B336" s="1086">
        <v>3997</v>
      </c>
      <c r="C336" s="1086">
        <v>4746</v>
      </c>
      <c r="D336" s="1086">
        <v>4309</v>
      </c>
      <c r="E336" s="1086">
        <v>4424</v>
      </c>
      <c r="F336" s="1086">
        <v>4554</v>
      </c>
      <c r="G336" s="1086">
        <f t="shared" ref="G336:Q336" si="608">G328+G329+G330</f>
        <v>4885</v>
      </c>
      <c r="H336" s="1086">
        <f t="shared" si="608"/>
        <v>4889</v>
      </c>
      <c r="I336" s="1086">
        <f t="shared" si="608"/>
        <v>4999</v>
      </c>
      <c r="J336" s="1086">
        <f t="shared" si="608"/>
        <v>5144.142332141083</v>
      </c>
      <c r="K336" s="1086">
        <f t="shared" si="608"/>
        <v>5511.7381736363577</v>
      </c>
      <c r="L336" s="1086">
        <f t="shared" si="608"/>
        <v>5862.099875956249</v>
      </c>
      <c r="M336" s="1086">
        <f t="shared" si="608"/>
        <v>6161.4001050220168</v>
      </c>
      <c r="N336" s="1086">
        <f t="shared" si="608"/>
        <v>6541.4624053706475</v>
      </c>
      <c r="O336" s="1086">
        <f t="shared" si="608"/>
        <v>6817.0049879229391</v>
      </c>
      <c r="P336" s="1086">
        <f t="shared" si="608"/>
        <v>7244.043328899058</v>
      </c>
      <c r="Q336" s="1086">
        <f t="shared" si="608"/>
        <v>7559.1422971158499</v>
      </c>
      <c r="R336" s="1087"/>
      <c r="S336" s="1088">
        <v>1171</v>
      </c>
      <c r="T336" s="1088">
        <v>1075</v>
      </c>
      <c r="U336" s="1088">
        <v>1059</v>
      </c>
      <c r="V336" s="1088">
        <v>1119</v>
      </c>
      <c r="W336" s="1089">
        <v>1120</v>
      </c>
      <c r="X336" s="1088">
        <v>1114</v>
      </c>
      <c r="Y336" s="1088">
        <v>1151</v>
      </c>
      <c r="Z336" s="1088">
        <v>1169</v>
      </c>
      <c r="AA336" s="1089">
        <f t="shared" ref="AA336:AP336" si="609">AA328+AA329+AA330</f>
        <v>1187</v>
      </c>
      <c r="AB336" s="1088">
        <f t="shared" si="609"/>
        <v>1251</v>
      </c>
      <c r="AC336" s="1088">
        <f t="shared" si="609"/>
        <v>1225</v>
      </c>
      <c r="AD336" s="1088">
        <f t="shared" si="609"/>
        <v>1222</v>
      </c>
      <c r="AE336" s="1089">
        <f t="shared" si="609"/>
        <v>1180</v>
      </c>
      <c r="AF336" s="1088">
        <f t="shared" si="609"/>
        <v>1252</v>
      </c>
      <c r="AG336" s="1088">
        <f t="shared" si="609"/>
        <v>1187</v>
      </c>
      <c r="AH336" s="1090">
        <f t="shared" si="609"/>
        <v>1270</v>
      </c>
      <c r="AI336" s="1089">
        <f t="shared" si="609"/>
        <v>1190</v>
      </c>
      <c r="AJ336" s="1088">
        <f t="shared" si="609"/>
        <v>1226</v>
      </c>
      <c r="AK336" s="1088">
        <f t="shared" si="609"/>
        <v>1272</v>
      </c>
      <c r="AL336" s="1090">
        <f t="shared" si="609"/>
        <v>1311</v>
      </c>
      <c r="AM336" s="1088">
        <f t="shared" si="609"/>
        <v>1316</v>
      </c>
      <c r="AN336" s="1088">
        <f t="shared" si="609"/>
        <v>1273.5814052351293</v>
      </c>
      <c r="AO336" s="1088">
        <f t="shared" si="609"/>
        <v>1288.240923116321</v>
      </c>
      <c r="AP336" s="1088">
        <f t="shared" si="609"/>
        <v>1266.3200037896331</v>
      </c>
      <c r="AQ336" s="1392"/>
      <c r="AR336" s="1065"/>
      <c r="AS336" s="1065"/>
      <c r="AT336" s="1065"/>
      <c r="AU336" s="1065"/>
      <c r="AV336" s="1065"/>
      <c r="AW336" s="1065"/>
      <c r="AX336" s="1065"/>
      <c r="AY336" s="1065"/>
      <c r="AZ336" s="1065"/>
      <c r="BA336" s="1065"/>
      <c r="BB336"/>
      <c r="BC336"/>
      <c r="BD336"/>
      <c r="BE336"/>
      <c r="BF336"/>
      <c r="BG336"/>
      <c r="BJ336" s="1091"/>
      <c r="BK336" s="1091"/>
      <c r="BL336" s="1091"/>
      <c r="BM336" s="1091"/>
      <c r="BN336" s="1091"/>
    </row>
    <row r="337" spans="1:102" s="799" customFormat="1">
      <c r="A337" s="1073" t="s">
        <v>98</v>
      </c>
      <c r="B337" s="1074">
        <v>0.4652001862197393</v>
      </c>
      <c r="C337" s="1074">
        <v>0.50100285020584823</v>
      </c>
      <c r="D337" s="1074">
        <v>0.4951735233279706</v>
      </c>
      <c r="E337" s="1074">
        <v>0.48302216399170217</v>
      </c>
      <c r="F337" s="1074">
        <v>0.47626019661158753</v>
      </c>
      <c r="G337" s="1074">
        <f t="shared" ref="G337:Q337" si="610">G336/G325</f>
        <v>0.48510427010923535</v>
      </c>
      <c r="H337" s="1074">
        <f t="shared" si="610"/>
        <v>0.4819597791798107</v>
      </c>
      <c r="I337" s="1074">
        <f t="shared" si="610"/>
        <v>0.49691848906560637</v>
      </c>
      <c r="J337" s="1074">
        <f t="shared" si="610"/>
        <v>0.49540755467196818</v>
      </c>
      <c r="K337" s="1074">
        <f t="shared" si="610"/>
        <v>0.50540755467196818</v>
      </c>
      <c r="L337" s="1074">
        <f t="shared" si="610"/>
        <v>0.51040755467196808</v>
      </c>
      <c r="M337" s="1074">
        <f t="shared" si="610"/>
        <v>0.51540755467196808</v>
      </c>
      <c r="N337" s="1074">
        <f t="shared" si="610"/>
        <v>0.5254075546719682</v>
      </c>
      <c r="O337" s="1074">
        <f t="shared" si="610"/>
        <v>0.52540755467196831</v>
      </c>
      <c r="P337" s="1074">
        <f t="shared" si="610"/>
        <v>0.53540755467196821</v>
      </c>
      <c r="Q337" s="1074">
        <f t="shared" si="610"/>
        <v>0.53540755467196821</v>
      </c>
      <c r="R337" s="1075"/>
      <c r="S337" s="1076">
        <v>0.51837096060203625</v>
      </c>
      <c r="T337" s="1076">
        <v>0.48510830324909748</v>
      </c>
      <c r="U337" s="1076">
        <v>0.4659040915090189</v>
      </c>
      <c r="V337" s="1076">
        <v>0.46412277063459145</v>
      </c>
      <c r="W337" s="1077">
        <v>0.48317515099223468</v>
      </c>
      <c r="X337" s="1076">
        <v>0.47790647790647789</v>
      </c>
      <c r="Y337" s="1076">
        <v>0.47938359017076221</v>
      </c>
      <c r="Z337" s="1076">
        <v>0.46536624203821658</v>
      </c>
      <c r="AA337" s="1077">
        <f t="shared" ref="AA337:AP337" si="611">AA336/AA325</f>
        <v>0.48567921440261863</v>
      </c>
      <c r="AB337" s="1076">
        <f t="shared" si="611"/>
        <v>0.49446640316205531</v>
      </c>
      <c r="AC337" s="1076">
        <f t="shared" si="611"/>
        <v>0.48190401258851301</v>
      </c>
      <c r="AD337" s="1076">
        <f t="shared" si="611"/>
        <v>0.47846515270164447</v>
      </c>
      <c r="AE337" s="1077">
        <f t="shared" si="611"/>
        <v>0.48261758691206547</v>
      </c>
      <c r="AF337" s="1076">
        <f t="shared" si="611"/>
        <v>0.48583624369421807</v>
      </c>
      <c r="AG337" s="1076">
        <f t="shared" si="611"/>
        <v>0.47159316646801747</v>
      </c>
      <c r="AH337" s="1078">
        <f t="shared" si="611"/>
        <v>0.4875239923224568</v>
      </c>
      <c r="AI337" s="1077">
        <f t="shared" si="611"/>
        <v>0.48971193415637859</v>
      </c>
      <c r="AJ337" s="1076">
        <f t="shared" si="611"/>
        <v>0.5002039983680131</v>
      </c>
      <c r="AK337" s="1076">
        <f t="shared" si="611"/>
        <v>0.49226006191950467</v>
      </c>
      <c r="AL337" s="1078">
        <f t="shared" si="611"/>
        <v>0.50520231213872835</v>
      </c>
      <c r="AM337" s="1076">
        <f t="shared" si="611"/>
        <v>0.52284465633690902</v>
      </c>
      <c r="AN337" s="1076">
        <f t="shared" si="611"/>
        <v>0.49795185638514888</v>
      </c>
      <c r="AO337" s="1076">
        <f t="shared" si="611"/>
        <v>0.49083591331269349</v>
      </c>
      <c r="AP337" s="1076">
        <f t="shared" si="611"/>
        <v>0.47172734023550422</v>
      </c>
      <c r="AQ337" s="1393"/>
      <c r="AR337" s="1065"/>
      <c r="AS337" s="1065"/>
      <c r="AT337" s="1065"/>
      <c r="AU337" s="1065"/>
      <c r="AV337" s="1065"/>
      <c r="AW337" s="1065"/>
      <c r="AX337" s="1065"/>
      <c r="AY337" s="1065"/>
      <c r="AZ337" s="1065"/>
      <c r="BA337" s="1065"/>
      <c r="BB337"/>
      <c r="BC337"/>
      <c r="BD337"/>
      <c r="BE337"/>
      <c r="BF337"/>
      <c r="BG337"/>
      <c r="BJ337" s="1080"/>
      <c r="BK337" s="1080"/>
      <c r="BL337" s="1080"/>
      <c r="BM337" s="1080"/>
      <c r="BN337" s="1080"/>
    </row>
    <row r="338" spans="1:102" s="838" customFormat="1">
      <c r="A338" s="955" t="s">
        <v>586</v>
      </c>
      <c r="B338" s="956"/>
      <c r="C338" s="956">
        <v>0.18739054290718049</v>
      </c>
      <c r="D338" s="956">
        <v>-9.2077538980193885E-2</v>
      </c>
      <c r="E338" s="956">
        <v>2.6688326757948522E-2</v>
      </c>
      <c r="F338" s="956">
        <v>2.9385171790235143E-2</v>
      </c>
      <c r="G338" s="956">
        <f t="shared" ref="G338:P338" si="612">G336/F336-1</f>
        <v>7.2683355292050944E-2</v>
      </c>
      <c r="H338" s="956">
        <f t="shared" si="612"/>
        <v>8.1883316274300455E-4</v>
      </c>
      <c r="I338" s="956">
        <f t="shared" si="612"/>
        <v>2.2499488647985233E-2</v>
      </c>
      <c r="J338" s="956">
        <f t="shared" si="612"/>
        <v>2.9034273282873224E-2</v>
      </c>
      <c r="K338" s="956">
        <f t="shared" si="612"/>
        <v>7.1459111696521527E-2</v>
      </c>
      <c r="L338" s="956">
        <f t="shared" si="612"/>
        <v>6.3566463297501041E-2</v>
      </c>
      <c r="M338" s="956">
        <f t="shared" si="612"/>
        <v>5.1056828678979871E-2</v>
      </c>
      <c r="N338" s="956">
        <f t="shared" si="612"/>
        <v>6.1684405146624099E-2</v>
      </c>
      <c r="O338" s="956">
        <f t="shared" si="612"/>
        <v>4.2122474376076413E-2</v>
      </c>
      <c r="P338" s="956">
        <f t="shared" si="612"/>
        <v>6.2643102320251165E-2</v>
      </c>
      <c r="Q338" s="956"/>
      <c r="R338" s="750"/>
      <c r="S338" s="957"/>
      <c r="T338" s="957"/>
      <c r="U338" s="957"/>
      <c r="V338" s="957"/>
      <c r="W338" s="958">
        <v>-4.3552519214346663E-2</v>
      </c>
      <c r="X338" s="957">
        <v>3.6279069767441774E-2</v>
      </c>
      <c r="Y338" s="957">
        <v>8.6874409820585363E-2</v>
      </c>
      <c r="Z338" s="957">
        <v>4.4682752457551489E-2</v>
      </c>
      <c r="AA338" s="958">
        <f t="shared" ref="AA338:AH338" si="613">AA336/W336-1</f>
        <v>5.982142857142847E-2</v>
      </c>
      <c r="AB338" s="957">
        <f t="shared" si="613"/>
        <v>0.12298025134649904</v>
      </c>
      <c r="AC338" s="957">
        <f t="shared" si="613"/>
        <v>6.4291920069504682E-2</v>
      </c>
      <c r="AD338" s="957">
        <f t="shared" si="613"/>
        <v>4.5337895637296732E-2</v>
      </c>
      <c r="AE338" s="958">
        <f t="shared" si="613"/>
        <v>-5.8972198820556043E-3</v>
      </c>
      <c r="AF338" s="957">
        <f t="shared" si="613"/>
        <v>7.9936051159079646E-4</v>
      </c>
      <c r="AG338" s="957">
        <f t="shared" si="613"/>
        <v>-3.1020408163265345E-2</v>
      </c>
      <c r="AH338" s="959">
        <f t="shared" si="613"/>
        <v>3.9279869067103013E-2</v>
      </c>
      <c r="AI338" s="958">
        <f>AI336/AE336-1</f>
        <v>8.4745762711864181E-3</v>
      </c>
      <c r="AJ338" s="957">
        <f>AJ336/AF336-1</f>
        <v>-2.0766773162939289E-2</v>
      </c>
      <c r="AK338" s="957">
        <f>AK336/AG336-1</f>
        <v>7.1609098567817941E-2</v>
      </c>
      <c r="AL338" s="959">
        <f>AL336/AH336-1</f>
        <v>3.228346456692921E-2</v>
      </c>
      <c r="AM338" s="957">
        <f t="shared" ref="AM338" si="614">AM336/AL336-1</f>
        <v>3.8138825324181003E-3</v>
      </c>
      <c r="AN338" s="957">
        <f t="shared" ref="AN338" si="615">AN336/AM336-1</f>
        <v>-3.223297474534248E-2</v>
      </c>
      <c r="AO338" s="957">
        <f t="shared" ref="AO338" si="616">AO336/AN336-1</f>
        <v>1.1510467898583343E-2</v>
      </c>
      <c r="AP338" s="957">
        <f t="shared" ref="AP338" si="617">AP336/AO336-1</f>
        <v>-1.7016164393893085E-2</v>
      </c>
      <c r="AQ338" s="1383"/>
      <c r="AR338" s="692"/>
      <c r="AS338" s="692"/>
      <c r="AT338" s="692"/>
      <c r="AU338" s="692"/>
      <c r="AV338" s="692"/>
      <c r="AW338" s="692"/>
      <c r="AX338" s="692"/>
      <c r="AY338" s="692"/>
      <c r="AZ338" s="692"/>
      <c r="BA338" s="692"/>
      <c r="BB338"/>
      <c r="BC338"/>
      <c r="BD338"/>
      <c r="BE338"/>
      <c r="BF338"/>
      <c r="BG338"/>
      <c r="BH338" s="693"/>
      <c r="BI338" s="693"/>
      <c r="BJ338" s="754"/>
      <c r="BK338" s="754"/>
      <c r="BL338" s="754"/>
      <c r="BM338" s="754"/>
      <c r="BN338" s="754"/>
      <c r="BO338" s="693"/>
      <c r="BP338" s="693"/>
      <c r="BQ338" s="693"/>
      <c r="BR338" s="693"/>
      <c r="BS338" s="693"/>
      <c r="BT338" s="693"/>
      <c r="BU338" s="693"/>
      <c r="BV338" s="693"/>
      <c r="BW338" s="693"/>
      <c r="BX338" s="693"/>
      <c r="BY338" s="693"/>
      <c r="BZ338" s="693"/>
      <c r="CA338" s="693"/>
      <c r="CB338" s="693"/>
      <c r="CC338" s="693"/>
      <c r="CD338" s="693"/>
      <c r="CE338" s="693"/>
      <c r="CF338" s="693"/>
      <c r="CG338" s="693"/>
      <c r="CH338" s="693"/>
      <c r="CI338" s="693"/>
      <c r="CJ338" s="693"/>
      <c r="CK338" s="693"/>
      <c r="CL338" s="693"/>
      <c r="CM338" s="693"/>
      <c r="CN338" s="693"/>
      <c r="CO338" s="693"/>
      <c r="CP338" s="693"/>
      <c r="CQ338" s="693"/>
      <c r="CR338" s="693"/>
      <c r="CS338" s="693"/>
      <c r="CT338" s="693"/>
      <c r="CU338" s="693"/>
      <c r="CV338" s="693"/>
      <c r="CW338" s="693"/>
      <c r="CX338" s="693"/>
    </row>
    <row r="339" spans="1:102" s="838" customFormat="1">
      <c r="A339" s="713" t="s">
        <v>1844</v>
      </c>
      <c r="B339" s="956"/>
      <c r="C339" s="956"/>
      <c r="D339" s="956"/>
      <c r="E339" s="956"/>
      <c r="F339" s="956"/>
      <c r="G339" s="1369">
        <f t="shared" ref="G339:I339" si="618">G344+G354</f>
        <v>-2025</v>
      </c>
      <c r="H339" s="1369">
        <f t="shared" si="618"/>
        <v>-1981</v>
      </c>
      <c r="I339" s="1369">
        <f t="shared" si="618"/>
        <v>-2126</v>
      </c>
      <c r="J339" s="1369">
        <f>-J325*J340</f>
        <v>-2076.7314844632328</v>
      </c>
      <c r="K339" s="1369">
        <f t="shared" ref="K339:Q339" si="619">-K325*K340</f>
        <v>-2181.1063656196116</v>
      </c>
      <c r="L339" s="1369">
        <f t="shared" si="619"/>
        <v>-2297.0270805351774</v>
      </c>
      <c r="M339" s="1369">
        <f t="shared" si="619"/>
        <v>-2390.8846694897397</v>
      </c>
      <c r="N339" s="1369">
        <f t="shared" si="619"/>
        <v>-2490.0526637667899</v>
      </c>
      <c r="O339" s="1369">
        <f t="shared" si="619"/>
        <v>-2594.9398432913863</v>
      </c>
      <c r="P339" s="1369">
        <f t="shared" si="619"/>
        <v>-2705.9921981628804</v>
      </c>
      <c r="Q339" s="1369">
        <f t="shared" si="619"/>
        <v>-2823.6965396377946</v>
      </c>
      <c r="R339" s="750"/>
      <c r="S339" s="957"/>
      <c r="T339" s="957"/>
      <c r="U339" s="957"/>
      <c r="V339" s="957"/>
      <c r="W339" s="958"/>
      <c r="X339" s="957"/>
      <c r="Y339" s="957"/>
      <c r="Z339" s="957"/>
      <c r="AA339" s="958"/>
      <c r="AB339" s="957"/>
      <c r="AC339" s="957"/>
      <c r="AD339" s="957"/>
      <c r="AE339" s="958"/>
      <c r="AF339" s="957"/>
      <c r="AG339" s="957"/>
      <c r="AH339" s="959"/>
      <c r="AI339" s="1368">
        <f t="shared" ref="AI339:AL339" si="620">AI344+AI354</f>
        <v>-509</v>
      </c>
      <c r="AJ339" s="1369">
        <f t="shared" si="620"/>
        <v>-524</v>
      </c>
      <c r="AK339" s="1369">
        <f t="shared" si="620"/>
        <v>-512</v>
      </c>
      <c r="AL339" s="1370">
        <f t="shared" si="620"/>
        <v>-581</v>
      </c>
      <c r="AM339" s="1369">
        <v>-602</v>
      </c>
      <c r="AN339" s="1369">
        <f>-AN325*AN340</f>
        <v>-511.52792741074046</v>
      </c>
      <c r="AO339" s="1369">
        <f>-AO325*AO340</f>
        <v>-524.91714162554774</v>
      </c>
      <c r="AP339" s="716">
        <f t="shared" ref="AP339" si="621">J339-AM339-AN339-AO339</f>
        <v>-438.2864154269447</v>
      </c>
      <c r="AQ339" s="1392"/>
      <c r="AR339" s="692"/>
      <c r="AS339" s="692"/>
      <c r="AT339" s="692"/>
      <c r="AU339" s="692"/>
      <c r="AV339" s="692"/>
      <c r="AW339" s="692"/>
      <c r="AX339" s="692"/>
      <c r="AY339" s="692"/>
      <c r="AZ339" s="692"/>
      <c r="BA339" s="692"/>
      <c r="BB339"/>
      <c r="BC339"/>
      <c r="BD339"/>
      <c r="BE339"/>
      <c r="BF339"/>
      <c r="BG339"/>
      <c r="BH339" s="693"/>
      <c r="BI339" s="693"/>
      <c r="BJ339" s="754"/>
      <c r="BK339" s="754"/>
      <c r="BL339" s="754"/>
      <c r="BM339" s="754"/>
      <c r="BN339" s="754"/>
      <c r="BO339" s="693"/>
      <c r="BP339" s="693"/>
      <c r="BQ339" s="693"/>
      <c r="BR339" s="693"/>
      <c r="BS339" s="693"/>
      <c r="BT339" s="693"/>
      <c r="BU339" s="693"/>
      <c r="BV339" s="693"/>
      <c r="BW339" s="693"/>
      <c r="BX339" s="693"/>
      <c r="BY339" s="693"/>
      <c r="BZ339" s="693"/>
      <c r="CA339" s="693"/>
      <c r="CB339" s="693"/>
      <c r="CC339" s="693"/>
      <c r="CD339" s="693"/>
      <c r="CE339" s="693"/>
      <c r="CF339" s="693"/>
      <c r="CG339" s="693"/>
      <c r="CH339" s="693"/>
      <c r="CI339" s="693"/>
      <c r="CJ339" s="693"/>
      <c r="CK339" s="693"/>
      <c r="CL339" s="693"/>
      <c r="CM339" s="693"/>
      <c r="CN339" s="693"/>
      <c r="CO339" s="693"/>
      <c r="CP339" s="693"/>
      <c r="CQ339" s="693"/>
      <c r="CR339" s="693"/>
      <c r="CS339" s="693"/>
      <c r="CT339" s="693"/>
      <c r="CU339" s="693"/>
      <c r="CV339" s="693"/>
      <c r="CW339" s="693"/>
      <c r="CX339" s="693"/>
    </row>
    <row r="340" spans="1:102" s="838" customFormat="1">
      <c r="A340" s="713" t="s">
        <v>95</v>
      </c>
      <c r="B340" s="956"/>
      <c r="C340" s="956"/>
      <c r="D340" s="956"/>
      <c r="E340" s="956"/>
      <c r="F340" s="956"/>
      <c r="G340" s="957">
        <f t="shared" ref="G340:H340" si="622">-G339/G325</f>
        <v>0.20109235352532273</v>
      </c>
      <c r="H340" s="957">
        <f t="shared" si="622"/>
        <v>0.19528785488958991</v>
      </c>
      <c r="I340" s="957">
        <f>-I339/I325</f>
        <v>0.21133200795228629</v>
      </c>
      <c r="J340" s="825">
        <v>0.2</v>
      </c>
      <c r="K340" s="825">
        <v>0.2</v>
      </c>
      <c r="L340" s="825">
        <v>0.2</v>
      </c>
      <c r="M340" s="825">
        <v>0.2</v>
      </c>
      <c r="N340" s="825">
        <v>0.2</v>
      </c>
      <c r="O340" s="825">
        <v>0.2</v>
      </c>
      <c r="P340" s="825">
        <v>0.2</v>
      </c>
      <c r="Q340" s="825">
        <v>0.2</v>
      </c>
      <c r="R340" s="750"/>
      <c r="S340" s="957"/>
      <c r="T340" s="957"/>
      <c r="U340" s="957"/>
      <c r="V340" s="957"/>
      <c r="W340" s="958"/>
      <c r="X340" s="957"/>
      <c r="Y340" s="957"/>
      <c r="Z340" s="957"/>
      <c r="AA340" s="958"/>
      <c r="AB340" s="957"/>
      <c r="AC340" s="957"/>
      <c r="AD340" s="957"/>
      <c r="AE340" s="958"/>
      <c r="AF340" s="957"/>
      <c r="AG340" s="957"/>
      <c r="AH340" s="959"/>
      <c r="AI340" s="958">
        <f t="shared" ref="AI340:AP340" si="623">-AI339/AI325</f>
        <v>0.2094650205761317</v>
      </c>
      <c r="AJ340" s="957">
        <f t="shared" si="623"/>
        <v>0.21379028967768257</v>
      </c>
      <c r="AK340" s="957">
        <f t="shared" si="623"/>
        <v>0.19814241486068113</v>
      </c>
      <c r="AL340" s="959">
        <f t="shared" si="623"/>
        <v>0.22389210019267822</v>
      </c>
      <c r="AM340" s="957">
        <f t="shared" si="623"/>
        <v>0.23917361938816051</v>
      </c>
      <c r="AN340" s="825">
        <v>0.20000000000000004</v>
      </c>
      <c r="AO340" s="825">
        <v>0.2</v>
      </c>
      <c r="AP340" s="957">
        <f t="shared" si="623"/>
        <v>0.16326969833215429</v>
      </c>
      <c r="AQ340" s="1383"/>
      <c r="AR340" s="692"/>
      <c r="AS340" s="692"/>
      <c r="AT340" s="692"/>
      <c r="AU340" s="692"/>
      <c r="AV340" s="692"/>
      <c r="AW340" s="692"/>
      <c r="AX340" s="692"/>
      <c r="AY340" s="692"/>
      <c r="AZ340" s="692"/>
      <c r="BA340" s="692"/>
      <c r="BB340"/>
      <c r="BC340"/>
      <c r="BD340"/>
      <c r="BE340"/>
      <c r="BF340"/>
      <c r="BG340"/>
      <c r="BH340" s="693"/>
      <c r="BI340" s="693"/>
      <c r="BJ340" s="754"/>
      <c r="BK340" s="754"/>
      <c r="BL340" s="754"/>
      <c r="BM340" s="754"/>
      <c r="BN340" s="754"/>
      <c r="BO340" s="693"/>
      <c r="BP340" s="693"/>
      <c r="BQ340" s="693"/>
      <c r="BR340" s="693"/>
      <c r="BS340" s="693"/>
      <c r="BT340" s="693"/>
      <c r="BU340" s="693"/>
      <c r="BV340" s="693"/>
      <c r="BW340" s="693"/>
      <c r="BX340" s="693"/>
      <c r="BY340" s="693"/>
      <c r="BZ340" s="693"/>
      <c r="CA340" s="693"/>
      <c r="CB340" s="693"/>
      <c r="CC340" s="693"/>
      <c r="CD340" s="693"/>
      <c r="CE340" s="693"/>
      <c r="CF340" s="693"/>
      <c r="CG340" s="693"/>
      <c r="CH340" s="693"/>
      <c r="CI340" s="693"/>
      <c r="CJ340" s="693"/>
      <c r="CK340" s="693"/>
      <c r="CL340" s="693"/>
      <c r="CM340" s="693"/>
      <c r="CN340" s="693"/>
      <c r="CO340" s="693"/>
      <c r="CP340" s="693"/>
      <c r="CQ340" s="693"/>
      <c r="CR340" s="693"/>
      <c r="CS340" s="693"/>
      <c r="CT340" s="693"/>
      <c r="CU340" s="693"/>
      <c r="CV340" s="693"/>
      <c r="CW340" s="693"/>
      <c r="CX340" s="693"/>
    </row>
    <row r="341" spans="1:102" s="693" customFormat="1" outlineLevel="1">
      <c r="A341" s="896" t="s">
        <v>586</v>
      </c>
      <c r="B341" s="755"/>
      <c r="C341" s="755"/>
      <c r="D341" s="755"/>
      <c r="E341" s="755"/>
      <c r="F341" s="755"/>
      <c r="G341" s="755"/>
      <c r="H341" s="962">
        <f>H339/G339-1</f>
        <v>-2.1728395061728412E-2</v>
      </c>
      <c r="I341" s="962">
        <f>I339/H339-1</f>
        <v>7.3195355880868229E-2</v>
      </c>
      <c r="J341" s="962">
        <f t="shared" ref="J341:Q341" si="624">J339/I339-1</f>
        <v>-2.3174278239307178E-2</v>
      </c>
      <c r="K341" s="962">
        <f t="shared" si="624"/>
        <v>5.0259208731241456E-2</v>
      </c>
      <c r="L341" s="962">
        <f t="shared" si="624"/>
        <v>5.3147667047698022E-2</v>
      </c>
      <c r="M341" s="962">
        <f t="shared" si="624"/>
        <v>4.0860462529982211E-2</v>
      </c>
      <c r="N341" s="962">
        <f t="shared" si="624"/>
        <v>4.1477531535728307E-2</v>
      </c>
      <c r="O341" s="962">
        <f t="shared" si="624"/>
        <v>4.2122474376075969E-2</v>
      </c>
      <c r="P341" s="962">
        <f t="shared" si="624"/>
        <v>4.2795733842768691E-2</v>
      </c>
      <c r="Q341" s="962">
        <f t="shared" si="624"/>
        <v>4.3497664758540111E-2</v>
      </c>
      <c r="R341" s="688"/>
      <c r="S341" s="792"/>
      <c r="T341" s="792"/>
      <c r="U341" s="792"/>
      <c r="V341" s="792"/>
      <c r="W341" s="952"/>
      <c r="X341" s="792"/>
      <c r="Y341" s="792"/>
      <c r="Z341" s="792"/>
      <c r="AA341" s="952"/>
      <c r="AB341" s="792"/>
      <c r="AC341" s="792"/>
      <c r="AD341" s="792"/>
      <c r="AE341" s="952"/>
      <c r="AF341" s="792"/>
      <c r="AG341" s="792"/>
      <c r="AH341" s="791"/>
      <c r="AI341" s="961"/>
      <c r="AJ341" s="962"/>
      <c r="AK341" s="962"/>
      <c r="AL341" s="963"/>
      <c r="AM341" s="962">
        <f>AM339/AI339-1</f>
        <v>0.18271119842829076</v>
      </c>
      <c r="AN341" s="962">
        <f t="shared" ref="AN341:AP341" si="625">AN339/AJ339-1</f>
        <v>-2.3801665246678483E-2</v>
      </c>
      <c r="AO341" s="962">
        <f t="shared" si="625"/>
        <v>2.5228792237397935E-2</v>
      </c>
      <c r="AP341" s="962">
        <f t="shared" si="625"/>
        <v>-0.24563439685551691</v>
      </c>
      <c r="AQ341" s="1383"/>
      <c r="AR341" s="692"/>
      <c r="AS341" s="692"/>
      <c r="AT341" s="692"/>
      <c r="AU341" s="692"/>
      <c r="AV341" s="692"/>
      <c r="AW341" s="692"/>
      <c r="AX341" s="692"/>
      <c r="AY341" s="692"/>
      <c r="AZ341" s="692"/>
      <c r="BA341" s="692"/>
      <c r="BB341"/>
      <c r="BC341"/>
      <c r="BD341"/>
      <c r="BE341"/>
      <c r="BF341"/>
      <c r="BG341"/>
      <c r="BJ341" s="755"/>
      <c r="BK341" s="755"/>
      <c r="BL341" s="755"/>
      <c r="BM341" s="755"/>
      <c r="BN341" s="755"/>
    </row>
    <row r="342" spans="1:102" s="693" customFormat="1" outlineLevel="1">
      <c r="A342" s="713" t="s">
        <v>1845</v>
      </c>
      <c r="B342" s="714"/>
      <c r="C342" s="716"/>
      <c r="D342" s="716"/>
      <c r="E342" s="716"/>
      <c r="F342" s="714"/>
      <c r="G342" s="1369">
        <f t="shared" ref="G342:I342" si="626">G347+G357</f>
        <v>0</v>
      </c>
      <c r="H342" s="1369">
        <f t="shared" si="626"/>
        <v>0</v>
      </c>
      <c r="I342" s="1369">
        <f t="shared" si="626"/>
        <v>0</v>
      </c>
      <c r="J342" s="1369">
        <v>0</v>
      </c>
      <c r="K342" s="1369">
        <v>0</v>
      </c>
      <c r="L342" s="1369">
        <v>0</v>
      </c>
      <c r="M342" s="1369">
        <v>0</v>
      </c>
      <c r="N342" s="1369">
        <v>0</v>
      </c>
      <c r="O342" s="1369">
        <v>0</v>
      </c>
      <c r="P342" s="1369">
        <v>0</v>
      </c>
      <c r="Q342" s="1369">
        <v>0</v>
      </c>
      <c r="R342" s="715"/>
      <c r="S342" s="716"/>
      <c r="T342" s="716"/>
      <c r="U342" s="716"/>
      <c r="V342" s="716"/>
      <c r="W342" s="717"/>
      <c r="X342" s="716"/>
      <c r="Y342" s="716"/>
      <c r="Z342" s="716"/>
      <c r="AA342" s="717"/>
      <c r="AB342" s="716"/>
      <c r="AC342" s="716"/>
      <c r="AD342" s="716"/>
      <c r="AE342" s="717"/>
      <c r="AF342" s="716"/>
      <c r="AG342" s="716"/>
      <c r="AH342" s="718"/>
      <c r="AI342" s="1368">
        <f t="shared" ref="AI342:AO342" si="627">AI347+AI357</f>
        <v>0</v>
      </c>
      <c r="AJ342" s="1369">
        <f t="shared" si="627"/>
        <v>0</v>
      </c>
      <c r="AK342" s="1369">
        <f t="shared" si="627"/>
        <v>0</v>
      </c>
      <c r="AL342" s="1370">
        <f t="shared" si="627"/>
        <v>0</v>
      </c>
      <c r="AM342" s="716">
        <f>AM343-AM339</f>
        <v>0</v>
      </c>
      <c r="AN342" s="1369">
        <f t="shared" si="627"/>
        <v>0</v>
      </c>
      <c r="AO342" s="1369">
        <f t="shared" si="627"/>
        <v>0</v>
      </c>
      <c r="AP342" s="716">
        <f t="shared" ref="AP342:AP344" si="628">J342-AM342-AN342-AO342</f>
        <v>0</v>
      </c>
      <c r="AQ342" s="1383"/>
      <c r="AR342" s="692"/>
      <c r="AS342" s="692"/>
      <c r="AT342" s="692"/>
      <c r="AU342" s="692"/>
      <c r="AV342" s="692"/>
      <c r="AW342" s="692"/>
      <c r="AX342" s="692"/>
      <c r="AY342" s="692"/>
      <c r="AZ342" s="692"/>
      <c r="BA342" s="692"/>
      <c r="BB342"/>
      <c r="BC342"/>
      <c r="BD342"/>
      <c r="BE342"/>
      <c r="BF342"/>
      <c r="BG342"/>
      <c r="BJ342" s="714"/>
      <c r="BK342" s="714"/>
      <c r="BL342" s="714"/>
      <c r="BM342" s="714"/>
      <c r="BN342" s="714"/>
    </row>
    <row r="343" spans="1:102" s="693" customFormat="1" outlineLevel="1">
      <c r="A343" s="713" t="s">
        <v>1846</v>
      </c>
      <c r="B343" s="714"/>
      <c r="C343" s="714"/>
      <c r="D343" s="714"/>
      <c r="E343" s="714"/>
      <c r="F343" s="714"/>
      <c r="G343" s="1369">
        <f t="shared" ref="G343:I343" si="629">G348+G358</f>
        <v>-2025</v>
      </c>
      <c r="H343" s="1369">
        <f t="shared" si="629"/>
        <v>-1981</v>
      </c>
      <c r="I343" s="1369">
        <f t="shared" si="629"/>
        <v>-2126</v>
      </c>
      <c r="J343" s="714">
        <f t="shared" ref="J343:Q343" si="630">J339+J342</f>
        <v>-2076.7314844632328</v>
      </c>
      <c r="K343" s="714">
        <f t="shared" si="630"/>
        <v>-2181.1063656196116</v>
      </c>
      <c r="L343" s="714">
        <f t="shared" si="630"/>
        <v>-2297.0270805351774</v>
      </c>
      <c r="M343" s="714">
        <f t="shared" si="630"/>
        <v>-2390.8846694897397</v>
      </c>
      <c r="N343" s="714">
        <f t="shared" si="630"/>
        <v>-2490.0526637667899</v>
      </c>
      <c r="O343" s="714">
        <f t="shared" si="630"/>
        <v>-2594.9398432913863</v>
      </c>
      <c r="P343" s="714">
        <f t="shared" si="630"/>
        <v>-2705.9921981628804</v>
      </c>
      <c r="Q343" s="714">
        <f t="shared" si="630"/>
        <v>-2823.6965396377946</v>
      </c>
      <c r="R343" s="715"/>
      <c r="S343" s="716"/>
      <c r="T343" s="716"/>
      <c r="U343" s="716"/>
      <c r="V343" s="716"/>
      <c r="W343" s="717"/>
      <c r="X343" s="716"/>
      <c r="Y343" s="716"/>
      <c r="Z343" s="716"/>
      <c r="AA343" s="717"/>
      <c r="AB343" s="716"/>
      <c r="AC343" s="716"/>
      <c r="AD343" s="716"/>
      <c r="AE343" s="717"/>
      <c r="AF343" s="716"/>
      <c r="AG343" s="716"/>
      <c r="AH343" s="718"/>
      <c r="AI343" s="1368">
        <f t="shared" ref="AI343:AO343" si="631">AI348+AI358</f>
        <v>-509</v>
      </c>
      <c r="AJ343" s="1369">
        <f t="shared" si="631"/>
        <v>-524</v>
      </c>
      <c r="AK343" s="1369">
        <f t="shared" si="631"/>
        <v>-512</v>
      </c>
      <c r="AL343" s="1370">
        <f t="shared" si="631"/>
        <v>-581</v>
      </c>
      <c r="AM343" s="1369">
        <v>-602</v>
      </c>
      <c r="AN343" s="1369">
        <f t="shared" si="631"/>
        <v>-511.5279274107404</v>
      </c>
      <c r="AO343" s="1369">
        <f t="shared" si="631"/>
        <v>-524.91714162554774</v>
      </c>
      <c r="AP343" s="716">
        <f t="shared" ref="AP343" si="632">AP339+AP342</f>
        <v>-438.2864154269447</v>
      </c>
      <c r="AQ343" s="1392"/>
      <c r="AR343" s="692"/>
      <c r="AS343" s="692"/>
      <c r="AT343" s="692"/>
      <c r="AU343" s="692"/>
      <c r="AV343" s="692"/>
      <c r="AW343" s="692"/>
      <c r="AX343" s="692"/>
      <c r="AY343" s="692"/>
      <c r="AZ343" s="692"/>
      <c r="BA343" s="692"/>
      <c r="BB343"/>
      <c r="BC343"/>
      <c r="BD343"/>
      <c r="BE343"/>
      <c r="BF343"/>
      <c r="BG343"/>
      <c r="BJ343" s="714"/>
      <c r="BK343" s="714"/>
      <c r="BL343" s="714"/>
      <c r="BM343" s="714"/>
      <c r="BN343" s="714"/>
    </row>
    <row r="344" spans="1:102" s="693" customFormat="1">
      <c r="A344" s="713" t="s">
        <v>223</v>
      </c>
      <c r="B344" s="714">
        <v>-1450</v>
      </c>
      <c r="C344" s="714">
        <v>-1591</v>
      </c>
      <c r="D344" s="714">
        <v>-1560</v>
      </c>
      <c r="E344" s="714">
        <v>-1672</v>
      </c>
      <c r="F344" s="714">
        <v>-1725</v>
      </c>
      <c r="G344" s="714">
        <v>-1679</v>
      </c>
      <c r="H344" s="714">
        <v>-1681</v>
      </c>
      <c r="I344" s="714">
        <v>-1811</v>
      </c>
      <c r="J344" s="1375">
        <f t="shared" ref="J344:Q344" si="633">-J325*J345</f>
        <v>-1765.2217617937481</v>
      </c>
      <c r="K344" s="1375">
        <f t="shared" si="633"/>
        <v>-1853.94041077667</v>
      </c>
      <c r="L344" s="1375">
        <f t="shared" si="633"/>
        <v>-1952.473018454901</v>
      </c>
      <c r="M344" s="1375">
        <f t="shared" si="633"/>
        <v>-2032.2519690662789</v>
      </c>
      <c r="N344" s="1375">
        <f t="shared" si="633"/>
        <v>-2116.5447642017712</v>
      </c>
      <c r="O344" s="1375">
        <f t="shared" si="633"/>
        <v>-2205.6988667976784</v>
      </c>
      <c r="P344" s="1375">
        <f t="shared" si="633"/>
        <v>-2300.0933684384486</v>
      </c>
      <c r="Q344" s="1375">
        <f t="shared" si="633"/>
        <v>-2400.1420586921254</v>
      </c>
      <c r="R344" s="715"/>
      <c r="S344" s="716">
        <v>-417</v>
      </c>
      <c r="T344" s="716">
        <v>-406</v>
      </c>
      <c r="U344" s="716">
        <v>-403</v>
      </c>
      <c r="V344" s="716">
        <v>-446</v>
      </c>
      <c r="W344" s="717">
        <v>-430</v>
      </c>
      <c r="X344" s="716">
        <v>-445</v>
      </c>
      <c r="Y344" s="716">
        <v>-419</v>
      </c>
      <c r="Z344" s="716">
        <v>-431</v>
      </c>
      <c r="AA344" s="717">
        <v>-408</v>
      </c>
      <c r="AB344" s="716">
        <v>-425</v>
      </c>
      <c r="AC344" s="716">
        <v>-404</v>
      </c>
      <c r="AD344" s="716">
        <f>G344-AA344-AB344-AC344</f>
        <v>-442</v>
      </c>
      <c r="AE344" s="717">
        <v>-410</v>
      </c>
      <c r="AF344" s="716">
        <v>-427</v>
      </c>
      <c r="AG344" s="716">
        <v>-399</v>
      </c>
      <c r="AH344" s="718">
        <f>+H344-SUM(AE344:AG344)</f>
        <v>-445</v>
      </c>
      <c r="AI344" s="717">
        <v>-435</v>
      </c>
      <c r="AJ344" s="716">
        <v>-447</v>
      </c>
      <c r="AK344" s="716">
        <v>-438</v>
      </c>
      <c r="AL344" s="718">
        <f>I344-AI344-AJ344-AK344</f>
        <v>-491</v>
      </c>
      <c r="AM344" s="1371">
        <f t="shared" ref="AM344:AO344" si="634">-AM325*AM345</f>
        <v>-453.06</v>
      </c>
      <c r="AN344" s="1371">
        <f t="shared" si="634"/>
        <v>-434.79873829912935</v>
      </c>
      <c r="AO344" s="1371">
        <f t="shared" si="634"/>
        <v>-446.17957038171562</v>
      </c>
      <c r="AP344" s="1371">
        <f t="shared" si="628"/>
        <v>-431.18345311290318</v>
      </c>
      <c r="AQ344" s="1392"/>
      <c r="AR344" s="692"/>
      <c r="AS344" s="692"/>
      <c r="AT344" s="692"/>
      <c r="AU344" s="692"/>
      <c r="AV344" s="692"/>
      <c r="AW344" s="692"/>
      <c r="AX344" s="692"/>
      <c r="AY344" s="692"/>
      <c r="AZ344" s="692"/>
      <c r="BA344" s="692"/>
      <c r="BB344"/>
      <c r="BC344"/>
      <c r="BD344"/>
      <c r="BE344"/>
      <c r="BF344"/>
      <c r="BG344"/>
      <c r="BJ344" s="714"/>
      <c r="BK344" s="714"/>
      <c r="BL344" s="714"/>
      <c r="BM344" s="714"/>
      <c r="BN344" s="714"/>
    </row>
    <row r="345" spans="1:102" s="693" customFormat="1">
      <c r="A345" s="713" t="s">
        <v>95</v>
      </c>
      <c r="B345" s="731">
        <v>0.16876163873370578</v>
      </c>
      <c r="C345" s="731">
        <v>0.16795101868468279</v>
      </c>
      <c r="D345" s="731">
        <v>0.17926913353252125</v>
      </c>
      <c r="E345" s="731">
        <v>0.18255268042362705</v>
      </c>
      <c r="F345" s="731">
        <v>0.18040158962560135</v>
      </c>
      <c r="G345" s="731">
        <v>0.17</v>
      </c>
      <c r="H345" s="731">
        <v>0.17</v>
      </c>
      <c r="I345" s="731">
        <v>0.17</v>
      </c>
      <c r="J345" s="1376">
        <v>0.17</v>
      </c>
      <c r="K345" s="1376">
        <v>0.17</v>
      </c>
      <c r="L345" s="1376">
        <v>0.17</v>
      </c>
      <c r="M345" s="1376">
        <v>0.17</v>
      </c>
      <c r="N345" s="1376">
        <v>0.17</v>
      </c>
      <c r="O345" s="1376">
        <v>0.17</v>
      </c>
      <c r="P345" s="1376">
        <v>0.17</v>
      </c>
      <c r="Q345" s="1376">
        <v>0.17</v>
      </c>
      <c r="R345" s="721"/>
      <c r="S345" s="732">
        <v>0.18459495351925631</v>
      </c>
      <c r="T345" s="732">
        <v>0.18321299638989169</v>
      </c>
      <c r="U345" s="732">
        <v>0.17729872415310163</v>
      </c>
      <c r="V345" s="732">
        <v>0.18498548320199087</v>
      </c>
      <c r="W345" s="733">
        <v>0.18550474547023296</v>
      </c>
      <c r="X345" s="732">
        <v>0.1909051909051909</v>
      </c>
      <c r="Y345" s="732">
        <v>0.17451062057476052</v>
      </c>
      <c r="Z345" s="732">
        <v>0.17157643312101911</v>
      </c>
      <c r="AA345" s="733">
        <f t="shared" ref="AA345:AG345" si="635">-AA344/AA325</f>
        <v>0.16693944353518822</v>
      </c>
      <c r="AB345" s="732">
        <f t="shared" si="635"/>
        <v>0.16798418972332016</v>
      </c>
      <c r="AC345" s="732">
        <f t="shared" si="635"/>
        <v>0.15892997639653816</v>
      </c>
      <c r="AD345" s="732">
        <f t="shared" si="635"/>
        <v>0.173061863743148</v>
      </c>
      <c r="AE345" s="733">
        <f t="shared" si="635"/>
        <v>0.16768916155419222</v>
      </c>
      <c r="AF345" s="732">
        <f t="shared" si="635"/>
        <v>0.1656965463717501</v>
      </c>
      <c r="AG345" s="732">
        <f t="shared" si="635"/>
        <v>0.15852205005959474</v>
      </c>
      <c r="AH345" s="734">
        <f>-AH344/AH325</f>
        <v>0.17082533589251439</v>
      </c>
      <c r="AI345" s="733">
        <f>-AI344/AI325</f>
        <v>0.17901234567901234</v>
      </c>
      <c r="AJ345" s="732">
        <f>-AJ344/AJ325</f>
        <v>0.18237454100367198</v>
      </c>
      <c r="AK345" s="732">
        <f>-AK344/AK325</f>
        <v>0.16950464396284828</v>
      </c>
      <c r="AL345" s="734">
        <f>-AL344/AL325</f>
        <v>0.18921001926782274</v>
      </c>
      <c r="AM345" s="1372">
        <v>0.18</v>
      </c>
      <c r="AN345" s="1372">
        <v>0.17</v>
      </c>
      <c r="AO345" s="1372">
        <v>0.17</v>
      </c>
      <c r="AP345" s="1373">
        <f>-AP344/AP325</f>
        <v>0.16062371508134207</v>
      </c>
      <c r="AQ345" s="1383"/>
      <c r="AR345" s="692"/>
      <c r="AS345" s="692"/>
      <c r="AT345" s="692"/>
      <c r="AU345" s="692"/>
      <c r="AV345" s="692"/>
      <c r="AW345" s="692"/>
      <c r="AX345" s="692"/>
      <c r="AY345" s="692"/>
      <c r="AZ345" s="692"/>
      <c r="BA345" s="692"/>
      <c r="BB345"/>
      <c r="BC345"/>
      <c r="BD345"/>
      <c r="BE345"/>
      <c r="BF345"/>
      <c r="BG345"/>
      <c r="BJ345" s="725"/>
      <c r="BK345" s="725"/>
      <c r="BL345" s="725"/>
      <c r="BM345" s="725"/>
      <c r="BN345" s="725"/>
    </row>
    <row r="346" spans="1:102" s="693" customFormat="1" outlineLevel="1">
      <c r="A346" s="896" t="s">
        <v>586</v>
      </c>
      <c r="B346" s="755"/>
      <c r="C346" s="755">
        <v>9.7241379310344822E-2</v>
      </c>
      <c r="D346" s="755">
        <v>-1.9484600879949743E-2</v>
      </c>
      <c r="E346" s="755">
        <v>7.1794871794871762E-2</v>
      </c>
      <c r="F346" s="755">
        <v>3.1698564593301448E-2</v>
      </c>
      <c r="G346" s="755">
        <v>0.03</v>
      </c>
      <c r="H346" s="755">
        <f>H344/G344-1</f>
        <v>1.1911852293031711E-3</v>
      </c>
      <c r="I346" s="755">
        <f>I344/H344-1</f>
        <v>7.7334919690660309E-2</v>
      </c>
      <c r="J346" s="1378">
        <v>8.221536376713412E-2</v>
      </c>
      <c r="K346" s="1378">
        <v>8.1445198615534897E-2</v>
      </c>
      <c r="L346" s="1378">
        <v>7.5174552263252536E-2</v>
      </c>
      <c r="M346" s="1378">
        <v>7.4737846155902288E-2</v>
      </c>
      <c r="N346" s="1378">
        <v>6.368283940850894E-2</v>
      </c>
      <c r="O346" s="1378">
        <v>5.3066125925664842E-2</v>
      </c>
      <c r="P346" s="1378">
        <v>0.05</v>
      </c>
      <c r="Q346" s="1378">
        <v>0.05</v>
      </c>
      <c r="R346" s="688"/>
      <c r="S346" s="792"/>
      <c r="T346" s="792"/>
      <c r="U346" s="792"/>
      <c r="V346" s="792"/>
      <c r="W346" s="952">
        <v>3.1175059952038398E-2</v>
      </c>
      <c r="X346" s="792">
        <v>9.605911330049266E-2</v>
      </c>
      <c r="Y346" s="792">
        <v>3.9702233250620278E-2</v>
      </c>
      <c r="Z346" s="792">
        <v>-3.3632286995515681E-2</v>
      </c>
      <c r="AA346" s="952">
        <f t="shared" ref="AA346:AK346" si="636">AA344/W344-1</f>
        <v>-5.1162790697674376E-2</v>
      </c>
      <c r="AB346" s="792">
        <f t="shared" si="636"/>
        <v>-4.49438202247191E-2</v>
      </c>
      <c r="AC346" s="792">
        <f t="shared" si="636"/>
        <v>-3.5799522673030992E-2</v>
      </c>
      <c r="AD346" s="792">
        <f t="shared" si="636"/>
        <v>2.5522041763341052E-2</v>
      </c>
      <c r="AE346" s="952">
        <f t="shared" si="636"/>
        <v>4.9019607843137081E-3</v>
      </c>
      <c r="AF346" s="792">
        <f t="shared" si="636"/>
        <v>4.7058823529411153E-3</v>
      </c>
      <c r="AG346" s="792">
        <f t="shared" si="636"/>
        <v>-1.2376237623762387E-2</v>
      </c>
      <c r="AH346" s="791">
        <f t="shared" si="636"/>
        <v>6.7873303167420573E-3</v>
      </c>
      <c r="AI346" s="952">
        <f t="shared" si="636"/>
        <v>6.0975609756097615E-2</v>
      </c>
      <c r="AJ346" s="792">
        <f t="shared" si="636"/>
        <v>4.6838407494145251E-2</v>
      </c>
      <c r="AK346" s="792">
        <f t="shared" si="636"/>
        <v>9.7744360902255689E-2</v>
      </c>
      <c r="AL346" s="791">
        <f>AL344/AH344-1</f>
        <v>0.10337078651685383</v>
      </c>
      <c r="AM346" s="1379">
        <f t="shared" ref="AM346:AP346" si="637">AM344/AI344-1</f>
        <v>4.1517241379310343E-2</v>
      </c>
      <c r="AN346" s="1379">
        <f t="shared" si="637"/>
        <v>-2.7295887473983593E-2</v>
      </c>
      <c r="AO346" s="1379">
        <f t="shared" si="637"/>
        <v>1.8674818223095135E-2</v>
      </c>
      <c r="AP346" s="1379">
        <f t="shared" si="637"/>
        <v>-0.12182596107351695</v>
      </c>
      <c r="AQ346" s="1383"/>
      <c r="AR346" s="692"/>
      <c r="AS346" s="692"/>
      <c r="AT346" s="692"/>
      <c r="AU346" s="692"/>
      <c r="AV346" s="692"/>
      <c r="AW346" s="692"/>
      <c r="AX346" s="692"/>
      <c r="AY346" s="692"/>
      <c r="AZ346" s="692"/>
      <c r="BA346" s="692"/>
      <c r="BB346"/>
      <c r="BC346"/>
      <c r="BD346"/>
      <c r="BE346"/>
      <c r="BF346"/>
      <c r="BG346"/>
      <c r="BJ346" s="755"/>
      <c r="BK346" s="755"/>
      <c r="BL346" s="755"/>
      <c r="BM346" s="755"/>
      <c r="BN346" s="755"/>
    </row>
    <row r="347" spans="1:102" s="693" customFormat="1" outlineLevel="1">
      <c r="A347" s="713" t="s">
        <v>224</v>
      </c>
      <c r="B347" s="714"/>
      <c r="C347" s="716">
        <v>0</v>
      </c>
      <c r="D347" s="716">
        <v>-1</v>
      </c>
      <c r="E347" s="716">
        <v>0</v>
      </c>
      <c r="F347" s="714">
        <v>0</v>
      </c>
      <c r="G347" s="716">
        <f>G348-G344</f>
        <v>0</v>
      </c>
      <c r="H347" s="716">
        <f>H348-H344</f>
        <v>0</v>
      </c>
      <c r="I347" s="716">
        <f>I348-I344</f>
        <v>0</v>
      </c>
      <c r="J347" s="1375">
        <v>0</v>
      </c>
      <c r="K347" s="1375">
        <v>0</v>
      </c>
      <c r="L347" s="1375">
        <v>0</v>
      </c>
      <c r="M347" s="1375">
        <v>0</v>
      </c>
      <c r="N347" s="1375">
        <v>0</v>
      </c>
      <c r="O347" s="1375">
        <v>0</v>
      </c>
      <c r="P347" s="1375">
        <v>0</v>
      </c>
      <c r="Q347" s="1375">
        <v>0</v>
      </c>
      <c r="R347" s="715"/>
      <c r="S347" s="716">
        <v>0</v>
      </c>
      <c r="T347" s="716">
        <v>0</v>
      </c>
      <c r="U347" s="716">
        <v>0</v>
      </c>
      <c r="V347" s="716">
        <v>0</v>
      </c>
      <c r="W347" s="717">
        <v>0</v>
      </c>
      <c r="X347" s="716">
        <v>0</v>
      </c>
      <c r="Y347" s="716">
        <v>0</v>
      </c>
      <c r="Z347" s="716">
        <v>0</v>
      </c>
      <c r="AA347" s="717">
        <f>AA348-AA344</f>
        <v>0</v>
      </c>
      <c r="AB347" s="716">
        <f>AB348-AB344</f>
        <v>0</v>
      </c>
      <c r="AC347" s="716">
        <f>AC348-AC344</f>
        <v>0</v>
      </c>
      <c r="AD347" s="716">
        <f>G347-AA347-AB347-AC347</f>
        <v>0</v>
      </c>
      <c r="AE347" s="717">
        <f>AE348-AE344</f>
        <v>0</v>
      </c>
      <c r="AF347" s="716">
        <f>AF348-AF344</f>
        <v>0</v>
      </c>
      <c r="AG347" s="716">
        <f>AG348-AG344</f>
        <v>0</v>
      </c>
      <c r="AH347" s="718">
        <f>+H347-SUM(AE347:AG347)</f>
        <v>0</v>
      </c>
      <c r="AI347" s="717">
        <f>AI348-AI344</f>
        <v>0</v>
      </c>
      <c r="AJ347" s="716">
        <f>AJ348-AJ344</f>
        <v>0</v>
      </c>
      <c r="AK347" s="716">
        <f>AK348-AK344</f>
        <v>0</v>
      </c>
      <c r="AL347" s="718">
        <f>I347-AI347-AJ347-AK347</f>
        <v>0</v>
      </c>
      <c r="AM347" s="1371">
        <v>0</v>
      </c>
      <c r="AN347" s="1371">
        <v>0</v>
      </c>
      <c r="AO347" s="1371">
        <v>0</v>
      </c>
      <c r="AP347" s="1371">
        <f t="shared" ref="AP347:AP349" si="638">J347-AM347-AN347-AO347</f>
        <v>0</v>
      </c>
      <c r="AQ347" s="1383"/>
      <c r="AR347" s="692"/>
      <c r="AS347" s="692"/>
      <c r="AT347" s="692"/>
      <c r="AU347" s="692"/>
      <c r="AV347" s="692"/>
      <c r="AW347" s="692"/>
      <c r="AX347" s="692"/>
      <c r="AY347" s="692"/>
      <c r="AZ347" s="692"/>
      <c r="BA347" s="692"/>
      <c r="BB347"/>
      <c r="BC347"/>
      <c r="BD347"/>
      <c r="BE347"/>
      <c r="BF347"/>
      <c r="BG347"/>
      <c r="BJ347" s="714"/>
      <c r="BK347" s="714"/>
      <c r="BL347" s="714"/>
      <c r="BM347" s="714"/>
      <c r="BN347" s="714"/>
    </row>
    <row r="348" spans="1:102" s="693" customFormat="1" outlineLevel="1">
      <c r="A348" s="713" t="s">
        <v>225</v>
      </c>
      <c r="B348" s="714"/>
      <c r="C348" s="714">
        <v>-1591</v>
      </c>
      <c r="D348" s="714">
        <v>-1561</v>
      </c>
      <c r="E348" s="714">
        <v>-1672</v>
      </c>
      <c r="F348" s="714">
        <v>-1725</v>
      </c>
      <c r="G348" s="714">
        <v>-1679</v>
      </c>
      <c r="H348" s="714">
        <v>-1681</v>
      </c>
      <c r="I348" s="714">
        <v>-1811</v>
      </c>
      <c r="J348" s="1375">
        <f t="shared" ref="J348:P348" si="639">J344+J347</f>
        <v>-1765.2217617937481</v>
      </c>
      <c r="K348" s="1375">
        <f t="shared" si="639"/>
        <v>-1853.94041077667</v>
      </c>
      <c r="L348" s="1375">
        <f t="shared" si="639"/>
        <v>-1952.473018454901</v>
      </c>
      <c r="M348" s="1375">
        <f t="shared" si="639"/>
        <v>-2032.2519690662789</v>
      </c>
      <c r="N348" s="1375">
        <f t="shared" si="639"/>
        <v>-2116.5447642017712</v>
      </c>
      <c r="O348" s="1375">
        <f t="shared" si="639"/>
        <v>-2205.6988667976784</v>
      </c>
      <c r="P348" s="1375">
        <f t="shared" si="639"/>
        <v>-2300.0933684384486</v>
      </c>
      <c r="Q348" s="1375">
        <f>Q344+Q347</f>
        <v>-2400.1420586921254</v>
      </c>
      <c r="R348" s="715"/>
      <c r="S348" s="716">
        <v>-417</v>
      </c>
      <c r="T348" s="716">
        <v>-406</v>
      </c>
      <c r="U348" s="716">
        <v>-403</v>
      </c>
      <c r="V348" s="716">
        <v>-446</v>
      </c>
      <c r="W348" s="717">
        <v>-430</v>
      </c>
      <c r="X348" s="716">
        <v>-445</v>
      </c>
      <c r="Y348" s="716">
        <v>-419</v>
      </c>
      <c r="Z348" s="716">
        <v>-431</v>
      </c>
      <c r="AA348" s="717">
        <v>-408</v>
      </c>
      <c r="AB348" s="716">
        <v>-425</v>
      </c>
      <c r="AC348" s="716">
        <v>-404</v>
      </c>
      <c r="AD348" s="716">
        <f>AD344+AD347</f>
        <v>-442</v>
      </c>
      <c r="AE348" s="717">
        <v>-410</v>
      </c>
      <c r="AF348" s="716">
        <v>-427</v>
      </c>
      <c r="AG348" s="716">
        <v>-399</v>
      </c>
      <c r="AH348" s="718">
        <f>AH344+AH347</f>
        <v>-445</v>
      </c>
      <c r="AI348" s="717">
        <v>-435</v>
      </c>
      <c r="AJ348" s="716">
        <v>-447</v>
      </c>
      <c r="AK348" s="716">
        <v>-438</v>
      </c>
      <c r="AL348" s="718">
        <f>AL344+AL347</f>
        <v>-491</v>
      </c>
      <c r="AM348" s="1371">
        <f t="shared" ref="AM348:AP348" si="640">AM344+AM347</f>
        <v>-453.06</v>
      </c>
      <c r="AN348" s="1371">
        <f t="shared" si="640"/>
        <v>-434.79873829912935</v>
      </c>
      <c r="AO348" s="1371">
        <f t="shared" si="640"/>
        <v>-446.17957038171562</v>
      </c>
      <c r="AP348" s="1371">
        <f t="shared" si="640"/>
        <v>-431.18345311290318</v>
      </c>
      <c r="AQ348" s="1383"/>
      <c r="AR348" s="692"/>
      <c r="AS348" s="692"/>
      <c r="AT348" s="692"/>
      <c r="AU348" s="692"/>
      <c r="AV348" s="692"/>
      <c r="AW348" s="692"/>
      <c r="AX348" s="692"/>
      <c r="AY348" s="692"/>
      <c r="AZ348" s="692"/>
      <c r="BA348" s="692"/>
      <c r="BB348"/>
      <c r="BC348"/>
      <c r="BD348"/>
      <c r="BE348"/>
      <c r="BF348"/>
      <c r="BG348"/>
      <c r="BJ348" s="714"/>
      <c r="BK348" s="714"/>
      <c r="BL348" s="714"/>
      <c r="BM348" s="714"/>
      <c r="BN348" s="714"/>
    </row>
    <row r="349" spans="1:102" s="693" customFormat="1">
      <c r="A349" s="713" t="s">
        <v>226</v>
      </c>
      <c r="B349" s="714">
        <v>-658</v>
      </c>
      <c r="C349" s="714">
        <v>-724</v>
      </c>
      <c r="D349" s="714">
        <v>-749</v>
      </c>
      <c r="E349" s="714">
        <v>-785</v>
      </c>
      <c r="F349" s="714">
        <v>-823</v>
      </c>
      <c r="G349" s="714">
        <f>-782+1</f>
        <v>-781</v>
      </c>
      <c r="H349" s="714">
        <v>-804</v>
      </c>
      <c r="I349" s="714">
        <v>-774</v>
      </c>
      <c r="J349" s="714">
        <f t="shared" ref="J349:Q349" si="641">-J325*J350</f>
        <v>-882.61088089687405</v>
      </c>
      <c r="K349" s="714">
        <f t="shared" si="641"/>
        <v>-926.97020538833499</v>
      </c>
      <c r="L349" s="714">
        <f t="shared" si="641"/>
        <v>-976.23650922745048</v>
      </c>
      <c r="M349" s="714">
        <f t="shared" si="641"/>
        <v>-1016.1259845331394</v>
      </c>
      <c r="N349" s="714">
        <f t="shared" si="641"/>
        <v>-1058.2723821008856</v>
      </c>
      <c r="O349" s="714">
        <f t="shared" si="641"/>
        <v>-1102.8494333988392</v>
      </c>
      <c r="P349" s="714">
        <f t="shared" si="641"/>
        <v>-1150.0466842192243</v>
      </c>
      <c r="Q349" s="714">
        <f t="shared" si="641"/>
        <v>-1200.0710293460627</v>
      </c>
      <c r="R349" s="715"/>
      <c r="S349" s="716">
        <v>-192</v>
      </c>
      <c r="T349" s="716">
        <v>-199</v>
      </c>
      <c r="U349" s="716">
        <v>-186</v>
      </c>
      <c r="V349" s="716">
        <v>-208</v>
      </c>
      <c r="W349" s="717">
        <v>-207</v>
      </c>
      <c r="X349" s="716">
        <v>-200</v>
      </c>
      <c r="Y349" s="716">
        <v>-201</v>
      </c>
      <c r="Z349" s="716">
        <v>-215</v>
      </c>
      <c r="AA349" s="717">
        <v>-196</v>
      </c>
      <c r="AB349" s="716">
        <v>-185</v>
      </c>
      <c r="AC349" s="716">
        <v>-191</v>
      </c>
      <c r="AD349" s="716">
        <f>G349-AA349-AB349-AC349</f>
        <v>-209</v>
      </c>
      <c r="AE349" s="717">
        <v>-195</v>
      </c>
      <c r="AF349" s="716">
        <v>-204</v>
      </c>
      <c r="AG349" s="716">
        <v>-196</v>
      </c>
      <c r="AH349" s="718">
        <f>+H349-SUM(AE349:AG349)</f>
        <v>-209</v>
      </c>
      <c r="AI349" s="717">
        <v>-186</v>
      </c>
      <c r="AJ349" s="716">
        <v>-195</v>
      </c>
      <c r="AK349" s="716">
        <v>-195</v>
      </c>
      <c r="AL349" s="718">
        <f>I349-AI349-AJ349-AK349</f>
        <v>-198</v>
      </c>
      <c r="AM349" s="716">
        <v>-199</v>
      </c>
      <c r="AN349" s="716">
        <f t="shared" ref="AN349:AO349" si="642">-AN325*AN350</f>
        <v>-217.39936914956468</v>
      </c>
      <c r="AO349" s="716">
        <f t="shared" si="642"/>
        <v>-223.08978519085781</v>
      </c>
      <c r="AP349" s="716">
        <f t="shared" si="638"/>
        <v>-243.12172655645156</v>
      </c>
      <c r="AQ349" s="1392"/>
      <c r="AR349" s="692"/>
      <c r="AS349" s="692"/>
      <c r="AT349" s="692"/>
      <c r="AU349" s="692"/>
      <c r="AV349" s="692"/>
      <c r="AW349" s="692"/>
      <c r="AX349" s="692"/>
      <c r="AY349" s="692"/>
      <c r="AZ349" s="692"/>
      <c r="BA349" s="692"/>
      <c r="BB349"/>
      <c r="BC349"/>
      <c r="BD349"/>
      <c r="BE349"/>
      <c r="BF349"/>
      <c r="BG349"/>
      <c r="BJ349" s="714"/>
      <c r="BK349" s="714"/>
      <c r="BL349" s="714"/>
      <c r="BM349" s="714"/>
      <c r="BN349" s="714"/>
    </row>
    <row r="350" spans="1:102" s="693" customFormat="1">
      <c r="A350" s="713" t="s">
        <v>95</v>
      </c>
      <c r="B350" s="731">
        <v>7.6582867783985098E-2</v>
      </c>
      <c r="C350" s="731">
        <v>7.642774200358915E-2</v>
      </c>
      <c r="D350" s="731">
        <v>8.6072167317857967E-2</v>
      </c>
      <c r="E350" s="731">
        <v>8.5708046729992354E-2</v>
      </c>
      <c r="F350" s="731">
        <v>8.6069859861953563E-2</v>
      </c>
      <c r="G350" s="731">
        <v>8.5000000000000006E-2</v>
      </c>
      <c r="H350" s="731">
        <v>8.5000000000000006E-2</v>
      </c>
      <c r="I350" s="731">
        <v>8.5000000000000006E-2</v>
      </c>
      <c r="J350" s="824">
        <v>8.5000000000000006E-2</v>
      </c>
      <c r="K350" s="824">
        <v>8.5000000000000006E-2</v>
      </c>
      <c r="L350" s="824">
        <v>8.5000000000000006E-2</v>
      </c>
      <c r="M350" s="824">
        <v>8.5000000000000006E-2</v>
      </c>
      <c r="N350" s="824">
        <v>8.5000000000000006E-2</v>
      </c>
      <c r="O350" s="824">
        <v>8.5000000000000006E-2</v>
      </c>
      <c r="P350" s="824">
        <v>8.5000000000000006E-2</v>
      </c>
      <c r="Q350" s="824">
        <v>8.5000000000000006E-2</v>
      </c>
      <c r="R350" s="721"/>
      <c r="S350" s="732">
        <v>8.4993359893758294E-2</v>
      </c>
      <c r="T350" s="732">
        <v>8.9801444043321299E-2</v>
      </c>
      <c r="U350" s="732">
        <v>8.18301803783546E-2</v>
      </c>
      <c r="V350" s="732">
        <v>8.6271256739941932E-2</v>
      </c>
      <c r="W350" s="733">
        <v>8.9301121656600521E-2</v>
      </c>
      <c r="X350" s="732">
        <v>8.5800085800085801E-2</v>
      </c>
      <c r="Y350" s="732">
        <v>8.3715118700541435E-2</v>
      </c>
      <c r="Z350" s="732">
        <v>8.5589171974522288E-2</v>
      </c>
      <c r="AA350" s="733">
        <f t="shared" ref="AA350:AG350" si="643">-AA349/AA325</f>
        <v>8.0196399345335512E-2</v>
      </c>
      <c r="AB350" s="732">
        <f t="shared" si="643"/>
        <v>7.3122529644268769E-2</v>
      </c>
      <c r="AC350" s="732">
        <f t="shared" si="643"/>
        <v>7.5137686860739572E-2</v>
      </c>
      <c r="AD350" s="732">
        <f t="shared" si="643"/>
        <v>8.183241973375098E-2</v>
      </c>
      <c r="AE350" s="733">
        <f t="shared" si="643"/>
        <v>7.9754601226993863E-2</v>
      </c>
      <c r="AF350" s="732">
        <f t="shared" si="643"/>
        <v>7.9161816065192084E-2</v>
      </c>
      <c r="AG350" s="732">
        <f t="shared" si="643"/>
        <v>7.7870480731029007E-2</v>
      </c>
      <c r="AH350" s="734">
        <f t="shared" ref="AH350:AM350" si="644">-AH349/AH325</f>
        <v>8.0230326295585408E-2</v>
      </c>
      <c r="AI350" s="733">
        <f t="shared" si="644"/>
        <v>7.6543209876543214E-2</v>
      </c>
      <c r="AJ350" s="732">
        <f t="shared" si="644"/>
        <v>7.9559363525091797E-2</v>
      </c>
      <c r="AK350" s="732">
        <f t="shared" si="644"/>
        <v>7.5464396284829718E-2</v>
      </c>
      <c r="AL350" s="734">
        <f t="shared" si="644"/>
        <v>7.6300578034682084E-2</v>
      </c>
      <c r="AM350" s="733">
        <f t="shared" si="644"/>
        <v>7.9062375844259042E-2</v>
      </c>
      <c r="AN350" s="825">
        <v>8.5000000000000006E-2</v>
      </c>
      <c r="AO350" s="825">
        <v>8.5000000000000006E-2</v>
      </c>
      <c r="AP350" s="734">
        <f>-AP349/AP325</f>
        <v>9.0567285582413337E-2</v>
      </c>
      <c r="AQ350" s="1383"/>
      <c r="AR350" s="692"/>
      <c r="AS350" s="692"/>
      <c r="AT350" s="692"/>
      <c r="AU350" s="692"/>
      <c r="AV350" s="692"/>
      <c r="AW350" s="692"/>
      <c r="AX350" s="692"/>
      <c r="AY350" s="692"/>
      <c r="AZ350" s="692"/>
      <c r="BA350" s="692"/>
      <c r="BB350"/>
      <c r="BC350"/>
      <c r="BD350"/>
      <c r="BE350"/>
      <c r="BF350"/>
      <c r="BG350"/>
      <c r="BJ350" s="725"/>
      <c r="BK350" s="725"/>
      <c r="BL350" s="725"/>
      <c r="BM350" s="725"/>
      <c r="BN350" s="725"/>
    </row>
    <row r="351" spans="1:102" s="693" customFormat="1" outlineLevel="1">
      <c r="A351" s="896" t="s">
        <v>586</v>
      </c>
      <c r="B351" s="755"/>
      <c r="C351" s="755">
        <v>0.10030395136778125</v>
      </c>
      <c r="D351" s="755">
        <v>3.4530386740331487E-2</v>
      </c>
      <c r="E351" s="755">
        <v>4.8064085447262928E-2</v>
      </c>
      <c r="F351" s="755">
        <v>4.84076433121019E-2</v>
      </c>
      <c r="G351" s="755">
        <f t="shared" ref="G351:Q351" si="645">G349/F349-1</f>
        <v>-5.1032806804374276E-2</v>
      </c>
      <c r="H351" s="755">
        <f t="shared" si="645"/>
        <v>2.9449423815621101E-2</v>
      </c>
      <c r="I351" s="755">
        <f t="shared" si="645"/>
        <v>-3.7313432835820892E-2</v>
      </c>
      <c r="J351" s="755">
        <f t="shared" si="645"/>
        <v>0.14032413552567702</v>
      </c>
      <c r="K351" s="755">
        <f t="shared" si="645"/>
        <v>5.0259208731241456E-2</v>
      </c>
      <c r="L351" s="755">
        <f t="shared" si="645"/>
        <v>5.3147667047698022E-2</v>
      </c>
      <c r="M351" s="755">
        <f t="shared" si="645"/>
        <v>4.0860462529982211E-2</v>
      </c>
      <c r="N351" s="755">
        <f t="shared" si="645"/>
        <v>4.1477531535728085E-2</v>
      </c>
      <c r="O351" s="755">
        <f t="shared" si="645"/>
        <v>4.2122474376076191E-2</v>
      </c>
      <c r="P351" s="755">
        <f t="shared" si="645"/>
        <v>4.2795733842768691E-2</v>
      </c>
      <c r="Q351" s="755">
        <f t="shared" si="645"/>
        <v>4.3497664758540111E-2</v>
      </c>
      <c r="R351" s="688"/>
      <c r="S351" s="792"/>
      <c r="T351" s="792"/>
      <c r="U351" s="792"/>
      <c r="V351" s="792"/>
      <c r="W351" s="952">
        <v>7.8125E-2</v>
      </c>
      <c r="X351" s="792">
        <v>5.0251256281406143E-3</v>
      </c>
      <c r="Y351" s="792">
        <v>8.0645161290322509E-2</v>
      </c>
      <c r="Z351" s="792">
        <v>3.3653846153846256E-2</v>
      </c>
      <c r="AA351" s="952">
        <f t="shared" ref="AA351:AK351" si="646">AA349/W349-1</f>
        <v>-5.3140096618357502E-2</v>
      </c>
      <c r="AB351" s="792">
        <f t="shared" si="646"/>
        <v>-7.4999999999999956E-2</v>
      </c>
      <c r="AC351" s="792">
        <f t="shared" si="646"/>
        <v>-4.9751243781094523E-2</v>
      </c>
      <c r="AD351" s="792">
        <f t="shared" si="646"/>
        <v>-2.7906976744186074E-2</v>
      </c>
      <c r="AE351" s="952">
        <f t="shared" si="646"/>
        <v>-5.1020408163264808E-3</v>
      </c>
      <c r="AF351" s="792">
        <f t="shared" si="646"/>
        <v>0.10270270270270276</v>
      </c>
      <c r="AG351" s="792">
        <f t="shared" si="646"/>
        <v>2.6178010471204161E-2</v>
      </c>
      <c r="AH351" s="791">
        <f t="shared" si="646"/>
        <v>0</v>
      </c>
      <c r="AI351" s="952">
        <f t="shared" si="646"/>
        <v>-4.6153846153846101E-2</v>
      </c>
      <c r="AJ351" s="792">
        <f t="shared" si="646"/>
        <v>-4.4117647058823484E-2</v>
      </c>
      <c r="AK351" s="792">
        <f t="shared" si="646"/>
        <v>-5.1020408163264808E-3</v>
      </c>
      <c r="AL351" s="791">
        <f>AL349/AH349-1</f>
        <v>-5.2631578947368474E-2</v>
      </c>
      <c r="AM351" s="792">
        <f t="shared" ref="AM351:AP351" si="647">AM349/AI349-1</f>
        <v>6.9892473118279508E-2</v>
      </c>
      <c r="AN351" s="792">
        <f t="shared" si="647"/>
        <v>0.11486855974135723</v>
      </c>
      <c r="AO351" s="792">
        <f t="shared" si="647"/>
        <v>0.14405018046593754</v>
      </c>
      <c r="AP351" s="792">
        <f t="shared" si="647"/>
        <v>0.22788750786086642</v>
      </c>
      <c r="AQ351" s="1383"/>
      <c r="AR351" s="692"/>
      <c r="AS351" s="692"/>
      <c r="AT351" s="692"/>
      <c r="AU351" s="692"/>
      <c r="AV351" s="692"/>
      <c r="AW351" s="692"/>
      <c r="AX351" s="692"/>
      <c r="AY351" s="692"/>
      <c r="AZ351" s="692"/>
      <c r="BA351" s="692"/>
      <c r="BB351"/>
      <c r="BC351"/>
      <c r="BD351"/>
      <c r="BE351"/>
      <c r="BF351"/>
      <c r="BG351"/>
      <c r="BJ351" s="755"/>
      <c r="BK351" s="755"/>
      <c r="BL351" s="755"/>
      <c r="BM351" s="755"/>
      <c r="BN351" s="755"/>
    </row>
    <row r="352" spans="1:102" s="693" customFormat="1" outlineLevel="1">
      <c r="A352" s="713" t="s">
        <v>227</v>
      </c>
      <c r="B352" s="714"/>
      <c r="C352" s="716">
        <v>84</v>
      </c>
      <c r="D352" s="716">
        <v>54</v>
      </c>
      <c r="E352" s="716">
        <v>-2</v>
      </c>
      <c r="F352" s="714">
        <v>-4</v>
      </c>
      <c r="G352" s="716">
        <f>G353-G349</f>
        <v>-1</v>
      </c>
      <c r="H352" s="716">
        <f>H353-H349</f>
        <v>-10</v>
      </c>
      <c r="I352" s="716">
        <f>I353-I349</f>
        <v>0</v>
      </c>
      <c r="J352" s="714">
        <v>0</v>
      </c>
      <c r="K352" s="714">
        <v>0</v>
      </c>
      <c r="L352" s="714">
        <v>0</v>
      </c>
      <c r="M352" s="714">
        <v>0</v>
      </c>
      <c r="N352" s="714">
        <v>0</v>
      </c>
      <c r="O352" s="714">
        <v>0</v>
      </c>
      <c r="P352" s="714">
        <v>0</v>
      </c>
      <c r="Q352" s="714">
        <v>0</v>
      </c>
      <c r="R352" s="715"/>
      <c r="S352" s="716">
        <v>0</v>
      </c>
      <c r="T352" s="716">
        <v>0</v>
      </c>
      <c r="U352" s="716">
        <v>-1</v>
      </c>
      <c r="V352" s="716">
        <v>-1</v>
      </c>
      <c r="W352" s="717">
        <v>0</v>
      </c>
      <c r="X352" s="716">
        <v>-2</v>
      </c>
      <c r="Y352" s="716">
        <v>0</v>
      </c>
      <c r="Z352" s="716">
        <v>-2</v>
      </c>
      <c r="AA352" s="717">
        <f>AA353-AA349</f>
        <v>0</v>
      </c>
      <c r="AB352" s="716">
        <f>AB353-AB349</f>
        <v>0</v>
      </c>
      <c r="AC352" s="716">
        <f>AC353-AC349</f>
        <v>0</v>
      </c>
      <c r="AD352" s="716">
        <f>G352-AA352-AB352-AC352</f>
        <v>-1</v>
      </c>
      <c r="AE352" s="717">
        <f>AE353-AE349</f>
        <v>0</v>
      </c>
      <c r="AF352" s="716">
        <f>AF353-AF349</f>
        <v>-2</v>
      </c>
      <c r="AG352" s="716">
        <f>AG353-AG349</f>
        <v>-8</v>
      </c>
      <c r="AH352" s="718">
        <f>+H352-SUM(AE352:AG352)</f>
        <v>0</v>
      </c>
      <c r="AI352" s="717">
        <f>AI353-AI349</f>
        <v>0</v>
      </c>
      <c r="AJ352" s="716">
        <f>AJ353-AJ349</f>
        <v>0</v>
      </c>
      <c r="AK352" s="716">
        <f>AK353-AK349</f>
        <v>0</v>
      </c>
      <c r="AL352" s="718">
        <f>I352-AI352-AJ352-AK352</f>
        <v>0</v>
      </c>
      <c r="AM352" s="717">
        <f>AM353-AM349</f>
        <v>0</v>
      </c>
      <c r="AN352" s="716">
        <v>0</v>
      </c>
      <c r="AO352" s="716">
        <v>0</v>
      </c>
      <c r="AP352" s="716">
        <f t="shared" ref="AP352:AP354" si="648">J352-AM352-AN352-AO352</f>
        <v>0</v>
      </c>
      <c r="AQ352" s="1383"/>
      <c r="AR352" s="692"/>
      <c r="AS352" s="692"/>
      <c r="AT352" s="692"/>
      <c r="AU352" s="692"/>
      <c r="AV352" s="692"/>
      <c r="AW352" s="692"/>
      <c r="AX352" s="692"/>
      <c r="AY352" s="692"/>
      <c r="AZ352" s="692"/>
      <c r="BA352" s="692"/>
      <c r="BB352"/>
      <c r="BC352"/>
      <c r="BD352"/>
      <c r="BE352"/>
      <c r="BF352"/>
      <c r="BG352"/>
      <c r="BJ352" s="714"/>
      <c r="BK352" s="714"/>
      <c r="BL352" s="714"/>
      <c r="BM352" s="714"/>
      <c r="BN352" s="714"/>
    </row>
    <row r="353" spans="1:102" s="693" customFormat="1" outlineLevel="1">
      <c r="A353" s="713" t="s">
        <v>228</v>
      </c>
      <c r="B353" s="714"/>
      <c r="C353" s="714">
        <v>-640</v>
      </c>
      <c r="D353" s="714">
        <v>-695</v>
      </c>
      <c r="E353" s="714">
        <v>-787</v>
      </c>
      <c r="F353" s="714">
        <v>-827</v>
      </c>
      <c r="G353" s="714">
        <v>-782</v>
      </c>
      <c r="H353" s="714">
        <v>-814</v>
      </c>
      <c r="I353" s="714">
        <v>-774</v>
      </c>
      <c r="J353" s="714">
        <f t="shared" ref="J353:P353" si="649">J349+J352</f>
        <v>-882.61088089687405</v>
      </c>
      <c r="K353" s="714">
        <f t="shared" si="649"/>
        <v>-926.97020538833499</v>
      </c>
      <c r="L353" s="714">
        <f t="shared" si="649"/>
        <v>-976.23650922745048</v>
      </c>
      <c r="M353" s="714">
        <f t="shared" si="649"/>
        <v>-1016.1259845331394</v>
      </c>
      <c r="N353" s="714">
        <f t="shared" si="649"/>
        <v>-1058.2723821008856</v>
      </c>
      <c r="O353" s="714">
        <f t="shared" si="649"/>
        <v>-1102.8494333988392</v>
      </c>
      <c r="P353" s="714">
        <f t="shared" si="649"/>
        <v>-1150.0466842192243</v>
      </c>
      <c r="Q353" s="714">
        <f>Q349+Q352</f>
        <v>-1200.0710293460627</v>
      </c>
      <c r="R353" s="715"/>
      <c r="S353" s="716">
        <v>-192</v>
      </c>
      <c r="T353" s="716">
        <v>-199</v>
      </c>
      <c r="U353" s="716">
        <v>-187</v>
      </c>
      <c r="V353" s="716">
        <v>-209</v>
      </c>
      <c r="W353" s="717">
        <v>-207</v>
      </c>
      <c r="X353" s="716">
        <v>-202</v>
      </c>
      <c r="Y353" s="716">
        <v>-201</v>
      </c>
      <c r="Z353" s="716">
        <v>-217</v>
      </c>
      <c r="AA353" s="717">
        <v>-196</v>
      </c>
      <c r="AB353" s="716">
        <v>-185</v>
      </c>
      <c r="AC353" s="716">
        <v>-191</v>
      </c>
      <c r="AD353" s="716">
        <f>AD349+AD352</f>
        <v>-210</v>
      </c>
      <c r="AE353" s="717">
        <v>-195</v>
      </c>
      <c r="AF353" s="716">
        <v>-206</v>
      </c>
      <c r="AG353" s="716">
        <v>-204</v>
      </c>
      <c r="AH353" s="718">
        <f>AH349+AH352</f>
        <v>-209</v>
      </c>
      <c r="AI353" s="717">
        <v>-186</v>
      </c>
      <c r="AJ353" s="716">
        <v>-195</v>
      </c>
      <c r="AK353" s="716">
        <v>-195</v>
      </c>
      <c r="AL353" s="718">
        <f>AL349+AL352</f>
        <v>-198</v>
      </c>
      <c r="AM353" s="716">
        <v>-199</v>
      </c>
      <c r="AN353" s="716">
        <f t="shared" ref="AN353:AP353" si="650">AN349+AN352</f>
        <v>-217.39936914956468</v>
      </c>
      <c r="AO353" s="716">
        <f t="shared" si="650"/>
        <v>-223.08978519085781</v>
      </c>
      <c r="AP353" s="716">
        <f t="shared" si="650"/>
        <v>-243.12172655645156</v>
      </c>
      <c r="AQ353" s="1392"/>
      <c r="AR353" s="692"/>
      <c r="AS353" s="692"/>
      <c r="AT353" s="692"/>
      <c r="AU353" s="692"/>
      <c r="AV353" s="692"/>
      <c r="AW353" s="692"/>
      <c r="AX353" s="692"/>
      <c r="AY353" s="692"/>
      <c r="AZ353" s="692"/>
      <c r="BA353" s="692"/>
      <c r="BB353"/>
      <c r="BC353"/>
      <c r="BD353"/>
      <c r="BE353"/>
      <c r="BF353"/>
      <c r="BG353"/>
      <c r="BJ353" s="714"/>
      <c r="BK353" s="714"/>
      <c r="BL353" s="714"/>
      <c r="BM353" s="714"/>
      <c r="BN353" s="714"/>
    </row>
    <row r="354" spans="1:102" s="693" customFormat="1">
      <c r="A354" s="713" t="s">
        <v>229</v>
      </c>
      <c r="B354" s="714">
        <v>-350</v>
      </c>
      <c r="C354" s="714">
        <v>-369</v>
      </c>
      <c r="D354" s="714">
        <v>-350</v>
      </c>
      <c r="E354" s="714">
        <v>-374</v>
      </c>
      <c r="F354" s="714">
        <v>-376</v>
      </c>
      <c r="G354" s="714">
        <v>-346</v>
      </c>
      <c r="H354" s="714">
        <v>-300</v>
      </c>
      <c r="I354" s="714">
        <v>-315</v>
      </c>
      <c r="J354" s="1375">
        <f t="shared" ref="J354:Q354" si="651">-J325*J355</f>
        <v>-311.50972266948492</v>
      </c>
      <c r="K354" s="1375">
        <f t="shared" si="651"/>
        <v>-327.16595484294169</v>
      </c>
      <c r="L354" s="1375">
        <f t="shared" si="651"/>
        <v>-344.55406208027659</v>
      </c>
      <c r="M354" s="1375">
        <f t="shared" si="651"/>
        <v>-358.63270042346096</v>
      </c>
      <c r="N354" s="1375">
        <f t="shared" si="651"/>
        <v>-373.50789956501842</v>
      </c>
      <c r="O354" s="1375">
        <f t="shared" si="651"/>
        <v>-389.24097649370793</v>
      </c>
      <c r="P354" s="1375">
        <f t="shared" si="651"/>
        <v>-405.89882972443201</v>
      </c>
      <c r="Q354" s="1375">
        <f t="shared" si="651"/>
        <v>-423.55448094566918</v>
      </c>
      <c r="R354" s="715"/>
      <c r="S354" s="716">
        <v>-94</v>
      </c>
      <c r="T354" s="716">
        <v>-88</v>
      </c>
      <c r="U354" s="716">
        <v>-88</v>
      </c>
      <c r="V354" s="716">
        <v>-104</v>
      </c>
      <c r="W354" s="717">
        <v>-94</v>
      </c>
      <c r="X354" s="716">
        <v>-94</v>
      </c>
      <c r="Y354" s="716">
        <v>-86</v>
      </c>
      <c r="Z354" s="716">
        <v>-102</v>
      </c>
      <c r="AA354" s="717">
        <v>-84</v>
      </c>
      <c r="AB354" s="716">
        <v>-87</v>
      </c>
      <c r="AC354" s="716">
        <v>-83</v>
      </c>
      <c r="AD354" s="716">
        <f>G354-AA354-AB354-AC354</f>
        <v>-92</v>
      </c>
      <c r="AE354" s="717">
        <v>-80</v>
      </c>
      <c r="AF354" s="716">
        <v>-78</v>
      </c>
      <c r="AG354" s="716">
        <v>-60</v>
      </c>
      <c r="AH354" s="718">
        <f>+H354-SUM(AE354:AG354)</f>
        <v>-82</v>
      </c>
      <c r="AI354" s="717">
        <v>-74</v>
      </c>
      <c r="AJ354" s="716">
        <v>-77</v>
      </c>
      <c r="AK354" s="716">
        <v>-74</v>
      </c>
      <c r="AL354" s="718">
        <f>I354-AI354-AJ354-AK354</f>
        <v>-90</v>
      </c>
      <c r="AM354" s="1371">
        <f t="shared" ref="AM354:AO354" si="652">-AM325*AM355</f>
        <v>-75.509999999999991</v>
      </c>
      <c r="AN354" s="1371">
        <f t="shared" si="652"/>
        <v>-76.729189111611049</v>
      </c>
      <c r="AO354" s="1371">
        <f t="shared" si="652"/>
        <v>-78.73757124383215</v>
      </c>
      <c r="AP354" s="1371">
        <f t="shared" si="648"/>
        <v>-80.532962314041725</v>
      </c>
      <c r="AQ354" s="1392"/>
      <c r="AR354" s="692"/>
      <c r="AS354" s="692"/>
      <c r="AT354" s="692"/>
      <c r="AU354" s="692"/>
      <c r="AV354" s="692"/>
      <c r="AW354" s="692"/>
      <c r="AX354" s="692"/>
      <c r="AY354" s="692"/>
      <c r="AZ354" s="692"/>
      <c r="BA354" s="692"/>
      <c r="BB354"/>
      <c r="BC354"/>
      <c r="BD354"/>
      <c r="BE354"/>
      <c r="BF354"/>
      <c r="BG354"/>
      <c r="BJ354" s="714"/>
      <c r="BK354" s="714"/>
      <c r="BL354" s="714"/>
      <c r="BM354" s="714"/>
      <c r="BN354" s="714"/>
    </row>
    <row r="355" spans="1:102" s="693" customFormat="1">
      <c r="A355" s="713" t="s">
        <v>95</v>
      </c>
      <c r="B355" s="731">
        <v>4.073556797020484E-2</v>
      </c>
      <c r="C355" s="731">
        <v>3.8952813258735355E-2</v>
      </c>
      <c r="D355" s="731">
        <v>4.0220638933578488E-2</v>
      </c>
      <c r="E355" s="731">
        <v>4.0834152200021838E-2</v>
      </c>
      <c r="F355" s="731">
        <v>3.9322317506797738E-2</v>
      </c>
      <c r="G355" s="731">
        <f>-G354/G325</f>
        <v>3.4359483614697123E-2</v>
      </c>
      <c r="H355" s="731">
        <f>-H354/H325</f>
        <v>2.9574132492113565E-2</v>
      </c>
      <c r="I355" s="731">
        <f>-I354/I325</f>
        <v>3.1312127236580514E-2</v>
      </c>
      <c r="J355" s="1376">
        <v>0.03</v>
      </c>
      <c r="K355" s="1376">
        <v>0.03</v>
      </c>
      <c r="L355" s="1376">
        <v>0.03</v>
      </c>
      <c r="M355" s="1376">
        <v>0.03</v>
      </c>
      <c r="N355" s="1376">
        <v>0.03</v>
      </c>
      <c r="O355" s="1376">
        <v>0.03</v>
      </c>
      <c r="P355" s="1376">
        <v>0.03</v>
      </c>
      <c r="Q355" s="1376">
        <v>0.03</v>
      </c>
      <c r="R355" s="721"/>
      <c r="S355" s="732">
        <v>4.1611332447985837E-2</v>
      </c>
      <c r="T355" s="732">
        <v>3.9711191335740074E-2</v>
      </c>
      <c r="U355" s="732">
        <v>3.8715354157501103E-2</v>
      </c>
      <c r="V355" s="732">
        <v>4.3135628369970966E-2</v>
      </c>
      <c r="W355" s="733">
        <v>4.0552200172562551E-2</v>
      </c>
      <c r="X355" s="732">
        <v>4.0326040326040327E-2</v>
      </c>
      <c r="Y355" s="732">
        <v>3.5818408996251563E-2</v>
      </c>
      <c r="Z355" s="732">
        <v>4.0605095541401272E-2</v>
      </c>
      <c r="AA355" s="733">
        <f t="shared" ref="AA355:AG355" si="653">-AA354/AA325</f>
        <v>3.4369885433715219E-2</v>
      </c>
      <c r="AB355" s="732">
        <f t="shared" si="653"/>
        <v>3.4387351778656129E-2</v>
      </c>
      <c r="AC355" s="732">
        <f t="shared" si="653"/>
        <v>3.2651455546813535E-2</v>
      </c>
      <c r="AD355" s="732">
        <f t="shared" si="653"/>
        <v>3.6021926389976505E-2</v>
      </c>
      <c r="AE355" s="733">
        <f t="shared" si="653"/>
        <v>3.2719836400817999E-2</v>
      </c>
      <c r="AF355" s="732">
        <f t="shared" si="653"/>
        <v>3.0267753201396973E-2</v>
      </c>
      <c r="AG355" s="732">
        <f t="shared" si="653"/>
        <v>2.3837902264600714E-2</v>
      </c>
      <c r="AH355" s="734">
        <f>-AH354/AH325</f>
        <v>3.1477927063339732E-2</v>
      </c>
      <c r="AI355" s="733">
        <f>-AI354/AI325</f>
        <v>3.0452674897119343E-2</v>
      </c>
      <c r="AJ355" s="732">
        <f>-AJ354/AJ325</f>
        <v>3.1415748674010605E-2</v>
      </c>
      <c r="AK355" s="732">
        <f>-AK354/AK325</f>
        <v>2.8637770897832818E-2</v>
      </c>
      <c r="AL355" s="734">
        <f>-AL354/AL325</f>
        <v>3.4682080924855488E-2</v>
      </c>
      <c r="AM355" s="1372">
        <v>0.03</v>
      </c>
      <c r="AN355" s="1372">
        <v>0.03</v>
      </c>
      <c r="AO355" s="1372">
        <v>0.03</v>
      </c>
      <c r="AP355" s="1373">
        <f>-AP354/AP325</f>
        <v>3.0000000000000002E-2</v>
      </c>
      <c r="AQ355" s="1383"/>
      <c r="AR355" s="692"/>
      <c r="AS355" s="692"/>
      <c r="AT355" s="692"/>
      <c r="AU355" s="692"/>
      <c r="AV355" s="692"/>
      <c r="AW355" s="692"/>
      <c r="AX355" s="692"/>
      <c r="AY355" s="692"/>
      <c r="AZ355" s="692"/>
      <c r="BA355" s="692"/>
      <c r="BB355"/>
      <c r="BC355"/>
      <c r="BD355"/>
      <c r="BE355"/>
      <c r="BF355"/>
      <c r="BG355"/>
      <c r="BJ355" s="725"/>
      <c r="BK355" s="725"/>
      <c r="BL355" s="725"/>
      <c r="BM355" s="725"/>
      <c r="BN355" s="725"/>
    </row>
    <row r="356" spans="1:102" s="693" customFormat="1" outlineLevel="1">
      <c r="A356" s="896" t="s">
        <v>586</v>
      </c>
      <c r="B356" s="755"/>
      <c r="C356" s="755">
        <v>5.428571428571427E-2</v>
      </c>
      <c r="D356" s="755">
        <v>-5.1490514905148999E-2</v>
      </c>
      <c r="E356" s="755">
        <v>6.8571428571428505E-2</v>
      </c>
      <c r="F356" s="755">
        <v>5.3475935828877219E-3</v>
      </c>
      <c r="G356" s="755">
        <f t="shared" ref="G356:Q356" si="654">G354/F354-1</f>
        <v>-7.9787234042553168E-2</v>
      </c>
      <c r="H356" s="755">
        <f t="shared" si="654"/>
        <v>-0.13294797687861271</v>
      </c>
      <c r="I356" s="755">
        <f t="shared" si="654"/>
        <v>5.0000000000000044E-2</v>
      </c>
      <c r="J356" s="1378">
        <f t="shared" si="654"/>
        <v>-1.1080245493698682E-2</v>
      </c>
      <c r="K356" s="1378">
        <f t="shared" si="654"/>
        <v>5.0259208731241456E-2</v>
      </c>
      <c r="L356" s="1378">
        <f t="shared" si="654"/>
        <v>5.3147667047698022E-2</v>
      </c>
      <c r="M356" s="1378">
        <f t="shared" si="654"/>
        <v>4.0860462529982433E-2</v>
      </c>
      <c r="N356" s="1378">
        <f t="shared" si="654"/>
        <v>4.1477531535728085E-2</v>
      </c>
      <c r="O356" s="1378">
        <f t="shared" si="654"/>
        <v>4.2122474376076191E-2</v>
      </c>
      <c r="P356" s="1378">
        <f t="shared" si="654"/>
        <v>4.2795733842768691E-2</v>
      </c>
      <c r="Q356" s="1378">
        <f t="shared" si="654"/>
        <v>4.3497664758540333E-2</v>
      </c>
      <c r="R356" s="688"/>
      <c r="S356" s="792"/>
      <c r="T356" s="792"/>
      <c r="U356" s="792"/>
      <c r="V356" s="792"/>
      <c r="W356" s="952">
        <v>0</v>
      </c>
      <c r="X356" s="792">
        <v>6.8181818181818121E-2</v>
      </c>
      <c r="Y356" s="792">
        <v>-2.2727272727272707E-2</v>
      </c>
      <c r="Z356" s="792">
        <v>-1.9230769230769273E-2</v>
      </c>
      <c r="AA356" s="952">
        <f t="shared" ref="AA356:AK356" si="655">AA354/W354-1</f>
        <v>-0.1063829787234043</v>
      </c>
      <c r="AB356" s="792">
        <f t="shared" si="655"/>
        <v>-7.4468085106383031E-2</v>
      </c>
      <c r="AC356" s="792">
        <f t="shared" si="655"/>
        <v>-3.4883720930232509E-2</v>
      </c>
      <c r="AD356" s="792">
        <f t="shared" si="655"/>
        <v>-9.8039215686274495E-2</v>
      </c>
      <c r="AE356" s="952">
        <f t="shared" si="655"/>
        <v>-4.7619047619047672E-2</v>
      </c>
      <c r="AF356" s="792">
        <f t="shared" si="655"/>
        <v>-0.10344827586206895</v>
      </c>
      <c r="AG356" s="792">
        <f t="shared" si="655"/>
        <v>-0.27710843373493976</v>
      </c>
      <c r="AH356" s="791">
        <f t="shared" si="655"/>
        <v>-0.10869565217391308</v>
      </c>
      <c r="AI356" s="952">
        <f t="shared" si="655"/>
        <v>-7.4999999999999956E-2</v>
      </c>
      <c r="AJ356" s="792">
        <f t="shared" si="655"/>
        <v>-1.2820512820512775E-2</v>
      </c>
      <c r="AK356" s="792">
        <f t="shared" si="655"/>
        <v>0.23333333333333339</v>
      </c>
      <c r="AL356" s="791">
        <f>AL354/AH354-1</f>
        <v>9.7560975609756184E-2</v>
      </c>
      <c r="AM356" s="1379">
        <f t="shared" ref="AM356:AP356" si="656">AM354/AI354-1</f>
        <v>2.0405405405405252E-2</v>
      </c>
      <c r="AN356" s="1379">
        <f t="shared" si="656"/>
        <v>-3.5170245245318421E-3</v>
      </c>
      <c r="AO356" s="1379">
        <f t="shared" si="656"/>
        <v>6.4021233024758706E-2</v>
      </c>
      <c r="AP356" s="1379">
        <f t="shared" si="656"/>
        <v>-0.1051893076217586</v>
      </c>
      <c r="AQ356" s="1383"/>
      <c r="AR356" s="692"/>
      <c r="AS356" s="692"/>
      <c r="AT356" s="692"/>
      <c r="AU356" s="692"/>
      <c r="AV356" s="692"/>
      <c r="AW356" s="692"/>
      <c r="AX356" s="692"/>
      <c r="AY356" s="692"/>
      <c r="AZ356" s="692"/>
      <c r="BA356" s="692"/>
      <c r="BB356"/>
      <c r="BC356"/>
      <c r="BD356"/>
      <c r="BE356"/>
      <c r="BF356"/>
      <c r="BG356"/>
      <c r="BJ356" s="755"/>
      <c r="BK356" s="755"/>
      <c r="BL356" s="755"/>
      <c r="BM356" s="755"/>
      <c r="BN356" s="755"/>
    </row>
    <row r="357" spans="1:102" s="741" customFormat="1" outlineLevel="1">
      <c r="A357" s="713" t="s">
        <v>230</v>
      </c>
      <c r="B357" s="714"/>
      <c r="C357" s="716">
        <v>0</v>
      </c>
      <c r="D357" s="716">
        <v>0</v>
      </c>
      <c r="E357" s="716">
        <v>0</v>
      </c>
      <c r="F357" s="714">
        <v>0</v>
      </c>
      <c r="G357" s="716">
        <f>G358-G354</f>
        <v>0</v>
      </c>
      <c r="H357" s="716">
        <f>H358-H354</f>
        <v>0</v>
      </c>
      <c r="I357" s="716">
        <f>I358-I354</f>
        <v>0</v>
      </c>
      <c r="J357" s="1375">
        <v>0</v>
      </c>
      <c r="K357" s="1375">
        <v>0</v>
      </c>
      <c r="L357" s="1375">
        <v>0</v>
      </c>
      <c r="M357" s="1375">
        <v>0</v>
      </c>
      <c r="N357" s="1375">
        <v>0</v>
      </c>
      <c r="O357" s="1375">
        <v>0</v>
      </c>
      <c r="P357" s="1375">
        <v>0</v>
      </c>
      <c r="Q357" s="1375">
        <v>0</v>
      </c>
      <c r="R357" s="715"/>
      <c r="S357" s="716">
        <v>0</v>
      </c>
      <c r="T357" s="716">
        <v>0</v>
      </c>
      <c r="U357" s="716">
        <v>0</v>
      </c>
      <c r="V357" s="716">
        <v>0</v>
      </c>
      <c r="W357" s="717">
        <v>0</v>
      </c>
      <c r="X357" s="716">
        <v>0</v>
      </c>
      <c r="Y357" s="716">
        <v>0</v>
      </c>
      <c r="Z357" s="716">
        <v>0</v>
      </c>
      <c r="AA357" s="717">
        <f>AA358-AA354</f>
        <v>0</v>
      </c>
      <c r="AB357" s="716">
        <f>AB358-AB354</f>
        <v>0</v>
      </c>
      <c r="AC357" s="716">
        <f>AC358-AC354</f>
        <v>0</v>
      </c>
      <c r="AD357" s="716">
        <f>G357-AA357-AB357-AC357</f>
        <v>0</v>
      </c>
      <c r="AE357" s="717">
        <f>AE358-AE354</f>
        <v>0</v>
      </c>
      <c r="AF357" s="716">
        <f>AF358-AF354</f>
        <v>0</v>
      </c>
      <c r="AG357" s="716">
        <f>AG358-AG354</f>
        <v>0</v>
      </c>
      <c r="AH357" s="718">
        <f>+H357-SUM(AE357:AG357)</f>
        <v>0</v>
      </c>
      <c r="AI357" s="717">
        <f>AI358-AI354</f>
        <v>0</v>
      </c>
      <c r="AJ357" s="716">
        <f>AJ358-AJ354</f>
        <v>0</v>
      </c>
      <c r="AK357" s="716">
        <f>AK358-AK354</f>
        <v>0</v>
      </c>
      <c r="AL357" s="718">
        <f>I357-AI357-AJ357-AK357</f>
        <v>0</v>
      </c>
      <c r="AM357" s="1371">
        <v>0</v>
      </c>
      <c r="AN357" s="1371">
        <v>0</v>
      </c>
      <c r="AO357" s="1371">
        <v>0</v>
      </c>
      <c r="AP357" s="1371">
        <f t="shared" ref="AP357" si="657">J357-AM357-AN357-AO357</f>
        <v>0</v>
      </c>
      <c r="AQ357" s="1383"/>
      <c r="AR357" s="692"/>
      <c r="AS357" s="692"/>
      <c r="AT357" s="692"/>
      <c r="AU357" s="692"/>
      <c r="AV357" s="692"/>
      <c r="AW357" s="692"/>
      <c r="AX357" s="692"/>
      <c r="AY357" s="692"/>
      <c r="AZ357" s="692"/>
      <c r="BA357" s="692"/>
      <c r="BB357"/>
      <c r="BC357"/>
      <c r="BD357"/>
      <c r="BE357"/>
      <c r="BF357"/>
      <c r="BG357"/>
      <c r="BH357" s="693"/>
      <c r="BI357" s="693"/>
      <c r="BJ357" s="714"/>
      <c r="BK357" s="714"/>
      <c r="BL357" s="714"/>
      <c r="BM357" s="714"/>
      <c r="BN357" s="714"/>
      <c r="BO357" s="693"/>
      <c r="BP357" s="693"/>
      <c r="BQ357" s="693"/>
      <c r="BR357" s="693"/>
      <c r="BS357" s="693"/>
      <c r="BT357" s="693"/>
      <c r="BU357" s="693"/>
      <c r="BV357" s="693"/>
      <c r="BW357" s="693"/>
      <c r="BX357" s="693"/>
      <c r="BY357" s="693"/>
      <c r="BZ357" s="693"/>
      <c r="CA357" s="693"/>
      <c r="CB357" s="693"/>
      <c r="CC357" s="693"/>
      <c r="CD357" s="693"/>
      <c r="CE357" s="693"/>
      <c r="CF357" s="693"/>
      <c r="CG357" s="693"/>
      <c r="CH357" s="693"/>
      <c r="CI357" s="693"/>
      <c r="CJ357" s="693"/>
      <c r="CK357" s="693"/>
      <c r="CL357" s="693"/>
      <c r="CM357" s="693"/>
      <c r="CN357" s="693"/>
      <c r="CO357" s="693"/>
      <c r="CP357" s="693"/>
      <c r="CQ357" s="693"/>
      <c r="CR357" s="693"/>
      <c r="CS357" s="693"/>
      <c r="CT357" s="693"/>
      <c r="CU357" s="693"/>
      <c r="CV357" s="693"/>
      <c r="CW357" s="693"/>
      <c r="CX357" s="693"/>
    </row>
    <row r="358" spans="1:102" s="693" customFormat="1" outlineLevel="1">
      <c r="A358" s="713" t="s">
        <v>231</v>
      </c>
      <c r="B358" s="714"/>
      <c r="C358" s="714">
        <v>-369</v>
      </c>
      <c r="D358" s="714">
        <v>-350</v>
      </c>
      <c r="E358" s="714">
        <v>-374</v>
      </c>
      <c r="F358" s="714">
        <v>-376</v>
      </c>
      <c r="G358" s="714">
        <v>-346</v>
      </c>
      <c r="H358" s="714">
        <v>-300</v>
      </c>
      <c r="I358" s="714">
        <v>-315</v>
      </c>
      <c r="J358" s="1375">
        <f t="shared" ref="J358:P358" si="658">J354+J357</f>
        <v>-311.50972266948492</v>
      </c>
      <c r="K358" s="1375">
        <f t="shared" si="658"/>
        <v>-327.16595484294169</v>
      </c>
      <c r="L358" s="1375">
        <f t="shared" si="658"/>
        <v>-344.55406208027659</v>
      </c>
      <c r="M358" s="1375">
        <f t="shared" si="658"/>
        <v>-358.63270042346096</v>
      </c>
      <c r="N358" s="1375">
        <f t="shared" si="658"/>
        <v>-373.50789956501842</v>
      </c>
      <c r="O358" s="1375">
        <f t="shared" si="658"/>
        <v>-389.24097649370793</v>
      </c>
      <c r="P358" s="1375">
        <f t="shared" si="658"/>
        <v>-405.89882972443201</v>
      </c>
      <c r="Q358" s="1375">
        <f>Q354+Q357</f>
        <v>-423.55448094566918</v>
      </c>
      <c r="R358" s="715"/>
      <c r="S358" s="716">
        <v>-94</v>
      </c>
      <c r="T358" s="716">
        <v>-88</v>
      </c>
      <c r="U358" s="716">
        <v>-88</v>
      </c>
      <c r="V358" s="716">
        <v>-104</v>
      </c>
      <c r="W358" s="717">
        <v>-94</v>
      </c>
      <c r="X358" s="716">
        <v>-94</v>
      </c>
      <c r="Y358" s="716">
        <v>-86</v>
      </c>
      <c r="Z358" s="716">
        <v>-102</v>
      </c>
      <c r="AA358" s="717">
        <v>-84</v>
      </c>
      <c r="AB358" s="716">
        <v>-87</v>
      </c>
      <c r="AC358" s="716">
        <v>-83</v>
      </c>
      <c r="AD358" s="716">
        <f>AD354+AD357</f>
        <v>-92</v>
      </c>
      <c r="AE358" s="717">
        <v>-80</v>
      </c>
      <c r="AF358" s="716">
        <v>-78</v>
      </c>
      <c r="AG358" s="716">
        <v>-60</v>
      </c>
      <c r="AH358" s="718">
        <f>AH354+AH357</f>
        <v>-82</v>
      </c>
      <c r="AI358" s="717">
        <v>-74</v>
      </c>
      <c r="AJ358" s="716">
        <v>-77</v>
      </c>
      <c r="AK358" s="716">
        <v>-74</v>
      </c>
      <c r="AL358" s="718">
        <f>AL354+AL357</f>
        <v>-90</v>
      </c>
      <c r="AM358" s="1371">
        <f t="shared" ref="AM358:AP358" si="659">AM354+AM357</f>
        <v>-75.509999999999991</v>
      </c>
      <c r="AN358" s="1371">
        <f t="shared" si="659"/>
        <v>-76.729189111611049</v>
      </c>
      <c r="AO358" s="1371">
        <f t="shared" si="659"/>
        <v>-78.73757124383215</v>
      </c>
      <c r="AP358" s="1371">
        <f t="shared" si="659"/>
        <v>-80.532962314041725</v>
      </c>
      <c r="AQ358" s="1392"/>
      <c r="AR358" s="692"/>
      <c r="AS358" s="692"/>
      <c r="AT358" s="692"/>
      <c r="AU358" s="692"/>
      <c r="AV358" s="692"/>
      <c r="AW358" s="692"/>
      <c r="AX358" s="692"/>
      <c r="AY358" s="692"/>
      <c r="AZ358" s="692"/>
      <c r="BA358" s="692"/>
      <c r="BB358"/>
      <c r="BC358"/>
      <c r="BD358"/>
      <c r="BE358"/>
      <c r="BF358"/>
      <c r="BG358"/>
      <c r="BJ358" s="714"/>
      <c r="BK358" s="714"/>
      <c r="BL358" s="714"/>
      <c r="BM358" s="714"/>
      <c r="BN358" s="714"/>
    </row>
    <row r="359" spans="1:102" s="693" customFormat="1">
      <c r="A359" s="713" t="s">
        <v>232</v>
      </c>
      <c r="B359" s="714">
        <v>-218</v>
      </c>
      <c r="C359" s="714">
        <v>-141</v>
      </c>
      <c r="D359" s="714">
        <v>-147</v>
      </c>
      <c r="E359" s="714">
        <v>-52</v>
      </c>
      <c r="F359" s="714">
        <v>-59</v>
      </c>
      <c r="G359" s="714">
        <f>G360+G361</f>
        <v>-34</v>
      </c>
      <c r="H359" s="714">
        <f t="shared" ref="H359:Q359" si="660">H360+H361</f>
        <v>-33</v>
      </c>
      <c r="I359" s="714">
        <f t="shared" si="660"/>
        <v>-19</v>
      </c>
      <c r="J359" s="714">
        <f t="shared" si="660"/>
        <v>-19</v>
      </c>
      <c r="K359" s="714">
        <f t="shared" si="660"/>
        <v>-19</v>
      </c>
      <c r="L359" s="714">
        <f t="shared" si="660"/>
        <v>-19</v>
      </c>
      <c r="M359" s="714">
        <f t="shared" si="660"/>
        <v>-19</v>
      </c>
      <c r="N359" s="714">
        <f t="shared" si="660"/>
        <v>-19</v>
      </c>
      <c r="O359" s="714">
        <f t="shared" si="660"/>
        <v>-19</v>
      </c>
      <c r="P359" s="714">
        <f t="shared" si="660"/>
        <v>-19</v>
      </c>
      <c r="Q359" s="714">
        <f t="shared" si="660"/>
        <v>-19</v>
      </c>
      <c r="R359" s="715"/>
      <c r="S359" s="716">
        <v>-37</v>
      </c>
      <c r="T359" s="716">
        <v>-22</v>
      </c>
      <c r="U359" s="716">
        <v>-5</v>
      </c>
      <c r="V359" s="716">
        <v>12</v>
      </c>
      <c r="W359" s="717">
        <v>-2</v>
      </c>
      <c r="X359" s="716">
        <v>-24</v>
      </c>
      <c r="Y359" s="716">
        <v>-28</v>
      </c>
      <c r="Z359" s="716">
        <v>-5</v>
      </c>
      <c r="AA359" s="717">
        <f>AA360+AA361</f>
        <v>-16</v>
      </c>
      <c r="AB359" s="716">
        <f>AB360+AB361</f>
        <v>-17</v>
      </c>
      <c r="AC359" s="716">
        <f>AC360+AC361</f>
        <v>-19</v>
      </c>
      <c r="AD359" s="716">
        <f>G359-AA359-AB359-AC359</f>
        <v>18</v>
      </c>
      <c r="AE359" s="717">
        <f t="shared" ref="AE359:AP359" si="661">AE360+AE361</f>
        <v>-10</v>
      </c>
      <c r="AF359" s="716">
        <f t="shared" si="661"/>
        <v>-8</v>
      </c>
      <c r="AG359" s="716">
        <f t="shared" si="661"/>
        <v>-2</v>
      </c>
      <c r="AH359" s="718">
        <f t="shared" si="661"/>
        <v>-13</v>
      </c>
      <c r="AI359" s="717">
        <f t="shared" si="661"/>
        <v>-35</v>
      </c>
      <c r="AJ359" s="716">
        <f t="shared" si="661"/>
        <v>-10</v>
      </c>
      <c r="AK359" s="716">
        <f t="shared" si="661"/>
        <v>15</v>
      </c>
      <c r="AL359" s="718">
        <f t="shared" si="661"/>
        <v>11</v>
      </c>
      <c r="AM359" s="716">
        <f t="shared" si="661"/>
        <v>-16</v>
      </c>
      <c r="AN359" s="716">
        <f t="shared" si="661"/>
        <v>-10</v>
      </c>
      <c r="AO359" s="716">
        <f t="shared" si="661"/>
        <v>15</v>
      </c>
      <c r="AP359" s="716">
        <f t="shared" si="661"/>
        <v>-8</v>
      </c>
      <c r="AQ359" s="1392"/>
      <c r="AR359" s="692"/>
      <c r="AS359" s="692"/>
      <c r="AT359" s="692"/>
      <c r="AU359" s="692"/>
      <c r="AV359" s="692"/>
      <c r="AW359" s="692"/>
      <c r="AX359" s="692"/>
      <c r="AY359" s="692"/>
      <c r="AZ359" s="692"/>
      <c r="BA359" s="692"/>
      <c r="BB359"/>
      <c r="BC359"/>
      <c r="BD359"/>
      <c r="BE359"/>
      <c r="BF359"/>
      <c r="BG359"/>
      <c r="BJ359" s="714"/>
      <c r="BK359" s="714"/>
      <c r="BL359" s="714"/>
      <c r="BM359" s="714"/>
      <c r="BN359" s="714"/>
    </row>
    <row r="360" spans="1:102" s="693" customFormat="1">
      <c r="A360" s="713" t="s">
        <v>114</v>
      </c>
      <c r="B360" s="714"/>
      <c r="C360" s="714"/>
      <c r="D360" s="714">
        <v>55</v>
      </c>
      <c r="E360" s="714">
        <v>100</v>
      </c>
      <c r="F360" s="714">
        <v>93</v>
      </c>
      <c r="G360" s="714">
        <v>104</v>
      </c>
      <c r="H360" s="714">
        <v>146</v>
      </c>
      <c r="I360" s="714">
        <v>194</v>
      </c>
      <c r="J360" s="793">
        <f t="shared" ref="J360:Q361" si="662">I360</f>
        <v>194</v>
      </c>
      <c r="K360" s="793">
        <f t="shared" si="662"/>
        <v>194</v>
      </c>
      <c r="L360" s="793">
        <f t="shared" si="662"/>
        <v>194</v>
      </c>
      <c r="M360" s="793">
        <f t="shared" si="662"/>
        <v>194</v>
      </c>
      <c r="N360" s="793">
        <f t="shared" si="662"/>
        <v>194</v>
      </c>
      <c r="O360" s="793">
        <f t="shared" si="662"/>
        <v>194</v>
      </c>
      <c r="P360" s="793">
        <f t="shared" si="662"/>
        <v>194</v>
      </c>
      <c r="Q360" s="793">
        <f t="shared" si="662"/>
        <v>194</v>
      </c>
      <c r="R360" s="715"/>
      <c r="S360" s="716">
        <v>6</v>
      </c>
      <c r="T360" s="716">
        <v>19</v>
      </c>
      <c r="U360" s="716">
        <v>34</v>
      </c>
      <c r="V360" s="716">
        <v>41</v>
      </c>
      <c r="W360" s="717">
        <v>24</v>
      </c>
      <c r="X360" s="716">
        <v>17</v>
      </c>
      <c r="Y360" s="716">
        <v>15</v>
      </c>
      <c r="Z360" s="716">
        <v>37</v>
      </c>
      <c r="AA360" s="717">
        <v>14</v>
      </c>
      <c r="AB360" s="716">
        <v>14</v>
      </c>
      <c r="AC360" s="716">
        <v>15</v>
      </c>
      <c r="AD360" s="716">
        <f>G360-AA360-AB360-AC360</f>
        <v>61</v>
      </c>
      <c r="AE360" s="717">
        <v>20</v>
      </c>
      <c r="AF360" s="716">
        <v>34</v>
      </c>
      <c r="AG360" s="716">
        <v>45</v>
      </c>
      <c r="AH360" s="718">
        <f>+H360-SUM(AE360:AG360)</f>
        <v>47</v>
      </c>
      <c r="AI360" s="717">
        <v>10</v>
      </c>
      <c r="AJ360" s="716">
        <v>39</v>
      </c>
      <c r="AK360" s="716">
        <v>63</v>
      </c>
      <c r="AL360" s="718">
        <f>I360-AI360-AJ360-AK360</f>
        <v>82</v>
      </c>
      <c r="AM360" s="717">
        <v>35</v>
      </c>
      <c r="AN360" s="788">
        <f t="shared" ref="AN360:AO361" si="663">AJ360</f>
        <v>39</v>
      </c>
      <c r="AO360" s="788">
        <f t="shared" si="663"/>
        <v>63</v>
      </c>
      <c r="AP360" s="716">
        <f t="shared" ref="AP360:AP364" si="664">J360-AM360-AN360-AO360</f>
        <v>57</v>
      </c>
      <c r="AQ360" s="1392"/>
      <c r="AR360" s="692"/>
      <c r="AS360" s="692"/>
      <c r="AT360" s="692"/>
      <c r="AU360" s="692"/>
      <c r="AV360" s="692"/>
      <c r="AW360" s="692"/>
      <c r="AX360" s="692"/>
      <c r="AY360" s="692"/>
      <c r="AZ360" s="692"/>
      <c r="BA360" s="692"/>
      <c r="BB360"/>
      <c r="BC360"/>
      <c r="BD360"/>
      <c r="BE360"/>
      <c r="BF360"/>
      <c r="BG360"/>
      <c r="BJ360" s="714"/>
      <c r="BK360" s="714"/>
      <c r="BL360" s="714"/>
      <c r="BM360" s="714"/>
      <c r="BN360" s="714"/>
    </row>
    <row r="361" spans="1:102" s="693" customFormat="1">
      <c r="A361" s="713" t="s">
        <v>117</v>
      </c>
      <c r="B361" s="714"/>
      <c r="C361" s="714"/>
      <c r="D361" s="714">
        <v>-202</v>
      </c>
      <c r="E361" s="714">
        <v>-152</v>
      </c>
      <c r="F361" s="714">
        <v>-152</v>
      </c>
      <c r="G361" s="714">
        <v>-138</v>
      </c>
      <c r="H361" s="714">
        <v>-179</v>
      </c>
      <c r="I361" s="714">
        <v>-213</v>
      </c>
      <c r="J361" s="793">
        <f t="shared" si="662"/>
        <v>-213</v>
      </c>
      <c r="K361" s="793">
        <f t="shared" si="662"/>
        <v>-213</v>
      </c>
      <c r="L361" s="793">
        <f t="shared" si="662"/>
        <v>-213</v>
      </c>
      <c r="M361" s="793">
        <f t="shared" si="662"/>
        <v>-213</v>
      </c>
      <c r="N361" s="793">
        <f t="shared" si="662"/>
        <v>-213</v>
      </c>
      <c r="O361" s="793">
        <f t="shared" si="662"/>
        <v>-213</v>
      </c>
      <c r="P361" s="793">
        <f t="shared" si="662"/>
        <v>-213</v>
      </c>
      <c r="Q361" s="793">
        <f t="shared" si="662"/>
        <v>-213</v>
      </c>
      <c r="R361" s="715"/>
      <c r="S361" s="716">
        <v>-43</v>
      </c>
      <c r="T361" s="716">
        <v>-41</v>
      </c>
      <c r="U361" s="716">
        <v>-39</v>
      </c>
      <c r="V361" s="716">
        <v>-29</v>
      </c>
      <c r="W361" s="717">
        <v>-26</v>
      </c>
      <c r="X361" s="716">
        <v>-41</v>
      </c>
      <c r="Y361" s="716">
        <v>-43</v>
      </c>
      <c r="Z361" s="716">
        <v>-42</v>
      </c>
      <c r="AA361" s="717">
        <v>-30</v>
      </c>
      <c r="AB361" s="716">
        <v>-31</v>
      </c>
      <c r="AC361" s="716">
        <v>-34</v>
      </c>
      <c r="AD361" s="716">
        <f>G361-AA361-AB361-AC361</f>
        <v>-43</v>
      </c>
      <c r="AE361" s="717">
        <v>-30</v>
      </c>
      <c r="AF361" s="716">
        <v>-42</v>
      </c>
      <c r="AG361" s="716">
        <v>-47</v>
      </c>
      <c r="AH361" s="718">
        <f>+H361-SUM(AE361:AG361)</f>
        <v>-60</v>
      </c>
      <c r="AI361" s="717">
        <v>-45</v>
      </c>
      <c r="AJ361" s="716">
        <v>-49</v>
      </c>
      <c r="AK361" s="716">
        <v>-48</v>
      </c>
      <c r="AL361" s="718">
        <f>I361-AI361-AJ361-AK361</f>
        <v>-71</v>
      </c>
      <c r="AM361" s="717">
        <v>-51</v>
      </c>
      <c r="AN361" s="788">
        <f t="shared" si="663"/>
        <v>-49</v>
      </c>
      <c r="AO361" s="788">
        <f t="shared" si="663"/>
        <v>-48</v>
      </c>
      <c r="AP361" s="716">
        <f t="shared" si="664"/>
        <v>-65</v>
      </c>
      <c r="AQ361" s="1392"/>
      <c r="AR361" s="692"/>
      <c r="AS361" s="692"/>
      <c r="AT361" s="692"/>
      <c r="AU361" s="692"/>
      <c r="AV361" s="692"/>
      <c r="AW361" s="692"/>
      <c r="AX361" s="692"/>
      <c r="AY361" s="692"/>
      <c r="AZ361" s="692"/>
      <c r="BA361" s="692"/>
      <c r="BB361"/>
      <c r="BC361"/>
      <c r="BD361"/>
      <c r="BE361"/>
      <c r="BF361"/>
      <c r="BG361"/>
      <c r="BJ361" s="714"/>
      <c r="BK361" s="714"/>
      <c r="BL361" s="714"/>
      <c r="BM361" s="714"/>
      <c r="BN361" s="714"/>
    </row>
    <row r="362" spans="1:102" s="693" customFormat="1" outlineLevel="1">
      <c r="A362" s="713" t="s">
        <v>233</v>
      </c>
      <c r="B362" s="714"/>
      <c r="C362" s="714">
        <v>-193</v>
      </c>
      <c r="D362" s="714">
        <v>-23</v>
      </c>
      <c r="E362" s="714">
        <v>-82</v>
      </c>
      <c r="F362" s="714">
        <v>-34</v>
      </c>
      <c r="G362" s="714">
        <f t="shared" ref="G362:M362" si="665">+G363+G364</f>
        <v>-238</v>
      </c>
      <c r="H362" s="714">
        <f t="shared" si="665"/>
        <v>-41</v>
      </c>
      <c r="I362" s="714">
        <f t="shared" ref="I362" si="666">+I363+I364</f>
        <v>-128</v>
      </c>
      <c r="J362" s="714">
        <f t="shared" si="665"/>
        <v>0</v>
      </c>
      <c r="K362" s="714">
        <f t="shared" si="665"/>
        <v>0</v>
      </c>
      <c r="L362" s="714">
        <f t="shared" si="665"/>
        <v>0</v>
      </c>
      <c r="M362" s="714">
        <f t="shared" si="665"/>
        <v>0</v>
      </c>
      <c r="N362" s="714">
        <v>0</v>
      </c>
      <c r="O362" s="714">
        <v>0</v>
      </c>
      <c r="P362" s="714">
        <v>0</v>
      </c>
      <c r="Q362" s="714">
        <v>0</v>
      </c>
      <c r="R362" s="715"/>
      <c r="S362" s="716">
        <v>-78</v>
      </c>
      <c r="T362" s="716">
        <v>1</v>
      </c>
      <c r="U362" s="716">
        <v>-14</v>
      </c>
      <c r="V362" s="716">
        <v>9</v>
      </c>
      <c r="W362" s="717">
        <v>-2</v>
      </c>
      <c r="X362" s="716">
        <v>-1</v>
      </c>
      <c r="Y362" s="716">
        <v>-18</v>
      </c>
      <c r="Z362" s="716">
        <v>-13</v>
      </c>
      <c r="AA362" s="717">
        <f>AA363+AA364</f>
        <v>-35</v>
      </c>
      <c r="AB362" s="716">
        <f>AB363+AB364</f>
        <v>-140</v>
      </c>
      <c r="AC362" s="716">
        <f>AC363+AC364</f>
        <v>-7</v>
      </c>
      <c r="AD362" s="716">
        <f>AD363+AD364</f>
        <v>-56</v>
      </c>
      <c r="AE362" s="717">
        <f t="shared" ref="AE362:AP362" si="667">+AE363+AE364</f>
        <v>0</v>
      </c>
      <c r="AF362" s="716">
        <f t="shared" si="667"/>
        <v>-19</v>
      </c>
      <c r="AG362" s="716">
        <f t="shared" si="667"/>
        <v>3</v>
      </c>
      <c r="AH362" s="718">
        <f t="shared" si="667"/>
        <v>-25</v>
      </c>
      <c r="AI362" s="717">
        <f>+AI363+AI364</f>
        <v>-4</v>
      </c>
      <c r="AJ362" s="716">
        <f t="shared" si="667"/>
        <v>-21</v>
      </c>
      <c r="AK362" s="716">
        <f t="shared" si="667"/>
        <v>-49</v>
      </c>
      <c r="AL362" s="718">
        <f t="shared" si="667"/>
        <v>-54</v>
      </c>
      <c r="AM362" s="716">
        <f t="shared" si="667"/>
        <v>46</v>
      </c>
      <c r="AN362" s="716">
        <f t="shared" si="667"/>
        <v>0</v>
      </c>
      <c r="AO362" s="716">
        <f t="shared" si="667"/>
        <v>0</v>
      </c>
      <c r="AP362" s="716">
        <f t="shared" si="667"/>
        <v>-46</v>
      </c>
      <c r="AQ362" s="1392"/>
      <c r="AR362" s="692"/>
      <c r="AS362" s="692"/>
      <c r="AT362" s="692"/>
      <c r="AU362" s="692"/>
      <c r="AV362" s="692"/>
      <c r="AW362" s="692"/>
      <c r="AX362" s="692"/>
      <c r="AY362" s="692"/>
      <c r="AZ362" s="692"/>
      <c r="BA362" s="692"/>
      <c r="BB362"/>
      <c r="BC362"/>
      <c r="BD362"/>
      <c r="BE362"/>
      <c r="BF362"/>
      <c r="BG362"/>
      <c r="BJ362" s="714"/>
      <c r="BK362" s="714"/>
      <c r="BL362" s="714"/>
      <c r="BM362" s="714"/>
      <c r="BN362" s="714"/>
    </row>
    <row r="363" spans="1:102" s="693" customFormat="1" outlineLevel="1">
      <c r="A363" s="713" t="s">
        <v>115</v>
      </c>
      <c r="B363" s="714"/>
      <c r="C363" s="714"/>
      <c r="D363" s="716">
        <v>10</v>
      </c>
      <c r="E363" s="716">
        <v>6</v>
      </c>
      <c r="F363" s="714">
        <v>4</v>
      </c>
      <c r="G363" s="714">
        <f t="shared" ref="G363:I364" si="668">+G366-G360</f>
        <v>5</v>
      </c>
      <c r="H363" s="716">
        <f t="shared" si="668"/>
        <v>39</v>
      </c>
      <c r="I363" s="716">
        <f t="shared" si="668"/>
        <v>10</v>
      </c>
      <c r="J363" s="714">
        <v>0</v>
      </c>
      <c r="K363" s="714">
        <v>0</v>
      </c>
      <c r="L363" s="714">
        <v>0</v>
      </c>
      <c r="M363" s="714">
        <v>0</v>
      </c>
      <c r="N363" s="714">
        <v>0</v>
      </c>
      <c r="O363" s="714">
        <v>0</v>
      </c>
      <c r="P363" s="714">
        <v>0</v>
      </c>
      <c r="Q363" s="714">
        <v>0</v>
      </c>
      <c r="R363" s="715"/>
      <c r="S363" s="716">
        <v>1</v>
      </c>
      <c r="T363" s="716">
        <v>1</v>
      </c>
      <c r="U363" s="716">
        <v>4</v>
      </c>
      <c r="V363" s="716">
        <v>0</v>
      </c>
      <c r="W363" s="717">
        <v>1</v>
      </c>
      <c r="X363" s="716">
        <v>3</v>
      </c>
      <c r="Y363" s="716">
        <v>0</v>
      </c>
      <c r="Z363" s="716">
        <v>0</v>
      </c>
      <c r="AA363" s="717">
        <f t="shared" ref="AA363:AC364" si="669">+AA366-AA360</f>
        <v>0</v>
      </c>
      <c r="AB363" s="716">
        <f t="shared" si="669"/>
        <v>3</v>
      </c>
      <c r="AC363" s="716">
        <f t="shared" si="669"/>
        <v>1</v>
      </c>
      <c r="AD363" s="716">
        <f>G363-AA363-AB363-AC363</f>
        <v>1</v>
      </c>
      <c r="AE363" s="717">
        <f t="shared" ref="AE363:AG364" si="670">+AE366-AE360</f>
        <v>18</v>
      </c>
      <c r="AF363" s="716">
        <f t="shared" si="670"/>
        <v>2</v>
      </c>
      <c r="AG363" s="716">
        <f t="shared" si="670"/>
        <v>17</v>
      </c>
      <c r="AH363" s="718">
        <f>+H363-SUM(AE363:AG363)</f>
        <v>2</v>
      </c>
      <c r="AI363" s="717">
        <f t="shared" ref="AI363:AK364" si="671">+AI366-AI360</f>
        <v>0</v>
      </c>
      <c r="AJ363" s="716">
        <f t="shared" si="671"/>
        <v>2</v>
      </c>
      <c r="AK363" s="716">
        <f t="shared" si="671"/>
        <v>7</v>
      </c>
      <c r="AL363" s="718">
        <f>I363-AI363-AJ363-AK363</f>
        <v>1</v>
      </c>
      <c r="AM363" s="716">
        <f t="shared" ref="AM363" si="672">+AM366-AM360</f>
        <v>78</v>
      </c>
      <c r="AN363" s="716">
        <v>0</v>
      </c>
      <c r="AO363" s="716">
        <v>0</v>
      </c>
      <c r="AP363" s="716">
        <f t="shared" si="664"/>
        <v>-78</v>
      </c>
      <c r="AQ363" s="1392"/>
      <c r="AR363" s="692"/>
      <c r="AS363" s="692"/>
      <c r="AT363" s="692"/>
      <c r="AU363" s="692"/>
      <c r="AV363" s="692"/>
      <c r="AW363" s="692"/>
      <c r="AX363" s="692"/>
      <c r="AY363" s="692"/>
      <c r="AZ363" s="692"/>
      <c r="BA363" s="692"/>
      <c r="BB363"/>
      <c r="BC363"/>
      <c r="BD363"/>
      <c r="BE363"/>
      <c r="BF363"/>
      <c r="BG363"/>
      <c r="BJ363" s="714"/>
      <c r="BK363" s="714"/>
      <c r="BL363" s="714"/>
      <c r="BM363" s="714"/>
      <c r="BN363" s="714"/>
    </row>
    <row r="364" spans="1:102" s="693" customFormat="1" outlineLevel="1">
      <c r="A364" s="713" t="s">
        <v>118</v>
      </c>
      <c r="B364" s="714"/>
      <c r="C364" s="714"/>
      <c r="D364" s="716">
        <v>-33</v>
      </c>
      <c r="E364" s="716">
        <v>-88</v>
      </c>
      <c r="F364" s="714">
        <v>-38</v>
      </c>
      <c r="G364" s="714">
        <f t="shared" si="668"/>
        <v>-243</v>
      </c>
      <c r="H364" s="716">
        <f t="shared" si="668"/>
        <v>-80</v>
      </c>
      <c r="I364" s="716">
        <f t="shared" si="668"/>
        <v>-138</v>
      </c>
      <c r="J364" s="714">
        <v>0</v>
      </c>
      <c r="K364" s="714">
        <v>0</v>
      </c>
      <c r="L364" s="714">
        <v>0</v>
      </c>
      <c r="M364" s="714">
        <v>0</v>
      </c>
      <c r="N364" s="714">
        <v>0</v>
      </c>
      <c r="O364" s="714">
        <v>0</v>
      </c>
      <c r="P364" s="714">
        <v>0</v>
      </c>
      <c r="Q364" s="714">
        <v>0</v>
      </c>
      <c r="R364" s="715"/>
      <c r="S364" s="716">
        <v>-79</v>
      </c>
      <c r="T364" s="716">
        <v>0</v>
      </c>
      <c r="U364" s="716">
        <v>-18</v>
      </c>
      <c r="V364" s="716">
        <v>9</v>
      </c>
      <c r="W364" s="717">
        <v>-3</v>
      </c>
      <c r="X364" s="716">
        <v>-4</v>
      </c>
      <c r="Y364" s="716">
        <v>-18</v>
      </c>
      <c r="Z364" s="716">
        <v>-13</v>
      </c>
      <c r="AA364" s="717">
        <f t="shared" si="669"/>
        <v>-35</v>
      </c>
      <c r="AB364" s="716">
        <f t="shared" si="669"/>
        <v>-143</v>
      </c>
      <c r="AC364" s="716">
        <f t="shared" si="669"/>
        <v>-8</v>
      </c>
      <c r="AD364" s="716">
        <f>G364-AA364-AB364-AC364</f>
        <v>-57</v>
      </c>
      <c r="AE364" s="717">
        <f t="shared" si="670"/>
        <v>-18</v>
      </c>
      <c r="AF364" s="716">
        <f t="shared" si="670"/>
        <v>-21</v>
      </c>
      <c r="AG364" s="716">
        <f t="shared" si="670"/>
        <v>-14</v>
      </c>
      <c r="AH364" s="718">
        <f>+H364-SUM(AE364:AG364)</f>
        <v>-27</v>
      </c>
      <c r="AI364" s="717">
        <f t="shared" si="671"/>
        <v>-4</v>
      </c>
      <c r="AJ364" s="716">
        <f t="shared" si="671"/>
        <v>-23</v>
      </c>
      <c r="AK364" s="716">
        <f t="shared" si="671"/>
        <v>-56</v>
      </c>
      <c r="AL364" s="718">
        <f>I364-AI364-AJ364-AK364</f>
        <v>-55</v>
      </c>
      <c r="AM364" s="716">
        <f t="shared" ref="AM364" si="673">+AM367-AM361</f>
        <v>-32</v>
      </c>
      <c r="AN364" s="716">
        <v>0</v>
      </c>
      <c r="AO364" s="716">
        <v>0</v>
      </c>
      <c r="AP364" s="716">
        <f t="shared" si="664"/>
        <v>32</v>
      </c>
      <c r="AQ364" s="1392"/>
      <c r="AR364" s="692"/>
      <c r="AS364" s="692"/>
      <c r="AT364" s="692"/>
      <c r="AU364" s="692"/>
      <c r="AV364" s="692"/>
      <c r="AW364" s="692"/>
      <c r="AX364" s="692"/>
      <c r="AY364" s="692"/>
      <c r="AZ364" s="692"/>
      <c r="BA364" s="692"/>
      <c r="BB364"/>
      <c r="BC364"/>
      <c r="BD364"/>
      <c r="BE364"/>
      <c r="BF364"/>
      <c r="BG364"/>
      <c r="BJ364" s="714"/>
      <c r="BK364" s="714"/>
      <c r="BL364" s="714"/>
      <c r="BM364" s="714"/>
      <c r="BN364" s="714"/>
    </row>
    <row r="365" spans="1:102" s="693" customFormat="1" outlineLevel="1">
      <c r="A365" s="713" t="s">
        <v>234</v>
      </c>
      <c r="B365" s="714"/>
      <c r="C365" s="714">
        <v>-334</v>
      </c>
      <c r="D365" s="714">
        <v>-170</v>
      </c>
      <c r="E365" s="714">
        <v>-134</v>
      </c>
      <c r="F365" s="714">
        <v>-93</v>
      </c>
      <c r="G365" s="714">
        <f t="shared" ref="G365:M365" si="674">+G366+G367</f>
        <v>-272</v>
      </c>
      <c r="H365" s="714">
        <f t="shared" si="674"/>
        <v>-74</v>
      </c>
      <c r="I365" s="714">
        <f t="shared" si="674"/>
        <v>-147</v>
      </c>
      <c r="J365" s="714">
        <f t="shared" si="674"/>
        <v>-19</v>
      </c>
      <c r="K365" s="714">
        <f t="shared" si="674"/>
        <v>-19</v>
      </c>
      <c r="L365" s="714">
        <f t="shared" si="674"/>
        <v>-19</v>
      </c>
      <c r="M365" s="714">
        <f t="shared" si="674"/>
        <v>-19</v>
      </c>
      <c r="N365" s="714">
        <f t="shared" ref="N365:Q367" si="675">N359+N362</f>
        <v>-19</v>
      </c>
      <c r="O365" s="714">
        <f t="shared" si="675"/>
        <v>-19</v>
      </c>
      <c r="P365" s="714">
        <f t="shared" si="675"/>
        <v>-19</v>
      </c>
      <c r="Q365" s="714">
        <f t="shared" si="675"/>
        <v>-19</v>
      </c>
      <c r="R365" s="715"/>
      <c r="S365" s="716">
        <v>-115</v>
      </c>
      <c r="T365" s="716">
        <v>-21</v>
      </c>
      <c r="U365" s="716">
        <v>-19</v>
      </c>
      <c r="V365" s="716">
        <v>21</v>
      </c>
      <c r="W365" s="717">
        <v>-4</v>
      </c>
      <c r="X365" s="716">
        <v>-25</v>
      </c>
      <c r="Y365" s="716">
        <v>-46</v>
      </c>
      <c r="Z365" s="716">
        <v>-18</v>
      </c>
      <c r="AA365" s="717">
        <f>AA366+AA367</f>
        <v>-51</v>
      </c>
      <c r="AB365" s="716">
        <f>AB366+AB367</f>
        <v>-157</v>
      </c>
      <c r="AC365" s="716">
        <f>AC366+AC367</f>
        <v>-26</v>
      </c>
      <c r="AD365" s="716">
        <f>G365-AA365-AB365-AC365</f>
        <v>-38</v>
      </c>
      <c r="AE365" s="717">
        <f t="shared" ref="AE365:AP365" si="676">+AE366+AE367</f>
        <v>-10</v>
      </c>
      <c r="AF365" s="716">
        <f t="shared" si="676"/>
        <v>-27</v>
      </c>
      <c r="AG365" s="716">
        <f t="shared" si="676"/>
        <v>1</v>
      </c>
      <c r="AH365" s="718">
        <f t="shared" si="676"/>
        <v>-38</v>
      </c>
      <c r="AI365" s="717">
        <f t="shared" si="676"/>
        <v>-39</v>
      </c>
      <c r="AJ365" s="716">
        <f t="shared" si="676"/>
        <v>-31</v>
      </c>
      <c r="AK365" s="716">
        <f t="shared" si="676"/>
        <v>-34</v>
      </c>
      <c r="AL365" s="718">
        <f t="shared" si="676"/>
        <v>-43</v>
      </c>
      <c r="AM365" s="716">
        <f t="shared" si="676"/>
        <v>30</v>
      </c>
      <c r="AN365" s="716">
        <f t="shared" si="676"/>
        <v>-10</v>
      </c>
      <c r="AO365" s="716">
        <f t="shared" si="676"/>
        <v>15</v>
      </c>
      <c r="AP365" s="716">
        <f t="shared" si="676"/>
        <v>-54</v>
      </c>
      <c r="AQ365" s="1392"/>
      <c r="AR365" s="692"/>
      <c r="AS365" s="692"/>
      <c r="AT365" s="692"/>
      <c r="AU365" s="692"/>
      <c r="AV365" s="692"/>
      <c r="AW365" s="692"/>
      <c r="AX365" s="692"/>
      <c r="AY365" s="692"/>
      <c r="AZ365" s="692"/>
      <c r="BA365" s="692"/>
      <c r="BB365"/>
      <c r="BC365"/>
      <c r="BD365"/>
      <c r="BE365"/>
      <c r="BF365"/>
      <c r="BG365"/>
      <c r="BJ365" s="714"/>
      <c r="BK365" s="714"/>
      <c r="BL365" s="714"/>
      <c r="BM365" s="714"/>
      <c r="BN365" s="714"/>
    </row>
    <row r="366" spans="1:102" s="693" customFormat="1" outlineLevel="1">
      <c r="A366" s="713" t="s">
        <v>116</v>
      </c>
      <c r="B366" s="714"/>
      <c r="C366" s="714"/>
      <c r="D366" s="714">
        <v>65</v>
      </c>
      <c r="E366" s="714">
        <v>106</v>
      </c>
      <c r="F366" s="714">
        <v>97</v>
      </c>
      <c r="G366" s="714">
        <v>109</v>
      </c>
      <c r="H366" s="714">
        <v>185</v>
      </c>
      <c r="I366" s="714">
        <v>204</v>
      </c>
      <c r="J366" s="714">
        <f t="shared" ref="J366:M367" si="677">J360+J363</f>
        <v>194</v>
      </c>
      <c r="K366" s="714">
        <f t="shared" si="677"/>
        <v>194</v>
      </c>
      <c r="L366" s="714">
        <f t="shared" si="677"/>
        <v>194</v>
      </c>
      <c r="M366" s="714">
        <f t="shared" si="677"/>
        <v>194</v>
      </c>
      <c r="N366" s="714">
        <f t="shared" si="675"/>
        <v>194</v>
      </c>
      <c r="O366" s="714">
        <f t="shared" si="675"/>
        <v>194</v>
      </c>
      <c r="P366" s="714">
        <f t="shared" si="675"/>
        <v>194</v>
      </c>
      <c r="Q366" s="714">
        <f t="shared" si="675"/>
        <v>194</v>
      </c>
      <c r="R366" s="715"/>
      <c r="S366" s="716">
        <v>7</v>
      </c>
      <c r="T366" s="716">
        <v>20</v>
      </c>
      <c r="U366" s="716">
        <v>38</v>
      </c>
      <c r="V366" s="716">
        <v>41</v>
      </c>
      <c r="W366" s="717">
        <v>25</v>
      </c>
      <c r="X366" s="716">
        <v>20</v>
      </c>
      <c r="Y366" s="716">
        <v>15</v>
      </c>
      <c r="Z366" s="716">
        <v>37</v>
      </c>
      <c r="AA366" s="717">
        <v>14</v>
      </c>
      <c r="AB366" s="716">
        <v>17</v>
      </c>
      <c r="AC366" s="716">
        <v>16</v>
      </c>
      <c r="AD366" s="716">
        <f>AD360+AD363</f>
        <v>62</v>
      </c>
      <c r="AE366" s="717">
        <v>38</v>
      </c>
      <c r="AF366" s="716">
        <v>36</v>
      </c>
      <c r="AG366" s="716">
        <v>62</v>
      </c>
      <c r="AH366" s="718">
        <f>AH360+AH363</f>
        <v>49</v>
      </c>
      <c r="AI366" s="717">
        <v>10</v>
      </c>
      <c r="AJ366" s="716">
        <v>41</v>
      </c>
      <c r="AK366" s="716">
        <v>70</v>
      </c>
      <c r="AL366" s="718">
        <f>AL360+AL363</f>
        <v>83</v>
      </c>
      <c r="AM366" s="716">
        <v>113</v>
      </c>
      <c r="AN366" s="716">
        <f t="shared" ref="AN366:AP366" si="678">AN360+AN363</f>
        <v>39</v>
      </c>
      <c r="AO366" s="716">
        <f t="shared" si="678"/>
        <v>63</v>
      </c>
      <c r="AP366" s="716">
        <f t="shared" si="678"/>
        <v>-21</v>
      </c>
      <c r="AQ366" s="1392"/>
      <c r="AR366" s="692"/>
      <c r="AS366" s="692"/>
      <c r="AT366" s="692"/>
      <c r="AU366" s="692"/>
      <c r="AV366" s="692"/>
      <c r="AW366" s="692"/>
      <c r="AX366" s="692"/>
      <c r="AY366" s="692"/>
      <c r="AZ366" s="692"/>
      <c r="BA366" s="692"/>
      <c r="BB366"/>
      <c r="BC366"/>
      <c r="BD366"/>
      <c r="BE366"/>
      <c r="BF366"/>
      <c r="BG366"/>
      <c r="BJ366" s="714"/>
      <c r="BK366" s="714"/>
      <c r="BL366" s="714"/>
      <c r="BM366" s="714"/>
      <c r="BN366" s="714"/>
    </row>
    <row r="367" spans="1:102" s="693" customFormat="1" outlineLevel="1">
      <c r="A367" s="713" t="s">
        <v>119</v>
      </c>
      <c r="B367" s="714"/>
      <c r="C367" s="714"/>
      <c r="D367" s="714">
        <v>-235</v>
      </c>
      <c r="E367" s="714">
        <v>-240</v>
      </c>
      <c r="F367" s="714">
        <v>-190</v>
      </c>
      <c r="G367" s="714">
        <v>-381</v>
      </c>
      <c r="H367" s="714">
        <v>-259</v>
      </c>
      <c r="I367" s="714">
        <v>-351</v>
      </c>
      <c r="J367" s="714">
        <f t="shared" si="677"/>
        <v>-213</v>
      </c>
      <c r="K367" s="714">
        <f t="shared" si="677"/>
        <v>-213</v>
      </c>
      <c r="L367" s="714">
        <f t="shared" si="677"/>
        <v>-213</v>
      </c>
      <c r="M367" s="714">
        <f t="shared" si="677"/>
        <v>-213</v>
      </c>
      <c r="N367" s="714">
        <f t="shared" si="675"/>
        <v>-213</v>
      </c>
      <c r="O367" s="714">
        <f t="shared" si="675"/>
        <v>-213</v>
      </c>
      <c r="P367" s="714">
        <f t="shared" si="675"/>
        <v>-213</v>
      </c>
      <c r="Q367" s="714">
        <f t="shared" si="675"/>
        <v>-213</v>
      </c>
      <c r="R367" s="715"/>
      <c r="S367" s="716">
        <v>-122</v>
      </c>
      <c r="T367" s="716">
        <v>-41</v>
      </c>
      <c r="U367" s="716">
        <v>-57</v>
      </c>
      <c r="V367" s="716">
        <v>-20</v>
      </c>
      <c r="W367" s="717">
        <v>-29</v>
      </c>
      <c r="X367" s="716">
        <v>-45</v>
      </c>
      <c r="Y367" s="716">
        <v>-61</v>
      </c>
      <c r="Z367" s="716">
        <v>-55</v>
      </c>
      <c r="AA367" s="717">
        <v>-65</v>
      </c>
      <c r="AB367" s="716">
        <v>-174</v>
      </c>
      <c r="AC367" s="716">
        <v>-42</v>
      </c>
      <c r="AD367" s="716">
        <f>AD361+AD364</f>
        <v>-100</v>
      </c>
      <c r="AE367" s="717">
        <v>-48</v>
      </c>
      <c r="AF367" s="716">
        <v>-63</v>
      </c>
      <c r="AG367" s="716">
        <v>-61</v>
      </c>
      <c r="AH367" s="718">
        <f>AH361+AH364</f>
        <v>-87</v>
      </c>
      <c r="AI367" s="717">
        <v>-49</v>
      </c>
      <c r="AJ367" s="716">
        <v>-72</v>
      </c>
      <c r="AK367" s="716">
        <v>-104</v>
      </c>
      <c r="AL367" s="718">
        <f>AL361+AL364</f>
        <v>-126</v>
      </c>
      <c r="AM367" s="716">
        <v>-83</v>
      </c>
      <c r="AN367" s="716">
        <f t="shared" ref="AN367:AP367" si="679">AN361+AN364</f>
        <v>-49</v>
      </c>
      <c r="AO367" s="716">
        <f t="shared" si="679"/>
        <v>-48</v>
      </c>
      <c r="AP367" s="716">
        <f t="shared" si="679"/>
        <v>-33</v>
      </c>
      <c r="AQ367" s="1392"/>
      <c r="AR367" s="692"/>
      <c r="AS367" s="692"/>
      <c r="AT367" s="692"/>
      <c r="AU367" s="692"/>
      <c r="AV367" s="692"/>
      <c r="AW367" s="692"/>
      <c r="AX367" s="692"/>
      <c r="AY367" s="692"/>
      <c r="AZ367" s="692"/>
      <c r="BA367" s="692"/>
      <c r="BB367"/>
      <c r="BC367"/>
      <c r="BD367"/>
      <c r="BE367"/>
      <c r="BF367"/>
      <c r="BG367"/>
      <c r="BJ367" s="714"/>
      <c r="BK367" s="714"/>
      <c r="BL367" s="714"/>
      <c r="BM367" s="714"/>
      <c r="BN367" s="714"/>
    </row>
    <row r="368" spans="1:102" s="1071" customFormat="1">
      <c r="A368" s="1066" t="s">
        <v>235</v>
      </c>
      <c r="B368" s="1067">
        <v>1321</v>
      </c>
      <c r="C368" s="1067">
        <v>1921</v>
      </c>
      <c r="D368" s="1067">
        <v>1503</v>
      </c>
      <c r="E368" s="1067">
        <v>1541</v>
      </c>
      <c r="F368" s="1067">
        <v>1571</v>
      </c>
      <c r="G368" s="1067">
        <f t="shared" ref="G368:H368" si="680">G359+G349+G336+G339</f>
        <v>2045</v>
      </c>
      <c r="H368" s="1067">
        <f t="shared" si="680"/>
        <v>2071</v>
      </c>
      <c r="I368" s="1067">
        <f>I359+I349+I336+I339</f>
        <v>2080</v>
      </c>
      <c r="J368" s="1067">
        <f>J359+J349+J336+J339</f>
        <v>2165.7999667809763</v>
      </c>
      <c r="K368" s="1067">
        <f t="shared" ref="K368:Q368" si="681">K359+K349+K336+K339</f>
        <v>2384.6616026284114</v>
      </c>
      <c r="L368" s="1067">
        <f t="shared" si="681"/>
        <v>2569.8362861936212</v>
      </c>
      <c r="M368" s="1067">
        <f t="shared" si="681"/>
        <v>2735.3894509991374</v>
      </c>
      <c r="N368" s="1067">
        <f t="shared" si="681"/>
        <v>2974.1373595029718</v>
      </c>
      <c r="O368" s="1067">
        <f t="shared" si="681"/>
        <v>3100.2157112327136</v>
      </c>
      <c r="P368" s="1067">
        <f t="shared" si="681"/>
        <v>3369.0044465169531</v>
      </c>
      <c r="Q368" s="1067">
        <f t="shared" si="681"/>
        <v>3516.3747281319929</v>
      </c>
      <c r="R368" s="681">
        <f>(N368/J368)^(1/($N$1-$J$1))-1</f>
        <v>8.2519354543872048E-2</v>
      </c>
      <c r="S368" s="1068">
        <v>431</v>
      </c>
      <c r="T368" s="1068">
        <v>360</v>
      </c>
      <c r="U368" s="1068">
        <v>377</v>
      </c>
      <c r="V368" s="1068">
        <v>373</v>
      </c>
      <c r="W368" s="1069">
        <v>387</v>
      </c>
      <c r="X368" s="1068">
        <v>351</v>
      </c>
      <c r="Y368" s="1068">
        <v>417</v>
      </c>
      <c r="Z368" s="1068">
        <v>416</v>
      </c>
      <c r="AA368" s="1069">
        <f t="shared" ref="AA368:AH368" si="682">AA359+AA354+AA349+AA344+AA336</f>
        <v>483</v>
      </c>
      <c r="AB368" s="1068">
        <f t="shared" si="682"/>
        <v>537</v>
      </c>
      <c r="AC368" s="1068">
        <f t="shared" si="682"/>
        <v>528</v>
      </c>
      <c r="AD368" s="1068">
        <f t="shared" si="682"/>
        <v>497</v>
      </c>
      <c r="AE368" s="1069">
        <f t="shared" si="682"/>
        <v>485</v>
      </c>
      <c r="AF368" s="1068">
        <f t="shared" si="682"/>
        <v>535</v>
      </c>
      <c r="AG368" s="1068">
        <f t="shared" si="682"/>
        <v>530</v>
      </c>
      <c r="AH368" s="1070">
        <f t="shared" si="682"/>
        <v>521</v>
      </c>
      <c r="AI368" s="1069">
        <f t="shared" ref="AI368:AP368" si="683">AI359+AI349+AI336+AI339</f>
        <v>460</v>
      </c>
      <c r="AJ368" s="1068">
        <f t="shared" si="683"/>
        <v>497</v>
      </c>
      <c r="AK368" s="1068">
        <f t="shared" si="683"/>
        <v>580</v>
      </c>
      <c r="AL368" s="1070">
        <f t="shared" si="683"/>
        <v>543</v>
      </c>
      <c r="AM368" s="1068">
        <f>AM359+AM349+AM336+AM339</f>
        <v>499</v>
      </c>
      <c r="AN368" s="1068">
        <f t="shared" si="683"/>
        <v>534.6541086748241</v>
      </c>
      <c r="AO368" s="1068">
        <f t="shared" si="683"/>
        <v>555.23399629991547</v>
      </c>
      <c r="AP368" s="1068">
        <f t="shared" si="683"/>
        <v>576.91186180623686</v>
      </c>
      <c r="AQ368" s="1392"/>
      <c r="AR368" s="1065"/>
      <c r="AS368" s="1065"/>
      <c r="AT368" s="1065"/>
      <c r="AU368" s="1065"/>
      <c r="AV368" s="1065"/>
      <c r="AW368" s="1065"/>
      <c r="AX368" s="1065"/>
      <c r="AY368" s="1065"/>
      <c r="AZ368" s="1065"/>
      <c r="BA368" s="1065"/>
      <c r="BB368"/>
      <c r="BC368"/>
      <c r="BD368"/>
      <c r="BE368"/>
      <c r="BF368"/>
      <c r="BG368"/>
      <c r="BH368" s="799"/>
      <c r="BI368" s="799"/>
      <c r="BJ368" s="1072"/>
      <c r="BK368" s="1072"/>
      <c r="BL368" s="1072"/>
      <c r="BM368" s="1072"/>
      <c r="BN368" s="1072"/>
      <c r="BO368" s="799"/>
      <c r="BP368" s="799"/>
      <c r="BQ368" s="799"/>
      <c r="BR368" s="799"/>
      <c r="BS368" s="799"/>
      <c r="BT368" s="799"/>
      <c r="BU368" s="799"/>
      <c r="BV368" s="799"/>
      <c r="BW368" s="799"/>
      <c r="BX368" s="799"/>
      <c r="BY368" s="799"/>
      <c r="BZ368" s="799"/>
      <c r="CA368" s="799"/>
      <c r="CB368" s="799"/>
      <c r="CC368" s="799"/>
      <c r="CD368" s="799"/>
      <c r="CE368" s="799"/>
      <c r="CF368" s="799"/>
      <c r="CG368" s="799"/>
      <c r="CH368" s="799"/>
      <c r="CI368" s="799"/>
      <c r="CJ368" s="799"/>
      <c r="CK368" s="799"/>
      <c r="CL368" s="799"/>
      <c r="CM368" s="799"/>
      <c r="CN368" s="799"/>
      <c r="CO368" s="799"/>
      <c r="CP368" s="799"/>
      <c r="CQ368" s="799"/>
      <c r="CR368" s="799"/>
      <c r="CS368" s="799"/>
      <c r="CT368" s="799"/>
      <c r="CU368" s="799"/>
      <c r="CV368" s="799"/>
      <c r="CW368" s="799"/>
      <c r="CX368" s="799"/>
    </row>
    <row r="369" spans="1:102" s="1092" customFormat="1">
      <c r="A369" s="1073" t="s">
        <v>121</v>
      </c>
      <c r="B369" s="1074">
        <v>0.15374767225325883</v>
      </c>
      <c r="C369" s="1074">
        <v>0.20278686794046236</v>
      </c>
      <c r="D369" s="1074">
        <v>0.17271891519190991</v>
      </c>
      <c r="E369" s="1074">
        <v>0.16824980893110603</v>
      </c>
      <c r="F369" s="1074">
        <v>0.164296172348881</v>
      </c>
      <c r="G369" s="1074">
        <f t="shared" ref="G369:Q369" si="684">G368/G325</f>
        <v>0.20307845084409137</v>
      </c>
      <c r="H369" s="1074">
        <f t="shared" si="684"/>
        <v>0.20416009463722398</v>
      </c>
      <c r="I369" s="1074">
        <f t="shared" si="684"/>
        <v>0.20675944333996024</v>
      </c>
      <c r="J369" s="1074">
        <f t="shared" si="684"/>
        <v>0.20857775624668826</v>
      </c>
      <c r="K369" s="1074">
        <f t="shared" si="684"/>
        <v>0.21866531960269381</v>
      </c>
      <c r="L369" s="1074">
        <f t="shared" si="684"/>
        <v>0.2237532424384725</v>
      </c>
      <c r="M369" s="1074">
        <f t="shared" si="684"/>
        <v>0.22881818482552915</v>
      </c>
      <c r="N369" s="1074">
        <f t="shared" si="684"/>
        <v>0.23888148253088676</v>
      </c>
      <c r="O369" s="1074">
        <f t="shared" si="684"/>
        <v>0.23894316619690439</v>
      </c>
      <c r="P369" s="1074">
        <f t="shared" si="684"/>
        <v>0.24900326385302937</v>
      </c>
      <c r="Q369" s="1074">
        <f t="shared" si="684"/>
        <v>0.24906180099530459</v>
      </c>
      <c r="R369" s="1075"/>
      <c r="S369" s="1076">
        <v>0.19079238601150952</v>
      </c>
      <c r="T369" s="1076">
        <v>0.16245487364620939</v>
      </c>
      <c r="U369" s="1076">
        <v>0.1658600967883854</v>
      </c>
      <c r="V369" s="1076">
        <v>0.15470759021153049</v>
      </c>
      <c r="W369" s="1077">
        <v>0.16695427092320966</v>
      </c>
      <c r="X369" s="1076">
        <v>0.15057915057915058</v>
      </c>
      <c r="Y369" s="1076">
        <v>0.17367763431903374</v>
      </c>
      <c r="Z369" s="1076">
        <v>0.16560509554140126</v>
      </c>
      <c r="AA369" s="1077">
        <f t="shared" ref="AA369:AP369" si="685">AA368/AA325</f>
        <v>0.19762684124386251</v>
      </c>
      <c r="AB369" s="1076">
        <f t="shared" si="685"/>
        <v>0.21225296442687747</v>
      </c>
      <c r="AC369" s="1076">
        <f t="shared" si="685"/>
        <v>0.2077104642014162</v>
      </c>
      <c r="AD369" s="1076">
        <f t="shared" si="685"/>
        <v>0.19459671104150353</v>
      </c>
      <c r="AE369" s="1077">
        <f t="shared" si="685"/>
        <v>0.19836400817995911</v>
      </c>
      <c r="AF369" s="1076">
        <f t="shared" si="685"/>
        <v>0.20760574311214591</v>
      </c>
      <c r="AG369" s="1076">
        <f t="shared" si="685"/>
        <v>0.21056813667063964</v>
      </c>
      <c r="AH369" s="1078">
        <f t="shared" si="685"/>
        <v>0.2</v>
      </c>
      <c r="AI369" s="1077">
        <f t="shared" si="685"/>
        <v>0.18930041152263374</v>
      </c>
      <c r="AJ369" s="1076">
        <f t="shared" si="685"/>
        <v>0.20277437780497756</v>
      </c>
      <c r="AK369" s="1076">
        <f t="shared" si="685"/>
        <v>0.22445820433436534</v>
      </c>
      <c r="AL369" s="1078">
        <f t="shared" si="685"/>
        <v>0.2092485549132948</v>
      </c>
      <c r="AM369" s="1076">
        <f t="shared" si="685"/>
        <v>0.19825188716726261</v>
      </c>
      <c r="AN369" s="1076">
        <f t="shared" si="685"/>
        <v>0.20904200143329191</v>
      </c>
      <c r="AO369" s="1076">
        <f t="shared" si="685"/>
        <v>0.21155110102919611</v>
      </c>
      <c r="AP369" s="1076">
        <f t="shared" si="685"/>
        <v>0.21491021014098965</v>
      </c>
      <c r="AQ369" s="1392"/>
      <c r="AR369" s="1079"/>
      <c r="AS369" s="1079"/>
      <c r="AT369" s="1079"/>
      <c r="AU369" s="1079"/>
      <c r="AV369" s="1079"/>
      <c r="AW369" s="1079"/>
      <c r="AX369" s="1079"/>
      <c r="AY369" s="1079"/>
      <c r="AZ369" s="1079"/>
      <c r="BA369" s="1079"/>
      <c r="BB369"/>
      <c r="BC369"/>
      <c r="BD369"/>
      <c r="BE369"/>
      <c r="BF369"/>
      <c r="BG369"/>
      <c r="BH369" s="1071"/>
      <c r="BI369" s="1071"/>
      <c r="BJ369" s="1080"/>
      <c r="BK369" s="1080"/>
      <c r="BL369" s="1080"/>
      <c r="BM369" s="1080"/>
      <c r="BN369" s="1080"/>
      <c r="BO369" s="1071"/>
      <c r="BP369" s="1071"/>
      <c r="BQ369" s="1071"/>
      <c r="BR369" s="1071"/>
      <c r="BS369" s="1071"/>
      <c r="BT369" s="1071"/>
      <c r="BU369" s="1071"/>
      <c r="BV369" s="1071"/>
      <c r="BW369" s="1071"/>
      <c r="BX369" s="1071"/>
      <c r="BY369" s="1071"/>
      <c r="BZ369" s="1071"/>
      <c r="CA369" s="1071"/>
      <c r="CB369" s="1071"/>
      <c r="CC369" s="1071"/>
      <c r="CD369" s="1071"/>
      <c r="CE369" s="1071"/>
      <c r="CF369" s="1071"/>
      <c r="CG369" s="1071"/>
      <c r="CH369" s="1071"/>
      <c r="CI369" s="1071"/>
      <c r="CJ369" s="1071"/>
      <c r="CK369" s="1071"/>
      <c r="CL369" s="1071"/>
      <c r="CM369" s="1071"/>
      <c r="CN369" s="1071"/>
      <c r="CO369" s="1071"/>
      <c r="CP369" s="1071"/>
      <c r="CQ369" s="1071"/>
      <c r="CR369" s="1071"/>
      <c r="CS369" s="1071"/>
      <c r="CT369" s="1071"/>
      <c r="CU369" s="1071"/>
      <c r="CV369" s="1071"/>
      <c r="CW369" s="1071"/>
      <c r="CX369" s="1071"/>
    </row>
    <row r="370" spans="1:102" s="693" customFormat="1">
      <c r="A370" s="896" t="s">
        <v>588</v>
      </c>
      <c r="B370" s="714"/>
      <c r="C370" s="714">
        <v>490.39195687203522</v>
      </c>
      <c r="D370" s="714">
        <v>-300.67952748552449</v>
      </c>
      <c r="E370" s="714">
        <v>-44.691062608038791</v>
      </c>
      <c r="F370" s="714">
        <v>-39.536365822250289</v>
      </c>
      <c r="G370" s="714">
        <f t="shared" ref="G370:Q370" si="686">(G369-F369)*10000</f>
        <v>387.82278495210375</v>
      </c>
      <c r="H370" s="714">
        <f t="shared" si="686"/>
        <v>10.816437931326083</v>
      </c>
      <c r="I370" s="714">
        <f t="shared" si="686"/>
        <v>25.993487027362594</v>
      </c>
      <c r="J370" s="714">
        <f t="shared" si="686"/>
        <v>18.183129067280145</v>
      </c>
      <c r="K370" s="714">
        <f t="shared" si="686"/>
        <v>100.87563356005552</v>
      </c>
      <c r="L370" s="714">
        <f t="shared" si="686"/>
        <v>50.879228357786907</v>
      </c>
      <c r="M370" s="714">
        <f t="shared" si="686"/>
        <v>50.649423870566537</v>
      </c>
      <c r="N370" s="714">
        <f t="shared" si="686"/>
        <v>100.63297705357604</v>
      </c>
      <c r="O370" s="714">
        <f t="shared" si="686"/>
        <v>0.61683666017636751</v>
      </c>
      <c r="P370" s="714">
        <f t="shared" si="686"/>
        <v>100.60097656124978</v>
      </c>
      <c r="Q370" s="714">
        <f t="shared" si="686"/>
        <v>0.5853714227521678</v>
      </c>
      <c r="R370" s="715"/>
      <c r="S370" s="716">
        <v>1907.9238601150953</v>
      </c>
      <c r="T370" s="716">
        <v>1624.548736462094</v>
      </c>
      <c r="U370" s="716">
        <v>1658.6009678838541</v>
      </c>
      <c r="V370" s="716">
        <v>1547.0759021153049</v>
      </c>
      <c r="W370" s="717">
        <f t="shared" ref="W370:AD370" si="687">(W369-S369)*10000</f>
        <v>-238.38115088299861</v>
      </c>
      <c r="X370" s="716">
        <f t="shared" si="687"/>
        <v>-118.75723067058807</v>
      </c>
      <c r="Y370" s="716">
        <f t="shared" si="687"/>
        <v>78.175375306483446</v>
      </c>
      <c r="Z370" s="716">
        <f t="shared" si="687"/>
        <v>108.97505329870771</v>
      </c>
      <c r="AA370" s="717">
        <f t="shared" si="687"/>
        <v>306.72570320652846</v>
      </c>
      <c r="AB370" s="716">
        <f t="shared" si="687"/>
        <v>616.73813847726888</v>
      </c>
      <c r="AC370" s="716">
        <f t="shared" si="687"/>
        <v>340.32829882382458</v>
      </c>
      <c r="AD370" s="716">
        <f t="shared" si="687"/>
        <v>289.91615500102262</v>
      </c>
      <c r="AE370" s="717">
        <f t="shared" ref="AE370:AL370" si="688">(AE369-AA369)*10000</f>
        <v>7.3716693609660044</v>
      </c>
      <c r="AF370" s="716">
        <f t="shared" si="688"/>
        <v>-46.472213147315536</v>
      </c>
      <c r="AG370" s="716">
        <f t="shared" si="688"/>
        <v>28.576724692234436</v>
      </c>
      <c r="AH370" s="718">
        <f t="shared" si="688"/>
        <v>54.032889584964828</v>
      </c>
      <c r="AI370" s="717">
        <f t="shared" si="688"/>
        <v>-90.635966573253683</v>
      </c>
      <c r="AJ370" s="716">
        <f t="shared" si="688"/>
        <v>-48.313653071683504</v>
      </c>
      <c r="AK370" s="716">
        <f t="shared" si="688"/>
        <v>138.90067663725691</v>
      </c>
      <c r="AL370" s="718">
        <f t="shared" si="688"/>
        <v>92.485549132947938</v>
      </c>
      <c r="AM370" s="716">
        <f t="shared" ref="AM370" si="689">(AM369-AI369)*10000</f>
        <v>89.514756446288644</v>
      </c>
      <c r="AN370" s="716">
        <f t="shared" ref="AN370" si="690">(AN369-AJ369)*10000</f>
        <v>62.676236283143453</v>
      </c>
      <c r="AO370" s="716">
        <f t="shared" ref="AO370" si="691">(AO369-AK369)*10000</f>
        <v>-129.07103305169227</v>
      </c>
      <c r="AP370" s="716">
        <f t="shared" ref="AP370" si="692">(AP369-AL369)*10000</f>
        <v>56.616552276948504</v>
      </c>
      <c r="AQ370" s="1392"/>
      <c r="AR370" s="692"/>
      <c r="AS370" s="692"/>
      <c r="AT370" s="692"/>
      <c r="AU370" s="692"/>
      <c r="AV370" s="692"/>
      <c r="AW370" s="692"/>
      <c r="AX370" s="692"/>
      <c r="AY370" s="692"/>
      <c r="AZ370" s="692"/>
      <c r="BA370" s="692"/>
      <c r="BB370"/>
      <c r="BC370"/>
      <c r="BD370"/>
      <c r="BE370"/>
      <c r="BF370"/>
      <c r="BG370"/>
      <c r="BJ370" s="714"/>
      <c r="BK370" s="714"/>
      <c r="BL370" s="714"/>
      <c r="BM370" s="714"/>
      <c r="BN370" s="714"/>
    </row>
    <row r="371" spans="1:102" s="741" customFormat="1">
      <c r="A371" s="896" t="s">
        <v>586</v>
      </c>
      <c r="B371" s="755"/>
      <c r="C371" s="731">
        <v>0.45420136260408772</v>
      </c>
      <c r="D371" s="731">
        <v>-0.21759500260281106</v>
      </c>
      <c r="E371" s="731">
        <v>2.528276779773786E-2</v>
      </c>
      <c r="F371" s="731">
        <v>1.9467878001297789E-2</v>
      </c>
      <c r="G371" s="731">
        <f t="shared" ref="G371:Q371" si="693">G368/F368-1</f>
        <v>0.30171865054105673</v>
      </c>
      <c r="H371" s="731">
        <f t="shared" si="693"/>
        <v>1.2713936430317929E-2</v>
      </c>
      <c r="I371" s="731">
        <f t="shared" si="693"/>
        <v>4.3457267020763357E-3</v>
      </c>
      <c r="J371" s="731">
        <f t="shared" si="693"/>
        <v>4.1249984029315456E-2</v>
      </c>
      <c r="K371" s="731">
        <f t="shared" si="693"/>
        <v>0.10105348564241079</v>
      </c>
      <c r="L371" s="731">
        <f t="shared" si="693"/>
        <v>7.7652394520508539E-2</v>
      </c>
      <c r="M371" s="731">
        <f t="shared" si="693"/>
        <v>6.4421677635632335E-2</v>
      </c>
      <c r="N371" s="731">
        <f t="shared" si="693"/>
        <v>8.7281139589329149E-2</v>
      </c>
      <c r="O371" s="731">
        <f t="shared" si="693"/>
        <v>4.2391569887280323E-2</v>
      </c>
      <c r="P371" s="731">
        <f t="shared" si="693"/>
        <v>8.6700010683244733E-2</v>
      </c>
      <c r="Q371" s="731">
        <f t="shared" si="693"/>
        <v>4.3742976287074464E-2</v>
      </c>
      <c r="R371" s="721"/>
      <c r="S371" s="792"/>
      <c r="T371" s="792"/>
      <c r="U371" s="792"/>
      <c r="V371" s="792"/>
      <c r="W371" s="952">
        <f t="shared" ref="W371:AD371" si="694">W368/S368-1</f>
        <v>-0.10208816705336432</v>
      </c>
      <c r="X371" s="792">
        <f t="shared" si="694"/>
        <v>-2.5000000000000022E-2</v>
      </c>
      <c r="Y371" s="792">
        <f t="shared" si="694"/>
        <v>0.10610079575596809</v>
      </c>
      <c r="Z371" s="792">
        <f t="shared" si="694"/>
        <v>0.11528150134048265</v>
      </c>
      <c r="AA371" s="952">
        <f t="shared" si="694"/>
        <v>0.24806201550387597</v>
      </c>
      <c r="AB371" s="792">
        <f t="shared" si="694"/>
        <v>0.52991452991452981</v>
      </c>
      <c r="AC371" s="792">
        <f t="shared" si="694"/>
        <v>0.26618705035971213</v>
      </c>
      <c r="AD371" s="792">
        <f t="shared" si="694"/>
        <v>0.19471153846153855</v>
      </c>
      <c r="AE371" s="952">
        <f t="shared" ref="AE371:AL371" si="695">AE368/AA368-1</f>
        <v>4.1407867494824835E-3</v>
      </c>
      <c r="AF371" s="792">
        <f t="shared" si="695"/>
        <v>-3.7243947858472959E-3</v>
      </c>
      <c r="AG371" s="792">
        <f t="shared" si="695"/>
        <v>3.7878787878788955E-3</v>
      </c>
      <c r="AH371" s="791">
        <f t="shared" si="695"/>
        <v>4.8289738430583595E-2</v>
      </c>
      <c r="AI371" s="952">
        <f t="shared" si="695"/>
        <v>-5.1546391752577359E-2</v>
      </c>
      <c r="AJ371" s="792">
        <f t="shared" si="695"/>
        <v>-7.1028037383177534E-2</v>
      </c>
      <c r="AK371" s="792">
        <f t="shared" si="695"/>
        <v>9.4339622641509413E-2</v>
      </c>
      <c r="AL371" s="791">
        <f t="shared" si="695"/>
        <v>4.2226487523992384E-2</v>
      </c>
      <c r="AM371" s="732">
        <f t="shared" ref="AM371" si="696">AM368/AI368-1</f>
        <v>8.478260869565224E-2</v>
      </c>
      <c r="AN371" s="732">
        <f t="shared" ref="AN371" si="697">AN368/AJ368-1</f>
        <v>7.5762794114334175E-2</v>
      </c>
      <c r="AO371" s="732">
        <f t="shared" ref="AO371" si="698">AO368/AK368-1</f>
        <v>-4.2700006379456035E-2</v>
      </c>
      <c r="AP371" s="732">
        <f t="shared" ref="AP371" si="699">AP368/AL368-1</f>
        <v>6.2452784173548492E-2</v>
      </c>
      <c r="AQ371" s="1383"/>
      <c r="AR371" s="692"/>
      <c r="AS371" s="692"/>
      <c r="AT371" s="692"/>
      <c r="AU371" s="692"/>
      <c r="AV371" s="692"/>
      <c r="AW371" s="692"/>
      <c r="AX371" s="692"/>
      <c r="AY371" s="692"/>
      <c r="AZ371" s="692"/>
      <c r="BA371" s="692"/>
      <c r="BB371"/>
      <c r="BC371"/>
      <c r="BD371"/>
      <c r="BE371"/>
      <c r="BF371"/>
      <c r="BG371"/>
      <c r="BH371" s="693"/>
      <c r="BI371" s="693"/>
      <c r="BJ371" s="755"/>
      <c r="BK371" s="755"/>
      <c r="BL371" s="755"/>
      <c r="BM371" s="755"/>
      <c r="BN371" s="755"/>
      <c r="BO371" s="693"/>
      <c r="BP371" s="693"/>
      <c r="BQ371" s="693"/>
      <c r="BR371" s="693"/>
      <c r="BS371" s="693"/>
      <c r="BT371" s="693"/>
      <c r="BU371" s="693"/>
      <c r="BV371" s="693"/>
      <c r="BW371" s="693"/>
      <c r="BX371" s="693"/>
      <c r="BY371" s="693"/>
      <c r="BZ371" s="693"/>
      <c r="CA371" s="693"/>
      <c r="CB371" s="693"/>
      <c r="CC371" s="693"/>
      <c r="CD371" s="693"/>
      <c r="CE371" s="693"/>
      <c r="CF371" s="693"/>
      <c r="CG371" s="693"/>
      <c r="CH371" s="693"/>
      <c r="CI371" s="693"/>
      <c r="CJ371" s="693"/>
      <c r="CK371" s="693"/>
      <c r="CL371" s="693"/>
      <c r="CM371" s="693"/>
      <c r="CN371" s="693"/>
      <c r="CO371" s="693"/>
      <c r="CP371" s="693"/>
      <c r="CQ371" s="693"/>
      <c r="CR371" s="693"/>
      <c r="CS371" s="693"/>
      <c r="CT371" s="693"/>
      <c r="CU371" s="693"/>
      <c r="CV371" s="693"/>
      <c r="CW371" s="693"/>
      <c r="CX371" s="693"/>
    </row>
    <row r="372" spans="1:102" s="741" customFormat="1">
      <c r="A372" s="896" t="s">
        <v>587</v>
      </c>
      <c r="B372" s="755"/>
      <c r="C372" s="755"/>
      <c r="D372" s="755">
        <v>-0.24</v>
      </c>
      <c r="E372" s="755">
        <v>0.04</v>
      </c>
      <c r="F372" s="755">
        <v>7.0000000000000007E-2</v>
      </c>
      <c r="G372" s="755"/>
      <c r="H372" s="755">
        <v>0.04</v>
      </c>
      <c r="I372" s="755">
        <v>-0.01</v>
      </c>
      <c r="J372" s="755"/>
      <c r="K372" s="755"/>
      <c r="L372" s="755"/>
      <c r="M372" s="755"/>
      <c r="N372" s="755"/>
      <c r="O372" s="755"/>
      <c r="P372" s="755"/>
      <c r="Q372" s="755"/>
      <c r="R372" s="688"/>
      <c r="S372" s="792">
        <v>0.14000000000000001</v>
      </c>
      <c r="T372" s="792">
        <v>0.04</v>
      </c>
      <c r="U372" s="792"/>
      <c r="V372" s="792">
        <v>-0.06</v>
      </c>
      <c r="W372" s="952">
        <v>-0.06</v>
      </c>
      <c r="X372" s="792">
        <v>0.03</v>
      </c>
      <c r="Y372" s="792">
        <v>0.14000000000000001</v>
      </c>
      <c r="Z372" s="792">
        <v>0.21</v>
      </c>
      <c r="AA372" s="952"/>
      <c r="AB372" s="792">
        <v>0.3</v>
      </c>
      <c r="AC372" s="792">
        <v>0.17</v>
      </c>
      <c r="AD372" s="792"/>
      <c r="AE372" s="952">
        <v>0.06</v>
      </c>
      <c r="AF372" s="792">
        <v>0.04</v>
      </c>
      <c r="AG372" s="792">
        <v>0.01</v>
      </c>
      <c r="AH372" s="791">
        <v>0.04</v>
      </c>
      <c r="AI372" s="952">
        <v>-0.06</v>
      </c>
      <c r="AJ372" s="792">
        <v>-7.0000000000000007E-2</v>
      </c>
      <c r="AK372" s="792">
        <v>0.08</v>
      </c>
      <c r="AL372" s="791">
        <v>0.01</v>
      </c>
      <c r="AM372" s="792">
        <v>0.01</v>
      </c>
      <c r="AN372" s="792"/>
      <c r="AO372" s="792"/>
      <c r="AP372" s="792"/>
      <c r="AQ372" s="1383"/>
      <c r="AR372" s="692"/>
      <c r="AS372" s="692"/>
      <c r="AT372" s="692"/>
      <c r="AU372" s="692"/>
      <c r="AV372" s="692"/>
      <c r="AW372" s="692"/>
      <c r="AX372" s="692"/>
      <c r="AY372" s="692"/>
      <c r="AZ372" s="692"/>
      <c r="BA372" s="692"/>
      <c r="BB372"/>
      <c r="BC372"/>
      <c r="BD372"/>
      <c r="BE372"/>
      <c r="BF372"/>
      <c r="BG372"/>
      <c r="BH372" s="693"/>
      <c r="BI372" s="693"/>
      <c r="BJ372" s="755"/>
      <c r="BK372" s="755"/>
      <c r="BL372" s="755"/>
      <c r="BM372" s="755"/>
      <c r="BN372" s="755"/>
      <c r="BO372" s="693"/>
      <c r="BP372" s="693"/>
      <c r="BQ372" s="693"/>
      <c r="BR372" s="693"/>
      <c r="BS372" s="693"/>
      <c r="BT372" s="693"/>
      <c r="BU372" s="693"/>
      <c r="BV372" s="693"/>
      <c r="BW372" s="693"/>
      <c r="BX372" s="693"/>
      <c r="BY372" s="693"/>
      <c r="BZ372" s="693"/>
      <c r="CA372" s="693"/>
      <c r="CB372" s="693"/>
      <c r="CC372" s="693"/>
      <c r="CD372" s="693"/>
      <c r="CE372" s="693"/>
      <c r="CF372" s="693"/>
      <c r="CG372" s="693"/>
      <c r="CH372" s="693"/>
      <c r="CI372" s="693"/>
      <c r="CJ372" s="693"/>
      <c r="CK372" s="693"/>
      <c r="CL372" s="693"/>
      <c r="CM372" s="693"/>
      <c r="CN372" s="693"/>
      <c r="CO372" s="693"/>
      <c r="CP372" s="693"/>
      <c r="CQ372" s="693"/>
      <c r="CR372" s="693"/>
      <c r="CS372" s="693"/>
      <c r="CT372" s="693"/>
      <c r="CU372" s="693"/>
      <c r="CV372" s="693"/>
      <c r="CW372" s="693"/>
      <c r="CX372" s="693"/>
    </row>
    <row r="373" spans="1:102" s="693" customFormat="1" outlineLevel="1">
      <c r="A373" s="896" t="s">
        <v>237</v>
      </c>
      <c r="B373" s="714">
        <v>240</v>
      </c>
      <c r="C373" s="714">
        <v>240</v>
      </c>
      <c r="D373" s="714">
        <v>240</v>
      </c>
      <c r="E373" s="714"/>
      <c r="F373" s="714"/>
      <c r="G373" s="714"/>
      <c r="H373" s="714"/>
      <c r="I373" s="714"/>
      <c r="J373" s="714"/>
      <c r="K373" s="714"/>
      <c r="L373" s="714"/>
      <c r="M373" s="714"/>
      <c r="N373" s="714"/>
      <c r="O373" s="714"/>
      <c r="P373" s="714"/>
      <c r="Q373" s="714"/>
      <c r="R373" s="715"/>
      <c r="S373" s="716"/>
      <c r="T373" s="716"/>
      <c r="U373" s="716"/>
      <c r="V373" s="716"/>
      <c r="W373" s="717"/>
      <c r="X373" s="716"/>
      <c r="Y373" s="716"/>
      <c r="Z373" s="716"/>
      <c r="AA373" s="717"/>
      <c r="AB373" s="716"/>
      <c r="AC373" s="716"/>
      <c r="AD373" s="716"/>
      <c r="AE373" s="717"/>
      <c r="AF373" s="716"/>
      <c r="AG373" s="716"/>
      <c r="AH373" s="718"/>
      <c r="AI373" s="717"/>
      <c r="AJ373" s="716"/>
      <c r="AK373" s="716"/>
      <c r="AL373" s="718"/>
      <c r="AM373" s="716"/>
      <c r="AN373" s="716"/>
      <c r="AO373" s="716"/>
      <c r="AP373" s="716"/>
      <c r="AQ373" s="1383"/>
      <c r="AR373" s="692"/>
      <c r="AS373" s="692"/>
      <c r="AT373" s="692"/>
      <c r="AU373" s="692"/>
      <c r="AV373" s="692"/>
      <c r="AW373" s="692"/>
      <c r="AX373" s="692"/>
      <c r="AY373" s="692"/>
      <c r="AZ373" s="692"/>
      <c r="BA373" s="692"/>
      <c r="BB373"/>
      <c r="BC373"/>
      <c r="BD373"/>
      <c r="BE373"/>
      <c r="BF373"/>
      <c r="BG373"/>
      <c r="BJ373" s="714"/>
      <c r="BK373" s="714"/>
      <c r="BL373" s="714"/>
      <c r="BM373" s="714"/>
      <c r="BN373" s="714"/>
    </row>
    <row r="374" spans="1:102" s="693" customFormat="1" outlineLevel="1">
      <c r="A374" s="896" t="s">
        <v>184</v>
      </c>
      <c r="B374" s="714">
        <v>1081</v>
      </c>
      <c r="C374" s="714">
        <v>1681</v>
      </c>
      <c r="D374" s="714">
        <v>1263</v>
      </c>
      <c r="E374" s="714"/>
      <c r="F374" s="714"/>
      <c r="G374" s="714"/>
      <c r="H374" s="714"/>
      <c r="I374" s="714"/>
      <c r="J374" s="714"/>
      <c r="K374" s="714"/>
      <c r="L374" s="714"/>
      <c r="M374" s="714"/>
      <c r="N374" s="714"/>
      <c r="O374" s="714"/>
      <c r="P374" s="714"/>
      <c r="Q374" s="714"/>
      <c r="R374" s="715"/>
      <c r="S374" s="716"/>
      <c r="T374" s="716"/>
      <c r="U374" s="716"/>
      <c r="V374" s="716"/>
      <c r="W374" s="717"/>
      <c r="X374" s="716"/>
      <c r="Y374" s="716"/>
      <c r="Z374" s="716"/>
      <c r="AA374" s="717"/>
      <c r="AB374" s="716"/>
      <c r="AC374" s="716"/>
      <c r="AD374" s="716"/>
      <c r="AE374" s="717"/>
      <c r="AF374" s="716"/>
      <c r="AG374" s="716"/>
      <c r="AH374" s="718"/>
      <c r="AI374" s="717"/>
      <c r="AJ374" s="716"/>
      <c r="AK374" s="716"/>
      <c r="AL374" s="718"/>
      <c r="AM374" s="716"/>
      <c r="AN374" s="716"/>
      <c r="AO374" s="716"/>
      <c r="AP374" s="716"/>
      <c r="AQ374" s="1383"/>
      <c r="AR374" s="692"/>
      <c r="AS374" s="692"/>
      <c r="AT374" s="692"/>
      <c r="AU374" s="692"/>
      <c r="AV374" s="692"/>
      <c r="AW374" s="692"/>
      <c r="AX374" s="692"/>
      <c r="AY374" s="692"/>
      <c r="AZ374" s="692"/>
      <c r="BA374" s="692"/>
      <c r="BB374"/>
      <c r="BC374"/>
      <c r="BD374"/>
      <c r="BE374"/>
      <c r="BF374"/>
      <c r="BG374"/>
      <c r="BJ374" s="714"/>
      <c r="BK374" s="714"/>
      <c r="BL374" s="714"/>
      <c r="BM374" s="714"/>
      <c r="BN374" s="714"/>
    </row>
    <row r="375" spans="1:102" s="693" customFormat="1" outlineLevel="1">
      <c r="A375" s="896" t="s">
        <v>185</v>
      </c>
      <c r="B375" s="731">
        <v>0.12581471135940409</v>
      </c>
      <c r="C375" s="731">
        <v>0.17745170484534994</v>
      </c>
      <c r="D375" s="731">
        <v>0.14513904849459894</v>
      </c>
      <c r="E375" s="731"/>
      <c r="F375" s="731"/>
      <c r="G375" s="731"/>
      <c r="H375" s="731"/>
      <c r="I375" s="731"/>
      <c r="J375" s="731"/>
      <c r="K375" s="731"/>
      <c r="L375" s="731"/>
      <c r="M375" s="731"/>
      <c r="N375" s="731"/>
      <c r="O375" s="731"/>
      <c r="P375" s="731"/>
      <c r="Q375" s="731"/>
      <c r="R375" s="721"/>
      <c r="S375" s="732"/>
      <c r="T375" s="732"/>
      <c r="U375" s="732"/>
      <c r="V375" s="732"/>
      <c r="W375" s="733"/>
      <c r="X375" s="732"/>
      <c r="Y375" s="732"/>
      <c r="Z375" s="732"/>
      <c r="AA375" s="733"/>
      <c r="AB375" s="732"/>
      <c r="AC375" s="732"/>
      <c r="AD375" s="732"/>
      <c r="AE375" s="733"/>
      <c r="AF375" s="732"/>
      <c r="AG375" s="732"/>
      <c r="AH375" s="734"/>
      <c r="AI375" s="733"/>
      <c r="AJ375" s="732"/>
      <c r="AK375" s="732"/>
      <c r="AL375" s="734"/>
      <c r="AM375" s="732"/>
      <c r="AN375" s="732"/>
      <c r="AO375" s="732"/>
      <c r="AP375" s="732"/>
      <c r="AQ375" s="1383"/>
      <c r="AR375" s="692"/>
      <c r="AS375" s="692"/>
      <c r="AT375" s="692"/>
      <c r="AU375" s="692"/>
      <c r="AV375" s="692"/>
      <c r="AW375" s="692"/>
      <c r="AX375" s="692"/>
      <c r="AY375" s="692"/>
      <c r="AZ375" s="692"/>
      <c r="BA375" s="692"/>
      <c r="BB375"/>
      <c r="BC375"/>
      <c r="BD375"/>
      <c r="BE375"/>
      <c r="BF375"/>
      <c r="BG375"/>
      <c r="BJ375" s="725"/>
      <c r="BK375" s="725"/>
      <c r="BL375" s="725"/>
      <c r="BM375" s="725"/>
      <c r="BN375" s="725"/>
    </row>
    <row r="376" spans="1:102" s="693" customFormat="1" outlineLevel="1">
      <c r="A376" s="896" t="s">
        <v>241</v>
      </c>
      <c r="B376" s="714">
        <v>293</v>
      </c>
      <c r="C376" s="714">
        <v>383</v>
      </c>
      <c r="D376" s="714">
        <v>364</v>
      </c>
      <c r="E376" s="714">
        <v>409</v>
      </c>
      <c r="F376" s="714">
        <v>400</v>
      </c>
      <c r="G376" s="714">
        <v>356</v>
      </c>
      <c r="H376" s="714">
        <v>460</v>
      </c>
      <c r="I376" s="714">
        <v>454</v>
      </c>
      <c r="J376" s="793">
        <f>I376</f>
        <v>454</v>
      </c>
      <c r="K376" s="793">
        <f>J376</f>
        <v>454</v>
      </c>
      <c r="L376" s="793">
        <f>K376</f>
        <v>454</v>
      </c>
      <c r="M376" s="793">
        <v>300</v>
      </c>
      <c r="N376" s="793">
        <v>200</v>
      </c>
      <c r="O376" s="793">
        <v>200</v>
      </c>
      <c r="P376" s="793">
        <v>200</v>
      </c>
      <c r="Q376" s="793">
        <f>3712-SUM(F376:P376)</f>
        <v>-220</v>
      </c>
      <c r="R376" s="715"/>
      <c r="S376" s="716">
        <v>101</v>
      </c>
      <c r="T376" s="716">
        <v>101</v>
      </c>
      <c r="U376" s="716">
        <v>102</v>
      </c>
      <c r="V376" s="716">
        <v>105</v>
      </c>
      <c r="W376" s="717">
        <v>102</v>
      </c>
      <c r="X376" s="716">
        <v>104</v>
      </c>
      <c r="Y376" s="716">
        <v>98</v>
      </c>
      <c r="Z376" s="716">
        <v>96</v>
      </c>
      <c r="AA376" s="717">
        <v>90</v>
      </c>
      <c r="AB376" s="716">
        <v>88</v>
      </c>
      <c r="AC376" s="716">
        <v>89</v>
      </c>
      <c r="AD376" s="716">
        <f>G376-AA376-AB376-AC376</f>
        <v>89</v>
      </c>
      <c r="AE376" s="717">
        <v>116</v>
      </c>
      <c r="AF376" s="716">
        <v>114</v>
      </c>
      <c r="AG376" s="716">
        <v>115</v>
      </c>
      <c r="AH376" s="718">
        <f>+H376-SUM(AE376:AG376)</f>
        <v>115</v>
      </c>
      <c r="AI376" s="717">
        <v>111</v>
      </c>
      <c r="AJ376" s="716">
        <f>AF376</f>
        <v>114</v>
      </c>
      <c r="AK376" s="716">
        <f>AG376</f>
        <v>115</v>
      </c>
      <c r="AL376" s="718">
        <f>I376-AI376-AJ376-AK376</f>
        <v>114</v>
      </c>
      <c r="AM376" s="717">
        <v>97</v>
      </c>
      <c r="AN376" s="788">
        <f t="shared" ref="AN376:AO377" si="700">AJ376</f>
        <v>114</v>
      </c>
      <c r="AO376" s="788">
        <f t="shared" si="700"/>
        <v>115</v>
      </c>
      <c r="AP376" s="716">
        <f t="shared" ref="AP376:AP377" si="701">J376-AM376-AN376-AO376</f>
        <v>128</v>
      </c>
      <c r="AQ376" s="1392"/>
      <c r="AR376" s="692"/>
      <c r="AS376" s="692"/>
      <c r="AT376" s="692"/>
      <c r="AU376" s="692"/>
      <c r="AV376" s="692"/>
      <c r="AW376" s="692"/>
      <c r="AX376" s="692"/>
      <c r="AY376" s="692"/>
      <c r="AZ376" s="692"/>
      <c r="BA376" s="692"/>
      <c r="BB376"/>
      <c r="BC376"/>
      <c r="BD376"/>
      <c r="BE376"/>
      <c r="BF376"/>
      <c r="BG376"/>
      <c r="BJ376" s="714"/>
      <c r="BK376" s="714"/>
      <c r="BL376" s="714"/>
      <c r="BM376" s="714"/>
      <c r="BN376" s="714"/>
    </row>
    <row r="377" spans="1:102" s="693" customFormat="1" outlineLevel="1">
      <c r="A377" s="896" t="s">
        <v>242</v>
      </c>
      <c r="B377" s="714">
        <v>11</v>
      </c>
      <c r="C377" s="714">
        <v>26</v>
      </c>
      <c r="D377" s="714">
        <v>46</v>
      </c>
      <c r="E377" s="714">
        <v>17</v>
      </c>
      <c r="F377" s="714">
        <v>47</v>
      </c>
      <c r="G377" s="714">
        <v>124</v>
      </c>
      <c r="H377" s="714">
        <v>66</v>
      </c>
      <c r="I377" s="714">
        <v>134</v>
      </c>
      <c r="J377" s="714"/>
      <c r="K377" s="714"/>
      <c r="L377" s="714"/>
      <c r="M377" s="714"/>
      <c r="N377" s="714"/>
      <c r="O377" s="714"/>
      <c r="P377" s="714"/>
      <c r="Q377" s="714"/>
      <c r="R377" s="715"/>
      <c r="S377" s="716">
        <v>-1</v>
      </c>
      <c r="T377" s="716">
        <v>0</v>
      </c>
      <c r="U377" s="716">
        <v>17</v>
      </c>
      <c r="V377" s="716">
        <v>1</v>
      </c>
      <c r="W377" s="717">
        <v>2</v>
      </c>
      <c r="X377" s="716">
        <v>0</v>
      </c>
      <c r="Y377" s="716">
        <v>27</v>
      </c>
      <c r="Z377" s="716">
        <v>18</v>
      </c>
      <c r="AA377" s="717">
        <v>26</v>
      </c>
      <c r="AB377" s="716">
        <v>58</v>
      </c>
      <c r="AC377" s="716">
        <v>12</v>
      </c>
      <c r="AD377" s="716">
        <f>G377-SUM(AA377:AC377)</f>
        <v>28</v>
      </c>
      <c r="AE377" s="717">
        <v>10</v>
      </c>
      <c r="AF377" s="716">
        <v>8</v>
      </c>
      <c r="AG377" s="716">
        <v>52</v>
      </c>
      <c r="AH377" s="718">
        <f>+H377-SUM(AE377:AG377)</f>
        <v>-4</v>
      </c>
      <c r="AI377" s="717">
        <v>0</v>
      </c>
      <c r="AJ377" s="716">
        <f>I377/4</f>
        <v>33.5</v>
      </c>
      <c r="AK377" s="716">
        <f>I377/4</f>
        <v>33.5</v>
      </c>
      <c r="AL377" s="718">
        <f>I377-AI377-AJ377-AK377</f>
        <v>67</v>
      </c>
      <c r="AM377" s="717">
        <v>15</v>
      </c>
      <c r="AN377" s="788">
        <f t="shared" si="700"/>
        <v>33.5</v>
      </c>
      <c r="AO377" s="788">
        <f t="shared" si="700"/>
        <v>33.5</v>
      </c>
      <c r="AP377" s="716">
        <f t="shared" si="701"/>
        <v>-82</v>
      </c>
      <c r="AQ377" s="1392"/>
      <c r="AR377" s="692"/>
      <c r="AS377" s="692"/>
      <c r="AT377" s="692"/>
      <c r="AU377" s="692"/>
      <c r="AV377" s="692"/>
      <c r="AW377" s="692"/>
      <c r="AX377" s="692"/>
      <c r="AY377" s="692"/>
      <c r="AZ377" s="692"/>
      <c r="BA377" s="692"/>
      <c r="BB377"/>
      <c r="BC377"/>
      <c r="BD377"/>
      <c r="BE377"/>
      <c r="BF377"/>
      <c r="BG377"/>
      <c r="BJ377" s="714"/>
      <c r="BK377" s="714"/>
      <c r="BL377" s="714"/>
      <c r="BM377" s="714"/>
      <c r="BN377" s="714"/>
    </row>
    <row r="378" spans="1:102" s="693" customFormat="1" outlineLevel="1">
      <c r="A378" s="896" t="s">
        <v>243</v>
      </c>
      <c r="B378" s="716">
        <v>304</v>
      </c>
      <c r="C378" s="716">
        <v>409</v>
      </c>
      <c r="D378" s="716">
        <v>410</v>
      </c>
      <c r="E378" s="716">
        <v>426</v>
      </c>
      <c r="F378" s="714">
        <v>447</v>
      </c>
      <c r="G378" s="714">
        <f t="shared" ref="G378:P378" si="702">G376+G377</f>
        <v>480</v>
      </c>
      <c r="H378" s="714">
        <f t="shared" si="702"/>
        <v>526</v>
      </c>
      <c r="I378" s="714">
        <f t="shared" si="702"/>
        <v>588</v>
      </c>
      <c r="J378" s="714">
        <f t="shared" si="702"/>
        <v>454</v>
      </c>
      <c r="K378" s="714">
        <f t="shared" si="702"/>
        <v>454</v>
      </c>
      <c r="L378" s="714">
        <f t="shared" si="702"/>
        <v>454</v>
      </c>
      <c r="M378" s="714">
        <f t="shared" si="702"/>
        <v>300</v>
      </c>
      <c r="N378" s="714">
        <f t="shared" si="702"/>
        <v>200</v>
      </c>
      <c r="O378" s="714">
        <f t="shared" si="702"/>
        <v>200</v>
      </c>
      <c r="P378" s="714">
        <f t="shared" si="702"/>
        <v>200</v>
      </c>
      <c r="Q378" s="714">
        <f>Q376+Q377</f>
        <v>-220</v>
      </c>
      <c r="R378" s="715"/>
      <c r="S378" s="716">
        <v>100</v>
      </c>
      <c r="T378" s="716">
        <v>101</v>
      </c>
      <c r="U378" s="716">
        <v>119</v>
      </c>
      <c r="V378" s="716">
        <v>106</v>
      </c>
      <c r="W378" s="717">
        <v>104</v>
      </c>
      <c r="X378" s="716">
        <v>104</v>
      </c>
      <c r="Y378" s="716">
        <v>125</v>
      </c>
      <c r="Z378" s="716">
        <v>114</v>
      </c>
      <c r="AA378" s="717">
        <f t="shared" ref="AA378:AP378" si="703">AA376+AA377</f>
        <v>116</v>
      </c>
      <c r="AB378" s="716">
        <f t="shared" si="703"/>
        <v>146</v>
      </c>
      <c r="AC378" s="716">
        <f t="shared" si="703"/>
        <v>101</v>
      </c>
      <c r="AD378" s="716">
        <f t="shared" si="703"/>
        <v>117</v>
      </c>
      <c r="AE378" s="717">
        <f t="shared" si="703"/>
        <v>126</v>
      </c>
      <c r="AF378" s="716">
        <f t="shared" si="703"/>
        <v>122</v>
      </c>
      <c r="AG378" s="716">
        <f t="shared" si="703"/>
        <v>167</v>
      </c>
      <c r="AH378" s="718">
        <f t="shared" si="703"/>
        <v>111</v>
      </c>
      <c r="AI378" s="717">
        <f t="shared" si="703"/>
        <v>111</v>
      </c>
      <c r="AJ378" s="716">
        <f t="shared" si="703"/>
        <v>147.5</v>
      </c>
      <c r="AK378" s="716">
        <f t="shared" si="703"/>
        <v>148.5</v>
      </c>
      <c r="AL378" s="718">
        <f t="shared" si="703"/>
        <v>181</v>
      </c>
      <c r="AM378" s="716">
        <f t="shared" si="703"/>
        <v>112</v>
      </c>
      <c r="AN378" s="716">
        <f t="shared" si="703"/>
        <v>147.5</v>
      </c>
      <c r="AO378" s="716">
        <f t="shared" si="703"/>
        <v>148.5</v>
      </c>
      <c r="AP378" s="716">
        <f t="shared" si="703"/>
        <v>46</v>
      </c>
      <c r="AQ378" s="1392"/>
      <c r="AR378" s="692"/>
      <c r="AS378" s="692"/>
      <c r="AT378" s="692"/>
      <c r="AU378" s="692"/>
      <c r="AV378" s="692"/>
      <c r="AW378" s="692"/>
      <c r="AX378" s="692"/>
      <c r="AY378" s="692"/>
      <c r="AZ378" s="692"/>
      <c r="BA378" s="692"/>
      <c r="BB378"/>
      <c r="BC378"/>
      <c r="BD378"/>
      <c r="BE378"/>
      <c r="BF378"/>
      <c r="BG378"/>
      <c r="BJ378" s="714"/>
      <c r="BK378" s="714"/>
      <c r="BL378" s="714"/>
      <c r="BM378" s="714"/>
      <c r="BN378" s="714"/>
    </row>
    <row r="379" spans="1:102" s="693" customFormat="1" ht="25.5" outlineLevel="1">
      <c r="A379" s="986" t="s">
        <v>195</v>
      </c>
      <c r="B379" s="714">
        <v>4</v>
      </c>
      <c r="C379" s="714">
        <v>0</v>
      </c>
      <c r="D379" s="714">
        <v>62</v>
      </c>
      <c r="E379" s="714">
        <v>0</v>
      </c>
      <c r="F379" s="714"/>
      <c r="G379" s="714"/>
      <c r="H379" s="714"/>
      <c r="I379" s="714"/>
      <c r="J379" s="714"/>
      <c r="K379" s="714"/>
      <c r="L379" s="714"/>
      <c r="M379" s="714"/>
      <c r="N379" s="714"/>
      <c r="O379" s="714"/>
      <c r="P379" s="714"/>
      <c r="Q379" s="714"/>
      <c r="R379" s="715"/>
      <c r="S379" s="716">
        <v>0</v>
      </c>
      <c r="T379" s="716">
        <v>0</v>
      </c>
      <c r="U379" s="716">
        <v>0</v>
      </c>
      <c r="V379" s="716">
        <v>0</v>
      </c>
      <c r="W379" s="717">
        <v>0</v>
      </c>
      <c r="X379" s="716">
        <v>0</v>
      </c>
      <c r="Y379" s="716">
        <v>0</v>
      </c>
      <c r="Z379" s="716">
        <v>0</v>
      </c>
      <c r="AA379" s="717">
        <v>0</v>
      </c>
      <c r="AB379" s="716">
        <v>0</v>
      </c>
      <c r="AC379" s="716">
        <v>0</v>
      </c>
      <c r="AD379" s="716">
        <v>0</v>
      </c>
      <c r="AE379" s="717"/>
      <c r="AF379" s="716">
        <v>0</v>
      </c>
      <c r="AG379" s="716">
        <v>0</v>
      </c>
      <c r="AH379" s="718"/>
      <c r="AI379" s="717"/>
      <c r="AJ379" s="716"/>
      <c r="AK379" s="716"/>
      <c r="AL379" s="718"/>
      <c r="AM379" s="716"/>
      <c r="AN379" s="716"/>
      <c r="AO379" s="716"/>
      <c r="AP379" s="716"/>
      <c r="AQ379" s="1383"/>
      <c r="AR379" s="692"/>
      <c r="AS379" s="692"/>
      <c r="AT379" s="692"/>
      <c r="AU379" s="692"/>
      <c r="AV379" s="692"/>
      <c r="AW379" s="692"/>
      <c r="AX379" s="692"/>
      <c r="AY379" s="692"/>
      <c r="AZ379" s="692"/>
      <c r="BA379" s="692"/>
      <c r="BB379"/>
      <c r="BC379"/>
      <c r="BD379"/>
      <c r="BE379"/>
      <c r="BF379"/>
      <c r="BG379"/>
      <c r="BJ379" s="714"/>
      <c r="BK379" s="714"/>
      <c r="BL379" s="714"/>
      <c r="BM379" s="714"/>
      <c r="BN379" s="714"/>
    </row>
    <row r="380" spans="1:102" s="693" customFormat="1" outlineLevel="1">
      <c r="A380" s="896" t="s">
        <v>244</v>
      </c>
      <c r="B380" s="714">
        <v>113</v>
      </c>
      <c r="C380" s="714">
        <v>90</v>
      </c>
      <c r="D380" s="714">
        <v>-60</v>
      </c>
      <c r="E380" s="714">
        <v>87</v>
      </c>
      <c r="F380" s="714">
        <v>36</v>
      </c>
      <c r="G380" s="714">
        <v>174</v>
      </c>
      <c r="H380" s="714">
        <v>100</v>
      </c>
      <c r="I380" s="714">
        <v>124</v>
      </c>
      <c r="J380" s="714">
        <f t="shared" ref="J380:Q380" si="704">I380</f>
        <v>124</v>
      </c>
      <c r="K380" s="714">
        <f t="shared" si="704"/>
        <v>124</v>
      </c>
      <c r="L380" s="714">
        <f t="shared" si="704"/>
        <v>124</v>
      </c>
      <c r="M380" s="714">
        <f t="shared" si="704"/>
        <v>124</v>
      </c>
      <c r="N380" s="714">
        <f t="shared" si="704"/>
        <v>124</v>
      </c>
      <c r="O380" s="714">
        <f t="shared" si="704"/>
        <v>124</v>
      </c>
      <c r="P380" s="714">
        <f t="shared" si="704"/>
        <v>124</v>
      </c>
      <c r="Q380" s="714">
        <f t="shared" si="704"/>
        <v>124</v>
      </c>
      <c r="R380" s="715"/>
      <c r="S380" s="716">
        <v>80</v>
      </c>
      <c r="T380" s="716">
        <v>0</v>
      </c>
      <c r="U380" s="716">
        <v>16</v>
      </c>
      <c r="V380" s="716">
        <v>-9</v>
      </c>
      <c r="W380" s="717">
        <v>1</v>
      </c>
      <c r="X380" s="716">
        <v>3</v>
      </c>
      <c r="Y380" s="716">
        <v>20</v>
      </c>
      <c r="Z380" s="716">
        <v>12</v>
      </c>
      <c r="AA380" s="717">
        <v>11</v>
      </c>
      <c r="AB380" s="716">
        <v>84</v>
      </c>
      <c r="AC380" s="716">
        <v>15</v>
      </c>
      <c r="AD380" s="716">
        <f>G380-SUM(AA380:AC380)</f>
        <v>64</v>
      </c>
      <c r="AE380" s="717">
        <v>13</v>
      </c>
      <c r="AF380" s="716">
        <v>33</v>
      </c>
      <c r="AG380" s="716">
        <v>9</v>
      </c>
      <c r="AH380" s="718">
        <f>+H380-SUM(AE380:AG380)</f>
        <v>45</v>
      </c>
      <c r="AI380" s="717">
        <v>6</v>
      </c>
      <c r="AJ380" s="716">
        <f>AF380</f>
        <v>33</v>
      </c>
      <c r="AK380" s="716">
        <f>AG380</f>
        <v>9</v>
      </c>
      <c r="AL380" s="718">
        <f>I380-AI380-AJ380-AK380</f>
        <v>76</v>
      </c>
      <c r="AM380" s="717">
        <v>-22</v>
      </c>
      <c r="AN380" s="788">
        <f t="shared" ref="AN380" si="705">AJ380</f>
        <v>33</v>
      </c>
      <c r="AO380" s="788">
        <f t="shared" ref="AO380" si="706">AK380</f>
        <v>9</v>
      </c>
      <c r="AP380" s="716">
        <f t="shared" ref="AP380" si="707">J380-AM380-AN380-AO380</f>
        <v>104</v>
      </c>
      <c r="AQ380" s="1392"/>
      <c r="AR380" s="692"/>
      <c r="AS380" s="692"/>
      <c r="AT380" s="692"/>
      <c r="AU380" s="692"/>
      <c r="AV380" s="692"/>
      <c r="AW380" s="692"/>
      <c r="AX380" s="692"/>
      <c r="AY380" s="692"/>
      <c r="AZ380" s="692"/>
      <c r="BA380" s="692"/>
      <c r="BB380"/>
      <c r="BC380"/>
      <c r="BD380"/>
      <c r="BE380"/>
      <c r="BF380"/>
      <c r="BG380"/>
      <c r="BJ380" s="714"/>
      <c r="BK380" s="714"/>
      <c r="BL380" s="714"/>
      <c r="BM380" s="714"/>
      <c r="BN380" s="714"/>
    </row>
    <row r="381" spans="1:102" s="693" customFormat="1" outlineLevel="1">
      <c r="A381" s="896" t="s">
        <v>245</v>
      </c>
      <c r="B381" s="714">
        <v>1625</v>
      </c>
      <c r="C381" s="714">
        <v>2330</v>
      </c>
      <c r="D381" s="714">
        <v>1913</v>
      </c>
      <c r="E381" s="714">
        <v>1967</v>
      </c>
      <c r="F381" s="714">
        <v>2018</v>
      </c>
      <c r="G381" s="714">
        <f t="shared" ref="G381:Q381" si="708">G368+G378</f>
        <v>2525</v>
      </c>
      <c r="H381" s="714">
        <f t="shared" si="708"/>
        <v>2597</v>
      </c>
      <c r="I381" s="714">
        <f t="shared" si="708"/>
        <v>2668</v>
      </c>
      <c r="J381" s="714">
        <f t="shared" si="708"/>
        <v>2619.7999667809763</v>
      </c>
      <c r="K381" s="714">
        <f t="shared" si="708"/>
        <v>2838.6616026284114</v>
      </c>
      <c r="L381" s="714">
        <f t="shared" si="708"/>
        <v>3023.8362861936212</v>
      </c>
      <c r="M381" s="714">
        <f t="shared" si="708"/>
        <v>3035.3894509991374</v>
      </c>
      <c r="N381" s="714">
        <f t="shared" si="708"/>
        <v>3174.1373595029718</v>
      </c>
      <c r="O381" s="714">
        <f t="shared" si="708"/>
        <v>3300.2157112327136</v>
      </c>
      <c r="P381" s="714">
        <f t="shared" si="708"/>
        <v>3569.0044465169531</v>
      </c>
      <c r="Q381" s="714">
        <f t="shared" si="708"/>
        <v>3296.3747281319929</v>
      </c>
      <c r="R381" s="715"/>
      <c r="S381" s="716">
        <v>531</v>
      </c>
      <c r="T381" s="716">
        <v>461</v>
      </c>
      <c r="U381" s="716">
        <v>496</v>
      </c>
      <c r="V381" s="716">
        <v>479</v>
      </c>
      <c r="W381" s="717">
        <v>491</v>
      </c>
      <c r="X381" s="716">
        <v>455</v>
      </c>
      <c r="Y381" s="716">
        <v>542</v>
      </c>
      <c r="Z381" s="716">
        <v>530</v>
      </c>
      <c r="AA381" s="717">
        <f t="shared" ref="AA381:AP381" si="709">AA368+AA378</f>
        <v>599</v>
      </c>
      <c r="AB381" s="716">
        <f t="shared" si="709"/>
        <v>683</v>
      </c>
      <c r="AC381" s="716">
        <f t="shared" si="709"/>
        <v>629</v>
      </c>
      <c r="AD381" s="716">
        <f t="shared" si="709"/>
        <v>614</v>
      </c>
      <c r="AE381" s="717">
        <f t="shared" si="709"/>
        <v>611</v>
      </c>
      <c r="AF381" s="716">
        <f t="shared" si="709"/>
        <v>657</v>
      </c>
      <c r="AG381" s="716">
        <f t="shared" si="709"/>
        <v>697</v>
      </c>
      <c r="AH381" s="718">
        <f t="shared" si="709"/>
        <v>632</v>
      </c>
      <c r="AI381" s="717">
        <f t="shared" si="709"/>
        <v>571</v>
      </c>
      <c r="AJ381" s="716">
        <f t="shared" si="709"/>
        <v>644.5</v>
      </c>
      <c r="AK381" s="716">
        <f t="shared" si="709"/>
        <v>728.5</v>
      </c>
      <c r="AL381" s="718">
        <f t="shared" si="709"/>
        <v>724</v>
      </c>
      <c r="AM381" s="716">
        <f t="shared" si="709"/>
        <v>611</v>
      </c>
      <c r="AN381" s="716">
        <f t="shared" si="709"/>
        <v>682.1541086748241</v>
      </c>
      <c r="AO381" s="716">
        <f t="shared" si="709"/>
        <v>703.73399629991547</v>
      </c>
      <c r="AP381" s="716">
        <f t="shared" si="709"/>
        <v>622.91186180623686</v>
      </c>
      <c r="AQ381" s="1392"/>
      <c r="AR381" s="692"/>
      <c r="AS381" s="692"/>
      <c r="AT381" s="692"/>
      <c r="AU381" s="692"/>
      <c r="AV381" s="692"/>
      <c r="AW381" s="692"/>
      <c r="AX381" s="692"/>
      <c r="AY381" s="692"/>
      <c r="AZ381" s="692"/>
      <c r="BA381" s="692"/>
      <c r="BB381"/>
      <c r="BC381"/>
      <c r="BD381"/>
      <c r="BE381"/>
      <c r="BF381"/>
      <c r="BG381"/>
      <c r="BJ381" s="714"/>
      <c r="BK381" s="714"/>
      <c r="BL381" s="714"/>
      <c r="BM381" s="714"/>
      <c r="BN381" s="714"/>
    </row>
    <row r="382" spans="1:102" s="693" customFormat="1" outlineLevel="1">
      <c r="A382" s="896" t="s">
        <v>246</v>
      </c>
      <c r="B382" s="714">
        <v>1738</v>
      </c>
      <c r="C382" s="714">
        <v>2420</v>
      </c>
      <c r="D382" s="714">
        <v>1853</v>
      </c>
      <c r="E382" s="714">
        <v>2054</v>
      </c>
      <c r="F382" s="714">
        <v>2054</v>
      </c>
      <c r="G382" s="714">
        <f t="shared" ref="G382:Q382" si="710">G381+G380</f>
        <v>2699</v>
      </c>
      <c r="H382" s="714">
        <f t="shared" si="710"/>
        <v>2697</v>
      </c>
      <c r="I382" s="714">
        <f t="shared" si="710"/>
        <v>2792</v>
      </c>
      <c r="J382" s="714">
        <f t="shared" si="710"/>
        <v>2743.7999667809763</v>
      </c>
      <c r="K382" s="714">
        <f t="shared" si="710"/>
        <v>2962.6616026284114</v>
      </c>
      <c r="L382" s="714">
        <f t="shared" si="710"/>
        <v>3147.8362861936212</v>
      </c>
      <c r="M382" s="714">
        <f t="shared" si="710"/>
        <v>3159.3894509991374</v>
      </c>
      <c r="N382" s="714">
        <f t="shared" si="710"/>
        <v>3298.1373595029718</v>
      </c>
      <c r="O382" s="714">
        <f t="shared" si="710"/>
        <v>3424.2157112327136</v>
      </c>
      <c r="P382" s="714">
        <f t="shared" si="710"/>
        <v>3693.0044465169531</v>
      </c>
      <c r="Q382" s="714">
        <f t="shared" si="710"/>
        <v>3420.3747281319929</v>
      </c>
      <c r="R382" s="715"/>
      <c r="S382" s="716">
        <v>611</v>
      </c>
      <c r="T382" s="716">
        <v>461</v>
      </c>
      <c r="U382" s="716">
        <v>512</v>
      </c>
      <c r="V382" s="716">
        <v>470</v>
      </c>
      <c r="W382" s="717">
        <v>492</v>
      </c>
      <c r="X382" s="716">
        <v>458</v>
      </c>
      <c r="Y382" s="716">
        <v>562</v>
      </c>
      <c r="Z382" s="716">
        <v>542</v>
      </c>
      <c r="AA382" s="717">
        <f t="shared" ref="AA382:AP382" si="711">AA381+AA380</f>
        <v>610</v>
      </c>
      <c r="AB382" s="716">
        <f t="shared" si="711"/>
        <v>767</v>
      </c>
      <c r="AC382" s="716">
        <f t="shared" si="711"/>
        <v>644</v>
      </c>
      <c r="AD382" s="716">
        <f t="shared" si="711"/>
        <v>678</v>
      </c>
      <c r="AE382" s="717">
        <f t="shared" si="711"/>
        <v>624</v>
      </c>
      <c r="AF382" s="716">
        <f t="shared" si="711"/>
        <v>690</v>
      </c>
      <c r="AG382" s="716">
        <f t="shared" si="711"/>
        <v>706</v>
      </c>
      <c r="AH382" s="718">
        <f t="shared" si="711"/>
        <v>677</v>
      </c>
      <c r="AI382" s="717">
        <f t="shared" si="711"/>
        <v>577</v>
      </c>
      <c r="AJ382" s="716">
        <f t="shared" si="711"/>
        <v>677.5</v>
      </c>
      <c r="AK382" s="716">
        <f t="shared" si="711"/>
        <v>737.5</v>
      </c>
      <c r="AL382" s="718">
        <f t="shared" si="711"/>
        <v>800</v>
      </c>
      <c r="AM382" s="716">
        <f t="shared" si="711"/>
        <v>589</v>
      </c>
      <c r="AN382" s="716">
        <f t="shared" si="711"/>
        <v>715.1541086748241</v>
      </c>
      <c r="AO382" s="716">
        <f t="shared" si="711"/>
        <v>712.73399629991547</v>
      </c>
      <c r="AP382" s="716">
        <f t="shared" si="711"/>
        <v>726.91186180623686</v>
      </c>
      <c r="AQ382" s="1392"/>
      <c r="AR382" s="692"/>
      <c r="AS382" s="692"/>
      <c r="AT382" s="692"/>
      <c r="AU382" s="692"/>
      <c r="AV382" s="692"/>
      <c r="AW382" s="692"/>
      <c r="AX382" s="692"/>
      <c r="AY382" s="692"/>
      <c r="AZ382" s="692"/>
      <c r="BA382" s="692"/>
      <c r="BB382"/>
      <c r="BC382"/>
      <c r="BD382"/>
      <c r="BE382"/>
      <c r="BF382"/>
      <c r="BG382"/>
      <c r="BJ382" s="714"/>
      <c r="BK382" s="714"/>
      <c r="BL382" s="714"/>
      <c r="BM382" s="714"/>
      <c r="BN382" s="714"/>
    </row>
    <row r="383" spans="1:102" s="693" customFormat="1" outlineLevel="1">
      <c r="A383" s="896" t="s">
        <v>259</v>
      </c>
      <c r="B383" s="714">
        <v>1742</v>
      </c>
      <c r="C383" s="714">
        <v>1422</v>
      </c>
      <c r="D383" s="714">
        <v>1091</v>
      </c>
      <c r="E383" s="714">
        <v>1028</v>
      </c>
      <c r="F383" s="714">
        <v>1088</v>
      </c>
      <c r="G383" s="714">
        <f t="shared" ref="G383:I383" si="712">G328+G329+G333+G353+G365+G343</f>
        <v>1300</v>
      </c>
      <c r="H383" s="714">
        <f t="shared" si="712"/>
        <v>1445</v>
      </c>
      <c r="I383" s="714">
        <f t="shared" si="712"/>
        <v>1368</v>
      </c>
      <c r="J383" s="714">
        <f>J328+J329+J333+J353+J365+J343</f>
        <v>1711.7999667809763</v>
      </c>
      <c r="K383" s="714">
        <f t="shared" ref="K383:Q383" si="713">K328+K329+K333+K353+K365+K343</f>
        <v>1930.6616026284114</v>
      </c>
      <c r="L383" s="714">
        <f t="shared" si="713"/>
        <v>2115.8362861936212</v>
      </c>
      <c r="M383" s="714">
        <f t="shared" si="713"/>
        <v>2435.3894509991374</v>
      </c>
      <c r="N383" s="714">
        <f t="shared" si="713"/>
        <v>2774.1373595029718</v>
      </c>
      <c r="O383" s="714">
        <f t="shared" si="713"/>
        <v>2900.2157112327136</v>
      </c>
      <c r="P383" s="714">
        <f t="shared" si="713"/>
        <v>3169.0044465169531</v>
      </c>
      <c r="Q383" s="714">
        <f t="shared" si="713"/>
        <v>3736.3747281319929</v>
      </c>
      <c r="R383" s="715"/>
      <c r="S383" s="716">
        <v>251</v>
      </c>
      <c r="T383" s="716">
        <v>259</v>
      </c>
      <c r="U383" s="716">
        <v>242</v>
      </c>
      <c r="V383" s="716">
        <v>276</v>
      </c>
      <c r="W383" s="717">
        <v>282</v>
      </c>
      <c r="X383" s="716">
        <v>244</v>
      </c>
      <c r="Y383" s="716">
        <v>272</v>
      </c>
      <c r="Z383" s="716">
        <v>290</v>
      </c>
      <c r="AA383" s="717">
        <f t="shared" ref="AA383:AH383" si="714">AA328+AA329+AA333+AA348+AA353+AA358+AA365</f>
        <v>340</v>
      </c>
      <c r="AB383" s="716">
        <f t="shared" si="714"/>
        <v>281</v>
      </c>
      <c r="AC383" s="716">
        <f t="shared" si="714"/>
        <v>388</v>
      </c>
      <c r="AD383" s="716">
        <f t="shared" si="714"/>
        <v>291</v>
      </c>
      <c r="AE383" s="717">
        <f t="shared" si="714"/>
        <v>346</v>
      </c>
      <c r="AF383" s="716">
        <f t="shared" si="714"/>
        <v>380</v>
      </c>
      <c r="AG383" s="716">
        <f t="shared" si="714"/>
        <v>354</v>
      </c>
      <c r="AH383" s="718">
        <f t="shared" si="714"/>
        <v>365</v>
      </c>
      <c r="AI383" s="717">
        <f t="shared" ref="AI383:AP383" si="715">AI328+AI329+AI333+AI353+AI365+AI343</f>
        <v>343</v>
      </c>
      <c r="AJ383" s="716">
        <f t="shared" si="715"/>
        <v>330</v>
      </c>
      <c r="AK383" s="716">
        <f t="shared" si="715"/>
        <v>390</v>
      </c>
      <c r="AL383" s="718">
        <f t="shared" si="715"/>
        <v>305</v>
      </c>
      <c r="AM383" s="716">
        <f t="shared" si="715"/>
        <v>409</v>
      </c>
      <c r="AN383" s="716">
        <f t="shared" si="715"/>
        <v>420.65410867482422</v>
      </c>
      <c r="AO383" s="716">
        <f t="shared" si="715"/>
        <v>440.23399629991547</v>
      </c>
      <c r="AP383" s="716">
        <f t="shared" si="715"/>
        <v>441.91186180623686</v>
      </c>
      <c r="AQ383" s="1392"/>
      <c r="AR383" s="692"/>
      <c r="AS383" s="692"/>
      <c r="AT383" s="692"/>
      <c r="AU383" s="692"/>
      <c r="AV383" s="692"/>
      <c r="AW383" s="692"/>
      <c r="AX383" s="692"/>
      <c r="AY383" s="692"/>
      <c r="AZ383" s="692"/>
      <c r="BA383" s="692"/>
      <c r="BB383"/>
      <c r="BC383"/>
      <c r="BD383"/>
      <c r="BE383"/>
      <c r="BF383"/>
      <c r="BG383"/>
      <c r="BJ383" s="714"/>
      <c r="BK383" s="714"/>
      <c r="BL383" s="714"/>
      <c r="BM383" s="714"/>
      <c r="BN383" s="714"/>
    </row>
    <row r="384" spans="1:102" s="693" customFormat="1" outlineLevel="1">
      <c r="A384" s="896" t="s">
        <v>254</v>
      </c>
      <c r="B384" s="731">
        <v>0.20274674115456237</v>
      </c>
      <c r="C384" s="731">
        <v>0.15011084133854111</v>
      </c>
      <c r="D384" s="731">
        <v>0.1253734773615261</v>
      </c>
      <c r="E384" s="731">
        <v>0.11223932743749318</v>
      </c>
      <c r="F384" s="731">
        <v>0.11378372725371261</v>
      </c>
      <c r="G384" s="731">
        <f t="shared" ref="G384:Q384" si="716">G383/G325</f>
        <v>0.12909632571996027</v>
      </c>
      <c r="H384" s="731">
        <f t="shared" si="716"/>
        <v>0.14244873817034701</v>
      </c>
      <c r="I384" s="731">
        <f t="shared" si="716"/>
        <v>0.13598409542743539</v>
      </c>
      <c r="J384" s="731">
        <f t="shared" si="716"/>
        <v>0.16485520440052659</v>
      </c>
      <c r="K384" s="731">
        <f t="shared" si="716"/>
        <v>0.17703507110529629</v>
      </c>
      <c r="L384" s="731">
        <f t="shared" si="716"/>
        <v>0.18422388696442002</v>
      </c>
      <c r="M384" s="731">
        <f t="shared" si="716"/>
        <v>0.20372287146070461</v>
      </c>
      <c r="N384" s="731">
        <f t="shared" si="716"/>
        <v>0.2228175652563458</v>
      </c>
      <c r="O384" s="731">
        <f t="shared" si="716"/>
        <v>0.22352855066991609</v>
      </c>
      <c r="P384" s="731">
        <f t="shared" si="716"/>
        <v>0.23422125523262155</v>
      </c>
      <c r="Q384" s="731">
        <f t="shared" si="716"/>
        <v>0.26464421198825216</v>
      </c>
      <c r="R384" s="721"/>
      <c r="S384" s="732">
        <v>0.1111111111111111</v>
      </c>
      <c r="T384" s="732">
        <v>0.11687725631768953</v>
      </c>
      <c r="U384" s="732">
        <v>0.10646722393312802</v>
      </c>
      <c r="V384" s="732">
        <v>0.11447532144338449</v>
      </c>
      <c r="W384" s="733">
        <v>0.12165660051768766</v>
      </c>
      <c r="X384" s="732">
        <v>0.10467610467610468</v>
      </c>
      <c r="Y384" s="732">
        <v>0.11328613077884214</v>
      </c>
      <c r="Z384" s="732">
        <v>0.11544585987261147</v>
      </c>
      <c r="AA384" s="733">
        <f t="shared" ref="AA384:AP384" si="717">AA383/AA325</f>
        <v>0.13911620294599017</v>
      </c>
      <c r="AB384" s="732">
        <f t="shared" si="717"/>
        <v>0.11106719367588933</v>
      </c>
      <c r="AC384" s="732">
        <f t="shared" si="717"/>
        <v>0.15263571990558616</v>
      </c>
      <c r="AD384" s="732">
        <f t="shared" si="717"/>
        <v>0.1139389193422083</v>
      </c>
      <c r="AE384" s="733">
        <f t="shared" si="717"/>
        <v>0.14151329243353783</v>
      </c>
      <c r="AF384" s="732">
        <f t="shared" si="717"/>
        <v>0.1474582848273186</v>
      </c>
      <c r="AG384" s="732">
        <f t="shared" si="717"/>
        <v>0.14064362336114422</v>
      </c>
      <c r="AH384" s="734">
        <f t="shared" si="717"/>
        <v>0.14011516314779271</v>
      </c>
      <c r="AI384" s="733">
        <f t="shared" si="717"/>
        <v>0.14115226337448561</v>
      </c>
      <c r="AJ384" s="732">
        <f t="shared" si="717"/>
        <v>0.1346389228886169</v>
      </c>
      <c r="AK384" s="732">
        <f t="shared" si="717"/>
        <v>0.15092879256965944</v>
      </c>
      <c r="AL384" s="734">
        <f t="shared" si="717"/>
        <v>0.11753371868978806</v>
      </c>
      <c r="AM384" s="732">
        <f t="shared" si="717"/>
        <v>0.16249503377036154</v>
      </c>
      <c r="AN384" s="732">
        <f t="shared" si="717"/>
        <v>0.16446965498212285</v>
      </c>
      <c r="AO384" s="732">
        <f t="shared" si="717"/>
        <v>0.16773466186934266</v>
      </c>
      <c r="AP384" s="732">
        <f t="shared" si="717"/>
        <v>0.16462024335438552</v>
      </c>
      <c r="AQ384" s="1383"/>
      <c r="AR384" s="692"/>
      <c r="AS384" s="692"/>
      <c r="AT384" s="692"/>
      <c r="AU384" s="692"/>
      <c r="AV384" s="692"/>
      <c r="AW384" s="692"/>
      <c r="AX384" s="692"/>
      <c r="AY384" s="692"/>
      <c r="AZ384" s="692"/>
      <c r="BA384" s="692"/>
      <c r="BB384"/>
      <c r="BC384"/>
      <c r="BD384"/>
      <c r="BE384"/>
      <c r="BF384"/>
      <c r="BG384"/>
      <c r="BJ384" s="731"/>
      <c r="BK384" s="731"/>
      <c r="BL384" s="731"/>
      <c r="BM384" s="731"/>
      <c r="BN384" s="731"/>
    </row>
    <row r="385" spans="1:102" s="693" customFormat="1">
      <c r="A385" s="896"/>
      <c r="B385" s="731"/>
      <c r="C385" s="731"/>
      <c r="D385" s="731"/>
      <c r="E385" s="731"/>
      <c r="F385" s="731"/>
      <c r="G385" s="731"/>
      <c r="H385" s="731"/>
      <c r="I385" s="731"/>
      <c r="J385" s="731"/>
      <c r="K385" s="731"/>
      <c r="L385" s="731"/>
      <c r="M385" s="731"/>
      <c r="N385" s="731"/>
      <c r="O385" s="731"/>
      <c r="P385" s="731"/>
      <c r="Q385" s="731"/>
      <c r="R385" s="721"/>
      <c r="S385" s="732"/>
      <c r="T385" s="732"/>
      <c r="U385" s="732"/>
      <c r="V385" s="732"/>
      <c r="W385" s="733"/>
      <c r="X385" s="732"/>
      <c r="Y385" s="732"/>
      <c r="Z385" s="732"/>
      <c r="AA385" s="733"/>
      <c r="AB385" s="732"/>
      <c r="AC385" s="732"/>
      <c r="AD385" s="732"/>
      <c r="AE385" s="733"/>
      <c r="AF385" s="732"/>
      <c r="AG385" s="732"/>
      <c r="AH385" s="734"/>
      <c r="AI385" s="733"/>
      <c r="AJ385" s="732"/>
      <c r="AK385" s="732"/>
      <c r="AL385" s="734"/>
      <c r="AM385" s="732"/>
      <c r="AN385" s="732"/>
      <c r="AO385" s="732"/>
      <c r="AP385" s="732"/>
      <c r="AQ385" s="1383"/>
      <c r="AR385" s="692"/>
      <c r="AS385" s="692"/>
      <c r="AT385" s="692"/>
      <c r="AU385" s="692"/>
      <c r="AV385" s="692"/>
      <c r="AW385" s="692"/>
      <c r="AX385" s="692"/>
      <c r="AY385" s="692"/>
      <c r="AZ385" s="692"/>
      <c r="BA385" s="692"/>
      <c r="BB385"/>
      <c r="BC385"/>
      <c r="BD385"/>
      <c r="BE385"/>
      <c r="BF385"/>
      <c r="BG385"/>
      <c r="BJ385" s="731"/>
      <c r="BK385" s="731"/>
      <c r="BL385" s="731"/>
      <c r="BM385" s="731"/>
      <c r="BN385" s="731"/>
    </row>
    <row r="386" spans="1:102" s="838" customFormat="1">
      <c r="A386" s="1060" t="s">
        <v>260</v>
      </c>
      <c r="B386" s="1061"/>
      <c r="C386" s="1061"/>
      <c r="D386" s="1061"/>
      <c r="E386" s="1061"/>
      <c r="F386" s="1061"/>
      <c r="G386" s="1056">
        <v>2015</v>
      </c>
      <c r="H386" s="1056">
        <v>2016</v>
      </c>
      <c r="I386" s="1056">
        <v>2017</v>
      </c>
      <c r="J386" s="1056">
        <v>2018</v>
      </c>
      <c r="K386" s="1056">
        <v>2019</v>
      </c>
      <c r="L386" s="1056">
        <v>2020</v>
      </c>
      <c r="M386" s="1056">
        <v>2021</v>
      </c>
      <c r="N386" s="1056">
        <v>2022</v>
      </c>
      <c r="O386" s="1056">
        <v>2023</v>
      </c>
      <c r="P386" s="1056">
        <v>2024</v>
      </c>
      <c r="Q386" s="1056">
        <v>2025</v>
      </c>
      <c r="R386" s="987"/>
      <c r="S386" s="988"/>
      <c r="T386" s="988"/>
      <c r="U386" s="988"/>
      <c r="V386" s="988"/>
      <c r="W386" s="989"/>
      <c r="X386" s="988"/>
      <c r="Y386" s="988"/>
      <c r="Z386" s="988"/>
      <c r="AA386" s="989"/>
      <c r="AB386" s="988"/>
      <c r="AC386" s="988"/>
      <c r="AD386" s="988"/>
      <c r="AE386" s="943" t="s">
        <v>8</v>
      </c>
      <c r="AF386" s="942" t="s">
        <v>9</v>
      </c>
      <c r="AG386" s="942" t="s">
        <v>10</v>
      </c>
      <c r="AH386" s="944" t="s">
        <v>11</v>
      </c>
      <c r="AI386" s="1057" t="s">
        <v>894</v>
      </c>
      <c r="AJ386" s="1058" t="s">
        <v>896</v>
      </c>
      <c r="AK386" s="1058" t="s">
        <v>942</v>
      </c>
      <c r="AL386" s="1059" t="s">
        <v>947</v>
      </c>
      <c r="AM386" s="1058" t="str">
        <f>AM1</f>
        <v>1Q18</v>
      </c>
      <c r="AN386" s="1058" t="str">
        <f>AN1</f>
        <v>2Q18</v>
      </c>
      <c r="AO386" s="1058" t="str">
        <f>AO1</f>
        <v>3Q18</v>
      </c>
      <c r="AP386" s="1058" t="str">
        <f>AP1</f>
        <v>4Q18</v>
      </c>
      <c r="AQ386" s="1392"/>
      <c r="AR386" s="945"/>
      <c r="AS386" s="945"/>
      <c r="AT386" s="945"/>
      <c r="AU386" s="945"/>
      <c r="AV386" s="945"/>
      <c r="AW386" s="945"/>
      <c r="AX386" s="945"/>
      <c r="AY386" s="945"/>
      <c r="AZ386" s="945"/>
      <c r="BA386" s="945"/>
      <c r="BB386"/>
      <c r="BC386"/>
      <c r="BD386"/>
      <c r="BE386"/>
      <c r="BF386"/>
      <c r="BG386"/>
      <c r="BH386" s="946"/>
      <c r="BI386" s="946"/>
      <c r="BJ386" s="990"/>
      <c r="BK386" s="990"/>
      <c r="BL386" s="990"/>
      <c r="BM386" s="990"/>
      <c r="BN386" s="990"/>
      <c r="BO386" s="946"/>
      <c r="BP386" s="946"/>
      <c r="BQ386" s="946"/>
      <c r="BR386" s="946"/>
      <c r="BS386" s="946"/>
      <c r="BT386" s="946"/>
      <c r="BU386" s="946"/>
      <c r="BV386" s="946"/>
      <c r="BW386" s="946"/>
      <c r="BX386" s="946"/>
      <c r="BY386" s="946"/>
      <c r="BZ386" s="946"/>
      <c r="CA386" s="946"/>
      <c r="CB386" s="946"/>
      <c r="CC386" s="946"/>
      <c r="CD386" s="946"/>
      <c r="CE386" s="946"/>
      <c r="CF386" s="946"/>
      <c r="CG386" s="946"/>
      <c r="CH386" s="946"/>
      <c r="CI386" s="946"/>
      <c r="CJ386" s="946"/>
      <c r="CK386" s="946"/>
      <c r="CL386" s="946"/>
      <c r="CM386" s="946"/>
      <c r="CN386" s="946"/>
      <c r="CO386" s="946"/>
      <c r="CP386" s="946"/>
      <c r="CQ386" s="946"/>
      <c r="CR386" s="946"/>
      <c r="CS386" s="946"/>
      <c r="CT386" s="946"/>
      <c r="CU386" s="946"/>
      <c r="CV386" s="946"/>
      <c r="CW386" s="946"/>
      <c r="CX386" s="946"/>
    </row>
    <row r="387" spans="1:102" s="976" customFormat="1">
      <c r="A387" s="1062" t="s">
        <v>261</v>
      </c>
      <c r="B387" s="907">
        <v>0</v>
      </c>
      <c r="C387" s="907">
        <v>0</v>
      </c>
      <c r="D387" s="907">
        <v>0</v>
      </c>
      <c r="E387" s="907">
        <v>0</v>
      </c>
      <c r="F387" s="720">
        <v>-675</v>
      </c>
      <c r="G387" s="720">
        <f>-(G327+G198+G269)</f>
        <v>-646</v>
      </c>
      <c r="H387" s="720">
        <f t="shared" ref="H387:Q387" si="718">-(H327+H198+H269)</f>
        <v>-728</v>
      </c>
      <c r="I387" s="720">
        <f t="shared" si="718"/>
        <v>-789</v>
      </c>
      <c r="J387" s="720">
        <f t="shared" si="718"/>
        <v>-838.02090792836498</v>
      </c>
      <c r="K387" s="720">
        <f t="shared" si="718"/>
        <v>-850.25363814658795</v>
      </c>
      <c r="L387" s="720">
        <f t="shared" si="718"/>
        <v>-873.79816954818671</v>
      </c>
      <c r="M387" s="720">
        <f t="shared" si="718"/>
        <v>-905.21715726500565</v>
      </c>
      <c r="N387" s="720">
        <f t="shared" si="718"/>
        <v>-919.08080640987271</v>
      </c>
      <c r="O387" s="720">
        <f t="shared" si="718"/>
        <v>-896.44951458933645</v>
      </c>
      <c r="P387" s="720">
        <f t="shared" si="718"/>
        <v>-899.50904319227038</v>
      </c>
      <c r="Q387" s="720">
        <f t="shared" si="718"/>
        <v>-899.73855015896072</v>
      </c>
      <c r="R387" s="719"/>
      <c r="S387" s="910"/>
      <c r="T387" s="910"/>
      <c r="U387" s="910"/>
      <c r="V387" s="910"/>
      <c r="W387" s="797">
        <v>-163</v>
      </c>
      <c r="X387" s="796">
        <v>-181</v>
      </c>
      <c r="Y387" s="796">
        <v>-175</v>
      </c>
      <c r="Z387" s="796">
        <v>-156</v>
      </c>
      <c r="AA387" s="797">
        <f t="shared" ref="AA387:AH387" si="719">-(+AA327+AA198+AA269)</f>
        <v>-176</v>
      </c>
      <c r="AB387" s="796">
        <f t="shared" si="719"/>
        <v>-160</v>
      </c>
      <c r="AC387" s="796">
        <f t="shared" si="719"/>
        <v>-145</v>
      </c>
      <c r="AD387" s="796">
        <f t="shared" si="719"/>
        <v>-165</v>
      </c>
      <c r="AE387" s="797">
        <f t="shared" si="719"/>
        <v>-189</v>
      </c>
      <c r="AF387" s="796">
        <f>-(+AF327+AF198+AF269)</f>
        <v>-159</v>
      </c>
      <c r="AG387" s="796">
        <f>-(+AG327+AG198+AG269)</f>
        <v>-187</v>
      </c>
      <c r="AH387" s="798">
        <f t="shared" si="719"/>
        <v>-193</v>
      </c>
      <c r="AI387" s="797">
        <f>-(AI327+AI198+AI269)</f>
        <v>-202</v>
      </c>
      <c r="AJ387" s="796">
        <f>-(AJ327+AJ198+AJ269)</f>
        <v>-193</v>
      </c>
      <c r="AK387" s="796">
        <f>-(AK327+AK198+AK269)</f>
        <v>-192</v>
      </c>
      <c r="AL387" s="798">
        <f>-(AL327+AL198+AL269)</f>
        <v>-202</v>
      </c>
      <c r="AM387" s="796">
        <f t="shared" ref="AM387:AP387" si="720">-(AM327+AM198+AM269)</f>
        <v>-228</v>
      </c>
      <c r="AN387" s="796">
        <f t="shared" si="720"/>
        <v>-205.79623939487004</v>
      </c>
      <c r="AO387" s="796">
        <f t="shared" si="720"/>
        <v>-202.16226931851531</v>
      </c>
      <c r="AP387" s="796">
        <f t="shared" si="720"/>
        <v>-202.06239921497962</v>
      </c>
      <c r="AQ387" s="1392"/>
      <c r="AR387" s="1065"/>
      <c r="AS387" s="1065"/>
      <c r="AT387" s="1065"/>
      <c r="AU387" s="1065"/>
      <c r="AV387" s="1065"/>
      <c r="AW387" s="1065"/>
      <c r="AX387" s="1065"/>
      <c r="AY387" s="1065"/>
      <c r="AZ387" s="1065"/>
      <c r="BA387" s="1065"/>
      <c r="BB387"/>
      <c r="BC387"/>
      <c r="BD387"/>
      <c r="BE387"/>
      <c r="BF387"/>
      <c r="BG387"/>
      <c r="BH387" s="799"/>
      <c r="BI387" s="799"/>
      <c r="BJ387" s="953"/>
      <c r="BK387" s="953"/>
      <c r="BL387" s="953"/>
      <c r="BM387" s="953"/>
      <c r="BN387" s="953"/>
      <c r="BO387" s="799"/>
      <c r="BP387" s="799"/>
      <c r="BQ387" s="799"/>
      <c r="BR387" s="799"/>
      <c r="BS387" s="799"/>
      <c r="BT387" s="799"/>
      <c r="BU387" s="799"/>
      <c r="BV387" s="799"/>
      <c r="BW387" s="799"/>
      <c r="BX387" s="799"/>
      <c r="BY387" s="799"/>
      <c r="BZ387" s="799"/>
      <c r="CA387" s="799"/>
      <c r="CB387" s="799"/>
      <c r="CC387" s="799"/>
      <c r="CD387" s="799"/>
      <c r="CE387" s="799"/>
      <c r="CF387" s="799"/>
      <c r="CG387" s="799"/>
      <c r="CH387" s="799"/>
      <c r="CI387" s="799"/>
      <c r="CJ387" s="799"/>
      <c r="CK387" s="799"/>
      <c r="CL387" s="799"/>
      <c r="CM387" s="799"/>
      <c r="CN387" s="799"/>
      <c r="CO387" s="799"/>
      <c r="CP387" s="799"/>
      <c r="CQ387" s="799"/>
      <c r="CR387" s="799"/>
      <c r="CS387" s="799"/>
      <c r="CT387" s="799"/>
      <c r="CU387" s="799"/>
      <c r="CV387" s="799"/>
      <c r="CW387" s="799"/>
      <c r="CX387" s="799"/>
    </row>
    <row r="388" spans="1:102" s="693" customFormat="1" outlineLevel="1">
      <c r="A388" s="713" t="s">
        <v>262</v>
      </c>
      <c r="B388" s="732"/>
      <c r="C388" s="732"/>
      <c r="D388" s="732"/>
      <c r="E388" s="732"/>
      <c r="F388" s="714">
        <v>-239</v>
      </c>
      <c r="G388" s="714">
        <v>-26</v>
      </c>
      <c r="H388" s="714"/>
      <c r="I388" s="714"/>
      <c r="J388" s="714"/>
      <c r="K388" s="714"/>
      <c r="L388" s="714"/>
      <c r="M388" s="714"/>
      <c r="N388" s="714"/>
      <c r="O388" s="714"/>
      <c r="P388" s="714"/>
      <c r="Q388" s="714"/>
      <c r="R388" s="715"/>
      <c r="S388" s="732"/>
      <c r="T388" s="732"/>
      <c r="U388" s="732"/>
      <c r="V388" s="732"/>
      <c r="W388" s="717">
        <v>-65</v>
      </c>
      <c r="X388" s="716">
        <v>-64</v>
      </c>
      <c r="Y388" s="716">
        <v>-55</v>
      </c>
      <c r="Z388" s="716">
        <v>-55</v>
      </c>
      <c r="AA388" s="717">
        <v>-26</v>
      </c>
      <c r="AB388" s="716"/>
      <c r="AC388" s="716"/>
      <c r="AD388" s="716">
        <f>G388-AA388-AB388-AC388</f>
        <v>0</v>
      </c>
      <c r="AE388" s="717">
        <v>0</v>
      </c>
      <c r="AF388" s="716">
        <v>0</v>
      </c>
      <c r="AG388" s="716">
        <v>0</v>
      </c>
      <c r="AH388" s="718">
        <f>+H388-SUM(AE388:AG388)</f>
        <v>0</v>
      </c>
      <c r="AI388" s="717">
        <v>0</v>
      </c>
      <c r="AJ388" s="716">
        <v>0</v>
      </c>
      <c r="AK388" s="716">
        <v>0</v>
      </c>
      <c r="AL388" s="718"/>
      <c r="AM388" s="716"/>
      <c r="AN388" s="716"/>
      <c r="AO388" s="716"/>
      <c r="AP388" s="716">
        <f>J388-AM388-AN388-AO388</f>
        <v>0</v>
      </c>
      <c r="AQ388" s="1383"/>
      <c r="AR388" s="692"/>
      <c r="AS388" s="692"/>
      <c r="AT388" s="692"/>
      <c r="AU388" s="692"/>
      <c r="AV388" s="692"/>
      <c r="AW388" s="692"/>
      <c r="AX388" s="692"/>
      <c r="AY388" s="692"/>
      <c r="AZ388" s="692"/>
      <c r="BA388" s="692"/>
      <c r="BB388"/>
      <c r="BC388"/>
      <c r="BD388"/>
      <c r="BE388"/>
      <c r="BF388"/>
      <c r="BG388"/>
      <c r="BJ388" s="742"/>
      <c r="BK388" s="742"/>
      <c r="BL388" s="742"/>
      <c r="BM388" s="742"/>
      <c r="BN388" s="742"/>
    </row>
    <row r="389" spans="1:102" s="693" customFormat="1" outlineLevel="1">
      <c r="A389" s="713" t="s">
        <v>263</v>
      </c>
      <c r="B389" s="732"/>
      <c r="C389" s="732"/>
      <c r="D389" s="732"/>
      <c r="E389" s="732"/>
      <c r="F389" s="714">
        <v>-78</v>
      </c>
      <c r="G389" s="714">
        <v>-19</v>
      </c>
      <c r="H389" s="714"/>
      <c r="I389" s="714"/>
      <c r="J389" s="714"/>
      <c r="K389" s="714"/>
      <c r="L389" s="714"/>
      <c r="M389" s="714"/>
      <c r="N389" s="714"/>
      <c r="O389" s="714"/>
      <c r="P389" s="714"/>
      <c r="Q389" s="714"/>
      <c r="R389" s="715"/>
      <c r="S389" s="732"/>
      <c r="T389" s="732"/>
      <c r="U389" s="732"/>
      <c r="V389" s="732"/>
      <c r="W389" s="717">
        <v>-15</v>
      </c>
      <c r="X389" s="716">
        <v>-23</v>
      </c>
      <c r="Y389" s="716">
        <v>-26</v>
      </c>
      <c r="Z389" s="716">
        <v>-14</v>
      </c>
      <c r="AA389" s="717">
        <v>-17</v>
      </c>
      <c r="AB389" s="716"/>
      <c r="AC389" s="716"/>
      <c r="AD389" s="716">
        <f>G389-AA389-AB389-AC389</f>
        <v>-2</v>
      </c>
      <c r="AE389" s="717">
        <v>0</v>
      </c>
      <c r="AF389" s="716">
        <v>0</v>
      </c>
      <c r="AG389" s="716">
        <v>0</v>
      </c>
      <c r="AH389" s="718">
        <f>+H389-SUM(AE389:AG389)</f>
        <v>0</v>
      </c>
      <c r="AI389" s="717">
        <v>0</v>
      </c>
      <c r="AJ389" s="716">
        <v>0</v>
      </c>
      <c r="AK389" s="716">
        <v>0</v>
      </c>
      <c r="AL389" s="718"/>
      <c r="AM389" s="716"/>
      <c r="AN389" s="716"/>
      <c r="AO389" s="716"/>
      <c r="AP389" s="716"/>
      <c r="AQ389" s="1383"/>
      <c r="AR389" s="692"/>
      <c r="AS389" s="692"/>
      <c r="AT389" s="692"/>
      <c r="AU389" s="692"/>
      <c r="AV389" s="692"/>
      <c r="AW389" s="692"/>
      <c r="AX389" s="692"/>
      <c r="AY389" s="692"/>
      <c r="AZ389" s="692"/>
      <c r="BA389" s="692"/>
      <c r="BB389"/>
      <c r="BC389"/>
      <c r="BD389"/>
      <c r="BE389"/>
      <c r="BF389"/>
      <c r="BG389"/>
      <c r="BJ389" s="742"/>
      <c r="BK389" s="742"/>
      <c r="BL389" s="742"/>
      <c r="BM389" s="742"/>
      <c r="BN389" s="742"/>
    </row>
    <row r="390" spans="1:102" s="693" customFormat="1" outlineLevel="1">
      <c r="A390" s="713" t="s">
        <v>214</v>
      </c>
      <c r="B390" s="714">
        <v>-533</v>
      </c>
      <c r="C390" s="714">
        <v>-673</v>
      </c>
      <c r="D390" s="714">
        <v>-653</v>
      </c>
      <c r="E390" s="714">
        <v>-608</v>
      </c>
      <c r="F390" s="714">
        <v>-358</v>
      </c>
      <c r="G390" s="714">
        <v>-620</v>
      </c>
      <c r="H390" s="714">
        <f t="shared" ref="H390:Q390" si="721">H387-H388</f>
        <v>-728</v>
      </c>
      <c r="I390" s="714">
        <f t="shared" si="721"/>
        <v>-789</v>
      </c>
      <c r="J390" s="714">
        <f t="shared" si="721"/>
        <v>-838.02090792836498</v>
      </c>
      <c r="K390" s="714">
        <f t="shared" si="721"/>
        <v>-850.25363814658795</v>
      </c>
      <c r="L390" s="714">
        <f t="shared" si="721"/>
        <v>-873.79816954818671</v>
      </c>
      <c r="M390" s="714">
        <f t="shared" si="721"/>
        <v>-905.21715726500565</v>
      </c>
      <c r="N390" s="714">
        <f t="shared" si="721"/>
        <v>-919.08080640987271</v>
      </c>
      <c r="O390" s="714">
        <f t="shared" si="721"/>
        <v>-896.44951458933645</v>
      </c>
      <c r="P390" s="714">
        <f t="shared" si="721"/>
        <v>-899.50904319227038</v>
      </c>
      <c r="Q390" s="714">
        <f t="shared" si="721"/>
        <v>-899.73855015896072</v>
      </c>
      <c r="R390" s="715"/>
      <c r="S390" s="716">
        <v>-156</v>
      </c>
      <c r="T390" s="716">
        <v>-163</v>
      </c>
      <c r="U390" s="716">
        <v>-155</v>
      </c>
      <c r="V390" s="716">
        <v>-134</v>
      </c>
      <c r="W390" s="717">
        <v>-83</v>
      </c>
      <c r="X390" s="716">
        <v>-95</v>
      </c>
      <c r="Y390" s="716">
        <v>-93</v>
      </c>
      <c r="Z390" s="716">
        <v>-87</v>
      </c>
      <c r="AA390" s="717">
        <v>-150</v>
      </c>
      <c r="AB390" s="716">
        <v>-160</v>
      </c>
      <c r="AC390" s="716">
        <v>-145</v>
      </c>
      <c r="AD390" s="716">
        <f t="shared" ref="AD390:AP390" si="722">AD387-AD388</f>
        <v>-165</v>
      </c>
      <c r="AE390" s="717">
        <f t="shared" si="722"/>
        <v>-189</v>
      </c>
      <c r="AF390" s="716">
        <f t="shared" si="722"/>
        <v>-159</v>
      </c>
      <c r="AG390" s="716">
        <f t="shared" si="722"/>
        <v>-187</v>
      </c>
      <c r="AH390" s="718">
        <f t="shared" si="722"/>
        <v>-193</v>
      </c>
      <c r="AI390" s="717">
        <f t="shared" si="722"/>
        <v>-202</v>
      </c>
      <c r="AJ390" s="716">
        <f t="shared" si="722"/>
        <v>-193</v>
      </c>
      <c r="AK390" s="716">
        <f t="shared" si="722"/>
        <v>-192</v>
      </c>
      <c r="AL390" s="718">
        <f t="shared" si="722"/>
        <v>-202</v>
      </c>
      <c r="AM390" s="716">
        <f t="shared" si="722"/>
        <v>-228</v>
      </c>
      <c r="AN390" s="716">
        <f t="shared" si="722"/>
        <v>-205.79623939487004</v>
      </c>
      <c r="AO390" s="716">
        <f t="shared" si="722"/>
        <v>-202.16226931851531</v>
      </c>
      <c r="AP390" s="716">
        <f t="shared" si="722"/>
        <v>-202.06239921497962</v>
      </c>
      <c r="AQ390" s="1392"/>
      <c r="AR390" s="692"/>
      <c r="AS390" s="692"/>
      <c r="AT390" s="692"/>
      <c r="AU390" s="692"/>
      <c r="AV390" s="692"/>
      <c r="AW390" s="692"/>
      <c r="AX390" s="692"/>
      <c r="AY390" s="692"/>
      <c r="AZ390" s="692"/>
      <c r="BA390" s="692"/>
      <c r="BB390"/>
      <c r="BC390"/>
      <c r="BD390"/>
      <c r="BE390"/>
      <c r="BF390"/>
      <c r="BG390"/>
      <c r="BJ390" s="714"/>
      <c r="BK390" s="714"/>
      <c r="BL390" s="714"/>
      <c r="BM390" s="714"/>
      <c r="BN390" s="714"/>
    </row>
    <row r="391" spans="1:102" s="693" customFormat="1">
      <c r="A391" s="713" t="s">
        <v>264</v>
      </c>
      <c r="B391" s="714">
        <v>-533</v>
      </c>
      <c r="C391" s="714">
        <v>-673</v>
      </c>
      <c r="D391" s="714">
        <v>-653</v>
      </c>
      <c r="E391" s="714">
        <v>-608</v>
      </c>
      <c r="F391" s="714">
        <v>-358</v>
      </c>
      <c r="G391" s="714">
        <f t="shared" ref="G391:P391" si="723">G390</f>
        <v>-620</v>
      </c>
      <c r="H391" s="714">
        <f t="shared" si="723"/>
        <v>-728</v>
      </c>
      <c r="I391" s="714">
        <f t="shared" si="723"/>
        <v>-789</v>
      </c>
      <c r="J391" s="714">
        <f t="shared" si="723"/>
        <v>-838.02090792836498</v>
      </c>
      <c r="K391" s="714">
        <f t="shared" si="723"/>
        <v>-850.25363814658795</v>
      </c>
      <c r="L391" s="714">
        <f t="shared" si="723"/>
        <v>-873.79816954818671</v>
      </c>
      <c r="M391" s="714">
        <f t="shared" si="723"/>
        <v>-905.21715726500565</v>
      </c>
      <c r="N391" s="714">
        <f t="shared" si="723"/>
        <v>-919.08080640987271</v>
      </c>
      <c r="O391" s="714">
        <f t="shared" si="723"/>
        <v>-896.44951458933645</v>
      </c>
      <c r="P391" s="714">
        <f t="shared" si="723"/>
        <v>-899.50904319227038</v>
      </c>
      <c r="Q391" s="714">
        <f>Q390</f>
        <v>-899.73855015896072</v>
      </c>
      <c r="R391" s="715"/>
      <c r="S391" s="716">
        <v>-156</v>
      </c>
      <c r="T391" s="716">
        <v>-163</v>
      </c>
      <c r="U391" s="716">
        <v>-155</v>
      </c>
      <c r="V391" s="716">
        <v>-134</v>
      </c>
      <c r="W391" s="717">
        <v>-83</v>
      </c>
      <c r="X391" s="716">
        <v>-95</v>
      </c>
      <c r="Y391" s="716">
        <v>-93</v>
      </c>
      <c r="Z391" s="716">
        <v>-87</v>
      </c>
      <c r="AA391" s="717">
        <f t="shared" ref="AA391:AP391" si="724">AA390</f>
        <v>-150</v>
      </c>
      <c r="AB391" s="716">
        <f t="shared" si="724"/>
        <v>-160</v>
      </c>
      <c r="AC391" s="716">
        <f t="shared" si="724"/>
        <v>-145</v>
      </c>
      <c r="AD391" s="716">
        <f t="shared" si="724"/>
        <v>-165</v>
      </c>
      <c r="AE391" s="717">
        <f t="shared" si="724"/>
        <v>-189</v>
      </c>
      <c r="AF391" s="716">
        <f t="shared" si="724"/>
        <v>-159</v>
      </c>
      <c r="AG391" s="716">
        <f t="shared" si="724"/>
        <v>-187</v>
      </c>
      <c r="AH391" s="718">
        <f t="shared" si="724"/>
        <v>-193</v>
      </c>
      <c r="AI391" s="717">
        <f t="shared" si="724"/>
        <v>-202</v>
      </c>
      <c r="AJ391" s="716">
        <f t="shared" si="724"/>
        <v>-193</v>
      </c>
      <c r="AK391" s="716">
        <f t="shared" si="724"/>
        <v>-192</v>
      </c>
      <c r="AL391" s="718">
        <f t="shared" si="724"/>
        <v>-202</v>
      </c>
      <c r="AM391" s="716">
        <f t="shared" si="724"/>
        <v>-228</v>
      </c>
      <c r="AN391" s="716">
        <f t="shared" si="724"/>
        <v>-205.79623939487004</v>
      </c>
      <c r="AO391" s="716">
        <f t="shared" si="724"/>
        <v>-202.16226931851531</v>
      </c>
      <c r="AP391" s="716">
        <f t="shared" si="724"/>
        <v>-202.06239921497962</v>
      </c>
      <c r="AQ391" s="1392"/>
      <c r="AR391" s="692"/>
      <c r="AS391" s="692"/>
      <c r="AT391" s="692"/>
      <c r="AU391" s="692"/>
      <c r="AV391" s="692"/>
      <c r="AW391" s="692"/>
      <c r="AX391" s="692"/>
      <c r="AY391" s="692"/>
      <c r="AZ391" s="692"/>
      <c r="BA391" s="692"/>
      <c r="BB391"/>
      <c r="BC391"/>
      <c r="BD391"/>
      <c r="BE391"/>
      <c r="BF391"/>
      <c r="BG391"/>
      <c r="BJ391" s="714"/>
      <c r="BK391" s="714"/>
      <c r="BL391" s="714"/>
      <c r="BM391" s="714"/>
      <c r="BN391" s="714"/>
    </row>
    <row r="392" spans="1:102" s="693" customFormat="1" outlineLevel="1">
      <c r="A392" s="713" t="s">
        <v>265</v>
      </c>
      <c r="B392" s="714"/>
      <c r="C392" s="714"/>
      <c r="D392" s="714"/>
      <c r="E392" s="714"/>
      <c r="F392" s="714">
        <v>0</v>
      </c>
      <c r="G392" s="714"/>
      <c r="H392" s="714"/>
      <c r="I392" s="714"/>
      <c r="J392" s="714"/>
      <c r="K392" s="714"/>
      <c r="L392" s="714"/>
      <c r="M392" s="714"/>
      <c r="N392" s="714"/>
      <c r="O392" s="714"/>
      <c r="P392" s="714"/>
      <c r="Q392" s="714"/>
      <c r="R392" s="715"/>
      <c r="S392" s="716"/>
      <c r="T392" s="716"/>
      <c r="U392" s="716"/>
      <c r="V392" s="716"/>
      <c r="W392" s="717">
        <v>0</v>
      </c>
      <c r="X392" s="716">
        <v>1</v>
      </c>
      <c r="Y392" s="716">
        <v>-1</v>
      </c>
      <c r="Z392" s="716">
        <v>0</v>
      </c>
      <c r="AA392" s="717">
        <v>0</v>
      </c>
      <c r="AB392" s="716">
        <v>0</v>
      </c>
      <c r="AC392" s="716">
        <v>0</v>
      </c>
      <c r="AD392" s="716">
        <v>0</v>
      </c>
      <c r="AE392" s="717">
        <v>0</v>
      </c>
      <c r="AF392" s="716">
        <v>0</v>
      </c>
      <c r="AG392" s="716">
        <v>0</v>
      </c>
      <c r="AH392" s="718">
        <f>+H392-SUM(AE392:AG392)</f>
        <v>0</v>
      </c>
      <c r="AI392" s="717">
        <v>0</v>
      </c>
      <c r="AJ392" s="716">
        <v>0</v>
      </c>
      <c r="AK392" s="716">
        <v>0</v>
      </c>
      <c r="AL392" s="718"/>
      <c r="AM392" s="716"/>
      <c r="AN392" s="716"/>
      <c r="AO392" s="716"/>
      <c r="AP392" s="716"/>
      <c r="AQ392" s="1383"/>
      <c r="AR392" s="692"/>
      <c r="AS392" s="692"/>
      <c r="AT392" s="692"/>
      <c r="AU392" s="692"/>
      <c r="AV392" s="692"/>
      <c r="AW392" s="692"/>
      <c r="AX392" s="692"/>
      <c r="AY392" s="692"/>
      <c r="AZ392" s="692"/>
      <c r="BA392" s="692"/>
      <c r="BB392"/>
      <c r="BC392"/>
      <c r="BD392"/>
      <c r="BE392"/>
      <c r="BF392"/>
      <c r="BG392"/>
      <c r="BJ392" s="714"/>
      <c r="BK392" s="714"/>
      <c r="BL392" s="714"/>
      <c r="BM392" s="714"/>
      <c r="BN392" s="714"/>
    </row>
    <row r="393" spans="1:102" s="693" customFormat="1" outlineLevel="1">
      <c r="A393" s="713" t="s">
        <v>266</v>
      </c>
      <c r="B393" s="714"/>
      <c r="C393" s="714"/>
      <c r="D393" s="714"/>
      <c r="E393" s="714"/>
      <c r="F393" s="714">
        <v>-358</v>
      </c>
      <c r="G393" s="714">
        <f>G391+G392</f>
        <v>-620</v>
      </c>
      <c r="H393" s="714">
        <f>H391+H392</f>
        <v>-728</v>
      </c>
      <c r="I393" s="714"/>
      <c r="J393" s="714"/>
      <c r="K393" s="714"/>
      <c r="L393" s="714"/>
      <c r="M393" s="714"/>
      <c r="N393" s="714"/>
      <c r="O393" s="714"/>
      <c r="P393" s="714"/>
      <c r="Q393" s="714"/>
      <c r="R393" s="715"/>
      <c r="S393" s="716"/>
      <c r="T393" s="716"/>
      <c r="U393" s="716"/>
      <c r="V393" s="716"/>
      <c r="W393" s="717">
        <v>-83</v>
      </c>
      <c r="X393" s="716">
        <v>-94</v>
      </c>
      <c r="Y393" s="716">
        <v>-94</v>
      </c>
      <c r="Z393" s="716">
        <v>-87</v>
      </c>
      <c r="AA393" s="717">
        <f t="shared" ref="AA393:AH393" si="725">AA391+AA392</f>
        <v>-150</v>
      </c>
      <c r="AB393" s="716">
        <f t="shared" si="725"/>
        <v>-160</v>
      </c>
      <c r="AC393" s="716">
        <f t="shared" si="725"/>
        <v>-145</v>
      </c>
      <c r="AD393" s="716">
        <f t="shared" si="725"/>
        <v>-165</v>
      </c>
      <c r="AE393" s="717">
        <f t="shared" si="725"/>
        <v>-189</v>
      </c>
      <c r="AF393" s="716">
        <f t="shared" si="725"/>
        <v>-159</v>
      </c>
      <c r="AG393" s="716">
        <f t="shared" si="725"/>
        <v>-187</v>
      </c>
      <c r="AH393" s="718">
        <f t="shared" si="725"/>
        <v>-193</v>
      </c>
      <c r="AI393" s="717">
        <f>AI391+AI392</f>
        <v>-202</v>
      </c>
      <c r="AJ393" s="716">
        <f>AJ391+AJ392</f>
        <v>-193</v>
      </c>
      <c r="AK393" s="716">
        <f>AK391+AK392</f>
        <v>-192</v>
      </c>
      <c r="AL393" s="718"/>
      <c r="AM393" s="716"/>
      <c r="AN393" s="716"/>
      <c r="AO393" s="716"/>
      <c r="AP393" s="716"/>
      <c r="AQ393" s="1383"/>
      <c r="AR393" s="692"/>
      <c r="AS393" s="692"/>
      <c r="AT393" s="692"/>
      <c r="AU393" s="692"/>
      <c r="AV393" s="692"/>
      <c r="AW393" s="692"/>
      <c r="AX393" s="692"/>
      <c r="AY393" s="692"/>
      <c r="AZ393" s="692"/>
      <c r="BA393" s="692"/>
      <c r="BB393"/>
      <c r="BC393"/>
      <c r="BD393"/>
      <c r="BE393"/>
      <c r="BF393"/>
      <c r="BG393"/>
      <c r="BJ393" s="714"/>
      <c r="BK393" s="714"/>
      <c r="BL393" s="714"/>
      <c r="BM393" s="714"/>
      <c r="BN393" s="714"/>
    </row>
    <row r="394" spans="1:102" s="693" customFormat="1">
      <c r="A394" s="713" t="s">
        <v>267</v>
      </c>
      <c r="B394" s="714">
        <v>-2</v>
      </c>
      <c r="C394" s="714">
        <v>-15</v>
      </c>
      <c r="D394" s="714">
        <v>-5</v>
      </c>
      <c r="E394" s="714">
        <v>0</v>
      </c>
      <c r="F394" s="714">
        <v>238</v>
      </c>
      <c r="G394" s="714">
        <v>107</v>
      </c>
      <c r="H394" s="714">
        <v>62</v>
      </c>
      <c r="I394" s="714">
        <v>88</v>
      </c>
      <c r="J394" s="793">
        <f t="shared" ref="J394:Q394" si="726">I394</f>
        <v>88</v>
      </c>
      <c r="K394" s="793">
        <f t="shared" si="726"/>
        <v>88</v>
      </c>
      <c r="L394" s="793">
        <f t="shared" si="726"/>
        <v>88</v>
      </c>
      <c r="M394" s="793">
        <f t="shared" si="726"/>
        <v>88</v>
      </c>
      <c r="N394" s="793">
        <f t="shared" si="726"/>
        <v>88</v>
      </c>
      <c r="O394" s="793">
        <f t="shared" si="726"/>
        <v>88</v>
      </c>
      <c r="P394" s="793">
        <f t="shared" si="726"/>
        <v>88</v>
      </c>
      <c r="Q394" s="793">
        <f t="shared" si="726"/>
        <v>88</v>
      </c>
      <c r="R394" s="715"/>
      <c r="S394" s="716">
        <v>-1</v>
      </c>
      <c r="T394" s="716">
        <v>0</v>
      </c>
      <c r="U394" s="716">
        <v>1</v>
      </c>
      <c r="V394" s="716">
        <v>0</v>
      </c>
      <c r="W394" s="717">
        <v>43</v>
      </c>
      <c r="X394" s="716">
        <v>76</v>
      </c>
      <c r="Y394" s="716">
        <v>79</v>
      </c>
      <c r="Z394" s="716">
        <v>40</v>
      </c>
      <c r="AA394" s="717">
        <v>21</v>
      </c>
      <c r="AB394" s="716">
        <v>17</v>
      </c>
      <c r="AC394" s="716">
        <v>20</v>
      </c>
      <c r="AD394" s="716">
        <f>G394-AA394-AB394-AC394</f>
        <v>49</v>
      </c>
      <c r="AE394" s="717">
        <v>20</v>
      </c>
      <c r="AF394" s="716">
        <v>8</v>
      </c>
      <c r="AG394" s="716">
        <v>12</v>
      </c>
      <c r="AH394" s="718">
        <f>+H394-SUM(AE394:AG394)</f>
        <v>22</v>
      </c>
      <c r="AI394" s="717">
        <v>19</v>
      </c>
      <c r="AJ394" s="716">
        <v>22</v>
      </c>
      <c r="AK394" s="716">
        <v>28</v>
      </c>
      <c r="AL394" s="718">
        <f>I394-AI394-AJ394-AK394</f>
        <v>19</v>
      </c>
      <c r="AM394" s="717">
        <v>8</v>
      </c>
      <c r="AN394" s="788">
        <f t="shared" ref="AN394:AO394" si="727">AJ394</f>
        <v>22</v>
      </c>
      <c r="AO394" s="788">
        <f t="shared" si="727"/>
        <v>28</v>
      </c>
      <c r="AP394" s="716">
        <f t="shared" ref="AP394" si="728">J394-AM394-AN394-AO394</f>
        <v>30</v>
      </c>
      <c r="AQ394" s="1392"/>
      <c r="AR394" s="692"/>
      <c r="AS394" s="692"/>
      <c r="AT394" s="692"/>
      <c r="AU394" s="692"/>
      <c r="AV394" s="692"/>
      <c r="AW394" s="692"/>
      <c r="AX394" s="692"/>
      <c r="AY394" s="692"/>
      <c r="AZ394" s="692"/>
      <c r="BA394" s="692"/>
      <c r="BB394"/>
      <c r="BC394"/>
      <c r="BD394"/>
      <c r="BE394"/>
      <c r="BF394"/>
      <c r="BG394"/>
      <c r="BJ394" s="714"/>
      <c r="BK394" s="714"/>
      <c r="BL394" s="714"/>
      <c r="BM394" s="714"/>
      <c r="BN394" s="714"/>
    </row>
    <row r="395" spans="1:102" s="693" customFormat="1" outlineLevel="1">
      <c r="A395" s="713" t="s">
        <v>268</v>
      </c>
      <c r="B395" s="714"/>
      <c r="C395" s="714"/>
      <c r="D395" s="714"/>
      <c r="E395" s="714">
        <v>0</v>
      </c>
      <c r="F395" s="714">
        <v>302</v>
      </c>
      <c r="G395" s="716">
        <f>G396-G394</f>
        <v>0</v>
      </c>
      <c r="H395" s="716">
        <f>H396-H394</f>
        <v>0</v>
      </c>
      <c r="I395" s="716">
        <f>I396-I394</f>
        <v>0</v>
      </c>
      <c r="J395" s="714"/>
      <c r="K395" s="714"/>
      <c r="L395" s="714"/>
      <c r="M395" s="714"/>
      <c r="N395" s="714"/>
      <c r="O395" s="714"/>
      <c r="P395" s="714"/>
      <c r="Q395" s="714"/>
      <c r="R395" s="715"/>
      <c r="S395" s="716">
        <v>0</v>
      </c>
      <c r="T395" s="716">
        <v>0</v>
      </c>
      <c r="U395" s="716">
        <v>0</v>
      </c>
      <c r="V395" s="716">
        <v>0</v>
      </c>
      <c r="W395" s="717">
        <v>0</v>
      </c>
      <c r="X395" s="716">
        <v>302</v>
      </c>
      <c r="Y395" s="716">
        <v>0</v>
      </c>
      <c r="Z395" s="716">
        <v>0</v>
      </c>
      <c r="AA395" s="717">
        <f>AA396-AA394</f>
        <v>0</v>
      </c>
      <c r="AB395" s="716">
        <f>AB396-AB394</f>
        <v>0</v>
      </c>
      <c r="AC395" s="716">
        <f>AC396-AC394</f>
        <v>0</v>
      </c>
      <c r="AD395" s="716">
        <v>0</v>
      </c>
      <c r="AE395" s="717">
        <v>0</v>
      </c>
      <c r="AF395" s="716">
        <v>0</v>
      </c>
      <c r="AG395" s="716">
        <v>0</v>
      </c>
      <c r="AH395" s="718">
        <f>+H395-SUM(AE395:AG395)</f>
        <v>0</v>
      </c>
      <c r="AI395" s="717">
        <v>0</v>
      </c>
      <c r="AJ395" s="716">
        <v>0</v>
      </c>
      <c r="AK395" s="716">
        <v>0</v>
      </c>
      <c r="AL395" s="718"/>
      <c r="AM395" s="716"/>
      <c r="AN395" s="716"/>
      <c r="AO395" s="716"/>
      <c r="AP395" s="716"/>
      <c r="AQ395" s="1383"/>
      <c r="AR395" s="692"/>
      <c r="AS395" s="692"/>
      <c r="AT395" s="692"/>
      <c r="AU395" s="692"/>
      <c r="AV395" s="692"/>
      <c r="AW395" s="692"/>
      <c r="AX395" s="692"/>
      <c r="AY395" s="692"/>
      <c r="AZ395" s="692"/>
      <c r="BA395" s="692"/>
      <c r="BB395"/>
      <c r="BC395"/>
      <c r="BD395"/>
      <c r="BE395"/>
      <c r="BF395"/>
      <c r="BG395"/>
      <c r="BJ395" s="714"/>
      <c r="BK395" s="714"/>
      <c r="BL395" s="714"/>
      <c r="BM395" s="714"/>
      <c r="BN395" s="714"/>
    </row>
    <row r="396" spans="1:102" s="693" customFormat="1" outlineLevel="1">
      <c r="A396" s="713" t="s">
        <v>269</v>
      </c>
      <c r="B396" s="714"/>
      <c r="C396" s="714"/>
      <c r="D396" s="714"/>
      <c r="E396" s="714">
        <v>0</v>
      </c>
      <c r="F396" s="714">
        <v>540</v>
      </c>
      <c r="G396" s="714">
        <v>107</v>
      </c>
      <c r="H396" s="714">
        <v>62</v>
      </c>
      <c r="I396" s="714">
        <v>88</v>
      </c>
      <c r="J396" s="714">
        <f t="shared" ref="J396:P396" si="729">J394+J395</f>
        <v>88</v>
      </c>
      <c r="K396" s="714">
        <f t="shared" si="729"/>
        <v>88</v>
      </c>
      <c r="L396" s="714">
        <f t="shared" si="729"/>
        <v>88</v>
      </c>
      <c r="M396" s="714">
        <f t="shared" si="729"/>
        <v>88</v>
      </c>
      <c r="N396" s="714">
        <f t="shared" si="729"/>
        <v>88</v>
      </c>
      <c r="O396" s="714">
        <f t="shared" si="729"/>
        <v>88</v>
      </c>
      <c r="P396" s="714">
        <f t="shared" si="729"/>
        <v>88</v>
      </c>
      <c r="Q396" s="714">
        <f>Q394+Q395</f>
        <v>88</v>
      </c>
      <c r="R396" s="715"/>
      <c r="S396" s="716">
        <v>-1</v>
      </c>
      <c r="T396" s="716">
        <v>0</v>
      </c>
      <c r="U396" s="716">
        <v>1</v>
      </c>
      <c r="V396" s="716">
        <v>0</v>
      </c>
      <c r="W396" s="717">
        <v>43</v>
      </c>
      <c r="X396" s="716">
        <v>378</v>
      </c>
      <c r="Y396" s="716">
        <v>79</v>
      </c>
      <c r="Z396" s="716">
        <v>40</v>
      </c>
      <c r="AA396" s="717">
        <v>21</v>
      </c>
      <c r="AB396" s="716">
        <v>17</v>
      </c>
      <c r="AC396" s="716">
        <v>20</v>
      </c>
      <c r="AD396" s="716">
        <f t="shared" ref="AD396:AP396" si="730">AD394+AD395</f>
        <v>49</v>
      </c>
      <c r="AE396" s="717">
        <f t="shared" si="730"/>
        <v>20</v>
      </c>
      <c r="AF396" s="716">
        <f t="shared" si="730"/>
        <v>8</v>
      </c>
      <c r="AG396" s="716">
        <f t="shared" si="730"/>
        <v>12</v>
      </c>
      <c r="AH396" s="718">
        <f t="shared" si="730"/>
        <v>22</v>
      </c>
      <c r="AI396" s="717">
        <f t="shared" si="730"/>
        <v>19</v>
      </c>
      <c r="AJ396" s="716">
        <f t="shared" si="730"/>
        <v>22</v>
      </c>
      <c r="AK396" s="716">
        <f t="shared" si="730"/>
        <v>28</v>
      </c>
      <c r="AL396" s="718">
        <f t="shared" si="730"/>
        <v>19</v>
      </c>
      <c r="AM396" s="716">
        <f t="shared" si="730"/>
        <v>8</v>
      </c>
      <c r="AN396" s="716">
        <f t="shared" si="730"/>
        <v>22</v>
      </c>
      <c r="AO396" s="716">
        <f t="shared" si="730"/>
        <v>28</v>
      </c>
      <c r="AP396" s="716">
        <f t="shared" si="730"/>
        <v>30</v>
      </c>
      <c r="AQ396" s="1392"/>
      <c r="AR396" s="692"/>
      <c r="AS396" s="692"/>
      <c r="AT396" s="692"/>
      <c r="AU396" s="692"/>
      <c r="AV396" s="692"/>
      <c r="AW396" s="692"/>
      <c r="AX396" s="692"/>
      <c r="AY396" s="692"/>
      <c r="AZ396" s="692"/>
      <c r="BA396" s="692"/>
      <c r="BB396"/>
      <c r="BC396"/>
      <c r="BD396"/>
      <c r="BE396"/>
      <c r="BF396"/>
      <c r="BG396"/>
      <c r="BJ396" s="714"/>
      <c r="BK396" s="714"/>
      <c r="BL396" s="714"/>
      <c r="BM396" s="714"/>
      <c r="BN396" s="714"/>
    </row>
    <row r="397" spans="1:102" s="693" customFormat="1">
      <c r="A397" s="713" t="s">
        <v>270</v>
      </c>
      <c r="B397" s="714">
        <v>533</v>
      </c>
      <c r="C397" s="714">
        <v>746</v>
      </c>
      <c r="D397" s="714">
        <v>773</v>
      </c>
      <c r="E397" s="714">
        <v>752</v>
      </c>
      <c r="F397" s="714">
        <v>488</v>
      </c>
      <c r="G397" s="714">
        <v>789</v>
      </c>
      <c r="H397" s="714">
        <v>874</v>
      </c>
      <c r="I397" s="714">
        <v>863</v>
      </c>
      <c r="J397" s="786">
        <f t="shared" ref="J397:Q397" si="731">-J398*J391</f>
        <v>921.82299872120154</v>
      </c>
      <c r="K397" s="786">
        <f t="shared" si="731"/>
        <v>935.27900196124676</v>
      </c>
      <c r="L397" s="786">
        <f t="shared" si="731"/>
        <v>961.1779865030054</v>
      </c>
      <c r="M397" s="786">
        <f t="shared" si="731"/>
        <v>995.73887299150635</v>
      </c>
      <c r="N397" s="786">
        <f t="shared" si="731"/>
        <v>1010.9888870508601</v>
      </c>
      <c r="O397" s="786">
        <f t="shared" si="731"/>
        <v>986.09446604827019</v>
      </c>
      <c r="P397" s="786">
        <f t="shared" si="731"/>
        <v>989.45994751149749</v>
      </c>
      <c r="Q397" s="786">
        <f t="shared" si="731"/>
        <v>989.71240517485683</v>
      </c>
      <c r="R397" s="715"/>
      <c r="S397" s="716">
        <v>162</v>
      </c>
      <c r="T397" s="716">
        <v>194</v>
      </c>
      <c r="U397" s="716">
        <v>194</v>
      </c>
      <c r="V397" s="716">
        <v>202</v>
      </c>
      <c r="W397" s="717">
        <v>111</v>
      </c>
      <c r="X397" s="716">
        <v>109</v>
      </c>
      <c r="Y397" s="716">
        <v>128</v>
      </c>
      <c r="Z397" s="716">
        <v>140</v>
      </c>
      <c r="AA397" s="717">
        <v>205</v>
      </c>
      <c r="AB397" s="716">
        <v>189</v>
      </c>
      <c r="AC397" s="716">
        <v>192</v>
      </c>
      <c r="AD397" s="716">
        <f>G397-AA397-AB397-AC397</f>
        <v>203</v>
      </c>
      <c r="AE397" s="717">
        <v>229</v>
      </c>
      <c r="AF397" s="716">
        <v>196</v>
      </c>
      <c r="AG397" s="786">
        <v>216</v>
      </c>
      <c r="AH397" s="718">
        <f>+H397-SUM(AE397:AG397)</f>
        <v>233</v>
      </c>
      <c r="AI397" s="717">
        <v>221</v>
      </c>
      <c r="AJ397" s="716">
        <v>214</v>
      </c>
      <c r="AK397" s="716">
        <v>214</v>
      </c>
      <c r="AL397" s="718">
        <f>I397-AI397-AJ397-AK397</f>
        <v>214</v>
      </c>
      <c r="AM397" s="801">
        <v>236</v>
      </c>
      <c r="AN397" s="801">
        <f t="shared" ref="AN397:AO397" si="732">-AN398*AN391</f>
        <v>226.37586333435706</v>
      </c>
      <c r="AO397" s="801">
        <f t="shared" si="732"/>
        <v>222.37849625036685</v>
      </c>
      <c r="AP397" s="716">
        <f t="shared" ref="AP397" si="733">J397-AM397-AN397-AO397</f>
        <v>237.06863913647763</v>
      </c>
      <c r="AQ397" s="1392"/>
      <c r="AR397" s="692"/>
      <c r="AS397" s="692"/>
      <c r="AT397" s="692"/>
      <c r="AU397" s="692"/>
      <c r="AV397" s="692"/>
      <c r="AW397" s="692"/>
      <c r="AX397" s="692"/>
      <c r="AY397" s="692"/>
      <c r="AZ397" s="692"/>
      <c r="BA397" s="692"/>
      <c r="BB397"/>
      <c r="BC397"/>
      <c r="BD397"/>
      <c r="BE397"/>
      <c r="BF397"/>
      <c r="BG397"/>
      <c r="BJ397" s="714"/>
      <c r="BK397" s="714"/>
      <c r="BL397" s="714"/>
      <c r="BM397" s="714"/>
      <c r="BN397" s="714"/>
    </row>
    <row r="398" spans="1:102" s="693" customFormat="1">
      <c r="A398" s="713" t="s">
        <v>95</v>
      </c>
      <c r="B398" s="755">
        <v>1</v>
      </c>
      <c r="C398" s="755">
        <v>1.1084695393759287</v>
      </c>
      <c r="D398" s="755">
        <v>1.1837672281776417</v>
      </c>
      <c r="E398" s="755">
        <v>1.236842105263158</v>
      </c>
      <c r="F398" s="755">
        <v>1.3631284916201116</v>
      </c>
      <c r="G398" s="755">
        <v>1.4</v>
      </c>
      <c r="H398" s="755">
        <v>1.25</v>
      </c>
      <c r="I398" s="755">
        <v>1.25</v>
      </c>
      <c r="J398" s="822">
        <v>1.1000000000000001</v>
      </c>
      <c r="K398" s="822">
        <v>1.1000000000000001</v>
      </c>
      <c r="L398" s="822">
        <v>1.1000000000000001</v>
      </c>
      <c r="M398" s="822">
        <v>1.1000000000000001</v>
      </c>
      <c r="N398" s="822">
        <v>1.1000000000000001</v>
      </c>
      <c r="O398" s="822">
        <v>1.1000000000000001</v>
      </c>
      <c r="P398" s="822">
        <v>1.1000000000000001</v>
      </c>
      <c r="Q398" s="822">
        <v>1.1000000000000001</v>
      </c>
      <c r="R398" s="688"/>
      <c r="S398" s="792">
        <v>1.0384615384615385</v>
      </c>
      <c r="T398" s="792">
        <v>1.1901840490797546</v>
      </c>
      <c r="U398" s="792">
        <v>1.2516129032258065</v>
      </c>
      <c r="V398" s="792">
        <v>1.5074626865671641</v>
      </c>
      <c r="W398" s="952">
        <v>1.3373493975903614</v>
      </c>
      <c r="X398" s="792">
        <v>1.1473684210526316</v>
      </c>
      <c r="Y398" s="792">
        <v>1.3763440860215055</v>
      </c>
      <c r="Z398" s="792">
        <v>1.6091954022988506</v>
      </c>
      <c r="AA398" s="952">
        <f>-AA397/AA391</f>
        <v>1.3666666666666667</v>
      </c>
      <c r="AB398" s="792">
        <f>-AB397/AB391</f>
        <v>1.1812499999999999</v>
      </c>
      <c r="AC398" s="792">
        <f>-AC397/AC391</f>
        <v>1.3241379310344827</v>
      </c>
      <c r="AD398" s="792">
        <f>-AD397/AD390</f>
        <v>1.2303030303030302</v>
      </c>
      <c r="AE398" s="952">
        <f>-AE397/AE390</f>
        <v>1.2116402116402116</v>
      </c>
      <c r="AF398" s="792">
        <v>1.1499999999999999</v>
      </c>
      <c r="AG398" s="792">
        <v>1.1499999999999999</v>
      </c>
      <c r="AH398" s="791">
        <f t="shared" ref="AH398:AM398" si="734">-AH397/AH390</f>
        <v>1.2072538860103628</v>
      </c>
      <c r="AI398" s="952">
        <f t="shared" si="734"/>
        <v>1.0940594059405941</v>
      </c>
      <c r="AJ398" s="792">
        <f t="shared" si="734"/>
        <v>1.1088082901554404</v>
      </c>
      <c r="AK398" s="792">
        <f t="shared" si="734"/>
        <v>1.1145833333333333</v>
      </c>
      <c r="AL398" s="791">
        <f t="shared" si="734"/>
        <v>1.0594059405940595</v>
      </c>
      <c r="AM398" s="952">
        <f t="shared" si="734"/>
        <v>1.0350877192982457</v>
      </c>
      <c r="AN398" s="823">
        <v>1.1000000000000001</v>
      </c>
      <c r="AO398" s="823">
        <v>1.1000000000000001</v>
      </c>
      <c r="AP398" s="791">
        <f>-AP397/AP390</f>
        <v>1.1732447009314877</v>
      </c>
      <c r="AQ398" s="1383"/>
      <c r="AR398" s="692"/>
      <c r="AS398" s="692"/>
      <c r="AT398" s="692"/>
      <c r="AU398" s="692"/>
      <c r="AV398" s="692"/>
      <c r="AW398" s="692"/>
      <c r="AX398" s="692"/>
      <c r="AY398" s="692"/>
      <c r="AZ398" s="692"/>
      <c r="BA398" s="692"/>
      <c r="BB398"/>
      <c r="BC398"/>
      <c r="BD398"/>
      <c r="BE398"/>
      <c r="BF398"/>
      <c r="BG398"/>
      <c r="BJ398" s="694"/>
      <c r="BK398" s="694"/>
      <c r="BL398" s="694"/>
      <c r="BM398" s="694"/>
      <c r="BN398" s="694"/>
    </row>
    <row r="399" spans="1:102" s="693" customFormat="1" outlineLevel="1">
      <c r="A399" s="713" t="s">
        <v>271</v>
      </c>
      <c r="B399" s="732"/>
      <c r="C399" s="732"/>
      <c r="D399" s="732"/>
      <c r="E399" s="732"/>
      <c r="F399" s="714">
        <v>0</v>
      </c>
      <c r="G399" s="716">
        <v>0</v>
      </c>
      <c r="H399" s="716">
        <v>0</v>
      </c>
      <c r="I399" s="716"/>
      <c r="J399" s="714"/>
      <c r="K399" s="714"/>
      <c r="L399" s="714"/>
      <c r="M399" s="714"/>
      <c r="N399" s="714"/>
      <c r="O399" s="714"/>
      <c r="P399" s="714"/>
      <c r="Q399" s="714"/>
      <c r="R399" s="715"/>
      <c r="S399" s="716"/>
      <c r="T399" s="716"/>
      <c r="U399" s="716"/>
      <c r="V399" s="716"/>
      <c r="W399" s="717">
        <v>0</v>
      </c>
      <c r="X399" s="716">
        <v>-1</v>
      </c>
      <c r="Y399" s="716">
        <v>1</v>
      </c>
      <c r="Z399" s="716">
        <v>0</v>
      </c>
      <c r="AA399" s="717">
        <v>0</v>
      </c>
      <c r="AB399" s="716">
        <v>0</v>
      </c>
      <c r="AC399" s="716">
        <v>0</v>
      </c>
      <c r="AD399" s="716">
        <f>G399-AA399-AB399-AC399</f>
        <v>0</v>
      </c>
      <c r="AE399" s="717">
        <v>0</v>
      </c>
      <c r="AF399" s="716">
        <v>0</v>
      </c>
      <c r="AG399" s="716">
        <v>0</v>
      </c>
      <c r="AH399" s="718">
        <f>+H399-SUM(AE399:AG399)</f>
        <v>0</v>
      </c>
      <c r="AI399" s="717">
        <v>0</v>
      </c>
      <c r="AJ399" s="716">
        <v>0</v>
      </c>
      <c r="AK399" s="716">
        <v>0</v>
      </c>
      <c r="AL399" s="718"/>
      <c r="AM399" s="717">
        <v>0</v>
      </c>
      <c r="AN399" s="716"/>
      <c r="AO399" s="716"/>
      <c r="AP399" s="716"/>
      <c r="AQ399" s="1383"/>
      <c r="AR399" s="692"/>
      <c r="AS399" s="692"/>
      <c r="AT399" s="692"/>
      <c r="AU399" s="692"/>
      <c r="AV399" s="692"/>
      <c r="AW399" s="692"/>
      <c r="AX399" s="692"/>
      <c r="AY399" s="692"/>
      <c r="AZ399" s="692"/>
      <c r="BA399" s="692"/>
      <c r="BB399"/>
      <c r="BC399"/>
      <c r="BD399"/>
      <c r="BE399"/>
      <c r="BF399"/>
      <c r="BG399"/>
      <c r="BJ399" s="714"/>
      <c r="BK399" s="714"/>
      <c r="BL399" s="714"/>
      <c r="BM399" s="714"/>
      <c r="BN399" s="742"/>
    </row>
    <row r="400" spans="1:102" s="693" customFormat="1" outlineLevel="1">
      <c r="A400" s="713" t="s">
        <v>272</v>
      </c>
      <c r="B400" s="732"/>
      <c r="C400" s="732"/>
      <c r="D400" s="732"/>
      <c r="E400" s="732"/>
      <c r="F400" s="714">
        <v>488</v>
      </c>
      <c r="G400" s="714">
        <v>453</v>
      </c>
      <c r="H400" s="714">
        <v>874</v>
      </c>
      <c r="I400" s="714">
        <v>863</v>
      </c>
      <c r="J400" s="714"/>
      <c r="K400" s="714"/>
      <c r="L400" s="714"/>
      <c r="M400" s="714"/>
      <c r="N400" s="714"/>
      <c r="O400" s="714"/>
      <c r="P400" s="714"/>
      <c r="Q400" s="714"/>
      <c r="R400" s="715"/>
      <c r="S400" s="716"/>
      <c r="T400" s="716"/>
      <c r="U400" s="716"/>
      <c r="V400" s="716"/>
      <c r="W400" s="717">
        <v>111</v>
      </c>
      <c r="X400" s="716">
        <v>108</v>
      </c>
      <c r="Y400" s="716">
        <v>129</v>
      </c>
      <c r="Z400" s="716">
        <v>140</v>
      </c>
      <c r="AA400" s="717">
        <f t="shared" ref="AA400:AH400" si="735">+AA399+AA397</f>
        <v>205</v>
      </c>
      <c r="AB400" s="716">
        <f t="shared" si="735"/>
        <v>189</v>
      </c>
      <c r="AC400" s="716">
        <f t="shared" si="735"/>
        <v>192</v>
      </c>
      <c r="AD400" s="716">
        <f t="shared" si="735"/>
        <v>203</v>
      </c>
      <c r="AE400" s="717">
        <f t="shared" si="735"/>
        <v>229</v>
      </c>
      <c r="AF400" s="716">
        <f t="shared" si="735"/>
        <v>196</v>
      </c>
      <c r="AG400" s="716">
        <f t="shared" si="735"/>
        <v>216</v>
      </c>
      <c r="AH400" s="718">
        <f t="shared" si="735"/>
        <v>233</v>
      </c>
      <c r="AI400" s="717">
        <f>+AI399+AI397</f>
        <v>221</v>
      </c>
      <c r="AJ400" s="716">
        <f>+AJ399+AJ397</f>
        <v>214</v>
      </c>
      <c r="AK400" s="716">
        <f>+AK399+AK397</f>
        <v>214</v>
      </c>
      <c r="AL400" s="718">
        <f>I400-AI400-AJ400-AK400</f>
        <v>214</v>
      </c>
      <c r="AM400" s="717">
        <f>+AM399+AM397</f>
        <v>236</v>
      </c>
      <c r="AN400" s="716"/>
      <c r="AO400" s="716"/>
      <c r="AP400" s="716"/>
      <c r="AQ400" s="1383"/>
      <c r="AR400" s="692"/>
      <c r="AS400" s="692"/>
      <c r="AT400" s="692"/>
      <c r="AU400" s="692"/>
      <c r="AV400" s="692"/>
      <c r="AW400" s="692"/>
      <c r="AX400" s="692"/>
      <c r="AY400" s="692"/>
      <c r="AZ400" s="692"/>
      <c r="BA400" s="692"/>
      <c r="BB400"/>
      <c r="BC400"/>
      <c r="BD400"/>
      <c r="BE400"/>
      <c r="BF400"/>
      <c r="BG400"/>
      <c r="BJ400" s="714"/>
      <c r="BK400" s="714"/>
      <c r="BL400" s="714"/>
      <c r="BM400" s="714"/>
      <c r="BN400" s="742"/>
    </row>
    <row r="401" spans="1:66" s="799" customFormat="1">
      <c r="A401" s="1066" t="s">
        <v>97</v>
      </c>
      <c r="B401" s="1081">
        <v>-2</v>
      </c>
      <c r="C401" s="1081">
        <v>58</v>
      </c>
      <c r="D401" s="1081">
        <v>115</v>
      </c>
      <c r="E401" s="1081">
        <v>144</v>
      </c>
      <c r="F401" s="1081">
        <v>368</v>
      </c>
      <c r="G401" s="1081">
        <f t="shared" ref="G401:Q401" si="736">G397+G394+G391</f>
        <v>276</v>
      </c>
      <c r="H401" s="1081">
        <f t="shared" si="736"/>
        <v>208</v>
      </c>
      <c r="I401" s="1081">
        <f t="shared" si="736"/>
        <v>162</v>
      </c>
      <c r="J401" s="1081">
        <f t="shared" si="736"/>
        <v>171.80209079283657</v>
      </c>
      <c r="K401" s="1081">
        <f t="shared" si="736"/>
        <v>173.02536381465882</v>
      </c>
      <c r="L401" s="1081">
        <f t="shared" si="736"/>
        <v>175.37981695481858</v>
      </c>
      <c r="M401" s="1081">
        <f t="shared" si="736"/>
        <v>178.52171572650082</v>
      </c>
      <c r="N401" s="1081">
        <f t="shared" si="736"/>
        <v>179.90808064098735</v>
      </c>
      <c r="O401" s="1081">
        <f t="shared" si="736"/>
        <v>177.64495145893363</v>
      </c>
      <c r="P401" s="1081">
        <f t="shared" si="736"/>
        <v>177.95090431922699</v>
      </c>
      <c r="Q401" s="1081">
        <f t="shared" si="736"/>
        <v>177.97385501589622</v>
      </c>
      <c r="R401" s="1082"/>
      <c r="S401" s="1083">
        <v>5</v>
      </c>
      <c r="T401" s="1083">
        <v>31</v>
      </c>
      <c r="U401" s="1083">
        <v>40</v>
      </c>
      <c r="V401" s="1083">
        <v>68</v>
      </c>
      <c r="W401" s="1084">
        <v>71</v>
      </c>
      <c r="X401" s="1083">
        <v>90</v>
      </c>
      <c r="Y401" s="1083">
        <v>114</v>
      </c>
      <c r="Z401" s="1083">
        <v>93</v>
      </c>
      <c r="AA401" s="1084">
        <f t="shared" ref="AA401:AP401" si="737">AA397+AA394+AA391</f>
        <v>76</v>
      </c>
      <c r="AB401" s="1083">
        <f t="shared" si="737"/>
        <v>46</v>
      </c>
      <c r="AC401" s="1083">
        <f t="shared" si="737"/>
        <v>67</v>
      </c>
      <c r="AD401" s="1083">
        <f t="shared" si="737"/>
        <v>87</v>
      </c>
      <c r="AE401" s="1084">
        <f t="shared" si="737"/>
        <v>60</v>
      </c>
      <c r="AF401" s="1083">
        <f t="shared" si="737"/>
        <v>45</v>
      </c>
      <c r="AG401" s="1081">
        <f t="shared" si="737"/>
        <v>41</v>
      </c>
      <c r="AH401" s="1085">
        <f t="shared" si="737"/>
        <v>62</v>
      </c>
      <c r="AI401" s="1084">
        <f t="shared" si="737"/>
        <v>38</v>
      </c>
      <c r="AJ401" s="1083">
        <f t="shared" si="737"/>
        <v>43</v>
      </c>
      <c r="AK401" s="1083">
        <f t="shared" si="737"/>
        <v>50</v>
      </c>
      <c r="AL401" s="1085">
        <f t="shared" si="737"/>
        <v>31</v>
      </c>
      <c r="AM401" s="1083">
        <f t="shared" si="737"/>
        <v>16</v>
      </c>
      <c r="AN401" s="1083">
        <f t="shared" si="737"/>
        <v>42.579623939487021</v>
      </c>
      <c r="AO401" s="1083">
        <f t="shared" si="737"/>
        <v>48.216226931851537</v>
      </c>
      <c r="AP401" s="1083">
        <f t="shared" si="737"/>
        <v>65.006239921497979</v>
      </c>
      <c r="AQ401" s="1392"/>
      <c r="AR401" s="1065"/>
      <c r="AS401" s="1065"/>
      <c r="AT401" s="1065"/>
      <c r="AU401" s="1065"/>
      <c r="AV401" s="1065"/>
      <c r="AW401" s="1065"/>
      <c r="AX401" s="1065"/>
      <c r="AY401" s="1065"/>
      <c r="AZ401" s="1065"/>
      <c r="BA401" s="1065"/>
      <c r="BB401"/>
      <c r="BC401"/>
      <c r="BD401"/>
      <c r="BE401"/>
      <c r="BF401"/>
      <c r="BG401"/>
      <c r="BJ401" s="1081"/>
      <c r="BK401" s="1081"/>
      <c r="BL401" s="1081"/>
      <c r="BM401" s="1081"/>
      <c r="BN401" s="1081"/>
    </row>
    <row r="402" spans="1:66" s="693" customFormat="1" outlineLevel="1">
      <c r="A402" s="713" t="s">
        <v>273</v>
      </c>
      <c r="B402" s="732"/>
      <c r="C402" s="732"/>
      <c r="D402" s="732"/>
      <c r="E402" s="732"/>
      <c r="F402" s="714">
        <v>670</v>
      </c>
      <c r="G402" s="714">
        <f>G393+G394+G400</f>
        <v>-60</v>
      </c>
      <c r="H402" s="714">
        <f>H393+H394+H400</f>
        <v>208</v>
      </c>
      <c r="I402" s="714"/>
      <c r="J402" s="732"/>
      <c r="K402" s="732"/>
      <c r="L402" s="732"/>
      <c r="M402" s="732"/>
      <c r="N402" s="732"/>
      <c r="O402" s="732"/>
      <c r="P402" s="732"/>
      <c r="Q402" s="732"/>
      <c r="R402" s="721"/>
      <c r="S402" s="732"/>
      <c r="T402" s="732"/>
      <c r="U402" s="732"/>
      <c r="V402" s="732"/>
      <c r="W402" s="717">
        <v>71</v>
      </c>
      <c r="X402" s="716">
        <v>90</v>
      </c>
      <c r="Y402" s="716">
        <v>114</v>
      </c>
      <c r="Z402" s="716">
        <v>93</v>
      </c>
      <c r="AA402" s="717">
        <f t="shared" ref="AA402:AK402" si="738">AA393+AA394+AA400</f>
        <v>76</v>
      </c>
      <c r="AB402" s="716">
        <f t="shared" si="738"/>
        <v>46</v>
      </c>
      <c r="AC402" s="716">
        <f t="shared" si="738"/>
        <v>67</v>
      </c>
      <c r="AD402" s="716">
        <f t="shared" si="738"/>
        <v>87</v>
      </c>
      <c r="AE402" s="717">
        <f t="shared" si="738"/>
        <v>60</v>
      </c>
      <c r="AF402" s="716">
        <f t="shared" si="738"/>
        <v>45</v>
      </c>
      <c r="AG402" s="716">
        <f t="shared" si="738"/>
        <v>41</v>
      </c>
      <c r="AH402" s="718"/>
      <c r="AI402" s="717">
        <f t="shared" si="738"/>
        <v>38</v>
      </c>
      <c r="AJ402" s="716">
        <f t="shared" si="738"/>
        <v>43</v>
      </c>
      <c r="AK402" s="716">
        <f t="shared" si="738"/>
        <v>50</v>
      </c>
      <c r="AL402" s="734"/>
      <c r="AM402" s="732"/>
      <c r="AN402" s="732"/>
      <c r="AO402" s="732"/>
      <c r="AP402" s="732"/>
      <c r="AQ402" s="1383"/>
      <c r="AR402" s="692"/>
      <c r="AS402" s="692"/>
      <c r="AT402" s="692"/>
      <c r="AU402" s="692"/>
      <c r="AV402" s="692"/>
      <c r="AW402" s="692"/>
      <c r="AX402" s="692"/>
      <c r="AY402" s="692"/>
      <c r="AZ402" s="692"/>
      <c r="BA402" s="692"/>
      <c r="BB402"/>
      <c r="BC402"/>
      <c r="BD402"/>
      <c r="BE402"/>
      <c r="BF402"/>
      <c r="BG402"/>
      <c r="BJ402" s="742"/>
      <c r="BK402" s="742"/>
      <c r="BL402" s="742"/>
      <c r="BM402" s="742"/>
      <c r="BN402" s="742"/>
    </row>
    <row r="403" spans="1:66" s="693" customFormat="1">
      <c r="A403" s="713" t="s">
        <v>1844</v>
      </c>
      <c r="B403" s="714"/>
      <c r="C403" s="714"/>
      <c r="D403" s="714"/>
      <c r="E403" s="714"/>
      <c r="F403" s="714"/>
      <c r="G403" s="716">
        <f t="shared" ref="G403:H403" si="739">G406+G407</f>
        <v>-594</v>
      </c>
      <c r="H403" s="716">
        <f t="shared" si="739"/>
        <v>-432</v>
      </c>
      <c r="I403" s="716">
        <f t="shared" ref="I403" si="740">I406+I407</f>
        <v>-452</v>
      </c>
      <c r="J403" s="714">
        <f>I403</f>
        <v>-452</v>
      </c>
      <c r="K403" s="714">
        <f t="shared" ref="K403" si="741">J403*1.02</f>
        <v>-461.04</v>
      </c>
      <c r="L403" s="714">
        <f t="shared" ref="L403" si="742">K403*1.02</f>
        <v>-470.26080000000002</v>
      </c>
      <c r="M403" s="714">
        <f t="shared" ref="M403" si="743">L403*1.02</f>
        <v>-479.66601600000001</v>
      </c>
      <c r="N403" s="714">
        <f t="shared" ref="N403" si="744">M403*1.02</f>
        <v>-489.25933632000005</v>
      </c>
      <c r="O403" s="714">
        <f t="shared" ref="O403" si="745">N403*1.02</f>
        <v>-499.04452304640006</v>
      </c>
      <c r="P403" s="714">
        <f t="shared" ref="P403" si="746">O403*1.02</f>
        <v>-509.0254135073281</v>
      </c>
      <c r="Q403" s="714">
        <f t="shared" ref="Q403" si="747">P403*1.02</f>
        <v>-519.20592177747471</v>
      </c>
      <c r="R403" s="715"/>
      <c r="S403" s="716"/>
      <c r="T403" s="716"/>
      <c r="U403" s="716"/>
      <c r="V403" s="716"/>
      <c r="W403" s="717"/>
      <c r="X403" s="716"/>
      <c r="Y403" s="716"/>
      <c r="Z403" s="716"/>
      <c r="AA403" s="717"/>
      <c r="AB403" s="716"/>
      <c r="AC403" s="716"/>
      <c r="AD403" s="716"/>
      <c r="AE403" s="717"/>
      <c r="AF403" s="716"/>
      <c r="AG403" s="716"/>
      <c r="AH403" s="718"/>
      <c r="AI403" s="717">
        <f t="shared" ref="AI403:AL403" si="748">AI406+AI407</f>
        <v>-69</v>
      </c>
      <c r="AJ403" s="716">
        <f t="shared" si="748"/>
        <v>-140</v>
      </c>
      <c r="AK403" s="716">
        <f t="shared" si="748"/>
        <v>-110</v>
      </c>
      <c r="AL403" s="718">
        <f t="shared" si="748"/>
        <v>-133</v>
      </c>
      <c r="AM403" s="716">
        <v>-127</v>
      </c>
      <c r="AN403" s="716">
        <f t="shared" ref="AN403:AO403" si="749">AN406+AN407</f>
        <v>-150</v>
      </c>
      <c r="AO403" s="716">
        <f t="shared" si="749"/>
        <v>-110</v>
      </c>
      <c r="AP403" s="716">
        <f t="shared" ref="AP403" si="750">J403-AM403-AN403-AO403</f>
        <v>-65</v>
      </c>
      <c r="AQ403" s="1383"/>
      <c r="AR403" s="692"/>
      <c r="AS403" s="692"/>
      <c r="AT403" s="692"/>
      <c r="AU403" s="692"/>
      <c r="AV403" s="692"/>
      <c r="AW403" s="692"/>
      <c r="AX403" s="692"/>
      <c r="AY403" s="692"/>
      <c r="AZ403" s="692"/>
      <c r="BA403" s="692"/>
      <c r="BB403"/>
      <c r="BC403"/>
      <c r="BD403"/>
      <c r="BE403"/>
      <c r="BF403"/>
      <c r="BG403"/>
      <c r="BJ403" s="714"/>
      <c r="BK403" s="714"/>
      <c r="BL403" s="714"/>
      <c r="BM403" s="714"/>
      <c r="BN403" s="714"/>
    </row>
    <row r="404" spans="1:66" s="693" customFormat="1">
      <c r="A404" s="713" t="s">
        <v>1845</v>
      </c>
      <c r="B404" s="714"/>
      <c r="C404" s="714"/>
      <c r="D404" s="714"/>
      <c r="E404" s="714"/>
      <c r="F404" s="714"/>
      <c r="G404" s="716">
        <f t="shared" ref="G404:H404" si="751">G408</f>
        <v>-54</v>
      </c>
      <c r="H404" s="716">
        <f t="shared" si="751"/>
        <v>-74</v>
      </c>
      <c r="I404" s="716">
        <f t="shared" ref="I404" si="752">I408</f>
        <v>0</v>
      </c>
      <c r="J404" s="714">
        <f t="shared" ref="J404:Q404" si="753">+J405-J403</f>
        <v>0</v>
      </c>
      <c r="K404" s="714">
        <f t="shared" si="753"/>
        <v>0</v>
      </c>
      <c r="L404" s="714">
        <f t="shared" si="753"/>
        <v>0</v>
      </c>
      <c r="M404" s="714">
        <f t="shared" si="753"/>
        <v>0</v>
      </c>
      <c r="N404" s="714">
        <f t="shared" si="753"/>
        <v>0</v>
      </c>
      <c r="O404" s="714">
        <f t="shared" si="753"/>
        <v>0</v>
      </c>
      <c r="P404" s="714">
        <f t="shared" si="753"/>
        <v>0</v>
      </c>
      <c r="Q404" s="714">
        <f t="shared" si="753"/>
        <v>0</v>
      </c>
      <c r="R404" s="715"/>
      <c r="S404" s="716"/>
      <c r="T404" s="716"/>
      <c r="U404" s="716"/>
      <c r="V404" s="716"/>
      <c r="W404" s="717"/>
      <c r="X404" s="716"/>
      <c r="Y404" s="716"/>
      <c r="Z404" s="716"/>
      <c r="AA404" s="717"/>
      <c r="AB404" s="716"/>
      <c r="AC404" s="716"/>
      <c r="AD404" s="716"/>
      <c r="AE404" s="717"/>
      <c r="AF404" s="716"/>
      <c r="AG404" s="716"/>
      <c r="AH404" s="718"/>
      <c r="AI404" s="717">
        <f t="shared" ref="AI404:AL404" si="754">AI408</f>
        <v>-3</v>
      </c>
      <c r="AJ404" s="716">
        <f t="shared" si="754"/>
        <v>3</v>
      </c>
      <c r="AK404" s="716">
        <f t="shared" si="754"/>
        <v>0</v>
      </c>
      <c r="AL404" s="718">
        <f t="shared" si="754"/>
        <v>0</v>
      </c>
      <c r="AM404" s="716">
        <f t="shared" ref="AM404" si="755">+AM405-AM403</f>
        <v>0</v>
      </c>
      <c r="AN404" s="716">
        <f t="shared" ref="AN404:AO404" si="756">AN408</f>
        <v>0</v>
      </c>
      <c r="AO404" s="716">
        <f t="shared" si="756"/>
        <v>0</v>
      </c>
      <c r="AP404" s="716">
        <f t="shared" ref="AP404" si="757">+AP405-AP403</f>
        <v>0</v>
      </c>
      <c r="AQ404" s="1392"/>
      <c r="AR404" s="692"/>
      <c r="AS404" s="692"/>
      <c r="AT404" s="692"/>
      <c r="AU404" s="692"/>
      <c r="AV404" s="692"/>
      <c r="AW404" s="692"/>
      <c r="AX404" s="692"/>
      <c r="AY404" s="692"/>
      <c r="AZ404" s="692"/>
      <c r="BA404" s="692"/>
      <c r="BB404"/>
      <c r="BC404"/>
      <c r="BD404"/>
      <c r="BE404"/>
      <c r="BF404"/>
      <c r="BG404"/>
      <c r="BJ404" s="714"/>
      <c r="BK404" s="714"/>
      <c r="BL404" s="714"/>
      <c r="BM404" s="714"/>
      <c r="BN404" s="714"/>
    </row>
    <row r="405" spans="1:66" s="693" customFormat="1">
      <c r="A405" s="713" t="s">
        <v>1846</v>
      </c>
      <c r="B405" s="714"/>
      <c r="C405" s="714"/>
      <c r="D405" s="714"/>
      <c r="E405" s="714"/>
      <c r="F405" s="714"/>
      <c r="G405" s="716">
        <f t="shared" ref="G405" si="758">G406+G409</f>
        <v>-648</v>
      </c>
      <c r="H405" s="716">
        <f t="shared" ref="H405" si="759">H406+H409</f>
        <v>-506</v>
      </c>
      <c r="I405" s="716">
        <f t="shared" ref="I405" si="760">I406+I409</f>
        <v>-452</v>
      </c>
      <c r="J405" s="714">
        <f t="shared" ref="J405:P405" si="761">J403</f>
        <v>-452</v>
      </c>
      <c r="K405" s="714">
        <f t="shared" si="761"/>
        <v>-461.04</v>
      </c>
      <c r="L405" s="714">
        <f t="shared" si="761"/>
        <v>-470.26080000000002</v>
      </c>
      <c r="M405" s="714">
        <f t="shared" si="761"/>
        <v>-479.66601600000001</v>
      </c>
      <c r="N405" s="714">
        <f t="shared" si="761"/>
        <v>-489.25933632000005</v>
      </c>
      <c r="O405" s="714">
        <f t="shared" si="761"/>
        <v>-499.04452304640006</v>
      </c>
      <c r="P405" s="714">
        <f t="shared" si="761"/>
        <v>-509.0254135073281</v>
      </c>
      <c r="Q405" s="714">
        <f>Q403</f>
        <v>-519.20592177747471</v>
      </c>
      <c r="R405" s="715"/>
      <c r="S405" s="716"/>
      <c r="T405" s="716"/>
      <c r="U405" s="716"/>
      <c r="V405" s="716"/>
      <c r="W405" s="717"/>
      <c r="X405" s="716"/>
      <c r="Y405" s="716"/>
      <c r="Z405" s="716"/>
      <c r="AA405" s="717"/>
      <c r="AB405" s="716"/>
      <c r="AC405" s="716"/>
      <c r="AD405" s="716"/>
      <c r="AE405" s="717"/>
      <c r="AF405" s="716"/>
      <c r="AG405" s="716"/>
      <c r="AH405" s="718"/>
      <c r="AI405" s="717">
        <f t="shared" ref="AI405" si="762">AI406+AI409</f>
        <v>-72</v>
      </c>
      <c r="AJ405" s="716">
        <f t="shared" ref="AJ405" si="763">AJ406+AJ409</f>
        <v>-137</v>
      </c>
      <c r="AK405" s="716">
        <f t="shared" ref="AK405" si="764">AK406+AK409</f>
        <v>-110</v>
      </c>
      <c r="AL405" s="718">
        <f t="shared" ref="AL405" si="765">AL406+AL409</f>
        <v>-133</v>
      </c>
      <c r="AM405" s="716">
        <v>-127</v>
      </c>
      <c r="AN405" s="716">
        <f t="shared" ref="AN405" si="766">AN406+AN409</f>
        <v>-150</v>
      </c>
      <c r="AO405" s="716">
        <f t="shared" ref="AO405" si="767">AO406+AO409</f>
        <v>-110</v>
      </c>
      <c r="AP405" s="716">
        <f t="shared" ref="AP405" si="768">AP403</f>
        <v>-65</v>
      </c>
      <c r="AQ405" s="1383"/>
      <c r="AR405" s="692"/>
      <c r="AS405" s="692"/>
      <c r="AT405" s="692"/>
      <c r="AU405" s="692"/>
      <c r="AV405" s="692"/>
      <c r="AW405" s="692"/>
      <c r="AX405" s="692"/>
      <c r="AY405" s="692"/>
      <c r="AZ405" s="692"/>
      <c r="BA405" s="692"/>
      <c r="BB405"/>
      <c r="BC405"/>
      <c r="BD405"/>
      <c r="BE405"/>
      <c r="BF405"/>
      <c r="BG405"/>
      <c r="BJ405" s="714"/>
      <c r="BK405" s="714"/>
      <c r="BL405" s="714"/>
      <c r="BM405" s="714"/>
      <c r="BN405" s="714"/>
    </row>
    <row r="406" spans="1:66" s="693" customFormat="1">
      <c r="A406" s="713" t="s">
        <v>274</v>
      </c>
      <c r="B406" s="714">
        <v>3</v>
      </c>
      <c r="C406" s="714">
        <v>15</v>
      </c>
      <c r="D406" s="714">
        <v>4</v>
      </c>
      <c r="E406" s="714">
        <v>0</v>
      </c>
      <c r="F406" s="714"/>
      <c r="G406" s="714"/>
      <c r="H406" s="714"/>
      <c r="I406" s="714"/>
      <c r="J406" s="1375"/>
      <c r="K406" s="1375"/>
      <c r="L406" s="1375"/>
      <c r="M406" s="1375"/>
      <c r="N406" s="1375"/>
      <c r="O406" s="1375"/>
      <c r="P406" s="1375"/>
      <c r="Q406" s="1375"/>
      <c r="R406" s="715"/>
      <c r="S406" s="716">
        <v>0</v>
      </c>
      <c r="T406" s="716">
        <v>1</v>
      </c>
      <c r="U406" s="716">
        <v>-1</v>
      </c>
      <c r="V406" s="716">
        <v>0</v>
      </c>
      <c r="W406" s="717"/>
      <c r="X406" s="716"/>
      <c r="Y406" s="716"/>
      <c r="Z406" s="716"/>
      <c r="AA406" s="717"/>
      <c r="AB406" s="716"/>
      <c r="AC406" s="716"/>
      <c r="AD406" s="716"/>
      <c r="AE406" s="717"/>
      <c r="AF406" s="716"/>
      <c r="AG406" s="716"/>
      <c r="AH406" s="718"/>
      <c r="AI406" s="1380"/>
      <c r="AJ406" s="1371"/>
      <c r="AK406" s="1371"/>
      <c r="AL406" s="1381"/>
      <c r="AM406" s="1371"/>
      <c r="AN406" s="1371"/>
      <c r="AO406" s="1371"/>
      <c r="AP406" s="1371"/>
      <c r="AQ406" s="1383"/>
      <c r="AR406" s="692"/>
      <c r="AS406" s="692"/>
      <c r="AT406" s="692"/>
      <c r="AU406" s="692"/>
      <c r="AV406" s="692"/>
      <c r="AW406" s="692"/>
      <c r="AX406" s="692"/>
      <c r="AY406" s="692"/>
      <c r="AZ406" s="692"/>
      <c r="BA406" s="692"/>
      <c r="BB406"/>
      <c r="BC406"/>
      <c r="BD406"/>
      <c r="BE406"/>
      <c r="BF406"/>
      <c r="BG406"/>
      <c r="BJ406" s="714"/>
      <c r="BK406" s="714"/>
      <c r="BL406" s="714"/>
      <c r="BM406" s="714"/>
      <c r="BN406" s="714"/>
    </row>
    <row r="407" spans="1:66" s="693" customFormat="1">
      <c r="A407" s="713" t="s">
        <v>275</v>
      </c>
      <c r="B407" s="714">
        <v>-539</v>
      </c>
      <c r="C407" s="714">
        <v>-604</v>
      </c>
      <c r="D407" s="714">
        <v>-609</v>
      </c>
      <c r="E407" s="714">
        <v>-590</v>
      </c>
      <c r="F407" s="714">
        <v>-600</v>
      </c>
      <c r="G407" s="714">
        <v>-594</v>
      </c>
      <c r="H407" s="714">
        <v>-432</v>
      </c>
      <c r="I407" s="714">
        <v>-452</v>
      </c>
      <c r="J407" s="1375">
        <f>I407</f>
        <v>-452</v>
      </c>
      <c r="K407" s="1375">
        <f t="shared" ref="K407:Q407" si="769">J407*1.02</f>
        <v>-461.04</v>
      </c>
      <c r="L407" s="1375">
        <f t="shared" si="769"/>
        <v>-470.26080000000002</v>
      </c>
      <c r="M407" s="1375">
        <f t="shared" si="769"/>
        <v>-479.66601600000001</v>
      </c>
      <c r="N407" s="1375">
        <f t="shared" si="769"/>
        <v>-489.25933632000005</v>
      </c>
      <c r="O407" s="1375">
        <f t="shared" si="769"/>
        <v>-499.04452304640006</v>
      </c>
      <c r="P407" s="1375">
        <f t="shared" si="769"/>
        <v>-509.0254135073281</v>
      </c>
      <c r="Q407" s="1375">
        <f t="shared" si="769"/>
        <v>-519.20592177747471</v>
      </c>
      <c r="R407" s="715"/>
      <c r="S407" s="716">
        <v>-137</v>
      </c>
      <c r="T407" s="716">
        <v>-142</v>
      </c>
      <c r="U407" s="716">
        <v>-140</v>
      </c>
      <c r="V407" s="716">
        <v>-171</v>
      </c>
      <c r="W407" s="717">
        <v>-141</v>
      </c>
      <c r="X407" s="716">
        <v>-152</v>
      </c>
      <c r="Y407" s="716">
        <v>-138</v>
      </c>
      <c r="Z407" s="716">
        <v>-169</v>
      </c>
      <c r="AA407" s="717">
        <v>-119</v>
      </c>
      <c r="AB407" s="716">
        <v>-110</v>
      </c>
      <c r="AC407" s="716">
        <v>-142</v>
      </c>
      <c r="AD407" s="716">
        <f>G407-AA407-AB407-AC407</f>
        <v>-223</v>
      </c>
      <c r="AE407" s="717">
        <v>-110</v>
      </c>
      <c r="AF407" s="716">
        <v>-130</v>
      </c>
      <c r="AG407" s="714">
        <v>-36</v>
      </c>
      <c r="AH407" s="718">
        <f t="shared" ref="AH407:AH412" si="770">H407-AE407-AF407-AG407</f>
        <v>-156</v>
      </c>
      <c r="AI407" s="1380">
        <v>-69</v>
      </c>
      <c r="AJ407" s="1371">
        <v>-140</v>
      </c>
      <c r="AK407" s="1371">
        <v>-110</v>
      </c>
      <c r="AL407" s="1381">
        <f>I407-AI407-AJ407-AK407</f>
        <v>-133</v>
      </c>
      <c r="AM407" s="1371">
        <v>-80</v>
      </c>
      <c r="AN407" s="1371">
        <v>-150</v>
      </c>
      <c r="AO407" s="1371">
        <v>-110</v>
      </c>
      <c r="AP407" s="1371">
        <f t="shared" ref="AP407" si="771">J407-AM407-AN407-AO407</f>
        <v>-112</v>
      </c>
      <c r="AQ407" s="1392"/>
      <c r="AR407" s="692"/>
      <c r="AS407" s="692"/>
      <c r="AT407" s="692"/>
      <c r="AU407" s="692"/>
      <c r="AV407" s="692"/>
      <c r="AW407" s="692"/>
      <c r="AX407" s="692"/>
      <c r="AY407" s="692"/>
      <c r="AZ407" s="692"/>
      <c r="BA407" s="692"/>
      <c r="BB407"/>
      <c r="BC407"/>
      <c r="BD407"/>
      <c r="BE407"/>
      <c r="BF407"/>
      <c r="BG407"/>
      <c r="BJ407" s="714"/>
      <c r="BK407" s="714"/>
      <c r="BL407" s="714"/>
      <c r="BM407" s="714"/>
      <c r="BN407" s="714"/>
    </row>
    <row r="408" spans="1:66" s="693" customFormat="1" outlineLevel="1">
      <c r="A408" s="713" t="s">
        <v>230</v>
      </c>
      <c r="B408" s="714"/>
      <c r="C408" s="714"/>
      <c r="D408" s="714"/>
      <c r="E408" s="714"/>
      <c r="F408" s="714">
        <v>-18</v>
      </c>
      <c r="G408" s="714">
        <f>+G409-G407</f>
        <v>-54</v>
      </c>
      <c r="H408" s="716">
        <f>+H409-H407</f>
        <v>-74</v>
      </c>
      <c r="I408" s="716">
        <f>+I409-I407</f>
        <v>0</v>
      </c>
      <c r="J408" s="1375">
        <f t="shared" ref="J408:P408" si="772">+J409-J407</f>
        <v>0</v>
      </c>
      <c r="K408" s="1375">
        <f t="shared" si="772"/>
        <v>0</v>
      </c>
      <c r="L408" s="1375">
        <f t="shared" si="772"/>
        <v>0</v>
      </c>
      <c r="M408" s="1375">
        <f t="shared" si="772"/>
        <v>0</v>
      </c>
      <c r="N408" s="1375">
        <f t="shared" si="772"/>
        <v>0</v>
      </c>
      <c r="O408" s="1375">
        <f t="shared" si="772"/>
        <v>0</v>
      </c>
      <c r="P408" s="1375">
        <f t="shared" si="772"/>
        <v>0</v>
      </c>
      <c r="Q408" s="1375">
        <f>+Q409-Q407</f>
        <v>0</v>
      </c>
      <c r="R408" s="715"/>
      <c r="S408" s="716"/>
      <c r="T408" s="716"/>
      <c r="U408" s="716"/>
      <c r="V408" s="716"/>
      <c r="W408" s="717">
        <v>0</v>
      </c>
      <c r="X408" s="716">
        <v>0</v>
      </c>
      <c r="Y408" s="716">
        <v>-9</v>
      </c>
      <c r="Z408" s="716">
        <v>-9</v>
      </c>
      <c r="AA408" s="717">
        <f t="shared" ref="AA408:AK408" si="773">+AA409-AA407</f>
        <v>-7</v>
      </c>
      <c r="AB408" s="716">
        <f t="shared" si="773"/>
        <v>-7</v>
      </c>
      <c r="AC408" s="716">
        <f t="shared" si="773"/>
        <v>-14</v>
      </c>
      <c r="AD408" s="716">
        <f t="shared" si="773"/>
        <v>-26</v>
      </c>
      <c r="AE408" s="717">
        <f t="shared" si="773"/>
        <v>-11</v>
      </c>
      <c r="AF408" s="716">
        <f t="shared" si="773"/>
        <v>-16</v>
      </c>
      <c r="AG408" s="716">
        <f t="shared" si="773"/>
        <v>-28</v>
      </c>
      <c r="AH408" s="718">
        <f t="shared" si="770"/>
        <v>-19</v>
      </c>
      <c r="AI408" s="1380">
        <f t="shared" si="773"/>
        <v>-3</v>
      </c>
      <c r="AJ408" s="1371">
        <f t="shared" si="773"/>
        <v>3</v>
      </c>
      <c r="AK408" s="1371">
        <f t="shared" si="773"/>
        <v>0</v>
      </c>
      <c r="AL408" s="1381">
        <f>I408-AI408-AJ408-AK408</f>
        <v>0</v>
      </c>
      <c r="AM408" s="1371">
        <f t="shared" ref="AM408:AO408" si="774">+AM409-AM407</f>
        <v>-47</v>
      </c>
      <c r="AN408" s="1371">
        <f t="shared" si="774"/>
        <v>0</v>
      </c>
      <c r="AO408" s="1371">
        <f t="shared" si="774"/>
        <v>0</v>
      </c>
      <c r="AP408" s="1371">
        <f>J408-AM408-AN408-AO408</f>
        <v>47</v>
      </c>
      <c r="AQ408" s="1383"/>
      <c r="AR408" s="692"/>
      <c r="AS408" s="692"/>
      <c r="AT408" s="692"/>
      <c r="AU408" s="692"/>
      <c r="AV408" s="692"/>
      <c r="AW408" s="692"/>
      <c r="AX408" s="692"/>
      <c r="AY408" s="692"/>
      <c r="AZ408" s="692"/>
      <c r="BA408" s="692"/>
      <c r="BB408"/>
      <c r="BC408"/>
      <c r="BD408"/>
      <c r="BE408"/>
      <c r="BF408"/>
      <c r="BG408"/>
      <c r="BJ408" s="714"/>
      <c r="BK408" s="714"/>
      <c r="BL408" s="714"/>
      <c r="BM408" s="714"/>
      <c r="BN408" s="714"/>
    </row>
    <row r="409" spans="1:66" s="693" customFormat="1" outlineLevel="1">
      <c r="A409" s="713" t="s">
        <v>276</v>
      </c>
      <c r="B409" s="714"/>
      <c r="C409" s="714"/>
      <c r="D409" s="714"/>
      <c r="E409" s="714"/>
      <c r="F409" s="714">
        <v>-618</v>
      </c>
      <c r="G409" s="714">
        <v>-648</v>
      </c>
      <c r="H409" s="714">
        <v>-506</v>
      </c>
      <c r="I409" s="714">
        <v>-452</v>
      </c>
      <c r="J409" s="1375">
        <f t="shared" ref="J409:P409" si="775">J407</f>
        <v>-452</v>
      </c>
      <c r="K409" s="1375">
        <f t="shared" si="775"/>
        <v>-461.04</v>
      </c>
      <c r="L409" s="1375">
        <f t="shared" si="775"/>
        <v>-470.26080000000002</v>
      </c>
      <c r="M409" s="1375">
        <f t="shared" si="775"/>
        <v>-479.66601600000001</v>
      </c>
      <c r="N409" s="1375">
        <f t="shared" si="775"/>
        <v>-489.25933632000005</v>
      </c>
      <c r="O409" s="1375">
        <f t="shared" si="775"/>
        <v>-499.04452304640006</v>
      </c>
      <c r="P409" s="1375">
        <f t="shared" si="775"/>
        <v>-509.0254135073281</v>
      </c>
      <c r="Q409" s="1375">
        <f>Q407</f>
        <v>-519.20592177747471</v>
      </c>
      <c r="R409" s="715"/>
      <c r="S409" s="716"/>
      <c r="T409" s="716"/>
      <c r="U409" s="716"/>
      <c r="V409" s="716"/>
      <c r="W409" s="717">
        <v>-141</v>
      </c>
      <c r="X409" s="716">
        <v>-152</v>
      </c>
      <c r="Y409" s="716">
        <v>-147</v>
      </c>
      <c r="Z409" s="716">
        <v>-178</v>
      </c>
      <c r="AA409" s="717">
        <v>-126</v>
      </c>
      <c r="AB409" s="716">
        <v>-117</v>
      </c>
      <c r="AC409" s="716">
        <v>-156</v>
      </c>
      <c r="AD409" s="716">
        <f>G409-AA409-AB409-AC409</f>
        <v>-249</v>
      </c>
      <c r="AE409" s="717">
        <v>-121</v>
      </c>
      <c r="AF409" s="716">
        <v>-146</v>
      </c>
      <c r="AG409" s="714">
        <v>-64</v>
      </c>
      <c r="AH409" s="718">
        <f t="shared" si="770"/>
        <v>-175</v>
      </c>
      <c r="AI409" s="1380">
        <v>-72</v>
      </c>
      <c r="AJ409" s="1371">
        <v>-137</v>
      </c>
      <c r="AK409" s="1371">
        <v>-110</v>
      </c>
      <c r="AL409" s="1381">
        <f>AL407</f>
        <v>-133</v>
      </c>
      <c r="AM409" s="1371">
        <v>-127</v>
      </c>
      <c r="AN409" s="1371">
        <f t="shared" ref="AN409:AO409" si="776">AN407</f>
        <v>-150</v>
      </c>
      <c r="AO409" s="1371">
        <f t="shared" si="776"/>
        <v>-110</v>
      </c>
      <c r="AP409" s="1371">
        <f>J409-AM409-AN409-AO409</f>
        <v>-65</v>
      </c>
      <c r="AQ409" s="1392"/>
      <c r="AR409" s="692"/>
      <c r="AS409" s="692"/>
      <c r="AT409" s="692"/>
      <c r="AU409" s="692"/>
      <c r="AV409" s="692"/>
      <c r="AW409" s="692"/>
      <c r="AX409" s="692"/>
      <c r="AY409" s="692"/>
      <c r="AZ409" s="692"/>
      <c r="BA409" s="692"/>
      <c r="BB409"/>
      <c r="BC409"/>
      <c r="BD409"/>
      <c r="BE409"/>
      <c r="BF409"/>
      <c r="BG409"/>
      <c r="BJ409" s="714"/>
      <c r="BK409" s="714"/>
      <c r="BL409" s="714"/>
      <c r="BM409" s="714"/>
      <c r="BN409" s="714"/>
    </row>
    <row r="410" spans="1:66" s="693" customFormat="1">
      <c r="A410" s="713" t="s">
        <v>277</v>
      </c>
      <c r="B410" s="714">
        <v>86</v>
      </c>
      <c r="C410" s="714">
        <v>-21</v>
      </c>
      <c r="D410" s="714">
        <v>-145</v>
      </c>
      <c r="E410" s="714">
        <v>-180</v>
      </c>
      <c r="F410" s="714">
        <v>-191</v>
      </c>
      <c r="G410" s="714">
        <f t="shared" ref="G410:M412" si="777">+G415+G418</f>
        <v>-34</v>
      </c>
      <c r="H410" s="714">
        <f t="shared" si="777"/>
        <v>-64</v>
      </c>
      <c r="I410" s="714">
        <f>+I415+I418</f>
        <v>-127</v>
      </c>
      <c r="J410" s="714">
        <f>+J415+J418</f>
        <v>-15</v>
      </c>
      <c r="K410" s="714">
        <f t="shared" si="777"/>
        <v>-25</v>
      </c>
      <c r="L410" s="714">
        <f t="shared" si="777"/>
        <v>-25</v>
      </c>
      <c r="M410" s="714">
        <f t="shared" si="777"/>
        <v>-25</v>
      </c>
      <c r="N410" s="714">
        <f>N421+N422+N428</f>
        <v>-25</v>
      </c>
      <c r="O410" s="714">
        <f>O421+O422+O428</f>
        <v>-25</v>
      </c>
      <c r="P410" s="714">
        <f>P421+P422+P428</f>
        <v>-25</v>
      </c>
      <c r="Q410" s="714">
        <f>Q421+Q422+Q428</f>
        <v>-25</v>
      </c>
      <c r="R410" s="715"/>
      <c r="S410" s="716">
        <v>-78</v>
      </c>
      <c r="T410" s="716">
        <v>-21</v>
      </c>
      <c r="U410" s="716">
        <v>-71</v>
      </c>
      <c r="V410" s="716">
        <v>-10</v>
      </c>
      <c r="W410" s="717">
        <v>19</v>
      </c>
      <c r="X410" s="716">
        <v>-54</v>
      </c>
      <c r="Y410" s="716">
        <v>-173</v>
      </c>
      <c r="Z410" s="716">
        <v>17</v>
      </c>
      <c r="AA410" s="717">
        <f>AA415+AA418</f>
        <v>-26</v>
      </c>
      <c r="AB410" s="716">
        <f>AB415+AB418</f>
        <v>-39</v>
      </c>
      <c r="AC410" s="716">
        <f>AC415+AC418</f>
        <v>10</v>
      </c>
      <c r="AD410" s="716">
        <f>AD415+AD418</f>
        <v>21</v>
      </c>
      <c r="AE410" s="717">
        <f t="shared" ref="AE410:AG412" si="778">+AE415+AE418</f>
        <v>-19</v>
      </c>
      <c r="AF410" s="716">
        <f t="shared" si="778"/>
        <v>-25</v>
      </c>
      <c r="AG410" s="714">
        <f t="shared" si="778"/>
        <v>-36</v>
      </c>
      <c r="AH410" s="718">
        <f t="shared" si="770"/>
        <v>16</v>
      </c>
      <c r="AI410" s="717">
        <f t="shared" ref="AI410:AP412" si="779">+AI415+AI418</f>
        <v>-32</v>
      </c>
      <c r="AJ410" s="716">
        <f t="shared" si="779"/>
        <v>48</v>
      </c>
      <c r="AK410" s="716">
        <f t="shared" si="779"/>
        <v>-33</v>
      </c>
      <c r="AL410" s="718">
        <f t="shared" si="779"/>
        <v>-110</v>
      </c>
      <c r="AM410" s="716">
        <f t="shared" si="779"/>
        <v>-39</v>
      </c>
      <c r="AN410" s="716">
        <f t="shared" si="779"/>
        <v>4.3500000000000085</v>
      </c>
      <c r="AO410" s="716">
        <f t="shared" si="779"/>
        <v>4.3500000000000085</v>
      </c>
      <c r="AP410" s="716">
        <f t="shared" si="779"/>
        <v>15.299999999999955</v>
      </c>
      <c r="AQ410" s="1392"/>
      <c r="AR410" s="692"/>
      <c r="AS410" s="692"/>
      <c r="AT410" s="692"/>
      <c r="AU410" s="692"/>
      <c r="AV410" s="692"/>
      <c r="AW410" s="692"/>
      <c r="AX410" s="692"/>
      <c r="AY410" s="692"/>
      <c r="AZ410" s="692"/>
      <c r="BA410" s="692"/>
      <c r="BB410"/>
      <c r="BC410"/>
      <c r="BD410"/>
      <c r="BE410"/>
      <c r="BF410"/>
      <c r="BG410"/>
      <c r="BJ410" s="714"/>
      <c r="BK410" s="714"/>
      <c r="BL410" s="714"/>
      <c r="BM410" s="714"/>
      <c r="BN410" s="714"/>
    </row>
    <row r="411" spans="1:66" s="693" customFormat="1" outlineLevel="1">
      <c r="A411" s="713" t="s">
        <v>233</v>
      </c>
      <c r="B411" s="714"/>
      <c r="C411" s="714">
        <v>-118</v>
      </c>
      <c r="D411" s="714">
        <v>-103</v>
      </c>
      <c r="E411" s="714">
        <v>-103</v>
      </c>
      <c r="F411" s="714">
        <v>72</v>
      </c>
      <c r="G411" s="714">
        <f t="shared" si="777"/>
        <v>-13</v>
      </c>
      <c r="H411" s="714">
        <f t="shared" si="777"/>
        <v>-109</v>
      </c>
      <c r="I411" s="714">
        <f t="shared" si="777"/>
        <v>86</v>
      </c>
      <c r="J411" s="714">
        <f t="shared" si="777"/>
        <v>0</v>
      </c>
      <c r="K411" s="714">
        <f t="shared" si="777"/>
        <v>0</v>
      </c>
      <c r="L411" s="714">
        <f t="shared" si="777"/>
        <v>0</v>
      </c>
      <c r="M411" s="714">
        <f t="shared" si="777"/>
        <v>0</v>
      </c>
      <c r="N411" s="714">
        <f>-N428</f>
        <v>0</v>
      </c>
      <c r="O411" s="714">
        <f>-O428</f>
        <v>0</v>
      </c>
      <c r="P411" s="714">
        <f>-P428</f>
        <v>0</v>
      </c>
      <c r="Q411" s="714">
        <f>-Q428</f>
        <v>0</v>
      </c>
      <c r="R411" s="715"/>
      <c r="S411" s="716">
        <v>52</v>
      </c>
      <c r="T411" s="716">
        <v>-55</v>
      </c>
      <c r="U411" s="716">
        <v>-37</v>
      </c>
      <c r="V411" s="716">
        <v>-63</v>
      </c>
      <c r="W411" s="717">
        <v>-17</v>
      </c>
      <c r="X411" s="716">
        <v>-123</v>
      </c>
      <c r="Y411" s="716">
        <v>59</v>
      </c>
      <c r="Z411" s="716">
        <v>153</v>
      </c>
      <c r="AA411" s="717">
        <f t="shared" ref="AA411:AF411" si="780">AA412-AA410</f>
        <v>-70</v>
      </c>
      <c r="AB411" s="716">
        <f t="shared" si="780"/>
        <v>62</v>
      </c>
      <c r="AC411" s="716">
        <f t="shared" si="780"/>
        <v>-4</v>
      </c>
      <c r="AD411" s="716">
        <f t="shared" si="780"/>
        <v>-1</v>
      </c>
      <c r="AE411" s="717">
        <f t="shared" si="780"/>
        <v>-26</v>
      </c>
      <c r="AF411" s="716">
        <f t="shared" si="780"/>
        <v>-34</v>
      </c>
      <c r="AG411" s="714">
        <f t="shared" si="778"/>
        <v>4</v>
      </c>
      <c r="AH411" s="718">
        <f t="shared" si="770"/>
        <v>-53</v>
      </c>
      <c r="AI411" s="717">
        <f t="shared" si="779"/>
        <v>-33</v>
      </c>
      <c r="AJ411" s="716">
        <f t="shared" si="779"/>
        <v>-60</v>
      </c>
      <c r="AK411" s="716">
        <f t="shared" si="779"/>
        <v>-69</v>
      </c>
      <c r="AL411" s="718">
        <f t="shared" si="779"/>
        <v>248</v>
      </c>
      <c r="AM411" s="716">
        <f t="shared" si="779"/>
        <v>-37</v>
      </c>
      <c r="AN411" s="716">
        <f t="shared" si="779"/>
        <v>0</v>
      </c>
      <c r="AO411" s="716">
        <f t="shared" si="779"/>
        <v>0</v>
      </c>
      <c r="AP411" s="716">
        <f t="shared" si="779"/>
        <v>37</v>
      </c>
      <c r="AQ411" s="1392"/>
      <c r="AR411" s="692"/>
      <c r="AS411" s="692"/>
      <c r="AT411" s="692"/>
      <c r="AU411" s="692"/>
      <c r="AV411" s="692"/>
      <c r="AW411" s="692"/>
      <c r="AX411" s="692"/>
      <c r="AY411" s="692"/>
      <c r="AZ411" s="692"/>
      <c r="BA411" s="692"/>
      <c r="BB411"/>
      <c r="BC411"/>
      <c r="BD411"/>
      <c r="BE411"/>
      <c r="BF411"/>
      <c r="BG411"/>
      <c r="BJ411" s="714"/>
      <c r="BK411" s="714"/>
      <c r="BL411" s="714"/>
      <c r="BM411" s="714"/>
      <c r="BN411" s="714"/>
    </row>
    <row r="412" spans="1:66" s="693" customFormat="1" outlineLevel="1">
      <c r="A412" s="713" t="s">
        <v>278</v>
      </c>
      <c r="B412" s="714"/>
      <c r="C412" s="714">
        <v>-139</v>
      </c>
      <c r="D412" s="714">
        <v>-248</v>
      </c>
      <c r="E412" s="714">
        <v>-283</v>
      </c>
      <c r="F412" s="714">
        <v>-119</v>
      </c>
      <c r="G412" s="714">
        <f t="shared" si="777"/>
        <v>-47</v>
      </c>
      <c r="H412" s="714">
        <f t="shared" si="777"/>
        <v>-173</v>
      </c>
      <c r="I412" s="714">
        <f t="shared" si="777"/>
        <v>-41</v>
      </c>
      <c r="J412" s="714">
        <f t="shared" si="777"/>
        <v>-15</v>
      </c>
      <c r="K412" s="714">
        <f t="shared" si="777"/>
        <v>-25</v>
      </c>
      <c r="L412" s="714">
        <f t="shared" si="777"/>
        <v>-25</v>
      </c>
      <c r="M412" s="714">
        <f t="shared" si="777"/>
        <v>-25</v>
      </c>
      <c r="N412" s="714">
        <f>N410+N411</f>
        <v>-25</v>
      </c>
      <c r="O412" s="714">
        <f>O410+O411</f>
        <v>-25</v>
      </c>
      <c r="P412" s="714">
        <f>P410+P411</f>
        <v>-25</v>
      </c>
      <c r="Q412" s="714">
        <f>Q410+Q411</f>
        <v>-25</v>
      </c>
      <c r="R412" s="715"/>
      <c r="S412" s="716">
        <v>-26</v>
      </c>
      <c r="T412" s="716">
        <v>-76</v>
      </c>
      <c r="U412" s="716">
        <v>-108</v>
      </c>
      <c r="V412" s="716">
        <v>-73</v>
      </c>
      <c r="W412" s="717">
        <v>2</v>
      </c>
      <c r="X412" s="716">
        <v>-177</v>
      </c>
      <c r="Y412" s="716">
        <v>-114</v>
      </c>
      <c r="Z412" s="716">
        <v>170</v>
      </c>
      <c r="AA412" s="717">
        <f>AA417+AA420</f>
        <v>-96</v>
      </c>
      <c r="AB412" s="716">
        <f>AB417+AB420</f>
        <v>23</v>
      </c>
      <c r="AC412" s="716">
        <f>AC417+AC420</f>
        <v>6</v>
      </c>
      <c r="AD412" s="716">
        <f>AD417+AD420</f>
        <v>20</v>
      </c>
      <c r="AE412" s="717">
        <f t="shared" si="778"/>
        <v>-45</v>
      </c>
      <c r="AF412" s="716">
        <f>+AF417+AF420</f>
        <v>-59</v>
      </c>
      <c r="AG412" s="714">
        <f t="shared" si="778"/>
        <v>-32</v>
      </c>
      <c r="AH412" s="718">
        <f t="shared" si="770"/>
        <v>-37</v>
      </c>
      <c r="AI412" s="717">
        <f>+AI417+AI420</f>
        <v>-65</v>
      </c>
      <c r="AJ412" s="716">
        <f t="shared" si="779"/>
        <v>-12</v>
      </c>
      <c r="AK412" s="716">
        <f t="shared" si="779"/>
        <v>-102</v>
      </c>
      <c r="AL412" s="718">
        <f t="shared" si="779"/>
        <v>138</v>
      </c>
      <c r="AM412" s="716">
        <f t="shared" si="779"/>
        <v>-76</v>
      </c>
      <c r="AN412" s="716">
        <f t="shared" si="779"/>
        <v>4.3500000000000085</v>
      </c>
      <c r="AO412" s="716">
        <f t="shared" si="779"/>
        <v>4.3500000000000085</v>
      </c>
      <c r="AP412" s="716">
        <f t="shared" si="779"/>
        <v>52.299999999999955</v>
      </c>
      <c r="AQ412" s="1392"/>
      <c r="AR412" s="692"/>
      <c r="AS412" s="692"/>
      <c r="AT412" s="692"/>
      <c r="AU412" s="692"/>
      <c r="AV412" s="692"/>
      <c r="AW412" s="692"/>
      <c r="AX412" s="692"/>
      <c r="AY412" s="692"/>
      <c r="AZ412" s="692"/>
      <c r="BA412" s="692"/>
      <c r="BB412"/>
      <c r="BC412"/>
      <c r="BD412"/>
      <c r="BE412"/>
      <c r="BF412"/>
      <c r="BG412"/>
      <c r="BJ412" s="714"/>
      <c r="BK412" s="714"/>
      <c r="BL412" s="714"/>
      <c r="BM412" s="714"/>
      <c r="BN412" s="714"/>
    </row>
    <row r="413" spans="1:66" s="693" customFormat="1" outlineLevel="1">
      <c r="A413" s="713" t="s">
        <v>279</v>
      </c>
      <c r="B413" s="714"/>
      <c r="C413" s="714"/>
      <c r="D413" s="714"/>
      <c r="E413" s="714"/>
      <c r="F413" s="714">
        <v>-20</v>
      </c>
      <c r="G413" s="714"/>
      <c r="H413" s="714"/>
      <c r="I413" s="714"/>
      <c r="J413" s="714"/>
      <c r="K413" s="714"/>
      <c r="L413" s="714"/>
      <c r="M413" s="714"/>
      <c r="N413" s="714"/>
      <c r="O413" s="714"/>
      <c r="P413" s="714"/>
      <c r="Q413" s="714"/>
      <c r="R413" s="715"/>
      <c r="S413" s="716"/>
      <c r="T413" s="716"/>
      <c r="U413" s="716"/>
      <c r="V413" s="716"/>
      <c r="W413" s="717">
        <v>-5</v>
      </c>
      <c r="X413" s="716">
        <v>-2</v>
      </c>
      <c r="Y413" s="716">
        <v>3</v>
      </c>
      <c r="Z413" s="716">
        <v>-16</v>
      </c>
      <c r="AA413" s="717"/>
      <c r="AB413" s="716"/>
      <c r="AC413" s="716"/>
      <c r="AD413" s="716"/>
      <c r="AE413" s="717"/>
      <c r="AF413" s="716"/>
      <c r="AG413" s="716"/>
      <c r="AH413" s="718"/>
      <c r="AI413" s="717"/>
      <c r="AJ413" s="716"/>
      <c r="AK413" s="716"/>
      <c r="AL413" s="718"/>
      <c r="AM413" s="716"/>
      <c r="AN413" s="716"/>
      <c r="AO413" s="716"/>
      <c r="AP413" s="716"/>
      <c r="AQ413" s="1383"/>
      <c r="AR413" s="692"/>
      <c r="AS413" s="692"/>
      <c r="AT413" s="692"/>
      <c r="AU413" s="692"/>
      <c r="AV413" s="692"/>
      <c r="AW413" s="692"/>
      <c r="AX413" s="692"/>
      <c r="AY413" s="692"/>
      <c r="AZ413" s="692"/>
      <c r="BA413" s="692"/>
      <c r="BB413"/>
      <c r="BC413"/>
      <c r="BD413"/>
      <c r="BE413"/>
      <c r="BF413"/>
      <c r="BG413"/>
      <c r="BJ413" s="714"/>
      <c r="BK413" s="714"/>
      <c r="BL413" s="714"/>
      <c r="BM413" s="714"/>
      <c r="BN413" s="714"/>
    </row>
    <row r="414" spans="1:66" s="693" customFormat="1" outlineLevel="1">
      <c r="A414" s="713" t="s">
        <v>280</v>
      </c>
      <c r="B414" s="714"/>
      <c r="C414" s="714"/>
      <c r="D414" s="714"/>
      <c r="E414" s="714"/>
      <c r="F414" s="714">
        <v>-271</v>
      </c>
      <c r="G414" s="714"/>
      <c r="H414" s="714"/>
      <c r="I414" s="714"/>
      <c r="J414" s="714"/>
      <c r="K414" s="714"/>
      <c r="L414" s="714"/>
      <c r="M414" s="714"/>
      <c r="N414" s="714"/>
      <c r="O414" s="714"/>
      <c r="P414" s="714"/>
      <c r="Q414" s="714"/>
      <c r="R414" s="715"/>
      <c r="S414" s="716"/>
      <c r="T414" s="716"/>
      <c r="U414" s="716"/>
      <c r="V414" s="716"/>
      <c r="W414" s="717">
        <v>-5</v>
      </c>
      <c r="X414" s="716">
        <v>-2</v>
      </c>
      <c r="Y414" s="716">
        <v>3</v>
      </c>
      <c r="Z414" s="716">
        <v>-267</v>
      </c>
      <c r="AA414" s="717"/>
      <c r="AB414" s="716"/>
      <c r="AC414" s="716"/>
      <c r="AD414" s="716"/>
      <c r="AE414" s="717"/>
      <c r="AF414" s="716"/>
      <c r="AG414" s="716"/>
      <c r="AH414" s="718"/>
      <c r="AI414" s="717"/>
      <c r="AJ414" s="716"/>
      <c r="AK414" s="716"/>
      <c r="AL414" s="718"/>
      <c r="AM414" s="716"/>
      <c r="AN414" s="716"/>
      <c r="AO414" s="716"/>
      <c r="AP414" s="716"/>
      <c r="AQ414" s="1383"/>
      <c r="AR414" s="692"/>
      <c r="AS414" s="692"/>
      <c r="AT414" s="692"/>
      <c r="AU414" s="692"/>
      <c r="AV414" s="692"/>
      <c r="AW414" s="692"/>
      <c r="AX414" s="692"/>
      <c r="AY414" s="692"/>
      <c r="AZ414" s="692"/>
      <c r="BA414" s="692"/>
      <c r="BB414"/>
      <c r="BC414"/>
      <c r="BD414"/>
      <c r="BE414"/>
      <c r="BF414"/>
      <c r="BG414"/>
      <c r="BJ414" s="714"/>
      <c r="BK414" s="714"/>
      <c r="BL414" s="714"/>
      <c r="BM414" s="714"/>
      <c r="BN414" s="714"/>
    </row>
    <row r="415" spans="1:66" s="693" customFormat="1" outlineLevel="1">
      <c r="A415" s="713" t="s">
        <v>114</v>
      </c>
      <c r="B415" s="714"/>
      <c r="C415" s="714"/>
      <c r="D415" s="714">
        <v>269</v>
      </c>
      <c r="E415" s="714">
        <v>259</v>
      </c>
      <c r="F415" s="714">
        <v>192</v>
      </c>
      <c r="G415" s="714">
        <v>350</v>
      </c>
      <c r="H415" s="714">
        <v>299</v>
      </c>
      <c r="I415" s="714">
        <v>203</v>
      </c>
      <c r="J415" s="714">
        <f t="shared" ref="J415:Q415" si="781">J422+J428</f>
        <v>405</v>
      </c>
      <c r="K415" s="714">
        <f t="shared" si="781"/>
        <v>405</v>
      </c>
      <c r="L415" s="714">
        <f t="shared" si="781"/>
        <v>405</v>
      </c>
      <c r="M415" s="714">
        <f t="shared" si="781"/>
        <v>405</v>
      </c>
      <c r="N415" s="714">
        <f t="shared" si="781"/>
        <v>405</v>
      </c>
      <c r="O415" s="714">
        <f t="shared" si="781"/>
        <v>405</v>
      </c>
      <c r="P415" s="714">
        <f t="shared" si="781"/>
        <v>405</v>
      </c>
      <c r="Q415" s="714">
        <f t="shared" si="781"/>
        <v>405</v>
      </c>
      <c r="R415" s="715"/>
      <c r="S415" s="716">
        <v>110</v>
      </c>
      <c r="T415" s="716">
        <v>7</v>
      </c>
      <c r="U415" s="716">
        <v>35</v>
      </c>
      <c r="V415" s="716">
        <v>107</v>
      </c>
      <c r="W415" s="717">
        <v>101</v>
      </c>
      <c r="X415" s="716">
        <v>27</v>
      </c>
      <c r="Y415" s="716">
        <v>0</v>
      </c>
      <c r="Z415" s="716">
        <v>64</v>
      </c>
      <c r="AA415" s="717">
        <v>99</v>
      </c>
      <c r="AB415" s="716">
        <v>35</v>
      </c>
      <c r="AC415" s="716">
        <v>113</v>
      </c>
      <c r="AD415" s="716">
        <f>G415-AA415-AB415-AC415</f>
        <v>103</v>
      </c>
      <c r="AE415" s="717">
        <v>103</v>
      </c>
      <c r="AF415" s="716">
        <v>62</v>
      </c>
      <c r="AG415" s="714">
        <v>73</v>
      </c>
      <c r="AH415" s="718">
        <f>AH422+AH428</f>
        <v>94.35318749999999</v>
      </c>
      <c r="AI415" s="717">
        <v>96</v>
      </c>
      <c r="AJ415" s="716">
        <v>131</v>
      </c>
      <c r="AK415" s="716">
        <v>27</v>
      </c>
      <c r="AL415" s="718">
        <f>I415-AI415-AJ415-AK415</f>
        <v>-51</v>
      </c>
      <c r="AM415" s="716">
        <v>9</v>
      </c>
      <c r="AN415" s="716">
        <f t="shared" ref="AN415:AO415" si="782">AN422+AN428</f>
        <v>109.35000000000001</v>
      </c>
      <c r="AO415" s="716">
        <f t="shared" si="782"/>
        <v>109.35000000000001</v>
      </c>
      <c r="AP415" s="716">
        <f t="shared" ref="AP415:AP416" si="783">J415-AM415-AN415-AO415</f>
        <v>177.29999999999995</v>
      </c>
      <c r="AQ415" s="1392"/>
      <c r="AR415" s="692"/>
      <c r="AS415" s="692"/>
      <c r="AT415" s="692"/>
      <c r="AU415" s="692"/>
      <c r="AV415" s="692"/>
      <c r="AW415" s="692"/>
      <c r="AX415" s="692"/>
      <c r="AY415" s="692"/>
      <c r="AZ415" s="692"/>
      <c r="BA415" s="692"/>
      <c r="BB415"/>
      <c r="BC415"/>
      <c r="BD415"/>
      <c r="BE415"/>
      <c r="BF415"/>
      <c r="BG415"/>
      <c r="BJ415" s="714"/>
      <c r="BK415" s="714"/>
      <c r="BL415" s="714"/>
      <c r="BM415" s="714"/>
      <c r="BN415" s="714"/>
    </row>
    <row r="416" spans="1:66" s="693" customFormat="1" outlineLevel="1">
      <c r="A416" s="713" t="s">
        <v>115</v>
      </c>
      <c r="B416" s="714"/>
      <c r="C416" s="714"/>
      <c r="D416" s="714">
        <v>51</v>
      </c>
      <c r="E416" s="714">
        <v>75</v>
      </c>
      <c r="F416" s="714">
        <v>289</v>
      </c>
      <c r="G416" s="714">
        <f>G417-G415</f>
        <v>387</v>
      </c>
      <c r="H416" s="716">
        <f>H417-H415</f>
        <v>304</v>
      </c>
      <c r="I416" s="716">
        <f>I417-I415</f>
        <v>488</v>
      </c>
      <c r="J416" s="714">
        <v>0</v>
      </c>
      <c r="K416" s="714">
        <v>0</v>
      </c>
      <c r="L416" s="714">
        <v>0</v>
      </c>
      <c r="M416" s="714">
        <v>0</v>
      </c>
      <c r="N416" s="714">
        <v>0</v>
      </c>
      <c r="O416" s="714">
        <v>0</v>
      </c>
      <c r="P416" s="714">
        <v>0</v>
      </c>
      <c r="Q416" s="714">
        <v>0</v>
      </c>
      <c r="R416" s="715"/>
      <c r="S416" s="716">
        <v>75</v>
      </c>
      <c r="T416" s="716">
        <v>0</v>
      </c>
      <c r="U416" s="716">
        <v>0</v>
      </c>
      <c r="V416" s="716">
        <v>0</v>
      </c>
      <c r="W416" s="717">
        <v>-33</v>
      </c>
      <c r="X416" s="716">
        <v>-27</v>
      </c>
      <c r="Y416" s="716">
        <v>101</v>
      </c>
      <c r="Z416" s="716">
        <v>248</v>
      </c>
      <c r="AA416" s="717">
        <f t="shared" ref="AA416:AM416" si="784">AA417-AA415</f>
        <v>26</v>
      </c>
      <c r="AB416" s="716">
        <f t="shared" si="784"/>
        <v>115</v>
      </c>
      <c r="AC416" s="716">
        <f t="shared" si="784"/>
        <v>83</v>
      </c>
      <c r="AD416" s="716">
        <f t="shared" si="784"/>
        <v>163</v>
      </c>
      <c r="AE416" s="717">
        <f t="shared" si="784"/>
        <v>77</v>
      </c>
      <c r="AF416" s="716">
        <f t="shared" si="784"/>
        <v>67</v>
      </c>
      <c r="AG416" s="716">
        <f t="shared" si="784"/>
        <v>112</v>
      </c>
      <c r="AH416" s="718">
        <f>H416-AE416-AF416-AG416</f>
        <v>48</v>
      </c>
      <c r="AI416" s="717">
        <f t="shared" si="784"/>
        <v>40</v>
      </c>
      <c r="AJ416" s="716">
        <f t="shared" si="784"/>
        <v>29</v>
      </c>
      <c r="AK416" s="716">
        <f t="shared" si="784"/>
        <v>63</v>
      </c>
      <c r="AL416" s="718">
        <f>I416-AI416-AJ416-AK416</f>
        <v>356</v>
      </c>
      <c r="AM416" s="716">
        <f t="shared" si="784"/>
        <v>55</v>
      </c>
      <c r="AN416" s="716">
        <v>0</v>
      </c>
      <c r="AO416" s="716">
        <v>0</v>
      </c>
      <c r="AP416" s="716">
        <f t="shared" si="783"/>
        <v>-55</v>
      </c>
      <c r="AQ416" s="1392"/>
      <c r="AR416" s="692"/>
      <c r="AS416" s="692"/>
      <c r="AT416" s="692"/>
      <c r="AU416" s="692"/>
      <c r="AV416" s="692"/>
      <c r="AW416" s="692"/>
      <c r="AX416" s="692"/>
      <c r="AY416" s="692"/>
      <c r="AZ416" s="692"/>
      <c r="BA416" s="692"/>
      <c r="BB416"/>
      <c r="BC416"/>
      <c r="BD416"/>
      <c r="BE416"/>
      <c r="BF416"/>
      <c r="BG416"/>
      <c r="BJ416" s="714"/>
      <c r="BK416" s="714"/>
      <c r="BL416" s="714"/>
      <c r="BM416" s="714"/>
      <c r="BN416" s="714"/>
    </row>
    <row r="417" spans="1:66" s="693" customFormat="1" outlineLevel="1">
      <c r="A417" s="713" t="s">
        <v>116</v>
      </c>
      <c r="B417" s="714"/>
      <c r="C417" s="714"/>
      <c r="D417" s="714">
        <v>320</v>
      </c>
      <c r="E417" s="714">
        <v>334</v>
      </c>
      <c r="F417" s="714">
        <v>481</v>
      </c>
      <c r="G417" s="714">
        <v>737</v>
      </c>
      <c r="H417" s="714">
        <v>603</v>
      </c>
      <c r="I417" s="714">
        <v>691</v>
      </c>
      <c r="J417" s="714">
        <f t="shared" ref="J417:Q417" si="785">+J415+J416</f>
        <v>405</v>
      </c>
      <c r="K417" s="714">
        <f t="shared" si="785"/>
        <v>405</v>
      </c>
      <c r="L417" s="714">
        <f t="shared" si="785"/>
        <v>405</v>
      </c>
      <c r="M417" s="714">
        <f t="shared" si="785"/>
        <v>405</v>
      </c>
      <c r="N417" s="714">
        <f t="shared" si="785"/>
        <v>405</v>
      </c>
      <c r="O417" s="714">
        <f t="shared" si="785"/>
        <v>405</v>
      </c>
      <c r="P417" s="714">
        <f t="shared" si="785"/>
        <v>405</v>
      </c>
      <c r="Q417" s="714">
        <f t="shared" si="785"/>
        <v>405</v>
      </c>
      <c r="R417" s="715"/>
      <c r="S417" s="716">
        <v>185</v>
      </c>
      <c r="T417" s="716">
        <v>7</v>
      </c>
      <c r="U417" s="716">
        <v>35</v>
      </c>
      <c r="V417" s="716">
        <v>107</v>
      </c>
      <c r="W417" s="717">
        <v>68</v>
      </c>
      <c r="X417" s="716">
        <v>0</v>
      </c>
      <c r="Y417" s="716">
        <v>101</v>
      </c>
      <c r="Z417" s="716">
        <v>312</v>
      </c>
      <c r="AA417" s="717">
        <v>125</v>
      </c>
      <c r="AB417" s="716">
        <v>150</v>
      </c>
      <c r="AC417" s="716">
        <v>196</v>
      </c>
      <c r="AD417" s="716">
        <f>G417-AA417-AB417-AC417</f>
        <v>266</v>
      </c>
      <c r="AE417" s="717">
        <v>180</v>
      </c>
      <c r="AF417" s="716">
        <v>129</v>
      </c>
      <c r="AG417" s="714">
        <v>185</v>
      </c>
      <c r="AH417" s="718">
        <f>+AH415+AH416</f>
        <v>142.35318749999999</v>
      </c>
      <c r="AI417" s="717">
        <v>136</v>
      </c>
      <c r="AJ417" s="716">
        <v>160</v>
      </c>
      <c r="AK417" s="716">
        <v>90</v>
      </c>
      <c r="AL417" s="718">
        <f>+AL415+AL416</f>
        <v>305</v>
      </c>
      <c r="AM417" s="716">
        <v>64</v>
      </c>
      <c r="AN417" s="716">
        <f t="shared" ref="AN417:AP417" si="786">+AN415+AN416</f>
        <v>109.35000000000001</v>
      </c>
      <c r="AO417" s="716">
        <f t="shared" si="786"/>
        <v>109.35000000000001</v>
      </c>
      <c r="AP417" s="716">
        <f t="shared" si="786"/>
        <v>122.29999999999995</v>
      </c>
      <c r="AQ417" s="1392"/>
      <c r="AR417" s="692"/>
      <c r="AS417" s="692"/>
      <c r="AT417" s="692"/>
      <c r="AU417" s="692"/>
      <c r="AV417" s="692"/>
      <c r="AW417" s="692"/>
      <c r="AX417" s="692"/>
      <c r="AY417" s="692"/>
      <c r="AZ417" s="692"/>
      <c r="BA417" s="692"/>
      <c r="BB417"/>
      <c r="BC417"/>
      <c r="BD417"/>
      <c r="BE417"/>
      <c r="BF417"/>
      <c r="BG417"/>
      <c r="BJ417" s="714"/>
      <c r="BK417" s="714"/>
      <c r="BL417" s="714"/>
      <c r="BM417" s="714"/>
      <c r="BN417" s="714"/>
    </row>
    <row r="418" spans="1:66" s="693" customFormat="1" outlineLevel="1">
      <c r="A418" s="713" t="s">
        <v>117</v>
      </c>
      <c r="B418" s="714"/>
      <c r="C418" s="714"/>
      <c r="D418" s="714">
        <v>-414</v>
      </c>
      <c r="E418" s="714">
        <v>-439</v>
      </c>
      <c r="F418" s="714">
        <v>-383</v>
      </c>
      <c r="G418" s="714">
        <v>-384</v>
      </c>
      <c r="H418" s="714">
        <v>-363</v>
      </c>
      <c r="I418" s="714">
        <v>-330</v>
      </c>
      <c r="J418" s="714">
        <f t="shared" ref="J418:Q418" si="787">J421</f>
        <v>-420</v>
      </c>
      <c r="K418" s="714">
        <f t="shared" si="787"/>
        <v>-430</v>
      </c>
      <c r="L418" s="714">
        <f t="shared" si="787"/>
        <v>-430</v>
      </c>
      <c r="M418" s="714">
        <f t="shared" si="787"/>
        <v>-430</v>
      </c>
      <c r="N418" s="714">
        <f t="shared" si="787"/>
        <v>-430</v>
      </c>
      <c r="O418" s="714">
        <f t="shared" si="787"/>
        <v>-430</v>
      </c>
      <c r="P418" s="714">
        <f t="shared" si="787"/>
        <v>-430</v>
      </c>
      <c r="Q418" s="714">
        <f t="shared" si="787"/>
        <v>-430</v>
      </c>
      <c r="R418" s="715"/>
      <c r="S418" s="716">
        <v>-188</v>
      </c>
      <c r="T418" s="716">
        <v>-28</v>
      </c>
      <c r="U418" s="716">
        <v>-106</v>
      </c>
      <c r="V418" s="716">
        <v>-117</v>
      </c>
      <c r="W418" s="717">
        <v>-82</v>
      </c>
      <c r="X418" s="716">
        <v>-81</v>
      </c>
      <c r="Y418" s="716">
        <v>-173</v>
      </c>
      <c r="Z418" s="716">
        <v>-47</v>
      </c>
      <c r="AA418" s="717">
        <v>-125</v>
      </c>
      <c r="AB418" s="716">
        <v>-74</v>
      </c>
      <c r="AC418" s="716">
        <v>-103</v>
      </c>
      <c r="AD418" s="716">
        <f>G418-AA418-AB418-AC418</f>
        <v>-82</v>
      </c>
      <c r="AE418" s="717">
        <v>-122</v>
      </c>
      <c r="AF418" s="716">
        <v>-87</v>
      </c>
      <c r="AG418" s="714">
        <v>-109</v>
      </c>
      <c r="AH418" s="718">
        <f>AH421</f>
        <v>-137.5</v>
      </c>
      <c r="AI418" s="717">
        <v>-128</v>
      </c>
      <c r="AJ418" s="716">
        <v>-83</v>
      </c>
      <c r="AK418" s="716">
        <v>-60</v>
      </c>
      <c r="AL418" s="718">
        <f>I418-AI418-AJ418-AK418</f>
        <v>-59</v>
      </c>
      <c r="AM418" s="716">
        <v>-48</v>
      </c>
      <c r="AN418" s="716">
        <f t="shared" ref="AN418:AO418" si="788">AN421</f>
        <v>-105</v>
      </c>
      <c r="AO418" s="716">
        <f t="shared" si="788"/>
        <v>-105</v>
      </c>
      <c r="AP418" s="716">
        <f t="shared" ref="AP418:AP422" si="789">J418-AM418-AN418-AO418</f>
        <v>-162</v>
      </c>
      <c r="AQ418" s="1392"/>
      <c r="AR418" s="692"/>
      <c r="AS418" s="692"/>
      <c r="AT418" s="692"/>
      <c r="AU418" s="692"/>
      <c r="AV418" s="692"/>
      <c r="AW418" s="692"/>
      <c r="AX418" s="692"/>
      <c r="AY418" s="692"/>
      <c r="AZ418" s="692"/>
      <c r="BA418" s="692"/>
      <c r="BB418"/>
      <c r="BC418"/>
      <c r="BD418"/>
      <c r="BE418"/>
      <c r="BF418"/>
      <c r="BG418"/>
      <c r="BJ418" s="714"/>
      <c r="BK418" s="714"/>
      <c r="BL418" s="714"/>
      <c r="BM418" s="714"/>
      <c r="BN418" s="714"/>
    </row>
    <row r="419" spans="1:66" s="693" customFormat="1" outlineLevel="1">
      <c r="A419" s="713" t="s">
        <v>118</v>
      </c>
      <c r="B419" s="714"/>
      <c r="C419" s="714"/>
      <c r="D419" s="714">
        <v>-154</v>
      </c>
      <c r="E419" s="714">
        <v>-178</v>
      </c>
      <c r="F419" s="714">
        <v>-217</v>
      </c>
      <c r="G419" s="714">
        <f>G420-G418</f>
        <v>-400</v>
      </c>
      <c r="H419" s="716">
        <f>H420-H418</f>
        <v>-413</v>
      </c>
      <c r="I419" s="716">
        <f>I420-I418</f>
        <v>-402</v>
      </c>
      <c r="J419" s="714">
        <f t="shared" ref="J419:Q419" si="790">-J428</f>
        <v>0</v>
      </c>
      <c r="K419" s="714">
        <f t="shared" si="790"/>
        <v>0</v>
      </c>
      <c r="L419" s="714">
        <f t="shared" si="790"/>
        <v>0</v>
      </c>
      <c r="M419" s="714">
        <f t="shared" si="790"/>
        <v>0</v>
      </c>
      <c r="N419" s="714">
        <f t="shared" si="790"/>
        <v>0</v>
      </c>
      <c r="O419" s="714">
        <f t="shared" si="790"/>
        <v>0</v>
      </c>
      <c r="P419" s="714">
        <f t="shared" si="790"/>
        <v>0</v>
      </c>
      <c r="Q419" s="714">
        <f t="shared" si="790"/>
        <v>0</v>
      </c>
      <c r="R419" s="715"/>
      <c r="S419" s="716">
        <v>-23</v>
      </c>
      <c r="T419" s="716">
        <v>-55</v>
      </c>
      <c r="U419" s="716">
        <v>-37</v>
      </c>
      <c r="V419" s="716">
        <v>-63</v>
      </c>
      <c r="W419" s="717">
        <v>16</v>
      </c>
      <c r="X419" s="716">
        <v>-96</v>
      </c>
      <c r="Y419" s="716">
        <v>-42</v>
      </c>
      <c r="Z419" s="716">
        <v>-95</v>
      </c>
      <c r="AA419" s="717">
        <f t="shared" ref="AA419:AM419" si="791">AA420-AA418</f>
        <v>-96</v>
      </c>
      <c r="AB419" s="716">
        <f t="shared" si="791"/>
        <v>-53</v>
      </c>
      <c r="AC419" s="716">
        <f t="shared" si="791"/>
        <v>-87</v>
      </c>
      <c r="AD419" s="716">
        <f t="shared" si="791"/>
        <v>-164</v>
      </c>
      <c r="AE419" s="717">
        <f t="shared" si="791"/>
        <v>-103</v>
      </c>
      <c r="AF419" s="716">
        <f t="shared" si="791"/>
        <v>-101</v>
      </c>
      <c r="AG419" s="716">
        <f t="shared" si="791"/>
        <v>-108</v>
      </c>
      <c r="AH419" s="718">
        <f>-AH428</f>
        <v>0</v>
      </c>
      <c r="AI419" s="717">
        <f t="shared" si="791"/>
        <v>-73</v>
      </c>
      <c r="AJ419" s="716">
        <f t="shared" si="791"/>
        <v>-89</v>
      </c>
      <c r="AK419" s="716">
        <f t="shared" si="791"/>
        <v>-132</v>
      </c>
      <c r="AL419" s="718">
        <f>I419-AI419-AJ419-AK419</f>
        <v>-108</v>
      </c>
      <c r="AM419" s="716">
        <f t="shared" si="791"/>
        <v>-92</v>
      </c>
      <c r="AN419" s="716">
        <f t="shared" ref="AN419:AO419" si="792">-AN428</f>
        <v>0</v>
      </c>
      <c r="AO419" s="716">
        <f t="shared" si="792"/>
        <v>0</v>
      </c>
      <c r="AP419" s="716">
        <f t="shared" si="789"/>
        <v>92</v>
      </c>
      <c r="AQ419" s="1392"/>
      <c r="AR419" s="692"/>
      <c r="AS419" s="692"/>
      <c r="AT419" s="692"/>
      <c r="AU419" s="692"/>
      <c r="AV419" s="692"/>
      <c r="AW419" s="692"/>
      <c r="AX419" s="692"/>
      <c r="AY419" s="692"/>
      <c r="AZ419" s="692"/>
      <c r="BA419" s="692"/>
      <c r="BB419"/>
      <c r="BC419"/>
      <c r="BD419"/>
      <c r="BE419"/>
      <c r="BF419"/>
      <c r="BG419"/>
      <c r="BJ419" s="714"/>
      <c r="BK419" s="714"/>
      <c r="BL419" s="714"/>
      <c r="BM419" s="714"/>
      <c r="BN419" s="714"/>
    </row>
    <row r="420" spans="1:66" s="693" customFormat="1" outlineLevel="1">
      <c r="A420" s="713" t="s">
        <v>119</v>
      </c>
      <c r="B420" s="714"/>
      <c r="C420" s="714"/>
      <c r="D420" s="714">
        <v>-568</v>
      </c>
      <c r="E420" s="714">
        <v>-617</v>
      </c>
      <c r="F420" s="714">
        <v>-600</v>
      </c>
      <c r="G420" s="714">
        <v>-784</v>
      </c>
      <c r="H420" s="714">
        <v>-776</v>
      </c>
      <c r="I420" s="714">
        <v>-732</v>
      </c>
      <c r="J420" s="714">
        <f t="shared" ref="J420:Q420" si="793">+J418+J419</f>
        <v>-420</v>
      </c>
      <c r="K420" s="714">
        <f t="shared" si="793"/>
        <v>-430</v>
      </c>
      <c r="L420" s="714">
        <f t="shared" si="793"/>
        <v>-430</v>
      </c>
      <c r="M420" s="714">
        <f t="shared" si="793"/>
        <v>-430</v>
      </c>
      <c r="N420" s="714">
        <f t="shared" si="793"/>
        <v>-430</v>
      </c>
      <c r="O420" s="714">
        <f t="shared" si="793"/>
        <v>-430</v>
      </c>
      <c r="P420" s="714">
        <f t="shared" si="793"/>
        <v>-430</v>
      </c>
      <c r="Q420" s="714">
        <f t="shared" si="793"/>
        <v>-430</v>
      </c>
      <c r="R420" s="715"/>
      <c r="S420" s="716">
        <v>-211</v>
      </c>
      <c r="T420" s="716">
        <v>-83</v>
      </c>
      <c r="U420" s="716">
        <v>-143</v>
      </c>
      <c r="V420" s="716">
        <v>-180</v>
      </c>
      <c r="W420" s="717">
        <v>-66</v>
      </c>
      <c r="X420" s="716">
        <v>-177</v>
      </c>
      <c r="Y420" s="716">
        <v>-215</v>
      </c>
      <c r="Z420" s="716">
        <v>-142</v>
      </c>
      <c r="AA420" s="717">
        <v>-221</v>
      </c>
      <c r="AB420" s="716">
        <v>-127</v>
      </c>
      <c r="AC420" s="716">
        <v>-190</v>
      </c>
      <c r="AD420" s="716">
        <f>G420-AA420-AB420-AC420</f>
        <v>-246</v>
      </c>
      <c r="AE420" s="717">
        <v>-225</v>
      </c>
      <c r="AF420" s="716">
        <v>-188</v>
      </c>
      <c r="AG420" s="714">
        <v>-217</v>
      </c>
      <c r="AH420" s="718">
        <f>+AH418+AH419</f>
        <v>-137.5</v>
      </c>
      <c r="AI420" s="717">
        <v>-201</v>
      </c>
      <c r="AJ420" s="716">
        <v>-172</v>
      </c>
      <c r="AK420" s="716">
        <v>-192</v>
      </c>
      <c r="AL420" s="718">
        <f>+AL418+AL419</f>
        <v>-167</v>
      </c>
      <c r="AM420" s="716">
        <v>-140</v>
      </c>
      <c r="AN420" s="716">
        <f t="shared" ref="AN420:AP420" si="794">+AN418+AN419</f>
        <v>-105</v>
      </c>
      <c r="AO420" s="716">
        <f t="shared" si="794"/>
        <v>-105</v>
      </c>
      <c r="AP420" s="716">
        <f t="shared" si="794"/>
        <v>-70</v>
      </c>
      <c r="AQ420" s="1392"/>
      <c r="AR420" s="692"/>
      <c r="AS420" s="692"/>
      <c r="AT420" s="692"/>
      <c r="AU420" s="692"/>
      <c r="AV420" s="692"/>
      <c r="AW420" s="692"/>
      <c r="AX420" s="692"/>
      <c r="AY420" s="692"/>
      <c r="AZ420" s="692"/>
      <c r="BA420" s="692"/>
      <c r="BB420"/>
      <c r="BC420"/>
      <c r="BD420"/>
      <c r="BE420"/>
      <c r="BF420"/>
      <c r="BG420"/>
      <c r="BJ420" s="714"/>
      <c r="BK420" s="714"/>
      <c r="BL420" s="714"/>
      <c r="BM420" s="714"/>
      <c r="BN420" s="714"/>
    </row>
    <row r="421" spans="1:66" s="693" customFormat="1" outlineLevel="1">
      <c r="A421" s="713" t="s">
        <v>281</v>
      </c>
      <c r="B421" s="714">
        <v>-599</v>
      </c>
      <c r="C421" s="714">
        <v>-806</v>
      </c>
      <c r="D421" s="714">
        <v>-856</v>
      </c>
      <c r="E421" s="714">
        <v>-1077</v>
      </c>
      <c r="F421" s="714">
        <v>-909.79900000000009</v>
      </c>
      <c r="G421" s="714">
        <v>-370.98599999999999</v>
      </c>
      <c r="H421" s="714">
        <v>-450</v>
      </c>
      <c r="I421" s="714">
        <v>-460</v>
      </c>
      <c r="J421" s="714">
        <v>-420</v>
      </c>
      <c r="K421" s="714">
        <v>-430</v>
      </c>
      <c r="L421" s="714">
        <f>K421</f>
        <v>-430</v>
      </c>
      <c r="M421" s="714">
        <f t="shared" ref="M421:Q421" si="795">L421</f>
        <v>-430</v>
      </c>
      <c r="N421" s="714">
        <f t="shared" si="795"/>
        <v>-430</v>
      </c>
      <c r="O421" s="714">
        <f t="shared" si="795"/>
        <v>-430</v>
      </c>
      <c r="P421" s="714">
        <f t="shared" si="795"/>
        <v>-430</v>
      </c>
      <c r="Q421" s="714">
        <f t="shared" si="795"/>
        <v>-430</v>
      </c>
      <c r="R421" s="715"/>
      <c r="S421" s="716">
        <v>-269.25</v>
      </c>
      <c r="T421" s="716">
        <v>-269.25</v>
      </c>
      <c r="U421" s="716">
        <v>-269.25</v>
      </c>
      <c r="V421" s="716">
        <v>-269.25</v>
      </c>
      <c r="W421" s="717">
        <v>-227.44975000000002</v>
      </c>
      <c r="X421" s="716">
        <v>-227.44975000000002</v>
      </c>
      <c r="Y421" s="716">
        <v>-227.44975000000002</v>
      </c>
      <c r="Z421" s="716">
        <v>-227.44974999999999</v>
      </c>
      <c r="AA421" s="717">
        <f>G421/4</f>
        <v>-92.746499999999997</v>
      </c>
      <c r="AB421" s="716">
        <f>G421/4</f>
        <v>-92.746499999999997</v>
      </c>
      <c r="AC421" s="716">
        <f>G421/4</f>
        <v>-92.746499999999997</v>
      </c>
      <c r="AD421" s="716">
        <f>G421-AA421-AB421-AC421</f>
        <v>-92.746500000000026</v>
      </c>
      <c r="AE421" s="717">
        <f>H421/4</f>
        <v>-112.5</v>
      </c>
      <c r="AF421" s="716">
        <v>-100</v>
      </c>
      <c r="AG421" s="716">
        <v>-100</v>
      </c>
      <c r="AH421" s="718">
        <f>H421-AE421-AF421-AG421</f>
        <v>-137.5</v>
      </c>
      <c r="AI421" s="717">
        <f>I421/4</f>
        <v>-115</v>
      </c>
      <c r="AJ421" s="716">
        <f>I421/4</f>
        <v>-115</v>
      </c>
      <c r="AK421" s="716">
        <f>I421/4</f>
        <v>-115</v>
      </c>
      <c r="AL421" s="718">
        <f>I421-AI421-AJ421-AK421</f>
        <v>-115</v>
      </c>
      <c r="AM421" s="716">
        <f>J421/4</f>
        <v>-105</v>
      </c>
      <c r="AN421" s="716">
        <f>J421/4</f>
        <v>-105</v>
      </c>
      <c r="AO421" s="716">
        <f>J421/4</f>
        <v>-105</v>
      </c>
      <c r="AP421" s="716">
        <f t="shared" si="789"/>
        <v>-105</v>
      </c>
      <c r="AQ421" s="1392"/>
      <c r="AR421" s="692"/>
      <c r="AS421" s="692"/>
      <c r="AT421" s="692"/>
      <c r="AU421" s="692"/>
      <c r="AV421" s="692"/>
      <c r="AW421" s="692"/>
      <c r="AX421" s="692"/>
      <c r="AY421" s="692"/>
      <c r="AZ421" s="692"/>
      <c r="BA421" s="692"/>
      <c r="BB421"/>
      <c r="BC421"/>
      <c r="BD421"/>
      <c r="BE421"/>
      <c r="BF421"/>
      <c r="BG421"/>
      <c r="BJ421" s="714"/>
      <c r="BK421" s="714"/>
      <c r="BL421" s="714"/>
      <c r="BM421" s="714"/>
      <c r="BN421" s="714"/>
    </row>
    <row r="422" spans="1:66" s="693" customFormat="1" outlineLevel="1">
      <c r="A422" s="713" t="s">
        <v>282</v>
      </c>
      <c r="B422" s="714">
        <v>685</v>
      </c>
      <c r="C422" s="714">
        <v>785</v>
      </c>
      <c r="D422" s="714">
        <v>711</v>
      </c>
      <c r="E422" s="714">
        <v>897</v>
      </c>
      <c r="F422" s="714">
        <v>762.44999999999993</v>
      </c>
      <c r="G422" s="714">
        <f>F422*0.45</f>
        <v>343.10249999999996</v>
      </c>
      <c r="H422" s="714">
        <f>G422*1.1</f>
        <v>377.41275000000002</v>
      </c>
      <c r="I422" s="714">
        <v>405</v>
      </c>
      <c r="J422" s="714">
        <f>I422</f>
        <v>405</v>
      </c>
      <c r="K422" s="714">
        <f t="shared" ref="K422:Q422" si="796">J422</f>
        <v>405</v>
      </c>
      <c r="L422" s="714">
        <f t="shared" si="796"/>
        <v>405</v>
      </c>
      <c r="M422" s="714">
        <f t="shared" si="796"/>
        <v>405</v>
      </c>
      <c r="N422" s="714">
        <f t="shared" si="796"/>
        <v>405</v>
      </c>
      <c r="O422" s="714">
        <f t="shared" si="796"/>
        <v>405</v>
      </c>
      <c r="P422" s="714">
        <f t="shared" si="796"/>
        <v>405</v>
      </c>
      <c r="Q422" s="714">
        <f t="shared" si="796"/>
        <v>405</v>
      </c>
      <c r="R422" s="715"/>
      <c r="S422" s="716">
        <v>191.25</v>
      </c>
      <c r="T422" s="716">
        <v>248.25</v>
      </c>
      <c r="U422" s="716">
        <v>198.25</v>
      </c>
      <c r="V422" s="716">
        <v>259.25</v>
      </c>
      <c r="W422" s="717">
        <v>246.44975000000002</v>
      </c>
      <c r="X422" s="716">
        <v>173.44975000000002</v>
      </c>
      <c r="Y422" s="716">
        <v>54.449750000000023</v>
      </c>
      <c r="Z422" s="716">
        <v>288.10074999999983</v>
      </c>
      <c r="AA422" s="717">
        <f>G422/4</f>
        <v>85.775624999999991</v>
      </c>
      <c r="AB422" s="716">
        <f>G422/4</f>
        <v>85.775624999999991</v>
      </c>
      <c r="AC422" s="716">
        <f>G422/4</f>
        <v>85.775624999999991</v>
      </c>
      <c r="AD422" s="716">
        <f>G422-AA422-AB422-AC422</f>
        <v>85.775624999999991</v>
      </c>
      <c r="AE422" s="717">
        <f>AA422*1.1</f>
        <v>94.353187500000004</v>
      </c>
      <c r="AF422" s="716">
        <f>AB422*1.1</f>
        <v>94.353187500000004</v>
      </c>
      <c r="AG422" s="716">
        <f>AC422*1.1</f>
        <v>94.353187500000004</v>
      </c>
      <c r="AH422" s="718">
        <f>+H422-SUM(AE422:AG422)</f>
        <v>94.35318749999999</v>
      </c>
      <c r="AI422" s="717">
        <f>I422/4</f>
        <v>101.25</v>
      </c>
      <c r="AJ422" s="716">
        <f>I422/4</f>
        <v>101.25</v>
      </c>
      <c r="AK422" s="716">
        <f>I422/4</f>
        <v>101.25</v>
      </c>
      <c r="AL422" s="718">
        <f>I422-AI422-AJ422-AK422</f>
        <v>101.25</v>
      </c>
      <c r="AM422" s="716">
        <f>AI422*1.08</f>
        <v>109.35000000000001</v>
      </c>
      <c r="AN422" s="716">
        <f t="shared" ref="AN422:AO422" si="797">AJ422*1.08</f>
        <v>109.35000000000001</v>
      </c>
      <c r="AO422" s="716">
        <f t="shared" si="797"/>
        <v>109.35000000000001</v>
      </c>
      <c r="AP422" s="716">
        <f t="shared" si="789"/>
        <v>76.949999999999946</v>
      </c>
      <c r="AQ422" s="1392"/>
      <c r="AR422" s="692"/>
      <c r="AS422" s="692"/>
      <c r="AT422" s="692"/>
      <c r="AU422" s="692"/>
      <c r="AV422" s="692"/>
      <c r="AW422" s="692"/>
      <c r="AX422" s="692"/>
      <c r="AY422" s="692"/>
      <c r="AZ422" s="692"/>
      <c r="BA422" s="692"/>
      <c r="BB422"/>
      <c r="BC422"/>
      <c r="BD422"/>
      <c r="BE422"/>
      <c r="BF422"/>
      <c r="BG422"/>
      <c r="BJ422" s="714"/>
      <c r="BK422" s="714"/>
      <c r="BL422" s="714"/>
      <c r="BM422" s="714"/>
      <c r="BN422" s="714"/>
    </row>
    <row r="423" spans="1:66" s="799" customFormat="1">
      <c r="A423" s="1066" t="s">
        <v>120</v>
      </c>
      <c r="B423" s="1081">
        <v>-452</v>
      </c>
      <c r="C423" s="1081">
        <v>-552</v>
      </c>
      <c r="D423" s="1081">
        <v>-635</v>
      </c>
      <c r="E423" s="1081">
        <v>-626</v>
      </c>
      <c r="F423" s="1081">
        <v>-423</v>
      </c>
      <c r="G423" s="1081">
        <f t="shared" ref="G423:H423" si="798">G410+G403+G401</f>
        <v>-352</v>
      </c>
      <c r="H423" s="1081">
        <f t="shared" si="798"/>
        <v>-288</v>
      </c>
      <c r="I423" s="1081">
        <f>I410+I403+I401</f>
        <v>-417</v>
      </c>
      <c r="J423" s="1081">
        <f>J410+J403+J401</f>
        <v>-295.19790920716343</v>
      </c>
      <c r="K423" s="1081">
        <f t="shared" ref="K423:Q423" si="799">K410+K403+K401</f>
        <v>-313.0146361853412</v>
      </c>
      <c r="L423" s="1081">
        <f t="shared" si="799"/>
        <v>-319.88098304518144</v>
      </c>
      <c r="M423" s="1081">
        <f t="shared" si="799"/>
        <v>-326.1443002734992</v>
      </c>
      <c r="N423" s="1081">
        <f t="shared" si="799"/>
        <v>-334.35125567901275</v>
      </c>
      <c r="O423" s="1081">
        <f t="shared" si="799"/>
        <v>-346.39957158746643</v>
      </c>
      <c r="P423" s="1081">
        <f t="shared" si="799"/>
        <v>-356.07450918810105</v>
      </c>
      <c r="Q423" s="1081">
        <f t="shared" si="799"/>
        <v>-366.23206676157849</v>
      </c>
      <c r="R423" s="1082"/>
      <c r="S423" s="1083">
        <v>-210</v>
      </c>
      <c r="T423" s="1083">
        <v>-131</v>
      </c>
      <c r="U423" s="1083">
        <v>-172</v>
      </c>
      <c r="V423" s="1083">
        <v>-113</v>
      </c>
      <c r="W423" s="1084">
        <v>-51</v>
      </c>
      <c r="X423" s="1083">
        <v>-116</v>
      </c>
      <c r="Y423" s="1083">
        <v>-197</v>
      </c>
      <c r="Z423" s="1083">
        <v>-59</v>
      </c>
      <c r="AA423" s="1084">
        <f t="shared" ref="AA423:AH423" si="800">AA410+AA407+AA406+AA401</f>
        <v>-69</v>
      </c>
      <c r="AB423" s="1083">
        <f t="shared" si="800"/>
        <v>-103</v>
      </c>
      <c r="AC423" s="1083">
        <f t="shared" si="800"/>
        <v>-65</v>
      </c>
      <c r="AD423" s="1083">
        <f t="shared" si="800"/>
        <v>-115</v>
      </c>
      <c r="AE423" s="1084">
        <f t="shared" si="800"/>
        <v>-69</v>
      </c>
      <c r="AF423" s="1083">
        <f t="shared" si="800"/>
        <v>-110</v>
      </c>
      <c r="AG423" s="1081">
        <f t="shared" si="800"/>
        <v>-31</v>
      </c>
      <c r="AH423" s="1085">
        <f t="shared" si="800"/>
        <v>-78</v>
      </c>
      <c r="AI423" s="1084">
        <f t="shared" ref="AI423:AP423" si="801">AI410+AI403+AI401</f>
        <v>-63</v>
      </c>
      <c r="AJ423" s="1083">
        <f t="shared" si="801"/>
        <v>-49</v>
      </c>
      <c r="AK423" s="1083">
        <f t="shared" si="801"/>
        <v>-93</v>
      </c>
      <c r="AL423" s="1085">
        <f t="shared" si="801"/>
        <v>-212</v>
      </c>
      <c r="AM423" s="1083">
        <f t="shared" si="801"/>
        <v>-150</v>
      </c>
      <c r="AN423" s="1083">
        <f t="shared" si="801"/>
        <v>-103.07037606051296</v>
      </c>
      <c r="AO423" s="1083">
        <f t="shared" si="801"/>
        <v>-57.433773068148454</v>
      </c>
      <c r="AP423" s="1083">
        <f t="shared" si="801"/>
        <v>15.306239921497934</v>
      </c>
      <c r="AQ423" s="1392"/>
      <c r="AR423" s="1065"/>
      <c r="AS423" s="1065"/>
      <c r="AT423" s="1065"/>
      <c r="AU423" s="1065"/>
      <c r="AV423" s="1065"/>
      <c r="AW423" s="1065"/>
      <c r="AX423" s="1065"/>
      <c r="AY423" s="1065"/>
      <c r="AZ423" s="1065"/>
      <c r="BA423" s="1065"/>
      <c r="BB423"/>
      <c r="BC423"/>
      <c r="BD423"/>
      <c r="BE423"/>
      <c r="BF423"/>
      <c r="BG423"/>
      <c r="BJ423" s="1081"/>
      <c r="BK423" s="1081"/>
      <c r="BL423" s="1081"/>
      <c r="BM423" s="1081"/>
      <c r="BN423" s="1081"/>
    </row>
    <row r="424" spans="1:66" s="693" customFormat="1" outlineLevel="1">
      <c r="A424" s="713" t="s">
        <v>124</v>
      </c>
      <c r="B424" s="732"/>
      <c r="C424" s="732"/>
      <c r="D424" s="732"/>
      <c r="E424" s="732"/>
      <c r="F424" s="714">
        <v>-15</v>
      </c>
      <c r="G424" s="714">
        <f>G413</f>
        <v>0</v>
      </c>
      <c r="H424" s="714"/>
      <c r="I424" s="714"/>
      <c r="J424" s="732"/>
      <c r="K424" s="732"/>
      <c r="L424" s="732"/>
      <c r="M424" s="732"/>
      <c r="N424" s="732"/>
      <c r="O424" s="732"/>
      <c r="P424" s="732"/>
      <c r="Q424" s="732"/>
      <c r="R424" s="721"/>
      <c r="S424" s="732"/>
      <c r="T424" s="732"/>
      <c r="U424" s="732"/>
      <c r="V424" s="732"/>
      <c r="W424" s="717">
        <v>0</v>
      </c>
      <c r="X424" s="716">
        <v>-2</v>
      </c>
      <c r="Y424" s="716">
        <v>3</v>
      </c>
      <c r="Z424" s="716">
        <v>-16</v>
      </c>
      <c r="AA424" s="717"/>
      <c r="AB424" s="716"/>
      <c r="AC424" s="716"/>
      <c r="AD424" s="716"/>
      <c r="AE424" s="717"/>
      <c r="AF424" s="716"/>
      <c r="AG424" s="716"/>
      <c r="AH424" s="718"/>
      <c r="AI424" s="717"/>
      <c r="AJ424" s="716"/>
      <c r="AK424" s="716"/>
      <c r="AL424" s="734"/>
      <c r="AM424" s="732"/>
      <c r="AN424" s="732"/>
      <c r="AO424" s="732"/>
      <c r="AP424" s="732"/>
      <c r="AQ424" s="1383"/>
      <c r="AR424" s="692"/>
      <c r="AS424" s="692"/>
      <c r="AT424" s="692"/>
      <c r="AU424" s="692"/>
      <c r="AV424" s="692"/>
      <c r="AW424" s="692"/>
      <c r="AX424" s="692"/>
      <c r="AY424" s="692"/>
      <c r="AZ424" s="692"/>
      <c r="BA424" s="692"/>
      <c r="BB424"/>
      <c r="BC424"/>
      <c r="BD424"/>
      <c r="BE424"/>
      <c r="BF424"/>
      <c r="BG424"/>
      <c r="BJ424" s="742"/>
      <c r="BK424" s="742"/>
      <c r="BL424" s="742"/>
      <c r="BM424" s="742"/>
      <c r="BN424" s="742"/>
    </row>
    <row r="425" spans="1:66" s="693" customFormat="1" outlineLevel="1">
      <c r="A425" s="713" t="s">
        <v>125</v>
      </c>
      <c r="B425" s="732"/>
      <c r="C425" s="732"/>
      <c r="D425" s="732"/>
      <c r="E425" s="732"/>
      <c r="F425" s="714">
        <v>-121</v>
      </c>
      <c r="G425" s="714">
        <f>G410+G407+G406+G402</f>
        <v>-688</v>
      </c>
      <c r="H425" s="714"/>
      <c r="I425" s="714"/>
      <c r="J425" s="732"/>
      <c r="K425" s="732"/>
      <c r="L425" s="732"/>
      <c r="M425" s="732"/>
      <c r="N425" s="732"/>
      <c r="O425" s="732"/>
      <c r="P425" s="732"/>
      <c r="Q425" s="732"/>
      <c r="R425" s="721"/>
      <c r="S425" s="732"/>
      <c r="T425" s="732"/>
      <c r="U425" s="732"/>
      <c r="V425" s="732"/>
      <c r="W425" s="717">
        <v>-51</v>
      </c>
      <c r="X425" s="716">
        <v>-116</v>
      </c>
      <c r="Y425" s="716">
        <v>-197</v>
      </c>
      <c r="Z425" s="716">
        <v>-59</v>
      </c>
      <c r="AA425" s="717">
        <f t="shared" ref="AA425:AG425" si="802">AA410+AA407+AA406+AA402</f>
        <v>-69</v>
      </c>
      <c r="AB425" s="716">
        <f t="shared" si="802"/>
        <v>-103</v>
      </c>
      <c r="AC425" s="716">
        <f t="shared" si="802"/>
        <v>-65</v>
      </c>
      <c r="AD425" s="716">
        <f t="shared" si="802"/>
        <v>-115</v>
      </c>
      <c r="AE425" s="717">
        <f t="shared" si="802"/>
        <v>-69</v>
      </c>
      <c r="AF425" s="716">
        <f t="shared" si="802"/>
        <v>-110</v>
      </c>
      <c r="AG425" s="716">
        <f t="shared" si="802"/>
        <v>-31</v>
      </c>
      <c r="AH425" s="718">
        <f>+H425-SUM(AE425:AG425)</f>
        <v>210</v>
      </c>
      <c r="AI425" s="717">
        <f>AI410+AI407+AI406+AI402</f>
        <v>-63</v>
      </c>
      <c r="AJ425" s="716"/>
      <c r="AK425" s="716"/>
      <c r="AL425" s="734"/>
      <c r="AM425" s="732"/>
      <c r="AN425" s="732"/>
      <c r="AO425" s="732"/>
      <c r="AP425" s="732"/>
      <c r="AQ425" s="1383"/>
      <c r="AR425" s="692"/>
      <c r="AS425" s="692"/>
      <c r="AT425" s="692"/>
      <c r="AU425" s="692"/>
      <c r="AV425" s="692"/>
      <c r="AW425" s="692"/>
      <c r="AX425" s="692"/>
      <c r="AY425" s="692"/>
      <c r="AZ425" s="692"/>
      <c r="BA425" s="692"/>
      <c r="BB425"/>
      <c r="BC425"/>
      <c r="BD425"/>
      <c r="BE425"/>
      <c r="BF425"/>
      <c r="BG425"/>
      <c r="BJ425" s="742"/>
      <c r="BK425" s="742"/>
      <c r="BL425" s="742"/>
      <c r="BM425" s="742"/>
      <c r="BN425" s="742"/>
    </row>
    <row r="426" spans="1:66" s="693" customFormat="1" outlineLevel="1">
      <c r="A426" s="896" t="s">
        <v>237</v>
      </c>
      <c r="B426" s="714">
        <v>50</v>
      </c>
      <c r="C426" s="714">
        <v>50</v>
      </c>
      <c r="D426" s="714"/>
      <c r="E426" s="714"/>
      <c r="F426" s="714"/>
      <c r="G426" s="714"/>
      <c r="H426" s="714"/>
      <c r="I426" s="714"/>
      <c r="J426" s="714"/>
      <c r="K426" s="714"/>
      <c r="L426" s="714"/>
      <c r="M426" s="714"/>
      <c r="N426" s="714"/>
      <c r="O426" s="714"/>
      <c r="P426" s="714"/>
      <c r="Q426" s="714"/>
      <c r="R426" s="715"/>
      <c r="S426" s="716"/>
      <c r="T426" s="716"/>
      <c r="U426" s="716"/>
      <c r="V426" s="716"/>
      <c r="W426" s="717"/>
      <c r="X426" s="716"/>
      <c r="Y426" s="716"/>
      <c r="Z426" s="716"/>
      <c r="AA426" s="717"/>
      <c r="AB426" s="716"/>
      <c r="AC426" s="716"/>
      <c r="AD426" s="716"/>
      <c r="AE426" s="717"/>
      <c r="AF426" s="716"/>
      <c r="AG426" s="716"/>
      <c r="AH426" s="718"/>
      <c r="AI426" s="717"/>
      <c r="AJ426" s="716"/>
      <c r="AK426" s="716"/>
      <c r="AL426" s="718"/>
      <c r="AM426" s="716"/>
      <c r="AN426" s="716"/>
      <c r="AO426" s="716"/>
      <c r="AP426" s="716"/>
      <c r="AQ426" s="1383"/>
      <c r="AR426" s="692"/>
      <c r="AS426" s="692"/>
      <c r="AT426" s="692"/>
      <c r="AU426" s="692"/>
      <c r="AV426" s="692"/>
      <c r="AW426" s="692"/>
      <c r="AX426" s="692"/>
      <c r="AY426" s="692"/>
      <c r="AZ426" s="692"/>
      <c r="BA426" s="692"/>
      <c r="BB426"/>
      <c r="BC426"/>
      <c r="BD426"/>
      <c r="BE426"/>
      <c r="BF426"/>
      <c r="BG426"/>
      <c r="BJ426" s="714"/>
      <c r="BK426" s="714"/>
      <c r="BL426" s="714"/>
      <c r="BM426" s="714"/>
      <c r="BN426" s="714"/>
    </row>
    <row r="427" spans="1:66" s="693" customFormat="1" outlineLevel="1">
      <c r="A427" s="896" t="s">
        <v>184</v>
      </c>
      <c r="B427" s="714">
        <v>-502</v>
      </c>
      <c r="C427" s="714">
        <v>-602</v>
      </c>
      <c r="D427" s="714"/>
      <c r="E427" s="714"/>
      <c r="F427" s="714"/>
      <c r="G427" s="714"/>
      <c r="H427" s="714"/>
      <c r="I427" s="714"/>
      <c r="J427" s="714"/>
      <c r="K427" s="714"/>
      <c r="L427" s="714"/>
      <c r="M427" s="714"/>
      <c r="N427" s="714"/>
      <c r="O427" s="714"/>
      <c r="P427" s="714"/>
      <c r="Q427" s="714"/>
      <c r="R427" s="715"/>
      <c r="S427" s="716"/>
      <c r="T427" s="716"/>
      <c r="U427" s="716"/>
      <c r="V427" s="716"/>
      <c r="W427" s="717"/>
      <c r="X427" s="716"/>
      <c r="Y427" s="716"/>
      <c r="Z427" s="716"/>
      <c r="AA427" s="717"/>
      <c r="AB427" s="716"/>
      <c r="AC427" s="716"/>
      <c r="AD427" s="716"/>
      <c r="AE427" s="717"/>
      <c r="AF427" s="716"/>
      <c r="AG427" s="716"/>
      <c r="AH427" s="718"/>
      <c r="AI427" s="717"/>
      <c r="AJ427" s="716"/>
      <c r="AK427" s="716"/>
      <c r="AL427" s="718"/>
      <c r="AM427" s="716"/>
      <c r="AN427" s="716"/>
      <c r="AO427" s="716"/>
      <c r="AP427" s="716"/>
      <c r="AQ427" s="1383"/>
      <c r="AR427" s="692"/>
      <c r="AS427" s="692"/>
      <c r="AT427" s="692"/>
      <c r="AU427" s="692"/>
      <c r="AV427" s="692"/>
      <c r="AW427" s="692"/>
      <c r="AX427" s="692"/>
      <c r="AY427" s="692"/>
      <c r="AZ427" s="692"/>
      <c r="BA427" s="692"/>
      <c r="BB427"/>
      <c r="BC427"/>
      <c r="BD427"/>
      <c r="BE427"/>
      <c r="BF427"/>
      <c r="BG427"/>
      <c r="BJ427" s="714"/>
      <c r="BK427" s="714"/>
      <c r="BL427" s="714"/>
      <c r="BM427" s="714"/>
      <c r="BN427" s="714"/>
    </row>
    <row r="428" spans="1:66" s="693" customFormat="1" outlineLevel="1">
      <c r="A428" s="896" t="s">
        <v>241</v>
      </c>
      <c r="B428" s="714">
        <v>0</v>
      </c>
      <c r="C428" s="714">
        <v>4</v>
      </c>
      <c r="D428" s="714">
        <v>3</v>
      </c>
      <c r="E428" s="714">
        <v>4</v>
      </c>
      <c r="F428" s="714">
        <v>3</v>
      </c>
      <c r="G428" s="714">
        <v>0</v>
      </c>
      <c r="H428" s="714">
        <v>0</v>
      </c>
      <c r="I428" s="714">
        <v>0</v>
      </c>
      <c r="J428" s="714">
        <f t="shared" ref="J428:Q428" si="803">I428*1.05</f>
        <v>0</v>
      </c>
      <c r="K428" s="714">
        <f t="shared" si="803"/>
        <v>0</v>
      </c>
      <c r="L428" s="714">
        <f t="shared" si="803"/>
        <v>0</v>
      </c>
      <c r="M428" s="714">
        <f t="shared" si="803"/>
        <v>0</v>
      </c>
      <c r="N428" s="714">
        <f t="shared" si="803"/>
        <v>0</v>
      </c>
      <c r="O428" s="714">
        <f t="shared" si="803"/>
        <v>0</v>
      </c>
      <c r="P428" s="714">
        <f t="shared" si="803"/>
        <v>0</v>
      </c>
      <c r="Q428" s="714">
        <f t="shared" si="803"/>
        <v>0</v>
      </c>
      <c r="R428" s="715"/>
      <c r="S428" s="716">
        <v>1</v>
      </c>
      <c r="T428" s="716">
        <v>3</v>
      </c>
      <c r="U428" s="716">
        <v>0</v>
      </c>
      <c r="V428" s="716">
        <v>0</v>
      </c>
      <c r="W428" s="717">
        <v>1</v>
      </c>
      <c r="X428" s="716">
        <v>1</v>
      </c>
      <c r="Y428" s="716">
        <v>0</v>
      </c>
      <c r="Z428" s="716">
        <v>1</v>
      </c>
      <c r="AA428" s="717">
        <v>0</v>
      </c>
      <c r="AB428" s="716">
        <v>0</v>
      </c>
      <c r="AC428" s="716">
        <v>0</v>
      </c>
      <c r="AD428" s="716">
        <f>G428-AA428-AB428-AC428</f>
        <v>0</v>
      </c>
      <c r="AE428" s="717">
        <v>0</v>
      </c>
      <c r="AF428" s="716">
        <v>0</v>
      </c>
      <c r="AG428" s="716">
        <v>0</v>
      </c>
      <c r="AH428" s="718">
        <f>+H428-SUM(AE428:AG428)</f>
        <v>0</v>
      </c>
      <c r="AI428" s="717">
        <v>0</v>
      </c>
      <c r="AJ428" s="716">
        <f>AF428*1.05</f>
        <v>0</v>
      </c>
      <c r="AK428" s="716">
        <f>AG428*1.05</f>
        <v>0</v>
      </c>
      <c r="AL428" s="718">
        <f>I428-AI428-AJ428-AK428</f>
        <v>0</v>
      </c>
      <c r="AM428" s="716">
        <f>AI428*1.05</f>
        <v>0</v>
      </c>
      <c r="AN428" s="716">
        <f t="shared" ref="AN428:AO428" si="804">AJ428*1.05</f>
        <v>0</v>
      </c>
      <c r="AO428" s="716">
        <f t="shared" si="804"/>
        <v>0</v>
      </c>
      <c r="AP428" s="716">
        <f t="shared" ref="AP428:AP429" si="805">J428-AM428-AN428-AO428</f>
        <v>0</v>
      </c>
      <c r="AQ428" s="1383"/>
      <c r="AR428" s="692"/>
      <c r="AS428" s="692"/>
      <c r="AT428" s="692"/>
      <c r="AU428" s="692"/>
      <c r="AV428" s="692"/>
      <c r="AW428" s="692"/>
      <c r="AX428" s="692"/>
      <c r="AY428" s="692"/>
      <c r="AZ428" s="692"/>
      <c r="BA428" s="692"/>
      <c r="BB428"/>
      <c r="BC428"/>
      <c r="BD428"/>
      <c r="BE428"/>
      <c r="BF428"/>
      <c r="BG428"/>
      <c r="BJ428" s="714"/>
      <c r="BK428" s="714"/>
      <c r="BL428" s="714"/>
      <c r="BM428" s="714"/>
      <c r="BN428" s="714"/>
    </row>
    <row r="429" spans="1:66" s="693" customFormat="1" outlineLevel="1">
      <c r="A429" s="896" t="s">
        <v>242</v>
      </c>
      <c r="B429" s="714">
        <v>19</v>
      </c>
      <c r="C429" s="714">
        <v>23</v>
      </c>
      <c r="D429" s="714">
        <v>32</v>
      </c>
      <c r="E429" s="714">
        <v>59</v>
      </c>
      <c r="F429" s="714">
        <v>114</v>
      </c>
      <c r="G429" s="714">
        <v>112</v>
      </c>
      <c r="H429" s="714">
        <v>99</v>
      </c>
      <c r="I429" s="714">
        <v>197</v>
      </c>
      <c r="J429" s="714">
        <f t="shared" ref="J429:Q429" si="806">I429</f>
        <v>197</v>
      </c>
      <c r="K429" s="714">
        <f t="shared" si="806"/>
        <v>197</v>
      </c>
      <c r="L429" s="714">
        <f t="shared" si="806"/>
        <v>197</v>
      </c>
      <c r="M429" s="714">
        <f t="shared" si="806"/>
        <v>197</v>
      </c>
      <c r="N429" s="714">
        <f t="shared" si="806"/>
        <v>197</v>
      </c>
      <c r="O429" s="714">
        <f t="shared" si="806"/>
        <v>197</v>
      </c>
      <c r="P429" s="714">
        <f t="shared" si="806"/>
        <v>197</v>
      </c>
      <c r="Q429" s="714">
        <f t="shared" si="806"/>
        <v>197</v>
      </c>
      <c r="R429" s="715"/>
      <c r="S429" s="716">
        <v>4</v>
      </c>
      <c r="T429" s="716">
        <v>29</v>
      </c>
      <c r="U429" s="716">
        <v>2</v>
      </c>
      <c r="V429" s="716">
        <v>24</v>
      </c>
      <c r="W429" s="717">
        <v>3</v>
      </c>
      <c r="X429" s="716">
        <v>33</v>
      </c>
      <c r="Y429" s="716">
        <v>34</v>
      </c>
      <c r="Z429" s="716">
        <v>44</v>
      </c>
      <c r="AA429" s="717">
        <v>75</v>
      </c>
      <c r="AB429" s="716">
        <v>-44</v>
      </c>
      <c r="AC429" s="716">
        <v>9</v>
      </c>
      <c r="AD429" s="716">
        <f>G429-SUM(AA429:AC429)</f>
        <v>72</v>
      </c>
      <c r="AE429" s="717">
        <v>20</v>
      </c>
      <c r="AF429" s="716">
        <v>30</v>
      </c>
      <c r="AG429" s="716">
        <v>21</v>
      </c>
      <c r="AH429" s="718">
        <f>+H429-SUM(AE429:AG429)</f>
        <v>28</v>
      </c>
      <c r="AI429" s="717">
        <v>22</v>
      </c>
      <c r="AJ429" s="716">
        <f>AF429</f>
        <v>30</v>
      </c>
      <c r="AK429" s="716">
        <f>AG429</f>
        <v>21</v>
      </c>
      <c r="AL429" s="718">
        <f>I429-AI429-AJ429-AK429</f>
        <v>124</v>
      </c>
      <c r="AM429" s="716">
        <f>AI429</f>
        <v>22</v>
      </c>
      <c r="AN429" s="716">
        <f t="shared" ref="AN429:AO429" si="807">AJ429</f>
        <v>30</v>
      </c>
      <c r="AO429" s="716">
        <f t="shared" si="807"/>
        <v>21</v>
      </c>
      <c r="AP429" s="716">
        <f t="shared" si="805"/>
        <v>124</v>
      </c>
      <c r="AQ429" s="1392"/>
      <c r="AR429" s="692"/>
      <c r="AS429" s="692"/>
      <c r="AT429" s="692"/>
      <c r="AU429" s="692"/>
      <c r="AV429" s="692"/>
      <c r="AW429" s="692"/>
      <c r="AX429" s="692"/>
      <c r="AY429" s="692"/>
      <c r="AZ429" s="692"/>
      <c r="BA429" s="692"/>
      <c r="BB429"/>
      <c r="BC429"/>
      <c r="BD429"/>
      <c r="BE429"/>
      <c r="BF429"/>
      <c r="BG429"/>
      <c r="BJ429" s="714"/>
      <c r="BK429" s="714"/>
      <c r="BL429" s="714"/>
      <c r="BM429" s="714"/>
      <c r="BN429" s="714"/>
    </row>
    <row r="430" spans="1:66" s="693" customFormat="1" outlineLevel="1">
      <c r="A430" s="896" t="s">
        <v>243</v>
      </c>
      <c r="B430" s="714">
        <v>19</v>
      </c>
      <c r="C430" s="714">
        <v>27</v>
      </c>
      <c r="D430" s="714">
        <v>35</v>
      </c>
      <c r="E430" s="714">
        <v>63</v>
      </c>
      <c r="F430" s="714">
        <v>117</v>
      </c>
      <c r="G430" s="714">
        <f t="shared" ref="G430:P430" si="808">G428+G429</f>
        <v>112</v>
      </c>
      <c r="H430" s="714">
        <f t="shared" si="808"/>
        <v>99</v>
      </c>
      <c r="I430" s="714">
        <f t="shared" si="808"/>
        <v>197</v>
      </c>
      <c r="J430" s="714">
        <f t="shared" si="808"/>
        <v>197</v>
      </c>
      <c r="K430" s="714">
        <f t="shared" si="808"/>
        <v>197</v>
      </c>
      <c r="L430" s="714">
        <f t="shared" si="808"/>
        <v>197</v>
      </c>
      <c r="M430" s="714">
        <f t="shared" si="808"/>
        <v>197</v>
      </c>
      <c r="N430" s="714">
        <f t="shared" si="808"/>
        <v>197</v>
      </c>
      <c r="O430" s="714">
        <f t="shared" si="808"/>
        <v>197</v>
      </c>
      <c r="P430" s="714">
        <f t="shared" si="808"/>
        <v>197</v>
      </c>
      <c r="Q430" s="714">
        <f>Q428+Q429</f>
        <v>197</v>
      </c>
      <c r="R430" s="715"/>
      <c r="S430" s="716">
        <v>5</v>
      </c>
      <c r="T430" s="716">
        <v>32</v>
      </c>
      <c r="U430" s="716">
        <v>2</v>
      </c>
      <c r="V430" s="716">
        <v>24</v>
      </c>
      <c r="W430" s="717">
        <v>4</v>
      </c>
      <c r="X430" s="716">
        <v>34</v>
      </c>
      <c r="Y430" s="716">
        <v>34</v>
      </c>
      <c r="Z430" s="716">
        <v>45</v>
      </c>
      <c r="AA430" s="717">
        <f t="shared" ref="AA430:AP430" si="809">AA428+AA429</f>
        <v>75</v>
      </c>
      <c r="AB430" s="716">
        <f t="shared" si="809"/>
        <v>-44</v>
      </c>
      <c r="AC430" s="716">
        <f t="shared" si="809"/>
        <v>9</v>
      </c>
      <c r="AD430" s="716">
        <f t="shared" si="809"/>
        <v>72</v>
      </c>
      <c r="AE430" s="717">
        <v>0</v>
      </c>
      <c r="AF430" s="716">
        <f t="shared" si="809"/>
        <v>30</v>
      </c>
      <c r="AG430" s="714">
        <f t="shared" si="809"/>
        <v>21</v>
      </c>
      <c r="AH430" s="718">
        <f t="shared" si="809"/>
        <v>28</v>
      </c>
      <c r="AI430" s="717">
        <f t="shared" si="809"/>
        <v>22</v>
      </c>
      <c r="AJ430" s="716">
        <f t="shared" si="809"/>
        <v>30</v>
      </c>
      <c r="AK430" s="716">
        <f t="shared" si="809"/>
        <v>21</v>
      </c>
      <c r="AL430" s="718">
        <f t="shared" si="809"/>
        <v>124</v>
      </c>
      <c r="AM430" s="716">
        <f t="shared" si="809"/>
        <v>22</v>
      </c>
      <c r="AN430" s="716">
        <f t="shared" si="809"/>
        <v>30</v>
      </c>
      <c r="AO430" s="716">
        <f t="shared" si="809"/>
        <v>21</v>
      </c>
      <c r="AP430" s="716">
        <f t="shared" si="809"/>
        <v>124</v>
      </c>
      <c r="AQ430" s="1392"/>
      <c r="AR430" s="692"/>
      <c r="AS430" s="692"/>
      <c r="AT430" s="692"/>
      <c r="AU430" s="692"/>
      <c r="AV430" s="692"/>
      <c r="AW430" s="692"/>
      <c r="AX430" s="692"/>
      <c r="AY430" s="692"/>
      <c r="AZ430" s="692"/>
      <c r="BA430" s="692"/>
      <c r="BB430"/>
      <c r="BC430"/>
      <c r="BD430"/>
      <c r="BE430"/>
      <c r="BF430"/>
      <c r="BG430"/>
      <c r="BJ430" s="714"/>
      <c r="BK430" s="714"/>
      <c r="BL430" s="714"/>
      <c r="BM430" s="714"/>
      <c r="BN430" s="714"/>
    </row>
    <row r="431" spans="1:66" s="693" customFormat="1" outlineLevel="1">
      <c r="A431" s="896" t="s">
        <v>195</v>
      </c>
      <c r="B431" s="977">
        <v>99</v>
      </c>
      <c r="C431" s="977">
        <v>12</v>
      </c>
      <c r="D431" s="977">
        <v>1</v>
      </c>
      <c r="E431" s="714">
        <v>1</v>
      </c>
      <c r="F431" s="714">
        <v>0</v>
      </c>
      <c r="G431" s="714">
        <v>-10</v>
      </c>
      <c r="H431" s="714">
        <v>-6</v>
      </c>
      <c r="I431" s="714">
        <v>15</v>
      </c>
      <c r="J431" s="714">
        <v>0</v>
      </c>
      <c r="K431" s="714">
        <v>0</v>
      </c>
      <c r="L431" s="714">
        <v>0</v>
      </c>
      <c r="M431" s="714">
        <v>0</v>
      </c>
      <c r="N431" s="714">
        <v>0</v>
      </c>
      <c r="O431" s="714">
        <v>0</v>
      </c>
      <c r="P431" s="714">
        <v>0</v>
      </c>
      <c r="Q431" s="714">
        <v>0</v>
      </c>
      <c r="R431" s="715"/>
      <c r="S431" s="716">
        <v>0</v>
      </c>
      <c r="T431" s="716">
        <v>0</v>
      </c>
      <c r="U431" s="716">
        <v>1</v>
      </c>
      <c r="V431" s="716">
        <v>0</v>
      </c>
      <c r="W431" s="717">
        <v>0</v>
      </c>
      <c r="X431" s="716">
        <v>0</v>
      </c>
      <c r="Y431" s="716">
        <v>0</v>
      </c>
      <c r="Z431" s="716">
        <v>0</v>
      </c>
      <c r="AA431" s="717">
        <v>-9</v>
      </c>
      <c r="AB431" s="716">
        <v>-3</v>
      </c>
      <c r="AC431" s="716">
        <v>-3</v>
      </c>
      <c r="AD431" s="716">
        <f>G431-SUM(AA431:AC431)</f>
        <v>5</v>
      </c>
      <c r="AE431" s="717">
        <v>-1</v>
      </c>
      <c r="AF431" s="716">
        <v>-2</v>
      </c>
      <c r="AG431" s="716">
        <v>-3</v>
      </c>
      <c r="AH431" s="718">
        <f>+H431-SUM(AE431:AG431)</f>
        <v>0</v>
      </c>
      <c r="AI431" s="717">
        <v>-1</v>
      </c>
      <c r="AJ431" s="716">
        <f>I431/4</f>
        <v>3.75</v>
      </c>
      <c r="AK431" s="716">
        <f>I431/4</f>
        <v>3.75</v>
      </c>
      <c r="AL431" s="718">
        <f>I431-AI431-AJ431-AK431</f>
        <v>8.5</v>
      </c>
      <c r="AM431" s="716">
        <v>0</v>
      </c>
      <c r="AN431" s="716">
        <v>0</v>
      </c>
      <c r="AO431" s="716">
        <v>0</v>
      </c>
      <c r="AP431" s="716">
        <v>0</v>
      </c>
      <c r="AQ431" s="1392"/>
      <c r="AR431" s="692"/>
      <c r="AS431" s="692"/>
      <c r="AT431" s="692"/>
      <c r="AU431" s="692"/>
      <c r="AV431" s="692"/>
      <c r="AW431" s="692"/>
      <c r="AX431" s="692"/>
      <c r="AY431" s="692"/>
      <c r="AZ431" s="692"/>
      <c r="BA431" s="692"/>
      <c r="BB431"/>
      <c r="BC431"/>
      <c r="BD431"/>
      <c r="BE431"/>
      <c r="BF431"/>
      <c r="BG431"/>
      <c r="BJ431" s="714"/>
      <c r="BK431" s="714"/>
      <c r="BL431" s="714"/>
      <c r="BM431" s="714"/>
      <c r="BN431" s="714"/>
    </row>
    <row r="432" spans="1:66" s="693" customFormat="1" outlineLevel="1">
      <c r="A432" s="896" t="s">
        <v>244</v>
      </c>
      <c r="B432" s="714">
        <v>-249</v>
      </c>
      <c r="C432" s="714">
        <v>79</v>
      </c>
      <c r="D432" s="714">
        <v>67</v>
      </c>
      <c r="E432" s="714">
        <v>39</v>
      </c>
      <c r="F432" s="714">
        <v>-473</v>
      </c>
      <c r="G432" s="714">
        <v>-35</v>
      </c>
      <c r="H432" s="714">
        <v>90</v>
      </c>
      <c r="I432" s="714">
        <v>-298</v>
      </c>
      <c r="J432" s="714">
        <v>0</v>
      </c>
      <c r="K432" s="714">
        <v>0</v>
      </c>
      <c r="L432" s="714">
        <v>0</v>
      </c>
      <c r="M432" s="714">
        <v>0</v>
      </c>
      <c r="N432" s="714">
        <v>0</v>
      </c>
      <c r="O432" s="714">
        <v>0</v>
      </c>
      <c r="P432" s="714">
        <v>0</v>
      </c>
      <c r="Q432" s="714">
        <v>0</v>
      </c>
      <c r="R432" s="715"/>
      <c r="S432" s="716">
        <v>-57</v>
      </c>
      <c r="T432" s="716">
        <v>23</v>
      </c>
      <c r="U432" s="716">
        <v>34</v>
      </c>
      <c r="V432" s="716">
        <v>39</v>
      </c>
      <c r="W432" s="717">
        <v>13</v>
      </c>
      <c r="X432" s="716">
        <v>-213</v>
      </c>
      <c r="Y432" s="716">
        <v>-84</v>
      </c>
      <c r="Z432" s="716">
        <v>-189</v>
      </c>
      <c r="AA432" s="717">
        <v>11</v>
      </c>
      <c r="AB432" s="716">
        <v>-8</v>
      </c>
      <c r="AC432" s="716">
        <v>12</v>
      </c>
      <c r="AD432" s="716">
        <f>G432-SUM(AA432:AC432)</f>
        <v>-50</v>
      </c>
      <c r="AE432" s="717">
        <v>18</v>
      </c>
      <c r="AF432" s="716">
        <v>22</v>
      </c>
      <c r="AG432" s="716">
        <v>6</v>
      </c>
      <c r="AH432" s="718">
        <f>+H432-SUM(AE432:AG432)</f>
        <v>44</v>
      </c>
      <c r="AI432" s="717">
        <v>15</v>
      </c>
      <c r="AJ432" s="716">
        <f>I432/4</f>
        <v>-74.5</v>
      </c>
      <c r="AK432" s="716">
        <f>I432/4</f>
        <v>-74.5</v>
      </c>
      <c r="AL432" s="718">
        <f>I432-AI432-AJ432-AK432</f>
        <v>-164</v>
      </c>
      <c r="AM432" s="716">
        <v>0</v>
      </c>
      <c r="AN432" s="716">
        <v>0</v>
      </c>
      <c r="AO432" s="716">
        <v>0</v>
      </c>
      <c r="AP432" s="716">
        <v>0</v>
      </c>
      <c r="AQ432" s="1392"/>
      <c r="AR432" s="692"/>
      <c r="AS432" s="692"/>
      <c r="AT432" s="692"/>
      <c r="AU432" s="692"/>
      <c r="AV432" s="692"/>
      <c r="AW432" s="692"/>
      <c r="AX432" s="692"/>
      <c r="AY432" s="692"/>
      <c r="AZ432" s="692"/>
      <c r="BA432" s="692"/>
      <c r="BB432"/>
      <c r="BC432"/>
      <c r="BD432"/>
      <c r="BE432"/>
      <c r="BF432"/>
      <c r="BG432"/>
      <c r="BJ432" s="714"/>
      <c r="BK432" s="714"/>
      <c r="BL432" s="714"/>
      <c r="BM432" s="714"/>
      <c r="BN432" s="714"/>
    </row>
    <row r="433" spans="1:102" s="693" customFormat="1" outlineLevel="1">
      <c r="A433" s="896" t="s">
        <v>245</v>
      </c>
      <c r="B433" s="714">
        <v>-353</v>
      </c>
      <c r="C433" s="714">
        <v>-540</v>
      </c>
      <c r="D433" s="714">
        <v>-634</v>
      </c>
      <c r="E433" s="714">
        <v>-625</v>
      </c>
      <c r="F433" s="714">
        <v>-423</v>
      </c>
      <c r="G433" s="714">
        <f t="shared" ref="G433:Q433" si="810">G423+G431</f>
        <v>-362</v>
      </c>
      <c r="H433" s="714">
        <f t="shared" si="810"/>
        <v>-294</v>
      </c>
      <c r="I433" s="714">
        <f t="shared" si="810"/>
        <v>-402</v>
      </c>
      <c r="J433" s="714">
        <f t="shared" si="810"/>
        <v>-295.19790920716343</v>
      </c>
      <c r="K433" s="714">
        <f t="shared" si="810"/>
        <v>-313.0146361853412</v>
      </c>
      <c r="L433" s="714">
        <f t="shared" si="810"/>
        <v>-319.88098304518144</v>
      </c>
      <c r="M433" s="714">
        <f t="shared" si="810"/>
        <v>-326.1443002734992</v>
      </c>
      <c r="N433" s="714">
        <f t="shared" si="810"/>
        <v>-334.35125567901275</v>
      </c>
      <c r="O433" s="714">
        <f t="shared" si="810"/>
        <v>-346.39957158746643</v>
      </c>
      <c r="P433" s="714">
        <f t="shared" si="810"/>
        <v>-356.07450918810105</v>
      </c>
      <c r="Q433" s="714">
        <f t="shared" si="810"/>
        <v>-366.23206676157849</v>
      </c>
      <c r="R433" s="715"/>
      <c r="S433" s="716">
        <v>-210</v>
      </c>
      <c r="T433" s="716">
        <v>-131</v>
      </c>
      <c r="U433" s="716">
        <v>-171</v>
      </c>
      <c r="V433" s="716">
        <v>-113</v>
      </c>
      <c r="W433" s="717">
        <v>-51</v>
      </c>
      <c r="X433" s="716">
        <v>-116</v>
      </c>
      <c r="Y433" s="716">
        <v>-197</v>
      </c>
      <c r="Z433" s="716">
        <v>-59</v>
      </c>
      <c r="AA433" s="717">
        <f t="shared" ref="AA433:AP433" si="811">AA423+AA431</f>
        <v>-78</v>
      </c>
      <c r="AB433" s="716">
        <f t="shared" si="811"/>
        <v>-106</v>
      </c>
      <c r="AC433" s="716">
        <f t="shared" si="811"/>
        <v>-68</v>
      </c>
      <c r="AD433" s="716">
        <f t="shared" si="811"/>
        <v>-110</v>
      </c>
      <c r="AE433" s="717">
        <f t="shared" si="811"/>
        <v>-70</v>
      </c>
      <c r="AF433" s="716">
        <f t="shared" si="811"/>
        <v>-112</v>
      </c>
      <c r="AG433" s="714">
        <f t="shared" si="811"/>
        <v>-34</v>
      </c>
      <c r="AH433" s="718">
        <f t="shared" si="811"/>
        <v>-78</v>
      </c>
      <c r="AI433" s="717">
        <f t="shared" si="811"/>
        <v>-64</v>
      </c>
      <c r="AJ433" s="716">
        <f t="shared" si="811"/>
        <v>-45.25</v>
      </c>
      <c r="AK433" s="716">
        <f t="shared" si="811"/>
        <v>-89.25</v>
      </c>
      <c r="AL433" s="718">
        <f t="shared" si="811"/>
        <v>-203.5</v>
      </c>
      <c r="AM433" s="716">
        <f t="shared" si="811"/>
        <v>-150</v>
      </c>
      <c r="AN433" s="716">
        <f t="shared" si="811"/>
        <v>-103.07037606051296</v>
      </c>
      <c r="AO433" s="716">
        <f t="shared" si="811"/>
        <v>-57.433773068148454</v>
      </c>
      <c r="AP433" s="716">
        <f t="shared" si="811"/>
        <v>15.306239921497934</v>
      </c>
      <c r="AQ433" s="1392"/>
      <c r="AR433" s="692"/>
      <c r="AS433" s="692"/>
      <c r="AT433" s="692"/>
      <c r="AU433" s="692"/>
      <c r="AV433" s="692"/>
      <c r="AW433" s="692"/>
      <c r="AX433" s="692"/>
      <c r="AY433" s="692"/>
      <c r="AZ433" s="692"/>
      <c r="BA433" s="692"/>
      <c r="BB433"/>
      <c r="BC433"/>
      <c r="BD433"/>
      <c r="BE433"/>
      <c r="BF433"/>
      <c r="BG433"/>
      <c r="BJ433" s="714"/>
      <c r="BK433" s="714"/>
      <c r="BL433" s="714"/>
      <c r="BM433" s="714"/>
      <c r="BN433" s="714"/>
    </row>
    <row r="434" spans="1:102" s="693" customFormat="1" outlineLevel="1">
      <c r="A434" s="896" t="s">
        <v>246</v>
      </c>
      <c r="B434" s="714">
        <v>-602</v>
      </c>
      <c r="C434" s="714">
        <v>-461</v>
      </c>
      <c r="D434" s="714">
        <v>-567</v>
      </c>
      <c r="E434" s="714">
        <v>-586</v>
      </c>
      <c r="F434" s="714">
        <v>-896</v>
      </c>
      <c r="G434" s="714">
        <f t="shared" ref="G434:Q434" si="812">G433+G432</f>
        <v>-397</v>
      </c>
      <c r="H434" s="714">
        <f t="shared" si="812"/>
        <v>-204</v>
      </c>
      <c r="I434" s="714">
        <f t="shared" si="812"/>
        <v>-700</v>
      </c>
      <c r="J434" s="714">
        <f t="shared" si="812"/>
        <v>-295.19790920716343</v>
      </c>
      <c r="K434" s="714">
        <f t="shared" si="812"/>
        <v>-313.0146361853412</v>
      </c>
      <c r="L434" s="714">
        <f t="shared" si="812"/>
        <v>-319.88098304518144</v>
      </c>
      <c r="M434" s="714">
        <f t="shared" si="812"/>
        <v>-326.1443002734992</v>
      </c>
      <c r="N434" s="714">
        <f t="shared" si="812"/>
        <v>-334.35125567901275</v>
      </c>
      <c r="O434" s="714">
        <f t="shared" si="812"/>
        <v>-346.39957158746643</v>
      </c>
      <c r="P434" s="714">
        <f t="shared" si="812"/>
        <v>-356.07450918810105</v>
      </c>
      <c r="Q434" s="714">
        <f t="shared" si="812"/>
        <v>-366.23206676157849</v>
      </c>
      <c r="R434" s="715"/>
      <c r="S434" s="716">
        <v>-267</v>
      </c>
      <c r="T434" s="716">
        <v>-108</v>
      </c>
      <c r="U434" s="716">
        <v>-137</v>
      </c>
      <c r="V434" s="716">
        <v>-74</v>
      </c>
      <c r="W434" s="717">
        <v>-38</v>
      </c>
      <c r="X434" s="716">
        <v>-329</v>
      </c>
      <c r="Y434" s="716">
        <v>-281</v>
      </c>
      <c r="Z434" s="716">
        <v>-248</v>
      </c>
      <c r="AA434" s="717">
        <f t="shared" ref="AA434:AP434" si="813">AA433+AA432</f>
        <v>-67</v>
      </c>
      <c r="AB434" s="716">
        <f t="shared" si="813"/>
        <v>-114</v>
      </c>
      <c r="AC434" s="716">
        <f t="shared" si="813"/>
        <v>-56</v>
      </c>
      <c r="AD434" s="716">
        <f t="shared" si="813"/>
        <v>-160</v>
      </c>
      <c r="AE434" s="717">
        <f t="shared" si="813"/>
        <v>-52</v>
      </c>
      <c r="AF434" s="716">
        <f t="shared" si="813"/>
        <v>-90</v>
      </c>
      <c r="AG434" s="716">
        <f t="shared" si="813"/>
        <v>-28</v>
      </c>
      <c r="AH434" s="718">
        <f t="shared" si="813"/>
        <v>-34</v>
      </c>
      <c r="AI434" s="717">
        <f t="shared" si="813"/>
        <v>-49</v>
      </c>
      <c r="AJ434" s="716">
        <f t="shared" si="813"/>
        <v>-119.75</v>
      </c>
      <c r="AK434" s="716">
        <f t="shared" si="813"/>
        <v>-163.75</v>
      </c>
      <c r="AL434" s="718">
        <f t="shared" si="813"/>
        <v>-367.5</v>
      </c>
      <c r="AM434" s="716">
        <f t="shared" si="813"/>
        <v>-150</v>
      </c>
      <c r="AN434" s="716">
        <f t="shared" si="813"/>
        <v>-103.07037606051296</v>
      </c>
      <c r="AO434" s="716">
        <f t="shared" si="813"/>
        <v>-57.433773068148454</v>
      </c>
      <c r="AP434" s="716">
        <f t="shared" si="813"/>
        <v>15.306239921497934</v>
      </c>
      <c r="AQ434" s="1392"/>
      <c r="AR434" s="692"/>
      <c r="AS434" s="692"/>
      <c r="AT434" s="692"/>
      <c r="AU434" s="692"/>
      <c r="AV434" s="692"/>
      <c r="AW434" s="692"/>
      <c r="AX434" s="692"/>
      <c r="AY434" s="692"/>
      <c r="AZ434" s="692"/>
      <c r="BA434" s="692"/>
      <c r="BB434"/>
      <c r="BC434"/>
      <c r="BD434"/>
      <c r="BE434"/>
      <c r="BF434"/>
      <c r="BG434"/>
      <c r="BJ434" s="714"/>
      <c r="BK434" s="714"/>
      <c r="BL434" s="714"/>
      <c r="BM434" s="714"/>
      <c r="BN434" s="714"/>
    </row>
    <row r="435" spans="1:102" s="693" customFormat="1" outlineLevel="1">
      <c r="A435" s="896" t="s">
        <v>283</v>
      </c>
      <c r="B435" s="714">
        <v>-583</v>
      </c>
      <c r="C435" s="714">
        <v>-670</v>
      </c>
      <c r="D435" s="714">
        <v>-738</v>
      </c>
      <c r="E435" s="714">
        <v>-729</v>
      </c>
      <c r="F435" s="714">
        <v>-67</v>
      </c>
      <c r="G435" s="714">
        <f t="shared" ref="G435:Q435" si="814">G391+G396+G397+G405+G412</f>
        <v>-419</v>
      </c>
      <c r="H435" s="714">
        <f t="shared" si="814"/>
        <v>-471</v>
      </c>
      <c r="I435" s="714">
        <f t="shared" si="814"/>
        <v>-331</v>
      </c>
      <c r="J435" s="714">
        <f t="shared" si="814"/>
        <v>-295.19790920716343</v>
      </c>
      <c r="K435" s="714">
        <f t="shared" si="814"/>
        <v>-313.0146361853412</v>
      </c>
      <c r="L435" s="714">
        <f t="shared" si="814"/>
        <v>-319.88098304518132</v>
      </c>
      <c r="M435" s="714">
        <f t="shared" si="814"/>
        <v>-326.14430027349931</v>
      </c>
      <c r="N435" s="714">
        <f t="shared" si="814"/>
        <v>-334.3512556790127</v>
      </c>
      <c r="O435" s="714">
        <f t="shared" si="814"/>
        <v>-346.39957158746631</v>
      </c>
      <c r="P435" s="714">
        <f t="shared" si="814"/>
        <v>-356.07450918810099</v>
      </c>
      <c r="Q435" s="714">
        <f t="shared" si="814"/>
        <v>-366.23206676157861</v>
      </c>
      <c r="R435" s="715"/>
      <c r="S435" s="716">
        <v>-158</v>
      </c>
      <c r="T435" s="716">
        <v>-187</v>
      </c>
      <c r="U435" s="716">
        <v>-208</v>
      </c>
      <c r="V435" s="716">
        <v>-176</v>
      </c>
      <c r="W435" s="717">
        <v>-68</v>
      </c>
      <c r="X435" s="716">
        <v>63</v>
      </c>
      <c r="Y435" s="716">
        <v>-147</v>
      </c>
      <c r="Z435" s="716">
        <v>85</v>
      </c>
      <c r="AA435" s="717">
        <f t="shared" ref="AA435:AH435" si="815">AA391+AA396+AA397+AA409+AA412</f>
        <v>-146</v>
      </c>
      <c r="AB435" s="716">
        <f t="shared" si="815"/>
        <v>-48</v>
      </c>
      <c r="AC435" s="716">
        <f t="shared" si="815"/>
        <v>-83</v>
      </c>
      <c r="AD435" s="716">
        <f t="shared" si="815"/>
        <v>-142</v>
      </c>
      <c r="AE435" s="717">
        <f t="shared" si="815"/>
        <v>-106</v>
      </c>
      <c r="AF435" s="716">
        <f t="shared" si="815"/>
        <v>-160</v>
      </c>
      <c r="AG435" s="716">
        <f t="shared" si="815"/>
        <v>-55</v>
      </c>
      <c r="AH435" s="718">
        <f t="shared" si="815"/>
        <v>-150</v>
      </c>
      <c r="AI435" s="717">
        <f t="shared" ref="AI435:AL435" si="816">AI391+AI396+AI397+AI405+AI412</f>
        <v>-99</v>
      </c>
      <c r="AJ435" s="716">
        <f t="shared" si="816"/>
        <v>-106</v>
      </c>
      <c r="AK435" s="716">
        <f t="shared" si="816"/>
        <v>-162</v>
      </c>
      <c r="AL435" s="718">
        <f t="shared" si="816"/>
        <v>36</v>
      </c>
      <c r="AM435" s="716">
        <f>AM391+AM396+AM397+AM405+AM412</f>
        <v>-187</v>
      </c>
      <c r="AN435" s="716">
        <f t="shared" ref="AN435:AP435" si="817">AN391+AN396+AN397+AN405+AN412</f>
        <v>-103.07037606051297</v>
      </c>
      <c r="AO435" s="716">
        <f t="shared" si="817"/>
        <v>-57.433773068148454</v>
      </c>
      <c r="AP435" s="716">
        <f t="shared" si="817"/>
        <v>52.306239921497962</v>
      </c>
      <c r="AQ435" s="1392"/>
      <c r="AR435" s="692"/>
      <c r="AS435" s="692"/>
      <c r="AT435" s="692"/>
      <c r="AU435" s="692"/>
      <c r="AV435" s="692"/>
      <c r="AW435" s="692"/>
      <c r="AX435" s="692"/>
      <c r="AY435" s="692"/>
      <c r="AZ435" s="692"/>
      <c r="BA435" s="692"/>
      <c r="BB435"/>
      <c r="BC435"/>
      <c r="BD435"/>
      <c r="BE435"/>
      <c r="BF435"/>
      <c r="BG435"/>
      <c r="BJ435" s="714"/>
      <c r="BK435" s="714"/>
      <c r="BL435" s="714"/>
      <c r="BM435" s="714"/>
      <c r="BN435" s="714"/>
    </row>
    <row r="436" spans="1:102" s="693" customFormat="1" outlineLevel="1">
      <c r="A436" s="896" t="s">
        <v>284</v>
      </c>
      <c r="B436" s="714"/>
      <c r="C436" s="714"/>
      <c r="D436" s="714"/>
      <c r="E436" s="714"/>
      <c r="F436" s="714">
        <v>-273</v>
      </c>
      <c r="G436" s="714">
        <f>SUM(AA436:AD436)</f>
        <v>0</v>
      </c>
      <c r="H436" s="714"/>
      <c r="I436" s="714"/>
      <c r="J436" s="714"/>
      <c r="K436" s="714"/>
      <c r="L436" s="714"/>
      <c r="M436" s="714"/>
      <c r="N436" s="714"/>
      <c r="O436" s="714"/>
      <c r="P436" s="714"/>
      <c r="Q436" s="714"/>
      <c r="R436" s="715"/>
      <c r="S436" s="716"/>
      <c r="T436" s="716"/>
      <c r="U436" s="716"/>
      <c r="V436" s="716"/>
      <c r="W436" s="717">
        <v>-7</v>
      </c>
      <c r="X436" s="716">
        <v>-2</v>
      </c>
      <c r="Y436" s="716">
        <v>3</v>
      </c>
      <c r="Z436" s="716">
        <v>-267</v>
      </c>
      <c r="AA436" s="717">
        <v>0</v>
      </c>
      <c r="AB436" s="716">
        <v>0</v>
      </c>
      <c r="AC436" s="716">
        <v>0</v>
      </c>
      <c r="AD436" s="716">
        <v>0</v>
      </c>
      <c r="AE436" s="717">
        <v>0</v>
      </c>
      <c r="AF436" s="716">
        <v>0</v>
      </c>
      <c r="AG436" s="716">
        <v>0</v>
      </c>
      <c r="AH436" s="718">
        <f>+H436-SUM(AE436:AG436)</f>
        <v>0</v>
      </c>
      <c r="AI436" s="717">
        <v>0</v>
      </c>
      <c r="AJ436" s="716"/>
      <c r="AK436" s="716"/>
      <c r="AL436" s="718"/>
      <c r="AM436" s="716"/>
      <c r="AN436" s="716"/>
      <c r="AO436" s="716"/>
      <c r="AP436" s="716"/>
      <c r="AQ436" s="1383"/>
      <c r="AR436" s="692"/>
      <c r="AS436" s="692"/>
      <c r="AT436" s="692"/>
      <c r="AU436" s="692"/>
      <c r="AV436" s="692"/>
      <c r="AW436" s="692"/>
      <c r="AX436" s="692"/>
      <c r="AY436" s="692"/>
      <c r="AZ436" s="692"/>
      <c r="BA436" s="692"/>
      <c r="BB436"/>
      <c r="BC436"/>
      <c r="BD436"/>
      <c r="BE436"/>
      <c r="BF436"/>
      <c r="BG436"/>
      <c r="BJ436" s="714"/>
      <c r="BK436" s="714"/>
      <c r="BL436" s="714"/>
      <c r="BM436" s="714"/>
      <c r="BN436" s="714"/>
    </row>
    <row r="437" spans="1:102" s="693" customFormat="1" outlineLevel="1">
      <c r="A437" s="896" t="s">
        <v>285</v>
      </c>
      <c r="B437" s="714"/>
      <c r="C437" s="714"/>
      <c r="D437" s="714"/>
      <c r="E437" s="714"/>
      <c r="F437" s="714">
        <v>-340</v>
      </c>
      <c r="G437" s="714">
        <f>+G435+G436</f>
        <v>-419</v>
      </c>
      <c r="H437" s="714">
        <f>+H435+H436</f>
        <v>-471</v>
      </c>
      <c r="I437" s="714"/>
      <c r="J437" s="714"/>
      <c r="K437" s="714"/>
      <c r="L437" s="714"/>
      <c r="M437" s="714"/>
      <c r="N437" s="714"/>
      <c r="O437" s="714"/>
      <c r="P437" s="714"/>
      <c r="Q437" s="714"/>
      <c r="R437" s="715"/>
      <c r="S437" s="716"/>
      <c r="T437" s="716"/>
      <c r="U437" s="716"/>
      <c r="V437" s="716"/>
      <c r="W437" s="717">
        <v>-75</v>
      </c>
      <c r="X437" s="716">
        <v>61</v>
      </c>
      <c r="Y437" s="716">
        <v>-144</v>
      </c>
      <c r="Z437" s="716">
        <v>-182</v>
      </c>
      <c r="AA437" s="717">
        <f t="shared" ref="AA437:AH437" si="818">+AA435+AA436</f>
        <v>-146</v>
      </c>
      <c r="AB437" s="716">
        <f t="shared" si="818"/>
        <v>-48</v>
      </c>
      <c r="AC437" s="716">
        <f t="shared" si="818"/>
        <v>-83</v>
      </c>
      <c r="AD437" s="716">
        <f t="shared" si="818"/>
        <v>-142</v>
      </c>
      <c r="AE437" s="717">
        <f t="shared" si="818"/>
        <v>-106</v>
      </c>
      <c r="AF437" s="716">
        <f t="shared" si="818"/>
        <v>-160</v>
      </c>
      <c r="AG437" s="716">
        <f t="shared" si="818"/>
        <v>-55</v>
      </c>
      <c r="AH437" s="718">
        <f t="shared" si="818"/>
        <v>-150</v>
      </c>
      <c r="AI437" s="717">
        <f>+AI435+AI436</f>
        <v>-99</v>
      </c>
      <c r="AJ437" s="716"/>
      <c r="AK437" s="716"/>
      <c r="AL437" s="718"/>
      <c r="AM437" s="716"/>
      <c r="AN437" s="716"/>
      <c r="AO437" s="716"/>
      <c r="AP437" s="716"/>
      <c r="AQ437" s="1383"/>
      <c r="AR437" s="692"/>
      <c r="AS437" s="692"/>
      <c r="AT437" s="692"/>
      <c r="AU437" s="692"/>
      <c r="AV437" s="692"/>
      <c r="AW437" s="692"/>
      <c r="AX437" s="692"/>
      <c r="AY437" s="692"/>
      <c r="AZ437" s="692"/>
      <c r="BA437" s="692"/>
      <c r="BB437"/>
      <c r="BC437"/>
      <c r="BD437"/>
      <c r="BE437"/>
      <c r="BF437"/>
      <c r="BG437"/>
      <c r="BJ437" s="714"/>
      <c r="BK437" s="714"/>
      <c r="BL437" s="714"/>
      <c r="BM437" s="714"/>
      <c r="BN437" s="714"/>
    </row>
    <row r="438" spans="1:102" s="693" customFormat="1">
      <c r="A438" s="896"/>
      <c r="B438" s="714"/>
      <c r="C438" s="714"/>
      <c r="D438" s="714"/>
      <c r="E438" s="714"/>
      <c r="F438" s="714"/>
      <c r="G438" s="714"/>
      <c r="H438" s="714"/>
      <c r="I438" s="714"/>
      <c r="J438" s="714"/>
      <c r="K438" s="714"/>
      <c r="L438" s="714"/>
      <c r="M438" s="714"/>
      <c r="N438" s="714"/>
      <c r="O438" s="714"/>
      <c r="P438" s="714"/>
      <c r="Q438" s="714"/>
      <c r="R438" s="715"/>
      <c r="S438" s="716"/>
      <c r="T438" s="716"/>
      <c r="U438" s="716"/>
      <c r="V438" s="716"/>
      <c r="W438" s="717"/>
      <c r="X438" s="716"/>
      <c r="Y438" s="716"/>
      <c r="Z438" s="716"/>
      <c r="AA438" s="717"/>
      <c r="AB438" s="716"/>
      <c r="AC438" s="716"/>
      <c r="AD438" s="716"/>
      <c r="AE438" s="717"/>
      <c r="AF438" s="716"/>
      <c r="AG438" s="716"/>
      <c r="AH438" s="718"/>
      <c r="AI438" s="717"/>
      <c r="AJ438" s="716"/>
      <c r="AK438" s="716"/>
      <c r="AL438" s="718"/>
      <c r="AM438" s="716"/>
      <c r="AN438" s="716"/>
      <c r="AO438" s="716"/>
      <c r="AP438" s="716"/>
      <c r="AQ438" s="1383"/>
      <c r="AR438" s="692"/>
      <c r="AS438" s="692"/>
      <c r="AT438" s="692"/>
      <c r="AU438" s="692"/>
      <c r="AV438" s="692"/>
      <c r="AW438" s="692"/>
      <c r="AX438" s="692"/>
      <c r="AY438" s="692"/>
      <c r="AZ438" s="692"/>
      <c r="BA438" s="692"/>
      <c r="BB438"/>
      <c r="BC438"/>
      <c r="BD438"/>
      <c r="BE438"/>
      <c r="BF438"/>
      <c r="BG438"/>
      <c r="BJ438" s="714"/>
      <c r="BK438" s="714"/>
      <c r="BL438" s="714"/>
      <c r="BM438" s="714"/>
      <c r="BN438" s="714"/>
    </row>
    <row r="439" spans="1:102" s="693" customFormat="1">
      <c r="A439" s="896"/>
      <c r="B439" s="991"/>
      <c r="C439" s="991"/>
      <c r="D439" s="991"/>
      <c r="E439" s="991"/>
      <c r="F439" s="991"/>
      <c r="G439" s="991"/>
      <c r="H439" s="991"/>
      <c r="I439" s="991"/>
      <c r="J439" s="991"/>
      <c r="K439" s="991"/>
      <c r="L439" s="991"/>
      <c r="M439" s="991"/>
      <c r="N439" s="991"/>
      <c r="O439" s="991"/>
      <c r="P439" s="991"/>
      <c r="Q439" s="991"/>
      <c r="R439" s="992"/>
      <c r="S439" s="993"/>
      <c r="T439" s="993"/>
      <c r="U439" s="993"/>
      <c r="V439" s="993"/>
      <c r="W439" s="994"/>
      <c r="X439" s="993"/>
      <c r="Y439" s="993"/>
      <c r="Z439" s="993"/>
      <c r="AA439" s="994"/>
      <c r="AB439" s="993"/>
      <c r="AC439" s="993"/>
      <c r="AD439" s="993"/>
      <c r="AE439" s="994"/>
      <c r="AF439" s="993"/>
      <c r="AG439" s="993"/>
      <c r="AH439" s="995"/>
      <c r="AI439" s="994"/>
      <c r="AJ439" s="993"/>
      <c r="AK439" s="993"/>
      <c r="AL439" s="995"/>
      <c r="AM439" s="993"/>
      <c r="AN439" s="993"/>
      <c r="AO439" s="993"/>
      <c r="AP439" s="993"/>
      <c r="AQ439" s="1383"/>
      <c r="AR439" s="692"/>
      <c r="AS439" s="692"/>
      <c r="AT439" s="692"/>
      <c r="AU439" s="692"/>
      <c r="AV439" s="692"/>
      <c r="AW439" s="692"/>
      <c r="AX439" s="692"/>
      <c r="AY439" s="692"/>
      <c r="AZ439" s="692"/>
      <c r="BA439" s="692"/>
      <c r="BB439"/>
      <c r="BC439"/>
      <c r="BD439"/>
      <c r="BE439"/>
      <c r="BF439"/>
      <c r="BG439"/>
      <c r="BJ439" s="996"/>
      <c r="BK439" s="996"/>
      <c r="BL439" s="996"/>
      <c r="BM439" s="996"/>
      <c r="BN439" s="996"/>
    </row>
    <row r="440" spans="1:102" s="693" customFormat="1">
      <c r="A440" s="997" t="s">
        <v>1836</v>
      </c>
      <c r="B440" s="998"/>
      <c r="C440" s="998"/>
      <c r="D440" s="998"/>
      <c r="E440" s="998"/>
      <c r="F440" s="998"/>
      <c r="G440" s="998"/>
      <c r="H440" s="998"/>
      <c r="I440" s="998"/>
      <c r="J440" s="998"/>
      <c r="K440" s="998"/>
      <c r="L440" s="998"/>
      <c r="M440" s="998"/>
      <c r="N440" s="998"/>
      <c r="O440" s="998"/>
      <c r="P440" s="998"/>
      <c r="Q440" s="998"/>
      <c r="R440" s="999"/>
      <c r="S440" s="1000"/>
      <c r="T440" s="1000"/>
      <c r="U440" s="1000"/>
      <c r="V440" s="1000"/>
      <c r="W440" s="1001"/>
      <c r="X440" s="1000"/>
      <c r="Y440" s="1000"/>
      <c r="Z440" s="1000"/>
      <c r="AA440" s="1001"/>
      <c r="AB440" s="1000"/>
      <c r="AC440" s="1000"/>
      <c r="AD440" s="1000"/>
      <c r="AE440" s="1001"/>
      <c r="AF440" s="1000"/>
      <c r="AG440" s="1000"/>
      <c r="AH440" s="1002"/>
      <c r="AI440" s="1001"/>
      <c r="AJ440" s="1000"/>
      <c r="AK440" s="1000"/>
      <c r="AL440" s="1002"/>
      <c r="AM440" s="1000"/>
      <c r="AN440" s="1000"/>
      <c r="AO440" s="1000"/>
      <c r="AP440" s="1000"/>
      <c r="AQ440" s="1389"/>
      <c r="AR440" s="794"/>
      <c r="AS440" s="794"/>
      <c r="AT440" s="794"/>
      <c r="AU440" s="794"/>
      <c r="AV440" s="794"/>
      <c r="AW440" s="794"/>
      <c r="AX440" s="794"/>
      <c r="AY440" s="794"/>
      <c r="AZ440" s="794"/>
      <c r="BA440" s="794"/>
      <c r="BB440"/>
      <c r="BC440"/>
      <c r="BD440"/>
      <c r="BE440"/>
      <c r="BF440"/>
      <c r="BG440"/>
      <c r="BL440" s="925"/>
      <c r="BM440" s="925"/>
      <c r="BN440" s="1003"/>
      <c r="BO440" s="1003"/>
      <c r="BP440" s="1003"/>
      <c r="BQ440" s="1003"/>
      <c r="BR440" s="1003"/>
      <c r="BS440" s="1003"/>
      <c r="BT440" s="1003"/>
      <c r="BU440" s="1003"/>
      <c r="BV440" s="1003"/>
      <c r="BW440" s="1003"/>
      <c r="BX440" s="1003"/>
      <c r="BY440" s="1003"/>
      <c r="BZ440" s="1003"/>
      <c r="CA440" s="1003"/>
      <c r="CB440" s="1003"/>
      <c r="CC440" s="1003"/>
      <c r="CF440" s="1003"/>
      <c r="CG440" s="1003"/>
      <c r="CH440" s="1003"/>
      <c r="CI440" s="1003"/>
      <c r="CJ440" s="1003"/>
      <c r="CK440" s="1003"/>
      <c r="CL440" s="1003"/>
      <c r="CM440" s="1003"/>
      <c r="CN440" s="1003"/>
      <c r="CO440" s="1003"/>
      <c r="CP440" s="1003"/>
      <c r="CQ440" s="1003"/>
      <c r="CR440" s="1003"/>
      <c r="CT440" s="1003"/>
      <c r="CU440" s="1003"/>
      <c r="CV440" s="1003"/>
      <c r="CW440" s="1003"/>
      <c r="CX440" s="1003"/>
    </row>
    <row r="441" spans="1:102" s="693" customFormat="1" outlineLevel="2">
      <c r="A441" s="925" t="s">
        <v>663</v>
      </c>
      <c r="B441" s="714"/>
      <c r="C441" s="714">
        <v>59375</v>
      </c>
      <c r="D441" s="714">
        <v>57505</v>
      </c>
      <c r="E441" s="714">
        <v>52495</v>
      </c>
      <c r="F441" s="714">
        <v>53093</v>
      </c>
      <c r="G441" s="714">
        <f t="shared" ref="G441:Q441" si="819">G3+G10</f>
        <v>50333</v>
      </c>
      <c r="H441" s="714">
        <f t="shared" si="819"/>
        <v>49386</v>
      </c>
      <c r="I441" s="714">
        <f t="shared" si="819"/>
        <v>50135</v>
      </c>
      <c r="J441" s="714">
        <f t="shared" si="819"/>
        <v>53350.098774012833</v>
      </c>
      <c r="K441" s="714">
        <f t="shared" si="819"/>
        <v>54413.847679890714</v>
      </c>
      <c r="L441" s="714">
        <f t="shared" si="819"/>
        <v>56110.998305406931</v>
      </c>
      <c r="M441" s="714">
        <f t="shared" si="819"/>
        <v>58168.981492703839</v>
      </c>
      <c r="N441" s="714">
        <f t="shared" si="819"/>
        <v>59383.306490832547</v>
      </c>
      <c r="O441" s="714">
        <f t="shared" si="819"/>
        <v>58815.08527953249</v>
      </c>
      <c r="P441" s="714">
        <f t="shared" si="819"/>
        <v>59554.623304327593</v>
      </c>
      <c r="Q441" s="714">
        <f t="shared" si="819"/>
        <v>60187.452036651142</v>
      </c>
      <c r="R441" s="715"/>
      <c r="S441" s="716"/>
      <c r="T441" s="716"/>
      <c r="U441" s="716"/>
      <c r="V441" s="716"/>
      <c r="W441" s="1001"/>
      <c r="X441" s="1000"/>
      <c r="Y441" s="1000"/>
      <c r="Z441" s="1000"/>
      <c r="AA441" s="1001"/>
      <c r="AB441" s="1000"/>
      <c r="AC441" s="1000"/>
      <c r="AD441" s="1000"/>
      <c r="AE441" s="1001"/>
      <c r="AF441" s="1000"/>
      <c r="AG441" s="1000"/>
      <c r="AH441" s="1002"/>
      <c r="AI441" s="1001"/>
      <c r="AJ441" s="1000"/>
      <c r="AK441" s="1000"/>
      <c r="AL441" s="1002"/>
      <c r="AM441" s="1000"/>
      <c r="AN441" s="1000"/>
      <c r="AO441" s="1000"/>
      <c r="AP441" s="1000"/>
      <c r="AQ441" s="1389"/>
      <c r="AR441" s="794"/>
      <c r="AS441" s="794"/>
      <c r="AT441" s="794"/>
      <c r="AU441" s="794"/>
      <c r="AV441" s="794"/>
      <c r="AW441" s="794"/>
      <c r="AX441" s="794"/>
      <c r="AY441" s="794"/>
      <c r="AZ441" s="794"/>
      <c r="BA441" s="794"/>
      <c r="BB441"/>
      <c r="BC441"/>
      <c r="BD441"/>
      <c r="BE441"/>
      <c r="BF441"/>
      <c r="BG441"/>
      <c r="BL441" s="925"/>
      <c r="BM441" s="925"/>
      <c r="BN441" s="1003"/>
      <c r="BO441" s="1003"/>
      <c r="BP441" s="1003"/>
      <c r="BQ441" s="1003"/>
      <c r="BR441" s="1003"/>
      <c r="BS441" s="1003"/>
      <c r="BT441" s="1003"/>
      <c r="BU441" s="1003"/>
      <c r="BV441" s="1003"/>
      <c r="BW441" s="1003"/>
      <c r="BX441" s="1003"/>
      <c r="BY441" s="1003"/>
      <c r="BZ441" s="1003"/>
      <c r="CA441" s="1003"/>
      <c r="CB441" s="1003"/>
      <c r="CC441" s="1003"/>
      <c r="CF441" s="780"/>
      <c r="CG441" s="780"/>
      <c r="CH441" s="780"/>
      <c r="CI441" s="780"/>
      <c r="CJ441" s="1003"/>
      <c r="CK441" s="1003"/>
      <c r="CL441" s="1003"/>
      <c r="CM441" s="1003"/>
      <c r="CN441" s="780"/>
      <c r="CO441" s="780"/>
      <c r="CP441" s="1003"/>
      <c r="CQ441" s="1003"/>
      <c r="CR441" s="1003"/>
      <c r="CT441" s="780"/>
      <c r="CU441" s="780"/>
      <c r="CV441" s="780"/>
      <c r="CW441" s="780"/>
      <c r="CX441" s="1003"/>
    </row>
    <row r="442" spans="1:102" s="693" customFormat="1" outlineLevel="2">
      <c r="A442" s="925" t="s">
        <v>664</v>
      </c>
      <c r="B442" s="998"/>
      <c r="C442" s="714">
        <v>-43466</v>
      </c>
      <c r="D442" s="714">
        <v>-42663</v>
      </c>
      <c r="E442" s="714">
        <v>-38288</v>
      </c>
      <c r="F442" s="714">
        <v>-38620</v>
      </c>
      <c r="G442" s="714">
        <f t="shared" ref="G442:Q442" si="820">G13+G26+G31+G36+G41</f>
        <v>-36543</v>
      </c>
      <c r="H442" s="714">
        <f t="shared" si="820"/>
        <v>-36399</v>
      </c>
      <c r="I442" s="714">
        <f t="shared" si="820"/>
        <v>-37285</v>
      </c>
      <c r="J442" s="714">
        <f t="shared" si="820"/>
        <v>-38960.018224382256</v>
      </c>
      <c r="K442" s="714">
        <f t="shared" si="820"/>
        <v>-39457.383911538673</v>
      </c>
      <c r="L442" s="714">
        <f t="shared" si="820"/>
        <v>-39884.488430553014</v>
      </c>
      <c r="M442" s="714">
        <f t="shared" si="820"/>
        <v>-40836.673612346371</v>
      </c>
      <c r="N442" s="714">
        <f t="shared" si="820"/>
        <v>-40956.764462443338</v>
      </c>
      <c r="O442" s="714">
        <f t="shared" si="820"/>
        <v>-40563.060653175969</v>
      </c>
      <c r="P442" s="714">
        <f t="shared" si="820"/>
        <v>-40837.377295329541</v>
      </c>
      <c r="Q442" s="714">
        <f t="shared" si="820"/>
        <v>-41213.204980555318</v>
      </c>
      <c r="R442" s="999"/>
      <c r="S442" s="1000"/>
      <c r="T442" s="1000"/>
      <c r="U442" s="1000"/>
      <c r="V442" s="1000"/>
      <c r="W442" s="1001"/>
      <c r="X442" s="1000"/>
      <c r="Y442" s="1000"/>
      <c r="Z442" s="1000"/>
      <c r="AA442" s="1001"/>
      <c r="AB442" s="1000"/>
      <c r="AC442" s="1000"/>
      <c r="AD442" s="1000"/>
      <c r="AE442" s="1001"/>
      <c r="AF442" s="1000"/>
      <c r="AG442" s="1000"/>
      <c r="AH442" s="1002"/>
      <c r="AI442" s="1001"/>
      <c r="AJ442" s="1000"/>
      <c r="AK442" s="1000"/>
      <c r="AL442" s="1002"/>
      <c r="AM442" s="1000"/>
      <c r="AN442" s="1000"/>
      <c r="AO442" s="1000"/>
      <c r="AP442" s="1000"/>
      <c r="AQ442" s="1389"/>
      <c r="AR442" s="794"/>
      <c r="AS442" s="794"/>
      <c r="AT442" s="794"/>
      <c r="AU442" s="794"/>
      <c r="AV442" s="794"/>
      <c r="AW442" s="794"/>
      <c r="AX442" s="794"/>
      <c r="AY442" s="794"/>
      <c r="AZ442" s="794"/>
      <c r="BA442" s="794"/>
      <c r="BB442"/>
      <c r="BC442"/>
      <c r="BD442"/>
      <c r="BE442"/>
      <c r="BF442"/>
      <c r="BG442"/>
      <c r="BL442" s="925"/>
      <c r="BM442" s="925"/>
      <c r="BN442" s="1003"/>
      <c r="BO442" s="1003"/>
      <c r="BP442" s="1003"/>
      <c r="BQ442" s="1003"/>
      <c r="BR442" s="1003"/>
      <c r="BS442" s="1003"/>
      <c r="BT442" s="1003"/>
      <c r="BU442" s="1003"/>
      <c r="BV442" s="1003"/>
      <c r="BW442" s="1003"/>
      <c r="BX442" s="1003"/>
      <c r="BY442" s="1003"/>
      <c r="BZ442" s="1003"/>
      <c r="CA442" s="1003"/>
      <c r="CB442" s="1003"/>
      <c r="CC442" s="1003"/>
      <c r="CF442" s="1003"/>
      <c r="CG442" s="1003"/>
      <c r="CH442" s="1003"/>
      <c r="CI442" s="1003"/>
      <c r="CJ442" s="1003"/>
      <c r="CK442" s="1003"/>
      <c r="CL442" s="1003"/>
      <c r="CM442" s="1003"/>
      <c r="CN442" s="1003"/>
      <c r="CO442" s="1003"/>
      <c r="CP442" s="1003"/>
      <c r="CQ442" s="1003"/>
      <c r="CR442" s="1003"/>
      <c r="CT442" s="1003"/>
      <c r="CU442" s="1003"/>
      <c r="CV442" s="1003"/>
      <c r="CW442" s="1003"/>
      <c r="CX442" s="1003"/>
    </row>
    <row r="443" spans="1:102" s="693" customFormat="1" outlineLevel="2">
      <c r="A443" s="925" t="s">
        <v>665</v>
      </c>
      <c r="B443" s="998"/>
      <c r="C443" s="714">
        <v>15909</v>
      </c>
      <c r="D443" s="714">
        <v>14842</v>
      </c>
      <c r="E443" s="714">
        <v>14207</v>
      </c>
      <c r="F443" s="714">
        <v>14473</v>
      </c>
      <c r="G443" s="714">
        <f t="shared" ref="G443:Q443" si="821">+G441+G442</f>
        <v>13790</v>
      </c>
      <c r="H443" s="714">
        <f t="shared" si="821"/>
        <v>12987</v>
      </c>
      <c r="I443" s="714">
        <f t="shared" si="821"/>
        <v>12850</v>
      </c>
      <c r="J443" s="714">
        <f t="shared" si="821"/>
        <v>14390.080549630577</v>
      </c>
      <c r="K443" s="714">
        <f t="shared" si="821"/>
        <v>14956.463768352041</v>
      </c>
      <c r="L443" s="714">
        <f t="shared" si="821"/>
        <v>16226.509874853917</v>
      </c>
      <c r="M443" s="714">
        <f t="shared" si="821"/>
        <v>17332.307880357468</v>
      </c>
      <c r="N443" s="714">
        <f t="shared" si="821"/>
        <v>18426.542028389209</v>
      </c>
      <c r="O443" s="714">
        <f t="shared" si="821"/>
        <v>18252.02462635652</v>
      </c>
      <c r="P443" s="714">
        <f t="shared" si="821"/>
        <v>18717.246008998052</v>
      </c>
      <c r="Q443" s="714">
        <f t="shared" si="821"/>
        <v>18974.247056095825</v>
      </c>
      <c r="R443" s="999"/>
      <c r="S443" s="1000"/>
      <c r="T443" s="1000"/>
      <c r="U443" s="1000"/>
      <c r="V443" s="1000"/>
      <c r="W443" s="1001"/>
      <c r="X443" s="1000"/>
      <c r="Y443" s="1000"/>
      <c r="Z443" s="1000"/>
      <c r="AA443" s="1001"/>
      <c r="AB443" s="1000"/>
      <c r="AC443" s="1000"/>
      <c r="AD443" s="1000"/>
      <c r="AE443" s="1001"/>
      <c r="AF443" s="1000"/>
      <c r="AG443" s="1000"/>
      <c r="AH443" s="1002"/>
      <c r="AI443" s="1001"/>
      <c r="AJ443" s="1000"/>
      <c r="AK443" s="1000"/>
      <c r="AL443" s="1002"/>
      <c r="AM443" s="1000"/>
      <c r="AN443" s="1000"/>
      <c r="AO443" s="1000"/>
      <c r="AP443" s="1000"/>
      <c r="AQ443" s="1389"/>
      <c r="AR443" s="794"/>
      <c r="AS443" s="794"/>
      <c r="AT443" s="794"/>
      <c r="AU443" s="794"/>
      <c r="AV443" s="794"/>
      <c r="AW443" s="794"/>
      <c r="AX443" s="794"/>
      <c r="AY443" s="794"/>
      <c r="AZ443" s="794"/>
      <c r="BA443" s="794"/>
      <c r="BB443"/>
      <c r="BC443"/>
      <c r="BD443"/>
      <c r="BE443"/>
      <c r="BF443"/>
      <c r="BG443"/>
      <c r="BL443" s="925"/>
      <c r="BM443" s="925"/>
      <c r="BN443" s="1003"/>
      <c r="BO443" s="1003"/>
      <c r="BP443" s="1003"/>
      <c r="BQ443" s="1003"/>
      <c r="BR443" s="1003"/>
      <c r="BS443" s="1003"/>
      <c r="BT443" s="1003"/>
      <c r="BU443" s="1003"/>
      <c r="BV443" s="1003"/>
      <c r="BW443" s="1003"/>
      <c r="BX443" s="1003"/>
      <c r="BY443" s="1003"/>
      <c r="BZ443" s="1003"/>
      <c r="CA443" s="1003"/>
      <c r="CB443" s="1003"/>
      <c r="CC443" s="1003"/>
      <c r="CF443" s="1003"/>
      <c r="CG443" s="1003"/>
      <c r="CH443" s="1003"/>
      <c r="CI443" s="1003"/>
      <c r="CJ443" s="1003"/>
      <c r="CK443" s="1003"/>
      <c r="CL443" s="1003"/>
      <c r="CM443" s="1003"/>
      <c r="CN443" s="1003"/>
      <c r="CO443" s="1003"/>
      <c r="CP443" s="1003"/>
      <c r="CQ443" s="1003"/>
      <c r="CR443" s="1003"/>
      <c r="CT443" s="1003"/>
      <c r="CU443" s="1003"/>
      <c r="CV443" s="1003"/>
      <c r="CW443" s="1003"/>
      <c r="CX443" s="1003"/>
    </row>
    <row r="444" spans="1:102" s="693" customFormat="1" outlineLevel="2">
      <c r="A444" s="925" t="s">
        <v>582</v>
      </c>
      <c r="B444" s="998"/>
      <c r="C444" s="714">
        <v>-2428.9687148744847</v>
      </c>
      <c r="D444" s="714">
        <v>-2210.6815997834474</v>
      </c>
      <c r="E444" s="714">
        <v>-2042.336920819065</v>
      </c>
      <c r="F444" s="714">
        <v>-1998.9950282639786</v>
      </c>
      <c r="G444" s="714">
        <f t="shared" ref="G444:Q444" si="822">G443*-G456</f>
        <v>-2007.0458416122624</v>
      </c>
      <c r="H444" s="714">
        <f t="shared" si="822"/>
        <v>-1951.7076229815998</v>
      </c>
      <c r="I444" s="714">
        <f t="shared" si="822"/>
        <v>-1964.8668749070355</v>
      </c>
      <c r="J444" s="714">
        <f t="shared" si="822"/>
        <v>-2302.4128879408922</v>
      </c>
      <c r="K444" s="714">
        <f t="shared" si="822"/>
        <v>-2393.0342029363269</v>
      </c>
      <c r="L444" s="714">
        <f t="shared" si="822"/>
        <v>-2596.2415799766268</v>
      </c>
      <c r="M444" s="714">
        <f t="shared" si="822"/>
        <v>-2773.1692608571948</v>
      </c>
      <c r="N444" s="714">
        <f t="shared" si="822"/>
        <v>-2948.2467245422736</v>
      </c>
      <c r="O444" s="714">
        <f t="shared" si="822"/>
        <v>-2920.3239402170434</v>
      </c>
      <c r="P444" s="714">
        <f t="shared" si="822"/>
        <v>-2994.7593614396883</v>
      </c>
      <c r="Q444" s="714">
        <f t="shared" si="822"/>
        <v>-3035.8795289753321</v>
      </c>
      <c r="R444" s="999"/>
      <c r="S444" s="1000"/>
      <c r="T444" s="1000"/>
      <c r="U444" s="1000"/>
      <c r="V444" s="1000"/>
      <c r="W444" s="1001"/>
      <c r="X444" s="1000"/>
      <c r="Y444" s="1000"/>
      <c r="Z444" s="1000"/>
      <c r="AA444" s="1001"/>
      <c r="AB444" s="1000"/>
      <c r="AC444" s="1000"/>
      <c r="AD444" s="1000"/>
      <c r="AE444" s="1001"/>
      <c r="AF444" s="1000"/>
      <c r="AG444" s="1000"/>
      <c r="AH444" s="1002"/>
      <c r="AI444" s="1001"/>
      <c r="AJ444" s="1000"/>
      <c r="AK444" s="1000"/>
      <c r="AL444" s="1002"/>
      <c r="AM444" s="1000"/>
      <c r="AN444" s="1000"/>
      <c r="AO444" s="1000"/>
      <c r="AP444" s="1000"/>
      <c r="AQ444" s="1389"/>
      <c r="AR444" s="794"/>
      <c r="AS444" s="794"/>
      <c r="AT444" s="794"/>
      <c r="AU444" s="794"/>
      <c r="AV444" s="794"/>
      <c r="AW444" s="794"/>
      <c r="AX444" s="794"/>
      <c r="AY444" s="794"/>
      <c r="AZ444" s="794"/>
      <c r="BA444" s="794"/>
      <c r="BB444"/>
      <c r="BC444"/>
      <c r="BD444"/>
      <c r="BE444"/>
      <c r="BF444"/>
      <c r="BG444"/>
      <c r="BL444" s="925"/>
      <c r="BM444" s="925"/>
      <c r="BN444" s="1003"/>
      <c r="BO444" s="1003"/>
      <c r="BP444" s="1003"/>
      <c r="BQ444" s="1003"/>
      <c r="BR444" s="1003"/>
      <c r="BS444" s="1003"/>
      <c r="BT444" s="1003"/>
      <c r="BU444" s="1003"/>
      <c r="BV444" s="1003"/>
      <c r="BW444" s="1003"/>
      <c r="BX444" s="1003"/>
      <c r="BY444" s="1003"/>
      <c r="BZ444" s="1003"/>
      <c r="CA444" s="1003"/>
      <c r="CB444" s="1003"/>
      <c r="CC444" s="1003"/>
      <c r="CF444" s="1003"/>
      <c r="CG444" s="1003"/>
      <c r="CH444" s="1003"/>
      <c r="CI444" s="1003"/>
      <c r="CJ444" s="1003"/>
      <c r="CK444" s="1003"/>
      <c r="CL444" s="1003"/>
      <c r="CM444" s="1003"/>
      <c r="CN444" s="1003"/>
      <c r="CO444" s="1003"/>
      <c r="CP444" s="1003"/>
      <c r="CQ444" s="1003"/>
      <c r="CR444" s="1003"/>
      <c r="CT444" s="1003"/>
      <c r="CU444" s="1003"/>
      <c r="CV444" s="1003"/>
      <c r="CW444" s="1003"/>
      <c r="CX444" s="1003"/>
    </row>
    <row r="445" spans="1:102" s="693" customFormat="1" outlineLevel="2">
      <c r="A445" s="925" t="s">
        <v>583</v>
      </c>
      <c r="B445" s="998"/>
      <c r="C445" s="714">
        <v>13480.031285125515</v>
      </c>
      <c r="D445" s="714">
        <v>12631.318400216553</v>
      </c>
      <c r="E445" s="714">
        <v>12164.663079180935</v>
      </c>
      <c r="F445" s="714">
        <v>12474.004971736022</v>
      </c>
      <c r="G445" s="714">
        <f t="shared" ref="G445:Q445" si="823">G443+G444</f>
        <v>11782.954158387738</v>
      </c>
      <c r="H445" s="714">
        <f t="shared" si="823"/>
        <v>11035.292377018401</v>
      </c>
      <c r="I445" s="714">
        <f t="shared" si="823"/>
        <v>10885.133125092965</v>
      </c>
      <c r="J445" s="714">
        <f t="shared" si="823"/>
        <v>12087.667661689684</v>
      </c>
      <c r="K445" s="714">
        <f t="shared" si="823"/>
        <v>12563.429565415714</v>
      </c>
      <c r="L445" s="714">
        <f t="shared" si="823"/>
        <v>13630.268294877289</v>
      </c>
      <c r="M445" s="714">
        <f t="shared" si="823"/>
        <v>14559.138619500274</v>
      </c>
      <c r="N445" s="714">
        <f t="shared" si="823"/>
        <v>15478.295303846935</v>
      </c>
      <c r="O445" s="714">
        <f t="shared" si="823"/>
        <v>15331.700686139477</v>
      </c>
      <c r="P445" s="714">
        <f t="shared" si="823"/>
        <v>15722.486647558364</v>
      </c>
      <c r="Q445" s="714">
        <f t="shared" si="823"/>
        <v>15938.367527120492</v>
      </c>
      <c r="R445" s="999"/>
      <c r="S445" s="1000"/>
      <c r="T445" s="1000"/>
      <c r="U445" s="1000"/>
      <c r="V445" s="1000"/>
      <c r="W445" s="1001"/>
      <c r="X445" s="1000"/>
      <c r="Y445" s="1000"/>
      <c r="Z445" s="1000"/>
      <c r="AA445" s="1001"/>
      <c r="AB445" s="1000"/>
      <c r="AC445" s="1000"/>
      <c r="AD445" s="1000"/>
      <c r="AE445" s="1001"/>
      <c r="AF445" s="1000"/>
      <c r="AG445" s="1000"/>
      <c r="AH445" s="1002"/>
      <c r="AI445" s="1001"/>
      <c r="AJ445" s="1000"/>
      <c r="AK445" s="1000"/>
      <c r="AL445" s="1002"/>
      <c r="AM445" s="1000"/>
      <c r="AN445" s="1000"/>
      <c r="AO445" s="1000"/>
      <c r="AP445" s="1000"/>
      <c r="AQ445" s="1389"/>
      <c r="AR445" s="794"/>
      <c r="AS445" s="794"/>
      <c r="AT445" s="794"/>
      <c r="AU445" s="794"/>
      <c r="AV445" s="794"/>
      <c r="AW445" s="794"/>
      <c r="AX445" s="794"/>
      <c r="AY445" s="794"/>
      <c r="AZ445" s="794"/>
      <c r="BA445" s="794"/>
      <c r="BB445"/>
      <c r="BC445"/>
      <c r="BD445"/>
      <c r="BE445"/>
      <c r="BF445"/>
      <c r="BG445"/>
      <c r="BL445" s="925"/>
      <c r="BM445" s="925"/>
      <c r="BN445" s="1003"/>
      <c r="BO445" s="1003"/>
      <c r="BP445" s="1003"/>
      <c r="BQ445" s="1003"/>
      <c r="BR445" s="1003"/>
      <c r="BS445" s="1003"/>
      <c r="BT445" s="1003"/>
      <c r="BU445" s="1003"/>
      <c r="BV445" s="1003"/>
      <c r="BW445" s="1003"/>
      <c r="BX445" s="1003"/>
      <c r="BY445" s="1003"/>
      <c r="BZ445" s="1003"/>
      <c r="CA445" s="1003"/>
      <c r="CB445" s="1003"/>
      <c r="CC445" s="1003"/>
      <c r="CF445" s="1003"/>
      <c r="CG445" s="1003"/>
      <c r="CH445" s="1003"/>
      <c r="CI445" s="1003"/>
      <c r="CJ445" s="1003"/>
      <c r="CK445" s="1003"/>
      <c r="CL445" s="1003"/>
      <c r="CM445" s="1003"/>
      <c r="CN445" s="1003"/>
      <c r="CO445" s="1003"/>
      <c r="CP445" s="1003"/>
      <c r="CQ445" s="1003"/>
      <c r="CR445" s="1003"/>
      <c r="CT445" s="1003"/>
      <c r="CU445" s="1003"/>
      <c r="CV445" s="1003"/>
      <c r="CW445" s="1003"/>
      <c r="CX445" s="1003"/>
    </row>
    <row r="446" spans="1:102" s="693" customFormat="1" outlineLevel="2">
      <c r="A446" s="925" t="s">
        <v>666</v>
      </c>
      <c r="B446" s="998"/>
      <c r="C446" s="714">
        <v>-638.0327838141626</v>
      </c>
      <c r="D446" s="714">
        <v>-697.86289503958858</v>
      </c>
      <c r="E446" s="714">
        <v>-663.58934936054231</v>
      </c>
      <c r="F446" s="714">
        <v>-633.48259892392559</v>
      </c>
      <c r="G446" s="714">
        <f t="shared" ref="G446:Q446" si="824">G107*(1-G456)</f>
        <v>-580.17591541300021</v>
      </c>
      <c r="H446" s="714">
        <f t="shared" si="824"/>
        <v>-684.87300037551631</v>
      </c>
      <c r="I446" s="714">
        <f t="shared" si="824"/>
        <v>-625.15394912985278</v>
      </c>
      <c r="J446" s="714">
        <f t="shared" si="824"/>
        <v>-697.19999999999993</v>
      </c>
      <c r="K446" s="714">
        <f t="shared" si="824"/>
        <v>-630</v>
      </c>
      <c r="L446" s="714">
        <f t="shared" si="824"/>
        <v>-588</v>
      </c>
      <c r="M446" s="714">
        <f t="shared" si="824"/>
        <v>-504</v>
      </c>
      <c r="N446" s="714">
        <f t="shared" si="824"/>
        <v>-420</v>
      </c>
      <c r="O446" s="714">
        <f t="shared" si="824"/>
        <v>-336</v>
      </c>
      <c r="P446" s="714">
        <f t="shared" si="824"/>
        <v>-168</v>
      </c>
      <c r="Q446" s="714">
        <f t="shared" si="824"/>
        <v>-168</v>
      </c>
      <c r="R446" s="999"/>
      <c r="S446" s="1000"/>
      <c r="T446" s="1000"/>
      <c r="U446" s="1000"/>
      <c r="V446" s="1000"/>
      <c r="W446" s="1001"/>
      <c r="X446" s="1000"/>
      <c r="Y446" s="1000"/>
      <c r="Z446" s="1000"/>
      <c r="AA446" s="1001"/>
      <c r="AB446" s="1000"/>
      <c r="AC446" s="1000"/>
      <c r="AD446" s="1000"/>
      <c r="AE446" s="1001"/>
      <c r="AF446" s="1000"/>
      <c r="AG446" s="1000"/>
      <c r="AH446" s="1002"/>
      <c r="AI446" s="1001"/>
      <c r="AJ446" s="1000"/>
      <c r="AK446" s="1000"/>
      <c r="AL446" s="1002"/>
      <c r="AM446" s="1000"/>
      <c r="AN446" s="1000"/>
      <c r="AO446" s="1000"/>
      <c r="AP446" s="1000"/>
      <c r="AQ446" s="1389"/>
      <c r="AR446" s="794"/>
      <c r="AS446" s="794"/>
      <c r="AT446" s="794"/>
      <c r="AU446" s="794"/>
      <c r="AV446" s="794"/>
      <c r="AW446" s="794"/>
      <c r="AX446" s="794"/>
      <c r="AY446" s="794"/>
      <c r="AZ446" s="794"/>
      <c r="BA446" s="794"/>
      <c r="BB446"/>
      <c r="BC446"/>
      <c r="BD446"/>
      <c r="BE446"/>
      <c r="BF446"/>
      <c r="BG446"/>
      <c r="BL446" s="925"/>
      <c r="BM446" s="925"/>
      <c r="BN446" s="1003"/>
      <c r="BO446" s="1003"/>
      <c r="BP446" s="1003"/>
      <c r="BQ446" s="1003"/>
      <c r="BR446" s="1003"/>
      <c r="BS446" s="1003"/>
      <c r="BT446" s="1003"/>
      <c r="BU446" s="1003"/>
      <c r="BV446" s="1003"/>
      <c r="BW446" s="1003"/>
      <c r="BX446" s="1003"/>
      <c r="BY446" s="1003"/>
      <c r="BZ446" s="1003"/>
      <c r="CA446" s="1003"/>
      <c r="CB446" s="1003"/>
      <c r="CC446" s="1003"/>
      <c r="CF446" s="1003"/>
      <c r="CG446" s="1003"/>
      <c r="CH446" s="1003"/>
      <c r="CI446" s="1003"/>
      <c r="CJ446" s="1003"/>
      <c r="CK446" s="1003"/>
      <c r="CL446" s="1003"/>
      <c r="CM446" s="1003"/>
      <c r="CN446" s="1003"/>
      <c r="CO446" s="1003"/>
      <c r="CP446" s="1003"/>
      <c r="CQ446" s="1003"/>
      <c r="CR446" s="1003"/>
      <c r="CT446" s="1003"/>
      <c r="CU446" s="1003"/>
      <c r="CV446" s="1003"/>
      <c r="CW446" s="1003"/>
      <c r="CX446" s="1003"/>
    </row>
    <row r="447" spans="1:102" s="693" customFormat="1" outlineLevel="2">
      <c r="A447" s="925" t="s">
        <v>29</v>
      </c>
      <c r="B447" s="998"/>
      <c r="C447" s="714">
        <v>510.00149868864719</v>
      </c>
      <c r="D447" s="714">
        <v>529.54449482303608</v>
      </c>
      <c r="E447" s="714">
        <v>630.9262701796074</v>
      </c>
      <c r="F447" s="714">
        <v>744.47762718790432</v>
      </c>
      <c r="G447" s="714">
        <f t="shared" ref="G447:Q447" si="825">G104+G129-((G444-(G107*(G456)))-G119)</f>
        <v>827.2217570252626</v>
      </c>
      <c r="H447" s="714">
        <f t="shared" si="825"/>
        <v>977.58062335711611</v>
      </c>
      <c r="I447" s="714">
        <f t="shared" si="825"/>
        <v>1130.0208240368881</v>
      </c>
      <c r="J447" s="714">
        <f t="shared" si="825"/>
        <v>812.84516499713322</v>
      </c>
      <c r="K447" s="714">
        <f t="shared" si="825"/>
        <v>775.56477637712487</v>
      </c>
      <c r="L447" s="714">
        <f t="shared" si="825"/>
        <v>840.30608276776229</v>
      </c>
      <c r="M447" s="714">
        <f t="shared" si="825"/>
        <v>889.56731410457905</v>
      </c>
      <c r="N447" s="714">
        <f t="shared" si="825"/>
        <v>947.5276798098073</v>
      </c>
      <c r="O447" s="714">
        <f t="shared" si="825"/>
        <v>1008.3860638002966</v>
      </c>
      <c r="P447" s="714">
        <f t="shared" si="825"/>
        <v>1072.2873669903117</v>
      </c>
      <c r="Q447" s="714">
        <f t="shared" si="825"/>
        <v>1139.3837353398283</v>
      </c>
      <c r="R447" s="999"/>
      <c r="S447" s="1000"/>
      <c r="T447" s="1000"/>
      <c r="U447" s="1000"/>
      <c r="V447" s="1000"/>
      <c r="W447" s="1001"/>
      <c r="X447" s="1000"/>
      <c r="Y447" s="1000"/>
      <c r="Z447" s="1000"/>
      <c r="AA447" s="1001"/>
      <c r="AB447" s="1000"/>
      <c r="AC447" s="1000"/>
      <c r="AD447" s="1000"/>
      <c r="AE447" s="1001"/>
      <c r="AF447" s="1000"/>
      <c r="AG447" s="1000"/>
      <c r="AH447" s="1002"/>
      <c r="AI447" s="1001"/>
      <c r="AJ447" s="1000"/>
      <c r="AK447" s="1000"/>
      <c r="AL447" s="1002"/>
      <c r="AM447" s="1000"/>
      <c r="AN447" s="1000"/>
      <c r="AO447" s="1000"/>
      <c r="AP447" s="1000"/>
      <c r="AQ447" s="1389"/>
      <c r="AR447" s="794"/>
      <c r="AS447" s="794"/>
      <c r="AT447" s="794"/>
      <c r="AU447" s="794"/>
      <c r="AV447" s="794"/>
      <c r="AW447" s="794"/>
      <c r="AX447" s="794"/>
      <c r="AY447" s="794"/>
      <c r="AZ447" s="794"/>
      <c r="BA447" s="794"/>
      <c r="BB447"/>
      <c r="BC447"/>
      <c r="BD447"/>
      <c r="BE447"/>
      <c r="BF447"/>
      <c r="BG447"/>
      <c r="BL447" s="925"/>
      <c r="BM447" s="925"/>
      <c r="BN447" s="1003"/>
      <c r="BO447" s="1003"/>
      <c r="BP447" s="1003"/>
      <c r="BQ447" s="1003"/>
      <c r="BR447" s="1003"/>
      <c r="BS447" s="1003"/>
      <c r="BT447" s="1003"/>
      <c r="BU447" s="1003"/>
      <c r="BV447" s="1003"/>
      <c r="BW447" s="1003"/>
      <c r="BX447" s="1003"/>
      <c r="BY447" s="1003"/>
      <c r="BZ447" s="1003"/>
      <c r="CA447" s="1003"/>
      <c r="CB447" s="1003"/>
      <c r="CC447" s="1003"/>
      <c r="CF447" s="1003"/>
      <c r="CG447" s="1003"/>
      <c r="CH447" s="1003"/>
      <c r="CI447" s="1003"/>
      <c r="CJ447" s="1003"/>
      <c r="CK447" s="1003"/>
      <c r="CL447" s="1003"/>
      <c r="CM447" s="1003"/>
      <c r="CN447" s="1003"/>
      <c r="CO447" s="1003"/>
      <c r="CP447" s="1003"/>
      <c r="CQ447" s="1003"/>
      <c r="CR447" s="1003"/>
      <c r="CT447" s="1003"/>
      <c r="CU447" s="1003"/>
      <c r="CV447" s="1003"/>
      <c r="CW447" s="1003"/>
      <c r="CX447" s="1003"/>
    </row>
    <row r="448" spans="1:102" s="693" customFormat="1" outlineLevel="2">
      <c r="A448" s="925" t="s">
        <v>667</v>
      </c>
      <c r="B448" s="998"/>
      <c r="C448" s="714">
        <v>13352</v>
      </c>
      <c r="D448" s="714">
        <v>12463</v>
      </c>
      <c r="E448" s="714">
        <v>12132</v>
      </c>
      <c r="F448" s="714">
        <v>12585</v>
      </c>
      <c r="G448" s="714">
        <f t="shared" ref="G448:Q448" si="826">G445+G446+G447</f>
        <v>12030.000000000002</v>
      </c>
      <c r="H448" s="714">
        <f t="shared" si="826"/>
        <v>11328</v>
      </c>
      <c r="I448" s="714">
        <f t="shared" si="826"/>
        <v>11390</v>
      </c>
      <c r="J448" s="714">
        <f t="shared" si="826"/>
        <v>12203.312826686817</v>
      </c>
      <c r="K448" s="714">
        <f t="shared" si="826"/>
        <v>12708.994341792839</v>
      </c>
      <c r="L448" s="714">
        <f t="shared" si="826"/>
        <v>13882.574377645051</v>
      </c>
      <c r="M448" s="714">
        <f t="shared" si="826"/>
        <v>14944.705933604853</v>
      </c>
      <c r="N448" s="714">
        <f t="shared" si="826"/>
        <v>16005.822983656743</v>
      </c>
      <c r="O448" s="714">
        <f t="shared" si="826"/>
        <v>16004.086749939774</v>
      </c>
      <c r="P448" s="714">
        <f t="shared" si="826"/>
        <v>16626.774014548675</v>
      </c>
      <c r="Q448" s="714">
        <f t="shared" si="826"/>
        <v>16909.751262460319</v>
      </c>
      <c r="R448" s="999"/>
      <c r="S448" s="1000"/>
      <c r="T448" s="1000"/>
      <c r="U448" s="1000"/>
      <c r="V448" s="1000"/>
      <c r="W448" s="1001"/>
      <c r="X448" s="1000"/>
      <c r="Y448" s="1000"/>
      <c r="Z448" s="1000"/>
      <c r="AA448" s="1001"/>
      <c r="AB448" s="1000"/>
      <c r="AC448" s="1000"/>
      <c r="AD448" s="1000"/>
      <c r="AE448" s="1001"/>
      <c r="AF448" s="1000"/>
      <c r="AG448" s="1000"/>
      <c r="AH448" s="1002"/>
      <c r="AI448" s="1001"/>
      <c r="AJ448" s="1000"/>
      <c r="AK448" s="1000"/>
      <c r="AL448" s="1002"/>
      <c r="AM448" s="1000"/>
      <c r="AN448" s="1000"/>
      <c r="AO448" s="1000"/>
      <c r="AP448" s="1000"/>
      <c r="AQ448" s="1389"/>
      <c r="AR448" s="794"/>
      <c r="AS448" s="794"/>
      <c r="AT448" s="794"/>
      <c r="AU448" s="794"/>
      <c r="AV448" s="794"/>
      <c r="AW448" s="794"/>
      <c r="AX448" s="794"/>
      <c r="AY448" s="794"/>
      <c r="AZ448" s="794"/>
      <c r="BA448" s="794"/>
      <c r="BB448"/>
      <c r="BC448"/>
      <c r="BD448"/>
      <c r="BE448"/>
      <c r="BF448"/>
      <c r="BG448"/>
      <c r="BL448" s="925"/>
      <c r="BM448" s="925"/>
      <c r="BN448" s="1003"/>
      <c r="BO448" s="1003"/>
      <c r="BP448" s="1003"/>
      <c r="BQ448" s="1003"/>
      <c r="BR448" s="1003"/>
      <c r="BS448" s="1003"/>
      <c r="BT448" s="1003"/>
      <c r="BU448" s="1003"/>
      <c r="BV448" s="1003"/>
      <c r="BW448" s="1003"/>
      <c r="BX448" s="1003"/>
      <c r="BY448" s="1003"/>
      <c r="BZ448" s="1003"/>
      <c r="CA448" s="1003"/>
      <c r="CB448" s="1003"/>
      <c r="CC448" s="1003"/>
      <c r="CF448" s="1003"/>
      <c r="CG448" s="1003"/>
      <c r="CH448" s="1003"/>
      <c r="CI448" s="1003"/>
      <c r="CJ448" s="1003"/>
      <c r="CK448" s="1003"/>
      <c r="CL448" s="1003"/>
      <c r="CM448" s="1003"/>
      <c r="CN448" s="1003"/>
      <c r="CO448" s="1003"/>
      <c r="CP448" s="1003"/>
      <c r="CQ448" s="1003"/>
      <c r="CR448" s="1003"/>
      <c r="CT448" s="1003"/>
      <c r="CU448" s="1003"/>
      <c r="CV448" s="1003"/>
      <c r="CW448" s="1003"/>
      <c r="CX448" s="1003"/>
    </row>
    <row r="449" spans="1:102" s="693" customFormat="1" outlineLevel="2">
      <c r="A449" s="925"/>
      <c r="B449" s="998"/>
      <c r="C449" s="998"/>
      <c r="D449" s="998"/>
      <c r="E449" s="998"/>
      <c r="F449" s="998"/>
      <c r="G449" s="998"/>
      <c r="H449" s="998"/>
      <c r="I449" s="998"/>
      <c r="J449" s="998"/>
      <c r="K449" s="998"/>
      <c r="L449" s="998"/>
      <c r="M449" s="998"/>
      <c r="N449" s="998"/>
      <c r="O449" s="998"/>
      <c r="P449" s="998"/>
      <c r="Q449" s="998"/>
      <c r="R449" s="999"/>
      <c r="S449" s="1000"/>
      <c r="T449" s="1000"/>
      <c r="U449" s="1000"/>
      <c r="V449" s="1000"/>
      <c r="W449" s="1001"/>
      <c r="X449" s="1000"/>
      <c r="Y449" s="1000"/>
      <c r="Z449" s="1000"/>
      <c r="AA449" s="1001"/>
      <c r="AB449" s="1000"/>
      <c r="AC449" s="1000"/>
      <c r="AD449" s="1000"/>
      <c r="AE449" s="1001"/>
      <c r="AF449" s="1000"/>
      <c r="AG449" s="1000"/>
      <c r="AH449" s="1002"/>
      <c r="AI449" s="1001"/>
      <c r="AJ449" s="1000"/>
      <c r="AK449" s="1000"/>
      <c r="AL449" s="1002"/>
      <c r="AM449" s="1000"/>
      <c r="AN449" s="1000"/>
      <c r="AO449" s="1000"/>
      <c r="AP449" s="1000"/>
      <c r="AQ449" s="1389"/>
      <c r="AR449" s="794"/>
      <c r="AS449" s="794"/>
      <c r="AT449" s="794"/>
      <c r="AU449" s="794"/>
      <c r="AV449" s="794"/>
      <c r="AW449" s="794"/>
      <c r="AX449" s="794"/>
      <c r="AY449" s="794"/>
      <c r="AZ449" s="794"/>
      <c r="BA449" s="794"/>
      <c r="BB449"/>
      <c r="BC449"/>
      <c r="BD449"/>
      <c r="BE449"/>
      <c r="BF449"/>
      <c r="BG449"/>
      <c r="BL449" s="925"/>
      <c r="BM449" s="925"/>
      <c r="BN449" s="1003"/>
      <c r="BO449" s="1003"/>
      <c r="BP449" s="1003"/>
      <c r="BQ449" s="1003"/>
      <c r="BR449" s="1003"/>
      <c r="BS449" s="1003"/>
      <c r="BT449" s="1003"/>
      <c r="BU449" s="1003"/>
      <c r="BV449" s="1003"/>
      <c r="BW449" s="1003"/>
      <c r="BX449" s="1003"/>
      <c r="BY449" s="1003"/>
      <c r="BZ449" s="1003"/>
      <c r="CA449" s="1003"/>
      <c r="CB449" s="1003"/>
      <c r="CC449" s="1003"/>
      <c r="CF449" s="1003"/>
      <c r="CG449" s="1003"/>
      <c r="CH449" s="1003"/>
      <c r="CI449" s="1003"/>
      <c r="CJ449" s="1003"/>
      <c r="CK449" s="1003"/>
      <c r="CL449" s="1003"/>
      <c r="CM449" s="1003"/>
      <c r="CN449" s="1003"/>
      <c r="CO449" s="1003"/>
      <c r="CP449" s="1003"/>
      <c r="CQ449" s="1003"/>
      <c r="CR449" s="1003"/>
      <c r="CT449" s="1003"/>
      <c r="CU449" s="1003"/>
      <c r="CV449" s="1003"/>
      <c r="CW449" s="1003"/>
      <c r="CX449" s="1003"/>
    </row>
    <row r="450" spans="1:102" s="693" customFormat="1" outlineLevel="1">
      <c r="A450" s="997" t="s">
        <v>286</v>
      </c>
      <c r="B450" s="998"/>
      <c r="C450" s="998"/>
      <c r="D450" s="998"/>
      <c r="E450" s="998"/>
      <c r="F450" s="998"/>
      <c r="G450" s="998"/>
      <c r="H450" s="998"/>
      <c r="I450" s="998"/>
      <c r="J450" s="998"/>
      <c r="K450" s="998"/>
      <c r="L450" s="998"/>
      <c r="M450" s="998"/>
      <c r="N450" s="998"/>
      <c r="O450" s="998"/>
      <c r="P450" s="998"/>
      <c r="Q450" s="998"/>
      <c r="R450" s="999"/>
      <c r="S450" s="1000"/>
      <c r="T450" s="1000"/>
      <c r="U450" s="1000"/>
      <c r="V450" s="1000"/>
      <c r="W450" s="1001"/>
      <c r="X450" s="1000"/>
      <c r="Y450" s="1000"/>
      <c r="Z450" s="1000"/>
      <c r="AA450" s="1001"/>
      <c r="AB450" s="1000"/>
      <c r="AC450" s="1000"/>
      <c r="AD450" s="1000"/>
      <c r="AE450" s="1001"/>
      <c r="AF450" s="1000"/>
      <c r="AG450" s="1000"/>
      <c r="AH450" s="1002"/>
      <c r="AI450" s="1001"/>
      <c r="AJ450" s="1000"/>
      <c r="AK450" s="1000"/>
      <c r="AL450" s="1002"/>
      <c r="AM450" s="1000"/>
      <c r="AN450" s="1000"/>
      <c r="AO450" s="1000"/>
      <c r="AP450" s="1000"/>
      <c r="AQ450" s="1389"/>
      <c r="AR450" s="794"/>
      <c r="AS450" s="794"/>
      <c r="AT450" s="794"/>
      <c r="AU450" s="794"/>
      <c r="AV450" s="794"/>
      <c r="AW450" s="794"/>
      <c r="AX450" s="794"/>
      <c r="AY450" s="794"/>
      <c r="AZ450" s="794"/>
      <c r="BA450" s="794"/>
      <c r="BB450"/>
      <c r="BC450"/>
      <c r="BD450"/>
      <c r="BE450"/>
      <c r="BF450"/>
      <c r="BG450"/>
      <c r="BL450" s="925"/>
      <c r="BM450" s="925"/>
      <c r="BN450" s="1003"/>
      <c r="BO450" s="1003"/>
      <c r="BP450" s="1003"/>
      <c r="BQ450" s="1003"/>
      <c r="BR450" s="1003"/>
      <c r="BS450" s="1003"/>
      <c r="BT450" s="1003"/>
      <c r="BU450" s="1003"/>
      <c r="BV450" s="1003"/>
      <c r="BW450" s="1003"/>
      <c r="BX450" s="1003"/>
      <c r="BY450" s="1003"/>
      <c r="BZ450" s="1003"/>
      <c r="CA450" s="1003"/>
      <c r="CB450" s="1003"/>
      <c r="CC450" s="1003"/>
      <c r="CF450" s="1003"/>
      <c r="CG450" s="1003"/>
      <c r="CH450" s="1003"/>
      <c r="CI450" s="1003"/>
      <c r="CJ450" s="1003"/>
      <c r="CK450" s="1003"/>
      <c r="CL450" s="1003"/>
      <c r="CM450" s="1003"/>
      <c r="CN450" s="1003"/>
      <c r="CO450" s="1003"/>
      <c r="CP450" s="1003"/>
      <c r="CQ450" s="1003"/>
      <c r="CR450" s="1003"/>
      <c r="CT450" s="1003"/>
      <c r="CU450" s="1003"/>
      <c r="CV450" s="1003"/>
      <c r="CW450" s="1003"/>
      <c r="CX450" s="1003"/>
    </row>
    <row r="451" spans="1:102" s="693" customFormat="1" outlineLevel="1">
      <c r="A451" s="925" t="s">
        <v>655</v>
      </c>
      <c r="B451" s="998"/>
      <c r="C451" s="998">
        <v>1</v>
      </c>
      <c r="D451" s="998">
        <v>1</v>
      </c>
      <c r="E451" s="998">
        <v>1</v>
      </c>
      <c r="F451" s="998">
        <v>1</v>
      </c>
      <c r="G451" s="998">
        <v>1</v>
      </c>
      <c r="H451" s="998">
        <v>1</v>
      </c>
      <c r="I451" s="998">
        <v>1</v>
      </c>
      <c r="J451" s="998">
        <v>1</v>
      </c>
      <c r="K451" s="998">
        <v>1</v>
      </c>
      <c r="L451" s="998">
        <v>1</v>
      </c>
      <c r="M451" s="998">
        <v>1</v>
      </c>
      <c r="N451" s="998">
        <v>1</v>
      </c>
      <c r="O451" s="998">
        <v>1</v>
      </c>
      <c r="P451" s="998">
        <v>1</v>
      </c>
      <c r="Q451" s="998">
        <v>1</v>
      </c>
      <c r="R451" s="999"/>
      <c r="S451" s="1000"/>
      <c r="T451" s="1000"/>
      <c r="U451" s="1000"/>
      <c r="V451" s="1000"/>
      <c r="W451" s="1001"/>
      <c r="X451" s="1000"/>
      <c r="Y451" s="1000"/>
      <c r="Z451" s="1000"/>
      <c r="AA451" s="1001"/>
      <c r="AB451" s="1000"/>
      <c r="AC451" s="1000"/>
      <c r="AD451" s="1000"/>
      <c r="AE451" s="1001"/>
      <c r="AF451" s="1000"/>
      <c r="AG451" s="1000"/>
      <c r="AH451" s="1002"/>
      <c r="AI451" s="1001"/>
      <c r="AJ451" s="1000"/>
      <c r="AK451" s="1000"/>
      <c r="AL451" s="1002"/>
      <c r="AM451" s="1000"/>
      <c r="AN451" s="1000"/>
      <c r="AO451" s="1000"/>
      <c r="AP451" s="1000"/>
      <c r="AQ451" s="1389"/>
      <c r="AR451" s="794"/>
      <c r="AS451" s="794"/>
      <c r="AT451" s="794"/>
      <c r="AU451" s="794"/>
      <c r="AV451" s="794"/>
      <c r="AW451" s="794"/>
      <c r="AX451" s="794"/>
      <c r="AY451" s="794"/>
      <c r="AZ451" s="794"/>
      <c r="BA451" s="794"/>
      <c r="BB451"/>
      <c r="BC451"/>
      <c r="BD451"/>
      <c r="BE451"/>
      <c r="BF451"/>
      <c r="BG451"/>
      <c r="BL451" s="925"/>
      <c r="BM451" s="925"/>
      <c r="BN451" s="1003"/>
      <c r="BO451" s="1003"/>
      <c r="BP451" s="1003"/>
      <c r="BQ451" s="1003"/>
      <c r="BR451" s="1003"/>
      <c r="BS451" s="1003"/>
      <c r="BT451" s="1003"/>
      <c r="BU451" s="1003"/>
      <c r="BV451" s="1003"/>
      <c r="BW451" s="1003"/>
      <c r="BX451" s="1003"/>
      <c r="BY451" s="1003"/>
      <c r="BZ451" s="1003"/>
      <c r="CA451" s="1003"/>
      <c r="CB451" s="1003"/>
      <c r="CC451" s="1003"/>
      <c r="CF451" s="1003"/>
      <c r="CG451" s="1003"/>
      <c r="CH451" s="1003"/>
      <c r="CI451" s="1003"/>
      <c r="CJ451" s="1003"/>
      <c r="CK451" s="1003"/>
      <c r="CL451" s="1003"/>
      <c r="CM451" s="1003"/>
      <c r="CN451" s="1003"/>
      <c r="CO451" s="1003"/>
      <c r="CP451" s="1003"/>
      <c r="CQ451" s="1003"/>
      <c r="CR451" s="1003"/>
      <c r="CT451" s="1003"/>
      <c r="CU451" s="1003"/>
      <c r="CV451" s="1003"/>
      <c r="CW451" s="1003"/>
      <c r="CX451" s="1003"/>
    </row>
    <row r="452" spans="1:102" s="693" customFormat="1" outlineLevel="1">
      <c r="A452" s="925" t="s">
        <v>287</v>
      </c>
      <c r="B452" s="714"/>
      <c r="C452" s="1004">
        <v>5162</v>
      </c>
      <c r="D452" s="1004">
        <v>3852</v>
      </c>
      <c r="E452" s="1004">
        <v>3545</v>
      </c>
      <c r="F452" s="1004">
        <v>2411</v>
      </c>
      <c r="G452" s="1004">
        <f t="shared" ref="G452:Q452" si="827">-G174-G105-G113</f>
        <v>5958</v>
      </c>
      <c r="H452" s="1004">
        <f t="shared" si="827"/>
        <v>5498</v>
      </c>
      <c r="I452" s="1004">
        <f t="shared" si="827"/>
        <v>4447</v>
      </c>
      <c r="J452" s="1004">
        <f t="shared" si="827"/>
        <v>4167.1717110593581</v>
      </c>
      <c r="K452" s="1004">
        <f t="shared" si="827"/>
        <v>3893.9771014205171</v>
      </c>
      <c r="L452" s="1004">
        <f t="shared" si="827"/>
        <v>4817.6841855885077</v>
      </c>
      <c r="M452" s="1004">
        <f t="shared" si="827"/>
        <v>4682.483642329672</v>
      </c>
      <c r="N452" s="1004">
        <f t="shared" si="827"/>
        <v>4604.6029308291381</v>
      </c>
      <c r="O452" s="1004">
        <f t="shared" si="827"/>
        <v>4337.8281837535769</v>
      </c>
      <c r="P452" s="1004">
        <f t="shared" si="827"/>
        <v>4362.2146993242404</v>
      </c>
      <c r="Q452" s="1004">
        <f t="shared" si="827"/>
        <v>5695.8205406734251</v>
      </c>
      <c r="R452" s="1005"/>
      <c r="S452" s="716">
        <v>-858</v>
      </c>
      <c r="T452" s="716">
        <v>-745</v>
      </c>
      <c r="U452" s="716">
        <v>-941</v>
      </c>
      <c r="V452" s="716">
        <v>-1001</v>
      </c>
      <c r="W452" s="1006"/>
      <c r="X452" s="1007">
        <v>624</v>
      </c>
      <c r="Y452" s="1007">
        <v>1579</v>
      </c>
      <c r="Z452" s="1007">
        <v>1249</v>
      </c>
      <c r="AA452" s="1006"/>
      <c r="AB452" s="1007"/>
      <c r="AC452" s="1007"/>
      <c r="AD452" s="1007"/>
      <c r="AE452" s="1006"/>
      <c r="AF452" s="1007"/>
      <c r="AG452" s="1007"/>
      <c r="AH452" s="1008"/>
      <c r="AI452" s="1006"/>
      <c r="AJ452" s="1007"/>
      <c r="AK452" s="1007"/>
      <c r="AL452" s="1008"/>
      <c r="AM452" s="1007"/>
      <c r="AN452" s="1007"/>
      <c r="AO452" s="1007"/>
      <c r="AP452" s="1007"/>
      <c r="AQ452" s="1389"/>
      <c r="AR452" s="794"/>
      <c r="AS452" s="794"/>
      <c r="AT452" s="794"/>
      <c r="AU452" s="794"/>
      <c r="AV452" s="794"/>
      <c r="AW452" s="794"/>
      <c r="AX452" s="794"/>
      <c r="AY452" s="794"/>
      <c r="AZ452" s="794"/>
      <c r="BA452" s="794"/>
      <c r="BB452"/>
      <c r="BC452"/>
      <c r="BD452"/>
      <c r="BE452"/>
      <c r="BF452"/>
      <c r="BG452"/>
      <c r="BL452" s="925"/>
      <c r="BM452" s="925"/>
      <c r="BN452" s="1003"/>
      <c r="BO452" s="1003"/>
      <c r="BP452" s="1003"/>
      <c r="BQ452" s="1003"/>
      <c r="BR452" s="1003"/>
      <c r="BS452" s="1003"/>
      <c r="BT452" s="1003"/>
      <c r="BU452" s="1003"/>
      <c r="BV452" s="1003"/>
      <c r="BW452" s="1003"/>
      <c r="BX452" s="1003"/>
      <c r="BY452" s="1003"/>
      <c r="BZ452" s="996"/>
      <c r="CA452" s="996"/>
      <c r="CB452" s="954"/>
      <c r="CC452" s="954"/>
      <c r="CD452" s="954"/>
      <c r="CE452" s="954"/>
      <c r="CF452" s="954"/>
      <c r="CG452" s="954"/>
      <c r="CH452" s="954"/>
      <c r="CI452" s="954"/>
      <c r="CJ452" s="954"/>
      <c r="CK452" s="954"/>
      <c r="CL452" s="954"/>
      <c r="CM452" s="954"/>
      <c r="CN452" s="954"/>
      <c r="CO452" s="954"/>
      <c r="CP452" s="954"/>
      <c r="CQ452" s="954"/>
      <c r="CR452" s="954"/>
      <c r="CS452" s="954"/>
      <c r="CT452" s="954"/>
      <c r="CU452" s="954"/>
      <c r="CV452" s="954"/>
      <c r="CW452" s="954"/>
      <c r="CX452" s="954"/>
    </row>
    <row r="453" spans="1:102" s="693" customFormat="1" outlineLevel="1">
      <c r="A453" s="925" t="s">
        <v>288</v>
      </c>
      <c r="B453" s="998"/>
      <c r="C453" s="1004">
        <v>917</v>
      </c>
      <c r="D453" s="1004">
        <v>659</v>
      </c>
      <c r="E453" s="1004">
        <v>559</v>
      </c>
      <c r="F453" s="1004">
        <v>483</v>
      </c>
      <c r="G453" s="1004">
        <f t="shared" ref="G453:Q453" si="828">G122</f>
        <v>945</v>
      </c>
      <c r="H453" s="1004">
        <f t="shared" si="828"/>
        <v>882</v>
      </c>
      <c r="I453" s="1004">
        <f t="shared" si="828"/>
        <v>760</v>
      </c>
      <c r="J453" s="1004">
        <f t="shared" si="828"/>
        <v>822.15619858015748</v>
      </c>
      <c r="K453" s="1004">
        <f t="shared" si="828"/>
        <v>791.57300723799017</v>
      </c>
      <c r="L453" s="1004">
        <f t="shared" si="828"/>
        <v>946.46732079685239</v>
      </c>
      <c r="M453" s="1004">
        <f t="shared" si="828"/>
        <v>945.82987695217503</v>
      </c>
      <c r="N453" s="1004">
        <f t="shared" si="828"/>
        <v>953.48569253552432</v>
      </c>
      <c r="O453" s="1004">
        <f t="shared" si="828"/>
        <v>914.77235003605074</v>
      </c>
      <c r="P453" s="1004">
        <f t="shared" si="828"/>
        <v>929.42781023324187</v>
      </c>
      <c r="Q453" s="1004">
        <f t="shared" si="828"/>
        <v>1127.853822370153</v>
      </c>
      <c r="R453" s="1005"/>
      <c r="S453" s="716">
        <v>125</v>
      </c>
      <c r="T453" s="716">
        <v>128</v>
      </c>
      <c r="U453" s="716">
        <v>156</v>
      </c>
      <c r="V453" s="716">
        <v>150</v>
      </c>
      <c r="W453" s="1006"/>
      <c r="X453" s="1007">
        <v>114</v>
      </c>
      <c r="Y453" s="1007">
        <v>87</v>
      </c>
      <c r="Z453" s="1007">
        <v>99</v>
      </c>
      <c r="AA453" s="1006"/>
      <c r="AB453" s="1007"/>
      <c r="AC453" s="1007"/>
      <c r="AD453" s="1007"/>
      <c r="AE453" s="1006"/>
      <c r="AF453" s="1007"/>
      <c r="AG453" s="1007"/>
      <c r="AH453" s="1008"/>
      <c r="AI453" s="1006"/>
      <c r="AJ453" s="1007"/>
      <c r="AK453" s="1007"/>
      <c r="AL453" s="1008"/>
      <c r="AM453" s="1007"/>
      <c r="AN453" s="1007"/>
      <c r="AO453" s="1007"/>
      <c r="AP453" s="1007"/>
      <c r="AQ453" s="1389"/>
      <c r="AR453" s="794"/>
      <c r="AS453" s="794"/>
      <c r="AT453" s="794"/>
      <c r="AU453" s="794"/>
      <c r="AV453" s="794"/>
      <c r="AW453" s="794"/>
      <c r="AX453" s="794"/>
      <c r="AY453" s="794"/>
      <c r="AZ453" s="794"/>
      <c r="BA453" s="794"/>
      <c r="BB453"/>
      <c r="BC453"/>
      <c r="BD453"/>
      <c r="BE453"/>
      <c r="BF453"/>
      <c r="BG453"/>
      <c r="BL453" s="925"/>
      <c r="BM453" s="925"/>
      <c r="BN453" s="1003"/>
      <c r="BO453" s="1003"/>
      <c r="BP453" s="1003"/>
      <c r="BQ453" s="1003"/>
      <c r="BR453" s="1003"/>
      <c r="BS453" s="1003"/>
      <c r="BT453" s="1003"/>
      <c r="BU453" s="1003"/>
      <c r="BV453" s="1003"/>
      <c r="BW453" s="1003"/>
      <c r="BX453" s="1003"/>
      <c r="BY453" s="1003"/>
      <c r="BZ453" s="996"/>
      <c r="CA453" s="996"/>
      <c r="CB453" s="954"/>
      <c r="CC453" s="954"/>
      <c r="CD453" s="954"/>
      <c r="CE453" s="954"/>
      <c r="CF453" s="954"/>
      <c r="CG453" s="954"/>
      <c r="CH453" s="954"/>
      <c r="CI453" s="954"/>
      <c r="CJ453" s="954"/>
      <c r="CK453" s="954"/>
      <c r="CL453" s="954"/>
      <c r="CM453" s="954"/>
      <c r="CN453" s="954"/>
      <c r="CO453" s="954"/>
      <c r="CP453" s="954"/>
      <c r="CQ453" s="954"/>
      <c r="CR453" s="954"/>
      <c r="CS453" s="954"/>
      <c r="CT453" s="954"/>
      <c r="CU453" s="954"/>
      <c r="CV453" s="954"/>
      <c r="CW453" s="954"/>
      <c r="CX453" s="954"/>
    </row>
    <row r="454" spans="1:102" s="693" customFormat="1" outlineLevel="1">
      <c r="A454" s="925" t="s">
        <v>289</v>
      </c>
      <c r="B454" s="998"/>
      <c r="C454" s="998">
        <v>5.5324438551421231</v>
      </c>
      <c r="D454" s="998">
        <v>5.0973415132924336</v>
      </c>
      <c r="E454" s="998">
        <v>4.893908834207342</v>
      </c>
      <c r="F454" s="998">
        <v>5.0951417004048585</v>
      </c>
      <c r="G454" s="998">
        <f>G448/G141</f>
        <v>4.9343724364232981</v>
      </c>
      <c r="H454" s="998">
        <f t="shared" ref="H454:Q454" si="829">H448/H140</f>
        <v>4.7636669470142978</v>
      </c>
      <c r="I454" s="998">
        <f t="shared" si="829"/>
        <v>4.8550724637681162</v>
      </c>
      <c r="J454" s="998">
        <f t="shared" si="829"/>
        <v>5.2743484821722761</v>
      </c>
      <c r="K454" s="998">
        <f t="shared" si="829"/>
        <v>5.5130727170636549</v>
      </c>
      <c r="L454" s="998">
        <f t="shared" si="829"/>
        <v>6.0465151147020064</v>
      </c>
      <c r="M454" s="998">
        <f t="shared" si="829"/>
        <v>6.537194168545712</v>
      </c>
      <c r="N454" s="998">
        <f t="shared" si="829"/>
        <v>7.0329210945349114</v>
      </c>
      <c r="O454" s="998">
        <f t="shared" si="829"/>
        <v>7.0648862970385355</v>
      </c>
      <c r="P454" s="998">
        <f t="shared" si="829"/>
        <v>7.3747312757944607</v>
      </c>
      <c r="Q454" s="998">
        <f t="shared" si="829"/>
        <v>7.5366078418829572</v>
      </c>
      <c r="R454" s="999"/>
      <c r="S454" s="1000"/>
      <c r="T454" s="1000"/>
      <c r="U454" s="1000"/>
      <c r="V454" s="1000"/>
      <c r="W454" s="1001"/>
      <c r="X454" s="1000"/>
      <c r="Y454" s="1000"/>
      <c r="Z454" s="1000"/>
      <c r="AA454" s="1001"/>
      <c r="AB454" s="1000"/>
      <c r="AC454" s="1000"/>
      <c r="AD454" s="1000"/>
      <c r="AE454" s="1001"/>
      <c r="AF454" s="1000"/>
      <c r="AG454" s="1000"/>
      <c r="AH454" s="1002"/>
      <c r="AI454" s="1001"/>
      <c r="AJ454" s="1000"/>
      <c r="AK454" s="1000"/>
      <c r="AL454" s="1002"/>
      <c r="AM454" s="1000"/>
      <c r="AN454" s="1000"/>
      <c r="AO454" s="1000"/>
      <c r="AP454" s="1000"/>
      <c r="AQ454" s="1389"/>
      <c r="AR454" s="794"/>
      <c r="AS454" s="794"/>
      <c r="AT454" s="794"/>
      <c r="AU454" s="794"/>
      <c r="AV454" s="794"/>
      <c r="AW454" s="794"/>
      <c r="AX454" s="794"/>
      <c r="AY454" s="794"/>
      <c r="AZ454" s="794"/>
      <c r="BA454" s="794"/>
      <c r="BB454"/>
      <c r="BC454"/>
      <c r="BD454"/>
      <c r="BE454"/>
      <c r="BF454"/>
      <c r="BG454"/>
      <c r="BL454" s="925"/>
      <c r="BM454" s="925"/>
      <c r="BN454" s="1003"/>
      <c r="BO454" s="1003"/>
      <c r="BP454" s="1003"/>
      <c r="BQ454" s="1003"/>
      <c r="BR454" s="1003"/>
      <c r="BS454" s="1003"/>
      <c r="BT454" s="1003"/>
      <c r="BU454" s="1003"/>
      <c r="BV454" s="1003"/>
      <c r="BW454" s="1003"/>
      <c r="BX454" s="1003"/>
      <c r="BY454" s="1003"/>
      <c r="BZ454" s="1003"/>
      <c r="CA454" s="1003"/>
      <c r="CB454" s="1003"/>
      <c r="CC454" s="1003"/>
      <c r="CF454" s="1003"/>
      <c r="CG454" s="1003"/>
      <c r="CH454" s="1003"/>
      <c r="CI454" s="1003"/>
      <c r="CJ454" s="1003"/>
      <c r="CK454" s="1003"/>
      <c r="CL454" s="1003"/>
      <c r="CM454" s="1003"/>
      <c r="CN454" s="1003"/>
      <c r="CO454" s="1003"/>
      <c r="CP454" s="1003"/>
      <c r="CQ454" s="1003"/>
      <c r="CR454" s="1003"/>
      <c r="CT454" s="1003"/>
      <c r="CU454" s="1003"/>
      <c r="CV454" s="1003"/>
      <c r="CW454" s="1003"/>
      <c r="CX454" s="1003"/>
    </row>
    <row r="455" spans="1:102" s="693" customFormat="1" outlineLevel="1">
      <c r="A455" s="925" t="s">
        <v>661</v>
      </c>
      <c r="B455" s="998"/>
      <c r="C455" s="998">
        <v>0</v>
      </c>
      <c r="D455" s="998">
        <v>0</v>
      </c>
      <c r="E455" s="998">
        <v>0</v>
      </c>
      <c r="F455" s="998">
        <v>0</v>
      </c>
      <c r="G455" s="998">
        <v>0</v>
      </c>
      <c r="H455" s="998">
        <v>0</v>
      </c>
      <c r="I455" s="998">
        <v>0</v>
      </c>
      <c r="J455" s="998">
        <v>0</v>
      </c>
      <c r="K455" s="998">
        <v>0</v>
      </c>
      <c r="L455" s="998">
        <v>0</v>
      </c>
      <c r="M455" s="998">
        <v>0</v>
      </c>
      <c r="N455" s="998">
        <v>0</v>
      </c>
      <c r="O455" s="998">
        <v>0</v>
      </c>
      <c r="P455" s="998">
        <v>0</v>
      </c>
      <c r="Q455" s="998">
        <v>0</v>
      </c>
      <c r="R455" s="999"/>
      <c r="S455" s="1000"/>
      <c r="T455" s="1000"/>
      <c r="U455" s="1000"/>
      <c r="V455" s="1000"/>
      <c r="W455" s="1001"/>
      <c r="X455" s="1000"/>
      <c r="Y455" s="1000"/>
      <c r="Z455" s="1000"/>
      <c r="AA455" s="1001"/>
      <c r="AB455" s="1000"/>
      <c r="AC455" s="1000"/>
      <c r="AD455" s="1000"/>
      <c r="AE455" s="1001"/>
      <c r="AF455" s="1000"/>
      <c r="AG455" s="1000"/>
      <c r="AH455" s="1002"/>
      <c r="AI455" s="1001"/>
      <c r="AJ455" s="1000"/>
      <c r="AK455" s="1000"/>
      <c r="AL455" s="1002"/>
      <c r="AM455" s="1000"/>
      <c r="AN455" s="1000"/>
      <c r="AO455" s="1000"/>
      <c r="AP455" s="1000"/>
      <c r="AQ455" s="1389"/>
      <c r="AR455" s="794"/>
      <c r="AS455" s="794"/>
      <c r="AT455" s="794"/>
      <c r="AU455" s="794"/>
      <c r="AV455" s="794"/>
      <c r="AW455" s="794"/>
      <c r="AX455" s="794"/>
      <c r="AY455" s="794"/>
      <c r="AZ455" s="794"/>
      <c r="BA455" s="794"/>
      <c r="BB455"/>
      <c r="BC455"/>
      <c r="BD455"/>
      <c r="BE455"/>
      <c r="BF455"/>
      <c r="BG455"/>
      <c r="BL455" s="925"/>
      <c r="BM455" s="925"/>
      <c r="BN455" s="1003"/>
      <c r="BO455" s="1003"/>
      <c r="BP455" s="1003"/>
      <c r="BQ455" s="1003"/>
      <c r="BR455" s="1003"/>
      <c r="BS455" s="1003"/>
      <c r="BT455" s="1003"/>
      <c r="BU455" s="1003"/>
      <c r="BV455" s="1003"/>
      <c r="BW455" s="1003"/>
      <c r="BX455" s="1003"/>
      <c r="BY455" s="1003"/>
      <c r="BZ455" s="1003"/>
      <c r="CA455" s="1003"/>
      <c r="CB455" s="1003"/>
      <c r="CC455" s="1003"/>
      <c r="CF455" s="1003"/>
      <c r="CG455" s="1003"/>
      <c r="CH455" s="1003"/>
      <c r="CI455" s="1003"/>
      <c r="CJ455" s="1003"/>
      <c r="CK455" s="1003"/>
      <c r="CL455" s="1003"/>
      <c r="CM455" s="1003"/>
      <c r="CN455" s="1003"/>
      <c r="CO455" s="1003"/>
      <c r="CP455" s="1003"/>
      <c r="CQ455" s="1003"/>
      <c r="CR455" s="1003"/>
      <c r="CT455" s="1003"/>
      <c r="CU455" s="1003"/>
      <c r="CV455" s="1003"/>
      <c r="CW455" s="1003"/>
      <c r="CX455" s="1003"/>
    </row>
    <row r="456" spans="1:102" s="693" customFormat="1" outlineLevel="1">
      <c r="A456" s="925" t="s">
        <v>662</v>
      </c>
      <c r="B456" s="998"/>
      <c r="C456" s="735">
        <v>0.15267890595728736</v>
      </c>
      <c r="D456" s="735">
        <v>0.14894768897611152</v>
      </c>
      <c r="E456" s="735">
        <v>0.14375567824446153</v>
      </c>
      <c r="F456" s="735">
        <v>0.1381189130286726</v>
      </c>
      <c r="G456" s="735">
        <f t="shared" ref="G456:Q456" si="830">G120</f>
        <v>0.1455435708203236</v>
      </c>
      <c r="H456" s="735">
        <f t="shared" si="830"/>
        <v>0.15028163725122043</v>
      </c>
      <c r="I456" s="735">
        <f t="shared" si="830"/>
        <v>0.15290792800832961</v>
      </c>
      <c r="J456" s="735">
        <f t="shared" si="830"/>
        <v>0.16</v>
      </c>
      <c r="K456" s="735">
        <f t="shared" si="830"/>
        <v>0.16</v>
      </c>
      <c r="L456" s="735">
        <f t="shared" si="830"/>
        <v>0.16</v>
      </c>
      <c r="M456" s="735">
        <f t="shared" si="830"/>
        <v>0.16</v>
      </c>
      <c r="N456" s="735">
        <f t="shared" si="830"/>
        <v>0.16</v>
      </c>
      <c r="O456" s="735">
        <f t="shared" si="830"/>
        <v>0.16</v>
      </c>
      <c r="P456" s="735">
        <f t="shared" si="830"/>
        <v>0.16</v>
      </c>
      <c r="Q456" s="735">
        <f t="shared" si="830"/>
        <v>0.16</v>
      </c>
      <c r="R456" s="999"/>
      <c r="S456" s="1000"/>
      <c r="T456" s="1000"/>
      <c r="U456" s="1000"/>
      <c r="V456" s="1000"/>
      <c r="W456" s="1001"/>
      <c r="X456" s="1000"/>
      <c r="Y456" s="1000"/>
      <c r="Z456" s="1000"/>
      <c r="AA456" s="1001"/>
      <c r="AB456" s="1000"/>
      <c r="AC456" s="1000"/>
      <c r="AD456" s="1000"/>
      <c r="AE456" s="1001"/>
      <c r="AF456" s="1000"/>
      <c r="AG456" s="1000"/>
      <c r="AH456" s="1002"/>
      <c r="AI456" s="1001"/>
      <c r="AJ456" s="1000"/>
      <c r="AK456" s="1000"/>
      <c r="AL456" s="1002"/>
      <c r="AM456" s="1000"/>
      <c r="AN456" s="1000"/>
      <c r="AO456" s="1000"/>
      <c r="AP456" s="1000"/>
      <c r="AQ456" s="1389"/>
      <c r="AR456" s="794"/>
      <c r="AS456" s="794"/>
      <c r="AT456" s="794"/>
      <c r="AU456" s="794"/>
      <c r="AV456" s="794"/>
      <c r="AW456" s="794"/>
      <c r="AX456" s="794"/>
      <c r="AY456" s="794"/>
      <c r="AZ456" s="794"/>
      <c r="BA456" s="794"/>
      <c r="BB456"/>
      <c r="BC456"/>
      <c r="BD456"/>
      <c r="BE456"/>
      <c r="BF456"/>
      <c r="BG456"/>
      <c r="BL456" s="925"/>
      <c r="BM456" s="925"/>
      <c r="BN456" s="1003"/>
      <c r="BO456" s="1003"/>
      <c r="BP456" s="1003"/>
      <c r="BQ456" s="1003"/>
      <c r="BR456" s="1003"/>
      <c r="BS456" s="1003"/>
      <c r="BT456" s="1003"/>
      <c r="BU456" s="1003"/>
      <c r="BV456" s="1003"/>
      <c r="BW456" s="1003"/>
      <c r="BX456" s="1003"/>
      <c r="BY456" s="1003"/>
      <c r="BZ456" s="1003"/>
      <c r="CA456" s="1003"/>
      <c r="CB456" s="1003"/>
      <c r="CC456" s="1003"/>
      <c r="CF456" s="1003"/>
      <c r="CG456" s="1003"/>
      <c r="CH456" s="1003"/>
      <c r="CI456" s="1003"/>
      <c r="CJ456" s="1003"/>
      <c r="CK456" s="1003"/>
      <c r="CL456" s="1003"/>
      <c r="CM456" s="1003"/>
      <c r="CN456" s="1003"/>
      <c r="CO456" s="1003"/>
      <c r="CP456" s="1003"/>
      <c r="CQ456" s="1003"/>
      <c r="CR456" s="1003"/>
      <c r="CT456" s="1003"/>
      <c r="CU456" s="1003"/>
      <c r="CV456" s="1003"/>
      <c r="CW456" s="1003"/>
      <c r="CX456" s="1003"/>
    </row>
    <row r="457" spans="1:102" s="693" customFormat="1" outlineLevel="1">
      <c r="A457" s="925" t="s">
        <v>866</v>
      </c>
      <c r="B457" s="998"/>
      <c r="C457" s="1009">
        <f>C140</f>
        <v>2382.5</v>
      </c>
      <c r="D457" s="1009">
        <f>D140</f>
        <v>2418</v>
      </c>
      <c r="E457" s="1009">
        <f>E140</f>
        <v>2441</v>
      </c>
      <c r="F457" s="1009">
        <f>F140</f>
        <v>2426</v>
      </c>
      <c r="G457" s="1009">
        <f t="shared" ref="G457:Q457" si="831">G140</f>
        <v>2403</v>
      </c>
      <c r="H457" s="1009">
        <f t="shared" si="831"/>
        <v>2378</v>
      </c>
      <c r="I457" s="1009">
        <f t="shared" si="831"/>
        <v>2346</v>
      </c>
      <c r="J457" s="1009">
        <f t="shared" si="831"/>
        <v>2313.71</v>
      </c>
      <c r="K457" s="1009">
        <f t="shared" si="831"/>
        <v>2305.2469999999998</v>
      </c>
      <c r="L457" s="1009">
        <f t="shared" si="831"/>
        <v>2295.9629</v>
      </c>
      <c r="M457" s="1009">
        <f t="shared" si="831"/>
        <v>2286.1040300000004</v>
      </c>
      <c r="N457" s="1009">
        <f t="shared" si="831"/>
        <v>2275.8428210000002</v>
      </c>
      <c r="O457" s="1009">
        <f t="shared" si="831"/>
        <v>2265.2999747000003</v>
      </c>
      <c r="P457" s="1009">
        <f t="shared" si="831"/>
        <v>2254.5599822900008</v>
      </c>
      <c r="Q457" s="1009">
        <f t="shared" si="831"/>
        <v>2243.6819876030013</v>
      </c>
      <c r="R457" s="1010"/>
      <c r="S457" s="1000"/>
      <c r="T457" s="1000"/>
      <c r="U457" s="1000"/>
      <c r="V457" s="1000"/>
      <c r="W457" s="1001"/>
      <c r="X457" s="1000"/>
      <c r="Y457" s="1000"/>
      <c r="Z457" s="1000"/>
      <c r="AA457" s="1001"/>
      <c r="AB457" s="1000"/>
      <c r="AC457" s="1000"/>
      <c r="AD457" s="1000"/>
      <c r="AE457" s="1001"/>
      <c r="AF457" s="1000"/>
      <c r="AG457" s="1000"/>
      <c r="AH457" s="1002"/>
      <c r="AI457" s="1001"/>
      <c r="AJ457" s="1000"/>
      <c r="AK457" s="1000"/>
      <c r="AL457" s="1002"/>
      <c r="AM457" s="1000"/>
      <c r="AN457" s="1000"/>
      <c r="AO457" s="1000"/>
      <c r="AP457" s="1000"/>
      <c r="AQ457" s="1389"/>
      <c r="AR457" s="794"/>
      <c r="AS457" s="794"/>
      <c r="AT457" s="794"/>
      <c r="AU457" s="794"/>
      <c r="AV457" s="794"/>
      <c r="AW457" s="794"/>
      <c r="AX457" s="794"/>
      <c r="AY457" s="794"/>
      <c r="AZ457" s="794"/>
      <c r="BA457" s="794"/>
      <c r="BB457"/>
      <c r="BC457"/>
      <c r="BD457"/>
      <c r="BE457"/>
      <c r="BF457"/>
      <c r="BG457"/>
      <c r="BL457" s="925"/>
      <c r="BM457" s="925"/>
      <c r="BN457" s="1003"/>
      <c r="BO457" s="1003"/>
      <c r="BP457" s="1003"/>
      <c r="BQ457" s="1003"/>
      <c r="BR457" s="1003"/>
      <c r="BS457" s="1003"/>
      <c r="BT457" s="1003"/>
      <c r="BU457" s="1003"/>
      <c r="BV457" s="1003"/>
      <c r="BW457" s="1003"/>
      <c r="BX457" s="1003"/>
      <c r="BY457" s="1003"/>
      <c r="BZ457" s="1003"/>
      <c r="CA457" s="1003"/>
      <c r="CB457" s="1003"/>
      <c r="CC457" s="1003"/>
      <c r="CF457" s="1003"/>
      <c r="CG457" s="1003"/>
      <c r="CH457" s="1003"/>
      <c r="CI457" s="1003"/>
      <c r="CJ457" s="1003"/>
      <c r="CK457" s="1003"/>
      <c r="CL457" s="1003"/>
      <c r="CM457" s="1003"/>
      <c r="CN457" s="1003"/>
      <c r="CO457" s="1003"/>
      <c r="CP457" s="1003"/>
      <c r="CQ457" s="1003"/>
      <c r="CR457" s="1003"/>
      <c r="CT457" s="1003"/>
      <c r="CU457" s="1003"/>
      <c r="CV457" s="1003"/>
      <c r="CW457" s="1003"/>
      <c r="CX457" s="1003"/>
    </row>
    <row r="458" spans="1:102" s="693" customFormat="1" outlineLevel="1">
      <c r="A458" s="925" t="s">
        <v>1461</v>
      </c>
      <c r="B458" s="998"/>
      <c r="C458" s="1009">
        <f t="shared" ref="C458:G458" si="832">C140</f>
        <v>2382.5</v>
      </c>
      <c r="D458" s="1009">
        <f t="shared" si="832"/>
        <v>2418</v>
      </c>
      <c r="E458" s="1009">
        <f t="shared" si="832"/>
        <v>2441</v>
      </c>
      <c r="F458" s="1009">
        <f t="shared" si="832"/>
        <v>2426</v>
      </c>
      <c r="G458" s="1009">
        <f t="shared" si="832"/>
        <v>2403</v>
      </c>
      <c r="H458" s="1009">
        <f>H140</f>
        <v>2378</v>
      </c>
      <c r="I458" s="1009">
        <f t="shared" ref="I458:Q458" si="833">I140</f>
        <v>2346</v>
      </c>
      <c r="J458" s="1009">
        <f t="shared" si="833"/>
        <v>2313.71</v>
      </c>
      <c r="K458" s="1009">
        <f t="shared" si="833"/>
        <v>2305.2469999999998</v>
      </c>
      <c r="L458" s="1009">
        <f t="shared" si="833"/>
        <v>2295.9629</v>
      </c>
      <c r="M458" s="1009">
        <f t="shared" si="833"/>
        <v>2286.1040300000004</v>
      </c>
      <c r="N458" s="1009">
        <f t="shared" si="833"/>
        <v>2275.8428210000002</v>
      </c>
      <c r="O458" s="1009">
        <f t="shared" si="833"/>
        <v>2265.2999747000003</v>
      </c>
      <c r="P458" s="1009">
        <f t="shared" si="833"/>
        <v>2254.5599822900008</v>
      </c>
      <c r="Q458" s="1009">
        <f t="shared" si="833"/>
        <v>2243.6819876030013</v>
      </c>
      <c r="R458" s="1010"/>
      <c r="S458" s="1000"/>
      <c r="T458" s="1000"/>
      <c r="U458" s="1000"/>
      <c r="V458" s="1000"/>
      <c r="W458" s="1001"/>
      <c r="X458" s="1000"/>
      <c r="Y458" s="1000"/>
      <c r="Z458" s="1000"/>
      <c r="AA458" s="1001"/>
      <c r="AB458" s="1000"/>
      <c r="AC458" s="1000"/>
      <c r="AD458" s="1000"/>
      <c r="AE458" s="1001"/>
      <c r="AF458" s="1000"/>
      <c r="AG458" s="1000"/>
      <c r="AH458" s="1002"/>
      <c r="AI458" s="1001"/>
      <c r="AJ458" s="1000"/>
      <c r="AK458" s="1000"/>
      <c r="AL458" s="1002"/>
      <c r="AM458" s="1000"/>
      <c r="AN458" s="1000"/>
      <c r="AO458" s="1000"/>
      <c r="AP458" s="1000"/>
      <c r="AQ458" s="1389"/>
      <c r="AR458" s="794"/>
      <c r="AS458" s="794"/>
      <c r="AT458" s="794"/>
      <c r="AU458" s="794"/>
      <c r="AV458" s="794"/>
      <c r="AW458" s="794"/>
      <c r="AX458" s="794"/>
      <c r="AY458" s="794"/>
      <c r="AZ458" s="794"/>
      <c r="BA458" s="794"/>
      <c r="BB458"/>
      <c r="BC458"/>
      <c r="BD458"/>
      <c r="BE458"/>
      <c r="BF458"/>
      <c r="BG458"/>
      <c r="BL458" s="925"/>
      <c r="BM458" s="925"/>
      <c r="BN458" s="1003"/>
      <c r="BO458" s="1003"/>
      <c r="BP458" s="1003"/>
      <c r="BQ458" s="1003"/>
      <c r="BR458" s="1003"/>
      <c r="BS458" s="1003"/>
      <c r="BT458" s="1003"/>
      <c r="BU458" s="1003"/>
      <c r="BV458" s="1003"/>
      <c r="BW458" s="1003"/>
      <c r="BX458" s="1003"/>
      <c r="BY458" s="1003"/>
      <c r="BZ458" s="1003"/>
      <c r="CA458" s="1003"/>
      <c r="CB458" s="1003"/>
      <c r="CC458" s="1003"/>
      <c r="CF458" s="1003"/>
      <c r="CG458" s="1003"/>
      <c r="CH458" s="1003"/>
      <c r="CI458" s="1003"/>
      <c r="CJ458" s="1003"/>
      <c r="CK458" s="1003"/>
      <c r="CL458" s="1003"/>
      <c r="CM458" s="1003"/>
      <c r="CN458" s="1003"/>
      <c r="CO458" s="1003"/>
      <c r="CP458" s="1003"/>
      <c r="CQ458" s="1003"/>
      <c r="CR458" s="1003"/>
      <c r="CT458" s="1003"/>
      <c r="CU458" s="1003"/>
      <c r="CV458" s="1003"/>
      <c r="CW458" s="1003"/>
      <c r="CX458" s="1003"/>
    </row>
    <row r="459" spans="1:102" s="695" customFormat="1" outlineLevel="1">
      <c r="B459" s="1011"/>
      <c r="C459" s="1011"/>
      <c r="D459" s="1011"/>
      <c r="E459" s="1011"/>
      <c r="F459" s="1011"/>
      <c r="G459" s="1011"/>
      <c r="H459" s="1011"/>
      <c r="I459" s="1011"/>
      <c r="J459" s="1011"/>
      <c r="K459" s="1011"/>
      <c r="L459" s="1011"/>
      <c r="M459" s="1011"/>
      <c r="N459" s="1011"/>
      <c r="O459" s="1011"/>
      <c r="P459" s="1011"/>
      <c r="Q459" s="1011"/>
      <c r="R459" s="1012"/>
      <c r="S459" s="1013"/>
      <c r="T459" s="1013"/>
      <c r="U459" s="1013"/>
      <c r="V459" s="1013"/>
      <c r="W459" s="1014"/>
      <c r="X459" s="1013"/>
      <c r="Y459" s="1013"/>
      <c r="Z459" s="1013"/>
      <c r="AA459" s="1014"/>
      <c r="AB459" s="1013"/>
      <c r="AC459" s="1013"/>
      <c r="AD459" s="1013"/>
      <c r="AE459" s="1014"/>
      <c r="AF459" s="1013"/>
      <c r="AG459" s="1013"/>
      <c r="AH459" s="1015"/>
      <c r="AI459" s="1014"/>
      <c r="AJ459" s="1013"/>
      <c r="AK459" s="1013"/>
      <c r="AL459" s="1015"/>
      <c r="AM459" s="1013"/>
      <c r="AN459" s="1013"/>
      <c r="AO459" s="1013"/>
      <c r="AP459" s="1013"/>
      <c r="AQ459" s="1383"/>
      <c r="AR459" s="692"/>
      <c r="AS459" s="692"/>
      <c r="AT459" s="692"/>
      <c r="AU459" s="692"/>
      <c r="AV459" s="692"/>
      <c r="AW459" s="692"/>
      <c r="AX459" s="692"/>
      <c r="AY459" s="692"/>
      <c r="AZ459" s="692"/>
      <c r="BA459" s="692"/>
      <c r="BB459"/>
      <c r="BC459"/>
      <c r="BD459"/>
      <c r="BE459"/>
      <c r="BF459"/>
      <c r="BG459"/>
      <c r="BH459" s="693"/>
      <c r="BI459" s="693"/>
      <c r="BJ459" s="1016"/>
      <c r="BK459" s="1016"/>
      <c r="BL459" s="1016"/>
      <c r="BM459" s="1016"/>
    </row>
    <row r="460" spans="1:102" customFormat="1" outlineLevel="1"/>
    <row r="461" spans="1:102" s="695" customFormat="1">
      <c r="B461" s="1011"/>
      <c r="C461" s="1011"/>
      <c r="D461" s="1011"/>
      <c r="E461" s="1011"/>
      <c r="F461" s="1011"/>
      <c r="G461" s="1011"/>
      <c r="H461" s="1011"/>
      <c r="I461" s="1011"/>
      <c r="J461" s="1011"/>
      <c r="K461" s="1011"/>
      <c r="L461" s="1011"/>
      <c r="M461" s="1011"/>
      <c r="N461" s="1011"/>
      <c r="O461" s="1011"/>
      <c r="P461" s="1011"/>
      <c r="Q461" s="1011"/>
      <c r="R461" s="1012"/>
      <c r="S461" s="1013"/>
      <c r="T461" s="1013"/>
      <c r="U461" s="1013"/>
      <c r="V461" s="1013"/>
      <c r="W461" s="1014"/>
      <c r="X461" s="1013"/>
      <c r="Y461" s="1013"/>
      <c r="Z461" s="1013"/>
      <c r="AA461" s="1014"/>
      <c r="AB461" s="1013"/>
      <c r="AC461" s="1013"/>
      <c r="AD461" s="1013"/>
      <c r="AE461" s="1014"/>
      <c r="AF461" s="1013"/>
      <c r="AG461" s="1013"/>
      <c r="AH461" s="1015"/>
      <c r="AI461" s="105"/>
      <c r="AJ461" s="105"/>
      <c r="AK461" s="105"/>
      <c r="AL461" s="105"/>
      <c r="AM461" s="105"/>
      <c r="AN461" s="105"/>
      <c r="AO461" s="105"/>
      <c r="AP461" s="105"/>
      <c r="AQ461" s="1382"/>
      <c r="AR461" s="692"/>
      <c r="AS461" s="692"/>
      <c r="AT461" s="692"/>
      <c r="AU461" s="692"/>
      <c r="AV461" s="692"/>
      <c r="AW461" s="692"/>
      <c r="AX461" s="692"/>
      <c r="AY461" s="692"/>
      <c r="AZ461" s="692"/>
      <c r="BA461" s="692"/>
      <c r="BB461"/>
      <c r="BC461"/>
      <c r="BD461"/>
      <c r="BE461"/>
      <c r="BF461"/>
      <c r="BG461"/>
      <c r="BH461" s="693"/>
      <c r="BI461" s="693"/>
      <c r="BJ461" s="1016"/>
      <c r="BK461" s="1016"/>
      <c r="BL461" s="1016"/>
      <c r="BM461" s="1016"/>
    </row>
    <row r="1048576" spans="43:43">
      <c r="AQ1048576" s="1392"/>
    </row>
  </sheetData>
  <conditionalFormatting sqref="BJ194:BN194 B194:F194 J194:W194">
    <cfRule type="cellIs" dxfId="48" priority="48" stopIfTrue="1" operator="between">
      <formula>-1</formula>
      <formula>1</formula>
    </cfRule>
    <cfRule type="cellIs" dxfId="47" priority="49" stopIfTrue="1" operator="greaterThanOrEqual">
      <formula>1</formula>
    </cfRule>
    <cfRule type="cellIs" dxfId="46" priority="50" stopIfTrue="1" operator="lessThanOrEqual">
      <formula>-1</formula>
    </cfRule>
  </conditionalFormatting>
  <conditionalFormatting sqref="X194">
    <cfRule type="cellIs" dxfId="45" priority="45" stopIfTrue="1" operator="between">
      <formula>-1</formula>
      <formula>1</formula>
    </cfRule>
    <cfRule type="cellIs" dxfId="44" priority="46" stopIfTrue="1" operator="greaterThanOrEqual">
      <formula>1</formula>
    </cfRule>
    <cfRule type="cellIs" dxfId="43" priority="47" stopIfTrue="1" operator="lessThanOrEqual">
      <formula>-1</formula>
    </cfRule>
  </conditionalFormatting>
  <conditionalFormatting sqref="Y194">
    <cfRule type="cellIs" dxfId="42" priority="42" stopIfTrue="1" operator="between">
      <formula>-1</formula>
      <formula>1</formula>
    </cfRule>
    <cfRule type="cellIs" dxfId="41" priority="43" stopIfTrue="1" operator="greaterThanOrEqual">
      <formula>1</formula>
    </cfRule>
    <cfRule type="cellIs" dxfId="40" priority="44" stopIfTrue="1" operator="lessThanOrEqual">
      <formula>-1</formula>
    </cfRule>
  </conditionalFormatting>
  <conditionalFormatting sqref="AD194:AE194 AG194:AH194 AL194:AP194">
    <cfRule type="cellIs" dxfId="39" priority="39" stopIfTrue="1" operator="between">
      <formula>-1</formula>
      <formula>1</formula>
    </cfRule>
    <cfRule type="cellIs" dxfId="38" priority="40" stopIfTrue="1" operator="greaterThanOrEqual">
      <formula>1</formula>
    </cfRule>
    <cfRule type="cellIs" dxfId="37" priority="41" stopIfTrue="1" operator="lessThanOrEqual">
      <formula>-1</formula>
    </cfRule>
  </conditionalFormatting>
  <conditionalFormatting sqref="Z194">
    <cfRule type="cellIs" dxfId="36" priority="36" stopIfTrue="1" operator="between">
      <formula>-1</formula>
      <formula>1</formula>
    </cfRule>
    <cfRule type="cellIs" dxfId="35" priority="37" stopIfTrue="1" operator="greaterThanOrEqual">
      <formula>1</formula>
    </cfRule>
    <cfRule type="cellIs" dxfId="34" priority="38" stopIfTrue="1" operator="lessThanOrEqual">
      <formula>-1</formula>
    </cfRule>
  </conditionalFormatting>
  <conditionalFormatting sqref="F450 R451 J450:R450">
    <cfRule type="cellIs" dxfId="33" priority="34" stopIfTrue="1" operator="greaterThan">
      <formula>0</formula>
    </cfRule>
  </conditionalFormatting>
  <conditionalFormatting sqref="AA194">
    <cfRule type="cellIs" dxfId="32" priority="31" stopIfTrue="1" operator="between">
      <formula>-1</formula>
      <formula>1</formula>
    </cfRule>
    <cfRule type="cellIs" dxfId="31" priority="32" stopIfTrue="1" operator="greaterThanOrEqual">
      <formula>1</formula>
    </cfRule>
    <cfRule type="cellIs" dxfId="30" priority="33" stopIfTrue="1" operator="lessThanOrEqual">
      <formula>-1</formula>
    </cfRule>
  </conditionalFormatting>
  <conditionalFormatting sqref="AB194">
    <cfRule type="cellIs" dxfId="29" priority="28" stopIfTrue="1" operator="between">
      <formula>-1</formula>
      <formula>1</formula>
    </cfRule>
    <cfRule type="cellIs" dxfId="28" priority="29" stopIfTrue="1" operator="greaterThanOrEqual">
      <formula>1</formula>
    </cfRule>
    <cfRule type="cellIs" dxfId="27" priority="30" stopIfTrue="1" operator="lessThanOrEqual">
      <formula>-1</formula>
    </cfRule>
  </conditionalFormatting>
  <conditionalFormatting sqref="AC194">
    <cfRule type="cellIs" dxfId="26" priority="25" stopIfTrue="1" operator="between">
      <formula>-1</formula>
      <formula>1</formula>
    </cfRule>
    <cfRule type="cellIs" dxfId="25" priority="26" stopIfTrue="1" operator="greaterThanOrEqual">
      <formula>1</formula>
    </cfRule>
    <cfRule type="cellIs" dxfId="24" priority="27" stopIfTrue="1" operator="lessThanOrEqual">
      <formula>-1</formula>
    </cfRule>
  </conditionalFormatting>
  <conditionalFormatting sqref="G194">
    <cfRule type="cellIs" dxfId="23" priority="22" stopIfTrue="1" operator="between">
      <formula>-1</formula>
      <formula>1</formula>
    </cfRule>
    <cfRule type="cellIs" dxfId="22" priority="23" stopIfTrue="1" operator="greaterThanOrEqual">
      <formula>1</formula>
    </cfRule>
    <cfRule type="cellIs" dxfId="21" priority="24" stopIfTrue="1" operator="lessThanOrEqual">
      <formula>-1</formula>
    </cfRule>
  </conditionalFormatting>
  <conditionalFormatting sqref="G450">
    <cfRule type="cellIs" dxfId="20" priority="21" stopIfTrue="1" operator="greaterThan">
      <formula>0</formula>
    </cfRule>
  </conditionalFormatting>
  <conditionalFormatting sqref="AF194">
    <cfRule type="cellIs" dxfId="19" priority="18" stopIfTrue="1" operator="between">
      <formula>-1</formula>
      <formula>1</formula>
    </cfRule>
    <cfRule type="cellIs" dxfId="18" priority="19" stopIfTrue="1" operator="greaterThanOrEqual">
      <formula>1</formula>
    </cfRule>
    <cfRule type="cellIs" dxfId="17" priority="20" stopIfTrue="1" operator="lessThanOrEqual">
      <formula>-1</formula>
    </cfRule>
  </conditionalFormatting>
  <conditionalFormatting sqref="H194">
    <cfRule type="cellIs" dxfId="16" priority="15" stopIfTrue="1" operator="between">
      <formula>-1</formula>
      <formula>1</formula>
    </cfRule>
    <cfRule type="cellIs" dxfId="15" priority="16" stopIfTrue="1" operator="greaterThanOrEqual">
      <formula>1</formula>
    </cfRule>
    <cfRule type="cellIs" dxfId="14" priority="17" stopIfTrue="1" operator="lessThanOrEqual">
      <formula>-1</formula>
    </cfRule>
  </conditionalFormatting>
  <conditionalFormatting sqref="H450">
    <cfRule type="cellIs" dxfId="13" priority="14" stopIfTrue="1" operator="greaterThan">
      <formula>0</formula>
    </cfRule>
  </conditionalFormatting>
  <conditionalFormatting sqref="AI194">
    <cfRule type="cellIs" dxfId="12" priority="11" stopIfTrue="1" operator="between">
      <formula>-1</formula>
      <formula>1</formula>
    </cfRule>
    <cfRule type="cellIs" dxfId="11" priority="12" stopIfTrue="1" operator="greaterThanOrEqual">
      <formula>1</formula>
    </cfRule>
    <cfRule type="cellIs" dxfId="10" priority="13" stopIfTrue="1" operator="lessThanOrEqual">
      <formula>-1</formula>
    </cfRule>
  </conditionalFormatting>
  <conditionalFormatting sqref="AJ194">
    <cfRule type="cellIs" dxfId="9" priority="8" stopIfTrue="1" operator="between">
      <formula>-1</formula>
      <formula>1</formula>
    </cfRule>
    <cfRule type="cellIs" dxfId="8" priority="9" stopIfTrue="1" operator="greaterThanOrEqual">
      <formula>1</formula>
    </cfRule>
    <cfRule type="cellIs" dxfId="7" priority="10" stopIfTrue="1" operator="lessThanOrEqual">
      <formula>-1</formula>
    </cfRule>
  </conditionalFormatting>
  <conditionalFormatting sqref="AK194">
    <cfRule type="cellIs" dxfId="6" priority="5" stopIfTrue="1" operator="between">
      <formula>-1</formula>
      <formula>1</formula>
    </cfRule>
    <cfRule type="cellIs" dxfId="5" priority="6" stopIfTrue="1" operator="greaterThanOrEqual">
      <formula>1</formula>
    </cfRule>
    <cfRule type="cellIs" dxfId="4" priority="7" stopIfTrue="1" operator="lessThanOrEqual">
      <formula>-1</formula>
    </cfRule>
  </conditionalFormatting>
  <conditionalFormatting sqref="I194">
    <cfRule type="cellIs" dxfId="3" priority="2" stopIfTrue="1" operator="between">
      <formula>-1</formula>
      <formula>1</formula>
    </cfRule>
    <cfRule type="cellIs" dxfId="2" priority="3" stopIfTrue="1" operator="greaterThanOrEqual">
      <formula>1</formula>
    </cfRule>
    <cfRule type="cellIs" dxfId="1" priority="4" stopIfTrue="1" operator="lessThanOrEqual">
      <formula>-1</formula>
    </cfRule>
  </conditionalFormatting>
  <conditionalFormatting sqref="I450">
    <cfRule type="cellIs" dxfId="0" priority="1" stopIfTrue="1" operator="greaterThan">
      <formula>0</formula>
    </cfRule>
  </conditionalFormatting>
  <pageMargins left="0" right="0" top="0" bottom="0" header="0" footer="0"/>
  <pageSetup paperSize="5" scale="24" orientation="landscape" r:id="rId1"/>
  <ignoredErrors>
    <ignoredError sqref="AA133:AD134 AA143:AD143 AA138:AD138 AA137:AB137 AD126:AD129 AD117:AD118 AD95 AD102 AD122 AD198:AD202 AD204:AD206 AA135:AC135 AD316:AD317 AD252:AD253 AH392:AH397" formulaRange="1"/>
    <ignoredError sqref="AA231:AD231 G114 AC408:AD411 AH328 AL220:AL234 AH220:AH234 AL270:AL273 AH93 AH330:AH331 AH344:AH353 AL328:AL331 AL199:AL202 AL104 AP348:AP362 AJ93:AP93 AL284:AL302 AL344:AL362 AH273 AH407:AH410 AH104:AH113 AL275:AL278 AL333:AL338 AH333:AH338 AH406 AH399:AH402 O145:AP145 O144:Z144 AE144:AP144" formula="1"/>
    <ignoredError sqref="AD254 AH398 AA144:AD144" formula="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X184"/>
  <sheetViews>
    <sheetView workbookViewId="0">
      <selection activeCell="A24" sqref="A24"/>
    </sheetView>
  </sheetViews>
  <sheetFormatPr defaultRowHeight="15"/>
  <cols>
    <col min="1" max="1" width="61.140625" style="16" customWidth="1"/>
    <col min="2" max="7" width="11.42578125" style="16" hidden="1" customWidth="1"/>
    <col min="8" max="17" width="11.42578125" style="16" customWidth="1"/>
    <col min="18" max="18" width="37.85546875" style="16" customWidth="1"/>
    <col min="19" max="19" width="42.28515625" hidden="1" customWidth="1"/>
    <col min="20" max="24" width="0" hidden="1" customWidth="1"/>
    <col min="25" max="16384" width="9.140625" style="16"/>
  </cols>
  <sheetData>
    <row r="1" spans="1:24" s="22" customFormat="1">
      <c r="A1" s="36" t="s">
        <v>312</v>
      </c>
      <c r="B1" s="37">
        <v>2010</v>
      </c>
      <c r="C1" s="37">
        <v>2011</v>
      </c>
      <c r="D1" s="37">
        <v>2012</v>
      </c>
      <c r="E1" s="37">
        <v>2013</v>
      </c>
      <c r="F1" s="37">
        <v>2014</v>
      </c>
      <c r="G1" s="37">
        <v>2015</v>
      </c>
      <c r="H1" s="37">
        <v>2016</v>
      </c>
      <c r="I1" s="37">
        <v>2017</v>
      </c>
      <c r="J1" s="418">
        <v>2018</v>
      </c>
      <c r="K1" s="418">
        <v>2019</v>
      </c>
      <c r="L1" s="418">
        <v>2020</v>
      </c>
      <c r="M1" s="418">
        <f>L1+1</f>
        <v>2021</v>
      </c>
      <c r="N1" s="418">
        <f>M1+1</f>
        <v>2022</v>
      </c>
      <c r="O1" s="418">
        <f>N1+1</f>
        <v>2023</v>
      </c>
      <c r="P1" s="418">
        <f>O1+1</f>
        <v>2024</v>
      </c>
      <c r="Q1" s="418">
        <f>P1+1</f>
        <v>2025</v>
      </c>
      <c r="S1"/>
      <c r="T1"/>
      <c r="U1"/>
      <c r="V1"/>
      <c r="W1"/>
      <c r="X1"/>
    </row>
    <row r="2" spans="1:24">
      <c r="A2" s="16" t="s">
        <v>313</v>
      </c>
      <c r="B2" s="28">
        <v>15840</v>
      </c>
      <c r="C2" s="28">
        <v>15627</v>
      </c>
      <c r="D2" s="28">
        <v>16939</v>
      </c>
      <c r="E2" s="28">
        <v>18197</v>
      </c>
      <c r="F2" s="28">
        <v>15983</v>
      </c>
      <c r="G2" s="28">
        <v>15982</v>
      </c>
      <c r="H2" s="28">
        <v>15641</v>
      </c>
      <c r="I2" s="28">
        <v>16464</v>
      </c>
      <c r="J2" s="207">
        <f t="shared" ref="J2:Q2" si="0">I2-J43-J69</f>
        <v>16247.844730951945</v>
      </c>
      <c r="K2" s="207">
        <f t="shared" si="0"/>
        <v>15705.866238618866</v>
      </c>
      <c r="L2" s="207">
        <f t="shared" si="0"/>
        <v>14855.800684264455</v>
      </c>
      <c r="M2" s="207">
        <f t="shared" si="0"/>
        <v>13968.426732858483</v>
      </c>
      <c r="N2" s="207">
        <f t="shared" si="0"/>
        <v>13025.711020025403</v>
      </c>
      <c r="O2" s="207">
        <f t="shared" si="0"/>
        <v>11993.715505302998</v>
      </c>
      <c r="P2" s="207">
        <f t="shared" si="0"/>
        <v>10896.900137870014</v>
      </c>
      <c r="Q2" s="207">
        <f t="shared" si="0"/>
        <v>9732.3426824737526</v>
      </c>
    </row>
    <row r="3" spans="1:24">
      <c r="A3" s="16" t="s">
        <v>314</v>
      </c>
      <c r="B3" s="28">
        <v>29692</v>
      </c>
      <c r="C3" s="28">
        <v>29943</v>
      </c>
      <c r="D3" s="28">
        <v>31090</v>
      </c>
      <c r="E3" s="28">
        <v>31026</v>
      </c>
      <c r="F3" s="28">
        <v>29311</v>
      </c>
      <c r="G3" s="28">
        <v>31174</v>
      </c>
      <c r="H3" s="28">
        <v>30980</v>
      </c>
      <c r="I3" s="28">
        <v>31750</v>
      </c>
      <c r="J3" s="207">
        <f t="shared" ref="J3:Q3" si="1">I3-(J44-J72)/2</f>
        <v>29158.566047793382</v>
      </c>
      <c r="K3" s="207">
        <f t="shared" si="1"/>
        <v>26625.869988257869</v>
      </c>
      <c r="L3" s="207">
        <f t="shared" si="1"/>
        <v>24151.451233688898</v>
      </c>
      <c r="M3" s="207">
        <f t="shared" si="1"/>
        <v>21666.926042628715</v>
      </c>
      <c r="N3" s="207">
        <f t="shared" si="1"/>
        <v>19176.393139434811</v>
      </c>
      <c r="O3" s="207">
        <f t="shared" si="1"/>
        <v>16688.518263343369</v>
      </c>
      <c r="P3" s="207">
        <f t="shared" si="1"/>
        <v>14196.933478752951</v>
      </c>
      <c r="Q3" s="207">
        <f t="shared" si="1"/>
        <v>11702.151343280213</v>
      </c>
    </row>
    <row r="4" spans="1:24">
      <c r="A4" s="16" t="s">
        <v>315</v>
      </c>
      <c r="B4" s="28">
        <v>35231</v>
      </c>
      <c r="C4" s="28">
        <v>31969</v>
      </c>
      <c r="D4" s="28">
        <v>30331</v>
      </c>
      <c r="E4" s="28">
        <v>27841</v>
      </c>
      <c r="F4" s="28">
        <v>23832</v>
      </c>
      <c r="G4" s="28">
        <v>34217</v>
      </c>
      <c r="H4" s="28">
        <v>31340</v>
      </c>
      <c r="I4" s="28">
        <v>29997</v>
      </c>
      <c r="J4" s="1292">
        <f>I4-(J44-J72)/2-J78</f>
        <v>36105.566047793385</v>
      </c>
      <c r="K4" s="207">
        <f t="shared" ref="K4:Q4" si="2">J4-(K44-K72)/2</f>
        <v>33572.869988257873</v>
      </c>
      <c r="L4" s="207">
        <f t="shared" si="2"/>
        <v>31098.451233688902</v>
      </c>
      <c r="M4" s="207">
        <f t="shared" si="2"/>
        <v>28613.926042628715</v>
      </c>
      <c r="N4" s="207">
        <f t="shared" si="2"/>
        <v>26123.393139434811</v>
      </c>
      <c r="O4" s="207">
        <f t="shared" si="2"/>
        <v>23635.518263343369</v>
      </c>
      <c r="P4" s="207">
        <f t="shared" si="2"/>
        <v>21143.933478752951</v>
      </c>
      <c r="Q4" s="207">
        <f t="shared" si="2"/>
        <v>18649.151343280213</v>
      </c>
    </row>
    <row r="5" spans="1:24">
      <c r="A5" s="16" t="s">
        <v>316</v>
      </c>
      <c r="B5" s="28">
        <v>8385</v>
      </c>
      <c r="C5" s="28">
        <v>8622</v>
      </c>
      <c r="D5" s="28">
        <v>8840</v>
      </c>
      <c r="E5" s="28">
        <v>9225</v>
      </c>
      <c r="F5" s="28">
        <v>8432</v>
      </c>
      <c r="G5" s="28">
        <v>15314</v>
      </c>
      <c r="H5" s="28">
        <v>14304</v>
      </c>
      <c r="I5" s="28">
        <v>15370</v>
      </c>
      <c r="J5" s="197">
        <f>I5+'P&amp;L'!I97-J58-J76</f>
        <v>2650</v>
      </c>
      <c r="K5" s="197">
        <f>J5+'P&amp;L'!J97-K58</f>
        <v>2697.2975874793765</v>
      </c>
      <c r="L5" s="197">
        <f>K5+'P&amp;L'!K97-L58</f>
        <v>2602.9425878194961</v>
      </c>
      <c r="M5" s="197">
        <f>L5+'P&amp;L'!L97-M58</f>
        <v>2482.2762122492968</v>
      </c>
      <c r="N5" s="197">
        <f>M5+'P&amp;L'!M97-N58</f>
        <v>2312.8673541185049</v>
      </c>
      <c r="O5" s="197">
        <f>N5+'P&amp;L'!N97-O58</f>
        <v>2093.2445530811733</v>
      </c>
      <c r="P5" s="197">
        <f>O5+'P&amp;L'!O97-P58</f>
        <v>1815.7727619919751</v>
      </c>
      <c r="Q5" s="197">
        <f>P5+'P&amp;L'!P97-Q58</f>
        <v>1471.9227463483169</v>
      </c>
    </row>
    <row r="6" spans="1:24">
      <c r="A6" s="16" t="s">
        <v>317</v>
      </c>
      <c r="B6" s="28">
        <v>5240</v>
      </c>
      <c r="C6" s="28">
        <v>5857</v>
      </c>
      <c r="D6" s="28">
        <v>7390</v>
      </c>
      <c r="E6" s="28">
        <v>7375</v>
      </c>
      <c r="F6" s="28">
        <v>7994</v>
      </c>
      <c r="G6" s="28">
        <v>8957</v>
      </c>
      <c r="H6" s="28">
        <v>10034</v>
      </c>
      <c r="I6" s="28">
        <v>8229</v>
      </c>
      <c r="J6" s="207">
        <f t="shared" ref="J6:Q6" si="3">I6</f>
        <v>8229</v>
      </c>
      <c r="K6" s="207">
        <f t="shared" si="3"/>
        <v>8229</v>
      </c>
      <c r="L6" s="207">
        <f t="shared" si="3"/>
        <v>8229</v>
      </c>
      <c r="M6" s="207">
        <f t="shared" si="3"/>
        <v>8229</v>
      </c>
      <c r="N6" s="207">
        <f t="shared" si="3"/>
        <v>8229</v>
      </c>
      <c r="O6" s="207">
        <f t="shared" si="3"/>
        <v>8229</v>
      </c>
      <c r="P6" s="207">
        <f t="shared" si="3"/>
        <v>8229</v>
      </c>
      <c r="Q6" s="207">
        <f t="shared" si="3"/>
        <v>8229</v>
      </c>
    </row>
    <row r="7" spans="1:24">
      <c r="A7" s="16" t="s">
        <v>318</v>
      </c>
      <c r="B7" s="28">
        <v>1263</v>
      </c>
      <c r="C7" s="28">
        <v>1356</v>
      </c>
      <c r="D7" s="28">
        <v>1092</v>
      </c>
      <c r="E7" s="28">
        <v>1523</v>
      </c>
      <c r="F7" s="28">
        <v>1720</v>
      </c>
      <c r="G7" s="28">
        <v>2466</v>
      </c>
      <c r="H7" s="28">
        <v>2196</v>
      </c>
      <c r="I7" s="28">
        <v>2243</v>
      </c>
      <c r="J7" s="1291">
        <f t="shared" ref="J7:Q7" si="4">J36-J17-J8-J6-J5-J4-J3-J2</f>
        <v>3417.3233982707443</v>
      </c>
      <c r="K7" s="1291">
        <f t="shared" si="4"/>
        <v>6228.4951252850333</v>
      </c>
      <c r="L7" s="1291">
        <f t="shared" si="4"/>
        <v>8436.6673122841767</v>
      </c>
      <c r="M7" s="1291">
        <f t="shared" si="4"/>
        <v>10390.800765925989</v>
      </c>
      <c r="N7" s="1291">
        <f t="shared" si="4"/>
        <v>13016.759317473603</v>
      </c>
      <c r="O7" s="1291">
        <f t="shared" si="4"/>
        <v>16993.986720025125</v>
      </c>
      <c r="P7" s="1291">
        <f t="shared" si="4"/>
        <v>19978.890713756795</v>
      </c>
      <c r="Q7" s="1291">
        <f t="shared" si="4"/>
        <v>23053.405920067729</v>
      </c>
    </row>
    <row r="8" spans="1:24">
      <c r="A8" s="16" t="s">
        <v>319</v>
      </c>
      <c r="B8" s="28">
        <v>982</v>
      </c>
      <c r="C8" s="28">
        <v>38</v>
      </c>
      <c r="D8" s="28">
        <v>505</v>
      </c>
      <c r="E8" s="28">
        <v>525</v>
      </c>
      <c r="F8" s="28">
        <v>554</v>
      </c>
      <c r="G8" s="28">
        <v>601</v>
      </c>
      <c r="H8" s="28">
        <v>698</v>
      </c>
      <c r="I8" s="28">
        <v>818</v>
      </c>
      <c r="J8" s="39">
        <f t="shared" ref="J8:Q8" si="5">I8</f>
        <v>818</v>
      </c>
      <c r="K8" s="39">
        <f t="shared" si="5"/>
        <v>818</v>
      </c>
      <c r="L8" s="39">
        <f t="shared" si="5"/>
        <v>818</v>
      </c>
      <c r="M8" s="39">
        <f t="shared" si="5"/>
        <v>818</v>
      </c>
      <c r="N8" s="39">
        <f t="shared" si="5"/>
        <v>818</v>
      </c>
      <c r="O8" s="39">
        <f t="shared" si="5"/>
        <v>818</v>
      </c>
      <c r="P8" s="39">
        <f t="shared" si="5"/>
        <v>818</v>
      </c>
      <c r="Q8" s="39">
        <f t="shared" si="5"/>
        <v>818</v>
      </c>
    </row>
    <row r="9" spans="1:24">
      <c r="A9" s="40" t="s">
        <v>320</v>
      </c>
      <c r="B9" s="41">
        <f t="shared" ref="B9:Q9" si="6">B2+B3+B4+B5+B6+B7+B8</f>
        <v>96633</v>
      </c>
      <c r="C9" s="41">
        <f t="shared" si="6"/>
        <v>93412</v>
      </c>
      <c r="D9" s="41">
        <f t="shared" si="6"/>
        <v>96187</v>
      </c>
      <c r="E9" s="41">
        <f t="shared" si="6"/>
        <v>95712</v>
      </c>
      <c r="F9" s="41">
        <f t="shared" si="6"/>
        <v>87826</v>
      </c>
      <c r="G9" s="41">
        <f t="shared" si="6"/>
        <v>108711</v>
      </c>
      <c r="H9" s="41">
        <f t="shared" si="6"/>
        <v>105193</v>
      </c>
      <c r="I9" s="41">
        <f t="shared" si="6"/>
        <v>104871</v>
      </c>
      <c r="J9" s="41">
        <f t="shared" si="6"/>
        <v>96626.300224809456</v>
      </c>
      <c r="K9" s="41">
        <f t="shared" si="6"/>
        <v>93877.398927899019</v>
      </c>
      <c r="L9" s="41">
        <f t="shared" si="6"/>
        <v>90192.313051745936</v>
      </c>
      <c r="M9" s="41">
        <f t="shared" si="6"/>
        <v>86169.355796291202</v>
      </c>
      <c r="N9" s="41">
        <f t="shared" si="6"/>
        <v>82702.123970487126</v>
      </c>
      <c r="O9" s="41">
        <f t="shared" si="6"/>
        <v>80451.98330509603</v>
      </c>
      <c r="P9" s="41">
        <f t="shared" si="6"/>
        <v>77079.430571124685</v>
      </c>
      <c r="Q9" s="41">
        <f t="shared" si="6"/>
        <v>73655.974035450228</v>
      </c>
    </row>
    <row r="10" spans="1:24">
      <c r="A10" s="16" t="s">
        <v>321</v>
      </c>
      <c r="B10" s="28">
        <v>6093</v>
      </c>
      <c r="C10" s="28">
        <v>5930</v>
      </c>
      <c r="D10" s="28">
        <v>6744</v>
      </c>
      <c r="E10" s="28">
        <v>7267</v>
      </c>
      <c r="F10" s="28">
        <v>6093</v>
      </c>
      <c r="G10" s="28">
        <v>6226</v>
      </c>
      <c r="H10" s="28">
        <v>6255</v>
      </c>
      <c r="I10" s="28">
        <v>6867</v>
      </c>
      <c r="J10" s="213">
        <f>Sales!J2*J11</f>
        <v>7307.3108114679699</v>
      </c>
      <c r="K10" s="213">
        <f>Sales!K2*K11</f>
        <v>7454.6249064908216</v>
      </c>
      <c r="L10" s="213">
        <f>Sales!L2*L11</f>
        <v>7688.4770108335906</v>
      </c>
      <c r="M10" s="213">
        <f>Sales!M2*M11</f>
        <v>7971.1172575710898</v>
      </c>
      <c r="N10" s="213">
        <f>Sales!N2*N11</f>
        <v>8139.1311011526459</v>
      </c>
      <c r="O10" s="213">
        <f>Sales!O2*O11</f>
        <v>8064.7957568670899</v>
      </c>
      <c r="P10" s="213">
        <f>Sales!P2*P11</f>
        <v>8168.5483955380414</v>
      </c>
      <c r="Q10" s="213">
        <f>Sales!Q2*Q11</f>
        <v>8257.9666631016535</v>
      </c>
    </row>
    <row r="11" spans="1:24">
      <c r="A11" s="16" t="s">
        <v>627</v>
      </c>
      <c r="B11" s="191">
        <f>B10/Sales!B$2</f>
        <v>0.12035793299620733</v>
      </c>
      <c r="C11" s="191">
        <f>C10/Sales!C$2</f>
        <v>0.10125328689000444</v>
      </c>
      <c r="D11" s="191">
        <f>D10/Sales!D$2</f>
        <v>0.11899846487745487</v>
      </c>
      <c r="E11" s="191">
        <f>E10/Sales!E$2</f>
        <v>0.12670211838549386</v>
      </c>
      <c r="F11" s="191">
        <f>F10/Sales!F$2</f>
        <v>0.11676887696435416</v>
      </c>
      <c r="G11" s="191">
        <f>G10/Sales!G$2</f>
        <v>0.12599668110252155</v>
      </c>
      <c r="H11" s="155">
        <f>H10/Sales!H$2</f>
        <v>0.12892122511232945</v>
      </c>
      <c r="I11" s="155">
        <f>I10/Sales!I$2</f>
        <v>0.13983180272455151</v>
      </c>
      <c r="J11" s="212">
        <f t="shared" ref="J11:Q11" si="7">I11</f>
        <v>0.13983180272455151</v>
      </c>
      <c r="K11" s="212">
        <f t="shared" si="7"/>
        <v>0.13983180272455151</v>
      </c>
      <c r="L11" s="212">
        <f t="shared" si="7"/>
        <v>0.13983180272455151</v>
      </c>
      <c r="M11" s="212">
        <f t="shared" si="7"/>
        <v>0.13983180272455151</v>
      </c>
      <c r="N11" s="212">
        <f t="shared" si="7"/>
        <v>0.13983180272455151</v>
      </c>
      <c r="O11" s="212">
        <f t="shared" si="7"/>
        <v>0.13983180272455151</v>
      </c>
      <c r="P11" s="212">
        <f t="shared" si="7"/>
        <v>0.13983180272455151</v>
      </c>
      <c r="Q11" s="212">
        <f t="shared" si="7"/>
        <v>0.13983180272455151</v>
      </c>
    </row>
    <row r="12" spans="1:24">
      <c r="A12" s="16" t="s">
        <v>322</v>
      </c>
      <c r="B12" s="28">
        <v>9873</v>
      </c>
      <c r="C12" s="28">
        <v>10323</v>
      </c>
      <c r="D12" s="28">
        <v>10051</v>
      </c>
      <c r="E12" s="28">
        <v>9902</v>
      </c>
      <c r="F12" s="28">
        <v>8275</v>
      </c>
      <c r="G12" s="28">
        <v>8180</v>
      </c>
      <c r="H12" s="28">
        <v>8202</v>
      </c>
      <c r="I12" s="28">
        <v>8600</v>
      </c>
      <c r="J12" s="213">
        <f>Sales!J2*J13</f>
        <v>9151.4304614277753</v>
      </c>
      <c r="K12" s="213">
        <f>Sales!K2*K13</f>
        <v>9335.921682804872</v>
      </c>
      <c r="L12" s="213">
        <f>Sales!L2*L13</f>
        <v>9628.7901985101034</v>
      </c>
      <c r="M12" s="213">
        <f>Sales!M2*M13</f>
        <v>9982.7593439801039</v>
      </c>
      <c r="N12" s="213">
        <f>Sales!N2*N13</f>
        <v>10193.17423473318</v>
      </c>
      <c r="O12" s="213">
        <f>Sales!O2*O13</f>
        <v>10100.079147962279</v>
      </c>
      <c r="P12" s="213">
        <f>Sales!P2*P13</f>
        <v>10230.015465505629</v>
      </c>
      <c r="Q12" s="213">
        <f>Sales!Q2*Q13</f>
        <v>10341.999898452632</v>
      </c>
    </row>
    <row r="13" spans="1:24">
      <c r="A13" s="16" t="s">
        <v>627</v>
      </c>
      <c r="B13" s="191">
        <f>B12/Sales!B$2</f>
        <v>0.19502607458912768</v>
      </c>
      <c r="C13" s="191">
        <f>C12/Sales!C$2</f>
        <v>0.17626267800430284</v>
      </c>
      <c r="D13" s="191">
        <f>D12/Sales!D$2</f>
        <v>0.17735076667901822</v>
      </c>
      <c r="E13" s="191">
        <f>E12/Sales!E$2</f>
        <v>0.17264405893121784</v>
      </c>
      <c r="F13" s="191">
        <f>F12/Sales!F$2</f>
        <v>0.15858566500574933</v>
      </c>
      <c r="G13" s="191">
        <f>G12/Sales!G$2</f>
        <v>0.16554013032743756</v>
      </c>
      <c r="H13" s="155">
        <f>H12/Sales!H$2</f>
        <v>0.16905066161012408</v>
      </c>
      <c r="I13" s="155">
        <f>I12/Sales!I$2</f>
        <v>0.17512064998269156</v>
      </c>
      <c r="J13" s="212">
        <f t="shared" ref="J13:Q15" si="8">I13</f>
        <v>0.17512064998269156</v>
      </c>
      <c r="K13" s="212">
        <f t="shared" si="8"/>
        <v>0.17512064998269156</v>
      </c>
      <c r="L13" s="212">
        <f t="shared" si="8"/>
        <v>0.17512064998269156</v>
      </c>
      <c r="M13" s="212">
        <f t="shared" si="8"/>
        <v>0.17512064998269156</v>
      </c>
      <c r="N13" s="212">
        <f t="shared" si="8"/>
        <v>0.17512064998269156</v>
      </c>
      <c r="O13" s="212">
        <f t="shared" si="8"/>
        <v>0.17512064998269156</v>
      </c>
      <c r="P13" s="212">
        <f t="shared" si="8"/>
        <v>0.17512064998269156</v>
      </c>
      <c r="Q13" s="212">
        <f t="shared" si="8"/>
        <v>0.17512064998269156</v>
      </c>
    </row>
    <row r="14" spans="1:24">
      <c r="A14" s="16" t="s">
        <v>323</v>
      </c>
      <c r="B14" s="28">
        <v>2585</v>
      </c>
      <c r="C14" s="28">
        <v>2756</v>
      </c>
      <c r="D14" s="28">
        <v>3090</v>
      </c>
      <c r="E14" s="28">
        <v>3392</v>
      </c>
      <c r="F14" s="28">
        <v>2530</v>
      </c>
      <c r="G14" s="28">
        <v>2992</v>
      </c>
      <c r="H14" s="28">
        <v>2697</v>
      </c>
      <c r="I14" s="28">
        <v>3256</v>
      </c>
      <c r="J14" s="39">
        <f t="shared" si="8"/>
        <v>3256</v>
      </c>
      <c r="K14" s="39">
        <f t="shared" si="8"/>
        <v>3256</v>
      </c>
      <c r="L14" s="39">
        <f t="shared" si="8"/>
        <v>3256</v>
      </c>
      <c r="M14" s="39">
        <f t="shared" si="8"/>
        <v>3256</v>
      </c>
      <c r="N14" s="39">
        <f t="shared" si="8"/>
        <v>3256</v>
      </c>
      <c r="O14" s="39">
        <f t="shared" si="8"/>
        <v>3256</v>
      </c>
      <c r="P14" s="39">
        <f t="shared" si="8"/>
        <v>3256</v>
      </c>
      <c r="Q14" s="39">
        <f t="shared" si="8"/>
        <v>3256</v>
      </c>
    </row>
    <row r="15" spans="1:24">
      <c r="A15" s="16" t="s">
        <v>324</v>
      </c>
      <c r="B15" s="28">
        <v>2815</v>
      </c>
      <c r="C15" s="28">
        <v>1366</v>
      </c>
      <c r="D15" s="28">
        <v>2567</v>
      </c>
      <c r="E15" s="28">
        <v>2535</v>
      </c>
      <c r="F15" s="28">
        <v>839</v>
      </c>
      <c r="G15" s="28">
        <v>773</v>
      </c>
      <c r="H15" s="28">
        <v>770</v>
      </c>
      <c r="I15" s="28">
        <v>625</v>
      </c>
      <c r="J15" s="39">
        <f t="shared" si="8"/>
        <v>625</v>
      </c>
      <c r="K15" s="39">
        <f t="shared" si="8"/>
        <v>625</v>
      </c>
      <c r="L15" s="39">
        <f t="shared" si="8"/>
        <v>625</v>
      </c>
      <c r="M15" s="39">
        <f t="shared" si="8"/>
        <v>625</v>
      </c>
      <c r="N15" s="39">
        <f t="shared" si="8"/>
        <v>625</v>
      </c>
      <c r="O15" s="39">
        <f t="shared" si="8"/>
        <v>625</v>
      </c>
      <c r="P15" s="39">
        <f t="shared" si="8"/>
        <v>625</v>
      </c>
      <c r="Q15" s="39">
        <f t="shared" si="8"/>
        <v>625</v>
      </c>
    </row>
    <row r="16" spans="1:24">
      <c r="A16" s="16" t="s">
        <v>325</v>
      </c>
      <c r="B16" s="28">
        <v>5319</v>
      </c>
      <c r="C16" s="28">
        <v>3709</v>
      </c>
      <c r="D16" s="28">
        <v>5552</v>
      </c>
      <c r="E16" s="28">
        <v>6687</v>
      </c>
      <c r="F16" s="28">
        <v>13023</v>
      </c>
      <c r="G16" s="28">
        <v>4674</v>
      </c>
      <c r="H16" s="28">
        <v>7007</v>
      </c>
      <c r="I16" s="28">
        <v>8860</v>
      </c>
      <c r="J16" s="207">
        <f t="shared" ref="J16:Q16" si="9">J105</f>
        <v>18917.994000435414</v>
      </c>
      <c r="K16" s="207">
        <f t="shared" si="9"/>
        <v>24793.356789184483</v>
      </c>
      <c r="L16" s="207">
        <f t="shared" si="9"/>
        <v>31665.023251377715</v>
      </c>
      <c r="M16" s="207">
        <f t="shared" si="9"/>
        <v>39762.825836505974</v>
      </c>
      <c r="N16" s="207">
        <f t="shared" si="9"/>
        <v>48511.735039367733</v>
      </c>
      <c r="O16" s="207">
        <f t="shared" si="9"/>
        <v>56617.806720354056</v>
      </c>
      <c r="P16" s="207">
        <f t="shared" si="9"/>
        <v>65759.932722470709</v>
      </c>
      <c r="Q16" s="207">
        <f t="shared" si="9"/>
        <v>74034.346573306015</v>
      </c>
    </row>
    <row r="17" spans="1:17">
      <c r="A17" s="40" t="s">
        <v>326</v>
      </c>
      <c r="B17" s="41">
        <f>B10+B12+B14+B15+B16</f>
        <v>26685</v>
      </c>
      <c r="C17" s="41">
        <f>C10+C12+C14+C15+C16</f>
        <v>24084</v>
      </c>
      <c r="D17" s="41">
        <f>D10+D12+D14+D15+D16</f>
        <v>28004</v>
      </c>
      <c r="E17" s="41">
        <f>E10+E12+E14+E15+E16</f>
        <v>29783</v>
      </c>
      <c r="F17" s="41">
        <f>F10+F12+F14+F15+F16</f>
        <v>30760</v>
      </c>
      <c r="G17" s="41">
        <f t="shared" ref="G17:Q17" si="10">G10+G12+G14+G15+G16</f>
        <v>22845</v>
      </c>
      <c r="H17" s="41">
        <f t="shared" si="10"/>
        <v>24931</v>
      </c>
      <c r="I17" s="41">
        <f t="shared" si="10"/>
        <v>28208</v>
      </c>
      <c r="J17" s="41">
        <f t="shared" si="10"/>
        <v>39257.735273331156</v>
      </c>
      <c r="K17" s="41">
        <f t="shared" si="10"/>
        <v>45464.903378480172</v>
      </c>
      <c r="L17" s="41">
        <f t="shared" si="10"/>
        <v>52863.290460721408</v>
      </c>
      <c r="M17" s="41">
        <f t="shared" si="10"/>
        <v>61597.702438057167</v>
      </c>
      <c r="N17" s="41">
        <f t="shared" si="10"/>
        <v>70725.040375253564</v>
      </c>
      <c r="O17" s="41">
        <f t="shared" si="10"/>
        <v>78663.681625183424</v>
      </c>
      <c r="P17" s="41">
        <f t="shared" si="10"/>
        <v>88039.496583514381</v>
      </c>
      <c r="Q17" s="41">
        <f t="shared" si="10"/>
        <v>96515.313134860306</v>
      </c>
    </row>
    <row r="18" spans="1:17">
      <c r="A18" s="16" t="s">
        <v>327</v>
      </c>
      <c r="B18" s="28">
        <v>0</v>
      </c>
      <c r="C18" s="28">
        <v>0</v>
      </c>
      <c r="D18" s="28">
        <v>0</v>
      </c>
      <c r="E18" s="28">
        <v>759</v>
      </c>
      <c r="F18" s="28">
        <v>6801</v>
      </c>
      <c r="G18" s="28">
        <v>0</v>
      </c>
      <c r="H18" s="28"/>
      <c r="I18" s="28"/>
    </row>
    <row r="19" spans="1:17">
      <c r="A19" s="42" t="s">
        <v>328</v>
      </c>
      <c r="B19" s="43">
        <f>B18+B17+B9</f>
        <v>123318</v>
      </c>
      <c r="C19" s="43">
        <f>C18+C17+C9</f>
        <v>117496</v>
      </c>
      <c r="D19" s="43">
        <f>D18+D17+D9</f>
        <v>124191</v>
      </c>
      <c r="E19" s="43">
        <f>E18+E17+E9</f>
        <v>126254</v>
      </c>
      <c r="F19" s="43">
        <f>F18+F17+F9</f>
        <v>125387</v>
      </c>
      <c r="G19" s="43">
        <f t="shared" ref="G19:Q19" si="11">G18+G17+G9</f>
        <v>131556</v>
      </c>
      <c r="H19" s="43">
        <f t="shared" si="11"/>
        <v>130124</v>
      </c>
      <c r="I19" s="43">
        <f t="shared" si="11"/>
        <v>133079</v>
      </c>
      <c r="J19" s="43">
        <f t="shared" si="11"/>
        <v>135884.03549814061</v>
      </c>
      <c r="K19" s="43">
        <f t="shared" si="11"/>
        <v>139342.30230637919</v>
      </c>
      <c r="L19" s="43">
        <f t="shared" si="11"/>
        <v>143055.60351246735</v>
      </c>
      <c r="M19" s="43">
        <f t="shared" si="11"/>
        <v>147767.05823434837</v>
      </c>
      <c r="N19" s="43">
        <f t="shared" si="11"/>
        <v>153427.16434574069</v>
      </c>
      <c r="O19" s="43">
        <f t="shared" si="11"/>
        <v>159115.66493027945</v>
      </c>
      <c r="P19" s="43">
        <f t="shared" si="11"/>
        <v>165118.92715463907</v>
      </c>
      <c r="Q19" s="43">
        <f t="shared" si="11"/>
        <v>170171.28717031053</v>
      </c>
    </row>
    <row r="20" spans="1:17">
      <c r="A20" s="16" t="s">
        <v>329</v>
      </c>
      <c r="B20" s="28">
        <v>4788</v>
      </c>
      <c r="C20" s="28">
        <v>4989</v>
      </c>
      <c r="D20" s="28">
        <v>5593</v>
      </c>
      <c r="E20" s="28">
        <v>6148</v>
      </c>
      <c r="F20" s="28">
        <v>5419</v>
      </c>
      <c r="G20" s="28">
        <v>5668</v>
      </c>
      <c r="H20" s="28">
        <v>4873</v>
      </c>
      <c r="I20" s="28">
        <v>5169</v>
      </c>
      <c r="J20" s="213">
        <f>Sales!J2*J21</f>
        <v>5500.4353552465318</v>
      </c>
      <c r="K20" s="213">
        <f>Sales!K2*K21</f>
        <v>5611.3231602812075</v>
      </c>
      <c r="L20" s="213">
        <f>Sales!L2*L21</f>
        <v>5787.350760011479</v>
      </c>
      <c r="M20" s="213">
        <f>Sales!M2*M21</f>
        <v>6000.1026801201342</v>
      </c>
      <c r="N20" s="213">
        <f>Sales!N2*N21</f>
        <v>6126.5718162018384</v>
      </c>
      <c r="O20" s="213">
        <f>Sales!O2*O21</f>
        <v>6070.617339048491</v>
      </c>
      <c r="P20" s="213">
        <f>Sales!P2*P21</f>
        <v>6148.7151094416968</v>
      </c>
      <c r="Q20" s="213">
        <f>Sales!Q2*Q21</f>
        <v>6216.0229622211227</v>
      </c>
    </row>
    <row r="21" spans="1:17">
      <c r="A21" s="16" t="s">
        <v>627</v>
      </c>
      <c r="B21" s="191">
        <f>B20/Sales!B$2</f>
        <v>9.4579646017699109E-2</v>
      </c>
      <c r="C21" s="191">
        <f>C20/Sales!C$2</f>
        <v>8.5185944063108282E-2</v>
      </c>
      <c r="D21" s="191">
        <f>D20/Sales!D$2</f>
        <v>9.8688970056287822E-2</v>
      </c>
      <c r="E21" s="191">
        <f>E20/Sales!E$2</f>
        <v>0.10719204951617121</v>
      </c>
      <c r="F21" s="191">
        <f>F20/Sales!F$2</f>
        <v>0.10385205059409736</v>
      </c>
      <c r="G21" s="191">
        <f>G20/Sales!G$2</f>
        <v>0.11470433480390173</v>
      </c>
      <c r="H21" s="155">
        <f>H20/Sales!H$2</f>
        <v>0.10043695123459334</v>
      </c>
      <c r="I21" s="155">
        <f>I20/Sales!I$2</f>
        <v>0.10525565578610845</v>
      </c>
      <c r="J21" s="212">
        <f t="shared" ref="J21:Q21" si="12">I21</f>
        <v>0.10525565578610845</v>
      </c>
      <c r="K21" s="212">
        <f t="shared" si="12"/>
        <v>0.10525565578610845</v>
      </c>
      <c r="L21" s="212">
        <f t="shared" si="12"/>
        <v>0.10525565578610845</v>
      </c>
      <c r="M21" s="212">
        <f t="shared" si="12"/>
        <v>0.10525565578610845</v>
      </c>
      <c r="N21" s="212">
        <f t="shared" si="12"/>
        <v>0.10525565578610845</v>
      </c>
      <c r="O21" s="212">
        <f t="shared" si="12"/>
        <v>0.10525565578610845</v>
      </c>
      <c r="P21" s="212">
        <f t="shared" si="12"/>
        <v>0.10525565578610845</v>
      </c>
      <c r="Q21" s="212">
        <f t="shared" si="12"/>
        <v>0.10525565578610845</v>
      </c>
    </row>
    <row r="22" spans="1:17">
      <c r="A22" s="16" t="s">
        <v>330</v>
      </c>
      <c r="B22" s="28">
        <v>8627</v>
      </c>
      <c r="C22" s="28">
        <v>6374</v>
      </c>
      <c r="D22" s="28">
        <v>5945</v>
      </c>
      <c r="E22" s="28">
        <v>6776</v>
      </c>
      <c r="F22" s="28">
        <v>6612</v>
      </c>
      <c r="G22" s="28">
        <v>5604</v>
      </c>
      <c r="H22" s="28">
        <v>5905</v>
      </c>
      <c r="I22" s="28">
        <v>5308</v>
      </c>
      <c r="J22" s="207">
        <f t="shared" ref="J22:Q22" si="13">I22+J89</f>
        <v>5308</v>
      </c>
      <c r="K22" s="207">
        <f t="shared" si="13"/>
        <v>5308</v>
      </c>
      <c r="L22" s="207">
        <f t="shared" si="13"/>
        <v>5308</v>
      </c>
      <c r="M22" s="207">
        <f t="shared" si="13"/>
        <v>5308</v>
      </c>
      <c r="N22" s="207">
        <f t="shared" si="13"/>
        <v>5308</v>
      </c>
      <c r="O22" s="207">
        <f t="shared" si="13"/>
        <v>5308</v>
      </c>
      <c r="P22" s="207">
        <f t="shared" si="13"/>
        <v>5308</v>
      </c>
      <c r="Q22" s="207">
        <f t="shared" si="13"/>
        <v>5308</v>
      </c>
    </row>
    <row r="23" spans="1:17">
      <c r="A23" s="16" t="s">
        <v>331</v>
      </c>
      <c r="B23" s="28">
        <v>11243</v>
      </c>
      <c r="C23" s="28">
        <v>11785</v>
      </c>
      <c r="D23" s="28">
        <v>12513</v>
      </c>
      <c r="E23" s="28">
        <v>13394</v>
      </c>
      <c r="F23" s="28">
        <v>12524</v>
      </c>
      <c r="G23" s="28">
        <f>1717+10719</f>
        <v>12436</v>
      </c>
      <c r="H23" s="28">
        <f>1603+9828</f>
        <v>11431</v>
      </c>
      <c r="I23" s="28">
        <v>12926</v>
      </c>
      <c r="J23" s="207">
        <f>I23*(1+'P&amp;L'!J4)</f>
        <v>13754.812807490167</v>
      </c>
      <c r="K23" s="207">
        <f>J23*(1+'P&amp;L'!K4)</f>
        <v>14032.107403713464</v>
      </c>
      <c r="L23" s="207">
        <f>K23*(1+'P&amp;L'!L4)</f>
        <v>14472.29559371414</v>
      </c>
      <c r="M23" s="207">
        <f>L23*(1+'P&amp;L'!M4)</f>
        <v>15004.319451196145</v>
      </c>
      <c r="N23" s="207">
        <f>M23*(1+'P&amp;L'!N4)</f>
        <v>15320.577925367574</v>
      </c>
      <c r="O23" s="207">
        <f>N23*(1+'P&amp;L'!O4)</f>
        <v>15180.653844948891</v>
      </c>
      <c r="P23" s="207">
        <f>O23*(1+'P&amp;L'!P4)</f>
        <v>15375.95115199137</v>
      </c>
      <c r="Q23" s="207">
        <f>P23*(1+'P&amp;L'!Q4)</f>
        <v>15544.266358999856</v>
      </c>
    </row>
    <row r="24" spans="1:17">
      <c r="A24" s="40" t="s">
        <v>332</v>
      </c>
      <c r="B24" s="44">
        <f t="shared" ref="B24:Q24" si="14">B20+B22+B23</f>
        <v>24658</v>
      </c>
      <c r="C24" s="44">
        <f t="shared" si="14"/>
        <v>23148</v>
      </c>
      <c r="D24" s="44">
        <f t="shared" si="14"/>
        <v>24051</v>
      </c>
      <c r="E24" s="44">
        <f t="shared" si="14"/>
        <v>26318</v>
      </c>
      <c r="F24" s="44">
        <f t="shared" si="14"/>
        <v>24555</v>
      </c>
      <c r="G24" s="44">
        <f t="shared" si="14"/>
        <v>23708</v>
      </c>
      <c r="H24" s="44">
        <f t="shared" si="14"/>
        <v>22209</v>
      </c>
      <c r="I24" s="44">
        <f t="shared" si="14"/>
        <v>23403</v>
      </c>
      <c r="J24" s="44">
        <f t="shared" si="14"/>
        <v>24563.248162736701</v>
      </c>
      <c r="K24" s="44">
        <f t="shared" si="14"/>
        <v>24951.430563994672</v>
      </c>
      <c r="L24" s="44">
        <f t="shared" si="14"/>
        <v>25567.64635372562</v>
      </c>
      <c r="M24" s="44">
        <f t="shared" si="14"/>
        <v>26312.422131316278</v>
      </c>
      <c r="N24" s="44">
        <f t="shared" si="14"/>
        <v>26755.14974156941</v>
      </c>
      <c r="O24" s="44">
        <f t="shared" si="14"/>
        <v>26559.271183997382</v>
      </c>
      <c r="P24" s="44">
        <f t="shared" si="14"/>
        <v>26832.666261433067</v>
      </c>
      <c r="Q24" s="44">
        <f t="shared" si="14"/>
        <v>27068.289321220978</v>
      </c>
    </row>
    <row r="25" spans="1:17">
      <c r="A25" s="16" t="s">
        <v>333</v>
      </c>
      <c r="B25" s="28">
        <v>14360</v>
      </c>
      <c r="C25" s="28">
        <v>13855</v>
      </c>
      <c r="D25" s="28">
        <v>13781</v>
      </c>
      <c r="E25" s="28">
        <v>11242</v>
      </c>
      <c r="F25" s="28">
        <v>13799</v>
      </c>
      <c r="G25" s="28">
        <v>16327</v>
      </c>
      <c r="H25" s="28">
        <v>17897</v>
      </c>
      <c r="I25" s="28">
        <v>23224</v>
      </c>
      <c r="J25" s="207">
        <f t="shared" ref="J25:Q25" si="15">I25+J87+J88</f>
        <v>23224</v>
      </c>
      <c r="K25" s="207">
        <f t="shared" si="15"/>
        <v>23224</v>
      </c>
      <c r="L25" s="207">
        <f t="shared" si="15"/>
        <v>23224</v>
      </c>
      <c r="M25" s="207">
        <f t="shared" si="15"/>
        <v>23224</v>
      </c>
      <c r="N25" s="207">
        <f t="shared" si="15"/>
        <v>23224</v>
      </c>
      <c r="O25" s="207">
        <f t="shared" si="15"/>
        <v>23224</v>
      </c>
      <c r="P25" s="207">
        <f t="shared" si="15"/>
        <v>23224</v>
      </c>
      <c r="Q25" s="207">
        <f t="shared" si="15"/>
        <v>23224</v>
      </c>
    </row>
    <row r="26" spans="1:17">
      <c r="A26" s="16" t="s">
        <v>334</v>
      </c>
      <c r="B26" s="28">
        <v>7689</v>
      </c>
      <c r="C26" s="28">
        <v>6761</v>
      </c>
      <c r="D26" s="28">
        <v>7286</v>
      </c>
      <c r="E26" s="28">
        <v>6904</v>
      </c>
      <c r="F26" s="28">
        <v>6099</v>
      </c>
      <c r="G26" s="28">
        <v>6355</v>
      </c>
      <c r="H26" s="28">
        <v>6657</v>
      </c>
      <c r="I26" s="28">
        <v>5168</v>
      </c>
      <c r="J26" s="207">
        <f t="shared" ref="J26:Q27" si="16">I26</f>
        <v>5168</v>
      </c>
      <c r="K26" s="207">
        <f t="shared" si="16"/>
        <v>5168</v>
      </c>
      <c r="L26" s="207">
        <f t="shared" si="16"/>
        <v>5168</v>
      </c>
      <c r="M26" s="207">
        <f t="shared" si="16"/>
        <v>5168</v>
      </c>
      <c r="N26" s="207">
        <f t="shared" si="16"/>
        <v>5168</v>
      </c>
      <c r="O26" s="207">
        <f t="shared" si="16"/>
        <v>5168</v>
      </c>
      <c r="P26" s="207">
        <f t="shared" si="16"/>
        <v>5168</v>
      </c>
      <c r="Q26" s="207">
        <f t="shared" si="16"/>
        <v>5168</v>
      </c>
    </row>
    <row r="27" spans="1:17">
      <c r="A27" s="16" t="s">
        <v>335</v>
      </c>
      <c r="B27" s="28">
        <v>6842</v>
      </c>
      <c r="C27" s="28">
        <v>7792</v>
      </c>
      <c r="D27" s="28">
        <v>9810</v>
      </c>
      <c r="E27" s="28">
        <v>7268</v>
      </c>
      <c r="F27" s="28">
        <v>7672</v>
      </c>
      <c r="G27" s="28">
        <v>8044</v>
      </c>
      <c r="H27" s="28">
        <v>8470</v>
      </c>
      <c r="I27" s="28">
        <v>7057</v>
      </c>
      <c r="J27" s="39">
        <f t="shared" si="16"/>
        <v>7057</v>
      </c>
      <c r="K27" s="39">
        <f t="shared" si="16"/>
        <v>7057</v>
      </c>
      <c r="L27" s="39">
        <f t="shared" si="16"/>
        <v>7057</v>
      </c>
      <c r="M27" s="39">
        <f t="shared" si="16"/>
        <v>7057</v>
      </c>
      <c r="N27" s="39">
        <f t="shared" si="16"/>
        <v>7057</v>
      </c>
      <c r="O27" s="39">
        <f t="shared" si="16"/>
        <v>7057</v>
      </c>
      <c r="P27" s="39">
        <f t="shared" si="16"/>
        <v>7057</v>
      </c>
      <c r="Q27" s="39">
        <f t="shared" si="16"/>
        <v>7057</v>
      </c>
    </row>
    <row r="28" spans="1:17">
      <c r="A28" s="40" t="s">
        <v>336</v>
      </c>
      <c r="B28" s="44">
        <f>B25+B26+B27</f>
        <v>28891</v>
      </c>
      <c r="C28" s="44">
        <f t="shared" ref="C28:Q28" si="17">C25+C26+C27</f>
        <v>28408</v>
      </c>
      <c r="D28" s="44">
        <f t="shared" si="17"/>
        <v>30877</v>
      </c>
      <c r="E28" s="44">
        <f t="shared" si="17"/>
        <v>25414</v>
      </c>
      <c r="F28" s="44">
        <f t="shared" si="17"/>
        <v>27570</v>
      </c>
      <c r="G28" s="44">
        <f t="shared" si="17"/>
        <v>30726</v>
      </c>
      <c r="H28" s="44">
        <f t="shared" si="17"/>
        <v>33024</v>
      </c>
      <c r="I28" s="44">
        <f t="shared" si="17"/>
        <v>35449</v>
      </c>
      <c r="J28" s="44">
        <f t="shared" si="17"/>
        <v>35449</v>
      </c>
      <c r="K28" s="44">
        <f t="shared" si="17"/>
        <v>35449</v>
      </c>
      <c r="L28" s="44">
        <f t="shared" si="17"/>
        <v>35449</v>
      </c>
      <c r="M28" s="44">
        <f t="shared" si="17"/>
        <v>35449</v>
      </c>
      <c r="N28" s="44">
        <f t="shared" si="17"/>
        <v>35449</v>
      </c>
      <c r="O28" s="44">
        <f t="shared" si="17"/>
        <v>35449</v>
      </c>
      <c r="P28" s="44">
        <f t="shared" si="17"/>
        <v>35449</v>
      </c>
      <c r="Q28" s="44">
        <f t="shared" si="17"/>
        <v>35449</v>
      </c>
    </row>
    <row r="29" spans="1:17">
      <c r="A29" s="16" t="s">
        <v>337</v>
      </c>
      <c r="B29" s="28">
        <v>0</v>
      </c>
      <c r="C29" s="28">
        <v>0</v>
      </c>
      <c r="D29" s="28">
        <v>0</v>
      </c>
      <c r="E29" s="28">
        <v>50</v>
      </c>
      <c r="F29" s="28">
        <v>2418</v>
      </c>
      <c r="G29" s="28"/>
      <c r="H29" s="28"/>
      <c r="I29" s="28"/>
    </row>
    <row r="30" spans="1:17">
      <c r="A30" s="40" t="s">
        <v>628</v>
      </c>
      <c r="B30" s="44">
        <f>B29+B28+B24</f>
        <v>53549</v>
      </c>
      <c r="C30" s="44">
        <f>C29+C28+C24</f>
        <v>51556</v>
      </c>
      <c r="D30" s="44">
        <f>D29+D28+D24</f>
        <v>54928</v>
      </c>
      <c r="E30" s="44">
        <f>E29+E28+E24</f>
        <v>51782</v>
      </c>
      <c r="F30" s="44">
        <f>F29+F28+F24</f>
        <v>54543</v>
      </c>
      <c r="G30" s="44">
        <f t="shared" ref="G30:Q30" si="18">G29+G28+G24</f>
        <v>54434</v>
      </c>
      <c r="H30" s="44">
        <f t="shared" si="18"/>
        <v>55233</v>
      </c>
      <c r="I30" s="44">
        <f t="shared" si="18"/>
        <v>58852</v>
      </c>
      <c r="J30" s="44">
        <f t="shared" si="18"/>
        <v>60012.248162736701</v>
      </c>
      <c r="K30" s="44">
        <f t="shared" si="18"/>
        <v>60400.430563994669</v>
      </c>
      <c r="L30" s="44">
        <f t="shared" si="18"/>
        <v>61016.64635372562</v>
      </c>
      <c r="M30" s="44">
        <f t="shared" si="18"/>
        <v>61761.422131316278</v>
      </c>
      <c r="N30" s="44">
        <f t="shared" si="18"/>
        <v>62204.14974156941</v>
      </c>
      <c r="O30" s="44">
        <f t="shared" si="18"/>
        <v>62008.271183997378</v>
      </c>
      <c r="P30" s="44">
        <f t="shared" si="18"/>
        <v>62281.666261433071</v>
      </c>
      <c r="Q30" s="44">
        <f t="shared" si="18"/>
        <v>62517.289321220975</v>
      </c>
    </row>
    <row r="31" spans="1:17">
      <c r="A31" s="16" t="s">
        <v>339</v>
      </c>
      <c r="B31" s="28">
        <v>957</v>
      </c>
      <c r="C31" s="28">
        <v>1016</v>
      </c>
      <c r="D31" s="28">
        <v>1001</v>
      </c>
      <c r="E31" s="28">
        <v>1001</v>
      </c>
      <c r="F31" s="28">
        <v>1001</v>
      </c>
      <c r="G31" s="28">
        <v>991</v>
      </c>
      <c r="H31" s="28">
        <v>972</v>
      </c>
      <c r="I31" s="28">
        <v>969</v>
      </c>
      <c r="J31" s="39">
        <f t="shared" ref="J31:Q31" si="19">I31</f>
        <v>969</v>
      </c>
      <c r="K31" s="39">
        <f t="shared" si="19"/>
        <v>969</v>
      </c>
      <c r="L31" s="39">
        <f t="shared" si="19"/>
        <v>969</v>
      </c>
      <c r="M31" s="39">
        <f t="shared" si="19"/>
        <v>969</v>
      </c>
      <c r="N31" s="39">
        <f t="shared" si="19"/>
        <v>969</v>
      </c>
      <c r="O31" s="39">
        <f t="shared" si="19"/>
        <v>969</v>
      </c>
      <c r="P31" s="39">
        <f t="shared" si="19"/>
        <v>969</v>
      </c>
      <c r="Q31" s="39">
        <f t="shared" si="19"/>
        <v>969</v>
      </c>
    </row>
    <row r="32" spans="1:17">
      <c r="A32" s="16" t="s">
        <v>340</v>
      </c>
      <c r="B32" s="28">
        <v>-125</v>
      </c>
      <c r="C32" s="28">
        <v>-121</v>
      </c>
      <c r="D32" s="28">
        <v>-92</v>
      </c>
      <c r="E32" s="28">
        <v>-89</v>
      </c>
      <c r="F32" s="28">
        <v>-103</v>
      </c>
      <c r="G32" s="28">
        <v>-101</v>
      </c>
      <c r="H32" s="28">
        <v>-76</v>
      </c>
      <c r="I32" s="28">
        <v>-100</v>
      </c>
      <c r="J32" s="39">
        <f t="shared" ref="J32:Q32" si="20">I32</f>
        <v>-100</v>
      </c>
      <c r="K32" s="39">
        <f t="shared" si="20"/>
        <v>-100</v>
      </c>
      <c r="L32" s="39">
        <f t="shared" si="20"/>
        <v>-100</v>
      </c>
      <c r="M32" s="39">
        <f t="shared" si="20"/>
        <v>-100</v>
      </c>
      <c r="N32" s="39">
        <f t="shared" si="20"/>
        <v>-100</v>
      </c>
      <c r="O32" s="39">
        <f t="shared" si="20"/>
        <v>-100</v>
      </c>
      <c r="P32" s="39">
        <f t="shared" si="20"/>
        <v>-100</v>
      </c>
      <c r="Q32" s="39">
        <f t="shared" si="20"/>
        <v>-100</v>
      </c>
    </row>
    <row r="33" spans="1:24">
      <c r="A33" s="16" t="s">
        <v>341</v>
      </c>
      <c r="B33" s="28">
        <v>62364</v>
      </c>
      <c r="C33" s="28">
        <v>64949</v>
      </c>
      <c r="D33" s="28">
        <v>68228</v>
      </c>
      <c r="E33" s="28">
        <v>73431</v>
      </c>
      <c r="F33" s="28">
        <v>69868</v>
      </c>
      <c r="G33" s="28">
        <v>76156</v>
      </c>
      <c r="H33" s="28">
        <v>73936</v>
      </c>
      <c r="I33" s="28">
        <v>73299</v>
      </c>
      <c r="J33" s="207">
        <f t="shared" ref="J33:Q33" si="21">J34-J31-J32-J30</f>
        <v>74943.787335403904</v>
      </c>
      <c r="K33" s="207">
        <f t="shared" si="21"/>
        <v>78013.871742384523</v>
      </c>
      <c r="L33" s="207">
        <f t="shared" si="21"/>
        <v>81110.95715874173</v>
      </c>
      <c r="M33" s="207">
        <f t="shared" si="21"/>
        <v>85077.636103032099</v>
      </c>
      <c r="N33" s="207">
        <f t="shared" si="21"/>
        <v>90295.014604171272</v>
      </c>
      <c r="O33" s="207">
        <f t="shared" si="21"/>
        <v>96179.393746282076</v>
      </c>
      <c r="P33" s="207">
        <f t="shared" si="21"/>
        <v>101909.260893206</v>
      </c>
      <c r="Q33" s="207">
        <f t="shared" si="21"/>
        <v>106725.99784908956</v>
      </c>
    </row>
    <row r="34" spans="1:24">
      <c r="A34" s="40" t="s">
        <v>342</v>
      </c>
      <c r="B34" s="44">
        <f t="shared" ref="B34:I34" si="22">B31+B32+B33</f>
        <v>63196</v>
      </c>
      <c r="C34" s="44">
        <f t="shared" si="22"/>
        <v>65844</v>
      </c>
      <c r="D34" s="44">
        <f t="shared" si="22"/>
        <v>69137</v>
      </c>
      <c r="E34" s="44">
        <f t="shared" si="22"/>
        <v>74343</v>
      </c>
      <c r="F34" s="44">
        <f t="shared" si="22"/>
        <v>70766</v>
      </c>
      <c r="G34" s="44">
        <f t="shared" si="22"/>
        <v>77046</v>
      </c>
      <c r="H34" s="44">
        <f t="shared" si="22"/>
        <v>74832</v>
      </c>
      <c r="I34" s="44">
        <f t="shared" si="22"/>
        <v>74168</v>
      </c>
      <c r="J34" s="44">
        <f t="shared" ref="J34:Q34" si="23">J36-J35</f>
        <v>135825.03549814061</v>
      </c>
      <c r="K34" s="44">
        <f t="shared" si="23"/>
        <v>139283.30230637919</v>
      </c>
      <c r="L34" s="44">
        <f t="shared" si="23"/>
        <v>142996.60351246735</v>
      </c>
      <c r="M34" s="44">
        <f t="shared" si="23"/>
        <v>147708.05823434837</v>
      </c>
      <c r="N34" s="44">
        <f t="shared" si="23"/>
        <v>153368.16434574069</v>
      </c>
      <c r="O34" s="44">
        <f t="shared" si="23"/>
        <v>159056.66493027945</v>
      </c>
      <c r="P34" s="44">
        <f t="shared" si="23"/>
        <v>165059.92715463907</v>
      </c>
      <c r="Q34" s="44">
        <f t="shared" si="23"/>
        <v>170112.28717031053</v>
      </c>
    </row>
    <row r="35" spans="1:24">
      <c r="A35" s="16" t="s">
        <v>343</v>
      </c>
      <c r="B35" s="28">
        <v>6573</v>
      </c>
      <c r="C35" s="28">
        <v>96</v>
      </c>
      <c r="D35" s="28">
        <v>126</v>
      </c>
      <c r="E35" s="28">
        <v>129</v>
      </c>
      <c r="F35" s="28">
        <v>78</v>
      </c>
      <c r="G35" s="28">
        <v>76</v>
      </c>
      <c r="H35" s="28">
        <v>59</v>
      </c>
      <c r="I35" s="28">
        <v>59</v>
      </c>
      <c r="J35" s="39">
        <f t="shared" ref="J35:Q35" si="24">I35</f>
        <v>59</v>
      </c>
      <c r="K35" s="39">
        <f t="shared" si="24"/>
        <v>59</v>
      </c>
      <c r="L35" s="39">
        <f t="shared" si="24"/>
        <v>59</v>
      </c>
      <c r="M35" s="39">
        <f t="shared" si="24"/>
        <v>59</v>
      </c>
      <c r="N35" s="39">
        <f t="shared" si="24"/>
        <v>59</v>
      </c>
      <c r="O35" s="39">
        <f t="shared" si="24"/>
        <v>59</v>
      </c>
      <c r="P35" s="39">
        <f t="shared" si="24"/>
        <v>59</v>
      </c>
      <c r="Q35" s="39">
        <f t="shared" si="24"/>
        <v>59</v>
      </c>
    </row>
    <row r="36" spans="1:24">
      <c r="A36" s="42" t="s">
        <v>344</v>
      </c>
      <c r="B36" s="45">
        <f t="shared" ref="B36:I36" si="25">+B30+B34+B35</f>
        <v>123318</v>
      </c>
      <c r="C36" s="45">
        <f t="shared" si="25"/>
        <v>117496</v>
      </c>
      <c r="D36" s="45">
        <f t="shared" si="25"/>
        <v>124191</v>
      </c>
      <c r="E36" s="45">
        <f t="shared" si="25"/>
        <v>126254</v>
      </c>
      <c r="F36" s="45">
        <f t="shared" si="25"/>
        <v>125387</v>
      </c>
      <c r="G36" s="45">
        <f t="shared" si="25"/>
        <v>131556</v>
      </c>
      <c r="H36" s="45">
        <f t="shared" si="25"/>
        <v>130124</v>
      </c>
      <c r="I36" s="45">
        <f t="shared" si="25"/>
        <v>133079</v>
      </c>
      <c r="J36" s="45">
        <f t="shared" ref="J36:Q36" si="26">I36+J40+J47+J50+J90</f>
        <v>135884.03549814061</v>
      </c>
      <c r="K36" s="45">
        <f t="shared" si="26"/>
        <v>139342.30230637919</v>
      </c>
      <c r="L36" s="45">
        <f t="shared" si="26"/>
        <v>143055.60351246735</v>
      </c>
      <c r="M36" s="45">
        <f t="shared" si="26"/>
        <v>147767.05823434837</v>
      </c>
      <c r="N36" s="45">
        <f t="shared" si="26"/>
        <v>153427.16434574069</v>
      </c>
      <c r="O36" s="45">
        <f t="shared" si="26"/>
        <v>159115.66493027945</v>
      </c>
      <c r="P36" s="45">
        <f t="shared" si="26"/>
        <v>165118.92715463907</v>
      </c>
      <c r="Q36" s="45">
        <f t="shared" si="26"/>
        <v>170171.28717031053</v>
      </c>
    </row>
    <row r="37" spans="1:24">
      <c r="A37" s="38" t="s">
        <v>345</v>
      </c>
      <c r="B37" s="39">
        <f>B36-B19</f>
        <v>0</v>
      </c>
      <c r="C37" s="39">
        <f>C36-C19</f>
        <v>0</v>
      </c>
      <c r="D37" s="39">
        <f>D36-D19</f>
        <v>0</v>
      </c>
      <c r="E37" s="39">
        <f>E36-E19</f>
        <v>0</v>
      </c>
      <c r="F37" s="39">
        <f>F36-F19</f>
        <v>0</v>
      </c>
      <c r="G37" s="39">
        <f t="shared" ref="G37:Q37" si="27">G36-G19</f>
        <v>0</v>
      </c>
      <c r="H37" s="39">
        <f t="shared" si="27"/>
        <v>0</v>
      </c>
      <c r="I37" s="39">
        <f t="shared" si="27"/>
        <v>0</v>
      </c>
      <c r="J37" s="39">
        <f t="shared" si="27"/>
        <v>0</v>
      </c>
      <c r="K37" s="39">
        <f t="shared" si="27"/>
        <v>0</v>
      </c>
      <c r="L37" s="39">
        <f t="shared" si="27"/>
        <v>0</v>
      </c>
      <c r="M37" s="39">
        <f t="shared" si="27"/>
        <v>0</v>
      </c>
      <c r="N37" s="39">
        <f t="shared" si="27"/>
        <v>0</v>
      </c>
      <c r="O37" s="39">
        <f t="shared" si="27"/>
        <v>0</v>
      </c>
      <c r="P37" s="39">
        <f t="shared" si="27"/>
        <v>0</v>
      </c>
      <c r="Q37" s="39">
        <f t="shared" si="27"/>
        <v>0</v>
      </c>
    </row>
    <row r="39" spans="1:24" s="22" customFormat="1">
      <c r="A39" s="36" t="s">
        <v>346</v>
      </c>
      <c r="B39" s="37">
        <v>2010</v>
      </c>
      <c r="C39" s="37">
        <v>2011</v>
      </c>
      <c r="D39" s="37">
        <v>2012</v>
      </c>
      <c r="E39" s="37">
        <v>2013</v>
      </c>
      <c r="F39" s="37">
        <v>2014</v>
      </c>
      <c r="G39" s="37">
        <v>2015</v>
      </c>
      <c r="H39" s="37">
        <v>2016</v>
      </c>
      <c r="I39" s="37">
        <v>2017</v>
      </c>
      <c r="J39" s="418">
        <v>2018</v>
      </c>
      <c r="K39" s="418">
        <v>2019</v>
      </c>
      <c r="L39" s="418">
        <v>2020</v>
      </c>
      <c r="M39" s="418">
        <f>L39+1</f>
        <v>2021</v>
      </c>
      <c r="N39" s="418">
        <f>M39+1</f>
        <v>2022</v>
      </c>
      <c r="O39" s="418">
        <f>N39+1</f>
        <v>2023</v>
      </c>
      <c r="P39" s="418">
        <f>O39+1</f>
        <v>2024</v>
      </c>
      <c r="Q39" s="418">
        <f>P39+1</f>
        <v>2025</v>
      </c>
      <c r="S39"/>
      <c r="T39"/>
      <c r="U39"/>
      <c r="V39"/>
      <c r="W39"/>
      <c r="X39"/>
    </row>
    <row r="40" spans="1:24">
      <c r="A40" s="46" t="s">
        <v>347</v>
      </c>
      <c r="B40" s="47">
        <v>9794</v>
      </c>
      <c r="C40" s="47">
        <v>9028</v>
      </c>
      <c r="D40" s="47">
        <v>9270</v>
      </c>
      <c r="E40" s="47">
        <v>9189</v>
      </c>
      <c r="F40" s="47">
        <v>10656</v>
      </c>
      <c r="G40" s="47">
        <f>'P&amp;L'!G142</f>
        <v>7028</v>
      </c>
      <c r="H40" s="47">
        <f>'P&amp;L'!H142</f>
        <v>6698</v>
      </c>
      <c r="I40" s="47">
        <f>'P&amp;L'!I147</f>
        <v>7703</v>
      </c>
      <c r="J40" s="47">
        <f>'P&amp;L'!J147</f>
        <v>8858.2973142076135</v>
      </c>
      <c r="K40" s="47">
        <f>'P&amp;L'!K147</f>
        <v>9606.5902476103165</v>
      </c>
      <c r="L40" s="47">
        <f>'P&amp;L'!L147</f>
        <v>10011.357512853403</v>
      </c>
      <c r="M40" s="47">
        <f>'P&amp;L'!M147</f>
        <v>11208.052168227348</v>
      </c>
      <c r="N40" s="47">
        <f>'P&amp;L'!N147</f>
        <v>12354.705745363128</v>
      </c>
      <c r="O40" s="47">
        <f>'P&amp;L'!O147</f>
        <v>12581.030916222255</v>
      </c>
      <c r="P40" s="47">
        <f>'P&amp;L'!P147</f>
        <v>13193.987125457681</v>
      </c>
      <c r="Q40" s="47">
        <f>'P&amp;L'!Q147</f>
        <v>12341.784544157048</v>
      </c>
      <c r="R40" s="16" t="s">
        <v>656</v>
      </c>
    </row>
    <row r="41" spans="1:24">
      <c r="A41" s="658" t="s">
        <v>169</v>
      </c>
      <c r="B41" s="24">
        <v>175</v>
      </c>
      <c r="C41" s="24">
        <v>217</v>
      </c>
      <c r="D41" s="24">
        <v>113</v>
      </c>
      <c r="E41" s="24">
        <v>120</v>
      </c>
      <c r="F41" s="24">
        <v>71</v>
      </c>
      <c r="G41" s="24"/>
      <c r="H41" s="24"/>
      <c r="I41" s="23"/>
      <c r="J41" s="23">
        <f>-'P&amp;L'!J129</f>
        <v>0</v>
      </c>
      <c r="K41" s="23">
        <f>-'P&amp;L'!K129</f>
        <v>0</v>
      </c>
      <c r="L41" s="23">
        <f>-'P&amp;L'!L129</f>
        <v>0</v>
      </c>
      <c r="M41" s="23">
        <f>-'P&amp;L'!M129</f>
        <v>0</v>
      </c>
      <c r="N41" s="23">
        <f>-'P&amp;L'!N129</f>
        <v>0</v>
      </c>
      <c r="O41" s="23">
        <f>-'P&amp;L'!O129</f>
        <v>0</v>
      </c>
      <c r="P41" s="23">
        <f>-'P&amp;L'!P129</f>
        <v>0</v>
      </c>
      <c r="Q41" s="23">
        <f>-'P&amp;L'!Q129</f>
        <v>0</v>
      </c>
      <c r="R41" s="16" t="s">
        <v>656</v>
      </c>
    </row>
    <row r="42" spans="1:24">
      <c r="A42" s="658" t="s">
        <v>348</v>
      </c>
      <c r="B42" s="24">
        <v>1733</v>
      </c>
      <c r="C42" s="24">
        <v>1528</v>
      </c>
      <c r="D42" s="24">
        <v>1542</v>
      </c>
      <c r="E42" s="24">
        <v>1498</v>
      </c>
      <c r="F42" s="24">
        <v>1545</v>
      </c>
      <c r="G42" s="24">
        <v>1106</v>
      </c>
      <c r="H42" s="24">
        <f>-'P&amp;L'!H123</f>
        <v>1119</v>
      </c>
      <c r="I42" s="24">
        <f>-'P&amp;L'!I123</f>
        <v>1296</v>
      </c>
      <c r="J42" s="23">
        <f>-'P&amp;L'!J123</f>
        <v>1502.2843398363786</v>
      </c>
      <c r="K42" s="23">
        <f>-'P&amp;L'!K123</f>
        <v>1629.1878197701703</v>
      </c>
      <c r="L42" s="23">
        <f>-'P&amp;L'!L123</f>
        <v>1697.8325606593492</v>
      </c>
      <c r="M42" s="23">
        <f>-'P&amp;L'!M123</f>
        <v>1900.7807770677957</v>
      </c>
      <c r="N42" s="23">
        <f>-'P&amp;L'!N123</f>
        <v>2095.2424948276648</v>
      </c>
      <c r="O42" s="23">
        <f>-'P&amp;L'!O123</f>
        <v>2133.6251261429552</v>
      </c>
      <c r="P42" s="23">
        <f>-'P&amp;L'!P123</f>
        <v>2237.5767639665069</v>
      </c>
      <c r="Q42" s="23">
        <f>-'P&amp;L'!Q123</f>
        <v>2093.0511800032418</v>
      </c>
      <c r="R42" s="16" t="s">
        <v>656</v>
      </c>
    </row>
    <row r="43" spans="1:24">
      <c r="A43" s="658" t="s">
        <v>349</v>
      </c>
      <c r="B43" s="24">
        <v>1373</v>
      </c>
      <c r="C43" s="24">
        <v>2141</v>
      </c>
      <c r="D43" s="24">
        <v>1743</v>
      </c>
      <c r="E43" s="24">
        <v>1601</v>
      </c>
      <c r="F43" s="24">
        <v>1630</v>
      </c>
      <c r="G43" s="24">
        <v>1550</v>
      </c>
      <c r="H43" s="24">
        <v>1591</v>
      </c>
      <c r="I43" s="24">
        <v>1677</v>
      </c>
      <c r="J43" s="198">
        <f t="shared" ref="J43:Q43" si="28">I43-J138/J140</f>
        <v>1783.8910778745326</v>
      </c>
      <c r="K43" s="198">
        <f t="shared" si="28"/>
        <v>1874.7627304751268</v>
      </c>
      <c r="L43" s="198">
        <f t="shared" si="28"/>
        <v>1949.7405726303011</v>
      </c>
      <c r="M43" s="198">
        <f t="shared" si="28"/>
        <v>2027.4747156467154</v>
      </c>
      <c r="N43" s="198">
        <f t="shared" si="28"/>
        <v>2106.8473256086886</v>
      </c>
      <c r="O43" s="198">
        <f t="shared" si="28"/>
        <v>2185.4950190881727</v>
      </c>
      <c r="P43" s="198">
        <f t="shared" si="28"/>
        <v>2265.15450579465</v>
      </c>
      <c r="Q43" s="198">
        <f t="shared" si="28"/>
        <v>2345.6859972872153</v>
      </c>
      <c r="R43" s="16" t="s">
        <v>657</v>
      </c>
    </row>
    <row r="44" spans="1:24">
      <c r="A44" s="658" t="s">
        <v>350</v>
      </c>
      <c r="B44" s="24">
        <v>2046</v>
      </c>
      <c r="C44" s="24">
        <v>3647</v>
      </c>
      <c r="D44" s="24">
        <v>3177</v>
      </c>
      <c r="E44" s="24">
        <v>2804</v>
      </c>
      <c r="F44" s="24">
        <v>3052</v>
      </c>
      <c r="G44" s="24">
        <v>3921</v>
      </c>
      <c r="H44" s="24">
        <v>4452</v>
      </c>
      <c r="I44" s="24">
        <v>4399</v>
      </c>
      <c r="J44" s="23">
        <f t="shared" ref="J44:Q44" si="29">I44</f>
        <v>4399</v>
      </c>
      <c r="K44" s="23">
        <f t="shared" si="29"/>
        <v>4399</v>
      </c>
      <c r="L44" s="23">
        <f t="shared" si="29"/>
        <v>4399</v>
      </c>
      <c r="M44" s="23">
        <f t="shared" si="29"/>
        <v>4399</v>
      </c>
      <c r="N44" s="23">
        <f t="shared" si="29"/>
        <v>4399</v>
      </c>
      <c r="O44" s="23">
        <f t="shared" si="29"/>
        <v>4399</v>
      </c>
      <c r="P44" s="23">
        <f t="shared" si="29"/>
        <v>4399</v>
      </c>
      <c r="Q44" s="23">
        <f t="shared" si="29"/>
        <v>4399</v>
      </c>
      <c r="R44" s="16" t="s">
        <v>657</v>
      </c>
    </row>
    <row r="45" spans="1:24">
      <c r="A45" s="658" t="s">
        <v>351</v>
      </c>
      <c r="B45" s="24">
        <v>158</v>
      </c>
      <c r="C45" s="24">
        <v>192</v>
      </c>
      <c r="D45" s="24">
        <v>34</v>
      </c>
      <c r="E45" s="24">
        <v>57</v>
      </c>
      <c r="F45" s="24">
        <v>69</v>
      </c>
      <c r="G45" s="24">
        <v>104</v>
      </c>
      <c r="H45" s="24">
        <v>132</v>
      </c>
      <c r="I45" s="24">
        <v>256</v>
      </c>
      <c r="J45" s="48"/>
      <c r="K45" s="48"/>
      <c r="L45" s="48"/>
      <c r="M45" s="48"/>
      <c r="N45" s="48"/>
      <c r="O45" s="48"/>
      <c r="P45" s="48"/>
      <c r="Q45" s="48"/>
    </row>
    <row r="46" spans="1:24">
      <c r="A46" s="658" t="s">
        <v>352</v>
      </c>
      <c r="B46" s="24">
        <v>-804</v>
      </c>
      <c r="C46" s="24">
        <v>-528</v>
      </c>
      <c r="D46" s="24">
        <v>-552</v>
      </c>
      <c r="E46" s="24">
        <v>-599</v>
      </c>
      <c r="F46" s="24">
        <v>-1918</v>
      </c>
      <c r="G46" s="24">
        <v>-266</v>
      </c>
      <c r="H46" s="24">
        <v>-703</v>
      </c>
      <c r="I46" s="24">
        <v>-1108</v>
      </c>
      <c r="J46" s="23">
        <f>-'P&amp;L'!J99</f>
        <v>-817.29758747937672</v>
      </c>
      <c r="K46" s="23">
        <f>-'P&amp;L'!K99</f>
        <v>-752.64500034011996</v>
      </c>
      <c r="L46" s="23">
        <f>-'P&amp;L'!L99</f>
        <v>-811.03362442980085</v>
      </c>
      <c r="M46" s="23">
        <f>-'P&amp;L'!M99</f>
        <v>-855.4611418692084</v>
      </c>
      <c r="N46" s="23">
        <f>-'P&amp;L'!N99</f>
        <v>-907.73419896266887</v>
      </c>
      <c r="O46" s="23">
        <f>-'P&amp;L'!O99</f>
        <v>-962.62090891080243</v>
      </c>
      <c r="P46" s="23">
        <f>-'P&amp;L'!P99</f>
        <v>-1020.2519543563426</v>
      </c>
      <c r="Q46" s="23">
        <f>-'P&amp;L'!Q99</f>
        <v>-1080.7645520741598</v>
      </c>
      <c r="R46" s="16" t="s">
        <v>656</v>
      </c>
    </row>
    <row r="47" spans="1:24">
      <c r="A47" s="658" t="s">
        <v>353</v>
      </c>
      <c r="B47" s="24">
        <v>-429</v>
      </c>
      <c r="C47" s="24">
        <v>-518</v>
      </c>
      <c r="D47" s="24">
        <v>-294</v>
      </c>
      <c r="E47" s="24">
        <v>-347</v>
      </c>
      <c r="F47" s="24">
        <v>-622</v>
      </c>
      <c r="G47" s="24">
        <v>-869</v>
      </c>
      <c r="H47" s="24">
        <v>-935</v>
      </c>
      <c r="I47" s="24">
        <v>-1043</v>
      </c>
      <c r="J47" s="48"/>
      <c r="K47" s="48"/>
      <c r="L47" s="48"/>
      <c r="M47" s="48"/>
      <c r="N47" s="48"/>
      <c r="O47" s="48"/>
      <c r="P47" s="48"/>
      <c r="Q47" s="48"/>
    </row>
    <row r="48" spans="1:24">
      <c r="A48" s="658" t="s">
        <v>354</v>
      </c>
      <c r="B48" s="24">
        <v>655</v>
      </c>
      <c r="C48" s="24">
        <v>790</v>
      </c>
      <c r="D48" s="24">
        <v>746</v>
      </c>
      <c r="E48" s="24">
        <v>654</v>
      </c>
      <c r="F48" s="24">
        <v>744</v>
      </c>
      <c r="G48" s="24">
        <v>773</v>
      </c>
      <c r="H48" s="24">
        <v>671</v>
      </c>
      <c r="I48" s="24">
        <v>683</v>
      </c>
      <c r="J48" s="48"/>
      <c r="K48" s="48"/>
      <c r="L48" s="48"/>
      <c r="M48" s="48"/>
      <c r="N48" s="48"/>
      <c r="O48" s="48"/>
      <c r="P48" s="48"/>
      <c r="Q48" s="48"/>
    </row>
    <row r="49" spans="1:18">
      <c r="A49" s="658" t="s">
        <v>355</v>
      </c>
      <c r="B49" s="24">
        <v>802</v>
      </c>
      <c r="C49" s="24">
        <v>1295</v>
      </c>
      <c r="D49" s="24">
        <v>857</v>
      </c>
      <c r="E49" s="24">
        <v>736</v>
      </c>
      <c r="F49" s="24">
        <v>1490</v>
      </c>
      <c r="G49" s="24">
        <v>1642</v>
      </c>
      <c r="H49" s="24">
        <v>956</v>
      </c>
      <c r="I49" s="24">
        <v>160</v>
      </c>
      <c r="J49" s="48"/>
      <c r="K49" s="48"/>
      <c r="L49" s="48"/>
      <c r="M49" s="48"/>
      <c r="N49" s="48"/>
      <c r="O49" s="48"/>
      <c r="P49" s="48"/>
      <c r="Q49" s="48"/>
    </row>
    <row r="50" spans="1:18">
      <c r="A50" s="658" t="s">
        <v>356</v>
      </c>
      <c r="B50" s="24">
        <v>628</v>
      </c>
      <c r="C50" s="24">
        <v>753</v>
      </c>
      <c r="D50" s="24">
        <v>820</v>
      </c>
      <c r="E50" s="24">
        <v>775</v>
      </c>
      <c r="F50" s="24">
        <v>735</v>
      </c>
      <c r="G50" s="24">
        <v>1109</v>
      </c>
      <c r="H50" s="24">
        <v>1154</v>
      </c>
      <c r="I50" s="24">
        <v>738</v>
      </c>
      <c r="J50" s="23">
        <f>-'P&amp;L'!J114</f>
        <v>830</v>
      </c>
      <c r="K50" s="23">
        <f>-'P&amp;L'!K114</f>
        <v>750</v>
      </c>
      <c r="L50" s="23">
        <f>-'P&amp;L'!L114</f>
        <v>700</v>
      </c>
      <c r="M50" s="23">
        <f>-'P&amp;L'!M114</f>
        <v>600</v>
      </c>
      <c r="N50" s="23">
        <f>-'P&amp;L'!N114</f>
        <v>500</v>
      </c>
      <c r="O50" s="23">
        <f>-'P&amp;L'!O114</f>
        <v>400</v>
      </c>
      <c r="P50" s="23">
        <f>-'P&amp;L'!P114</f>
        <v>200</v>
      </c>
      <c r="Q50" s="23">
        <f>-'P&amp;L'!Q114</f>
        <v>200</v>
      </c>
      <c r="R50" s="16" t="s">
        <v>656</v>
      </c>
    </row>
    <row r="51" spans="1:18">
      <c r="A51" s="658" t="s">
        <v>631</v>
      </c>
      <c r="B51" s="24">
        <f>B25+B22</f>
        <v>22987</v>
      </c>
      <c r="C51" s="24">
        <f t="shared" ref="C51:Q51" si="30">C25+C22</f>
        <v>20229</v>
      </c>
      <c r="D51" s="24">
        <f t="shared" si="30"/>
        <v>19726</v>
      </c>
      <c r="E51" s="24">
        <f t="shared" si="30"/>
        <v>18018</v>
      </c>
      <c r="F51" s="24">
        <f t="shared" si="30"/>
        <v>20411</v>
      </c>
      <c r="G51" s="24">
        <f t="shared" si="30"/>
        <v>21931</v>
      </c>
      <c r="H51" s="24">
        <f t="shared" si="30"/>
        <v>23802</v>
      </c>
      <c r="I51" s="24">
        <f t="shared" si="30"/>
        <v>28532</v>
      </c>
      <c r="J51" s="24">
        <f t="shared" si="30"/>
        <v>28532</v>
      </c>
      <c r="K51" s="24">
        <f t="shared" si="30"/>
        <v>28532</v>
      </c>
      <c r="L51" s="24">
        <f t="shared" si="30"/>
        <v>28532</v>
      </c>
      <c r="M51" s="24">
        <f t="shared" si="30"/>
        <v>28532</v>
      </c>
      <c r="N51" s="24">
        <f t="shared" si="30"/>
        <v>28532</v>
      </c>
      <c r="O51" s="24">
        <f t="shared" si="30"/>
        <v>28532</v>
      </c>
      <c r="P51" s="24">
        <f t="shared" si="30"/>
        <v>28532</v>
      </c>
      <c r="Q51" s="24">
        <f t="shared" si="30"/>
        <v>28532</v>
      </c>
    </row>
    <row r="52" spans="1:18">
      <c r="A52" s="658" t="s">
        <v>654</v>
      </c>
      <c r="B52" s="189">
        <f t="shared" ref="B52:Q52" si="31">B50/B51</f>
        <v>2.7319789446208727E-2</v>
      </c>
      <c r="C52" s="189">
        <f t="shared" si="31"/>
        <v>3.7223787631617974E-2</v>
      </c>
      <c r="D52" s="189">
        <f t="shared" si="31"/>
        <v>4.1569502179864139E-2</v>
      </c>
      <c r="E52" s="189">
        <f t="shared" si="31"/>
        <v>4.3012543012543016E-2</v>
      </c>
      <c r="F52" s="189">
        <f t="shared" si="31"/>
        <v>3.6009994610749108E-2</v>
      </c>
      <c r="G52" s="189">
        <f t="shared" si="31"/>
        <v>5.056768957183895E-2</v>
      </c>
      <c r="H52" s="189">
        <f t="shared" si="31"/>
        <v>4.8483320729350472E-2</v>
      </c>
      <c r="I52" s="189">
        <f t="shared" si="31"/>
        <v>2.5865694658628906E-2</v>
      </c>
      <c r="J52" s="189">
        <f t="shared" si="31"/>
        <v>2.9090144399270993E-2</v>
      </c>
      <c r="K52" s="189">
        <f t="shared" si="31"/>
        <v>2.6286275059582222E-2</v>
      </c>
      <c r="L52" s="189">
        <f t="shared" si="31"/>
        <v>2.4533856722276742E-2</v>
      </c>
      <c r="M52" s="189">
        <f t="shared" si="31"/>
        <v>2.102902004766578E-2</v>
      </c>
      <c r="N52" s="189">
        <f t="shared" si="31"/>
        <v>1.7524183373054815E-2</v>
      </c>
      <c r="O52" s="189">
        <f t="shared" si="31"/>
        <v>1.4019346698443853E-2</v>
      </c>
      <c r="P52" s="189">
        <f t="shared" si="31"/>
        <v>7.0096733492219267E-3</v>
      </c>
      <c r="Q52" s="189">
        <f t="shared" si="31"/>
        <v>7.0096733492219267E-3</v>
      </c>
    </row>
    <row r="53" spans="1:18">
      <c r="A53" s="23" t="s">
        <v>357</v>
      </c>
      <c r="B53" s="24">
        <v>3</v>
      </c>
      <c r="C53" s="24">
        <v>1</v>
      </c>
      <c r="D53" s="24"/>
      <c r="E53" s="24"/>
      <c r="F53" s="24"/>
      <c r="G53" s="24"/>
      <c r="H53" s="24"/>
      <c r="I53" s="48"/>
      <c r="J53" s="48"/>
      <c r="K53" s="48"/>
      <c r="L53" s="48"/>
      <c r="M53" s="48"/>
      <c r="N53" s="48"/>
      <c r="O53" s="48"/>
      <c r="P53" s="48"/>
      <c r="Q53" s="48"/>
      <c r="R53" s="16" t="s">
        <v>657</v>
      </c>
    </row>
    <row r="54" spans="1:18">
      <c r="A54" s="23" t="s">
        <v>358</v>
      </c>
      <c r="B54" s="24">
        <v>170</v>
      </c>
      <c r="C54" s="24">
        <v>66</v>
      </c>
      <c r="D54" s="24">
        <v>263</v>
      </c>
      <c r="E54" s="24">
        <v>95</v>
      </c>
      <c r="F54" s="24">
        <v>588</v>
      </c>
      <c r="G54" s="24">
        <f>714+34</f>
        <v>748</v>
      </c>
      <c r="H54" s="24">
        <v>43</v>
      </c>
      <c r="I54" s="24">
        <v>97</v>
      </c>
      <c r="J54" s="24">
        <f t="shared" ref="J54:Q54" si="32">I54*1.05</f>
        <v>101.85000000000001</v>
      </c>
      <c r="K54" s="24">
        <f t="shared" si="32"/>
        <v>106.94250000000001</v>
      </c>
      <c r="L54" s="24">
        <f t="shared" si="32"/>
        <v>112.28962500000002</v>
      </c>
      <c r="M54" s="24">
        <f t="shared" si="32"/>
        <v>117.90410625000003</v>
      </c>
      <c r="N54" s="24">
        <f t="shared" si="32"/>
        <v>123.79931156250004</v>
      </c>
      <c r="O54" s="24">
        <f t="shared" si="32"/>
        <v>129.98927714062503</v>
      </c>
      <c r="P54" s="24">
        <f t="shared" si="32"/>
        <v>136.48874099765629</v>
      </c>
      <c r="Q54" s="24">
        <f t="shared" si="32"/>
        <v>143.31317804753911</v>
      </c>
      <c r="R54" s="16" t="s">
        <v>657</v>
      </c>
    </row>
    <row r="55" spans="1:18">
      <c r="A55" s="23" t="s">
        <v>359</v>
      </c>
      <c r="B55" s="24">
        <v>-670</v>
      </c>
      <c r="C55" s="24">
        <v>-687</v>
      </c>
      <c r="D55" s="24">
        <v>-616</v>
      </c>
      <c r="E55" s="24">
        <v>-631</v>
      </c>
      <c r="F55" s="24">
        <v>-692</v>
      </c>
      <c r="G55" s="24">
        <f>-23-646</f>
        <v>-669</v>
      </c>
      <c r="H55" s="24">
        <f>-155-723</f>
        <v>-878</v>
      </c>
      <c r="I55" s="24">
        <f>-708-272</f>
        <v>-980</v>
      </c>
      <c r="J55" s="24">
        <f t="shared" ref="J55:Q55" si="33">I55</f>
        <v>-980</v>
      </c>
      <c r="K55" s="24">
        <f t="shared" si="33"/>
        <v>-980</v>
      </c>
      <c r="L55" s="24">
        <f t="shared" si="33"/>
        <v>-980</v>
      </c>
      <c r="M55" s="24">
        <f t="shared" si="33"/>
        <v>-980</v>
      </c>
      <c r="N55" s="24">
        <f t="shared" si="33"/>
        <v>-980</v>
      </c>
      <c r="O55" s="24">
        <f t="shared" si="33"/>
        <v>-980</v>
      </c>
      <c r="P55" s="24">
        <f t="shared" si="33"/>
        <v>-980</v>
      </c>
      <c r="Q55" s="24">
        <f t="shared" si="33"/>
        <v>-980</v>
      </c>
      <c r="R55" s="16" t="s">
        <v>657</v>
      </c>
    </row>
    <row r="56" spans="1:18">
      <c r="A56" s="658" t="s">
        <v>360</v>
      </c>
      <c r="B56" s="24"/>
      <c r="C56" s="24"/>
      <c r="D56" s="24"/>
      <c r="E56" s="24"/>
      <c r="F56" s="24"/>
      <c r="G56" s="24"/>
      <c r="H56" s="24"/>
      <c r="I56" s="24"/>
      <c r="J56" s="24">
        <f>'P&amp;L'!J94</f>
        <v>128</v>
      </c>
      <c r="K56" s="24">
        <f>'P&amp;L'!K94</f>
        <v>0</v>
      </c>
      <c r="L56" s="24">
        <f>'P&amp;L'!L94</f>
        <v>0</v>
      </c>
      <c r="M56" s="24">
        <f>'P&amp;L'!M94</f>
        <v>0</v>
      </c>
      <c r="N56" s="24">
        <f>'P&amp;L'!N94</f>
        <v>0</v>
      </c>
      <c r="O56" s="24">
        <f>'P&amp;L'!O94</f>
        <v>0</v>
      </c>
      <c r="P56" s="24">
        <f>'P&amp;L'!P94</f>
        <v>0</v>
      </c>
      <c r="Q56" s="24">
        <f>'P&amp;L'!Q94</f>
        <v>0</v>
      </c>
    </row>
    <row r="57" spans="1:18">
      <c r="A57" s="658" t="s">
        <v>361</v>
      </c>
      <c r="B57" s="24"/>
      <c r="C57" s="24"/>
      <c r="D57" s="24"/>
      <c r="E57" s="24">
        <v>444</v>
      </c>
      <c r="F57" s="24">
        <v>479</v>
      </c>
      <c r="G57" s="24">
        <v>432</v>
      </c>
      <c r="H57" s="24">
        <v>899</v>
      </c>
      <c r="I57" s="24">
        <v>987</v>
      </c>
      <c r="J57" s="206">
        <v>700</v>
      </c>
      <c r="K57" s="206">
        <f t="shared" ref="K57:Q57" si="34">J57*1.1</f>
        <v>770.00000000000011</v>
      </c>
      <c r="L57" s="206">
        <f t="shared" si="34"/>
        <v>847.00000000000023</v>
      </c>
      <c r="M57" s="206">
        <f t="shared" si="34"/>
        <v>931.70000000000027</v>
      </c>
      <c r="N57" s="206">
        <f t="shared" si="34"/>
        <v>1024.8700000000003</v>
      </c>
      <c r="O57" s="206">
        <f t="shared" si="34"/>
        <v>1127.3570000000004</v>
      </c>
      <c r="P57" s="206">
        <f t="shared" si="34"/>
        <v>1240.0927000000006</v>
      </c>
      <c r="Q57" s="206">
        <f t="shared" si="34"/>
        <v>1364.1019700000008</v>
      </c>
    </row>
    <row r="58" spans="1:18">
      <c r="A58" s="23" t="s">
        <v>362</v>
      </c>
      <c r="B58" s="24">
        <v>568</v>
      </c>
      <c r="C58" s="24">
        <v>403</v>
      </c>
      <c r="D58" s="24">
        <v>426</v>
      </c>
      <c r="E58" s="24">
        <f>+E56+E57</f>
        <v>444</v>
      </c>
      <c r="F58" s="24">
        <f>+F56+F57</f>
        <v>479</v>
      </c>
      <c r="G58" s="24">
        <f t="shared" ref="G58:Q58" si="35">+G56+G57</f>
        <v>432</v>
      </c>
      <c r="H58" s="24">
        <f t="shared" si="35"/>
        <v>899</v>
      </c>
      <c r="I58" s="24">
        <f t="shared" si="35"/>
        <v>987</v>
      </c>
      <c r="J58" s="24">
        <f t="shared" si="35"/>
        <v>828</v>
      </c>
      <c r="K58" s="24">
        <f t="shared" si="35"/>
        <v>770.00000000000011</v>
      </c>
      <c r="L58" s="24">
        <f t="shared" si="35"/>
        <v>847.00000000000023</v>
      </c>
      <c r="M58" s="24">
        <f t="shared" si="35"/>
        <v>931.70000000000027</v>
      </c>
      <c r="N58" s="24">
        <f t="shared" si="35"/>
        <v>1024.8700000000003</v>
      </c>
      <c r="O58" s="24">
        <f t="shared" si="35"/>
        <v>1127.3570000000004</v>
      </c>
      <c r="P58" s="24">
        <f t="shared" si="35"/>
        <v>1240.0927000000006</v>
      </c>
      <c r="Q58" s="24">
        <f t="shared" si="35"/>
        <v>1364.1019700000008</v>
      </c>
      <c r="R58" s="16" t="s">
        <v>658</v>
      </c>
    </row>
    <row r="59" spans="1:18">
      <c r="A59" s="23" t="s">
        <v>363</v>
      </c>
      <c r="B59" s="24">
        <v>-2616</v>
      </c>
      <c r="C59" s="24">
        <v>-2435</v>
      </c>
      <c r="D59" s="24">
        <v>-2022</v>
      </c>
      <c r="E59" s="24">
        <v>-2054</v>
      </c>
      <c r="F59" s="24">
        <v>-2179</v>
      </c>
      <c r="G59" s="24">
        <v>-2454</v>
      </c>
      <c r="H59" s="24">
        <v>-2111</v>
      </c>
      <c r="I59" s="24">
        <v>-1611</v>
      </c>
      <c r="J59" s="24">
        <f>'P&amp;L'!J123</f>
        <v>-1502.2843398363786</v>
      </c>
      <c r="K59" s="24">
        <f>'P&amp;L'!K123</f>
        <v>-1629.1878197701703</v>
      </c>
      <c r="L59" s="24">
        <f>'P&amp;L'!L123</f>
        <v>-1697.8325606593492</v>
      </c>
      <c r="M59" s="24">
        <f>'P&amp;L'!M123</f>
        <v>-1900.7807770677957</v>
      </c>
      <c r="N59" s="24">
        <f>'P&amp;L'!N123</f>
        <v>-2095.2424948276648</v>
      </c>
      <c r="O59" s="24">
        <f>'P&amp;L'!O123</f>
        <v>-2133.6251261429552</v>
      </c>
      <c r="P59" s="24">
        <f>'P&amp;L'!P123</f>
        <v>-2237.5767639665069</v>
      </c>
      <c r="Q59" s="24">
        <f>'P&amp;L'!Q123</f>
        <v>-2093.0511800032418</v>
      </c>
      <c r="R59" s="16" t="s">
        <v>656</v>
      </c>
    </row>
    <row r="60" spans="1:18">
      <c r="A60" s="47" t="s">
        <v>364</v>
      </c>
      <c r="B60" s="45">
        <f t="shared" ref="B60:Q60" si="36">B40+B41+B42+B43+B44+B45+B46+B47+B48+B49+B50+B53+B54+B55+B58+B59</f>
        <v>13586</v>
      </c>
      <c r="C60" s="45">
        <f t="shared" si="36"/>
        <v>15893</v>
      </c>
      <c r="D60" s="45">
        <f t="shared" si="36"/>
        <v>15507</v>
      </c>
      <c r="E60" s="45">
        <f t="shared" si="36"/>
        <v>14342</v>
      </c>
      <c r="F60" s="45">
        <f t="shared" si="36"/>
        <v>15648</v>
      </c>
      <c r="G60" s="45">
        <f t="shared" si="36"/>
        <v>14155</v>
      </c>
      <c r="H60" s="45">
        <f t="shared" si="36"/>
        <v>13088</v>
      </c>
      <c r="I60" s="45">
        <f t="shared" si="36"/>
        <v>13254</v>
      </c>
      <c r="J60" s="45">
        <f t="shared" si="36"/>
        <v>15003.740804602769</v>
      </c>
      <c r="K60" s="45">
        <f t="shared" si="36"/>
        <v>15774.650477745326</v>
      </c>
      <c r="L60" s="45">
        <f t="shared" si="36"/>
        <v>16228.354086053903</v>
      </c>
      <c r="M60" s="45">
        <f t="shared" si="36"/>
        <v>17448.669848254853</v>
      </c>
      <c r="N60" s="45">
        <f t="shared" si="36"/>
        <v>18621.488183571644</v>
      </c>
      <c r="O60" s="45">
        <f t="shared" si="36"/>
        <v>18880.251303540252</v>
      </c>
      <c r="P60" s="45">
        <f t="shared" si="36"/>
        <v>19434.471117893645</v>
      </c>
      <c r="Q60" s="45">
        <f t="shared" si="36"/>
        <v>18733.121137417642</v>
      </c>
    </row>
    <row r="61" spans="1:18">
      <c r="A61" s="23" t="s">
        <v>365</v>
      </c>
      <c r="B61" s="24">
        <v>-1281</v>
      </c>
      <c r="C61" s="24">
        <v>-1471</v>
      </c>
      <c r="D61" s="24">
        <v>-1173</v>
      </c>
      <c r="E61" s="24">
        <v>-947</v>
      </c>
      <c r="F61" s="24">
        <v>-1125</v>
      </c>
      <c r="G61" s="24">
        <v>-1207</v>
      </c>
      <c r="H61" s="24">
        <v>-1536</v>
      </c>
      <c r="I61" s="24">
        <v>-877</v>
      </c>
      <c r="J61" s="24">
        <v>0</v>
      </c>
      <c r="K61" s="24">
        <v>0</v>
      </c>
      <c r="L61" s="24">
        <v>0</v>
      </c>
      <c r="M61" s="24">
        <v>0</v>
      </c>
      <c r="N61" s="24">
        <v>0</v>
      </c>
      <c r="O61" s="24">
        <v>0</v>
      </c>
      <c r="P61" s="24">
        <v>0</v>
      </c>
      <c r="Q61" s="24">
        <v>0</v>
      </c>
      <c r="R61" s="17"/>
    </row>
    <row r="62" spans="1:18">
      <c r="A62" s="23" t="s">
        <v>366</v>
      </c>
      <c r="B62" s="24">
        <v>965</v>
      </c>
      <c r="C62" s="24">
        <v>45</v>
      </c>
      <c r="D62" s="24">
        <v>-701</v>
      </c>
      <c r="E62" s="24">
        <v>-454</v>
      </c>
      <c r="F62" s="24">
        <v>-506</v>
      </c>
      <c r="G62" s="24">
        <v>-482</v>
      </c>
      <c r="H62" s="24">
        <v>-235</v>
      </c>
      <c r="I62" s="24">
        <v>-247</v>
      </c>
      <c r="J62" s="24">
        <f t="shared" ref="J62:Q62" si="37">J10-I10</f>
        <v>440.31081146796987</v>
      </c>
      <c r="K62" s="24">
        <f t="shared" si="37"/>
        <v>147.31409502285169</v>
      </c>
      <c r="L62" s="24">
        <f t="shared" si="37"/>
        <v>233.85210434276905</v>
      </c>
      <c r="M62" s="24">
        <f t="shared" si="37"/>
        <v>282.64024673749918</v>
      </c>
      <c r="N62" s="24">
        <f t="shared" si="37"/>
        <v>168.0138435815561</v>
      </c>
      <c r="O62" s="24">
        <f t="shared" si="37"/>
        <v>-74.335344285555948</v>
      </c>
      <c r="P62" s="24">
        <f t="shared" si="37"/>
        <v>103.75263867095146</v>
      </c>
      <c r="Q62" s="24">
        <f t="shared" si="37"/>
        <v>89.418267563612062</v>
      </c>
      <c r="R62" s="17" t="s">
        <v>657</v>
      </c>
    </row>
    <row r="63" spans="1:18">
      <c r="A63" s="23" t="s">
        <v>367</v>
      </c>
      <c r="B63" s="24">
        <v>26</v>
      </c>
      <c r="C63" s="24">
        <v>-732</v>
      </c>
      <c r="D63" s="24">
        <v>369</v>
      </c>
      <c r="E63" s="24">
        <v>-548</v>
      </c>
      <c r="F63" s="24">
        <v>-367</v>
      </c>
      <c r="G63" s="24">
        <v>-513</v>
      </c>
      <c r="H63" s="24">
        <v>-229</v>
      </c>
      <c r="I63" s="24">
        <v>-204</v>
      </c>
      <c r="J63" s="24">
        <f t="shared" ref="J63:Q63" si="38">J12-I12</f>
        <v>551.4304614277753</v>
      </c>
      <c r="K63" s="24">
        <f t="shared" si="38"/>
        <v>184.49122137709674</v>
      </c>
      <c r="L63" s="24">
        <f t="shared" si="38"/>
        <v>292.8685157052314</v>
      </c>
      <c r="M63" s="24">
        <f t="shared" si="38"/>
        <v>353.96914547000051</v>
      </c>
      <c r="N63" s="24">
        <f t="shared" si="38"/>
        <v>210.41489075307618</v>
      </c>
      <c r="O63" s="24">
        <f t="shared" si="38"/>
        <v>-93.095086770901617</v>
      </c>
      <c r="P63" s="24">
        <f t="shared" si="38"/>
        <v>129.93631754335001</v>
      </c>
      <c r="Q63" s="24">
        <f t="shared" si="38"/>
        <v>111.98443294700337</v>
      </c>
      <c r="R63" s="17" t="s">
        <v>657</v>
      </c>
    </row>
    <row r="64" spans="1:18">
      <c r="A64" s="23" t="s">
        <v>368</v>
      </c>
      <c r="B64" s="24">
        <v>490</v>
      </c>
      <c r="C64" s="24">
        <v>195</v>
      </c>
      <c r="D64" s="24">
        <v>515</v>
      </c>
      <c r="E64" s="24">
        <v>414</v>
      </c>
      <c r="F64" s="24">
        <v>142</v>
      </c>
      <c r="G64" s="24">
        <v>378</v>
      </c>
      <c r="H64" s="24">
        <v>-587</v>
      </c>
      <c r="I64" s="24">
        <v>58</v>
      </c>
      <c r="J64" s="24">
        <f t="shared" ref="J64:Q64" si="39">I20-J20</f>
        <v>-331.4353552465318</v>
      </c>
      <c r="K64" s="24">
        <f t="shared" si="39"/>
        <v>-110.88780503467569</v>
      </c>
      <c r="L64" s="24">
        <f t="shared" si="39"/>
        <v>-176.0275997302715</v>
      </c>
      <c r="M64" s="24">
        <f t="shared" si="39"/>
        <v>-212.75192010865521</v>
      </c>
      <c r="N64" s="24">
        <f t="shared" si="39"/>
        <v>-126.46913608170416</v>
      </c>
      <c r="O64" s="24">
        <f t="shared" si="39"/>
        <v>55.954477153347398</v>
      </c>
      <c r="P64" s="24">
        <f t="shared" si="39"/>
        <v>-78.097770393205792</v>
      </c>
      <c r="Q64" s="24">
        <f t="shared" si="39"/>
        <v>-67.307852779425957</v>
      </c>
      <c r="R64" s="17" t="s">
        <v>657</v>
      </c>
    </row>
    <row r="65" spans="1:18">
      <c r="A65" s="23" t="s">
        <v>29</v>
      </c>
      <c r="B65" s="24">
        <v>281</v>
      </c>
      <c r="C65" s="24">
        <v>379</v>
      </c>
      <c r="D65" s="24">
        <v>-323</v>
      </c>
      <c r="E65" s="24">
        <v>367</v>
      </c>
      <c r="F65" s="24">
        <v>105</v>
      </c>
      <c r="G65" s="24">
        <v>-246</v>
      </c>
      <c r="H65" s="24">
        <v>974</v>
      </c>
      <c r="I65" s="24">
        <v>637</v>
      </c>
      <c r="J65" s="24">
        <f t="shared" ref="J65:Q65" si="40">(I6-J6+J23-I23+J26-I26)</f>
        <v>828.81280749016696</v>
      </c>
      <c r="K65" s="24">
        <f t="shared" si="40"/>
        <v>277.29459622329705</v>
      </c>
      <c r="L65" s="24">
        <f t="shared" si="40"/>
        <v>440.1881900006756</v>
      </c>
      <c r="M65" s="24">
        <f t="shared" si="40"/>
        <v>532.02385748200504</v>
      </c>
      <c r="N65" s="24">
        <f t="shared" si="40"/>
        <v>316.25847417142904</v>
      </c>
      <c r="O65" s="24">
        <f t="shared" si="40"/>
        <v>-139.92408041868293</v>
      </c>
      <c r="P65" s="24">
        <f t="shared" si="40"/>
        <v>195.29730704247959</v>
      </c>
      <c r="Q65" s="24">
        <f t="shared" si="40"/>
        <v>168.31520700848523</v>
      </c>
      <c r="R65" s="17" t="s">
        <v>657</v>
      </c>
    </row>
    <row r="66" spans="1:18">
      <c r="A66" s="23" t="s">
        <v>803</v>
      </c>
      <c r="B66" s="24"/>
      <c r="C66" s="24"/>
      <c r="D66" s="24"/>
      <c r="E66" s="24"/>
      <c r="F66" s="24"/>
      <c r="G66" s="24">
        <v>-188</v>
      </c>
      <c r="H66" s="24">
        <v>0</v>
      </c>
      <c r="I66" s="24"/>
      <c r="J66" s="24"/>
      <c r="K66" s="24"/>
      <c r="L66" s="24"/>
      <c r="M66" s="24"/>
      <c r="N66" s="24"/>
      <c r="O66" s="24"/>
      <c r="P66" s="24"/>
      <c r="Q66" s="24"/>
      <c r="R66" s="17"/>
    </row>
    <row r="67" spans="1:18">
      <c r="A67" s="47" t="s">
        <v>369</v>
      </c>
      <c r="B67" s="45">
        <f>B60+B61+B62+B63+B64+B65</f>
        <v>14067</v>
      </c>
      <c r="C67" s="45">
        <f>C60+C61+C62+C63+C64+C65</f>
        <v>14309</v>
      </c>
      <c r="D67" s="45">
        <f>D60+D61+D62+D63+D64+D65</f>
        <v>14194</v>
      </c>
      <c r="E67" s="45">
        <f>E60+E61+E62+E63+E64+E65</f>
        <v>13174</v>
      </c>
      <c r="F67" s="45">
        <f>F60+F61+F62+F63+F64+F65</f>
        <v>13897</v>
      </c>
      <c r="G67" s="45">
        <f>G60+G61+G62+G63+G64+G65+G66</f>
        <v>11897</v>
      </c>
      <c r="H67" s="45">
        <f t="shared" ref="H67:Q67" si="41">H60+H61+H62+H63+H64+H65+H66</f>
        <v>11475</v>
      </c>
      <c r="I67" s="45">
        <f t="shared" si="41"/>
        <v>12621</v>
      </c>
      <c r="J67" s="45">
        <f t="shared" si="41"/>
        <v>16492.859529742149</v>
      </c>
      <c r="K67" s="45">
        <f t="shared" si="41"/>
        <v>16272.862585333896</v>
      </c>
      <c r="L67" s="45">
        <f t="shared" si="41"/>
        <v>17019.23529637231</v>
      </c>
      <c r="M67" s="45">
        <f t="shared" si="41"/>
        <v>18404.551177835703</v>
      </c>
      <c r="N67" s="45">
        <f t="shared" si="41"/>
        <v>19189.706255996003</v>
      </c>
      <c r="O67" s="45">
        <f t="shared" si="41"/>
        <v>18628.851269218459</v>
      </c>
      <c r="P67" s="45">
        <f t="shared" si="41"/>
        <v>19785.359610757216</v>
      </c>
      <c r="Q67" s="45">
        <f t="shared" si="41"/>
        <v>19035.531192157316</v>
      </c>
    </row>
    <row r="68" spans="1:18">
      <c r="A68" s="659" t="s">
        <v>370</v>
      </c>
      <c r="B68" s="190"/>
      <c r="C68" s="193"/>
      <c r="D68" s="193"/>
      <c r="E68" s="193"/>
      <c r="F68" s="193"/>
      <c r="G68" s="193"/>
      <c r="H68" s="193"/>
      <c r="I68" s="25"/>
      <c r="J68" s="25"/>
      <c r="K68" s="25"/>
      <c r="L68" s="25"/>
      <c r="M68" s="25"/>
      <c r="N68" s="25"/>
      <c r="O68" s="25"/>
      <c r="P68" s="25"/>
      <c r="Q68" s="25"/>
      <c r="R68" s="17"/>
    </row>
    <row r="69" spans="1:18">
      <c r="A69" s="23" t="s">
        <v>614</v>
      </c>
      <c r="B69" s="24">
        <v>-1678</v>
      </c>
      <c r="C69" s="24">
        <v>-2167</v>
      </c>
      <c r="D69" s="24">
        <v>-2698</v>
      </c>
      <c r="E69" s="24">
        <v>-2903</v>
      </c>
      <c r="F69" s="24">
        <v>-2624</v>
      </c>
      <c r="G69" s="24">
        <v>-2367</v>
      </c>
      <c r="H69" s="24">
        <v>-1862</v>
      </c>
      <c r="I69" s="24">
        <v>-1696</v>
      </c>
      <c r="J69" s="24">
        <f>'P&amp;L'!J$3*J70</f>
        <v>-1567.7358088264766</v>
      </c>
      <c r="K69" s="24">
        <f>'P&amp;L'!K$3*K70</f>
        <v>-1332.784238142048</v>
      </c>
      <c r="L69" s="24">
        <f>'P&amp;L'!L$3*L70</f>
        <v>-1099.6750182758899</v>
      </c>
      <c r="M69" s="24">
        <f>'P&amp;L'!M$3*M70</f>
        <v>-1140.1007642407417</v>
      </c>
      <c r="N69" s="24">
        <f>'P&amp;L'!N$3*N70</f>
        <v>-1164.1316127756088</v>
      </c>
      <c r="O69" s="24">
        <f>'P&amp;L'!O$3*O70</f>
        <v>-1153.4995043657666</v>
      </c>
      <c r="P69" s="24">
        <f>'P&amp;L'!P$3*P70</f>
        <v>-1168.3391383616649</v>
      </c>
      <c r="Q69" s="24">
        <f>'P&amp;L'!Q$3*Q70</f>
        <v>-1181.1285418909542</v>
      </c>
      <c r="R69" s="17" t="s">
        <v>657</v>
      </c>
    </row>
    <row r="70" spans="1:18">
      <c r="A70" s="24" t="s">
        <v>258</v>
      </c>
      <c r="B70" s="19">
        <f>B69/'P&amp;L'!B$3</f>
        <v>-3.3146333754740832E-2</v>
      </c>
      <c r="C70" s="19">
        <f>C69/'P&amp;L'!C$3</f>
        <v>-3.7000990335689647E-2</v>
      </c>
      <c r="D70" s="19">
        <f>D69/'P&amp;L'!D$3</f>
        <v>-4.7606443985672188E-2</v>
      </c>
      <c r="E70" s="19">
        <f>E69/'P&amp;L'!E$3</f>
        <v>-5.5967919181013709E-2</v>
      </c>
      <c r="F70" s="19">
        <f>F69/'P&amp;L'!F$3</f>
        <v>-5.0287466462246071E-2</v>
      </c>
      <c r="G70" s="19">
        <f>G69/'P&amp;L'!G$3</f>
        <v>-4.7901404460274417E-2</v>
      </c>
      <c r="H70" s="195">
        <f>H69/'P&amp;L'!H$3</f>
        <v>-3.8377509377962818E-2</v>
      </c>
      <c r="I70" s="195">
        <f>I69/'P&amp;L'!I$3</f>
        <v>-3.4535421205888941E-2</v>
      </c>
      <c r="J70" s="660">
        <v>-0.03</v>
      </c>
      <c r="K70" s="660">
        <v>-2.5000000000000001E-2</v>
      </c>
      <c r="L70" s="660">
        <v>-0.02</v>
      </c>
      <c r="M70" s="660">
        <f>L70</f>
        <v>-0.02</v>
      </c>
      <c r="N70" s="660">
        <f>M70</f>
        <v>-0.02</v>
      </c>
      <c r="O70" s="660">
        <f>N70</f>
        <v>-0.02</v>
      </c>
      <c r="P70" s="660">
        <f>O70</f>
        <v>-0.02</v>
      </c>
      <c r="Q70" s="660">
        <f>P70</f>
        <v>-0.02</v>
      </c>
      <c r="R70" s="17"/>
    </row>
    <row r="71" spans="1:18">
      <c r="A71" s="23" t="s">
        <v>372</v>
      </c>
      <c r="B71" s="24">
        <v>36</v>
      </c>
      <c r="C71" s="24">
        <v>61</v>
      </c>
      <c r="D71" s="24">
        <v>92</v>
      </c>
      <c r="E71" s="24">
        <v>48</v>
      </c>
      <c r="F71" s="24">
        <v>60</v>
      </c>
      <c r="G71" s="24">
        <v>237</v>
      </c>
      <c r="H71" s="24">
        <v>161</v>
      </c>
      <c r="I71" s="24">
        <v>92</v>
      </c>
      <c r="J71" s="48"/>
      <c r="K71" s="48"/>
      <c r="L71" s="48"/>
      <c r="M71" s="48"/>
      <c r="N71" s="48"/>
      <c r="O71" s="48"/>
      <c r="P71" s="48"/>
      <c r="Q71" s="48"/>
      <c r="R71" s="17"/>
    </row>
    <row r="72" spans="1:18">
      <c r="A72" s="23" t="s">
        <v>373</v>
      </c>
      <c r="B72" s="24">
        <v>-554</v>
      </c>
      <c r="C72" s="24">
        <v>-220</v>
      </c>
      <c r="D72" s="24">
        <v>-370</v>
      </c>
      <c r="E72" s="24">
        <v>-475</v>
      </c>
      <c r="F72" s="24">
        <v>-780</v>
      </c>
      <c r="G72" s="24">
        <v>-1138</v>
      </c>
      <c r="H72" s="24">
        <v>-1017</v>
      </c>
      <c r="I72" s="24">
        <v>-1050</v>
      </c>
      <c r="J72" s="24">
        <f>'P&amp;L'!J$3*J73</f>
        <v>-783.86790441323831</v>
      </c>
      <c r="K72" s="24">
        <f>'P&amp;L'!K$3*K73</f>
        <v>-666.39211907102401</v>
      </c>
      <c r="L72" s="24">
        <f>'P&amp;L'!L$3*L73</f>
        <v>-549.83750913794495</v>
      </c>
      <c r="M72" s="24">
        <f>'P&amp;L'!M$3*M73</f>
        <v>-570.05038212037084</v>
      </c>
      <c r="N72" s="24">
        <f>'P&amp;L'!N$3*N73</f>
        <v>-582.0658063878044</v>
      </c>
      <c r="O72" s="24">
        <f>'P&amp;L'!O$3*O73</f>
        <v>-576.7497521828833</v>
      </c>
      <c r="P72" s="24">
        <f>'P&amp;L'!P$3*P73</f>
        <v>-584.16956918083247</v>
      </c>
      <c r="Q72" s="24">
        <f>'P&amp;L'!Q$3*Q73</f>
        <v>-590.56427094547712</v>
      </c>
      <c r="R72" s="17" t="s">
        <v>657</v>
      </c>
    </row>
    <row r="73" spans="1:18">
      <c r="A73" s="24" t="s">
        <v>258</v>
      </c>
      <c r="B73" s="19">
        <f>B72/'P&amp;L'!B$3</f>
        <v>-1.0943426042983566E-2</v>
      </c>
      <c r="C73" s="19">
        <f>C72/'P&amp;L'!C$3</f>
        <v>-3.7564457193593553E-3</v>
      </c>
      <c r="D73" s="19">
        <f>D72/'P&amp;L'!D$3</f>
        <v>-6.5286820884724647E-3</v>
      </c>
      <c r="E73" s="19">
        <f>E72/'P&amp;L'!E$3</f>
        <v>-9.1576857082264936E-3</v>
      </c>
      <c r="F73" s="19">
        <f>F72/'P&amp;L'!F$3</f>
        <v>-1.4948256036795707E-2</v>
      </c>
      <c r="G73" s="19">
        <f>G72/'P&amp;L'!G$3</f>
        <v>-2.3029910551665519E-2</v>
      </c>
      <c r="H73" s="195">
        <f>H72/'P&amp;L'!H$3</f>
        <v>-2.0961292716105362E-2</v>
      </c>
      <c r="I73" s="195">
        <f>I72/'P&amp;L'!I$3</f>
        <v>-2.1381009590910015E-2</v>
      </c>
      <c r="J73" s="660">
        <v>-1.4999999999999999E-2</v>
      </c>
      <c r="K73" s="660">
        <v>-1.2500000000000001E-2</v>
      </c>
      <c r="L73" s="660">
        <v>-0.01</v>
      </c>
      <c r="M73" s="660">
        <f>L73</f>
        <v>-0.01</v>
      </c>
      <c r="N73" s="660">
        <f>M73</f>
        <v>-0.01</v>
      </c>
      <c r="O73" s="660">
        <f>N73</f>
        <v>-0.01</v>
      </c>
      <c r="P73" s="660">
        <f>O73</f>
        <v>-0.01</v>
      </c>
      <c r="Q73" s="660">
        <f>P73</f>
        <v>-0.01</v>
      </c>
      <c r="R73" s="17"/>
    </row>
    <row r="74" spans="1:18">
      <c r="A74" s="23" t="s">
        <v>374</v>
      </c>
      <c r="B74" s="24">
        <v>-124</v>
      </c>
      <c r="C74" s="24">
        <v>-139</v>
      </c>
      <c r="D74" s="24">
        <v>-180</v>
      </c>
      <c r="E74" s="24">
        <v>-152</v>
      </c>
      <c r="F74" s="24">
        <v>-239</v>
      </c>
      <c r="G74" s="24">
        <v>-264</v>
      </c>
      <c r="H74" s="24">
        <v>-247</v>
      </c>
      <c r="I74" s="24">
        <v>-468</v>
      </c>
      <c r="J74" s="48"/>
      <c r="K74" s="48"/>
      <c r="L74" s="48"/>
      <c r="M74" s="48"/>
      <c r="N74" s="48"/>
      <c r="O74" s="48"/>
      <c r="P74" s="48"/>
      <c r="Q74" s="48"/>
      <c r="R74" s="17" t="s">
        <v>657</v>
      </c>
    </row>
    <row r="75" spans="1:18">
      <c r="A75" s="23" t="s">
        <v>375</v>
      </c>
      <c r="B75" s="24">
        <v>-15</v>
      </c>
      <c r="C75" s="24">
        <v>-48</v>
      </c>
      <c r="D75" s="24">
        <v>-57</v>
      </c>
      <c r="E75" s="24">
        <v>-38</v>
      </c>
      <c r="F75" s="24">
        <v>-60</v>
      </c>
      <c r="G75" s="24">
        <v>-82</v>
      </c>
      <c r="H75" s="24">
        <v>-149</v>
      </c>
      <c r="I75" s="24">
        <v>-42</v>
      </c>
      <c r="J75" s="48"/>
      <c r="K75" s="48"/>
      <c r="L75" s="48"/>
      <c r="M75" s="48"/>
      <c r="N75" s="48"/>
      <c r="O75" s="48"/>
      <c r="P75" s="48"/>
      <c r="Q75" s="48"/>
      <c r="R75" s="17"/>
    </row>
    <row r="76" spans="1:18">
      <c r="A76" s="23" t="s">
        <v>376</v>
      </c>
      <c r="B76" s="24">
        <v>614</v>
      </c>
      <c r="C76" s="24">
        <v>707</v>
      </c>
      <c r="D76" s="24">
        <v>402</v>
      </c>
      <c r="E76" s="24">
        <v>424</v>
      </c>
      <c r="F76" s="24">
        <v>679</v>
      </c>
      <c r="G76" s="24">
        <f>621+166+1</f>
        <v>788</v>
      </c>
      <c r="H76" s="24">
        <f>847+247</f>
        <v>1094</v>
      </c>
      <c r="I76" s="24">
        <f>640+330</f>
        <v>970</v>
      </c>
      <c r="J76" s="206">
        <v>13000</v>
      </c>
      <c r="K76" s="48"/>
      <c r="L76" s="48"/>
      <c r="M76" s="48"/>
      <c r="N76" s="48"/>
      <c r="O76" s="48"/>
      <c r="P76" s="48"/>
      <c r="Q76" s="48"/>
      <c r="R76" s="17" t="s">
        <v>659</v>
      </c>
    </row>
    <row r="77" spans="1:18">
      <c r="A77" s="23" t="s">
        <v>377</v>
      </c>
      <c r="B77" s="24"/>
      <c r="C77" s="24">
        <v>-12</v>
      </c>
      <c r="D77" s="24"/>
      <c r="E77" s="24">
        <v>-52</v>
      </c>
      <c r="F77" s="24">
        <v>1370</v>
      </c>
      <c r="G77" s="24">
        <v>0</v>
      </c>
      <c r="H77" s="24">
        <v>0</v>
      </c>
      <c r="I77" s="24">
        <f>29+1</f>
        <v>30</v>
      </c>
      <c r="J77" s="48"/>
      <c r="K77" s="48"/>
      <c r="L77" s="48"/>
      <c r="M77" s="48"/>
      <c r="N77" s="48"/>
      <c r="O77" s="48"/>
      <c r="P77" s="48"/>
      <c r="Q77" s="48"/>
      <c r="R77" s="17"/>
    </row>
    <row r="78" spans="1:18">
      <c r="A78" s="23" t="s">
        <v>378</v>
      </c>
      <c r="B78" s="24">
        <v>-26666</v>
      </c>
      <c r="C78" s="24">
        <v>-569</v>
      </c>
      <c r="D78" s="24">
        <v>-1741</v>
      </c>
      <c r="E78" s="24">
        <v>-175</v>
      </c>
      <c r="F78" s="24">
        <v>558</v>
      </c>
      <c r="G78" s="24">
        <v>-16507</v>
      </c>
      <c r="H78" s="24">
        <v>-765</v>
      </c>
      <c r="I78" s="24">
        <v>-784</v>
      </c>
      <c r="J78" s="206">
        <v>-8700</v>
      </c>
      <c r="K78" s="48"/>
      <c r="L78" s="48"/>
      <c r="M78" s="48"/>
      <c r="N78" s="48"/>
      <c r="O78" s="48"/>
      <c r="P78" s="48"/>
      <c r="Q78" s="48"/>
      <c r="R78" s="17"/>
    </row>
    <row r="79" spans="1:18">
      <c r="A79" s="23" t="s">
        <v>379</v>
      </c>
      <c r="B79" s="24">
        <v>53200</v>
      </c>
      <c r="C79" s="24">
        <v>3345</v>
      </c>
      <c r="D79" s="24">
        <v>516</v>
      </c>
      <c r="E79" s="24">
        <v>249</v>
      </c>
      <c r="F79" s="24">
        <v>-169</v>
      </c>
      <c r="G79" s="24">
        <v>-595</v>
      </c>
      <c r="H79" s="24">
        <v>-530</v>
      </c>
      <c r="I79" s="24">
        <v>-580</v>
      </c>
      <c r="J79" s="48"/>
      <c r="K79" s="48"/>
      <c r="L79" s="48"/>
      <c r="M79" s="48"/>
      <c r="N79" s="48"/>
      <c r="O79" s="48"/>
      <c r="P79" s="48"/>
      <c r="Q79" s="48"/>
      <c r="R79" s="17"/>
    </row>
    <row r="80" spans="1:18">
      <c r="A80" s="23" t="s">
        <v>380</v>
      </c>
      <c r="B80" s="24">
        <v>-40569</v>
      </c>
      <c r="C80" s="24">
        <v>-1750</v>
      </c>
      <c r="D80" s="24">
        <v>-1639</v>
      </c>
      <c r="E80" s="24">
        <v>-278</v>
      </c>
      <c r="F80" s="24">
        <v>2086</v>
      </c>
      <c r="G80" s="24">
        <v>262</v>
      </c>
      <c r="H80" s="24">
        <v>622</v>
      </c>
      <c r="I80" s="24">
        <v>549</v>
      </c>
      <c r="J80" s="48"/>
      <c r="K80" s="48"/>
      <c r="L80" s="48"/>
      <c r="M80" s="48"/>
      <c r="N80" s="48"/>
      <c r="O80" s="48"/>
      <c r="P80" s="48"/>
      <c r="Q80" s="48"/>
      <c r="R80" s="17"/>
    </row>
    <row r="81" spans="1:18">
      <c r="A81" s="23" t="s">
        <v>804</v>
      </c>
      <c r="B81" s="24"/>
      <c r="C81" s="24"/>
      <c r="D81" s="24"/>
      <c r="E81" s="24"/>
      <c r="F81" s="24"/>
      <c r="G81" s="24">
        <v>8882</v>
      </c>
      <c r="H81" s="24">
        <v>-748</v>
      </c>
      <c r="I81" s="24">
        <v>-140</v>
      </c>
      <c r="J81" s="48"/>
      <c r="K81" s="48"/>
      <c r="L81" s="48"/>
      <c r="M81" s="48"/>
      <c r="N81" s="48"/>
      <c r="O81" s="48"/>
      <c r="P81" s="48"/>
      <c r="Q81" s="48"/>
      <c r="R81" s="17"/>
    </row>
    <row r="82" spans="1:18">
      <c r="A82" s="47" t="s">
        <v>381</v>
      </c>
      <c r="B82" s="45">
        <f>B69+B71+B72+B74+B75+B76+B77+B78+B79+B80</f>
        <v>-15756</v>
      </c>
      <c r="C82" s="45">
        <f>C69+C71+C72+C74+C75+C76+C77+C78+C79+C80</f>
        <v>-792</v>
      </c>
      <c r="D82" s="45">
        <f>D69+D71+D72+D74+D75+D76+D77+D78+D79+D80</f>
        <v>-5675</v>
      </c>
      <c r="E82" s="45">
        <f>E69+E71+E72+E74+E75+E76+E77+E78+E79+E80</f>
        <v>-3352</v>
      </c>
      <c r="F82" s="45">
        <f>F69+F71+F72+F74+F75+F76+F77+F78+F79+F80</f>
        <v>881</v>
      </c>
      <c r="G82" s="45">
        <f>G69+G71+G72+G74+G75+G76+G77+G78+G79+G80+G81</f>
        <v>-10784</v>
      </c>
      <c r="H82" s="45">
        <f t="shared" ref="H82:Q82" si="42">H69+H71+H72+H74+H75+H76+H77+H78+H79+H80+H81</f>
        <v>-3441</v>
      </c>
      <c r="I82" s="45">
        <f t="shared" si="42"/>
        <v>-3119</v>
      </c>
      <c r="J82" s="45">
        <f t="shared" si="42"/>
        <v>1948.3962867602859</v>
      </c>
      <c r="K82" s="45">
        <f t="shared" si="42"/>
        <v>-1999.1763572130722</v>
      </c>
      <c r="L82" s="45">
        <f t="shared" si="42"/>
        <v>-1649.512527413835</v>
      </c>
      <c r="M82" s="45">
        <f t="shared" si="42"/>
        <v>-1710.1511463611125</v>
      </c>
      <c r="N82" s="45">
        <f t="shared" si="42"/>
        <v>-1746.1974191634131</v>
      </c>
      <c r="O82" s="45">
        <f t="shared" si="42"/>
        <v>-1730.24925654865</v>
      </c>
      <c r="P82" s="45">
        <f t="shared" si="42"/>
        <v>-1752.5087075424974</v>
      </c>
      <c r="Q82" s="45">
        <f t="shared" si="42"/>
        <v>-1771.6928128364314</v>
      </c>
    </row>
    <row r="83" spans="1:18">
      <c r="A83" s="659" t="s">
        <v>382</v>
      </c>
      <c r="B83" s="190"/>
      <c r="C83" s="193"/>
      <c r="D83" s="193"/>
      <c r="E83" s="193"/>
      <c r="F83" s="193"/>
      <c r="G83" s="193"/>
      <c r="H83" s="193"/>
      <c r="I83" s="25"/>
      <c r="J83" s="25"/>
      <c r="K83" s="25"/>
      <c r="L83" s="25"/>
      <c r="M83" s="25"/>
      <c r="N83" s="25"/>
      <c r="O83" s="25"/>
      <c r="P83" s="25"/>
      <c r="Q83" s="25"/>
      <c r="R83" s="17"/>
    </row>
    <row r="84" spans="1:18">
      <c r="A84" s="23" t="s">
        <v>383</v>
      </c>
      <c r="B84" s="24">
        <v>-311</v>
      </c>
      <c r="C84" s="24">
        <v>-3628</v>
      </c>
      <c r="D84" s="24">
        <v>-505</v>
      </c>
      <c r="E84" s="24">
        <v>-2930</v>
      </c>
      <c r="F84" s="24">
        <v>-6915</v>
      </c>
      <c r="G84" s="24">
        <v>-6071</v>
      </c>
      <c r="H84" s="24">
        <v>-1109</v>
      </c>
      <c r="I84" s="24">
        <v>-5490</v>
      </c>
      <c r="J84" s="24">
        <f t="shared" ref="J84:Q84" si="43">-J145</f>
        <v>-1500</v>
      </c>
      <c r="K84" s="24">
        <f t="shared" si="43"/>
        <v>-1500</v>
      </c>
      <c r="L84" s="24">
        <f t="shared" si="43"/>
        <v>-1500</v>
      </c>
      <c r="M84" s="24">
        <f t="shared" si="43"/>
        <v>-1500</v>
      </c>
      <c r="N84" s="24">
        <f t="shared" si="43"/>
        <v>-1500</v>
      </c>
      <c r="O84" s="24">
        <f t="shared" si="43"/>
        <v>-1500</v>
      </c>
      <c r="P84" s="24">
        <f t="shared" si="43"/>
        <v>-1500</v>
      </c>
      <c r="Q84" s="24">
        <f t="shared" si="43"/>
        <v>-1500</v>
      </c>
      <c r="R84" s="17" t="s">
        <v>657</v>
      </c>
    </row>
    <row r="85" spans="1:18">
      <c r="A85" s="23" t="s">
        <v>384</v>
      </c>
      <c r="B85" s="24">
        <v>711</v>
      </c>
      <c r="C85" s="24">
        <v>159</v>
      </c>
      <c r="D85" s="24">
        <v>414</v>
      </c>
      <c r="E85" s="24">
        <v>1693</v>
      </c>
      <c r="F85" s="24">
        <v>2400</v>
      </c>
      <c r="G85" s="24">
        <v>1581</v>
      </c>
      <c r="H85" s="24">
        <v>214</v>
      </c>
      <c r="I85" s="24">
        <v>252</v>
      </c>
      <c r="J85" s="48"/>
      <c r="K85" s="48"/>
      <c r="L85" s="48"/>
      <c r="M85" s="48"/>
      <c r="N85" s="48"/>
      <c r="O85" s="48"/>
      <c r="P85" s="48"/>
      <c r="Q85" s="48"/>
      <c r="R85" s="17"/>
    </row>
    <row r="86" spans="1:18">
      <c r="A86" s="23" t="s">
        <v>385</v>
      </c>
      <c r="B86" s="24">
        <v>19</v>
      </c>
      <c r="C86" s="24">
        <v>4</v>
      </c>
      <c r="D86" s="24"/>
      <c r="E86" s="24">
        <v>4</v>
      </c>
      <c r="F86" s="24"/>
      <c r="G86" s="24"/>
      <c r="H86" s="24"/>
      <c r="I86" s="24"/>
      <c r="J86" s="48"/>
      <c r="K86" s="48"/>
      <c r="L86" s="48"/>
      <c r="M86" s="48"/>
      <c r="N86" s="48"/>
      <c r="O86" s="48"/>
      <c r="P86" s="48"/>
      <c r="Q86" s="48"/>
      <c r="R86" s="17"/>
    </row>
    <row r="87" spans="1:18">
      <c r="A87" s="23" t="s">
        <v>386</v>
      </c>
      <c r="B87" s="24">
        <v>5674</v>
      </c>
      <c r="C87" s="24">
        <v>281</v>
      </c>
      <c r="D87" s="24">
        <v>1979</v>
      </c>
      <c r="E87" s="24">
        <v>93</v>
      </c>
      <c r="F87" s="24">
        <v>6024</v>
      </c>
      <c r="G87" s="24">
        <v>4596</v>
      </c>
      <c r="H87" s="24">
        <v>1935</v>
      </c>
      <c r="I87" s="24">
        <f>4933+10</f>
        <v>4943</v>
      </c>
      <c r="J87" s="48"/>
      <c r="K87" s="48"/>
      <c r="L87" s="48"/>
      <c r="M87" s="48"/>
      <c r="N87" s="48"/>
      <c r="O87" s="48"/>
      <c r="P87" s="48"/>
      <c r="Q87" s="48"/>
      <c r="R87" s="17" t="s">
        <v>657</v>
      </c>
    </row>
    <row r="88" spans="1:18">
      <c r="A88" s="23" t="s">
        <v>387</v>
      </c>
      <c r="B88" s="23">
        <v>-5</v>
      </c>
      <c r="C88" s="23">
        <v>-28</v>
      </c>
      <c r="D88" s="23">
        <v>-704</v>
      </c>
      <c r="E88" s="23">
        <v>-2022</v>
      </c>
      <c r="F88" s="23">
        <v>-2599</v>
      </c>
      <c r="G88" s="23">
        <v>-3086</v>
      </c>
      <c r="H88" s="23">
        <v>-1696</v>
      </c>
      <c r="I88" s="23">
        <v>-188</v>
      </c>
      <c r="J88" s="48"/>
      <c r="K88" s="48"/>
      <c r="L88" s="48"/>
      <c r="M88" s="48"/>
      <c r="N88" s="48"/>
      <c r="O88" s="48"/>
      <c r="P88" s="48"/>
      <c r="Q88" s="48"/>
      <c r="R88" s="17" t="s">
        <v>657</v>
      </c>
    </row>
    <row r="89" spans="1:18">
      <c r="A89" s="23" t="s">
        <v>388</v>
      </c>
      <c r="B89" s="23">
        <v>2610</v>
      </c>
      <c r="C89" s="23">
        <v>-3054</v>
      </c>
      <c r="D89" s="23">
        <v>-1829</v>
      </c>
      <c r="E89" s="23">
        <v>596</v>
      </c>
      <c r="F89" s="23">
        <v>-107</v>
      </c>
      <c r="G89" s="23">
        <v>451</v>
      </c>
      <c r="H89" s="23">
        <v>1816</v>
      </c>
      <c r="I89" s="23">
        <v>-755</v>
      </c>
      <c r="J89" s="48"/>
      <c r="K89" s="48"/>
      <c r="L89" s="48"/>
      <c r="M89" s="48"/>
      <c r="N89" s="48"/>
      <c r="O89" s="48"/>
      <c r="P89" s="48"/>
      <c r="Q89" s="48"/>
      <c r="R89" s="17" t="s">
        <v>657</v>
      </c>
    </row>
    <row r="90" spans="1:18">
      <c r="A90" s="23" t="s">
        <v>389</v>
      </c>
      <c r="B90" s="23">
        <v>-4486</v>
      </c>
      <c r="C90" s="23">
        <v>-5368</v>
      </c>
      <c r="D90" s="23">
        <v>-6030</v>
      </c>
      <c r="E90" s="23">
        <v>-6100</v>
      </c>
      <c r="F90" s="23">
        <f>-E94</f>
        <v>-6810</v>
      </c>
      <c r="G90" s="23">
        <v>-6643</v>
      </c>
      <c r="H90" s="23">
        <v>-6475</v>
      </c>
      <c r="I90" s="23">
        <v>-6495</v>
      </c>
      <c r="J90" s="23">
        <f t="shared" ref="J90:Q90" si="44">-I94</f>
        <v>-6883.2618160670208</v>
      </c>
      <c r="K90" s="23">
        <f t="shared" si="44"/>
        <v>-6898.3234393717539</v>
      </c>
      <c r="L90" s="23">
        <f t="shared" si="44"/>
        <v>-6998.0563067652411</v>
      </c>
      <c r="M90" s="23">
        <f t="shared" si="44"/>
        <v>-7096.5974463463299</v>
      </c>
      <c r="N90" s="23">
        <f t="shared" si="44"/>
        <v>-7194.599633970829</v>
      </c>
      <c r="O90" s="23">
        <f t="shared" si="44"/>
        <v>-7292.5303316834879</v>
      </c>
      <c r="P90" s="23">
        <f t="shared" si="44"/>
        <v>-7390.7249010980713</v>
      </c>
      <c r="Q90" s="23">
        <f t="shared" si="44"/>
        <v>-7489.4245284855742</v>
      </c>
      <c r="R90" s="17" t="s">
        <v>660</v>
      </c>
    </row>
    <row r="91" spans="1:18">
      <c r="A91" s="208" t="s">
        <v>206</v>
      </c>
      <c r="B91" s="27">
        <v>2.2000000000000002</v>
      </c>
      <c r="C91" s="27">
        <v>2.25</v>
      </c>
      <c r="D91" s="27">
        <v>2.2999999999999998</v>
      </c>
      <c r="E91" s="27">
        <v>2.4500000000000002</v>
      </c>
      <c r="F91" s="27">
        <v>2.6</v>
      </c>
      <c r="G91" s="27">
        <v>2.7</v>
      </c>
      <c r="H91" s="27">
        <v>2.75</v>
      </c>
      <c r="I91" s="27">
        <v>2.8</v>
      </c>
      <c r="J91" s="208">
        <f t="shared" ref="J91:Q91" si="45">I91+I91*J92</f>
        <v>2.8509090909090906</v>
      </c>
      <c r="K91" s="208">
        <f t="shared" si="45"/>
        <v>2.9027438016528921</v>
      </c>
      <c r="L91" s="208">
        <f t="shared" si="45"/>
        <v>2.9555209616829443</v>
      </c>
      <c r="M91" s="208">
        <f t="shared" si="45"/>
        <v>3.0092577064408159</v>
      </c>
      <c r="N91" s="208">
        <f t="shared" si="45"/>
        <v>3.0639714829215579</v>
      </c>
      <c r="O91" s="208">
        <f t="shared" si="45"/>
        <v>3.1196800553383133</v>
      </c>
      <c r="P91" s="208">
        <f t="shared" si="45"/>
        <v>3.1764015108899186</v>
      </c>
      <c r="Q91" s="208">
        <f t="shared" si="45"/>
        <v>3.2341542656333715</v>
      </c>
      <c r="R91" s="17"/>
    </row>
    <row r="92" spans="1:18">
      <c r="A92" s="23" t="s">
        <v>618</v>
      </c>
      <c r="B92" s="199">
        <f>B91/2.1-1</f>
        <v>4.7619047619047672E-2</v>
      </c>
      <c r="C92" s="199">
        <f t="shared" ref="C92:I92" si="46">C91/B91-1</f>
        <v>2.2727272727272707E-2</v>
      </c>
      <c r="D92" s="199">
        <f t="shared" si="46"/>
        <v>2.2222222222222143E-2</v>
      </c>
      <c r="E92" s="199">
        <f t="shared" si="46"/>
        <v>6.5217391304347894E-2</v>
      </c>
      <c r="F92" s="199">
        <f t="shared" si="46"/>
        <v>6.1224489795918435E-2</v>
      </c>
      <c r="G92" s="199">
        <f t="shared" si="46"/>
        <v>3.8461538461538547E-2</v>
      </c>
      <c r="H92" s="199">
        <f t="shared" si="46"/>
        <v>1.8518518518518379E-2</v>
      </c>
      <c r="I92" s="199">
        <f t="shared" si="46"/>
        <v>1.8181818181818077E-2</v>
      </c>
      <c r="J92" s="660">
        <f t="shared" ref="J92:Q92" si="47">I92</f>
        <v>1.8181818181818077E-2</v>
      </c>
      <c r="K92" s="660">
        <f t="shared" si="47"/>
        <v>1.8181818181818077E-2</v>
      </c>
      <c r="L92" s="660">
        <f t="shared" si="47"/>
        <v>1.8181818181818077E-2</v>
      </c>
      <c r="M92" s="660">
        <f t="shared" si="47"/>
        <v>1.8181818181818077E-2</v>
      </c>
      <c r="N92" s="660">
        <f t="shared" si="47"/>
        <v>1.8181818181818077E-2</v>
      </c>
      <c r="O92" s="660">
        <f t="shared" si="47"/>
        <v>1.8181818181818077E-2</v>
      </c>
      <c r="P92" s="660">
        <f t="shared" si="47"/>
        <v>1.8181818181818077E-2</v>
      </c>
      <c r="Q92" s="660">
        <f t="shared" si="47"/>
        <v>1.8181818181818077E-2</v>
      </c>
      <c r="R92" s="17"/>
    </row>
    <row r="93" spans="1:18">
      <c r="A93" s="208" t="s">
        <v>207</v>
      </c>
      <c r="B93" s="27">
        <f>B95/B91</f>
        <v>1.0675066719166995</v>
      </c>
      <c r="C93" s="27">
        <f>C95/C91</f>
        <v>1.124868835257083</v>
      </c>
      <c r="D93" s="27">
        <f>D95/D91</f>
        <v>1.0968461178839861</v>
      </c>
      <c r="E93" s="27">
        <v>1.1244000000000001</v>
      </c>
      <c r="F93" s="27">
        <f>Sales!G7</f>
        <v>1.0386588836494317</v>
      </c>
      <c r="G93" s="27">
        <f>Sales!H7</f>
        <v>1.0149296146312252</v>
      </c>
      <c r="H93" s="27">
        <f>Sales!I7</f>
        <v>1.0157027647429255</v>
      </c>
      <c r="I93" s="27">
        <f>Sales!J7</f>
        <v>1.0478720338672241</v>
      </c>
      <c r="J93" s="27">
        <f>Sales!K7</f>
        <v>1.0458063166701526</v>
      </c>
      <c r="K93" s="27">
        <f>Sales!L7</f>
        <v>1.0458063166701526</v>
      </c>
      <c r="L93" s="27">
        <f>Sales!M7</f>
        <v>1.0458063166701526</v>
      </c>
      <c r="M93" s="27">
        <f>Sales!N7</f>
        <v>1.0458063166701526</v>
      </c>
      <c r="N93" s="27">
        <f>Sales!O7</f>
        <v>1.0458063166701526</v>
      </c>
      <c r="O93" s="27">
        <f>Sales!P7</f>
        <v>1.0458063166701526</v>
      </c>
      <c r="P93" s="27">
        <f>Sales!Q7</f>
        <v>1.0458063166701526</v>
      </c>
      <c r="Q93" s="27">
        <f>P93</f>
        <v>1.0458063166701526</v>
      </c>
      <c r="R93" s="17"/>
    </row>
    <row r="94" spans="1:18">
      <c r="A94" s="208" t="s">
        <v>208</v>
      </c>
      <c r="B94" s="25">
        <v>5368</v>
      </c>
      <c r="C94" s="25">
        <v>6030</v>
      </c>
      <c r="D94" s="25">
        <v>6100</v>
      </c>
      <c r="E94" s="25">
        <v>6810</v>
      </c>
      <c r="F94" s="25">
        <f t="shared" ref="F94:Q94" si="48">F95*F157</f>
        <v>6551.4447745071557</v>
      </c>
      <c r="G94" s="25">
        <f t="shared" si="48"/>
        <v>6584.9648326888528</v>
      </c>
      <c r="H94" s="25">
        <f t="shared" si="48"/>
        <v>6642.1882300363613</v>
      </c>
      <c r="I94" s="25">
        <f t="shared" si="48"/>
        <v>6883.2618160670208</v>
      </c>
      <c r="J94" s="25">
        <f t="shared" si="48"/>
        <v>6898.3234393717539</v>
      </c>
      <c r="K94" s="25">
        <f t="shared" si="48"/>
        <v>6998.0563067652411</v>
      </c>
      <c r="L94" s="25">
        <f t="shared" si="48"/>
        <v>7096.5974463463299</v>
      </c>
      <c r="M94" s="25">
        <f t="shared" si="48"/>
        <v>7194.599633970829</v>
      </c>
      <c r="N94" s="25">
        <f t="shared" si="48"/>
        <v>7292.5303316834879</v>
      </c>
      <c r="O94" s="25">
        <f t="shared" si="48"/>
        <v>7390.7249010980713</v>
      </c>
      <c r="P94" s="25">
        <f t="shared" si="48"/>
        <v>7489.4245284855742</v>
      </c>
      <c r="Q94" s="25">
        <f t="shared" si="48"/>
        <v>7588.8032534312979</v>
      </c>
      <c r="R94" s="17"/>
    </row>
    <row r="95" spans="1:18">
      <c r="A95" s="208" t="s">
        <v>209</v>
      </c>
      <c r="B95" s="209">
        <f>B94/B157</f>
        <v>2.348514678216739</v>
      </c>
      <c r="C95" s="209">
        <f>C94/C157</f>
        <v>2.5309548793284367</v>
      </c>
      <c r="D95" s="209">
        <f>D94/D157</f>
        <v>2.522746071133168</v>
      </c>
      <c r="E95" s="209">
        <f>E94/E157</f>
        <v>2.7898402294141746</v>
      </c>
      <c r="F95" s="209">
        <f t="shared" ref="F95:Q95" si="49">F91*F93</f>
        <v>2.7005130974885225</v>
      </c>
      <c r="G95" s="209">
        <f t="shared" si="49"/>
        <v>2.7403099595043083</v>
      </c>
      <c r="H95" s="209">
        <f t="shared" si="49"/>
        <v>2.7931826030430451</v>
      </c>
      <c r="I95" s="209">
        <f t="shared" si="49"/>
        <v>2.9340416948282271</v>
      </c>
      <c r="J95" s="209">
        <f t="shared" si="49"/>
        <v>2.981498735525089</v>
      </c>
      <c r="K95" s="209">
        <f t="shared" si="49"/>
        <v>3.035707803443727</v>
      </c>
      <c r="L95" s="209">
        <f t="shared" si="49"/>
        <v>3.090902490779067</v>
      </c>
      <c r="M95" s="209">
        <f t="shared" si="49"/>
        <v>3.147100717884141</v>
      </c>
      <c r="N95" s="209">
        <f t="shared" si="49"/>
        <v>3.2043207309365798</v>
      </c>
      <c r="O95" s="209">
        <f t="shared" si="49"/>
        <v>3.2625811078626992</v>
      </c>
      <c r="P95" s="209">
        <f t="shared" si="49"/>
        <v>3.3219007643692935</v>
      </c>
      <c r="Q95" s="209">
        <f t="shared" si="49"/>
        <v>3.3822989600850986</v>
      </c>
      <c r="R95" s="17"/>
    </row>
    <row r="96" spans="1:18">
      <c r="A96" s="154" t="s">
        <v>619</v>
      </c>
      <c r="B96" s="200">
        <f>B95/1.98-1</f>
        <v>0.18611852435188836</v>
      </c>
      <c r="C96" s="200">
        <f t="shared" ref="C96:Q96" si="50">C95/B95-1</f>
        <v>7.7683227958458945E-2</v>
      </c>
      <c r="D96" s="200">
        <f t="shared" si="50"/>
        <v>-3.2433641003694058E-3</v>
      </c>
      <c r="E96" s="200">
        <f t="shared" si="50"/>
        <v>0.10587437290548762</v>
      </c>
      <c r="F96" s="210">
        <f t="shared" si="50"/>
        <v>-3.2018726729885039E-2</v>
      </c>
      <c r="G96" s="210">
        <f t="shared" si="50"/>
        <v>1.4736778004445394E-2</v>
      </c>
      <c r="H96" s="210">
        <f t="shared" si="50"/>
        <v>1.9294402574919323E-2</v>
      </c>
      <c r="I96" s="210">
        <f t="shared" si="50"/>
        <v>5.0429603718612048E-2</v>
      </c>
      <c r="J96" s="210">
        <f t="shared" si="50"/>
        <v>1.6174630640223508E-2</v>
      </c>
      <c r="K96" s="210">
        <f t="shared" si="50"/>
        <v>1.8181818181818077E-2</v>
      </c>
      <c r="L96" s="210">
        <f t="shared" si="50"/>
        <v>1.8181818181818077E-2</v>
      </c>
      <c r="M96" s="210">
        <f t="shared" si="50"/>
        <v>1.8181818181818299E-2</v>
      </c>
      <c r="N96" s="210">
        <f t="shared" si="50"/>
        <v>1.8181818181818077E-2</v>
      </c>
      <c r="O96" s="210">
        <f t="shared" si="50"/>
        <v>1.8181818181818077E-2</v>
      </c>
      <c r="P96" s="210">
        <f t="shared" si="50"/>
        <v>1.8181818181818077E-2</v>
      </c>
      <c r="Q96" s="210">
        <f t="shared" si="50"/>
        <v>1.8181818181818077E-2</v>
      </c>
      <c r="R96" s="17"/>
    </row>
    <row r="97" spans="1:24">
      <c r="A97" s="208" t="s">
        <v>210</v>
      </c>
      <c r="B97" s="199">
        <f>B94/B40</f>
        <v>0.54809066775576887</v>
      </c>
      <c r="C97" s="199">
        <f t="shared" ref="C97:Q97" si="51">C94/C40</f>
        <v>0.66792202038103676</v>
      </c>
      <c r="D97" s="199">
        <f t="shared" si="51"/>
        <v>0.65803667745415317</v>
      </c>
      <c r="E97" s="199">
        <f t="shared" si="51"/>
        <v>0.74110349330721514</v>
      </c>
      <c r="F97" s="199">
        <f t="shared" si="51"/>
        <v>0.61481276037041621</v>
      </c>
      <c r="G97" s="199">
        <f t="shared" si="51"/>
        <v>0.9369614161481008</v>
      </c>
      <c r="H97" s="199">
        <f t="shared" si="51"/>
        <v>0.99166739773609458</v>
      </c>
      <c r="I97" s="199">
        <f t="shared" si="51"/>
        <v>0.89358195716824884</v>
      </c>
      <c r="J97" s="199">
        <f t="shared" si="51"/>
        <v>0.77874146629823504</v>
      </c>
      <c r="K97" s="199">
        <f t="shared" si="51"/>
        <v>0.72846411956688173</v>
      </c>
      <c r="L97" s="199">
        <f t="shared" si="51"/>
        <v>0.70885466204110037</v>
      </c>
      <c r="M97" s="199">
        <f t="shared" si="51"/>
        <v>0.64191346774474534</v>
      </c>
      <c r="N97" s="199">
        <f t="shared" si="51"/>
        <v>0.59026337672351803</v>
      </c>
      <c r="O97" s="199">
        <f t="shared" si="51"/>
        <v>0.58744986403048338</v>
      </c>
      <c r="P97" s="199">
        <f t="shared" si="51"/>
        <v>0.56763921756712921</v>
      </c>
      <c r="Q97" s="199">
        <f t="shared" si="51"/>
        <v>0.6148870308244081</v>
      </c>
      <c r="R97" s="17"/>
    </row>
    <row r="98" spans="1:24">
      <c r="A98" s="23"/>
      <c r="B98" s="23"/>
      <c r="C98" s="23"/>
      <c r="D98" s="23"/>
      <c r="E98" s="23"/>
      <c r="F98" s="23"/>
      <c r="G98" s="23"/>
      <c r="H98" s="23"/>
      <c r="I98" s="23"/>
      <c r="J98" s="23"/>
      <c r="K98" s="23"/>
      <c r="L98" s="48"/>
      <c r="M98" s="48"/>
      <c r="N98" s="48"/>
      <c r="O98" s="48"/>
      <c r="P98" s="48"/>
      <c r="Q98" s="48"/>
      <c r="R98" s="17"/>
    </row>
    <row r="99" spans="1:24">
      <c r="A99" s="23" t="s">
        <v>390</v>
      </c>
      <c r="B99" s="24">
        <v>-96</v>
      </c>
      <c r="C99" s="24">
        <v>-3390</v>
      </c>
      <c r="D99" s="24"/>
      <c r="E99" s="24">
        <v>-103</v>
      </c>
      <c r="F99" s="24">
        <v>-140</v>
      </c>
      <c r="G99" s="24">
        <v>-4</v>
      </c>
      <c r="H99" s="24">
        <f>7-6</f>
        <v>1</v>
      </c>
      <c r="I99" s="48"/>
      <c r="J99" s="48"/>
      <c r="K99" s="48"/>
      <c r="L99" s="48"/>
      <c r="M99" s="48"/>
      <c r="N99" s="48"/>
      <c r="O99" s="48"/>
      <c r="P99" s="48"/>
      <c r="Q99" s="48"/>
      <c r="R99" s="17"/>
    </row>
    <row r="100" spans="1:24">
      <c r="A100" s="47" t="s">
        <v>391</v>
      </c>
      <c r="B100" s="45">
        <f>B84+B85+B86+B87+B88+B89+B90+B99</f>
        <v>4116</v>
      </c>
      <c r="C100" s="45">
        <f t="shared" ref="C100:Q100" si="52">C84+C85+C86+C87+C88+C89+C90+C99</f>
        <v>-15024</v>
      </c>
      <c r="D100" s="45">
        <f t="shared" si="52"/>
        <v>-6675</v>
      </c>
      <c r="E100" s="45">
        <f t="shared" si="52"/>
        <v>-8769</v>
      </c>
      <c r="F100" s="45">
        <f t="shared" si="52"/>
        <v>-8147</v>
      </c>
      <c r="G100" s="45">
        <f t="shared" si="52"/>
        <v>-9176</v>
      </c>
      <c r="H100" s="45">
        <f t="shared" si="52"/>
        <v>-5314</v>
      </c>
      <c r="I100" s="45">
        <f t="shared" si="52"/>
        <v>-7733</v>
      </c>
      <c r="J100" s="45">
        <f t="shared" si="52"/>
        <v>-8383.2618160670208</v>
      </c>
      <c r="K100" s="45">
        <f t="shared" si="52"/>
        <v>-8398.3234393717539</v>
      </c>
      <c r="L100" s="45">
        <f t="shared" si="52"/>
        <v>-8498.0563067652402</v>
      </c>
      <c r="M100" s="45">
        <f t="shared" si="52"/>
        <v>-8596.5974463463299</v>
      </c>
      <c r="N100" s="45">
        <f t="shared" si="52"/>
        <v>-8694.599633970829</v>
      </c>
      <c r="O100" s="45">
        <f t="shared" si="52"/>
        <v>-8792.530331683487</v>
      </c>
      <c r="P100" s="45">
        <f t="shared" si="52"/>
        <v>-8890.7249010980704</v>
      </c>
      <c r="Q100" s="45">
        <f t="shared" si="52"/>
        <v>-8989.4245284855751</v>
      </c>
    </row>
    <row r="101" spans="1:24">
      <c r="A101" s="23" t="s">
        <v>392</v>
      </c>
      <c r="B101" s="661"/>
      <c r="C101" s="662"/>
      <c r="D101" s="662"/>
      <c r="E101" s="662"/>
      <c r="F101" s="663"/>
      <c r="G101" s="663"/>
      <c r="H101" s="663"/>
      <c r="I101" s="664"/>
      <c r="J101" s="664"/>
      <c r="K101" s="664"/>
      <c r="L101" s="664"/>
      <c r="M101" s="664"/>
      <c r="N101" s="664"/>
      <c r="O101" s="664"/>
      <c r="P101" s="664"/>
      <c r="Q101" s="664"/>
      <c r="R101" s="17"/>
    </row>
    <row r="102" spans="1:24">
      <c r="A102" s="23" t="s">
        <v>393</v>
      </c>
      <c r="B102" s="24">
        <v>-2</v>
      </c>
      <c r="C102" s="24">
        <v>-103</v>
      </c>
      <c r="D102" s="24">
        <v>-1</v>
      </c>
      <c r="E102" s="24">
        <v>82</v>
      </c>
      <c r="F102" s="24">
        <v>-295</v>
      </c>
      <c r="G102" s="24">
        <v>-286</v>
      </c>
      <c r="H102" s="24">
        <v>-387</v>
      </c>
      <c r="I102" s="24">
        <v>84</v>
      </c>
      <c r="J102" s="48"/>
      <c r="K102" s="48"/>
      <c r="L102" s="48"/>
      <c r="M102" s="48"/>
      <c r="N102" s="48"/>
      <c r="O102" s="48"/>
      <c r="P102" s="48"/>
      <c r="Q102" s="48"/>
      <c r="R102" s="17"/>
    </row>
    <row r="103" spans="1:24">
      <c r="A103" s="23" t="s">
        <v>394</v>
      </c>
      <c r="B103" s="665">
        <f>+B102+B100+B82+B67</f>
        <v>2425</v>
      </c>
      <c r="C103" s="665">
        <f>+C102+C100+C82+C67</f>
        <v>-1610</v>
      </c>
      <c r="D103" s="665">
        <f>+D102+D100+D82+D67</f>
        <v>1843</v>
      </c>
      <c r="E103" s="665">
        <f>+E102+E100+E82+E67</f>
        <v>1135</v>
      </c>
      <c r="F103" s="665">
        <f>+F102+F100+F82+F67</f>
        <v>6336</v>
      </c>
      <c r="G103" s="665">
        <f t="shared" ref="G103:Q103" si="53">+G102+G100+G82+G67</f>
        <v>-8349</v>
      </c>
      <c r="H103" s="665">
        <f t="shared" si="53"/>
        <v>2333</v>
      </c>
      <c r="I103" s="665">
        <f t="shared" si="53"/>
        <v>1853</v>
      </c>
      <c r="J103" s="665">
        <f t="shared" si="53"/>
        <v>10057.994000435414</v>
      </c>
      <c r="K103" s="665">
        <f t="shared" si="53"/>
        <v>5875.3627887490693</v>
      </c>
      <c r="L103" s="665">
        <f t="shared" si="53"/>
        <v>6871.6664621932341</v>
      </c>
      <c r="M103" s="665">
        <f t="shared" si="53"/>
        <v>8097.80258512826</v>
      </c>
      <c r="N103" s="665">
        <f t="shared" si="53"/>
        <v>8748.9092028617615</v>
      </c>
      <c r="O103" s="665">
        <f t="shared" si="53"/>
        <v>8106.0716809863225</v>
      </c>
      <c r="P103" s="665">
        <f t="shared" si="53"/>
        <v>9142.1260021166472</v>
      </c>
      <c r="Q103" s="665">
        <f t="shared" si="53"/>
        <v>8274.4138508353099</v>
      </c>
      <c r="R103" s="17"/>
    </row>
    <row r="104" spans="1:24">
      <c r="A104" s="23" t="s">
        <v>395</v>
      </c>
      <c r="B104" s="661">
        <v>2894</v>
      </c>
      <c r="C104" s="665">
        <f>B105</f>
        <v>5319</v>
      </c>
      <c r="D104" s="665">
        <f>C105</f>
        <v>3709</v>
      </c>
      <c r="E104" s="665">
        <f>D105</f>
        <v>5552</v>
      </c>
      <c r="F104" s="665">
        <f>E105</f>
        <v>6687</v>
      </c>
      <c r="G104" s="665">
        <f t="shared" ref="G104:Q104" si="54">F105</f>
        <v>13023</v>
      </c>
      <c r="H104" s="665">
        <f t="shared" si="54"/>
        <v>4674</v>
      </c>
      <c r="I104" s="665">
        <f t="shared" si="54"/>
        <v>7007</v>
      </c>
      <c r="J104" s="665">
        <f t="shared" si="54"/>
        <v>8860</v>
      </c>
      <c r="K104" s="665">
        <f t="shared" si="54"/>
        <v>18917.994000435414</v>
      </c>
      <c r="L104" s="665">
        <f t="shared" si="54"/>
        <v>24793.356789184483</v>
      </c>
      <c r="M104" s="665">
        <f t="shared" si="54"/>
        <v>31665.023251377715</v>
      </c>
      <c r="N104" s="665">
        <f t="shared" si="54"/>
        <v>39762.825836505974</v>
      </c>
      <c r="O104" s="665">
        <f t="shared" si="54"/>
        <v>48511.735039367733</v>
      </c>
      <c r="P104" s="665">
        <f t="shared" si="54"/>
        <v>56617.806720354056</v>
      </c>
      <c r="Q104" s="665">
        <f t="shared" si="54"/>
        <v>65759.932722470709</v>
      </c>
      <c r="R104" s="17"/>
    </row>
    <row r="105" spans="1:24">
      <c r="A105" s="666" t="s">
        <v>396</v>
      </c>
      <c r="B105" s="667">
        <f>+B104+B103</f>
        <v>5319</v>
      </c>
      <c r="C105" s="667">
        <f>+C104+C103</f>
        <v>3709</v>
      </c>
      <c r="D105" s="667">
        <f>+D104+D103</f>
        <v>5552</v>
      </c>
      <c r="E105" s="667">
        <f>+E104+E103</f>
        <v>6687</v>
      </c>
      <c r="F105" s="667">
        <f>+F104+F103</f>
        <v>13023</v>
      </c>
      <c r="G105" s="667">
        <f t="shared" ref="G105:Q105" si="55">+G104+G103</f>
        <v>4674</v>
      </c>
      <c r="H105" s="667">
        <f t="shared" si="55"/>
        <v>7007</v>
      </c>
      <c r="I105" s="667">
        <f t="shared" si="55"/>
        <v>8860</v>
      </c>
      <c r="J105" s="667">
        <f t="shared" si="55"/>
        <v>18917.994000435414</v>
      </c>
      <c r="K105" s="667">
        <f t="shared" si="55"/>
        <v>24793.356789184483</v>
      </c>
      <c r="L105" s="667">
        <f t="shared" si="55"/>
        <v>31665.023251377715</v>
      </c>
      <c r="M105" s="667">
        <f t="shared" si="55"/>
        <v>39762.825836505974</v>
      </c>
      <c r="N105" s="667">
        <f t="shared" si="55"/>
        <v>48511.735039367733</v>
      </c>
      <c r="O105" s="667">
        <f t="shared" si="55"/>
        <v>56617.806720354056</v>
      </c>
      <c r="P105" s="667">
        <f t="shared" si="55"/>
        <v>65759.932722470709</v>
      </c>
      <c r="Q105" s="667">
        <f t="shared" si="55"/>
        <v>74034.346573306015</v>
      </c>
      <c r="R105" s="17"/>
    </row>
    <row r="106" spans="1:24">
      <c r="A106" s="17"/>
      <c r="B106" s="17"/>
      <c r="C106" s="24"/>
      <c r="D106" s="24"/>
      <c r="E106" s="24"/>
      <c r="F106" s="24"/>
      <c r="G106" s="24"/>
      <c r="H106" s="24"/>
      <c r="I106" s="17"/>
      <c r="J106" s="17"/>
      <c r="K106" s="17"/>
      <c r="L106" s="17"/>
      <c r="M106" s="17"/>
      <c r="N106" s="17"/>
      <c r="O106" s="17"/>
      <c r="P106" s="17"/>
      <c r="Q106" s="17"/>
      <c r="R106" s="17"/>
    </row>
    <row r="108" spans="1:24" s="205" customFormat="1">
      <c r="A108" s="203" t="s">
        <v>629</v>
      </c>
      <c r="B108" s="204">
        <v>2010</v>
      </c>
      <c r="C108" s="204">
        <v>2011</v>
      </c>
      <c r="D108" s="204">
        <v>2012</v>
      </c>
      <c r="E108" s="204">
        <v>2013</v>
      </c>
      <c r="F108" s="204">
        <v>2014</v>
      </c>
      <c r="G108" s="204">
        <v>2015</v>
      </c>
      <c r="H108" s="204">
        <v>2016</v>
      </c>
      <c r="I108" s="204">
        <v>2017</v>
      </c>
      <c r="J108" s="418">
        <v>2018</v>
      </c>
      <c r="K108" s="418">
        <v>2019</v>
      </c>
      <c r="L108" s="418">
        <v>2020</v>
      </c>
      <c r="M108" s="418">
        <f>L108+1</f>
        <v>2021</v>
      </c>
      <c r="N108" s="418">
        <f>M108+1</f>
        <v>2022</v>
      </c>
      <c r="O108" s="418">
        <f>N108+1</f>
        <v>2023</v>
      </c>
      <c r="P108" s="418">
        <f>O108+1</f>
        <v>2024</v>
      </c>
      <c r="Q108" s="418">
        <f>P108+1</f>
        <v>2025</v>
      </c>
      <c r="S108"/>
      <c r="T108"/>
      <c r="U108"/>
      <c r="V108"/>
      <c r="W108"/>
      <c r="X108"/>
    </row>
    <row r="109" spans="1:24">
      <c r="A109" s="16" t="s">
        <v>631</v>
      </c>
      <c r="B109" s="207">
        <f>B25+B22</f>
        <v>22987</v>
      </c>
      <c r="C109" s="207">
        <f t="shared" ref="C109:Q109" si="56">C25+C22</f>
        <v>20229</v>
      </c>
      <c r="D109" s="207">
        <f t="shared" si="56"/>
        <v>19726</v>
      </c>
      <c r="E109" s="207">
        <f t="shared" si="56"/>
        <v>18018</v>
      </c>
      <c r="F109" s="207">
        <f t="shared" si="56"/>
        <v>20411</v>
      </c>
      <c r="G109" s="207">
        <f t="shared" si="56"/>
        <v>21931</v>
      </c>
      <c r="H109" s="207">
        <f t="shared" si="56"/>
        <v>23802</v>
      </c>
      <c r="I109" s="207">
        <f t="shared" si="56"/>
        <v>28532</v>
      </c>
      <c r="J109" s="207">
        <f t="shared" si="56"/>
        <v>28532</v>
      </c>
      <c r="K109" s="207">
        <f t="shared" si="56"/>
        <v>28532</v>
      </c>
      <c r="L109" s="207">
        <f t="shared" si="56"/>
        <v>28532</v>
      </c>
      <c r="M109" s="207">
        <f t="shared" si="56"/>
        <v>28532</v>
      </c>
      <c r="N109" s="207">
        <f t="shared" si="56"/>
        <v>28532</v>
      </c>
      <c r="O109" s="207">
        <f t="shared" si="56"/>
        <v>28532</v>
      </c>
      <c r="P109" s="207">
        <f t="shared" si="56"/>
        <v>28532</v>
      </c>
      <c r="Q109" s="207">
        <f t="shared" si="56"/>
        <v>28532</v>
      </c>
    </row>
    <row r="110" spans="1:24">
      <c r="A110" s="16" t="s">
        <v>325</v>
      </c>
      <c r="B110" s="207">
        <f t="shared" ref="B110:Q110" si="57">B15+B16</f>
        <v>8134</v>
      </c>
      <c r="C110" s="207">
        <f t="shared" si="57"/>
        <v>5075</v>
      </c>
      <c r="D110" s="207">
        <f t="shared" si="57"/>
        <v>8119</v>
      </c>
      <c r="E110" s="207">
        <f t="shared" si="57"/>
        <v>9222</v>
      </c>
      <c r="F110" s="207">
        <f t="shared" si="57"/>
        <v>13862</v>
      </c>
      <c r="G110" s="207">
        <f t="shared" si="57"/>
        <v>5447</v>
      </c>
      <c r="H110" s="207">
        <f t="shared" si="57"/>
        <v>7777</v>
      </c>
      <c r="I110" s="207">
        <f t="shared" si="57"/>
        <v>9485</v>
      </c>
      <c r="J110" s="207">
        <f t="shared" si="57"/>
        <v>19542.994000435414</v>
      </c>
      <c r="K110" s="207">
        <f t="shared" si="57"/>
        <v>25418.356789184483</v>
      </c>
      <c r="L110" s="207">
        <f t="shared" si="57"/>
        <v>32290.023251377715</v>
      </c>
      <c r="M110" s="207">
        <f t="shared" si="57"/>
        <v>40387.825836505974</v>
      </c>
      <c r="N110" s="207">
        <f t="shared" si="57"/>
        <v>49136.735039367733</v>
      </c>
      <c r="O110" s="207">
        <f t="shared" si="57"/>
        <v>57242.806720354056</v>
      </c>
      <c r="P110" s="207">
        <f t="shared" si="57"/>
        <v>66384.932722470709</v>
      </c>
      <c r="Q110" s="207">
        <f t="shared" si="57"/>
        <v>74659.346573306015</v>
      </c>
    </row>
    <row r="111" spans="1:24" s="40" customFormat="1">
      <c r="A111" s="40" t="s">
        <v>629</v>
      </c>
      <c r="B111" s="44">
        <f t="shared" ref="B111:Q111" si="58">B109-B110</f>
        <v>14853</v>
      </c>
      <c r="C111" s="44">
        <f t="shared" si="58"/>
        <v>15154</v>
      </c>
      <c r="D111" s="44">
        <f t="shared" si="58"/>
        <v>11607</v>
      </c>
      <c r="E111" s="44">
        <f t="shared" si="58"/>
        <v>8796</v>
      </c>
      <c r="F111" s="44">
        <f t="shared" si="58"/>
        <v>6549</v>
      </c>
      <c r="G111" s="44">
        <f t="shared" si="58"/>
        <v>16484</v>
      </c>
      <c r="H111" s="44">
        <f t="shared" si="58"/>
        <v>16025</v>
      </c>
      <c r="I111" s="44">
        <f t="shared" si="58"/>
        <v>19047</v>
      </c>
      <c r="J111" s="44">
        <f t="shared" si="58"/>
        <v>8989.0059995645861</v>
      </c>
      <c r="K111" s="44">
        <f t="shared" si="58"/>
        <v>3113.6432108155168</v>
      </c>
      <c r="L111" s="44">
        <f t="shared" si="58"/>
        <v>-3758.0232513777155</v>
      </c>
      <c r="M111" s="44">
        <f t="shared" si="58"/>
        <v>-11855.825836505974</v>
      </c>
      <c r="N111" s="44">
        <f t="shared" si="58"/>
        <v>-20604.735039367733</v>
      </c>
      <c r="O111" s="44">
        <f t="shared" si="58"/>
        <v>-28710.806720354056</v>
      </c>
      <c r="P111" s="44">
        <f t="shared" si="58"/>
        <v>-37852.932722470709</v>
      </c>
      <c r="Q111" s="44">
        <f t="shared" si="58"/>
        <v>-46127.346573306015</v>
      </c>
      <c r="S111"/>
      <c r="T111"/>
      <c r="U111"/>
      <c r="V111"/>
      <c r="W111"/>
      <c r="X111"/>
    </row>
    <row r="112" spans="1:24">
      <c r="A112" s="16" t="s">
        <v>632</v>
      </c>
      <c r="B112" s="20">
        <f t="shared" ref="B112:Q112" si="59">B111/B34</f>
        <v>0.23503069814545224</v>
      </c>
      <c r="C112" s="20">
        <f t="shared" si="59"/>
        <v>0.23015005163720309</v>
      </c>
      <c r="D112" s="20">
        <f t="shared" si="59"/>
        <v>0.16788405629402492</v>
      </c>
      <c r="E112" s="20">
        <f t="shared" si="59"/>
        <v>0.11831645212057625</v>
      </c>
      <c r="F112" s="20">
        <f t="shared" si="59"/>
        <v>9.2544442246276462E-2</v>
      </c>
      <c r="G112" s="20">
        <f t="shared" si="59"/>
        <v>0.21395010772785089</v>
      </c>
      <c r="H112" s="20">
        <f t="shared" si="59"/>
        <v>0.21414635450074834</v>
      </c>
      <c r="I112" s="20">
        <f t="shared" si="59"/>
        <v>0.25680886635745875</v>
      </c>
      <c r="J112" s="20">
        <f t="shared" si="59"/>
        <v>6.6180774159912817E-2</v>
      </c>
      <c r="K112" s="20">
        <f t="shared" si="59"/>
        <v>2.2354748625693029E-2</v>
      </c>
      <c r="L112" s="20">
        <f t="shared" si="59"/>
        <v>-2.6280507082464145E-2</v>
      </c>
      <c r="M112" s="20">
        <f t="shared" si="59"/>
        <v>-8.0265260935838315E-2</v>
      </c>
      <c r="N112" s="20">
        <f t="shared" si="59"/>
        <v>-0.13434818840837201</v>
      </c>
      <c r="O112" s="20">
        <f t="shared" si="59"/>
        <v>-0.18050678186254621</v>
      </c>
      <c r="P112" s="20">
        <f t="shared" si="59"/>
        <v>-0.2293284225613863</v>
      </c>
      <c r="Q112" s="20">
        <f t="shared" si="59"/>
        <v>-0.27115822931194211</v>
      </c>
    </row>
    <row r="113" spans="1:24">
      <c r="A113" s="16" t="s">
        <v>634</v>
      </c>
      <c r="B113" s="207">
        <f>'P&amp;L'!B50+B43+B44</f>
        <v>14945</v>
      </c>
      <c r="C113" s="207">
        <f>'P&amp;L'!C50+C43+C44</f>
        <v>21697</v>
      </c>
      <c r="D113" s="207">
        <f>'P&amp;L'!D50+D43+D44</f>
        <v>19762</v>
      </c>
      <c r="E113" s="207">
        <f>'P&amp;L'!E50+E43+E44</f>
        <v>18612</v>
      </c>
      <c r="F113" s="207">
        <f>'P&amp;L'!F50+F43+F44</f>
        <v>19155</v>
      </c>
      <c r="G113" s="207">
        <f>'P&amp;L'!G50+G43+G44</f>
        <v>19261</v>
      </c>
      <c r="H113" s="207">
        <f>'P&amp;L'!H50+H43+H44</f>
        <v>19030</v>
      </c>
      <c r="I113" s="207">
        <f>'P&amp;L'!I50+I43+I44</f>
        <v>18926</v>
      </c>
      <c r="J113" s="207">
        <f>'P&amp;L'!J50+J43+J44</f>
        <v>20572.971627505103</v>
      </c>
      <c r="K113" s="207">
        <f>'P&amp;L'!K50+K43+K44</f>
        <v>21230.226498827171</v>
      </c>
      <c r="L113" s="207">
        <f>'P&amp;L'!L50+L43+L44</f>
        <v>22575.250447484224</v>
      </c>
      <c r="M113" s="207">
        <f>'P&amp;L'!M50+M43+M44</f>
        <v>23758.782596004177</v>
      </c>
      <c r="N113" s="207">
        <f>'P&amp;L'!N50+N43+N44</f>
        <v>24932.389353997896</v>
      </c>
      <c r="O113" s="207">
        <f>'P&amp;L'!O50+O43+O44</f>
        <v>24836.5196454447</v>
      </c>
      <c r="P113" s="207">
        <f>'P&amp;L'!P50+P43+P44</f>
        <v>25381.400514792706</v>
      </c>
      <c r="Q113" s="207">
        <f>'P&amp;L'!Q50+Q43+Q44</f>
        <v>25718.93305338304</v>
      </c>
    </row>
    <row r="114" spans="1:24">
      <c r="A114" s="223" t="s">
        <v>633</v>
      </c>
      <c r="B114" s="224">
        <f>B111/B113</f>
        <v>0.99384409501505522</v>
      </c>
      <c r="C114" s="224">
        <f t="shared" ref="C114:Q114" si="60">C111/C113</f>
        <v>0.69843757201456425</v>
      </c>
      <c r="D114" s="224">
        <f t="shared" si="60"/>
        <v>0.58733933812367167</v>
      </c>
      <c r="E114" s="224">
        <f t="shared" si="60"/>
        <v>0.47259832366215343</v>
      </c>
      <c r="F114" s="224">
        <f t="shared" si="60"/>
        <v>0.34189506656225527</v>
      </c>
      <c r="G114" s="224">
        <f t="shared" si="60"/>
        <v>0.85582264679923159</v>
      </c>
      <c r="H114" s="224">
        <f t="shared" si="60"/>
        <v>0.84209143457698366</v>
      </c>
      <c r="I114" s="224">
        <f t="shared" si="60"/>
        <v>1.0063933213568637</v>
      </c>
      <c r="J114" s="224">
        <f t="shared" si="60"/>
        <v>0.4369327952383264</v>
      </c>
      <c r="K114" s="224">
        <f t="shared" si="60"/>
        <v>0.14666085691490502</v>
      </c>
      <c r="L114" s="224">
        <f t="shared" si="60"/>
        <v>-0.16646651429714296</v>
      </c>
      <c r="M114" s="224">
        <f t="shared" si="60"/>
        <v>-0.49900813682683898</v>
      </c>
      <c r="N114" s="224">
        <f t="shared" si="60"/>
        <v>-0.8264244050907128</v>
      </c>
      <c r="O114" s="224">
        <f t="shared" si="60"/>
        <v>-1.1559915451205316</v>
      </c>
      <c r="P114" s="224">
        <f t="shared" si="60"/>
        <v>-1.4913650135424712</v>
      </c>
      <c r="Q114" s="224">
        <f t="shared" si="60"/>
        <v>-1.793517113542876</v>
      </c>
    </row>
    <row r="116" spans="1:24" s="205" customFormat="1">
      <c r="A116" s="203" t="s">
        <v>630</v>
      </c>
      <c r="B116" s="204">
        <v>2010</v>
      </c>
      <c r="C116" s="204">
        <v>2011</v>
      </c>
      <c r="D116" s="204">
        <v>2012</v>
      </c>
      <c r="E116" s="204">
        <v>2013</v>
      </c>
      <c r="F116" s="204">
        <v>2014</v>
      </c>
      <c r="G116" s="204">
        <v>2015</v>
      </c>
      <c r="H116" s="204">
        <v>2016</v>
      </c>
      <c r="I116" s="204">
        <v>2017</v>
      </c>
      <c r="J116" s="418">
        <v>2018</v>
      </c>
      <c r="K116" s="418">
        <v>2019</v>
      </c>
      <c r="L116" s="418">
        <v>2020</v>
      </c>
      <c r="M116" s="418">
        <f>L116+1</f>
        <v>2021</v>
      </c>
      <c r="N116" s="418">
        <f>M116+1</f>
        <v>2022</v>
      </c>
      <c r="O116" s="418">
        <f>N116+1</f>
        <v>2023</v>
      </c>
      <c r="P116" s="418">
        <f>O116+1</f>
        <v>2024</v>
      </c>
      <c r="Q116" s="418">
        <f>P116+1</f>
        <v>2025</v>
      </c>
      <c r="S116"/>
      <c r="T116"/>
      <c r="U116"/>
      <c r="V116"/>
      <c r="W116"/>
      <c r="X116"/>
    </row>
    <row r="117" spans="1:24" s="40" customFormat="1">
      <c r="A117" s="219" t="s">
        <v>637</v>
      </c>
      <c r="G117" s="220">
        <f>Valuation!$E$34*G157</f>
        <v>185703.84000000072</v>
      </c>
      <c r="H117" s="220">
        <f>Valuation!$E$34*H157</f>
        <v>183771.84000000072</v>
      </c>
      <c r="I117" s="220">
        <f>Valuation!$E$34*I157</f>
        <v>181298.8800000007</v>
      </c>
      <c r="J117" s="220">
        <f>Valuation!$E$34*J157</f>
        <v>178803.50880000071</v>
      </c>
      <c r="K117" s="220">
        <f>Valuation!$E$34*K157</f>
        <v>178149.48816000068</v>
      </c>
      <c r="L117" s="220">
        <f>Valuation!$E$34*L157</f>
        <v>177432.01291200067</v>
      </c>
      <c r="M117" s="220">
        <f>Valuation!$E$34*M157</f>
        <v>176670.11943840072</v>
      </c>
      <c r="N117" s="220">
        <f>Valuation!$E$34*N157</f>
        <v>175877.13320688071</v>
      </c>
      <c r="O117" s="220">
        <f>Valuation!$E$34*O157</f>
        <v>175062.38204481671</v>
      </c>
      <c r="P117" s="220">
        <f>Valuation!$E$34*P157</f>
        <v>174232.39543137193</v>
      </c>
      <c r="Q117" s="220">
        <f>Valuation!$E$34*Q157</f>
        <v>173391.74400196061</v>
      </c>
      <c r="S117"/>
      <c r="T117"/>
      <c r="U117"/>
      <c r="V117"/>
      <c r="W117"/>
      <c r="X117"/>
    </row>
    <row r="118" spans="1:24">
      <c r="A118" s="214" t="s">
        <v>638</v>
      </c>
      <c r="B118" s="207"/>
      <c r="C118" s="207"/>
      <c r="D118" s="207"/>
      <c r="E118" s="207"/>
      <c r="F118" s="207"/>
      <c r="G118" s="207">
        <f t="shared" ref="G118:Q118" si="61">G111</f>
        <v>16484</v>
      </c>
      <c r="H118" s="207">
        <f t="shared" si="61"/>
        <v>16025</v>
      </c>
      <c r="I118" s="207">
        <f t="shared" si="61"/>
        <v>19047</v>
      </c>
      <c r="J118" s="207">
        <f t="shared" si="61"/>
        <v>8989.0059995645861</v>
      </c>
      <c r="K118" s="207">
        <f t="shared" si="61"/>
        <v>3113.6432108155168</v>
      </c>
      <c r="L118" s="207">
        <f t="shared" si="61"/>
        <v>-3758.0232513777155</v>
      </c>
      <c r="M118" s="207">
        <f t="shared" si="61"/>
        <v>-11855.825836505974</v>
      </c>
      <c r="N118" s="207">
        <f t="shared" si="61"/>
        <v>-20604.735039367733</v>
      </c>
      <c r="O118" s="207">
        <f t="shared" si="61"/>
        <v>-28710.806720354056</v>
      </c>
      <c r="P118" s="207">
        <f t="shared" si="61"/>
        <v>-37852.932722470709</v>
      </c>
      <c r="Q118" s="207">
        <f t="shared" si="61"/>
        <v>-46127.346573306015</v>
      </c>
    </row>
    <row r="119" spans="1:24">
      <c r="A119" s="215" t="s">
        <v>639</v>
      </c>
      <c r="G119" s="207">
        <f>G27</f>
        <v>8044</v>
      </c>
      <c r="H119" s="207">
        <f>H27</f>
        <v>8470</v>
      </c>
      <c r="I119" s="207">
        <f t="shared" ref="I119:Q119" si="62">I27</f>
        <v>7057</v>
      </c>
      <c r="J119" s="207">
        <f t="shared" si="62"/>
        <v>7057</v>
      </c>
      <c r="K119" s="207">
        <f t="shared" si="62"/>
        <v>7057</v>
      </c>
      <c r="L119" s="207">
        <f t="shared" si="62"/>
        <v>7057</v>
      </c>
      <c r="M119" s="207">
        <f t="shared" si="62"/>
        <v>7057</v>
      </c>
      <c r="N119" s="207">
        <f t="shared" si="62"/>
        <v>7057</v>
      </c>
      <c r="O119" s="207">
        <f t="shared" si="62"/>
        <v>7057</v>
      </c>
      <c r="P119" s="207">
        <f t="shared" si="62"/>
        <v>7057</v>
      </c>
      <c r="Q119" s="207">
        <f t="shared" si="62"/>
        <v>7057</v>
      </c>
    </row>
    <row r="120" spans="1:24">
      <c r="A120" s="215" t="s">
        <v>640</v>
      </c>
      <c r="G120" s="207">
        <f>G35</f>
        <v>76</v>
      </c>
      <c r="H120" s="207">
        <f t="shared" ref="H120:Q120" si="63">H35</f>
        <v>59</v>
      </c>
      <c r="I120" s="207">
        <f t="shared" si="63"/>
        <v>59</v>
      </c>
      <c r="J120" s="207">
        <f t="shared" si="63"/>
        <v>59</v>
      </c>
      <c r="K120" s="207">
        <f t="shared" si="63"/>
        <v>59</v>
      </c>
      <c r="L120" s="207">
        <f t="shared" si="63"/>
        <v>59</v>
      </c>
      <c r="M120" s="207">
        <f t="shared" si="63"/>
        <v>59</v>
      </c>
      <c r="N120" s="207">
        <f t="shared" si="63"/>
        <v>59</v>
      </c>
      <c r="O120" s="207">
        <f t="shared" si="63"/>
        <v>59</v>
      </c>
      <c r="P120" s="207">
        <f t="shared" si="63"/>
        <v>59</v>
      </c>
      <c r="Q120" s="207">
        <f t="shared" si="63"/>
        <v>59</v>
      </c>
    </row>
    <row r="121" spans="1:24">
      <c r="A121" s="215" t="s">
        <v>865</v>
      </c>
      <c r="G121" s="207">
        <v>7600</v>
      </c>
      <c r="H121" s="207">
        <f>G121</f>
        <v>7600</v>
      </c>
      <c r="I121" s="207">
        <f t="shared" ref="I121:Q121" si="64">H121</f>
        <v>7600</v>
      </c>
      <c r="J121" s="207">
        <f t="shared" si="64"/>
        <v>7600</v>
      </c>
      <c r="K121" s="207">
        <f t="shared" si="64"/>
        <v>7600</v>
      </c>
      <c r="L121" s="207">
        <f t="shared" si="64"/>
        <v>7600</v>
      </c>
      <c r="M121" s="207">
        <f t="shared" si="64"/>
        <v>7600</v>
      </c>
      <c r="N121" s="207">
        <f t="shared" si="64"/>
        <v>7600</v>
      </c>
      <c r="O121" s="207">
        <f t="shared" si="64"/>
        <v>7600</v>
      </c>
      <c r="P121" s="207">
        <f t="shared" si="64"/>
        <v>7600</v>
      </c>
      <c r="Q121" s="207">
        <f t="shared" si="64"/>
        <v>7600</v>
      </c>
    </row>
    <row r="122" spans="1:24">
      <c r="A122" s="215" t="s">
        <v>651</v>
      </c>
      <c r="G122" s="213">
        <f>G124*G126*G127</f>
        <v>16986.430129416898</v>
      </c>
      <c r="H122" s="213">
        <f t="shared" ref="H122:Q122" si="65">H124*H126*H127</f>
        <v>16598.357031939831</v>
      </c>
      <c r="I122" s="213">
        <f t="shared" si="65"/>
        <v>16611.001279785483</v>
      </c>
      <c r="J122" s="213">
        <f t="shared" si="65"/>
        <v>17137.103786485593</v>
      </c>
      <c r="K122" s="213">
        <f t="shared" si="65"/>
        <v>17103.320644216688</v>
      </c>
      <c r="L122" s="213">
        <f t="shared" si="65"/>
        <v>17103.320644216688</v>
      </c>
      <c r="M122" s="213">
        <f t="shared" si="65"/>
        <v>17103.320644216688</v>
      </c>
      <c r="N122" s="213">
        <f t="shared" si="65"/>
        <v>17103.320644216688</v>
      </c>
      <c r="O122" s="213">
        <f t="shared" si="65"/>
        <v>17103.320644216688</v>
      </c>
      <c r="P122" s="213">
        <f t="shared" si="65"/>
        <v>17103.320644216688</v>
      </c>
      <c r="Q122" s="213">
        <f t="shared" si="65"/>
        <v>17103.320644216688</v>
      </c>
    </row>
    <row r="123" spans="1:24">
      <c r="A123" s="222" t="s">
        <v>649</v>
      </c>
      <c r="G123" s="16">
        <v>300.8</v>
      </c>
      <c r="H123" s="16">
        <v>300.8</v>
      </c>
      <c r="I123" s="16">
        <v>300.8</v>
      </c>
      <c r="J123" s="16">
        <v>300.8</v>
      </c>
      <c r="K123" s="16">
        <v>300.8</v>
      </c>
      <c r="L123" s="16">
        <v>300.8</v>
      </c>
      <c r="M123" s="16">
        <v>300.8</v>
      </c>
      <c r="N123" s="16">
        <v>300.8</v>
      </c>
      <c r="O123" s="16">
        <v>300.8</v>
      </c>
      <c r="P123" s="16">
        <v>300.8</v>
      </c>
      <c r="Q123" s="16">
        <v>300.8</v>
      </c>
    </row>
    <row r="124" spans="1:24">
      <c r="A124" s="222" t="s">
        <v>650</v>
      </c>
      <c r="G124" s="213">
        <f>G123*G125</f>
        <v>312.4285922017491</v>
      </c>
      <c r="H124" s="213">
        <f t="shared" ref="H124:Q124" si="66">H123*H125</f>
        <v>305.29082808107256</v>
      </c>
      <c r="I124" s="213">
        <f t="shared" si="66"/>
        <v>305.52339163467201</v>
      </c>
      <c r="J124" s="213">
        <f t="shared" si="66"/>
        <v>315.199907787261</v>
      </c>
      <c r="K124" s="213">
        <f t="shared" si="66"/>
        <v>314.5785400543819</v>
      </c>
      <c r="L124" s="213">
        <f t="shared" si="66"/>
        <v>314.5785400543819</v>
      </c>
      <c r="M124" s="213">
        <f t="shared" si="66"/>
        <v>314.5785400543819</v>
      </c>
      <c r="N124" s="213">
        <f t="shared" si="66"/>
        <v>314.5785400543819</v>
      </c>
      <c r="O124" s="213">
        <f t="shared" si="66"/>
        <v>314.5785400543819</v>
      </c>
      <c r="P124" s="213">
        <f t="shared" si="66"/>
        <v>314.5785400543819</v>
      </c>
      <c r="Q124" s="213">
        <f t="shared" si="66"/>
        <v>314.5785400543819</v>
      </c>
    </row>
    <row r="125" spans="1:24">
      <c r="A125" s="222" t="s">
        <v>573</v>
      </c>
      <c r="G125" s="218">
        <f>Sales!G7</f>
        <v>1.0386588836494317</v>
      </c>
      <c r="H125" s="218">
        <f>Sales!H7</f>
        <v>1.0149296146312252</v>
      </c>
      <c r="I125" s="218">
        <f>Sales!I7</f>
        <v>1.0157027647429255</v>
      </c>
      <c r="J125" s="218">
        <f>Sales!J7</f>
        <v>1.0478720338672241</v>
      </c>
      <c r="K125" s="218">
        <f>Sales!K7</f>
        <v>1.0458063166701526</v>
      </c>
      <c r="L125" s="218">
        <f>Sales!L7</f>
        <v>1.0458063166701526</v>
      </c>
      <c r="M125" s="218">
        <f>Sales!M7</f>
        <v>1.0458063166701526</v>
      </c>
      <c r="N125" s="218">
        <f>Sales!N7</f>
        <v>1.0458063166701526</v>
      </c>
      <c r="O125" s="218">
        <f>Sales!O7</f>
        <v>1.0458063166701526</v>
      </c>
      <c r="P125" s="218">
        <f>Sales!P7</f>
        <v>1.0458063166701526</v>
      </c>
      <c r="Q125" s="218">
        <f>Sales!Q7</f>
        <v>1.0458063166701526</v>
      </c>
    </row>
    <row r="126" spans="1:24">
      <c r="A126" s="222" t="s">
        <v>647</v>
      </c>
      <c r="G126" s="16">
        <v>863</v>
      </c>
      <c r="H126" s="16">
        <f>G126</f>
        <v>863</v>
      </c>
      <c r="I126" s="16">
        <f t="shared" ref="I126:Q126" si="67">H126</f>
        <v>863</v>
      </c>
      <c r="J126" s="16">
        <f t="shared" si="67"/>
        <v>863</v>
      </c>
      <c r="K126" s="16">
        <f t="shared" si="67"/>
        <v>863</v>
      </c>
      <c r="L126" s="16">
        <f t="shared" si="67"/>
        <v>863</v>
      </c>
      <c r="M126" s="16">
        <f t="shared" si="67"/>
        <v>863</v>
      </c>
      <c r="N126" s="16">
        <f t="shared" si="67"/>
        <v>863</v>
      </c>
      <c r="O126" s="16">
        <f t="shared" si="67"/>
        <v>863</v>
      </c>
      <c r="P126" s="16">
        <f t="shared" si="67"/>
        <v>863</v>
      </c>
      <c r="Q126" s="16">
        <f t="shared" si="67"/>
        <v>863</v>
      </c>
    </row>
    <row r="127" spans="1:24">
      <c r="A127" s="222" t="s">
        <v>648</v>
      </c>
      <c r="F127" s="217"/>
      <c r="G127" s="217">
        <v>6.3E-2</v>
      </c>
      <c r="H127" s="217">
        <f>G127</f>
        <v>6.3E-2</v>
      </c>
      <c r="I127" s="217">
        <f t="shared" ref="I127:Q127" si="68">H127</f>
        <v>6.3E-2</v>
      </c>
      <c r="J127" s="217">
        <f t="shared" si="68"/>
        <v>6.3E-2</v>
      </c>
      <c r="K127" s="217">
        <f t="shared" si="68"/>
        <v>6.3E-2</v>
      </c>
      <c r="L127" s="217">
        <f t="shared" si="68"/>
        <v>6.3E-2</v>
      </c>
      <c r="M127" s="217">
        <f t="shared" si="68"/>
        <v>6.3E-2</v>
      </c>
      <c r="N127" s="217">
        <f t="shared" si="68"/>
        <v>6.3E-2</v>
      </c>
      <c r="O127" s="217">
        <f t="shared" si="68"/>
        <v>6.3E-2</v>
      </c>
      <c r="P127" s="217">
        <f t="shared" si="68"/>
        <v>6.3E-2</v>
      </c>
      <c r="Q127" s="217">
        <f t="shared" si="68"/>
        <v>6.3E-2</v>
      </c>
    </row>
    <row r="128" spans="1:24" s="40" customFormat="1">
      <c r="A128" s="221" t="s">
        <v>641</v>
      </c>
      <c r="B128" s="216"/>
      <c r="C128" s="216"/>
      <c r="D128" s="216"/>
      <c r="E128" s="216"/>
      <c r="F128" s="216"/>
      <c r="G128" s="216">
        <f>G117+G118+G119+G120-G122-G121</f>
        <v>185721.40987058383</v>
      </c>
      <c r="H128" s="216">
        <f t="shared" ref="H128:Q128" si="69">H117+H118+H119+H120-H122-H121</f>
        <v>184127.48296806088</v>
      </c>
      <c r="I128" s="216">
        <f t="shared" si="69"/>
        <v>183250.87872021523</v>
      </c>
      <c r="J128" s="216">
        <f t="shared" si="69"/>
        <v>170171.41101307972</v>
      </c>
      <c r="K128" s="216">
        <f t="shared" si="69"/>
        <v>163675.81072659951</v>
      </c>
      <c r="L128" s="216">
        <f t="shared" si="69"/>
        <v>156086.66901640626</v>
      </c>
      <c r="M128" s="216">
        <f t="shared" si="69"/>
        <v>147226.97295767805</v>
      </c>
      <c r="N128" s="216">
        <f t="shared" si="69"/>
        <v>137685.07752329626</v>
      </c>
      <c r="O128" s="216">
        <f t="shared" si="69"/>
        <v>128764.25468024597</v>
      </c>
      <c r="P128" s="216">
        <f t="shared" si="69"/>
        <v>118792.14206468452</v>
      </c>
      <c r="Q128" s="216">
        <f t="shared" si="69"/>
        <v>109677.07678443792</v>
      </c>
      <c r="S128"/>
      <c r="T128"/>
      <c r="U128"/>
      <c r="V128"/>
      <c r="W128"/>
      <c r="X128"/>
    </row>
    <row r="130" spans="1:24" s="205" customFormat="1">
      <c r="A130" s="203" t="s">
        <v>607</v>
      </c>
      <c r="B130" s="204">
        <v>2010</v>
      </c>
      <c r="C130" s="204">
        <v>2011</v>
      </c>
      <c r="D130" s="204">
        <v>2012</v>
      </c>
      <c r="E130" s="204">
        <v>2013</v>
      </c>
      <c r="F130" s="204">
        <v>2014</v>
      </c>
      <c r="G130" s="204">
        <v>2015</v>
      </c>
      <c r="H130" s="204">
        <v>2016</v>
      </c>
      <c r="I130" s="204">
        <v>2017</v>
      </c>
      <c r="J130" s="418">
        <v>2018</v>
      </c>
      <c r="K130" s="418">
        <v>2019</v>
      </c>
      <c r="L130" s="418">
        <v>2020</v>
      </c>
      <c r="M130" s="418">
        <f>L130+1</f>
        <v>2021</v>
      </c>
      <c r="N130" s="418">
        <f>M130+1</f>
        <v>2022</v>
      </c>
      <c r="O130" s="418">
        <f>N130+1</f>
        <v>2023</v>
      </c>
      <c r="P130" s="418">
        <f>O130+1</f>
        <v>2024</v>
      </c>
      <c r="Q130" s="418">
        <f>P130+1</f>
        <v>2025</v>
      </c>
      <c r="S130"/>
      <c r="T130"/>
      <c r="U130"/>
      <c r="V130"/>
      <c r="W130"/>
      <c r="X130"/>
    </row>
    <row r="131" spans="1:24">
      <c r="A131" s="24" t="s">
        <v>634</v>
      </c>
      <c r="B131" s="24">
        <f>'P&amp;L'!B50+B43+B44</f>
        <v>14945</v>
      </c>
      <c r="C131" s="24">
        <f>'P&amp;L'!C50+C43+C44</f>
        <v>21697</v>
      </c>
      <c r="D131" s="24">
        <f>'P&amp;L'!D50+D43+D44</f>
        <v>19762</v>
      </c>
      <c r="E131" s="24">
        <f>'P&amp;L'!E50+E43+E44</f>
        <v>18612</v>
      </c>
      <c r="F131" s="24">
        <f>'P&amp;L'!F50+F43+F44</f>
        <v>19155</v>
      </c>
      <c r="G131" s="24">
        <f>'P&amp;L'!G50+G43+G44</f>
        <v>19261</v>
      </c>
      <c r="H131" s="24">
        <f>'P&amp;L'!H50+H43+H44</f>
        <v>19030</v>
      </c>
      <c r="I131" s="24">
        <f>'P&amp;L'!I50+I43+I44</f>
        <v>18926</v>
      </c>
      <c r="J131" s="24">
        <f>'P&amp;L'!J50+J43+J44</f>
        <v>20572.971627505103</v>
      </c>
      <c r="K131" s="24">
        <f>'P&amp;L'!K50+K43+K44</f>
        <v>21230.226498827171</v>
      </c>
      <c r="L131" s="24">
        <f>'P&amp;L'!L50+L43+L44</f>
        <v>22575.250447484224</v>
      </c>
      <c r="M131" s="24">
        <f>'P&amp;L'!M50+M43+M44</f>
        <v>23758.782596004177</v>
      </c>
      <c r="N131" s="24">
        <f>'P&amp;L'!N50+N43+N44</f>
        <v>24932.389353997896</v>
      </c>
      <c r="O131" s="24">
        <f>'P&amp;L'!O50+O43+O44</f>
        <v>24836.5196454447</v>
      </c>
      <c r="P131" s="24">
        <f>'P&amp;L'!P50+P43+P44</f>
        <v>25381.400514792706</v>
      </c>
      <c r="Q131" s="24">
        <f>'P&amp;L'!Q50+Q43+Q44</f>
        <v>25718.93305338304</v>
      </c>
      <c r="R131" s="17"/>
    </row>
    <row r="132" spans="1:24">
      <c r="A132" s="24" t="s">
        <v>635</v>
      </c>
      <c r="B132" s="19">
        <f>'P&amp;L'!B120</f>
        <v>0.14890874720742395</v>
      </c>
      <c r="C132" s="19">
        <f>'P&amp;L'!C120</f>
        <v>0.15267890595728736</v>
      </c>
      <c r="D132" s="19">
        <f>'P&amp;L'!D120</f>
        <v>0.14894768897611152</v>
      </c>
      <c r="E132" s="19">
        <f>'P&amp;L'!E120</f>
        <v>0.14375567824446153</v>
      </c>
      <c r="F132" s="19">
        <f>'P&amp;L'!F120</f>
        <v>0.1381189130286726</v>
      </c>
      <c r="G132" s="19">
        <f>'P&amp;L'!G120</f>
        <v>0.1455435708203236</v>
      </c>
      <c r="H132" s="19">
        <f>'P&amp;L'!H120</f>
        <v>0.15028163725122043</v>
      </c>
      <c r="I132" s="19">
        <f>'P&amp;L'!I120</f>
        <v>0.15290792800832961</v>
      </c>
      <c r="J132" s="19">
        <f>'P&amp;L'!J120</f>
        <v>0.16</v>
      </c>
      <c r="K132" s="19">
        <f>'P&amp;L'!K120</f>
        <v>0.16</v>
      </c>
      <c r="L132" s="19">
        <f>'P&amp;L'!L120</f>
        <v>0.16</v>
      </c>
      <c r="M132" s="19">
        <f>'P&amp;L'!M120</f>
        <v>0.16</v>
      </c>
      <c r="N132" s="19">
        <f>'P&amp;L'!N120</f>
        <v>0.16</v>
      </c>
      <c r="O132" s="19">
        <f>'P&amp;L'!O120</f>
        <v>0.16</v>
      </c>
      <c r="P132" s="19">
        <f>'P&amp;L'!P120</f>
        <v>0.16</v>
      </c>
      <c r="Q132" s="19">
        <f>'P&amp;L'!Q120</f>
        <v>0.16</v>
      </c>
      <c r="R132" s="17"/>
    </row>
    <row r="133" spans="1:24">
      <c r="A133" s="24" t="s">
        <v>583</v>
      </c>
      <c r="B133" s="24">
        <f>B131*(1-B132)</f>
        <v>12719.558772985049</v>
      </c>
      <c r="C133" s="24">
        <f t="shared" ref="C133:Q133" si="70">C131*(1-C132)</f>
        <v>18384.325777444734</v>
      </c>
      <c r="D133" s="24">
        <f t="shared" si="70"/>
        <v>16818.495770454083</v>
      </c>
      <c r="E133" s="24">
        <f t="shared" si="70"/>
        <v>15936.419316514082</v>
      </c>
      <c r="F133" s="24">
        <f t="shared" si="70"/>
        <v>16509.332220935776</v>
      </c>
      <c r="G133" s="24">
        <f t="shared" si="70"/>
        <v>16457.685282429746</v>
      </c>
      <c r="H133" s="24">
        <f t="shared" si="70"/>
        <v>16170.140443109274</v>
      </c>
      <c r="I133" s="24">
        <f t="shared" si="70"/>
        <v>16032.064554514352</v>
      </c>
      <c r="J133" s="24">
        <f t="shared" si="70"/>
        <v>17281.296167104287</v>
      </c>
      <c r="K133" s="24">
        <f t="shared" si="70"/>
        <v>17833.390259014825</v>
      </c>
      <c r="L133" s="24">
        <f t="shared" si="70"/>
        <v>18963.210375886749</v>
      </c>
      <c r="M133" s="24">
        <f t="shared" si="70"/>
        <v>19957.377380643509</v>
      </c>
      <c r="N133" s="24">
        <f t="shared" si="70"/>
        <v>20943.207057358231</v>
      </c>
      <c r="O133" s="24">
        <f t="shared" si="70"/>
        <v>20862.676502173548</v>
      </c>
      <c r="P133" s="24">
        <f t="shared" si="70"/>
        <v>21320.376432425874</v>
      </c>
      <c r="Q133" s="24">
        <f t="shared" si="70"/>
        <v>21603.903764841754</v>
      </c>
      <c r="R133" s="17"/>
    </row>
    <row r="134" spans="1:24">
      <c r="A134" s="24"/>
      <c r="B134" s="24"/>
      <c r="C134" s="24"/>
      <c r="D134" s="24"/>
      <c r="E134" s="24"/>
      <c r="F134" s="24"/>
      <c r="G134" s="24"/>
      <c r="H134" s="24"/>
      <c r="I134" s="24"/>
      <c r="J134" s="24"/>
      <c r="K134" s="24"/>
      <c r="L134" s="24"/>
      <c r="M134" s="24"/>
      <c r="N134" s="24"/>
      <c r="O134" s="24"/>
      <c r="P134" s="24"/>
      <c r="Q134" s="24"/>
      <c r="R134" s="17"/>
    </row>
    <row r="135" spans="1:24">
      <c r="A135" s="24" t="s">
        <v>652</v>
      </c>
      <c r="B135" s="668">
        <f t="shared" ref="B135:Q135" si="71">B10+B12-B20</f>
        <v>11178</v>
      </c>
      <c r="C135" s="668">
        <f t="shared" si="71"/>
        <v>11264</v>
      </c>
      <c r="D135" s="668">
        <f t="shared" si="71"/>
        <v>11202</v>
      </c>
      <c r="E135" s="668">
        <f t="shared" si="71"/>
        <v>11021</v>
      </c>
      <c r="F135" s="668">
        <f t="shared" si="71"/>
        <v>8949</v>
      </c>
      <c r="G135" s="668">
        <f t="shared" si="71"/>
        <v>8738</v>
      </c>
      <c r="H135" s="668">
        <f t="shared" si="71"/>
        <v>9584</v>
      </c>
      <c r="I135" s="668">
        <f t="shared" si="71"/>
        <v>10298</v>
      </c>
      <c r="J135" s="668">
        <f t="shared" si="71"/>
        <v>10958.305917649213</v>
      </c>
      <c r="K135" s="668">
        <f t="shared" si="71"/>
        <v>11179.223429014484</v>
      </c>
      <c r="L135" s="668">
        <f t="shared" si="71"/>
        <v>11529.916449332213</v>
      </c>
      <c r="M135" s="668">
        <f t="shared" si="71"/>
        <v>11953.77392143106</v>
      </c>
      <c r="N135" s="668">
        <f t="shared" si="71"/>
        <v>12205.733519683989</v>
      </c>
      <c r="O135" s="668">
        <f t="shared" si="71"/>
        <v>12094.257565780877</v>
      </c>
      <c r="P135" s="668">
        <f t="shared" si="71"/>
        <v>12249.848751601972</v>
      </c>
      <c r="Q135" s="668">
        <f t="shared" si="71"/>
        <v>12383.943599333161</v>
      </c>
      <c r="R135" s="17"/>
    </row>
    <row r="136" spans="1:24">
      <c r="A136" s="24" t="s">
        <v>653</v>
      </c>
      <c r="B136" s="24"/>
      <c r="C136" s="24">
        <f>C135-B135</f>
        <v>86</v>
      </c>
      <c r="D136" s="24">
        <f>D135-C135</f>
        <v>-62</v>
      </c>
      <c r="E136" s="24">
        <f>E135-D135</f>
        <v>-181</v>
      </c>
      <c r="F136" s="24">
        <f>F135-E135</f>
        <v>-2072</v>
      </c>
      <c r="G136" s="24">
        <f t="shared" ref="G136:Q136" si="72">G135-F135</f>
        <v>-211</v>
      </c>
      <c r="H136" s="24">
        <f t="shared" si="72"/>
        <v>846</v>
      </c>
      <c r="I136" s="24">
        <f t="shared" si="72"/>
        <v>714</v>
      </c>
      <c r="J136" s="24">
        <f t="shared" si="72"/>
        <v>660.30591764921337</v>
      </c>
      <c r="K136" s="24">
        <f t="shared" si="72"/>
        <v>220.91751136527091</v>
      </c>
      <c r="L136" s="24">
        <f t="shared" si="72"/>
        <v>350.69302031772895</v>
      </c>
      <c r="M136" s="24">
        <f t="shared" si="72"/>
        <v>423.85747209884721</v>
      </c>
      <c r="N136" s="24">
        <f t="shared" si="72"/>
        <v>251.95959825292812</v>
      </c>
      <c r="O136" s="24">
        <f t="shared" si="72"/>
        <v>-111.47595390311108</v>
      </c>
      <c r="P136" s="24">
        <f t="shared" si="72"/>
        <v>155.59118582109477</v>
      </c>
      <c r="Q136" s="24">
        <f t="shared" si="72"/>
        <v>134.09484773118857</v>
      </c>
      <c r="R136" s="17"/>
    </row>
    <row r="137" spans="1:24">
      <c r="A137" s="24"/>
      <c r="B137" s="24"/>
      <c r="C137" s="24"/>
      <c r="D137" s="24"/>
      <c r="E137" s="24"/>
      <c r="F137" s="24"/>
      <c r="G137" s="24"/>
      <c r="H137" s="24"/>
      <c r="I137" s="24"/>
      <c r="J137" s="24"/>
      <c r="K137" s="24"/>
      <c r="L137" s="24"/>
      <c r="M137" s="24"/>
      <c r="N137" s="24"/>
      <c r="O137" s="24"/>
      <c r="P137" s="24"/>
      <c r="Q137" s="24"/>
      <c r="R137" s="17"/>
    </row>
    <row r="138" spans="1:24">
      <c r="A138" s="24" t="s">
        <v>613</v>
      </c>
      <c r="B138" s="24">
        <f t="shared" ref="B138:Q138" si="73">B72+B69</f>
        <v>-2232</v>
      </c>
      <c r="C138" s="24">
        <f t="shared" si="73"/>
        <v>-2387</v>
      </c>
      <c r="D138" s="24">
        <f t="shared" si="73"/>
        <v>-3068</v>
      </c>
      <c r="E138" s="24">
        <f t="shared" si="73"/>
        <v>-3378</v>
      </c>
      <c r="F138" s="24">
        <f t="shared" si="73"/>
        <v>-3404</v>
      </c>
      <c r="G138" s="24">
        <f t="shared" si="73"/>
        <v>-3505</v>
      </c>
      <c r="H138" s="24">
        <f t="shared" si="73"/>
        <v>-2879</v>
      </c>
      <c r="I138" s="24">
        <f t="shared" si="73"/>
        <v>-2746</v>
      </c>
      <c r="J138" s="24">
        <f t="shared" si="73"/>
        <v>-2351.603713239715</v>
      </c>
      <c r="K138" s="24">
        <f t="shared" si="73"/>
        <v>-1999.1763572130722</v>
      </c>
      <c r="L138" s="24">
        <f t="shared" si="73"/>
        <v>-1649.512527413835</v>
      </c>
      <c r="M138" s="24">
        <f t="shared" si="73"/>
        <v>-1710.1511463611125</v>
      </c>
      <c r="N138" s="24">
        <f t="shared" si="73"/>
        <v>-1746.1974191634131</v>
      </c>
      <c r="O138" s="24">
        <f t="shared" si="73"/>
        <v>-1730.24925654865</v>
      </c>
      <c r="P138" s="24">
        <f t="shared" si="73"/>
        <v>-1752.5087075424974</v>
      </c>
      <c r="Q138" s="24">
        <f t="shared" si="73"/>
        <v>-1771.6928128364314</v>
      </c>
      <c r="R138" s="17"/>
    </row>
    <row r="139" spans="1:24">
      <c r="A139" s="24" t="s">
        <v>258</v>
      </c>
      <c r="B139" s="19">
        <f>B138/'P&amp;L'!B$3</f>
        <v>-4.40897597977244E-2</v>
      </c>
      <c r="C139" s="19">
        <f>C138/'P&amp;L'!C$3</f>
        <v>-4.0757436055049001E-2</v>
      </c>
      <c r="D139" s="19">
        <f>D138/'P&amp;L'!D$3</f>
        <v>-5.4135126074144654E-2</v>
      </c>
      <c r="E139" s="19">
        <f>E138/'P&amp;L'!E$3</f>
        <v>-6.5125604889240199E-2</v>
      </c>
      <c r="F139" s="19">
        <f>F138/'P&amp;L'!F$3</f>
        <v>-6.5235722499041776E-2</v>
      </c>
      <c r="G139" s="19">
        <f>G138/'P&amp;L'!G$3</f>
        <v>-7.093131501193993E-2</v>
      </c>
      <c r="H139" s="19">
        <f>H138/'P&amp;L'!H$3</f>
        <v>-5.933880209406818E-2</v>
      </c>
      <c r="I139" s="19">
        <f>I138/'P&amp;L'!I$3</f>
        <v>-5.5916430796798956E-2</v>
      </c>
      <c r="J139" s="19">
        <f>J138/'P&amp;L'!J$3</f>
        <v>-4.4999999999999998E-2</v>
      </c>
      <c r="K139" s="19">
        <f>K138/'P&amp;L'!K$3</f>
        <v>-3.7500000000000006E-2</v>
      </c>
      <c r="L139" s="195">
        <f>L138/'P&amp;L'!L$3</f>
        <v>-3.0000000000000002E-2</v>
      </c>
      <c r="M139" s="19">
        <f>M138/'P&amp;L'!M$3</f>
        <v>-0.03</v>
      </c>
      <c r="N139" s="19">
        <f>N138/'P&amp;L'!N$3</f>
        <v>-0.03</v>
      </c>
      <c r="O139" s="19">
        <f>O138/'P&amp;L'!O$3</f>
        <v>-3.0000000000000006E-2</v>
      </c>
      <c r="P139" s="19">
        <f>P138/'P&amp;L'!P$3</f>
        <v>-0.03</v>
      </c>
      <c r="Q139" s="19">
        <f>Q138/'P&amp;L'!Q$3</f>
        <v>-0.03</v>
      </c>
      <c r="R139" s="17"/>
    </row>
    <row r="140" spans="1:24">
      <c r="A140" s="24" t="s">
        <v>617</v>
      </c>
      <c r="B140" s="24"/>
      <c r="C140" s="24"/>
      <c r="D140" s="24"/>
      <c r="E140" s="24"/>
      <c r="F140" s="24"/>
      <c r="G140" s="24">
        <v>22</v>
      </c>
      <c r="H140" s="24">
        <v>22</v>
      </c>
      <c r="I140" s="206">
        <f>H140</f>
        <v>22</v>
      </c>
      <c r="J140" s="206">
        <f t="shared" ref="J140:Q140" si="74">I140</f>
        <v>22</v>
      </c>
      <c r="K140" s="206">
        <f t="shared" si="74"/>
        <v>22</v>
      </c>
      <c r="L140" s="206">
        <f t="shared" si="74"/>
        <v>22</v>
      </c>
      <c r="M140" s="206">
        <f t="shared" si="74"/>
        <v>22</v>
      </c>
      <c r="N140" s="206">
        <f t="shared" si="74"/>
        <v>22</v>
      </c>
      <c r="O140" s="206">
        <f t="shared" si="74"/>
        <v>22</v>
      </c>
      <c r="P140" s="206">
        <f t="shared" si="74"/>
        <v>22</v>
      </c>
      <c r="Q140" s="206">
        <f t="shared" si="74"/>
        <v>22</v>
      </c>
      <c r="R140" s="17"/>
    </row>
    <row r="141" spans="1:24">
      <c r="A141" s="24" t="s">
        <v>615</v>
      </c>
      <c r="B141" s="24"/>
      <c r="C141" s="24"/>
      <c r="D141" s="24"/>
      <c r="E141" s="24"/>
      <c r="F141" s="24"/>
      <c r="G141" s="24"/>
      <c r="H141" s="24"/>
      <c r="I141" s="24"/>
      <c r="J141" s="24"/>
      <c r="K141" s="24"/>
      <c r="L141" s="24"/>
      <c r="M141" s="24"/>
      <c r="N141" s="24"/>
      <c r="O141" s="24"/>
      <c r="P141" s="24"/>
      <c r="Q141" s="24"/>
      <c r="R141" s="17"/>
    </row>
    <row r="142" spans="1:24" s="40" customFormat="1">
      <c r="A142" s="225" t="s">
        <v>607</v>
      </c>
      <c r="B142" s="225">
        <f t="shared" ref="B142:Q142" si="75">B133+B136+B138</f>
        <v>10487.558772985049</v>
      </c>
      <c r="C142" s="225">
        <f t="shared" si="75"/>
        <v>16083.325777444734</v>
      </c>
      <c r="D142" s="225">
        <f t="shared" si="75"/>
        <v>13688.495770454083</v>
      </c>
      <c r="E142" s="225">
        <f t="shared" si="75"/>
        <v>12377.419316514082</v>
      </c>
      <c r="F142" s="225">
        <f t="shared" si="75"/>
        <v>11033.332220935776</v>
      </c>
      <c r="G142" s="225">
        <f>G133+G136+G138</f>
        <v>12741.685282429746</v>
      </c>
      <c r="H142" s="225">
        <f t="shared" si="75"/>
        <v>14137.140443109274</v>
      </c>
      <c r="I142" s="225">
        <f t="shared" si="75"/>
        <v>14000.064554514352</v>
      </c>
      <c r="J142" s="225">
        <f t="shared" si="75"/>
        <v>15589.998371513786</v>
      </c>
      <c r="K142" s="225">
        <f t="shared" si="75"/>
        <v>16055.131413167022</v>
      </c>
      <c r="L142" s="225">
        <f t="shared" si="75"/>
        <v>17664.390868790644</v>
      </c>
      <c r="M142" s="225">
        <f t="shared" si="75"/>
        <v>18671.083706381243</v>
      </c>
      <c r="N142" s="225">
        <f t="shared" si="75"/>
        <v>19448.969236447745</v>
      </c>
      <c r="O142" s="225">
        <f t="shared" si="75"/>
        <v>19020.951291721787</v>
      </c>
      <c r="P142" s="225">
        <f t="shared" si="75"/>
        <v>19723.458910704474</v>
      </c>
      <c r="Q142" s="225">
        <f t="shared" si="75"/>
        <v>19966.30579973651</v>
      </c>
      <c r="R142" s="194"/>
      <c r="S142"/>
      <c r="T142"/>
      <c r="U142"/>
      <c r="V142"/>
      <c r="W142"/>
      <c r="X142"/>
    </row>
    <row r="143" spans="1:24" s="40" customFormat="1">
      <c r="A143" s="192"/>
      <c r="B143" s="192"/>
      <c r="C143" s="192"/>
      <c r="D143" s="192"/>
      <c r="E143" s="192"/>
      <c r="F143" s="192"/>
      <c r="G143" s="192"/>
      <c r="H143" s="192"/>
      <c r="I143" s="192"/>
      <c r="J143" s="192"/>
      <c r="K143" s="192"/>
      <c r="L143" s="192"/>
      <c r="M143" s="192"/>
      <c r="N143" s="192"/>
      <c r="O143" s="192"/>
      <c r="P143" s="192"/>
      <c r="Q143" s="192"/>
      <c r="R143" s="194"/>
      <c r="S143"/>
      <c r="T143"/>
      <c r="U143"/>
      <c r="V143"/>
      <c r="W143"/>
      <c r="X143"/>
    </row>
    <row r="144" spans="1:24" s="205" customFormat="1">
      <c r="A144" s="203" t="s">
        <v>636</v>
      </c>
      <c r="B144" s="204">
        <v>2010</v>
      </c>
      <c r="C144" s="204">
        <v>2011</v>
      </c>
      <c r="D144" s="204">
        <v>2012</v>
      </c>
      <c r="E144" s="204">
        <v>2013</v>
      </c>
      <c r="F144" s="204">
        <v>2014</v>
      </c>
      <c r="G144" s="204">
        <v>2015</v>
      </c>
      <c r="H144" s="204">
        <v>2016</v>
      </c>
      <c r="I144" s="204">
        <v>2017</v>
      </c>
      <c r="J144" s="418">
        <v>2018</v>
      </c>
      <c r="K144" s="418">
        <v>2019</v>
      </c>
      <c r="L144" s="418">
        <v>2020</v>
      </c>
      <c r="M144" s="418">
        <f>L144+1</f>
        <v>2021</v>
      </c>
      <c r="N144" s="418">
        <f>M144+1</f>
        <v>2022</v>
      </c>
      <c r="O144" s="418">
        <f>N144+1</f>
        <v>2023</v>
      </c>
      <c r="P144" s="418">
        <f>O144+1</f>
        <v>2024</v>
      </c>
      <c r="Q144" s="418">
        <f>P144+1</f>
        <v>2025</v>
      </c>
      <c r="S144"/>
      <c r="T144"/>
      <c r="U144"/>
      <c r="V144"/>
      <c r="W144"/>
      <c r="X144"/>
    </row>
    <row r="145" spans="1:17">
      <c r="A145" s="24" t="s">
        <v>608</v>
      </c>
      <c r="B145" s="49">
        <f t="shared" ref="B145:I145" si="76">-B84</f>
        <v>311</v>
      </c>
      <c r="C145" s="49">
        <f t="shared" si="76"/>
        <v>3628</v>
      </c>
      <c r="D145" s="49">
        <f t="shared" si="76"/>
        <v>505</v>
      </c>
      <c r="E145" s="49">
        <f t="shared" si="76"/>
        <v>2930</v>
      </c>
      <c r="F145" s="49">
        <f t="shared" si="76"/>
        <v>6915</v>
      </c>
      <c r="G145" s="49">
        <f t="shared" si="76"/>
        <v>6071</v>
      </c>
      <c r="H145" s="24">
        <f t="shared" si="76"/>
        <v>1109</v>
      </c>
      <c r="I145" s="24">
        <f t="shared" si="76"/>
        <v>5490</v>
      </c>
      <c r="J145" s="206">
        <v>1500</v>
      </c>
      <c r="K145" s="206">
        <f>J145</f>
        <v>1500</v>
      </c>
      <c r="L145" s="206">
        <f t="shared" ref="L145:Q145" si="77">K145</f>
        <v>1500</v>
      </c>
      <c r="M145" s="206">
        <f t="shared" si="77"/>
        <v>1500</v>
      </c>
      <c r="N145" s="206">
        <f t="shared" si="77"/>
        <v>1500</v>
      </c>
      <c r="O145" s="206">
        <f t="shared" si="77"/>
        <v>1500</v>
      </c>
      <c r="P145" s="206">
        <f t="shared" si="77"/>
        <v>1500</v>
      </c>
      <c r="Q145" s="206">
        <f t="shared" si="77"/>
        <v>1500</v>
      </c>
    </row>
    <row r="146" spans="1:17">
      <c r="A146" s="24" t="s">
        <v>609</v>
      </c>
      <c r="B146" s="189">
        <f t="shared" ref="B146:Q146" si="78">B145/B142</f>
        <v>2.9654184232188175E-2</v>
      </c>
      <c r="C146" s="189">
        <f t="shared" si="78"/>
        <v>0.22557523550806324</v>
      </c>
      <c r="D146" s="189">
        <f t="shared" si="78"/>
        <v>3.6892293241600489E-2</v>
      </c>
      <c r="E146" s="189">
        <f t="shared" si="78"/>
        <v>0.2367213976576493</v>
      </c>
      <c r="F146" s="189">
        <f t="shared" si="78"/>
        <v>0.62673722330945225</v>
      </c>
      <c r="G146" s="189">
        <f t="shared" si="78"/>
        <v>0.47646758379534432</v>
      </c>
      <c r="H146" s="189">
        <f t="shared" si="78"/>
        <v>7.8445850096972677E-2</v>
      </c>
      <c r="I146" s="189">
        <f t="shared" si="78"/>
        <v>0.39214104896607332</v>
      </c>
      <c r="J146" s="189">
        <f t="shared" si="78"/>
        <v>9.6215532821402744E-2</v>
      </c>
      <c r="K146" s="189">
        <f t="shared" si="78"/>
        <v>9.3428073641915535E-2</v>
      </c>
      <c r="L146" s="189">
        <f t="shared" si="78"/>
        <v>8.4916599227329845E-2</v>
      </c>
      <c r="M146" s="189">
        <f t="shared" si="78"/>
        <v>8.033813267557377E-2</v>
      </c>
      <c r="N146" s="189">
        <f t="shared" si="78"/>
        <v>7.7124909899542182E-2</v>
      </c>
      <c r="O146" s="189">
        <f t="shared" si="78"/>
        <v>7.8860409082316674E-2</v>
      </c>
      <c r="P146" s="189">
        <f t="shared" si="78"/>
        <v>7.6051569189312329E-2</v>
      </c>
      <c r="Q146" s="189">
        <f t="shared" si="78"/>
        <v>7.5126566478802254E-2</v>
      </c>
    </row>
    <row r="147" spans="1:17">
      <c r="A147" s="24" t="s">
        <v>610</v>
      </c>
      <c r="B147" s="202">
        <f>B145/B149</f>
        <v>37.023809523809526</v>
      </c>
      <c r="C147" s="202">
        <f>C145/C149</f>
        <v>66.325411334552101</v>
      </c>
      <c r="D147" s="202">
        <v>57</v>
      </c>
      <c r="E147" s="202">
        <v>73</v>
      </c>
      <c r="F147" s="202">
        <f>E147*(1+F148)</f>
        <v>73</v>
      </c>
      <c r="G147" s="202">
        <f>G145/G149</f>
        <v>95.45597484276729</v>
      </c>
      <c r="H147" s="24">
        <f>H145/H149</f>
        <v>85.968992248062008</v>
      </c>
      <c r="I147" s="24">
        <v>70</v>
      </c>
      <c r="J147" s="24">
        <v>75</v>
      </c>
      <c r="K147" s="24">
        <f t="shared" ref="K147:Q147" si="79">J147</f>
        <v>75</v>
      </c>
      <c r="L147" s="24">
        <f t="shared" si="79"/>
        <v>75</v>
      </c>
      <c r="M147" s="24">
        <f t="shared" si="79"/>
        <v>75</v>
      </c>
      <c r="N147" s="24">
        <f t="shared" si="79"/>
        <v>75</v>
      </c>
      <c r="O147" s="24">
        <f t="shared" si="79"/>
        <v>75</v>
      </c>
      <c r="P147" s="24">
        <f t="shared" si="79"/>
        <v>75</v>
      </c>
      <c r="Q147" s="24">
        <f t="shared" si="79"/>
        <v>75</v>
      </c>
    </row>
    <row r="148" spans="1:17">
      <c r="A148" s="24" t="s">
        <v>611</v>
      </c>
      <c r="B148" s="49"/>
      <c r="C148" s="24"/>
      <c r="D148" s="24"/>
      <c r="E148" s="24"/>
      <c r="F148" s="24"/>
      <c r="G148" s="24"/>
      <c r="H148" s="24"/>
      <c r="I148" s="24"/>
      <c r="J148" s="24"/>
      <c r="K148" s="24"/>
      <c r="L148" s="24"/>
      <c r="M148" s="24"/>
      <c r="N148" s="24"/>
      <c r="O148" s="24"/>
      <c r="P148" s="24"/>
      <c r="Q148" s="24"/>
    </row>
    <row r="149" spans="1:17">
      <c r="A149" s="24" t="s">
        <v>612</v>
      </c>
      <c r="B149" s="24">
        <v>8.4</v>
      </c>
      <c r="C149" s="24">
        <v>54.7</v>
      </c>
      <c r="D149" s="24">
        <f t="shared" ref="D149:P149" si="80">D145/D147</f>
        <v>8.8596491228070171</v>
      </c>
      <c r="E149" s="24">
        <f t="shared" si="80"/>
        <v>40.136986301369866</v>
      </c>
      <c r="F149" s="24">
        <f t="shared" si="80"/>
        <v>94.726027397260268</v>
      </c>
      <c r="G149" s="24">
        <f>-G154</f>
        <v>63.6</v>
      </c>
      <c r="H149" s="24">
        <f>-H154</f>
        <v>12.9</v>
      </c>
      <c r="I149" s="24">
        <f t="shared" si="80"/>
        <v>78.428571428571431</v>
      </c>
      <c r="J149" s="24">
        <f t="shared" si="80"/>
        <v>20</v>
      </c>
      <c r="K149" s="24">
        <f t="shared" si="80"/>
        <v>20</v>
      </c>
      <c r="L149" s="24">
        <f t="shared" si="80"/>
        <v>20</v>
      </c>
      <c r="M149" s="24">
        <f t="shared" si="80"/>
        <v>20</v>
      </c>
      <c r="N149" s="24">
        <f t="shared" si="80"/>
        <v>20</v>
      </c>
      <c r="O149" s="24">
        <f t="shared" si="80"/>
        <v>20</v>
      </c>
      <c r="P149" s="24">
        <f t="shared" si="80"/>
        <v>20</v>
      </c>
      <c r="Q149" s="24">
        <f>Q145/Q147</f>
        <v>20</v>
      </c>
    </row>
    <row r="150" spans="1:17">
      <c r="A150" s="24"/>
      <c r="B150" s="49"/>
      <c r="C150" s="24"/>
      <c r="D150" s="24"/>
      <c r="E150" s="24"/>
      <c r="F150" s="24"/>
      <c r="G150" s="24"/>
      <c r="H150" s="24"/>
      <c r="I150" s="24"/>
      <c r="J150" s="24"/>
      <c r="K150" s="24"/>
      <c r="L150" s="24"/>
      <c r="M150" s="24"/>
      <c r="N150" s="24"/>
      <c r="O150" s="24"/>
      <c r="P150" s="24"/>
      <c r="Q150" s="24"/>
    </row>
    <row r="151" spans="1:17">
      <c r="A151" s="24" t="s">
        <v>598</v>
      </c>
      <c r="B151" s="49">
        <v>2274</v>
      </c>
      <c r="C151" s="24">
        <f t="shared" ref="C151:Q151" si="81">B155</f>
        <v>2289.4451779999999</v>
      </c>
      <c r="D151" s="24">
        <f t="shared" si="81"/>
        <v>2406.6938570000002</v>
      </c>
      <c r="E151" s="24">
        <f t="shared" si="81"/>
        <v>2421</v>
      </c>
      <c r="F151" s="24">
        <f t="shared" si="81"/>
        <v>2426</v>
      </c>
      <c r="G151" s="24">
        <f>F155</f>
        <v>2398.6</v>
      </c>
      <c r="H151" s="24">
        <f t="shared" si="81"/>
        <v>2373.9</v>
      </c>
      <c r="I151" s="24">
        <f t="shared" si="81"/>
        <v>2374.1</v>
      </c>
      <c r="J151" s="24">
        <f t="shared" si="81"/>
        <v>2317.5</v>
      </c>
      <c r="K151" s="24">
        <f t="shared" si="81"/>
        <v>2309.52</v>
      </c>
      <c r="L151" s="24">
        <f t="shared" si="81"/>
        <v>2300.5740000000001</v>
      </c>
      <c r="M151" s="24">
        <f t="shared" si="81"/>
        <v>2290.9518000000003</v>
      </c>
      <c r="N151" s="24">
        <f t="shared" si="81"/>
        <v>2280.8562600000005</v>
      </c>
      <c r="O151" s="24">
        <f t="shared" si="81"/>
        <v>2270.4293820000007</v>
      </c>
      <c r="P151" s="24">
        <f t="shared" si="81"/>
        <v>2259.7705674000008</v>
      </c>
      <c r="Q151" s="24">
        <f t="shared" si="81"/>
        <v>2248.9493971800011</v>
      </c>
    </row>
    <row r="152" spans="1:17">
      <c r="A152" s="24" t="s">
        <v>599</v>
      </c>
      <c r="B152" s="49"/>
      <c r="C152" s="24">
        <v>108</v>
      </c>
      <c r="D152" s="24">
        <v>10.6</v>
      </c>
      <c r="E152" s="24">
        <v>11.5</v>
      </c>
      <c r="F152" s="24">
        <v>10.3</v>
      </c>
      <c r="G152" s="24">
        <v>11.9</v>
      </c>
      <c r="H152" s="24">
        <v>9</v>
      </c>
      <c r="I152" s="24">
        <v>8.8000000000000007</v>
      </c>
      <c r="J152" s="206">
        <f t="shared" ref="J152:Q152" si="82">I152</f>
        <v>8.8000000000000007</v>
      </c>
      <c r="K152" s="206">
        <f t="shared" si="82"/>
        <v>8.8000000000000007</v>
      </c>
      <c r="L152" s="206">
        <f t="shared" si="82"/>
        <v>8.8000000000000007</v>
      </c>
      <c r="M152" s="206">
        <f t="shared" si="82"/>
        <v>8.8000000000000007</v>
      </c>
      <c r="N152" s="206">
        <f t="shared" si="82"/>
        <v>8.8000000000000007</v>
      </c>
      <c r="O152" s="206">
        <f t="shared" si="82"/>
        <v>8.8000000000000007</v>
      </c>
      <c r="P152" s="206">
        <f t="shared" si="82"/>
        <v>8.8000000000000007</v>
      </c>
      <c r="Q152" s="206">
        <f t="shared" si="82"/>
        <v>8.8000000000000007</v>
      </c>
    </row>
    <row r="153" spans="1:17">
      <c r="A153" s="24" t="s">
        <v>600</v>
      </c>
      <c r="B153" s="49"/>
      <c r="C153" s="24"/>
      <c r="D153" s="24">
        <v>12</v>
      </c>
      <c r="E153" s="24">
        <v>34.299999999999997</v>
      </c>
      <c r="F153" s="24">
        <v>41.4</v>
      </c>
      <c r="G153" s="24">
        <v>27</v>
      </c>
      <c r="H153" s="24">
        <v>4.0999999999999996</v>
      </c>
      <c r="I153" s="24">
        <v>4.5999999999999996</v>
      </c>
      <c r="J153" s="206">
        <f t="shared" ref="J153:Q153" si="83">I153*0.7</f>
        <v>3.2199999999999998</v>
      </c>
      <c r="K153" s="206">
        <f t="shared" si="83"/>
        <v>2.2539999999999996</v>
      </c>
      <c r="L153" s="206">
        <f t="shared" si="83"/>
        <v>1.5777999999999996</v>
      </c>
      <c r="M153" s="206">
        <f t="shared" si="83"/>
        <v>1.1044599999999998</v>
      </c>
      <c r="N153" s="206">
        <f t="shared" si="83"/>
        <v>0.77312199999999975</v>
      </c>
      <c r="O153" s="206">
        <f t="shared" si="83"/>
        <v>0.54118539999999982</v>
      </c>
      <c r="P153" s="206">
        <f t="shared" si="83"/>
        <v>0.37882977999999984</v>
      </c>
      <c r="Q153" s="206">
        <f t="shared" si="83"/>
        <v>0.26518084599999986</v>
      </c>
    </row>
    <row r="154" spans="1:17">
      <c r="A154" s="24" t="s">
        <v>601</v>
      </c>
      <c r="B154" s="49">
        <v>15.091827</v>
      </c>
      <c r="C154" s="24">
        <v>9.2486789999999992</v>
      </c>
      <c r="D154" s="24">
        <f>-4.8-4</f>
        <v>-8.8000000000000007</v>
      </c>
      <c r="E154" s="24">
        <f>-33.3-4.8-2.2</f>
        <v>-40.299999999999997</v>
      </c>
      <c r="F154" s="24">
        <f>-46.8-27-5.4</f>
        <v>-79.2</v>
      </c>
      <c r="G154" s="24">
        <f>-9.6-49.9-4.1</f>
        <v>-63.6</v>
      </c>
      <c r="H154" s="24">
        <f>-10.3-2.6</f>
        <v>-12.9</v>
      </c>
      <c r="I154" s="24">
        <f>-66.2-3.8</f>
        <v>-70</v>
      </c>
      <c r="J154" s="24">
        <f t="shared" ref="J154:Q154" si="84">-J149</f>
        <v>-20</v>
      </c>
      <c r="K154" s="24">
        <f t="shared" si="84"/>
        <v>-20</v>
      </c>
      <c r="L154" s="24">
        <f t="shared" si="84"/>
        <v>-20</v>
      </c>
      <c r="M154" s="24">
        <f t="shared" si="84"/>
        <v>-20</v>
      </c>
      <c r="N154" s="24">
        <f t="shared" si="84"/>
        <v>-20</v>
      </c>
      <c r="O154" s="24">
        <f t="shared" si="84"/>
        <v>-20</v>
      </c>
      <c r="P154" s="24">
        <f t="shared" si="84"/>
        <v>-20</v>
      </c>
      <c r="Q154" s="24">
        <f t="shared" si="84"/>
        <v>-20</v>
      </c>
    </row>
    <row r="155" spans="1:17">
      <c r="A155" s="24" t="s">
        <v>602</v>
      </c>
      <c r="B155" s="49">
        <f>2289.445178</f>
        <v>2289.4451779999999</v>
      </c>
      <c r="C155" s="24">
        <f>2406.693857</f>
        <v>2406.6938570000002</v>
      </c>
      <c r="D155" s="24">
        <v>2421</v>
      </c>
      <c r="E155" s="24">
        <v>2426</v>
      </c>
      <c r="F155" s="24">
        <v>2398.6</v>
      </c>
      <c r="G155" s="24">
        <f>G151+G152+G153+G154</f>
        <v>2373.9</v>
      </c>
      <c r="H155" s="24">
        <f t="shared" ref="H155:Q155" si="85">H151+H152+H153+H154</f>
        <v>2374.1</v>
      </c>
      <c r="I155" s="24">
        <f t="shared" si="85"/>
        <v>2317.5</v>
      </c>
      <c r="J155" s="24">
        <f t="shared" si="85"/>
        <v>2309.52</v>
      </c>
      <c r="K155" s="24">
        <f t="shared" si="85"/>
        <v>2300.5740000000001</v>
      </c>
      <c r="L155" s="24">
        <f t="shared" si="85"/>
        <v>2290.9518000000003</v>
      </c>
      <c r="M155" s="24">
        <f t="shared" si="85"/>
        <v>2280.8562600000005</v>
      </c>
      <c r="N155" s="24">
        <f t="shared" si="85"/>
        <v>2270.4293820000007</v>
      </c>
      <c r="O155" s="24">
        <f t="shared" si="85"/>
        <v>2259.7705674000008</v>
      </c>
      <c r="P155" s="24">
        <f t="shared" si="85"/>
        <v>2248.9493971800011</v>
      </c>
      <c r="Q155" s="24">
        <f t="shared" si="85"/>
        <v>2238.0145780260013</v>
      </c>
    </row>
    <row r="156" spans="1:17">
      <c r="A156" s="24" t="s">
        <v>603</v>
      </c>
      <c r="B156" s="49">
        <f>B157-AVERAGE(B151,B155)</f>
        <v>3.9774109999998473</v>
      </c>
      <c r="C156" s="24">
        <f>C157-AVERAGE(C151,C155)</f>
        <v>34.430482499999925</v>
      </c>
      <c r="D156" s="24">
        <f>D157-AVERAGE(D151,D155)</f>
        <v>4.1530714999998963</v>
      </c>
      <c r="E156" s="24">
        <f>E157-AVERAGE(E151,E155)</f>
        <v>17.5</v>
      </c>
      <c r="F156" s="24">
        <f>F157-AVERAGE(F151,F155)</f>
        <v>13.699999999999818</v>
      </c>
      <c r="G156" s="24">
        <v>25</v>
      </c>
      <c r="H156" s="24">
        <v>15</v>
      </c>
      <c r="I156" s="24">
        <f>I157-AVERAGE(I151,I155)</f>
        <v>0.1999999999998181</v>
      </c>
      <c r="J156" s="206">
        <f t="shared" ref="J156:Q156" si="86">I156</f>
        <v>0.1999999999998181</v>
      </c>
      <c r="K156" s="206">
        <f t="shared" si="86"/>
        <v>0.1999999999998181</v>
      </c>
      <c r="L156" s="206">
        <f t="shared" si="86"/>
        <v>0.1999999999998181</v>
      </c>
      <c r="M156" s="206">
        <f t="shared" si="86"/>
        <v>0.1999999999998181</v>
      </c>
      <c r="N156" s="206">
        <f t="shared" si="86"/>
        <v>0.1999999999998181</v>
      </c>
      <c r="O156" s="206">
        <f t="shared" si="86"/>
        <v>0.1999999999998181</v>
      </c>
      <c r="P156" s="206">
        <f t="shared" si="86"/>
        <v>0.1999999999998181</v>
      </c>
      <c r="Q156" s="206">
        <f t="shared" si="86"/>
        <v>0.1999999999998181</v>
      </c>
    </row>
    <row r="157" spans="1:17">
      <c r="A157" s="192" t="s">
        <v>616</v>
      </c>
      <c r="B157" s="201">
        <v>2285.6999999999998</v>
      </c>
      <c r="C157" s="192">
        <v>2382.5</v>
      </c>
      <c r="D157" s="192">
        <v>2418</v>
      </c>
      <c r="E157" s="192">
        <v>2441</v>
      </c>
      <c r="F157" s="192">
        <v>2426</v>
      </c>
      <c r="G157" s="192">
        <v>2403</v>
      </c>
      <c r="H157" s="192">
        <v>2378</v>
      </c>
      <c r="I157" s="192">
        <v>2346</v>
      </c>
      <c r="J157" s="192">
        <f t="shared" ref="J157:P157" si="87">(J155+J151)/2+J156</f>
        <v>2313.71</v>
      </c>
      <c r="K157" s="192">
        <f t="shared" si="87"/>
        <v>2305.2469999999998</v>
      </c>
      <c r="L157" s="192">
        <f t="shared" si="87"/>
        <v>2295.9629</v>
      </c>
      <c r="M157" s="192">
        <f t="shared" si="87"/>
        <v>2286.1040300000004</v>
      </c>
      <c r="N157" s="192">
        <f t="shared" si="87"/>
        <v>2275.8428210000002</v>
      </c>
      <c r="O157" s="192">
        <f t="shared" si="87"/>
        <v>2265.2999747000003</v>
      </c>
      <c r="P157" s="192">
        <f t="shared" si="87"/>
        <v>2254.5599822900008</v>
      </c>
      <c r="Q157" s="192">
        <f>(Q155+Q151)/2+Q156</f>
        <v>2243.6819876030013</v>
      </c>
    </row>
    <row r="158" spans="1:17">
      <c r="A158" s="24" t="s">
        <v>604</v>
      </c>
      <c r="B158" s="49"/>
      <c r="C158" s="24">
        <f t="shared" ref="C158:I158" si="88">C159-C157</f>
        <v>30.900000000000091</v>
      </c>
      <c r="D158" s="24">
        <f t="shared" si="88"/>
        <v>27</v>
      </c>
      <c r="E158" s="24">
        <f t="shared" si="88"/>
        <v>38</v>
      </c>
      <c r="F158" s="24">
        <f t="shared" si="88"/>
        <v>44</v>
      </c>
      <c r="G158" s="24">
        <f t="shared" si="88"/>
        <v>35</v>
      </c>
      <c r="H158" s="24">
        <f t="shared" si="88"/>
        <v>22</v>
      </c>
      <c r="I158" s="24">
        <f t="shared" si="88"/>
        <v>25</v>
      </c>
      <c r="J158" s="206">
        <f t="shared" ref="J158:Q158" si="89">I158</f>
        <v>25</v>
      </c>
      <c r="K158" s="206">
        <f t="shared" si="89"/>
        <v>25</v>
      </c>
      <c r="L158" s="206">
        <f t="shared" si="89"/>
        <v>25</v>
      </c>
      <c r="M158" s="206">
        <f t="shared" si="89"/>
        <v>25</v>
      </c>
      <c r="N158" s="206">
        <f t="shared" si="89"/>
        <v>25</v>
      </c>
      <c r="O158" s="206">
        <f t="shared" si="89"/>
        <v>25</v>
      </c>
      <c r="P158" s="206">
        <f t="shared" si="89"/>
        <v>25</v>
      </c>
      <c r="Q158" s="206">
        <f t="shared" si="89"/>
        <v>25</v>
      </c>
    </row>
    <row r="159" spans="1:17">
      <c r="A159" s="192" t="s">
        <v>605</v>
      </c>
      <c r="B159" s="201">
        <v>2300.8000000000002</v>
      </c>
      <c r="C159" s="192">
        <v>2413.4</v>
      </c>
      <c r="D159" s="192">
        <v>2445</v>
      </c>
      <c r="E159" s="192">
        <v>2479</v>
      </c>
      <c r="F159" s="192">
        <v>2470</v>
      </c>
      <c r="G159" s="192">
        <v>2438</v>
      </c>
      <c r="H159" s="192">
        <v>2400</v>
      </c>
      <c r="I159" s="192">
        <v>2371</v>
      </c>
      <c r="J159" s="192">
        <f t="shared" ref="J159:P159" si="90">J157+J158</f>
        <v>2338.71</v>
      </c>
      <c r="K159" s="192">
        <f t="shared" si="90"/>
        <v>2330.2469999999998</v>
      </c>
      <c r="L159" s="192">
        <f t="shared" si="90"/>
        <v>2320.9629</v>
      </c>
      <c r="M159" s="192">
        <f t="shared" si="90"/>
        <v>2311.1040300000004</v>
      </c>
      <c r="N159" s="192">
        <f t="shared" si="90"/>
        <v>2300.8428210000002</v>
      </c>
      <c r="O159" s="192">
        <f t="shared" si="90"/>
        <v>2290.2999747000003</v>
      </c>
      <c r="P159" s="192">
        <f t="shared" si="90"/>
        <v>2279.5599822900008</v>
      </c>
      <c r="Q159" s="192">
        <f>Q157+Q158</f>
        <v>2268.6819876030013</v>
      </c>
    </row>
    <row r="160" spans="1:17">
      <c r="A160" s="226" t="s">
        <v>606</v>
      </c>
      <c r="B160" s="227">
        <f>B159-B157+B155</f>
        <v>2304.5451780000003</v>
      </c>
      <c r="C160" s="226">
        <f>C159-C157+C155</f>
        <v>2437.5938570000003</v>
      </c>
      <c r="D160" s="226">
        <f t="shared" ref="D160:P160" si="91">D155+D158</f>
        <v>2448</v>
      </c>
      <c r="E160" s="226">
        <f t="shared" si="91"/>
        <v>2464</v>
      </c>
      <c r="F160" s="226">
        <f t="shared" si="91"/>
        <v>2442.6</v>
      </c>
      <c r="G160" s="226">
        <f t="shared" si="91"/>
        <v>2408.9</v>
      </c>
      <c r="H160" s="226">
        <f t="shared" si="91"/>
        <v>2396.1</v>
      </c>
      <c r="I160" s="226">
        <f t="shared" si="91"/>
        <v>2342.5</v>
      </c>
      <c r="J160" s="226">
        <f t="shared" si="91"/>
        <v>2334.52</v>
      </c>
      <c r="K160" s="226">
        <f t="shared" si="91"/>
        <v>2325.5740000000001</v>
      </c>
      <c r="L160" s="226">
        <f t="shared" si="91"/>
        <v>2315.9518000000003</v>
      </c>
      <c r="M160" s="226">
        <f t="shared" si="91"/>
        <v>2305.8562600000005</v>
      </c>
      <c r="N160" s="226">
        <f t="shared" si="91"/>
        <v>2295.4293820000007</v>
      </c>
      <c r="O160" s="226">
        <f t="shared" si="91"/>
        <v>2284.7705674000008</v>
      </c>
      <c r="P160" s="226">
        <f t="shared" si="91"/>
        <v>2273.9493971800011</v>
      </c>
      <c r="Q160" s="226">
        <f>Q155+Q158</f>
        <v>2263.0145780260013</v>
      </c>
    </row>
    <row r="165" spans="1:18">
      <c r="A165" s="434" t="s">
        <v>838</v>
      </c>
      <c r="B165" s="434">
        <v>2010</v>
      </c>
      <c r="C165" s="434">
        <v>2011</v>
      </c>
      <c r="D165" s="434">
        <v>2012</v>
      </c>
      <c r="E165" s="434">
        <v>2013</v>
      </c>
      <c r="F165" s="434">
        <v>2014</v>
      </c>
      <c r="G165" s="434">
        <v>2015</v>
      </c>
      <c r="H165" s="434">
        <v>2016</v>
      </c>
      <c r="I165" s="434">
        <v>2017</v>
      </c>
      <c r="J165" s="434">
        <v>2018</v>
      </c>
      <c r="K165" s="434">
        <v>2019</v>
      </c>
      <c r="L165" s="434">
        <v>2020</v>
      </c>
      <c r="M165" s="434">
        <v>2021</v>
      </c>
      <c r="N165" s="434">
        <v>2022</v>
      </c>
      <c r="O165" s="434">
        <v>2023</v>
      </c>
      <c r="P165" s="434" t="s">
        <v>836</v>
      </c>
      <c r="Q165" s="434" t="s">
        <v>831</v>
      </c>
    </row>
    <row r="166" spans="1:18">
      <c r="A166" s="431" t="s">
        <v>832</v>
      </c>
      <c r="C166" s="432"/>
      <c r="D166" s="432"/>
      <c r="E166" s="433"/>
      <c r="F166" s="433"/>
      <c r="G166" s="433"/>
      <c r="H166" s="433"/>
      <c r="I166" s="433"/>
      <c r="J166" s="433">
        <f>J167*1.03</f>
        <v>3.0709436975908417</v>
      </c>
      <c r="K166" s="433">
        <f t="shared" ref="K166:O166" si="92">J166+J166*5%</f>
        <v>3.2244908824703837</v>
      </c>
      <c r="L166" s="433">
        <f t="shared" si="92"/>
        <v>3.3857154265939031</v>
      </c>
      <c r="M166" s="433">
        <f t="shared" si="92"/>
        <v>3.5550011979235983</v>
      </c>
      <c r="N166" s="669">
        <f t="shared" si="92"/>
        <v>3.7327512578197783</v>
      </c>
      <c r="O166" s="669">
        <f t="shared" si="92"/>
        <v>3.9193888207107674</v>
      </c>
      <c r="P166" s="670"/>
      <c r="Q166" s="670" t="s">
        <v>833</v>
      </c>
      <c r="R166" s="17"/>
    </row>
    <row r="167" spans="1:18">
      <c r="A167" s="431" t="s">
        <v>834</v>
      </c>
      <c r="B167" s="433">
        <f t="shared" ref="B167:G167" si="93">B95</f>
        <v>2.348514678216739</v>
      </c>
      <c r="C167" s="433">
        <f t="shared" si="93"/>
        <v>2.5309548793284367</v>
      </c>
      <c r="D167" s="433">
        <f t="shared" si="93"/>
        <v>2.522746071133168</v>
      </c>
      <c r="E167" s="433">
        <f t="shared" si="93"/>
        <v>2.7898402294141746</v>
      </c>
      <c r="F167" s="433">
        <f t="shared" si="93"/>
        <v>2.7005130974885225</v>
      </c>
      <c r="G167" s="433">
        <f t="shared" si="93"/>
        <v>2.7403099595043083</v>
      </c>
      <c r="H167" s="433">
        <f t="shared" ref="H167:M167" si="94">H95</f>
        <v>2.7931826030430451</v>
      </c>
      <c r="I167" s="433">
        <f t="shared" si="94"/>
        <v>2.9340416948282271</v>
      </c>
      <c r="J167" s="433">
        <f t="shared" si="94"/>
        <v>2.981498735525089</v>
      </c>
      <c r="K167" s="433">
        <f t="shared" si="94"/>
        <v>3.035707803443727</v>
      </c>
      <c r="L167" s="433">
        <f t="shared" si="94"/>
        <v>3.090902490779067</v>
      </c>
      <c r="M167" s="433">
        <f t="shared" si="94"/>
        <v>3.147100717884141</v>
      </c>
      <c r="N167" s="669">
        <f t="shared" ref="N167:O167" si="95">N95</f>
        <v>3.2043207309365798</v>
      </c>
      <c r="O167" s="669">
        <f t="shared" si="95"/>
        <v>3.2625811078626992</v>
      </c>
      <c r="P167" s="671">
        <f>(H167/B167)^(1/($H$165-$B$165))-1</f>
        <v>2.9321414781612098E-2</v>
      </c>
      <c r="Q167" s="670" t="s">
        <v>837</v>
      </c>
      <c r="R167" s="19">
        <f>(O167/I167)^(1/($O$165-$I$165))-1</f>
        <v>1.7847011811519486E-2</v>
      </c>
    </row>
    <row r="168" spans="1:18">
      <c r="A168" s="431" t="s">
        <v>835</v>
      </c>
      <c r="C168" s="432"/>
      <c r="D168" s="432"/>
      <c r="E168" s="433"/>
      <c r="F168" s="433"/>
      <c r="G168" s="433"/>
      <c r="H168" s="433"/>
      <c r="I168" s="433"/>
      <c r="J168" s="433">
        <f>J167*0.97</f>
        <v>2.8920537734593363</v>
      </c>
      <c r="K168" s="433">
        <f t="shared" ref="K168:O168" si="96">J168*(1-1%)</f>
        <v>2.8631332357247428</v>
      </c>
      <c r="L168" s="433">
        <f t="shared" si="96"/>
        <v>2.8345019033674954</v>
      </c>
      <c r="M168" s="433">
        <f t="shared" si="96"/>
        <v>2.8061568843338205</v>
      </c>
      <c r="N168" s="669">
        <f t="shared" si="96"/>
        <v>2.7780953154904822</v>
      </c>
      <c r="O168" s="669">
        <f t="shared" si="96"/>
        <v>2.7503143623355775</v>
      </c>
      <c r="P168" s="670"/>
      <c r="Q168" s="670" t="s">
        <v>890</v>
      </c>
      <c r="R168" s="17"/>
    </row>
    <row r="184" customFormat="1"/>
  </sheetData>
  <pageMargins left="0.7" right="0.7" top="0.75" bottom="0.75" header="0.3" footer="0.3"/>
  <pageSetup paperSize="9" orientation="portrait" r:id="rId1"/>
  <ignoredErrors>
    <ignoredError sqref="G9:Q9 K5:Q5 J6:Q6 J7:Q7 J8:Q8 J11:Q11 J10:Q10 H17:Q18 J157:Q157 J12:Q12 J13:Q13 J14:Q14 J15:Q15 J16:Q16 H24:Q24 J20:Q20 J21:Q21 J22:Q22 J23:Q23 H28:Q29 J25:Q25 J26:Q26 J27:Q27 H19 J19:Q19" formula="1"/>
    <ignoredError sqref="M39:Q39 K144:Q146 M108:Q108" unlockedFormula="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3"/>
    <pageSetUpPr fitToPage="1"/>
  </sheetPr>
  <dimension ref="A1:AF124"/>
  <sheetViews>
    <sheetView topLeftCell="C34" zoomScale="70" zoomScaleNormal="70" workbookViewId="0">
      <selection activeCell="K75" sqref="K75"/>
    </sheetView>
  </sheetViews>
  <sheetFormatPr defaultRowHeight="16.5" outlineLevelRow="1" outlineLevelCol="1"/>
  <cols>
    <col min="1" max="1" width="24.5703125" style="312" hidden="1" customWidth="1" outlineLevel="1"/>
    <col min="2" max="2" width="31.42578125" style="312" hidden="1" customWidth="1" outlineLevel="1"/>
    <col min="3" max="3" width="29.7109375" style="312" customWidth="1" collapsed="1"/>
    <col min="4" max="4" width="29.7109375" style="312" customWidth="1"/>
    <col min="5" max="11" width="12.7109375" style="312" customWidth="1"/>
    <col min="12" max="15" width="9.140625" style="312"/>
    <col min="16" max="16" width="19.5703125" style="312" bestFit="1" customWidth="1"/>
    <col min="17" max="23" width="9.140625" style="312"/>
    <col min="24" max="24" width="12.42578125" style="312" bestFit="1" customWidth="1"/>
    <col min="25" max="25" width="15.7109375" style="312" bestFit="1" customWidth="1"/>
    <col min="26" max="26" width="15.28515625" style="312" bestFit="1" customWidth="1"/>
    <col min="27" max="27" width="12.42578125" style="312" bestFit="1" customWidth="1"/>
    <col min="28" max="16384" width="9.140625" style="312"/>
  </cols>
  <sheetData>
    <row r="1" spans="1:32" s="562" customFormat="1" ht="15" hidden="1" outlineLevel="1">
      <c r="A1" s="560" t="s">
        <v>1011</v>
      </c>
      <c r="B1" s="560" t="s">
        <v>1012</v>
      </c>
      <c r="C1" s="560" t="s">
        <v>1013</v>
      </c>
      <c r="D1" s="1425" t="s">
        <v>1014</v>
      </c>
      <c r="E1" s="1425"/>
      <c r="F1" s="1425"/>
      <c r="G1" s="1425"/>
      <c r="H1" s="1425"/>
      <c r="I1" s="1425" t="s">
        <v>1015</v>
      </c>
      <c r="J1" s="1425"/>
      <c r="K1" s="1425"/>
      <c r="L1" s="1425"/>
      <c r="M1" s="1425"/>
      <c r="N1" s="1425" t="s">
        <v>1016</v>
      </c>
      <c r="O1" s="1425"/>
      <c r="P1" s="1425"/>
      <c r="Q1" s="1425"/>
      <c r="R1" s="1425"/>
      <c r="S1" s="1425" t="s">
        <v>261</v>
      </c>
      <c r="T1" s="1425"/>
      <c r="U1" s="1425"/>
      <c r="V1" s="1425"/>
      <c r="W1" s="1425"/>
      <c r="X1" s="560" t="s">
        <v>1017</v>
      </c>
      <c r="Y1" s="561" t="s">
        <v>1018</v>
      </c>
      <c r="Z1" s="561" t="s">
        <v>1018</v>
      </c>
      <c r="AA1" s="560" t="s">
        <v>1657</v>
      </c>
      <c r="AB1" s="1425" t="s">
        <v>1658</v>
      </c>
      <c r="AC1" s="1425"/>
      <c r="AD1" s="1425"/>
      <c r="AE1" s="1425"/>
      <c r="AF1" s="1425"/>
    </row>
    <row r="2" spans="1:32" s="562" customFormat="1" ht="15" hidden="1" outlineLevel="1">
      <c r="A2" s="560"/>
      <c r="B2" s="560"/>
      <c r="C2" s="560"/>
      <c r="D2" s="560">
        <v>2017</v>
      </c>
      <c r="E2" s="560">
        <v>2018</v>
      </c>
      <c r="F2" s="560">
        <v>2019</v>
      </c>
      <c r="G2" s="560">
        <v>2020</v>
      </c>
      <c r="H2" s="560">
        <v>2021</v>
      </c>
      <c r="I2" s="560">
        <v>2017</v>
      </c>
      <c r="J2" s="560">
        <v>2018</v>
      </c>
      <c r="K2" s="560">
        <v>2019</v>
      </c>
      <c r="L2" s="560">
        <v>2020</v>
      </c>
      <c r="M2" s="560">
        <v>2021</v>
      </c>
      <c r="N2" s="560">
        <v>2017</v>
      </c>
      <c r="O2" s="560">
        <v>2018</v>
      </c>
      <c r="P2" s="560">
        <v>2019</v>
      </c>
      <c r="Q2" s="560">
        <v>2020</v>
      </c>
      <c r="R2" s="560">
        <v>2021</v>
      </c>
      <c r="S2" s="560">
        <v>2017</v>
      </c>
      <c r="T2" s="560">
        <v>2018</v>
      </c>
      <c r="U2" s="560">
        <v>2019</v>
      </c>
      <c r="V2" s="560">
        <v>2020</v>
      </c>
      <c r="W2" s="560">
        <v>2021</v>
      </c>
      <c r="X2" s="560"/>
      <c r="Y2" s="561" t="s">
        <v>261</v>
      </c>
      <c r="Z2" s="561" t="s">
        <v>948</v>
      </c>
      <c r="AA2" s="560"/>
      <c r="AB2" s="560">
        <v>2017</v>
      </c>
      <c r="AC2" s="560">
        <v>2018</v>
      </c>
      <c r="AD2" s="560">
        <v>2019</v>
      </c>
      <c r="AE2" s="560">
        <v>2020</v>
      </c>
      <c r="AF2" s="560">
        <v>2021</v>
      </c>
    </row>
    <row r="3" spans="1:32" s="562" customFormat="1" ht="15" hidden="1" outlineLevel="1">
      <c r="A3" s="560"/>
      <c r="B3" s="560"/>
      <c r="C3" s="560" t="s">
        <v>1019</v>
      </c>
      <c r="D3" s="563">
        <v>16.15708189138147</v>
      </c>
      <c r="E3" s="563">
        <v>14.934441232430931</v>
      </c>
      <c r="F3" s="563">
        <v>14.101982181286076</v>
      </c>
      <c r="G3" s="563">
        <v>13.008215253734065</v>
      </c>
      <c r="H3" s="563">
        <v>12.102966931233334</v>
      </c>
      <c r="I3" s="563">
        <v>13.968452857478519</v>
      </c>
      <c r="J3" s="563">
        <v>13.299339866792778</v>
      </c>
      <c r="K3" s="563">
        <v>12.245009190722866</v>
      </c>
      <c r="L3" s="563">
        <v>11.066432925826287</v>
      </c>
      <c r="M3" s="563">
        <v>10.008109768717182</v>
      </c>
      <c r="N3" s="563"/>
      <c r="O3" s="563"/>
      <c r="P3" s="563"/>
      <c r="Q3" s="563"/>
      <c r="R3" s="563"/>
      <c r="S3" s="563"/>
      <c r="T3" s="563"/>
      <c r="U3" s="563"/>
      <c r="V3" s="563"/>
      <c r="W3" s="563"/>
      <c r="X3" s="560"/>
      <c r="Y3" s="564">
        <v>3.1399460149472348E-2</v>
      </c>
      <c r="Z3" s="564">
        <v>4.7434896848419783E-2</v>
      </c>
      <c r="AA3" s="560"/>
      <c r="AB3" s="560"/>
      <c r="AC3" s="560"/>
      <c r="AD3" s="560"/>
      <c r="AE3" s="560"/>
      <c r="AF3" s="560"/>
    </row>
    <row r="4" spans="1:32" s="562" customFormat="1" ht="14.25" hidden="1" outlineLevel="1">
      <c r="A4" s="565" t="s">
        <v>1020</v>
      </c>
      <c r="B4" s="566"/>
      <c r="C4" s="565" t="s">
        <v>1021</v>
      </c>
      <c r="D4" s="567">
        <v>16.167318062136601</v>
      </c>
      <c r="E4" s="567">
        <v>20.247985866497299</v>
      </c>
      <c r="F4" s="567">
        <v>17.415178675540901</v>
      </c>
      <c r="G4" s="567">
        <v>14.747762160450099</v>
      </c>
      <c r="H4" s="567">
        <v>12.436457903209</v>
      </c>
      <c r="I4" s="567">
        <v>14.3480760157557</v>
      </c>
      <c r="J4" s="567">
        <v>16.3915512931001</v>
      </c>
      <c r="K4" s="567">
        <v>14.3704740828362</v>
      </c>
      <c r="L4" s="567">
        <v>12.034771439416099</v>
      </c>
      <c r="M4" s="567">
        <v>9.8787544133728105</v>
      </c>
      <c r="N4" s="568">
        <v>4.2835703001579803</v>
      </c>
      <c r="O4" s="568">
        <v>3.4848584429699798</v>
      </c>
      <c r="P4" s="568">
        <v>4.0517163684976296</v>
      </c>
      <c r="Q4" s="568">
        <v>4.78454722366138</v>
      </c>
      <c r="R4" s="568">
        <v>5.6737509224224301</v>
      </c>
      <c r="S4" s="569">
        <v>20152</v>
      </c>
      <c r="T4" s="569">
        <v>21060.92</v>
      </c>
      <c r="U4" s="569">
        <v>22426.750599999999</v>
      </c>
      <c r="V4" s="569">
        <v>24133.703215000001</v>
      </c>
      <c r="W4" s="569">
        <v>26234.119320000002</v>
      </c>
      <c r="X4" s="570">
        <v>88405.233789275604</v>
      </c>
      <c r="Y4" s="571">
        <v>6.1944787943727819E-2</v>
      </c>
      <c r="Z4" s="571">
        <v>3.755624537426816E-2</v>
      </c>
      <c r="AA4" s="570"/>
    </row>
    <row r="5" spans="1:32" s="562" customFormat="1" ht="14.25" hidden="1" outlineLevel="1">
      <c r="A5" s="565" t="s">
        <v>1022</v>
      </c>
      <c r="B5" s="566"/>
      <c r="C5" s="565" t="s">
        <v>1023</v>
      </c>
      <c r="D5" s="567">
        <v>15.4287794647169</v>
      </c>
      <c r="E5" s="567">
        <v>14.5275230166501</v>
      </c>
      <c r="F5" s="567">
        <v>13.005776738366601</v>
      </c>
      <c r="G5" s="567">
        <v>12.052166715291101</v>
      </c>
      <c r="H5" s="567">
        <v>11.404112935722001</v>
      </c>
      <c r="I5" s="567">
        <v>13.4817183775596</v>
      </c>
      <c r="J5" s="567">
        <v>13.7790797509954</v>
      </c>
      <c r="K5" s="567">
        <v>11.9817552866376</v>
      </c>
      <c r="L5" s="567">
        <v>10.8206269282422</v>
      </c>
      <c r="M5" s="567">
        <v>9.8559809893459995</v>
      </c>
      <c r="N5" s="568">
        <v>6.7406498510028703</v>
      </c>
      <c r="O5" s="568">
        <v>6.8559519668871296</v>
      </c>
      <c r="P5" s="568">
        <v>7.6581354580832803</v>
      </c>
      <c r="Q5" s="568">
        <v>8.2640741995074602</v>
      </c>
      <c r="R5" s="568">
        <v>8.7336911306810592</v>
      </c>
      <c r="S5" s="569">
        <v>35015</v>
      </c>
      <c r="T5" s="569">
        <v>35684.445836826002</v>
      </c>
      <c r="U5" s="569">
        <v>37294.322426303297</v>
      </c>
      <c r="V5" s="569">
        <v>38704.334075306302</v>
      </c>
      <c r="W5" s="569">
        <v>39564.6651193406</v>
      </c>
      <c r="X5" s="572">
        <v>107136.289824127</v>
      </c>
      <c r="Y5" s="571">
        <v>3.3955441077878179E-2</v>
      </c>
      <c r="Z5" s="571">
        <v>7.0280172539556096E-2</v>
      </c>
      <c r="AA5" s="572"/>
    </row>
    <row r="6" spans="1:32" s="562" customFormat="1" ht="14.25" hidden="1" outlineLevel="1">
      <c r="A6" s="565" t="s">
        <v>1024</v>
      </c>
      <c r="B6" s="566"/>
      <c r="C6" s="565" t="s">
        <v>1025</v>
      </c>
      <c r="D6" s="567">
        <v>11.826015739384999</v>
      </c>
      <c r="E6" s="567">
        <v>13.589033074950899</v>
      </c>
      <c r="F6" s="567">
        <v>12.616759790376999</v>
      </c>
      <c r="G6" s="567">
        <v>12.0357070498283</v>
      </c>
      <c r="H6" s="567">
        <v>11.551456831921801</v>
      </c>
      <c r="I6" s="567">
        <v>10.482922917203499</v>
      </c>
      <c r="J6" s="567">
        <v>12.944002022808</v>
      </c>
      <c r="K6" s="567">
        <v>12.1838747859197</v>
      </c>
      <c r="L6" s="567">
        <v>11.5907125302376</v>
      </c>
      <c r="M6" s="567">
        <v>11.082313093178399</v>
      </c>
      <c r="N6" s="573">
        <v>111.82971756037701</v>
      </c>
      <c r="O6" s="573">
        <v>103.568811131552</v>
      </c>
      <c r="P6" s="573">
        <v>111.550035300937</v>
      </c>
      <c r="Q6" s="573">
        <v>116.935381874393</v>
      </c>
      <c r="R6" s="573">
        <v>121.837446174817</v>
      </c>
      <c r="S6" s="569">
        <v>30186</v>
      </c>
      <c r="T6" s="569">
        <v>30611.26</v>
      </c>
      <c r="U6" s="569">
        <v>31562.260699999999</v>
      </c>
      <c r="V6" s="569">
        <v>32592.778138000001</v>
      </c>
      <c r="W6" s="569">
        <v>33630.60538773</v>
      </c>
      <c r="X6" s="572">
        <v>107057.65444255</v>
      </c>
      <c r="Y6" s="571">
        <v>2.5900569460268308E-2</v>
      </c>
      <c r="Z6" s="571">
        <v>1.4992664166245451E-2</v>
      </c>
      <c r="AA6" s="572"/>
    </row>
    <row r="7" spans="1:32" s="562" customFormat="1" ht="14.25" hidden="1" outlineLevel="1">
      <c r="A7" s="565" t="s">
        <v>1026</v>
      </c>
      <c r="B7" s="566"/>
      <c r="C7" s="565" t="s">
        <v>1027</v>
      </c>
      <c r="D7" s="567">
        <v>14.572895660616901</v>
      </c>
      <c r="E7" s="567">
        <v>14.367563862657599</v>
      </c>
      <c r="F7" s="567">
        <v>13.3583116731213</v>
      </c>
      <c r="G7" s="567">
        <v>12.157348122377901</v>
      </c>
      <c r="H7" s="567">
        <v>11.077612653209799</v>
      </c>
      <c r="I7" s="567">
        <v>13.2511403623094</v>
      </c>
      <c r="J7" s="567">
        <v>12.8884110141025</v>
      </c>
      <c r="K7" s="567">
        <v>11.6365521355154</v>
      </c>
      <c r="L7" s="567">
        <v>10.1686891071852</v>
      </c>
      <c r="M7" s="567">
        <v>8.9261451201889805</v>
      </c>
      <c r="N7" s="568">
        <v>6.15869365225391</v>
      </c>
      <c r="O7" s="568">
        <v>5.7073001925625002</v>
      </c>
      <c r="P7" s="568">
        <v>6.1385002840587397</v>
      </c>
      <c r="Q7" s="568">
        <v>6.7448919924455897</v>
      </c>
      <c r="R7" s="568">
        <v>7.4023169582699202</v>
      </c>
      <c r="S7" s="569">
        <v>15327</v>
      </c>
      <c r="T7" s="569">
        <v>15547.406000000001</v>
      </c>
      <c r="U7" s="569">
        <v>16026.17058</v>
      </c>
      <c r="V7" s="569">
        <v>16536.317522500001</v>
      </c>
      <c r="W7" s="569">
        <v>17054.374463160999</v>
      </c>
      <c r="X7" s="572">
        <v>43957.32344</v>
      </c>
      <c r="Y7" s="571">
        <v>2.5637477311543977E-2</v>
      </c>
      <c r="Z7" s="571">
        <v>3.0770860227237629E-2</v>
      </c>
      <c r="AA7" s="572"/>
    </row>
    <row r="8" spans="1:32" s="562" customFormat="1" ht="14.25" hidden="1" outlineLevel="1">
      <c r="A8" s="565" t="s">
        <v>811</v>
      </c>
      <c r="B8" s="566"/>
      <c r="C8" s="565" t="s">
        <v>487</v>
      </c>
      <c r="D8" s="567">
        <v>17.432609682884902</v>
      </c>
      <c r="E8" s="567">
        <v>14.932703332670201</v>
      </c>
      <c r="F8" s="567">
        <v>14.4394533271371</v>
      </c>
      <c r="G8" s="567">
        <v>13.190088894843599</v>
      </c>
      <c r="H8" s="567">
        <v>12.214505111890499</v>
      </c>
      <c r="I8" s="567">
        <v>17.059566092455999</v>
      </c>
      <c r="J8" s="567">
        <v>14.4068134706274</v>
      </c>
      <c r="K8" s="567">
        <v>13.249872188355001</v>
      </c>
      <c r="L8" s="567">
        <v>11.6145547790869</v>
      </c>
      <c r="M8" s="567">
        <v>10.2568785599533</v>
      </c>
      <c r="N8" s="568">
        <v>4.8550724637681197</v>
      </c>
      <c r="O8" s="568">
        <v>5.32813582801721</v>
      </c>
      <c r="P8" s="568">
        <v>5.5101443131799801</v>
      </c>
      <c r="Q8" s="568">
        <v>6.0320648534109296</v>
      </c>
      <c r="R8" s="568">
        <v>6.5138514337760203</v>
      </c>
      <c r="S8" s="569">
        <v>49109</v>
      </c>
      <c r="T8" s="569">
        <v>52461.642850395801</v>
      </c>
      <c r="U8" s="569">
        <v>53325.740846509601</v>
      </c>
      <c r="V8" s="569">
        <v>54916.396675124401</v>
      </c>
      <c r="W8" s="569">
        <v>56877.4975017174</v>
      </c>
      <c r="X8" s="570">
        <v>186655.90445794401</v>
      </c>
      <c r="Y8" s="571">
        <v>3.7959275454662045E-2</v>
      </c>
      <c r="Z8" s="571">
        <v>7.5037041641309976E-2</v>
      </c>
      <c r="AA8" s="570"/>
    </row>
    <row r="9" spans="1:32" s="562" customFormat="1" ht="14.25" hidden="1" outlineLevel="1">
      <c r="A9" s="565" t="s">
        <v>1028</v>
      </c>
      <c r="B9" s="566"/>
      <c r="C9" s="565" t="s">
        <v>1029</v>
      </c>
      <c r="D9" s="567">
        <v>21.733288749016499</v>
      </c>
      <c r="E9" s="567">
        <v>17.598473569771901</v>
      </c>
      <c r="F9" s="567">
        <v>17.010261765785302</v>
      </c>
      <c r="G9" s="567">
        <v>15.2770203379336</v>
      </c>
      <c r="H9" s="567">
        <v>13.775212951226001</v>
      </c>
      <c r="I9" s="567">
        <v>18.722436605824701</v>
      </c>
      <c r="J9" s="567">
        <v>15.8091943547947</v>
      </c>
      <c r="K9" s="567">
        <v>14.517628885397899</v>
      </c>
      <c r="L9" s="567">
        <v>12.992340574843601</v>
      </c>
      <c r="M9" s="567">
        <v>11.645129115971001</v>
      </c>
      <c r="N9" s="568">
        <v>15.391135868249</v>
      </c>
      <c r="O9" s="568">
        <v>16.339485288878201</v>
      </c>
      <c r="P9" s="568">
        <v>16.904501762482099</v>
      </c>
      <c r="Q9" s="568">
        <v>18.822387719547599</v>
      </c>
      <c r="R9" s="568">
        <v>20.8744504363112</v>
      </c>
      <c r="S9" s="569">
        <v>111696</v>
      </c>
      <c r="T9" s="569">
        <v>109842.18862021901</v>
      </c>
      <c r="U9" s="569">
        <v>116823.856766057</v>
      </c>
      <c r="V9" s="569">
        <v>125473.112109783</v>
      </c>
      <c r="W9" s="569">
        <v>135062.767422776</v>
      </c>
      <c r="X9" s="572">
        <v>127189.659887236</v>
      </c>
      <c r="Y9" s="571">
        <v>3.9531569853506365E-2</v>
      </c>
      <c r="Z9" s="571">
        <v>6.9386460116483528E-2</v>
      </c>
      <c r="AA9" s="572"/>
    </row>
    <row r="10" spans="1:32" s="562" customFormat="1" ht="14.25" hidden="1" outlineLevel="1">
      <c r="A10" s="565" t="s">
        <v>1030</v>
      </c>
      <c r="B10" s="566"/>
      <c r="C10" s="565" t="s">
        <v>877</v>
      </c>
      <c r="D10" s="567">
        <v>16.069587628866</v>
      </c>
      <c r="E10" s="567">
        <v>13.190955852416</v>
      </c>
      <c r="F10" s="567">
        <v>13.0806716905375</v>
      </c>
      <c r="G10" s="567">
        <v>12.7796748609865</v>
      </c>
      <c r="H10" s="567">
        <v>12.499218565241501</v>
      </c>
      <c r="I10" s="567">
        <v>11.8205343993267</v>
      </c>
      <c r="J10" s="567">
        <v>10.253285541750699</v>
      </c>
      <c r="K10" s="567">
        <v>9.9639195501298605</v>
      </c>
      <c r="L10" s="567">
        <v>9.5820739751589006</v>
      </c>
      <c r="M10" s="567">
        <v>9.0522490676546301</v>
      </c>
      <c r="N10" s="568">
        <v>15.3395348837209</v>
      </c>
      <c r="O10" s="568">
        <v>16.412760562787199</v>
      </c>
      <c r="P10" s="568">
        <v>16.551137825484499</v>
      </c>
      <c r="Q10" s="568">
        <v>16.94096308044</v>
      </c>
      <c r="R10" s="568">
        <v>17.3210828236938</v>
      </c>
      <c r="S10" s="569">
        <v>53299</v>
      </c>
      <c r="T10" s="569">
        <v>54767.712470022001</v>
      </c>
      <c r="U10" s="569">
        <v>55745.228884510099</v>
      </c>
      <c r="V10" s="569">
        <v>56362.611979198402</v>
      </c>
      <c r="W10" s="569">
        <v>57558.740076712398</v>
      </c>
      <c r="X10" s="572">
        <v>191691.54741068801</v>
      </c>
      <c r="Y10" s="571">
        <v>1.8804098597782426E-2</v>
      </c>
      <c r="Z10" s="571">
        <v>3.3654266431809576E-2</v>
      </c>
      <c r="AA10" s="572"/>
    </row>
    <row r="11" spans="1:32" s="562" customFormat="1" ht="14.25" hidden="1" outlineLevel="1">
      <c r="A11" s="565" t="s">
        <v>1031</v>
      </c>
      <c r="B11" s="566"/>
      <c r="C11" s="565" t="s">
        <v>1032</v>
      </c>
      <c r="D11" s="567">
        <v>13.0070956358923</v>
      </c>
      <c r="E11" s="567">
        <v>12.3612778372535</v>
      </c>
      <c r="F11" s="567">
        <v>11.9284522736358</v>
      </c>
      <c r="G11" s="567">
        <v>11.1528712934956</v>
      </c>
      <c r="H11" s="567">
        <v>10.528894562816101</v>
      </c>
      <c r="I11" s="567">
        <v>10.557618276341801</v>
      </c>
      <c r="J11" s="567">
        <v>11.2260063537852</v>
      </c>
      <c r="K11" s="567">
        <v>10.613917168312501</v>
      </c>
      <c r="L11" s="567">
        <v>9.7019600101666192</v>
      </c>
      <c r="M11" s="567">
        <v>8.9146438176803695</v>
      </c>
      <c r="N11" s="568">
        <v>5.5239080276871704</v>
      </c>
      <c r="O11" s="568">
        <v>5.30689471296402</v>
      </c>
      <c r="P11" s="568">
        <v>5.4994561318729396</v>
      </c>
      <c r="Q11" s="568">
        <v>5.8818933953140897</v>
      </c>
      <c r="R11" s="568">
        <v>6.2304736369640796</v>
      </c>
      <c r="S11" s="569">
        <v>36221</v>
      </c>
      <c r="T11" s="569">
        <v>35644.487872572303</v>
      </c>
      <c r="U11" s="569">
        <v>36205.918438150598</v>
      </c>
      <c r="V11" s="569">
        <v>37535.092578319302</v>
      </c>
      <c r="W11" s="569">
        <v>39272.481719287702</v>
      </c>
      <c r="X11" s="572">
        <v>101624.468151757</v>
      </c>
      <c r="Y11" s="571">
        <v>1.1949915250855758E-2</v>
      </c>
      <c r="Z11" s="571">
        <v>2.1151634085686988E-2</v>
      </c>
      <c r="AA11" s="572"/>
    </row>
    <row r="12" spans="1:32" s="562" customFormat="1" ht="14.25" hidden="1" outlineLevel="1">
      <c r="A12" s="565" t="s">
        <v>1033</v>
      </c>
      <c r="B12" s="566"/>
      <c r="C12" s="565" t="s">
        <v>1034</v>
      </c>
      <c r="D12" s="567"/>
      <c r="E12" s="567"/>
      <c r="F12" s="567"/>
      <c r="G12" s="567"/>
      <c r="H12" s="567"/>
      <c r="I12" s="567"/>
      <c r="J12" s="567"/>
      <c r="K12" s="567"/>
      <c r="L12" s="567"/>
      <c r="M12" s="567"/>
      <c r="N12" s="568"/>
      <c r="O12" s="568"/>
      <c r="P12" s="568"/>
      <c r="Q12" s="568"/>
      <c r="R12" s="568"/>
      <c r="S12" s="569"/>
      <c r="T12" s="569"/>
      <c r="U12" s="569"/>
      <c r="V12" s="569"/>
      <c r="W12" s="569"/>
      <c r="X12" s="570"/>
      <c r="Y12" s="571"/>
      <c r="Z12" s="571"/>
      <c r="AA12" s="570"/>
    </row>
    <row r="13" spans="1:32" s="562" customFormat="1" ht="15" hidden="1" outlineLevel="1">
      <c r="A13" s="560"/>
      <c r="B13" s="560"/>
      <c r="C13" s="560" t="s">
        <v>1035</v>
      </c>
      <c r="D13" s="563">
        <v>26.724588876661898</v>
      </c>
      <c r="E13" s="563">
        <v>23.992182981641516</v>
      </c>
      <c r="F13" s="563">
        <v>18.79781908455741</v>
      </c>
      <c r="G13" s="563">
        <v>16.859894485185066</v>
      </c>
      <c r="H13" s="563">
        <v>15.258177370560539</v>
      </c>
      <c r="I13" s="563">
        <v>24.039425101370561</v>
      </c>
      <c r="J13" s="563">
        <v>20.251692824017187</v>
      </c>
      <c r="K13" s="563">
        <v>15.614585197965772</v>
      </c>
      <c r="L13" s="563">
        <v>13.311049923156274</v>
      </c>
      <c r="M13" s="563">
        <v>11.703183399665622</v>
      </c>
      <c r="N13" s="563"/>
      <c r="O13" s="563"/>
      <c r="P13" s="563"/>
      <c r="Q13" s="563"/>
      <c r="R13" s="563"/>
      <c r="S13" s="563"/>
      <c r="T13" s="563"/>
      <c r="U13" s="563"/>
      <c r="V13" s="563"/>
      <c r="W13" s="563"/>
      <c r="X13" s="560"/>
      <c r="Y13" s="564" t="e">
        <v>#VALUE!</v>
      </c>
      <c r="Z13" s="564">
        <v>0.1717782081334546</v>
      </c>
      <c r="AA13" s="560"/>
      <c r="AB13" s="560"/>
      <c r="AC13" s="560"/>
      <c r="AD13" s="560"/>
      <c r="AE13" s="560"/>
      <c r="AF13" s="560"/>
    </row>
    <row r="14" spans="1:32" s="562" customFormat="1" ht="14.25" hidden="1" outlineLevel="1">
      <c r="A14" s="1" t="s">
        <v>1036</v>
      </c>
      <c r="B14" s="566"/>
      <c r="C14" s="1" t="s">
        <v>1037</v>
      </c>
      <c r="D14" s="574">
        <v>52.2</v>
      </c>
      <c r="E14" s="574">
        <v>32.299999999999997</v>
      </c>
      <c r="F14" s="574">
        <v>18.5</v>
      </c>
      <c r="G14" s="574">
        <v>15.2</v>
      </c>
      <c r="H14" s="574">
        <v>19.3</v>
      </c>
      <c r="I14" s="574">
        <v>100.1875</v>
      </c>
      <c r="J14" s="574">
        <v>19.790123456790123</v>
      </c>
      <c r="K14" s="574">
        <v>13.470588235294118</v>
      </c>
      <c r="L14" s="574">
        <v>12.143939393939394</v>
      </c>
      <c r="M14" s="574">
        <v>11.288732394366198</v>
      </c>
      <c r="N14" s="574">
        <v>0.1</v>
      </c>
      <c r="O14" s="574">
        <v>0.3</v>
      </c>
      <c r="P14" s="574">
        <v>0.5</v>
      </c>
      <c r="Q14" s="574">
        <v>0.6</v>
      </c>
      <c r="R14" s="574">
        <v>0.5</v>
      </c>
      <c r="S14" s="574">
        <v>673.3</v>
      </c>
      <c r="T14" s="574">
        <v>692.9</v>
      </c>
      <c r="U14" s="574">
        <v>740.5</v>
      </c>
      <c r="V14" s="574">
        <v>843.6</v>
      </c>
      <c r="W14" s="574">
        <v>894.8</v>
      </c>
      <c r="X14" s="575">
        <v>2020</v>
      </c>
      <c r="Y14" s="571">
        <v>7.8059304420948328E-2</v>
      </c>
      <c r="Z14" s="571">
        <v>0.81712059283213967</v>
      </c>
      <c r="AA14" s="575">
        <v>1603</v>
      </c>
      <c r="AB14" s="575">
        <v>16</v>
      </c>
      <c r="AC14" s="575">
        <v>81</v>
      </c>
      <c r="AD14" s="575">
        <v>119</v>
      </c>
      <c r="AE14" s="575">
        <v>132</v>
      </c>
      <c r="AF14" s="575">
        <v>142</v>
      </c>
    </row>
    <row r="15" spans="1:32" s="562" customFormat="1" ht="14.25" hidden="1" outlineLevel="1">
      <c r="A15" s="1" t="s">
        <v>1038</v>
      </c>
      <c r="B15" s="566"/>
      <c r="C15" s="1" t="s">
        <v>1039</v>
      </c>
      <c r="D15" s="574">
        <v>57.9</v>
      </c>
      <c r="E15" s="574">
        <v>55.8</v>
      </c>
      <c r="F15" s="574">
        <v>32.1</v>
      </c>
      <c r="G15" s="574">
        <v>22.6</v>
      </c>
      <c r="H15" s="574">
        <v>19.600000000000001</v>
      </c>
      <c r="I15" s="574">
        <v>58.151636073423781</v>
      </c>
      <c r="J15" s="574">
        <v>49.399322033898308</v>
      </c>
      <c r="K15" s="574">
        <v>27.981566820276498</v>
      </c>
      <c r="L15" s="574">
        <v>17.49435774309724</v>
      </c>
      <c r="M15" s="574">
        <v>13.834061135371179</v>
      </c>
      <c r="N15" s="574">
        <v>17.399999999999999</v>
      </c>
      <c r="O15" s="574">
        <v>22.9</v>
      </c>
      <c r="P15" s="574">
        <v>39.9</v>
      </c>
      <c r="Q15" s="574">
        <v>56.5</v>
      </c>
      <c r="R15" s="574">
        <v>65.3</v>
      </c>
      <c r="S15" s="574">
        <v>2298.6</v>
      </c>
      <c r="T15" s="574">
        <v>2934.2</v>
      </c>
      <c r="U15" s="574">
        <v>4362.1000000000004</v>
      </c>
      <c r="V15" s="574">
        <v>6048.8</v>
      </c>
      <c r="W15" s="574">
        <v>7254.9</v>
      </c>
      <c r="X15" s="575">
        <v>12998</v>
      </c>
      <c r="Y15" s="571">
        <v>0.38060234768822188</v>
      </c>
      <c r="Z15" s="571">
        <v>0.48081134548904969</v>
      </c>
      <c r="AA15" s="575">
        <v>72864</v>
      </c>
      <c r="AB15" s="575">
        <v>1253</v>
      </c>
      <c r="AC15" s="575">
        <v>1475</v>
      </c>
      <c r="AD15" s="575">
        <v>2604</v>
      </c>
      <c r="AE15" s="575">
        <v>4165</v>
      </c>
      <c r="AF15" s="575">
        <v>5267</v>
      </c>
    </row>
    <row r="16" spans="1:32" s="562" customFormat="1" ht="14.25" hidden="1" outlineLevel="1">
      <c r="A16" s="1" t="s">
        <v>1040</v>
      </c>
      <c r="B16" s="566"/>
      <c r="C16" s="1" t="s">
        <v>1041</v>
      </c>
      <c r="D16" s="567">
        <v>14.6662357466489</v>
      </c>
      <c r="E16" s="567">
        <v>20.278427686856698</v>
      </c>
      <c r="F16" s="567">
        <v>15.7311533164116</v>
      </c>
      <c r="G16" s="567">
        <v>15.0701427482869</v>
      </c>
      <c r="H16" s="567">
        <v>14.1203451568077</v>
      </c>
      <c r="I16" s="567">
        <v>14.3258197174016</v>
      </c>
      <c r="J16" s="567">
        <v>14.934998710343001</v>
      </c>
      <c r="K16" s="567">
        <v>12.842709385935899</v>
      </c>
      <c r="L16" s="567">
        <v>11.6160989375211</v>
      </c>
      <c r="M16" s="567">
        <v>10.736711122395601</v>
      </c>
      <c r="N16" s="568">
        <v>1.0456431535269699</v>
      </c>
      <c r="O16" s="568">
        <v>0.83172599771784195</v>
      </c>
      <c r="P16" s="568">
        <v>1.0721461523361</v>
      </c>
      <c r="Q16" s="568">
        <v>1.1191729090898801</v>
      </c>
      <c r="R16" s="567">
        <v>1.1944534862781699</v>
      </c>
      <c r="S16" s="569">
        <v>1936</v>
      </c>
      <c r="T16" s="569">
        <v>1920.05</v>
      </c>
      <c r="U16" s="569">
        <v>1981.1588999999999</v>
      </c>
      <c r="V16" s="569">
        <v>2063.4749240000001</v>
      </c>
      <c r="W16" s="569">
        <v>2144.2918154399999</v>
      </c>
      <c r="X16" s="570">
        <v>4064.7290155000001</v>
      </c>
      <c r="Y16" s="571">
        <v>2.1483323565353984E-2</v>
      </c>
      <c r="Z16" s="571">
        <v>2.2911113190552834E-2</v>
      </c>
      <c r="AA16" s="570"/>
      <c r="AB16" s="570"/>
      <c r="AC16" s="570"/>
      <c r="AD16" s="570"/>
      <c r="AE16" s="570"/>
      <c r="AF16" s="570"/>
    </row>
    <row r="17" spans="1:32" s="562" customFormat="1" ht="14.25" hidden="1" outlineLevel="1">
      <c r="A17" s="1" t="s">
        <v>1042</v>
      </c>
      <c r="B17" s="566"/>
      <c r="C17" s="1" t="s">
        <v>1043</v>
      </c>
      <c r="D17" s="567">
        <v>15.3031100731011</v>
      </c>
      <c r="E17" s="567">
        <v>16.0760585586115</v>
      </c>
      <c r="F17" s="567">
        <v>16.114715080206398</v>
      </c>
      <c r="G17" s="567">
        <v>30.217264199555899</v>
      </c>
      <c r="H17" s="567">
        <v>23.032718387413301</v>
      </c>
      <c r="I17" s="567">
        <v>9.3072945899188895</v>
      </c>
      <c r="J17" s="567">
        <v>11.3420960672067</v>
      </c>
      <c r="K17" s="567">
        <v>10.8489783169547</v>
      </c>
      <c r="L17" s="567">
        <v>19.605329798763201</v>
      </c>
      <c r="M17" s="567">
        <v>14.453028779458</v>
      </c>
      <c r="N17" s="568">
        <v>0.36073011775834302</v>
      </c>
      <c r="O17" s="568">
        <v>0.38121692438829502</v>
      </c>
      <c r="P17" s="568">
        <v>0.380302448383189</v>
      </c>
      <c r="Q17" s="568">
        <v>0.20281338375067301</v>
      </c>
      <c r="R17" s="568">
        <v>0.266076521968376</v>
      </c>
      <c r="S17" s="569">
        <v>1093</v>
      </c>
      <c r="T17" s="569">
        <v>1159.82</v>
      </c>
      <c r="U17" s="569">
        <v>1120.6066000000001</v>
      </c>
      <c r="V17" s="569">
        <v>874.89216399999998</v>
      </c>
      <c r="W17" s="569">
        <v>955.49928915999999</v>
      </c>
      <c r="X17" s="570">
        <v>4587.0461892191997</v>
      </c>
      <c r="Y17" s="571">
        <v>-7.1508095243140057E-2</v>
      </c>
      <c r="Z17" s="571">
        <v>-0.17465016440286729</v>
      </c>
      <c r="AA17" s="570"/>
      <c r="AB17" s="570"/>
      <c r="AC17" s="570"/>
      <c r="AD17" s="570"/>
      <c r="AE17" s="570"/>
      <c r="AF17" s="570"/>
    </row>
    <row r="18" spans="1:32" s="562" customFormat="1" ht="14.25" hidden="1" outlineLevel="1">
      <c r="A18" s="1" t="s">
        <v>1044</v>
      </c>
      <c r="B18" s="566"/>
      <c r="C18" s="1" t="s">
        <v>1045</v>
      </c>
      <c r="D18" s="567">
        <v>22.837155963302699</v>
      </c>
      <c r="E18" s="567">
        <v>23.168774063737601</v>
      </c>
      <c r="F18" s="567">
        <v>19.866623443997</v>
      </c>
      <c r="G18" s="567">
        <v>17.2924567907734</v>
      </c>
      <c r="H18" s="567">
        <v>15.5869354153338</v>
      </c>
      <c r="I18" s="567">
        <v>22.391072946404599</v>
      </c>
      <c r="J18" s="567">
        <v>23.779641129703801</v>
      </c>
      <c r="K18" s="567">
        <v>19.187593429490001</v>
      </c>
      <c r="L18" s="567">
        <v>15.7457543231061</v>
      </c>
      <c r="M18" s="567">
        <v>13.4154029154931</v>
      </c>
      <c r="N18" s="568">
        <v>4.3600000000000003</v>
      </c>
      <c r="O18" s="568">
        <v>5.5246772940109201</v>
      </c>
      <c r="P18" s="568">
        <v>6.4429670376964401</v>
      </c>
      <c r="Q18" s="568">
        <v>7.4020714088639901</v>
      </c>
      <c r="R18" s="568">
        <v>8.2120055411328092</v>
      </c>
      <c r="S18" s="569">
        <v>2011.7</v>
      </c>
      <c r="T18" s="569">
        <v>2235.65780330388</v>
      </c>
      <c r="U18" s="569">
        <v>2469.01931463136</v>
      </c>
      <c r="V18" s="569">
        <v>2693.9556525036801</v>
      </c>
      <c r="W18" s="569">
        <v>2883.53666808348</v>
      </c>
      <c r="X18" s="572">
        <v>13106.2925504587</v>
      </c>
      <c r="Y18" s="571">
        <v>0.10223892051521455</v>
      </c>
      <c r="Z18" s="571">
        <v>0.19295005190456349</v>
      </c>
      <c r="AA18" s="572"/>
      <c r="AB18" s="572"/>
      <c r="AC18" s="572"/>
      <c r="AD18" s="572"/>
      <c r="AE18" s="572"/>
      <c r="AF18" s="572"/>
    </row>
    <row r="19" spans="1:32" s="562" customFormat="1" ht="14.25" hidden="1" outlineLevel="1">
      <c r="A19" s="1" t="s">
        <v>1046</v>
      </c>
      <c r="B19" s="566"/>
      <c r="C19" s="1" t="s">
        <v>1047</v>
      </c>
      <c r="D19" s="574">
        <v>26.2</v>
      </c>
      <c r="E19" s="574">
        <v>18.7</v>
      </c>
      <c r="F19" s="574">
        <v>18.899999999999999</v>
      </c>
      <c r="G19" s="574">
        <v>17.600000000000001</v>
      </c>
      <c r="H19" s="574">
        <v>17</v>
      </c>
      <c r="I19" s="574">
        <v>13.846413502109705</v>
      </c>
      <c r="J19" s="574">
        <v>12.418543046357616</v>
      </c>
      <c r="K19" s="574">
        <v>12.914600550964188</v>
      </c>
      <c r="L19" s="574">
        <v>12.376390722232699</v>
      </c>
      <c r="M19" s="574">
        <v>12.237926533656536</v>
      </c>
      <c r="N19" s="574">
        <v>14.6</v>
      </c>
      <c r="O19" s="574">
        <v>18.600000000000001</v>
      </c>
      <c r="P19" s="574">
        <v>18.5</v>
      </c>
      <c r="Q19" s="574">
        <v>19.8</v>
      </c>
      <c r="R19" s="574">
        <v>20.5</v>
      </c>
      <c r="S19" s="574" t="s">
        <v>2101</v>
      </c>
      <c r="T19" s="574">
        <v>17766.5</v>
      </c>
      <c r="U19" s="574">
        <v>17451.599999999999</v>
      </c>
      <c r="V19" s="574">
        <v>17988.7</v>
      </c>
      <c r="W19" s="574" t="s">
        <v>2101</v>
      </c>
      <c r="X19" s="575">
        <v>11498</v>
      </c>
      <c r="Y19" s="571" t="e">
        <v>#VALUE!</v>
      </c>
      <c r="Z19" s="571">
        <v>0.10688910179588129</v>
      </c>
      <c r="AA19" s="575">
        <v>65632</v>
      </c>
      <c r="AB19" s="575">
        <v>4740</v>
      </c>
      <c r="AC19" s="575">
        <v>5285</v>
      </c>
      <c r="AD19" s="575">
        <v>5082</v>
      </c>
      <c r="AE19" s="575">
        <v>5303</v>
      </c>
      <c r="AF19" s="575">
        <v>5363</v>
      </c>
    </row>
    <row r="20" spans="1:32" s="562" customFormat="1" ht="14.25" hidden="1" outlineLevel="1">
      <c r="A20" s="1" t="s">
        <v>1048</v>
      </c>
      <c r="B20" s="566"/>
      <c r="C20" s="1" t="s">
        <v>1049</v>
      </c>
      <c r="D20" s="574">
        <v>26.8</v>
      </c>
      <c r="E20" s="574">
        <v>19.8</v>
      </c>
      <c r="F20" s="574">
        <v>18.600000000000001</v>
      </c>
      <c r="G20" s="574">
        <v>17.3</v>
      </c>
      <c r="H20" s="574">
        <v>14.7</v>
      </c>
      <c r="I20" s="574">
        <v>16.294117647058822</v>
      </c>
      <c r="J20" s="574">
        <v>15.212814645308924</v>
      </c>
      <c r="K20" s="574">
        <v>14.38961038961039</v>
      </c>
      <c r="L20" s="574">
        <v>13.539714867617107</v>
      </c>
      <c r="M20" s="574">
        <v>12.220588235294118</v>
      </c>
      <c r="N20" s="574">
        <v>1.4</v>
      </c>
      <c r="O20" s="574">
        <v>1.5</v>
      </c>
      <c r="P20" s="574">
        <v>1.6</v>
      </c>
      <c r="Q20" s="574">
        <v>1.7</v>
      </c>
      <c r="R20" s="574">
        <v>2</v>
      </c>
      <c r="S20" s="574">
        <v>1296.5</v>
      </c>
      <c r="T20" s="574">
        <v>1370.2</v>
      </c>
      <c r="U20" s="574">
        <v>1436.5</v>
      </c>
      <c r="V20" s="574">
        <v>1517.7</v>
      </c>
      <c r="W20" s="574">
        <v>1741</v>
      </c>
      <c r="X20" s="575">
        <v>7752</v>
      </c>
      <c r="Y20" s="571">
        <v>5.3912294909171266E-2</v>
      </c>
      <c r="Z20" s="571">
        <v>6.6858844342181811E-2</v>
      </c>
      <c r="AA20" s="575">
        <v>6648</v>
      </c>
      <c r="AB20" s="575">
        <v>408</v>
      </c>
      <c r="AC20" s="575">
        <v>437</v>
      </c>
      <c r="AD20" s="575">
        <v>462</v>
      </c>
      <c r="AE20" s="575">
        <v>491</v>
      </c>
      <c r="AF20" s="575">
        <v>544</v>
      </c>
    </row>
    <row r="21" spans="1:32" s="562" customFormat="1" ht="14.25" hidden="1" outlineLevel="1">
      <c r="A21" s="1" t="s">
        <v>1050</v>
      </c>
      <c r="B21" s="566"/>
      <c r="C21" s="1" t="s">
        <v>1051</v>
      </c>
      <c r="D21" s="574">
        <v>26.4</v>
      </c>
      <c r="E21" s="574">
        <v>21.7</v>
      </c>
      <c r="F21" s="574">
        <v>17.100000000000001</v>
      </c>
      <c r="G21" s="574">
        <v>13.7</v>
      </c>
      <c r="H21" s="574">
        <v>14</v>
      </c>
      <c r="I21" s="574">
        <v>26.975911458333332</v>
      </c>
      <c r="J21" s="574">
        <v>16.802514193025143</v>
      </c>
      <c r="K21" s="574">
        <v>13.22956577266922</v>
      </c>
      <c r="L21" s="574">
        <v>10.67087303631213</v>
      </c>
      <c r="M21" s="574">
        <v>11.675119752042828</v>
      </c>
      <c r="N21" s="574">
        <v>4.2</v>
      </c>
      <c r="O21" s="574">
        <v>7.3</v>
      </c>
      <c r="P21" s="574">
        <v>9.1999999999999993</v>
      </c>
      <c r="Q21" s="574">
        <v>11.5</v>
      </c>
      <c r="R21" s="574">
        <v>11.2</v>
      </c>
      <c r="S21" s="574">
        <v>6401.9</v>
      </c>
      <c r="T21" s="574">
        <v>8178.9</v>
      </c>
      <c r="U21" s="574">
        <v>9320.2000000000007</v>
      </c>
      <c r="V21" s="574">
        <v>10317.1</v>
      </c>
      <c r="W21" s="574" t="s">
        <v>2101</v>
      </c>
      <c r="X21" s="575">
        <v>5117</v>
      </c>
      <c r="Y21" s="571">
        <v>0.17241918919543875</v>
      </c>
      <c r="Z21" s="571">
        <v>0.39899506761494807</v>
      </c>
      <c r="AA21" s="575">
        <v>41435</v>
      </c>
      <c r="AB21" s="575">
        <v>1536</v>
      </c>
      <c r="AC21" s="575">
        <v>2466</v>
      </c>
      <c r="AD21" s="575">
        <v>3132</v>
      </c>
      <c r="AE21" s="575">
        <v>3883</v>
      </c>
      <c r="AF21" s="575">
        <v>3549</v>
      </c>
    </row>
    <row r="22" spans="1:32" s="562" customFormat="1" ht="14.25" hidden="1" outlineLevel="1">
      <c r="A22" s="1" t="s">
        <v>1052</v>
      </c>
      <c r="B22" s="566"/>
      <c r="C22" s="1" t="s">
        <v>1053</v>
      </c>
      <c r="D22" s="567">
        <v>13.717574421168701</v>
      </c>
      <c r="E22" s="567">
        <v>14.196621296976</v>
      </c>
      <c r="F22" s="567">
        <v>12.7446055710178</v>
      </c>
      <c r="G22" s="567">
        <v>11.831741982336</v>
      </c>
      <c r="H22" s="567">
        <v>10.9087742157301</v>
      </c>
      <c r="I22" s="567">
        <v>11.5334867256637</v>
      </c>
      <c r="J22" s="567">
        <v>11.5391014736232</v>
      </c>
      <c r="K22" s="567">
        <v>10.227400203060199</v>
      </c>
      <c r="L22" s="567">
        <v>9.1086265319893993</v>
      </c>
      <c r="M22" s="567">
        <v>8.0449827075735794</v>
      </c>
      <c r="N22" s="568">
        <v>4.8244680851063801</v>
      </c>
      <c r="O22" s="568">
        <v>4.6222265585106399</v>
      </c>
      <c r="P22" s="568">
        <v>5.1488451042553196</v>
      </c>
      <c r="Q22" s="568">
        <v>5.5460979539586202</v>
      </c>
      <c r="R22" s="568">
        <v>6.0153412933763004</v>
      </c>
      <c r="S22" s="569">
        <v>4530</v>
      </c>
      <c r="T22" s="569">
        <v>4654.0200000000004</v>
      </c>
      <c r="U22" s="569">
        <v>4807.6243999999997</v>
      </c>
      <c r="V22" s="569">
        <v>5033.6977790000001</v>
      </c>
      <c r="W22" s="569">
        <v>5205.9439570900004</v>
      </c>
      <c r="X22" s="572">
        <v>15209.744823999999</v>
      </c>
      <c r="Y22" s="571">
        <v>3.5769166225056548E-2</v>
      </c>
      <c r="Z22" s="571">
        <v>4.756110713659889E-2</v>
      </c>
      <c r="AA22" s="572"/>
    </row>
    <row r="23" spans="1:32" s="562" customFormat="1" ht="14.25" hidden="1" outlineLevel="1">
      <c r="A23" s="1" t="s">
        <v>1054</v>
      </c>
      <c r="B23" s="566"/>
      <c r="C23" s="1" t="s">
        <v>1055</v>
      </c>
      <c r="D23" s="567">
        <v>19.759063850754799</v>
      </c>
      <c r="E23" s="567">
        <v>16.0051763948073</v>
      </c>
      <c r="F23" s="567">
        <v>14.562996106502201</v>
      </c>
      <c r="G23" s="567">
        <v>13.3416388822792</v>
      </c>
      <c r="H23" s="567">
        <v>12.240559906299501</v>
      </c>
      <c r="I23" s="567">
        <v>15.900873702266599</v>
      </c>
      <c r="J23" s="567">
        <v>14.476809954447999</v>
      </c>
      <c r="K23" s="567">
        <v>13.1310251599472</v>
      </c>
      <c r="L23" s="567">
        <v>11.9437704817396</v>
      </c>
      <c r="M23" s="567">
        <v>10.8367862826509</v>
      </c>
      <c r="N23" s="568">
        <v>1.17719773693968</v>
      </c>
      <c r="O23" s="568">
        <v>1.2828905741371801</v>
      </c>
      <c r="P23" s="568">
        <v>1.4099358253026999</v>
      </c>
      <c r="Q23" s="568">
        <v>1.5390080720573001</v>
      </c>
      <c r="R23" s="568">
        <v>1.67744695434513</v>
      </c>
      <c r="S23" s="569">
        <v>5268.0502800000004</v>
      </c>
      <c r="T23" s="569">
        <v>5277.9198787770802</v>
      </c>
      <c r="U23" s="569">
        <v>5572.5370887190502</v>
      </c>
      <c r="V23" s="569">
        <v>5881.5934091865602</v>
      </c>
      <c r="W23" s="569">
        <v>6208.6499941755001</v>
      </c>
      <c r="X23" s="570">
        <v>14267.7363489911</v>
      </c>
      <c r="Y23" s="571">
        <v>3.7405061174591525E-2</v>
      </c>
      <c r="Z23" s="571">
        <v>9.344554559335716E-2</v>
      </c>
      <c r="AA23" s="570"/>
    </row>
    <row r="24" spans="1:32" s="562" customFormat="1" ht="15" hidden="1" outlineLevel="1">
      <c r="A24" s="560"/>
      <c r="B24" s="560"/>
      <c r="C24" s="560" t="s">
        <v>1056</v>
      </c>
      <c r="D24" s="563">
        <v>17.074057722778388</v>
      </c>
      <c r="E24" s="563">
        <v>15.720409983871557</v>
      </c>
      <c r="F24" s="563">
        <v>14.509454724666398</v>
      </c>
      <c r="G24" s="563">
        <v>13.342437579818508</v>
      </c>
      <c r="H24" s="563">
        <v>12.37675446881096</v>
      </c>
      <c r="I24" s="563">
        <v>14.842342807036301</v>
      </c>
      <c r="J24" s="563">
        <v>13.90261740822196</v>
      </c>
      <c r="K24" s="563">
        <v>12.537397903122155</v>
      </c>
      <c r="L24" s="563">
        <v>11.261205405292001</v>
      </c>
      <c r="M24" s="563">
        <v>10.15519664116335</v>
      </c>
      <c r="N24" s="563"/>
      <c r="O24" s="563"/>
      <c r="P24" s="563"/>
      <c r="Q24" s="563"/>
      <c r="R24" s="563"/>
      <c r="S24" s="563"/>
      <c r="T24" s="563"/>
      <c r="U24" s="563"/>
      <c r="V24" s="563"/>
      <c r="W24" s="563"/>
      <c r="X24" s="560"/>
      <c r="Y24" s="564" t="e">
        <v>#VALUE!</v>
      </c>
      <c r="Z24" s="564">
        <v>5.8224557210420004E-2</v>
      </c>
      <c r="AA24" s="560"/>
      <c r="AB24" s="560"/>
      <c r="AC24" s="560"/>
      <c r="AD24" s="560"/>
      <c r="AE24" s="560"/>
      <c r="AF24" s="560"/>
    </row>
    <row r="25" spans="1:32" s="577" customFormat="1" hidden="1" outlineLevel="1">
      <c r="A25" s="1" t="s">
        <v>1059</v>
      </c>
      <c r="B25" s="566"/>
      <c r="C25" s="309" t="s">
        <v>791</v>
      </c>
      <c r="D25" s="574">
        <v>4.7</v>
      </c>
      <c r="E25" s="574">
        <v>7.2</v>
      </c>
      <c r="F25" s="574">
        <v>6.3</v>
      </c>
      <c r="G25" s="574">
        <v>5.8</v>
      </c>
      <c r="H25" s="574">
        <v>5.5</v>
      </c>
      <c r="I25" s="574">
        <v>9.1359986617597855</v>
      </c>
      <c r="J25" s="574">
        <v>12.847565278757939</v>
      </c>
      <c r="K25" s="574">
        <v>11.821428571428571</v>
      </c>
      <c r="L25" s="574">
        <v>11.531883445945946</v>
      </c>
      <c r="M25" s="574">
        <v>11.143644154254234</v>
      </c>
      <c r="N25" s="574">
        <v>3.9</v>
      </c>
      <c r="O25" s="574">
        <v>2.5</v>
      </c>
      <c r="P25" s="574">
        <v>2.8</v>
      </c>
      <c r="Q25" s="574">
        <v>3</v>
      </c>
      <c r="R25" s="574">
        <v>3.2</v>
      </c>
      <c r="S25" s="574" t="s">
        <v>2101</v>
      </c>
      <c r="T25" s="574" t="s">
        <v>2101</v>
      </c>
      <c r="U25" s="574">
        <v>17995.3</v>
      </c>
      <c r="V25" s="574">
        <v>18016.2</v>
      </c>
      <c r="W25" s="574">
        <v>18310.3</v>
      </c>
      <c r="X25" s="575" t="s">
        <v>766</v>
      </c>
      <c r="Y25" s="571" t="e">
        <v>#VALUE!</v>
      </c>
      <c r="Z25" s="571">
        <v>-8.3739672925820963E-2</v>
      </c>
      <c r="AA25" s="575">
        <v>54615</v>
      </c>
      <c r="AB25" s="575">
        <v>5978</v>
      </c>
      <c r="AC25" s="575">
        <v>4251</v>
      </c>
      <c r="AD25" s="575">
        <v>4620</v>
      </c>
      <c r="AE25" s="575">
        <v>4736</v>
      </c>
      <c r="AF25" s="575">
        <v>4901</v>
      </c>
    </row>
    <row r="26" spans="1:32" s="577" customFormat="1" hidden="1" outlineLevel="1">
      <c r="A26" s="1" t="s">
        <v>1060</v>
      </c>
      <c r="B26" s="566"/>
      <c r="C26" s="309" t="s">
        <v>792</v>
      </c>
      <c r="D26" s="567">
        <v>9.2865691206544003</v>
      </c>
      <c r="E26" s="567">
        <v>7.6140051660675301</v>
      </c>
      <c r="F26" s="567">
        <v>6.7914859988061496</v>
      </c>
      <c r="G26" s="567">
        <v>6.3540996418398201</v>
      </c>
      <c r="H26" s="567" t="s">
        <v>819</v>
      </c>
      <c r="I26" s="567">
        <v>10.918311281644201</v>
      </c>
      <c r="J26" s="567">
        <v>8.8338766387238206</v>
      </c>
      <c r="K26" s="567">
        <v>7.5202312389258701</v>
      </c>
      <c r="L26" s="567">
        <v>6.5407382810265604</v>
      </c>
      <c r="M26" s="567" t="s">
        <v>819</v>
      </c>
      <c r="N26" s="568">
        <v>4.5560421131090996</v>
      </c>
      <c r="O26" s="568">
        <v>5.3598597728661002</v>
      </c>
      <c r="P26" s="568">
        <v>6.0089942035032999</v>
      </c>
      <c r="Q26" s="568">
        <v>6.4226251239874301</v>
      </c>
      <c r="R26" s="568" t="s">
        <v>819</v>
      </c>
      <c r="S26" s="569">
        <v>11907.7</v>
      </c>
      <c r="T26" s="569">
        <v>12449.2075</v>
      </c>
      <c r="U26" s="569">
        <v>13231.983604999999</v>
      </c>
      <c r="V26" s="569">
        <v>13715.646312049999</v>
      </c>
      <c r="W26" s="569" t="s">
        <v>819</v>
      </c>
      <c r="X26" s="570">
        <v>21900.6865</v>
      </c>
      <c r="Y26" s="571">
        <v>4.8244995264701496E-2</v>
      </c>
      <c r="Z26" s="571">
        <v>0.12126503972209823</v>
      </c>
      <c r="AA26" s="570"/>
    </row>
    <row r="27" spans="1:32" s="577" customFormat="1" hidden="1" outlineLevel="1">
      <c r="A27" s="1" t="s">
        <v>1061</v>
      </c>
      <c r="B27" s="566"/>
      <c r="C27" s="309" t="s">
        <v>924</v>
      </c>
      <c r="D27" s="567">
        <v>9.9969621745340707</v>
      </c>
      <c r="E27" s="567" t="s">
        <v>819</v>
      </c>
      <c r="F27" s="567" t="s">
        <v>819</v>
      </c>
      <c r="G27" s="567" t="s">
        <v>819</v>
      </c>
      <c r="H27" s="567" t="s">
        <v>819</v>
      </c>
      <c r="I27" s="567">
        <v>11.2660095109224</v>
      </c>
      <c r="J27" s="567" t="s">
        <v>819</v>
      </c>
      <c r="K27" s="567" t="s">
        <v>819</v>
      </c>
      <c r="L27" s="567" t="s">
        <v>819</v>
      </c>
      <c r="M27" s="567" t="s">
        <v>819</v>
      </c>
      <c r="N27" s="568">
        <v>16.362970784934902</v>
      </c>
      <c r="O27" s="568" t="s">
        <v>819</v>
      </c>
      <c r="P27" s="568" t="s">
        <v>819</v>
      </c>
      <c r="Q27" s="568" t="s">
        <v>819</v>
      </c>
      <c r="R27" s="568" t="s">
        <v>819</v>
      </c>
      <c r="S27" s="569">
        <v>15940.7</v>
      </c>
      <c r="T27" s="569" t="s">
        <v>819</v>
      </c>
      <c r="U27" s="569" t="s">
        <v>819</v>
      </c>
      <c r="V27" s="569" t="s">
        <v>819</v>
      </c>
      <c r="W27" s="569" t="s">
        <v>819</v>
      </c>
      <c r="X27" s="570">
        <v>55901.656485282001</v>
      </c>
      <c r="Y27" s="571" t="e">
        <v>#VALUE!</v>
      </c>
      <c r="Z27" s="571" t="e">
        <v>#VALUE!</v>
      </c>
      <c r="AA27" s="570"/>
    </row>
    <row r="28" spans="1:32" s="577" customFormat="1" hidden="1" outlineLevel="1">
      <c r="A28" s="1" t="s">
        <v>1062</v>
      </c>
      <c r="B28" s="566"/>
      <c r="C28" s="309" t="s">
        <v>793</v>
      </c>
      <c r="D28" s="567">
        <v>17.675695788275501</v>
      </c>
      <c r="E28" s="567">
        <v>15.6992152715081</v>
      </c>
      <c r="F28" s="567">
        <v>14.344885256645499</v>
      </c>
      <c r="G28" s="567">
        <v>13.2404801489789</v>
      </c>
      <c r="H28" s="567" t="s">
        <v>819</v>
      </c>
      <c r="I28" s="567">
        <v>14.9025535420253</v>
      </c>
      <c r="J28" s="567">
        <v>13.070922925195701</v>
      </c>
      <c r="K28" s="567">
        <v>11.792600698587</v>
      </c>
      <c r="L28" s="567">
        <v>10.507093499294299</v>
      </c>
      <c r="M28" s="567" t="s">
        <v>819</v>
      </c>
      <c r="N28" s="568">
        <v>4.9310647254867597</v>
      </c>
      <c r="O28" s="568">
        <v>5.2696901449681599</v>
      </c>
      <c r="P28" s="568">
        <v>5.7672123910279502</v>
      </c>
      <c r="Q28" s="568">
        <v>6.2482628325514602</v>
      </c>
      <c r="R28" s="568" t="s">
        <v>819</v>
      </c>
      <c r="S28" s="569">
        <v>4925.6000000000004</v>
      </c>
      <c r="T28" s="569">
        <v>5072.0420000000004</v>
      </c>
      <c r="U28" s="569">
        <v>5219.8837800000001</v>
      </c>
      <c r="V28" s="569">
        <v>5381.5331581999999</v>
      </c>
      <c r="W28" s="569" t="s">
        <v>819</v>
      </c>
      <c r="X28" s="570">
        <v>11753.627509697701</v>
      </c>
      <c r="Y28" s="571">
        <v>2.9948777959163175E-2</v>
      </c>
      <c r="Z28" s="571">
        <v>8.2113617282751239E-2</v>
      </c>
      <c r="AA28" s="570"/>
    </row>
    <row r="29" spans="1:32" s="562" customFormat="1" ht="15" hidden="1" outlineLevel="1">
      <c r="A29" s="560"/>
      <c r="B29" s="560"/>
      <c r="C29" s="560" t="s">
        <v>1058</v>
      </c>
      <c r="D29" s="563">
        <v>10.83102023525826</v>
      </c>
      <c r="E29" s="563">
        <v>3.9224036845983474</v>
      </c>
      <c r="F29" s="563">
        <v>3.5435118613643728</v>
      </c>
      <c r="G29" s="563">
        <v>3.2916042820714648</v>
      </c>
      <c r="H29" s="563">
        <v>0</v>
      </c>
      <c r="I29" s="563">
        <v>11.658253086130378</v>
      </c>
      <c r="J29" s="563">
        <v>3.875774224729553</v>
      </c>
      <c r="K29" s="563">
        <v>3.3867542395737544</v>
      </c>
      <c r="L29" s="563">
        <v>2.9785074104750615</v>
      </c>
      <c r="M29" s="563">
        <v>0</v>
      </c>
      <c r="N29" s="563"/>
      <c r="O29" s="563"/>
      <c r="P29" s="563"/>
      <c r="Q29" s="563"/>
      <c r="R29" s="563"/>
      <c r="S29" s="563"/>
      <c r="T29" s="563"/>
      <c r="U29" s="563"/>
      <c r="V29" s="563"/>
      <c r="W29" s="563"/>
      <c r="X29" s="560"/>
      <c r="Y29" s="564" t="e">
        <v>#VALUE!</v>
      </c>
      <c r="Z29" s="564" t="e">
        <v>#VALUE!</v>
      </c>
      <c r="AA29" s="560"/>
      <c r="AB29" s="560"/>
      <c r="AC29" s="560"/>
      <c r="AD29" s="560"/>
      <c r="AE29" s="560"/>
      <c r="AF29" s="560"/>
    </row>
    <row r="30" spans="1:32" customFormat="1" hidden="1" outlineLevel="1">
      <c r="A30" s="312" t="s">
        <v>794</v>
      </c>
      <c r="B30" s="566"/>
      <c r="C30" s="79" t="s">
        <v>790</v>
      </c>
      <c r="D30" s="574">
        <v>24.8</v>
      </c>
      <c r="E30" s="574">
        <v>19</v>
      </c>
      <c r="F30" s="574">
        <v>17.7</v>
      </c>
      <c r="G30" s="574">
        <v>15.9</v>
      </c>
      <c r="H30" s="574">
        <v>15.5</v>
      </c>
      <c r="I30" s="574">
        <v>24.320582877959929</v>
      </c>
      <c r="J30" s="574">
        <v>18.518723994452149</v>
      </c>
      <c r="K30" s="574">
        <v>16.648379052369076</v>
      </c>
      <c r="L30" s="574">
        <v>15.138321995464853</v>
      </c>
      <c r="M30" s="574">
        <v>18.018893387314439</v>
      </c>
      <c r="N30" s="574">
        <v>9.6999999999999993</v>
      </c>
      <c r="O30" s="574">
        <v>11.8</v>
      </c>
      <c r="P30" s="574">
        <v>12.7</v>
      </c>
      <c r="Q30" s="574">
        <v>14.1</v>
      </c>
      <c r="R30" s="574">
        <v>14.5</v>
      </c>
      <c r="S30" s="574">
        <v>2137.1</v>
      </c>
      <c r="T30" s="574">
        <v>2534.1999999999998</v>
      </c>
      <c r="U30" s="574">
        <v>2704.3</v>
      </c>
      <c r="V30" s="574">
        <v>2868.4</v>
      </c>
      <c r="W30" s="574">
        <v>2864</v>
      </c>
      <c r="X30" s="575">
        <v>11041</v>
      </c>
      <c r="Y30" s="571">
        <v>0.10307478314008867</v>
      </c>
      <c r="Z30" s="571">
        <v>0.13278926865989971</v>
      </c>
      <c r="AA30" s="575">
        <v>13352</v>
      </c>
      <c r="AB30" s="575">
        <v>549</v>
      </c>
      <c r="AC30" s="575">
        <v>721</v>
      </c>
      <c r="AD30" s="575">
        <v>802</v>
      </c>
      <c r="AE30" s="575">
        <v>882</v>
      </c>
      <c r="AF30" s="575">
        <v>741</v>
      </c>
    </row>
    <row r="31" spans="1:32" customFormat="1" hidden="1" outlineLevel="1">
      <c r="A31" s="1" t="s">
        <v>1064</v>
      </c>
      <c r="B31" s="566"/>
      <c r="C31" s="79" t="s">
        <v>863</v>
      </c>
      <c r="D31" s="567">
        <v>30.538061344537802</v>
      </c>
      <c r="E31" s="567">
        <v>29.4475329534224</v>
      </c>
      <c r="F31" s="567">
        <v>27.3326910282269</v>
      </c>
      <c r="G31" s="567">
        <v>25.2121502979901</v>
      </c>
      <c r="H31" s="567">
        <v>23.233926344993399</v>
      </c>
      <c r="I31" s="567">
        <v>22.221163965609701</v>
      </c>
      <c r="J31" s="567">
        <v>21.294080351058199</v>
      </c>
      <c r="K31" s="567">
        <v>19.245390602317102</v>
      </c>
      <c r="L31" s="567">
        <v>17.266715785595199</v>
      </c>
      <c r="M31" s="567">
        <v>15.456460906676201</v>
      </c>
      <c r="N31" s="568">
        <v>3.76415512114886</v>
      </c>
      <c r="O31" s="568">
        <v>3.8492188863252901</v>
      </c>
      <c r="P31" s="568">
        <v>4.1470486708733496</v>
      </c>
      <c r="Q31" s="568">
        <v>4.4958481787662601</v>
      </c>
      <c r="R31" s="568">
        <v>4.8786416173014002</v>
      </c>
      <c r="S31" s="569">
        <v>7490</v>
      </c>
      <c r="T31" s="569">
        <v>7595.2290000000003</v>
      </c>
      <c r="U31" s="569">
        <v>8145.6324599999998</v>
      </c>
      <c r="V31" s="569">
        <v>8756.1304920000002</v>
      </c>
      <c r="W31" s="569">
        <v>9424.4171242680004</v>
      </c>
      <c r="X31" s="572">
        <v>30963.6757002101</v>
      </c>
      <c r="Y31" s="571">
        <v>5.3440802824537226E-2</v>
      </c>
      <c r="Z31" s="571">
        <v>6.0998349227235016E-2</v>
      </c>
      <c r="AA31" s="572"/>
    </row>
    <row r="32" spans="1:32" s="562" customFormat="1" ht="15" hidden="1" outlineLevel="1">
      <c r="A32" s="560"/>
      <c r="B32" s="560"/>
      <c r="C32" s="560" t="s">
        <v>1063</v>
      </c>
      <c r="D32" s="563">
        <v>29.02980222221526</v>
      </c>
      <c r="E32" s="563">
        <v>26.701381259215662</v>
      </c>
      <c r="F32" s="563">
        <v>24.800721911224024</v>
      </c>
      <c r="G32" s="563">
        <v>22.764435853676598</v>
      </c>
      <c r="H32" s="563">
        <v>21.20105073408504</v>
      </c>
      <c r="I32" s="563">
        <v>22.772999774953732</v>
      </c>
      <c r="J32" s="563">
        <v>20.564573242088088</v>
      </c>
      <c r="K32" s="563">
        <v>18.562761727198023</v>
      </c>
      <c r="L32" s="563">
        <v>16.707263880656157</v>
      </c>
      <c r="M32" s="563">
        <v>16.13000061498504</v>
      </c>
      <c r="N32" s="563"/>
      <c r="O32" s="563"/>
      <c r="P32" s="563"/>
      <c r="Q32" s="563"/>
      <c r="R32" s="563"/>
      <c r="S32" s="563"/>
      <c r="T32" s="563"/>
      <c r="U32" s="563"/>
      <c r="V32" s="563"/>
      <c r="W32" s="563"/>
      <c r="X32" s="560"/>
      <c r="Y32" s="564">
        <v>6.6487178436985109E-2</v>
      </c>
      <c r="Z32" s="564">
        <v>7.9868713734110294E-2</v>
      </c>
      <c r="AA32" s="560"/>
      <c r="AB32" s="560"/>
      <c r="AC32" s="560"/>
      <c r="AD32" s="560"/>
      <c r="AE32" s="560"/>
      <c r="AF32" s="560"/>
    </row>
    <row r="33" spans="1:27" s="577" customFormat="1" ht="15" hidden="1" outlineLevel="1">
      <c r="A33" t="s">
        <v>1057</v>
      </c>
      <c r="B33" s="576"/>
      <c r="C33" s="576"/>
      <c r="D33" s="578"/>
      <c r="E33" s="578"/>
      <c r="F33" s="578"/>
      <c r="G33" s="578"/>
      <c r="H33" s="578"/>
      <c r="I33" s="578"/>
      <c r="J33" s="578"/>
      <c r="K33" s="578"/>
      <c r="L33" s="578"/>
      <c r="M33" s="578"/>
      <c r="N33" s="578"/>
      <c r="O33" s="578"/>
      <c r="P33" s="578"/>
      <c r="Q33" s="578"/>
      <c r="R33" s="578"/>
      <c r="S33" s="578"/>
      <c r="T33" s="578"/>
      <c r="U33" s="578"/>
      <c r="V33" s="578"/>
      <c r="W33" s="578"/>
      <c r="X33" s="576"/>
      <c r="Y33" s="579"/>
      <c r="Z33" s="579"/>
      <c r="AA33" s="576"/>
    </row>
    <row r="34" spans="1:27" collapsed="1">
      <c r="A34" s="580" t="s">
        <v>811</v>
      </c>
      <c r="B34" s="580"/>
      <c r="C34" s="581"/>
      <c r="D34" s="581" t="s">
        <v>1065</v>
      </c>
      <c r="E34" s="1252">
        <v>77.2800000000003</v>
      </c>
      <c r="F34"/>
      <c r="G34" s="582"/>
      <c r="H34"/>
      <c r="I34"/>
      <c r="J34"/>
      <c r="K34" s="562"/>
      <c r="L34" s="562"/>
    </row>
    <row r="35" spans="1:27">
      <c r="A35"/>
      <c r="B35"/>
      <c r="C35" s="1" t="s">
        <v>1066</v>
      </c>
      <c r="D35" s="583">
        <v>43210.641493055555</v>
      </c>
      <c r="E35" s="582"/>
      <c r="F35" s="582"/>
      <c r="G35" s="582"/>
      <c r="H35"/>
      <c r="I35"/>
      <c r="J35"/>
      <c r="K35" s="562"/>
      <c r="L35" s="562"/>
    </row>
    <row r="36" spans="1:27">
      <c r="A36"/>
      <c r="B36"/>
      <c r="C36" s="1"/>
      <c r="D36" s="582"/>
      <c r="E36" s="582"/>
      <c r="F36" s="582"/>
      <c r="G36" s="582"/>
      <c r="H36"/>
      <c r="I36"/>
      <c r="J36"/>
      <c r="K36" s="562"/>
      <c r="L36" s="562"/>
    </row>
    <row r="37" spans="1:27">
      <c r="A37"/>
      <c r="C37" s="309"/>
    </row>
    <row r="38" spans="1:27">
      <c r="A38"/>
      <c r="C38" s="372" t="s">
        <v>1015</v>
      </c>
      <c r="D38" s="372"/>
      <c r="E38" s="391">
        <v>2018</v>
      </c>
      <c r="F38" s="391">
        <v>2019</v>
      </c>
      <c r="G38" s="391">
        <v>2020</v>
      </c>
      <c r="H38" s="391"/>
    </row>
    <row r="39" spans="1:27">
      <c r="A39"/>
      <c r="C39" s="373" t="s">
        <v>829</v>
      </c>
      <c r="D39" s="373"/>
      <c r="E39" s="392"/>
      <c r="F39" s="392"/>
      <c r="G39" s="392"/>
      <c r="H39" s="392"/>
      <c r="M39" s="358" t="s">
        <v>876</v>
      </c>
      <c r="N39" s="605"/>
      <c r="O39" s="606" t="s">
        <v>520</v>
      </c>
      <c r="P39" s="606" t="s">
        <v>18</v>
      </c>
    </row>
    <row r="40" spans="1:27">
      <c r="A40"/>
      <c r="C40" s="79" t="s">
        <v>798</v>
      </c>
      <c r="D40" s="79"/>
      <c r="E40" s="393">
        <v>11410.83078380935</v>
      </c>
      <c r="F40" s="393">
        <v>11650.114111605551</v>
      </c>
      <c r="G40" s="393">
        <v>12640.713598002492</v>
      </c>
      <c r="H40" s="393"/>
      <c r="M40" s="347" t="s">
        <v>873</v>
      </c>
      <c r="O40" s="505">
        <v>11</v>
      </c>
      <c r="P40" s="506">
        <v>0.25</v>
      </c>
    </row>
    <row r="41" spans="1:27">
      <c r="A41"/>
      <c r="C41" s="79" t="s">
        <v>700</v>
      </c>
      <c r="D41" s="85" t="s">
        <v>795</v>
      </c>
      <c r="E41" s="394">
        <v>13.299339866792778</v>
      </c>
      <c r="F41" s="394">
        <v>12.245009190722866</v>
      </c>
      <c r="G41" s="394">
        <v>11.066432925826287</v>
      </c>
      <c r="H41" s="394"/>
      <c r="M41" s="347" t="s">
        <v>874</v>
      </c>
      <c r="O41" s="505">
        <v>28</v>
      </c>
      <c r="P41" s="506">
        <v>0.52</v>
      </c>
    </row>
    <row r="42" spans="1:27">
      <c r="C42" s="374" t="s">
        <v>701</v>
      </c>
      <c r="D42" s="374"/>
      <c r="E42" s="384">
        <v>151756.51675634197</v>
      </c>
      <c r="F42" s="384">
        <v>142655.75436958013</v>
      </c>
      <c r="G42" s="384">
        <v>139887.60916687487</v>
      </c>
      <c r="H42" s="436">
        <v>0.84176423244543297</v>
      </c>
      <c r="M42" s="504" t="s">
        <v>875</v>
      </c>
      <c r="N42" s="504"/>
      <c r="O42" s="507">
        <v>12.9</v>
      </c>
      <c r="P42" s="508">
        <v>0.23</v>
      </c>
    </row>
    <row r="43" spans="1:27">
      <c r="C43" s="373" t="s">
        <v>59</v>
      </c>
      <c r="D43" s="375"/>
      <c r="E43" s="395"/>
      <c r="F43" s="395"/>
      <c r="G43" s="395"/>
      <c r="H43" s="395"/>
      <c r="M43" s="347" t="s">
        <v>13</v>
      </c>
      <c r="O43" s="389">
        <v>51.9</v>
      </c>
    </row>
    <row r="44" spans="1:27">
      <c r="C44" s="79" t="s">
        <v>798</v>
      </c>
      <c r="D44" s="79"/>
      <c r="E44" s="393">
        <v>1108.6477082474089</v>
      </c>
      <c r="F44" s="393">
        <v>1234.7026903034243</v>
      </c>
      <c r="G44" s="393">
        <v>1335.8409737029942</v>
      </c>
      <c r="H44" s="393"/>
    </row>
    <row r="45" spans="1:27">
      <c r="C45" s="79" t="s">
        <v>700</v>
      </c>
      <c r="D45" s="85" t="s">
        <v>864</v>
      </c>
      <c r="E45" s="394">
        <v>20.564573242088088</v>
      </c>
      <c r="F45" s="394">
        <v>18.562761727198023</v>
      </c>
      <c r="G45" s="394">
        <v>16.707263880656157</v>
      </c>
      <c r="H45" s="394"/>
    </row>
    <row r="46" spans="1:27">
      <c r="C46" s="374" t="s">
        <v>701</v>
      </c>
      <c r="D46" s="374"/>
      <c r="E46" s="384">
        <v>22798.866995926946</v>
      </c>
      <c r="F46" s="384">
        <v>22919.49184403284</v>
      </c>
      <c r="G46" s="384">
        <v>22318.247650248588</v>
      </c>
      <c r="H46" s="436">
        <v>0.1318692093624601</v>
      </c>
    </row>
    <row r="47" spans="1:27">
      <c r="C47" s="373" t="s">
        <v>71</v>
      </c>
      <c r="D47" s="375"/>
      <c r="E47" s="395"/>
      <c r="F47" s="395"/>
      <c r="G47" s="395"/>
      <c r="H47" s="395"/>
    </row>
    <row r="48" spans="1:27">
      <c r="C48" s="79" t="s">
        <v>798</v>
      </c>
      <c r="D48" s="79"/>
      <c r="E48" s="393">
        <v>2165.7999667809763</v>
      </c>
      <c r="F48" s="393">
        <v>2384.6616026284114</v>
      </c>
      <c r="G48" s="393">
        <v>2569.8362861936212</v>
      </c>
      <c r="H48" s="393"/>
    </row>
    <row r="49" spans="3:16">
      <c r="C49" s="79" t="s">
        <v>700</v>
      </c>
      <c r="D49" s="85" t="s">
        <v>926</v>
      </c>
      <c r="E49" s="394">
        <v>3.875774224729553</v>
      </c>
      <c r="F49" s="394">
        <v>3.3867542395737544</v>
      </c>
      <c r="G49" s="394">
        <v>2.9785074104750615</v>
      </c>
      <c r="H49" s="394"/>
    </row>
    <row r="50" spans="3:16">
      <c r="C50" s="374" t="s">
        <v>701</v>
      </c>
      <c r="D50" s="374"/>
      <c r="E50" s="384">
        <v>8394.1516871698295</v>
      </c>
      <c r="F50" s="384">
        <v>8076.2627926505156</v>
      </c>
      <c r="G50" s="384">
        <v>7654.2764221354118</v>
      </c>
      <c r="H50" s="436">
        <v>4.6758709457569499E-2</v>
      </c>
      <c r="M50" s="512" t="s">
        <v>891</v>
      </c>
      <c r="N50" s="512"/>
      <c r="O50" s="512"/>
      <c r="P50" s="607" t="s">
        <v>892</v>
      </c>
    </row>
    <row r="51" spans="3:16">
      <c r="C51" s="373" t="s">
        <v>424</v>
      </c>
      <c r="D51" s="375"/>
      <c r="E51" s="395"/>
      <c r="F51" s="395"/>
      <c r="G51" s="395"/>
      <c r="H51" s="395"/>
      <c r="M51" s="312" t="s">
        <v>936</v>
      </c>
      <c r="P51" s="343">
        <v>17137.103786485593</v>
      </c>
    </row>
    <row r="52" spans="3:16">
      <c r="C52" s="79" t="s">
        <v>798</v>
      </c>
      <c r="D52" s="79"/>
      <c r="E52" s="393">
        <v>-295.19790920716343</v>
      </c>
      <c r="F52" s="393">
        <v>-313.0146361853412</v>
      </c>
      <c r="G52" s="393">
        <v>-319.88098304518144</v>
      </c>
      <c r="H52" s="393"/>
      <c r="M52" s="312" t="s">
        <v>865</v>
      </c>
      <c r="P52" s="343">
        <v>7600</v>
      </c>
    </row>
    <row r="53" spans="3:16">
      <c r="C53" s="79" t="s">
        <v>702</v>
      </c>
      <c r="D53" s="79" t="s">
        <v>796</v>
      </c>
      <c r="E53" s="394">
        <v>12.458022907242732</v>
      </c>
      <c r="F53" s="394">
        <v>11.372458469482641</v>
      </c>
      <c r="G53" s="394">
        <v>10.265690850531859</v>
      </c>
      <c r="H53" s="394"/>
      <c r="M53" s="379" t="s">
        <v>59</v>
      </c>
      <c r="N53" s="379"/>
      <c r="O53" s="379"/>
      <c r="P53" s="603">
        <v>22678.868830069459</v>
      </c>
    </row>
    <row r="54" spans="3:16">
      <c r="C54" s="374" t="s">
        <v>701</v>
      </c>
      <c r="D54" s="374"/>
      <c r="E54" s="384">
        <v>-3677.5823150730025</v>
      </c>
      <c r="F54" s="384">
        <v>-3559.7459503580112</v>
      </c>
      <c r="G54" s="384">
        <v>-3283.7992809060561</v>
      </c>
      <c r="H54" s="436"/>
      <c r="M54" s="312" t="s">
        <v>927</v>
      </c>
      <c r="P54" s="343">
        <v>47415.972616555053</v>
      </c>
    </row>
    <row r="55" spans="3:16">
      <c r="C55" s="376" t="s">
        <v>703</v>
      </c>
      <c r="D55" s="376"/>
      <c r="E55" s="385">
        <v>179271.95312436574</v>
      </c>
      <c r="F55" s="385">
        <v>170091.76305590547</v>
      </c>
      <c r="G55" s="385">
        <v>166576.3339583528</v>
      </c>
      <c r="H55" s="385"/>
      <c r="P55" s="343"/>
    </row>
    <row r="56" spans="3:16">
      <c r="C56" s="56" t="s">
        <v>704</v>
      </c>
      <c r="E56" s="386">
        <v>8989.0059995645861</v>
      </c>
      <c r="F56" s="386">
        <v>3113.6432108155168</v>
      </c>
      <c r="G56" s="386">
        <v>-3758.0232513777155</v>
      </c>
      <c r="M56" s="312" t="s">
        <v>928</v>
      </c>
      <c r="P56" s="343">
        <v>19995.523808523747</v>
      </c>
    </row>
    <row r="57" spans="3:16">
      <c r="C57" s="56" t="s">
        <v>689</v>
      </c>
      <c r="E57" s="387">
        <v>7057</v>
      </c>
      <c r="F57" s="387">
        <v>7057</v>
      </c>
      <c r="G57" s="387">
        <v>7057</v>
      </c>
      <c r="M57" s="312" t="s">
        <v>930</v>
      </c>
      <c r="P57" s="343">
        <v>59986.571425571237</v>
      </c>
    </row>
    <row r="58" spans="3:16">
      <c r="C58" s="1249" t="s">
        <v>691</v>
      </c>
      <c r="E58" s="387">
        <v>59</v>
      </c>
      <c r="F58" s="387">
        <v>59</v>
      </c>
      <c r="G58" s="387">
        <v>59</v>
      </c>
      <c r="P58" s="343"/>
    </row>
    <row r="59" spans="3:16">
      <c r="C59" s="1249" t="s">
        <v>865</v>
      </c>
      <c r="E59" s="387">
        <v>7600</v>
      </c>
      <c r="F59" s="387">
        <v>7600</v>
      </c>
      <c r="G59" s="387">
        <v>7600</v>
      </c>
      <c r="M59" s="312" t="s">
        <v>929</v>
      </c>
      <c r="P59" s="343">
        <v>3113.6432108155168</v>
      </c>
    </row>
    <row r="60" spans="3:16">
      <c r="C60" s="56" t="s">
        <v>936</v>
      </c>
      <c r="E60" s="387">
        <v>17137.103786485593</v>
      </c>
      <c r="F60" s="387">
        <v>17103.320644216688</v>
      </c>
      <c r="G60" s="387">
        <v>17103.320644216688</v>
      </c>
      <c r="P60" s="343"/>
    </row>
    <row r="61" spans="3:16">
      <c r="C61" s="1250" t="s">
        <v>705</v>
      </c>
      <c r="D61" s="382"/>
      <c r="E61" s="388">
        <v>187904.05091128676</v>
      </c>
      <c r="F61" s="388">
        <v>184565.44048930664</v>
      </c>
      <c r="G61" s="388">
        <v>187921.67785394721</v>
      </c>
      <c r="M61" s="511" t="s">
        <v>937</v>
      </c>
      <c r="N61" s="511"/>
      <c r="O61" s="511"/>
      <c r="P61" s="604">
        <v>104288.90083131078</v>
      </c>
    </row>
    <row r="62" spans="3:16">
      <c r="C62" s="56" t="s">
        <v>787</v>
      </c>
      <c r="E62" s="389">
        <v>81.213311482980473</v>
      </c>
      <c r="F62" s="389">
        <v>80.063195175747609</v>
      </c>
      <c r="G62" s="389">
        <v>81.848743224007322</v>
      </c>
    </row>
    <row r="63" spans="3:16">
      <c r="C63" s="312" t="s">
        <v>788</v>
      </c>
      <c r="E63" s="389">
        <v>78.847875226194631</v>
      </c>
      <c r="F63" s="389">
        <v>77.731257452182149</v>
      </c>
      <c r="G63" s="389">
        <v>79.464799246609047</v>
      </c>
    </row>
    <row r="64" spans="3:16">
      <c r="C64" s="378" t="s">
        <v>789</v>
      </c>
      <c r="D64" s="378"/>
      <c r="E64" s="346">
        <v>78.681310641661938</v>
      </c>
      <c r="F64" s="390"/>
      <c r="G64" s="390"/>
      <c r="H64" s="390"/>
      <c r="I64" s="377"/>
    </row>
    <row r="65" spans="1:14">
      <c r="C65" s="311" t="s">
        <v>573</v>
      </c>
      <c r="E65" s="344">
        <v>1.03</v>
      </c>
      <c r="F65" s="389"/>
      <c r="I65" s="377"/>
    </row>
    <row r="68" spans="1:14" s="562" customFormat="1" ht="15">
      <c r="A68"/>
      <c r="B68"/>
      <c r="C68" s="584" t="s">
        <v>642</v>
      </c>
      <c r="D68" s="585" t="s">
        <v>708</v>
      </c>
      <c r="E68" s="586"/>
      <c r="F68" s="585" t="s">
        <v>406</v>
      </c>
      <c r="G68" s="586"/>
      <c r="H68" s="586"/>
      <c r="I68" s="586"/>
      <c r="J68" s="586"/>
    </row>
    <row r="69" spans="1:14" s="562" customFormat="1">
      <c r="A69"/>
      <c r="B69"/>
      <c r="C69" s="587" t="s">
        <v>643</v>
      </c>
      <c r="D69" s="380">
        <v>78.681310641661938</v>
      </c>
      <c r="E69" s="588"/>
      <c r="F69" s="588" t="s">
        <v>925</v>
      </c>
      <c r="G69" s="1"/>
      <c r="H69" s="1"/>
      <c r="I69" s="1"/>
      <c r="J69"/>
    </row>
    <row r="70" spans="1:14" s="562" customFormat="1">
      <c r="A70"/>
      <c r="B70"/>
      <c r="C70" s="587" t="s">
        <v>644</v>
      </c>
      <c r="D70" s="380">
        <v>106.93067514395931</v>
      </c>
      <c r="E70" s="588"/>
      <c r="F70" s="312" t="s">
        <v>2102</v>
      </c>
      <c r="G70" s="1"/>
      <c r="H70" s="1"/>
      <c r="I70" s="1"/>
      <c r="J70"/>
    </row>
    <row r="71" spans="1:14" s="562" customFormat="1">
      <c r="A71"/>
      <c r="B71"/>
      <c r="C71" s="589" t="s">
        <v>645</v>
      </c>
      <c r="D71" s="381">
        <v>92</v>
      </c>
      <c r="E71" s="589"/>
      <c r="F71" s="589" t="s">
        <v>1447</v>
      </c>
      <c r="G71" s="581"/>
      <c r="H71" s="581"/>
      <c r="I71" s="581"/>
      <c r="J71" s="586"/>
    </row>
    <row r="72" spans="1:14" s="562" customFormat="1" ht="15" hidden="1" outlineLevel="1">
      <c r="A72"/>
      <c r="B72"/>
      <c r="C72" s="1" t="s">
        <v>1448</v>
      </c>
      <c r="D72" s="590">
        <v>92.805992892810622</v>
      </c>
      <c r="E72" s="1"/>
      <c r="F72" s="1"/>
      <c r="G72" s="1"/>
      <c r="H72" s="1"/>
      <c r="I72" s="1"/>
      <c r="J72"/>
    </row>
    <row r="73" spans="1:14" s="562" customFormat="1" ht="15" collapsed="1">
      <c r="A73"/>
      <c r="B73"/>
      <c r="C73" s="1" t="s">
        <v>972</v>
      </c>
      <c r="D73" s="591">
        <v>0.1904761904761858</v>
      </c>
      <c r="E73" s="1"/>
      <c r="F73" s="1"/>
      <c r="G73" s="1"/>
      <c r="H73" s="1"/>
      <c r="I73" s="1"/>
      <c r="J73"/>
    </row>
    <row r="74" spans="1:14" s="562" customFormat="1" ht="15">
      <c r="A74"/>
      <c r="B74"/>
      <c r="C74" s="1"/>
      <c r="D74" s="1"/>
      <c r="E74" s="1"/>
      <c r="F74" s="1"/>
      <c r="G74" s="1"/>
      <c r="H74" s="1"/>
      <c r="I74" s="1"/>
      <c r="J74"/>
    </row>
    <row r="75" spans="1:14" s="562" customFormat="1" ht="15">
      <c r="A75"/>
      <c r="B75"/>
      <c r="C75" s="592" t="s">
        <v>1449</v>
      </c>
      <c r="D75" s="593" t="s">
        <v>1450</v>
      </c>
      <c r="E75" s="593" t="s">
        <v>1451</v>
      </c>
      <c r="F75" s="594" t="s">
        <v>1452</v>
      </c>
      <c r="G75" s="593" t="s">
        <v>1453</v>
      </c>
      <c r="H75"/>
      <c r="I75"/>
      <c r="J75"/>
      <c r="K75"/>
      <c r="L75"/>
      <c r="M75"/>
      <c r="N75"/>
    </row>
    <row r="76" spans="1:14" s="562" customFormat="1" ht="15">
      <c r="A76"/>
      <c r="B76"/>
      <c r="C76" s="22" t="s">
        <v>644</v>
      </c>
      <c r="D76" s="608">
        <v>105</v>
      </c>
      <c r="E76" s="401">
        <v>106.93067514395931</v>
      </c>
      <c r="F76" s="595">
        <v>1.8387382323421964E-2</v>
      </c>
      <c r="G76" s="596">
        <v>0.96533757197965286</v>
      </c>
      <c r="H76"/>
      <c r="I76"/>
      <c r="J76"/>
      <c r="K76"/>
    </row>
    <row r="77" spans="1:14" s="562" customFormat="1" ht="15.75" thickBot="1">
      <c r="C77" s="22" t="s">
        <v>1457</v>
      </c>
      <c r="D77" s="608">
        <v>76</v>
      </c>
      <c r="E77" s="401">
        <v>78.681310641661938</v>
      </c>
      <c r="F77" s="595">
        <v>3.5280403179762443E-2</v>
      </c>
      <c r="G77" s="596">
        <v>1.3406553208309688</v>
      </c>
      <c r="H77"/>
      <c r="I77"/>
      <c r="J77"/>
      <c r="K77"/>
    </row>
    <row r="78" spans="1:14" s="562" customFormat="1" ht="15.75" thickBot="1">
      <c r="C78" s="597" t="s">
        <v>1454</v>
      </c>
      <c r="D78" s="609">
        <v>92</v>
      </c>
      <c r="E78" s="598">
        <v>92</v>
      </c>
      <c r="F78" s="599">
        <v>0</v>
      </c>
      <c r="G78" s="600">
        <v>0</v>
      </c>
      <c r="H78"/>
      <c r="I78"/>
      <c r="J78"/>
      <c r="K78"/>
    </row>
    <row r="79" spans="1:14" s="562" customFormat="1" ht="15">
      <c r="E79"/>
      <c r="F79"/>
      <c r="G79"/>
      <c r="H79"/>
      <c r="I79"/>
      <c r="J79"/>
      <c r="K79"/>
    </row>
    <row r="80" spans="1:14" s="562" customFormat="1" ht="15">
      <c r="A80"/>
      <c r="B80"/>
      <c r="C80"/>
      <c r="D80"/>
      <c r="E80"/>
      <c r="F80"/>
      <c r="G80"/>
      <c r="H80"/>
      <c r="I80"/>
      <c r="J80"/>
      <c r="K80"/>
      <c r="L80"/>
      <c r="M80"/>
      <c r="N80"/>
    </row>
    <row r="81" spans="1:15" s="562" customFormat="1" ht="15">
      <c r="A81"/>
      <c r="C81"/>
      <c r="D81" s="250" t="s">
        <v>1455</v>
      </c>
      <c r="E81" s="250" t="s">
        <v>714</v>
      </c>
      <c r="F81" s="250" t="s">
        <v>715</v>
      </c>
      <c r="G81" s="250" t="s">
        <v>716</v>
      </c>
      <c r="H81" s="250" t="s">
        <v>717</v>
      </c>
      <c r="I81" s="250" t="s">
        <v>718</v>
      </c>
      <c r="J81" s="250" t="s">
        <v>719</v>
      </c>
      <c r="K81" s="250" t="s">
        <v>720</v>
      </c>
      <c r="L81" s="250" t="s">
        <v>721</v>
      </c>
      <c r="M81" s="250" t="s">
        <v>722</v>
      </c>
      <c r="N81" s="250" t="s">
        <v>723</v>
      </c>
      <c r="O81" s="250" t="s">
        <v>724</v>
      </c>
    </row>
    <row r="82" spans="1:15" s="562" customFormat="1" ht="15">
      <c r="A82"/>
      <c r="C82" s="601" t="s">
        <v>1456</v>
      </c>
      <c r="D82" s="602">
        <v>92</v>
      </c>
      <c r="E82" s="253">
        <v>1.5</v>
      </c>
      <c r="F82" s="254">
        <v>92</v>
      </c>
      <c r="G82" s="254">
        <v>92</v>
      </c>
      <c r="H82"/>
      <c r="I82"/>
      <c r="J82"/>
      <c r="K82"/>
      <c r="L82"/>
      <c r="M82"/>
      <c r="N82" s="252">
        <v>92</v>
      </c>
      <c r="O82" s="252">
        <v>92</v>
      </c>
    </row>
    <row r="83" spans="1:15" s="562" customFormat="1" ht="15">
      <c r="A83"/>
      <c r="C83" s="601" t="s">
        <v>2103</v>
      </c>
      <c r="D83" s="602">
        <v>0</v>
      </c>
      <c r="E83" s="253">
        <v>2.5</v>
      </c>
      <c r="F83" s="254">
        <v>92</v>
      </c>
      <c r="G83" s="250">
        <v>0</v>
      </c>
      <c r="H83" s="250">
        <v>0</v>
      </c>
      <c r="I83" s="250">
        <v>0</v>
      </c>
      <c r="J83" s="250">
        <v>0</v>
      </c>
      <c r="K83" s="252">
        <v>92</v>
      </c>
      <c r="L83" s="250">
        <v>0</v>
      </c>
      <c r="M83" s="254">
        <v>0</v>
      </c>
      <c r="N83" s="252">
        <v>92</v>
      </c>
      <c r="O83" s="252">
        <v>0</v>
      </c>
    </row>
    <row r="84" spans="1:15" s="562" customFormat="1" ht="15">
      <c r="A84"/>
      <c r="C84" s="601" t="s">
        <v>2104</v>
      </c>
      <c r="D84" s="602">
        <v>14</v>
      </c>
      <c r="E84" s="253">
        <v>3.5</v>
      </c>
      <c r="F84" s="254">
        <v>106</v>
      </c>
      <c r="G84" s="250">
        <v>0</v>
      </c>
      <c r="H84" s="250">
        <v>0</v>
      </c>
      <c r="I84" s="250">
        <v>0</v>
      </c>
      <c r="J84" s="250">
        <v>0</v>
      </c>
      <c r="K84" s="252">
        <v>92</v>
      </c>
      <c r="L84" s="250">
        <v>0</v>
      </c>
      <c r="M84" s="254">
        <v>14</v>
      </c>
      <c r="N84" s="252">
        <v>106</v>
      </c>
      <c r="O84" s="252">
        <v>14</v>
      </c>
    </row>
    <row r="85" spans="1:15" s="562" customFormat="1" ht="15">
      <c r="A85"/>
      <c r="C85" s="601" t="s">
        <v>2105</v>
      </c>
      <c r="D85"/>
      <c r="E85"/>
      <c r="F85" s="254">
        <v>106</v>
      </c>
      <c r="G85" s="250">
        <v>106</v>
      </c>
      <c r="H85" s="250">
        <v>0</v>
      </c>
      <c r="I85" s="250">
        <v>0</v>
      </c>
      <c r="J85" s="250">
        <v>0</v>
      </c>
      <c r="K85" s="252">
        <v>0</v>
      </c>
      <c r="L85" s="250">
        <v>0</v>
      </c>
      <c r="M85" s="254">
        <v>0</v>
      </c>
      <c r="N85" s="252">
        <v>106</v>
      </c>
      <c r="O85" s="252">
        <v>106</v>
      </c>
    </row>
    <row r="89" spans="1:15">
      <c r="C89" s="343"/>
      <c r="D89" s="343"/>
      <c r="E89" s="343"/>
      <c r="F89" s="343"/>
    </row>
    <row r="91" spans="1:15">
      <c r="C91" s="343"/>
      <c r="D91" s="343"/>
      <c r="E91" s="343"/>
      <c r="F91" s="343"/>
      <c r="G91" s="343"/>
    </row>
    <row r="92" spans="1:15">
      <c r="H92" s="405"/>
    </row>
    <row r="99" spans="2:11">
      <c r="C99" s="509"/>
    </row>
    <row r="101" spans="2:11">
      <c r="C101" s="437"/>
    </row>
    <row r="103" spans="2:11">
      <c r="B103" s="510"/>
    </row>
    <row r="107" spans="2:11">
      <c r="F107" s="1254"/>
    </row>
    <row r="108" spans="2:11">
      <c r="C108" s="78"/>
      <c r="D108" s="1258"/>
      <c r="E108" s="78"/>
      <c r="F108" s="1267" t="s">
        <v>948</v>
      </c>
      <c r="G108" s="1255"/>
      <c r="H108" s="1263" t="s">
        <v>1572</v>
      </c>
      <c r="I108" s="1257"/>
      <c r="K108" s="1255" t="s">
        <v>1573</v>
      </c>
    </row>
    <row r="109" spans="2:11">
      <c r="C109" s="1259"/>
      <c r="D109" s="1260"/>
      <c r="E109" s="1259" t="s">
        <v>1566</v>
      </c>
      <c r="F109" s="1268">
        <v>2018</v>
      </c>
      <c r="G109" s="1261">
        <v>2020</v>
      </c>
      <c r="H109" s="1264">
        <v>2018</v>
      </c>
      <c r="I109" s="1262">
        <v>2020</v>
      </c>
      <c r="K109" s="1273" t="s">
        <v>1574</v>
      </c>
    </row>
    <row r="110" spans="2:11">
      <c r="D110" s="347" t="s">
        <v>487</v>
      </c>
      <c r="E110" s="312">
        <v>208000</v>
      </c>
      <c r="F110" s="1269">
        <v>5.2743484821722744</v>
      </c>
      <c r="G110" s="1251">
        <v>6.0465151147020091</v>
      </c>
      <c r="H110" s="1265">
        <v>15.091608047714207</v>
      </c>
      <c r="I110" s="509">
        <v>13.164343177850993</v>
      </c>
      <c r="K110" s="1254">
        <v>7.0700883528335146E-2</v>
      </c>
    </row>
    <row r="111" spans="2:11">
      <c r="C111" s="379"/>
      <c r="D111" s="504" t="s">
        <v>1567</v>
      </c>
      <c r="E111" s="379"/>
      <c r="F111" s="1266"/>
      <c r="G111" s="379"/>
      <c r="H111" s="1274">
        <v>2.1129881886633672E-2</v>
      </c>
      <c r="I111" s="1275">
        <v>1.9025515722944419E-2</v>
      </c>
    </row>
    <row r="112" spans="2:11">
      <c r="C112" s="1256"/>
      <c r="D112" s="1256"/>
      <c r="E112" s="1256"/>
      <c r="F112" s="1256"/>
      <c r="G112" s="1256"/>
      <c r="H112" s="1256"/>
      <c r="I112" s="1256"/>
    </row>
    <row r="113" spans="3:11">
      <c r="D113" s="347" t="s">
        <v>1568</v>
      </c>
      <c r="E113" s="312">
        <v>10000</v>
      </c>
      <c r="F113" s="1270">
        <v>5.5279229284305567</v>
      </c>
      <c r="G113" s="1253">
        <v>6.3372129567549909</v>
      </c>
      <c r="H113" s="1265">
        <v>14.399332449195207</v>
      </c>
      <c r="I113" s="509">
        <v>12.560474224738561</v>
      </c>
      <c r="K113" s="1254">
        <v>7.0700883528335146E-2</v>
      </c>
    </row>
    <row r="114" spans="3:11">
      <c r="C114" s="379"/>
      <c r="D114" s="504" t="s">
        <v>1567</v>
      </c>
      <c r="E114" s="379"/>
      <c r="F114" s="1266"/>
      <c r="G114" s="379"/>
      <c r="H114" s="1271">
        <v>-2.5710938383395443E-2</v>
      </c>
      <c r="I114" s="1272">
        <v>-2.7718773989117262E-2</v>
      </c>
    </row>
    <row r="115" spans="3:11">
      <c r="C115" s="1256"/>
      <c r="D115" s="1256"/>
      <c r="E115" s="1256"/>
      <c r="F115" s="1256"/>
      <c r="G115" s="1256"/>
      <c r="H115" s="1256"/>
      <c r="I115" s="1256"/>
    </row>
    <row r="116" spans="3:11">
      <c r="D116" s="347" t="s">
        <v>1565</v>
      </c>
      <c r="E116" s="510">
        <v>15000</v>
      </c>
      <c r="F116" s="1270">
        <v>4.8679995158067868</v>
      </c>
      <c r="G116" s="1253">
        <v>5.5487381620098875</v>
      </c>
      <c r="H116" s="1265">
        <v>16.351357419313189</v>
      </c>
      <c r="I116" s="509">
        <v>14.34531557913121</v>
      </c>
      <c r="K116" s="1254">
        <v>6.7632664231411566E-2</v>
      </c>
    </row>
    <row r="117" spans="3:11">
      <c r="C117" s="379"/>
      <c r="D117" s="504" t="s">
        <v>1567</v>
      </c>
      <c r="E117" s="379"/>
      <c r="F117" s="1266"/>
      <c r="G117" s="379"/>
      <c r="H117" s="1271">
        <v>0.10636716892460862</v>
      </c>
      <c r="I117" s="1272">
        <v>0.11044223086099447</v>
      </c>
    </row>
    <row r="118" spans="3:11">
      <c r="D118" s="347" t="s">
        <v>1569</v>
      </c>
      <c r="E118" s="510">
        <v>15000</v>
      </c>
      <c r="F118" s="1270">
        <v>5.219057173196699</v>
      </c>
      <c r="G118" s="1253">
        <v>5.9488875486932926</v>
      </c>
      <c r="H118" s="1265">
        <v>15.251490328327996</v>
      </c>
      <c r="I118" s="509">
        <v>13.380384037934043</v>
      </c>
      <c r="K118" s="1254">
        <v>6.7632664231411566E-2</v>
      </c>
    </row>
    <row r="119" spans="3:11">
      <c r="C119" s="379"/>
      <c r="D119" s="504" t="s">
        <v>1567</v>
      </c>
      <c r="E119" s="379"/>
      <c r="F119" s="1266"/>
      <c r="G119" s="379"/>
      <c r="H119" s="1274">
        <v>3.1947852629231388E-2</v>
      </c>
      <c r="I119" s="1275">
        <v>3.5748807260479243E-2</v>
      </c>
    </row>
    <row r="120" spans="3:11">
      <c r="C120" s="379"/>
      <c r="D120" s="504"/>
      <c r="E120" s="504"/>
      <c r="F120" s="504"/>
      <c r="G120" s="504"/>
      <c r="H120" s="504"/>
      <c r="I120" s="379"/>
    </row>
    <row r="121" spans="3:11">
      <c r="D121" s="347" t="s">
        <v>1570</v>
      </c>
      <c r="F121" s="1270">
        <v>5.102037954066728</v>
      </c>
      <c r="G121" s="1253">
        <v>5.8155044197988248</v>
      </c>
      <c r="H121" s="1265">
        <v>15.601295152372218</v>
      </c>
      <c r="I121" s="509">
        <v>13.687273580088492</v>
      </c>
      <c r="K121" s="1254">
        <v>6.7632664231411566E-2</v>
      </c>
    </row>
    <row r="122" spans="3:11">
      <c r="C122" s="379"/>
      <c r="D122" s="504" t="s">
        <v>1567</v>
      </c>
      <c r="E122" s="379"/>
      <c r="F122" s="1266"/>
      <c r="G122" s="379"/>
      <c r="H122" s="1271">
        <v>5.5616381359259837E-2</v>
      </c>
      <c r="I122" s="1272">
        <v>5.9504513849022223E-2</v>
      </c>
    </row>
    <row r="123" spans="3:11">
      <c r="D123" s="347" t="s">
        <v>1571</v>
      </c>
      <c r="F123" s="1270">
        <v>5.4699733834465398</v>
      </c>
      <c r="G123" s="1253">
        <v>6.2348917577650864</v>
      </c>
      <c r="H123" s="1265">
        <v>14.551880680239558</v>
      </c>
      <c r="I123" s="509">
        <v>12.766604953625141</v>
      </c>
      <c r="K123" s="1254">
        <v>6.7632664231411788E-2</v>
      </c>
    </row>
    <row r="124" spans="3:11">
      <c r="C124" s="379"/>
      <c r="D124" s="504" t="s">
        <v>1567</v>
      </c>
      <c r="E124" s="379"/>
      <c r="F124" s="1266"/>
      <c r="G124" s="379"/>
      <c r="H124" s="1274">
        <v>-1.5389204830824954E-2</v>
      </c>
      <c r="I124" s="1275">
        <v>-1.176260591660705E-2</v>
      </c>
    </row>
  </sheetData>
  <mergeCells count="5">
    <mergeCell ref="D1:H1"/>
    <mergeCell ref="I1:M1"/>
    <mergeCell ref="N1:R1"/>
    <mergeCell ref="S1:W1"/>
    <mergeCell ref="AB1:AF1"/>
  </mergeCells>
  <dataValidations disablePrompts="1" count="1">
    <dataValidation type="list" allowBlank="1" showInputMessage="1" showErrorMessage="1" sqref="B4:B12 B14:B23 B25:B28 B30:B31">
      <formula1>#REF!</formula1>
    </dataValidation>
  </dataValidations>
  <pageMargins left="0" right="0" top="0" bottom="0" header="0" footer="0"/>
  <pageSetup paperSize="5"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483074" r:id="rId4" name="Button 2">
              <controlPr defaultSize="0" print="0" autoFill="0" autoPict="0" macro="[0]!refreshMWTR">
                <anchor moveWithCells="1" sizeWithCells="1">
                  <from>
                    <xdr:col>9</xdr:col>
                    <xdr:colOff>114300</xdr:colOff>
                    <xdr:row>33</xdr:row>
                    <xdr:rowOff>85725</xdr:rowOff>
                  </from>
                  <to>
                    <xdr:col>11</xdr:col>
                    <xdr:colOff>95250</xdr:colOff>
                    <xdr:row>35</xdr:row>
                    <xdr:rowOff>114300</xdr:rowOff>
                  </to>
                </anchor>
              </controlPr>
            </control>
          </mc:Choice>
        </mc:AlternateContent>
        <mc:AlternateContent xmlns:mc="http://schemas.openxmlformats.org/markup-compatibility/2006">
          <mc:Choice Requires="x14">
            <control shapeId="36483075" r:id="rId5" name="Button 3">
              <controlPr defaultSize="0" print="0" autoFill="0" autoPict="0" macro="[0]!updateDScontrols">
                <anchor moveWithCells="1" sizeWithCells="1">
                  <from>
                    <xdr:col>9</xdr:col>
                    <xdr:colOff>161925</xdr:colOff>
                    <xdr:row>35</xdr:row>
                    <xdr:rowOff>200025</xdr:rowOff>
                  </from>
                  <to>
                    <xdr:col>11</xdr:col>
                    <xdr:colOff>9525</xdr:colOff>
                    <xdr:row>37</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pageSetUpPr fitToPage="1"/>
  </sheetPr>
  <dimension ref="A1:W68"/>
  <sheetViews>
    <sheetView showGridLines="0" workbookViewId="0">
      <selection activeCell="F22" sqref="F22"/>
    </sheetView>
  </sheetViews>
  <sheetFormatPr defaultRowHeight="16.5"/>
  <cols>
    <col min="1" max="1" width="1.85546875" style="312" customWidth="1"/>
    <col min="2" max="2" width="45.28515625" style="312" customWidth="1"/>
    <col min="3" max="3" width="16.42578125" style="312" customWidth="1"/>
    <col min="4" max="28" width="10.7109375" style="312" customWidth="1"/>
    <col min="29" max="16384" width="9.140625" style="312"/>
  </cols>
  <sheetData>
    <row r="1" spans="1:23" s="309" customFormat="1">
      <c r="A1" s="308"/>
      <c r="B1" s="331" t="s">
        <v>12</v>
      </c>
      <c r="C1" s="306"/>
      <c r="D1" s="307">
        <v>2016</v>
      </c>
      <c r="E1" s="307">
        <f t="shared" ref="E1:P1" si="0">D1+1</f>
        <v>2017</v>
      </c>
      <c r="F1" s="307">
        <f t="shared" si="0"/>
        <v>2018</v>
      </c>
      <c r="G1" s="307">
        <f t="shared" si="0"/>
        <v>2019</v>
      </c>
      <c r="H1" s="307">
        <f t="shared" si="0"/>
        <v>2020</v>
      </c>
      <c r="I1" s="307">
        <f t="shared" si="0"/>
        <v>2021</v>
      </c>
      <c r="J1" s="307">
        <f t="shared" si="0"/>
        <v>2022</v>
      </c>
      <c r="K1" s="307">
        <f t="shared" si="0"/>
        <v>2023</v>
      </c>
      <c r="L1" s="307">
        <f t="shared" si="0"/>
        <v>2024</v>
      </c>
      <c r="M1" s="307">
        <f t="shared" si="0"/>
        <v>2025</v>
      </c>
      <c r="N1" s="307">
        <f t="shared" si="0"/>
        <v>2026</v>
      </c>
      <c r="O1" s="307">
        <f t="shared" si="0"/>
        <v>2027</v>
      </c>
      <c r="P1" s="307">
        <f t="shared" si="0"/>
        <v>2028</v>
      </c>
      <c r="Q1" s="307">
        <f t="shared" ref="Q1:W1" si="1">P1+1</f>
        <v>2029</v>
      </c>
      <c r="R1" s="307">
        <f t="shared" si="1"/>
        <v>2030</v>
      </c>
      <c r="S1" s="307">
        <f t="shared" si="1"/>
        <v>2031</v>
      </c>
      <c r="T1" s="307">
        <f t="shared" si="1"/>
        <v>2032</v>
      </c>
      <c r="U1" s="307">
        <f t="shared" si="1"/>
        <v>2033</v>
      </c>
      <c r="V1" s="307">
        <f t="shared" si="1"/>
        <v>2034</v>
      </c>
      <c r="W1" s="307">
        <f t="shared" si="1"/>
        <v>2035</v>
      </c>
    </row>
    <row r="2" spans="1:23" s="309" customFormat="1">
      <c r="A2" s="308"/>
      <c r="B2" s="302" t="s">
        <v>261</v>
      </c>
      <c r="C2" s="229"/>
      <c r="D2" s="230">
        <f>'P&amp;L'!H3</f>
        <v>48518</v>
      </c>
      <c r="E2" s="230">
        <f>'P&amp;L'!I3</f>
        <v>49109</v>
      </c>
      <c r="F2" s="230">
        <f>'P&amp;L'!J3</f>
        <v>52257.86029421589</v>
      </c>
      <c r="G2" s="230">
        <f>'P&amp;L'!K3</f>
        <v>53311.369525681919</v>
      </c>
      <c r="H2" s="230">
        <f>'P&amp;L'!L3</f>
        <v>54983.750913794494</v>
      </c>
      <c r="I2" s="230">
        <f>'P&amp;L'!M3</f>
        <v>57005.038212037085</v>
      </c>
      <c r="J2" s="230">
        <f>'P&amp;L'!N3</f>
        <v>58206.58063878044</v>
      </c>
      <c r="K2" s="230">
        <f>'P&amp;L'!O3</f>
        <v>57674.975218288324</v>
      </c>
      <c r="L2" s="230">
        <f>'P&amp;L'!P3</f>
        <v>58416.956918083248</v>
      </c>
      <c r="M2" s="230">
        <f>'P&amp;L'!Q3</f>
        <v>59056.427094547711</v>
      </c>
      <c r="N2" s="230">
        <f t="shared" ref="N2:W2" si="2">M2*(1+N3)</f>
        <v>61005.289188667783</v>
      </c>
      <c r="O2" s="230">
        <f t="shared" si="2"/>
        <v>63018.463731893811</v>
      </c>
      <c r="P2" s="230">
        <f t="shared" si="2"/>
        <v>65098.073035046305</v>
      </c>
      <c r="Q2" s="230">
        <f t="shared" si="2"/>
        <v>67246.309445202831</v>
      </c>
      <c r="R2" s="230">
        <f t="shared" si="2"/>
        <v>69465.437656894515</v>
      </c>
      <c r="S2" s="230">
        <f t="shared" si="2"/>
        <v>71757.797099572024</v>
      </c>
      <c r="T2" s="230">
        <f t="shared" si="2"/>
        <v>74125.804403857896</v>
      </c>
      <c r="U2" s="230">
        <f t="shared" si="2"/>
        <v>76571.955949185198</v>
      </c>
      <c r="V2" s="230">
        <f t="shared" si="2"/>
        <v>79098.8304955083</v>
      </c>
      <c r="W2" s="230">
        <f t="shared" si="2"/>
        <v>81709.091901860069</v>
      </c>
    </row>
    <row r="3" spans="1:23" s="309" customFormat="1">
      <c r="A3" s="308"/>
      <c r="B3" s="85" t="s">
        <v>586</v>
      </c>
      <c r="C3" s="229"/>
      <c r="D3" s="556">
        <v>-2.6252150071586988E-2</v>
      </c>
      <c r="E3" s="556">
        <f t="shared" ref="E3:K3" si="3">E2/D2-1</f>
        <v>1.2181046209654101E-2</v>
      </c>
      <c r="F3" s="556">
        <f t="shared" si="3"/>
        <v>6.4119821096253027E-2</v>
      </c>
      <c r="G3" s="556">
        <f t="shared" si="3"/>
        <v>2.0159823336330485E-2</v>
      </c>
      <c r="H3" s="556">
        <f t="shared" si="3"/>
        <v>3.137006989300728E-2</v>
      </c>
      <c r="I3" s="556">
        <f t="shared" si="3"/>
        <v>3.6761538902859492E-2</v>
      </c>
      <c r="J3" s="556">
        <f t="shared" si="3"/>
        <v>2.1077828634621376E-2</v>
      </c>
      <c r="K3" s="556">
        <f t="shared" si="3"/>
        <v>-9.1330810822090047E-3</v>
      </c>
      <c r="L3" s="557">
        <f>L2/K2-1</f>
        <v>1.2864881120220106E-2</v>
      </c>
      <c r="M3" s="557">
        <f>M2/L2-1</f>
        <v>1.0946653338365087E-2</v>
      </c>
      <c r="N3" s="557">
        <f>H36</f>
        <v>3.3000000000000002E-2</v>
      </c>
      <c r="O3" s="557">
        <f t="shared" ref="O3:W3" si="4">N3</f>
        <v>3.3000000000000002E-2</v>
      </c>
      <c r="P3" s="557">
        <f t="shared" si="4"/>
        <v>3.3000000000000002E-2</v>
      </c>
      <c r="Q3" s="557">
        <f t="shared" si="4"/>
        <v>3.3000000000000002E-2</v>
      </c>
      <c r="R3" s="557">
        <f t="shared" si="4"/>
        <v>3.3000000000000002E-2</v>
      </c>
      <c r="S3" s="557">
        <f t="shared" si="4"/>
        <v>3.3000000000000002E-2</v>
      </c>
      <c r="T3" s="557">
        <f t="shared" si="4"/>
        <v>3.3000000000000002E-2</v>
      </c>
      <c r="U3" s="557">
        <f t="shared" si="4"/>
        <v>3.3000000000000002E-2</v>
      </c>
      <c r="V3" s="557">
        <f t="shared" si="4"/>
        <v>3.3000000000000002E-2</v>
      </c>
      <c r="W3" s="557">
        <f t="shared" si="4"/>
        <v>3.3000000000000002E-2</v>
      </c>
    </row>
    <row r="4" spans="1:23" s="309" customFormat="1">
      <c r="A4" s="308"/>
      <c r="B4" s="304" t="s">
        <v>770</v>
      </c>
      <c r="C4" s="229"/>
      <c r="D4" s="230">
        <f>'P&amp;L'!H50</f>
        <v>12987</v>
      </c>
      <c r="E4" s="230">
        <f>'P&amp;L'!I50</f>
        <v>12850</v>
      </c>
      <c r="F4" s="230">
        <f>'P&amp;L'!J50</f>
        <v>14390.080549630573</v>
      </c>
      <c r="G4" s="230">
        <f>'P&amp;L'!K50</f>
        <v>14956.463768352045</v>
      </c>
      <c r="H4" s="230">
        <f>'P&amp;L'!L50</f>
        <v>16226.509874853924</v>
      </c>
      <c r="I4" s="230">
        <f>'P&amp;L'!M50</f>
        <v>17332.307880357461</v>
      </c>
      <c r="J4" s="230">
        <f>'P&amp;L'!N50</f>
        <v>18426.542028389209</v>
      </c>
      <c r="K4" s="230">
        <f>'P&amp;L'!O50</f>
        <v>18252.024626356528</v>
      </c>
      <c r="L4" s="337">
        <f>'P&amp;L'!P50</f>
        <v>18717.246008998056</v>
      </c>
      <c r="M4" s="337">
        <f>'P&amp;L'!Q50</f>
        <v>18974.247056095825</v>
      </c>
      <c r="N4" s="337">
        <f t="shared" ref="N4:W4" si="5">N5*N2</f>
        <v>20375.766589015042</v>
      </c>
      <c r="O4" s="337">
        <f t="shared" si="5"/>
        <v>21048.166886452535</v>
      </c>
      <c r="P4" s="337">
        <f t="shared" si="5"/>
        <v>21742.756393705466</v>
      </c>
      <c r="Q4" s="337">
        <f t="shared" si="5"/>
        <v>22460.267354697746</v>
      </c>
      <c r="R4" s="337">
        <f t="shared" si="5"/>
        <v>23201.456177402768</v>
      </c>
      <c r="S4" s="337">
        <f t="shared" si="5"/>
        <v>23967.104231257057</v>
      </c>
      <c r="T4" s="337">
        <f t="shared" si="5"/>
        <v>24758.018670888538</v>
      </c>
      <c r="U4" s="337">
        <f t="shared" si="5"/>
        <v>25575.033287027858</v>
      </c>
      <c r="V4" s="337">
        <f t="shared" si="5"/>
        <v>26419.009385499772</v>
      </c>
      <c r="W4" s="337">
        <f t="shared" si="5"/>
        <v>27290.836695221264</v>
      </c>
    </row>
    <row r="5" spans="1:23" s="308" customFormat="1">
      <c r="B5" s="303" t="s">
        <v>258</v>
      </c>
      <c r="C5" s="229"/>
      <c r="D5" s="232">
        <f t="shared" ref="D5:M5" si="6">D4/D2</f>
        <v>0.26767385300300917</v>
      </c>
      <c r="E5" s="232">
        <f t="shared" si="6"/>
        <v>0.2616628316601845</v>
      </c>
      <c r="F5" s="232">
        <f t="shared" si="6"/>
        <v>0.27536681503248084</v>
      </c>
      <c r="G5" s="232">
        <f t="shared" si="6"/>
        <v>0.28054923183218922</v>
      </c>
      <c r="H5" s="232">
        <f t="shared" si="6"/>
        <v>0.29511464032882062</v>
      </c>
      <c r="I5" s="232">
        <f t="shared" si="6"/>
        <v>0.30404870207941725</v>
      </c>
      <c r="J5" s="232">
        <f t="shared" si="6"/>
        <v>0.31657145680384513</v>
      </c>
      <c r="K5" s="232">
        <f t="shared" si="6"/>
        <v>0.3164635018441922</v>
      </c>
      <c r="L5" s="327">
        <f t="shared" si="6"/>
        <v>0.32040775481072764</v>
      </c>
      <c r="M5" s="503">
        <f t="shared" si="6"/>
        <v>0.32129012860392958</v>
      </c>
      <c r="N5" s="327">
        <f>H37</f>
        <v>0.33400000000000002</v>
      </c>
      <c r="O5" s="327">
        <f t="shared" ref="O5:W5" si="7">N5</f>
        <v>0.33400000000000002</v>
      </c>
      <c r="P5" s="327">
        <f t="shared" si="7"/>
        <v>0.33400000000000002</v>
      </c>
      <c r="Q5" s="327">
        <f t="shared" si="7"/>
        <v>0.33400000000000002</v>
      </c>
      <c r="R5" s="327">
        <f t="shared" si="7"/>
        <v>0.33400000000000002</v>
      </c>
      <c r="S5" s="327">
        <f t="shared" si="7"/>
        <v>0.33400000000000002</v>
      </c>
      <c r="T5" s="327">
        <f t="shared" si="7"/>
        <v>0.33400000000000002</v>
      </c>
      <c r="U5" s="327">
        <f t="shared" si="7"/>
        <v>0.33400000000000002</v>
      </c>
      <c r="V5" s="327">
        <f t="shared" si="7"/>
        <v>0.33400000000000002</v>
      </c>
      <c r="W5" s="327">
        <f t="shared" si="7"/>
        <v>0.33400000000000002</v>
      </c>
    </row>
    <row r="6" spans="1:23" s="309" customFormat="1">
      <c r="A6" s="308"/>
      <c r="B6" s="303" t="s">
        <v>348</v>
      </c>
      <c r="C6" s="229"/>
      <c r="D6" s="233">
        <f>'P&amp;L'!H119</f>
        <v>-2001</v>
      </c>
      <c r="E6" s="233">
        <f>'P&amp;L'!I119</f>
        <v>-2056</v>
      </c>
      <c r="F6" s="233">
        <f>'P&amp;L'!J119</f>
        <v>-2324.4405384165361</v>
      </c>
      <c r="G6" s="233">
        <f>'P&amp;L'!K119</f>
        <v>-2420.7608270081605</v>
      </c>
      <c r="H6" s="233">
        <f>'P&amp;L'!L119</f>
        <v>-2644.2998814562015</v>
      </c>
      <c r="I6" s="233">
        <f>'P&amp;L'!M119</f>
        <v>-2846.6106540199708</v>
      </c>
      <c r="J6" s="233">
        <f>'P&amp;L'!N119</f>
        <v>-3048.7281873631891</v>
      </c>
      <c r="K6" s="233">
        <f>'P&amp;L'!O119</f>
        <v>-3048.3974761790059</v>
      </c>
      <c r="L6" s="233">
        <f>'P&amp;L'!P119</f>
        <v>-3167.0045741997487</v>
      </c>
      <c r="M6" s="233">
        <f>'P&amp;L'!Q119</f>
        <v>-3220.9050023733948</v>
      </c>
      <c r="N6" s="338">
        <f t="shared" ref="N6:W6" si="8">-N7*N4</f>
        <v>-2954.4861554071808</v>
      </c>
      <c r="O6" s="338">
        <f t="shared" si="8"/>
        <v>-3051.9841985356175</v>
      </c>
      <c r="P6" s="338">
        <f t="shared" si="8"/>
        <v>-3478.8410229928745</v>
      </c>
      <c r="Q6" s="338">
        <f t="shared" si="8"/>
        <v>-3593.6427767516393</v>
      </c>
      <c r="R6" s="338">
        <f t="shared" si="8"/>
        <v>-3364.2111457234009</v>
      </c>
      <c r="S6" s="338">
        <f t="shared" si="8"/>
        <v>-3834.736677001129</v>
      </c>
      <c r="T6" s="338">
        <f t="shared" si="8"/>
        <v>-3961.2829873421661</v>
      </c>
      <c r="U6" s="338">
        <f t="shared" si="8"/>
        <v>-3708.3798266190392</v>
      </c>
      <c r="V6" s="338">
        <f t="shared" si="8"/>
        <v>-4227.0415016799634</v>
      </c>
      <c r="W6" s="338">
        <f t="shared" si="8"/>
        <v>-4366.5338712354023</v>
      </c>
    </row>
    <row r="7" spans="1:23" s="309" customFormat="1">
      <c r="A7" s="308"/>
      <c r="B7" s="303" t="s">
        <v>683</v>
      </c>
      <c r="C7" s="232"/>
      <c r="D7" s="232">
        <f>'P&amp;L'!H120</f>
        <v>0.15028163725122043</v>
      </c>
      <c r="E7" s="502">
        <f>'P&amp;L'!I120</f>
        <v>0.15290792800832961</v>
      </c>
      <c r="F7" s="502">
        <f>'P&amp;L'!J120</f>
        <v>0.16</v>
      </c>
      <c r="G7" s="502">
        <f>'P&amp;L'!K120</f>
        <v>0.16</v>
      </c>
      <c r="H7" s="502">
        <f>'P&amp;L'!L120</f>
        <v>0.16</v>
      </c>
      <c r="I7" s="502">
        <f>'P&amp;L'!M120</f>
        <v>0.16</v>
      </c>
      <c r="J7" s="502">
        <f>'P&amp;L'!N120</f>
        <v>0.16</v>
      </c>
      <c r="K7" s="502">
        <f>'P&amp;L'!O120</f>
        <v>0.16</v>
      </c>
      <c r="L7" s="502">
        <f>'P&amp;L'!P120</f>
        <v>0.16</v>
      </c>
      <c r="M7" s="502">
        <f>'P&amp;L'!Q120</f>
        <v>0.16</v>
      </c>
      <c r="N7" s="503">
        <f>H35</f>
        <v>0.14499999999999999</v>
      </c>
      <c r="O7" s="503">
        <f>N7</f>
        <v>0.14499999999999999</v>
      </c>
      <c r="P7" s="503">
        <f>M7</f>
        <v>0.16</v>
      </c>
      <c r="Q7" s="503">
        <f>P7</f>
        <v>0.16</v>
      </c>
      <c r="R7" s="503">
        <f>O7</f>
        <v>0.14499999999999999</v>
      </c>
      <c r="S7" s="503">
        <f>P7</f>
        <v>0.16</v>
      </c>
      <c r="T7" s="503">
        <f>S7</f>
        <v>0.16</v>
      </c>
      <c r="U7" s="503">
        <f>R7</f>
        <v>0.14499999999999999</v>
      </c>
      <c r="V7" s="503">
        <f>S7</f>
        <v>0.16</v>
      </c>
      <c r="W7" s="503">
        <f>V7</f>
        <v>0.16</v>
      </c>
    </row>
    <row r="8" spans="1:23" s="309" customFormat="1">
      <c r="A8" s="308"/>
      <c r="B8" s="332" t="s">
        <v>583</v>
      </c>
      <c r="C8" s="236"/>
      <c r="D8" s="236">
        <f>D4+D6</f>
        <v>10986</v>
      </c>
      <c r="E8" s="236">
        <f t="shared" ref="E8:P8" si="9">E4+E6</f>
        <v>10794</v>
      </c>
      <c r="F8" s="236">
        <f t="shared" si="9"/>
        <v>12065.640011214036</v>
      </c>
      <c r="G8" s="236">
        <f t="shared" si="9"/>
        <v>12535.702941343885</v>
      </c>
      <c r="H8" s="236">
        <f t="shared" si="9"/>
        <v>13582.209993397722</v>
      </c>
      <c r="I8" s="236">
        <f t="shared" si="9"/>
        <v>14485.69722633749</v>
      </c>
      <c r="J8" s="236">
        <f t="shared" si="9"/>
        <v>15377.81384102602</v>
      </c>
      <c r="K8" s="236">
        <f t="shared" si="9"/>
        <v>15203.627150177523</v>
      </c>
      <c r="L8" s="236">
        <f t="shared" si="9"/>
        <v>15550.241434798307</v>
      </c>
      <c r="M8" s="236">
        <f t="shared" si="9"/>
        <v>15753.34205372243</v>
      </c>
      <c r="N8" s="236">
        <f t="shared" si="9"/>
        <v>17421.280433607863</v>
      </c>
      <c r="O8" s="236">
        <f t="shared" si="9"/>
        <v>17996.182687916917</v>
      </c>
      <c r="P8" s="236">
        <f t="shared" si="9"/>
        <v>18263.915370712592</v>
      </c>
      <c r="Q8" s="236">
        <f t="shared" ref="Q8:W8" si="10">Q4+Q6</f>
        <v>18866.624577946106</v>
      </c>
      <c r="R8" s="236">
        <f t="shared" si="10"/>
        <v>19837.245031679366</v>
      </c>
      <c r="S8" s="236">
        <f t="shared" si="10"/>
        <v>20132.367554255929</v>
      </c>
      <c r="T8" s="236">
        <f t="shared" si="10"/>
        <v>20796.735683546372</v>
      </c>
      <c r="U8" s="236">
        <f t="shared" si="10"/>
        <v>21866.653460408819</v>
      </c>
      <c r="V8" s="236">
        <f t="shared" si="10"/>
        <v>22191.967883819809</v>
      </c>
      <c r="W8" s="236">
        <f t="shared" si="10"/>
        <v>22924.302823985861</v>
      </c>
    </row>
    <row r="9" spans="1:23" s="309" customFormat="1">
      <c r="A9" s="308"/>
      <c r="B9" s="303" t="s">
        <v>349</v>
      </c>
      <c r="C9" s="229"/>
      <c r="D9" s="229">
        <f>'BS CF Shares'!H43</f>
        <v>1591</v>
      </c>
      <c r="E9" s="229">
        <f>'BS CF Shares'!I43</f>
        <v>1677</v>
      </c>
      <c r="F9" s="229">
        <f>'BS CF Shares'!J43</f>
        <v>1783.8910778745326</v>
      </c>
      <c r="G9" s="229">
        <f>'BS CF Shares'!K43</f>
        <v>1874.7627304751268</v>
      </c>
      <c r="H9" s="229">
        <f>'BS CF Shares'!L43</f>
        <v>1949.7405726303011</v>
      </c>
      <c r="I9" s="229">
        <f>'BS CF Shares'!M43</f>
        <v>2027.4747156467154</v>
      </c>
      <c r="J9" s="229">
        <f>'BS CF Shares'!N43</f>
        <v>2106.8473256086886</v>
      </c>
      <c r="K9" s="229">
        <f>'BS CF Shares'!O43</f>
        <v>2185.4950190881727</v>
      </c>
      <c r="L9" s="229">
        <f>'BS CF Shares'!P43</f>
        <v>2265.15450579465</v>
      </c>
      <c r="M9" s="229">
        <f>'BS CF Shares'!Q43</f>
        <v>2345.6859972872153</v>
      </c>
      <c r="N9" s="340">
        <f>M9+($P$9-$M$9)/3</f>
        <v>2214.7713952086065</v>
      </c>
      <c r="O9" s="340">
        <f>N9+($P$9-$M$9)/3</f>
        <v>2083.8567931299976</v>
      </c>
      <c r="P9" s="339">
        <f>-P14</f>
        <v>1952.942191051389</v>
      </c>
      <c r="Q9" s="340">
        <f>P9+($P$9-$M$9)/3</f>
        <v>1822.0275889727802</v>
      </c>
      <c r="R9" s="339">
        <f>-R14</f>
        <v>2083.9631297068354</v>
      </c>
      <c r="S9" s="339">
        <f>-S14</f>
        <v>2152.7339129871607</v>
      </c>
      <c r="T9" s="340">
        <f>S9+($P$9-$M$9)/3</f>
        <v>2021.8193109085519</v>
      </c>
      <c r="U9" s="339">
        <f>-U14</f>
        <v>2297.1586784755559</v>
      </c>
      <c r="V9" s="339">
        <f>-V14</f>
        <v>2372.9649148652488</v>
      </c>
      <c r="W9" s="340">
        <f>V9+($P$9-$M$9)/3</f>
        <v>2242.05031278664</v>
      </c>
    </row>
    <row r="10" spans="1:23" s="309" customFormat="1">
      <c r="A10" s="308"/>
      <c r="B10" s="303" t="s">
        <v>258</v>
      </c>
      <c r="C10" s="229"/>
      <c r="D10" s="231">
        <f t="shared" ref="D10:R10" si="11">D9/D2</f>
        <v>3.2791953501793147E-2</v>
      </c>
      <c r="E10" s="231">
        <f t="shared" si="11"/>
        <v>3.4148526746624858E-2</v>
      </c>
      <c r="F10" s="231">
        <f t="shared" si="11"/>
        <v>3.4136320695701751E-2</v>
      </c>
      <c r="G10" s="231">
        <f t="shared" si="11"/>
        <v>3.5166283424251356E-2</v>
      </c>
      <c r="H10" s="231">
        <f t="shared" si="11"/>
        <v>3.5460304912394477E-2</v>
      </c>
      <c r="I10" s="231">
        <f t="shared" si="11"/>
        <v>3.5566588133934401E-2</v>
      </c>
      <c r="J10" s="231">
        <f t="shared" si="11"/>
        <v>3.6196033205994418E-2</v>
      </c>
      <c r="K10" s="231">
        <f t="shared" si="11"/>
        <v>3.7893297930627769E-2</v>
      </c>
      <c r="L10" s="231">
        <f t="shared" si="11"/>
        <v>3.8775633399922287E-2</v>
      </c>
      <c r="M10" s="231">
        <f t="shared" si="11"/>
        <v>3.9719402488264936E-2</v>
      </c>
      <c r="N10" s="231">
        <f t="shared" si="11"/>
        <v>3.630457989239428E-2</v>
      </c>
      <c r="O10" s="231">
        <f t="shared" si="11"/>
        <v>3.306740072235928E-2</v>
      </c>
      <c r="P10" s="231">
        <f t="shared" si="11"/>
        <v>0.03</v>
      </c>
      <c r="Q10" s="231">
        <f t="shared" si="11"/>
        <v>2.7094833961966349E-2</v>
      </c>
      <c r="R10" s="231">
        <f t="shared" si="11"/>
        <v>0.03</v>
      </c>
      <c r="S10" s="231">
        <f>S9/S2</f>
        <v>0.03</v>
      </c>
      <c r="T10" s="231">
        <f>T9/T2</f>
        <v>2.7275512585241177E-2</v>
      </c>
      <c r="U10" s="231">
        <f>U9/U2</f>
        <v>0.03</v>
      </c>
      <c r="V10" s="231">
        <f>V9/V2</f>
        <v>0.03</v>
      </c>
      <c r="W10" s="231">
        <f>W9/W2</f>
        <v>2.7439422720295838E-2</v>
      </c>
    </row>
    <row r="11" spans="1:23" s="309" customFormat="1">
      <c r="A11" s="308"/>
      <c r="B11" s="303" t="s">
        <v>775</v>
      </c>
      <c r="C11" s="229"/>
      <c r="D11" s="233">
        <f>'BS CF Shares'!H136</f>
        <v>846</v>
      </c>
      <c r="E11" s="233">
        <f>'BS CF Shares'!I136</f>
        <v>714</v>
      </c>
      <c r="F11" s="233">
        <f>'BS CF Shares'!J136</f>
        <v>660.30591764921337</v>
      </c>
      <c r="G11" s="233">
        <f>'BS CF Shares'!K136</f>
        <v>220.91751136527091</v>
      </c>
      <c r="H11" s="233">
        <f>'BS CF Shares'!L136</f>
        <v>350.69302031772895</v>
      </c>
      <c r="I11" s="233">
        <f>'BS CF Shares'!M136</f>
        <v>423.85747209884721</v>
      </c>
      <c r="J11" s="233">
        <f>'BS CF Shares'!N136</f>
        <v>251.95959825292812</v>
      </c>
      <c r="K11" s="233">
        <f>'BS CF Shares'!O136</f>
        <v>-111.47595390311108</v>
      </c>
      <c r="L11" s="233">
        <f>'BS CF Shares'!P136</f>
        <v>155.59118582109477</v>
      </c>
      <c r="M11" s="233">
        <f>'BS CF Shares'!Q136</f>
        <v>134.09484773118857</v>
      </c>
      <c r="N11" s="338">
        <f t="shared" ref="N11:W11" si="12">N12-M12</f>
        <v>-2013.0444372596376</v>
      </c>
      <c r="O11" s="338">
        <f t="shared" si="12"/>
        <v>342.2396723484253</v>
      </c>
      <c r="P11" s="338">
        <f t="shared" si="12"/>
        <v>353.5335815359249</v>
      </c>
      <c r="Q11" s="338">
        <f t="shared" si="12"/>
        <v>365.2001897266091</v>
      </c>
      <c r="R11" s="338">
        <f t="shared" si="12"/>
        <v>377.25179598758587</v>
      </c>
      <c r="S11" s="338">
        <f t="shared" si="12"/>
        <v>389.70110525517703</v>
      </c>
      <c r="T11" s="338">
        <f t="shared" si="12"/>
        <v>402.56124172859745</v>
      </c>
      <c r="U11" s="338">
        <f t="shared" si="12"/>
        <v>415.84576270564139</v>
      </c>
      <c r="V11" s="338">
        <f t="shared" si="12"/>
        <v>429.56867287492787</v>
      </c>
      <c r="W11" s="338">
        <f t="shared" si="12"/>
        <v>443.74443907980094</v>
      </c>
    </row>
    <row r="12" spans="1:23" s="309" customFormat="1">
      <c r="A12" s="308"/>
      <c r="B12" s="303" t="s">
        <v>652</v>
      </c>
      <c r="C12" s="229"/>
      <c r="D12" s="233">
        <f>'BS CF Shares'!H135</f>
        <v>9584</v>
      </c>
      <c r="E12" s="233">
        <f>'BS CF Shares'!I135</f>
        <v>10298</v>
      </c>
      <c r="F12" s="233">
        <f>'BS CF Shares'!J135</f>
        <v>10958.305917649213</v>
      </c>
      <c r="G12" s="233">
        <f>'BS CF Shares'!K135</f>
        <v>11179.223429014484</v>
      </c>
      <c r="H12" s="233">
        <f>'BS CF Shares'!L135</f>
        <v>11529.916449332213</v>
      </c>
      <c r="I12" s="233">
        <f>'BS CF Shares'!M135</f>
        <v>11953.77392143106</v>
      </c>
      <c r="J12" s="233">
        <f>'BS CF Shares'!N135</f>
        <v>12205.733519683989</v>
      </c>
      <c r="K12" s="233">
        <f>'BS CF Shares'!O135</f>
        <v>12094.257565780877</v>
      </c>
      <c r="L12" s="233">
        <f>'BS CF Shares'!P135</f>
        <v>12249.848751601972</v>
      </c>
      <c r="M12" s="233">
        <f>'BS CF Shares'!Q135</f>
        <v>12383.943599333161</v>
      </c>
      <c r="N12" s="338">
        <f t="shared" ref="N12:W12" si="13">N2*N13</f>
        <v>10370.899162073523</v>
      </c>
      <c r="O12" s="338">
        <f t="shared" si="13"/>
        <v>10713.138834421949</v>
      </c>
      <c r="P12" s="338">
        <f t="shared" si="13"/>
        <v>11066.672415957873</v>
      </c>
      <c r="Q12" s="338">
        <f t="shared" si="13"/>
        <v>11431.872605684483</v>
      </c>
      <c r="R12" s="338">
        <f t="shared" si="13"/>
        <v>11809.124401672068</v>
      </c>
      <c r="S12" s="338">
        <f t="shared" si="13"/>
        <v>12198.825506927245</v>
      </c>
      <c r="T12" s="338">
        <f t="shared" si="13"/>
        <v>12601.386748655843</v>
      </c>
      <c r="U12" s="338">
        <f t="shared" si="13"/>
        <v>13017.232511361484</v>
      </c>
      <c r="V12" s="338">
        <f t="shared" si="13"/>
        <v>13446.801184236412</v>
      </c>
      <c r="W12" s="338">
        <f t="shared" si="13"/>
        <v>13890.545623316213</v>
      </c>
    </row>
    <row r="13" spans="1:23" s="309" customFormat="1">
      <c r="A13" s="308"/>
      <c r="B13" s="303" t="s">
        <v>258</v>
      </c>
      <c r="C13" s="229"/>
      <c r="D13" s="341">
        <f t="shared" ref="D13:M13" si="14">D12/D2</f>
        <v>0.19753493548786016</v>
      </c>
      <c r="E13" s="341">
        <f t="shared" si="14"/>
        <v>0.20969679692113463</v>
      </c>
      <c r="F13" s="341">
        <f t="shared" si="14"/>
        <v>0.2096967969211346</v>
      </c>
      <c r="G13" s="341">
        <f t="shared" si="14"/>
        <v>0.20969679692113458</v>
      </c>
      <c r="H13" s="341">
        <f t="shared" si="14"/>
        <v>0.2096967969211346</v>
      </c>
      <c r="I13" s="341">
        <f t="shared" si="14"/>
        <v>0.20969679692113463</v>
      </c>
      <c r="J13" s="341">
        <f t="shared" si="14"/>
        <v>0.20969679692113463</v>
      </c>
      <c r="K13" s="341">
        <f t="shared" si="14"/>
        <v>0.2096967969211346</v>
      </c>
      <c r="L13" s="341">
        <f t="shared" si="14"/>
        <v>0.2096967969211346</v>
      </c>
      <c r="M13" s="341">
        <f t="shared" si="14"/>
        <v>0.20969679692113458</v>
      </c>
      <c r="N13" s="342">
        <f>H32</f>
        <v>0.17</v>
      </c>
      <c r="O13" s="342">
        <f t="shared" ref="O13:W13" si="15">N13</f>
        <v>0.17</v>
      </c>
      <c r="P13" s="342">
        <f t="shared" si="15"/>
        <v>0.17</v>
      </c>
      <c r="Q13" s="342">
        <f t="shared" si="15"/>
        <v>0.17</v>
      </c>
      <c r="R13" s="342">
        <f t="shared" si="15"/>
        <v>0.17</v>
      </c>
      <c r="S13" s="342">
        <f t="shared" si="15"/>
        <v>0.17</v>
      </c>
      <c r="T13" s="342">
        <f t="shared" si="15"/>
        <v>0.17</v>
      </c>
      <c r="U13" s="342">
        <f t="shared" si="15"/>
        <v>0.17</v>
      </c>
      <c r="V13" s="342">
        <f t="shared" si="15"/>
        <v>0.17</v>
      </c>
      <c r="W13" s="342">
        <f t="shared" si="15"/>
        <v>0.17</v>
      </c>
    </row>
    <row r="14" spans="1:23" s="309" customFormat="1">
      <c r="A14" s="308"/>
      <c r="B14" s="303" t="s">
        <v>776</v>
      </c>
      <c r="C14" s="229"/>
      <c r="D14" s="233">
        <f>'BS CF Shares'!H138</f>
        <v>-2879</v>
      </c>
      <c r="E14" s="233">
        <f>'BS CF Shares'!I138</f>
        <v>-2746</v>
      </c>
      <c r="F14" s="233">
        <f>'BS CF Shares'!J138</f>
        <v>-2351.603713239715</v>
      </c>
      <c r="G14" s="233">
        <f>'BS CF Shares'!K138</f>
        <v>-1999.1763572130722</v>
      </c>
      <c r="H14" s="233">
        <f>'BS CF Shares'!L138</f>
        <v>-1649.512527413835</v>
      </c>
      <c r="I14" s="233">
        <f>'BS CF Shares'!M138</f>
        <v>-1710.1511463611125</v>
      </c>
      <c r="J14" s="233">
        <f>'BS CF Shares'!N138</f>
        <v>-1746.1974191634131</v>
      </c>
      <c r="K14" s="233">
        <f>'BS CF Shares'!O138</f>
        <v>-1730.24925654865</v>
      </c>
      <c r="L14" s="233">
        <f>'BS CF Shares'!P138</f>
        <v>-1752.5087075424974</v>
      </c>
      <c r="M14" s="233">
        <f>'BS CF Shares'!Q138</f>
        <v>-1771.6928128364314</v>
      </c>
      <c r="N14" s="338">
        <f t="shared" ref="N14:W14" si="16">-N15*N2</f>
        <v>-1830.1586756600334</v>
      </c>
      <c r="O14" s="338">
        <f t="shared" si="16"/>
        <v>-1890.5539119568143</v>
      </c>
      <c r="P14" s="338">
        <f t="shared" si="16"/>
        <v>-1952.942191051389</v>
      </c>
      <c r="Q14" s="338">
        <f t="shared" si="16"/>
        <v>-2017.3892833560849</v>
      </c>
      <c r="R14" s="338">
        <f t="shared" si="16"/>
        <v>-2083.9631297068354</v>
      </c>
      <c r="S14" s="338">
        <f t="shared" si="16"/>
        <v>-2152.7339129871607</v>
      </c>
      <c r="T14" s="338">
        <f t="shared" si="16"/>
        <v>-2223.7741321157368</v>
      </c>
      <c r="U14" s="338">
        <f t="shared" si="16"/>
        <v>-2297.1586784755559</v>
      </c>
      <c r="V14" s="338">
        <f t="shared" si="16"/>
        <v>-2372.9649148652488</v>
      </c>
      <c r="W14" s="338">
        <f t="shared" si="16"/>
        <v>-2451.2727570558018</v>
      </c>
    </row>
    <row r="15" spans="1:23" s="309" customFormat="1">
      <c r="A15" s="308"/>
      <c r="B15" s="303" t="s">
        <v>258</v>
      </c>
      <c r="C15" s="229"/>
      <c r="D15" s="231">
        <f t="shared" ref="D15:M15" si="17">-D14/D2</f>
        <v>5.933880209406818E-2</v>
      </c>
      <c r="E15" s="231">
        <f t="shared" si="17"/>
        <v>5.5916430796798956E-2</v>
      </c>
      <c r="F15" s="231">
        <f t="shared" si="17"/>
        <v>4.4999999999999998E-2</v>
      </c>
      <c r="G15" s="231">
        <f t="shared" si="17"/>
        <v>3.7500000000000006E-2</v>
      </c>
      <c r="H15" s="231">
        <f t="shared" si="17"/>
        <v>3.0000000000000002E-2</v>
      </c>
      <c r="I15" s="231">
        <f t="shared" si="17"/>
        <v>0.03</v>
      </c>
      <c r="J15" s="231">
        <f t="shared" si="17"/>
        <v>0.03</v>
      </c>
      <c r="K15" s="231">
        <f t="shared" si="17"/>
        <v>3.0000000000000006E-2</v>
      </c>
      <c r="L15" s="231">
        <f t="shared" si="17"/>
        <v>0.03</v>
      </c>
      <c r="M15" s="231">
        <f t="shared" si="17"/>
        <v>0.03</v>
      </c>
      <c r="N15" s="328">
        <f>H33</f>
        <v>0.03</v>
      </c>
      <c r="O15" s="328">
        <f t="shared" ref="O15:W15" si="18">N15</f>
        <v>0.03</v>
      </c>
      <c r="P15" s="328">
        <f t="shared" si="18"/>
        <v>0.03</v>
      </c>
      <c r="Q15" s="328">
        <f t="shared" si="18"/>
        <v>0.03</v>
      </c>
      <c r="R15" s="328">
        <f t="shared" si="18"/>
        <v>0.03</v>
      </c>
      <c r="S15" s="328">
        <f t="shared" si="18"/>
        <v>0.03</v>
      </c>
      <c r="T15" s="328">
        <f t="shared" si="18"/>
        <v>0.03</v>
      </c>
      <c r="U15" s="328">
        <f t="shared" si="18"/>
        <v>0.03</v>
      </c>
      <c r="V15" s="328">
        <f t="shared" si="18"/>
        <v>0.03</v>
      </c>
      <c r="W15" s="328">
        <f t="shared" si="18"/>
        <v>0.03</v>
      </c>
    </row>
    <row r="16" spans="1:23" s="309" customFormat="1">
      <c r="A16" s="308"/>
      <c r="B16" s="332" t="s">
        <v>777</v>
      </c>
      <c r="C16" s="235"/>
      <c r="D16" s="236">
        <f t="shared" ref="D16:R16" si="19">D8+D9+D11+D14</f>
        <v>10544</v>
      </c>
      <c r="E16" s="236">
        <f t="shared" si="19"/>
        <v>10439</v>
      </c>
      <c r="F16" s="236">
        <f t="shared" si="19"/>
        <v>12158.233293498066</v>
      </c>
      <c r="G16" s="236">
        <f t="shared" si="19"/>
        <v>12632.20682597121</v>
      </c>
      <c r="H16" s="236">
        <f t="shared" si="19"/>
        <v>14233.131058931916</v>
      </c>
      <c r="I16" s="236">
        <f t="shared" si="19"/>
        <v>15226.878267721939</v>
      </c>
      <c r="J16" s="236">
        <f t="shared" si="19"/>
        <v>15990.423345724224</v>
      </c>
      <c r="K16" s="236">
        <f t="shared" si="19"/>
        <v>15547.396958813933</v>
      </c>
      <c r="L16" s="236">
        <f t="shared" si="19"/>
        <v>16218.478418871555</v>
      </c>
      <c r="M16" s="236">
        <f t="shared" si="19"/>
        <v>16461.430085904401</v>
      </c>
      <c r="N16" s="236">
        <f t="shared" si="19"/>
        <v>15792.848715896795</v>
      </c>
      <c r="O16" s="236">
        <f t="shared" si="19"/>
        <v>18531.725241438529</v>
      </c>
      <c r="P16" s="236">
        <f t="shared" si="19"/>
        <v>18617.448952248516</v>
      </c>
      <c r="Q16" s="236">
        <f t="shared" si="19"/>
        <v>19036.463073289411</v>
      </c>
      <c r="R16" s="236">
        <f t="shared" si="19"/>
        <v>20214.496827666953</v>
      </c>
      <c r="S16" s="236">
        <f>S8+S9+S11+S14</f>
        <v>20522.068659511104</v>
      </c>
      <c r="T16" s="236">
        <f>T8+T9+T11+T14</f>
        <v>20997.342104067786</v>
      </c>
      <c r="U16" s="236">
        <f>U8+U9+U11+U14</f>
        <v>22282.499223114461</v>
      </c>
      <c r="V16" s="236">
        <f>V8+V9+V11+V14</f>
        <v>22621.536556694737</v>
      </c>
      <c r="W16" s="236">
        <f>W8+W9+W11+W14</f>
        <v>23158.8248187965</v>
      </c>
    </row>
    <row r="17" spans="1:23">
      <c r="A17" s="311"/>
      <c r="B17" s="305" t="s">
        <v>518</v>
      </c>
      <c r="C17" s="229"/>
      <c r="D17" s="229"/>
      <c r="E17" s="229"/>
      <c r="F17" s="229">
        <f ca="1">YEARFRAC(TODAY(),DATEVALUE("1/1/2019"),3)</f>
        <v>0.70136986301369864</v>
      </c>
      <c r="G17" s="229">
        <f t="shared" ref="G17:P17" ca="1" si="20">F17+1</f>
        <v>1.7013698630136986</v>
      </c>
      <c r="H17" s="229">
        <f t="shared" ca="1" si="20"/>
        <v>2.7013698630136984</v>
      </c>
      <c r="I17" s="229">
        <f t="shared" ca="1" si="20"/>
        <v>3.7013698630136984</v>
      </c>
      <c r="J17" s="229">
        <f t="shared" ca="1" si="20"/>
        <v>4.7013698630136984</v>
      </c>
      <c r="K17" s="229">
        <f t="shared" ca="1" si="20"/>
        <v>5.7013698630136984</v>
      </c>
      <c r="L17" s="229">
        <f t="shared" ca="1" si="20"/>
        <v>6.7013698630136984</v>
      </c>
      <c r="M17" s="229">
        <f t="shared" ca="1" si="20"/>
        <v>7.7013698630136984</v>
      </c>
      <c r="N17" s="229">
        <f t="shared" ca="1" si="20"/>
        <v>8.7013698630136993</v>
      </c>
      <c r="O17" s="229">
        <f t="shared" ca="1" si="20"/>
        <v>9.7013698630136993</v>
      </c>
      <c r="P17" s="229">
        <f t="shared" ca="1" si="20"/>
        <v>10.701369863013699</v>
      </c>
      <c r="Q17" s="229">
        <f t="shared" ref="Q17:W17" ca="1" si="21">P17+1</f>
        <v>11.701369863013699</v>
      </c>
      <c r="R17" s="229">
        <f t="shared" ca="1" si="21"/>
        <v>12.701369863013699</v>
      </c>
      <c r="S17" s="229">
        <f t="shared" ca="1" si="21"/>
        <v>13.701369863013699</v>
      </c>
      <c r="T17" s="229">
        <f t="shared" ca="1" si="21"/>
        <v>14.701369863013699</v>
      </c>
      <c r="U17" s="229">
        <f t="shared" ca="1" si="21"/>
        <v>15.701369863013699</v>
      </c>
      <c r="V17" s="229">
        <f t="shared" ca="1" si="21"/>
        <v>16.701369863013699</v>
      </c>
      <c r="W17" s="229">
        <f t="shared" ca="1" si="21"/>
        <v>17.701369863013699</v>
      </c>
    </row>
    <row r="18" spans="1:23">
      <c r="A18" s="311"/>
      <c r="B18" s="305" t="s">
        <v>684</v>
      </c>
      <c r="C18" s="229"/>
      <c r="D18" s="234"/>
      <c r="E18" s="234"/>
      <c r="F18" s="234">
        <f ca="1">1/(1+$C$44)^F17</f>
        <v>0.95205994702660823</v>
      </c>
      <c r="G18" s="234">
        <f t="shared" ref="G18:R18" ca="1" si="22">1/(1+$C$44)^G17</f>
        <v>0.8876550874662934</v>
      </c>
      <c r="H18" s="234">
        <f t="shared" ca="1" si="22"/>
        <v>0.82760708163975705</v>
      </c>
      <c r="I18" s="234">
        <f t="shared" ca="1" si="22"/>
        <v>0.77162119752542302</v>
      </c>
      <c r="J18" s="234">
        <f t="shared" ca="1" si="22"/>
        <v>0.71942264110511178</v>
      </c>
      <c r="K18" s="234">
        <f t="shared" ca="1" si="22"/>
        <v>0.6707552075999077</v>
      </c>
      <c r="L18" s="234">
        <f t="shared" ca="1" si="22"/>
        <v>0.62538002394709236</v>
      </c>
      <c r="M18" s="234">
        <f t="shared" ca="1" si="22"/>
        <v>0.58307437634587767</v>
      </c>
      <c r="N18" s="234">
        <f t="shared" ca="1" si="22"/>
        <v>0.54363061711721117</v>
      </c>
      <c r="O18" s="234">
        <f t="shared" ca="1" si="22"/>
        <v>0.50685514551222544</v>
      </c>
      <c r="P18" s="234">
        <f t="shared" ca="1" si="22"/>
        <v>0.47256745746685741</v>
      </c>
      <c r="Q18" s="234">
        <f t="shared" ca="1" si="22"/>
        <v>0.44059925963857782</v>
      </c>
      <c r="R18" s="234">
        <f t="shared" ca="1" si="22"/>
        <v>0.41079364337667629</v>
      </c>
      <c r="S18" s="234">
        <f ca="1">1/(1+$C$44)^S17</f>
        <v>0.38300431457172712</v>
      </c>
      <c r="T18" s="234">
        <f ca="1">1/(1+$C$44)^T17</f>
        <v>0.35709487560412245</v>
      </c>
      <c r="U18" s="234">
        <f ca="1">1/(1+$C$44)^U17</f>
        <v>0.33293815586728343</v>
      </c>
      <c r="V18" s="234">
        <f ca="1">1/(1+$C$44)^V17</f>
        <v>0.310415587579571</v>
      </c>
      <c r="W18" s="234">
        <f ca="1">1/(1+$C$44)^W17</f>
        <v>0.28941662382121414</v>
      </c>
    </row>
    <row r="19" spans="1:23">
      <c r="A19" s="311"/>
      <c r="B19" s="332" t="s">
        <v>685</v>
      </c>
      <c r="C19" s="235"/>
      <c r="D19" s="236"/>
      <c r="E19" s="236"/>
      <c r="F19" s="236">
        <f t="shared" ref="F19:P19" ca="1" si="23">F16*F18</f>
        <v>11575.366945344913</v>
      </c>
      <c r="G19" s="236">
        <f t="shared" ca="1" si="23"/>
        <v>11213.042654999783</v>
      </c>
      <c r="H19" s="236">
        <f t="shared" ca="1" si="23"/>
        <v>11779.440058278828</v>
      </c>
      <c r="I19" s="236">
        <f t="shared" ca="1" si="23"/>
        <v>11749.38204351344</v>
      </c>
      <c r="J19" s="236">
        <f t="shared" ca="1" si="23"/>
        <v>11503.872595769759</v>
      </c>
      <c r="K19" s="236">
        <f t="shared" ca="1" si="23"/>
        <v>10428.497474747413</v>
      </c>
      <c r="L19" s="236">
        <f t="shared" ca="1" si="23"/>
        <v>10142.712421979293</v>
      </c>
      <c r="M19" s="236">
        <f t="shared" ca="1" si="23"/>
        <v>9598.2380810999766</v>
      </c>
      <c r="N19" s="236">
        <f t="shared" ca="1" si="23"/>
        <v>8585.4760934617298</v>
      </c>
      <c r="O19" s="236">
        <f t="shared" ca="1" si="23"/>
        <v>9392.9002938419071</v>
      </c>
      <c r="P19" s="236">
        <f t="shared" ca="1" si="23"/>
        <v>8798.00051588309</v>
      </c>
      <c r="Q19" s="236">
        <f t="shared" ref="Q19:W19" ca="1" si="24">Q16*Q18</f>
        <v>8387.4515362284401</v>
      </c>
      <c r="R19" s="236">
        <f t="shared" ca="1" si="24"/>
        <v>8303.9868008635731</v>
      </c>
      <c r="S19" s="236">
        <f t="shared" ca="1" si="24"/>
        <v>7860.0408405299731</v>
      </c>
      <c r="T19" s="236">
        <f t="shared" ca="1" si="24"/>
        <v>7498.0432666692886</v>
      </c>
      <c r="U19" s="236">
        <f t="shared" ca="1" si="24"/>
        <v>7418.6941994579038</v>
      </c>
      <c r="V19" s="236">
        <f t="shared" ca="1" si="24"/>
        <v>7022.0775621991415</v>
      </c>
      <c r="W19" s="236">
        <f t="shared" ca="1" si="24"/>
        <v>6702.5488907230247</v>
      </c>
    </row>
    <row r="20" spans="1:23">
      <c r="A20" s="311"/>
      <c r="B20" s="237"/>
      <c r="C20" s="238"/>
      <c r="D20" s="238"/>
      <c r="E20" s="238"/>
      <c r="F20" s="238"/>
      <c r="G20" s="238"/>
      <c r="H20" s="238"/>
      <c r="I20" s="238"/>
      <c r="J20" s="238"/>
      <c r="K20" s="238"/>
      <c r="L20" s="238"/>
      <c r="M20" s="238"/>
      <c r="N20" s="238"/>
      <c r="O20" s="238"/>
      <c r="Q20" s="238"/>
      <c r="S20" s="56"/>
      <c r="T20" s="56"/>
      <c r="U20" s="56"/>
      <c r="W20" s="383">
        <f ca="1">W19*(1+$H$38)/($C$44-$H$38)</f>
        <v>92377.371248983371</v>
      </c>
    </row>
    <row r="21" spans="1:23">
      <c r="A21" s="311"/>
      <c r="B21" s="239" t="s">
        <v>686</v>
      </c>
      <c r="C21" s="240">
        <f ca="1">SUM(E19:W19)</f>
        <v>167959.77227559153</v>
      </c>
      <c r="D21" s="238"/>
      <c r="E21" s="238"/>
      <c r="F21" s="238"/>
      <c r="N21" s="241"/>
      <c r="O21" s="241"/>
      <c r="P21" s="241"/>
      <c r="Q21" s="238"/>
      <c r="R21" s="313"/>
      <c r="S21" s="56"/>
      <c r="T21" s="56"/>
      <c r="U21" s="56"/>
    </row>
    <row r="22" spans="1:23">
      <c r="A22" s="311"/>
      <c r="B22" s="239" t="s">
        <v>687</v>
      </c>
      <c r="C22" s="240">
        <f ca="1">W20</f>
        <v>92377.371248983371</v>
      </c>
      <c r="D22" s="238"/>
      <c r="E22" s="238"/>
      <c r="F22" s="238"/>
      <c r="G22" s="347"/>
      <c r="N22" s="241"/>
      <c r="O22" s="241"/>
      <c r="P22" s="241"/>
      <c r="Q22" s="238"/>
      <c r="R22" s="313"/>
      <c r="S22" s="56"/>
      <c r="T22" s="56"/>
      <c r="U22" s="56"/>
    </row>
    <row r="23" spans="1:23">
      <c r="A23" s="311"/>
      <c r="B23" s="355" t="s">
        <v>688</v>
      </c>
      <c r="C23" s="356">
        <f ca="1">C22+C21</f>
        <v>260337.1435245749</v>
      </c>
      <c r="D23" s="238"/>
      <c r="E23" s="238"/>
      <c r="F23" s="238"/>
      <c r="G23" s="347"/>
      <c r="N23" s="242"/>
      <c r="O23" s="242"/>
      <c r="P23" s="242"/>
      <c r="Q23" s="238"/>
      <c r="R23" s="313"/>
      <c r="S23" s="56"/>
      <c r="T23" s="56"/>
      <c r="U23" s="56"/>
    </row>
    <row r="24" spans="1:23">
      <c r="A24" s="311"/>
      <c r="B24" s="243" t="s">
        <v>689</v>
      </c>
      <c r="C24" s="240">
        <f>'BS CF Shares'!I119</f>
        <v>7057</v>
      </c>
      <c r="D24" s="238"/>
      <c r="E24" s="238"/>
      <c r="F24" s="238"/>
      <c r="G24" s="347" t="s">
        <v>780</v>
      </c>
      <c r="H24" s="368">
        <f>Valuation!E65</f>
        <v>1.03</v>
      </c>
      <c r="N24" s="242"/>
      <c r="O24" s="242"/>
      <c r="P24" s="242"/>
      <c r="Q24" s="238"/>
      <c r="R24" s="313"/>
      <c r="S24" s="56"/>
      <c r="T24" s="56"/>
      <c r="U24" s="56"/>
    </row>
    <row r="25" spans="1:23">
      <c r="A25" s="311"/>
      <c r="B25" s="243" t="s">
        <v>690</v>
      </c>
      <c r="C25" s="240">
        <f>'BS CF Shares'!I118</f>
        <v>19047</v>
      </c>
      <c r="D25" s="238"/>
      <c r="E25" s="238"/>
      <c r="F25" s="238"/>
      <c r="G25" s="353" t="s">
        <v>697</v>
      </c>
      <c r="H25" s="369">
        <f>Valuation!E34</f>
        <v>77.2800000000003</v>
      </c>
      <c r="N25" s="242"/>
      <c r="O25" s="242"/>
      <c r="P25" s="242"/>
      <c r="Q25" s="238"/>
      <c r="R25" s="313"/>
      <c r="S25" s="56"/>
      <c r="T25" s="56"/>
      <c r="U25" s="56"/>
    </row>
    <row r="26" spans="1:23">
      <c r="A26" s="311"/>
      <c r="B26" s="243" t="s">
        <v>691</v>
      </c>
      <c r="C26" s="240">
        <f>'BS CF Shares'!I120</f>
        <v>59</v>
      </c>
      <c r="D26" s="238"/>
      <c r="E26" s="238"/>
      <c r="F26" s="238"/>
      <c r="G26" s="348" t="s">
        <v>698</v>
      </c>
      <c r="H26" s="370">
        <f ca="1">C32/H25-1</f>
        <v>0.38367850859160058</v>
      </c>
      <c r="N26" s="242"/>
      <c r="O26" s="242"/>
      <c r="P26" s="242"/>
      <c r="Q26" s="238"/>
      <c r="R26" s="313"/>
      <c r="S26" s="56"/>
      <c r="T26" s="56"/>
      <c r="U26" s="56"/>
    </row>
    <row r="27" spans="1:23">
      <c r="A27" s="311"/>
      <c r="B27" s="312" t="s">
        <v>865</v>
      </c>
      <c r="C27" s="240">
        <f>'BS CF Shares'!I121</f>
        <v>7600</v>
      </c>
      <c r="D27" s="238"/>
      <c r="E27" s="238"/>
      <c r="F27" s="238"/>
      <c r="G27" s="354" t="s">
        <v>699</v>
      </c>
      <c r="H27" s="371">
        <f>+C30*H25</f>
        <v>181298.8800000007</v>
      </c>
      <c r="N27" s="242"/>
      <c r="O27" s="242"/>
      <c r="P27" s="242"/>
      <c r="Q27" s="238"/>
      <c r="R27" s="313"/>
      <c r="S27" s="56"/>
      <c r="T27" s="56"/>
      <c r="U27" s="56"/>
    </row>
    <row r="28" spans="1:23">
      <c r="A28" s="311"/>
      <c r="B28" s="312" t="s">
        <v>779</v>
      </c>
      <c r="C28" s="240">
        <f>'BS CF Shares'!I122</f>
        <v>16611.001279785483</v>
      </c>
      <c r="D28" s="238"/>
      <c r="E28" s="238"/>
      <c r="F28" s="238"/>
      <c r="G28" s="347"/>
      <c r="N28" s="242"/>
      <c r="O28" s="242"/>
      <c r="P28" s="242"/>
      <c r="Q28" s="238"/>
      <c r="R28" s="313"/>
      <c r="S28" s="56"/>
      <c r="T28" s="56"/>
      <c r="U28" s="56"/>
    </row>
    <row r="29" spans="1:23">
      <c r="A29" s="311"/>
      <c r="B29" s="357" t="s">
        <v>637</v>
      </c>
      <c r="C29" s="356">
        <f ca="1">C23-C24-C25-C26+C28+C27</f>
        <v>258385.14480436037</v>
      </c>
      <c r="D29" s="238"/>
      <c r="E29" s="238"/>
      <c r="F29" s="238"/>
      <c r="G29" s="347"/>
      <c r="N29" s="242"/>
      <c r="O29" s="242"/>
      <c r="P29" s="242"/>
      <c r="Q29" s="238"/>
      <c r="R29" s="313"/>
      <c r="S29" s="56"/>
      <c r="T29" s="56"/>
      <c r="U29" s="56"/>
    </row>
    <row r="30" spans="1:23">
      <c r="A30" s="311"/>
      <c r="B30" s="243" t="s">
        <v>692</v>
      </c>
      <c r="C30" s="244">
        <f>'P&amp;L'!I140</f>
        <v>2346</v>
      </c>
      <c r="D30" s="238"/>
      <c r="E30" s="238"/>
      <c r="F30" s="238"/>
      <c r="G30" s="238"/>
      <c r="H30" s="238"/>
      <c r="N30" s="242"/>
      <c r="O30" s="242"/>
      <c r="P30" s="242"/>
      <c r="Q30" s="238"/>
      <c r="R30" s="313"/>
      <c r="S30" s="56"/>
      <c r="T30" s="56"/>
      <c r="U30" s="56"/>
    </row>
    <row r="31" spans="1:23">
      <c r="A31" s="311"/>
      <c r="B31" s="245" t="s">
        <v>782</v>
      </c>
      <c r="C31" s="242">
        <f ca="1">C29/C30</f>
        <v>110.13859539827808</v>
      </c>
      <c r="D31" s="238"/>
      <c r="E31" s="238"/>
      <c r="F31" s="238"/>
      <c r="G31" s="333" t="s">
        <v>646</v>
      </c>
      <c r="H31" s="363">
        <f>C44</f>
        <v>7.2556176908928738E-2</v>
      </c>
      <c r="I31" s="238"/>
      <c r="J31" s="238"/>
      <c r="K31" s="238"/>
      <c r="L31" s="238"/>
      <c r="M31" s="238"/>
      <c r="N31" s="238"/>
      <c r="O31" s="238"/>
      <c r="P31" s="238"/>
      <c r="Q31" s="238"/>
      <c r="R31" s="313"/>
      <c r="S31" s="56"/>
      <c r="T31" s="56"/>
      <c r="U31" s="56"/>
    </row>
    <row r="32" spans="1:23">
      <c r="A32" s="311"/>
      <c r="B32" s="345" t="s">
        <v>781</v>
      </c>
      <c r="C32" s="346">
        <f ca="1">C31/H24</f>
        <v>106.93067514395931</v>
      </c>
      <c r="D32" s="238"/>
      <c r="E32" s="238"/>
      <c r="F32" s="238"/>
      <c r="G32" s="334" t="s">
        <v>771</v>
      </c>
      <c r="H32" s="364">
        <v>0.17</v>
      </c>
      <c r="I32" s="238"/>
      <c r="J32" s="238"/>
      <c r="K32" s="238"/>
      <c r="L32" s="238"/>
      <c r="M32" s="238"/>
      <c r="N32" s="238"/>
      <c r="O32" s="238"/>
      <c r="P32" s="238"/>
      <c r="Q32" s="238"/>
      <c r="R32" s="313"/>
      <c r="S32" s="56"/>
      <c r="T32" s="56"/>
      <c r="U32" s="56"/>
    </row>
    <row r="33" spans="1:19">
      <c r="A33" s="311"/>
      <c r="D33" s="303"/>
      <c r="G33" s="334" t="s">
        <v>772</v>
      </c>
      <c r="H33" s="364">
        <v>0.03</v>
      </c>
    </row>
    <row r="34" spans="1:19">
      <c r="A34" s="311"/>
      <c r="B34" s="349" t="s">
        <v>784</v>
      </c>
      <c r="C34" s="327">
        <f>C25/(C25+H27)</f>
        <v>9.507058493042099E-2</v>
      </c>
      <c r="D34" s="303"/>
      <c r="G34" s="335"/>
      <c r="H34" s="365"/>
    </row>
    <row r="35" spans="1:19">
      <c r="A35" s="311"/>
      <c r="B35" s="349" t="s">
        <v>785</v>
      </c>
      <c r="C35" s="327">
        <f>100%-C34</f>
        <v>0.90492941506957902</v>
      </c>
      <c r="D35" s="303"/>
      <c r="G35" s="333" t="s">
        <v>581</v>
      </c>
      <c r="H35" s="366">
        <v>0.14499999999999999</v>
      </c>
      <c r="K35" s="314"/>
      <c r="Q35" s="79"/>
    </row>
    <row r="36" spans="1:19">
      <c r="A36" s="311"/>
      <c r="B36" s="349" t="s">
        <v>786</v>
      </c>
      <c r="C36" s="327">
        <f>+C34/C35</f>
        <v>0.10505856406834904</v>
      </c>
      <c r="D36" s="303"/>
      <c r="G36" s="335" t="s">
        <v>797</v>
      </c>
      <c r="H36" s="365">
        <v>3.3000000000000002E-2</v>
      </c>
      <c r="Q36" s="315"/>
    </row>
    <row r="37" spans="1:19">
      <c r="A37" s="311"/>
      <c r="B37" s="349" t="s">
        <v>693</v>
      </c>
      <c r="C37" s="328">
        <v>0.03</v>
      </c>
      <c r="D37" s="303"/>
      <c r="E37" s="303"/>
      <c r="F37" s="303"/>
      <c r="G37" s="335" t="s">
        <v>773</v>
      </c>
      <c r="H37" s="364">
        <v>0.33400000000000002</v>
      </c>
      <c r="Q37" s="317"/>
    </row>
    <row r="38" spans="1:19">
      <c r="A38" s="311"/>
      <c r="B38" s="349" t="s">
        <v>582</v>
      </c>
      <c r="C38" s="328">
        <f>AVERAGE(D7:P7)</f>
        <v>0.1563991973276577</v>
      </c>
      <c r="D38" s="303"/>
      <c r="E38" s="303"/>
      <c r="F38" s="303"/>
      <c r="G38" s="336" t="s">
        <v>774</v>
      </c>
      <c r="H38" s="367">
        <v>0</v>
      </c>
      <c r="L38" s="316"/>
      <c r="M38" s="316"/>
      <c r="N38" s="316"/>
      <c r="O38" s="316"/>
      <c r="P38" s="316"/>
      <c r="Q38" s="315"/>
    </row>
    <row r="39" spans="1:19">
      <c r="A39" s="311"/>
      <c r="B39" s="358" t="s">
        <v>783</v>
      </c>
      <c r="C39" s="359">
        <f>C37*(1-C38)</f>
        <v>2.5308024080170268E-2</v>
      </c>
      <c r="D39" s="303"/>
      <c r="E39" s="303"/>
      <c r="F39" s="303"/>
      <c r="L39" s="316"/>
      <c r="M39" s="316"/>
      <c r="N39" s="316"/>
      <c r="O39" s="316"/>
      <c r="P39" s="316"/>
      <c r="Q39" s="315"/>
    </row>
    <row r="40" spans="1:19">
      <c r="A40" s="311"/>
      <c r="B40" s="349" t="s">
        <v>695</v>
      </c>
      <c r="C40" s="328">
        <v>0.03</v>
      </c>
      <c r="D40" s="303"/>
      <c r="E40" s="303"/>
      <c r="F40" s="303"/>
      <c r="L40" s="316"/>
      <c r="M40" s="316"/>
      <c r="N40" s="316"/>
      <c r="O40" s="316"/>
      <c r="P40" s="316"/>
      <c r="Q40" s="317"/>
      <c r="S40" s="318"/>
    </row>
    <row r="41" spans="1:19">
      <c r="A41" s="311"/>
      <c r="B41" s="349" t="s">
        <v>696</v>
      </c>
      <c r="C41" s="329">
        <v>4.9500000000000002E-2</v>
      </c>
      <c r="D41" s="303"/>
      <c r="E41" s="303"/>
      <c r="F41" s="303"/>
      <c r="L41" s="316"/>
      <c r="M41" s="316"/>
      <c r="N41" s="316"/>
      <c r="O41" s="316"/>
      <c r="P41" s="316"/>
      <c r="Q41" s="317"/>
      <c r="S41" s="318"/>
    </row>
    <row r="42" spans="1:19">
      <c r="A42" s="311"/>
      <c r="B42" s="349" t="s">
        <v>769</v>
      </c>
      <c r="C42" s="330">
        <v>0.96</v>
      </c>
      <c r="D42" s="303"/>
      <c r="E42" s="303"/>
      <c r="F42" s="303"/>
      <c r="L42" s="316"/>
      <c r="M42" s="316"/>
      <c r="N42" s="316"/>
      <c r="O42" s="316"/>
      <c r="P42" s="316"/>
      <c r="Q42" s="317"/>
      <c r="R42" s="56"/>
    </row>
    <row r="43" spans="1:19">
      <c r="A43" s="311"/>
      <c r="B43" s="360" t="s">
        <v>694</v>
      </c>
      <c r="C43" s="361">
        <f>+C40+C41*C42</f>
        <v>7.7520000000000006E-2</v>
      </c>
      <c r="D43" s="303"/>
      <c r="E43" s="303"/>
      <c r="F43" s="303"/>
      <c r="L43" s="316"/>
      <c r="M43" s="316"/>
      <c r="N43" s="316"/>
      <c r="O43" s="316"/>
      <c r="P43" s="316"/>
      <c r="Q43" s="317"/>
      <c r="R43" s="56"/>
      <c r="S43" s="318"/>
    </row>
    <row r="44" spans="1:19">
      <c r="A44" s="311"/>
      <c r="B44" s="358" t="s">
        <v>778</v>
      </c>
      <c r="C44" s="362">
        <f>+C34*C39+C43*C35</f>
        <v>7.2556176908928738E-2</v>
      </c>
      <c r="E44" s="303"/>
      <c r="F44" s="303"/>
      <c r="L44" s="316"/>
      <c r="M44" s="316"/>
      <c r="N44" s="316"/>
      <c r="O44" s="316"/>
      <c r="P44" s="316"/>
      <c r="Q44" s="317"/>
      <c r="R44" s="56"/>
    </row>
    <row r="45" spans="1:19">
      <c r="A45" s="311"/>
      <c r="B45" s="350"/>
      <c r="C45" s="351"/>
      <c r="E45" s="303"/>
      <c r="F45" s="303"/>
      <c r="K45" s="314"/>
      <c r="L45" s="316"/>
      <c r="M45" s="316"/>
      <c r="N45" s="316"/>
      <c r="O45" s="316"/>
      <c r="P45" s="316"/>
      <c r="Q45" s="319"/>
      <c r="R45" s="56"/>
    </row>
    <row r="46" spans="1:19">
      <c r="A46" s="311"/>
      <c r="B46"/>
      <c r="C46"/>
      <c r="E46" s="303"/>
      <c r="F46" s="303"/>
      <c r="K46" s="314"/>
      <c r="L46" s="316"/>
      <c r="M46" s="316"/>
      <c r="N46" s="316"/>
      <c r="O46" s="316"/>
      <c r="P46" s="316"/>
      <c r="Q46" s="79"/>
      <c r="R46" s="56"/>
    </row>
    <row r="47" spans="1:19">
      <c r="A47" s="311"/>
      <c r="B47"/>
      <c r="C47"/>
      <c r="E47" s="303"/>
      <c r="F47" s="303"/>
      <c r="K47" s="316"/>
      <c r="L47" s="316"/>
      <c r="M47" s="316"/>
      <c r="N47" s="316"/>
      <c r="O47" s="316"/>
      <c r="P47" s="316"/>
      <c r="Q47" s="319"/>
      <c r="R47" s="78"/>
    </row>
    <row r="48" spans="1:19">
      <c r="A48" s="311"/>
      <c r="B48"/>
      <c r="C48"/>
      <c r="E48" s="303"/>
      <c r="F48" s="303"/>
      <c r="J48" s="56"/>
      <c r="K48" s="316"/>
      <c r="L48" s="316"/>
      <c r="M48" s="316"/>
      <c r="N48" s="316"/>
      <c r="O48" s="316"/>
      <c r="P48" s="316"/>
      <c r="Q48" s="310"/>
      <c r="R48" s="78"/>
    </row>
    <row r="49" spans="1:18">
      <c r="A49" s="311"/>
      <c r="C49" s="352"/>
      <c r="E49" s="303"/>
      <c r="F49" s="303"/>
      <c r="G49" s="320"/>
      <c r="H49" s="320"/>
      <c r="I49" s="320"/>
      <c r="J49" s="78"/>
      <c r="K49" s="321"/>
      <c r="L49" s="322"/>
      <c r="M49" s="78"/>
      <c r="N49" s="78"/>
      <c r="O49" s="78"/>
      <c r="P49" s="78"/>
      <c r="Q49" s="78"/>
      <c r="R49" s="78"/>
    </row>
    <row r="50" spans="1:18">
      <c r="A50" s="311"/>
      <c r="C50" s="352"/>
      <c r="E50" s="303"/>
      <c r="F50" s="303"/>
      <c r="G50" s="320"/>
      <c r="H50" s="320"/>
      <c r="I50" s="320"/>
      <c r="J50" s="78"/>
      <c r="K50" s="323"/>
      <c r="L50" s="311"/>
      <c r="M50" s="311"/>
      <c r="N50" s="311"/>
      <c r="O50" s="311"/>
      <c r="P50" s="311"/>
      <c r="Q50" s="311"/>
      <c r="R50" s="311"/>
    </row>
    <row r="51" spans="1:18">
      <c r="A51" s="311"/>
      <c r="C51" s="352"/>
      <c r="E51" s="303"/>
      <c r="F51" s="303"/>
      <c r="G51" s="320"/>
      <c r="H51" s="320"/>
      <c r="I51" s="320"/>
      <c r="J51" s="311"/>
      <c r="K51" s="311"/>
      <c r="L51" s="311"/>
      <c r="M51" s="311"/>
      <c r="N51" s="311"/>
      <c r="O51" s="311"/>
      <c r="P51" s="311"/>
      <c r="Q51" s="311"/>
      <c r="R51" s="311"/>
    </row>
    <row r="52" spans="1:18">
      <c r="A52" s="311"/>
      <c r="B52" s="347"/>
      <c r="C52" s="352"/>
      <c r="E52" s="303"/>
      <c r="F52" s="303"/>
      <c r="G52" s="78"/>
      <c r="H52" s="78"/>
      <c r="I52" s="78"/>
      <c r="K52" s="311"/>
      <c r="L52" s="311"/>
      <c r="M52" s="311"/>
      <c r="N52" s="311"/>
      <c r="O52" s="311"/>
      <c r="P52" s="311"/>
      <c r="Q52" s="311"/>
      <c r="R52" s="311"/>
    </row>
    <row r="53" spans="1:18">
      <c r="A53" s="311"/>
      <c r="C53" s="352"/>
      <c r="E53" s="303"/>
      <c r="F53" s="303"/>
      <c r="G53" s="78"/>
      <c r="H53" s="78"/>
      <c r="I53" s="78"/>
      <c r="K53" s="311"/>
      <c r="L53" s="311"/>
      <c r="M53" s="311"/>
      <c r="N53" s="311"/>
      <c r="O53" s="311"/>
      <c r="P53" s="311"/>
      <c r="Q53" s="311"/>
      <c r="R53" s="311"/>
    </row>
    <row r="54" spans="1:18">
      <c r="A54" s="311"/>
      <c r="E54" s="303"/>
      <c r="F54" s="303"/>
      <c r="G54" s="311"/>
      <c r="H54" s="311"/>
      <c r="I54" s="311"/>
      <c r="K54" s="311"/>
      <c r="L54" s="311"/>
      <c r="M54" s="311"/>
      <c r="N54" s="311"/>
      <c r="O54" s="311"/>
      <c r="P54" s="311"/>
      <c r="Q54" s="311"/>
      <c r="R54" s="311"/>
    </row>
    <row r="55" spans="1:18">
      <c r="A55" s="311"/>
      <c r="E55" s="303"/>
      <c r="F55" s="303"/>
      <c r="K55" s="311"/>
      <c r="L55" s="311"/>
      <c r="M55" s="311"/>
      <c r="N55" s="311"/>
      <c r="O55" s="311"/>
      <c r="P55" s="311"/>
      <c r="Q55" s="311"/>
      <c r="R55" s="311"/>
    </row>
    <row r="56" spans="1:18">
      <c r="A56" s="311"/>
      <c r="E56" s="303"/>
      <c r="F56" s="303"/>
      <c r="J56" s="324"/>
      <c r="K56" s="311"/>
      <c r="L56" s="311"/>
      <c r="M56" s="311"/>
      <c r="N56" s="311"/>
      <c r="O56" s="311"/>
      <c r="P56" s="311"/>
      <c r="Q56" s="311"/>
      <c r="R56" s="311"/>
    </row>
    <row r="57" spans="1:18">
      <c r="A57" s="311"/>
      <c r="J57" s="325"/>
      <c r="K57" s="311"/>
      <c r="L57" s="311"/>
      <c r="M57" s="311"/>
      <c r="N57" s="311"/>
      <c r="O57" s="311"/>
      <c r="P57" s="311"/>
      <c r="Q57" s="311"/>
      <c r="R57" s="311"/>
    </row>
    <row r="58" spans="1:18">
      <c r="A58" s="311"/>
      <c r="J58" s="308"/>
      <c r="K58" s="311"/>
      <c r="L58" s="311"/>
      <c r="M58" s="311"/>
      <c r="N58" s="311"/>
      <c r="O58" s="311"/>
      <c r="P58" s="311"/>
      <c r="Q58" s="311"/>
      <c r="R58" s="311"/>
    </row>
    <row r="59" spans="1:18">
      <c r="A59" s="311"/>
      <c r="F59" s="326"/>
      <c r="G59" s="324"/>
      <c r="H59" s="324"/>
      <c r="I59" s="324"/>
      <c r="J59" s="308"/>
      <c r="K59" s="311"/>
      <c r="L59" s="311"/>
      <c r="M59" s="311"/>
      <c r="N59" s="311"/>
      <c r="O59" s="311"/>
      <c r="P59" s="311"/>
      <c r="Q59" s="311"/>
      <c r="R59" s="311"/>
    </row>
    <row r="60" spans="1:18">
      <c r="A60" s="311"/>
      <c r="F60" s="325"/>
      <c r="G60" s="325"/>
      <c r="H60" s="325"/>
      <c r="I60" s="325"/>
      <c r="J60" s="311"/>
      <c r="K60" s="311"/>
      <c r="L60" s="311"/>
      <c r="M60" s="311"/>
      <c r="N60" s="311"/>
      <c r="O60" s="311"/>
      <c r="P60" s="311"/>
      <c r="Q60" s="311"/>
      <c r="R60" s="311"/>
    </row>
    <row r="61" spans="1:18">
      <c r="F61" s="308"/>
      <c r="G61" s="308"/>
      <c r="H61" s="308"/>
      <c r="I61" s="308"/>
    </row>
    <row r="62" spans="1:18">
      <c r="F62" s="308"/>
      <c r="G62" s="308"/>
      <c r="H62" s="308"/>
      <c r="I62" s="308"/>
    </row>
    <row r="63" spans="1:18">
      <c r="F63" s="311"/>
      <c r="G63" s="311"/>
      <c r="H63" s="311"/>
      <c r="I63" s="311"/>
    </row>
    <row r="68" spans="2:3">
      <c r="B68" s="311"/>
      <c r="C68" s="311"/>
    </row>
  </sheetData>
  <pageMargins left="0" right="0" top="0" bottom="0" header="0" footer="0"/>
  <pageSetup paperSize="5" scale="64"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AG764"/>
  <sheetViews>
    <sheetView workbookViewId="0">
      <selection activeCell="F31" sqref="F31"/>
    </sheetView>
  </sheetViews>
  <sheetFormatPr defaultRowHeight="12.75" outlineLevelRow="1"/>
  <cols>
    <col min="1" max="1" width="29.28515625" style="16" customWidth="1"/>
    <col min="2" max="2" width="14.28515625" style="16" customWidth="1"/>
    <col min="3" max="3" width="11" style="16" customWidth="1"/>
    <col min="4" max="4" width="12.5703125" style="16" customWidth="1"/>
    <col min="5" max="16384" width="9.140625" style="16"/>
  </cols>
  <sheetData>
    <row r="2" spans="1:33" ht="33">
      <c r="A2" s="246" t="s">
        <v>706</v>
      </c>
      <c r="B2" s="246" t="s">
        <v>578</v>
      </c>
      <c r="C2" s="246" t="s">
        <v>707</v>
      </c>
      <c r="D2" s="247" t="s">
        <v>708</v>
      </c>
      <c r="E2" s="247" t="s">
        <v>709</v>
      </c>
      <c r="F2" s="247" t="s">
        <v>710</v>
      </c>
      <c r="G2" s="248" t="s">
        <v>711</v>
      </c>
      <c r="H2" s="248" t="s">
        <v>712</v>
      </c>
      <c r="U2" s="249" t="s">
        <v>706</v>
      </c>
      <c r="V2" s="250" t="s">
        <v>713</v>
      </c>
      <c r="W2" s="250" t="s">
        <v>714</v>
      </c>
      <c r="X2" s="250" t="s">
        <v>715</v>
      </c>
      <c r="Y2" s="250" t="s">
        <v>716</v>
      </c>
      <c r="Z2" s="250" t="s">
        <v>717</v>
      </c>
      <c r="AA2" s="250" t="s">
        <v>718</v>
      </c>
      <c r="AB2" s="250" t="s">
        <v>719</v>
      </c>
      <c r="AC2" s="250" t="s">
        <v>720</v>
      </c>
      <c r="AD2" s="250" t="s">
        <v>721</v>
      </c>
      <c r="AE2" s="250" t="s">
        <v>722</v>
      </c>
      <c r="AF2" s="250" t="s">
        <v>723</v>
      </c>
      <c r="AG2" s="250" t="s">
        <v>724</v>
      </c>
    </row>
    <row r="3" spans="1:33">
      <c r="A3" s="16" t="str">
        <f>A35</f>
        <v>Sandoz</v>
      </c>
      <c r="B3" s="251">
        <f ca="1">SUM(B47:B48)</f>
        <v>49044.565456361961</v>
      </c>
      <c r="C3" s="213">
        <f ca="1">B3/DCF!$C$30</f>
        <v>20.905611873982082</v>
      </c>
      <c r="D3" s="213">
        <f ca="1">C3/DCF!$H$24</f>
        <v>20.296710557264156</v>
      </c>
      <c r="U3" s="249" t="str">
        <f t="shared" ref="U3:U23" si="0">A3</f>
        <v>Sandoz</v>
      </c>
      <c r="V3" s="252">
        <f ca="1">D3</f>
        <v>20.296710557264156</v>
      </c>
      <c r="W3" s="253">
        <v>1.5</v>
      </c>
      <c r="X3" s="252">
        <f ca="1">SUM(V3:V$3)</f>
        <v>20.296710557264156</v>
      </c>
      <c r="Y3" s="254">
        <f ca="1">X3</f>
        <v>20.296710557264156</v>
      </c>
      <c r="Z3" s="250"/>
      <c r="AA3" s="250"/>
      <c r="AB3" s="250"/>
      <c r="AC3" s="250"/>
      <c r="AD3" s="250"/>
      <c r="AE3" s="250"/>
      <c r="AF3" s="252">
        <f ca="1">MAX(0,Y3)</f>
        <v>20.296710557264156</v>
      </c>
      <c r="AG3" s="252">
        <f t="shared" ref="AG3:AG4" ca="1" si="1">IF(ISBLANK(V3),Y3,V3)</f>
        <v>20.296710557264156</v>
      </c>
    </row>
    <row r="4" spans="1:33">
      <c r="A4" s="16" t="str">
        <f>A67</f>
        <v>Gleevec</v>
      </c>
      <c r="B4" s="251">
        <f ca="1">SUM(B77:B78)</f>
        <v>2402.1442301093548</v>
      </c>
      <c r="C4" s="213">
        <f ca="1">B4/DCF!$C$30</f>
        <v>1.0239318968923081</v>
      </c>
      <c r="D4" s="213">
        <f ca="1">C4/DCF!$H$24</f>
        <v>0.99410863775952241</v>
      </c>
      <c r="E4" s="255">
        <f>MAX(MAX(Sales!B54:Q54),MAX(K68:Q68))</f>
        <v>4746</v>
      </c>
      <c r="F4" s="256">
        <f>IFERROR(INDEX(Sales!$B$1:$Q$1,MATCH(NPV!E4,Sales!B54:Q54,0)),INDEX(C67:Q67,MATCH(NPV!E4,C68:Q68,0)))</f>
        <v>2014</v>
      </c>
      <c r="G4" s="257">
        <f t="array" ref="G4">INDEX(Sales!B54:Q54,MATCH(FALSE,ISBLANK(Sales!B54:Q54),0))</f>
        <v>4265</v>
      </c>
      <c r="H4" s="256">
        <f>IFERROR(INDEX(Sales!$B$1:$Q$1,MATCH(NPV!G4,Sales!B54:Q54,0)),INDEX(C67:Q67,MATCH(NPV!G4,C68:Q68,0)))</f>
        <v>2010</v>
      </c>
      <c r="U4" s="249" t="str">
        <f t="shared" si="0"/>
        <v>Gleevec</v>
      </c>
      <c r="V4" s="252">
        <f t="shared" ref="V4:V23" ca="1" si="2">D4</f>
        <v>0.99410863775952241</v>
      </c>
      <c r="W4" s="253">
        <f t="shared" ref="W4:W25" si="3">W3+1</f>
        <v>2.5</v>
      </c>
      <c r="X4" s="252">
        <f ca="1">SUM(V$3:V4)</f>
        <v>21.29081919502368</v>
      </c>
      <c r="Y4" s="250">
        <f ca="1">IF(LEN(V4)=0,X3,0)</f>
        <v>0</v>
      </c>
      <c r="Z4" s="250">
        <f ca="1">IF(AND(X4&lt;0,X2&lt;0,Y4=0),MAX(X2:X4),0)</f>
        <v>0</v>
      </c>
      <c r="AA4" s="250">
        <f t="shared" ref="AA4" ca="1" si="4">IF(AND(X4&lt;0,V4&lt;0),MAX(V4,X4),0)</f>
        <v>0</v>
      </c>
      <c r="AB4" s="250">
        <f ca="1">IF(AND(X2&lt;0,V4&gt;0),MAX(-V4,X2),0)</f>
        <v>0</v>
      </c>
      <c r="AC4" s="252">
        <f t="shared" ref="AC4" ca="1" si="5">IF(AND(X4&gt;0,X3&gt;0,Y4=0),MIN(X3:X4),0)</f>
        <v>20.296710557264156</v>
      </c>
      <c r="AD4" s="250">
        <f ca="1">IF(AND(X2&gt;0,V4&lt;0),MIN(-V4,X2),0)</f>
        <v>0</v>
      </c>
      <c r="AE4" s="252">
        <f t="shared" ref="AE4" ca="1" si="6">IF(AND(X4&gt;0,V4&gt;0),MIN(V4,X4),0)</f>
        <v>0.99410863775952241</v>
      </c>
      <c r="AF4" s="252">
        <f t="shared" ref="AF4" ca="1" si="7">IF(LEN(V4)&gt;0,MAX(IF(Y4&gt;0,0,X3),X4),MAX(X4,0))</f>
        <v>21.29081919502368</v>
      </c>
      <c r="AG4" s="252">
        <f t="shared" ca="1" si="1"/>
        <v>0.99410863775952241</v>
      </c>
    </row>
    <row r="5" spans="1:33">
      <c r="A5" s="16" t="str">
        <f>A82</f>
        <v>Tasigna</v>
      </c>
      <c r="B5" s="251">
        <f ca="1">SUM(B92:B93)</f>
        <v>3649.3283555448002</v>
      </c>
      <c r="C5" s="213">
        <f ca="1">B5/DCF!$C$30</f>
        <v>1.5555534337360615</v>
      </c>
      <c r="D5" s="213">
        <f ca="1">C5/DCF!$H$24</f>
        <v>1.5102460521709333</v>
      </c>
      <c r="E5" s="255">
        <f>MAX(MAX(Sales!B62:Q62,MAX(K83:Q83)))</f>
        <v>2247.5735696521551</v>
      </c>
      <c r="F5" s="256">
        <f>IFERROR(INDEX(Sales!$B$1:$Q$1,MATCH(NPV!E5,Sales!B62:Q62,0)),INDEX(C82:Q82,MATCH(NPV!E5,C83:Q83,0)))</f>
        <v>2022</v>
      </c>
      <c r="G5" s="257">
        <f t="array" ref="G5">INDEX(Sales!B62:Q62,MATCH(FALSE,ISBLANK(Sales!B62:Q62),0))</f>
        <v>399</v>
      </c>
      <c r="H5" s="256">
        <f>IFERROR(INDEX(Sales!$B$1:$Q$1,MATCH(NPV!G5,Sales!B62:Q62,0)),INDEX(C82:Q82,MATCH(NPV!G5,C83:Q83,0)))</f>
        <v>2010</v>
      </c>
      <c r="U5" s="249" t="str">
        <f t="shared" si="0"/>
        <v>Tasigna</v>
      </c>
      <c r="V5" s="252">
        <f t="shared" ca="1" si="2"/>
        <v>1.5102460521709333</v>
      </c>
      <c r="W5" s="253">
        <f t="shared" si="3"/>
        <v>3.5</v>
      </c>
      <c r="X5" s="252">
        <f ca="1">SUM(V$3:V5)</f>
        <v>22.801065247194614</v>
      </c>
      <c r="Y5" s="250">
        <f t="shared" ref="Y5:Y23" ca="1" si="8">IF(LEN(V5)=0,X4,0)</f>
        <v>0</v>
      </c>
      <c r="Z5" s="250">
        <f t="shared" ref="Z5:Z23" ca="1" si="9">IF(AND(X5&lt;0,X3&lt;0,Y5=0),MAX(X3:X5),0)</f>
        <v>0</v>
      </c>
      <c r="AA5" s="250">
        <f t="shared" ref="AA5:AA23" ca="1" si="10">IF(AND(X5&lt;0,V5&lt;0),MAX(V5,X5),0)</f>
        <v>0</v>
      </c>
      <c r="AB5" s="250">
        <f t="shared" ref="AB5:AB23" ca="1" si="11">IF(AND(X3&lt;0,V5&gt;0),MAX(-V5,X3),0)</f>
        <v>0</v>
      </c>
      <c r="AC5" s="252">
        <f t="shared" ref="AC5:AC23" ca="1" si="12">IF(AND(X5&gt;0,X4&gt;0,Y5=0),MIN(X4:X5),0)</f>
        <v>21.29081919502368</v>
      </c>
      <c r="AD5" s="250">
        <f t="shared" ref="AD5:AD23" ca="1" si="13">IF(AND(X3&gt;0,V5&lt;0),MIN(-V5,X3),0)</f>
        <v>0</v>
      </c>
      <c r="AE5" s="252">
        <f t="shared" ref="AE5:AE23" ca="1" si="14">IF(AND(X5&gt;0,V5&gt;0),MIN(V5,X5),0)</f>
        <v>1.5102460521709333</v>
      </c>
      <c r="AF5" s="252">
        <f t="shared" ref="AF5:AF23" ca="1" si="15">IF(LEN(V5)&gt;0,MAX(IF(Y5&gt;0,0,X4),X5),MAX(X5,0))</f>
        <v>22.801065247194614</v>
      </c>
      <c r="AG5" s="252">
        <f t="shared" ref="AG5:AG23" ca="1" si="16">IF(ISBLANK(V5),Y5,V5)</f>
        <v>1.5102460521709333</v>
      </c>
    </row>
    <row r="6" spans="1:33">
      <c r="A6" s="16" t="str">
        <f>A97</f>
        <v>Afinitor</v>
      </c>
      <c r="B6" s="251">
        <f ca="1">SUM(B107:B108)</f>
        <v>1503.3473870913986</v>
      </c>
      <c r="C6" s="213">
        <f ca="1">B6/DCF!$C$30</f>
        <v>0.64081303797587319</v>
      </c>
      <c r="D6" s="213">
        <f ca="1">C6/DCF!$H$24</f>
        <v>0.62214858055910016</v>
      </c>
      <c r="E6" s="255">
        <f>MAX(MAX(Sales!B74:Q74),MAX(K98:Q98))</f>
        <v>1607</v>
      </c>
      <c r="F6" s="256">
        <f>IFERROR(INDEX(Sales!$B$1:$Q$1,MATCH(NPV!E6,Sales!B74:Q74,0)),INDEX(C97:Q97,MATCH(NPV!E6,C98:Q98,0)))</f>
        <v>2015</v>
      </c>
      <c r="G6" s="257">
        <f t="array" ref="G6">INDEX(Sales!B74:Q74,MATCH(FALSE,ISBLANK(Sales!B74:Q74),0))</f>
        <v>243</v>
      </c>
      <c r="H6" s="256">
        <f>IFERROR(INDEX(Sales!$B$1:$Q$1,MATCH(NPV!G6,Sales!B74:Q74,0)),INDEX(C97:Q97,MATCH(NPV!G6,C98:Q98,0)))</f>
        <v>2010</v>
      </c>
      <c r="U6" s="249" t="str">
        <f t="shared" si="0"/>
        <v>Afinitor</v>
      </c>
      <c r="V6" s="252">
        <f t="shared" ca="1" si="2"/>
        <v>0.62214858055910016</v>
      </c>
      <c r="W6" s="253">
        <f t="shared" si="3"/>
        <v>4.5</v>
      </c>
      <c r="X6" s="252">
        <f ca="1">SUM(V$3:V6)</f>
        <v>23.423213827753713</v>
      </c>
      <c r="Y6" s="250">
        <f t="shared" ca="1" si="8"/>
        <v>0</v>
      </c>
      <c r="Z6" s="250">
        <f t="shared" ca="1" si="9"/>
        <v>0</v>
      </c>
      <c r="AA6" s="250">
        <f t="shared" ca="1" si="10"/>
        <v>0</v>
      </c>
      <c r="AB6" s="250">
        <f t="shared" ca="1" si="11"/>
        <v>0</v>
      </c>
      <c r="AC6" s="252">
        <f t="shared" ca="1" si="12"/>
        <v>22.801065247194614</v>
      </c>
      <c r="AD6" s="250">
        <f t="shared" ca="1" si="13"/>
        <v>0</v>
      </c>
      <c r="AE6" s="252">
        <f t="shared" ca="1" si="14"/>
        <v>0.62214858055910016</v>
      </c>
      <c r="AF6" s="252">
        <f t="shared" ca="1" si="15"/>
        <v>23.423213827753713</v>
      </c>
      <c r="AG6" s="252">
        <f t="shared" ca="1" si="16"/>
        <v>0.62214858055910016</v>
      </c>
    </row>
    <row r="7" spans="1:33">
      <c r="A7" s="16" t="str">
        <f>A112</f>
        <v>Kisqali</v>
      </c>
      <c r="B7" s="251">
        <f ca="1">SUM(B122:B123)</f>
        <v>3710.2346114226916</v>
      </c>
      <c r="C7" s="213">
        <f ca="1">B7/DCF!$C$30</f>
        <v>1.5815151796345659</v>
      </c>
      <c r="D7" s="213">
        <f ca="1">C7/DCF!$H$24</f>
        <v>1.5354516307131707</v>
      </c>
      <c r="E7" s="255">
        <f>MAX(MAX(Sales!B140:Q140),MAX(K113:Q113))</f>
        <v>1393.6098473540333</v>
      </c>
      <c r="F7" s="213">
        <f>IFERROR(INDEX(Sales!$B$1:$Q$1,MATCH(NPV!E7,Sales!B140:Q140,0)),INDEX(C112:Q112,MATCH(NPV!E7,C113:Q113,0)))</f>
        <v>2030</v>
      </c>
      <c r="G7" s="257">
        <f t="array" ref="G7">INDEX(Sales!B140:Q140,MATCH(FALSE,ISBLANK(Sales!B140:Q140),0))</f>
        <v>76</v>
      </c>
      <c r="H7" s="256">
        <f>IFERROR(INDEX(Sales!$B$1:$Q$1,MATCH(NPV!G7,Sales!B140:Q140,0)),INDEX(C113:Q113,MATCH(NPV!G7,C113:Q113,0)))</f>
        <v>2017</v>
      </c>
      <c r="U7" s="249" t="str">
        <f t="shared" si="0"/>
        <v>Kisqali</v>
      </c>
      <c r="V7" s="252">
        <f t="shared" ca="1" si="2"/>
        <v>1.5354516307131707</v>
      </c>
      <c r="W7" s="253">
        <f t="shared" si="3"/>
        <v>5.5</v>
      </c>
      <c r="X7" s="252">
        <f ca="1">SUM(V$3:V7)</f>
        <v>24.958665458466882</v>
      </c>
      <c r="Y7" s="250">
        <f t="shared" ca="1" si="8"/>
        <v>0</v>
      </c>
      <c r="Z7" s="250">
        <f t="shared" ca="1" si="9"/>
        <v>0</v>
      </c>
      <c r="AA7" s="250">
        <f t="shared" ca="1" si="10"/>
        <v>0</v>
      </c>
      <c r="AB7" s="250">
        <f t="shared" ca="1" si="11"/>
        <v>0</v>
      </c>
      <c r="AC7" s="252">
        <f t="shared" ca="1" si="12"/>
        <v>23.423213827753713</v>
      </c>
      <c r="AD7" s="250">
        <f t="shared" ca="1" si="13"/>
        <v>0</v>
      </c>
      <c r="AE7" s="252">
        <f t="shared" ca="1" si="14"/>
        <v>1.5354516307131707</v>
      </c>
      <c r="AF7" s="252">
        <f t="shared" ca="1" si="15"/>
        <v>24.958665458466882</v>
      </c>
      <c r="AG7" s="252">
        <f t="shared" ca="1" si="16"/>
        <v>1.5354516307131707</v>
      </c>
    </row>
    <row r="8" spans="1:33">
      <c r="A8" s="16" t="str">
        <f>A127</f>
        <v>Kymriah</v>
      </c>
      <c r="B8" s="251">
        <f ca="1">SUM(B137:B138)</f>
        <v>4746.3484823784484</v>
      </c>
      <c r="C8" s="213">
        <f ca="1">B8/DCF!$C$30</f>
        <v>2.023166446026619</v>
      </c>
      <c r="D8" s="213">
        <f ca="1">C8/DCF!$H$24</f>
        <v>1.9642392679870087</v>
      </c>
      <c r="E8" s="255">
        <f>MAX(MAX(Sales!B143:Q143),MAX(K128:Q128))</f>
        <v>1939.3485486245966</v>
      </c>
      <c r="F8" s="213">
        <f>IFERROR(INDEX(Sales!$B$1:$Q$1,MATCH(NPV!E8,Sales!B143:Q143,0)),INDEX(C127:Q127,MATCH(NPV!E8,C128:Q128,0)))</f>
        <v>2030</v>
      </c>
      <c r="G8" s="16">
        <f t="array" ref="G8">INDEX(Sales!B143:Q143,MATCH(FALSE,ISBLANK(Sales!B143:Q143),0))</f>
        <v>65</v>
      </c>
      <c r="H8" s="16">
        <f>IFERROR(INDEX(Sales!$B$1:$Q$1,MATCH(NPV!G8,Sales!B143:Q143,0)),INDEX(C128:Q128,MATCH(NPV!G8,C128:Q128,0)))</f>
        <v>2018</v>
      </c>
      <c r="U8" s="249" t="str">
        <f t="shared" si="0"/>
        <v>Kymriah</v>
      </c>
      <c r="V8" s="252">
        <f t="shared" ca="1" si="2"/>
        <v>1.9642392679870087</v>
      </c>
      <c r="W8" s="253">
        <f t="shared" si="3"/>
        <v>6.5</v>
      </c>
      <c r="X8" s="252">
        <f ca="1">SUM(V$3:V8)</f>
        <v>26.92290472645389</v>
      </c>
      <c r="Y8" s="250">
        <f t="shared" ca="1" si="8"/>
        <v>0</v>
      </c>
      <c r="Z8" s="250">
        <f t="shared" ca="1" si="9"/>
        <v>0</v>
      </c>
      <c r="AA8" s="250">
        <f t="shared" ca="1" si="10"/>
        <v>0</v>
      </c>
      <c r="AB8" s="250">
        <f t="shared" ca="1" si="11"/>
        <v>0</v>
      </c>
      <c r="AC8" s="252">
        <f t="shared" ca="1" si="12"/>
        <v>24.958665458466882</v>
      </c>
      <c r="AD8" s="250">
        <f t="shared" ca="1" si="13"/>
        <v>0</v>
      </c>
      <c r="AE8" s="252">
        <f t="shared" ca="1" si="14"/>
        <v>1.9642392679870087</v>
      </c>
      <c r="AF8" s="252">
        <f t="shared" ca="1" si="15"/>
        <v>26.92290472645389</v>
      </c>
      <c r="AG8" s="252">
        <f t="shared" ca="1" si="16"/>
        <v>1.9642392679870087</v>
      </c>
    </row>
    <row r="9" spans="1:33">
      <c r="A9" s="16" t="str">
        <f>A262</f>
        <v>Other oncology drugs</v>
      </c>
      <c r="B9" s="251">
        <f ca="1">SUM(B272:B273)</f>
        <v>25987.161631217416</v>
      </c>
      <c r="C9" s="213">
        <f ca="1">B9/DCF!$C$30</f>
        <v>11.077221496682615</v>
      </c>
      <c r="D9" s="213">
        <f ca="1">C9/DCF!$H$24</f>
        <v>10.754583977361762</v>
      </c>
      <c r="U9" s="249" t="str">
        <f t="shared" si="0"/>
        <v>Other oncology drugs</v>
      </c>
      <c r="V9" s="252">
        <f t="shared" ca="1" si="2"/>
        <v>10.754583977361762</v>
      </c>
      <c r="W9" s="253">
        <f t="shared" si="3"/>
        <v>7.5</v>
      </c>
      <c r="X9" s="252">
        <f ca="1">SUM(V$3:V9)</f>
        <v>37.677488703815655</v>
      </c>
      <c r="Y9" s="250">
        <f t="shared" ca="1" si="8"/>
        <v>0</v>
      </c>
      <c r="Z9" s="250">
        <f t="shared" ca="1" si="9"/>
        <v>0</v>
      </c>
      <c r="AA9" s="250">
        <f t="shared" ca="1" si="10"/>
        <v>0</v>
      </c>
      <c r="AB9" s="250">
        <f t="shared" ca="1" si="11"/>
        <v>0</v>
      </c>
      <c r="AC9" s="252">
        <f t="shared" ca="1" si="12"/>
        <v>26.92290472645389</v>
      </c>
      <c r="AD9" s="250">
        <f t="shared" ca="1" si="13"/>
        <v>0</v>
      </c>
      <c r="AE9" s="252">
        <f t="shared" ca="1" si="14"/>
        <v>10.754583977361762</v>
      </c>
      <c r="AF9" s="252">
        <f t="shared" ca="1" si="15"/>
        <v>37.677488703815655</v>
      </c>
      <c r="AG9" s="252">
        <f t="shared" ca="1" si="16"/>
        <v>10.754583977361762</v>
      </c>
    </row>
    <row r="10" spans="1:33">
      <c r="A10" s="16" t="str">
        <f>A277</f>
        <v>Gilenya</v>
      </c>
      <c r="B10" s="251">
        <f ca="1">SUM(B287:B288)</f>
        <v>4775.3289870287481</v>
      </c>
      <c r="C10" s="213">
        <f ca="1">B10/DCF!$C$30</f>
        <v>2.0355196023140443</v>
      </c>
      <c r="D10" s="213">
        <f ca="1">C10/DCF!$H$24</f>
        <v>1.9762326236058683</v>
      </c>
      <c r="E10" s="255">
        <f>MAX(MAX(Sales!B154:Q154),MAX(K278:Q278))</f>
        <v>3343.8173382953637</v>
      </c>
      <c r="F10" s="256">
        <f>IFERROR(INDEX(Sales!$B$1:$Q$1,MATCH(NPV!E10,Sales!B154:Q154,0)),INDEX(C277:Q277,MATCH(NPV!E10,C278:Q278,0)))</f>
        <v>2018</v>
      </c>
      <c r="G10" s="257">
        <f t="array" ref="G10">INDEX(Sales!B154:Q154,MATCH(FALSE,ISBLANK(Sales!B154:Q154),0))</f>
        <v>15</v>
      </c>
      <c r="H10" s="256">
        <f>IFERROR(INDEX(Sales!$B$1:$Q$1,MATCH(NPV!G10,Sales!B154:Q154,0)),INDEX(C277:Q277,MATCH(NPV!G10,C278:Q278,0)))</f>
        <v>2010</v>
      </c>
      <c r="U10" s="249" t="str">
        <f t="shared" si="0"/>
        <v>Gilenya</v>
      </c>
      <c r="V10" s="252">
        <f t="shared" ca="1" si="2"/>
        <v>1.9762326236058683</v>
      </c>
      <c r="W10" s="253">
        <f t="shared" si="3"/>
        <v>8.5</v>
      </c>
      <c r="X10" s="252">
        <f ca="1">SUM(V$3:V10)</f>
        <v>39.653721327421522</v>
      </c>
      <c r="Y10" s="250">
        <f t="shared" ca="1" si="8"/>
        <v>0</v>
      </c>
      <c r="Z10" s="250">
        <f t="shared" ca="1" si="9"/>
        <v>0</v>
      </c>
      <c r="AA10" s="250">
        <f t="shared" ca="1" si="10"/>
        <v>0</v>
      </c>
      <c r="AB10" s="250">
        <f t="shared" ca="1" si="11"/>
        <v>0</v>
      </c>
      <c r="AC10" s="252">
        <f t="shared" ca="1" si="12"/>
        <v>37.677488703815655</v>
      </c>
      <c r="AD10" s="250">
        <f t="shared" ca="1" si="13"/>
        <v>0</v>
      </c>
      <c r="AE10" s="252">
        <f t="shared" ca="1" si="14"/>
        <v>1.9762326236058683</v>
      </c>
      <c r="AF10" s="252">
        <f t="shared" ca="1" si="15"/>
        <v>39.653721327421522</v>
      </c>
      <c r="AG10" s="252">
        <f t="shared" ca="1" si="16"/>
        <v>1.9762326236058683</v>
      </c>
    </row>
    <row r="11" spans="1:33">
      <c r="A11" s="16" t="str">
        <f>A292</f>
        <v>BAF312</v>
      </c>
      <c r="B11" s="251">
        <f ca="1">SUM(B302:B303)</f>
        <v>4690.4616690217899</v>
      </c>
      <c r="C11" s="213">
        <f ca="1">B11/DCF!$C$30</f>
        <v>1.9993442749453496</v>
      </c>
      <c r="D11" s="213">
        <f ca="1">C11/DCF!$H$24</f>
        <v>1.9411109465488832</v>
      </c>
      <c r="E11" s="255">
        <f>MAX(MAX(Sales!B162:Q162),MAX(K293:Q293))</f>
        <v>1955.2841653999506</v>
      </c>
      <c r="F11" s="256">
        <f>IFERROR(INDEX(Sales!$B$1:$Q$1,MATCH(NPV!E11,Sales!B162:Q162,0)),INDEX(C292:Q292,MATCH(NPV!E11,C293:Q293,0)))</f>
        <v>2030</v>
      </c>
      <c r="G11" s="257">
        <f t="array" ref="G11">INDEX(Sales!B162:Q162,MATCH(FALSE,ISBLANK(Sales!B162:Q162),0))</f>
        <v>50</v>
      </c>
      <c r="H11" s="256">
        <f>IFERROR(INDEX(Sales!$B$1:$Q$1,MATCH(NPV!G11,Sales!B162:Q162,0)),INDEX(C278:Q278,MATCH(NPV!G11,C293:Q293,0)))</f>
        <v>2019</v>
      </c>
      <c r="U11" s="249" t="str">
        <f t="shared" si="0"/>
        <v>BAF312</v>
      </c>
      <c r="V11" s="252">
        <f t="shared" ca="1" si="2"/>
        <v>1.9411109465488832</v>
      </c>
      <c r="W11" s="253">
        <f t="shared" si="3"/>
        <v>9.5</v>
      </c>
      <c r="X11" s="252">
        <f ca="1">SUM(V$3:V11)</f>
        <v>41.594832273970404</v>
      </c>
      <c r="Y11" s="250">
        <f t="shared" ca="1" si="8"/>
        <v>0</v>
      </c>
      <c r="Z11" s="250">
        <f t="shared" ca="1" si="9"/>
        <v>0</v>
      </c>
      <c r="AA11" s="250">
        <f t="shared" ca="1" si="10"/>
        <v>0</v>
      </c>
      <c r="AB11" s="250">
        <f t="shared" ca="1" si="11"/>
        <v>0</v>
      </c>
      <c r="AC11" s="252">
        <f t="shared" ca="1" si="12"/>
        <v>39.653721327421522</v>
      </c>
      <c r="AD11" s="250">
        <f t="shared" ca="1" si="13"/>
        <v>0</v>
      </c>
      <c r="AE11" s="252">
        <f t="shared" ca="1" si="14"/>
        <v>1.9411109465488832</v>
      </c>
      <c r="AF11" s="252">
        <f t="shared" ca="1" si="15"/>
        <v>41.594832273970404</v>
      </c>
      <c r="AG11" s="252">
        <f t="shared" ca="1" si="16"/>
        <v>1.9411109465488832</v>
      </c>
    </row>
    <row r="12" spans="1:33">
      <c r="A12" s="16" t="str">
        <f>A367</f>
        <v>Other neuroscience drugs</v>
      </c>
      <c r="B12" s="251">
        <f ca="1">SUM(B377:B378)</f>
        <v>230.5850352126416</v>
      </c>
      <c r="C12" s="213">
        <f ca="1">B12/DCF!$C$30</f>
        <v>9.8288591309736398E-2</v>
      </c>
      <c r="D12" s="213">
        <f ca="1">C12/DCF!$H$24</f>
        <v>9.5425816805569316E-2</v>
      </c>
      <c r="U12" s="249" t="str">
        <f t="shared" si="0"/>
        <v>Other neuroscience drugs</v>
      </c>
      <c r="V12" s="252">
        <f t="shared" ca="1" si="2"/>
        <v>9.5425816805569316E-2</v>
      </c>
      <c r="W12" s="253">
        <f t="shared" si="3"/>
        <v>10.5</v>
      </c>
      <c r="X12" s="252">
        <f ca="1">SUM(V$3:V12)</f>
        <v>41.69025809077597</v>
      </c>
      <c r="Y12" s="250">
        <f t="shared" ca="1" si="8"/>
        <v>0</v>
      </c>
      <c r="Z12" s="250">
        <f t="shared" ca="1" si="9"/>
        <v>0</v>
      </c>
      <c r="AA12" s="250">
        <f t="shared" ca="1" si="10"/>
        <v>0</v>
      </c>
      <c r="AB12" s="250">
        <f t="shared" ca="1" si="11"/>
        <v>0</v>
      </c>
      <c r="AC12" s="252">
        <f t="shared" ca="1" si="12"/>
        <v>41.594832273970404</v>
      </c>
      <c r="AD12" s="250">
        <f t="shared" ca="1" si="13"/>
        <v>0</v>
      </c>
      <c r="AE12" s="252">
        <f t="shared" ca="1" si="14"/>
        <v>9.5425816805569316E-2</v>
      </c>
      <c r="AF12" s="252">
        <f t="shared" ca="1" si="15"/>
        <v>41.69025809077597</v>
      </c>
      <c r="AG12" s="252">
        <f t="shared" ca="1" si="16"/>
        <v>9.5425816805569316E-2</v>
      </c>
    </row>
    <row r="13" spans="1:33">
      <c r="A13" s="16" t="str">
        <f>A382</f>
        <v>Lucentis</v>
      </c>
      <c r="B13" s="251">
        <f ca="1">SUM(B392:B393)</f>
        <v>3709.1251119040026</v>
      </c>
      <c r="C13" s="213">
        <f ca="1">B13/DCF!$C$30</f>
        <v>1.5810422471884069</v>
      </c>
      <c r="D13" s="213">
        <f ca="1">C13/DCF!$H$24</f>
        <v>1.5349924729984532</v>
      </c>
      <c r="E13" s="255">
        <f>MAX(MAX(Sales!B197:Q197),MAX(K383:Q383))</f>
        <v>2441</v>
      </c>
      <c r="F13" s="256">
        <f>IFERROR(INDEX(Sales!$B$1:$Q$1,MATCH(NPV!E13,Sales!B197:Q197,0)),INDEX(C382:Q382,MATCH(NPV!E13,C383:Q383,0)))</f>
        <v>2014</v>
      </c>
      <c r="G13" s="257">
        <f t="array" ref="G13">INDEX(Sales!B197:Q197,MATCH(FALSE,ISBLANK(Sales!B197:Q197),0))</f>
        <v>1533</v>
      </c>
      <c r="H13" s="256">
        <f>IFERROR(INDEX(Sales!$B$1:$Q$1,MATCH(NPV!G13,Sales!B197:Q197,0)),INDEX(C382:Q382,MATCH(NPV!G13,C383:Q383,0)))</f>
        <v>2010</v>
      </c>
      <c r="U13" s="249" t="str">
        <f t="shared" si="0"/>
        <v>Lucentis</v>
      </c>
      <c r="V13" s="252">
        <f t="shared" ca="1" si="2"/>
        <v>1.5349924729984532</v>
      </c>
      <c r="W13" s="253">
        <f t="shared" si="3"/>
        <v>11.5</v>
      </c>
      <c r="X13" s="252">
        <f ca="1">SUM(V$3:V13)</f>
        <v>43.225250563774424</v>
      </c>
      <c r="Y13" s="250">
        <f t="shared" ca="1" si="8"/>
        <v>0</v>
      </c>
      <c r="Z13" s="250">
        <f t="shared" ca="1" si="9"/>
        <v>0</v>
      </c>
      <c r="AA13" s="250">
        <f t="shared" ca="1" si="10"/>
        <v>0</v>
      </c>
      <c r="AB13" s="250">
        <f t="shared" ca="1" si="11"/>
        <v>0</v>
      </c>
      <c r="AC13" s="252">
        <f t="shared" ca="1" si="12"/>
        <v>41.69025809077597</v>
      </c>
      <c r="AD13" s="250">
        <f t="shared" ca="1" si="13"/>
        <v>0</v>
      </c>
      <c r="AE13" s="252">
        <f t="shared" ca="1" si="14"/>
        <v>1.5349924729984532</v>
      </c>
      <c r="AF13" s="252">
        <f t="shared" ca="1" si="15"/>
        <v>43.225250563774424</v>
      </c>
      <c r="AG13" s="252">
        <f t="shared" ca="1" si="16"/>
        <v>1.5349924729984532</v>
      </c>
    </row>
    <row r="14" spans="1:33">
      <c r="A14" s="16" t="str">
        <f>A397</f>
        <v>RTH258 (brolucizumab)</v>
      </c>
      <c r="B14" s="251">
        <f ca="1">SUM(B407:B408)</f>
        <v>2517.8129243366338</v>
      </c>
      <c r="C14" s="213">
        <f ca="1">B14/DCF!$C$30</f>
        <v>1.0732365406379514</v>
      </c>
      <c r="D14" s="213">
        <f ca="1">C14/DCF!$H$24</f>
        <v>1.0419772239203411</v>
      </c>
      <c r="E14" s="255">
        <f>MAX(MAX(Sales!B224:Q224),MAX(K398:Q398))</f>
        <v>1038.6914999999999</v>
      </c>
      <c r="F14" s="256">
        <f>IFERROR(INDEX(Sales!$B$1:$Q$1,MATCH(NPV!E14,Sales!B224:Q224,0)),INDEX(C397:Q397,MATCH(NPV!E14,C398:Q398,0)))</f>
        <v>2025</v>
      </c>
      <c r="G14" s="257">
        <f t="array" ref="G14">INDEX(Sales!B224:Q224,MATCH(FALSE,ISBLANK(Sales!B224:Q224),0))</f>
        <v>100</v>
      </c>
      <c r="H14" s="256">
        <f>IFERROR(INDEX(Sales!$B$1:$Q$1,MATCH(NPV!G14,Sales!B224:Q224,0)),INDEX(C397:Q397,MATCH(NPV!G14,C398:Q398,0)))</f>
        <v>2019</v>
      </c>
      <c r="U14" s="249" t="str">
        <f t="shared" si="0"/>
        <v>RTH258 (brolucizumab)</v>
      </c>
      <c r="V14" s="252">
        <f t="shared" ca="1" si="2"/>
        <v>1.0419772239203411</v>
      </c>
      <c r="W14" s="253">
        <f t="shared" si="3"/>
        <v>12.5</v>
      </c>
      <c r="X14" s="252">
        <f ca="1">SUM(V$3:V14)</f>
        <v>44.267227787694765</v>
      </c>
      <c r="Y14" s="250">
        <f t="shared" ca="1" si="8"/>
        <v>0</v>
      </c>
      <c r="Z14" s="250">
        <f t="shared" ca="1" si="9"/>
        <v>0</v>
      </c>
      <c r="AA14" s="250">
        <f t="shared" ca="1" si="10"/>
        <v>0</v>
      </c>
      <c r="AB14" s="250">
        <f t="shared" ca="1" si="11"/>
        <v>0</v>
      </c>
      <c r="AC14" s="252">
        <f t="shared" ca="1" si="12"/>
        <v>43.225250563774424</v>
      </c>
      <c r="AD14" s="250">
        <f t="shared" ca="1" si="13"/>
        <v>0</v>
      </c>
      <c r="AE14" s="252">
        <f t="shared" ca="1" si="14"/>
        <v>1.0419772239203411</v>
      </c>
      <c r="AF14" s="252">
        <f t="shared" ca="1" si="15"/>
        <v>44.267227787694765</v>
      </c>
      <c r="AG14" s="252">
        <f t="shared" ca="1" si="16"/>
        <v>1.0419772239203411</v>
      </c>
    </row>
    <row r="15" spans="1:33">
      <c r="A15" s="16" t="str">
        <f>A412</f>
        <v>Other Ophthalmology drugs</v>
      </c>
      <c r="B15" s="251">
        <f ca="1">SUM(B422:B423)</f>
        <v>13599.157644801242</v>
      </c>
      <c r="C15" s="213">
        <f ca="1">B15/DCF!$C$30</f>
        <v>5.7967423890883385</v>
      </c>
      <c r="D15" s="213">
        <f ca="1">C15/DCF!$H$24</f>
        <v>5.6279052321246006</v>
      </c>
      <c r="E15" s="255"/>
      <c r="F15" s="256"/>
      <c r="G15" s="257"/>
      <c r="H15" s="256"/>
      <c r="U15" s="249" t="str">
        <f t="shared" si="0"/>
        <v>Other Ophthalmology drugs</v>
      </c>
      <c r="V15" s="252">
        <f t="shared" ca="1" si="2"/>
        <v>5.6279052321246006</v>
      </c>
      <c r="W15" s="253">
        <f t="shared" si="3"/>
        <v>13.5</v>
      </c>
      <c r="X15" s="252">
        <f ca="1">SUM(V$3:V15)</f>
        <v>49.895133019819369</v>
      </c>
      <c r="Y15" s="250">
        <f t="shared" ca="1" si="8"/>
        <v>0</v>
      </c>
      <c r="Z15" s="250">
        <f t="shared" ca="1" si="9"/>
        <v>0</v>
      </c>
      <c r="AA15" s="250">
        <f t="shared" ca="1" si="10"/>
        <v>0</v>
      </c>
      <c r="AB15" s="250">
        <f t="shared" ca="1" si="11"/>
        <v>0</v>
      </c>
      <c r="AC15" s="252">
        <f t="shared" ca="1" si="12"/>
        <v>44.267227787694765</v>
      </c>
      <c r="AD15" s="250">
        <f t="shared" ca="1" si="13"/>
        <v>0</v>
      </c>
      <c r="AE15" s="252">
        <f t="shared" ca="1" si="14"/>
        <v>5.6279052321246006</v>
      </c>
      <c r="AF15" s="252">
        <f t="shared" ca="1" si="15"/>
        <v>49.895133019819369</v>
      </c>
      <c r="AG15" s="252">
        <f t="shared" ca="1" si="16"/>
        <v>5.6279052321246006</v>
      </c>
    </row>
    <row r="16" spans="1:33">
      <c r="A16" s="16" t="str">
        <f>A427</f>
        <v>Cosentyx</v>
      </c>
      <c r="B16" s="251">
        <f ca="1">SUM(B437:B438)</f>
        <v>25746.498621461749</v>
      </c>
      <c r="C16" s="213">
        <f ca="1">B16/DCF!$C$30</f>
        <v>10.974637093547207</v>
      </c>
      <c r="D16" s="213">
        <f ca="1">C16/DCF!$H$24</f>
        <v>10.654987469463308</v>
      </c>
      <c r="E16" s="255">
        <f>MAX(MAX(Sales!B268:Q268),MAX(K428:Q428))</f>
        <v>6368.8030126874992</v>
      </c>
      <c r="F16" s="256">
        <f>IFERROR(INDEX(Sales!$B$1:$Q$1,MATCH(NPV!E16,Sales!B268:Q268,0)),INDEX(C427:Q427,MATCH(NPV!E16,C428:Q428,0)))</f>
        <v>2025</v>
      </c>
      <c r="G16" s="257">
        <f t="array" ref="G16">INDEX(Sales!B268:Q268,MATCH(FALSE,ISBLANK(Sales!B268:Q268),0))</f>
        <v>261</v>
      </c>
      <c r="H16" s="256">
        <f>IFERROR(INDEX(Sales!$B$1:$Q$1,MATCH(NPV!G16,Sales!B268:Q268,0)),INDEX(C427:Q427,MATCH(NPV!G16,C428:Q428,0)))</f>
        <v>2015</v>
      </c>
      <c r="U16" s="249" t="str">
        <f t="shared" si="0"/>
        <v>Cosentyx</v>
      </c>
      <c r="V16" s="252">
        <f t="shared" ca="1" si="2"/>
        <v>10.654987469463308</v>
      </c>
      <c r="W16" s="253">
        <f t="shared" si="3"/>
        <v>14.5</v>
      </c>
      <c r="X16" s="252">
        <f ca="1">SUM(V$3:V16)</f>
        <v>60.550120489282676</v>
      </c>
      <c r="Y16" s="250">
        <f t="shared" ca="1" si="8"/>
        <v>0</v>
      </c>
      <c r="Z16" s="250">
        <f t="shared" ca="1" si="9"/>
        <v>0</v>
      </c>
      <c r="AA16" s="250">
        <f t="shared" ca="1" si="10"/>
        <v>0</v>
      </c>
      <c r="AB16" s="250">
        <f t="shared" ca="1" si="11"/>
        <v>0</v>
      </c>
      <c r="AC16" s="252">
        <f t="shared" ca="1" si="12"/>
        <v>49.895133019819369</v>
      </c>
      <c r="AD16" s="250">
        <f t="shared" ca="1" si="13"/>
        <v>0</v>
      </c>
      <c r="AE16" s="252">
        <f t="shared" ca="1" si="14"/>
        <v>10.654987469463308</v>
      </c>
      <c r="AF16" s="252">
        <f t="shared" ca="1" si="15"/>
        <v>60.550120489282676</v>
      </c>
      <c r="AG16" s="252">
        <f t="shared" ca="1" si="16"/>
        <v>10.654987469463308</v>
      </c>
    </row>
    <row r="17" spans="1:33">
      <c r="A17" s="16" t="str">
        <f>A503</f>
        <v>Other IHC drugs</v>
      </c>
      <c r="B17" s="251">
        <f ca="1">SUM(B513:B514)</f>
        <v>3866.1028219142918</v>
      </c>
      <c r="C17" s="213">
        <f ca="1">B17/DCF!$C$30</f>
        <v>1.6479551670563903</v>
      </c>
      <c r="D17" s="213">
        <f ca="1">C17/DCF!$H$24</f>
        <v>1.5999564728702818</v>
      </c>
      <c r="U17" s="249" t="str">
        <f t="shared" si="0"/>
        <v>Other IHC drugs</v>
      </c>
      <c r="V17" s="252">
        <f t="shared" ca="1" si="2"/>
        <v>1.5999564728702818</v>
      </c>
      <c r="W17" s="253">
        <f t="shared" si="3"/>
        <v>15.5</v>
      </c>
      <c r="X17" s="252">
        <f ca="1">SUM(V$3:V17)</f>
        <v>62.150076962152959</v>
      </c>
      <c r="Y17" s="250">
        <f t="shared" ca="1" si="8"/>
        <v>0</v>
      </c>
      <c r="Z17" s="250">
        <f t="shared" ca="1" si="9"/>
        <v>0</v>
      </c>
      <c r="AA17" s="250">
        <f t="shared" ca="1" si="10"/>
        <v>0</v>
      </c>
      <c r="AB17" s="250">
        <f t="shared" ca="1" si="11"/>
        <v>0</v>
      </c>
      <c r="AC17" s="252">
        <f t="shared" ca="1" si="12"/>
        <v>60.550120489282676</v>
      </c>
      <c r="AD17" s="250">
        <f t="shared" ca="1" si="13"/>
        <v>0</v>
      </c>
      <c r="AE17" s="252">
        <f t="shared" ca="1" si="14"/>
        <v>1.5999564728702818</v>
      </c>
      <c r="AF17" s="252">
        <f t="shared" ca="1" si="15"/>
        <v>62.150076962152959</v>
      </c>
      <c r="AG17" s="252">
        <f t="shared" ca="1" si="16"/>
        <v>1.5999564728702818</v>
      </c>
    </row>
    <row r="18" spans="1:33">
      <c r="A18" s="16" t="str">
        <f>A593</f>
        <v>Respiratory drugs</v>
      </c>
      <c r="B18" s="251">
        <f ca="1">SUM(B603:B604)</f>
        <v>5880.5052733235734</v>
      </c>
      <c r="C18" s="213">
        <f ca="1">B18/DCF!$C$30</f>
        <v>2.5066092384158454</v>
      </c>
      <c r="D18" s="213">
        <f ca="1">C18/DCF!$H$24</f>
        <v>2.4336012023454807</v>
      </c>
      <c r="U18" s="249" t="str">
        <f t="shared" si="0"/>
        <v>Respiratory drugs</v>
      </c>
      <c r="V18" s="252">
        <f t="shared" ca="1" si="2"/>
        <v>2.4336012023454807</v>
      </c>
      <c r="W18" s="253">
        <f t="shared" si="3"/>
        <v>16.5</v>
      </c>
      <c r="X18" s="252">
        <f ca="1">SUM(V$3:V18)</f>
        <v>64.583678164498437</v>
      </c>
      <c r="Y18" s="250">
        <f t="shared" ca="1" si="8"/>
        <v>0</v>
      </c>
      <c r="Z18" s="250">
        <f t="shared" ca="1" si="9"/>
        <v>0</v>
      </c>
      <c r="AA18" s="250">
        <f t="shared" ca="1" si="10"/>
        <v>0</v>
      </c>
      <c r="AB18" s="250">
        <f t="shared" ca="1" si="11"/>
        <v>0</v>
      </c>
      <c r="AC18" s="252">
        <f t="shared" ca="1" si="12"/>
        <v>62.150076962152959</v>
      </c>
      <c r="AD18" s="250">
        <f t="shared" ca="1" si="13"/>
        <v>0</v>
      </c>
      <c r="AE18" s="252">
        <f t="shared" ca="1" si="14"/>
        <v>2.4336012023454807</v>
      </c>
      <c r="AF18" s="252">
        <f t="shared" ca="1" si="15"/>
        <v>64.583678164498437</v>
      </c>
      <c r="AG18" s="252">
        <f t="shared" ca="1" si="16"/>
        <v>2.4336012023454807</v>
      </c>
    </row>
    <row r="19" spans="1:33">
      <c r="A19" s="16" t="str">
        <f>A608</f>
        <v>Galvus</v>
      </c>
      <c r="B19" s="251">
        <f ca="1">SUM(B618:B619)</f>
        <v>3111.7840356176052</v>
      </c>
      <c r="C19" s="213">
        <f ca="1">B19/DCF!$C$30</f>
        <v>1.3264211575522613</v>
      </c>
      <c r="D19" s="213">
        <f ca="1">C19/DCF!$H$24</f>
        <v>1.2877875316041372</v>
      </c>
      <c r="E19" s="255">
        <f>MAX(MAX(Sales!B372:Q372),MAX(K609:Q609))</f>
        <v>1561.0892795467464</v>
      </c>
      <c r="F19" s="256">
        <f>IFERROR(INDEX(Sales!$B$1:$Q$1,MATCH(NPV!E19,Sales!B372:Q372,0)),INDEX(C608:Q608,MATCH(NPV!E19,C609:Q609,0)))</f>
        <v>2021</v>
      </c>
      <c r="G19" s="257">
        <f t="array" ref="G19">INDEX(Sales!B372:Q372,MATCH(FALSE,ISBLANK(Sales!B372:Q372),0))</f>
        <v>391</v>
      </c>
      <c r="H19" s="256">
        <f>IFERROR(INDEX(Sales!$B$1:$Q$1,MATCH(NPV!G19,Sales!B372:Q372,0)),INDEX(C608:Q608,MATCH(NPV!G19,C609:Q609,0)))</f>
        <v>2010</v>
      </c>
      <c r="U19" s="249" t="str">
        <f t="shared" si="0"/>
        <v>Galvus</v>
      </c>
      <c r="V19" s="252">
        <f t="shared" ca="1" si="2"/>
        <v>1.2877875316041372</v>
      </c>
      <c r="W19" s="253">
        <f t="shared" si="3"/>
        <v>17.5</v>
      </c>
      <c r="X19" s="252">
        <f ca="1">SUM(V$3:V19)</f>
        <v>65.871465696102575</v>
      </c>
      <c r="Y19" s="250">
        <f t="shared" ca="1" si="8"/>
        <v>0</v>
      </c>
      <c r="Z19" s="250">
        <f t="shared" ca="1" si="9"/>
        <v>0</v>
      </c>
      <c r="AA19" s="250">
        <f t="shared" ca="1" si="10"/>
        <v>0</v>
      </c>
      <c r="AB19" s="250">
        <f t="shared" ca="1" si="11"/>
        <v>0</v>
      </c>
      <c r="AC19" s="252">
        <f t="shared" ca="1" si="12"/>
        <v>64.583678164498437</v>
      </c>
      <c r="AD19" s="250">
        <f t="shared" ca="1" si="13"/>
        <v>0</v>
      </c>
      <c r="AE19" s="252">
        <f t="shared" ca="1" si="14"/>
        <v>1.2877875316041372</v>
      </c>
      <c r="AF19" s="252">
        <f t="shared" ca="1" si="15"/>
        <v>65.871465696102575</v>
      </c>
      <c r="AG19" s="252">
        <f t="shared" ca="1" si="16"/>
        <v>1.2877875316041372</v>
      </c>
    </row>
    <row r="20" spans="1:33">
      <c r="A20" s="16" t="str">
        <f>A698</f>
        <v>Established drugs</v>
      </c>
      <c r="B20" s="251">
        <f ca="1">SUM(B708:B709)</f>
        <v>17535.101903924893</v>
      </c>
      <c r="C20" s="213">
        <f ca="1">B20/DCF!$C$30</f>
        <v>7.4744679897378061</v>
      </c>
      <c r="D20" s="213">
        <f ca="1">C20/DCF!$H$24</f>
        <v>7.2567650385803937</v>
      </c>
      <c r="U20" s="249" t="str">
        <f t="shared" si="0"/>
        <v>Established drugs</v>
      </c>
      <c r="V20" s="252">
        <f t="shared" ca="1" si="2"/>
        <v>7.2567650385803937</v>
      </c>
      <c r="W20" s="253">
        <f t="shared" si="3"/>
        <v>18.5</v>
      </c>
      <c r="X20" s="252">
        <f ca="1">SUM(V$3:V20)</f>
        <v>73.128230734682973</v>
      </c>
      <c r="Y20" s="250">
        <f t="shared" ca="1" si="8"/>
        <v>0</v>
      </c>
      <c r="Z20" s="250">
        <f t="shared" ca="1" si="9"/>
        <v>0</v>
      </c>
      <c r="AA20" s="250">
        <f t="shared" ca="1" si="10"/>
        <v>0</v>
      </c>
      <c r="AB20" s="250">
        <f t="shared" ca="1" si="11"/>
        <v>0</v>
      </c>
      <c r="AC20" s="252">
        <f t="shared" ca="1" si="12"/>
        <v>65.871465696102575</v>
      </c>
      <c r="AD20" s="250">
        <f t="shared" ca="1" si="13"/>
        <v>0</v>
      </c>
      <c r="AE20" s="252">
        <f t="shared" ca="1" si="14"/>
        <v>7.2567650385803937</v>
      </c>
      <c r="AF20" s="252">
        <f t="shared" ca="1" si="15"/>
        <v>73.128230734682973</v>
      </c>
      <c r="AG20" s="252">
        <f t="shared" ca="1" si="16"/>
        <v>7.2567650385803937</v>
      </c>
    </row>
    <row r="21" spans="1:33">
      <c r="A21" s="16" t="str">
        <f>A52</f>
        <v>Alcon</v>
      </c>
      <c r="B21" s="251">
        <f ca="1">SUM(B62:B63)</f>
        <v>29002.682936349716</v>
      </c>
      <c r="C21" s="213">
        <f ca="1">B21/DCF!$C$30</f>
        <v>12.362609947293144</v>
      </c>
      <c r="D21" s="213">
        <f ca="1">C21/DCF!$H$24</f>
        <v>12.00253392941082</v>
      </c>
      <c r="U21" s="249" t="str">
        <f t="shared" si="0"/>
        <v>Alcon</v>
      </c>
      <c r="V21" s="252">
        <f t="shared" ca="1" si="2"/>
        <v>12.00253392941082</v>
      </c>
      <c r="W21" s="253">
        <f t="shared" si="3"/>
        <v>19.5</v>
      </c>
      <c r="X21" s="252">
        <f ca="1">SUM(V$3:V21)</f>
        <v>85.130764664093789</v>
      </c>
      <c r="Y21" s="250">
        <f t="shared" ca="1" si="8"/>
        <v>0</v>
      </c>
      <c r="Z21" s="250">
        <f t="shared" ca="1" si="9"/>
        <v>0</v>
      </c>
      <c r="AA21" s="250">
        <f t="shared" ca="1" si="10"/>
        <v>0</v>
      </c>
      <c r="AB21" s="250">
        <f t="shared" ca="1" si="11"/>
        <v>0</v>
      </c>
      <c r="AC21" s="252">
        <f t="shared" ca="1" si="12"/>
        <v>73.128230734682973</v>
      </c>
      <c r="AD21" s="250">
        <f t="shared" ca="1" si="13"/>
        <v>0</v>
      </c>
      <c r="AE21" s="252">
        <f t="shared" ca="1" si="14"/>
        <v>12.00253392941082</v>
      </c>
      <c r="AF21" s="252">
        <f t="shared" ca="1" si="15"/>
        <v>85.130764664093789</v>
      </c>
      <c r="AG21" s="252">
        <f t="shared" ca="1" si="16"/>
        <v>12.00253392941082</v>
      </c>
    </row>
    <row r="22" spans="1:33">
      <c r="A22" s="16" t="str">
        <f>A713</f>
        <v>Entresto</v>
      </c>
      <c r="B22" s="251">
        <f ca="1">SUM(B723:B724)</f>
        <v>11420.362552375602</v>
      </c>
      <c r="C22" s="213">
        <f ca="1">B22/DCF!$C$30</f>
        <v>4.8680147282078439</v>
      </c>
      <c r="D22" s="213">
        <f ca="1">C22/DCF!$H$24</f>
        <v>4.7262278914639255</v>
      </c>
      <c r="E22" s="255">
        <f>MAX(MAX(Sales!B319:Q319),MAX(K714:Q714))</f>
        <v>3296.3927786551285</v>
      </c>
      <c r="F22" s="256">
        <f>IFERROR(INDEX(Sales!$B$1:$Q$1,MATCH(NPV!E22,Sales!B319:Q319,0)),INDEX(C713:Q713,MATCH(NPV!E22,C714:Q714,0)))</f>
        <v>2030</v>
      </c>
      <c r="G22" s="257">
        <f t="array" ref="G22">INDEX(Sales!B319:Q319,MATCH(FALSE,ISBLANK(Sales!B319:Q319),0))</f>
        <v>21</v>
      </c>
      <c r="H22" s="256">
        <f>IFERROR(INDEX(Sales!$B$1:$Q$1,MATCH(NPV!G22,Sales!B319:Q319,0)),INDEX(C713:Q713,MATCH(NPV!G22,C714:Q714,0)))</f>
        <v>2015</v>
      </c>
      <c r="U22" s="249" t="str">
        <f t="shared" si="0"/>
        <v>Entresto</v>
      </c>
      <c r="V22" s="252">
        <f t="shared" ca="1" si="2"/>
        <v>4.7262278914639255</v>
      </c>
      <c r="W22" s="253">
        <f t="shared" si="3"/>
        <v>20.5</v>
      </c>
      <c r="X22" s="252">
        <f ca="1">SUM(V$3:V22)</f>
        <v>89.85699255555771</v>
      </c>
      <c r="Y22" s="250">
        <f t="shared" ca="1" si="8"/>
        <v>0</v>
      </c>
      <c r="Z22" s="250">
        <f t="shared" ca="1" si="9"/>
        <v>0</v>
      </c>
      <c r="AA22" s="250">
        <f t="shared" ca="1" si="10"/>
        <v>0</v>
      </c>
      <c r="AB22" s="250">
        <f t="shared" ca="1" si="11"/>
        <v>0</v>
      </c>
      <c r="AC22" s="252">
        <f t="shared" ca="1" si="12"/>
        <v>85.130764664093789</v>
      </c>
      <c r="AD22" s="250">
        <f t="shared" ca="1" si="13"/>
        <v>0</v>
      </c>
      <c r="AE22" s="252">
        <f t="shared" ca="1" si="14"/>
        <v>4.7262278914639255</v>
      </c>
      <c r="AF22" s="252">
        <f t="shared" ca="1" si="15"/>
        <v>89.85699255555771</v>
      </c>
      <c r="AG22" s="252">
        <f t="shared" ca="1" si="16"/>
        <v>4.7262278914639255</v>
      </c>
    </row>
    <row r="23" spans="1:33">
      <c r="A23" s="16" t="str">
        <f>A728</f>
        <v>ACZ885</v>
      </c>
      <c r="B23" s="251">
        <f ca="1">SUM(B738:B739)</f>
        <v>3311.3146722358888</v>
      </c>
      <c r="C23" s="213">
        <f ca="1">B23/DCF!$C$30</f>
        <v>1.4114725798106942</v>
      </c>
      <c r="D23" s="213">
        <f ca="1">C23/DCF!$H$24</f>
        <v>1.3703617279715476</v>
      </c>
      <c r="E23" s="255">
        <f>MAX(MAX(Sales!B322:Q322),MAX(K729:Q729))</f>
        <v>1305.9650797778324</v>
      </c>
      <c r="F23" s="256">
        <f>IFERROR(INDEX(Sales!$B$1:$Q$1,MATCH(NPV!E23,Sales!B322:Q322,0)),INDEX(C728:Q728,MATCH(NPV!E23,C729:Q729,0)))</f>
        <v>2030</v>
      </c>
      <c r="G23" s="257">
        <f t="array" ref="G23">INDEX(Sales!B322:Q322,MATCH(FALSE,ISBLANK(Sales!B322:Q322),0))</f>
        <v>50</v>
      </c>
      <c r="H23" s="256">
        <f>IFERROR(INDEX(Sales!$B$1:$Q$1,MATCH(NPV!G23,Sales!B322:Q322,0)),INDEX(C728:Q728,MATCH(NPV!G23,C729:Q729,0)))</f>
        <v>2018</v>
      </c>
      <c r="U23" s="249" t="str">
        <f t="shared" si="0"/>
        <v>ACZ885</v>
      </c>
      <c r="V23" s="252">
        <f t="shared" ca="1" si="2"/>
        <v>1.3703617279715476</v>
      </c>
      <c r="W23" s="253">
        <f t="shared" si="3"/>
        <v>21.5</v>
      </c>
      <c r="X23" s="252">
        <f ca="1">SUM(V$3:V23)</f>
        <v>91.227354283529252</v>
      </c>
      <c r="Y23" s="250">
        <f t="shared" ca="1" si="8"/>
        <v>0</v>
      </c>
      <c r="Z23" s="250">
        <f t="shared" ca="1" si="9"/>
        <v>0</v>
      </c>
      <c r="AA23" s="250">
        <f t="shared" ca="1" si="10"/>
        <v>0</v>
      </c>
      <c r="AB23" s="250">
        <f t="shared" ca="1" si="11"/>
        <v>0</v>
      </c>
      <c r="AC23" s="252">
        <f t="shared" ca="1" si="12"/>
        <v>89.85699255555771</v>
      </c>
      <c r="AD23" s="250">
        <f t="shared" ca="1" si="13"/>
        <v>0</v>
      </c>
      <c r="AE23" s="252">
        <f t="shared" ca="1" si="14"/>
        <v>1.3703617279715476</v>
      </c>
      <c r="AF23" s="252">
        <f t="shared" ca="1" si="15"/>
        <v>91.227354283529252</v>
      </c>
      <c r="AG23" s="252">
        <f t="shared" ca="1" si="16"/>
        <v>1.3703617279715476</v>
      </c>
    </row>
    <row r="24" spans="1:33">
      <c r="A24" s="16" t="s">
        <v>725</v>
      </c>
      <c r="B24" s="251">
        <f ca="1">DCF!C29-SUM(NPV!B3:B23,NPV!B25)</f>
        <v>47497.189180940506</v>
      </c>
      <c r="C24" s="213">
        <f ca="1">B24/DCF!$C$30</f>
        <v>20.246031193921784</v>
      </c>
      <c r="D24" s="213">
        <f ca="1">C24/DCF!$H$24</f>
        <v>19.656340964972607</v>
      </c>
      <c r="E24" s="255"/>
      <c r="F24" s="256"/>
      <c r="G24" s="257"/>
      <c r="H24" s="256"/>
      <c r="U24" s="249" t="str">
        <f>A24</f>
        <v>Overhead</v>
      </c>
      <c r="V24" s="252">
        <f t="shared" ref="V24:V25" ca="1" si="17">D24</f>
        <v>19.656340964972607</v>
      </c>
      <c r="W24" s="253">
        <f t="shared" si="3"/>
        <v>22.5</v>
      </c>
      <c r="X24" s="252">
        <f ca="1">SUM(V$3:V24)</f>
        <v>110.88369524850185</v>
      </c>
      <c r="Y24" s="250">
        <f t="shared" ref="Y24:Y25" ca="1" si="18">IF(LEN(V24)=0,X23,0)</f>
        <v>0</v>
      </c>
      <c r="Z24" s="250">
        <f t="shared" ref="Z24:Z25" ca="1" si="19">IF(AND(X24&lt;0,X22&lt;0,Y24=0),MAX(X22:X24),0)</f>
        <v>0</v>
      </c>
      <c r="AA24" s="250">
        <f t="shared" ref="AA24:AA25" ca="1" si="20">IF(AND(X24&lt;0,V24&lt;0),MAX(V24,X24),0)</f>
        <v>0</v>
      </c>
      <c r="AB24" s="250">
        <f t="shared" ref="AB24:AB25" ca="1" si="21">IF(AND(X22&lt;0,V24&gt;0),MAX(-V24,X22),0)</f>
        <v>0</v>
      </c>
      <c r="AC24" s="252">
        <f t="shared" ref="AC24:AC25" ca="1" si="22">IF(AND(X24&gt;0,X23&gt;0,Y24=0),MIN(X23:X24),0)</f>
        <v>91.227354283529252</v>
      </c>
      <c r="AD24" s="250">
        <f t="shared" ref="AD24:AD25" ca="1" si="23">IF(AND(X22&gt;0,V24&lt;0),MIN(-V24,X22),0)</f>
        <v>0</v>
      </c>
      <c r="AE24" s="252">
        <f t="shared" ref="AE24:AE25" ca="1" si="24">IF(AND(X24&gt;0,V24&gt;0),MIN(V24,X24),0)</f>
        <v>19.656340964972607</v>
      </c>
      <c r="AF24" s="252">
        <f t="shared" ref="AF24:AF25" ca="1" si="25">IF(LEN(V24)&gt;0,MAX(IF(Y24&gt;0,0,X23),X24),MAX(X24,0))</f>
        <v>110.88369524850185</v>
      </c>
      <c r="AG24" s="252">
        <f t="shared" ref="AG24:AG25" ca="1" si="26">IF(ISBLANK(V24),Y24,V24)</f>
        <v>19.656340964972607</v>
      </c>
    </row>
    <row r="25" spans="1:33">
      <c r="A25" s="16" t="s">
        <v>726</v>
      </c>
      <c r="B25" s="251">
        <f>-(DCF!C24+DCF!C25+DCF!C26-DCF!C28)</f>
        <v>-9551.9987202145167</v>
      </c>
      <c r="C25" s="213">
        <f>B25/DCF!$C$30</f>
        <v>-4.0716107076788219</v>
      </c>
      <c r="D25" s="213">
        <f>C25/DCF!$H$24</f>
        <v>-3.9530201045425453</v>
      </c>
      <c r="U25" s="249" t="str">
        <f>A25</f>
        <v>Cash / (debt)</v>
      </c>
      <c r="V25" s="252">
        <f t="shared" si="17"/>
        <v>-3.9530201045425453</v>
      </c>
      <c r="W25" s="253">
        <f t="shared" si="3"/>
        <v>23.5</v>
      </c>
      <c r="X25" s="252">
        <f ca="1">SUM(V$3:V25)</f>
        <v>106.93067514395931</v>
      </c>
      <c r="Y25" s="250">
        <f t="shared" si="18"/>
        <v>0</v>
      </c>
      <c r="Z25" s="250">
        <f t="shared" ca="1" si="19"/>
        <v>0</v>
      </c>
      <c r="AA25" s="250">
        <f t="shared" ca="1" si="20"/>
        <v>0</v>
      </c>
      <c r="AB25" s="250">
        <f t="shared" ca="1" si="21"/>
        <v>0</v>
      </c>
      <c r="AC25" s="252">
        <f t="shared" ca="1" si="22"/>
        <v>106.93067514395931</v>
      </c>
      <c r="AD25" s="250">
        <f t="shared" ca="1" si="23"/>
        <v>3.9530201045425453</v>
      </c>
      <c r="AE25" s="252">
        <f t="shared" ca="1" si="24"/>
        <v>0</v>
      </c>
      <c r="AF25" s="252">
        <f t="shared" ca="1" si="25"/>
        <v>110.88369524850185</v>
      </c>
      <c r="AG25" s="252">
        <f t="shared" si="26"/>
        <v>-3.9530201045425453</v>
      </c>
    </row>
    <row r="26" spans="1:33">
      <c r="A26" s="258" t="s">
        <v>727</v>
      </c>
      <c r="B26" s="259">
        <f ca="1">SUM(B3:B25)</f>
        <v>258385.1448043604</v>
      </c>
      <c r="C26" s="260">
        <f ca="1">B26/DCF!$C$30</f>
        <v>110.13859539827808</v>
      </c>
      <c r="D26" s="260">
        <f ca="1">C26/DCF!$H$24</f>
        <v>106.93067514395931</v>
      </c>
      <c r="U26" s="249" t="str">
        <f>A26</f>
        <v>Base case equity value</v>
      </c>
      <c r="V26" s="252"/>
      <c r="X26" s="610">
        <f ca="1">SUM(V$3:V26)</f>
        <v>106.93067514395931</v>
      </c>
      <c r="Y26" s="250">
        <f ca="1">IF(LEN(V26)=0,X25,0)</f>
        <v>106.93067514395931</v>
      </c>
      <c r="Z26" s="250">
        <f ca="1">IF(AND(X26&lt;0,X24&lt;0,Y26=0),MAX(X24:X26),0)</f>
        <v>0</v>
      </c>
      <c r="AA26" s="250">
        <f ca="1">IF(AND(X26&lt;0,V26&lt;0),MAX(V26,X26),0)</f>
        <v>0</v>
      </c>
      <c r="AB26" s="250">
        <f ca="1">IF(AND(X24&lt;0,V26&gt;0),MAX(-V26,X24),0)</f>
        <v>0</v>
      </c>
      <c r="AC26" s="252">
        <f ca="1">IF(AND(X26&gt;0,X25&gt;0,Y26=0),MIN(X25:X26),0)</f>
        <v>0</v>
      </c>
      <c r="AD26" s="250">
        <f ca="1">IF(AND(X24&gt;0,V26&lt;0),MIN(-V26,X24),0)</f>
        <v>0</v>
      </c>
      <c r="AE26" s="252">
        <f ca="1">IF(AND(X26&gt;0,V26&gt;0),MIN(V26,X26),0)</f>
        <v>0</v>
      </c>
      <c r="AF26" s="252">
        <f ca="1">IF(LEN(V26)&gt;0,MAX(IF(Y26&gt;0,0,X25),X26),MAX(X26,0))</f>
        <v>106.93067514395931</v>
      </c>
      <c r="AG26" s="252">
        <f ca="1">IF(ISBLANK(V26),Y26,V26)</f>
        <v>106.93067514395931</v>
      </c>
    </row>
    <row r="28" spans="1:33">
      <c r="A28" s="40"/>
      <c r="B28" s="40"/>
    </row>
    <row r="29" spans="1:33">
      <c r="A29" s="273" t="s">
        <v>1575</v>
      </c>
      <c r="B29" s="213"/>
      <c r="D29" s="613">
        <f ca="1">D26-D25-D24</f>
        <v>91.227354283529252</v>
      </c>
      <c r="Y29" s="262" t="s">
        <v>831</v>
      </c>
    </row>
    <row r="30" spans="1:33">
      <c r="Y30" s="263" t="s">
        <v>261</v>
      </c>
      <c r="Z30" s="264"/>
      <c r="AA30" s="264"/>
      <c r="AB30" s="264"/>
    </row>
    <row r="31" spans="1:33">
      <c r="A31" s="261"/>
      <c r="B31" s="213"/>
      <c r="Y31" s="262" t="s">
        <v>2107</v>
      </c>
      <c r="Z31" s="16" t="s">
        <v>2108</v>
      </c>
      <c r="AA31" s="16" t="s">
        <v>2109</v>
      </c>
      <c r="AB31" s="16" t="s">
        <v>2110</v>
      </c>
    </row>
    <row r="32" spans="1:33">
      <c r="A32" s="261"/>
      <c r="B32" s="213"/>
      <c r="Y32" s="33" t="s">
        <v>744</v>
      </c>
      <c r="Z32" s="20">
        <v>-0.7</v>
      </c>
      <c r="AA32" s="20">
        <v>-0.35</v>
      </c>
      <c r="AB32" s="20">
        <v>-0.1</v>
      </c>
    </row>
    <row r="33" spans="1:28">
      <c r="A33" s="40"/>
      <c r="B33" s="613"/>
      <c r="Y33" s="33" t="s">
        <v>2111</v>
      </c>
      <c r="Z33" s="20">
        <v>-0.3</v>
      </c>
      <c r="AA33" s="20">
        <v>-0.2</v>
      </c>
      <c r="AB33" s="20">
        <v>-0.1</v>
      </c>
    </row>
    <row r="34" spans="1:28">
      <c r="Y34" s="33" t="s">
        <v>2112</v>
      </c>
      <c r="Z34" s="20">
        <v>-0.2</v>
      </c>
      <c r="AA34" s="20">
        <v>-0.1</v>
      </c>
      <c r="AB34" s="20">
        <v>-0.05</v>
      </c>
    </row>
    <row r="35" spans="1:28">
      <c r="A35" s="265" t="s">
        <v>71</v>
      </c>
      <c r="B35" s="266">
        <v>2015</v>
      </c>
      <c r="C35" s="266">
        <v>2016</v>
      </c>
      <c r="D35" s="266">
        <v>2017</v>
      </c>
      <c r="E35" s="266">
        <v>2018</v>
      </c>
      <c r="F35" s="266">
        <v>2019</v>
      </c>
      <c r="G35" s="266">
        <v>2020</v>
      </c>
      <c r="H35" s="266">
        <v>2021</v>
      </c>
      <c r="I35" s="266">
        <v>2022</v>
      </c>
      <c r="J35" s="266">
        <v>2023</v>
      </c>
      <c r="K35" s="266">
        <v>2024</v>
      </c>
      <c r="L35" s="266">
        <v>2025</v>
      </c>
      <c r="M35" s="266">
        <v>2026</v>
      </c>
      <c r="N35" s="266">
        <v>2027</v>
      </c>
      <c r="O35" s="266">
        <v>2028</v>
      </c>
      <c r="P35" s="266">
        <v>2029</v>
      </c>
      <c r="Q35" s="267">
        <v>2030</v>
      </c>
      <c r="Y35" s="33"/>
    </row>
    <row r="36" spans="1:28">
      <c r="A36" s="268" t="s">
        <v>729</v>
      </c>
      <c r="B36" s="269">
        <f>Sales!G502</f>
        <v>10070</v>
      </c>
      <c r="C36" s="269">
        <f>Sales!H502</f>
        <v>10144</v>
      </c>
      <c r="D36" s="269">
        <f>Sales!I502</f>
        <v>10060</v>
      </c>
      <c r="E36" s="269">
        <f>Sales!J502</f>
        <v>10383.657422316164</v>
      </c>
      <c r="F36" s="269">
        <f>Sales!K502</f>
        <v>10905.531828098057</v>
      </c>
      <c r="G36" s="269">
        <f>Sales!L502</f>
        <v>11485.135402675887</v>
      </c>
      <c r="H36" s="269">
        <f>Sales!M502</f>
        <v>11954.423347448699</v>
      </c>
      <c r="I36" s="269">
        <f>Sales!N502</f>
        <v>12450.263318833948</v>
      </c>
      <c r="J36" s="269">
        <f>Sales!O502</f>
        <v>12974.699216456931</v>
      </c>
      <c r="K36" s="269">
        <f>Sales!P502</f>
        <v>13529.960990814401</v>
      </c>
      <c r="L36" s="269">
        <f>Sales!Q502</f>
        <v>14118.482698188973</v>
      </c>
      <c r="M36" s="269">
        <f>L36*(1+M37)</f>
        <v>14542.037179134642</v>
      </c>
      <c r="N36" s="269">
        <f t="shared" ref="N36:Q36" si="27">M36*(1+N37)</f>
        <v>14978.298294508682</v>
      </c>
      <c r="O36" s="269">
        <f t="shared" si="27"/>
        <v>15427.647243343943</v>
      </c>
      <c r="P36" s="269">
        <f t="shared" si="27"/>
        <v>15890.476660644261</v>
      </c>
      <c r="Q36" s="269">
        <f t="shared" si="27"/>
        <v>16367.190960463589</v>
      </c>
      <c r="Y36" s="263" t="s">
        <v>580</v>
      </c>
      <c r="Z36" s="264"/>
      <c r="AA36" s="264"/>
      <c r="AB36" s="264"/>
    </row>
    <row r="37" spans="1:28">
      <c r="A37" s="270" t="s">
        <v>579</v>
      </c>
      <c r="B37" s="271"/>
      <c r="C37" s="271">
        <f t="shared" ref="C37:H37" si="28">C36/B36-1</f>
        <v>7.3485600794438444E-3</v>
      </c>
      <c r="D37" s="271">
        <f t="shared" si="28"/>
        <v>-8.2807570977917466E-3</v>
      </c>
      <c r="E37" s="271">
        <f t="shared" si="28"/>
        <v>3.2172705995642481E-2</v>
      </c>
      <c r="F37" s="271">
        <f t="shared" si="28"/>
        <v>5.0259208731241456E-2</v>
      </c>
      <c r="G37" s="271">
        <f t="shared" si="28"/>
        <v>5.3147667047698022E-2</v>
      </c>
      <c r="H37" s="271">
        <f t="shared" si="28"/>
        <v>4.0860462529982433E-2</v>
      </c>
      <c r="I37" s="271">
        <f>I36/H36-1</f>
        <v>4.1477531535728085E-2</v>
      </c>
      <c r="J37" s="271">
        <f>J36/I36-1</f>
        <v>4.2122474376076191E-2</v>
      </c>
      <c r="K37" s="271">
        <f t="shared" ref="K37:L37" si="29">K36/J36-1</f>
        <v>4.2795733842768691E-2</v>
      </c>
      <c r="L37" s="271">
        <f t="shared" si="29"/>
        <v>4.3497664758540333E-2</v>
      </c>
      <c r="M37" s="272">
        <v>0.03</v>
      </c>
      <c r="N37" s="272">
        <v>0.03</v>
      </c>
      <c r="O37" s="272">
        <v>0.03</v>
      </c>
      <c r="P37" s="272">
        <v>0.03</v>
      </c>
      <c r="Q37" s="272">
        <v>0.03</v>
      </c>
      <c r="Y37" s="262" t="s">
        <v>711</v>
      </c>
      <c r="Z37" s="20">
        <v>-0.05</v>
      </c>
      <c r="AA37" s="20">
        <v>0</v>
      </c>
      <c r="AB37" s="20">
        <v>0.1</v>
      </c>
    </row>
    <row r="38" spans="1:28">
      <c r="A38" s="273" t="s">
        <v>730</v>
      </c>
      <c r="B38" s="274">
        <f t="shared" ref="B38:Q38" si="30">B36*B39</f>
        <v>2045.0000000000002</v>
      </c>
      <c r="C38" s="274">
        <f t="shared" si="30"/>
        <v>2071</v>
      </c>
      <c r="D38" s="274">
        <f t="shared" si="30"/>
        <v>2080</v>
      </c>
      <c r="E38" s="274">
        <f t="shared" si="30"/>
        <v>2165.7999667809763</v>
      </c>
      <c r="F38" s="274">
        <f t="shared" si="30"/>
        <v>2384.6616026284114</v>
      </c>
      <c r="G38" s="274">
        <f t="shared" si="30"/>
        <v>2569.8362861936212</v>
      </c>
      <c r="H38" s="274">
        <f t="shared" si="30"/>
        <v>2735.3894509991374</v>
      </c>
      <c r="I38" s="274">
        <f t="shared" si="30"/>
        <v>2974.1373595029718</v>
      </c>
      <c r="J38" s="274">
        <f t="shared" si="30"/>
        <v>3100.2157112327136</v>
      </c>
      <c r="K38" s="274">
        <f t="shared" si="30"/>
        <v>3369.0044465169531</v>
      </c>
      <c r="L38" s="274">
        <f t="shared" si="30"/>
        <v>3516.3747281319929</v>
      </c>
      <c r="M38" s="274">
        <f t="shared" si="30"/>
        <v>3621.8659699759528</v>
      </c>
      <c r="N38" s="274">
        <f t="shared" si="30"/>
        <v>3730.5219490752315</v>
      </c>
      <c r="O38" s="274">
        <f t="shared" si="30"/>
        <v>3842.4376075474884</v>
      </c>
      <c r="P38" s="274">
        <f t="shared" si="30"/>
        <v>3957.7107357739133</v>
      </c>
      <c r="Q38" s="274">
        <f t="shared" si="30"/>
        <v>4076.4420578471309</v>
      </c>
      <c r="Y38" s="33" t="s">
        <v>738</v>
      </c>
    </row>
    <row r="39" spans="1:28">
      <c r="A39" s="270" t="s">
        <v>580</v>
      </c>
      <c r="B39" s="275">
        <f>'P&amp;L'!G369</f>
        <v>0.20307845084409137</v>
      </c>
      <c r="C39" s="275">
        <f>'P&amp;L'!H369</f>
        <v>0.20416009463722398</v>
      </c>
      <c r="D39" s="275">
        <f>'P&amp;L'!I369</f>
        <v>0.20675944333996024</v>
      </c>
      <c r="E39" s="275">
        <f>'P&amp;L'!J369</f>
        <v>0.20857775624668826</v>
      </c>
      <c r="F39" s="275">
        <f>'P&amp;L'!K369</f>
        <v>0.21866531960269381</v>
      </c>
      <c r="G39" s="275">
        <f>'P&amp;L'!L369</f>
        <v>0.2237532424384725</v>
      </c>
      <c r="H39" s="275">
        <f>'P&amp;L'!M369</f>
        <v>0.22881818482552915</v>
      </c>
      <c r="I39" s="275">
        <f>'P&amp;L'!N369</f>
        <v>0.23888148253088676</v>
      </c>
      <c r="J39" s="275">
        <f>'P&amp;L'!O369</f>
        <v>0.23894316619690439</v>
      </c>
      <c r="K39" s="275">
        <f>'P&amp;L'!P369</f>
        <v>0.24900326385302937</v>
      </c>
      <c r="L39" s="275">
        <f>'P&amp;L'!Q369</f>
        <v>0.24906180099530459</v>
      </c>
      <c r="M39" s="275">
        <f>L39</f>
        <v>0.24906180099530459</v>
      </c>
      <c r="N39" s="275">
        <f t="shared" ref="N39:Q39" si="31">M39</f>
        <v>0.24906180099530459</v>
      </c>
      <c r="O39" s="275">
        <f t="shared" si="31"/>
        <v>0.24906180099530459</v>
      </c>
      <c r="P39" s="275">
        <f t="shared" si="31"/>
        <v>0.24906180099530459</v>
      </c>
      <c r="Q39" s="275">
        <f t="shared" si="31"/>
        <v>0.24906180099530459</v>
      </c>
      <c r="X39" s="16">
        <v>3000</v>
      </c>
      <c r="Y39" s="33" t="s">
        <v>2113</v>
      </c>
      <c r="Z39" s="20">
        <v>-0.1</v>
      </c>
      <c r="AA39" s="20">
        <v>-0.05</v>
      </c>
      <c r="AB39" s="20">
        <v>-0.05</v>
      </c>
    </row>
    <row r="40" spans="1:28">
      <c r="A40" s="270" t="s">
        <v>731</v>
      </c>
      <c r="B40" s="213">
        <f>B38*B41</f>
        <v>297.63660232756177</v>
      </c>
      <c r="C40" s="213">
        <f t="shared" ref="C40:Q40" si="32">C38*C41</f>
        <v>311.23327074727752</v>
      </c>
      <c r="D40" s="213">
        <f t="shared" si="32"/>
        <v>318.04849025732557</v>
      </c>
      <c r="E40" s="213">
        <f t="shared" si="32"/>
        <v>346.52799468495624</v>
      </c>
      <c r="F40" s="213">
        <f t="shared" si="32"/>
        <v>381.54585642054582</v>
      </c>
      <c r="G40" s="213">
        <f t="shared" si="32"/>
        <v>411.17380579097937</v>
      </c>
      <c r="H40" s="213">
        <f t="shared" si="32"/>
        <v>437.66231215986198</v>
      </c>
      <c r="I40" s="213">
        <f t="shared" si="32"/>
        <v>475.86197752047548</v>
      </c>
      <c r="J40" s="213">
        <f t="shared" si="32"/>
        <v>496.03451379723418</v>
      </c>
      <c r="K40" s="213">
        <f t="shared" si="32"/>
        <v>539.04071144271245</v>
      </c>
      <c r="L40" s="213">
        <f t="shared" si="32"/>
        <v>562.61995650111885</v>
      </c>
      <c r="M40" s="213">
        <f t="shared" si="32"/>
        <v>579.49855519615244</v>
      </c>
      <c r="N40" s="213">
        <f t="shared" si="32"/>
        <v>596.88351185203703</v>
      </c>
      <c r="O40" s="213">
        <f t="shared" si="32"/>
        <v>614.79001720759811</v>
      </c>
      <c r="P40" s="213">
        <f t="shared" si="32"/>
        <v>633.23371772382609</v>
      </c>
      <c r="Q40" s="213">
        <f t="shared" si="32"/>
        <v>652.23072925554095</v>
      </c>
      <c r="Y40" s="33" t="s">
        <v>2114</v>
      </c>
      <c r="Z40" s="20">
        <v>-0.05</v>
      </c>
      <c r="AA40" s="20">
        <v>-0.03</v>
      </c>
      <c r="AB40" s="20">
        <v>-0.03</v>
      </c>
    </row>
    <row r="41" spans="1:28">
      <c r="A41" s="270" t="s">
        <v>635</v>
      </c>
      <c r="B41" s="196">
        <f>'P&amp;L'!G$120</f>
        <v>0.1455435708203236</v>
      </c>
      <c r="C41" s="196">
        <f>'P&amp;L'!H$120</f>
        <v>0.15028163725122043</v>
      </c>
      <c r="D41" s="196">
        <f>'P&amp;L'!I$120</f>
        <v>0.15290792800832961</v>
      </c>
      <c r="E41" s="196">
        <f>'P&amp;L'!J$120</f>
        <v>0.16</v>
      </c>
      <c r="F41" s="196">
        <f>'P&amp;L'!K$120</f>
        <v>0.16</v>
      </c>
      <c r="G41" s="196">
        <f>'P&amp;L'!L$120</f>
        <v>0.16</v>
      </c>
      <c r="H41" s="196">
        <f>'P&amp;L'!M$120</f>
        <v>0.16</v>
      </c>
      <c r="I41" s="196">
        <f>'P&amp;L'!N$120</f>
        <v>0.16</v>
      </c>
      <c r="J41" s="196">
        <f>'P&amp;L'!O$120</f>
        <v>0.16</v>
      </c>
      <c r="K41" s="196">
        <f>'P&amp;L'!P$120</f>
        <v>0.16</v>
      </c>
      <c r="L41" s="196">
        <f>'P&amp;L'!Q$120</f>
        <v>0.16</v>
      </c>
      <c r="M41" s="196">
        <f t="shared" ref="M41:Q41" si="33">L41</f>
        <v>0.16</v>
      </c>
      <c r="N41" s="196">
        <f t="shared" si="33"/>
        <v>0.16</v>
      </c>
      <c r="O41" s="196">
        <f t="shared" si="33"/>
        <v>0.16</v>
      </c>
      <c r="P41" s="196">
        <f t="shared" si="33"/>
        <v>0.16</v>
      </c>
      <c r="Q41" s="196">
        <f t="shared" si="33"/>
        <v>0.16</v>
      </c>
      <c r="Y41" s="276" t="s">
        <v>742</v>
      </c>
      <c r="Z41" s="20"/>
      <c r="AA41" s="20" t="s">
        <v>2115</v>
      </c>
      <c r="AB41" s="20"/>
    </row>
    <row r="42" spans="1:28">
      <c r="A42" s="256" t="s">
        <v>732</v>
      </c>
      <c r="B42" s="213">
        <f>B38-B40</f>
        <v>1747.3633976724384</v>
      </c>
      <c r="C42" s="213">
        <f t="shared" ref="C42:Q42" si="34">C38-C40</f>
        <v>1759.7667292527226</v>
      </c>
      <c r="D42" s="213">
        <f t="shared" si="34"/>
        <v>1761.9515097426745</v>
      </c>
      <c r="E42" s="213">
        <f t="shared" si="34"/>
        <v>1819.2719720960201</v>
      </c>
      <c r="F42" s="213">
        <f t="shared" si="34"/>
        <v>2003.1157462078656</v>
      </c>
      <c r="G42" s="213">
        <f t="shared" si="34"/>
        <v>2158.6624804026419</v>
      </c>
      <c r="H42" s="213">
        <f t="shared" si="34"/>
        <v>2297.7271388392755</v>
      </c>
      <c r="I42" s="213">
        <f t="shared" si="34"/>
        <v>2498.2753819824961</v>
      </c>
      <c r="J42" s="213">
        <f t="shared" si="34"/>
        <v>2604.1811974354796</v>
      </c>
      <c r="K42" s="213">
        <f t="shared" si="34"/>
        <v>2829.9637350742405</v>
      </c>
      <c r="L42" s="213">
        <f t="shared" si="34"/>
        <v>2953.7547716308741</v>
      </c>
      <c r="M42" s="213">
        <f t="shared" si="34"/>
        <v>3042.3674147798001</v>
      </c>
      <c r="N42" s="213">
        <f t="shared" si="34"/>
        <v>3133.6384372231946</v>
      </c>
      <c r="O42" s="213">
        <f t="shared" si="34"/>
        <v>3227.6475903398905</v>
      </c>
      <c r="P42" s="213">
        <f t="shared" si="34"/>
        <v>3324.4770180500873</v>
      </c>
      <c r="Q42" s="213">
        <f t="shared" si="34"/>
        <v>3424.2113285915898</v>
      </c>
      <c r="X42" s="16">
        <v>5000</v>
      </c>
      <c r="Y42" s="33" t="s">
        <v>2116</v>
      </c>
      <c r="Z42" s="20">
        <v>0.7</v>
      </c>
      <c r="AA42" s="20">
        <v>0.49999999999999994</v>
      </c>
      <c r="AB42" s="20"/>
    </row>
    <row r="43" spans="1:28">
      <c r="A43" s="270" t="s">
        <v>607</v>
      </c>
      <c r="B43" s="277">
        <f>B42</f>
        <v>1747.3633976724384</v>
      </c>
      <c r="C43" s="277">
        <f t="shared" ref="C43:Q43" si="35">C42</f>
        <v>1759.7667292527226</v>
      </c>
      <c r="D43" s="277">
        <f t="shared" si="35"/>
        <v>1761.9515097426745</v>
      </c>
      <c r="E43" s="277">
        <f t="shared" si="35"/>
        <v>1819.2719720960201</v>
      </c>
      <c r="F43" s="277">
        <f t="shared" si="35"/>
        <v>2003.1157462078656</v>
      </c>
      <c r="G43" s="277">
        <f t="shared" si="35"/>
        <v>2158.6624804026419</v>
      </c>
      <c r="H43" s="277">
        <f t="shared" si="35"/>
        <v>2297.7271388392755</v>
      </c>
      <c r="I43" s="277">
        <f t="shared" si="35"/>
        <v>2498.2753819824961</v>
      </c>
      <c r="J43" s="277">
        <f t="shared" si="35"/>
        <v>2604.1811974354796</v>
      </c>
      <c r="K43" s="277">
        <f t="shared" si="35"/>
        <v>2829.9637350742405</v>
      </c>
      <c r="L43" s="277">
        <f t="shared" si="35"/>
        <v>2953.7547716308741</v>
      </c>
      <c r="M43" s="277">
        <f t="shared" si="35"/>
        <v>3042.3674147798001</v>
      </c>
      <c r="N43" s="277">
        <f t="shared" si="35"/>
        <v>3133.6384372231946</v>
      </c>
      <c r="O43" s="277">
        <f t="shared" si="35"/>
        <v>3227.6475903398905</v>
      </c>
      <c r="P43" s="277">
        <f t="shared" si="35"/>
        <v>3324.4770180500873</v>
      </c>
      <c r="Q43" s="277">
        <f t="shared" si="35"/>
        <v>3424.2113285915898</v>
      </c>
      <c r="X43" s="16">
        <v>3000</v>
      </c>
      <c r="Y43" s="33" t="s">
        <v>2117</v>
      </c>
      <c r="Z43" s="20">
        <v>0.6</v>
      </c>
      <c r="AA43" s="20">
        <v>0.39999999999999997</v>
      </c>
      <c r="AB43" s="20"/>
    </row>
    <row r="44" spans="1:28">
      <c r="A44" s="270" t="s">
        <v>518</v>
      </c>
      <c r="B44" s="277"/>
      <c r="C44" s="277"/>
      <c r="D44" s="277"/>
      <c r="E44" s="277">
        <f ca="1">DCF!F17</f>
        <v>0.70136986301369864</v>
      </c>
      <c r="F44" s="277">
        <f ca="1">DCF!G17</f>
        <v>1.7013698630136986</v>
      </c>
      <c r="G44" s="277">
        <f ca="1">DCF!H17</f>
        <v>2.7013698630136984</v>
      </c>
      <c r="H44" s="277">
        <f ca="1">DCF!I17</f>
        <v>3.7013698630136984</v>
      </c>
      <c r="I44" s="277">
        <f ca="1">DCF!J17</f>
        <v>4.7013698630136984</v>
      </c>
      <c r="J44" s="277">
        <f ca="1">DCF!K17</f>
        <v>5.7013698630136984</v>
      </c>
      <c r="K44" s="277">
        <f t="shared" ref="K44:Q44" ca="1" si="36">J44+1</f>
        <v>6.7013698630136984</v>
      </c>
      <c r="L44" s="277">
        <f t="shared" ca="1" si="36"/>
        <v>7.7013698630136984</v>
      </c>
      <c r="M44" s="277">
        <f t="shared" ca="1" si="36"/>
        <v>8.7013698630136993</v>
      </c>
      <c r="N44" s="277">
        <f t="shared" ca="1" si="36"/>
        <v>9.7013698630136993</v>
      </c>
      <c r="O44" s="277">
        <f t="shared" ca="1" si="36"/>
        <v>10.701369863013699</v>
      </c>
      <c r="P44" s="277">
        <f t="shared" ca="1" si="36"/>
        <v>11.701369863013699</v>
      </c>
      <c r="Q44" s="277">
        <f t="shared" ca="1" si="36"/>
        <v>12.701369863013699</v>
      </c>
      <c r="X44" s="16">
        <v>1000</v>
      </c>
      <c r="Y44" s="33" t="s">
        <v>2118</v>
      </c>
      <c r="Z44" s="20">
        <v>0.5</v>
      </c>
      <c r="AA44" s="196">
        <v>0.39</v>
      </c>
    </row>
    <row r="45" spans="1:28">
      <c r="A45" s="270" t="s">
        <v>684</v>
      </c>
      <c r="B45" s="278"/>
      <c r="C45" s="278"/>
      <c r="D45" s="278"/>
      <c r="E45" s="278">
        <f ca="1">1/(1+DCF!$H$31)^E44</f>
        <v>0.95205994702660823</v>
      </c>
      <c r="F45" s="278">
        <f ca="1">1/(1+DCF!$H$31)^F44</f>
        <v>0.8876550874662934</v>
      </c>
      <c r="G45" s="278">
        <f ca="1">1/(1+DCF!$H$31)^G44</f>
        <v>0.82760708163975705</v>
      </c>
      <c r="H45" s="278">
        <f ca="1">1/(1+DCF!$H$31)^H44</f>
        <v>0.77162119752542302</v>
      </c>
      <c r="I45" s="278">
        <f ca="1">1/(1+DCF!$H$31)^I44</f>
        <v>0.71942264110511178</v>
      </c>
      <c r="J45" s="278">
        <f ca="1">1/(1+DCF!$H$31)^J44</f>
        <v>0.6707552075999077</v>
      </c>
      <c r="K45" s="278">
        <f ca="1">1/(1+DCF!$H$31)^K44</f>
        <v>0.62538002394709236</v>
      </c>
      <c r="L45" s="278">
        <f ca="1">1/(1+DCF!$H$31)^L44</f>
        <v>0.58307437634587767</v>
      </c>
      <c r="M45" s="278">
        <f ca="1">1/(1+DCF!$H$31)^M44</f>
        <v>0.54363061711721117</v>
      </c>
      <c r="N45" s="278">
        <f ca="1">1/(1+DCF!$H$31)^N44</f>
        <v>0.50685514551222544</v>
      </c>
      <c r="O45" s="278">
        <f ca="1">1/(1+DCF!$H$31)^O44</f>
        <v>0.47256745746685741</v>
      </c>
      <c r="P45" s="278">
        <f ca="1">1/(1+DCF!$H$31)^P44</f>
        <v>0.44059925963857782</v>
      </c>
      <c r="Q45" s="278">
        <f ca="1">1/(1+DCF!$H$31)^Q44</f>
        <v>0.41079364337667629</v>
      </c>
      <c r="Y45" s="33" t="s">
        <v>2119</v>
      </c>
      <c r="Z45" s="20">
        <v>0.45</v>
      </c>
      <c r="AA45" s="196">
        <v>0.34</v>
      </c>
    </row>
    <row r="46" spans="1:28">
      <c r="A46" s="279" t="s">
        <v>733</v>
      </c>
      <c r="B46" s="280"/>
      <c r="C46" s="280"/>
      <c r="D46" s="280"/>
      <c r="E46" s="280">
        <f t="shared" ref="E46:Q46" ca="1" si="37">E43*E45</f>
        <v>1732.0559773807299</v>
      </c>
      <c r="F46" s="280">
        <f t="shared" ca="1" si="37"/>
        <v>1778.0758829052525</v>
      </c>
      <c r="G46" s="280">
        <f t="shared" ca="1" si="37"/>
        <v>1786.5243556512696</v>
      </c>
      <c r="H46" s="280">
        <f t="shared" ca="1" si="37"/>
        <v>1772.9749664578258</v>
      </c>
      <c r="I46" s="280">
        <f t="shared" ca="1" si="37"/>
        <v>1797.3158735137295</v>
      </c>
      <c r="J46" s="280">
        <f t="shared" ca="1" si="37"/>
        <v>1746.7680997136113</v>
      </c>
      <c r="K46" s="280">
        <f t="shared" ca="1" si="37"/>
        <v>1769.8027884101314</v>
      </c>
      <c r="L46" s="280">
        <f t="shared" ca="1" si="37"/>
        <v>1722.2587213473323</v>
      </c>
      <c r="M46" s="280">
        <f t="shared" ca="1" si="37"/>
        <v>1653.9240751940372</v>
      </c>
      <c r="N46" s="280">
        <f t="shared" ca="1" si="37"/>
        <v>1588.3007660814651</v>
      </c>
      <c r="O46" s="280">
        <f t="shared" ca="1" si="37"/>
        <v>1525.2812153659511</v>
      </c>
      <c r="P46" s="280">
        <f t="shared" ca="1" si="37"/>
        <v>1464.7621128383353</v>
      </c>
      <c r="Q46" s="280">
        <f t="shared" ca="1" si="37"/>
        <v>1406.6442473638285</v>
      </c>
      <c r="Y46" s="263" t="s">
        <v>2120</v>
      </c>
      <c r="Z46" s="264"/>
      <c r="AA46" s="264"/>
      <c r="AB46" s="264"/>
    </row>
    <row r="47" spans="1:28">
      <c r="A47" s="270" t="s">
        <v>734</v>
      </c>
      <c r="B47" s="213">
        <f ca="1">SUM(B46:Q46)</f>
        <v>21744.6890822235</v>
      </c>
      <c r="C47" s="277"/>
      <c r="D47" s="277"/>
      <c r="E47" s="277"/>
      <c r="F47" s="277"/>
      <c r="G47" s="277"/>
      <c r="H47" s="277"/>
      <c r="I47" s="277"/>
      <c r="J47" s="277"/>
      <c r="K47" s="277"/>
      <c r="L47" s="277"/>
      <c r="M47" s="277"/>
      <c r="N47" s="256"/>
      <c r="O47" s="256"/>
      <c r="P47" s="256"/>
      <c r="Q47" s="256"/>
      <c r="Y47" s="33" t="s">
        <v>2121</v>
      </c>
      <c r="Z47" s="20">
        <v>0.4</v>
      </c>
      <c r="AA47" s="16" t="s">
        <v>2122</v>
      </c>
    </row>
    <row r="48" spans="1:28">
      <c r="A48" s="281" t="s">
        <v>735</v>
      </c>
      <c r="B48" s="213">
        <f ca="1">(Q43*(1+C48))/(DCF!$H$31-NPV!C48)*NPV!Q45</f>
        <v>27299.876374138461</v>
      </c>
      <c r="C48" s="275">
        <v>0.02</v>
      </c>
      <c r="D48" s="277"/>
      <c r="E48" s="277"/>
      <c r="F48" s="277"/>
      <c r="G48" s="277"/>
      <c r="H48" s="277"/>
      <c r="I48" s="277"/>
      <c r="J48" s="277"/>
      <c r="K48" s="277"/>
      <c r="L48" s="277"/>
      <c r="M48" s="277"/>
      <c r="N48" s="256"/>
      <c r="O48" s="256"/>
      <c r="P48" s="256"/>
      <c r="Q48" s="256"/>
    </row>
    <row r="49" spans="1:17">
      <c r="A49" s="281" t="s">
        <v>736</v>
      </c>
      <c r="B49" s="213">
        <f ca="1">SUM(B47:B48)/DCF!$C$30</f>
        <v>20.905611873982082</v>
      </c>
      <c r="C49" s="283"/>
      <c r="D49" s="283"/>
      <c r="E49" s="283"/>
      <c r="F49" s="283"/>
      <c r="G49" s="283"/>
      <c r="H49" s="283"/>
      <c r="I49" s="283"/>
      <c r="J49" s="283"/>
      <c r="K49" s="283"/>
      <c r="L49" s="283"/>
      <c r="M49" s="256"/>
      <c r="N49" s="256"/>
      <c r="O49" s="256"/>
      <c r="P49" s="256"/>
      <c r="Q49" s="256"/>
    </row>
    <row r="50" spans="1:17">
      <c r="A50" s="284" t="s">
        <v>737</v>
      </c>
      <c r="B50" s="285">
        <f ca="1">B49/DCF!$H$24</f>
        <v>20.296710557264156</v>
      </c>
    </row>
    <row r="52" spans="1:17">
      <c r="A52" s="265" t="s">
        <v>59</v>
      </c>
      <c r="B52" s="266">
        <v>2015</v>
      </c>
      <c r="C52" s="266">
        <v>2016</v>
      </c>
      <c r="D52" s="266">
        <v>2017</v>
      </c>
      <c r="E52" s="266">
        <v>2018</v>
      </c>
      <c r="F52" s="266">
        <v>2019</v>
      </c>
      <c r="G52" s="266">
        <v>2020</v>
      </c>
      <c r="H52" s="266">
        <v>2021</v>
      </c>
      <c r="I52" s="266">
        <v>2022</v>
      </c>
      <c r="J52" s="266">
        <v>2023</v>
      </c>
      <c r="K52" s="266">
        <v>2024</v>
      </c>
      <c r="L52" s="266">
        <v>2025</v>
      </c>
      <c r="M52" s="266">
        <v>2026</v>
      </c>
      <c r="N52" s="266">
        <v>2027</v>
      </c>
      <c r="O52" s="266">
        <v>2028</v>
      </c>
      <c r="P52" s="266">
        <v>2029</v>
      </c>
      <c r="Q52" s="267">
        <v>2030</v>
      </c>
    </row>
    <row r="53" spans="1:17">
      <c r="A53" s="268" t="s">
        <v>729</v>
      </c>
      <c r="B53" s="269">
        <f>Sales!G424</f>
        <v>5999</v>
      </c>
      <c r="C53" s="269">
        <f>Sales!H424</f>
        <v>5812</v>
      </c>
      <c r="D53" s="269">
        <f>Sales!I424</f>
        <v>6771</v>
      </c>
      <c r="E53" s="269">
        <f>Sales!J424</f>
        <v>7265.9763227608937</v>
      </c>
      <c r="F53" s="269">
        <f>Sales!K424</f>
        <v>7502.308976512948</v>
      </c>
      <c r="G53" s="269">
        <f>Sales!L424</f>
        <v>7785.9140338280413</v>
      </c>
      <c r="H53" s="269">
        <f>Sales!M424</f>
        <v>8085.7194284217767</v>
      </c>
      <c r="I53" s="269">
        <f>Sales!N424</f>
        <v>8402.5573380253536</v>
      </c>
      <c r="J53" s="269">
        <f>Sales!O424</f>
        <v>8737.3077201111009</v>
      </c>
      <c r="K53" s="269">
        <f>Sales!P424</f>
        <v>9090.9011495708382</v>
      </c>
      <c r="L53" s="269">
        <f>Sales!Q424</f>
        <v>9464.3218351930518</v>
      </c>
      <c r="M53" s="269">
        <f>L53*(1+M54)</f>
        <v>9748.2514902488438</v>
      </c>
      <c r="N53" s="269">
        <f>M53*(1+N54)</f>
        <v>10040.699034956309</v>
      </c>
      <c r="O53" s="269">
        <f>N53*(1+O54)</f>
        <v>10341.920006004999</v>
      </c>
      <c r="P53" s="269">
        <f>O53*(1+P54)</f>
        <v>10652.177606185149</v>
      </c>
      <c r="Q53" s="269">
        <f>P53*(1+Q54)</f>
        <v>10971.742934370703</v>
      </c>
    </row>
    <row r="54" spans="1:17">
      <c r="A54" s="270" t="s">
        <v>579</v>
      </c>
      <c r="B54" s="271"/>
      <c r="C54" s="271">
        <f t="shared" ref="C54:H54" si="38">C53/B53-1</f>
        <v>-3.1171861976996174E-2</v>
      </c>
      <c r="D54" s="271">
        <f t="shared" si="38"/>
        <v>0.16500344115622845</v>
      </c>
      <c r="E54" s="271">
        <f t="shared" si="38"/>
        <v>7.3102395918017038E-2</v>
      </c>
      <c r="F54" s="271">
        <f t="shared" si="38"/>
        <v>3.2525932270345503E-2</v>
      </c>
      <c r="G54" s="271">
        <f t="shared" si="38"/>
        <v>3.7802369670852043E-2</v>
      </c>
      <c r="H54" s="271">
        <f t="shared" si="38"/>
        <v>3.8506126999495294E-2</v>
      </c>
      <c r="I54" s="271">
        <f>I53/H53-1</f>
        <v>3.9184875558490484E-2</v>
      </c>
      <c r="J54" s="271">
        <f>J53/I53-1</f>
        <v>3.9839107145493768E-2</v>
      </c>
      <c r="K54" s="271">
        <f t="shared" ref="K54:L54" si="39">K53/J53-1</f>
        <v>4.0469380361396023E-2</v>
      </c>
      <c r="L54" s="271">
        <f t="shared" si="39"/>
        <v>4.1076311300540569E-2</v>
      </c>
      <c r="M54" s="272">
        <v>0.03</v>
      </c>
      <c r="N54" s="272">
        <v>0.03</v>
      </c>
      <c r="O54" s="272">
        <v>0.03</v>
      </c>
      <c r="P54" s="272">
        <v>0.03</v>
      </c>
      <c r="Q54" s="272">
        <v>0.03</v>
      </c>
    </row>
    <row r="55" spans="1:17">
      <c r="A55" s="273" t="s">
        <v>730</v>
      </c>
      <c r="B55" s="269">
        <f t="shared" ref="B55:Q55" si="40">B53*B56</f>
        <v>1235</v>
      </c>
      <c r="C55" s="269">
        <f t="shared" si="40"/>
        <v>850.00000000000011</v>
      </c>
      <c r="D55" s="269">
        <f t="shared" si="40"/>
        <v>1168</v>
      </c>
      <c r="E55" s="269">
        <f t="shared" si="40"/>
        <v>1108.6477082474089</v>
      </c>
      <c r="F55" s="269">
        <f t="shared" si="40"/>
        <v>1234.7026903034243</v>
      </c>
      <c r="G55" s="269">
        <f t="shared" si="40"/>
        <v>1335.8409737029942</v>
      </c>
      <c r="H55" s="269">
        <f t="shared" si="40"/>
        <v>1460.0120046163288</v>
      </c>
      <c r="I55" s="269">
        <f t="shared" si="40"/>
        <v>1693.6369125540946</v>
      </c>
      <c r="J55" s="269">
        <f t="shared" si="40"/>
        <v>1796.0192867522005</v>
      </c>
      <c r="K55" s="269">
        <f t="shared" si="40"/>
        <v>1959.5716165195254</v>
      </c>
      <c r="L55" s="269">
        <f t="shared" si="40"/>
        <v>2134.6657322960141</v>
      </c>
      <c r="M55" s="269">
        <f t="shared" si="40"/>
        <v>2198.7057042648948</v>
      </c>
      <c r="N55" s="269">
        <f t="shared" si="40"/>
        <v>2264.6668753928416</v>
      </c>
      <c r="O55" s="269">
        <f t="shared" si="40"/>
        <v>2332.6068816546267</v>
      </c>
      <c r="P55" s="269">
        <f t="shared" si="40"/>
        <v>2402.5850881042657</v>
      </c>
      <c r="Q55" s="269">
        <f t="shared" si="40"/>
        <v>2474.6626407473937</v>
      </c>
    </row>
    <row r="56" spans="1:17">
      <c r="A56" s="270" t="s">
        <v>580</v>
      </c>
      <c r="B56" s="275">
        <f>'P&amp;L'!G309</f>
        <v>0.20586764460743456</v>
      </c>
      <c r="C56" s="275">
        <f>'P&amp;L'!H309</f>
        <v>0.14624913971094289</v>
      </c>
      <c r="D56" s="275">
        <f>'P&amp;L'!I309</f>
        <v>0.17250036922168069</v>
      </c>
      <c r="E56" s="275">
        <f>'P&amp;L'!J309</f>
        <v>0.15258069377057229</v>
      </c>
      <c r="F56" s="275">
        <f>'P&amp;L'!K309</f>
        <v>0.16457635831433201</v>
      </c>
      <c r="G56" s="275">
        <f>'P&amp;L'!L309</f>
        <v>0.17157150308866323</v>
      </c>
      <c r="H56" s="275">
        <f>'P&amp;L'!M309</f>
        <v>0.1805667408498372</v>
      </c>
      <c r="I56" s="275">
        <f>'P&amp;L'!N309</f>
        <v>0.20156207740346208</v>
      </c>
      <c r="J56" s="275">
        <f>'P&amp;L'!O309</f>
        <v>0.2055575177486553</v>
      </c>
      <c r="K56" s="275">
        <f>'P&amp;L'!P309</f>
        <v>0.21555306611292682</v>
      </c>
      <c r="L56" s="275">
        <f>'P&amp;L'!Q309</f>
        <v>0.22554872599093853</v>
      </c>
      <c r="M56" s="275">
        <f>L56</f>
        <v>0.22554872599093853</v>
      </c>
      <c r="N56" s="275">
        <f t="shared" ref="N56:Q56" si="41">M56</f>
        <v>0.22554872599093853</v>
      </c>
      <c r="O56" s="275">
        <f t="shared" si="41"/>
        <v>0.22554872599093853</v>
      </c>
      <c r="P56" s="275">
        <f t="shared" si="41"/>
        <v>0.22554872599093853</v>
      </c>
      <c r="Q56" s="275">
        <f t="shared" si="41"/>
        <v>0.22554872599093853</v>
      </c>
    </row>
    <row r="57" spans="1:17">
      <c r="A57" s="270" t="s">
        <v>731</v>
      </c>
      <c r="B57" s="213">
        <f>B55*B58</f>
        <v>179.74630996309963</v>
      </c>
      <c r="C57" s="213">
        <f t="shared" ref="C57:Q57" si="42">C55*C58</f>
        <v>127.73939166353738</v>
      </c>
      <c r="D57" s="213">
        <f t="shared" si="42"/>
        <v>178.59645991372898</v>
      </c>
      <c r="E57" s="213">
        <f t="shared" si="42"/>
        <v>177.38363331958541</v>
      </c>
      <c r="F57" s="213">
        <f t="shared" si="42"/>
        <v>197.55243044854791</v>
      </c>
      <c r="G57" s="213">
        <f t="shared" si="42"/>
        <v>213.73455579247909</v>
      </c>
      <c r="H57" s="213">
        <f t="shared" si="42"/>
        <v>233.60192073861262</v>
      </c>
      <c r="I57" s="213">
        <f t="shared" si="42"/>
        <v>270.98190600865513</v>
      </c>
      <c r="J57" s="213">
        <f t="shared" si="42"/>
        <v>287.36308588035212</v>
      </c>
      <c r="K57" s="213">
        <f t="shared" si="42"/>
        <v>313.53145864312404</v>
      </c>
      <c r="L57" s="213">
        <f t="shared" si="42"/>
        <v>341.54651716736225</v>
      </c>
      <c r="M57" s="213">
        <f t="shared" si="42"/>
        <v>351.79291268238319</v>
      </c>
      <c r="N57" s="213">
        <f t="shared" si="42"/>
        <v>362.34670006285467</v>
      </c>
      <c r="O57" s="213">
        <f t="shared" si="42"/>
        <v>373.21710106474029</v>
      </c>
      <c r="P57" s="213">
        <f t="shared" si="42"/>
        <v>384.41361409668252</v>
      </c>
      <c r="Q57" s="213">
        <f t="shared" si="42"/>
        <v>395.94602251958298</v>
      </c>
    </row>
    <row r="58" spans="1:17">
      <c r="A58" s="270" t="s">
        <v>635</v>
      </c>
      <c r="B58" s="196">
        <f>'P&amp;L'!G$120</f>
        <v>0.1455435708203236</v>
      </c>
      <c r="C58" s="196">
        <f>'P&amp;L'!H$120</f>
        <v>0.15028163725122043</v>
      </c>
      <c r="D58" s="196">
        <f>'P&amp;L'!I$120</f>
        <v>0.15290792800832961</v>
      </c>
      <c r="E58" s="196">
        <f>'P&amp;L'!J$120</f>
        <v>0.16</v>
      </c>
      <c r="F58" s="196">
        <f>'P&amp;L'!K$120</f>
        <v>0.16</v>
      </c>
      <c r="G58" s="196">
        <f>'P&amp;L'!L$120</f>
        <v>0.16</v>
      </c>
      <c r="H58" s="196">
        <f>'P&amp;L'!M$120</f>
        <v>0.16</v>
      </c>
      <c r="I58" s="196">
        <f>'P&amp;L'!N$120</f>
        <v>0.16</v>
      </c>
      <c r="J58" s="196">
        <f>'P&amp;L'!O$120</f>
        <v>0.16</v>
      </c>
      <c r="K58" s="196">
        <f>'P&amp;L'!P$120</f>
        <v>0.16</v>
      </c>
      <c r="L58" s="196">
        <f>'P&amp;L'!Q$120</f>
        <v>0.16</v>
      </c>
      <c r="M58" s="196">
        <f t="shared" ref="M58" si="43">L58</f>
        <v>0.16</v>
      </c>
      <c r="N58" s="196">
        <f t="shared" ref="N58" si="44">M58</f>
        <v>0.16</v>
      </c>
      <c r="O58" s="196">
        <f t="shared" ref="O58" si="45">N58</f>
        <v>0.16</v>
      </c>
      <c r="P58" s="196">
        <f t="shared" ref="P58" si="46">O58</f>
        <v>0.16</v>
      </c>
      <c r="Q58" s="196">
        <f t="shared" ref="Q58" si="47">P58</f>
        <v>0.16</v>
      </c>
    </row>
    <row r="59" spans="1:17">
      <c r="A59" s="256" t="s">
        <v>732</v>
      </c>
      <c r="B59" s="213">
        <f>B55-B57</f>
        <v>1055.2536900369005</v>
      </c>
      <c r="C59" s="213">
        <f t="shared" ref="C59:Q59" si="48">C55-C57</f>
        <v>722.26060833646272</v>
      </c>
      <c r="D59" s="213">
        <f t="shared" si="48"/>
        <v>989.40354008627105</v>
      </c>
      <c r="E59" s="213">
        <f t="shared" si="48"/>
        <v>931.26407492782346</v>
      </c>
      <c r="F59" s="213">
        <f t="shared" si="48"/>
        <v>1037.1502598548764</v>
      </c>
      <c r="G59" s="213">
        <f t="shared" si="48"/>
        <v>1122.1064179105151</v>
      </c>
      <c r="H59" s="213">
        <f t="shared" si="48"/>
        <v>1226.4100838777163</v>
      </c>
      <c r="I59" s="213">
        <f t="shared" si="48"/>
        <v>1422.6550065454394</v>
      </c>
      <c r="J59" s="213">
        <f t="shared" si="48"/>
        <v>1508.6562008718483</v>
      </c>
      <c r="K59" s="213">
        <f t="shared" si="48"/>
        <v>1646.0401578764013</v>
      </c>
      <c r="L59" s="213">
        <f t="shared" si="48"/>
        <v>1793.1192151286518</v>
      </c>
      <c r="M59" s="213">
        <f t="shared" si="48"/>
        <v>1846.9127915825115</v>
      </c>
      <c r="N59" s="213">
        <f t="shared" si="48"/>
        <v>1902.3201753299868</v>
      </c>
      <c r="O59" s="213">
        <f t="shared" si="48"/>
        <v>1959.3897805898864</v>
      </c>
      <c r="P59" s="213">
        <f t="shared" si="48"/>
        <v>2018.1714740075831</v>
      </c>
      <c r="Q59" s="213">
        <f t="shared" si="48"/>
        <v>2078.7166182278106</v>
      </c>
    </row>
    <row r="60" spans="1:17">
      <c r="A60" s="270" t="s">
        <v>607</v>
      </c>
      <c r="B60" s="277">
        <f>B59</f>
        <v>1055.2536900369005</v>
      </c>
      <c r="C60" s="277">
        <f t="shared" ref="C60:Q60" si="49">C59</f>
        <v>722.26060833646272</v>
      </c>
      <c r="D60" s="277">
        <f t="shared" si="49"/>
        <v>989.40354008627105</v>
      </c>
      <c r="E60" s="277">
        <f t="shared" si="49"/>
        <v>931.26407492782346</v>
      </c>
      <c r="F60" s="277">
        <f t="shared" si="49"/>
        <v>1037.1502598548764</v>
      </c>
      <c r="G60" s="277">
        <f t="shared" si="49"/>
        <v>1122.1064179105151</v>
      </c>
      <c r="H60" s="277">
        <f t="shared" si="49"/>
        <v>1226.4100838777163</v>
      </c>
      <c r="I60" s="277">
        <f t="shared" si="49"/>
        <v>1422.6550065454394</v>
      </c>
      <c r="J60" s="277">
        <f t="shared" si="49"/>
        <v>1508.6562008718483</v>
      </c>
      <c r="K60" s="277">
        <f t="shared" si="49"/>
        <v>1646.0401578764013</v>
      </c>
      <c r="L60" s="277">
        <f t="shared" si="49"/>
        <v>1793.1192151286518</v>
      </c>
      <c r="M60" s="277">
        <f t="shared" si="49"/>
        <v>1846.9127915825115</v>
      </c>
      <c r="N60" s="277">
        <f t="shared" si="49"/>
        <v>1902.3201753299868</v>
      </c>
      <c r="O60" s="277">
        <f t="shared" si="49"/>
        <v>1959.3897805898864</v>
      </c>
      <c r="P60" s="277">
        <f t="shared" si="49"/>
        <v>2018.1714740075831</v>
      </c>
      <c r="Q60" s="277">
        <f t="shared" si="49"/>
        <v>2078.7166182278106</v>
      </c>
    </row>
    <row r="61" spans="1:17">
      <c r="A61" s="279" t="s">
        <v>733</v>
      </c>
      <c r="B61" s="280">
        <f t="shared" ref="B61:Q61" si="50">B60*B$45</f>
        <v>0</v>
      </c>
      <c r="C61" s="280">
        <f t="shared" si="50"/>
        <v>0</v>
      </c>
      <c r="D61" s="280">
        <f t="shared" si="50"/>
        <v>0</v>
      </c>
      <c r="E61" s="280">
        <f t="shared" ca="1" si="50"/>
        <v>886.61922584356694</v>
      </c>
      <c r="F61" s="280">
        <f t="shared" ca="1" si="50"/>
        <v>920.63170462716926</v>
      </c>
      <c r="G61" s="280">
        <f t="shared" ca="1" si="50"/>
        <v>928.66321781616307</v>
      </c>
      <c r="H61" s="280">
        <f t="shared" ca="1" si="50"/>
        <v>946.32401757897787</v>
      </c>
      <c r="I61" s="280">
        <f t="shared" ca="1" si="50"/>
        <v>1023.4902221903301</v>
      </c>
      <c r="J61" s="280">
        <f t="shared" ca="1" si="50"/>
        <v>1011.9390032126847</v>
      </c>
      <c r="K61" s="280">
        <f t="shared" ca="1" si="50"/>
        <v>1029.4006333506195</v>
      </c>
      <c r="L61" s="280">
        <f t="shared" ca="1" si="50"/>
        <v>1045.5218680749483</v>
      </c>
      <c r="M61" s="280">
        <f t="shared" ca="1" si="50"/>
        <v>1004.0383406496719</v>
      </c>
      <c r="N61" s="280">
        <f t="shared" ca="1" si="50"/>
        <v>964.20076927772266</v>
      </c>
      <c r="O61" s="280">
        <f t="shared" ca="1" si="50"/>
        <v>925.94384679990617</v>
      </c>
      <c r="P61" s="280">
        <f t="shared" ca="1" si="50"/>
        <v>889.20485727143841</v>
      </c>
      <c r="Q61" s="280">
        <f t="shared" ca="1" si="50"/>
        <v>853.92357314944582</v>
      </c>
    </row>
    <row r="62" spans="1:17">
      <c r="A62" s="270" t="s">
        <v>734</v>
      </c>
      <c r="B62" s="213">
        <f ca="1">SUM(B61:Q61)</f>
        <v>12429.901279842647</v>
      </c>
      <c r="C62" s="277"/>
      <c r="D62" s="277"/>
      <c r="E62" s="277"/>
      <c r="F62" s="277"/>
      <c r="G62" s="277"/>
      <c r="H62" s="277"/>
      <c r="I62" s="277"/>
      <c r="J62" s="277"/>
      <c r="K62" s="277"/>
      <c r="L62" s="277"/>
      <c r="M62" s="277"/>
      <c r="N62" s="256"/>
      <c r="O62" s="256"/>
      <c r="P62" s="256"/>
      <c r="Q62" s="256"/>
    </row>
    <row r="63" spans="1:17">
      <c r="A63" s="281" t="s">
        <v>735</v>
      </c>
      <c r="B63" s="213">
        <f ca="1">(Q60*(1+C63))/(DCF!$H$31-NPV!C63)*NPV!$Q$45</f>
        <v>16572.781656507072</v>
      </c>
      <c r="C63" s="275">
        <v>0.02</v>
      </c>
      <c r="D63" s="277"/>
      <c r="E63" s="277"/>
      <c r="F63" s="277"/>
      <c r="G63" s="277"/>
      <c r="H63" s="277"/>
      <c r="I63" s="277"/>
      <c r="J63" s="277"/>
      <c r="K63" s="277"/>
      <c r="L63" s="277"/>
      <c r="M63" s="277"/>
      <c r="N63" s="256"/>
      <c r="O63" s="256"/>
      <c r="P63" s="256"/>
      <c r="Q63" s="256"/>
    </row>
    <row r="64" spans="1:17">
      <c r="A64" s="281" t="s">
        <v>736</v>
      </c>
      <c r="B64" s="213">
        <f ca="1">SUM(B62:B63)/DCF!$C$30</f>
        <v>12.362609947293144</v>
      </c>
      <c r="C64" s="283"/>
      <c r="D64" s="283"/>
      <c r="E64" s="283"/>
      <c r="F64" s="283"/>
      <c r="G64" s="283"/>
      <c r="H64" s="283"/>
      <c r="I64" s="283"/>
      <c r="J64" s="283"/>
      <c r="K64" s="283"/>
      <c r="L64" s="283"/>
      <c r="M64" s="256"/>
      <c r="N64" s="256"/>
      <c r="O64" s="256"/>
      <c r="P64" s="256"/>
      <c r="Q64" s="256"/>
    </row>
    <row r="65" spans="1:22">
      <c r="A65" s="284" t="s">
        <v>737</v>
      </c>
      <c r="B65" s="285">
        <f ca="1">B64/DCF!$H$24</f>
        <v>12.00253392941082</v>
      </c>
    </row>
    <row r="67" spans="1:22">
      <c r="A67" s="265" t="s">
        <v>17</v>
      </c>
      <c r="B67" s="266">
        <v>2015</v>
      </c>
      <c r="C67" s="266">
        <v>2016</v>
      </c>
      <c r="D67" s="266">
        <v>2017</v>
      </c>
      <c r="E67" s="266">
        <v>2018</v>
      </c>
      <c r="F67" s="266">
        <v>2019</v>
      </c>
      <c r="G67" s="266">
        <v>2020</v>
      </c>
      <c r="H67" s="266">
        <v>2021</v>
      </c>
      <c r="I67" s="266">
        <v>2022</v>
      </c>
      <c r="J67" s="266">
        <v>2023</v>
      </c>
      <c r="K67" s="266">
        <v>2024</v>
      </c>
      <c r="L67" s="266">
        <v>2025</v>
      </c>
      <c r="M67" s="266">
        <v>2026</v>
      </c>
      <c r="N67" s="266">
        <v>2027</v>
      </c>
      <c r="O67" s="266">
        <v>2028</v>
      </c>
      <c r="P67" s="266">
        <v>2029</v>
      </c>
      <c r="Q67" s="267">
        <v>2030</v>
      </c>
      <c r="S67" s="256" t="s">
        <v>709</v>
      </c>
      <c r="T67" s="256" t="s">
        <v>710</v>
      </c>
      <c r="U67" s="256"/>
      <c r="V67" s="256"/>
    </row>
    <row r="68" spans="1:22">
      <c r="A68" s="268" t="s">
        <v>729</v>
      </c>
      <c r="B68" s="269">
        <f>Sales!G54</f>
        <v>4658</v>
      </c>
      <c r="C68" s="269">
        <f>Sales!H54</f>
        <v>3323</v>
      </c>
      <c r="D68" s="269">
        <f>Sales!I54</f>
        <v>1943</v>
      </c>
      <c r="E68" s="269">
        <f>Sales!J54</f>
        <v>1398.4362749215202</v>
      </c>
      <c r="F68" s="269">
        <f>Sales!K54</f>
        <v>1118.7490199372162</v>
      </c>
      <c r="G68" s="269">
        <f>Sales!L54</f>
        <v>933.38066694663371</v>
      </c>
      <c r="H68" s="269">
        <f>Sales!M54</f>
        <v>779.32876690463866</v>
      </c>
      <c r="I68" s="269">
        <f>Sales!N54</f>
        <v>701.39589021417487</v>
      </c>
      <c r="J68" s="269">
        <f>Sales!O54</f>
        <v>631.25630119275729</v>
      </c>
      <c r="K68" s="269">
        <f>Sales!P54</f>
        <v>568.13067107348161</v>
      </c>
      <c r="L68" s="269">
        <f>Sales!Q54</f>
        <v>511.3176039661335</v>
      </c>
      <c r="M68" s="269">
        <f t="shared" ref="M68:Q68" si="51">L68*(1+M69)</f>
        <v>460.18584356952016</v>
      </c>
      <c r="N68" s="269">
        <f t="shared" si="51"/>
        <v>414.16725921256813</v>
      </c>
      <c r="O68" s="269">
        <f t="shared" si="51"/>
        <v>372.75053329131134</v>
      </c>
      <c r="P68" s="269">
        <f t="shared" si="51"/>
        <v>335.4754799621802</v>
      </c>
      <c r="Q68" s="269">
        <f t="shared" si="51"/>
        <v>301.92793196596222</v>
      </c>
      <c r="S68" s="213">
        <f>VLOOKUP(A67,$A$2:$H$19,5,0)</f>
        <v>4746</v>
      </c>
      <c r="T68" s="256">
        <f>VLOOKUP(A67,$A$2:$H$19,6,0)</f>
        <v>2014</v>
      </c>
      <c r="U68" s="256"/>
      <c r="V68" s="256"/>
    </row>
    <row r="69" spans="1:22">
      <c r="A69" s="270" t="s">
        <v>579</v>
      </c>
      <c r="B69" s="271"/>
      <c r="C69" s="271">
        <f t="shared" ref="C69:H69" si="52">C68/B68-1</f>
        <v>-0.28660369257191931</v>
      </c>
      <c r="D69" s="271">
        <f t="shared" si="52"/>
        <v>-0.41528739091182665</v>
      </c>
      <c r="E69" s="271">
        <f t="shared" si="52"/>
        <v>-0.28026954455917641</v>
      </c>
      <c r="F69" s="271">
        <f t="shared" si="52"/>
        <v>-0.19999999999999996</v>
      </c>
      <c r="G69" s="271">
        <f t="shared" si="52"/>
        <v>-0.16569252771366472</v>
      </c>
      <c r="H69" s="271">
        <f t="shared" si="52"/>
        <v>-0.16504723688561573</v>
      </c>
      <c r="I69" s="271">
        <f>I68/H68-1</f>
        <v>-9.9999999999999867E-2</v>
      </c>
      <c r="J69" s="271">
        <f>J68/I68-1</f>
        <v>-0.10000000000000009</v>
      </c>
      <c r="K69" s="271">
        <f t="shared" ref="K69:L69" si="53">K68/J68-1</f>
        <v>-9.9999999999999978E-2</v>
      </c>
      <c r="L69" s="271">
        <f t="shared" si="53"/>
        <v>-9.9999999999999867E-2</v>
      </c>
      <c r="M69" s="272">
        <v>-0.1</v>
      </c>
      <c r="N69" s="272">
        <v>-0.1</v>
      </c>
      <c r="O69" s="272">
        <v>-0.1</v>
      </c>
      <c r="P69" s="272">
        <v>-0.1</v>
      </c>
      <c r="Q69" s="272">
        <v>-0.1</v>
      </c>
      <c r="S69" s="256" t="s">
        <v>738</v>
      </c>
      <c r="T69" s="256"/>
      <c r="U69" s="256"/>
      <c r="V69" s="256"/>
    </row>
    <row r="70" spans="1:22">
      <c r="A70" s="273" t="s">
        <v>730</v>
      </c>
      <c r="B70" s="274">
        <f t="shared" ref="B70:Q70" si="54">B68*B71</f>
        <v>1630.3</v>
      </c>
      <c r="C70" s="274">
        <f t="shared" si="54"/>
        <v>996.9</v>
      </c>
      <c r="D70" s="274">
        <f t="shared" si="54"/>
        <v>485.75</v>
      </c>
      <c r="E70" s="274">
        <f t="shared" si="54"/>
        <v>559.37450996860798</v>
      </c>
      <c r="F70" s="274">
        <f t="shared" si="54"/>
        <v>447.49960797488643</v>
      </c>
      <c r="G70" s="274">
        <f t="shared" si="54"/>
        <v>373.35226677865347</v>
      </c>
      <c r="H70" s="274">
        <f t="shared" si="54"/>
        <v>311.73150676185543</v>
      </c>
      <c r="I70" s="274">
        <f t="shared" si="54"/>
        <v>280.55835608566991</v>
      </c>
      <c r="J70" s="274">
        <f t="shared" si="54"/>
        <v>252.50252047710291</v>
      </c>
      <c r="K70" s="274">
        <f t="shared" si="54"/>
        <v>227.25226842939261</v>
      </c>
      <c r="L70" s="274">
        <f t="shared" si="54"/>
        <v>204.52704158645338</v>
      </c>
      <c r="M70" s="274">
        <f t="shared" si="54"/>
        <v>184.07433742780805</v>
      </c>
      <c r="N70" s="274">
        <f t="shared" si="54"/>
        <v>165.66690368502725</v>
      </c>
      <c r="O70" s="274">
        <f t="shared" si="54"/>
        <v>149.10021331652453</v>
      </c>
      <c r="P70" s="274">
        <f t="shared" si="54"/>
        <v>134.19019198487206</v>
      </c>
      <c r="Q70" s="274">
        <f t="shared" si="54"/>
        <v>120.77117278638488</v>
      </c>
      <c r="S70" s="282">
        <f>IF(S68&gt;$X$39,$Z$39,$Z$40)</f>
        <v>-0.1</v>
      </c>
      <c r="T70" s="282">
        <f>IF(S68&gt;$X$39,$AA$39,$AA$40)</f>
        <v>-0.05</v>
      </c>
      <c r="U70" s="282">
        <f>IF(S68&gt;$X$39,$AB$39,$AB$40)</f>
        <v>-0.05</v>
      </c>
      <c r="V70" s="256"/>
    </row>
    <row r="71" spans="1:22">
      <c r="A71" s="270" t="s">
        <v>580</v>
      </c>
      <c r="B71" s="286">
        <f>IF(B67-T68&gt;3,T73,IF(B67-T68=1,45%+S70,IF(B67-T68=2,50%+T70,IF(B67-T68=3,A71+U70,IF(B67-T68=0,T74,IF(T68-B67=U75+1,$AA$37,IF(T68-B67=U75+2,$Z$37,IF(B67&lt;T68,C71-(T74-$AB$37)/U75))))))))</f>
        <v>0.35</v>
      </c>
      <c r="C71" s="286">
        <f>IF(C67-T68&gt;3,T73,IF(C67-T68=1,B71+S70,IF(C67-T68=2,B71+T70,IF(C67-T68=3,B71+U70,IF(C67-T68=0,T74,IF(T68-C67=U75+1,$AA$37,IF(T68-C67=U75+2,$Z$37,IF(C67&lt;T68,D71-(T74-$AB$37)/U75))))))))</f>
        <v>0.3</v>
      </c>
      <c r="D71" s="286">
        <f>IF(D67-T68&gt;3,T73,IF(D67-T68=1,C71+S70,IF(D67-T68=2,C71+T70,IF(D67-T68=3,C71+U70,IF(D67-T68=0,T74,IF(T68-D67=U75+1,$AA$37,IF(T68-D67=U75+2,$Z$37,IF(D67&lt;T68,E71-(T74-$AB$37)/U75))))))))</f>
        <v>0.25</v>
      </c>
      <c r="E71" s="286">
        <f>IF(E67-T68&gt;3,T73,IF(E67-T68=1,D71+S70,IF(E67-T68=2,D71+T70,IF(E67-T68=3,D71+U70,IF(E67-T68=0,T74,IF(T68-E67=U75+1,$AA$37,IF(T68-E67=U75+2,$Z$37,IF(E67&lt;T68,F71-(T74-$AB$37)/U75))))))))</f>
        <v>0.39999999999999997</v>
      </c>
      <c r="F71" s="286">
        <f>IF(F67-T68&gt;3,T73,IF(F67-T68=1,E71+S70,IF(F67-T68=2,E71+T70,IF(F67-T68=3,E71+U70,IF(F67-T68=0,T74,IF(T68-F67=U75+1,$AA$37,IF(T68-F67=U75+2,$Z$37,IF(F67&lt;T68,G71-(T74-$AB$37)/U75))))))))</f>
        <v>0.39999999999999997</v>
      </c>
      <c r="G71" s="286">
        <f>IF(G67-T68&gt;3,T73,IF(G67-T68=1,F71+S70,IF(G67-T68=2,F71+T70,IF(G67-T68=3,F71+U70,IF(G67-T68=0,T74,IF(T68-G67=U75+1,$AA$37,IF(T68-G67=U75+2,$Z$37,IF(G67&lt;T68,H71-(T74-$AB$37)/U75))))))))</f>
        <v>0.39999999999999997</v>
      </c>
      <c r="H71" s="286">
        <f>IF(H67-T68&gt;3,T73,IF(H67-T68=1,G71+S70,IF(H67-T68=2,G71+T70,IF(H67-T68=3,G71+U70,IF(H67-T68=0,T74,IF(T68-H67=U75+1,$AA$37,IF(T68-H67=U75+2,$Z$37,IF(H67&lt;T68,I71-(T74-$AB$37)/U75))))))))</f>
        <v>0.39999999999999997</v>
      </c>
      <c r="I71" s="286">
        <f>IF(I67-T68&gt;3,T73,IF(I67-T68=1,H71+S70,IF(I67-T68=2,H71+T70,IF(I67-T68=3,H71+U70,IF(I67-T68=0,T74,IF(T68-I67=U75+1,$AA$37,IF(T68-I67=U75+2,$Z$37,IF(I67&lt;T68,J71-(T74-$AB$37)/U75))))))))</f>
        <v>0.39999999999999997</v>
      </c>
      <c r="J71" s="286">
        <f>IF(J67-T68&gt;3,T73,IF(J67-T68=1,I71+S70,IF(J67-T68=2,I71+T70,IF(J67-T68=3,I71+U70,IF(J67-T68=0,T74,IF(T68-J67=U75+1,$AA$37,IF(T68-J67=U75+2,$Z$37,IF(J67&lt;T68,K71-(T74-$AB$37)/U75))))))))</f>
        <v>0.39999999999999997</v>
      </c>
      <c r="K71" s="286">
        <f>IF(K67-T68&gt;3,T73,IF(K67-T68=1,J71+S70,IF(K67-T68=2,J71+T70,IF(K67-T68=3,J71+U70,IF(K67-T68=0,T74,IF(T68-K67=U75+1,$AA$37,IF(T68-K67=U75+2,$Z$37,IF(K67&lt;T68,L71-(T74-$AB$37)/U75))))))))</f>
        <v>0.39999999999999997</v>
      </c>
      <c r="L71" s="286">
        <f>IF(L67-T68&gt;3,T73,IF(L67-T68=1,K71+S70,IF(L67-T68=2,K71+T70,IF(L67-T68=3,K71+U70,IF(L67-T68=0,T74,IF(T68-L67=U75+1,$AA$37,IF(T68-L67=U75+2,$Z$37,IF(L67&lt;T68,M71-(T74-$AB$37)/U75))))))))</f>
        <v>0.39999999999999997</v>
      </c>
      <c r="M71" s="286">
        <f>IF(M67-T68&gt;3,T73,IF(M67-T68=1,L71+S70,IF(M67-T68=2,L71+T70,IF(M67-T68=3,L71+U70,IF(M67-T68=0,T74,IF(T68-M67=U75+1,$AA$37,IF(T68-M67=U75+2,$Z$37,IF(M67&lt;T68,N71-(T74-$AB$37)/U75))))))))</f>
        <v>0.39999999999999997</v>
      </c>
      <c r="N71" s="286">
        <f>IF(N67-T68&gt;3,T73,IF(N67-T68=1,M71+S70,IF(N67-T68=2,M71+T70,IF(N67-T68=3,M71+U70,IF(N67-T68=0,T74,IF(T68-N67=U75+1,$AA$37,IF(T68-N67=U75+2,$Z$37,IF(N67&lt;T68,O71-(T74-$AB$37)/U75))))))))</f>
        <v>0.39999999999999997</v>
      </c>
      <c r="O71" s="286">
        <f>IF(O67-T68&gt;3,T73,IF(O67-T68=1,N71+S70,IF(O67-T68=2,N71+T70,IF(O67-T68=3,N71+U70,IF(O67-T68=0,T74,IF(T68-O67=U75+1,$AA$37,IF(T68-O67=U75+2,$Z$37,IF(O67&lt;T68,P71-(T74-$AB$37)/U75))))))))</f>
        <v>0.39999999999999997</v>
      </c>
      <c r="P71" s="286">
        <f>IF(P67-T68&gt;3,T73,IF(P67-T68=1,O71+S70,IF(P67-T68=2,O71+T70,IF(P67-T68=3,O71+U70,IF(P67-T68=0,T74,IF(T68-P67=U75+1,$AA$37,IF(T68-P67=U75+2,$Z$37,IF(P67&lt;T68,Q71-(T74-$AB$37)/U75))))))))</f>
        <v>0.39999999999999997</v>
      </c>
      <c r="Q71" s="286">
        <f>IF(Q67-T68&gt;3,T73,IF(Q67-T68=1,P71+S70,IF(Q67-T68=2,P71+T70,IF(Q67-T68=3,P71+U70,IF(Q67-T68=0,T74,IF(T68-Q67=U75+1,$AA$37,IF(T68-Q67=U75+2,$Z$37,IF(Q67&lt;T68,R71-(T74-$AB$37)/U75))))))))</f>
        <v>0.39999999999999997</v>
      </c>
      <c r="S71" s="287" t="s">
        <v>739</v>
      </c>
      <c r="T71" s="213">
        <f>VLOOKUP(A67,$A$2:$H$19,7,0)</f>
        <v>4265</v>
      </c>
      <c r="U71" s="256"/>
      <c r="V71" s="256"/>
    </row>
    <row r="72" spans="1:22">
      <c r="A72" s="270" t="s">
        <v>731</v>
      </c>
      <c r="B72" s="213">
        <f>B70*B73</f>
        <v>237.27968350837355</v>
      </c>
      <c r="C72" s="213">
        <f t="shared" ref="C72:Q72" si="55">C70*C73</f>
        <v>149.81576417574163</v>
      </c>
      <c r="D72" s="213">
        <f t="shared" si="55"/>
        <v>74.275026030046106</v>
      </c>
      <c r="E72" s="213">
        <f t="shared" si="55"/>
        <v>89.49992159497728</v>
      </c>
      <c r="F72" s="213">
        <f t="shared" si="55"/>
        <v>71.59993727598183</v>
      </c>
      <c r="G72" s="213">
        <f t="shared" si="55"/>
        <v>59.736362684584556</v>
      </c>
      <c r="H72" s="213">
        <f t="shared" si="55"/>
        <v>49.87704108189687</v>
      </c>
      <c r="I72" s="213">
        <f t="shared" si="55"/>
        <v>44.889336973707188</v>
      </c>
      <c r="J72" s="213">
        <f t="shared" si="55"/>
        <v>40.400403276336469</v>
      </c>
      <c r="K72" s="213">
        <f t="shared" si="55"/>
        <v>36.360362948702821</v>
      </c>
      <c r="L72" s="213">
        <f t="shared" si="55"/>
        <v>32.724326653832541</v>
      </c>
      <c r="M72" s="213">
        <f t="shared" si="55"/>
        <v>29.451893988449289</v>
      </c>
      <c r="N72" s="213">
        <f t="shared" si="55"/>
        <v>26.506704589604361</v>
      </c>
      <c r="O72" s="213">
        <f t="shared" si="55"/>
        <v>23.856034130643927</v>
      </c>
      <c r="P72" s="213">
        <f t="shared" si="55"/>
        <v>21.470430717579529</v>
      </c>
      <c r="Q72" s="213">
        <f t="shared" si="55"/>
        <v>19.32338764582158</v>
      </c>
      <c r="S72" s="287" t="s">
        <v>740</v>
      </c>
      <c r="T72" s="256">
        <f>VLOOKUP(A67,$A$2:$H$19,8,0)</f>
        <v>2010</v>
      </c>
      <c r="U72" s="256"/>
      <c r="V72" s="256"/>
    </row>
    <row r="73" spans="1:22">
      <c r="A73" s="270" t="s">
        <v>635</v>
      </c>
      <c r="B73" s="196">
        <f>'P&amp;L'!G$120</f>
        <v>0.1455435708203236</v>
      </c>
      <c r="C73" s="196">
        <f>'P&amp;L'!H$120</f>
        <v>0.15028163725122043</v>
      </c>
      <c r="D73" s="196">
        <f>'P&amp;L'!I$120</f>
        <v>0.15290792800832961</v>
      </c>
      <c r="E73" s="196">
        <f>'P&amp;L'!J$120</f>
        <v>0.16</v>
      </c>
      <c r="F73" s="196">
        <f>'P&amp;L'!K$120</f>
        <v>0.16</v>
      </c>
      <c r="G73" s="196">
        <f>'P&amp;L'!L$120</f>
        <v>0.16</v>
      </c>
      <c r="H73" s="196">
        <f>'P&amp;L'!M$120</f>
        <v>0.16</v>
      </c>
      <c r="I73" s="196">
        <f>'P&amp;L'!N$120</f>
        <v>0.16</v>
      </c>
      <c r="J73" s="196">
        <f>'P&amp;L'!O$120</f>
        <v>0.16</v>
      </c>
      <c r="K73" s="196">
        <f>'P&amp;L'!P$120</f>
        <v>0.16</v>
      </c>
      <c r="L73" s="196">
        <f>'P&amp;L'!Q$120</f>
        <v>0.16</v>
      </c>
      <c r="M73" s="196">
        <f t="shared" ref="M73" si="56">L73</f>
        <v>0.16</v>
      </c>
      <c r="N73" s="196">
        <f t="shared" ref="N73" si="57">M73</f>
        <v>0.16</v>
      </c>
      <c r="O73" s="196">
        <f t="shared" ref="O73" si="58">N73</f>
        <v>0.16</v>
      </c>
      <c r="P73" s="196">
        <f t="shared" ref="P73" si="59">O73</f>
        <v>0.16</v>
      </c>
      <c r="Q73" s="196">
        <f t="shared" ref="Q73" si="60">P73</f>
        <v>0.16</v>
      </c>
      <c r="S73" s="287" t="s">
        <v>741</v>
      </c>
      <c r="T73" s="288">
        <f>IF(Q67-T68&gt;3,IF(AND(S68&lt;$X$42,S68&lt;$X$43,S68&lt;$X$44),$AA$45,IF(AND(S68&lt;$X$42,S68&lt;$X$43),$AA$44,IF(S68&lt;$X$42,$AA$43,$AA$42))))</f>
        <v>0.39999999999999997</v>
      </c>
      <c r="U73" s="256"/>
      <c r="V73" s="256"/>
    </row>
    <row r="74" spans="1:22">
      <c r="A74" s="256" t="s">
        <v>732</v>
      </c>
      <c r="B74" s="213">
        <f>B70-B72</f>
        <v>1393.0203164916263</v>
      </c>
      <c r="C74" s="213">
        <f t="shared" ref="C74:Q74" si="61">C70-C72</f>
        <v>847.08423582425837</v>
      </c>
      <c r="D74" s="213">
        <f t="shared" si="61"/>
        <v>411.47497396995391</v>
      </c>
      <c r="E74" s="213">
        <f t="shared" si="61"/>
        <v>469.87458837363067</v>
      </c>
      <c r="F74" s="213">
        <f t="shared" si="61"/>
        <v>375.89967069890463</v>
      </c>
      <c r="G74" s="213">
        <f t="shared" si="61"/>
        <v>313.61590409406892</v>
      </c>
      <c r="H74" s="213">
        <f t="shared" si="61"/>
        <v>261.85446567995854</v>
      </c>
      <c r="I74" s="213">
        <f t="shared" si="61"/>
        <v>235.66901911196271</v>
      </c>
      <c r="J74" s="213">
        <f t="shared" si="61"/>
        <v>212.10211720076643</v>
      </c>
      <c r="K74" s="213">
        <f t="shared" si="61"/>
        <v>190.89190548068979</v>
      </c>
      <c r="L74" s="213">
        <f t="shared" si="61"/>
        <v>171.80271493262083</v>
      </c>
      <c r="M74" s="213">
        <f t="shared" si="61"/>
        <v>154.62244343935876</v>
      </c>
      <c r="N74" s="213">
        <f t="shared" si="61"/>
        <v>139.16019909542288</v>
      </c>
      <c r="O74" s="213">
        <f t="shared" si="61"/>
        <v>125.2441791858806</v>
      </c>
      <c r="P74" s="213">
        <f t="shared" si="61"/>
        <v>112.71976126729253</v>
      </c>
      <c r="Q74" s="213">
        <f t="shared" si="61"/>
        <v>101.4477851405633</v>
      </c>
      <c r="S74" s="287" t="s">
        <v>742</v>
      </c>
      <c r="T74" s="288">
        <f>IF(S68&gt;$X$42,$Z$42,IF(S68&gt;$X$43,$Z$43,IF(S68&gt;$X$44,$Z$44,$Z$45)))</f>
        <v>0.6</v>
      </c>
      <c r="U74" s="256"/>
      <c r="V74" s="256"/>
    </row>
    <row r="75" spans="1:22">
      <c r="A75" s="270" t="s">
        <v>607</v>
      </c>
      <c r="B75" s="277">
        <f>B74</f>
        <v>1393.0203164916263</v>
      </c>
      <c r="C75" s="277">
        <f t="shared" ref="C75:Q75" si="62">C74</f>
        <v>847.08423582425837</v>
      </c>
      <c r="D75" s="277">
        <f t="shared" si="62"/>
        <v>411.47497396995391</v>
      </c>
      <c r="E75" s="277">
        <f t="shared" si="62"/>
        <v>469.87458837363067</v>
      </c>
      <c r="F75" s="277">
        <f t="shared" si="62"/>
        <v>375.89967069890463</v>
      </c>
      <c r="G75" s="277">
        <f t="shared" si="62"/>
        <v>313.61590409406892</v>
      </c>
      <c r="H75" s="277">
        <f t="shared" si="62"/>
        <v>261.85446567995854</v>
      </c>
      <c r="I75" s="277">
        <f t="shared" si="62"/>
        <v>235.66901911196271</v>
      </c>
      <c r="J75" s="277">
        <f t="shared" si="62"/>
        <v>212.10211720076643</v>
      </c>
      <c r="K75" s="277">
        <f t="shared" si="62"/>
        <v>190.89190548068979</v>
      </c>
      <c r="L75" s="277">
        <f t="shared" si="62"/>
        <v>171.80271493262083</v>
      </c>
      <c r="M75" s="277">
        <f t="shared" si="62"/>
        <v>154.62244343935876</v>
      </c>
      <c r="N75" s="277">
        <f t="shared" si="62"/>
        <v>139.16019909542288</v>
      </c>
      <c r="O75" s="277">
        <f t="shared" si="62"/>
        <v>125.2441791858806</v>
      </c>
      <c r="P75" s="277">
        <f t="shared" si="62"/>
        <v>112.71976126729253</v>
      </c>
      <c r="Q75" s="277">
        <f t="shared" si="62"/>
        <v>101.4477851405633</v>
      </c>
      <c r="S75" s="287" t="s">
        <v>743</v>
      </c>
      <c r="T75" s="256">
        <f>T68-T72</f>
        <v>4</v>
      </c>
      <c r="U75" s="256">
        <f>T75-2</f>
        <v>2</v>
      </c>
      <c r="V75" s="256"/>
    </row>
    <row r="76" spans="1:22">
      <c r="A76" s="279" t="s">
        <v>733</v>
      </c>
      <c r="B76" s="280">
        <f>B75*B$45</f>
        <v>0</v>
      </c>
      <c r="C76" s="280">
        <f t="shared" ref="C76:Q76" si="63">C75*C$45</f>
        <v>0</v>
      </c>
      <c r="D76" s="280">
        <f t="shared" si="63"/>
        <v>0</v>
      </c>
      <c r="E76" s="280">
        <f t="shared" ca="1" si="63"/>
        <v>447.34877571614817</v>
      </c>
      <c r="F76" s="280">
        <f t="shared" ca="1" si="63"/>
        <v>333.66925507278705</v>
      </c>
      <c r="G76" s="280">
        <f t="shared" ca="1" si="63"/>
        <v>259.55074314310633</v>
      </c>
      <c r="H76" s="280">
        <f t="shared" ca="1" si="63"/>
        <v>202.05245638534939</v>
      </c>
      <c r="I76" s="280">
        <f t="shared" ca="1" si="63"/>
        <v>169.54562815617928</v>
      </c>
      <c r="J76" s="280">
        <f t="shared" ca="1" si="63"/>
        <v>142.26859965538003</v>
      </c>
      <c r="K76" s="280">
        <f t="shared" ca="1" si="63"/>
        <v>119.37998442081987</v>
      </c>
      <c r="L76" s="280">
        <f t="shared" ca="1" si="63"/>
        <v>100.17376086386649</v>
      </c>
      <c r="M76" s="280">
        <f t="shared" ca="1" si="63"/>
        <v>84.057494347109682</v>
      </c>
      <c r="N76" s="280">
        <f t="shared" ca="1" si="63"/>
        <v>70.534062962020826</v>
      </c>
      <c r="O76" s="280">
        <f t="shared" ca="1" si="63"/>
        <v>59.186323320395097</v>
      </c>
      <c r="P76" s="280">
        <f t="shared" ca="1" si="63"/>
        <v>49.664243361006328</v>
      </c>
      <c r="Q76" s="280">
        <f t="shared" ca="1" si="63"/>
        <v>41.674105270386242</v>
      </c>
      <c r="S76" s="289" t="s">
        <v>744</v>
      </c>
      <c r="T76" s="288">
        <f>VLOOKUP(S76,$Y$32:$AB$34,2,0)</f>
        <v>-0.7</v>
      </c>
      <c r="U76" s="288">
        <f>VLOOKUP(S76,$Y$32:$AB$34,3,0)</f>
        <v>-0.35</v>
      </c>
      <c r="V76" s="288">
        <f>VLOOKUP(S76,$Y$32:$AB$34,4,0)</f>
        <v>-0.1</v>
      </c>
    </row>
    <row r="77" spans="1:22">
      <c r="A77" s="270" t="s">
        <v>734</v>
      </c>
      <c r="B77" s="213">
        <f ca="1">SUM(B76:Q76)</f>
        <v>2079.1054326745548</v>
      </c>
      <c r="C77" s="277"/>
      <c r="D77" s="277"/>
      <c r="E77" s="277"/>
      <c r="F77" s="277"/>
      <c r="G77" s="277"/>
      <c r="H77" s="277"/>
      <c r="I77" s="277"/>
      <c r="J77" s="277"/>
      <c r="K77" s="277"/>
      <c r="L77" s="277"/>
      <c r="M77" s="277"/>
      <c r="N77" s="256"/>
      <c r="O77" s="256"/>
      <c r="P77" s="256"/>
      <c r="Q77" s="256"/>
    </row>
    <row r="78" spans="1:22">
      <c r="A78" s="281" t="s">
        <v>735</v>
      </c>
      <c r="B78" s="213">
        <f ca="1">(Q75*(1+C78))/(DCF!$H$31-NPV!C78)*NPV!$Q$45</f>
        <v>323.03879743479985</v>
      </c>
      <c r="C78" s="286">
        <v>-0.05</v>
      </c>
      <c r="D78" s="277"/>
      <c r="E78" s="277"/>
      <c r="F78" s="277"/>
      <c r="G78" s="277"/>
      <c r="H78" s="277"/>
      <c r="I78" s="277"/>
      <c r="J78" s="277"/>
      <c r="K78" s="277"/>
      <c r="L78" s="277"/>
      <c r="M78" s="277"/>
      <c r="N78" s="256"/>
      <c r="O78" s="256"/>
      <c r="P78" s="256"/>
      <c r="Q78" s="256"/>
    </row>
    <row r="79" spans="1:22">
      <c r="A79" s="281" t="s">
        <v>736</v>
      </c>
      <c r="B79" s="213">
        <f ca="1">SUM(B77:B78)/DCF!$C$30</f>
        <v>1.0239318968923081</v>
      </c>
      <c r="C79" s="283"/>
      <c r="D79" s="283"/>
      <c r="E79" s="283"/>
      <c r="F79" s="283"/>
      <c r="G79" s="283"/>
      <c r="H79" s="283"/>
      <c r="I79" s="283"/>
      <c r="J79" s="283"/>
      <c r="K79" s="283"/>
      <c r="L79" s="283"/>
      <c r="M79" s="256"/>
      <c r="N79" s="256"/>
      <c r="O79" s="256"/>
      <c r="P79" s="256"/>
      <c r="Q79" s="256"/>
    </row>
    <row r="80" spans="1:22">
      <c r="A80" s="284" t="s">
        <v>737</v>
      </c>
      <c r="B80" s="285">
        <f ca="1">B79/DCF!$H$24</f>
        <v>0.99410863775952241</v>
      </c>
    </row>
    <row r="82" spans="1:22">
      <c r="A82" s="265" t="s">
        <v>19</v>
      </c>
      <c r="B82" s="266">
        <v>2015</v>
      </c>
      <c r="C82" s="266">
        <v>2016</v>
      </c>
      <c r="D82" s="266">
        <v>2017</v>
      </c>
      <c r="E82" s="266">
        <v>2018</v>
      </c>
      <c r="F82" s="266">
        <v>2019</v>
      </c>
      <c r="G82" s="266">
        <v>2020</v>
      </c>
      <c r="H82" s="266">
        <v>2021</v>
      </c>
      <c r="I82" s="266">
        <v>2022</v>
      </c>
      <c r="J82" s="266">
        <v>2023</v>
      </c>
      <c r="K82" s="266">
        <v>2024</v>
      </c>
      <c r="L82" s="266">
        <v>2025</v>
      </c>
      <c r="M82" s="266">
        <v>2026</v>
      </c>
      <c r="N82" s="266">
        <v>2027</v>
      </c>
      <c r="O82" s="266">
        <v>2028</v>
      </c>
      <c r="P82" s="266">
        <v>2029</v>
      </c>
      <c r="Q82" s="267">
        <v>2030</v>
      </c>
      <c r="S82" s="256" t="s">
        <v>709</v>
      </c>
      <c r="T82" s="256" t="s">
        <v>710</v>
      </c>
      <c r="U82" s="256"/>
      <c r="V82" s="256"/>
    </row>
    <row r="83" spans="1:22">
      <c r="A83" s="268" t="s">
        <v>729</v>
      </c>
      <c r="B83" s="269">
        <f>Sales!G62</f>
        <v>1632</v>
      </c>
      <c r="C83" s="269">
        <f>Sales!H62</f>
        <v>1739</v>
      </c>
      <c r="D83" s="269">
        <f>Sales!I62</f>
        <v>1841</v>
      </c>
      <c r="E83" s="269">
        <f>Sales!J62</f>
        <v>1996.94000587357</v>
      </c>
      <c r="F83" s="269">
        <f>Sales!K62</f>
        <v>2056.8482060497772</v>
      </c>
      <c r="G83" s="269">
        <f>Sales!L62</f>
        <v>2118.5536522312705</v>
      </c>
      <c r="H83" s="269">
        <f>Sales!M62</f>
        <v>2182.1102617982087</v>
      </c>
      <c r="I83" s="269">
        <f>Sales!N62</f>
        <v>2247.5735696521551</v>
      </c>
      <c r="J83" s="269">
        <f>Sales!O62</f>
        <v>833.87822554627746</v>
      </c>
      <c r="K83" s="269">
        <f>Sales!P62</f>
        <v>397.61187548781874</v>
      </c>
      <c r="L83" s="269">
        <f>Sales!Q62</f>
        <v>198.80593774390937</v>
      </c>
      <c r="M83" s="269">
        <f t="shared" ref="M83:Q83" si="64">L83*(1+M84)</f>
        <v>178.92534396951842</v>
      </c>
      <c r="N83" s="269">
        <f t="shared" si="64"/>
        <v>161.03280957256658</v>
      </c>
      <c r="O83" s="269">
        <f t="shared" si="64"/>
        <v>144.92952861530992</v>
      </c>
      <c r="P83" s="269">
        <f t="shared" si="64"/>
        <v>130.43657575377892</v>
      </c>
      <c r="Q83" s="269">
        <f t="shared" si="64"/>
        <v>117.39291817840103</v>
      </c>
      <c r="S83" s="213">
        <f>VLOOKUP(A82,$A$2:$H$19,5,0)</f>
        <v>2247.5735696521551</v>
      </c>
      <c r="T83" s="256">
        <f>VLOOKUP(A82,$A$2:$H$19,6,0)</f>
        <v>2022</v>
      </c>
      <c r="U83" s="256"/>
      <c r="V83" s="256"/>
    </row>
    <row r="84" spans="1:22">
      <c r="A84" s="270" t="s">
        <v>579</v>
      </c>
      <c r="B84" s="271"/>
      <c r="C84" s="271">
        <f t="shared" ref="C84:H84" si="65">C83/B83-1</f>
        <v>6.5563725490196179E-2</v>
      </c>
      <c r="D84" s="271">
        <f t="shared" si="65"/>
        <v>5.8654399079931085E-2</v>
      </c>
      <c r="E84" s="271">
        <f t="shared" si="65"/>
        <v>8.4703968426708354E-2</v>
      </c>
      <c r="F84" s="271">
        <f t="shared" si="65"/>
        <v>3.0000000000000027E-2</v>
      </c>
      <c r="G84" s="271">
        <f t="shared" si="65"/>
        <v>3.0000000000000027E-2</v>
      </c>
      <c r="H84" s="271">
        <f t="shared" si="65"/>
        <v>3.0000000000000027E-2</v>
      </c>
      <c r="I84" s="271">
        <f>I83/H83-1</f>
        <v>3.0000000000000027E-2</v>
      </c>
      <c r="J84" s="271">
        <f>J83/I83-1</f>
        <v>-0.62898735026710062</v>
      </c>
      <c r="K84" s="271">
        <f t="shared" ref="K84:L84" si="66">K83/J83-1</f>
        <v>-0.52317752963588737</v>
      </c>
      <c r="L84" s="271">
        <f t="shared" si="66"/>
        <v>-0.5</v>
      </c>
      <c r="M84" s="272">
        <v>-0.1</v>
      </c>
      <c r="N84" s="272">
        <v>-0.1</v>
      </c>
      <c r="O84" s="272">
        <v>-0.1</v>
      </c>
      <c r="P84" s="272">
        <v>-0.1</v>
      </c>
      <c r="Q84" s="272">
        <v>-0.1</v>
      </c>
      <c r="S84" s="256" t="s">
        <v>738</v>
      </c>
      <c r="T84" s="256"/>
      <c r="U84" s="256"/>
      <c r="V84" s="256"/>
    </row>
    <row r="85" spans="1:22">
      <c r="A85" s="273" t="s">
        <v>730</v>
      </c>
      <c r="B85" s="274">
        <f t="shared" ref="B85:Q85" si="67">B83*B86</f>
        <v>359.04000000000019</v>
      </c>
      <c r="C85" s="274">
        <f t="shared" si="67"/>
        <v>452.14000000000021</v>
      </c>
      <c r="D85" s="274">
        <f t="shared" si="67"/>
        <v>552.30000000000018</v>
      </c>
      <c r="E85" s="274">
        <f t="shared" si="67"/>
        <v>678.95960199701392</v>
      </c>
      <c r="F85" s="274">
        <f t="shared" si="67"/>
        <v>781.60231829891552</v>
      </c>
      <c r="G85" s="274">
        <f t="shared" si="67"/>
        <v>889.79253393713373</v>
      </c>
      <c r="H85" s="274">
        <f t="shared" si="67"/>
        <v>1003.7707204271761</v>
      </c>
      <c r="I85" s="274">
        <f t="shared" si="67"/>
        <v>1123.7867848260776</v>
      </c>
      <c r="J85" s="274">
        <f t="shared" si="67"/>
        <v>375.24520149582486</v>
      </c>
      <c r="K85" s="274">
        <f t="shared" si="67"/>
        <v>166.99698770488388</v>
      </c>
      <c r="L85" s="274">
        <f t="shared" si="67"/>
        <v>77.534315720124653</v>
      </c>
      <c r="M85" s="274">
        <f t="shared" si="67"/>
        <v>69.780884148112193</v>
      </c>
      <c r="N85" s="274">
        <f t="shared" si="67"/>
        <v>62.802795733300968</v>
      </c>
      <c r="O85" s="274">
        <f t="shared" si="67"/>
        <v>56.52251615997087</v>
      </c>
      <c r="P85" s="274">
        <f t="shared" si="67"/>
        <v>50.870264543973782</v>
      </c>
      <c r="Q85" s="274">
        <f t="shared" si="67"/>
        <v>45.783238089576408</v>
      </c>
      <c r="S85" s="282">
        <f>IF(S83&gt;$X$39,$Z$39,$Z$40)</f>
        <v>-0.05</v>
      </c>
      <c r="T85" s="282">
        <f>IF(S83&gt;$X$39,$AA$39,$AA$40)</f>
        <v>-0.03</v>
      </c>
      <c r="U85" s="282">
        <f>IF(S83&gt;$X$39,$AB$39,$AB$40)</f>
        <v>-0.03</v>
      </c>
      <c r="V85" s="256"/>
    </row>
    <row r="86" spans="1:22">
      <c r="A86" s="270" t="s">
        <v>580</v>
      </c>
      <c r="B86" s="286">
        <f>IF(B82-T83&gt;3,T88,IF(B82-T83=1,45%+S85,IF(B82-T83=2,A86+T85,IF(B82-T83=3,A86+U85,IF(B82-T83=0,T89,IF(T83-B82=U90+1,$AA$37,IF(T83-B82=U90+2,$Z$37,IF(B82&lt;T83,C86-(T89-$AB$37)/U90))))))))</f>
        <v>0.22000000000000011</v>
      </c>
      <c r="C86" s="286">
        <f>IF(C82-T83&gt;3,T88,IF(C82-T83=1,B86+S85,IF(C82-T83=2,B86+T85,IF(C82-T83=3,B86+U85,IF(C82-T83=0,T89,IF(T83-C82=U90+1,$AA$37,IF(T83-C82=U90+2,$Z$37,IF(C82&lt;T83,D86-(T89-$AB$37)/U90))))))))</f>
        <v>0.26000000000000012</v>
      </c>
      <c r="D86" s="286">
        <f>IF(D82-T83&gt;3,T88,IF(D82-T83=1,C86+S85,IF(D82-T83=2,C86+T85,IF(D82-T83=3,C86+U85,IF(D82-T83=0,T89,IF(T83-D82=U90+1,$AA$37,IF(T83-D82=U90+2,$Z$37,IF(D82&lt;T83,E86-(T89-$AB$37)/U90))))))))</f>
        <v>0.3000000000000001</v>
      </c>
      <c r="E86" s="286">
        <f>IF(E82-T83&gt;3,T88,IF(E82-T83=1,D86+S85,IF(E82-T83=2,D86+T85,IF(E82-T83=3,D86+U85,IF(E82-T83=0,T89,IF(T83-E82=U90+1,$AA$37,IF(T83-E82=U90+2,$Z$37,IF(E82&lt;T83,F86-(T89-$AB$37)/U90))))))))</f>
        <v>0.34000000000000008</v>
      </c>
      <c r="F86" s="286">
        <f>IF(F82-T83&gt;3,T88,IF(F82-T83=1,E86+S85,IF(F82-T83=2,E86+T85,IF(F82-T83=3,E86+U85,IF(F82-T83=0,T89,IF(T83-F82=U90+1,$AA$37,IF(T83-F82=U90+2,$Z$37,IF(F82&lt;T83,G86-(T89-$AB$37)/U90))))))))</f>
        <v>0.38000000000000006</v>
      </c>
      <c r="G86" s="286">
        <f>IF(G82-T83&gt;3,T88,IF(G82-T83=1,F86+S85,IF(G82-T83=2,F86+T85,IF(G82-T83=3,F86+U85,IF(G82-T83=0,T89,IF(T83-G82=U90+1,$AA$37,IF(T83-G82=U90+2,$Z$37,IF(G82&lt;T83,H86-(T89-$AB$37)/U90))))))))</f>
        <v>0.42000000000000004</v>
      </c>
      <c r="H86" s="286">
        <f>IF(H82-T83&gt;3,T88,IF(H82-T83=1,G86+S85,IF(H82-T83=2,G86+T85,IF(H82-T83=3,G86+U85,IF(H82-T83=0,T89,IF(T83-H82=U90+1,$AA$37,IF(T83-H82=U90+2,$Z$37,IF(H82&lt;T83,I86-(T89-$AB$37)/U90))))))))</f>
        <v>0.46</v>
      </c>
      <c r="I86" s="286">
        <f>IF(I82-T83&gt;3,T88,IF(I82-T83=1,H86+S85,IF(I82-T83=2,H86+T85,IF(I82-T83=3,H86+U85,IF(I82-T83=0,T89,IF(T83-I82=U90+1,$AA$37,IF(T83-I82=U90+2,$Z$37,IF(I82&lt;T83,J86-(T89-$AB$37)/U90))))))))</f>
        <v>0.5</v>
      </c>
      <c r="J86" s="286">
        <f>IF(J82-T83&gt;3,T88,IF(J82-T83=1,I86+S85,IF(J82-T83=2,I86+T85,IF(J82-T83=3,I86+U85,IF(J82-T83=0,T89,IF(T83-J82=U90+1,$AA$37,IF(T83-J82=U90+2,$Z$37,IF(J82&lt;T83,K86-(T89-$AB$37)/U90))))))))</f>
        <v>0.45</v>
      </c>
      <c r="K86" s="286">
        <f>IF(K82-T83&gt;3,T88,IF(K82-T83=1,J86+S85,IF(K82-T83=2,J86+T85,IF(K82-T83=3,J86+U85,IF(K82-T83=0,T89,IF(T83-K82=U90+1,$AA$37,IF(T83-K82=U90+2,$Z$37,IF(K82&lt;T83,L86-(T89-$AB$37)/U90))))))))</f>
        <v>0.42000000000000004</v>
      </c>
      <c r="L86" s="286">
        <f>IF(L82-T83&gt;3,T88,IF(L82-T83=1,K86+S85,IF(L82-T83=2,K86+T85,IF(L82-T83=3,K86+U85,IF(L82-T83=0,T89,IF(T83-L82=U90+1,$AA$37,IF(T83-L82=U90+2,$Z$37,IF(L82&lt;T83,M86-(T89-$AB$37)/U90))))))))</f>
        <v>0.39</v>
      </c>
      <c r="M86" s="286">
        <f>IF(M82-T83&gt;3,T88,IF(M82-T83=1,L86+S85,IF(M82-T83=2,L86+T85,IF(M82-T83=3,L86+U85,IF(M82-T83=0,T89,IF(T83-M82=U90+1,$AA$37,IF(T83-M82=U90+2,$Z$37,IF(M82&lt;T83,N86-(T89-$AB$37)/U90))))))))</f>
        <v>0.39</v>
      </c>
      <c r="N86" s="286">
        <f>IF(N82-T83&gt;3,T88,IF(N82-T83=1,M86+S85,IF(N82-T83=2,M86+T85,IF(N82-T83=3,M86+U85,IF(N82-T83=0,T89,IF(T83-N82=U90+1,$AA$37,IF(T83-N82=U90+2,$Z$37,IF(N82&lt;T83,O86-(T89-$AB$37)/U90))))))))</f>
        <v>0.39</v>
      </c>
      <c r="O86" s="286">
        <f>IF(O82-T83&gt;3,T88,IF(O82-T83=1,N86+S85,IF(O82-T83=2,N86+T85,IF(O82-T83=3,N86+U85,IF(O82-T83=0,T89,IF(T83-O82=U90+1,$AA$37,IF(T83-O82=U90+2,$Z$37,IF(O82&lt;T83,P86-(T89-$AB$37)/U90))))))))</f>
        <v>0.39</v>
      </c>
      <c r="P86" s="286">
        <f>IF(P82-T83&gt;3,T88,IF(P82-T83=1,O86+S85,IF(P82-T83=2,O86+T85,IF(P82-T83=3,O86+U85,IF(P82-T83=0,T89,IF(T83-P82=U90+1,$AA$37,IF(T83-P82=U90+2,$Z$37,IF(P82&lt;T83,Q86-(T89-$AB$37)/U90))))))))</f>
        <v>0.39</v>
      </c>
      <c r="Q86" s="286">
        <f>IF(Q82-T83&gt;3,T88,IF(Q82-T83=1,P86+S85,IF(Q82-T83=2,P86+T85,IF(Q82-T83=3,P86+U85,IF(Q82-T83=0,T89,IF(T83-Q82=U90+1,$AA$37,IF(T83-Q82=U90+2,$Z$37,IF(Q82&lt;T83,R86-(T89-$AB$37)/U90))))))))</f>
        <v>0.39</v>
      </c>
      <c r="S86" s="287" t="s">
        <v>739</v>
      </c>
      <c r="T86" s="213">
        <f>VLOOKUP(A82,$A$2:$H$19,7,0)</f>
        <v>399</v>
      </c>
      <c r="U86" s="256"/>
      <c r="V86" s="256"/>
    </row>
    <row r="87" spans="1:22">
      <c r="A87" s="270" t="s">
        <v>731</v>
      </c>
      <c r="B87" s="213">
        <f>B85*B88</f>
        <v>52.255963667329013</v>
      </c>
      <c r="C87" s="213">
        <f t="shared" ref="C87:Q87" si="68">C85*C88</f>
        <v>67.948339466766839</v>
      </c>
      <c r="D87" s="213">
        <f t="shared" si="68"/>
        <v>84.451048639000476</v>
      </c>
      <c r="E87" s="213">
        <f t="shared" si="68"/>
        <v>108.63353631952224</v>
      </c>
      <c r="F87" s="213">
        <f t="shared" si="68"/>
        <v>125.05637092782649</v>
      </c>
      <c r="G87" s="213">
        <f t="shared" si="68"/>
        <v>142.36680542994139</v>
      </c>
      <c r="H87" s="213">
        <f t="shared" si="68"/>
        <v>160.60331526834818</v>
      </c>
      <c r="I87" s="213">
        <f t="shared" si="68"/>
        <v>179.8058855721724</v>
      </c>
      <c r="J87" s="213">
        <f t="shared" si="68"/>
        <v>60.03923223933198</v>
      </c>
      <c r="K87" s="213">
        <f t="shared" si="68"/>
        <v>26.719518032781423</v>
      </c>
      <c r="L87" s="213">
        <f t="shared" si="68"/>
        <v>12.405490515219945</v>
      </c>
      <c r="M87" s="213">
        <f t="shared" si="68"/>
        <v>11.164941463697952</v>
      </c>
      <c r="N87" s="213">
        <f t="shared" si="68"/>
        <v>10.048447317328154</v>
      </c>
      <c r="O87" s="213">
        <f t="shared" si="68"/>
        <v>9.0436025855953392</v>
      </c>
      <c r="P87" s="213">
        <f t="shared" si="68"/>
        <v>8.1392423270358059</v>
      </c>
      <c r="Q87" s="213">
        <f t="shared" si="68"/>
        <v>7.3253180943322249</v>
      </c>
      <c r="S87" s="287" t="s">
        <v>740</v>
      </c>
      <c r="T87" s="256">
        <f>VLOOKUP(A82,$A$2:$H$19,8,0)</f>
        <v>2010</v>
      </c>
      <c r="U87" s="256"/>
      <c r="V87" s="256"/>
    </row>
    <row r="88" spans="1:22">
      <c r="A88" s="270" t="s">
        <v>635</v>
      </c>
      <c r="B88" s="196">
        <f>'P&amp;L'!G$120</f>
        <v>0.1455435708203236</v>
      </c>
      <c r="C88" s="196">
        <f>'P&amp;L'!H$120</f>
        <v>0.15028163725122043</v>
      </c>
      <c r="D88" s="196">
        <f>'P&amp;L'!I$120</f>
        <v>0.15290792800832961</v>
      </c>
      <c r="E88" s="196">
        <f>'P&amp;L'!J$120</f>
        <v>0.16</v>
      </c>
      <c r="F88" s="196">
        <f>'P&amp;L'!K$120</f>
        <v>0.16</v>
      </c>
      <c r="G88" s="196">
        <f>'P&amp;L'!L$120</f>
        <v>0.16</v>
      </c>
      <c r="H88" s="196">
        <f>'P&amp;L'!M$120</f>
        <v>0.16</v>
      </c>
      <c r="I88" s="196">
        <f>'P&amp;L'!N$120</f>
        <v>0.16</v>
      </c>
      <c r="J88" s="196">
        <f>'P&amp;L'!O$120</f>
        <v>0.16</v>
      </c>
      <c r="K88" s="196">
        <f>'P&amp;L'!P$120</f>
        <v>0.16</v>
      </c>
      <c r="L88" s="196">
        <f>'P&amp;L'!Q$120</f>
        <v>0.16</v>
      </c>
      <c r="M88" s="196">
        <f t="shared" ref="M88" si="69">L88</f>
        <v>0.16</v>
      </c>
      <c r="N88" s="196">
        <f t="shared" ref="N88" si="70">M88</f>
        <v>0.16</v>
      </c>
      <c r="O88" s="196">
        <f t="shared" ref="O88" si="71">N88</f>
        <v>0.16</v>
      </c>
      <c r="P88" s="196">
        <f t="shared" ref="P88" si="72">O88</f>
        <v>0.16</v>
      </c>
      <c r="Q88" s="196">
        <f t="shared" ref="Q88" si="73">P88</f>
        <v>0.16</v>
      </c>
      <c r="S88" s="287" t="s">
        <v>741</v>
      </c>
      <c r="T88" s="288">
        <f>IF(Q82-T83&gt;3,IF(AND(S83&lt;$X$42,S83&lt;$X$43,S83&lt;$X$44),$AA$45,IF(AND(S83&lt;$X$42,S83&lt;$X$43),$AA$44,IF(S83&lt;$X$42,$AA$43,$AA$42))))</f>
        <v>0.39</v>
      </c>
      <c r="U88" s="256"/>
      <c r="V88" s="256"/>
    </row>
    <row r="89" spans="1:22">
      <c r="A89" s="256" t="s">
        <v>732</v>
      </c>
      <c r="B89" s="213">
        <f>B85-B87</f>
        <v>306.78403633267118</v>
      </c>
      <c r="C89" s="213">
        <f t="shared" ref="C89:Q89" si="74">C85-C87</f>
        <v>384.1916605332334</v>
      </c>
      <c r="D89" s="213">
        <f t="shared" si="74"/>
        <v>467.84895136099971</v>
      </c>
      <c r="E89" s="213">
        <f t="shared" si="74"/>
        <v>570.32606567749167</v>
      </c>
      <c r="F89" s="213">
        <f t="shared" si="74"/>
        <v>656.54594737108903</v>
      </c>
      <c r="G89" s="213">
        <f t="shared" si="74"/>
        <v>747.42572850719239</v>
      </c>
      <c r="H89" s="213">
        <f t="shared" si="74"/>
        <v>843.16740515882793</v>
      </c>
      <c r="I89" s="213">
        <f t="shared" si="74"/>
        <v>943.98089925390514</v>
      </c>
      <c r="J89" s="213">
        <f t="shared" si="74"/>
        <v>315.20596925649289</v>
      </c>
      <c r="K89" s="213">
        <f t="shared" si="74"/>
        <v>140.27746967210246</v>
      </c>
      <c r="L89" s="213">
        <f t="shared" si="74"/>
        <v>65.1288252049047</v>
      </c>
      <c r="M89" s="213">
        <f t="shared" si="74"/>
        <v>58.615942684414243</v>
      </c>
      <c r="N89" s="213">
        <f t="shared" si="74"/>
        <v>52.754348415972814</v>
      </c>
      <c r="O89" s="213">
        <f t="shared" si="74"/>
        <v>47.478913574375532</v>
      </c>
      <c r="P89" s="213">
        <f t="shared" si="74"/>
        <v>42.731022216937973</v>
      </c>
      <c r="Q89" s="213">
        <f t="shared" si="74"/>
        <v>38.457919995244183</v>
      </c>
      <c r="S89" s="287" t="s">
        <v>742</v>
      </c>
      <c r="T89" s="288">
        <f>IF(S83&gt;$X$42,$Z$42,IF(S83&gt;$X$43,$Z$43,IF(S83&gt;$X$44,$Z$44,$Z$45)))</f>
        <v>0.5</v>
      </c>
      <c r="U89" s="256"/>
      <c r="V89" s="256"/>
    </row>
    <row r="90" spans="1:22">
      <c r="A90" s="270" t="s">
        <v>607</v>
      </c>
      <c r="B90" s="277">
        <f>B89</f>
        <v>306.78403633267118</v>
      </c>
      <c r="C90" s="277">
        <f t="shared" ref="C90:Q90" si="75">C89</f>
        <v>384.1916605332334</v>
      </c>
      <c r="D90" s="277">
        <f t="shared" si="75"/>
        <v>467.84895136099971</v>
      </c>
      <c r="E90" s="277">
        <f t="shared" si="75"/>
        <v>570.32606567749167</v>
      </c>
      <c r="F90" s="277">
        <f t="shared" si="75"/>
        <v>656.54594737108903</v>
      </c>
      <c r="G90" s="277">
        <f t="shared" si="75"/>
        <v>747.42572850719239</v>
      </c>
      <c r="H90" s="277">
        <f t="shared" si="75"/>
        <v>843.16740515882793</v>
      </c>
      <c r="I90" s="277">
        <f t="shared" si="75"/>
        <v>943.98089925390514</v>
      </c>
      <c r="J90" s="277">
        <f t="shared" si="75"/>
        <v>315.20596925649289</v>
      </c>
      <c r="K90" s="277">
        <f t="shared" si="75"/>
        <v>140.27746967210246</v>
      </c>
      <c r="L90" s="277">
        <f t="shared" si="75"/>
        <v>65.1288252049047</v>
      </c>
      <c r="M90" s="277">
        <f t="shared" si="75"/>
        <v>58.615942684414243</v>
      </c>
      <c r="N90" s="277">
        <f t="shared" si="75"/>
        <v>52.754348415972814</v>
      </c>
      <c r="O90" s="277">
        <f t="shared" si="75"/>
        <v>47.478913574375532</v>
      </c>
      <c r="P90" s="277">
        <f t="shared" si="75"/>
        <v>42.731022216937973</v>
      </c>
      <c r="Q90" s="277">
        <f t="shared" si="75"/>
        <v>38.457919995244183</v>
      </c>
      <c r="S90" s="287" t="s">
        <v>743</v>
      </c>
      <c r="T90" s="256">
        <f>T83-T87</f>
        <v>12</v>
      </c>
      <c r="U90" s="256">
        <f>T90-2</f>
        <v>10</v>
      </c>
      <c r="V90" s="256"/>
    </row>
    <row r="91" spans="1:22">
      <c r="A91" s="279" t="s">
        <v>733</v>
      </c>
      <c r="B91" s="280">
        <f t="shared" ref="B91:Q91" si="76">B90*B$45</f>
        <v>0</v>
      </c>
      <c r="C91" s="280">
        <f t="shared" si="76"/>
        <v>0</v>
      </c>
      <c r="D91" s="280">
        <f t="shared" si="76"/>
        <v>0</v>
      </c>
      <c r="E91" s="280">
        <f t="shared" ca="1" si="76"/>
        <v>542.98460387680666</v>
      </c>
      <c r="F91" s="280">
        <f t="shared" ca="1" si="76"/>
        <v>582.78635033932449</v>
      </c>
      <c r="G91" s="280">
        <f t="shared" ca="1" si="76"/>
        <v>618.57482591230689</v>
      </c>
      <c r="H91" s="280">
        <f t="shared" ca="1" si="76"/>
        <v>650.60584288305836</v>
      </c>
      <c r="I91" s="280">
        <f t="shared" ca="1" si="76"/>
        <v>679.12123169402287</v>
      </c>
      <c r="J91" s="280">
        <f t="shared" ca="1" si="76"/>
        <v>211.426045345369</v>
      </c>
      <c r="K91" s="280">
        <f t="shared" ca="1" si="76"/>
        <v>87.726727342776954</v>
      </c>
      <c r="L91" s="280">
        <f t="shared" ca="1" si="76"/>
        <v>37.974949138489485</v>
      </c>
      <c r="M91" s="280">
        <f t="shared" ca="1" si="76"/>
        <v>31.865421094435195</v>
      </c>
      <c r="N91" s="280">
        <f t="shared" ca="1" si="76"/>
        <v>26.738812942780541</v>
      </c>
      <c r="O91" s="280">
        <f t="shared" ca="1" si="76"/>
        <v>22.436989471131309</v>
      </c>
      <c r="P91" s="280">
        <f t="shared" ca="1" si="76"/>
        <v>18.827256752382493</v>
      </c>
      <c r="Q91" s="280">
        <f t="shared" ca="1" si="76"/>
        <v>15.798269071535087</v>
      </c>
      <c r="S91" s="289" t="s">
        <v>744</v>
      </c>
      <c r="T91" s="288">
        <f>VLOOKUP(S91,$Y$32:$AB$34,2,0)</f>
        <v>-0.7</v>
      </c>
      <c r="U91" s="288">
        <f>VLOOKUP(S91,$Y$32:$AB$34,3,0)</f>
        <v>-0.35</v>
      </c>
      <c r="V91" s="288">
        <f>VLOOKUP(S91,$Y$32:$AB$34,4,0)</f>
        <v>-0.1</v>
      </c>
    </row>
    <row r="92" spans="1:22">
      <c r="A92" s="270" t="s">
        <v>734</v>
      </c>
      <c r="B92" s="213">
        <f ca="1">SUM(B91:Q91)</f>
        <v>3526.8673258644194</v>
      </c>
      <c r="C92" s="277"/>
      <c r="D92" s="277"/>
      <c r="E92" s="277"/>
      <c r="F92" s="277"/>
      <c r="G92" s="277"/>
      <c r="H92" s="277"/>
      <c r="I92" s="277"/>
      <c r="J92" s="277"/>
      <c r="K92" s="277"/>
      <c r="L92" s="277"/>
      <c r="M92" s="277"/>
      <c r="N92" s="256"/>
      <c r="O92" s="256"/>
      <c r="P92" s="256"/>
      <c r="Q92" s="256"/>
    </row>
    <row r="93" spans="1:22">
      <c r="A93" s="281" t="s">
        <v>735</v>
      </c>
      <c r="B93" s="213">
        <f ca="1">(Q90*(1+C93))/(DCF!$H$31-NPV!C93)*NPV!$Q$45</f>
        <v>122.46102968038088</v>
      </c>
      <c r="C93" s="286">
        <v>-0.05</v>
      </c>
      <c r="D93" s="277"/>
      <c r="E93" s="277"/>
      <c r="F93" s="277"/>
      <c r="G93" s="277"/>
      <c r="H93" s="277"/>
      <c r="I93" s="277"/>
      <c r="J93" s="277"/>
      <c r="K93" s="277"/>
      <c r="L93" s="277"/>
      <c r="M93" s="277"/>
      <c r="N93" s="256"/>
      <c r="O93" s="256"/>
      <c r="P93" s="256"/>
      <c r="Q93" s="256"/>
    </row>
    <row r="94" spans="1:22">
      <c r="A94" s="281" t="s">
        <v>736</v>
      </c>
      <c r="B94" s="213">
        <f ca="1">SUM(B92:B93)/DCF!$C$30</f>
        <v>1.5555534337360615</v>
      </c>
      <c r="C94" s="283"/>
      <c r="D94" s="283"/>
      <c r="E94" s="283"/>
      <c r="F94" s="283"/>
      <c r="G94" s="283"/>
      <c r="H94" s="283"/>
      <c r="I94" s="283"/>
      <c r="J94" s="283"/>
      <c r="K94" s="283"/>
      <c r="L94" s="283"/>
      <c r="M94" s="256"/>
      <c r="N94" s="256"/>
      <c r="O94" s="256"/>
      <c r="P94" s="256"/>
      <c r="Q94" s="256"/>
    </row>
    <row r="95" spans="1:22">
      <c r="A95" s="284" t="s">
        <v>737</v>
      </c>
      <c r="B95" s="285">
        <f ca="1">B94/DCF!$H$24</f>
        <v>1.5102460521709333</v>
      </c>
    </row>
    <row r="97" spans="1:22">
      <c r="A97" s="265" t="s">
        <v>416</v>
      </c>
      <c r="B97" s="266">
        <v>2015</v>
      </c>
      <c r="C97" s="266">
        <v>2016</v>
      </c>
      <c r="D97" s="266">
        <v>2017</v>
      </c>
      <c r="E97" s="266">
        <v>2018</v>
      </c>
      <c r="F97" s="266">
        <v>2019</v>
      </c>
      <c r="G97" s="266">
        <v>2020</v>
      </c>
      <c r="H97" s="266">
        <v>2021</v>
      </c>
      <c r="I97" s="266">
        <v>2022</v>
      </c>
      <c r="J97" s="266">
        <v>2023</v>
      </c>
      <c r="K97" s="266">
        <v>2024</v>
      </c>
      <c r="L97" s="266">
        <v>2025</v>
      </c>
      <c r="M97" s="266">
        <v>2026</v>
      </c>
      <c r="N97" s="266">
        <v>2027</v>
      </c>
      <c r="O97" s="266">
        <v>2028</v>
      </c>
      <c r="P97" s="266">
        <v>2029</v>
      </c>
      <c r="Q97" s="267">
        <v>2030</v>
      </c>
      <c r="S97" s="256" t="s">
        <v>709</v>
      </c>
      <c r="T97" s="256" t="s">
        <v>710</v>
      </c>
      <c r="U97" s="256"/>
      <c r="V97" s="256"/>
    </row>
    <row r="98" spans="1:22">
      <c r="A98" s="268" t="s">
        <v>729</v>
      </c>
      <c r="B98" s="269">
        <f>Sales!G74</f>
        <v>1607</v>
      </c>
      <c r="C98" s="269">
        <f>Sales!H74</f>
        <v>1516</v>
      </c>
      <c r="D98" s="269">
        <f>Sales!I74</f>
        <v>1525</v>
      </c>
      <c r="E98" s="269">
        <f>Sales!J74</f>
        <v>1476.6615714175678</v>
      </c>
      <c r="F98" s="269">
        <f>Sales!K74</f>
        <v>1103.5242571340543</v>
      </c>
      <c r="G98" s="269">
        <f>Sales!L74</f>
        <v>609.07647999383801</v>
      </c>
      <c r="H98" s="269">
        <f>Sales!M74</f>
        <v>360.99733599568663</v>
      </c>
      <c r="I98" s="269">
        <f>Sales!N74</f>
        <v>288.79786879654927</v>
      </c>
      <c r="J98" s="269">
        <f>Sales!O74</f>
        <v>259.91808191689438</v>
      </c>
      <c r="K98" s="269">
        <f>Sales!P74</f>
        <v>233.92627372520494</v>
      </c>
      <c r="L98" s="269">
        <f>Sales!Q74</f>
        <v>210.53364635268446</v>
      </c>
      <c r="M98" s="269">
        <f t="shared" ref="M98:Q98" si="77">L98*(1+M99)</f>
        <v>189.48028171741601</v>
      </c>
      <c r="N98" s="269">
        <f t="shared" si="77"/>
        <v>170.53225354567442</v>
      </c>
      <c r="O98" s="269">
        <f t="shared" si="77"/>
        <v>153.47902819110698</v>
      </c>
      <c r="P98" s="269">
        <f t="shared" si="77"/>
        <v>138.13112537199629</v>
      </c>
      <c r="Q98" s="269">
        <f t="shared" si="77"/>
        <v>124.31801283479666</v>
      </c>
      <c r="S98" s="213">
        <f>VLOOKUP(A97,$A$2:$H$19,5,0)</f>
        <v>1607</v>
      </c>
      <c r="T98" s="256">
        <f>VLOOKUP(A97,$A$2:$H$19,6,0)</f>
        <v>2015</v>
      </c>
      <c r="U98" s="256"/>
      <c r="V98" s="256"/>
    </row>
    <row r="99" spans="1:22">
      <c r="A99" s="270" t="s">
        <v>579</v>
      </c>
      <c r="B99" s="271"/>
      <c r="C99" s="271">
        <f t="shared" ref="C99" si="78">C98/B98-1</f>
        <v>-5.6627255756067196E-2</v>
      </c>
      <c r="D99" s="271">
        <f t="shared" ref="D99" si="79">D98/C98-1</f>
        <v>5.9366754617413697E-3</v>
      </c>
      <c r="E99" s="271">
        <f t="shared" ref="E99" si="80">E98/D98-1</f>
        <v>-3.1697330217988373E-2</v>
      </c>
      <c r="F99" s="271">
        <f t="shared" ref="F99" si="81">F98/E98-1</f>
        <v>-0.25268979805935388</v>
      </c>
      <c r="G99" s="271">
        <f t="shared" ref="G99" si="82">G98/F98-1</f>
        <v>-0.44806244533703221</v>
      </c>
      <c r="H99" s="271">
        <f t="shared" ref="H99" si="83">H98/G98-1</f>
        <v>-0.40730376585984929</v>
      </c>
      <c r="I99" s="271">
        <f t="shared" ref="I99" si="84">I98/H98-1</f>
        <v>-0.20000000000000007</v>
      </c>
      <c r="J99" s="271">
        <f t="shared" ref="J99" si="85">J98/I98-1</f>
        <v>-9.9999999999999867E-2</v>
      </c>
      <c r="K99" s="271">
        <f t="shared" ref="K99" si="86">K98/J98-1</f>
        <v>-9.9999999999999978E-2</v>
      </c>
      <c r="L99" s="271">
        <f t="shared" ref="L99" si="87">L98/K98-1</f>
        <v>-9.9999999999999978E-2</v>
      </c>
      <c r="M99" s="272">
        <v>-0.1</v>
      </c>
      <c r="N99" s="272">
        <v>-0.1</v>
      </c>
      <c r="O99" s="272">
        <v>-0.1</v>
      </c>
      <c r="P99" s="272">
        <v>-0.1</v>
      </c>
      <c r="Q99" s="272">
        <v>-0.1</v>
      </c>
      <c r="S99" s="256" t="s">
        <v>738</v>
      </c>
      <c r="T99" s="256"/>
      <c r="U99" s="256"/>
      <c r="V99" s="256"/>
    </row>
    <row r="100" spans="1:22">
      <c r="A100" s="273" t="s">
        <v>730</v>
      </c>
      <c r="B100" s="274">
        <f t="shared" ref="B100:Q100" si="88">B98*B101</f>
        <v>803.5</v>
      </c>
      <c r="C100" s="274">
        <f t="shared" si="88"/>
        <v>682.2</v>
      </c>
      <c r="D100" s="274">
        <f t="shared" si="88"/>
        <v>640.50000000000011</v>
      </c>
      <c r="E100" s="274">
        <f t="shared" si="88"/>
        <v>575.89801285285148</v>
      </c>
      <c r="F100" s="274">
        <f t="shared" si="88"/>
        <v>430.37446028228118</v>
      </c>
      <c r="G100" s="274">
        <f t="shared" si="88"/>
        <v>237.53982719759682</v>
      </c>
      <c r="H100" s="274">
        <f t="shared" si="88"/>
        <v>140.78896103831778</v>
      </c>
      <c r="I100" s="274">
        <f t="shared" si="88"/>
        <v>112.63116883065422</v>
      </c>
      <c r="J100" s="274">
        <f t="shared" si="88"/>
        <v>101.36805194758881</v>
      </c>
      <c r="K100" s="274">
        <f t="shared" si="88"/>
        <v>91.231246752829932</v>
      </c>
      <c r="L100" s="274">
        <f t="shared" si="88"/>
        <v>82.108122077546938</v>
      </c>
      <c r="M100" s="274">
        <f t="shared" si="88"/>
        <v>73.897309869792238</v>
      </c>
      <c r="N100" s="274">
        <f t="shared" si="88"/>
        <v>66.507578882813021</v>
      </c>
      <c r="O100" s="274">
        <f t="shared" si="88"/>
        <v>59.856820994531724</v>
      </c>
      <c r="P100" s="274">
        <f t="shared" si="88"/>
        <v>53.871138895078552</v>
      </c>
      <c r="Q100" s="274">
        <f t="shared" si="88"/>
        <v>48.4840250055707</v>
      </c>
      <c r="S100" s="282">
        <f>IF(S98&gt;$X$39,$Z$39,$Z$40)</f>
        <v>-0.05</v>
      </c>
      <c r="T100" s="282">
        <f>IF(S98&gt;$X$39,$AA$39,$AA$40)</f>
        <v>-0.03</v>
      </c>
      <c r="U100" s="282">
        <f>IF(S98&gt;$X$39,$AB$39,$AB$40)</f>
        <v>-0.03</v>
      </c>
      <c r="V100" s="256"/>
    </row>
    <row r="101" spans="1:22">
      <c r="A101" s="270" t="s">
        <v>580</v>
      </c>
      <c r="B101" s="286">
        <f>IF(B97-T98&gt;3,T103,IF(B97-T98=1,45%+S100,IF(B97-T98=2,A101+T100,IF(B97-T98=3,A101+U100,IF(B97-T98=0,T104,IF(T98-B97=U105+1,$AA$37,IF(T98-B97=U105+2,$Z$37,IF(B97&lt;T98,C101-(T104-$AB$37)/U105))))))))</f>
        <v>0.5</v>
      </c>
      <c r="C101" s="286">
        <f>IF(C97-T98&gt;3,T103,IF(C97-T98=1,B101+S100,IF(C97-T98=2,B101+T100,IF(C97-T98=3,B101+U100,IF(C97-T98=0,T104,IF(T98-C97=U105+1,$AA$37,IF(T98-C97=U105+2,$Z$37,IF(C97&lt;T98,D101-(T104-$AB$37)/U105))))))))</f>
        <v>0.45</v>
      </c>
      <c r="D101" s="286">
        <f>IF(D97-T98&gt;3,T103,IF(D97-T98=1,C101+S100,IF(D97-T98=2,C101+T100,IF(D97-T98=3,C101+U100,IF(D97-T98=0,T104,IF(T98-D97=U105+1,$AA$37,IF(T98-D97=U105+2,$Z$37,IF(D97&lt;T98,E101-(T104-$AB$37)/U105))))))))</f>
        <v>0.42000000000000004</v>
      </c>
      <c r="E101" s="286">
        <f>IF(E97-T98&gt;3,T103,IF(E97-T98=1,D101+S100,IF(E97-T98=2,D101+T100,IF(E97-T98=3,D101+U100,IF(E97-T98=0,T104,IF(T98-E97=U105+1,$AA$37,IF(T98-E97=U105+2,$Z$37,IF(E97&lt;T98,F101-(T104-$AB$37)/U105))))))))</f>
        <v>0.39</v>
      </c>
      <c r="F101" s="286">
        <f>IF(F97-T98&gt;3,T103,IF(F97-T98=1,E101+S100,IF(F97-T98=2,E101+T100,IF(F97-T98=3,E101+U100,IF(F97-T98=0,T104,IF(T98-F97=U105+1,$AA$37,IF(T98-F97=U105+2,$Z$37,IF(F97&lt;T98,G101-(T104-$AB$37)/U105))))))))</f>
        <v>0.39</v>
      </c>
      <c r="G101" s="286">
        <f>IF(G97-T98&gt;3,T103,IF(G97-T98=1,F101+S100,IF(G97-T98=2,F101+T100,IF(G97-T98=3,F101+U100,IF(G97-T98=0,T104,IF(T98-G97=U105+1,$AA$37,IF(T98-G97=U105+2,$Z$37,IF(G97&lt;T98,H101-(T104-$AB$37)/U105))))))))</f>
        <v>0.39</v>
      </c>
      <c r="H101" s="286">
        <f>IF(H97-T98&gt;3,T103,IF(H97-T98=1,G101+S100,IF(H97-T98=2,G101+T100,IF(H97-T98=3,G101+U100,IF(H97-T98=0,T104,IF(T98-H97=U105+1,$AA$37,IF(T98-H97=U105+2,$Z$37,IF(H97&lt;T98,I101-(T104-$AB$37)/U105))))))))</f>
        <v>0.39</v>
      </c>
      <c r="I101" s="286">
        <f>IF(I97-T98&gt;3,T103,IF(I97-T98=1,H101+S100,IF(I97-T98=2,H101+T100,IF(I97-T98=3,H101+U100,IF(I97-T98=0,T104,IF(T98-I97=U105+1,$AA$37,IF(T98-I97=U105+2,$Z$37,IF(I97&lt;T98,J101-(T104-$AB$37)/U105))))))))</f>
        <v>0.39</v>
      </c>
      <c r="J101" s="286">
        <f>IF(J97-T98&gt;3,T103,IF(J97-T98=1,I101+S100,IF(J97-T98=2,I101+T100,IF(J97-T98=3,I101+U100,IF(J97-T98=0,T104,IF(T98-J97=U105+1,$AA$37,IF(T98-J97=U105+2,$Z$37,IF(J97&lt;T98,K101-(T104-$AB$37)/U105))))))))</f>
        <v>0.39</v>
      </c>
      <c r="K101" s="286">
        <f>IF(K97-T98&gt;3,T103,IF(K97-T98=1,J101+S100,IF(K97-T98=2,J101+T100,IF(K97-T98=3,J101+U100,IF(K97-T98=0,T104,IF(T98-K97=U105+1,$AA$37,IF(T98-K97=U105+2,$Z$37,IF(K97&lt;T98,L101-(T104-$AB$37)/U105))))))))</f>
        <v>0.39</v>
      </c>
      <c r="L101" s="286">
        <f>IF(L97-T98&gt;3,T103,IF(L97-T98=1,K101+S100,IF(L97-T98=2,K101+T100,IF(L97-T98=3,K101+U100,IF(L97-T98=0,T104,IF(T98-L97=U105+1,$AA$37,IF(T98-L97=U105+2,$Z$37,IF(L97&lt;T98,M101-(T104-$AB$37)/U105))))))))</f>
        <v>0.39</v>
      </c>
      <c r="M101" s="286">
        <f>IF(M97-T98&gt;3,T103,IF(M97-T98=1,L101+S100,IF(M97-T98=2,L101+T100,IF(M97-T98=3,L101+U100,IF(M97-T98=0,T104,IF(T98-M97=U105+1,$AA$37,IF(T98-M97=U105+2,$Z$37,IF(M97&lt;T98,N101-(T104-$AB$37)/U105))))))))</f>
        <v>0.39</v>
      </c>
      <c r="N101" s="286">
        <f>IF(N97-T98&gt;3,T103,IF(N97-T98=1,M101+S100,IF(N97-T98=2,M101+T100,IF(N97-T98=3,M101+U100,IF(N97-T98=0,T104,IF(T98-N97=U105+1,$AA$37,IF(T98-N97=U105+2,$Z$37,IF(N97&lt;T98,O101-(T104-$AB$37)/U105))))))))</f>
        <v>0.39</v>
      </c>
      <c r="O101" s="286">
        <f>IF(O97-T98&gt;3,T103,IF(O97-T98=1,N101+S100,IF(O97-T98=2,N101+T100,IF(O97-T98=3,N101+U100,IF(O97-T98=0,T104,IF(T98-O97=U105+1,$AA$37,IF(T98-O97=U105+2,$Z$37,IF(O97&lt;T98,P101-(T104-$AB$37)/U105))))))))</f>
        <v>0.39</v>
      </c>
      <c r="P101" s="286">
        <f>IF(P97-T98&gt;3,T103,IF(P97-T98=1,O101+S100,IF(P97-T98=2,O101+T100,IF(P97-T98=3,O101+U100,IF(P97-T98=0,T104,IF(T98-P97=U105+1,$AA$37,IF(T98-P97=U105+2,$Z$37,IF(P97&lt;T98,Q101-(T104-$AB$37)/U105))))))))</f>
        <v>0.39</v>
      </c>
      <c r="Q101" s="286">
        <f>IF(Q97-T98&gt;3,T103,IF(Q97-T98=1,P101+S100,IF(Q97-T98=2,P101+T100,IF(Q97-T98=3,P101+U100,IF(Q97-T98=0,T104,IF(T98-Q97=U105+1,$AA$37,IF(T98-Q97=U105+2,$Z$37,IF(Q97&lt;T98,R101-(T104-$AB$37)/U105))))))))</f>
        <v>0.39</v>
      </c>
      <c r="S101" s="287" t="s">
        <v>739</v>
      </c>
      <c r="T101" s="213">
        <f>VLOOKUP(A97,$A$2:$H$19,7,0)</f>
        <v>243</v>
      </c>
      <c r="U101" s="256"/>
      <c r="V101" s="256"/>
    </row>
    <row r="102" spans="1:22">
      <c r="A102" s="270" t="s">
        <v>731</v>
      </c>
      <c r="B102" s="213">
        <f>B100*B103</f>
        <v>116.94425915413001</v>
      </c>
      <c r="C102" s="213">
        <f t="shared" ref="C102:Q102" si="89">C100*C103</f>
        <v>102.52213293278258</v>
      </c>
      <c r="D102" s="213">
        <f t="shared" si="89"/>
        <v>97.937527889335129</v>
      </c>
      <c r="E102" s="213">
        <f t="shared" si="89"/>
        <v>92.143682056456242</v>
      </c>
      <c r="F102" s="213">
        <f t="shared" si="89"/>
        <v>68.859913645164994</v>
      </c>
      <c r="G102" s="213">
        <f t="shared" si="89"/>
        <v>38.006372351615489</v>
      </c>
      <c r="H102" s="213">
        <f t="shared" si="89"/>
        <v>22.526233766130844</v>
      </c>
      <c r="I102" s="213">
        <f t="shared" si="89"/>
        <v>18.020987012904676</v>
      </c>
      <c r="J102" s="213">
        <f t="shared" si="89"/>
        <v>16.218888311614212</v>
      </c>
      <c r="K102" s="213">
        <f t="shared" si="89"/>
        <v>14.596999480452789</v>
      </c>
      <c r="L102" s="213">
        <f t="shared" si="89"/>
        <v>13.137299532407511</v>
      </c>
      <c r="M102" s="213">
        <f t="shared" si="89"/>
        <v>11.823569579166758</v>
      </c>
      <c r="N102" s="213">
        <f t="shared" si="89"/>
        <v>10.641212621250084</v>
      </c>
      <c r="O102" s="213">
        <f t="shared" si="89"/>
        <v>9.5770913591250757</v>
      </c>
      <c r="P102" s="213">
        <f t="shared" si="89"/>
        <v>8.6193822232125683</v>
      </c>
      <c r="Q102" s="213">
        <f t="shared" si="89"/>
        <v>7.7574440008913124</v>
      </c>
      <c r="S102" s="287" t="s">
        <v>740</v>
      </c>
      <c r="T102" s="256">
        <f>VLOOKUP(A97,$A$2:$H$19,8,0)</f>
        <v>2010</v>
      </c>
      <c r="U102" s="256"/>
      <c r="V102" s="256"/>
    </row>
    <row r="103" spans="1:22">
      <c r="A103" s="270" t="s">
        <v>635</v>
      </c>
      <c r="B103" s="196">
        <f>'P&amp;L'!G$120</f>
        <v>0.1455435708203236</v>
      </c>
      <c r="C103" s="196">
        <f>'P&amp;L'!H$120</f>
        <v>0.15028163725122043</v>
      </c>
      <c r="D103" s="196">
        <f>'P&amp;L'!I$120</f>
        <v>0.15290792800832961</v>
      </c>
      <c r="E103" s="196">
        <f>'P&amp;L'!J$120</f>
        <v>0.16</v>
      </c>
      <c r="F103" s="196">
        <f>'P&amp;L'!K$120</f>
        <v>0.16</v>
      </c>
      <c r="G103" s="196">
        <f>'P&amp;L'!L$120</f>
        <v>0.16</v>
      </c>
      <c r="H103" s="196">
        <f>'P&amp;L'!M$120</f>
        <v>0.16</v>
      </c>
      <c r="I103" s="196">
        <f>'P&amp;L'!N$120</f>
        <v>0.16</v>
      </c>
      <c r="J103" s="196">
        <f>'P&amp;L'!O$120</f>
        <v>0.16</v>
      </c>
      <c r="K103" s="196">
        <f>'P&amp;L'!P$120</f>
        <v>0.16</v>
      </c>
      <c r="L103" s="196">
        <f>'P&amp;L'!Q$120</f>
        <v>0.16</v>
      </c>
      <c r="M103" s="196">
        <f t="shared" ref="M103" si="90">L103</f>
        <v>0.16</v>
      </c>
      <c r="N103" s="196">
        <f t="shared" ref="N103" si="91">M103</f>
        <v>0.16</v>
      </c>
      <c r="O103" s="196">
        <f t="shared" ref="O103" si="92">N103</f>
        <v>0.16</v>
      </c>
      <c r="P103" s="196">
        <f t="shared" ref="P103" si="93">O103</f>
        <v>0.16</v>
      </c>
      <c r="Q103" s="196">
        <f t="shared" ref="Q103" si="94">P103</f>
        <v>0.16</v>
      </c>
      <c r="S103" s="287" t="s">
        <v>741</v>
      </c>
      <c r="T103" s="288">
        <f>IF(Q97-T98&gt;3,IF(AND(S98&lt;$X$42,S98&lt;$X$43,S98&lt;$X$44),$AA$45,IF(AND(S98&lt;$X$42,S98&lt;$X$43),$AA$44,IF(S98&lt;$X$42,$AA$43,$AA$42))))</f>
        <v>0.39</v>
      </c>
      <c r="U103" s="256"/>
      <c r="V103" s="256"/>
    </row>
    <row r="104" spans="1:22">
      <c r="A104" s="256" t="s">
        <v>732</v>
      </c>
      <c r="B104" s="213">
        <f>B100-B102</f>
        <v>686.55574084586999</v>
      </c>
      <c r="C104" s="213">
        <f t="shared" ref="C104:Q104" si="95">C100-C102</f>
        <v>579.67786706721745</v>
      </c>
      <c r="D104" s="213">
        <f t="shared" si="95"/>
        <v>542.562472110665</v>
      </c>
      <c r="E104" s="213">
        <f t="shared" si="95"/>
        <v>483.75433079639527</v>
      </c>
      <c r="F104" s="213">
        <f t="shared" si="95"/>
        <v>361.51454663711615</v>
      </c>
      <c r="G104" s="213">
        <f t="shared" si="95"/>
        <v>199.53345484598134</v>
      </c>
      <c r="H104" s="213">
        <f t="shared" si="95"/>
        <v>118.26272727218694</v>
      </c>
      <c r="I104" s="213">
        <f t="shared" si="95"/>
        <v>94.610181817749549</v>
      </c>
      <c r="J104" s="213">
        <f t="shared" si="95"/>
        <v>85.149163635974602</v>
      </c>
      <c r="K104" s="213">
        <f t="shared" si="95"/>
        <v>76.634247272377138</v>
      </c>
      <c r="L104" s="213">
        <f t="shared" si="95"/>
        <v>68.970822545139427</v>
      </c>
      <c r="M104" s="213">
        <f t="shared" si="95"/>
        <v>62.07374029062548</v>
      </c>
      <c r="N104" s="213">
        <f t="shared" si="95"/>
        <v>55.866366261562938</v>
      </c>
      <c r="O104" s="213">
        <f t="shared" si="95"/>
        <v>50.279729635406646</v>
      </c>
      <c r="P104" s="213">
        <f t="shared" si="95"/>
        <v>45.251756671865984</v>
      </c>
      <c r="Q104" s="213">
        <f t="shared" si="95"/>
        <v>40.726581004679389</v>
      </c>
      <c r="S104" s="287" t="s">
        <v>742</v>
      </c>
      <c r="T104" s="288">
        <f>IF(S98&gt;$X$42,$Z$42,IF(S98&gt;$X$43,$Z$43,IF(S98&gt;$X$44,$Z$44,$Z$45)))</f>
        <v>0.5</v>
      </c>
      <c r="U104" s="256"/>
      <c r="V104" s="256"/>
    </row>
    <row r="105" spans="1:22">
      <c r="A105" s="270" t="s">
        <v>607</v>
      </c>
      <c r="B105" s="277">
        <f>B104</f>
        <v>686.55574084586999</v>
      </c>
      <c r="C105" s="277">
        <f t="shared" ref="C105:Q105" si="96">C104</f>
        <v>579.67786706721745</v>
      </c>
      <c r="D105" s="277">
        <f t="shared" si="96"/>
        <v>542.562472110665</v>
      </c>
      <c r="E105" s="277">
        <f t="shared" si="96"/>
        <v>483.75433079639527</v>
      </c>
      <c r="F105" s="277">
        <f t="shared" si="96"/>
        <v>361.51454663711615</v>
      </c>
      <c r="G105" s="277">
        <f t="shared" si="96"/>
        <v>199.53345484598134</v>
      </c>
      <c r="H105" s="277">
        <f t="shared" si="96"/>
        <v>118.26272727218694</v>
      </c>
      <c r="I105" s="277">
        <f t="shared" si="96"/>
        <v>94.610181817749549</v>
      </c>
      <c r="J105" s="277">
        <f t="shared" si="96"/>
        <v>85.149163635974602</v>
      </c>
      <c r="K105" s="277">
        <f t="shared" si="96"/>
        <v>76.634247272377138</v>
      </c>
      <c r="L105" s="277">
        <f t="shared" si="96"/>
        <v>68.970822545139427</v>
      </c>
      <c r="M105" s="277">
        <f t="shared" si="96"/>
        <v>62.07374029062548</v>
      </c>
      <c r="N105" s="277">
        <f t="shared" si="96"/>
        <v>55.866366261562938</v>
      </c>
      <c r="O105" s="277">
        <f t="shared" si="96"/>
        <v>50.279729635406646</v>
      </c>
      <c r="P105" s="277">
        <f t="shared" si="96"/>
        <v>45.251756671865984</v>
      </c>
      <c r="Q105" s="277">
        <f t="shared" si="96"/>
        <v>40.726581004679389</v>
      </c>
      <c r="S105" s="287" t="s">
        <v>743</v>
      </c>
      <c r="T105" s="256">
        <f>T98-T102</f>
        <v>5</v>
      </c>
      <c r="U105" s="256">
        <f>T105-2</f>
        <v>3</v>
      </c>
      <c r="V105" s="256"/>
    </row>
    <row r="106" spans="1:22">
      <c r="A106" s="279" t="s">
        <v>733</v>
      </c>
      <c r="B106" s="280">
        <f t="shared" ref="B106:Q106" si="97">B105*B$45</f>
        <v>0</v>
      </c>
      <c r="C106" s="280">
        <f t="shared" si="97"/>
        <v>0</v>
      </c>
      <c r="D106" s="280">
        <f t="shared" si="97"/>
        <v>0</v>
      </c>
      <c r="E106" s="280">
        <f t="shared" ca="1" si="97"/>
        <v>460.56312255190841</v>
      </c>
      <c r="F106" s="280">
        <f t="shared" ca="1" si="97"/>
        <v>320.90022651550674</v>
      </c>
      <c r="G106" s="280">
        <f t="shared" ca="1" si="97"/>
        <v>165.13530025458084</v>
      </c>
      <c r="H106" s="280">
        <f t="shared" ca="1" si="97"/>
        <v>91.254027240387387</v>
      </c>
      <c r="I106" s="280">
        <f t="shared" ca="1" si="97"/>
        <v>68.064706878760205</v>
      </c>
      <c r="J106" s="280">
        <f t="shared" ca="1" si="97"/>
        <v>57.114244931606656</v>
      </c>
      <c r="K106" s="280">
        <f t="shared" ca="1" si="97"/>
        <v>47.925527394366611</v>
      </c>
      <c r="L106" s="280">
        <f t="shared" ca="1" si="97"/>
        <v>40.21511934156937</v>
      </c>
      <c r="M106" s="280">
        <f t="shared" ca="1" si="97"/>
        <v>33.745185740966228</v>
      </c>
      <c r="N106" s="280">
        <f t="shared" ca="1" si="97"/>
        <v>28.316155200743765</v>
      </c>
      <c r="O106" s="280">
        <f t="shared" ca="1" si="97"/>
        <v>23.760563995925121</v>
      </c>
      <c r="P106" s="280">
        <f t="shared" ca="1" si="97"/>
        <v>19.937890486969227</v>
      </c>
      <c r="Q106" s="280">
        <f t="shared" ca="1" si="97"/>
        <v>16.730220593187582</v>
      </c>
      <c r="S106" s="289" t="s">
        <v>744</v>
      </c>
      <c r="T106" s="288">
        <f>VLOOKUP(S106,$Y$32:$AB$34,2,0)</f>
        <v>-0.7</v>
      </c>
      <c r="U106" s="288">
        <f>VLOOKUP(S106,$Y$32:$AB$34,3,0)</f>
        <v>-0.35</v>
      </c>
      <c r="V106" s="288">
        <f>VLOOKUP(S106,$Y$32:$AB$34,4,0)</f>
        <v>-0.1</v>
      </c>
    </row>
    <row r="107" spans="1:22">
      <c r="A107" s="270" t="s">
        <v>734</v>
      </c>
      <c r="B107" s="213">
        <f ca="1">SUM(B106:Q106)</f>
        <v>1373.6622911264781</v>
      </c>
      <c r="C107" s="277"/>
      <c r="D107" s="277"/>
      <c r="E107" s="277"/>
      <c r="F107" s="277"/>
      <c r="G107" s="277"/>
      <c r="H107" s="277"/>
      <c r="I107" s="277"/>
      <c r="J107" s="277"/>
      <c r="K107" s="277"/>
      <c r="L107" s="277"/>
      <c r="M107" s="277"/>
      <c r="N107" s="256"/>
      <c r="O107" s="256"/>
      <c r="P107" s="256"/>
      <c r="Q107" s="256"/>
    </row>
    <row r="108" spans="1:22">
      <c r="A108" s="281" t="s">
        <v>735</v>
      </c>
      <c r="B108" s="213">
        <f ca="1">(Q105*(1+C108))/(DCF!$H$31-NPV!C108)*NPV!$Q$45</f>
        <v>129.68509596492055</v>
      </c>
      <c r="C108" s="286">
        <v>-0.05</v>
      </c>
      <c r="D108" s="277"/>
      <c r="E108" s="277"/>
      <c r="F108" s="277"/>
      <c r="G108" s="277"/>
      <c r="H108" s="277"/>
      <c r="I108" s="277"/>
      <c r="J108" s="277"/>
      <c r="K108" s="277"/>
      <c r="L108" s="277"/>
      <c r="M108" s="277"/>
      <c r="N108" s="256"/>
      <c r="O108" s="256"/>
      <c r="P108" s="256"/>
      <c r="Q108" s="256"/>
    </row>
    <row r="109" spans="1:22">
      <c r="A109" s="281" t="s">
        <v>736</v>
      </c>
      <c r="B109" s="213">
        <f ca="1">SUM(B107:B108)/DCF!$C$30</f>
        <v>0.64081303797587319</v>
      </c>
      <c r="C109" s="283"/>
      <c r="D109" s="283"/>
      <c r="E109" s="283"/>
      <c r="F109" s="283"/>
      <c r="G109" s="283"/>
      <c r="H109" s="283"/>
      <c r="I109" s="283"/>
      <c r="J109" s="283"/>
      <c r="K109" s="283"/>
      <c r="L109" s="283"/>
      <c r="M109" s="256"/>
      <c r="N109" s="256"/>
      <c r="O109" s="256"/>
      <c r="P109" s="256"/>
      <c r="Q109" s="256"/>
    </row>
    <row r="110" spans="1:22">
      <c r="A110" s="284" t="s">
        <v>737</v>
      </c>
      <c r="B110" s="285">
        <f ca="1">B109/DCF!$H$24</f>
        <v>0.62214858055910016</v>
      </c>
    </row>
    <row r="112" spans="1:22">
      <c r="A112" s="265" t="s">
        <v>893</v>
      </c>
      <c r="B112" s="266">
        <v>2015</v>
      </c>
      <c r="C112" s="266">
        <v>2016</v>
      </c>
      <c r="D112" s="266">
        <v>2017</v>
      </c>
      <c r="E112" s="266">
        <v>2018</v>
      </c>
      <c r="F112" s="266">
        <v>2019</v>
      </c>
      <c r="G112" s="266">
        <v>2020</v>
      </c>
      <c r="H112" s="266">
        <v>2021</v>
      </c>
      <c r="I112" s="266">
        <v>2022</v>
      </c>
      <c r="J112" s="266">
        <v>2023</v>
      </c>
      <c r="K112" s="266">
        <v>2024</v>
      </c>
      <c r="L112" s="266">
        <v>2025</v>
      </c>
      <c r="M112" s="266">
        <v>2026</v>
      </c>
      <c r="N112" s="266">
        <v>2027</v>
      </c>
      <c r="O112" s="266">
        <v>2028</v>
      </c>
      <c r="P112" s="266">
        <v>2029</v>
      </c>
      <c r="Q112" s="267">
        <v>2030</v>
      </c>
      <c r="S112" s="256" t="s">
        <v>709</v>
      </c>
      <c r="T112" s="256" t="s">
        <v>710</v>
      </c>
      <c r="U112" s="256"/>
      <c r="V112" s="256"/>
    </row>
    <row r="113" spans="1:22">
      <c r="A113" s="268" t="s">
        <v>729</v>
      </c>
      <c r="B113" s="269"/>
      <c r="C113" s="269"/>
      <c r="D113" s="269">
        <f>Sales!I140</f>
        <v>76</v>
      </c>
      <c r="E113" s="269">
        <f>Sales!J140</f>
        <v>245</v>
      </c>
      <c r="F113" s="269">
        <f>Sales!K140</f>
        <v>490</v>
      </c>
      <c r="G113" s="269">
        <f>Sales!L140</f>
        <v>686</v>
      </c>
      <c r="H113" s="269">
        <f>Sales!M140</f>
        <v>857.5</v>
      </c>
      <c r="I113" s="269">
        <f>Sales!N140</f>
        <v>943.25</v>
      </c>
      <c r="J113" s="269">
        <f>Sales!O140</f>
        <v>990.41250000000002</v>
      </c>
      <c r="K113" s="269">
        <f>Sales!P140</f>
        <v>1039.933125</v>
      </c>
      <c r="L113" s="269">
        <f>Sales!Q140</f>
        <v>1091.9297812499999</v>
      </c>
      <c r="M113" s="269">
        <f>L113*(1+M114)</f>
        <v>1146.5262703124999</v>
      </c>
      <c r="N113" s="269">
        <f t="shared" ref="N113:Q113" si="98">M113*(1+N114)</f>
        <v>1203.852583828125</v>
      </c>
      <c r="O113" s="269">
        <f t="shared" si="98"/>
        <v>1264.0452130195313</v>
      </c>
      <c r="P113" s="269">
        <f t="shared" si="98"/>
        <v>1327.2474736705078</v>
      </c>
      <c r="Q113" s="269">
        <f t="shared" si="98"/>
        <v>1393.6098473540333</v>
      </c>
      <c r="S113" s="213">
        <f>VLOOKUP(A112,$A$2:$H$19,5,0)</f>
        <v>1393.6098473540333</v>
      </c>
      <c r="T113" s="256">
        <f>VLOOKUP(A112,$A$2:$H$19,6,0)</f>
        <v>2030</v>
      </c>
      <c r="U113" s="256"/>
      <c r="V113" s="256"/>
    </row>
    <row r="114" spans="1:22">
      <c r="A114" s="270" t="s">
        <v>579</v>
      </c>
      <c r="B114" s="271"/>
      <c r="C114" s="271"/>
      <c r="D114" s="271" t="e">
        <f t="shared" ref="D114" si="99">D113/C113-1</f>
        <v>#DIV/0!</v>
      </c>
      <c r="E114" s="271">
        <f t="shared" ref="E114" si="100">E113/D113-1</f>
        <v>2.2236842105263159</v>
      </c>
      <c r="F114" s="271">
        <f t="shared" ref="F114" si="101">F113/E113-1</f>
        <v>1</v>
      </c>
      <c r="G114" s="271">
        <f t="shared" ref="G114" si="102">G113/F113-1</f>
        <v>0.39999999999999991</v>
      </c>
      <c r="H114" s="271">
        <f t="shared" ref="H114" si="103">H113/G113-1</f>
        <v>0.25</v>
      </c>
      <c r="I114" s="271">
        <f t="shared" ref="I114" si="104">I113/H113-1</f>
        <v>0.10000000000000009</v>
      </c>
      <c r="J114" s="271">
        <f t="shared" ref="J114" si="105">J113/I113-1</f>
        <v>5.0000000000000044E-2</v>
      </c>
      <c r="K114" s="271">
        <f t="shared" ref="K114" si="106">K113/J113-1</f>
        <v>5.0000000000000044E-2</v>
      </c>
      <c r="L114" s="271">
        <f t="shared" ref="L114" si="107">L113/K113-1</f>
        <v>4.9999999999999822E-2</v>
      </c>
      <c r="M114" s="272">
        <v>0.05</v>
      </c>
      <c r="N114" s="272">
        <v>0.05</v>
      </c>
      <c r="O114" s="272">
        <v>0.05</v>
      </c>
      <c r="P114" s="272">
        <v>0.05</v>
      </c>
      <c r="Q114" s="272">
        <v>0.05</v>
      </c>
      <c r="S114" s="256" t="s">
        <v>738</v>
      </c>
      <c r="T114" s="256"/>
      <c r="U114" s="256"/>
      <c r="V114" s="256"/>
    </row>
    <row r="115" spans="1:22">
      <c r="A115" s="273" t="s">
        <v>730</v>
      </c>
      <c r="B115" s="274"/>
      <c r="C115" s="274"/>
      <c r="D115" s="274">
        <f t="shared" ref="D115:Q115" si="108">D113*D116</f>
        <v>-3.8000000000000003</v>
      </c>
      <c r="E115" s="274">
        <f t="shared" si="108"/>
        <v>0</v>
      </c>
      <c r="F115" s="274">
        <f t="shared" si="108"/>
        <v>48.999999999999936</v>
      </c>
      <c r="G115" s="274">
        <f t="shared" si="108"/>
        <v>93.545454545454461</v>
      </c>
      <c r="H115" s="274">
        <f t="shared" si="108"/>
        <v>148.11363636363626</v>
      </c>
      <c r="I115" s="274">
        <f t="shared" si="108"/>
        <v>197.22499999999991</v>
      </c>
      <c r="J115" s="274">
        <f t="shared" si="108"/>
        <v>243.10124999999991</v>
      </c>
      <c r="K115" s="274">
        <f t="shared" si="108"/>
        <v>293.0720624999999</v>
      </c>
      <c r="L115" s="274">
        <f t="shared" si="108"/>
        <v>347.43220312499989</v>
      </c>
      <c r="M115" s="274">
        <f t="shared" si="108"/>
        <v>406.49567765624994</v>
      </c>
      <c r="N115" s="274">
        <f t="shared" si="108"/>
        <v>470.59691913281245</v>
      </c>
      <c r="O115" s="274">
        <f t="shared" si="108"/>
        <v>540.09204556289058</v>
      </c>
      <c r="P115" s="274">
        <f t="shared" si="108"/>
        <v>615.36019233814454</v>
      </c>
      <c r="Q115" s="274">
        <f t="shared" si="108"/>
        <v>696.80492367701663</v>
      </c>
      <c r="S115" s="282">
        <f>IF(S113&gt;$X$39,$Z$39,$Z$40)</f>
        <v>-0.05</v>
      </c>
      <c r="T115" s="282">
        <f>IF(S113&gt;$X$39,$AA$39,$AA$40)</f>
        <v>-0.03</v>
      </c>
      <c r="U115" s="282">
        <f>IF(S113&gt;$X$39,$AB$39,$AB$40)</f>
        <v>-0.03</v>
      </c>
      <c r="V115" s="256"/>
    </row>
    <row r="116" spans="1:22">
      <c r="A116" s="270" t="s">
        <v>580</v>
      </c>
      <c r="B116" s="286"/>
      <c r="C116" s="286"/>
      <c r="D116" s="286">
        <f>IF(D112-T113&gt;3,T118,IF(D112-T113=1,C116+S115,IF(D112-T113=2,C116+T115,IF(D112-T113=3,C116+U115,IF(D112-T113=0,T119,IF(T113-D112=U120+1,$AA$37,IF(T113-D112=U120+2,$Z$37,IF(D112&lt;T113,E116-(T119-$AB$37)/U120))))))))</f>
        <v>-0.05</v>
      </c>
      <c r="E116" s="286">
        <f>IF(E112-T113&gt;3,T118,IF(E112-T113=1,D116+S115,IF(E112-T113=2,D116+T115,IF(E112-T113=3,D116+U115,IF(E112-T113=0,T119,IF(T113-E112=U120+1,$AA$37,IF(T113-E112=U120+2,$Z$37,IF(E112&lt;T113,F116-(T119-$AB$37)/U120))))))))</f>
        <v>0</v>
      </c>
      <c r="F116" s="286">
        <f>IF(F112-T113&gt;3,T118,IF(F112-T113=1,E116+S115,IF(F112-T113=2,E116+T115,IF(F112-T113=3,E116+U115,IF(F112-T113=0,T119,IF(T113-F112=U120+1,$AA$37,IF(T113-F112=U120+2,$Z$37,IF(F112&lt;T113,G116-(T119-$AB$37)/U120))))))))</f>
        <v>9.9999999999999867E-2</v>
      </c>
      <c r="G116" s="286">
        <f>IF(G112-T113&gt;3,T118,IF(G112-T113=1,F116+S115,IF(G112-T113=2,F116+T115,IF(G112-T113=3,F116+U115,IF(G112-T113=0,T119,IF(T113-G112=U120+1,$AA$37,IF(T113-G112=U120+2,$Z$37,IF(G112&lt;T113,H116-(T119-$AB$37)/U120))))))))</f>
        <v>0.13636363636363624</v>
      </c>
      <c r="H116" s="286">
        <f>IF(H112-T113&gt;3,T118,IF(H112-T113=1,G116+S115,IF(H112-T113=2,G116+T115,IF(H112-T113=3,G116+U115,IF(H112-T113=0,T119,IF(T113-H112=U120+1,$AA$37,IF(T113-H112=U120+2,$Z$37,IF(H112&lt;T113,I116-(T119-$AB$37)/U120))))))))</f>
        <v>0.17272727272727262</v>
      </c>
      <c r="I116" s="286">
        <f>IF(I112-T113&gt;3,T118,IF(I112-T113=1,H116+S115,IF(I112-T113=2,H116+T115,IF(I112-T113=3,H116+U115,IF(I112-T113=0,T119,IF(T113-I112=U120+1,$AA$37,IF(T113-I112=U120+2,$Z$37,IF(I112&lt;T113,J116-(T119-$AB$37)/U120))))))))</f>
        <v>0.20909090909090899</v>
      </c>
      <c r="J116" s="286">
        <f>IF(J112-T113&gt;3,T118,IF(J112-T113=1,I116+S115,IF(J112-T113=2,I116+T115,IF(J112-T113=3,I116+U115,IF(J112-T113=0,T119,IF(T113-J112=U120+1,$AA$37,IF(T113-J112=U120+2,$Z$37,IF(J112&lt;T113,K116-(T119-$AB$37)/U120))))))))</f>
        <v>0.24545454545454537</v>
      </c>
      <c r="K116" s="286">
        <f>IF(K112-T113&gt;3,T118,IF(K112-T113=1,J116+S115,IF(K112-T113=2,J116+T115,IF(K112-T113=3,J116+U115,IF(K112-T113=0,T119,IF(T113-K112=U120+1,$AA$37,IF(T113-K112=U120+2,$Z$37,IF(K112&lt;T113,L116-(T119-$AB$37)/U120))))))))</f>
        <v>0.28181818181818175</v>
      </c>
      <c r="L116" s="286">
        <f>IF(L112-T113&gt;3,T118,IF(L112-T113=1,K116+S115,IF(L112-T113=2,K116+T115,IF(L112-T113=3,K116+U115,IF(L112-T113=0,T119,IF(T113-L112=U120+1,$AA$37,IF(T113-L112=U120+2,$Z$37,IF(L112&lt;T113,M116-(T119-$AB$37)/U120))))))))</f>
        <v>0.31818181818181812</v>
      </c>
      <c r="M116" s="286">
        <f>IF(M112-T113&gt;3,T118,IF(M112-T113=1,L116+S115,IF(M112-T113=2,L116+T115,IF(M112-T113=3,L116+U115,IF(M112-T113=0,T119,IF(T113-M112=U120+1,$AA$37,IF(T113-M112=U120+2,$Z$37,IF(M112&lt;T113,N116-(T119-$AB$37)/U120))))))))</f>
        <v>0.3545454545454545</v>
      </c>
      <c r="N116" s="286">
        <f>IF(N112-T113&gt;3,T118,IF(N112-T113=1,M116+S115,IF(N112-T113=2,M116+T115,IF(N112-T113=3,M116+U115,IF(N112-T113=0,T119,IF(T113-N112=U120+1,$AA$37,IF(T113-N112=U120+2,$Z$37,IF(N112&lt;T113,O116-(T119-$AB$37)/U120))))))))</f>
        <v>0.39090909090909087</v>
      </c>
      <c r="O116" s="286">
        <f>IF(O112-T113&gt;3,T118,IF(O112-T113=1,N116+S115,IF(O112-T113=2,N116+T115,IF(O112-T113=3,N116+U115,IF(O112-T113=0,T119,IF(T113-O112=U120+1,$AA$37,IF(T113-O112=U120+2,$Z$37,IF(O112&lt;T113,P116-(T119-$AB$37)/U120))))))))</f>
        <v>0.42727272727272725</v>
      </c>
      <c r="P116" s="286">
        <f>IF(P112-T113&gt;3,T118,IF(P112-T113=1,O116+S115,IF(P112-T113=2,O116+T115,IF(P112-T113=3,O116+U115,IF(P112-T113=0,T119,IF(T113-P112=U120+1,$AA$37,IF(T113-P112=U120+2,$Z$37,IF(P112&lt;T113,Q116-(T119-$AB$37)/U120))))))))</f>
        <v>0.46363636363636362</v>
      </c>
      <c r="Q116" s="286">
        <f>IF(Q112-T113&gt;3,T118,IF(Q112-T113=1,P116+S115,IF(Q112-T113=2,P116+T115,IF(Q112-T113=3,P116+U115,IF(Q112-T113=0,T119,IF(T113-Q112=U120+1,$AA$37,IF(T113-Q112=U120+2,$Z$37,IF(Q112&lt;T113,R116-(T119-$AB$37)/U120))))))))</f>
        <v>0.5</v>
      </c>
      <c r="S116" s="287" t="s">
        <v>739</v>
      </c>
      <c r="T116" s="213">
        <f>VLOOKUP(A112,$A$2:$H$19,7,0)</f>
        <v>76</v>
      </c>
      <c r="U116" s="256"/>
      <c r="V116" s="256"/>
    </row>
    <row r="117" spans="1:22">
      <c r="A117" s="270" t="s">
        <v>731</v>
      </c>
      <c r="B117" s="213"/>
      <c r="C117" s="213"/>
      <c r="D117" s="213">
        <f t="shared" ref="D117:Q117" si="109">D115*D118</f>
        <v>-0.58105012643165255</v>
      </c>
      <c r="E117" s="213">
        <f t="shared" si="109"/>
        <v>0</v>
      </c>
      <c r="F117" s="213">
        <f t="shared" si="109"/>
        <v>7.8399999999999901</v>
      </c>
      <c r="G117" s="213">
        <f t="shared" si="109"/>
        <v>14.967272727272714</v>
      </c>
      <c r="H117" s="213">
        <f t="shared" si="109"/>
        <v>23.698181818181801</v>
      </c>
      <c r="I117" s="213">
        <f t="shared" si="109"/>
        <v>31.555999999999987</v>
      </c>
      <c r="J117" s="213">
        <f t="shared" si="109"/>
        <v>38.896199999999986</v>
      </c>
      <c r="K117" s="213">
        <f t="shared" si="109"/>
        <v>46.891529999999982</v>
      </c>
      <c r="L117" s="213">
        <f t="shared" si="109"/>
        <v>55.589152499999983</v>
      </c>
      <c r="M117" s="213">
        <f t="shared" si="109"/>
        <v>65.039308424999987</v>
      </c>
      <c r="N117" s="213">
        <f t="shared" si="109"/>
        <v>75.295507061249992</v>
      </c>
      <c r="O117" s="213">
        <f t="shared" si="109"/>
        <v>86.414727290062487</v>
      </c>
      <c r="P117" s="213">
        <f t="shared" si="109"/>
        <v>98.457630774103123</v>
      </c>
      <c r="Q117" s="213">
        <f t="shared" si="109"/>
        <v>111.48878778832267</v>
      </c>
      <c r="S117" s="287" t="s">
        <v>740</v>
      </c>
      <c r="T117" s="256">
        <f>VLOOKUP(A112,$A$2:$H$19,8,0)</f>
        <v>2017</v>
      </c>
      <c r="U117" s="256"/>
      <c r="V117" s="256"/>
    </row>
    <row r="118" spans="1:22">
      <c r="A118" s="270" t="s">
        <v>635</v>
      </c>
      <c r="B118" s="196">
        <f>'P&amp;L'!G$120</f>
        <v>0.1455435708203236</v>
      </c>
      <c r="C118" s="196">
        <f>'P&amp;L'!H$120</f>
        <v>0.15028163725122043</v>
      </c>
      <c r="D118" s="196">
        <f>'P&amp;L'!I$120</f>
        <v>0.15290792800832961</v>
      </c>
      <c r="E118" s="196">
        <f>'P&amp;L'!J$120</f>
        <v>0.16</v>
      </c>
      <c r="F118" s="196">
        <f>'P&amp;L'!K$120</f>
        <v>0.16</v>
      </c>
      <c r="G118" s="196">
        <f>'P&amp;L'!L$120</f>
        <v>0.16</v>
      </c>
      <c r="H118" s="196">
        <f>'P&amp;L'!M$120</f>
        <v>0.16</v>
      </c>
      <c r="I118" s="196">
        <f>'P&amp;L'!N$120</f>
        <v>0.16</v>
      </c>
      <c r="J118" s="196">
        <f>'P&amp;L'!O$120</f>
        <v>0.16</v>
      </c>
      <c r="K118" s="196">
        <f>'P&amp;L'!P$120</f>
        <v>0.16</v>
      </c>
      <c r="L118" s="196">
        <f>'P&amp;L'!Q$120</f>
        <v>0.16</v>
      </c>
      <c r="M118" s="196">
        <f t="shared" ref="M118" si="110">L118</f>
        <v>0.16</v>
      </c>
      <c r="N118" s="196">
        <f t="shared" ref="N118" si="111">M118</f>
        <v>0.16</v>
      </c>
      <c r="O118" s="196">
        <f t="shared" ref="O118" si="112">N118</f>
        <v>0.16</v>
      </c>
      <c r="P118" s="196">
        <f t="shared" ref="P118" si="113">O118</f>
        <v>0.16</v>
      </c>
      <c r="Q118" s="196">
        <f t="shared" ref="Q118" si="114">P118</f>
        <v>0.16</v>
      </c>
      <c r="S118" s="287" t="s">
        <v>741</v>
      </c>
      <c r="T118" s="288" t="b">
        <f>IF(Q112-T113&gt;3,IF(AND(S113&lt;$X$42,S113&lt;$X$43,S113&lt;$X$44),$AA$45,IF(AND(S113&lt;$X$42,S113&lt;$X$43),$AA$44,IF(S113&lt;$X$42,$AA$43,$AA$42))))</f>
        <v>0</v>
      </c>
      <c r="U118" s="256"/>
      <c r="V118" s="256"/>
    </row>
    <row r="119" spans="1:22">
      <c r="A119" s="256" t="s">
        <v>732</v>
      </c>
      <c r="B119" s="213"/>
      <c r="C119" s="213"/>
      <c r="D119" s="213">
        <f t="shared" ref="D119:Q119" si="115">D115-D117</f>
        <v>-3.2189498735683477</v>
      </c>
      <c r="E119" s="213">
        <f t="shared" si="115"/>
        <v>0</v>
      </c>
      <c r="F119" s="213">
        <f t="shared" si="115"/>
        <v>41.159999999999947</v>
      </c>
      <c r="G119" s="213">
        <f t="shared" si="115"/>
        <v>78.578181818181747</v>
      </c>
      <c r="H119" s="213">
        <f t="shared" si="115"/>
        <v>124.41545454545445</v>
      </c>
      <c r="I119" s="213">
        <f t="shared" si="115"/>
        <v>165.66899999999993</v>
      </c>
      <c r="J119" s="213">
        <f t="shared" si="115"/>
        <v>204.20504999999991</v>
      </c>
      <c r="K119" s="213">
        <f t="shared" si="115"/>
        <v>246.18053249999991</v>
      </c>
      <c r="L119" s="213">
        <f t="shared" si="115"/>
        <v>291.84305062499993</v>
      </c>
      <c r="M119" s="213">
        <f t="shared" si="115"/>
        <v>341.45636923124994</v>
      </c>
      <c r="N119" s="213">
        <f t="shared" si="115"/>
        <v>395.30141207156248</v>
      </c>
      <c r="O119" s="213">
        <f t="shared" si="115"/>
        <v>453.67731827282807</v>
      </c>
      <c r="P119" s="213">
        <f t="shared" si="115"/>
        <v>516.90256156404143</v>
      </c>
      <c r="Q119" s="213">
        <f t="shared" si="115"/>
        <v>585.31613588869391</v>
      </c>
      <c r="S119" s="287" t="s">
        <v>742</v>
      </c>
      <c r="T119" s="288">
        <f>IF(S113&gt;$X$42,$Z$42,IF(S113&gt;$X$43,$Z$43,IF(S113&gt;$X$44,$Z$44,$Z$45)))</f>
        <v>0.5</v>
      </c>
      <c r="U119" s="256"/>
      <c r="V119" s="256"/>
    </row>
    <row r="120" spans="1:22">
      <c r="A120" s="270" t="s">
        <v>607</v>
      </c>
      <c r="B120" s="277"/>
      <c r="C120" s="277"/>
      <c r="D120" s="277">
        <f t="shared" ref="D120:Q120" si="116">D119</f>
        <v>-3.2189498735683477</v>
      </c>
      <c r="E120" s="277">
        <f t="shared" si="116"/>
        <v>0</v>
      </c>
      <c r="F120" s="277">
        <f t="shared" si="116"/>
        <v>41.159999999999947</v>
      </c>
      <c r="G120" s="277">
        <f t="shared" si="116"/>
        <v>78.578181818181747</v>
      </c>
      <c r="H120" s="277">
        <f t="shared" si="116"/>
        <v>124.41545454545445</v>
      </c>
      <c r="I120" s="277">
        <f t="shared" si="116"/>
        <v>165.66899999999993</v>
      </c>
      <c r="J120" s="277">
        <f t="shared" si="116"/>
        <v>204.20504999999991</v>
      </c>
      <c r="K120" s="277">
        <f t="shared" si="116"/>
        <v>246.18053249999991</v>
      </c>
      <c r="L120" s="277">
        <f t="shared" si="116"/>
        <v>291.84305062499993</v>
      </c>
      <c r="M120" s="277">
        <f t="shared" si="116"/>
        <v>341.45636923124994</v>
      </c>
      <c r="N120" s="277">
        <f t="shared" si="116"/>
        <v>395.30141207156248</v>
      </c>
      <c r="O120" s="277">
        <f t="shared" si="116"/>
        <v>453.67731827282807</v>
      </c>
      <c r="P120" s="277">
        <f t="shared" si="116"/>
        <v>516.90256156404143</v>
      </c>
      <c r="Q120" s="277">
        <f t="shared" si="116"/>
        <v>585.31613588869391</v>
      </c>
      <c r="S120" s="287" t="s">
        <v>743</v>
      </c>
      <c r="T120" s="256">
        <f>T113-T117</f>
        <v>13</v>
      </c>
      <c r="U120" s="256">
        <f>T120-2</f>
        <v>11</v>
      </c>
      <c r="V120" s="256"/>
    </row>
    <row r="121" spans="1:22">
      <c r="A121" s="279" t="s">
        <v>733</v>
      </c>
      <c r="B121" s="280"/>
      <c r="C121" s="280"/>
      <c r="D121" s="280">
        <f t="shared" ref="D121:Q121" si="117">D120*D$45</f>
        <v>0</v>
      </c>
      <c r="E121" s="280">
        <f t="shared" ca="1" si="117"/>
        <v>0</v>
      </c>
      <c r="F121" s="280">
        <f t="shared" ca="1" si="117"/>
        <v>36.535883400112589</v>
      </c>
      <c r="G121" s="280">
        <f t="shared" ca="1" si="117"/>
        <v>65.031859735103609</v>
      </c>
      <c r="H121" s="280">
        <f t="shared" ca="1" si="117"/>
        <v>96.0016020270334</v>
      </c>
      <c r="I121" s="280">
        <f t="shared" ca="1" si="117"/>
        <v>119.18602952924272</v>
      </c>
      <c r="J121" s="280">
        <f t="shared" ca="1" si="117"/>
        <v>136.97160070569947</v>
      </c>
      <c r="K121" s="280">
        <f t="shared" ca="1" si="117"/>
        <v>153.95638731015791</v>
      </c>
      <c r="L121" s="280">
        <f t="shared" ca="1" si="117"/>
        <v>170.16620473405024</v>
      </c>
      <c r="M121" s="280">
        <f t="shared" ca="1" si="117"/>
        <v>185.62613672378671</v>
      </c>
      <c r="N121" s="280">
        <f t="shared" ca="1" si="117"/>
        <v>200.36055473671999</v>
      </c>
      <c r="O121" s="280">
        <f t="shared" ca="1" si="117"/>
        <v>214.39313680657261</v>
      </c>
      <c r="P121" s="280">
        <f t="shared" ca="1" si="117"/>
        <v>227.74688593040105</v>
      </c>
      <c r="Q121" s="280">
        <f t="shared" ca="1" si="117"/>
        <v>240.44414798887433</v>
      </c>
      <c r="S121" s="289" t="s">
        <v>744</v>
      </c>
      <c r="T121" s="288">
        <f>VLOOKUP(S121,$Y$32:$AB$34,2,0)</f>
        <v>-0.7</v>
      </c>
      <c r="U121" s="288">
        <f>VLOOKUP(S121,$Y$32:$AB$34,3,0)</f>
        <v>-0.35</v>
      </c>
      <c r="V121" s="288">
        <f>VLOOKUP(S121,$Y$32:$AB$34,4,0)</f>
        <v>-0.1</v>
      </c>
    </row>
    <row r="122" spans="1:22">
      <c r="A122" s="270" t="s">
        <v>734</v>
      </c>
      <c r="B122" s="213">
        <f ca="1">SUM(B121:Q121)</f>
        <v>1846.4204296277546</v>
      </c>
      <c r="C122" s="277"/>
      <c r="D122" s="277"/>
      <c r="E122" s="277"/>
      <c r="F122" s="277"/>
      <c r="G122" s="277"/>
      <c r="H122" s="277"/>
      <c r="I122" s="277"/>
      <c r="J122" s="277"/>
      <c r="K122" s="277"/>
      <c r="L122" s="277"/>
      <c r="M122" s="277"/>
      <c r="N122" s="256"/>
      <c r="O122" s="256"/>
      <c r="P122" s="256"/>
      <c r="Q122" s="256"/>
    </row>
    <row r="123" spans="1:22">
      <c r="A123" s="281" t="s">
        <v>735</v>
      </c>
      <c r="B123" s="213">
        <f ca="1">(Q120*(1+C123))/(DCF!$H$31-NPV!C123)*NPV!$Q$45</f>
        <v>1863.814181794937</v>
      </c>
      <c r="C123" s="286">
        <v>-0.05</v>
      </c>
      <c r="D123" s="277"/>
      <c r="E123" s="277"/>
      <c r="F123" s="277"/>
      <c r="G123" s="277"/>
      <c r="H123" s="277"/>
      <c r="I123" s="277"/>
      <c r="J123" s="277"/>
      <c r="K123" s="277"/>
      <c r="L123" s="277"/>
      <c r="M123" s="277"/>
      <c r="N123" s="256"/>
      <c r="O123" s="256"/>
      <c r="P123" s="256"/>
      <c r="Q123" s="256"/>
    </row>
    <row r="124" spans="1:22">
      <c r="A124" s="281" t="s">
        <v>736</v>
      </c>
      <c r="B124" s="213">
        <f ca="1">SUM(B122:B123)/DCF!$C$30</f>
        <v>1.5815151796345659</v>
      </c>
      <c r="C124" s="283"/>
      <c r="D124" s="283"/>
      <c r="E124" s="283"/>
      <c r="F124" s="283"/>
      <c r="G124" s="283"/>
      <c r="H124" s="283"/>
      <c r="I124" s="283"/>
      <c r="J124" s="283"/>
      <c r="K124" s="283"/>
      <c r="L124" s="283"/>
      <c r="M124" s="256"/>
      <c r="N124" s="256"/>
      <c r="O124" s="256"/>
      <c r="P124" s="256"/>
      <c r="Q124" s="256"/>
    </row>
    <row r="125" spans="1:22">
      <c r="A125" s="284" t="s">
        <v>737</v>
      </c>
      <c r="B125" s="285">
        <f ca="1">B124/DCF!$H$24</f>
        <v>1.5354516307131707</v>
      </c>
    </row>
    <row r="127" spans="1:22">
      <c r="A127" s="265" t="s">
        <v>938</v>
      </c>
      <c r="B127" s="266">
        <v>2015</v>
      </c>
      <c r="C127" s="266">
        <v>2016</v>
      </c>
      <c r="D127" s="266">
        <v>2017</v>
      </c>
      <c r="E127" s="266">
        <v>2018</v>
      </c>
      <c r="F127" s="266">
        <v>2019</v>
      </c>
      <c r="G127" s="266">
        <v>2020</v>
      </c>
      <c r="H127" s="266">
        <v>2021</v>
      </c>
      <c r="I127" s="266">
        <v>2022</v>
      </c>
      <c r="J127" s="266">
        <v>2023</v>
      </c>
      <c r="K127" s="266">
        <v>2024</v>
      </c>
      <c r="L127" s="266">
        <v>2025</v>
      </c>
      <c r="M127" s="266">
        <v>2026</v>
      </c>
      <c r="N127" s="266">
        <v>2027</v>
      </c>
      <c r="O127" s="266">
        <v>2028</v>
      </c>
      <c r="P127" s="266">
        <v>2029</v>
      </c>
      <c r="Q127" s="267">
        <v>2030</v>
      </c>
      <c r="S127" s="256" t="s">
        <v>709</v>
      </c>
      <c r="T127" s="256" t="s">
        <v>710</v>
      </c>
      <c r="U127" s="256"/>
      <c r="V127" s="256"/>
    </row>
    <row r="128" spans="1:22">
      <c r="A128" s="268" t="s">
        <v>729</v>
      </c>
      <c r="B128" s="269"/>
      <c r="C128" s="269"/>
      <c r="D128" s="269">
        <f>Sales!I143</f>
        <v>0</v>
      </c>
      <c r="E128" s="269">
        <f>Sales!J143</f>
        <v>65</v>
      </c>
      <c r="F128" s="269">
        <f>Sales!K143</f>
        <v>195</v>
      </c>
      <c r="G128" s="269">
        <f>Sales!L143</f>
        <v>351</v>
      </c>
      <c r="H128" s="269">
        <f>Sales!M143</f>
        <v>568.62</v>
      </c>
      <c r="I128" s="269">
        <f>Sales!N143</f>
        <v>813.12660000000005</v>
      </c>
      <c r="J128" s="269">
        <f>Sales!O143</f>
        <v>1016.4082500000001</v>
      </c>
      <c r="K128" s="269">
        <f>Sales!P143</f>
        <v>1321.330725</v>
      </c>
      <c r="L128" s="269">
        <f>Sales!Q143</f>
        <v>1519.53033375</v>
      </c>
      <c r="M128" s="269">
        <f>L128*(1+M129)</f>
        <v>1595.5068504374999</v>
      </c>
      <c r="N128" s="269">
        <f t="shared" ref="N128" si="118">M128*(1+N129)</f>
        <v>1675.2821929593749</v>
      </c>
      <c r="O128" s="269">
        <f t="shared" ref="O128" si="119">N128*(1+O129)</f>
        <v>1759.0463026073437</v>
      </c>
      <c r="P128" s="269">
        <f t="shared" ref="P128" si="120">O128*(1+P129)</f>
        <v>1846.9986177377109</v>
      </c>
      <c r="Q128" s="269">
        <f t="shared" ref="Q128" si="121">P128*(1+Q129)</f>
        <v>1939.3485486245966</v>
      </c>
      <c r="S128" s="213">
        <f>VLOOKUP(A127,$A$2:$H$19,5,0)</f>
        <v>1939.3485486245966</v>
      </c>
      <c r="T128" s="256">
        <f>VLOOKUP(A127,$A$2:$H$19,6,0)</f>
        <v>2030</v>
      </c>
      <c r="U128" s="256"/>
      <c r="V128" s="256"/>
    </row>
    <row r="129" spans="1:22">
      <c r="A129" s="270" t="s">
        <v>579</v>
      </c>
      <c r="B129" s="271"/>
      <c r="C129" s="271"/>
      <c r="D129" s="271"/>
      <c r="E129" s="271" t="e">
        <f t="shared" ref="E129" si="122">E128/D128-1</f>
        <v>#DIV/0!</v>
      </c>
      <c r="F129" s="271">
        <f t="shared" ref="F129" si="123">F128/E128-1</f>
        <v>2</v>
      </c>
      <c r="G129" s="271">
        <f t="shared" ref="G129" si="124">G128/F128-1</f>
        <v>0.8</v>
      </c>
      <c r="H129" s="271">
        <f t="shared" ref="H129" si="125">H128/G128-1</f>
        <v>0.62000000000000011</v>
      </c>
      <c r="I129" s="271">
        <f t="shared" ref="I129" si="126">I128/H128-1</f>
        <v>0.43000000000000016</v>
      </c>
      <c r="J129" s="271">
        <f t="shared" ref="J129" si="127">J128/I128-1</f>
        <v>0.25</v>
      </c>
      <c r="K129" s="271">
        <f t="shared" ref="K129" si="128">K128/J128-1</f>
        <v>0.30000000000000004</v>
      </c>
      <c r="L129" s="271">
        <f t="shared" ref="L129" si="129">L128/K128-1</f>
        <v>0.14999999999999991</v>
      </c>
      <c r="M129" s="272">
        <v>0.05</v>
      </c>
      <c r="N129" s="272">
        <v>0.05</v>
      </c>
      <c r="O129" s="272">
        <v>0.05</v>
      </c>
      <c r="P129" s="272">
        <v>0.05</v>
      </c>
      <c r="Q129" s="272">
        <v>0.05</v>
      </c>
      <c r="S129" s="256" t="s">
        <v>738</v>
      </c>
      <c r="T129" s="256"/>
      <c r="U129" s="256"/>
      <c r="V129" s="256"/>
    </row>
    <row r="130" spans="1:22">
      <c r="A130" s="273" t="s">
        <v>730</v>
      </c>
      <c r="B130" s="274"/>
      <c r="C130" s="274"/>
      <c r="D130" s="274">
        <f t="shared" ref="D130:Q130" si="130">D128*D131</f>
        <v>0</v>
      </c>
      <c r="E130" s="274">
        <f t="shared" si="130"/>
        <v>-3.25</v>
      </c>
      <c r="F130" s="274">
        <f t="shared" si="130"/>
        <v>0</v>
      </c>
      <c r="G130" s="274">
        <f t="shared" si="130"/>
        <v>35.10000000000003</v>
      </c>
      <c r="H130" s="274">
        <f t="shared" si="130"/>
        <v>79.60680000000005</v>
      </c>
      <c r="I130" s="274">
        <f t="shared" si="130"/>
        <v>146.36278800000011</v>
      </c>
      <c r="J130" s="274">
        <f t="shared" si="130"/>
        <v>223.60981500000014</v>
      </c>
      <c r="K130" s="274">
        <f t="shared" si="130"/>
        <v>343.54598850000019</v>
      </c>
      <c r="L130" s="274">
        <f t="shared" si="130"/>
        <v>455.85910012500011</v>
      </c>
      <c r="M130" s="274">
        <f t="shared" si="130"/>
        <v>542.47232914875008</v>
      </c>
      <c r="N130" s="274">
        <f t="shared" si="130"/>
        <v>636.60723332456257</v>
      </c>
      <c r="O130" s="274">
        <f t="shared" si="130"/>
        <v>738.79944709508447</v>
      </c>
      <c r="P130" s="274">
        <f t="shared" si="130"/>
        <v>849.61936415934701</v>
      </c>
      <c r="Q130" s="274">
        <f t="shared" si="130"/>
        <v>969.67427431229828</v>
      </c>
      <c r="S130" s="282">
        <f>IF(S128&gt;$X$39,$Z$39,$Z$40)</f>
        <v>-0.05</v>
      </c>
      <c r="T130" s="282">
        <f>IF(S128&gt;$X$39,$AA$39,$AA$40)</f>
        <v>-0.03</v>
      </c>
      <c r="U130" s="282">
        <f>IF(S128&gt;$X$39,$AB$39,$AB$40)</f>
        <v>-0.03</v>
      </c>
      <c r="V130" s="256"/>
    </row>
    <row r="131" spans="1:22">
      <c r="A131" s="270" t="s">
        <v>580</v>
      </c>
      <c r="B131" s="286"/>
      <c r="C131" s="286"/>
      <c r="D131" s="286">
        <f>IF(D127-T128&gt;3,T133,IF(D127-T128=1,C131+S130,IF(D127-T128=2,C131+T130,IF(D127-T128=3,C131+U130,IF(D127-T128=0,T134,IF(T128-D127=U135+1,$AA$37,IF(T128-D127=U135+2,$Z$37,IF(D127&lt;T128,E131-(T134-$AB$37)/U135))))))))</f>
        <v>-0.09</v>
      </c>
      <c r="E131" s="286">
        <f>IF(E127-T128&gt;3,T133,IF(E127-T128=1,D131+S130,IF(E127-T128=2,D131+T130,IF(E127-T128=3,D131+U130,IF(E127-T128=0,T134,IF(T128-E127=U135+1,$AA$37,IF(T128-E127=U135+2,$Z$37,IF(E127&lt;T128,F131-(T134-$AB$37)/U135))))))))</f>
        <v>-0.05</v>
      </c>
      <c r="F131" s="286">
        <f>IF(F127-T128&gt;3,T133,IF(F127-T128=1,E131+S130,IF(F127-T128=2,E131+T130,IF(F127-T128=3,E131+U130,IF(F127-T128=0,T134,IF(T128-F127=U135+1,$AA$37,IF(T128-F127=U135+2,$Z$37,IF(F127&lt;T128,G131-(T134-$AB$37)/U135))))))))</f>
        <v>0</v>
      </c>
      <c r="G131" s="286">
        <f>IF(G127-T128&gt;3,T133,IF(G127-T128=1,F131+S130,IF(G127-T128=2,F131+T130,IF(G127-T128=3,F131+U130,IF(G127-T128=0,T134,IF(T128-G127=U135+1,$AA$37,IF(T128-G127=U135+2,$Z$37,IF(G127&lt;T128,H131-(T134-$AB$37)/U135))))))))</f>
        <v>0.10000000000000009</v>
      </c>
      <c r="H131" s="286">
        <f>IF(H127-T128&gt;3,T133,IF(H127-T128=1,G131+S130,IF(H127-T128=2,G131+T130,IF(H127-T128=3,G131+U130,IF(H127-T128=0,T134,IF(T128-H127=U135+1,$AA$37,IF(T128-H127=U135+2,$Z$37,IF(H127&lt;T128,I131-(T134-$AB$37)/U135))))))))</f>
        <v>0.1400000000000001</v>
      </c>
      <c r="I131" s="286">
        <f>IF(I127-T128&gt;3,T133,IF(I127-T128=1,H131+S130,IF(I127-T128=2,H131+T130,IF(I127-T128=3,H131+U130,IF(I127-T128=0,T134,IF(T128-I127=U135+1,$AA$37,IF(T128-I127=U135+2,$Z$37,IF(I127&lt;T128,J131-(T134-$AB$37)/U135))))))))</f>
        <v>0.1800000000000001</v>
      </c>
      <c r="J131" s="286">
        <f>IF(J127-T128&gt;3,T133,IF(J127-T128=1,I131+S130,IF(J127-T128=2,I131+T130,IF(J127-T128=3,I131+U130,IF(J127-T128=0,T134,IF(T128-J127=U135+1,$AA$37,IF(T128-J127=U135+2,$Z$37,IF(J127&lt;T128,K131-(T134-$AB$37)/U135))))))))</f>
        <v>0.22000000000000011</v>
      </c>
      <c r="K131" s="286">
        <f>IF(K127-T128&gt;3,T133,IF(K127-T128=1,J131+S130,IF(K127-T128=2,J131+T130,IF(K127-T128=3,J131+U130,IF(K127-T128=0,T134,IF(T128-K127=U135+1,$AA$37,IF(T128-K127=U135+2,$Z$37,IF(K127&lt;T128,L131-(T134-$AB$37)/U135))))))))</f>
        <v>0.26000000000000012</v>
      </c>
      <c r="L131" s="286">
        <f>IF(L127-T128&gt;3,T133,IF(L127-T128=1,K131+S130,IF(L127-T128=2,K131+T130,IF(L127-T128=3,K131+U130,IF(L127-T128=0,T134,IF(T128-L127=U135+1,$AA$37,IF(T128-L127=U135+2,$Z$37,IF(L127&lt;T128,M131-(T134-$AB$37)/U135))))))))</f>
        <v>0.3000000000000001</v>
      </c>
      <c r="M131" s="286">
        <f>IF(M127-T128&gt;3,T133,IF(M127-T128=1,L131+S130,IF(M127-T128=2,L131+T130,IF(M127-T128=3,L131+U130,IF(M127-T128=0,T134,IF(T128-M127=U135+1,$AA$37,IF(T128-M127=U135+2,$Z$37,IF(M127&lt;T128,N131-(T134-$AB$37)/U135))))))))</f>
        <v>0.34000000000000008</v>
      </c>
      <c r="N131" s="286">
        <f>IF(N127-T128&gt;3,T133,IF(N127-T128=1,M131+S130,IF(N127-T128=2,M131+T130,IF(N127-T128=3,M131+U130,IF(N127-T128=0,T134,IF(T128-N127=U135+1,$AA$37,IF(T128-N127=U135+2,$Z$37,IF(N127&lt;T128,O131-(T134-$AB$37)/U135))))))))</f>
        <v>0.38000000000000006</v>
      </c>
      <c r="O131" s="286">
        <f>IF(O127-T128&gt;3,T133,IF(O127-T128=1,N131+S130,IF(O127-T128=2,N131+T130,IF(O127-T128=3,N131+U130,IF(O127-T128=0,T134,IF(T128-O127=U135+1,$AA$37,IF(T128-O127=U135+2,$Z$37,IF(O127&lt;T128,P131-(T134-$AB$37)/U135))))))))</f>
        <v>0.42000000000000004</v>
      </c>
      <c r="P131" s="286">
        <f>IF(P127-T128&gt;3,T133,IF(P127-T128=1,O131+S130,IF(P127-T128=2,O131+T130,IF(P127-T128=3,O131+U130,IF(P127-T128=0,T134,IF(T128-P127=U135+1,$AA$37,IF(T128-P127=U135+2,$Z$37,IF(P127&lt;T128,Q131-(T134-$AB$37)/U135))))))))</f>
        <v>0.46</v>
      </c>
      <c r="Q131" s="286">
        <f>IF(Q127-T128&gt;3,T133,IF(Q127-T128=1,P131+S130,IF(Q127-T128=2,P131+T130,IF(Q127-T128=3,P131+U130,IF(Q127-T128=0,T134,IF(T128-Q127=U135+1,$AA$37,IF(T128-Q127=U135+2,$Z$37,IF(Q127&lt;T128,R131-(T134-$AB$37)/U135))))))))</f>
        <v>0.5</v>
      </c>
      <c r="S131" s="287" t="s">
        <v>739</v>
      </c>
      <c r="T131" s="213">
        <f>VLOOKUP(A127,$A$2:$H$19,7,0)</f>
        <v>65</v>
      </c>
      <c r="U131" s="256"/>
      <c r="V131" s="256"/>
    </row>
    <row r="132" spans="1:22">
      <c r="A132" s="270" t="s">
        <v>731</v>
      </c>
      <c r="B132" s="213"/>
      <c r="C132" s="213"/>
      <c r="D132" s="213">
        <f t="shared" ref="D132:Q132" si="131">D130*D133</f>
        <v>0</v>
      </c>
      <c r="E132" s="213">
        <f t="shared" si="131"/>
        <v>-0.52</v>
      </c>
      <c r="F132" s="213">
        <f t="shared" si="131"/>
        <v>0</v>
      </c>
      <c r="G132" s="213">
        <f t="shared" si="131"/>
        <v>5.616000000000005</v>
      </c>
      <c r="H132" s="213">
        <f t="shared" si="131"/>
        <v>12.737088000000009</v>
      </c>
      <c r="I132" s="213">
        <f t="shared" si="131"/>
        <v>23.418046080000018</v>
      </c>
      <c r="J132" s="213">
        <f t="shared" si="131"/>
        <v>35.777570400000023</v>
      </c>
      <c r="K132" s="213">
        <f t="shared" si="131"/>
        <v>54.967358160000032</v>
      </c>
      <c r="L132" s="213">
        <f t="shared" si="131"/>
        <v>72.937456020000013</v>
      </c>
      <c r="M132" s="213">
        <f t="shared" si="131"/>
        <v>86.795572663800016</v>
      </c>
      <c r="N132" s="213">
        <f t="shared" si="131"/>
        <v>101.85715733193001</v>
      </c>
      <c r="O132" s="213">
        <f t="shared" si="131"/>
        <v>118.20791153521351</v>
      </c>
      <c r="P132" s="213">
        <f t="shared" si="131"/>
        <v>135.93909826549552</v>
      </c>
      <c r="Q132" s="213">
        <f t="shared" si="131"/>
        <v>155.14788388996772</v>
      </c>
      <c r="S132" s="287" t="s">
        <v>740</v>
      </c>
      <c r="T132" s="256">
        <f>VLOOKUP(A127,$A$2:$H$19,8,0)</f>
        <v>2018</v>
      </c>
      <c r="U132" s="256"/>
      <c r="V132" s="256"/>
    </row>
    <row r="133" spans="1:22">
      <c r="A133" s="270" t="s">
        <v>635</v>
      </c>
      <c r="B133" s="196">
        <f>'P&amp;L'!G$120</f>
        <v>0.1455435708203236</v>
      </c>
      <c r="C133" s="196">
        <f>'P&amp;L'!H$120</f>
        <v>0.15028163725122043</v>
      </c>
      <c r="D133" s="196">
        <f>'P&amp;L'!I$120</f>
        <v>0.15290792800832961</v>
      </c>
      <c r="E133" s="196">
        <f>'P&amp;L'!J$120</f>
        <v>0.16</v>
      </c>
      <c r="F133" s="196">
        <f>'P&amp;L'!K$120</f>
        <v>0.16</v>
      </c>
      <c r="G133" s="196">
        <f>'P&amp;L'!L$120</f>
        <v>0.16</v>
      </c>
      <c r="H133" s="196">
        <f>'P&amp;L'!M$120</f>
        <v>0.16</v>
      </c>
      <c r="I133" s="196">
        <f>'P&amp;L'!N$120</f>
        <v>0.16</v>
      </c>
      <c r="J133" s="196">
        <f>'P&amp;L'!O$120</f>
        <v>0.16</v>
      </c>
      <c r="K133" s="196">
        <f>'P&amp;L'!P$120</f>
        <v>0.16</v>
      </c>
      <c r="L133" s="196">
        <f>'P&amp;L'!Q$120</f>
        <v>0.16</v>
      </c>
      <c r="M133" s="196">
        <f t="shared" ref="M133" si="132">L133</f>
        <v>0.16</v>
      </c>
      <c r="N133" s="196">
        <f t="shared" ref="N133" si="133">M133</f>
        <v>0.16</v>
      </c>
      <c r="O133" s="196">
        <f t="shared" ref="O133" si="134">N133</f>
        <v>0.16</v>
      </c>
      <c r="P133" s="196">
        <f t="shared" ref="P133" si="135">O133</f>
        <v>0.16</v>
      </c>
      <c r="Q133" s="196">
        <f t="shared" ref="Q133" si="136">P133</f>
        <v>0.16</v>
      </c>
      <c r="S133" s="287" t="s">
        <v>741</v>
      </c>
      <c r="T133" s="288" t="b">
        <f>IF(Q127-T128&gt;3,IF(AND(S128&lt;$X$42,S128&lt;$X$43,S128&lt;$X$44),$AA$45,IF(AND(S128&lt;$X$42,S128&lt;$X$43),$AA$44,IF(S128&lt;$X$42,$AA$43,$AA$42))))</f>
        <v>0</v>
      </c>
      <c r="U133" s="256"/>
      <c r="V133" s="256"/>
    </row>
    <row r="134" spans="1:22">
      <c r="A134" s="256" t="s">
        <v>732</v>
      </c>
      <c r="B134" s="213"/>
      <c r="C134" s="213"/>
      <c r="D134" s="213">
        <f t="shared" ref="D134:Q134" si="137">D130-D132</f>
        <v>0</v>
      </c>
      <c r="E134" s="213">
        <f t="shared" si="137"/>
        <v>-2.73</v>
      </c>
      <c r="F134" s="213">
        <f t="shared" si="137"/>
        <v>0</v>
      </c>
      <c r="G134" s="213">
        <f t="shared" si="137"/>
        <v>29.484000000000023</v>
      </c>
      <c r="H134" s="213">
        <f t="shared" si="137"/>
        <v>66.869712000000035</v>
      </c>
      <c r="I134" s="213">
        <f t="shared" si="137"/>
        <v>122.9447419200001</v>
      </c>
      <c r="J134" s="213">
        <f t="shared" si="137"/>
        <v>187.83224460000011</v>
      </c>
      <c r="K134" s="213">
        <f t="shared" si="137"/>
        <v>288.57863034000013</v>
      </c>
      <c r="L134" s="213">
        <f t="shared" si="137"/>
        <v>382.9216441050001</v>
      </c>
      <c r="M134" s="213">
        <f t="shared" si="137"/>
        <v>455.67675648495003</v>
      </c>
      <c r="N134" s="213">
        <f t="shared" si="137"/>
        <v>534.75007599263256</v>
      </c>
      <c r="O134" s="213">
        <f t="shared" si="137"/>
        <v>620.59153555987098</v>
      </c>
      <c r="P134" s="213">
        <f t="shared" si="137"/>
        <v>713.68026589385147</v>
      </c>
      <c r="Q134" s="213">
        <f t="shared" si="137"/>
        <v>814.52639042233056</v>
      </c>
      <c r="S134" s="287" t="s">
        <v>742</v>
      </c>
      <c r="T134" s="288">
        <f>IF(S128&gt;$X$42,$Z$42,IF(S128&gt;$X$43,$Z$43,IF(S128&gt;$X$44,$Z$44,$Z$45)))</f>
        <v>0.5</v>
      </c>
      <c r="U134" s="256"/>
      <c r="V134" s="256"/>
    </row>
    <row r="135" spans="1:22">
      <c r="A135" s="270" t="s">
        <v>607</v>
      </c>
      <c r="B135" s="277"/>
      <c r="C135" s="277"/>
      <c r="D135" s="277">
        <f t="shared" ref="D135:Q135" si="138">D134</f>
        <v>0</v>
      </c>
      <c r="E135" s="277">
        <f t="shared" si="138"/>
        <v>-2.73</v>
      </c>
      <c r="F135" s="277">
        <f t="shared" si="138"/>
        <v>0</v>
      </c>
      <c r="G135" s="277">
        <f t="shared" si="138"/>
        <v>29.484000000000023</v>
      </c>
      <c r="H135" s="277">
        <f t="shared" si="138"/>
        <v>66.869712000000035</v>
      </c>
      <c r="I135" s="277">
        <f t="shared" si="138"/>
        <v>122.9447419200001</v>
      </c>
      <c r="J135" s="277">
        <f t="shared" si="138"/>
        <v>187.83224460000011</v>
      </c>
      <c r="K135" s="277">
        <f t="shared" si="138"/>
        <v>288.57863034000013</v>
      </c>
      <c r="L135" s="277">
        <f t="shared" si="138"/>
        <v>382.9216441050001</v>
      </c>
      <c r="M135" s="277">
        <f t="shared" si="138"/>
        <v>455.67675648495003</v>
      </c>
      <c r="N135" s="277">
        <f t="shared" si="138"/>
        <v>534.75007599263256</v>
      </c>
      <c r="O135" s="277">
        <f t="shared" si="138"/>
        <v>620.59153555987098</v>
      </c>
      <c r="P135" s="277">
        <f t="shared" si="138"/>
        <v>713.68026589385147</v>
      </c>
      <c r="Q135" s="277">
        <f t="shared" si="138"/>
        <v>814.52639042233056</v>
      </c>
      <c r="S135" s="287" t="s">
        <v>743</v>
      </c>
      <c r="T135" s="256">
        <f>T128-T132</f>
        <v>12</v>
      </c>
      <c r="U135" s="256">
        <f>T135-2</f>
        <v>10</v>
      </c>
      <c r="V135" s="256"/>
    </row>
    <row r="136" spans="1:22">
      <c r="A136" s="279" t="s">
        <v>733</v>
      </c>
      <c r="B136" s="280"/>
      <c r="C136" s="280"/>
      <c r="D136" s="280">
        <f t="shared" ref="D136:Q136" si="139">D135*D$45</f>
        <v>0</v>
      </c>
      <c r="E136" s="280">
        <f t="shared" ca="1" si="139"/>
        <v>-2.5991236553826407</v>
      </c>
      <c r="F136" s="280">
        <f t="shared" ca="1" si="139"/>
        <v>0</v>
      </c>
      <c r="G136" s="280">
        <f t="shared" ca="1" si="139"/>
        <v>24.401167195066616</v>
      </c>
      <c r="H136" s="280">
        <f t="shared" ca="1" si="139"/>
        <v>51.598087251620179</v>
      </c>
      <c r="I136" s="280">
        <f t="shared" ca="1" si="139"/>
        <v>88.449230942072816</v>
      </c>
      <c r="J136" s="280">
        <f t="shared" ca="1" si="139"/>
        <v>125.98945622062972</v>
      </c>
      <c r="K136" s="280">
        <f t="shared" ca="1" si="139"/>
        <v>180.47131075264841</v>
      </c>
      <c r="L136" s="280">
        <f t="shared" ca="1" si="139"/>
        <v>223.27179882586105</v>
      </c>
      <c r="M136" s="280">
        <f t="shared" ca="1" si="139"/>
        <v>247.71983633388254</v>
      </c>
      <c r="N136" s="280">
        <f t="shared" ca="1" si="139"/>
        <v>271.04082757991938</v>
      </c>
      <c r="O136" s="280">
        <f t="shared" ca="1" si="139"/>
        <v>293.27136408498103</v>
      </c>
      <c r="P136" s="280">
        <f t="shared" ca="1" si="139"/>
        <v>314.4469967714943</v>
      </c>
      <c r="Q136" s="280">
        <f t="shared" ca="1" si="139"/>
        <v>334.60226354804223</v>
      </c>
      <c r="S136" s="289" t="s">
        <v>744</v>
      </c>
      <c r="T136" s="288">
        <f>VLOOKUP(S136,$Y$32:$AB$34,2,0)</f>
        <v>-0.7</v>
      </c>
      <c r="U136" s="288">
        <f>VLOOKUP(S136,$Y$32:$AB$34,3,0)</f>
        <v>-0.35</v>
      </c>
      <c r="V136" s="288">
        <f>VLOOKUP(S136,$Y$32:$AB$34,4,0)</f>
        <v>-0.1</v>
      </c>
    </row>
    <row r="137" spans="1:22">
      <c r="A137" s="270" t="s">
        <v>734</v>
      </c>
      <c r="B137" s="213">
        <f ca="1">SUM(B136:Q136)</f>
        <v>2152.6632158508355</v>
      </c>
      <c r="C137" s="277"/>
      <c r="D137" s="277"/>
      <c r="E137" s="277"/>
      <c r="F137" s="277"/>
      <c r="G137" s="277"/>
      <c r="H137" s="277"/>
      <c r="I137" s="277"/>
      <c r="J137" s="277"/>
      <c r="K137" s="277"/>
      <c r="L137" s="277"/>
      <c r="M137" s="277"/>
      <c r="N137" s="256"/>
      <c r="O137" s="256"/>
      <c r="P137" s="256"/>
      <c r="Q137" s="256"/>
    </row>
    <row r="138" spans="1:22">
      <c r="A138" s="281" t="s">
        <v>735</v>
      </c>
      <c r="B138" s="213">
        <f ca="1">(Q135*(1+C138))/(DCF!$H$31-NPV!C138)*NPV!$Q$45</f>
        <v>2593.6852665276128</v>
      </c>
      <c r="C138" s="286">
        <v>-0.05</v>
      </c>
      <c r="D138" s="277"/>
      <c r="E138" s="277"/>
      <c r="F138" s="277"/>
      <c r="G138" s="277"/>
      <c r="H138" s="277"/>
      <c r="I138" s="277"/>
      <c r="J138" s="277"/>
      <c r="K138" s="277"/>
      <c r="L138" s="277"/>
      <c r="M138" s="277"/>
      <c r="N138" s="256"/>
      <c r="O138" s="256"/>
      <c r="P138" s="256"/>
      <c r="Q138" s="256"/>
    </row>
    <row r="139" spans="1:22">
      <c r="A139" s="281" t="s">
        <v>736</v>
      </c>
      <c r="B139" s="213">
        <f ca="1">SUM(B137:B138)/DCF!$C$30</f>
        <v>2.023166446026619</v>
      </c>
      <c r="C139" s="283"/>
      <c r="D139" s="283"/>
      <c r="E139" s="283"/>
      <c r="F139" s="283"/>
      <c r="G139" s="283"/>
      <c r="H139" s="283"/>
      <c r="I139" s="283"/>
      <c r="J139" s="283"/>
      <c r="K139" s="283"/>
      <c r="L139" s="283"/>
      <c r="M139" s="256"/>
      <c r="N139" s="256"/>
      <c r="O139" s="256"/>
      <c r="P139" s="256"/>
      <c r="Q139" s="256"/>
    </row>
    <row r="140" spans="1:22">
      <c r="A140" s="284" t="s">
        <v>737</v>
      </c>
      <c r="B140" s="285">
        <f ca="1">B139/DCF!$H$24</f>
        <v>1.9642392679870087</v>
      </c>
    </row>
    <row r="141" spans="1:22" customFormat="1" ht="15"/>
    <row r="142" spans="1:22" hidden="1" outlineLevel="1">
      <c r="A142" s="265" t="s">
        <v>21</v>
      </c>
      <c r="B142" s="266">
        <v>2015</v>
      </c>
      <c r="C142" s="266">
        <v>2016</v>
      </c>
      <c r="D142" s="266">
        <v>2017</v>
      </c>
      <c r="E142" s="266">
        <v>2018</v>
      </c>
      <c r="F142" s="266">
        <v>2019</v>
      </c>
      <c r="G142" s="266">
        <v>2020</v>
      </c>
      <c r="H142" s="266">
        <v>2021</v>
      </c>
      <c r="I142" s="266">
        <v>2022</v>
      </c>
      <c r="J142" s="266">
        <v>2023</v>
      </c>
      <c r="K142" s="266">
        <v>2024</v>
      </c>
      <c r="L142" s="266">
        <v>2025</v>
      </c>
      <c r="M142" s="266">
        <v>2026</v>
      </c>
      <c r="N142" s="266">
        <v>2027</v>
      </c>
      <c r="O142" s="266">
        <v>2028</v>
      </c>
      <c r="P142" s="266">
        <v>2029</v>
      </c>
      <c r="Q142" s="267">
        <v>2030</v>
      </c>
      <c r="S142" s="256" t="s">
        <v>709</v>
      </c>
      <c r="T142" s="256" t="s">
        <v>710</v>
      </c>
      <c r="U142" s="256"/>
      <c r="V142" s="256"/>
    </row>
    <row r="143" spans="1:22" hidden="1" outlineLevel="1">
      <c r="A143" s="268" t="s">
        <v>729</v>
      </c>
      <c r="B143" s="269">
        <f>Sales!G82</f>
        <v>1630</v>
      </c>
      <c r="C143" s="269">
        <f>Sales!H82</f>
        <v>1646</v>
      </c>
      <c r="D143" s="269">
        <f>Sales!I82</f>
        <v>1612</v>
      </c>
      <c r="E143" s="269">
        <f>Sales!J82</f>
        <v>1602.8601546230848</v>
      </c>
      <c r="F143" s="269">
        <f>Sales!K82</f>
        <v>1547.0909515306232</v>
      </c>
      <c r="G143" s="269">
        <f>Sales!L82</f>
        <v>1493.6227325000109</v>
      </c>
      <c r="H143" s="269">
        <f>Sales!M82</f>
        <v>1442.3501978500105</v>
      </c>
      <c r="I143" s="269">
        <f>Sales!N82</f>
        <v>1393.1731178930104</v>
      </c>
      <c r="J143" s="269">
        <f>Sales!O82</f>
        <v>1345.9960833351502</v>
      </c>
      <c r="K143" s="269">
        <f>Sales!P82</f>
        <v>1300.7282680784469</v>
      </c>
      <c r="L143" s="269">
        <f>Sales!Q82</f>
        <v>1257.283203806378</v>
      </c>
      <c r="M143" s="269">
        <f>L143*(1+M144)</f>
        <v>1219.5647076921866</v>
      </c>
      <c r="N143" s="269">
        <f>M143*(1+N144)</f>
        <v>1182.977766461421</v>
      </c>
      <c r="O143" s="269">
        <f>N143*(1+O144)</f>
        <v>1147.4884334675783</v>
      </c>
      <c r="P143" s="269">
        <f>O143*(1+P144)</f>
        <v>1113.063780463551</v>
      </c>
      <c r="Q143" s="269">
        <f>P143*(1+Q144)</f>
        <v>1079.6718670496443</v>
      </c>
      <c r="S143" s="213">
        <f>MAX(MAX(Sales!C82:W82),MAX(K143:Q143))</f>
        <v>1650</v>
      </c>
      <c r="T143" s="256">
        <f>IFERROR(INDEX(Sales!$B$1:$Q$1,MATCH(NPV!S143,Sales!B82:Q82,0)),INDEX(C142:Q142,MATCH(NPV!S143,C143:Q143,0)))</f>
        <v>2014</v>
      </c>
      <c r="U143" s="256"/>
      <c r="V143" s="256"/>
    </row>
    <row r="144" spans="1:22" hidden="1" outlineLevel="1">
      <c r="A144" s="270" t="s">
        <v>579</v>
      </c>
      <c r="B144" s="271"/>
      <c r="C144" s="271">
        <f t="shared" ref="C144:H144" si="140">C143/B143-1</f>
        <v>9.8159509202453421E-3</v>
      </c>
      <c r="D144" s="271">
        <f t="shared" si="140"/>
        <v>-2.0656136087484844E-2</v>
      </c>
      <c r="E144" s="271">
        <f t="shared" si="140"/>
        <v>-5.6698792660764274E-3</v>
      </c>
      <c r="F144" s="271">
        <f t="shared" si="140"/>
        <v>-3.4793555090634753E-2</v>
      </c>
      <c r="G144" s="271">
        <f t="shared" si="140"/>
        <v>-3.4560488494689512E-2</v>
      </c>
      <c r="H144" s="271">
        <f t="shared" si="140"/>
        <v>-3.4327634103547E-2</v>
      </c>
      <c r="I144" s="271">
        <f>I143/H143-1</f>
        <v>-3.4095103970106733E-2</v>
      </c>
      <c r="J144" s="271">
        <f>J143/I143-1</f>
        <v>-3.3863009522613563E-2</v>
      </c>
      <c r="K144" s="271">
        <f>K143/J143-1</f>
        <v>-3.3631461352054748E-2</v>
      </c>
      <c r="L144" s="271">
        <f>L143/K143-1</f>
        <v>-3.3400569002970837E-2</v>
      </c>
      <c r="M144" s="272">
        <v>-0.03</v>
      </c>
      <c r="N144" s="272">
        <v>-0.03</v>
      </c>
      <c r="O144" s="272">
        <v>-0.03</v>
      </c>
      <c r="P144" s="272">
        <v>-0.03</v>
      </c>
      <c r="Q144" s="272">
        <v>-0.03</v>
      </c>
      <c r="S144" s="256" t="s">
        <v>738</v>
      </c>
      <c r="T144" s="256"/>
      <c r="U144" s="256"/>
      <c r="V144" s="256"/>
    </row>
    <row r="145" spans="1:22" hidden="1" outlineLevel="1">
      <c r="A145" s="273" t="s">
        <v>730</v>
      </c>
      <c r="B145" s="274">
        <f t="shared" ref="B145:Q145" si="141">B143*B146</f>
        <v>652</v>
      </c>
      <c r="C145" s="274">
        <f t="shared" si="141"/>
        <v>609.02</v>
      </c>
      <c r="D145" s="274">
        <f t="shared" si="141"/>
        <v>548.07999999999993</v>
      </c>
      <c r="E145" s="274">
        <f t="shared" si="141"/>
        <v>625.11546030300303</v>
      </c>
      <c r="F145" s="274">
        <f t="shared" si="141"/>
        <v>603.36547109694311</v>
      </c>
      <c r="G145" s="274">
        <f t="shared" si="141"/>
        <v>582.51286567500426</v>
      </c>
      <c r="H145" s="274">
        <f t="shared" si="141"/>
        <v>562.51657716150419</v>
      </c>
      <c r="I145" s="274">
        <f t="shared" si="141"/>
        <v>543.33751597827404</v>
      </c>
      <c r="J145" s="274">
        <f t="shared" si="141"/>
        <v>524.9384725007086</v>
      </c>
      <c r="K145" s="274">
        <f t="shared" si="141"/>
        <v>507.28402455059432</v>
      </c>
      <c r="L145" s="274">
        <f t="shared" si="141"/>
        <v>490.34044948448741</v>
      </c>
      <c r="M145" s="274">
        <f t="shared" si="141"/>
        <v>475.63023599995279</v>
      </c>
      <c r="N145" s="274">
        <f t="shared" si="141"/>
        <v>461.36132891995419</v>
      </c>
      <c r="O145" s="274">
        <f t="shared" si="141"/>
        <v>447.52048905235552</v>
      </c>
      <c r="P145" s="274">
        <f t="shared" si="141"/>
        <v>434.09487438078492</v>
      </c>
      <c r="Q145" s="274">
        <f t="shared" si="141"/>
        <v>421.0720281493613</v>
      </c>
      <c r="S145" s="282">
        <f>IF(S143&gt;$X$39,$Z$39,$Z$40)</f>
        <v>-0.05</v>
      </c>
      <c r="T145" s="282">
        <f>IF(S143&gt;$X$39,$AA$39,$AA$40)</f>
        <v>-0.03</v>
      </c>
      <c r="U145" s="282">
        <f>IF(S143&gt;$X$39,$AB$39,$AB$40)</f>
        <v>-0.03</v>
      </c>
      <c r="V145" s="256"/>
    </row>
    <row r="146" spans="1:22" hidden="1" outlineLevel="1">
      <c r="A146" s="270" t="s">
        <v>580</v>
      </c>
      <c r="B146" s="286">
        <f>IF(B142-T143&gt;3,T148,IF(B142-T143=1,45%+S145,IF(B142-T143=2,45%+T145,IF(B142-T143=3,A146+U145,IF(B142-T143=0,T149,IF(T143-B142=U150+1,$AA$37,IF(T143-B142=U150+2,$Z$37,IF(B142&lt;T143,C146-(T149-$AB$37)/U150))))))))</f>
        <v>0.4</v>
      </c>
      <c r="C146" s="286">
        <f>IF(C142-T143&gt;3,T148,IF(C142-T143=1,B146+S145,IF(C142-T143=2,B146+T145,IF(C142-T143=3,B146+U145,IF(C142-T143=0,T149,IF(T143-C142=U150+1,$AA$37,IF(T143-C142=U150+2,$Z$37,IF(C142&lt;T143,D146-(T149-$AB$37)/U150))))))))</f>
        <v>0.37</v>
      </c>
      <c r="D146" s="286">
        <f>IF(D142-T143&gt;3,T148,IF(D142-T143=1,C146+S145,IF(D142-T143=2,C146+T145,IF(D142-T143=3,C146+U145,IF(D142-T143=0,T149,IF(T143-D142=U150+1,$AA$37,IF(T143-D142=U150+2,$Z$37,IF(D142&lt;T143,E146-(T149-$AB$37)/U150))))))))</f>
        <v>0.33999999999999997</v>
      </c>
      <c r="E146" s="286">
        <f>IF(E142-T143&gt;3,T148,IF(E142-T143=1,D146+S145,IF(E142-T143=2,D146+T145,IF(E142-T143=3,D146+U145,IF(E142-T143=0,T149,IF(T143-E142=U150+1,$AA$37,IF(T143-E142=U150+2,$Z$37,IF(E142&lt;T143,F146-(T149-$AB$37)/U150))))))))</f>
        <v>0.39</v>
      </c>
      <c r="F146" s="286">
        <f>IF(F142-T143&gt;3,T148,IF(F142-T143=1,E146+S145,IF(F142-T143=2,E146+T145,IF(F142-T143=3,E146+U145,IF(F142-T143=0,T149,IF(T143-F142=U150+1,$AA$37,IF(T143-F142=U150+2,$Z$37,IF(F142&lt;T143,G146-(T149-$AB$37)/U150))))))))</f>
        <v>0.39</v>
      </c>
      <c r="G146" s="286">
        <f>IF(G142-T143&gt;3,T148,IF(G142-T143=1,F146+S145,IF(G142-T143=2,F146+T145,IF(G142-T143=3,F146+U145,IF(G142-T143=0,T149,IF(T143-G142=U150+1,$AA$37,IF(T143-G142=U150+2,$Z$37,IF(G142&lt;T143,H146-(T149-$AB$37)/U150))))))))</f>
        <v>0.39</v>
      </c>
      <c r="H146" s="286">
        <f>IF(H142-T143&gt;3,T148,IF(H142-T143=1,G146+S145,IF(H142-T143=2,G146+T145,IF(H142-T143=3,G146+U145,IF(H142-T143=0,T149,IF(T143-H142=U150+1,$AA$37,IF(T143-H142=U150+2,$Z$37,IF(H142&lt;T143,I146-(T149-$AB$37)/U150))))))))</f>
        <v>0.39</v>
      </c>
      <c r="I146" s="286">
        <f>IF(I142-T143&gt;3,T148,IF(I142-T143=1,H146+S145,IF(I142-T143=2,H146+T145,IF(I142-T143=3,H146+U145,IF(I142-T143=0,T149,IF(T143-I142=U150+1,$AA$37,IF(T143-I142=U150+2,$Z$37,IF(I142&lt;T143,J146-(T149-$AB$37)/U150))))))))</f>
        <v>0.39</v>
      </c>
      <c r="J146" s="286">
        <f>IF(J142-T143&gt;3,T148,IF(J142-T143=1,I146+S145,IF(J142-T143=2,I146+T145,IF(J142-T143=3,I146+U145,IF(J142-T143=0,T149,IF(T143-J142=U150+1,$AA$37,IF(T143-J142=U150+2,$Z$37,IF(J142&lt;T143,K146-(T149-$AB$37)/U150))))))))</f>
        <v>0.39</v>
      </c>
      <c r="K146" s="286">
        <f>IF(K142-T143&gt;3,T148,IF(K142-T143=1,J146+S145,IF(K142-T143=2,J146+T145,IF(K142-T143=3,J146+U145,IF(K142-T143=0,T149,IF(T143-K142=U150+1,$AA$37,IF(T143-K142=U150+2,$Z$37,IF(K142&lt;T143,L146-(T149-$AB$37)/U150))))))))</f>
        <v>0.39</v>
      </c>
      <c r="L146" s="286">
        <f>IF(L142-T143&gt;3,T148,IF(L142-T143=1,K146+S145,IF(L142-T143=2,K146+T145,IF(L142-T143=3,K146+U145,IF(L142-T143=0,T149,IF(T143-L142=U150+1,$AA$37,IF(T143-L142=U150+2,$Z$37,IF(L142&lt;T143,M146-(T149-$AB$37)/U150))))))))</f>
        <v>0.39</v>
      </c>
      <c r="M146" s="286">
        <f>IF(M142-T143&gt;3,T148,IF(M142-T143=1,L146+S145,IF(M142-T143=2,L146+T145,IF(M142-T143=3,L146+U145,IF(M142-T143=0,T149,IF(T143-M142=U150+1,$AA$37,IF(T143-M142=U150+2,$Z$37,IF(M142&lt;T143,N146-(T149-$AB$37)/U150))))))))</f>
        <v>0.39</v>
      </c>
      <c r="N146" s="286">
        <f>IF(N142-T143&gt;3,T148,IF(N142-T143=1,M146+S145,IF(N142-T143=2,M146+T145,IF(N142-T143=3,M146+U145,IF(N142-T143=0,T149,IF(T143-N142=U150+1,$AA$37,IF(T143-N142=U150+2,$Z$37,IF(N142&lt;T143,O146-(T149-$AB$37)/U150))))))))</f>
        <v>0.39</v>
      </c>
      <c r="O146" s="286">
        <f>IF(O142-T143&gt;3,T148,IF(O142-T143=1,N146+S145,IF(O142-T143=2,N146+T145,IF(O142-T143=3,N146+U145,IF(O142-T143=0,T149,IF(T143-O142=U150+1,$AA$37,IF(T143-O142=U150+2,$Z$37,IF(O142&lt;T143,P146-(T149-$AB$37)/U150))))))))</f>
        <v>0.39</v>
      </c>
      <c r="P146" s="286">
        <f>IF(P142-T143&gt;3,T148,IF(P142-T143=1,O146+S145,IF(P142-T143=2,O146+T145,IF(P142-T143=3,O146+U145,IF(P142-T143=0,T149,IF(T143-P142=U150+1,$AA$37,IF(T143-P142=U150+2,$Z$37,IF(P142&lt;T143,Q146-(T149-$AB$37)/U150))))))))</f>
        <v>0.39</v>
      </c>
      <c r="Q146" s="286">
        <f>IF(Q142-T143&gt;3,T148,IF(Q142-T143=1,P146+S145,IF(Q142-T143=2,P146+T145,IF(Q142-T143=3,P146+U145,IF(Q142-T143=0,T149,IF(T143-Q142=U150+1,$AA$37,IF(T143-Q142=U150+2,$Z$37,IF(Q142&lt;T143,R146-(T149-$AB$37)/U150))))))))</f>
        <v>0.39</v>
      </c>
      <c r="S146" s="287" t="s">
        <v>739</v>
      </c>
      <c r="T146" s="213">
        <f t="array" ref="T146">INDEX(Sales!B82:Q82,MATCH(FALSE,ISBLANK(Sales!B82:Q82),0))</f>
        <v>1291</v>
      </c>
      <c r="U146" s="256"/>
      <c r="V146" s="256"/>
    </row>
    <row r="147" spans="1:22" hidden="1" outlineLevel="1">
      <c r="A147" s="270" t="s">
        <v>731</v>
      </c>
      <c r="B147" s="213">
        <f>B145*B148</f>
        <v>94.89440817485098</v>
      </c>
      <c r="C147" s="213">
        <f t="shared" ref="C147:Q147" si="142">C145*C148</f>
        <v>91.524522718738268</v>
      </c>
      <c r="D147" s="213">
        <f t="shared" si="142"/>
        <v>82.366359744648875</v>
      </c>
      <c r="E147" s="213">
        <f t="shared" si="142"/>
        <v>93.943374845385591</v>
      </c>
      <c r="F147" s="213">
        <f t="shared" si="142"/>
        <v>90.674750857302527</v>
      </c>
      <c r="G147" s="213">
        <f t="shared" si="142"/>
        <v>87.540987173539889</v>
      </c>
      <c r="H147" s="213">
        <f t="shared" si="142"/>
        <v>84.535912196783315</v>
      </c>
      <c r="I147" s="213">
        <f t="shared" si="142"/>
        <v>81.653651481226163</v>
      </c>
      <c r="J147" s="213">
        <f t="shared" si="142"/>
        <v>78.888613103561241</v>
      </c>
      <c r="K147" s="213">
        <f t="shared" si="142"/>
        <v>76.235473760851619</v>
      </c>
      <c r="L147" s="213">
        <f t="shared" si="142"/>
        <v>73.689165559028112</v>
      </c>
      <c r="M147" s="213">
        <f t="shared" si="142"/>
        <v>71.478490592257273</v>
      </c>
      <c r="N147" s="213">
        <f t="shared" si="142"/>
        <v>69.334135874489547</v>
      </c>
      <c r="O147" s="213">
        <f t="shared" si="142"/>
        <v>67.254111798254854</v>
      </c>
      <c r="P147" s="213">
        <f t="shared" si="142"/>
        <v>65.236488444307213</v>
      </c>
      <c r="Q147" s="213">
        <f t="shared" si="142"/>
        <v>63.279393790977991</v>
      </c>
      <c r="S147" s="287" t="s">
        <v>740</v>
      </c>
      <c r="T147" s="256">
        <f>IFERROR(INDEX(Sales!$B$1:$Q$1,MATCH(NPV!T146,Sales!B82:Q82,0)),INDEX(C142:Q142,MATCH(NPV!T146,C143:Q143,0)))</f>
        <v>2010</v>
      </c>
      <c r="U147" s="256"/>
      <c r="V147" s="256"/>
    </row>
    <row r="148" spans="1:22" hidden="1" outlineLevel="1">
      <c r="A148" s="270" t="s">
        <v>635</v>
      </c>
      <c r="B148" s="196">
        <f>'P&amp;L'!$G$120</f>
        <v>0.1455435708203236</v>
      </c>
      <c r="C148" s="196">
        <f>'P&amp;L'!$H$120</f>
        <v>0.15028163725122043</v>
      </c>
      <c r="D148" s="196">
        <f>C148</f>
        <v>0.15028163725122043</v>
      </c>
      <c r="E148" s="196">
        <f t="shared" ref="E148:Q148" si="143">D148</f>
        <v>0.15028163725122043</v>
      </c>
      <c r="F148" s="196">
        <f t="shared" si="143"/>
        <v>0.15028163725122043</v>
      </c>
      <c r="G148" s="196">
        <f t="shared" si="143"/>
        <v>0.15028163725122043</v>
      </c>
      <c r="H148" s="196">
        <f t="shared" si="143"/>
        <v>0.15028163725122043</v>
      </c>
      <c r="I148" s="196">
        <f t="shared" si="143"/>
        <v>0.15028163725122043</v>
      </c>
      <c r="J148" s="196">
        <f t="shared" si="143"/>
        <v>0.15028163725122043</v>
      </c>
      <c r="K148" s="196">
        <f t="shared" si="143"/>
        <v>0.15028163725122043</v>
      </c>
      <c r="L148" s="196">
        <f t="shared" si="143"/>
        <v>0.15028163725122043</v>
      </c>
      <c r="M148" s="196">
        <f t="shared" si="143"/>
        <v>0.15028163725122043</v>
      </c>
      <c r="N148" s="196">
        <f t="shared" si="143"/>
        <v>0.15028163725122043</v>
      </c>
      <c r="O148" s="196">
        <f t="shared" si="143"/>
        <v>0.15028163725122043</v>
      </c>
      <c r="P148" s="196">
        <f t="shared" si="143"/>
        <v>0.15028163725122043</v>
      </c>
      <c r="Q148" s="196">
        <f t="shared" si="143"/>
        <v>0.15028163725122043</v>
      </c>
      <c r="S148" s="287" t="s">
        <v>741</v>
      </c>
      <c r="T148" s="288">
        <f>IF(Q142-T143&gt;3,IF(AND(S143&lt;$X$42,S143&lt;$X$43,S143&lt;$X$44),$AA$45,IF(AND(S143&lt;$X$42,S143&lt;$X$43),$AA$44,IF(S143&lt;$X$42,$AA$43,$AA$42))))</f>
        <v>0.39</v>
      </c>
      <c r="U148" s="256"/>
      <c r="V148" s="256"/>
    </row>
    <row r="149" spans="1:22" hidden="1" outlineLevel="1">
      <c r="A149" s="256" t="s">
        <v>732</v>
      </c>
      <c r="B149" s="213">
        <f>B145-B147</f>
        <v>557.10559182514908</v>
      </c>
      <c r="C149" s="213">
        <f t="shared" ref="C149:Q149" si="144">C145-C147</f>
        <v>517.49547728126174</v>
      </c>
      <c r="D149" s="213">
        <f t="shared" si="144"/>
        <v>465.71364025535104</v>
      </c>
      <c r="E149" s="213">
        <f t="shared" si="144"/>
        <v>531.17208545761741</v>
      </c>
      <c r="F149" s="213">
        <f t="shared" si="144"/>
        <v>512.69072023964054</v>
      </c>
      <c r="G149" s="213">
        <f t="shared" si="144"/>
        <v>494.9718785014644</v>
      </c>
      <c r="H149" s="213">
        <f t="shared" si="144"/>
        <v>477.98066496472086</v>
      </c>
      <c r="I149" s="213">
        <f t="shared" si="144"/>
        <v>461.68386449704786</v>
      </c>
      <c r="J149" s="213">
        <f t="shared" si="144"/>
        <v>446.04985939714737</v>
      </c>
      <c r="K149" s="213">
        <f t="shared" si="144"/>
        <v>431.04855078974271</v>
      </c>
      <c r="L149" s="213">
        <f t="shared" si="144"/>
        <v>416.65128392545932</v>
      </c>
      <c r="M149" s="213">
        <f t="shared" si="144"/>
        <v>404.1517454076955</v>
      </c>
      <c r="N149" s="213">
        <f t="shared" si="144"/>
        <v>392.02719304546463</v>
      </c>
      <c r="O149" s="213">
        <f t="shared" si="144"/>
        <v>380.26637725410069</v>
      </c>
      <c r="P149" s="213">
        <f t="shared" si="144"/>
        <v>368.8583859364777</v>
      </c>
      <c r="Q149" s="213">
        <f t="shared" si="144"/>
        <v>357.79263435838334</v>
      </c>
      <c r="S149" s="287" t="s">
        <v>742</v>
      </c>
      <c r="T149" s="288">
        <f>IF(S143&gt;$X$42,$Z$42,IF(S143&gt;$X$43,$Z$43,IF(S143&gt;$X$44,$Z$44,$Z$45)))</f>
        <v>0.5</v>
      </c>
      <c r="U149" s="256"/>
      <c r="V149" s="256"/>
    </row>
    <row r="150" spans="1:22" hidden="1" outlineLevel="1">
      <c r="A150" s="270" t="s">
        <v>607</v>
      </c>
      <c r="B150" s="277">
        <f>B149</f>
        <v>557.10559182514908</v>
      </c>
      <c r="C150" s="277">
        <f t="shared" ref="C150:Q150" si="145">C149</f>
        <v>517.49547728126174</v>
      </c>
      <c r="D150" s="277">
        <f t="shared" si="145"/>
        <v>465.71364025535104</v>
      </c>
      <c r="E150" s="277">
        <f t="shared" si="145"/>
        <v>531.17208545761741</v>
      </c>
      <c r="F150" s="277">
        <f t="shared" si="145"/>
        <v>512.69072023964054</v>
      </c>
      <c r="G150" s="277">
        <f t="shared" si="145"/>
        <v>494.9718785014644</v>
      </c>
      <c r="H150" s="277">
        <f t="shared" si="145"/>
        <v>477.98066496472086</v>
      </c>
      <c r="I150" s="277">
        <f t="shared" si="145"/>
        <v>461.68386449704786</v>
      </c>
      <c r="J150" s="277">
        <f t="shared" si="145"/>
        <v>446.04985939714737</v>
      </c>
      <c r="K150" s="277">
        <f t="shared" si="145"/>
        <v>431.04855078974271</v>
      </c>
      <c r="L150" s="277">
        <f t="shared" si="145"/>
        <v>416.65128392545932</v>
      </c>
      <c r="M150" s="277">
        <f t="shared" si="145"/>
        <v>404.1517454076955</v>
      </c>
      <c r="N150" s="277">
        <f t="shared" si="145"/>
        <v>392.02719304546463</v>
      </c>
      <c r="O150" s="277">
        <f t="shared" si="145"/>
        <v>380.26637725410069</v>
      </c>
      <c r="P150" s="277">
        <f t="shared" si="145"/>
        <v>368.8583859364777</v>
      </c>
      <c r="Q150" s="277">
        <f t="shared" si="145"/>
        <v>357.79263435838334</v>
      </c>
      <c r="S150" s="287" t="s">
        <v>743</v>
      </c>
      <c r="T150" s="256">
        <f>T143-T147</f>
        <v>4</v>
      </c>
      <c r="U150" s="256">
        <f>T150-2</f>
        <v>2</v>
      </c>
      <c r="V150" s="256"/>
    </row>
    <row r="151" spans="1:22" hidden="1" outlineLevel="1">
      <c r="A151" s="279" t="s">
        <v>733</v>
      </c>
      <c r="B151" s="280">
        <f t="shared" ref="B151:Q151" si="146">B150*B$45</f>
        <v>0</v>
      </c>
      <c r="C151" s="280">
        <f t="shared" si="146"/>
        <v>0</v>
      </c>
      <c r="D151" s="280">
        <f t="shared" si="146"/>
        <v>0</v>
      </c>
      <c r="E151" s="280">
        <f t="shared" ca="1" si="146"/>
        <v>505.70766754279225</v>
      </c>
      <c r="F151" s="280">
        <f t="shared" ca="1" si="146"/>
        <v>455.09252611747507</v>
      </c>
      <c r="G151" s="280">
        <f t="shared" ca="1" si="146"/>
        <v>409.64223186034536</v>
      </c>
      <c r="H151" s="280">
        <f t="shared" ca="1" si="146"/>
        <v>368.82001309407593</v>
      </c>
      <c r="I151" s="280">
        <f t="shared" ca="1" si="146"/>
        <v>332.1458251520807</v>
      </c>
      <c r="J151" s="280">
        <f t="shared" ca="1" si="146"/>
        <v>299.19026603984321</v>
      </c>
      <c r="K151" s="280">
        <f t="shared" ca="1" si="146"/>
        <v>269.56915301524873</v>
      </c>
      <c r="L151" s="280">
        <f t="shared" ca="1" si="146"/>
        <v>242.93868752854641</v>
      </c>
      <c r="M151" s="280">
        <f t="shared" ca="1" si="146"/>
        <v>219.70926276498352</v>
      </c>
      <c r="N151" s="280">
        <f t="shared" ca="1" si="146"/>
        <v>198.70099997580826</v>
      </c>
      <c r="O151" s="280">
        <f t="shared" ca="1" si="146"/>
        <v>179.70151505910317</v>
      </c>
      <c r="P151" s="280">
        <f t="shared" ca="1" si="146"/>
        <v>162.51873175509289</v>
      </c>
      <c r="Q151" s="280">
        <f t="shared" ca="1" si="146"/>
        <v>146.97893984141925</v>
      </c>
      <c r="S151" s="289" t="s">
        <v>744</v>
      </c>
      <c r="T151" s="288">
        <f>VLOOKUP(S151,$Y$32:$AB$34,2,0)</f>
        <v>-0.7</v>
      </c>
      <c r="U151" s="288">
        <f>VLOOKUP(S151,$Y$32:$AB$34,3,0)</f>
        <v>-0.35</v>
      </c>
      <c r="V151" s="288">
        <f>VLOOKUP(S151,$Y$32:$AB$34,4,0)</f>
        <v>-0.1</v>
      </c>
    </row>
    <row r="152" spans="1:22" hidden="1" outlineLevel="1">
      <c r="A152" s="270" t="s">
        <v>734</v>
      </c>
      <c r="B152" s="213">
        <f ca="1">SUM(B151:Q151)</f>
        <v>3790.7158197468152</v>
      </c>
      <c r="C152" s="277"/>
      <c r="D152" s="277"/>
      <c r="E152" s="277"/>
      <c r="F152" s="277"/>
      <c r="G152" s="277"/>
      <c r="H152" s="277"/>
      <c r="I152" s="277"/>
      <c r="J152" s="277"/>
      <c r="K152" s="277"/>
      <c r="L152" s="277"/>
      <c r="M152" s="277"/>
      <c r="N152" s="256"/>
      <c r="O152" s="256"/>
      <c r="P152" s="256"/>
      <c r="Q152" s="256"/>
    </row>
    <row r="153" spans="1:22" hidden="1" outlineLevel="1">
      <c r="A153" s="281" t="s">
        <v>735</v>
      </c>
      <c r="B153" s="213">
        <f ca="1">(Q150*(1+C153))/(DCF!$H$31-NPV!C153)*NPV!$Q$45</f>
        <v>1139.3142016261413</v>
      </c>
      <c r="C153" s="282">
        <v>-0.05</v>
      </c>
      <c r="D153" s="277"/>
      <c r="E153" s="277"/>
      <c r="F153" s="277"/>
      <c r="G153" s="277"/>
      <c r="H153" s="277"/>
      <c r="I153" s="277"/>
      <c r="J153" s="277"/>
      <c r="K153" s="277"/>
      <c r="L153" s="277"/>
      <c r="M153" s="277"/>
      <c r="N153" s="256"/>
      <c r="O153" s="256"/>
      <c r="P153" s="256"/>
      <c r="Q153" s="256"/>
    </row>
    <row r="154" spans="1:22" hidden="1" outlineLevel="1">
      <c r="A154" s="281" t="s">
        <v>736</v>
      </c>
      <c r="B154" s="213">
        <f ca="1">SUM(B152:B153)/DCF!$C$30</f>
        <v>2.1014620721964863</v>
      </c>
      <c r="C154" s="283"/>
      <c r="D154" s="283"/>
      <c r="E154" s="283"/>
      <c r="F154" s="283"/>
      <c r="G154" s="283"/>
      <c r="H154" s="283"/>
      <c r="I154" s="283"/>
      <c r="J154" s="283"/>
      <c r="K154" s="283"/>
      <c r="L154" s="283"/>
      <c r="M154" s="256"/>
      <c r="N154" s="256"/>
      <c r="O154" s="256"/>
      <c r="P154" s="256"/>
      <c r="Q154" s="256"/>
    </row>
    <row r="155" spans="1:22" hidden="1" outlineLevel="1">
      <c r="A155" s="284" t="s">
        <v>737</v>
      </c>
      <c r="B155" s="285">
        <f ca="1">B154/DCF!$H$24</f>
        <v>2.0402544390257149</v>
      </c>
    </row>
    <row r="156" spans="1:22" hidden="1" outlineLevel="1"/>
    <row r="157" spans="1:22" hidden="1" outlineLevel="1">
      <c r="A157" s="265" t="s">
        <v>22</v>
      </c>
      <c r="B157" s="266">
        <v>2015</v>
      </c>
      <c r="C157" s="266">
        <v>2016</v>
      </c>
      <c r="D157" s="266">
        <v>2017</v>
      </c>
      <c r="E157" s="266">
        <v>2018</v>
      </c>
      <c r="F157" s="266">
        <v>2019</v>
      </c>
      <c r="G157" s="266">
        <v>2020</v>
      </c>
      <c r="H157" s="266">
        <v>2021</v>
      </c>
      <c r="I157" s="266">
        <v>2022</v>
      </c>
      <c r="J157" s="266">
        <v>2023</v>
      </c>
      <c r="K157" s="266">
        <v>2024</v>
      </c>
      <c r="L157" s="266">
        <v>2025</v>
      </c>
      <c r="M157" s="266">
        <v>2026</v>
      </c>
      <c r="N157" s="266">
        <v>2027</v>
      </c>
      <c r="O157" s="266">
        <v>2028</v>
      </c>
      <c r="P157" s="266">
        <v>2029</v>
      </c>
      <c r="Q157" s="267">
        <v>2030</v>
      </c>
      <c r="S157" s="256" t="s">
        <v>709</v>
      </c>
      <c r="T157" s="256" t="s">
        <v>710</v>
      </c>
      <c r="U157" s="256"/>
      <c r="V157" s="256"/>
    </row>
    <row r="158" spans="1:22" hidden="1" outlineLevel="1">
      <c r="A158" s="268" t="s">
        <v>729</v>
      </c>
      <c r="B158" s="269">
        <f>Sales!G90</f>
        <v>917</v>
      </c>
      <c r="C158" s="269">
        <f>Sales!H90</f>
        <v>956</v>
      </c>
      <c r="D158" s="269">
        <f>Sales!I90</f>
        <v>1059</v>
      </c>
      <c r="E158" s="269">
        <f>Sales!J90</f>
        <v>1139.838043382573</v>
      </c>
      <c r="F158" s="269">
        <f>Sales!K90</f>
        <v>879.24718468405024</v>
      </c>
      <c r="G158" s="269">
        <f>Sales!L90</f>
        <v>674.80160022457176</v>
      </c>
      <c r="H158" s="269">
        <f>Sales!M90</f>
        <v>359.64880011228587</v>
      </c>
      <c r="I158" s="269">
        <f>Sales!N90</f>
        <v>106.97036002245716</v>
      </c>
      <c r="J158" s="269">
        <f>Sales!O90</f>
        <v>96.273324020211447</v>
      </c>
      <c r="K158" s="269">
        <f>Sales!P90</f>
        <v>86.645991618190294</v>
      </c>
      <c r="L158" s="269">
        <f>Sales!Q90</f>
        <v>77.981392456371267</v>
      </c>
      <c r="M158" s="269">
        <f>L158*(1+M159)</f>
        <v>70.183253210734136</v>
      </c>
      <c r="N158" s="269">
        <f>M158*(1+N159)</f>
        <v>63.164927889660724</v>
      </c>
      <c r="O158" s="269">
        <f>N158*(1+O159)</f>
        <v>56.848435100694651</v>
      </c>
      <c r="P158" s="269">
        <f>O158*(1+P159)</f>
        <v>51.163591590625188</v>
      </c>
      <c r="Q158" s="269">
        <f>P158*(1+Q159)</f>
        <v>46.047232431562669</v>
      </c>
      <c r="S158" s="213">
        <f>MAX(MAX(Sales!C90:W90),MAX(K158:Q158))</f>
        <v>1139.838043382573</v>
      </c>
      <c r="T158" s="256">
        <f>IFERROR(INDEX(Sales!$B$1:$Q$1,MATCH(NPV!S158,Sales!B90:Q90,0)),INDEX(C157:Q157,MATCH(NPV!S158,C158:Q158,0)))</f>
        <v>2018</v>
      </c>
      <c r="U158" s="256"/>
      <c r="V158" s="256"/>
    </row>
    <row r="159" spans="1:22" hidden="1" outlineLevel="1">
      <c r="A159" s="270" t="s">
        <v>579</v>
      </c>
      <c r="B159" s="271"/>
      <c r="C159" s="271">
        <f t="shared" ref="C159:H159" si="147">C158/B158-1</f>
        <v>4.2529989094874487E-2</v>
      </c>
      <c r="D159" s="271">
        <f t="shared" si="147"/>
        <v>0.10774058577405854</v>
      </c>
      <c r="E159" s="271">
        <f t="shared" si="147"/>
        <v>7.6334318585999039E-2</v>
      </c>
      <c r="F159" s="271">
        <f t="shared" si="147"/>
        <v>-0.22862095208297817</v>
      </c>
      <c r="G159" s="271">
        <f t="shared" si="147"/>
        <v>-0.2325234450798318</v>
      </c>
      <c r="H159" s="271">
        <f t="shared" si="147"/>
        <v>-0.46703030936412138</v>
      </c>
      <c r="I159" s="271">
        <f>I158/H158-1</f>
        <v>-0.70256995160539959</v>
      </c>
      <c r="J159" s="271">
        <f>J158/I158-1</f>
        <v>-9.9999999999999978E-2</v>
      </c>
      <c r="K159" s="272">
        <v>-0.1</v>
      </c>
      <c r="L159" s="272">
        <v>-0.1</v>
      </c>
      <c r="M159" s="272">
        <v>-0.1</v>
      </c>
      <c r="N159" s="272">
        <v>-0.1</v>
      </c>
      <c r="O159" s="272">
        <v>-0.1</v>
      </c>
      <c r="P159" s="272">
        <v>-0.1</v>
      </c>
      <c r="Q159" s="272">
        <v>-0.1</v>
      </c>
      <c r="S159" s="256" t="s">
        <v>738</v>
      </c>
      <c r="T159" s="256"/>
      <c r="U159" s="256"/>
      <c r="V159" s="256"/>
    </row>
    <row r="160" spans="1:22" hidden="1" outlineLevel="1">
      <c r="A160" s="273" t="s">
        <v>730</v>
      </c>
      <c r="B160" s="274">
        <f t="shared" ref="B160:Q160" si="148">B158*B161</f>
        <v>275.10000000000002</v>
      </c>
      <c r="C160" s="274">
        <f t="shared" si="148"/>
        <v>350.53333333333336</v>
      </c>
      <c r="D160" s="274">
        <f t="shared" si="148"/>
        <v>458.90000000000003</v>
      </c>
      <c r="E160" s="274">
        <f t="shared" si="148"/>
        <v>569.9190216912865</v>
      </c>
      <c r="F160" s="274">
        <f t="shared" si="148"/>
        <v>395.66123310782262</v>
      </c>
      <c r="G160" s="274">
        <f t="shared" si="148"/>
        <v>283.41667209432018</v>
      </c>
      <c r="H160" s="274">
        <f t="shared" si="148"/>
        <v>140.2630320437915</v>
      </c>
      <c r="I160" s="274">
        <f t="shared" si="148"/>
        <v>41.718440408758291</v>
      </c>
      <c r="J160" s="274">
        <f t="shared" si="148"/>
        <v>37.546596367882465</v>
      </c>
      <c r="K160" s="274">
        <f t="shared" si="148"/>
        <v>33.791936731094218</v>
      </c>
      <c r="L160" s="274">
        <f t="shared" si="148"/>
        <v>30.412743057984795</v>
      </c>
      <c r="M160" s="274">
        <f t="shared" si="148"/>
        <v>27.371468752186313</v>
      </c>
      <c r="N160" s="274">
        <f t="shared" si="148"/>
        <v>24.634321876967682</v>
      </c>
      <c r="O160" s="274">
        <f t="shared" si="148"/>
        <v>22.170889689270915</v>
      </c>
      <c r="P160" s="274">
        <f t="shared" si="148"/>
        <v>19.953800720343825</v>
      </c>
      <c r="Q160" s="274">
        <f t="shared" si="148"/>
        <v>17.958420648309442</v>
      </c>
      <c r="S160" s="282">
        <f>IF(S158&gt;$X$39,$Z$39,$Z$40)</f>
        <v>-0.05</v>
      </c>
      <c r="T160" s="282">
        <f>IF(S158&gt;$X$39,$AA$39,$AA$40)</f>
        <v>-0.03</v>
      </c>
      <c r="U160" s="282">
        <f>IF(S158&gt;$X$39,$AB$39,$AB$40)</f>
        <v>-0.03</v>
      </c>
      <c r="V160" s="256"/>
    </row>
    <row r="161" spans="1:22" hidden="1" outlineLevel="1">
      <c r="A161" s="270" t="s">
        <v>580</v>
      </c>
      <c r="B161" s="286">
        <f>IF(B157-T158&gt;3,T163,IF(B157-T158=1,45%+S160,IF(B157-T158=2,A161+T160,IF(B157-T158=3,A161+U160,IF(B157-T158=0,T164,IF(T158-B157=U165+1,$AA$37,IF(T158-B157=U165+2,$Z$37,IF(B157&lt;T158,C161-(T164-$AB$37)/U165))))))))</f>
        <v>0.30000000000000004</v>
      </c>
      <c r="C161" s="286">
        <f>IF(C157-T158&gt;3,T163,IF(C157-T158=1,B161+S160,IF(C157-T158=2,B161+T160,IF(C157-T158=3,B161+U160,IF(C157-T158=0,T164,IF(T158-C157=U165+1,$AA$37,IF(T158-C157=U165+2,$Z$37,IF(C157&lt;T158,D161-(T164-$AB$37)/U165))))))))</f>
        <v>0.3666666666666667</v>
      </c>
      <c r="D161" s="286">
        <f>IF(D157-T158&gt;3,T163,IF(D157-T158=1,C161+S160,IF(D157-T158=2,C161+T160,IF(D157-T158=3,C161+U160,IF(D157-T158=0,T164,IF(T158-D157=U165+1,$AA$37,IF(T158-D157=U165+2,$Z$37,IF(D157&lt;T158,E161-(T164-$AB$37)/U165))))))))</f>
        <v>0.43333333333333335</v>
      </c>
      <c r="E161" s="286">
        <f>IF(E157-T158&gt;3,T163,IF(E157-T158=1,D161+S160,IF(E157-T158=2,D161+T160,IF(E157-T158=3,D161+U160,IF(E157-T158=0,T164,IF(T158-E157=U165+1,$AA$37,IF(T158-E157=U165+2,$Z$37,IF(E157&lt;T158,F161-(T164-$AB$37)/U165))))))))</f>
        <v>0.5</v>
      </c>
      <c r="F161" s="286">
        <f>IF(F157-T158&gt;3,T163,IF(F157-T158=1,E161+S160,IF(F157-T158=2,E161+T160,IF(F157-T158=3,E161+U160,IF(F157-T158=0,T164,IF(T158-F157=U165+1,$AA$37,IF(T158-F157=U165+2,$Z$37,IF(F157&lt;T158,G161-(T164-$AB$37)/U165))))))))</f>
        <v>0.45</v>
      </c>
      <c r="G161" s="286">
        <f>IF(G157-T158&gt;3,T163,IF(G157-T158=1,F161+S160,IF(G157-T158=2,F161+T160,IF(G157-T158=3,F161+U160,IF(G157-T158=0,T164,IF(T158-G157=U165+1,$AA$37,IF(T158-G157=U165+2,$Z$37,IF(G157&lt;T158,H161-(T164-$AB$37)/U165))))))))</f>
        <v>0.42000000000000004</v>
      </c>
      <c r="H161" s="286">
        <f>IF(H157-T158&gt;3,T163,IF(H157-T158=1,G161+S160,IF(H157-T158=2,G161+T160,IF(H157-T158=3,G161+U160,IF(H157-T158=0,T164,IF(T158-H157=U165+1,$AA$37,IF(T158-H157=U165+2,$Z$37,IF(H157&lt;T158,I161-(T164-$AB$37)/U165))))))))</f>
        <v>0.39</v>
      </c>
      <c r="I161" s="286">
        <f>IF(I157-T158&gt;3,T163,IF(I157-T158=1,H161+S160,IF(I157-T158=2,H161+T160,IF(I157-T158=3,H161+U160,IF(I157-T158=0,T164,IF(T158-I157=U165+1,$AA$37,IF(T158-I157=U165+2,$Z$37,IF(I157&lt;T158,J161-(T164-$AB$37)/U165))))))))</f>
        <v>0.39</v>
      </c>
      <c r="J161" s="286">
        <f>IF(J157-T158&gt;3,T163,IF(J157-T158=1,I161+S160,IF(J157-T158=2,I161+T160,IF(J157-T158=3,I161+U160,IF(J157-T158=0,T164,IF(T158-J157=U165+1,$AA$37,IF(T158-J157=U165+2,$Z$37,IF(J157&lt;T158,K161-(T164-$AB$37)/U165))))))))</f>
        <v>0.39</v>
      </c>
      <c r="K161" s="286">
        <f>IF(K157-T158&gt;3,T163,IF(K157-T158=1,J161+S160,IF(K157-T158=2,J161+T160,IF(K157-T158=3,J161+U160,IF(K157-T158=0,T164,IF(T158-K157=U165+1,$AA$37,IF(T158-K157=U165+2,$Z$37,IF(K157&lt;T158,L161-(T164-$AB$37)/U165))))))))</f>
        <v>0.39</v>
      </c>
      <c r="L161" s="286">
        <f>IF(L157-T158&gt;3,T163,IF(L157-T158=1,K161+S160,IF(L157-T158=2,K161+T160,IF(L157-T158=3,K161+U160,IF(L157-T158=0,T164,IF(T158-L157=U165+1,$AA$37,IF(T158-L157=U165+2,$Z$37,IF(L157&lt;T158,M161-(T164-$AB$37)/U165))))))))</f>
        <v>0.39</v>
      </c>
      <c r="M161" s="286">
        <f>IF(M157-T158&gt;3,T163,IF(M157-T158=1,L161+S160,IF(M157-T158=2,L161+T160,IF(M157-T158=3,L161+U160,IF(M157-T158=0,T164,IF(T158-M157=U165+1,$AA$37,IF(T158-M157=U165+2,$Z$37,IF(M157&lt;T158,N161-(T164-$AB$37)/U165))))))))</f>
        <v>0.39</v>
      </c>
      <c r="N161" s="286">
        <f>IF(N157-T158&gt;3,T163,IF(N157-T158=1,M161+S160,IF(N157-T158=2,M161+T160,IF(N157-T158=3,M161+U160,IF(N157-T158=0,T164,IF(T158-N157=U165+1,$AA$37,IF(T158-N157=U165+2,$Z$37,IF(N157&lt;T158,O161-(T164-$AB$37)/U165))))))))</f>
        <v>0.39</v>
      </c>
      <c r="O161" s="286">
        <f>IF(O157-T158&gt;3,T163,IF(O157-T158=1,N161+S160,IF(O157-T158=2,N161+T160,IF(O157-T158=3,N161+U160,IF(O157-T158=0,T164,IF(T158-O157=U165+1,$AA$37,IF(T158-O157=U165+2,$Z$37,IF(O157&lt;T158,P161-(T164-$AB$37)/U165))))))))</f>
        <v>0.39</v>
      </c>
      <c r="P161" s="286">
        <f>IF(P157-T158&gt;3,T163,IF(P157-T158=1,O161+S160,IF(P157-T158=2,O161+T160,IF(P157-T158=3,O161+U160,IF(P157-T158=0,T164,IF(T158-P157=U165+1,$AA$37,IF(T158-P157=U165+2,$Z$37,IF(P157&lt;T158,Q161-(T164-$AB$37)/U165))))))))</f>
        <v>0.39</v>
      </c>
      <c r="Q161" s="286">
        <f>IF(Q157-T158&gt;3,T163,IF(Q157-T158=1,P161+S160,IF(Q157-T158=2,P161+T160,IF(Q157-T158=3,P161+U160,IF(Q157-T158=0,T164,IF(T158-Q157=U165+1,$AA$37,IF(T158-Q157=U165+2,$Z$37,IF(Q157&lt;T158,R161-(T164-$AB$37)/U165))))))))</f>
        <v>0.39</v>
      </c>
      <c r="S161" s="287" t="s">
        <v>739</v>
      </c>
      <c r="T161" s="213">
        <f t="array" ref="T161">INDEX(Sales!B90:Q90,MATCH(FALSE,ISBLANK(Sales!B90:Q90),0))</f>
        <v>762</v>
      </c>
      <c r="U161" s="256"/>
      <c r="V161" s="256"/>
    </row>
    <row r="162" spans="1:22" hidden="1" outlineLevel="1">
      <c r="A162" s="270" t="s">
        <v>731</v>
      </c>
      <c r="B162" s="213">
        <f>B160*B163</f>
        <v>40.039036332671024</v>
      </c>
      <c r="C162" s="213">
        <f t="shared" ref="C162:Q162" si="149">C160*C163</f>
        <v>52.678723244461139</v>
      </c>
      <c r="D162" s="213">
        <f t="shared" si="149"/>
        <v>68.964243334585063</v>
      </c>
      <c r="E162" s="213">
        <f t="shared" si="149"/>
        <v>85.648363680380342</v>
      </c>
      <c r="F162" s="213">
        <f t="shared" si="149"/>
        <v>59.460617908280369</v>
      </c>
      <c r="G162" s="213">
        <f t="shared" si="149"/>
        <v>42.59232150662671</v>
      </c>
      <c r="H162" s="213">
        <f t="shared" si="149"/>
        <v>21.07895810136138</v>
      </c>
      <c r="I162" s="213">
        <f t="shared" si="149"/>
        <v>6.2695155281956696</v>
      </c>
      <c r="J162" s="213">
        <f t="shared" si="149"/>
        <v>5.6425639753761034</v>
      </c>
      <c r="K162" s="213">
        <f t="shared" si="149"/>
        <v>5.0783075778384923</v>
      </c>
      <c r="L162" s="213">
        <f t="shared" si="149"/>
        <v>4.5704768200546431</v>
      </c>
      <c r="M162" s="213">
        <f t="shared" si="149"/>
        <v>4.1134291380491783</v>
      </c>
      <c r="N162" s="213">
        <f t="shared" si="149"/>
        <v>3.7020862242442609</v>
      </c>
      <c r="O162" s="213">
        <f t="shared" si="149"/>
        <v>3.3318776018198348</v>
      </c>
      <c r="P162" s="213">
        <f t="shared" si="149"/>
        <v>2.9986898416378516</v>
      </c>
      <c r="Q162" s="213">
        <f t="shared" si="149"/>
        <v>2.6988208574740664</v>
      </c>
      <c r="S162" s="287" t="s">
        <v>740</v>
      </c>
      <c r="T162" s="256">
        <f>IFERROR(INDEX(Sales!$B$1:$Q$1,MATCH(NPV!T161,Sales!B90:Q90,0)),INDEX(C157:Q157,MATCH(NPV!T161,C158:Q158,0)))</f>
        <v>2010</v>
      </c>
      <c r="U162" s="256"/>
      <c r="V162" s="256"/>
    </row>
    <row r="163" spans="1:22" hidden="1" outlineLevel="1">
      <c r="A163" s="270" t="s">
        <v>635</v>
      </c>
      <c r="B163" s="196">
        <f>'P&amp;L'!$G$120</f>
        <v>0.1455435708203236</v>
      </c>
      <c r="C163" s="196">
        <f>'P&amp;L'!$H$120</f>
        <v>0.15028163725122043</v>
      </c>
      <c r="D163" s="196">
        <f>C163</f>
        <v>0.15028163725122043</v>
      </c>
      <c r="E163" s="196">
        <f t="shared" ref="E163:Q163" si="150">D163</f>
        <v>0.15028163725122043</v>
      </c>
      <c r="F163" s="196">
        <f t="shared" si="150"/>
        <v>0.15028163725122043</v>
      </c>
      <c r="G163" s="196">
        <f t="shared" si="150"/>
        <v>0.15028163725122043</v>
      </c>
      <c r="H163" s="196">
        <f t="shared" si="150"/>
        <v>0.15028163725122043</v>
      </c>
      <c r="I163" s="196">
        <f t="shared" si="150"/>
        <v>0.15028163725122043</v>
      </c>
      <c r="J163" s="196">
        <f t="shared" si="150"/>
        <v>0.15028163725122043</v>
      </c>
      <c r="K163" s="196">
        <f t="shared" si="150"/>
        <v>0.15028163725122043</v>
      </c>
      <c r="L163" s="196">
        <f t="shared" si="150"/>
        <v>0.15028163725122043</v>
      </c>
      <c r="M163" s="196">
        <f t="shared" si="150"/>
        <v>0.15028163725122043</v>
      </c>
      <c r="N163" s="196">
        <f t="shared" si="150"/>
        <v>0.15028163725122043</v>
      </c>
      <c r="O163" s="196">
        <f t="shared" si="150"/>
        <v>0.15028163725122043</v>
      </c>
      <c r="P163" s="196">
        <f t="shared" si="150"/>
        <v>0.15028163725122043</v>
      </c>
      <c r="Q163" s="196">
        <f t="shared" si="150"/>
        <v>0.15028163725122043</v>
      </c>
      <c r="S163" s="287" t="s">
        <v>741</v>
      </c>
      <c r="T163" s="288">
        <f>IF(Q157-T158&gt;3,IF(AND(S158&lt;$X$42,S158&lt;$X$43,S158&lt;$X$44),$AA$45,IF(AND(S158&lt;$X$42,S158&lt;$X$43),$AA$44,IF(S158&lt;$X$42,$AA$43,$AA$42))))</f>
        <v>0.39</v>
      </c>
      <c r="U163" s="256"/>
      <c r="V163" s="256"/>
    </row>
    <row r="164" spans="1:22" hidden="1" outlineLevel="1">
      <c r="A164" s="256" t="s">
        <v>732</v>
      </c>
      <c r="B164" s="213">
        <f>B160-B162</f>
        <v>235.06096366732899</v>
      </c>
      <c r="C164" s="213">
        <f t="shared" ref="C164:Q164" si="151">C160-C162</f>
        <v>297.85461008887222</v>
      </c>
      <c r="D164" s="213">
        <f t="shared" si="151"/>
        <v>389.93575666541494</v>
      </c>
      <c r="E164" s="213">
        <f t="shared" si="151"/>
        <v>484.27065801090617</v>
      </c>
      <c r="F164" s="213">
        <f t="shared" si="151"/>
        <v>336.20061519954226</v>
      </c>
      <c r="G164" s="213">
        <f t="shared" si="151"/>
        <v>240.82435058769346</v>
      </c>
      <c r="H164" s="213">
        <f t="shared" si="151"/>
        <v>119.18407394243012</v>
      </c>
      <c r="I164" s="213">
        <f t="shared" si="151"/>
        <v>35.448924880562622</v>
      </c>
      <c r="J164" s="213">
        <f t="shared" si="151"/>
        <v>31.904032392506362</v>
      </c>
      <c r="K164" s="213">
        <f t="shared" si="151"/>
        <v>28.713629153255724</v>
      </c>
      <c r="L164" s="213">
        <f t="shared" si="151"/>
        <v>25.842266237930151</v>
      </c>
      <c r="M164" s="213">
        <f t="shared" si="151"/>
        <v>23.258039614137136</v>
      </c>
      <c r="N164" s="213">
        <f t="shared" si="151"/>
        <v>20.932235652723421</v>
      </c>
      <c r="O164" s="213">
        <f t="shared" si="151"/>
        <v>18.839012087451081</v>
      </c>
      <c r="P164" s="213">
        <f t="shared" si="151"/>
        <v>16.955110878705973</v>
      </c>
      <c r="Q164" s="213">
        <f t="shared" si="151"/>
        <v>15.259599790835376</v>
      </c>
      <c r="S164" s="287" t="s">
        <v>742</v>
      </c>
      <c r="T164" s="288">
        <f>IF(S158&gt;$X$42,$Z$42,IF(S158&gt;$X$43,$Z$43,IF(S158&gt;$X$44,$Z$44,$Z$45)))</f>
        <v>0.5</v>
      </c>
      <c r="U164" s="256"/>
      <c r="V164" s="256"/>
    </row>
    <row r="165" spans="1:22" hidden="1" outlineLevel="1">
      <c r="A165" s="270" t="s">
        <v>607</v>
      </c>
      <c r="B165" s="277">
        <f>B164</f>
        <v>235.06096366732899</v>
      </c>
      <c r="C165" s="277">
        <f t="shared" ref="C165:Q165" si="152">C164</f>
        <v>297.85461008887222</v>
      </c>
      <c r="D165" s="277">
        <f t="shared" si="152"/>
        <v>389.93575666541494</v>
      </c>
      <c r="E165" s="277">
        <f t="shared" si="152"/>
        <v>484.27065801090617</v>
      </c>
      <c r="F165" s="277">
        <f t="shared" si="152"/>
        <v>336.20061519954226</v>
      </c>
      <c r="G165" s="277">
        <f t="shared" si="152"/>
        <v>240.82435058769346</v>
      </c>
      <c r="H165" s="277">
        <f t="shared" si="152"/>
        <v>119.18407394243012</v>
      </c>
      <c r="I165" s="277">
        <f t="shared" si="152"/>
        <v>35.448924880562622</v>
      </c>
      <c r="J165" s="277">
        <f t="shared" si="152"/>
        <v>31.904032392506362</v>
      </c>
      <c r="K165" s="277">
        <f t="shared" si="152"/>
        <v>28.713629153255724</v>
      </c>
      <c r="L165" s="277">
        <f t="shared" si="152"/>
        <v>25.842266237930151</v>
      </c>
      <c r="M165" s="277">
        <f t="shared" si="152"/>
        <v>23.258039614137136</v>
      </c>
      <c r="N165" s="277">
        <f t="shared" si="152"/>
        <v>20.932235652723421</v>
      </c>
      <c r="O165" s="277">
        <f t="shared" si="152"/>
        <v>18.839012087451081</v>
      </c>
      <c r="P165" s="277">
        <f t="shared" si="152"/>
        <v>16.955110878705973</v>
      </c>
      <c r="Q165" s="277">
        <f t="shared" si="152"/>
        <v>15.259599790835376</v>
      </c>
      <c r="S165" s="287" t="s">
        <v>743</v>
      </c>
      <c r="T165" s="256">
        <f>T158-T162</f>
        <v>8</v>
      </c>
      <c r="U165" s="256">
        <f>T165-2</f>
        <v>6</v>
      </c>
      <c r="V165" s="256"/>
    </row>
    <row r="166" spans="1:22" hidden="1" outlineLevel="1">
      <c r="A166" s="279" t="s">
        <v>733</v>
      </c>
      <c r="B166" s="280">
        <f t="shared" ref="B166:Q166" si="153">B165*B$45</f>
        <v>0</v>
      </c>
      <c r="C166" s="280">
        <f t="shared" si="153"/>
        <v>0</v>
      </c>
      <c r="D166" s="280">
        <f t="shared" si="153"/>
        <v>0</v>
      </c>
      <c r="E166" s="280">
        <f t="shared" ca="1" si="153"/>
        <v>461.05469701240406</v>
      </c>
      <c r="F166" s="280">
        <f t="shared" ca="1" si="153"/>
        <v>298.43018649117136</v>
      </c>
      <c r="G166" s="280">
        <f t="shared" ca="1" si="153"/>
        <v>199.30793797767069</v>
      </c>
      <c r="H166" s="280">
        <f t="shared" ca="1" si="153"/>
        <v>91.964957861416494</v>
      </c>
      <c r="I166" s="280">
        <f t="shared" ca="1" si="153"/>
        <v>25.502759161911072</v>
      </c>
      <c r="J166" s="280">
        <f t="shared" ca="1" si="153"/>
        <v>21.399795870709784</v>
      </c>
      <c r="K166" s="280">
        <f t="shared" ca="1" si="153"/>
        <v>17.956930087470994</v>
      </c>
      <c r="L166" s="280">
        <f t="shared" ca="1" si="153"/>
        <v>15.067963270045253</v>
      </c>
      <c r="M166" s="280">
        <f t="shared" ca="1" si="153"/>
        <v>12.643782428369915</v>
      </c>
      <c r="N166" s="280">
        <f t="shared" ca="1" si="153"/>
        <v>10.609611347657323</v>
      </c>
      <c r="O166" s="280">
        <f t="shared" ca="1" si="153"/>
        <v>8.9027040433541522</v>
      </c>
      <c r="P166" s="280">
        <f t="shared" ca="1" si="153"/>
        <v>7.4704093002478489</v>
      </c>
      <c r="Q166" s="280">
        <f t="shared" ca="1" si="153"/>
        <v>6.2685465945472316</v>
      </c>
      <c r="S166" s="289" t="s">
        <v>744</v>
      </c>
      <c r="T166" s="288">
        <f>VLOOKUP(S166,$Y$32:$AB$34,2,0)</f>
        <v>-0.7</v>
      </c>
      <c r="U166" s="288">
        <f>VLOOKUP(S166,$Y$32:$AB$34,3,0)</f>
        <v>-0.35</v>
      </c>
      <c r="V166" s="288">
        <f>VLOOKUP(S166,$Y$32:$AB$34,4,0)</f>
        <v>-0.1</v>
      </c>
    </row>
    <row r="167" spans="1:22" hidden="1" outlineLevel="1">
      <c r="A167" s="270" t="s">
        <v>734</v>
      </c>
      <c r="B167" s="213">
        <f ca="1">SUM(B166:Q166)</f>
        <v>1176.5802814469762</v>
      </c>
      <c r="C167" s="277"/>
      <c r="D167" s="277"/>
      <c r="E167" s="277"/>
      <c r="F167" s="277"/>
      <c r="G167" s="277"/>
      <c r="H167" s="277"/>
      <c r="I167" s="277"/>
      <c r="J167" s="277"/>
      <c r="K167" s="277"/>
      <c r="L167" s="277"/>
      <c r="M167" s="277"/>
      <c r="N167" s="256"/>
      <c r="O167" s="256"/>
      <c r="P167" s="256"/>
      <c r="Q167" s="256"/>
    </row>
    <row r="168" spans="1:22" hidden="1" outlineLevel="1">
      <c r="A168" s="281" t="s">
        <v>735</v>
      </c>
      <c r="B168" s="213">
        <f ca="1">(Q165*(1+C168))/(DCF!$H$31-NPV!C168)*NPV!$Q$45</f>
        <v>48.590935316504755</v>
      </c>
      <c r="C168" s="282">
        <v>-0.05</v>
      </c>
      <c r="D168" s="277"/>
      <c r="E168" s="277"/>
      <c r="F168" s="277"/>
      <c r="G168" s="277"/>
      <c r="H168" s="277"/>
      <c r="I168" s="277"/>
      <c r="J168" s="277"/>
      <c r="K168" s="277"/>
      <c r="L168" s="277"/>
      <c r="M168" s="277"/>
      <c r="N168" s="256"/>
      <c r="O168" s="256"/>
      <c r="P168" s="256"/>
      <c r="Q168" s="256"/>
    </row>
    <row r="169" spans="1:22" hidden="1" outlineLevel="1">
      <c r="A169" s="281" t="s">
        <v>736</v>
      </c>
      <c r="B169" s="213">
        <f ca="1">SUM(B167:B168)/DCF!$C$30</f>
        <v>0.52223837031691434</v>
      </c>
      <c r="C169" s="283"/>
      <c r="D169" s="283"/>
      <c r="E169" s="283"/>
      <c r="F169" s="283"/>
      <c r="G169" s="283"/>
      <c r="H169" s="283"/>
      <c r="I169" s="283"/>
      <c r="J169" s="283"/>
      <c r="K169" s="283"/>
      <c r="L169" s="283"/>
      <c r="M169" s="256"/>
      <c r="N169" s="256"/>
      <c r="O169" s="256"/>
      <c r="P169" s="256"/>
      <c r="Q169" s="256"/>
    </row>
    <row r="170" spans="1:22" hidden="1" outlineLevel="1">
      <c r="A170" s="284" t="s">
        <v>737</v>
      </c>
      <c r="B170" s="285">
        <f ca="1">B169/DCF!$H$24</f>
        <v>0.50702754399700423</v>
      </c>
    </row>
    <row r="171" spans="1:22" hidden="1" outlineLevel="1"/>
    <row r="172" spans="1:22" hidden="1" outlineLevel="1">
      <c r="A172" s="265" t="s">
        <v>25</v>
      </c>
      <c r="B172" s="266">
        <v>2015</v>
      </c>
      <c r="C172" s="266">
        <v>2016</v>
      </c>
      <c r="D172" s="266">
        <v>2017</v>
      </c>
      <c r="E172" s="266">
        <v>2018</v>
      </c>
      <c r="F172" s="266">
        <v>2019</v>
      </c>
      <c r="G172" s="266">
        <v>2020</v>
      </c>
      <c r="H172" s="266">
        <v>2021</v>
      </c>
      <c r="I172" s="266">
        <v>2022</v>
      </c>
      <c r="J172" s="266">
        <v>2023</v>
      </c>
      <c r="K172" s="266">
        <v>2024</v>
      </c>
      <c r="L172" s="266">
        <v>2025</v>
      </c>
      <c r="M172" s="266">
        <v>2026</v>
      </c>
      <c r="N172" s="266">
        <v>2027</v>
      </c>
      <c r="O172" s="266">
        <v>2028</v>
      </c>
      <c r="P172" s="266">
        <v>2029</v>
      </c>
      <c r="Q172" s="267">
        <v>2030</v>
      </c>
      <c r="S172" s="256" t="s">
        <v>709</v>
      </c>
      <c r="T172" s="256" t="s">
        <v>710</v>
      </c>
      <c r="U172" s="256"/>
      <c r="V172" s="256"/>
    </row>
    <row r="173" spans="1:22" hidden="1" outlineLevel="1">
      <c r="A173" s="268" t="s">
        <v>729</v>
      </c>
      <c r="B173" s="269">
        <f>Sales!G114</f>
        <v>410</v>
      </c>
      <c r="C173" s="269">
        <f>Sales!H114</f>
        <v>581</v>
      </c>
      <c r="D173" s="269">
        <f>Sales!I114</f>
        <v>777</v>
      </c>
      <c r="E173" s="269">
        <f>Sales!J114</f>
        <v>930.7356040557147</v>
      </c>
      <c r="F173" s="269">
        <f>Sales!K114</f>
        <v>1023.8091644612863</v>
      </c>
      <c r="G173" s="269">
        <f>Sales!L114</f>
        <v>1126.190080907415</v>
      </c>
      <c r="H173" s="269">
        <f>Sales!M114</f>
        <v>1182.4995849527859</v>
      </c>
      <c r="I173" s="269">
        <f>Sales!N114</f>
        <v>1217.9745725013695</v>
      </c>
      <c r="J173" s="269">
        <f>Sales!O114</f>
        <v>1254.5138096764106</v>
      </c>
      <c r="K173" s="269">
        <f>Sales!P114</f>
        <v>1292.1492239667029</v>
      </c>
      <c r="L173" s="269">
        <f>Sales!Q114</f>
        <v>1330.913700685704</v>
      </c>
      <c r="M173" s="269">
        <f>L173*(1+M174)</f>
        <v>1330.913700685704</v>
      </c>
      <c r="N173" s="269">
        <f>M173*(1+N174)</f>
        <v>1330.913700685704</v>
      </c>
      <c r="O173" s="269">
        <f>N173*(1+O174)</f>
        <v>1330.913700685704</v>
      </c>
      <c r="P173" s="269">
        <f>O173*(1+P174)</f>
        <v>1330.913700685704</v>
      </c>
      <c r="Q173" s="269">
        <f>P173*(1+Q174)</f>
        <v>1330.913700685704</v>
      </c>
      <c r="S173" s="213">
        <f>MAX(MAX(Sales!C114:W114),MAX(K173:Q173))</f>
        <v>1330.913700685704</v>
      </c>
      <c r="T173" s="256">
        <f>IFERROR(INDEX(Sales!$B$1:$Q$1,MATCH(NPV!S173,Sales!B114:Q114,0)),INDEX(C172:Q172,MATCH(NPV!S173,C173:Q173,0)))</f>
        <v>2025</v>
      </c>
      <c r="U173" s="256"/>
      <c r="V173" s="256"/>
    </row>
    <row r="174" spans="1:22" hidden="1" outlineLevel="1">
      <c r="A174" s="270" t="s">
        <v>579</v>
      </c>
      <c r="B174" s="271"/>
      <c r="C174" s="271">
        <f t="shared" ref="C174:H174" si="154">C173/B173-1</f>
        <v>0.41707317073170724</v>
      </c>
      <c r="D174" s="271">
        <f t="shared" si="154"/>
        <v>0.33734939759036142</v>
      </c>
      <c r="E174" s="271">
        <f t="shared" si="154"/>
        <v>0.19785792027762517</v>
      </c>
      <c r="F174" s="271">
        <f t="shared" si="154"/>
        <v>0.10000000000000009</v>
      </c>
      <c r="G174" s="271">
        <f t="shared" si="154"/>
        <v>0.10000000000000009</v>
      </c>
      <c r="H174" s="271">
        <f t="shared" si="154"/>
        <v>5.0000000000000044E-2</v>
      </c>
      <c r="I174" s="271">
        <f>I173/H173-1</f>
        <v>3.0000000000000027E-2</v>
      </c>
      <c r="J174" s="271">
        <f>J173/I173-1</f>
        <v>3.0000000000000027E-2</v>
      </c>
      <c r="K174" s="271">
        <f t="shared" ref="K174:L174" si="155">K173/J173-1</f>
        <v>3.0000000000000027E-2</v>
      </c>
      <c r="L174" s="271">
        <f t="shared" si="155"/>
        <v>3.0000000000000027E-2</v>
      </c>
      <c r="M174" s="272">
        <v>0</v>
      </c>
      <c r="N174" s="272">
        <v>0</v>
      </c>
      <c r="O174" s="272">
        <v>0</v>
      </c>
      <c r="P174" s="272">
        <v>0</v>
      </c>
      <c r="Q174" s="272">
        <v>0</v>
      </c>
      <c r="S174" s="256" t="s">
        <v>738</v>
      </c>
      <c r="T174" s="256"/>
      <c r="U174" s="256"/>
      <c r="V174" s="256"/>
    </row>
    <row r="175" spans="1:22" hidden="1" outlineLevel="1">
      <c r="A175" s="273" t="s">
        <v>730</v>
      </c>
      <c r="B175" s="274">
        <f t="shared" ref="B175:Q175" si="156">B173*B176</f>
        <v>55.909090909090857</v>
      </c>
      <c r="C175" s="274">
        <f t="shared" si="156"/>
        <v>100.35454545454539</v>
      </c>
      <c r="D175" s="274">
        <f t="shared" si="156"/>
        <v>162.46363636363628</v>
      </c>
      <c r="E175" s="274">
        <f t="shared" si="156"/>
        <v>228.45328463185717</v>
      </c>
      <c r="F175" s="274">
        <f t="shared" si="156"/>
        <v>288.52803725727154</v>
      </c>
      <c r="G175" s="274">
        <f t="shared" si="156"/>
        <v>358.33320756145014</v>
      </c>
      <c r="H175" s="274">
        <f t="shared" si="156"/>
        <v>419.24985284689677</v>
      </c>
      <c r="I175" s="274">
        <f t="shared" si="156"/>
        <v>476.11733288689896</v>
      </c>
      <c r="J175" s="274">
        <f t="shared" si="156"/>
        <v>536.01953686173908</v>
      </c>
      <c r="K175" s="274">
        <f t="shared" si="156"/>
        <v>599.0873674754713</v>
      </c>
      <c r="L175" s="274">
        <f t="shared" si="156"/>
        <v>665.45685034285202</v>
      </c>
      <c r="M175" s="274">
        <f t="shared" si="156"/>
        <v>598.91116530856686</v>
      </c>
      <c r="N175" s="274">
        <f t="shared" si="156"/>
        <v>558.98375428799579</v>
      </c>
      <c r="O175" s="274">
        <f t="shared" si="156"/>
        <v>519.05634326742461</v>
      </c>
      <c r="P175" s="274">
        <f t="shared" si="156"/>
        <v>519.05634326742461</v>
      </c>
      <c r="Q175" s="274">
        <f t="shared" si="156"/>
        <v>519.05634326742461</v>
      </c>
      <c r="S175" s="282">
        <f>IF(S173&gt;$X$39,$Z$39,$Z$40)</f>
        <v>-0.05</v>
      </c>
      <c r="T175" s="282">
        <f>IF(S173&gt;$X$39,$AA$39,$AA$40)</f>
        <v>-0.03</v>
      </c>
      <c r="U175" s="282">
        <f>IF(S173&gt;$X$39,$AB$39,$AB$40)</f>
        <v>-0.03</v>
      </c>
      <c r="V175" s="256"/>
    </row>
    <row r="176" spans="1:22" hidden="1" outlineLevel="1">
      <c r="A176" s="270" t="s">
        <v>580</v>
      </c>
      <c r="B176" s="286">
        <f>IF(B172-T173&gt;3,T178,IF(B172-T173=1,45%+S175,IF(B172-T173=2,A176+T175,IF(B172-T173=3,A176+U175,IF(B172-T173=0,T179,IF(T173-B172=U180+1,$AA$37,IF(T173-B172=U180+2,$Z$37,IF(B172&lt;T173,C176-(T179-$AB$37)/U180))))))))</f>
        <v>0.13636363636363624</v>
      </c>
      <c r="C176" s="286">
        <f>IF(C172-T173&gt;3,T178,IF(C172-T173=1,B176+S175,IF(C172-T173=2,B176+T175,IF(C172-T173=3,B176+U175,IF(C172-T173=0,T179,IF(T173-C172=U180+1,$AA$37,IF(T173-C172=U180+2,$Z$37,IF(C172&lt;T173,D176-(T179-$AB$37)/U180))))))))</f>
        <v>0.17272727272727262</v>
      </c>
      <c r="D176" s="286">
        <f>IF(D172-T173&gt;3,T178,IF(D172-T173=1,C176+S175,IF(D172-T173=2,C176+T175,IF(D172-T173=3,C176+U175,IF(D172-T173=0,T179,IF(T173-D172=U180+1,$AA$37,IF(T173-D172=U180+2,$Z$37,IF(D172&lt;T173,E176-(T179-$AB$37)/U180))))))))</f>
        <v>0.20909090909090899</v>
      </c>
      <c r="E176" s="286">
        <f>IF(E172-T173&gt;3,T178,IF(E172-T173=1,D176+S175,IF(E172-T173=2,D176+T175,IF(E172-T173=3,D176+U175,IF(E172-T173=0,T179,IF(T173-E172=U180+1,$AA$37,IF(T173-E172=U180+2,$Z$37,IF(E172&lt;T173,F176-(T179-$AB$37)/U180))))))))</f>
        <v>0.24545454545454537</v>
      </c>
      <c r="F176" s="286">
        <f>IF(F172-T173&gt;3,T178,IF(F172-T173=1,E176+S175,IF(F172-T173=2,E176+T175,IF(F172-T173=3,E176+U175,IF(F172-T173=0,T179,IF(T173-F172=U180+1,$AA$37,IF(T173-F172=U180+2,$Z$37,IF(F172&lt;T173,G176-(T179-$AB$37)/U180))))))))</f>
        <v>0.28181818181818175</v>
      </c>
      <c r="G176" s="286">
        <f>IF(G172-T173&gt;3,T178,IF(G172-T173=1,F176+S175,IF(G172-T173=2,F176+T175,IF(G172-T173=3,F176+U175,IF(G172-T173=0,T179,IF(T173-G172=U180+1,$AA$37,IF(T173-G172=U180+2,$Z$37,IF(G172&lt;T173,H176-(T179-$AB$37)/U180))))))))</f>
        <v>0.31818181818181812</v>
      </c>
      <c r="H176" s="286">
        <f>IF(H172-T173&gt;3,T178,IF(H172-T173=1,G176+S175,IF(H172-T173=2,G176+T175,IF(H172-T173=3,G176+U175,IF(H172-T173=0,T179,IF(T173-H172=U180+1,$AA$37,IF(T173-H172=U180+2,$Z$37,IF(H172&lt;T173,I176-(T179-$AB$37)/U180))))))))</f>
        <v>0.3545454545454545</v>
      </c>
      <c r="I176" s="286">
        <f>IF(I172-T173&gt;3,T178,IF(I172-T173=1,H176+S175,IF(I172-T173=2,H176+T175,IF(I172-T173=3,H176+U175,IF(I172-T173=0,T179,IF(T173-I172=U180+1,$AA$37,IF(T173-I172=U180+2,$Z$37,IF(I172&lt;T173,J176-(T179-$AB$37)/U180))))))))</f>
        <v>0.39090909090909087</v>
      </c>
      <c r="J176" s="286">
        <f>IF(J172-T173&gt;3,T178,IF(J172-T173=1,I176+S175,IF(J172-T173=2,I176+T175,IF(J172-T173=3,I176+U175,IF(J172-T173=0,T179,IF(T173-J172=U180+1,$AA$37,IF(T173-J172=U180+2,$Z$37,IF(J172&lt;T173,K176-(T179-$AB$37)/U180))))))))</f>
        <v>0.42727272727272725</v>
      </c>
      <c r="K176" s="286">
        <f>IF(K172-T173&gt;3,T178,IF(K172-T173=1,J176+S175,IF(K172-T173=2,J176+T175,IF(K172-T173=3,J176+U175,IF(K172-T173=0,T179,IF(T173-K172=U180+1,$AA$37,IF(T173-K172=U180+2,$Z$37,IF(K172&lt;T173,L176-(T179-$AB$37)/U180))))))))</f>
        <v>0.46363636363636362</v>
      </c>
      <c r="L176" s="286">
        <f>IF(L172-T173&gt;3,T178,IF(L172-T173=1,K176+S175,IF(L172-T173=2,K176+T175,IF(L172-T173=3,K176+U175,IF(L172-T173=0,T179,IF(T173-L172=U180+1,$AA$37,IF(T173-L172=U180+2,$Z$37,IF(L172&lt;T173,M176-(T179-$AB$37)/U180))))))))</f>
        <v>0.5</v>
      </c>
      <c r="M176" s="286">
        <f>IF(M172-T173&gt;3,T178,IF(M172-T173=1,L176+S175,IF(M172-T173=2,L176+T175,IF(M172-T173=3,L176+U175,IF(M172-T173=0,T179,IF(T173-M172=U180+1,$AA$37,IF(T173-M172=U180+2,$Z$37,IF(M172&lt;T173,N176-(T179-$AB$37)/U180))))))))</f>
        <v>0.45</v>
      </c>
      <c r="N176" s="286">
        <f>IF(N172-T173&gt;3,T178,IF(N172-T173=1,M176+S175,IF(N172-T173=2,M176+T175,IF(N172-T173=3,M176+U175,IF(N172-T173=0,T179,IF(T173-N172=U180+1,$AA$37,IF(T173-N172=U180+2,$Z$37,IF(N172&lt;T173,O176-(T179-$AB$37)/U180))))))))</f>
        <v>0.42000000000000004</v>
      </c>
      <c r="O176" s="286">
        <f>IF(O172-T173&gt;3,T178,IF(O172-T173=1,N176+S175,IF(O172-T173=2,N176+T175,IF(O172-T173=3,N176+U175,IF(O172-T173=0,T179,IF(T173-O172=U180+1,$AA$37,IF(T173-O172=U180+2,$Z$37,IF(O172&lt;T173,P176-(T179-$AB$37)/U180))))))))</f>
        <v>0.39</v>
      </c>
      <c r="P176" s="286">
        <f>IF(P172-T173&gt;3,T178,IF(P172-T173=1,O176+S175,IF(P172-T173=2,O176+T175,IF(P172-T173=3,O176+U175,IF(P172-T173=0,T179,IF(T173-P172=U180+1,$AA$37,IF(T173-P172=U180+2,$Z$37,IF(P172&lt;T173,Q176-(T179-$AB$37)/U180))))))))</f>
        <v>0.39</v>
      </c>
      <c r="Q176" s="286">
        <f>IF(Q172-T173&gt;3,T178,IF(Q172-T173=1,P176+S175,IF(Q172-T173=2,P176+T175,IF(Q172-T173=3,P176+U175,IF(Q172-T173=0,T179,IF(T173-Q172=U180+1,$AA$37,IF(T173-Q172=U180+2,$Z$37,IF(Q172&lt;T173,R176-(T179-$AB$37)/U180))))))))</f>
        <v>0.39</v>
      </c>
      <c r="S176" s="287" t="s">
        <v>739</v>
      </c>
      <c r="T176" s="213">
        <f t="array" ref="T176">INDEX(Sales!B114:Q114,MATCH(FALSE,ISBLANK(Sales!B114:Q114),0))</f>
        <v>30</v>
      </c>
      <c r="U176" s="256"/>
      <c r="V176" s="256"/>
    </row>
    <row r="177" spans="1:22" hidden="1" outlineLevel="1">
      <c r="A177" s="270" t="s">
        <v>731</v>
      </c>
      <c r="B177" s="213">
        <f>B175*B178</f>
        <v>8.137208732227176</v>
      </c>
      <c r="C177" s="213">
        <f t="shared" ref="C177:Q177" si="157">C175*C178</f>
        <v>15.081445396511102</v>
      </c>
      <c r="D177" s="213">
        <f t="shared" si="157"/>
        <v>24.415301266514174</v>
      </c>
      <c r="E177" s="213">
        <f t="shared" si="157"/>
        <v>34.332333649894572</v>
      </c>
      <c r="F177" s="213">
        <f t="shared" si="157"/>
        <v>43.360465831903895</v>
      </c>
      <c r="G177" s="213">
        <f t="shared" si="157"/>
        <v>53.850901113816128</v>
      </c>
      <c r="H177" s="213">
        <f t="shared" si="157"/>
        <v>63.005554303164885</v>
      </c>
      <c r="I177" s="213">
        <f t="shared" si="157"/>
        <v>71.551692309927517</v>
      </c>
      <c r="J177" s="213">
        <f t="shared" si="157"/>
        <v>80.553893598223056</v>
      </c>
      <c r="K177" s="213">
        <f t="shared" si="157"/>
        <v>90.031830440737366</v>
      </c>
      <c r="L177" s="213">
        <f t="shared" si="157"/>
        <v>100.00594498956417</v>
      </c>
      <c r="M177" s="213">
        <f t="shared" si="157"/>
        <v>90.005350490607753</v>
      </c>
      <c r="N177" s="213">
        <f t="shared" si="157"/>
        <v>84.004993791233915</v>
      </c>
      <c r="O177" s="213">
        <f t="shared" si="157"/>
        <v>78.004637091860062</v>
      </c>
      <c r="P177" s="213">
        <f t="shared" si="157"/>
        <v>78.004637091860062</v>
      </c>
      <c r="Q177" s="213">
        <f t="shared" si="157"/>
        <v>78.004637091860062</v>
      </c>
      <c r="S177" s="287" t="s">
        <v>740</v>
      </c>
      <c r="T177" s="256">
        <f>IFERROR(INDEX(Sales!$B$1:$Q$1,MATCH(NPV!T176,Sales!B114:Q114,0)),INDEX(C172:Q172,MATCH(NPV!T176,C173:Q173,0)))</f>
        <v>2012</v>
      </c>
      <c r="U177" s="256"/>
      <c r="V177" s="256"/>
    </row>
    <row r="178" spans="1:22" hidden="1" outlineLevel="1">
      <c r="A178" s="270" t="s">
        <v>635</v>
      </c>
      <c r="B178" s="196">
        <f>'P&amp;L'!$G$120</f>
        <v>0.1455435708203236</v>
      </c>
      <c r="C178" s="196">
        <f>'P&amp;L'!$H$120</f>
        <v>0.15028163725122043</v>
      </c>
      <c r="D178" s="196">
        <f>C178</f>
        <v>0.15028163725122043</v>
      </c>
      <c r="E178" s="196">
        <f t="shared" ref="E178:Q178" si="158">D178</f>
        <v>0.15028163725122043</v>
      </c>
      <c r="F178" s="196">
        <f t="shared" si="158"/>
        <v>0.15028163725122043</v>
      </c>
      <c r="G178" s="196">
        <f t="shared" si="158"/>
        <v>0.15028163725122043</v>
      </c>
      <c r="H178" s="196">
        <f t="shared" si="158"/>
        <v>0.15028163725122043</v>
      </c>
      <c r="I178" s="196">
        <f t="shared" si="158"/>
        <v>0.15028163725122043</v>
      </c>
      <c r="J178" s="196">
        <f t="shared" si="158"/>
        <v>0.15028163725122043</v>
      </c>
      <c r="K178" s="196">
        <f t="shared" si="158"/>
        <v>0.15028163725122043</v>
      </c>
      <c r="L178" s="196">
        <f t="shared" si="158"/>
        <v>0.15028163725122043</v>
      </c>
      <c r="M178" s="196">
        <f t="shared" si="158"/>
        <v>0.15028163725122043</v>
      </c>
      <c r="N178" s="196">
        <f t="shared" si="158"/>
        <v>0.15028163725122043</v>
      </c>
      <c r="O178" s="196">
        <f t="shared" si="158"/>
        <v>0.15028163725122043</v>
      </c>
      <c r="P178" s="196">
        <f t="shared" si="158"/>
        <v>0.15028163725122043</v>
      </c>
      <c r="Q178" s="196">
        <f t="shared" si="158"/>
        <v>0.15028163725122043</v>
      </c>
      <c r="S178" s="287" t="s">
        <v>741</v>
      </c>
      <c r="T178" s="288">
        <f>IF(Q172-T173&gt;3,IF(AND(S173&lt;$X$42,S173&lt;$X$43,S173&lt;$X$44),$AA$45,IF(AND(S173&lt;$X$42,S173&lt;$X$43),$AA$44,IF(S173&lt;$X$42,$AA$43,$AA$42))))</f>
        <v>0.39</v>
      </c>
      <c r="U178" s="256"/>
      <c r="V178" s="256"/>
    </row>
    <row r="179" spans="1:22" hidden="1" outlineLevel="1">
      <c r="A179" s="256" t="s">
        <v>732</v>
      </c>
      <c r="B179" s="213">
        <f>B175-B177</f>
        <v>47.771882176863684</v>
      </c>
      <c r="C179" s="213">
        <f t="shared" ref="C179:Q179" si="159">C175-C177</f>
        <v>85.273100058034288</v>
      </c>
      <c r="D179" s="213">
        <f t="shared" si="159"/>
        <v>138.04833509712211</v>
      </c>
      <c r="E179" s="213">
        <f t="shared" si="159"/>
        <v>194.12095098196261</v>
      </c>
      <c r="F179" s="213">
        <f t="shared" si="159"/>
        <v>245.16757142536764</v>
      </c>
      <c r="G179" s="213">
        <f t="shared" si="159"/>
        <v>304.48230644763402</v>
      </c>
      <c r="H179" s="213">
        <f t="shared" si="159"/>
        <v>356.24429854373187</v>
      </c>
      <c r="I179" s="213">
        <f t="shared" si="159"/>
        <v>404.56564057697142</v>
      </c>
      <c r="J179" s="213">
        <f t="shared" si="159"/>
        <v>455.46564326351603</v>
      </c>
      <c r="K179" s="213">
        <f t="shared" si="159"/>
        <v>509.0555370347339</v>
      </c>
      <c r="L179" s="213">
        <f t="shared" si="159"/>
        <v>565.45090535328791</v>
      </c>
      <c r="M179" s="213">
        <f t="shared" si="159"/>
        <v>508.90581481795914</v>
      </c>
      <c r="N179" s="213">
        <f t="shared" si="159"/>
        <v>474.97876049676188</v>
      </c>
      <c r="O179" s="213">
        <f t="shared" si="159"/>
        <v>441.05170617556456</v>
      </c>
      <c r="P179" s="213">
        <f t="shared" si="159"/>
        <v>441.05170617556456</v>
      </c>
      <c r="Q179" s="213">
        <f t="shared" si="159"/>
        <v>441.05170617556456</v>
      </c>
      <c r="S179" s="287" t="s">
        <v>742</v>
      </c>
      <c r="T179" s="288">
        <f>IF(S173&gt;$X$42,$Z$42,IF(S173&gt;$X$43,$Z$43,IF(S173&gt;$X$44,$Z$44,$Z$45)))</f>
        <v>0.5</v>
      </c>
      <c r="U179" s="256"/>
      <c r="V179" s="256"/>
    </row>
    <row r="180" spans="1:22" hidden="1" outlineLevel="1">
      <c r="A180" s="270" t="s">
        <v>607</v>
      </c>
      <c r="B180" s="277">
        <f>B179</f>
        <v>47.771882176863684</v>
      </c>
      <c r="C180" s="277">
        <f t="shared" ref="C180:Q180" si="160">C179</f>
        <v>85.273100058034288</v>
      </c>
      <c r="D180" s="277">
        <f t="shared" si="160"/>
        <v>138.04833509712211</v>
      </c>
      <c r="E180" s="277">
        <f t="shared" si="160"/>
        <v>194.12095098196261</v>
      </c>
      <c r="F180" s="277">
        <f t="shared" si="160"/>
        <v>245.16757142536764</v>
      </c>
      <c r="G180" s="277">
        <f t="shared" si="160"/>
        <v>304.48230644763402</v>
      </c>
      <c r="H180" s="277">
        <f t="shared" si="160"/>
        <v>356.24429854373187</v>
      </c>
      <c r="I180" s="277">
        <f t="shared" si="160"/>
        <v>404.56564057697142</v>
      </c>
      <c r="J180" s="277">
        <f t="shared" si="160"/>
        <v>455.46564326351603</v>
      </c>
      <c r="K180" s="277">
        <f t="shared" si="160"/>
        <v>509.0555370347339</v>
      </c>
      <c r="L180" s="277">
        <f t="shared" si="160"/>
        <v>565.45090535328791</v>
      </c>
      <c r="M180" s="277">
        <f t="shared" si="160"/>
        <v>508.90581481795914</v>
      </c>
      <c r="N180" s="277">
        <f t="shared" si="160"/>
        <v>474.97876049676188</v>
      </c>
      <c r="O180" s="277">
        <f t="shared" si="160"/>
        <v>441.05170617556456</v>
      </c>
      <c r="P180" s="277">
        <f t="shared" si="160"/>
        <v>441.05170617556456</v>
      </c>
      <c r="Q180" s="277">
        <f t="shared" si="160"/>
        <v>441.05170617556456</v>
      </c>
      <c r="S180" s="287" t="s">
        <v>743</v>
      </c>
      <c r="T180" s="256">
        <f>T173-T177</f>
        <v>13</v>
      </c>
      <c r="U180" s="256">
        <f>T180-2</f>
        <v>11</v>
      </c>
      <c r="V180" s="256"/>
    </row>
    <row r="181" spans="1:22" hidden="1" outlineLevel="1">
      <c r="A181" s="279" t="s">
        <v>733</v>
      </c>
      <c r="B181" s="280">
        <f t="shared" ref="B181:Q181" si="161">B180*B$45</f>
        <v>0</v>
      </c>
      <c r="C181" s="280">
        <f t="shared" si="161"/>
        <v>0</v>
      </c>
      <c r="D181" s="280">
        <f t="shared" si="161"/>
        <v>0</v>
      </c>
      <c r="E181" s="280">
        <f t="shared" ca="1" si="161"/>
        <v>184.81478230864212</v>
      </c>
      <c r="F181" s="280">
        <f t="shared" ca="1" si="161"/>
        <v>217.62424205748346</v>
      </c>
      <c r="G181" s="280">
        <f t="shared" ca="1" si="161"/>
        <v>251.99171305006857</v>
      </c>
      <c r="H181" s="280">
        <f t="shared" ca="1" si="161"/>
        <v>274.88565225391869</v>
      </c>
      <c r="I181" s="280">
        <f t="shared" ca="1" si="161"/>
        <v>291.05368164426613</v>
      </c>
      <c r="J181" s="280">
        <f t="shared" ca="1" si="161"/>
        <v>305.5059521018452</v>
      </c>
      <c r="K181" s="280">
        <f t="shared" ca="1" si="161"/>
        <v>318.35316394118183</v>
      </c>
      <c r="L181" s="280">
        <f t="shared" ca="1" si="161"/>
        <v>329.69993399308026</v>
      </c>
      <c r="M181" s="280">
        <f t="shared" ca="1" si="161"/>
        <v>276.65678216402432</v>
      </c>
      <c r="N181" s="280">
        <f t="shared" ca="1" si="161"/>
        <v>240.74542876680272</v>
      </c>
      <c r="O181" s="280">
        <f t="shared" ca="1" si="161"/>
        <v>208.42668339880601</v>
      </c>
      <c r="P181" s="280">
        <f t="shared" ca="1" si="161"/>
        <v>194.32705520328531</v>
      </c>
      <c r="Q181" s="280">
        <f t="shared" ca="1" si="161"/>
        <v>181.18123729735947</v>
      </c>
      <c r="S181" s="289" t="s">
        <v>744</v>
      </c>
      <c r="T181" s="288">
        <f>VLOOKUP(S181,$Y$32:$AB$34,2,0)</f>
        <v>-0.7</v>
      </c>
      <c r="U181" s="288">
        <f>VLOOKUP(S181,$Y$32:$AB$34,3,0)</f>
        <v>-0.35</v>
      </c>
      <c r="V181" s="288">
        <f>VLOOKUP(S181,$Y$32:$AB$34,4,0)</f>
        <v>-0.1</v>
      </c>
    </row>
    <row r="182" spans="1:22" hidden="1" outlineLevel="1">
      <c r="A182" s="270" t="s">
        <v>734</v>
      </c>
      <c r="B182" s="213">
        <f ca="1">SUM(B181:Q181)</f>
        <v>3275.2663081807641</v>
      </c>
      <c r="C182" s="277"/>
      <c r="D182" s="277"/>
      <c r="E182" s="277"/>
      <c r="F182" s="277"/>
      <c r="G182" s="277"/>
      <c r="H182" s="277"/>
      <c r="I182" s="277"/>
      <c r="J182" s="277"/>
      <c r="K182" s="277"/>
      <c r="L182" s="277"/>
      <c r="M182" s="277"/>
      <c r="N182" s="256"/>
      <c r="O182" s="256"/>
      <c r="P182" s="256"/>
      <c r="Q182" s="256"/>
    </row>
    <row r="183" spans="1:22" hidden="1" outlineLevel="1">
      <c r="A183" s="281" t="s">
        <v>735</v>
      </c>
      <c r="B183" s="213">
        <f ca="1">(Q180*(1+C183))/(DCF!$H$31-NPV!C183)*NPV!$Q$45</f>
        <v>1404.4349275058994</v>
      </c>
      <c r="C183" s="282">
        <v>-0.05</v>
      </c>
      <c r="D183" s="277"/>
      <c r="E183" s="277"/>
      <c r="F183" s="277"/>
      <c r="G183" s="277"/>
      <c r="H183" s="277"/>
      <c r="I183" s="277"/>
      <c r="J183" s="277"/>
      <c r="K183" s="277"/>
      <c r="L183" s="277"/>
      <c r="M183" s="277"/>
      <c r="N183" s="256"/>
      <c r="O183" s="256"/>
      <c r="P183" s="256"/>
      <c r="Q183" s="256"/>
    </row>
    <row r="184" spans="1:22" hidden="1" outlineLevel="1">
      <c r="A184" s="281" t="s">
        <v>736</v>
      </c>
      <c r="B184" s="213">
        <f ca="1">SUM(B182:B183)/DCF!$C$30</f>
        <v>1.9947575599687397</v>
      </c>
      <c r="C184" s="283"/>
      <c r="D184" s="283"/>
      <c r="E184" s="283"/>
      <c r="F184" s="283"/>
      <c r="G184" s="283"/>
      <c r="H184" s="283"/>
      <c r="I184" s="283"/>
      <c r="J184" s="283"/>
      <c r="K184" s="283"/>
      <c r="L184" s="283"/>
      <c r="M184" s="256"/>
      <c r="N184" s="256"/>
      <c r="O184" s="256"/>
      <c r="P184" s="256"/>
      <c r="Q184" s="256"/>
    </row>
    <row r="185" spans="1:22" hidden="1" outlineLevel="1">
      <c r="A185" s="284" t="s">
        <v>737</v>
      </c>
      <c r="B185" s="285">
        <f ca="1">B184/DCF!$H$24</f>
        <v>1.9366578252123685</v>
      </c>
    </row>
    <row r="186" spans="1:22" hidden="1" outlineLevel="1"/>
    <row r="187" spans="1:22" hidden="1" outlineLevel="1">
      <c r="A187" s="265" t="s">
        <v>28</v>
      </c>
      <c r="B187" s="266">
        <v>2015</v>
      </c>
      <c r="C187" s="266">
        <v>2016</v>
      </c>
      <c r="D187" s="266">
        <v>2017</v>
      </c>
      <c r="E187" s="266">
        <v>2018</v>
      </c>
      <c r="F187" s="266">
        <v>2019</v>
      </c>
      <c r="G187" s="266">
        <v>2020</v>
      </c>
      <c r="H187" s="266">
        <v>2021</v>
      </c>
      <c r="I187" s="266">
        <v>2022</v>
      </c>
      <c r="J187" s="266">
        <v>2023</v>
      </c>
      <c r="K187" s="266">
        <v>2024</v>
      </c>
      <c r="L187" s="266">
        <v>2025</v>
      </c>
      <c r="M187" s="266">
        <v>2026</v>
      </c>
      <c r="N187" s="266">
        <v>2027</v>
      </c>
      <c r="O187" s="266">
        <v>2028</v>
      </c>
      <c r="P187" s="266">
        <v>2029</v>
      </c>
      <c r="Q187" s="267">
        <v>2030</v>
      </c>
      <c r="S187" s="256" t="s">
        <v>709</v>
      </c>
      <c r="T187" s="256" t="s">
        <v>710</v>
      </c>
      <c r="U187" s="256"/>
      <c r="V187" s="256"/>
    </row>
    <row r="188" spans="1:22" hidden="1" outlineLevel="1">
      <c r="A188" s="268" t="s">
        <v>729</v>
      </c>
      <c r="B188" s="269">
        <f>Sales!G134</f>
        <v>79</v>
      </c>
      <c r="C188" s="269">
        <f>Sales!H134</f>
        <v>91</v>
      </c>
      <c r="D188" s="269">
        <f>Sales!I134</f>
        <v>0</v>
      </c>
      <c r="E188" s="269">
        <f>Sales!J134</f>
        <v>0</v>
      </c>
      <c r="F188" s="269">
        <f>Sales!K134</f>
        <v>0</v>
      </c>
      <c r="G188" s="269">
        <f>Sales!L134</f>
        <v>0</v>
      </c>
      <c r="H188" s="269">
        <f>Sales!M134</f>
        <v>0</v>
      </c>
      <c r="I188" s="269">
        <f>Sales!N134</f>
        <v>0</v>
      </c>
      <c r="J188" s="269">
        <f>Sales!O134</f>
        <v>0</v>
      </c>
      <c r="K188" s="269">
        <f>Sales!P134</f>
        <v>0</v>
      </c>
      <c r="L188" s="269">
        <f>Sales!Q134</f>
        <v>0</v>
      </c>
      <c r="M188" s="269">
        <f>L188*(1+M189)</f>
        <v>0</v>
      </c>
      <c r="N188" s="269">
        <f>M188*(1+N189)</f>
        <v>0</v>
      </c>
      <c r="O188" s="269">
        <f>N188*(1+O189)</f>
        <v>0</v>
      </c>
      <c r="P188" s="269">
        <f>O188*(1+P189)</f>
        <v>0</v>
      </c>
      <c r="Q188" s="269">
        <f>P188*(1+Q189)</f>
        <v>0</v>
      </c>
      <c r="S188" s="213">
        <f>MAX(MAX(Sales!C134:W134),MAX(K188:Q188))</f>
        <v>91</v>
      </c>
      <c r="T188" s="256">
        <f>IFERROR(INDEX(Sales!$B$1:$Q$1,MATCH(NPV!S188,Sales!B134:Q134,0)),INDEX(C187:Q187,MATCH(NPV!S188,C188:Q188,0)))</f>
        <v>2016</v>
      </c>
      <c r="U188" s="256"/>
      <c r="V188" s="256"/>
    </row>
    <row r="189" spans="1:22" hidden="1" outlineLevel="1">
      <c r="A189" s="270" t="s">
        <v>579</v>
      </c>
      <c r="B189" s="271"/>
      <c r="C189" s="271">
        <f t="shared" ref="C189:H189" si="162">C188/B188-1</f>
        <v>0.15189873417721511</v>
      </c>
      <c r="D189" s="271">
        <f t="shared" si="162"/>
        <v>-1</v>
      </c>
      <c r="E189" s="271" t="e">
        <f t="shared" si="162"/>
        <v>#DIV/0!</v>
      </c>
      <c r="F189" s="271" t="e">
        <f t="shared" si="162"/>
        <v>#DIV/0!</v>
      </c>
      <c r="G189" s="271" t="e">
        <f t="shared" si="162"/>
        <v>#DIV/0!</v>
      </c>
      <c r="H189" s="271" t="e">
        <f t="shared" si="162"/>
        <v>#DIV/0!</v>
      </c>
      <c r="I189" s="271" t="e">
        <f>I188/H188-1</f>
        <v>#DIV/0!</v>
      </c>
      <c r="J189" s="271" t="e">
        <f>J188/I188-1</f>
        <v>#DIV/0!</v>
      </c>
      <c r="K189" s="271" t="e">
        <f t="shared" ref="K189:L189" si="163">K188/J188-1</f>
        <v>#DIV/0!</v>
      </c>
      <c r="L189" s="271" t="e">
        <f t="shared" si="163"/>
        <v>#DIV/0!</v>
      </c>
      <c r="M189" s="272">
        <v>0</v>
      </c>
      <c r="N189" s="272">
        <v>0</v>
      </c>
      <c r="O189" s="272">
        <v>0</v>
      </c>
      <c r="P189" s="272">
        <v>0</v>
      </c>
      <c r="Q189" s="272">
        <v>0</v>
      </c>
      <c r="S189" s="256" t="s">
        <v>738</v>
      </c>
      <c r="T189" s="256"/>
      <c r="U189" s="256"/>
      <c r="V189" s="256"/>
    </row>
    <row r="190" spans="1:22" hidden="1" outlineLevel="1">
      <c r="A190" s="273" t="s">
        <v>730</v>
      </c>
      <c r="B190" s="274">
        <f t="shared" ref="B190:Q190" si="164">B188*B191</f>
        <v>0</v>
      </c>
      <c r="C190" s="274">
        <f t="shared" si="164"/>
        <v>40.950000000000003</v>
      </c>
      <c r="D190" s="274">
        <f t="shared" si="164"/>
        <v>0</v>
      </c>
      <c r="E190" s="274">
        <f t="shared" si="164"/>
        <v>0</v>
      </c>
      <c r="F190" s="274">
        <f t="shared" si="164"/>
        <v>0</v>
      </c>
      <c r="G190" s="274">
        <f t="shared" si="164"/>
        <v>0</v>
      </c>
      <c r="H190" s="274">
        <f t="shared" si="164"/>
        <v>0</v>
      </c>
      <c r="I190" s="274">
        <f t="shared" si="164"/>
        <v>0</v>
      </c>
      <c r="J190" s="274">
        <f t="shared" si="164"/>
        <v>0</v>
      </c>
      <c r="K190" s="274">
        <f t="shared" si="164"/>
        <v>0</v>
      </c>
      <c r="L190" s="274">
        <f t="shared" si="164"/>
        <v>0</v>
      </c>
      <c r="M190" s="274">
        <f t="shared" si="164"/>
        <v>0</v>
      </c>
      <c r="N190" s="274">
        <f t="shared" si="164"/>
        <v>0</v>
      </c>
      <c r="O190" s="274">
        <f t="shared" si="164"/>
        <v>0</v>
      </c>
      <c r="P190" s="274">
        <f t="shared" si="164"/>
        <v>0</v>
      </c>
      <c r="Q190" s="274">
        <f t="shared" si="164"/>
        <v>0</v>
      </c>
      <c r="S190" s="282">
        <f>IF(S188&gt;$X$39,$Z$39,$Z$40)</f>
        <v>-0.05</v>
      </c>
      <c r="T190" s="282">
        <f>IF(S188&gt;$X$39,$AA$39,$AA$40)</f>
        <v>-0.03</v>
      </c>
      <c r="U190" s="282">
        <f>IF(S188&gt;$X$39,$AB$39,$AB$40)</f>
        <v>-0.03</v>
      </c>
      <c r="V190" s="256"/>
    </row>
    <row r="191" spans="1:22" hidden="1" outlineLevel="1">
      <c r="A191" s="270" t="s">
        <v>580</v>
      </c>
      <c r="B191" s="286">
        <f>IF(B187-T188&gt;3,T193,IF(B187-T188=1,45%+S190,IF(B187-T188=2,A191+T190,IF(B187-T188=3,A191+U190,IF(B187-T188=0,T194,IF(T188-B187=U195+1,$AA$37,IF(T188-B187=U195+2,$Z$37,IF(B187&lt;T188,C191-(T194-$AB$37)/U195))))))))</f>
        <v>0</v>
      </c>
      <c r="C191" s="286">
        <f>IF(C187-T188&gt;3,T193,IF(C187-T188=1,B191+S190,IF(C187-T188=2,B191+T190,IF(C187-T188=3,B191+U190,IF(C187-T188=0,T194,IF(T188-C187=U195+1,$AA$37,IF(T188-C187=U195+2,$Z$37,IF(C187&lt;T188,D191-(T194-$AB$37)/U195))))))))</f>
        <v>0.45</v>
      </c>
      <c r="D191" s="286">
        <f>IF(D187-T188&gt;3,T193,IF(D187-T188=1,C191+S190,IF(D187-T188=2,C191+T190,IF(D187-T188=3,C191+U190,IF(D187-T188=0,T194,IF(T188-D187=U195+1,$AA$37,IF(T188-D187=U195+2,$Z$37,IF(D187&lt;T188,E191-(T194-$AB$37)/U195))))))))</f>
        <v>0.4</v>
      </c>
      <c r="E191" s="286">
        <f>IF(E187-T188&gt;3,T193,IF(E187-T188=1,D191+S190,IF(E187-T188=2,D191+T190,IF(E187-T188=3,D191+U190,IF(E187-T188=0,T194,IF(T188-E187=U195+1,$AA$37,IF(T188-E187=U195+2,$Z$37,IF(E187&lt;T188,F191-(T194-$AB$37)/U195))))))))</f>
        <v>0.37</v>
      </c>
      <c r="F191" s="286">
        <f>IF(F187-T188&gt;3,T193,IF(F187-T188=1,E191+S190,IF(F187-T188=2,E191+T190,IF(F187-T188=3,E191+U190,IF(F187-T188=0,T194,IF(T188-F187=U195+1,$AA$37,IF(T188-F187=U195+2,$Z$37,IF(F187&lt;T188,G191-(T194-$AB$37)/U195))))))))</f>
        <v>0.33999999999999997</v>
      </c>
      <c r="G191" s="286">
        <f>IF(G187-T188&gt;3,T193,IF(G187-T188=1,F191+S190,IF(G187-T188=2,F191+T190,IF(G187-T188=3,F191+U190,IF(G187-T188=0,T194,IF(T188-G187=U195+1,$AA$37,IF(T188-G187=U195+2,$Z$37,IF(G187&lt;T188,H191-(T194-$AB$37)/U195))))))))</f>
        <v>0.34</v>
      </c>
      <c r="H191" s="286">
        <f>IF(H187-T188&gt;3,T193,IF(H187-T188=1,G191+S190,IF(H187-T188=2,G191+T190,IF(H187-T188=3,G191+U190,IF(H187-T188=0,T194,IF(T188-H187=U195+1,$AA$37,IF(T188-H187=U195+2,$Z$37,IF(H187&lt;T188,I191-(T194-$AB$37)/U195))))))))</f>
        <v>0.34</v>
      </c>
      <c r="I191" s="286">
        <f>IF(I187-T188&gt;3,T193,IF(I187-T188=1,H191+S190,IF(I187-T188=2,H191+T190,IF(I187-T188=3,H191+U190,IF(I187-T188=0,T194,IF(T188-I187=U195+1,$AA$37,IF(T188-I187=U195+2,$Z$37,IF(I187&lt;T188,J191-(T194-$AB$37)/U195))))))))</f>
        <v>0.34</v>
      </c>
      <c r="J191" s="286">
        <f>IF(J187-T188&gt;3,T193,IF(J187-T188=1,I191+S190,IF(J187-T188=2,I191+T190,IF(J187-T188=3,I191+U190,IF(J187-T188=0,T194,IF(T188-J187=U195+1,$AA$37,IF(T188-J187=U195+2,$Z$37,IF(J187&lt;T188,K191-(T194-$AB$37)/U195))))))))</f>
        <v>0.34</v>
      </c>
      <c r="K191" s="286">
        <f>IF(K187-T188&gt;3,T193,IF(K187-T188=1,J191+S190,IF(K187-T188=2,J191+T190,IF(K187-T188=3,J191+U190,IF(K187-T188=0,T194,IF(T188-K187=U195+1,$AA$37,IF(T188-K187=U195+2,$Z$37,IF(K187&lt;T188,L191-(T194-$AB$37)/U195))))))))</f>
        <v>0.34</v>
      </c>
      <c r="L191" s="286">
        <f>IF(L187-T188&gt;3,T193,IF(L187-T188=1,K191+S190,IF(L187-T188=2,K191+T190,IF(L187-T188=3,K191+U190,IF(L187-T188=0,T194,IF(T188-L187=U195+1,$AA$37,IF(T188-L187=U195+2,$Z$37,IF(L187&lt;T188,M191-(T194-$AB$37)/U195))))))))</f>
        <v>0.34</v>
      </c>
      <c r="M191" s="286">
        <f>IF(M187-T188&gt;3,T193,IF(M187-T188=1,L191+S190,IF(M187-T188=2,L191+T190,IF(M187-T188=3,L191+U190,IF(M187-T188=0,T194,IF(T188-M187=U195+1,$AA$37,IF(T188-M187=U195+2,$Z$37,IF(M187&lt;T188,N191-(T194-$AB$37)/U195))))))))</f>
        <v>0.34</v>
      </c>
      <c r="N191" s="286">
        <f>IF(N187-T188&gt;3,T193,IF(N187-T188=1,M191+S190,IF(N187-T188=2,M191+T190,IF(N187-T188=3,M191+U190,IF(N187-T188=0,T194,IF(T188-N187=U195+1,$AA$37,IF(T188-N187=U195+2,$Z$37,IF(N187&lt;T188,O191-(T194-$AB$37)/U195))))))))</f>
        <v>0.34</v>
      </c>
      <c r="O191" s="286">
        <f>IF(O187-T188&gt;3,T193,IF(O187-T188=1,N191+S190,IF(O187-T188=2,N191+T190,IF(O187-T188=3,N191+U190,IF(O187-T188=0,T194,IF(T188-O187=U195+1,$AA$37,IF(T188-O187=U195+2,$Z$37,IF(O187&lt;T188,P191-(T194-$AB$37)/U195))))))))</f>
        <v>0.34</v>
      </c>
      <c r="P191" s="286">
        <f>IF(P187-T188&gt;3,T193,IF(P187-T188=1,O191+S190,IF(P187-T188=2,O191+T190,IF(P187-T188=3,O191+U190,IF(P187-T188=0,T194,IF(T188-P187=U195+1,$AA$37,IF(T188-P187=U195+2,$Z$37,IF(P187&lt;T188,Q191-(T194-$AB$37)/U195))))))))</f>
        <v>0.34</v>
      </c>
      <c r="Q191" s="286">
        <f>IF(Q187-T188&gt;3,T193,IF(Q187-T188=1,P191+S190,IF(Q187-T188=2,P191+T190,IF(Q187-T188=3,P191+U190,IF(Q187-T188=0,T194,IF(T188-Q187=U195+1,$AA$37,IF(T188-Q187=U195+2,$Z$37,IF(Q187&lt;T188,R191-(T194-$AB$37)/U195))))))))</f>
        <v>0.34</v>
      </c>
      <c r="S191" s="287" t="s">
        <v>739</v>
      </c>
      <c r="T191" s="213">
        <f t="array" ref="T191">INDEX(Sales!B134:Q134,MATCH(FALSE,ISBLANK(Sales!B134:Q134),0))</f>
        <v>31</v>
      </c>
      <c r="U191" s="256"/>
      <c r="V191" s="256"/>
    </row>
    <row r="192" spans="1:22" hidden="1" outlineLevel="1">
      <c r="A192" s="270" t="s">
        <v>731</v>
      </c>
      <c r="B192" s="213">
        <f>B190*B193</f>
        <v>0</v>
      </c>
      <c r="C192" s="213">
        <f t="shared" ref="C192:Q192" si="165">C190*C193</f>
        <v>6.154033045437477</v>
      </c>
      <c r="D192" s="213">
        <f t="shared" si="165"/>
        <v>0</v>
      </c>
      <c r="E192" s="213">
        <f t="shared" si="165"/>
        <v>0</v>
      </c>
      <c r="F192" s="213">
        <f t="shared" si="165"/>
        <v>0</v>
      </c>
      <c r="G192" s="213">
        <f t="shared" si="165"/>
        <v>0</v>
      </c>
      <c r="H192" s="213">
        <f t="shared" si="165"/>
        <v>0</v>
      </c>
      <c r="I192" s="213">
        <f t="shared" si="165"/>
        <v>0</v>
      </c>
      <c r="J192" s="213">
        <f t="shared" si="165"/>
        <v>0</v>
      </c>
      <c r="K192" s="213">
        <f t="shared" si="165"/>
        <v>0</v>
      </c>
      <c r="L192" s="213">
        <f t="shared" si="165"/>
        <v>0</v>
      </c>
      <c r="M192" s="213">
        <f t="shared" si="165"/>
        <v>0</v>
      </c>
      <c r="N192" s="213">
        <f t="shared" si="165"/>
        <v>0</v>
      </c>
      <c r="O192" s="213">
        <f t="shared" si="165"/>
        <v>0</v>
      </c>
      <c r="P192" s="213">
        <f t="shared" si="165"/>
        <v>0</v>
      </c>
      <c r="Q192" s="213">
        <f t="shared" si="165"/>
        <v>0</v>
      </c>
      <c r="S192" s="287" t="s">
        <v>740</v>
      </c>
      <c r="T192" s="256">
        <f>IFERROR(INDEX(Sales!$B$1:$Q$1,MATCH(NPV!T191,Sales!B134:Q134,0)),INDEX(C187:Q187,MATCH(NPV!T191,C188:Q188,0)))</f>
        <v>2014</v>
      </c>
      <c r="U192" s="256"/>
      <c r="V192" s="256"/>
    </row>
    <row r="193" spans="1:22" hidden="1" outlineLevel="1">
      <c r="A193" s="270" t="s">
        <v>635</v>
      </c>
      <c r="B193" s="196">
        <f>'P&amp;L'!$G$120</f>
        <v>0.1455435708203236</v>
      </c>
      <c r="C193" s="196">
        <f>'P&amp;L'!$H$120</f>
        <v>0.15028163725122043</v>
      </c>
      <c r="D193" s="196">
        <f>C193</f>
        <v>0.15028163725122043</v>
      </c>
      <c r="E193" s="196">
        <f t="shared" ref="E193:Q193" si="166">D193</f>
        <v>0.15028163725122043</v>
      </c>
      <c r="F193" s="196">
        <f t="shared" si="166"/>
        <v>0.15028163725122043</v>
      </c>
      <c r="G193" s="196">
        <f t="shared" si="166"/>
        <v>0.15028163725122043</v>
      </c>
      <c r="H193" s="196">
        <f t="shared" si="166"/>
        <v>0.15028163725122043</v>
      </c>
      <c r="I193" s="196">
        <f t="shared" si="166"/>
        <v>0.15028163725122043</v>
      </c>
      <c r="J193" s="196">
        <f t="shared" si="166"/>
        <v>0.15028163725122043</v>
      </c>
      <c r="K193" s="196">
        <f t="shared" si="166"/>
        <v>0.15028163725122043</v>
      </c>
      <c r="L193" s="196">
        <f t="shared" si="166"/>
        <v>0.15028163725122043</v>
      </c>
      <c r="M193" s="196">
        <f t="shared" si="166"/>
        <v>0.15028163725122043</v>
      </c>
      <c r="N193" s="196">
        <f t="shared" si="166"/>
        <v>0.15028163725122043</v>
      </c>
      <c r="O193" s="196">
        <f t="shared" si="166"/>
        <v>0.15028163725122043</v>
      </c>
      <c r="P193" s="196">
        <f t="shared" si="166"/>
        <v>0.15028163725122043</v>
      </c>
      <c r="Q193" s="196">
        <f t="shared" si="166"/>
        <v>0.15028163725122043</v>
      </c>
      <c r="S193" s="287" t="s">
        <v>741</v>
      </c>
      <c r="T193" s="288">
        <f>IF(Q187-T188&gt;3,IF(AND(S188&lt;$X$42,S188&lt;$X$43,S188&lt;$X$44),$AA$45,IF(AND(S188&lt;$X$42,S188&lt;$X$43),$AA$44,IF(S188&lt;$X$42,$AA$43,$AA$42))))</f>
        <v>0.34</v>
      </c>
      <c r="U193" s="256"/>
      <c r="V193" s="256"/>
    </row>
    <row r="194" spans="1:22" hidden="1" outlineLevel="1">
      <c r="A194" s="256" t="s">
        <v>732</v>
      </c>
      <c r="B194" s="213">
        <f>B190-B192</f>
        <v>0</v>
      </c>
      <c r="C194" s="213">
        <f t="shared" ref="C194:Q194" si="167">C190-C192</f>
        <v>34.795966954562523</v>
      </c>
      <c r="D194" s="213">
        <f t="shared" si="167"/>
        <v>0</v>
      </c>
      <c r="E194" s="213">
        <f t="shared" si="167"/>
        <v>0</v>
      </c>
      <c r="F194" s="213">
        <f t="shared" si="167"/>
        <v>0</v>
      </c>
      <c r="G194" s="213">
        <f t="shared" si="167"/>
        <v>0</v>
      </c>
      <c r="H194" s="213">
        <f t="shared" si="167"/>
        <v>0</v>
      </c>
      <c r="I194" s="213">
        <f t="shared" si="167"/>
        <v>0</v>
      </c>
      <c r="J194" s="213">
        <f t="shared" si="167"/>
        <v>0</v>
      </c>
      <c r="K194" s="213">
        <f t="shared" si="167"/>
        <v>0</v>
      </c>
      <c r="L194" s="213">
        <f t="shared" si="167"/>
        <v>0</v>
      </c>
      <c r="M194" s="213">
        <f t="shared" si="167"/>
        <v>0</v>
      </c>
      <c r="N194" s="213">
        <f t="shared" si="167"/>
        <v>0</v>
      </c>
      <c r="O194" s="213">
        <f t="shared" si="167"/>
        <v>0</v>
      </c>
      <c r="P194" s="213">
        <f t="shared" si="167"/>
        <v>0</v>
      </c>
      <c r="Q194" s="213">
        <f t="shared" si="167"/>
        <v>0</v>
      </c>
      <c r="S194" s="287" t="s">
        <v>742</v>
      </c>
      <c r="T194" s="288">
        <f>IF(S188&gt;$X$42,$Z$42,IF(S188&gt;$X$43,$Z$43,IF(S188&gt;$X$44,$Z$44,$Z$45)))</f>
        <v>0.45</v>
      </c>
      <c r="U194" s="256"/>
      <c r="V194" s="256"/>
    </row>
    <row r="195" spans="1:22" hidden="1" outlineLevel="1">
      <c r="A195" s="270" t="s">
        <v>607</v>
      </c>
      <c r="B195" s="277">
        <f>B194</f>
        <v>0</v>
      </c>
      <c r="C195" s="277">
        <f t="shared" ref="C195:Q195" si="168">C194</f>
        <v>34.795966954562523</v>
      </c>
      <c r="D195" s="277">
        <f t="shared" si="168"/>
        <v>0</v>
      </c>
      <c r="E195" s="277">
        <f t="shared" si="168"/>
        <v>0</v>
      </c>
      <c r="F195" s="277">
        <f t="shared" si="168"/>
        <v>0</v>
      </c>
      <c r="G195" s="277">
        <f t="shared" si="168"/>
        <v>0</v>
      </c>
      <c r="H195" s="277">
        <f t="shared" si="168"/>
        <v>0</v>
      </c>
      <c r="I195" s="277">
        <f t="shared" si="168"/>
        <v>0</v>
      </c>
      <c r="J195" s="277">
        <f t="shared" si="168"/>
        <v>0</v>
      </c>
      <c r="K195" s="277">
        <f t="shared" si="168"/>
        <v>0</v>
      </c>
      <c r="L195" s="277">
        <f t="shared" si="168"/>
        <v>0</v>
      </c>
      <c r="M195" s="277">
        <f t="shared" si="168"/>
        <v>0</v>
      </c>
      <c r="N195" s="277">
        <f t="shared" si="168"/>
        <v>0</v>
      </c>
      <c r="O195" s="277">
        <f t="shared" si="168"/>
        <v>0</v>
      </c>
      <c r="P195" s="277">
        <f t="shared" si="168"/>
        <v>0</v>
      </c>
      <c r="Q195" s="277">
        <f t="shared" si="168"/>
        <v>0</v>
      </c>
      <c r="S195" s="287" t="s">
        <v>743</v>
      </c>
      <c r="T195" s="256">
        <f>T188-T192</f>
        <v>2</v>
      </c>
      <c r="U195" s="256">
        <f>T195-2</f>
        <v>0</v>
      </c>
      <c r="V195" s="256"/>
    </row>
    <row r="196" spans="1:22" hidden="1" outlineLevel="1">
      <c r="A196" s="279" t="s">
        <v>733</v>
      </c>
      <c r="B196" s="280">
        <f t="shared" ref="B196:Q196" si="169">B195*B$45</f>
        <v>0</v>
      </c>
      <c r="C196" s="280">
        <f t="shared" si="169"/>
        <v>0</v>
      </c>
      <c r="D196" s="280">
        <f t="shared" si="169"/>
        <v>0</v>
      </c>
      <c r="E196" s="280">
        <f t="shared" ca="1" si="169"/>
        <v>0</v>
      </c>
      <c r="F196" s="280">
        <f t="shared" ca="1" si="169"/>
        <v>0</v>
      </c>
      <c r="G196" s="280">
        <f t="shared" ca="1" si="169"/>
        <v>0</v>
      </c>
      <c r="H196" s="280">
        <f t="shared" ca="1" si="169"/>
        <v>0</v>
      </c>
      <c r="I196" s="280">
        <f t="shared" ca="1" si="169"/>
        <v>0</v>
      </c>
      <c r="J196" s="280">
        <f t="shared" ca="1" si="169"/>
        <v>0</v>
      </c>
      <c r="K196" s="280">
        <f t="shared" ca="1" si="169"/>
        <v>0</v>
      </c>
      <c r="L196" s="280">
        <f t="shared" ca="1" si="169"/>
        <v>0</v>
      </c>
      <c r="M196" s="280">
        <f t="shared" ca="1" si="169"/>
        <v>0</v>
      </c>
      <c r="N196" s="280">
        <f t="shared" ca="1" si="169"/>
        <v>0</v>
      </c>
      <c r="O196" s="280">
        <f t="shared" ca="1" si="169"/>
        <v>0</v>
      </c>
      <c r="P196" s="280">
        <f t="shared" ca="1" si="169"/>
        <v>0</v>
      </c>
      <c r="Q196" s="280">
        <f t="shared" ca="1" si="169"/>
        <v>0</v>
      </c>
      <c r="S196" s="289" t="s">
        <v>744</v>
      </c>
      <c r="T196" s="288">
        <f>VLOOKUP(S196,$Y$32:$AB$34,2,0)</f>
        <v>-0.7</v>
      </c>
      <c r="U196" s="288">
        <f>VLOOKUP(S196,$Y$32:$AB$34,3,0)</f>
        <v>-0.35</v>
      </c>
      <c r="V196" s="288">
        <f>VLOOKUP(S196,$Y$32:$AB$34,4,0)</f>
        <v>-0.1</v>
      </c>
    </row>
    <row r="197" spans="1:22" hidden="1" outlineLevel="1">
      <c r="A197" s="270" t="s">
        <v>734</v>
      </c>
      <c r="B197" s="213">
        <f ca="1">SUM(B196:Q196)</f>
        <v>0</v>
      </c>
      <c r="C197" s="277"/>
      <c r="D197" s="277"/>
      <c r="E197" s="277"/>
      <c r="F197" s="277"/>
      <c r="G197" s="277"/>
      <c r="H197" s="277"/>
      <c r="I197" s="277"/>
      <c r="J197" s="277"/>
      <c r="K197" s="277"/>
      <c r="L197" s="277"/>
      <c r="M197" s="277"/>
      <c r="N197" s="256"/>
      <c r="O197" s="256"/>
      <c r="P197" s="256"/>
      <c r="Q197" s="256"/>
    </row>
    <row r="198" spans="1:22" hidden="1" outlineLevel="1">
      <c r="A198" s="281" t="s">
        <v>735</v>
      </c>
      <c r="B198" s="213">
        <f ca="1">(Q195*(1+C198))/(DCF!$H$31-NPV!C198)*NPV!$Q$45</f>
        <v>0</v>
      </c>
      <c r="C198" s="282">
        <v>-0.05</v>
      </c>
      <c r="D198" s="277"/>
      <c r="E198" s="277"/>
      <c r="F198" s="277"/>
      <c r="G198" s="277"/>
      <c r="H198" s="277"/>
      <c r="I198" s="277"/>
      <c r="J198" s="277"/>
      <c r="K198" s="277"/>
      <c r="L198" s="277"/>
      <c r="M198" s="277"/>
      <c r="N198" s="256"/>
      <c r="O198" s="256"/>
      <c r="P198" s="256"/>
      <c r="Q198" s="256"/>
    </row>
    <row r="199" spans="1:22" hidden="1" outlineLevel="1">
      <c r="A199" s="281" t="s">
        <v>736</v>
      </c>
      <c r="B199" s="213">
        <f ca="1">SUM(B197:B198)/DCF!$C$30</f>
        <v>0</v>
      </c>
      <c r="C199" s="283"/>
      <c r="D199" s="283"/>
      <c r="E199" s="283"/>
      <c r="F199" s="283"/>
      <c r="G199" s="283"/>
      <c r="H199" s="283"/>
      <c r="I199" s="283"/>
      <c r="J199" s="283"/>
      <c r="K199" s="283"/>
      <c r="L199" s="283"/>
      <c r="M199" s="256"/>
      <c r="N199" s="256"/>
      <c r="O199" s="256"/>
      <c r="P199" s="256"/>
      <c r="Q199" s="256"/>
    </row>
    <row r="200" spans="1:22" hidden="1" outlineLevel="1">
      <c r="A200" s="284" t="s">
        <v>737</v>
      </c>
      <c r="B200" s="285">
        <f ca="1">B199/DCF!$H$24</f>
        <v>0</v>
      </c>
    </row>
    <row r="201" spans="1:22" hidden="1" outlineLevel="1"/>
    <row r="202" spans="1:22" hidden="1" outlineLevel="1">
      <c r="A202" s="265" t="s">
        <v>23</v>
      </c>
      <c r="B202" s="266">
        <v>2015</v>
      </c>
      <c r="C202" s="266">
        <v>2016</v>
      </c>
      <c r="D202" s="266">
        <v>2017</v>
      </c>
      <c r="E202" s="266">
        <v>2018</v>
      </c>
      <c r="F202" s="266">
        <v>2019</v>
      </c>
      <c r="G202" s="266">
        <v>2020</v>
      </c>
      <c r="H202" s="266">
        <v>2021</v>
      </c>
      <c r="I202" s="266">
        <v>2022</v>
      </c>
      <c r="J202" s="266">
        <v>2023</v>
      </c>
      <c r="K202" s="266">
        <v>2024</v>
      </c>
      <c r="L202" s="266">
        <v>2025</v>
      </c>
      <c r="M202" s="266">
        <v>2026</v>
      </c>
      <c r="N202" s="266">
        <v>2027</v>
      </c>
      <c r="O202" s="266">
        <v>2028</v>
      </c>
      <c r="P202" s="266">
        <v>2029</v>
      </c>
      <c r="Q202" s="267">
        <v>2030</v>
      </c>
      <c r="S202" s="256" t="s">
        <v>709</v>
      </c>
      <c r="T202" s="256" t="s">
        <v>710</v>
      </c>
      <c r="U202" s="256"/>
      <c r="V202" s="256"/>
    </row>
    <row r="203" spans="1:22" hidden="1" outlineLevel="1">
      <c r="A203" s="268" t="s">
        <v>729</v>
      </c>
      <c r="B203" s="269">
        <f>Sales!G98</f>
        <v>565</v>
      </c>
      <c r="C203" s="269">
        <f>Sales!H98</f>
        <v>729</v>
      </c>
      <c r="D203" s="269">
        <f>Sales!I98</f>
        <v>808</v>
      </c>
      <c r="E203" s="269">
        <f>Sales!J98</f>
        <v>894.6259981334963</v>
      </c>
      <c r="F203" s="269">
        <f>Sales!K98</f>
        <v>939.35729804017114</v>
      </c>
      <c r="G203" s="269">
        <f>Sales!L98</f>
        <v>976.92346294217964</v>
      </c>
      <c r="H203" s="269">
        <f>Sales!M98</f>
        <v>1016.0858850892887</v>
      </c>
      <c r="I203" s="269">
        <f>Sales!N98</f>
        <v>842.46924991875312</v>
      </c>
      <c r="J203" s="269">
        <f>Sales!O98</f>
        <v>630.24899239969079</v>
      </c>
      <c r="K203" s="269">
        <f>Sales!P98</f>
        <v>649.1564621716816</v>
      </c>
      <c r="L203" s="269">
        <f>Sales!Q98</f>
        <v>668.63115603683207</v>
      </c>
      <c r="M203" s="269">
        <f>L203*(1+M204)</f>
        <v>668.63115603683207</v>
      </c>
      <c r="N203" s="269">
        <f>M203*(1+N204)</f>
        <v>668.63115603683207</v>
      </c>
      <c r="O203" s="269">
        <f>N203*(1+O204)</f>
        <v>668.63115603683207</v>
      </c>
      <c r="P203" s="269">
        <f>O203*(1+P204)</f>
        <v>668.63115603683207</v>
      </c>
      <c r="Q203" s="269">
        <f>P203*(1+Q204)</f>
        <v>668.63115603683207</v>
      </c>
      <c r="S203" s="213">
        <f>MAX(MAX(Sales!C98:W98),MAX(K203:Q203))</f>
        <v>1016.0858850892887</v>
      </c>
      <c r="T203" s="256">
        <f>IFERROR(INDEX(Sales!$B$1:$Q$1,MATCH(NPV!S203,Sales!B98:Q98,0)),INDEX(C202:Q202,MATCH(NPV!S203,C203:Q203,0)))</f>
        <v>2021</v>
      </c>
      <c r="U203" s="256"/>
      <c r="V203" s="256"/>
    </row>
    <row r="204" spans="1:22" hidden="1" outlineLevel="1">
      <c r="A204" s="270" t="s">
        <v>579</v>
      </c>
      <c r="B204" s="271"/>
      <c r="C204" s="271">
        <f t="shared" ref="C204:J204" si="170">C203/B203-1</f>
        <v>0.29026548672566377</v>
      </c>
      <c r="D204" s="271">
        <f t="shared" si="170"/>
        <v>0.10836762688614532</v>
      </c>
      <c r="E204" s="271">
        <f t="shared" si="170"/>
        <v>0.10721039372957453</v>
      </c>
      <c r="F204" s="271">
        <f t="shared" si="170"/>
        <v>5.0000000000000044E-2</v>
      </c>
      <c r="G204" s="271">
        <f t="shared" si="170"/>
        <v>3.999134831909501E-2</v>
      </c>
      <c r="H204" s="271">
        <f t="shared" si="170"/>
        <v>4.0087502893179083E-2</v>
      </c>
      <c r="I204" s="271">
        <f t="shared" si="170"/>
        <v>-0.17086807101476365</v>
      </c>
      <c r="J204" s="271">
        <f t="shared" si="170"/>
        <v>-0.25190267483297302</v>
      </c>
      <c r="K204" s="271">
        <f t="shared" ref="K204" si="171">K203/J203-1</f>
        <v>3.0000000000000027E-2</v>
      </c>
      <c r="L204" s="271">
        <f t="shared" ref="L204" si="172">L203/K203-1</f>
        <v>3.0000000000000027E-2</v>
      </c>
      <c r="M204" s="272">
        <v>0</v>
      </c>
      <c r="N204" s="272">
        <v>0</v>
      </c>
      <c r="O204" s="272">
        <v>0</v>
      </c>
      <c r="P204" s="272">
        <v>0</v>
      </c>
      <c r="Q204" s="272">
        <v>0</v>
      </c>
      <c r="S204" s="256" t="s">
        <v>738</v>
      </c>
      <c r="T204" s="256"/>
      <c r="U204" s="256"/>
      <c r="V204" s="256"/>
    </row>
    <row r="205" spans="1:22" hidden="1" outlineLevel="1">
      <c r="A205" s="273" t="s">
        <v>730</v>
      </c>
      <c r="B205" s="274">
        <f t="shared" ref="B205:Q205" si="173">B203*B206</f>
        <v>-28.25</v>
      </c>
      <c r="C205" s="274">
        <f t="shared" si="173"/>
        <v>0</v>
      </c>
      <c r="D205" s="274">
        <f t="shared" si="173"/>
        <v>80.800000000000026</v>
      </c>
      <c r="E205" s="274">
        <f t="shared" si="173"/>
        <v>178.92519962669928</v>
      </c>
      <c r="F205" s="274">
        <f t="shared" si="173"/>
        <v>281.8071894120514</v>
      </c>
      <c r="G205" s="274">
        <f t="shared" si="173"/>
        <v>390.76938517687188</v>
      </c>
      <c r="H205" s="274">
        <f t="shared" si="173"/>
        <v>508.04294254464435</v>
      </c>
      <c r="I205" s="274">
        <f t="shared" si="173"/>
        <v>379.11116246343892</v>
      </c>
      <c r="J205" s="274">
        <f t="shared" si="173"/>
        <v>264.70457680787018</v>
      </c>
      <c r="K205" s="274">
        <f t="shared" si="173"/>
        <v>253.17102024695583</v>
      </c>
      <c r="L205" s="274">
        <f t="shared" si="173"/>
        <v>260.76615085436453</v>
      </c>
      <c r="M205" s="274">
        <f t="shared" si="173"/>
        <v>260.76615085436453</v>
      </c>
      <c r="N205" s="274">
        <f t="shared" si="173"/>
        <v>260.76615085436453</v>
      </c>
      <c r="O205" s="274">
        <f t="shared" si="173"/>
        <v>260.76615085436453</v>
      </c>
      <c r="P205" s="274">
        <f t="shared" si="173"/>
        <v>260.76615085436453</v>
      </c>
      <c r="Q205" s="274">
        <f t="shared" si="173"/>
        <v>260.76615085436453</v>
      </c>
      <c r="S205" s="282">
        <f>IF(S203&gt;$X$39,$Z$39,$Z$40)</f>
        <v>-0.05</v>
      </c>
      <c r="T205" s="282">
        <f>IF(S203&gt;$X$39,$AA$39,$AA$40)</f>
        <v>-0.03</v>
      </c>
      <c r="U205" s="282">
        <f>IF(S203&gt;$X$39,$AB$39,$AB$40)</f>
        <v>-0.03</v>
      </c>
      <c r="V205" s="256"/>
    </row>
    <row r="206" spans="1:22" hidden="1" outlineLevel="1">
      <c r="A206" s="270" t="s">
        <v>580</v>
      </c>
      <c r="B206" s="286">
        <f>IF(B202-T203&gt;3,T208,IF(B202-T203=1,45%+S205,IF(B202-T203=2,A206+T205,IF(B202-T203=3,A206+U205,IF(B202-T203=0,T209,IF(T203-B202=U210+1,$AA$37,IF(T203-B202=U210+2,$Z$37,IF(B202&lt;T203,C206-(T209-$AB$37)/U210))))))))</f>
        <v>-0.05</v>
      </c>
      <c r="C206" s="286">
        <f>IF(C202-T203&gt;3,T208,IF(C202-T203=1,B206+S205,IF(C202-T203=2,B206+T205,IF(C202-T203=3,B206+U205,IF(C202-T203=0,T209,IF(T203-C202=U210+1,$AA$37,IF(T203-C202=U210+2,$Z$37,IF(C202&lt;T203,D206-(T209-$AB$37)/U210))))))))</f>
        <v>0</v>
      </c>
      <c r="D206" s="286">
        <f>IF(D202-T203&gt;3,T208,IF(D202-T203=1,C206+S205,IF(D202-T203=2,C206+T205,IF(D202-T203=3,C206+U205,IF(D202-T203=0,T209,IF(T203-D202=U210+1,$AA$37,IF(T203-D202=U210+2,$Z$37,IF(D202&lt;T203,E206-(T209-$AB$37)/U210))))))))</f>
        <v>0.10000000000000003</v>
      </c>
      <c r="E206" s="286">
        <f>IF(E202-T203&gt;3,T208,IF(E202-T203=1,D206+S205,IF(E202-T203=2,D206+T205,IF(E202-T203=3,D206+U205,IF(E202-T203=0,T209,IF(T203-E202=U210+1,$AA$37,IF(T203-E202=U210+2,$Z$37,IF(E202&lt;T203,F206-(T209-$AB$37)/U210))))))))</f>
        <v>0.20000000000000004</v>
      </c>
      <c r="F206" s="286">
        <f>IF(F202-T203&gt;3,T208,IF(F202-T203=1,E206+S205,IF(F202-T203=2,E206+T205,IF(F202-T203=3,E206+U205,IF(F202-T203=0,T209,IF(T203-F202=U210+1,$AA$37,IF(T203-F202=U210+2,$Z$37,IF(F202&lt;T203,G206-(T209-$AB$37)/U210))))))))</f>
        <v>0.30000000000000004</v>
      </c>
      <c r="G206" s="286">
        <f>IF(G202-T203&gt;3,T208,IF(G202-T203=1,F206+S205,IF(G202-T203=2,F206+T205,IF(G202-T203=3,F206+U205,IF(G202-T203=0,T209,IF(T203-G202=U210+1,$AA$37,IF(T203-G202=U210+2,$Z$37,IF(G202&lt;T203,H206-(T209-$AB$37)/U210))))))))</f>
        <v>0.4</v>
      </c>
      <c r="H206" s="286">
        <f>IF(H202-T203&gt;3,T208,IF(H202-T203=1,G206+S205,IF(H202-T203=2,G206+T205,IF(H202-T203=3,G206+U205,IF(H202-T203=0,T209,IF(T203-H202=U210+1,$AA$37,IF(T203-H202=U210+2,$Z$37,IF(H202&lt;T203,I206-(T209-$AB$37)/U210))))))))</f>
        <v>0.5</v>
      </c>
      <c r="I206" s="286">
        <f>IF(I202-T203&gt;3,T208,IF(I202-T203=1,H206+S205,IF(I202-T203=2,H206+T205,IF(I202-T203=3,H206+U205,IF(I202-T203=0,T209,IF(T203-I202=U210+1,$AA$37,IF(T203-I202=U210+2,$Z$37,IF(I202&lt;T203,J206-(T209-$AB$37)/U210))))))))</f>
        <v>0.45</v>
      </c>
      <c r="J206" s="286">
        <f>IF(J202-T203&gt;3,T208,IF(J202-T203=1,I206+S205,IF(J202-T203=2,I206+T205,IF(J202-T203=3,I206+U205,IF(J202-T203=0,T209,IF(T203-J202=U210+1,$AA$37,IF(T203-J202=U210+2,$Z$37,IF(J202&lt;T203,K206-(T209-$AB$37)/U210))))))))</f>
        <v>0.42000000000000004</v>
      </c>
      <c r="K206" s="286">
        <f>IF(K202-T203&gt;3,T208,IF(K202-T203=1,J206+S205,IF(K202-T203=2,J206+T205,IF(K202-T203=3,J206+U205,IF(K202-T203=0,T209,IF(T203-K202=U210+1,$AA$37,IF(T203-K202=U210+2,$Z$37,IF(K202&lt;T203,L206-(T209-$AB$37)/U210))))))))</f>
        <v>0.39</v>
      </c>
      <c r="L206" s="286">
        <f>IF(L202-T203&gt;3,T208,IF(L202-T203=1,K206+S205,IF(L202-T203=2,K206+T205,IF(L202-T203=3,K206+U205,IF(L202-T203=0,T209,IF(T203-L202=U210+1,$AA$37,IF(T203-L202=U210+2,$Z$37,IF(L202&lt;T203,M206-(T209-$AB$37)/U210))))))))</f>
        <v>0.39</v>
      </c>
      <c r="M206" s="286">
        <f>IF(M202-T203&gt;3,T208,IF(M202-T203=1,L206+S205,IF(M202-T203=2,L206+T205,IF(M202-T203=3,L206+U205,IF(M202-T203=0,T209,IF(T203-M202=U210+1,$AA$37,IF(T203-M202=U210+2,$Z$37,IF(M202&lt;T203,N206-(T209-$AB$37)/U210))))))))</f>
        <v>0.39</v>
      </c>
      <c r="N206" s="286">
        <f>IF(N202-T203&gt;3,T208,IF(N202-T203=1,M206+S205,IF(N202-T203=2,M206+T205,IF(N202-T203=3,M206+U205,IF(N202-T203=0,T209,IF(T203-N202=U210+1,$AA$37,IF(T203-N202=U210+2,$Z$37,IF(N202&lt;T203,O206-(T209-$AB$37)/U210))))))))</f>
        <v>0.39</v>
      </c>
      <c r="O206" s="286">
        <f>IF(O202-T203&gt;3,T208,IF(O202-T203=1,N206+S205,IF(O202-T203=2,N206+T205,IF(O202-T203=3,N206+U205,IF(O202-T203=0,T209,IF(T203-O202=U210+1,$AA$37,IF(T203-O202=U210+2,$Z$37,IF(O202&lt;T203,P206-(T209-$AB$37)/U210))))))))</f>
        <v>0.39</v>
      </c>
      <c r="P206" s="286">
        <f>IF(P202-T203&gt;3,T208,IF(P202-T203=1,O206+S205,IF(P202-T203=2,O206+T205,IF(P202-T203=3,O206+U205,IF(P202-T203=0,T209,IF(T203-P202=U210+1,$AA$37,IF(T203-P202=U210+2,$Z$37,IF(P202&lt;T203,Q206-(T209-$AB$37)/U210))))))))</f>
        <v>0.39</v>
      </c>
      <c r="Q206" s="286">
        <f>IF(Q202-T203&gt;3,T208,IF(Q202-T203=1,P206+S205,IF(Q202-T203=2,P206+T205,IF(Q202-T203=3,P206+U205,IF(Q202-T203=0,T209,IF(T203-Q202=U210+1,$AA$37,IF(T203-Q202=U210+2,$Z$37,IF(Q202&lt;T203,R206-(T209-$AB$37)/U210))))))))</f>
        <v>0.39</v>
      </c>
      <c r="S206" s="287" t="s">
        <v>739</v>
      </c>
      <c r="T206" s="213">
        <f t="array" ref="T206">INDEX(Sales!B98:Q98,MATCH(FALSE,ISBLANK(Sales!B98:Q98),0))</f>
        <v>565</v>
      </c>
      <c r="U206" s="256"/>
      <c r="V206" s="256"/>
    </row>
    <row r="207" spans="1:22" hidden="1" outlineLevel="1">
      <c r="A207" s="270" t="s">
        <v>731</v>
      </c>
      <c r="B207" s="213">
        <f>B205*B208</f>
        <v>-4.111605875674142</v>
      </c>
      <c r="C207" s="213">
        <f t="shared" ref="C207:Q207" si="174">C205*C208</f>
        <v>0</v>
      </c>
      <c r="D207" s="213">
        <f t="shared" si="174"/>
        <v>12.142756289898614</v>
      </c>
      <c r="E207" s="213">
        <f t="shared" si="174"/>
        <v>26.889171945401824</v>
      </c>
      <c r="F207" s="213">
        <f t="shared" si="174"/>
        <v>42.350445814007877</v>
      </c>
      <c r="G207" s="213">
        <f t="shared" si="174"/>
        <v>58.725462992033094</v>
      </c>
      <c r="H207" s="213">
        <f t="shared" si="174"/>
        <v>76.34952519953687</v>
      </c>
      <c r="I207" s="213">
        <f t="shared" si="174"/>
        <v>56.973446195219019</v>
      </c>
      <c r="J207" s="213">
        <f t="shared" si="174"/>
        <v>39.780237190578163</v>
      </c>
      <c r="K207" s="213">
        <f t="shared" si="174"/>
        <v>38.046955427274398</v>
      </c>
      <c r="L207" s="213">
        <f t="shared" si="174"/>
        <v>39.188364090092634</v>
      </c>
      <c r="M207" s="213">
        <f t="shared" si="174"/>
        <v>39.188364090092634</v>
      </c>
      <c r="N207" s="213">
        <f t="shared" si="174"/>
        <v>39.188364090092634</v>
      </c>
      <c r="O207" s="213">
        <f t="shared" si="174"/>
        <v>39.188364090092634</v>
      </c>
      <c r="P207" s="213">
        <f t="shared" si="174"/>
        <v>39.188364090092634</v>
      </c>
      <c r="Q207" s="213">
        <f t="shared" si="174"/>
        <v>39.188364090092634</v>
      </c>
      <c r="S207" s="287" t="s">
        <v>740</v>
      </c>
      <c r="T207" s="256">
        <f>IFERROR(INDEX(Sales!$B$1:$Q$1,MATCH(NPV!T206,Sales!B98:Q98,0)),INDEX(C202:Q202,MATCH(NPV!T206,C203:Q203,0)))</f>
        <v>2015</v>
      </c>
      <c r="U207" s="256"/>
      <c r="V207" s="256"/>
    </row>
    <row r="208" spans="1:22" hidden="1" outlineLevel="1">
      <c r="A208" s="270" t="s">
        <v>635</v>
      </c>
      <c r="B208" s="196">
        <f>'P&amp;L'!$G$120</f>
        <v>0.1455435708203236</v>
      </c>
      <c r="C208" s="196">
        <f>'P&amp;L'!$H$120</f>
        <v>0.15028163725122043</v>
      </c>
      <c r="D208" s="196">
        <f>C208</f>
        <v>0.15028163725122043</v>
      </c>
      <c r="E208" s="196">
        <f t="shared" ref="E208:Q208" si="175">D208</f>
        <v>0.15028163725122043</v>
      </c>
      <c r="F208" s="196">
        <f t="shared" si="175"/>
        <v>0.15028163725122043</v>
      </c>
      <c r="G208" s="196">
        <f t="shared" si="175"/>
        <v>0.15028163725122043</v>
      </c>
      <c r="H208" s="196">
        <f t="shared" si="175"/>
        <v>0.15028163725122043</v>
      </c>
      <c r="I208" s="196">
        <f t="shared" si="175"/>
        <v>0.15028163725122043</v>
      </c>
      <c r="J208" s="196">
        <f t="shared" si="175"/>
        <v>0.15028163725122043</v>
      </c>
      <c r="K208" s="196">
        <f t="shared" si="175"/>
        <v>0.15028163725122043</v>
      </c>
      <c r="L208" s="196">
        <f t="shared" si="175"/>
        <v>0.15028163725122043</v>
      </c>
      <c r="M208" s="196">
        <f t="shared" si="175"/>
        <v>0.15028163725122043</v>
      </c>
      <c r="N208" s="196">
        <f t="shared" si="175"/>
        <v>0.15028163725122043</v>
      </c>
      <c r="O208" s="196">
        <f t="shared" si="175"/>
        <v>0.15028163725122043</v>
      </c>
      <c r="P208" s="196">
        <f t="shared" si="175"/>
        <v>0.15028163725122043</v>
      </c>
      <c r="Q208" s="196">
        <f t="shared" si="175"/>
        <v>0.15028163725122043</v>
      </c>
      <c r="S208" s="287" t="s">
        <v>741</v>
      </c>
      <c r="T208" s="288">
        <f>IF(Q202-T203&gt;3,IF(AND(S203&lt;$X$42,S203&lt;$X$43,S203&lt;$X$44),$AA$45,IF(AND(S203&lt;$X$42,S203&lt;$X$43),$AA$44,IF(S203&lt;$X$42,$AA$43,$AA$42))))</f>
        <v>0.39</v>
      </c>
      <c r="U208" s="256"/>
      <c r="V208" s="256"/>
    </row>
    <row r="209" spans="1:22" hidden="1" outlineLevel="1">
      <c r="A209" s="256" t="s">
        <v>732</v>
      </c>
      <c r="B209" s="213">
        <f>B205-B207</f>
        <v>-24.138394124325856</v>
      </c>
      <c r="C209" s="213">
        <f t="shared" ref="C209:Q209" si="176">C205-C207</f>
        <v>0</v>
      </c>
      <c r="D209" s="213">
        <f t="shared" si="176"/>
        <v>68.657243710101412</v>
      </c>
      <c r="E209" s="213">
        <f t="shared" si="176"/>
        <v>152.03602768129747</v>
      </c>
      <c r="F209" s="213">
        <f t="shared" si="176"/>
        <v>239.45674359804352</v>
      </c>
      <c r="G209" s="213">
        <f t="shared" si="176"/>
        <v>332.04392218483878</v>
      </c>
      <c r="H209" s="213">
        <f t="shared" si="176"/>
        <v>431.69341734510749</v>
      </c>
      <c r="I209" s="213">
        <f t="shared" si="176"/>
        <v>322.13771626821989</v>
      </c>
      <c r="J209" s="213">
        <f t="shared" si="176"/>
        <v>224.92433961729202</v>
      </c>
      <c r="K209" s="213">
        <f t="shared" si="176"/>
        <v>215.12406481968145</v>
      </c>
      <c r="L209" s="213">
        <f t="shared" si="176"/>
        <v>221.57778676427188</v>
      </c>
      <c r="M209" s="213">
        <f t="shared" si="176"/>
        <v>221.57778676427188</v>
      </c>
      <c r="N209" s="213">
        <f t="shared" si="176"/>
        <v>221.57778676427188</v>
      </c>
      <c r="O209" s="213">
        <f t="shared" si="176"/>
        <v>221.57778676427188</v>
      </c>
      <c r="P209" s="213">
        <f t="shared" si="176"/>
        <v>221.57778676427188</v>
      </c>
      <c r="Q209" s="213">
        <f t="shared" si="176"/>
        <v>221.57778676427188</v>
      </c>
      <c r="S209" s="287" t="s">
        <v>742</v>
      </c>
      <c r="T209" s="288">
        <f>IF(S203&gt;$X$42,$Z$42,IF(S203&gt;$X$43,$Z$43,IF(S203&gt;$X$44,$Z$44,$Z$45)))</f>
        <v>0.5</v>
      </c>
      <c r="U209" s="256"/>
      <c r="V209" s="256"/>
    </row>
    <row r="210" spans="1:22" hidden="1" outlineLevel="1">
      <c r="A210" s="270" t="s">
        <v>607</v>
      </c>
      <c r="B210" s="277">
        <f>B209</f>
        <v>-24.138394124325856</v>
      </c>
      <c r="C210" s="277">
        <f t="shared" ref="C210:Q210" si="177">C209</f>
        <v>0</v>
      </c>
      <c r="D210" s="277">
        <f t="shared" si="177"/>
        <v>68.657243710101412</v>
      </c>
      <c r="E210" s="277">
        <f t="shared" si="177"/>
        <v>152.03602768129747</v>
      </c>
      <c r="F210" s="277">
        <f t="shared" si="177"/>
        <v>239.45674359804352</v>
      </c>
      <c r="G210" s="277">
        <f t="shared" si="177"/>
        <v>332.04392218483878</v>
      </c>
      <c r="H210" s="277">
        <f t="shared" si="177"/>
        <v>431.69341734510749</v>
      </c>
      <c r="I210" s="277">
        <f t="shared" si="177"/>
        <v>322.13771626821989</v>
      </c>
      <c r="J210" s="277">
        <f t="shared" si="177"/>
        <v>224.92433961729202</v>
      </c>
      <c r="K210" s="277">
        <f t="shared" si="177"/>
        <v>215.12406481968145</v>
      </c>
      <c r="L210" s="277">
        <f t="shared" si="177"/>
        <v>221.57778676427188</v>
      </c>
      <c r="M210" s="277">
        <f t="shared" si="177"/>
        <v>221.57778676427188</v>
      </c>
      <c r="N210" s="277">
        <f t="shared" si="177"/>
        <v>221.57778676427188</v>
      </c>
      <c r="O210" s="277">
        <f t="shared" si="177"/>
        <v>221.57778676427188</v>
      </c>
      <c r="P210" s="277">
        <f t="shared" si="177"/>
        <v>221.57778676427188</v>
      </c>
      <c r="Q210" s="277">
        <f t="shared" si="177"/>
        <v>221.57778676427188</v>
      </c>
      <c r="S210" s="287" t="s">
        <v>743</v>
      </c>
      <c r="T210" s="256">
        <f>T203-T207</f>
        <v>6</v>
      </c>
      <c r="U210" s="256">
        <f>T210-2</f>
        <v>4</v>
      </c>
      <c r="V210" s="256"/>
    </row>
    <row r="211" spans="1:22" hidden="1" outlineLevel="1">
      <c r="A211" s="279" t="s">
        <v>733</v>
      </c>
      <c r="B211" s="280">
        <f t="shared" ref="B211:Q211" si="178">B210*B$45</f>
        <v>0</v>
      </c>
      <c r="C211" s="280">
        <f t="shared" si="178"/>
        <v>0</v>
      </c>
      <c r="D211" s="280">
        <f t="shared" si="178"/>
        <v>0</v>
      </c>
      <c r="E211" s="280">
        <f t="shared" ca="1" si="178"/>
        <v>144.74741246039201</v>
      </c>
      <c r="F211" s="280">
        <f t="shared" ca="1" si="178"/>
        <v>212.55499668291512</v>
      </c>
      <c r="G211" s="280">
        <f t="shared" ca="1" si="178"/>
        <v>274.80190141561297</v>
      </c>
      <c r="H211" s="280">
        <f t="shared" ca="1" si="178"/>
        <v>333.10379165567406</v>
      </c>
      <c r="I211" s="280">
        <f t="shared" ca="1" si="178"/>
        <v>231.75316663725189</v>
      </c>
      <c r="J211" s="280">
        <f t="shared" ca="1" si="178"/>
        <v>150.86917211426885</v>
      </c>
      <c r="K211" s="280">
        <f t="shared" ca="1" si="178"/>
        <v>134.53429280852822</v>
      </c>
      <c r="L211" s="280">
        <f t="shared" ca="1" si="178"/>
        <v>129.19632982967769</v>
      </c>
      <c r="M211" s="280">
        <f t="shared" ca="1" si="178"/>
        <v>120.45646895812695</v>
      </c>
      <c r="N211" s="280">
        <f t="shared" ca="1" si="178"/>
        <v>112.30784135268188</v>
      </c>
      <c r="O211" s="280">
        <f t="shared" ca="1" si="178"/>
        <v>104.71045132232545</v>
      </c>
      <c r="P211" s="280">
        <f t="shared" ca="1" si="178"/>
        <v>97.627008800692863</v>
      </c>
      <c r="Q211" s="280">
        <f t="shared" ca="1" si="178"/>
        <v>91.022746316235526</v>
      </c>
      <c r="S211" s="289" t="s">
        <v>744</v>
      </c>
      <c r="T211" s="288">
        <f>VLOOKUP(S211,$Y$32:$AB$34,2,0)</f>
        <v>-0.7</v>
      </c>
      <c r="U211" s="288">
        <f>VLOOKUP(S211,$Y$32:$AB$34,3,0)</f>
        <v>-0.35</v>
      </c>
      <c r="V211" s="288">
        <f>VLOOKUP(S211,$Y$32:$AB$34,4,0)</f>
        <v>-0.1</v>
      </c>
    </row>
    <row r="212" spans="1:22" hidden="1" outlineLevel="1">
      <c r="A212" s="270" t="s">
        <v>734</v>
      </c>
      <c r="B212" s="213">
        <f ca="1">SUM(B211:Q211)</f>
        <v>2137.685580354384</v>
      </c>
      <c r="C212" s="277"/>
      <c r="D212" s="277"/>
      <c r="E212" s="277"/>
      <c r="F212" s="277"/>
      <c r="G212" s="277"/>
      <c r="H212" s="277"/>
      <c r="I212" s="277"/>
      <c r="J212" s="277"/>
      <c r="K212" s="277"/>
      <c r="L212" s="277"/>
      <c r="M212" s="277"/>
      <c r="N212" s="256"/>
      <c r="O212" s="256"/>
      <c r="P212" s="256"/>
      <c r="Q212" s="256"/>
    </row>
    <row r="213" spans="1:22" hidden="1" outlineLevel="1">
      <c r="A213" s="281" t="s">
        <v>735</v>
      </c>
      <c r="B213" s="213">
        <f ca="1">(Q210*(1+C213))/(DCF!$H$31-NPV!C213)*NPV!$Q$45</f>
        <v>705.56712179983083</v>
      </c>
      <c r="C213" s="282">
        <v>-0.05</v>
      </c>
      <c r="D213" s="277"/>
      <c r="E213" s="277"/>
      <c r="F213" s="277"/>
      <c r="G213" s="277"/>
      <c r="H213" s="277"/>
      <c r="I213" s="277"/>
      <c r="J213" s="277"/>
      <c r="K213" s="277"/>
      <c r="L213" s="277"/>
      <c r="M213" s="277"/>
      <c r="N213" s="256"/>
      <c r="O213" s="256"/>
      <c r="P213" s="256"/>
      <c r="Q213" s="256"/>
    </row>
    <row r="214" spans="1:22" hidden="1" outlineLevel="1">
      <c r="A214" s="281" t="s">
        <v>736</v>
      </c>
      <c r="B214" s="213">
        <f ca="1">SUM(B212:B213)/DCF!$C$30</f>
        <v>1.211957673552521</v>
      </c>
      <c r="C214" s="283"/>
      <c r="D214" s="283"/>
      <c r="E214" s="283"/>
      <c r="F214" s="283"/>
      <c r="G214" s="283"/>
      <c r="H214" s="283"/>
      <c r="I214" s="283"/>
      <c r="J214" s="283"/>
      <c r="K214" s="283"/>
      <c r="L214" s="283"/>
      <c r="M214" s="256"/>
      <c r="N214" s="256"/>
      <c r="O214" s="256"/>
      <c r="P214" s="256"/>
      <c r="Q214" s="256"/>
    </row>
    <row r="215" spans="1:22" hidden="1" outlineLevel="1">
      <c r="A215" s="284" t="s">
        <v>737</v>
      </c>
      <c r="B215" s="285">
        <f ca="1">B214/DCF!$H$24</f>
        <v>1.1766579354878846</v>
      </c>
    </row>
    <row r="216" spans="1:22" hidden="1" outlineLevel="1"/>
    <row r="217" spans="1:22" hidden="1" outlineLevel="1">
      <c r="A217" s="265" t="s">
        <v>24</v>
      </c>
      <c r="B217" s="266">
        <v>2015</v>
      </c>
      <c r="C217" s="266">
        <v>2016</v>
      </c>
      <c r="D217" s="266">
        <v>2017</v>
      </c>
      <c r="E217" s="266">
        <v>2018</v>
      </c>
      <c r="F217" s="266">
        <v>2019</v>
      </c>
      <c r="G217" s="266">
        <v>2020</v>
      </c>
      <c r="H217" s="266">
        <v>2021</v>
      </c>
      <c r="I217" s="266">
        <v>2022</v>
      </c>
      <c r="J217" s="266">
        <v>2023</v>
      </c>
      <c r="K217" s="266">
        <v>2024</v>
      </c>
      <c r="L217" s="266">
        <v>2025</v>
      </c>
      <c r="M217" s="266">
        <v>2026</v>
      </c>
      <c r="N217" s="266">
        <v>2027</v>
      </c>
      <c r="O217" s="266">
        <v>2028</v>
      </c>
      <c r="P217" s="266">
        <v>2029</v>
      </c>
      <c r="Q217" s="267">
        <v>2030</v>
      </c>
      <c r="S217" s="256" t="s">
        <v>709</v>
      </c>
      <c r="T217" s="256" t="s">
        <v>710</v>
      </c>
      <c r="U217" s="256"/>
      <c r="V217" s="256"/>
    </row>
    <row r="218" spans="1:22" hidden="1" outlineLevel="1">
      <c r="A218" s="268" t="s">
        <v>729</v>
      </c>
      <c r="B218" s="269">
        <f>Sales!G106</f>
        <v>453</v>
      </c>
      <c r="C218" s="269">
        <f>Sales!H106</f>
        <v>672</v>
      </c>
      <c r="D218" s="269">
        <f>Sales!I106</f>
        <v>873</v>
      </c>
      <c r="E218" s="269">
        <f>Sales!J106</f>
        <v>1050.2739471276084</v>
      </c>
      <c r="F218" s="269">
        <f>Sales!K106</f>
        <v>1102.7876444839887</v>
      </c>
      <c r="G218" s="269">
        <f>Sales!L106</f>
        <v>1157.9270267081884</v>
      </c>
      <c r="H218" s="269">
        <f>Sales!M106</f>
        <v>1215.8233780435976</v>
      </c>
      <c r="I218" s="269">
        <f>Sales!N106</f>
        <v>1276.6145469457776</v>
      </c>
      <c r="J218" s="269">
        <f>Sales!O106</f>
        <v>1314.912983354151</v>
      </c>
      <c r="K218" s="269">
        <f>Sales!P106</f>
        <v>1354.3603728547755</v>
      </c>
      <c r="L218" s="269">
        <f>Sales!Q106</f>
        <v>1394.9911840404188</v>
      </c>
      <c r="M218" s="269">
        <f>L218*(1+M219)</f>
        <v>1394.9911840404188</v>
      </c>
      <c r="N218" s="269">
        <f>M218*(1+N219)</f>
        <v>1394.9911840404188</v>
      </c>
      <c r="O218" s="269">
        <f>N218*(1+O219)</f>
        <v>1394.9911840404188</v>
      </c>
      <c r="P218" s="269">
        <f>O218*(1+P219)</f>
        <v>1394.9911840404188</v>
      </c>
      <c r="Q218" s="269">
        <f>P218*(1+Q219)</f>
        <v>1394.9911840404188</v>
      </c>
      <c r="S218" s="213">
        <f>MAX(MAX(Sales!C106:W106),MAX(K218:Q218))</f>
        <v>1394.9911840404188</v>
      </c>
      <c r="T218" s="256">
        <f>IFERROR(INDEX(Sales!$B$1:$Q$1,MATCH(NPV!S218,Sales!B106:Q106,0)),INDEX(C217:Q217,MATCH(NPV!S218,C218:Q218,0)))</f>
        <v>2025</v>
      </c>
      <c r="U218" s="256"/>
      <c r="V218" s="256"/>
    </row>
    <row r="219" spans="1:22" hidden="1" outlineLevel="1">
      <c r="A219" s="270" t="s">
        <v>579</v>
      </c>
      <c r="B219" s="271"/>
      <c r="C219" s="271">
        <f t="shared" ref="C219:J219" si="179">C218/B218-1</f>
        <v>0.48344370860927155</v>
      </c>
      <c r="D219" s="271">
        <f t="shared" si="179"/>
        <v>0.29910714285714279</v>
      </c>
      <c r="E219" s="271">
        <f t="shared" si="179"/>
        <v>0.2030629405814528</v>
      </c>
      <c r="F219" s="271">
        <f t="shared" si="179"/>
        <v>5.0000000000000044E-2</v>
      </c>
      <c r="G219" s="271">
        <f t="shared" si="179"/>
        <v>5.0000000000000044E-2</v>
      </c>
      <c r="H219" s="271">
        <f t="shared" si="179"/>
        <v>4.9999999999999822E-2</v>
      </c>
      <c r="I219" s="271">
        <f t="shared" si="179"/>
        <v>5.0000000000000044E-2</v>
      </c>
      <c r="J219" s="271">
        <f t="shared" si="179"/>
        <v>3.0000000000000027E-2</v>
      </c>
      <c r="K219" s="271">
        <f t="shared" ref="K219" si="180">K218/J218-1</f>
        <v>3.0000000000000027E-2</v>
      </c>
      <c r="L219" s="271">
        <f t="shared" ref="L219" si="181">L218/K218-1</f>
        <v>3.0000000000000027E-2</v>
      </c>
      <c r="M219" s="272">
        <v>0</v>
      </c>
      <c r="N219" s="272">
        <v>0</v>
      </c>
      <c r="O219" s="272">
        <v>0</v>
      </c>
      <c r="P219" s="272">
        <v>0</v>
      </c>
      <c r="Q219" s="272">
        <v>0</v>
      </c>
      <c r="S219" s="256" t="s">
        <v>738</v>
      </c>
      <c r="T219" s="256"/>
      <c r="U219" s="256"/>
      <c r="V219" s="256"/>
    </row>
    <row r="220" spans="1:22" hidden="1" outlineLevel="1">
      <c r="A220" s="273" t="s">
        <v>730</v>
      </c>
      <c r="B220" s="274">
        <f t="shared" ref="B220:Q220" si="182">B218*B221</f>
        <v>-22.650000000000002</v>
      </c>
      <c r="C220" s="274">
        <f t="shared" si="182"/>
        <v>0</v>
      </c>
      <c r="D220" s="274">
        <f t="shared" si="182"/>
        <v>87.300000000000068</v>
      </c>
      <c r="E220" s="274">
        <f t="shared" si="182"/>
        <v>157.54109206914134</v>
      </c>
      <c r="F220" s="274">
        <f t="shared" si="182"/>
        <v>220.55752889679783</v>
      </c>
      <c r="G220" s="274">
        <f t="shared" si="182"/>
        <v>289.48175667704714</v>
      </c>
      <c r="H220" s="274">
        <f t="shared" si="182"/>
        <v>364.74701341307934</v>
      </c>
      <c r="I220" s="274">
        <f t="shared" si="182"/>
        <v>446.81509143102221</v>
      </c>
      <c r="J220" s="274">
        <f t="shared" si="182"/>
        <v>525.96519334166044</v>
      </c>
      <c r="K220" s="274">
        <f t="shared" si="182"/>
        <v>609.46216778464895</v>
      </c>
      <c r="L220" s="274">
        <f t="shared" si="182"/>
        <v>697.49559202020941</v>
      </c>
      <c r="M220" s="274">
        <f t="shared" si="182"/>
        <v>627.7460328181885</v>
      </c>
      <c r="N220" s="274">
        <f t="shared" si="182"/>
        <v>585.89629729697594</v>
      </c>
      <c r="O220" s="274">
        <f t="shared" si="182"/>
        <v>544.04656177576339</v>
      </c>
      <c r="P220" s="274">
        <f t="shared" si="182"/>
        <v>544.04656177576339</v>
      </c>
      <c r="Q220" s="274">
        <f t="shared" si="182"/>
        <v>544.04656177576339</v>
      </c>
      <c r="S220" s="282">
        <f>IF(S218&gt;$X$39,$Z$39,$Z$40)</f>
        <v>-0.05</v>
      </c>
      <c r="T220" s="282">
        <f>IF(S218&gt;$X$39,$AA$39,$AA$40)</f>
        <v>-0.03</v>
      </c>
      <c r="U220" s="282">
        <f>IF(S218&gt;$X$39,$AB$39,$AB$40)</f>
        <v>-0.03</v>
      </c>
      <c r="V220" s="256"/>
    </row>
    <row r="221" spans="1:22" hidden="1" outlineLevel="1">
      <c r="A221" s="270" t="s">
        <v>580</v>
      </c>
      <c r="B221" s="286">
        <f>IF(B217-T218&gt;3,T223,IF(B217-T218=1,45%+S220,IF(B217-T218=2,A221+T220,IF(B217-T218=3,A221+U220,IF(B217-T218=0,T224,IF(T218-B217=U225+1,$AA$37,IF(T218-B217=U225+2,$Z$37,IF(B217&lt;T218,C221-(T224-$AB$37)/U225))))))))</f>
        <v>-0.05</v>
      </c>
      <c r="C221" s="286">
        <f>IF(C217-T218&gt;3,T223,IF(C217-T218=1,B221+S220,IF(C217-T218=2,B221+T220,IF(C217-T218=3,B221+U220,IF(C217-T218=0,T224,IF(T218-C217=U225+1,$AA$37,IF(T218-C217=U225+2,$Z$37,IF(C217&lt;T218,D221-(T224-$AB$37)/U225))))))))</f>
        <v>0</v>
      </c>
      <c r="D221" s="286">
        <f>IF(D217-T218&gt;3,T223,IF(D217-T218=1,C221+S220,IF(D217-T218=2,C221+T220,IF(D217-T218=3,C221+U220,IF(D217-T218=0,T224,IF(T218-D217=U225+1,$AA$37,IF(T218-D217=U225+2,$Z$37,IF(D217&lt;T218,E221-(T224-$AB$37)/U225))))))))</f>
        <v>0.10000000000000007</v>
      </c>
      <c r="E221" s="286">
        <f>IF(E217-T218&gt;3,T223,IF(E217-T218=1,D221+S220,IF(E217-T218=2,D221+T220,IF(E217-T218=3,D221+U220,IF(E217-T218=0,T224,IF(T218-E217=U225+1,$AA$37,IF(T218-E217=U225+2,$Z$37,IF(E217&lt;T218,F221-(T224-$AB$37)/U225))))))))</f>
        <v>0.15000000000000008</v>
      </c>
      <c r="F221" s="286">
        <f>IF(F217-T218&gt;3,T223,IF(F217-T218=1,E221+S220,IF(F217-T218=2,E221+T220,IF(F217-T218=3,E221+U220,IF(F217-T218=0,T224,IF(T218-F217=U225+1,$AA$37,IF(T218-F217=U225+2,$Z$37,IF(F217&lt;T218,G221-(T224-$AB$37)/U225))))))))</f>
        <v>0.20000000000000007</v>
      </c>
      <c r="G221" s="286">
        <f>IF(G217-T218&gt;3,T223,IF(G217-T218=1,F221+S220,IF(G217-T218=2,F221+T220,IF(G217-T218=3,F221+U220,IF(G217-T218=0,T224,IF(T218-G217=U225+1,$AA$37,IF(T218-G217=U225+2,$Z$37,IF(G217&lt;T218,H221-(T224-$AB$37)/U225))))))))</f>
        <v>0.25000000000000006</v>
      </c>
      <c r="H221" s="286">
        <f>IF(H217-T218&gt;3,T223,IF(H217-T218=1,G221+S220,IF(H217-T218=2,G221+T220,IF(H217-T218=3,G221+U220,IF(H217-T218=0,T224,IF(T218-H217=U225+1,$AA$37,IF(T218-H217=U225+2,$Z$37,IF(H217&lt;T218,I221-(T224-$AB$37)/U225))))))))</f>
        <v>0.30000000000000004</v>
      </c>
      <c r="I221" s="286">
        <f>IF(I217-T218&gt;3,T223,IF(I217-T218=1,H221+S220,IF(I217-T218=2,H221+T220,IF(I217-T218=3,H221+U220,IF(I217-T218=0,T224,IF(T218-I217=U225+1,$AA$37,IF(T218-I217=U225+2,$Z$37,IF(I217&lt;T218,J221-(T224-$AB$37)/U225))))))))</f>
        <v>0.35000000000000003</v>
      </c>
      <c r="J221" s="286">
        <f>IF(J217-T218&gt;3,T223,IF(J217-T218=1,I221+S220,IF(J217-T218=2,I221+T220,IF(J217-T218=3,I221+U220,IF(J217-T218=0,T224,IF(T218-J217=U225+1,$AA$37,IF(T218-J217=U225+2,$Z$37,IF(J217&lt;T218,K221-(T224-$AB$37)/U225))))))))</f>
        <v>0.4</v>
      </c>
      <c r="K221" s="286">
        <f>IF(K217-T218&gt;3,T223,IF(K217-T218=1,J221+S220,IF(K217-T218=2,J221+T220,IF(K217-T218=3,J221+U220,IF(K217-T218=0,T224,IF(T218-K217=U225+1,$AA$37,IF(T218-K217=U225+2,$Z$37,IF(K217&lt;T218,L221-(T224-$AB$37)/U225))))))))</f>
        <v>0.45</v>
      </c>
      <c r="L221" s="286">
        <f>IF(L217-T218&gt;3,T223,IF(L217-T218=1,K221+S220,IF(L217-T218=2,K221+T220,IF(L217-T218=3,K221+U220,IF(L217-T218=0,T224,IF(T218-L217=U225+1,$AA$37,IF(T218-L217=U225+2,$Z$37,IF(L217&lt;T218,M221-(T224-$AB$37)/U225))))))))</f>
        <v>0.5</v>
      </c>
      <c r="M221" s="286">
        <f>IF(M217-T218&gt;3,T223,IF(M217-T218=1,L221+S220,IF(M217-T218=2,L221+T220,IF(M217-T218=3,L221+U220,IF(M217-T218=0,T224,IF(T218-M217=U225+1,$AA$37,IF(T218-M217=U225+2,$Z$37,IF(M217&lt;T218,N221-(T224-$AB$37)/U225))))))))</f>
        <v>0.45</v>
      </c>
      <c r="N221" s="286">
        <f>IF(N217-T218&gt;3,T223,IF(N217-T218=1,M221+S220,IF(N217-T218=2,M221+T220,IF(N217-T218=3,M221+U220,IF(N217-T218=0,T224,IF(T218-N217=U225+1,$AA$37,IF(T218-N217=U225+2,$Z$37,IF(N217&lt;T218,O221-(T224-$AB$37)/U225))))))))</f>
        <v>0.42000000000000004</v>
      </c>
      <c r="O221" s="286">
        <f>IF(O217-T218&gt;3,T223,IF(O217-T218=1,N221+S220,IF(O217-T218=2,N221+T220,IF(O217-T218=3,N221+U220,IF(O217-T218=0,T224,IF(T218-O217=U225+1,$AA$37,IF(T218-O217=U225+2,$Z$37,IF(O217&lt;T218,P221-(T224-$AB$37)/U225))))))))</f>
        <v>0.39</v>
      </c>
      <c r="P221" s="286">
        <f>IF(P217-T218&gt;3,T223,IF(P217-T218=1,O221+S220,IF(P217-T218=2,O221+T220,IF(P217-T218=3,O221+U220,IF(P217-T218=0,T224,IF(T218-P217=U225+1,$AA$37,IF(T218-P217=U225+2,$Z$37,IF(P217&lt;T218,Q221-(T224-$AB$37)/U225))))))))</f>
        <v>0.39</v>
      </c>
      <c r="Q221" s="286">
        <f>IF(Q217-T218&gt;3,T223,IF(Q217-T218=1,P221+S220,IF(Q217-T218=2,P221+T220,IF(Q217-T218=3,P221+U220,IF(Q217-T218=0,T224,IF(T218-Q217=U225+1,$AA$37,IF(T218-Q217=U225+2,$Z$37,IF(Q217&lt;T218,R221-(T224-$AB$37)/U225))))))))</f>
        <v>0.39</v>
      </c>
      <c r="S221" s="287" t="s">
        <v>739</v>
      </c>
      <c r="T221" s="213">
        <f t="array" ref="T221">INDEX(Sales!B106:Q106,MATCH(FALSE,ISBLANK(Sales!B106:Q106),0))</f>
        <v>453</v>
      </c>
      <c r="U221" s="256"/>
      <c r="V221" s="256"/>
    </row>
    <row r="222" spans="1:22" hidden="1" outlineLevel="1">
      <c r="A222" s="270" t="s">
        <v>731</v>
      </c>
      <c r="B222" s="213">
        <f>B220*B223</f>
        <v>-3.2965618790803299</v>
      </c>
      <c r="C222" s="213">
        <f t="shared" ref="C222:Q222" si="183">C220*C223</f>
        <v>0</v>
      </c>
      <c r="D222" s="213">
        <f t="shared" si="183"/>
        <v>13.119586932031554</v>
      </c>
      <c r="E222" s="213">
        <f t="shared" si="183"/>
        <v>23.675533250495818</v>
      </c>
      <c r="F222" s="213">
        <f t="shared" si="183"/>
        <v>33.145746550694142</v>
      </c>
      <c r="G222" s="213">
        <f t="shared" si="183"/>
        <v>43.503792347786053</v>
      </c>
      <c r="H222" s="213">
        <f t="shared" si="183"/>
        <v>54.814778358210425</v>
      </c>
      <c r="I222" s="213">
        <f t="shared" si="183"/>
        <v>67.148103488807763</v>
      </c>
      <c r="J222" s="213">
        <f t="shared" si="183"/>
        <v>79.042910392539426</v>
      </c>
      <c r="K222" s="213">
        <f t="shared" si="183"/>
        <v>91.590972417355061</v>
      </c>
      <c r="L222" s="213">
        <f t="shared" si="183"/>
        <v>104.82077954430635</v>
      </c>
      <c r="M222" s="213">
        <f t="shared" si="183"/>
        <v>94.338701589875711</v>
      </c>
      <c r="N222" s="213">
        <f t="shared" si="183"/>
        <v>88.049454817217338</v>
      </c>
      <c r="O222" s="213">
        <f t="shared" si="183"/>
        <v>81.760208044558965</v>
      </c>
      <c r="P222" s="213">
        <f t="shared" si="183"/>
        <v>81.760208044558965</v>
      </c>
      <c r="Q222" s="213">
        <f t="shared" si="183"/>
        <v>81.760208044558965</v>
      </c>
      <c r="S222" s="287" t="s">
        <v>740</v>
      </c>
      <c r="T222" s="256">
        <f>IFERROR(INDEX(Sales!$B$1:$Q$1,MATCH(NPV!T221,Sales!B106:Q106,0)),INDEX(C217:Q217,MATCH(NPV!T221,C218:Q218,0)))</f>
        <v>2015</v>
      </c>
      <c r="U222" s="256"/>
      <c r="V222" s="256"/>
    </row>
    <row r="223" spans="1:22" hidden="1" outlineLevel="1">
      <c r="A223" s="270" t="s">
        <v>635</v>
      </c>
      <c r="B223" s="196">
        <f>'P&amp;L'!$G$120</f>
        <v>0.1455435708203236</v>
      </c>
      <c r="C223" s="196">
        <f>'P&amp;L'!$H$120</f>
        <v>0.15028163725122043</v>
      </c>
      <c r="D223" s="196">
        <f>C223</f>
        <v>0.15028163725122043</v>
      </c>
      <c r="E223" s="196">
        <f t="shared" ref="E223:Q223" si="184">D223</f>
        <v>0.15028163725122043</v>
      </c>
      <c r="F223" s="196">
        <f t="shared" si="184"/>
        <v>0.15028163725122043</v>
      </c>
      <c r="G223" s="196">
        <f t="shared" si="184"/>
        <v>0.15028163725122043</v>
      </c>
      <c r="H223" s="196">
        <f t="shared" si="184"/>
        <v>0.15028163725122043</v>
      </c>
      <c r="I223" s="196">
        <f t="shared" si="184"/>
        <v>0.15028163725122043</v>
      </c>
      <c r="J223" s="196">
        <f t="shared" si="184"/>
        <v>0.15028163725122043</v>
      </c>
      <c r="K223" s="196">
        <f t="shared" si="184"/>
        <v>0.15028163725122043</v>
      </c>
      <c r="L223" s="196">
        <f t="shared" si="184"/>
        <v>0.15028163725122043</v>
      </c>
      <c r="M223" s="196">
        <f t="shared" si="184"/>
        <v>0.15028163725122043</v>
      </c>
      <c r="N223" s="196">
        <f t="shared" si="184"/>
        <v>0.15028163725122043</v>
      </c>
      <c r="O223" s="196">
        <f t="shared" si="184"/>
        <v>0.15028163725122043</v>
      </c>
      <c r="P223" s="196">
        <f t="shared" si="184"/>
        <v>0.15028163725122043</v>
      </c>
      <c r="Q223" s="196">
        <f t="shared" si="184"/>
        <v>0.15028163725122043</v>
      </c>
      <c r="S223" s="287" t="s">
        <v>741</v>
      </c>
      <c r="T223" s="288">
        <f>IF(Q217-T218&gt;3,IF(AND(S218&lt;$X$42,S218&lt;$X$43,S218&lt;$X$44),$AA$45,IF(AND(S218&lt;$X$42,S218&lt;$X$43),$AA$44,IF(S218&lt;$X$42,$AA$43,$AA$42))))</f>
        <v>0.39</v>
      </c>
      <c r="U223" s="256"/>
      <c r="V223" s="256"/>
    </row>
    <row r="224" spans="1:22" hidden="1" outlineLevel="1">
      <c r="A224" s="256" t="s">
        <v>732</v>
      </c>
      <c r="B224" s="213">
        <f>B220-B222</f>
        <v>-19.353438120919673</v>
      </c>
      <c r="C224" s="213">
        <f t="shared" ref="C224:Q224" si="185">C220-C222</f>
        <v>0</v>
      </c>
      <c r="D224" s="213">
        <f t="shared" si="185"/>
        <v>74.180413067968516</v>
      </c>
      <c r="E224" s="213">
        <f t="shared" si="185"/>
        <v>133.86555881864552</v>
      </c>
      <c r="F224" s="213">
        <f t="shared" si="185"/>
        <v>187.41178234610368</v>
      </c>
      <c r="G224" s="213">
        <f t="shared" si="185"/>
        <v>245.97796432926108</v>
      </c>
      <c r="H224" s="213">
        <f t="shared" si="185"/>
        <v>309.9322350548689</v>
      </c>
      <c r="I224" s="213">
        <f t="shared" si="185"/>
        <v>379.66698794221446</v>
      </c>
      <c r="J224" s="213">
        <f t="shared" si="185"/>
        <v>446.92228294912104</v>
      </c>
      <c r="K224" s="213">
        <f t="shared" si="185"/>
        <v>517.87119536729392</v>
      </c>
      <c r="L224" s="213">
        <f t="shared" si="185"/>
        <v>592.67481247590308</v>
      </c>
      <c r="M224" s="213">
        <f t="shared" si="185"/>
        <v>533.40733122831284</v>
      </c>
      <c r="N224" s="213">
        <f t="shared" si="185"/>
        <v>497.84684247975861</v>
      </c>
      <c r="O224" s="213">
        <f t="shared" si="185"/>
        <v>462.28635373120443</v>
      </c>
      <c r="P224" s="213">
        <f t="shared" si="185"/>
        <v>462.28635373120443</v>
      </c>
      <c r="Q224" s="213">
        <f t="shared" si="185"/>
        <v>462.28635373120443</v>
      </c>
      <c r="S224" s="287" t="s">
        <v>742</v>
      </c>
      <c r="T224" s="288">
        <f>IF(S218&gt;$X$42,$Z$42,IF(S218&gt;$X$43,$Z$43,IF(S218&gt;$X$44,$Z$44,$Z$45)))</f>
        <v>0.5</v>
      </c>
      <c r="U224" s="256"/>
      <c r="V224" s="256"/>
    </row>
    <row r="225" spans="1:22" hidden="1" outlineLevel="1">
      <c r="A225" s="270" t="s">
        <v>607</v>
      </c>
      <c r="B225" s="277">
        <f>B224</f>
        <v>-19.353438120919673</v>
      </c>
      <c r="C225" s="277">
        <f t="shared" ref="C225:Q225" si="186">C224</f>
        <v>0</v>
      </c>
      <c r="D225" s="277">
        <f t="shared" si="186"/>
        <v>74.180413067968516</v>
      </c>
      <c r="E225" s="277">
        <f t="shared" si="186"/>
        <v>133.86555881864552</v>
      </c>
      <c r="F225" s="277">
        <f t="shared" si="186"/>
        <v>187.41178234610368</v>
      </c>
      <c r="G225" s="277">
        <f t="shared" si="186"/>
        <v>245.97796432926108</v>
      </c>
      <c r="H225" s="277">
        <f t="shared" si="186"/>
        <v>309.9322350548689</v>
      </c>
      <c r="I225" s="277">
        <f t="shared" si="186"/>
        <v>379.66698794221446</v>
      </c>
      <c r="J225" s="277">
        <f t="shared" si="186"/>
        <v>446.92228294912104</v>
      </c>
      <c r="K225" s="277">
        <f t="shared" si="186"/>
        <v>517.87119536729392</v>
      </c>
      <c r="L225" s="277">
        <f t="shared" si="186"/>
        <v>592.67481247590308</v>
      </c>
      <c r="M225" s="277">
        <f t="shared" si="186"/>
        <v>533.40733122831284</v>
      </c>
      <c r="N225" s="277">
        <f t="shared" si="186"/>
        <v>497.84684247975861</v>
      </c>
      <c r="O225" s="277">
        <f t="shared" si="186"/>
        <v>462.28635373120443</v>
      </c>
      <c r="P225" s="277">
        <f t="shared" si="186"/>
        <v>462.28635373120443</v>
      </c>
      <c r="Q225" s="277">
        <f t="shared" si="186"/>
        <v>462.28635373120443</v>
      </c>
      <c r="S225" s="287" t="s">
        <v>743</v>
      </c>
      <c r="T225" s="256">
        <f>T218-T222</f>
        <v>10</v>
      </c>
      <c r="U225" s="256">
        <f>T225-2</f>
        <v>8</v>
      </c>
      <c r="V225" s="256"/>
    </row>
    <row r="226" spans="1:22" hidden="1" outlineLevel="1">
      <c r="A226" s="279" t="s">
        <v>733</v>
      </c>
      <c r="B226" s="280">
        <f t="shared" ref="B226:Q226" si="187">B225*B$45</f>
        <v>0</v>
      </c>
      <c r="C226" s="280">
        <f t="shared" si="187"/>
        <v>0</v>
      </c>
      <c r="D226" s="280">
        <f t="shared" si="187"/>
        <v>0</v>
      </c>
      <c r="E226" s="280">
        <f t="shared" ca="1" si="187"/>
        <v>127.44803683756696</v>
      </c>
      <c r="F226" s="280">
        <f t="shared" ca="1" si="187"/>
        <v>166.35702205064459</v>
      </c>
      <c r="G226" s="280">
        <f t="shared" ca="1" si="187"/>
        <v>203.57310520622804</v>
      </c>
      <c r="H226" s="280">
        <f t="shared" ca="1" si="187"/>
        <v>239.15028236476883</v>
      </c>
      <c r="I226" s="280">
        <f t="shared" ca="1" si="187"/>
        <v>273.14102720581053</v>
      </c>
      <c r="J226" s="280">
        <f t="shared" ca="1" si="187"/>
        <v>299.77544868056236</v>
      </c>
      <c r="K226" s="280">
        <f t="shared" ca="1" si="187"/>
        <v>323.86630056030759</v>
      </c>
      <c r="L226" s="280">
        <f t="shared" ca="1" si="187"/>
        <v>345.57349666029717</v>
      </c>
      <c r="M226" s="280">
        <f t="shared" ca="1" si="187"/>
        <v>289.9765566504924</v>
      </c>
      <c r="N226" s="280">
        <f t="shared" ca="1" si="187"/>
        <v>252.33623378788002</v>
      </c>
      <c r="O226" s="280">
        <f t="shared" ca="1" si="187"/>
        <v>218.46148680437955</v>
      </c>
      <c r="P226" s="280">
        <f t="shared" ca="1" si="187"/>
        <v>203.68302519498636</v>
      </c>
      <c r="Q226" s="280">
        <f t="shared" ca="1" si="187"/>
        <v>189.90429553256041</v>
      </c>
      <c r="S226" s="289" t="s">
        <v>744</v>
      </c>
      <c r="T226" s="288">
        <f>VLOOKUP(S226,$Y$32:$AB$34,2,0)</f>
        <v>-0.7</v>
      </c>
      <c r="U226" s="288">
        <f>VLOOKUP(S226,$Y$32:$AB$34,3,0)</f>
        <v>-0.35</v>
      </c>
      <c r="V226" s="288">
        <f>VLOOKUP(S226,$Y$32:$AB$34,4,0)</f>
        <v>-0.1</v>
      </c>
    </row>
    <row r="227" spans="1:22" hidden="1" outlineLevel="1">
      <c r="A227" s="270" t="s">
        <v>734</v>
      </c>
      <c r="B227" s="213">
        <f ca="1">SUM(B226:Q226)</f>
        <v>3133.2463175364846</v>
      </c>
      <c r="C227" s="277"/>
      <c r="D227" s="277"/>
      <c r="E227" s="277"/>
      <c r="F227" s="277"/>
      <c r="G227" s="277"/>
      <c r="H227" s="277"/>
      <c r="I227" s="277"/>
      <c r="J227" s="277"/>
      <c r="K227" s="277"/>
      <c r="L227" s="277"/>
      <c r="M227" s="277"/>
      <c r="N227" s="256"/>
      <c r="O227" s="256"/>
      <c r="P227" s="256"/>
      <c r="Q227" s="256"/>
    </row>
    <row r="228" spans="1:22" hidden="1" outlineLevel="1">
      <c r="A228" s="281" t="s">
        <v>735</v>
      </c>
      <c r="B228" s="213">
        <f ca="1">(Q225*(1+C228))/(DCF!$H$31-NPV!C228)*NPV!$Q$45</f>
        <v>1472.0521258589361</v>
      </c>
      <c r="C228" s="282">
        <v>-0.05</v>
      </c>
      <c r="D228" s="277"/>
      <c r="E228" s="277"/>
      <c r="F228" s="277"/>
      <c r="G228" s="277"/>
      <c r="H228" s="277"/>
      <c r="I228" s="277"/>
      <c r="J228" s="277"/>
      <c r="K228" s="277"/>
      <c r="L228" s="277"/>
      <c r="M228" s="277"/>
      <c r="N228" s="256"/>
      <c r="O228" s="256"/>
      <c r="P228" s="256"/>
      <c r="Q228" s="256"/>
    </row>
    <row r="229" spans="1:22" hidden="1" outlineLevel="1">
      <c r="A229" s="281" t="s">
        <v>736</v>
      </c>
      <c r="B229" s="213">
        <f ca="1">SUM(B227:B228)/DCF!$C$30</f>
        <v>1.9630428147465562</v>
      </c>
      <c r="C229" s="283"/>
      <c r="D229" s="283"/>
      <c r="E229" s="283"/>
      <c r="F229" s="283"/>
      <c r="G229" s="283"/>
      <c r="H229" s="283"/>
      <c r="I229" s="283"/>
      <c r="J229" s="283"/>
      <c r="K229" s="283"/>
      <c r="L229" s="283"/>
      <c r="M229" s="256"/>
      <c r="N229" s="256"/>
      <c r="O229" s="256"/>
      <c r="P229" s="256"/>
      <c r="Q229" s="256"/>
    </row>
    <row r="230" spans="1:22" hidden="1" outlineLevel="1">
      <c r="A230" s="284" t="s">
        <v>737</v>
      </c>
      <c r="B230" s="285">
        <f ca="1">B229/DCF!$H$24</f>
        <v>1.9058668104335497</v>
      </c>
    </row>
    <row r="231" spans="1:22" hidden="1" outlineLevel="1"/>
    <row r="232" spans="1:22" hidden="1" outlineLevel="1">
      <c r="A232" s="265" t="s">
        <v>529</v>
      </c>
      <c r="B232" s="266">
        <v>2015</v>
      </c>
      <c r="C232" s="266">
        <v>2016</v>
      </c>
      <c r="D232" s="266">
        <v>2017</v>
      </c>
      <c r="E232" s="266">
        <v>2018</v>
      </c>
      <c r="F232" s="266">
        <v>2019</v>
      </c>
      <c r="G232" s="266">
        <v>2020</v>
      </c>
      <c r="H232" s="266">
        <v>2021</v>
      </c>
      <c r="I232" s="266">
        <v>2022</v>
      </c>
      <c r="J232" s="266">
        <v>2023</v>
      </c>
      <c r="K232" s="266">
        <v>2024</v>
      </c>
      <c r="L232" s="266">
        <v>2025</v>
      </c>
      <c r="M232" s="266">
        <v>2026</v>
      </c>
      <c r="N232" s="266">
        <v>2027</v>
      </c>
      <c r="O232" s="266">
        <v>2028</v>
      </c>
      <c r="P232" s="266">
        <v>2029</v>
      </c>
      <c r="Q232" s="267">
        <v>2030</v>
      </c>
      <c r="S232" s="256" t="s">
        <v>709</v>
      </c>
      <c r="T232" s="256" t="s">
        <v>710</v>
      </c>
      <c r="U232" s="256"/>
      <c r="V232" s="256"/>
    </row>
    <row r="233" spans="1:22" hidden="1" outlineLevel="1">
      <c r="A233" s="268" t="s">
        <v>729</v>
      </c>
      <c r="B233" s="269">
        <f>Sales!G122</f>
        <v>402</v>
      </c>
      <c r="C233" s="269">
        <f>Sales!H122</f>
        <v>635</v>
      </c>
      <c r="D233" s="269">
        <f>Sales!I122</f>
        <v>867</v>
      </c>
      <c r="E233" s="269">
        <f>Sales!J122</f>
        <v>1132.559797267272</v>
      </c>
      <c r="F233" s="269">
        <f>Sales!K122</f>
        <v>1245.8157769939992</v>
      </c>
      <c r="G233" s="269">
        <f>Sales!L122</f>
        <v>1308.1065658436992</v>
      </c>
      <c r="H233" s="269">
        <f>Sales!M122</f>
        <v>1361.0522208190102</v>
      </c>
      <c r="I233" s="269">
        <f>Sales!N122</f>
        <v>1020.6128935935805</v>
      </c>
      <c r="J233" s="269">
        <f>Sales!O122</f>
        <v>896.56478572638787</v>
      </c>
      <c r="K233" s="269">
        <f>Sales!P122</f>
        <v>895.40594654317943</v>
      </c>
      <c r="L233" s="269">
        <f>Sales!Q122</f>
        <v>525.39591013158974</v>
      </c>
      <c r="M233" s="269">
        <f>L233*(1+M234)</f>
        <v>525.39591013158974</v>
      </c>
      <c r="N233" s="269">
        <f>M233*(1+N234)</f>
        <v>525.39591013158974</v>
      </c>
      <c r="O233" s="269">
        <f>N233*(1+O234)</f>
        <v>525.39591013158974</v>
      </c>
      <c r="P233" s="269">
        <f>O233*(1+P234)</f>
        <v>525.39591013158974</v>
      </c>
      <c r="Q233" s="269">
        <f>P233*(1+Q234)</f>
        <v>525.39591013158974</v>
      </c>
      <c r="S233" s="213">
        <f>MAX(MAX(Sales!C122:W122),MAX(K233:Q233))</f>
        <v>1361.0522208190102</v>
      </c>
      <c r="T233" s="256">
        <f>IFERROR(INDEX(Sales!$B$1:$Q$1,MATCH(NPV!S233,Sales!B122:Q122,0)),INDEX(C232:Q232,MATCH(NPV!S233,C233:Q233,0)))</f>
        <v>2021</v>
      </c>
      <c r="U233" s="256"/>
      <c r="V233" s="256"/>
    </row>
    <row r="234" spans="1:22" hidden="1" outlineLevel="1">
      <c r="A234" s="270" t="s">
        <v>579</v>
      </c>
      <c r="B234" s="271"/>
      <c r="C234" s="271">
        <f t="shared" ref="C234:J234" si="188">C233/B233-1</f>
        <v>0.57960199004975133</v>
      </c>
      <c r="D234" s="271">
        <f t="shared" si="188"/>
        <v>0.36535433070866152</v>
      </c>
      <c r="E234" s="271">
        <f t="shared" si="188"/>
        <v>0.3062973440222283</v>
      </c>
      <c r="F234" s="271">
        <f t="shared" si="188"/>
        <v>0.10000000000000009</v>
      </c>
      <c r="G234" s="271">
        <f t="shared" si="188"/>
        <v>5.0000000000000044E-2</v>
      </c>
      <c r="H234" s="271">
        <f t="shared" si="188"/>
        <v>4.0475031895556901E-2</v>
      </c>
      <c r="I234" s="271">
        <f t="shared" si="188"/>
        <v>-0.25012951157786667</v>
      </c>
      <c r="J234" s="271">
        <f t="shared" si="188"/>
        <v>-0.12154275989049956</v>
      </c>
      <c r="K234" s="271">
        <f t="shared" ref="K234" si="189">K233/J233-1</f>
        <v>-1.2925325661430342E-3</v>
      </c>
      <c r="L234" s="271">
        <f t="shared" ref="L234" si="190">L233/K233-1</f>
        <v>-0.41323160499442424</v>
      </c>
      <c r="M234" s="272">
        <v>0</v>
      </c>
      <c r="N234" s="272">
        <v>0</v>
      </c>
      <c r="O234" s="272">
        <v>0</v>
      </c>
      <c r="P234" s="272">
        <v>0</v>
      </c>
      <c r="Q234" s="272">
        <v>0</v>
      </c>
      <c r="S234" s="256" t="s">
        <v>738</v>
      </c>
      <c r="T234" s="256"/>
      <c r="U234" s="256"/>
      <c r="V234" s="256"/>
    </row>
    <row r="235" spans="1:22" hidden="1" outlineLevel="1">
      <c r="A235" s="273" t="s">
        <v>730</v>
      </c>
      <c r="B235" s="274">
        <f t="shared" ref="B235:Q235" si="191">B233*B236</f>
        <v>-20.100000000000001</v>
      </c>
      <c r="C235" s="274">
        <f t="shared" si="191"/>
        <v>0</v>
      </c>
      <c r="D235" s="274">
        <f t="shared" si="191"/>
        <v>86.700000000000031</v>
      </c>
      <c r="E235" s="274">
        <f t="shared" si="191"/>
        <v>226.51195945345444</v>
      </c>
      <c r="F235" s="274">
        <f t="shared" si="191"/>
        <v>373.74473309819979</v>
      </c>
      <c r="G235" s="274">
        <f t="shared" si="191"/>
        <v>523.24262633747969</v>
      </c>
      <c r="H235" s="274">
        <f t="shared" si="191"/>
        <v>680.52611040950512</v>
      </c>
      <c r="I235" s="274">
        <f t="shared" si="191"/>
        <v>459.2758021171112</v>
      </c>
      <c r="J235" s="274">
        <f t="shared" si="191"/>
        <v>376.55721000508294</v>
      </c>
      <c r="K235" s="274">
        <f t="shared" si="191"/>
        <v>349.20831915183999</v>
      </c>
      <c r="L235" s="274">
        <f t="shared" si="191"/>
        <v>204.90440495132</v>
      </c>
      <c r="M235" s="274">
        <f t="shared" si="191"/>
        <v>204.90440495132</v>
      </c>
      <c r="N235" s="274">
        <f t="shared" si="191"/>
        <v>204.90440495132</v>
      </c>
      <c r="O235" s="274">
        <f t="shared" si="191"/>
        <v>204.90440495132</v>
      </c>
      <c r="P235" s="274">
        <f t="shared" si="191"/>
        <v>204.90440495132</v>
      </c>
      <c r="Q235" s="274">
        <f t="shared" si="191"/>
        <v>204.90440495132</v>
      </c>
      <c r="S235" s="282">
        <f>IF(S233&gt;$X$39,$Z$39,$Z$40)</f>
        <v>-0.05</v>
      </c>
      <c r="T235" s="282">
        <f>IF(S233&gt;$X$39,$AA$39,$AA$40)</f>
        <v>-0.03</v>
      </c>
      <c r="U235" s="282">
        <f>IF(S233&gt;$X$39,$AB$39,$AB$40)</f>
        <v>-0.03</v>
      </c>
      <c r="V235" s="256"/>
    </row>
    <row r="236" spans="1:22" hidden="1" outlineLevel="1">
      <c r="A236" s="270" t="s">
        <v>580</v>
      </c>
      <c r="B236" s="286">
        <f>IF(B232-T233&gt;3,T238,IF(B232-T233=1,45%+S235,IF(B232-T233=2,A236+T235,IF(B232-T233=3,A236+U235,IF(B232-T233=0,T239,IF(T233-B232=U240+1,$AA$37,IF(T233-B232=U240+2,$Z$37,IF(B232&lt;T233,C236-(T239-$AB$37)/U240))))))))</f>
        <v>-0.05</v>
      </c>
      <c r="C236" s="286">
        <f>IF(C232-T233&gt;3,T238,IF(C232-T233=1,B236+S235,IF(C232-T233=2,B236+T235,IF(C232-T233=3,B236+U235,IF(C232-T233=0,T239,IF(T233-C232=U240+1,$AA$37,IF(T233-C232=U240+2,$Z$37,IF(C232&lt;T233,D236-(T239-$AB$37)/U240))))))))</f>
        <v>0</v>
      </c>
      <c r="D236" s="286">
        <f>IF(D232-T233&gt;3,T238,IF(D232-T233=1,C236+S235,IF(D232-T233=2,C236+T235,IF(D232-T233=3,C236+U235,IF(D232-T233=0,T239,IF(T233-D232=U240+1,$AA$37,IF(T233-D232=U240+2,$Z$37,IF(D232&lt;T233,E236-(T239-$AB$37)/U240))))))))</f>
        <v>0.10000000000000003</v>
      </c>
      <c r="E236" s="286">
        <f>IF(E232-T233&gt;3,T238,IF(E232-T233=1,D236+S235,IF(E232-T233=2,D236+T235,IF(E232-T233=3,D236+U235,IF(E232-T233=0,T239,IF(T233-E232=U240+1,$AA$37,IF(T233-E232=U240+2,$Z$37,IF(E232&lt;T233,F236-(T239-$AB$37)/U240))))))))</f>
        <v>0.20000000000000004</v>
      </c>
      <c r="F236" s="286">
        <f>IF(F232-T233&gt;3,T238,IF(F232-T233=1,E236+S235,IF(F232-T233=2,E236+T235,IF(F232-T233=3,E236+U235,IF(F232-T233=0,T239,IF(T233-F232=U240+1,$AA$37,IF(T233-F232=U240+2,$Z$37,IF(F232&lt;T233,G236-(T239-$AB$37)/U240))))))))</f>
        <v>0.30000000000000004</v>
      </c>
      <c r="G236" s="286">
        <f>IF(G232-T233&gt;3,T238,IF(G232-T233=1,F236+S235,IF(G232-T233=2,F236+T235,IF(G232-T233=3,F236+U235,IF(G232-T233=0,T239,IF(T233-G232=U240+1,$AA$37,IF(T233-G232=U240+2,$Z$37,IF(G232&lt;T233,H236-(T239-$AB$37)/U240))))))))</f>
        <v>0.4</v>
      </c>
      <c r="H236" s="286">
        <f>IF(H232-T233&gt;3,T238,IF(H232-T233=1,G236+S235,IF(H232-T233=2,G236+T235,IF(H232-T233=3,G236+U235,IF(H232-T233=0,T239,IF(T233-H232=U240+1,$AA$37,IF(T233-H232=U240+2,$Z$37,IF(H232&lt;T233,I236-(T239-$AB$37)/U240))))))))</f>
        <v>0.5</v>
      </c>
      <c r="I236" s="286">
        <f>IF(I232-T233&gt;3,T238,IF(I232-T233=1,H236+S235,IF(I232-T233=2,H236+T235,IF(I232-T233=3,H236+U235,IF(I232-T233=0,T239,IF(T233-I232=U240+1,$AA$37,IF(T233-I232=U240+2,$Z$37,IF(I232&lt;T233,J236-(T239-$AB$37)/U240))))))))</f>
        <v>0.45</v>
      </c>
      <c r="J236" s="286">
        <f>IF(J232-T233&gt;3,T238,IF(J232-T233=1,I236+S235,IF(J232-T233=2,I236+T235,IF(J232-T233=3,I236+U235,IF(J232-T233=0,T239,IF(T233-J232=U240+1,$AA$37,IF(T233-J232=U240+2,$Z$37,IF(J232&lt;T233,K236-(T239-$AB$37)/U240))))))))</f>
        <v>0.42000000000000004</v>
      </c>
      <c r="K236" s="286">
        <f>IF(K232-T233&gt;3,T238,IF(K232-T233=1,J236+S235,IF(K232-T233=2,J236+T235,IF(K232-T233=3,J236+U235,IF(K232-T233=0,T239,IF(T233-K232=U240+1,$AA$37,IF(T233-K232=U240+2,$Z$37,IF(K232&lt;T233,L236-(T239-$AB$37)/U240))))))))</f>
        <v>0.39</v>
      </c>
      <c r="L236" s="286">
        <f>IF(L232-T233&gt;3,T238,IF(L232-T233=1,K236+S235,IF(L232-T233=2,K236+T235,IF(L232-T233=3,K236+U235,IF(L232-T233=0,T239,IF(T233-L232=U240+1,$AA$37,IF(T233-L232=U240+2,$Z$37,IF(L232&lt;T233,M236-(T239-$AB$37)/U240))))))))</f>
        <v>0.39</v>
      </c>
      <c r="M236" s="286">
        <f>IF(M232-T233&gt;3,T238,IF(M232-T233=1,L236+S235,IF(M232-T233=2,L236+T235,IF(M232-T233=3,L236+U235,IF(M232-T233=0,T239,IF(T233-M232=U240+1,$AA$37,IF(T233-M232=U240+2,$Z$37,IF(M232&lt;T233,N236-(T239-$AB$37)/U240))))))))</f>
        <v>0.39</v>
      </c>
      <c r="N236" s="286">
        <f>IF(N232-T233&gt;3,T238,IF(N232-T233=1,M236+S235,IF(N232-T233=2,M236+T235,IF(N232-T233=3,M236+U235,IF(N232-T233=0,T239,IF(T233-N232=U240+1,$AA$37,IF(T233-N232=U240+2,$Z$37,IF(N232&lt;T233,O236-(T239-$AB$37)/U240))))))))</f>
        <v>0.39</v>
      </c>
      <c r="O236" s="286">
        <f>IF(O232-T233&gt;3,T238,IF(O232-T233=1,N236+S235,IF(O232-T233=2,N236+T235,IF(O232-T233=3,N236+U235,IF(O232-T233=0,T239,IF(T233-O232=U240+1,$AA$37,IF(T233-O232=U240+2,$Z$37,IF(O232&lt;T233,P236-(T239-$AB$37)/U240))))))))</f>
        <v>0.39</v>
      </c>
      <c r="P236" s="286">
        <f>IF(P232-T233&gt;3,T238,IF(P232-T233=1,O236+S235,IF(P232-T233=2,O236+T235,IF(P232-T233=3,O236+U235,IF(P232-T233=0,T239,IF(T233-P232=U240+1,$AA$37,IF(T233-P232=U240+2,$Z$37,IF(P232&lt;T233,Q236-(T239-$AB$37)/U240))))))))</f>
        <v>0.39</v>
      </c>
      <c r="Q236" s="286">
        <f>IF(Q232-T233&gt;3,T238,IF(Q232-T233=1,P236+S235,IF(Q232-T233=2,P236+T235,IF(Q232-T233=3,P236+U235,IF(Q232-T233=0,T239,IF(T233-Q232=U240+1,$AA$37,IF(T233-Q232=U240+2,$Z$37,IF(Q232&lt;T233,R236-(T239-$AB$37)/U240))))))))</f>
        <v>0.39</v>
      </c>
      <c r="S236" s="287" t="s">
        <v>739</v>
      </c>
      <c r="T236" s="213">
        <f t="array" ref="T236">INDEX(Sales!B122:Q122,MATCH(FALSE,ISBLANK(Sales!B122:Q122),0))</f>
        <v>402</v>
      </c>
      <c r="U236" s="256"/>
      <c r="V236" s="256"/>
    </row>
    <row r="237" spans="1:22" hidden="1" outlineLevel="1">
      <c r="A237" s="270" t="s">
        <v>731</v>
      </c>
      <c r="B237" s="213">
        <f>B235*B238</f>
        <v>-2.9254257734885045</v>
      </c>
      <c r="C237" s="213">
        <f t="shared" ref="C237:Q237" si="192">C235*C238</f>
        <v>0</v>
      </c>
      <c r="D237" s="213">
        <f t="shared" si="192"/>
        <v>13.029417949680816</v>
      </c>
      <c r="E237" s="213">
        <f t="shared" si="192"/>
        <v>34.04058812364719</v>
      </c>
      <c r="F237" s="213">
        <f t="shared" si="192"/>
        <v>56.16697040401786</v>
      </c>
      <c r="G237" s="213">
        <f t="shared" si="192"/>
        <v>78.633758565625001</v>
      </c>
      <c r="H237" s="213">
        <f t="shared" si="192"/>
        <v>102.27057806454523</v>
      </c>
      <c r="I237" s="213">
        <f t="shared" si="192"/>
        <v>69.020719492026998</v>
      </c>
      <c r="J237" s="213">
        <f t="shared" si="192"/>
        <v>56.589634038315509</v>
      </c>
      <c r="K237" s="213">
        <f t="shared" si="192"/>
        <v>52.479597943885231</v>
      </c>
      <c r="L237" s="213">
        <f t="shared" si="192"/>
        <v>30.793369456071449</v>
      </c>
      <c r="M237" s="213">
        <f t="shared" si="192"/>
        <v>30.793369456071449</v>
      </c>
      <c r="N237" s="213">
        <f t="shared" si="192"/>
        <v>30.793369456071449</v>
      </c>
      <c r="O237" s="213">
        <f t="shared" si="192"/>
        <v>30.793369456071449</v>
      </c>
      <c r="P237" s="213">
        <f t="shared" si="192"/>
        <v>30.793369456071449</v>
      </c>
      <c r="Q237" s="213">
        <f t="shared" si="192"/>
        <v>30.793369456071449</v>
      </c>
      <c r="S237" s="287" t="s">
        <v>740</v>
      </c>
      <c r="T237" s="256">
        <f>IFERROR(INDEX(Sales!$B$1:$Q$1,MATCH(NPV!T236,Sales!B122:Q122,0)),INDEX(C232:Q232,MATCH(NPV!T236,C233:Q233,0)))</f>
        <v>2015</v>
      </c>
      <c r="U237" s="256"/>
      <c r="V237" s="256"/>
    </row>
    <row r="238" spans="1:22" hidden="1" outlineLevel="1">
      <c r="A238" s="270" t="s">
        <v>635</v>
      </c>
      <c r="B238" s="196">
        <f>'P&amp;L'!$G$120</f>
        <v>0.1455435708203236</v>
      </c>
      <c r="C238" s="196">
        <f>'P&amp;L'!$H$120</f>
        <v>0.15028163725122043</v>
      </c>
      <c r="D238" s="196">
        <f>C238</f>
        <v>0.15028163725122043</v>
      </c>
      <c r="E238" s="196">
        <f t="shared" ref="E238:Q238" si="193">D238</f>
        <v>0.15028163725122043</v>
      </c>
      <c r="F238" s="196">
        <f t="shared" si="193"/>
        <v>0.15028163725122043</v>
      </c>
      <c r="G238" s="196">
        <f t="shared" si="193"/>
        <v>0.15028163725122043</v>
      </c>
      <c r="H238" s="196">
        <f t="shared" si="193"/>
        <v>0.15028163725122043</v>
      </c>
      <c r="I238" s="196">
        <f t="shared" si="193"/>
        <v>0.15028163725122043</v>
      </c>
      <c r="J238" s="196">
        <f t="shared" si="193"/>
        <v>0.15028163725122043</v>
      </c>
      <c r="K238" s="196">
        <f t="shared" si="193"/>
        <v>0.15028163725122043</v>
      </c>
      <c r="L238" s="196">
        <f t="shared" si="193"/>
        <v>0.15028163725122043</v>
      </c>
      <c r="M238" s="196">
        <f t="shared" si="193"/>
        <v>0.15028163725122043</v>
      </c>
      <c r="N238" s="196">
        <f t="shared" si="193"/>
        <v>0.15028163725122043</v>
      </c>
      <c r="O238" s="196">
        <f t="shared" si="193"/>
        <v>0.15028163725122043</v>
      </c>
      <c r="P238" s="196">
        <f t="shared" si="193"/>
        <v>0.15028163725122043</v>
      </c>
      <c r="Q238" s="196">
        <f t="shared" si="193"/>
        <v>0.15028163725122043</v>
      </c>
      <c r="S238" s="287" t="s">
        <v>741</v>
      </c>
      <c r="T238" s="288">
        <f>IF(Q232-T233&gt;3,IF(AND(S233&lt;$X$42,S233&lt;$X$43,S233&lt;$X$44),$AA$45,IF(AND(S233&lt;$X$42,S233&lt;$X$43),$AA$44,IF(S233&lt;$X$42,$AA$43,$AA$42))))</f>
        <v>0.39</v>
      </c>
      <c r="U238" s="256"/>
      <c r="V238" s="256"/>
    </row>
    <row r="239" spans="1:22" hidden="1" outlineLevel="1">
      <c r="A239" s="256" t="s">
        <v>732</v>
      </c>
      <c r="B239" s="213">
        <f>B235-B237</f>
        <v>-17.174574226511496</v>
      </c>
      <c r="C239" s="213">
        <f t="shared" ref="C239:Q239" si="194">C235-C237</f>
        <v>0</v>
      </c>
      <c r="D239" s="213">
        <f t="shared" si="194"/>
        <v>73.670582050319211</v>
      </c>
      <c r="E239" s="213">
        <f t="shared" si="194"/>
        <v>192.47137132980725</v>
      </c>
      <c r="F239" s="213">
        <f t="shared" si="194"/>
        <v>317.57776269418196</v>
      </c>
      <c r="G239" s="213">
        <f t="shared" si="194"/>
        <v>444.6088677718547</v>
      </c>
      <c r="H239" s="213">
        <f t="shared" si="194"/>
        <v>578.25553234495987</v>
      </c>
      <c r="I239" s="213">
        <f t="shared" si="194"/>
        <v>390.25508262508419</v>
      </c>
      <c r="J239" s="213">
        <f t="shared" si="194"/>
        <v>319.96757596676741</v>
      </c>
      <c r="K239" s="213">
        <f t="shared" si="194"/>
        <v>296.72872120795478</v>
      </c>
      <c r="L239" s="213">
        <f t="shared" si="194"/>
        <v>174.11103549524856</v>
      </c>
      <c r="M239" s="213">
        <f t="shared" si="194"/>
        <v>174.11103549524856</v>
      </c>
      <c r="N239" s="213">
        <f t="shared" si="194"/>
        <v>174.11103549524856</v>
      </c>
      <c r="O239" s="213">
        <f t="shared" si="194"/>
        <v>174.11103549524856</v>
      </c>
      <c r="P239" s="213">
        <f t="shared" si="194"/>
        <v>174.11103549524856</v>
      </c>
      <c r="Q239" s="213">
        <f t="shared" si="194"/>
        <v>174.11103549524856</v>
      </c>
      <c r="S239" s="287" t="s">
        <v>742</v>
      </c>
      <c r="T239" s="288">
        <f>IF(S233&gt;$X$42,$Z$42,IF(S233&gt;$X$43,$Z$43,IF(S233&gt;$X$44,$Z$44,$Z$45)))</f>
        <v>0.5</v>
      </c>
      <c r="U239" s="256"/>
      <c r="V239" s="256"/>
    </row>
    <row r="240" spans="1:22" hidden="1" outlineLevel="1">
      <c r="A240" s="270" t="s">
        <v>607</v>
      </c>
      <c r="B240" s="277">
        <f>B239</f>
        <v>-17.174574226511496</v>
      </c>
      <c r="C240" s="277">
        <f t="shared" ref="C240:Q240" si="195">C239</f>
        <v>0</v>
      </c>
      <c r="D240" s="277">
        <f t="shared" si="195"/>
        <v>73.670582050319211</v>
      </c>
      <c r="E240" s="277">
        <f t="shared" si="195"/>
        <v>192.47137132980725</v>
      </c>
      <c r="F240" s="277">
        <f t="shared" si="195"/>
        <v>317.57776269418196</v>
      </c>
      <c r="G240" s="277">
        <f t="shared" si="195"/>
        <v>444.6088677718547</v>
      </c>
      <c r="H240" s="277">
        <f t="shared" si="195"/>
        <v>578.25553234495987</v>
      </c>
      <c r="I240" s="277">
        <f t="shared" si="195"/>
        <v>390.25508262508419</v>
      </c>
      <c r="J240" s="277">
        <f t="shared" si="195"/>
        <v>319.96757596676741</v>
      </c>
      <c r="K240" s="277">
        <f t="shared" si="195"/>
        <v>296.72872120795478</v>
      </c>
      <c r="L240" s="277">
        <f t="shared" si="195"/>
        <v>174.11103549524856</v>
      </c>
      <c r="M240" s="277">
        <f t="shared" si="195"/>
        <v>174.11103549524856</v>
      </c>
      <c r="N240" s="277">
        <f t="shared" si="195"/>
        <v>174.11103549524856</v>
      </c>
      <c r="O240" s="277">
        <f t="shared" si="195"/>
        <v>174.11103549524856</v>
      </c>
      <c r="P240" s="277">
        <f t="shared" si="195"/>
        <v>174.11103549524856</v>
      </c>
      <c r="Q240" s="277">
        <f t="shared" si="195"/>
        <v>174.11103549524856</v>
      </c>
      <c r="S240" s="287" t="s">
        <v>743</v>
      </c>
      <c r="T240" s="256">
        <f>T233-T237</f>
        <v>6</v>
      </c>
      <c r="U240" s="256">
        <f>T240-2</f>
        <v>4</v>
      </c>
      <c r="V240" s="256"/>
    </row>
    <row r="241" spans="1:22" hidden="1" outlineLevel="1">
      <c r="A241" s="279" t="s">
        <v>733</v>
      </c>
      <c r="B241" s="280">
        <f t="shared" ref="B241:Q241" si="196">B240*B$45</f>
        <v>0</v>
      </c>
      <c r="C241" s="280">
        <f t="shared" si="196"/>
        <v>0</v>
      </c>
      <c r="D241" s="280">
        <f t="shared" si="196"/>
        <v>0</v>
      </c>
      <c r="E241" s="280">
        <f t="shared" ca="1" si="196"/>
        <v>183.24428359239494</v>
      </c>
      <c r="F241" s="280">
        <f t="shared" ca="1" si="196"/>
        <v>281.89951672165387</v>
      </c>
      <c r="G241" s="280">
        <f t="shared" ca="1" si="196"/>
        <v>367.96144752782129</v>
      </c>
      <c r="H241" s="280">
        <f t="shared" ca="1" si="196"/>
        <v>446.19422634371892</v>
      </c>
      <c r="I241" s="280">
        <f t="shared" ca="1" si="196"/>
        <v>280.75834224683166</v>
      </c>
      <c r="J241" s="280">
        <f t="shared" ca="1" si="196"/>
        <v>214.6199178428283</v>
      </c>
      <c r="K241" s="280">
        <f t="shared" ca="1" si="196"/>
        <v>185.56821477482086</v>
      </c>
      <c r="L241" s="280">
        <f t="shared" ca="1" si="196"/>
        <v>101.51968343632703</v>
      </c>
      <c r="M241" s="280">
        <f t="shared" ca="1" si="196"/>
        <v>94.652089673198631</v>
      </c>
      <c r="N241" s="280">
        <f t="shared" ca="1" si="196"/>
        <v>88.249074231228462</v>
      </c>
      <c r="O241" s="280">
        <f t="shared" ca="1" si="196"/>
        <v>82.279209360911381</v>
      </c>
      <c r="P241" s="280">
        <f t="shared" ca="1" si="196"/>
        <v>76.71319333411266</v>
      </c>
      <c r="Q241" s="280">
        <f t="shared" ca="1" si="196"/>
        <v>71.523706623178967</v>
      </c>
      <c r="S241" s="289" t="s">
        <v>744</v>
      </c>
      <c r="T241" s="288">
        <f>VLOOKUP(S241,$Y$32:$AB$34,2,0)</f>
        <v>-0.7</v>
      </c>
      <c r="U241" s="288">
        <f>VLOOKUP(S241,$Y$32:$AB$34,3,0)</f>
        <v>-0.35</v>
      </c>
      <c r="V241" s="288">
        <f>VLOOKUP(S241,$Y$32:$AB$34,4,0)</f>
        <v>-0.1</v>
      </c>
    </row>
    <row r="242" spans="1:22" hidden="1" outlineLevel="1">
      <c r="A242" s="270" t="s">
        <v>734</v>
      </c>
      <c r="B242" s="213">
        <f ca="1">SUM(B241:Q241)</f>
        <v>2475.1829057090267</v>
      </c>
      <c r="C242" s="277"/>
      <c r="D242" s="277"/>
      <c r="E242" s="277"/>
      <c r="F242" s="277"/>
      <c r="G242" s="277"/>
      <c r="H242" s="277"/>
      <c r="I242" s="277"/>
      <c r="J242" s="277"/>
      <c r="K242" s="277"/>
      <c r="L242" s="277"/>
      <c r="M242" s="277"/>
      <c r="N242" s="256"/>
      <c r="O242" s="256"/>
      <c r="P242" s="256"/>
      <c r="Q242" s="256"/>
    </row>
    <row r="243" spans="1:22" hidden="1" outlineLevel="1">
      <c r="A243" s="281" t="s">
        <v>735</v>
      </c>
      <c r="B243" s="213">
        <f ca="1">(Q240*(1+C243))/(DCF!$H$31-NPV!C243)*NPV!$Q$45</f>
        <v>554.4193936672134</v>
      </c>
      <c r="C243" s="282">
        <v>-0.05</v>
      </c>
      <c r="D243" s="277"/>
      <c r="E243" s="277"/>
      <c r="F243" s="277"/>
      <c r="G243" s="277"/>
      <c r="H243" s="277"/>
      <c r="I243" s="277"/>
      <c r="J243" s="277"/>
      <c r="K243" s="277"/>
      <c r="L243" s="277"/>
      <c r="M243" s="277"/>
      <c r="N243" s="256"/>
      <c r="O243" s="256"/>
      <c r="P243" s="256"/>
      <c r="Q243" s="256"/>
    </row>
    <row r="244" spans="1:22" hidden="1" outlineLevel="1">
      <c r="A244" s="281" t="s">
        <v>736</v>
      </c>
      <c r="B244" s="213">
        <f ca="1">SUM(B242:B243)/DCF!$C$30</f>
        <v>1.2913905794442626</v>
      </c>
      <c r="C244" s="283"/>
      <c r="D244" s="283"/>
      <c r="E244" s="283"/>
      <c r="F244" s="283"/>
      <c r="G244" s="283"/>
      <c r="H244" s="283"/>
      <c r="I244" s="283"/>
      <c r="J244" s="283"/>
      <c r="K244" s="283"/>
      <c r="L244" s="283"/>
      <c r="M244" s="256"/>
      <c r="N244" s="256"/>
      <c r="O244" s="256"/>
      <c r="P244" s="256"/>
      <c r="Q244" s="256"/>
    </row>
    <row r="245" spans="1:22" hidden="1" outlineLevel="1">
      <c r="A245" s="284" t="s">
        <v>737</v>
      </c>
      <c r="B245" s="285">
        <f ca="1">B244/DCF!$H$24</f>
        <v>1.2537772615963714</v>
      </c>
    </row>
    <row r="246" spans="1:22" hidden="1" outlineLevel="1"/>
    <row r="247" spans="1:22" hidden="1" outlineLevel="1">
      <c r="A247" s="265" t="s">
        <v>745</v>
      </c>
      <c r="B247" s="266">
        <v>2015</v>
      </c>
      <c r="C247" s="266">
        <v>2016</v>
      </c>
      <c r="D247" s="266">
        <v>2017</v>
      </c>
      <c r="E247" s="266">
        <v>2018</v>
      </c>
      <c r="F247" s="266">
        <v>2019</v>
      </c>
      <c r="G247" s="266">
        <v>2020</v>
      </c>
      <c r="H247" s="266">
        <v>2021</v>
      </c>
      <c r="I247" s="266">
        <v>2022</v>
      </c>
      <c r="J247" s="266">
        <v>2023</v>
      </c>
      <c r="K247" s="266">
        <v>2024</v>
      </c>
      <c r="L247" s="266">
        <v>2025</v>
      </c>
      <c r="M247" s="266">
        <v>2026</v>
      </c>
      <c r="N247" s="266">
        <v>2027</v>
      </c>
      <c r="O247" s="266">
        <v>2028</v>
      </c>
      <c r="P247" s="266">
        <v>2029</v>
      </c>
      <c r="Q247" s="267">
        <v>2030</v>
      </c>
      <c r="S247" s="256" t="s">
        <v>709</v>
      </c>
      <c r="T247" s="256" t="s">
        <v>710</v>
      </c>
      <c r="U247" s="256"/>
      <c r="V247" s="256"/>
    </row>
    <row r="248" spans="1:22" hidden="1" outlineLevel="1">
      <c r="A248" s="268" t="s">
        <v>729</v>
      </c>
      <c r="B248" s="269">
        <f>Sales!G146</f>
        <v>819</v>
      </c>
      <c r="C248" s="269">
        <f>Sales!H146</f>
        <v>902</v>
      </c>
      <c r="D248" s="269">
        <f>Sales!I146</f>
        <v>893</v>
      </c>
      <c r="E248" s="269">
        <f>Sales!J146</f>
        <v>946.58</v>
      </c>
      <c r="F248" s="269">
        <f>Sales!K146</f>
        <v>993.90900000000011</v>
      </c>
      <c r="G248" s="269">
        <f>Sales!L146</f>
        <v>1043.60445</v>
      </c>
      <c r="H248" s="269">
        <f>Sales!M146</f>
        <v>1095.7846724999999</v>
      </c>
      <c r="I248" s="269">
        <f>Sales!N146</f>
        <v>1150.5739061249999</v>
      </c>
      <c r="J248" s="269">
        <f>Sales!O146</f>
        <v>1208.1026014312499</v>
      </c>
      <c r="K248" s="269">
        <f>Sales!P146</f>
        <v>1268.5077315028125</v>
      </c>
      <c r="L248" s="269">
        <f>Sales!Q146</f>
        <v>1331.9331180779532</v>
      </c>
      <c r="M248" s="269">
        <f>L248*(1+M249)</f>
        <v>1331.9331180779532</v>
      </c>
      <c r="N248" s="269">
        <f>M248*(1+N249)</f>
        <v>1331.9331180779532</v>
      </c>
      <c r="O248" s="269">
        <f>N248*(1+O249)</f>
        <v>1331.9331180779532</v>
      </c>
      <c r="P248" s="269">
        <f>O248*(1+P249)</f>
        <v>1331.9331180779532</v>
      </c>
      <c r="Q248" s="269">
        <f>P248*(1+Q249)</f>
        <v>1331.9331180779532</v>
      </c>
      <c r="S248" s="213">
        <f>MAX(MAX(Sales!C146:W146),MAX(K248:Q248))</f>
        <v>1650</v>
      </c>
      <c r="T248" s="256">
        <f>IFERROR(INDEX(Sales!$B$1:$Q$1,MATCH(NPV!S248,Sales!B146:Q146,0)),INDEX(C247:Q247,MATCH(NPV!S248,C248:Q248,0)))</f>
        <v>2011</v>
      </c>
      <c r="U248" s="256"/>
      <c r="V248" s="256"/>
    </row>
    <row r="249" spans="1:22" hidden="1" outlineLevel="1">
      <c r="A249" s="270" t="s">
        <v>579</v>
      </c>
      <c r="B249" s="271"/>
      <c r="C249" s="271">
        <f t="shared" ref="C249:H249" si="197">C248/B248-1</f>
        <v>0.10134310134310143</v>
      </c>
      <c r="D249" s="271">
        <f t="shared" si="197"/>
        <v>-9.9778270509978118E-3</v>
      </c>
      <c r="E249" s="271">
        <f t="shared" si="197"/>
        <v>6.0000000000000053E-2</v>
      </c>
      <c r="F249" s="271">
        <f t="shared" si="197"/>
        <v>5.0000000000000044E-2</v>
      </c>
      <c r="G249" s="271">
        <f t="shared" si="197"/>
        <v>4.9999999999999822E-2</v>
      </c>
      <c r="H249" s="271">
        <f t="shared" si="197"/>
        <v>4.9999999999999822E-2</v>
      </c>
      <c r="I249" s="271">
        <f>I248/H248-1</f>
        <v>5.0000000000000044E-2</v>
      </c>
      <c r="J249" s="271">
        <f>J248/I248-1</f>
        <v>5.0000000000000044E-2</v>
      </c>
      <c r="K249" s="271">
        <f t="shared" ref="K249:L249" si="198">K248/J248-1</f>
        <v>5.0000000000000044E-2</v>
      </c>
      <c r="L249" s="271">
        <f t="shared" si="198"/>
        <v>5.0000000000000044E-2</v>
      </c>
      <c r="M249" s="272">
        <v>0</v>
      </c>
      <c r="N249" s="272">
        <v>0</v>
      </c>
      <c r="O249" s="272">
        <v>0</v>
      </c>
      <c r="P249" s="272">
        <v>0</v>
      </c>
      <c r="Q249" s="272">
        <v>0</v>
      </c>
      <c r="S249" s="256" t="s">
        <v>738</v>
      </c>
      <c r="T249" s="256"/>
      <c r="U249" s="256"/>
      <c r="V249" s="256"/>
    </row>
    <row r="250" spans="1:22" hidden="1" outlineLevel="1">
      <c r="A250" s="273" t="s">
        <v>730</v>
      </c>
      <c r="B250" s="274">
        <f t="shared" ref="B250:Q250" si="199">B248*B251</f>
        <v>319.41000000000003</v>
      </c>
      <c r="C250" s="274">
        <f t="shared" si="199"/>
        <v>351.78000000000003</v>
      </c>
      <c r="D250" s="274">
        <f t="shared" si="199"/>
        <v>348.27000000000004</v>
      </c>
      <c r="E250" s="274">
        <f t="shared" si="199"/>
        <v>369.1662</v>
      </c>
      <c r="F250" s="274">
        <f t="shared" si="199"/>
        <v>387.62451000000004</v>
      </c>
      <c r="G250" s="274">
        <f t="shared" si="199"/>
        <v>407.00573550000001</v>
      </c>
      <c r="H250" s="274">
        <f t="shared" si="199"/>
        <v>427.35602227499999</v>
      </c>
      <c r="I250" s="274">
        <f t="shared" si="199"/>
        <v>448.72382338874996</v>
      </c>
      <c r="J250" s="274">
        <f t="shared" si="199"/>
        <v>471.16001455818747</v>
      </c>
      <c r="K250" s="274">
        <f t="shared" si="199"/>
        <v>494.71801528609689</v>
      </c>
      <c r="L250" s="274">
        <f t="shared" si="199"/>
        <v>519.45391605040174</v>
      </c>
      <c r="M250" s="274">
        <f t="shared" si="199"/>
        <v>519.45391605040174</v>
      </c>
      <c r="N250" s="274">
        <f t="shared" si="199"/>
        <v>519.45391605040174</v>
      </c>
      <c r="O250" s="274">
        <f t="shared" si="199"/>
        <v>519.45391605040174</v>
      </c>
      <c r="P250" s="274">
        <f t="shared" si="199"/>
        <v>519.45391605040174</v>
      </c>
      <c r="Q250" s="274">
        <f t="shared" si="199"/>
        <v>519.45391605040174</v>
      </c>
      <c r="S250" s="282">
        <f>IF(S248&gt;$X$39,$Z$39,$Z$40)</f>
        <v>-0.05</v>
      </c>
      <c r="T250" s="282">
        <f>IF(S248&gt;$X$39,$AA$39,$AA$40)</f>
        <v>-0.03</v>
      </c>
      <c r="U250" s="282">
        <f>IF(S248&gt;$X$39,$AB$39,$AB$40)</f>
        <v>-0.03</v>
      </c>
      <c r="V250" s="256"/>
    </row>
    <row r="251" spans="1:22" hidden="1" outlineLevel="1">
      <c r="A251" s="270" t="s">
        <v>580</v>
      </c>
      <c r="B251" s="286">
        <f>IF(B247-T248&gt;3,T253,IF(B247-T248=1,45%+S250,IF(B247-T248=2,A251+T250,IF(B247-T248=3,A251+U250,IF(B247-T248=0,T254,IF(T248-B247=U255+1,$AA$37,IF(T248-B247=U255+2,$Z$37,IF(B247&lt;T248,C251-(T254-$AB$37)/U255))))))))</f>
        <v>0.39</v>
      </c>
      <c r="C251" s="286">
        <f>IF(C247-T248&gt;3,T253,IF(C247-T248=1,B251+S250,IF(C247-T248=2,B251+T250,IF(C247-T248=3,B251+U250,IF(C247-T248=0,T254,IF(T248-C247=U255+1,$AA$37,IF(T248-C247=U255+2,$Z$37,IF(C247&lt;T248,D251-(T254-$AB$37)/U255))))))))</f>
        <v>0.39</v>
      </c>
      <c r="D251" s="286">
        <f>IF(D247-T248&gt;3,T253,IF(D247-T248=1,C251+S250,IF(D247-T248=2,C251+T250,IF(D247-T248=3,C251+U250,IF(D247-T248=0,T254,IF(T248-D247=U255+1,$AA$37,IF(T248-D247=U255+2,$Z$37,IF(D247&lt;T248,E251-(T254-$AB$37)/U255))))))))</f>
        <v>0.39</v>
      </c>
      <c r="E251" s="286">
        <f>IF(E247-T248&gt;3,T253,IF(E247-T248=1,D251+S250,IF(E247-T248=2,D251+T250,IF(E247-T248=3,D251+U250,IF(E247-T248=0,T254,IF(T248-E247=U255+1,$AA$37,IF(T248-E247=U255+2,$Z$37,IF(E247&lt;T248,F251-(T254-$AB$37)/U255))))))))</f>
        <v>0.39</v>
      </c>
      <c r="F251" s="286">
        <f>IF(F247-T248&gt;3,T253,IF(F247-T248=1,E251+S250,IF(F247-T248=2,E251+T250,IF(F247-T248=3,E251+U250,IF(F247-T248=0,T254,IF(T248-F247=U255+1,$AA$37,IF(T248-F247=U255+2,$Z$37,IF(F247&lt;T248,G251-(T254-$AB$37)/U255))))))))</f>
        <v>0.39</v>
      </c>
      <c r="G251" s="286">
        <f>IF(G247-T248&gt;3,T253,IF(G247-T248=1,F251+S250,IF(G247-T248=2,F251+T250,IF(G247-T248=3,F251+U250,IF(G247-T248=0,T254,IF(T248-G247=U255+1,$AA$37,IF(T248-G247=U255+2,$Z$37,IF(G247&lt;T248,H251-(T254-$AB$37)/U255))))))))</f>
        <v>0.39</v>
      </c>
      <c r="H251" s="286">
        <f>IF(H247-T248&gt;3,T253,IF(H247-T248=1,G251+S250,IF(H247-T248=2,G251+T250,IF(H247-T248=3,G251+U250,IF(H247-T248=0,T254,IF(T248-H247=U255+1,$AA$37,IF(T248-H247=U255+2,$Z$37,IF(H247&lt;T248,I251-(T254-$AB$37)/U255))))))))</f>
        <v>0.39</v>
      </c>
      <c r="I251" s="286">
        <f>IF(I247-T248&gt;3,T253,IF(I247-T248=1,H251+S250,IF(I247-T248=2,H251+T250,IF(I247-T248=3,H251+U250,IF(I247-T248=0,T254,IF(T248-I247=U255+1,$AA$37,IF(T248-I247=U255+2,$Z$37,IF(I247&lt;T248,J251-(T254-$AB$37)/U255))))))))</f>
        <v>0.39</v>
      </c>
      <c r="J251" s="286">
        <f>IF(J247-T248&gt;3,T253,IF(J247-T248=1,I251+S250,IF(J247-T248=2,I251+T250,IF(J247-T248=3,I251+U250,IF(J247-T248=0,T254,IF(T248-J247=U255+1,$AA$37,IF(T248-J247=U255+2,$Z$37,IF(J247&lt;T248,K251-(T254-$AB$37)/U255))))))))</f>
        <v>0.39</v>
      </c>
      <c r="K251" s="286">
        <f>IF(K247-T248&gt;3,T253,IF(K247-T248=1,J251+S250,IF(K247-T248=2,J251+T250,IF(K247-T248=3,J251+U250,IF(K247-T248=0,T254,IF(T248-K247=U255+1,$AA$37,IF(T248-K247=U255+2,$Z$37,IF(K247&lt;T248,L251-(T254-$AB$37)/U255))))))))</f>
        <v>0.39</v>
      </c>
      <c r="L251" s="286">
        <f>IF(L247-T248&gt;3,T253,IF(L247-T248=1,K251+S250,IF(L247-T248=2,K251+T250,IF(L247-T248=3,K251+U250,IF(L247-T248=0,T254,IF(T248-L247=U255+1,$AA$37,IF(T248-L247=U255+2,$Z$37,IF(L247&lt;T248,M251-(T254-$AB$37)/U255))))))))</f>
        <v>0.39</v>
      </c>
      <c r="M251" s="286">
        <f>IF(M247-T248&gt;3,T253,IF(M247-T248=1,L251+S250,IF(M247-T248=2,L251+T250,IF(M247-T248=3,L251+U250,IF(M247-T248=0,T254,IF(T248-M247=U255+1,$AA$37,IF(T248-M247=U255+2,$Z$37,IF(M247&lt;T248,N251-(T254-$AB$37)/U255))))))))</f>
        <v>0.39</v>
      </c>
      <c r="N251" s="286">
        <f>IF(N247-T248&gt;3,T253,IF(N247-T248=1,M251+S250,IF(N247-T248=2,M251+T250,IF(N247-T248=3,M251+U250,IF(N247-T248=0,T254,IF(T248-N247=U255+1,$AA$37,IF(T248-N247=U255+2,$Z$37,IF(N247&lt;T248,O251-(T254-$AB$37)/U255))))))))</f>
        <v>0.39</v>
      </c>
      <c r="O251" s="286">
        <f>IF(O247-T248&gt;3,T253,IF(O247-T248=1,N251+S250,IF(O247-T248=2,N251+T250,IF(O247-T248=3,N251+U250,IF(O247-T248=0,T254,IF(T248-O247=U255+1,$AA$37,IF(T248-O247=U255+2,$Z$37,IF(O247&lt;T248,P251-(T254-$AB$37)/U255))))))))</f>
        <v>0.39</v>
      </c>
      <c r="P251" s="286">
        <f>IF(P247-T248&gt;3,T253,IF(P247-T248=1,O251+S250,IF(P247-T248=2,O251+T250,IF(P247-T248=3,O251+U250,IF(P247-T248=0,T254,IF(T248-P247=U255+1,$AA$37,IF(T248-P247=U255+2,$Z$37,IF(P247&lt;T248,Q251-(T254-$AB$37)/U255))))))))</f>
        <v>0.39</v>
      </c>
      <c r="Q251" s="286">
        <f>IF(Q247-T248&gt;3,T253,IF(Q247-T248=1,P251+S250,IF(Q247-T248=2,P251+T250,IF(Q247-T248=3,P251+U250,IF(Q247-T248=0,T254,IF(T248-Q247=U255+1,$AA$37,IF(T248-Q247=U255+2,$Z$37,IF(Q247&lt;T248,R251-(T254-$AB$37)/U255))))))))</f>
        <v>0.39</v>
      </c>
      <c r="S251" s="287" t="s">
        <v>739</v>
      </c>
      <c r="T251" s="213">
        <f t="array" ref="T251">INDEX(Sales!B146:Q146,MATCH(FALSE,ISBLANK(Sales!B146:Q146),0))</f>
        <v>1692</v>
      </c>
      <c r="U251" s="256"/>
      <c r="V251" s="256"/>
    </row>
    <row r="252" spans="1:22" hidden="1" outlineLevel="1">
      <c r="A252" s="270" t="s">
        <v>731</v>
      </c>
      <c r="B252" s="213">
        <f>B250*B253</f>
        <v>46.488071955719562</v>
      </c>
      <c r="C252" s="213">
        <f t="shared" ref="C252:Q252" si="200">C250*C253</f>
        <v>52.866074352234328</v>
      </c>
      <c r="D252" s="213">
        <f t="shared" si="200"/>
        <v>52.338585805482545</v>
      </c>
      <c r="E252" s="213">
        <f t="shared" si="200"/>
        <v>55.47890095381149</v>
      </c>
      <c r="F252" s="213">
        <f t="shared" si="200"/>
        <v>58.252846001502071</v>
      </c>
      <c r="G252" s="213">
        <f t="shared" si="200"/>
        <v>61.16548830157717</v>
      </c>
      <c r="H252" s="213">
        <f t="shared" si="200"/>
        <v>64.223762716656026</v>
      </c>
      <c r="I252" s="213">
        <f t="shared" si="200"/>
        <v>67.434950852488825</v>
      </c>
      <c r="J252" s="213">
        <f t="shared" si="200"/>
        <v>70.806698395113273</v>
      </c>
      <c r="K252" s="213">
        <f t="shared" si="200"/>
        <v>74.347033314868938</v>
      </c>
      <c r="L252" s="213">
        <f t="shared" si="200"/>
        <v>78.064384980612388</v>
      </c>
      <c r="M252" s="213">
        <f t="shared" si="200"/>
        <v>78.064384980612388</v>
      </c>
      <c r="N252" s="213">
        <f t="shared" si="200"/>
        <v>78.064384980612388</v>
      </c>
      <c r="O252" s="213">
        <f t="shared" si="200"/>
        <v>78.064384980612388</v>
      </c>
      <c r="P252" s="213">
        <f t="shared" si="200"/>
        <v>78.064384980612388</v>
      </c>
      <c r="Q252" s="213">
        <f t="shared" si="200"/>
        <v>78.064384980612388</v>
      </c>
      <c r="S252" s="287" t="s">
        <v>740</v>
      </c>
      <c r="T252" s="256">
        <f>IFERROR(INDEX(Sales!$B$1:$Q$1,MATCH(NPV!T251,Sales!B146:Q146,0)),INDEX(C247:Q247,MATCH(NPV!T251,C248:Q248,0)))</f>
        <v>2010</v>
      </c>
      <c r="U252" s="256"/>
      <c r="V252" s="256"/>
    </row>
    <row r="253" spans="1:22" hidden="1" outlineLevel="1">
      <c r="A253" s="270" t="s">
        <v>635</v>
      </c>
      <c r="B253" s="196">
        <f>'P&amp;L'!$G$120</f>
        <v>0.1455435708203236</v>
      </c>
      <c r="C253" s="196">
        <f>'P&amp;L'!$H$120</f>
        <v>0.15028163725122043</v>
      </c>
      <c r="D253" s="196">
        <f>C253</f>
        <v>0.15028163725122043</v>
      </c>
      <c r="E253" s="196">
        <f t="shared" ref="E253:Q253" si="201">D253</f>
        <v>0.15028163725122043</v>
      </c>
      <c r="F253" s="196">
        <f t="shared" si="201"/>
        <v>0.15028163725122043</v>
      </c>
      <c r="G253" s="196">
        <f t="shared" si="201"/>
        <v>0.15028163725122043</v>
      </c>
      <c r="H253" s="196">
        <f t="shared" si="201"/>
        <v>0.15028163725122043</v>
      </c>
      <c r="I253" s="196">
        <f t="shared" si="201"/>
        <v>0.15028163725122043</v>
      </c>
      <c r="J253" s="196">
        <f t="shared" si="201"/>
        <v>0.15028163725122043</v>
      </c>
      <c r="K253" s="196">
        <f t="shared" si="201"/>
        <v>0.15028163725122043</v>
      </c>
      <c r="L253" s="196">
        <f t="shared" si="201"/>
        <v>0.15028163725122043</v>
      </c>
      <c r="M253" s="196">
        <f t="shared" si="201"/>
        <v>0.15028163725122043</v>
      </c>
      <c r="N253" s="196">
        <f t="shared" si="201"/>
        <v>0.15028163725122043</v>
      </c>
      <c r="O253" s="196">
        <f t="shared" si="201"/>
        <v>0.15028163725122043</v>
      </c>
      <c r="P253" s="196">
        <f t="shared" si="201"/>
        <v>0.15028163725122043</v>
      </c>
      <c r="Q253" s="196">
        <f t="shared" si="201"/>
        <v>0.15028163725122043</v>
      </c>
      <c r="S253" s="287" t="s">
        <v>741</v>
      </c>
      <c r="T253" s="288">
        <f>IF(Q247-T248&gt;3,IF(AND(S248&lt;$X$42,S248&lt;$X$43,S248&lt;$X$44),$AA$45,IF(AND(S248&lt;$X$42,S248&lt;$X$43),$AA$44,IF(S248&lt;$X$42,$AA$43,$AA$42))))</f>
        <v>0.39</v>
      </c>
      <c r="U253" s="256"/>
      <c r="V253" s="256"/>
    </row>
    <row r="254" spans="1:22" hidden="1" outlineLevel="1">
      <c r="A254" s="256" t="s">
        <v>732</v>
      </c>
      <c r="B254" s="213">
        <f>B250-B252</f>
        <v>272.92192804428043</v>
      </c>
      <c r="C254" s="213">
        <f t="shared" ref="C254:Q254" si="202">C250-C252</f>
        <v>298.91392564776572</v>
      </c>
      <c r="D254" s="213">
        <f t="shared" si="202"/>
        <v>295.93141419451752</v>
      </c>
      <c r="E254" s="213">
        <f t="shared" si="202"/>
        <v>313.68729904618851</v>
      </c>
      <c r="F254" s="213">
        <f t="shared" si="202"/>
        <v>329.37166399849798</v>
      </c>
      <c r="G254" s="213">
        <f t="shared" si="202"/>
        <v>345.84024719842284</v>
      </c>
      <c r="H254" s="213">
        <f t="shared" si="202"/>
        <v>363.13225955834395</v>
      </c>
      <c r="I254" s="213">
        <f t="shared" si="202"/>
        <v>381.28887253626112</v>
      </c>
      <c r="J254" s="213">
        <f t="shared" si="202"/>
        <v>400.35331616307417</v>
      </c>
      <c r="K254" s="213">
        <f t="shared" si="202"/>
        <v>420.37098197122793</v>
      </c>
      <c r="L254" s="213">
        <f t="shared" si="202"/>
        <v>441.38953106978937</v>
      </c>
      <c r="M254" s="213">
        <f t="shared" si="202"/>
        <v>441.38953106978937</v>
      </c>
      <c r="N254" s="213">
        <f t="shared" si="202"/>
        <v>441.38953106978937</v>
      </c>
      <c r="O254" s="213">
        <f t="shared" si="202"/>
        <v>441.38953106978937</v>
      </c>
      <c r="P254" s="213">
        <f t="shared" si="202"/>
        <v>441.38953106978937</v>
      </c>
      <c r="Q254" s="213">
        <f t="shared" si="202"/>
        <v>441.38953106978937</v>
      </c>
      <c r="S254" s="287" t="s">
        <v>742</v>
      </c>
      <c r="T254" s="288">
        <f>IF(S248&gt;$X$42,$Z$42,IF(S248&gt;$X$43,$Z$43,IF(S248&gt;$X$44,$Z$44,$Z$45)))</f>
        <v>0.5</v>
      </c>
      <c r="U254" s="256"/>
      <c r="V254" s="256"/>
    </row>
    <row r="255" spans="1:22" hidden="1" outlineLevel="1">
      <c r="A255" s="270" t="s">
        <v>607</v>
      </c>
      <c r="B255" s="277">
        <f>B254</f>
        <v>272.92192804428043</v>
      </c>
      <c r="C255" s="277">
        <f t="shared" ref="C255:Q255" si="203">C254</f>
        <v>298.91392564776572</v>
      </c>
      <c r="D255" s="277">
        <f t="shared" si="203"/>
        <v>295.93141419451752</v>
      </c>
      <c r="E255" s="277">
        <f t="shared" si="203"/>
        <v>313.68729904618851</v>
      </c>
      <c r="F255" s="277">
        <f t="shared" si="203"/>
        <v>329.37166399849798</v>
      </c>
      <c r="G255" s="277">
        <f t="shared" si="203"/>
        <v>345.84024719842284</v>
      </c>
      <c r="H255" s="277">
        <f t="shared" si="203"/>
        <v>363.13225955834395</v>
      </c>
      <c r="I255" s="277">
        <f t="shared" si="203"/>
        <v>381.28887253626112</v>
      </c>
      <c r="J255" s="277">
        <f t="shared" si="203"/>
        <v>400.35331616307417</v>
      </c>
      <c r="K255" s="277">
        <f t="shared" si="203"/>
        <v>420.37098197122793</v>
      </c>
      <c r="L255" s="277">
        <f t="shared" si="203"/>
        <v>441.38953106978937</v>
      </c>
      <c r="M255" s="277">
        <f t="shared" si="203"/>
        <v>441.38953106978937</v>
      </c>
      <c r="N255" s="277">
        <f t="shared" si="203"/>
        <v>441.38953106978937</v>
      </c>
      <c r="O255" s="277">
        <f t="shared" si="203"/>
        <v>441.38953106978937</v>
      </c>
      <c r="P255" s="277">
        <f t="shared" si="203"/>
        <v>441.38953106978937</v>
      </c>
      <c r="Q255" s="277">
        <f t="shared" si="203"/>
        <v>441.38953106978937</v>
      </c>
      <c r="S255" s="287" t="s">
        <v>743</v>
      </c>
      <c r="T255" s="256">
        <f>T248-T252</f>
        <v>1</v>
      </c>
      <c r="U255" s="256">
        <f>T255-2</f>
        <v>-1</v>
      </c>
      <c r="V255" s="256"/>
    </row>
    <row r="256" spans="1:22" hidden="1" outlineLevel="1">
      <c r="A256" s="279" t="s">
        <v>733</v>
      </c>
      <c r="B256" s="280">
        <f t="shared" ref="B256:Q256" si="204">B255*B$45</f>
        <v>0</v>
      </c>
      <c r="C256" s="280">
        <f t="shared" si="204"/>
        <v>0</v>
      </c>
      <c r="D256" s="280">
        <f t="shared" si="204"/>
        <v>0</v>
      </c>
      <c r="E256" s="280">
        <f t="shared" ca="1" si="204"/>
        <v>298.64911331283406</v>
      </c>
      <c r="F256" s="280">
        <f t="shared" ca="1" si="204"/>
        <v>292.36843321550532</v>
      </c>
      <c r="G256" s="280">
        <f t="shared" ca="1" si="204"/>
        <v>286.2198376974589</v>
      </c>
      <c r="H256" s="280">
        <f t="shared" ca="1" si="204"/>
        <v>280.20054898052211</v>
      </c>
      <c r="I256" s="280">
        <f t="shared" ca="1" si="204"/>
        <v>274.30784770402732</v>
      </c>
      <c r="J256" s="280">
        <f t="shared" ca="1" si="204"/>
        <v>268.53907169627428</v>
      </c>
      <c r="K256" s="280">
        <f t="shared" ca="1" si="204"/>
        <v>262.89161477182927</v>
      </c>
      <c r="L256" s="280">
        <f t="shared" ca="1" si="204"/>
        <v>257.36292555411683</v>
      </c>
      <c r="M256" s="280">
        <f t="shared" ca="1" si="204"/>
        <v>239.95286316454605</v>
      </c>
      <c r="N256" s="280">
        <f t="shared" ca="1" si="204"/>
        <v>223.72055499795104</v>
      </c>
      <c r="O256" s="280">
        <f t="shared" ca="1" si="204"/>
        <v>208.58632845013884</v>
      </c>
      <c r="P256" s="280">
        <f t="shared" ca="1" si="204"/>
        <v>194.47590060156824</v>
      </c>
      <c r="Q256" s="280">
        <f t="shared" ca="1" si="204"/>
        <v>181.32001361648145</v>
      </c>
      <c r="S256" s="289" t="s">
        <v>744</v>
      </c>
      <c r="T256" s="288">
        <f>VLOOKUP(S256,$Y$32:$AB$34,2,0)</f>
        <v>-0.7</v>
      </c>
      <c r="U256" s="288">
        <f>VLOOKUP(S256,$Y$32:$AB$34,3,0)</f>
        <v>-0.35</v>
      </c>
      <c r="V256" s="288">
        <f>VLOOKUP(S256,$Y$32:$AB$34,4,0)</f>
        <v>-0.1</v>
      </c>
    </row>
    <row r="257" spans="1:17" hidden="1" outlineLevel="1">
      <c r="A257" s="270" t="s">
        <v>734</v>
      </c>
      <c r="B257" s="213">
        <f ca="1">SUM(B256:Q256)</f>
        <v>3268.5950537632543</v>
      </c>
      <c r="C257" s="277"/>
      <c r="D257" s="277"/>
      <c r="E257" s="277"/>
      <c r="F257" s="277"/>
      <c r="G257" s="277"/>
      <c r="H257" s="277"/>
      <c r="I257" s="277"/>
      <c r="J257" s="277"/>
      <c r="K257" s="277"/>
      <c r="L257" s="277"/>
      <c r="M257" s="277"/>
      <c r="N257" s="256"/>
      <c r="O257" s="256"/>
      <c r="P257" s="256"/>
      <c r="Q257" s="256"/>
    </row>
    <row r="258" spans="1:17" hidden="1" outlineLevel="1">
      <c r="A258" s="281" t="s">
        <v>735</v>
      </c>
      <c r="B258" s="213">
        <f ca="1">(Q255*(1+C258))/(DCF!$H$31-NPV!C258)*NPV!$Q$45</f>
        <v>1405.510658705183</v>
      </c>
      <c r="C258" s="282">
        <v>-0.05</v>
      </c>
      <c r="D258" s="277"/>
      <c r="E258" s="277"/>
      <c r="F258" s="277"/>
      <c r="G258" s="277"/>
      <c r="H258" s="277"/>
      <c r="I258" s="277"/>
      <c r="J258" s="277"/>
      <c r="K258" s="277"/>
      <c r="L258" s="277"/>
      <c r="M258" s="277"/>
      <c r="N258" s="256"/>
      <c r="O258" s="256"/>
      <c r="P258" s="256"/>
      <c r="Q258" s="256"/>
    </row>
    <row r="259" spans="1:17" hidden="1" outlineLevel="1">
      <c r="A259" s="281" t="s">
        <v>736</v>
      </c>
      <c r="B259" s="213">
        <f ca="1">SUM(B257:B258)/DCF!$C$30</f>
        <v>1.9923724264571345</v>
      </c>
      <c r="C259" s="283"/>
      <c r="D259" s="283"/>
      <c r="E259" s="283"/>
      <c r="F259" s="283"/>
      <c r="G259" s="283"/>
      <c r="H259" s="283"/>
      <c r="I259" s="283"/>
      <c r="J259" s="283"/>
      <c r="K259" s="283"/>
      <c r="L259" s="283"/>
      <c r="M259" s="256"/>
      <c r="N259" s="256"/>
      <c r="O259" s="256"/>
      <c r="P259" s="256"/>
      <c r="Q259" s="256"/>
    </row>
    <row r="260" spans="1:17" hidden="1" outlineLevel="1">
      <c r="A260" s="284" t="s">
        <v>737</v>
      </c>
      <c r="B260" s="285">
        <f ca="1">B259/DCF!$H$24</f>
        <v>1.9343421616088685</v>
      </c>
    </row>
    <row r="261" spans="1:17" hidden="1" outlineLevel="1"/>
    <row r="262" spans="1:17" collapsed="1">
      <c r="A262" s="265" t="s">
        <v>746</v>
      </c>
      <c r="B262" s="266">
        <v>2015</v>
      </c>
      <c r="C262" s="266">
        <v>2016</v>
      </c>
      <c r="D262" s="266">
        <v>2017</v>
      </c>
      <c r="E262" s="266">
        <v>2018</v>
      </c>
      <c r="F262" s="266">
        <v>2019</v>
      </c>
      <c r="G262" s="266">
        <v>2020</v>
      </c>
      <c r="H262" s="266">
        <v>2021</v>
      </c>
      <c r="I262" s="266">
        <v>2022</v>
      </c>
      <c r="J262" s="266">
        <v>2023</v>
      </c>
      <c r="K262" s="266">
        <v>2024</v>
      </c>
      <c r="L262" s="266">
        <v>2025</v>
      </c>
      <c r="M262" s="266">
        <v>2026</v>
      </c>
      <c r="N262" s="266">
        <v>2027</v>
      </c>
      <c r="O262" s="266">
        <v>2028</v>
      </c>
      <c r="P262" s="266">
        <v>2029</v>
      </c>
      <c r="Q262" s="267">
        <v>2030</v>
      </c>
    </row>
    <row r="263" spans="1:17">
      <c r="A263" s="290" t="s">
        <v>729</v>
      </c>
      <c r="B263" s="291">
        <f t="shared" ref="B263:Q263" si="205">B143+B158+B173+B188+B248+B233+B218+B203</f>
        <v>5275</v>
      </c>
      <c r="C263" s="291">
        <f t="shared" si="205"/>
        <v>6212</v>
      </c>
      <c r="D263" s="291">
        <f t="shared" si="205"/>
        <v>6889</v>
      </c>
      <c r="E263" s="291">
        <f t="shared" si="205"/>
        <v>7697.4735445897495</v>
      </c>
      <c r="F263" s="291">
        <f t="shared" si="205"/>
        <v>7732.0170201941191</v>
      </c>
      <c r="G263" s="291">
        <f t="shared" si="205"/>
        <v>7781.1759191260653</v>
      </c>
      <c r="H263" s="291">
        <f t="shared" si="205"/>
        <v>7673.244739366979</v>
      </c>
      <c r="I263" s="291">
        <f t="shared" si="205"/>
        <v>7008.3886469999479</v>
      </c>
      <c r="J263" s="291">
        <f t="shared" si="205"/>
        <v>6746.6125799432521</v>
      </c>
      <c r="K263" s="291">
        <f t="shared" si="205"/>
        <v>6846.9539967357896</v>
      </c>
      <c r="L263" s="291">
        <f t="shared" si="205"/>
        <v>6587.1296652352466</v>
      </c>
      <c r="M263" s="291">
        <f t="shared" si="205"/>
        <v>6541.6130298754197</v>
      </c>
      <c r="N263" s="291">
        <f t="shared" si="205"/>
        <v>6498.0077633235796</v>
      </c>
      <c r="O263" s="291">
        <f t="shared" si="205"/>
        <v>6456.2019375407708</v>
      </c>
      <c r="P263" s="291">
        <f t="shared" si="205"/>
        <v>6416.0924410266744</v>
      </c>
      <c r="Q263" s="291">
        <f t="shared" si="205"/>
        <v>6377.5841684537045</v>
      </c>
    </row>
    <row r="264" spans="1:17">
      <c r="A264" s="292" t="s">
        <v>579</v>
      </c>
      <c r="B264" s="293"/>
      <c r="C264" s="293">
        <f t="shared" ref="C264:Q264" si="206">C263/B263-1</f>
        <v>0.17763033175355458</v>
      </c>
      <c r="D264" s="293">
        <f t="shared" si="206"/>
        <v>0.10898261429491307</v>
      </c>
      <c r="E264" s="293">
        <f t="shared" si="206"/>
        <v>0.11735717006673685</v>
      </c>
      <c r="F264" s="293">
        <f t="shared" si="206"/>
        <v>4.4876381067460169E-3</v>
      </c>
      <c r="G264" s="293">
        <f t="shared" si="206"/>
        <v>6.3578363580363284E-3</v>
      </c>
      <c r="H264" s="293">
        <f t="shared" si="206"/>
        <v>-1.3870805760064164E-2</v>
      </c>
      <c r="I264" s="293">
        <f t="shared" si="206"/>
        <v>-8.6646016769938217E-2</v>
      </c>
      <c r="J264" s="293">
        <f t="shared" si="206"/>
        <v>-3.7351819404129794E-2</v>
      </c>
      <c r="K264" s="293">
        <f t="shared" si="206"/>
        <v>1.4872858875999206E-2</v>
      </c>
      <c r="L264" s="293">
        <f t="shared" si="206"/>
        <v>-3.7947433504652017E-2</v>
      </c>
      <c r="M264" s="293">
        <f t="shared" si="206"/>
        <v>-6.9099346260100836E-3</v>
      </c>
      <c r="N264" s="293">
        <f t="shared" si="206"/>
        <v>-6.6658278856752684E-3</v>
      </c>
      <c r="O264" s="293">
        <f t="shared" si="206"/>
        <v>-6.4336374017235354E-3</v>
      </c>
      <c r="P264" s="293">
        <f t="shared" si="206"/>
        <v>-6.2125529687775405E-3</v>
      </c>
      <c r="Q264" s="293">
        <f t="shared" si="206"/>
        <v>-6.0018263338500466E-3</v>
      </c>
    </row>
    <row r="265" spans="1:17">
      <c r="A265" s="294" t="s">
        <v>730</v>
      </c>
      <c r="B265" s="291">
        <f t="shared" ref="B265:Q265" si="207">B145+B160+B175+B190+B250+B235+B220+B205</f>
        <v>1231.419090909091</v>
      </c>
      <c r="C265" s="291">
        <f t="shared" si="207"/>
        <v>1452.6378787878787</v>
      </c>
      <c r="D265" s="291">
        <f t="shared" si="207"/>
        <v>1772.5136363636364</v>
      </c>
      <c r="E265" s="291">
        <f t="shared" si="207"/>
        <v>2355.6322177754423</v>
      </c>
      <c r="F265" s="291">
        <f t="shared" si="207"/>
        <v>2551.2887028690866</v>
      </c>
      <c r="G265" s="291">
        <f t="shared" si="207"/>
        <v>2834.7622490221729</v>
      </c>
      <c r="H265" s="291">
        <f t="shared" si="207"/>
        <v>3102.7015506944217</v>
      </c>
      <c r="I265" s="291">
        <f t="shared" si="207"/>
        <v>2795.0991686742536</v>
      </c>
      <c r="J265" s="291">
        <f t="shared" si="207"/>
        <v>2736.8916004431312</v>
      </c>
      <c r="K265" s="291">
        <f t="shared" si="207"/>
        <v>2846.7228512267016</v>
      </c>
      <c r="L265" s="291">
        <f t="shared" si="207"/>
        <v>2868.8301067616198</v>
      </c>
      <c r="M265" s="291">
        <f t="shared" si="207"/>
        <v>2714.783374734981</v>
      </c>
      <c r="N265" s="291">
        <f t="shared" si="207"/>
        <v>2616.0001742379804</v>
      </c>
      <c r="O265" s="291">
        <f t="shared" si="207"/>
        <v>2517.9187556409011</v>
      </c>
      <c r="P265" s="291">
        <f t="shared" si="207"/>
        <v>2502.2760520004035</v>
      </c>
      <c r="Q265" s="291">
        <f t="shared" si="207"/>
        <v>2487.257825696945</v>
      </c>
    </row>
    <row r="266" spans="1:17">
      <c r="A266" s="292" t="s">
        <v>580</v>
      </c>
      <c r="B266" s="293">
        <f t="shared" ref="B266:Q266" si="208">B265/B263</f>
        <v>0.23344437742352436</v>
      </c>
      <c r="C266" s="293">
        <f t="shared" si="208"/>
        <v>0.23384383109914339</v>
      </c>
      <c r="D266" s="293">
        <f t="shared" si="208"/>
        <v>0.25729621662993707</v>
      </c>
      <c r="E266" s="293">
        <f t="shared" si="208"/>
        <v>0.30602667279462403</v>
      </c>
      <c r="F266" s="293">
        <f t="shared" si="208"/>
        <v>0.32996418608569411</v>
      </c>
      <c r="G266" s="293">
        <f t="shared" si="208"/>
        <v>0.36431026344673056</v>
      </c>
      <c r="H266" s="293">
        <f t="shared" si="208"/>
        <v>0.40435326333021221</v>
      </c>
      <c r="I266" s="293">
        <f t="shared" si="208"/>
        <v>0.39882194174130742</v>
      </c>
      <c r="J266" s="293">
        <f t="shared" si="208"/>
        <v>0.40566900322385963</v>
      </c>
      <c r="K266" s="293">
        <f t="shared" si="208"/>
        <v>0.41576485727578211</v>
      </c>
      <c r="L266" s="293">
        <f t="shared" si="208"/>
        <v>0.43552051539267295</v>
      </c>
      <c r="M266" s="293">
        <f t="shared" si="208"/>
        <v>0.41500213515177647</v>
      </c>
      <c r="N266" s="293">
        <f t="shared" si="208"/>
        <v>0.40258495673140859</v>
      </c>
      <c r="O266" s="293">
        <f t="shared" si="208"/>
        <v>0.39000000000000007</v>
      </c>
      <c r="P266" s="293">
        <f t="shared" si="208"/>
        <v>0.39000000000000007</v>
      </c>
      <c r="Q266" s="293">
        <f t="shared" si="208"/>
        <v>0.39000000000000007</v>
      </c>
    </row>
    <row r="267" spans="1:17">
      <c r="A267" s="292" t="s">
        <v>731</v>
      </c>
      <c r="B267" s="296">
        <f t="shared" ref="B267:Q267" si="209">B147+B162+B177+B192+B252+B237+B222+B207</f>
        <v>179.22513166722575</v>
      </c>
      <c r="C267" s="296">
        <f t="shared" si="209"/>
        <v>218.30479875738231</v>
      </c>
      <c r="D267" s="296">
        <f t="shared" si="209"/>
        <v>266.37625132284165</v>
      </c>
      <c r="E267" s="296">
        <f t="shared" si="209"/>
        <v>354.00826644901679</v>
      </c>
      <c r="F267" s="296">
        <f t="shared" si="209"/>
        <v>383.41184336770868</v>
      </c>
      <c r="G267" s="296">
        <f t="shared" si="209"/>
        <v>426.01271200100405</v>
      </c>
      <c r="H267" s="296">
        <f t="shared" si="209"/>
        <v>466.27906894025818</v>
      </c>
      <c r="I267" s="296">
        <f t="shared" si="209"/>
        <v>420.05207934789195</v>
      </c>
      <c r="J267" s="296">
        <f t="shared" si="209"/>
        <v>411.3045506937068</v>
      </c>
      <c r="K267" s="296">
        <f t="shared" si="209"/>
        <v>427.81017088281112</v>
      </c>
      <c r="L267" s="296">
        <f t="shared" si="209"/>
        <v>431.13248543972975</v>
      </c>
      <c r="M267" s="296">
        <f t="shared" si="209"/>
        <v>407.98209033756638</v>
      </c>
      <c r="N267" s="296">
        <f t="shared" si="209"/>
        <v>393.13678923396151</v>
      </c>
      <c r="O267" s="296">
        <f t="shared" si="209"/>
        <v>378.39695306327019</v>
      </c>
      <c r="P267" s="296">
        <f t="shared" si="209"/>
        <v>376.04614194914058</v>
      </c>
      <c r="Q267" s="296">
        <f t="shared" si="209"/>
        <v>373.78917831164756</v>
      </c>
    </row>
    <row r="268" spans="1:17">
      <c r="A268" s="292" t="s">
        <v>635</v>
      </c>
      <c r="B268" s="297">
        <f>'P&amp;L'!G$120</f>
        <v>0.1455435708203236</v>
      </c>
      <c r="C268" s="297">
        <f>'P&amp;L'!H$120</f>
        <v>0.15028163725122043</v>
      </c>
      <c r="D268" s="297">
        <f>'P&amp;L'!I$120</f>
        <v>0.15290792800832961</v>
      </c>
      <c r="E268" s="297">
        <f>'P&amp;L'!J$120</f>
        <v>0.16</v>
      </c>
      <c r="F268" s="297">
        <f>'P&amp;L'!K$120</f>
        <v>0.16</v>
      </c>
      <c r="G268" s="297">
        <f>'P&amp;L'!L$120</f>
        <v>0.16</v>
      </c>
      <c r="H268" s="297">
        <f>'P&amp;L'!M$120</f>
        <v>0.16</v>
      </c>
      <c r="I268" s="297">
        <f>'P&amp;L'!N$120</f>
        <v>0.16</v>
      </c>
      <c r="J268" s="297">
        <f>'P&amp;L'!O$120</f>
        <v>0.16</v>
      </c>
      <c r="K268" s="297">
        <f>'P&amp;L'!P$120</f>
        <v>0.16</v>
      </c>
      <c r="L268" s="297">
        <f>'P&amp;L'!Q$120</f>
        <v>0.16</v>
      </c>
      <c r="M268" s="297">
        <f t="shared" ref="M268" si="210">L268</f>
        <v>0.16</v>
      </c>
      <c r="N268" s="297">
        <f t="shared" ref="N268" si="211">M268</f>
        <v>0.16</v>
      </c>
      <c r="O268" s="297">
        <f t="shared" ref="O268" si="212">N268</f>
        <v>0.16</v>
      </c>
      <c r="P268" s="297">
        <f t="shared" ref="P268" si="213">O268</f>
        <v>0.16</v>
      </c>
      <c r="Q268" s="297">
        <f t="shared" ref="Q268" si="214">P268</f>
        <v>0.16</v>
      </c>
    </row>
    <row r="269" spans="1:17">
      <c r="A269" s="298" t="s">
        <v>732</v>
      </c>
      <c r="B269" s="296">
        <f>B265-B267</f>
        <v>1052.1939592418653</v>
      </c>
      <c r="C269" s="296">
        <f t="shared" ref="C269:Q269" si="215">C265-C267</f>
        <v>1234.3330800304964</v>
      </c>
      <c r="D269" s="296">
        <f t="shared" si="215"/>
        <v>1506.1373850407947</v>
      </c>
      <c r="E269" s="296">
        <f t="shared" si="215"/>
        <v>2001.6239513264254</v>
      </c>
      <c r="F269" s="296">
        <f t="shared" si="215"/>
        <v>2167.876859501378</v>
      </c>
      <c r="G269" s="296">
        <f t="shared" si="215"/>
        <v>2408.7495370211691</v>
      </c>
      <c r="H269" s="296">
        <f t="shared" si="215"/>
        <v>2636.4224817541635</v>
      </c>
      <c r="I269" s="296">
        <f t="shared" si="215"/>
        <v>2375.0470893263619</v>
      </c>
      <c r="J269" s="296">
        <f t="shared" si="215"/>
        <v>2325.5870497494243</v>
      </c>
      <c r="K269" s="296">
        <f t="shared" si="215"/>
        <v>2418.9126803438903</v>
      </c>
      <c r="L269" s="296">
        <f t="shared" si="215"/>
        <v>2437.69762132189</v>
      </c>
      <c r="M269" s="296">
        <f t="shared" si="215"/>
        <v>2306.8012843974147</v>
      </c>
      <c r="N269" s="296">
        <f t="shared" si="215"/>
        <v>2222.8633850040187</v>
      </c>
      <c r="O269" s="296">
        <f t="shared" si="215"/>
        <v>2139.5218025776308</v>
      </c>
      <c r="P269" s="296">
        <f t="shared" si="215"/>
        <v>2126.2299100512628</v>
      </c>
      <c r="Q269" s="296">
        <f t="shared" si="215"/>
        <v>2113.4686473852976</v>
      </c>
    </row>
    <row r="270" spans="1:17">
      <c r="A270" s="292" t="s">
        <v>607</v>
      </c>
      <c r="B270" s="299">
        <f>B269</f>
        <v>1052.1939592418653</v>
      </c>
      <c r="C270" s="299">
        <f t="shared" ref="C270:Q270" si="216">C269</f>
        <v>1234.3330800304964</v>
      </c>
      <c r="D270" s="299">
        <f t="shared" si="216"/>
        <v>1506.1373850407947</v>
      </c>
      <c r="E270" s="299">
        <f t="shared" si="216"/>
        <v>2001.6239513264254</v>
      </c>
      <c r="F270" s="299">
        <f t="shared" si="216"/>
        <v>2167.876859501378</v>
      </c>
      <c r="G270" s="299">
        <f t="shared" si="216"/>
        <v>2408.7495370211691</v>
      </c>
      <c r="H270" s="299">
        <f t="shared" si="216"/>
        <v>2636.4224817541635</v>
      </c>
      <c r="I270" s="299">
        <f t="shared" si="216"/>
        <v>2375.0470893263619</v>
      </c>
      <c r="J270" s="299">
        <f t="shared" si="216"/>
        <v>2325.5870497494243</v>
      </c>
      <c r="K270" s="299">
        <f t="shared" si="216"/>
        <v>2418.9126803438903</v>
      </c>
      <c r="L270" s="299">
        <f t="shared" si="216"/>
        <v>2437.69762132189</v>
      </c>
      <c r="M270" s="299">
        <f t="shared" si="216"/>
        <v>2306.8012843974147</v>
      </c>
      <c r="N270" s="299">
        <f t="shared" si="216"/>
        <v>2222.8633850040187</v>
      </c>
      <c r="O270" s="299">
        <f t="shared" si="216"/>
        <v>2139.5218025776308</v>
      </c>
      <c r="P270" s="299">
        <f t="shared" si="216"/>
        <v>2126.2299100512628</v>
      </c>
      <c r="Q270" s="299">
        <f t="shared" si="216"/>
        <v>2113.4686473852976</v>
      </c>
    </row>
    <row r="271" spans="1:17">
      <c r="A271" s="300" t="s">
        <v>733</v>
      </c>
      <c r="B271" s="301">
        <f t="shared" ref="B271:Q271" si="217">B270*B$45</f>
        <v>0</v>
      </c>
      <c r="C271" s="301">
        <f t="shared" si="217"/>
        <v>0</v>
      </c>
      <c r="D271" s="301">
        <f t="shared" si="217"/>
        <v>0</v>
      </c>
      <c r="E271" s="301">
        <f t="shared" ca="1" si="217"/>
        <v>1905.6659930670269</v>
      </c>
      <c r="F271" s="301">
        <f t="shared" ca="1" si="217"/>
        <v>1924.3269233368492</v>
      </c>
      <c r="G271" s="301">
        <f t="shared" ca="1" si="217"/>
        <v>1993.4981747352056</v>
      </c>
      <c r="H271" s="301">
        <f t="shared" ca="1" si="217"/>
        <v>2034.3194725540955</v>
      </c>
      <c r="I271" s="301">
        <f t="shared" ca="1" si="217"/>
        <v>1708.6626497521795</v>
      </c>
      <c r="J271" s="301">
        <f t="shared" ca="1" si="217"/>
        <v>1559.8996243463321</v>
      </c>
      <c r="K271" s="301">
        <f t="shared" ca="1" si="217"/>
        <v>1512.7396699593876</v>
      </c>
      <c r="L271" s="301">
        <f t="shared" ca="1" si="217"/>
        <v>1421.3590202720904</v>
      </c>
      <c r="M271" s="301">
        <f t="shared" ca="1" si="217"/>
        <v>1254.047805803742</v>
      </c>
      <c r="N271" s="301">
        <f t="shared" ca="1" si="217"/>
        <v>1126.66974446001</v>
      </c>
      <c r="O271" s="301">
        <f t="shared" ca="1" si="217"/>
        <v>1011.0683784390186</v>
      </c>
      <c r="P271" s="301">
        <f t="shared" ca="1" si="217"/>
        <v>936.81532418998631</v>
      </c>
      <c r="Q271" s="301">
        <f t="shared" ca="1" si="217"/>
        <v>868.19948582178233</v>
      </c>
    </row>
    <row r="272" spans="1:17">
      <c r="A272" s="270" t="s">
        <v>734</v>
      </c>
      <c r="B272" s="213">
        <f ca="1">B152+B167+B182+B197+B257+B242+B227+B212</f>
        <v>19257.272266737706</v>
      </c>
      <c r="C272" s="277"/>
      <c r="D272" s="277"/>
      <c r="E272" s="277"/>
      <c r="F272" s="277"/>
      <c r="G272" s="277"/>
      <c r="H272" s="277"/>
      <c r="I272" s="277"/>
      <c r="J272" s="277"/>
      <c r="K272" s="277"/>
      <c r="L272" s="277"/>
      <c r="M272" s="277"/>
      <c r="N272" s="256"/>
      <c r="O272" s="256"/>
      <c r="P272" s="256"/>
      <c r="Q272" s="256"/>
    </row>
    <row r="273" spans="1:22">
      <c r="A273" s="281" t="s">
        <v>735</v>
      </c>
      <c r="B273" s="213">
        <f ca="1">B153+B168+B183+B198+B258+B243+B228+B213</f>
        <v>6729.889364479709</v>
      </c>
      <c r="C273" s="282"/>
      <c r="D273" s="277"/>
      <c r="E273" s="277"/>
      <c r="F273" s="277"/>
      <c r="G273" s="277"/>
      <c r="H273" s="277"/>
      <c r="I273" s="277"/>
      <c r="J273" s="277"/>
      <c r="K273" s="277"/>
      <c r="L273" s="277"/>
      <c r="M273" s="277"/>
      <c r="N273" s="256"/>
      <c r="O273" s="256"/>
      <c r="P273" s="256"/>
      <c r="Q273" s="256"/>
    </row>
    <row r="274" spans="1:22">
      <c r="A274" s="281" t="s">
        <v>736</v>
      </c>
      <c r="B274" s="213">
        <f ca="1">SUM(B272:B273)/DCF!$C$30</f>
        <v>11.077221496682615</v>
      </c>
      <c r="C274" s="283"/>
      <c r="D274" s="283"/>
      <c r="E274" s="283"/>
      <c r="F274" s="283"/>
      <c r="G274" s="283"/>
      <c r="H274" s="283"/>
      <c r="I274" s="283"/>
      <c r="J274" s="283"/>
      <c r="K274" s="283"/>
      <c r="L274" s="283"/>
      <c r="M274" s="256"/>
      <c r="N274" s="256"/>
      <c r="O274" s="256"/>
      <c r="P274" s="256"/>
      <c r="Q274" s="256"/>
    </row>
    <row r="275" spans="1:22">
      <c r="A275" s="284" t="s">
        <v>737</v>
      </c>
      <c r="B275" s="285">
        <f ca="1">B274/DCF!$H$24</f>
        <v>10.754583977361762</v>
      </c>
    </row>
    <row r="277" spans="1:22">
      <c r="A277" s="265" t="s">
        <v>32</v>
      </c>
      <c r="B277" s="266">
        <v>2015</v>
      </c>
      <c r="C277" s="266">
        <v>2016</v>
      </c>
      <c r="D277" s="266">
        <v>2017</v>
      </c>
      <c r="E277" s="266">
        <v>2018</v>
      </c>
      <c r="F277" s="266">
        <v>2019</v>
      </c>
      <c r="G277" s="266">
        <v>2020</v>
      </c>
      <c r="H277" s="266">
        <v>2021</v>
      </c>
      <c r="I277" s="266">
        <v>2022</v>
      </c>
      <c r="J277" s="266">
        <v>2023</v>
      </c>
      <c r="K277" s="266">
        <v>2024</v>
      </c>
      <c r="L277" s="266">
        <v>2025</v>
      </c>
      <c r="M277" s="266">
        <v>2026</v>
      </c>
      <c r="N277" s="266">
        <v>2027</v>
      </c>
      <c r="O277" s="266">
        <v>2028</v>
      </c>
      <c r="P277" s="266">
        <v>2029</v>
      </c>
      <c r="Q277" s="267">
        <v>2030</v>
      </c>
      <c r="S277" s="256" t="s">
        <v>709</v>
      </c>
      <c r="T277" s="256" t="s">
        <v>710</v>
      </c>
      <c r="U277" s="256"/>
      <c r="V277" s="256"/>
    </row>
    <row r="278" spans="1:22">
      <c r="A278" s="268" t="s">
        <v>729</v>
      </c>
      <c r="B278" s="269">
        <f>Sales!G154</f>
        <v>2776</v>
      </c>
      <c r="C278" s="269">
        <f>Sales!H154</f>
        <v>3109</v>
      </c>
      <c r="D278" s="269">
        <f>Sales!I154</f>
        <v>3185</v>
      </c>
      <c r="E278" s="269">
        <f>Sales!J154</f>
        <v>3343.8173382953637</v>
      </c>
      <c r="F278" s="269">
        <f>Sales!K154</f>
        <v>2542.8597052101318</v>
      </c>
      <c r="G278" s="269">
        <f>Sales!L154</f>
        <v>1858.2607641681054</v>
      </c>
      <c r="H278" s="269">
        <f>Sales!M154</f>
        <v>1247.9744349176738</v>
      </c>
      <c r="I278" s="269">
        <f>Sales!N154</f>
        <v>998.37954793413905</v>
      </c>
      <c r="J278" s="269">
        <f>Sales!O154</f>
        <v>798.70363834731131</v>
      </c>
      <c r="K278" s="269">
        <f>Sales!P154</f>
        <v>638.9629106778491</v>
      </c>
      <c r="L278" s="269">
        <f>Sales!Q154</f>
        <v>511.17032854227926</v>
      </c>
      <c r="M278" s="269">
        <f>L278*(1+M279)</f>
        <v>434.49477926093738</v>
      </c>
      <c r="N278" s="269">
        <f>M278*(1+N279)</f>
        <v>391.04530133484366</v>
      </c>
      <c r="O278" s="269">
        <f>N278*(1+O279)</f>
        <v>371.49303626810143</v>
      </c>
      <c r="P278" s="269">
        <f>O278*(1+P279)</f>
        <v>352.91838445469637</v>
      </c>
      <c r="Q278" s="269">
        <f>P278*(1+Q279)</f>
        <v>335.27246523196152</v>
      </c>
      <c r="S278" s="213">
        <f>VLOOKUP(A277,$A$2:$H$19,5,0)</f>
        <v>3343.8173382953637</v>
      </c>
      <c r="T278" s="256">
        <f>VLOOKUP(A277,$A$2:$H$19,6,0)</f>
        <v>2018</v>
      </c>
      <c r="U278" s="256"/>
      <c r="V278" s="256"/>
    </row>
    <row r="279" spans="1:22">
      <c r="A279" s="270" t="s">
        <v>579</v>
      </c>
      <c r="B279" s="271"/>
      <c r="C279" s="271">
        <f t="shared" ref="C279:H279" si="218">C278/B278-1</f>
        <v>0.11995677233429403</v>
      </c>
      <c r="D279" s="271">
        <f t="shared" si="218"/>
        <v>2.4445159215181755E-2</v>
      </c>
      <c r="E279" s="271">
        <f t="shared" si="218"/>
        <v>4.9864156450663666E-2</v>
      </c>
      <c r="F279" s="271">
        <f t="shared" si="218"/>
        <v>-0.2395339075230557</v>
      </c>
      <c r="G279" s="271">
        <f t="shared" si="218"/>
        <v>-0.26922403136883</v>
      </c>
      <c r="H279" s="271">
        <f t="shared" si="218"/>
        <v>-0.32841802454115787</v>
      </c>
      <c r="I279" s="271">
        <f>I278/H278-1</f>
        <v>-0.19999999999999996</v>
      </c>
      <c r="J279" s="271">
        <f>J278/I278-1</f>
        <v>-0.19999999999999996</v>
      </c>
      <c r="K279" s="271">
        <f t="shared" ref="K279:L279" si="219">K278/J278-1</f>
        <v>-0.19999999999999996</v>
      </c>
      <c r="L279" s="271">
        <f t="shared" si="219"/>
        <v>-0.20000000000000007</v>
      </c>
      <c r="M279" s="272">
        <v>-0.15</v>
      </c>
      <c r="N279" s="272">
        <v>-0.1</v>
      </c>
      <c r="O279" s="272">
        <v>-0.05</v>
      </c>
      <c r="P279" s="272">
        <v>-0.05</v>
      </c>
      <c r="Q279" s="272">
        <v>-0.05</v>
      </c>
      <c r="S279" s="256" t="s">
        <v>738</v>
      </c>
      <c r="T279" s="256"/>
      <c r="U279" s="256"/>
      <c r="V279" s="256"/>
    </row>
    <row r="280" spans="1:22">
      <c r="A280" s="273" t="s">
        <v>730</v>
      </c>
      <c r="B280" s="269">
        <f t="shared" ref="B280:Q280" si="220">B278*B281</f>
        <v>971.59999999999991</v>
      </c>
      <c r="C280" s="269">
        <f t="shared" si="220"/>
        <v>1347.2333333333331</v>
      </c>
      <c r="D280" s="269">
        <f t="shared" si="220"/>
        <v>1645.5833333333333</v>
      </c>
      <c r="E280" s="269">
        <f t="shared" si="220"/>
        <v>2006.290402977218</v>
      </c>
      <c r="F280" s="269">
        <f t="shared" si="220"/>
        <v>1271.4298526050659</v>
      </c>
      <c r="G280" s="269">
        <f t="shared" si="220"/>
        <v>836.21734387564743</v>
      </c>
      <c r="H280" s="269">
        <f t="shared" si="220"/>
        <v>499.18977396706953</v>
      </c>
      <c r="I280" s="269">
        <f t="shared" si="220"/>
        <v>399.3518191736556</v>
      </c>
      <c r="J280" s="269">
        <f t="shared" si="220"/>
        <v>319.48145533892449</v>
      </c>
      <c r="K280" s="269">
        <f t="shared" si="220"/>
        <v>255.5851642711396</v>
      </c>
      <c r="L280" s="269">
        <f t="shared" si="220"/>
        <v>204.46813141691169</v>
      </c>
      <c r="M280" s="269">
        <f t="shared" si="220"/>
        <v>173.79791170437494</v>
      </c>
      <c r="N280" s="269">
        <f t="shared" si="220"/>
        <v>156.41812053393744</v>
      </c>
      <c r="O280" s="269">
        <f t="shared" si="220"/>
        <v>148.59721450724055</v>
      </c>
      <c r="P280" s="269">
        <f t="shared" si="220"/>
        <v>141.16735378187855</v>
      </c>
      <c r="Q280" s="269">
        <f t="shared" si="220"/>
        <v>134.10898609278459</v>
      </c>
      <c r="S280" s="282">
        <f>IF(S278&gt;$X$39,$Z$39,$Z$40)</f>
        <v>-0.1</v>
      </c>
      <c r="T280" s="282">
        <f>IF(S278&gt;$X$39,$AA$39,$AA$40)</f>
        <v>-0.05</v>
      </c>
      <c r="U280" s="282">
        <f>IF(S278&gt;$X$39,$AB$39,$AB$40)</f>
        <v>-0.05</v>
      </c>
      <c r="V280" s="256"/>
    </row>
    <row r="281" spans="1:22">
      <c r="A281" s="270" t="s">
        <v>580</v>
      </c>
      <c r="B281" s="286">
        <f>IF(B277-T278&gt;3,T283,IF(B277-T278=1,45%+S280,IF(B277-T278=2,A281+T280,IF(B277-T278=3,A281+U280,IF(B277-T278=0,T284,IF(T278-B277=U285+1,$AA$37,IF(T278-B277=U285+2,$Z$37,IF(B277&lt;T278,C281-(T284-$AB$37)/U285))))))))</f>
        <v>0.35</v>
      </c>
      <c r="C281" s="286">
        <f>IF(C277-T278&gt;3,T283,IF(C277-T278=1,B281+S280,IF(C277-T278=2,B281+T280,IF(C277-T278=3,B281+U280,IF(C277-T278=0,T284,IF(T278-C277=U285+1,$AA$37,IF(T278-C277=U285+2,$Z$37,IF(C277&lt;T278,D281-(T284-$AB$37)/U285))))))))</f>
        <v>0.43333333333333329</v>
      </c>
      <c r="D281" s="286">
        <f>IF(D277-T278&gt;3,T283,IF(D277-T278=1,C281+S280,IF(D277-T278=2,C281+T280,IF(D277-T278=3,C281+U280,IF(D277-T278=0,T284,IF(T278-D277=U285+1,$AA$37,IF(T278-D277=U285+2,$Z$37,IF(D277&lt;T278,E281-(T284-$AB$37)/U285))))))))</f>
        <v>0.51666666666666661</v>
      </c>
      <c r="E281" s="286">
        <f>IF(E277-T278&gt;3,T283,IF(E277-T278=1,D281+S280,IF(E277-T278=2,D281+T280,IF(E277-T278=3,D281+U280,IF(E277-T278=0,T284,IF(T278-E277=U285+1,$AA$37,IF(T278-E277=U285+2,$Z$37,IF(E277&lt;T278,F281-(T284-$AB$37)/U285))))))))</f>
        <v>0.6</v>
      </c>
      <c r="F281" s="286">
        <f>IF(F277-T278&gt;3,T283,IF(F277-T278=1,E281+S280,IF(F277-T278=2,E281+T280,IF(F277-T278=3,E281+U280,IF(F277-T278=0,T284,IF(T278-F277=U285+1,$AA$37,IF(T278-F277=U285+2,$Z$37,IF(F277&lt;T278,G281-(T284-$AB$37)/U285))))))))</f>
        <v>0.5</v>
      </c>
      <c r="G281" s="286">
        <f>IF(G277-T278&gt;3,T283,IF(G277-T278=1,F281+S280,IF(G277-T278=2,F281+T280,IF(G277-T278=3,F281+U280,IF(G277-T278=0,T284,IF(T278-G277=U285+1,$AA$37,IF(T278-G277=U285+2,$Z$37,IF(G277&lt;T278,H281-(T284-$AB$37)/U285))))))))</f>
        <v>0.45</v>
      </c>
      <c r="H281" s="286">
        <f>IF(H277-T278&gt;3,T283,IF(H277-T278=1,G281+S280,IF(H277-T278=2,G281+T280,IF(H277-T278=3,G281+U280,IF(H277-T278=0,T284,IF(T278-H277=U285+1,$AA$37,IF(T278-H277=U285+2,$Z$37,IF(H277&lt;T278,I281-(T284-$AB$37)/U285))))))))</f>
        <v>0.4</v>
      </c>
      <c r="I281" s="286">
        <f>IF(I277-T278&gt;3,T283,IF(I277-T278=1,H281+S280,IF(I277-T278=2,H281+T280,IF(I277-T278=3,H281+U280,IF(I277-T278=0,T284,IF(T278-I277=U285+1,$AA$37,IF(T278-I277=U285+2,$Z$37,IF(I277&lt;T278,J281-(T284-$AB$37)/U285))))))))</f>
        <v>0.39999999999999997</v>
      </c>
      <c r="J281" s="286">
        <f>IF(J277-T278&gt;3,T283,IF(J277-T278=1,I281+S280,IF(J277-T278=2,I281+T280,IF(J277-T278=3,I281+U280,IF(J277-T278=0,T284,IF(T278-J277=U285+1,$AA$37,IF(T278-J277=U285+2,$Z$37,IF(J277&lt;T278,K281-(T284-$AB$37)/U285))))))))</f>
        <v>0.39999999999999997</v>
      </c>
      <c r="K281" s="286">
        <f>IF(K277-T278&gt;3,T283,IF(K277-T278=1,J281+S280,IF(K277-T278=2,J281+T280,IF(K277-T278=3,J281+U280,IF(K277-T278=0,T284,IF(T278-K277=U285+1,$AA$37,IF(T278-K277=U285+2,$Z$37,IF(K277&lt;T278,L281-(T284-$AB$37)/U285))))))))</f>
        <v>0.39999999999999997</v>
      </c>
      <c r="L281" s="286">
        <f>IF(L277-T278&gt;3,T283,IF(L277-T278=1,K281+S280,IF(L277-T278=2,K281+T280,IF(L277-T278=3,K281+U280,IF(L277-T278=0,T284,IF(T278-L277=U285+1,$AA$37,IF(T278-L277=U285+2,$Z$37,IF(L277&lt;T278,M281-(T284-$AB$37)/U285))))))))</f>
        <v>0.39999999999999997</v>
      </c>
      <c r="M281" s="286">
        <f>IF(M277-T278&gt;3,T283,IF(M277-T278=1,L281+S280,IF(M277-T278=2,L281+T280,IF(M277-T278=3,L281+U280,IF(M277-T278=0,T284,IF(T278-M277=U285+1,$AA$37,IF(T278-M277=U285+2,$Z$37,IF(M277&lt;T278,N281-(T284-$AB$37)/U285))))))))</f>
        <v>0.39999999999999997</v>
      </c>
      <c r="N281" s="286">
        <f>IF(N277-T278&gt;3,T283,IF(N277-T278=1,M281+S280,IF(N277-T278=2,M281+T280,IF(N277-T278=3,M281+U280,IF(N277-T278=0,T284,IF(T278-N277=U285+1,$AA$37,IF(T278-N277=U285+2,$Z$37,IF(N277&lt;T278,O281-(T284-$AB$37)/U285))))))))</f>
        <v>0.39999999999999997</v>
      </c>
      <c r="O281" s="286">
        <f>IF(O277-T278&gt;3,T283,IF(O277-T278=1,N281+S280,IF(O277-T278=2,N281+T280,IF(O277-T278=3,N281+U280,IF(O277-T278=0,T284,IF(T278-O277=U285+1,$AA$37,IF(T278-O277=U285+2,$Z$37,IF(O277&lt;T278,P281-(T284-$AB$37)/U285))))))))</f>
        <v>0.39999999999999997</v>
      </c>
      <c r="P281" s="286">
        <f>IF(P277-T278&gt;3,T283,IF(P277-T278=1,O281+S280,IF(P277-T278=2,O281+T280,IF(P277-T278=3,O281+U280,IF(P277-T278=0,T284,IF(T278-P277=U285+1,$AA$37,IF(T278-P277=U285+2,$Z$37,IF(P277&lt;T278,Q281-(T284-$AB$37)/U285))))))))</f>
        <v>0.39999999999999997</v>
      </c>
      <c r="Q281" s="286">
        <f>IF(Q277-T278&gt;3,T283,IF(Q277-T278=1,P281+S280,IF(Q277-T278=2,P281+T280,IF(Q277-T278=3,P281+U280,IF(Q277-T278=0,T284,IF(T278-Q277=U285+1,$AA$37,IF(T278-Q277=U285+2,$Z$37,IF(Q277&lt;T278,R281-(T284-$AB$37)/U285))))))))</f>
        <v>0.39999999999999997</v>
      </c>
      <c r="S281" s="287" t="s">
        <v>739</v>
      </c>
      <c r="T281" s="213">
        <f>VLOOKUP(A277,$A$2:$H$19,7,0)</f>
        <v>15</v>
      </c>
      <c r="U281" s="256"/>
      <c r="V281" s="256"/>
    </row>
    <row r="282" spans="1:22">
      <c r="A282" s="270" t="s">
        <v>731</v>
      </c>
      <c r="B282" s="213">
        <f>B280*B283</f>
        <v>141.4101334090264</v>
      </c>
      <c r="C282" s="213">
        <f t="shared" ref="C282:Q282" si="221">C280*C283</f>
        <v>202.46443109275251</v>
      </c>
      <c r="D282" s="213">
        <f t="shared" si="221"/>
        <v>251.62273786504039</v>
      </c>
      <c r="E282" s="213">
        <f t="shared" si="221"/>
        <v>321.00646447635489</v>
      </c>
      <c r="F282" s="213">
        <f t="shared" si="221"/>
        <v>203.42877641681054</v>
      </c>
      <c r="G282" s="213">
        <f t="shared" si="221"/>
        <v>133.7947750201036</v>
      </c>
      <c r="H282" s="213">
        <f t="shared" si="221"/>
        <v>79.870363834731123</v>
      </c>
      <c r="I282" s="213">
        <f t="shared" si="221"/>
        <v>63.896291067784894</v>
      </c>
      <c r="J282" s="213">
        <f t="shared" si="221"/>
        <v>51.117032854227922</v>
      </c>
      <c r="K282" s="213">
        <f t="shared" si="221"/>
        <v>40.893626283382339</v>
      </c>
      <c r="L282" s="213">
        <f t="shared" si="221"/>
        <v>32.714901026705874</v>
      </c>
      <c r="M282" s="213">
        <f t="shared" si="221"/>
        <v>27.807665872699992</v>
      </c>
      <c r="N282" s="213">
        <f t="shared" si="221"/>
        <v>25.026899285429991</v>
      </c>
      <c r="O282" s="213">
        <f t="shared" si="221"/>
        <v>23.775554321158488</v>
      </c>
      <c r="P282" s="213">
        <f t="shared" si="221"/>
        <v>22.586776605100567</v>
      </c>
      <c r="Q282" s="213">
        <f t="shared" si="221"/>
        <v>21.457437774845534</v>
      </c>
      <c r="S282" s="287" t="s">
        <v>740</v>
      </c>
      <c r="T282" s="256">
        <f>VLOOKUP(A277,$A$2:$H$19,8,0)</f>
        <v>2010</v>
      </c>
      <c r="U282" s="256"/>
      <c r="V282" s="256"/>
    </row>
    <row r="283" spans="1:22">
      <c r="A283" s="270" t="s">
        <v>635</v>
      </c>
      <c r="B283" s="196">
        <f>'P&amp;L'!G$120</f>
        <v>0.1455435708203236</v>
      </c>
      <c r="C283" s="196">
        <f>'P&amp;L'!H$120</f>
        <v>0.15028163725122043</v>
      </c>
      <c r="D283" s="196">
        <f>'P&amp;L'!I$120</f>
        <v>0.15290792800832961</v>
      </c>
      <c r="E283" s="196">
        <f>'P&amp;L'!J$120</f>
        <v>0.16</v>
      </c>
      <c r="F283" s="196">
        <f>'P&amp;L'!K$120</f>
        <v>0.16</v>
      </c>
      <c r="G283" s="196">
        <f>'P&amp;L'!L$120</f>
        <v>0.16</v>
      </c>
      <c r="H283" s="196">
        <f>'P&amp;L'!M$120</f>
        <v>0.16</v>
      </c>
      <c r="I283" s="196">
        <f>'P&amp;L'!N$120</f>
        <v>0.16</v>
      </c>
      <c r="J283" s="196">
        <f>'P&amp;L'!O$120</f>
        <v>0.16</v>
      </c>
      <c r="K283" s="196">
        <f>'P&amp;L'!P$120</f>
        <v>0.16</v>
      </c>
      <c r="L283" s="196">
        <f>'P&amp;L'!Q$120</f>
        <v>0.16</v>
      </c>
      <c r="M283" s="196">
        <f t="shared" ref="M283" si="222">L283</f>
        <v>0.16</v>
      </c>
      <c r="N283" s="196">
        <f t="shared" ref="N283" si="223">M283</f>
        <v>0.16</v>
      </c>
      <c r="O283" s="196">
        <f t="shared" ref="O283" si="224">N283</f>
        <v>0.16</v>
      </c>
      <c r="P283" s="196">
        <f t="shared" ref="P283" si="225">O283</f>
        <v>0.16</v>
      </c>
      <c r="Q283" s="196">
        <f t="shared" ref="Q283" si="226">P283</f>
        <v>0.16</v>
      </c>
      <c r="S283" s="287" t="s">
        <v>741</v>
      </c>
      <c r="T283" s="288">
        <f>IF(Q277-T278&gt;3,IF(AND(S278&lt;$X$42,S278&lt;$X$43,S278&lt;$X$44),$AA$45,IF(AND(S278&lt;$X$42,S278&lt;$X$43),$AA$44,IF(S278&lt;$X$42,$AA$43,$AA$42))))</f>
        <v>0.39999999999999997</v>
      </c>
      <c r="U283" s="256"/>
      <c r="V283" s="256"/>
    </row>
    <row r="284" spans="1:22">
      <c r="A284" s="256" t="s">
        <v>732</v>
      </c>
      <c r="B284" s="213">
        <f>B280-B282</f>
        <v>830.18986659097345</v>
      </c>
      <c r="C284" s="213">
        <f t="shared" ref="C284:Q284" si="227">C280-C282</f>
        <v>1144.7689022405807</v>
      </c>
      <c r="D284" s="213">
        <f t="shared" si="227"/>
        <v>1393.9605954682929</v>
      </c>
      <c r="E284" s="213">
        <f t="shared" si="227"/>
        <v>1685.2839385008631</v>
      </c>
      <c r="F284" s="213">
        <f t="shared" si="227"/>
        <v>1068.0010761882554</v>
      </c>
      <c r="G284" s="213">
        <f t="shared" si="227"/>
        <v>702.42256885554389</v>
      </c>
      <c r="H284" s="213">
        <f t="shared" si="227"/>
        <v>419.31941013233842</v>
      </c>
      <c r="I284" s="213">
        <f t="shared" si="227"/>
        <v>335.45552810587071</v>
      </c>
      <c r="J284" s="213">
        <f t="shared" si="227"/>
        <v>268.36442248469655</v>
      </c>
      <c r="K284" s="213">
        <f t="shared" si="227"/>
        <v>214.69153798775727</v>
      </c>
      <c r="L284" s="213">
        <f t="shared" si="227"/>
        <v>171.75323039020583</v>
      </c>
      <c r="M284" s="213">
        <f t="shared" si="227"/>
        <v>145.99024583167494</v>
      </c>
      <c r="N284" s="213">
        <f t="shared" si="227"/>
        <v>131.39122124850746</v>
      </c>
      <c r="O284" s="213">
        <f t="shared" si="227"/>
        <v>124.82166018608206</v>
      </c>
      <c r="P284" s="213">
        <f t="shared" si="227"/>
        <v>118.58057717677798</v>
      </c>
      <c r="Q284" s="213">
        <f t="shared" si="227"/>
        <v>112.65154831793906</v>
      </c>
      <c r="S284" s="287" t="s">
        <v>742</v>
      </c>
      <c r="T284" s="288">
        <f>IF(S278&gt;$X$42,$Z$42,IF(S278&gt;$X$43,$Z$43,IF(S278&gt;$X$44,$Z$44,$Z$45)))</f>
        <v>0.6</v>
      </c>
      <c r="U284" s="256"/>
      <c r="V284" s="256"/>
    </row>
    <row r="285" spans="1:22">
      <c r="A285" s="270" t="s">
        <v>607</v>
      </c>
      <c r="B285" s="277">
        <f>B284</f>
        <v>830.18986659097345</v>
      </c>
      <c r="C285" s="277">
        <f t="shared" ref="C285:Q285" si="228">C284</f>
        <v>1144.7689022405807</v>
      </c>
      <c r="D285" s="277">
        <f t="shared" si="228"/>
        <v>1393.9605954682929</v>
      </c>
      <c r="E285" s="277">
        <f t="shared" si="228"/>
        <v>1685.2839385008631</v>
      </c>
      <c r="F285" s="277">
        <f t="shared" si="228"/>
        <v>1068.0010761882554</v>
      </c>
      <c r="G285" s="277">
        <f t="shared" si="228"/>
        <v>702.42256885554389</v>
      </c>
      <c r="H285" s="277">
        <f t="shared" si="228"/>
        <v>419.31941013233842</v>
      </c>
      <c r="I285" s="277">
        <f t="shared" si="228"/>
        <v>335.45552810587071</v>
      </c>
      <c r="J285" s="277">
        <f t="shared" si="228"/>
        <v>268.36442248469655</v>
      </c>
      <c r="K285" s="277">
        <f t="shared" si="228"/>
        <v>214.69153798775727</v>
      </c>
      <c r="L285" s="277">
        <f t="shared" si="228"/>
        <v>171.75323039020583</v>
      </c>
      <c r="M285" s="277">
        <f t="shared" si="228"/>
        <v>145.99024583167494</v>
      </c>
      <c r="N285" s="277">
        <f t="shared" si="228"/>
        <v>131.39122124850746</v>
      </c>
      <c r="O285" s="277">
        <f t="shared" si="228"/>
        <v>124.82166018608206</v>
      </c>
      <c r="P285" s="277">
        <f t="shared" si="228"/>
        <v>118.58057717677798</v>
      </c>
      <c r="Q285" s="277">
        <f t="shared" si="228"/>
        <v>112.65154831793906</v>
      </c>
      <c r="S285" s="287" t="s">
        <v>743</v>
      </c>
      <c r="T285" s="256">
        <f>T278-T282</f>
        <v>8</v>
      </c>
      <c r="U285" s="256">
        <f>T285-2</f>
        <v>6</v>
      </c>
      <c r="V285" s="256"/>
    </row>
    <row r="286" spans="1:22">
      <c r="A286" s="279" t="s">
        <v>733</v>
      </c>
      <c r="B286" s="280">
        <f t="shared" ref="B286:Q286" si="229">B285*B$45</f>
        <v>0</v>
      </c>
      <c r="C286" s="280">
        <f t="shared" si="229"/>
        <v>0</v>
      </c>
      <c r="D286" s="280">
        <f t="shared" si="229"/>
        <v>0</v>
      </c>
      <c r="E286" s="280">
        <f t="shared" ca="1" si="229"/>
        <v>1604.4913372139254</v>
      </c>
      <c r="F286" s="280">
        <f t="shared" ca="1" si="229"/>
        <v>948.01658869798132</v>
      </c>
      <c r="G286" s="280">
        <f t="shared" ca="1" si="229"/>
        <v>581.32989228843803</v>
      </c>
      <c r="H286" s="280">
        <f t="shared" ca="1" si="229"/>
        <v>323.55574539196897</v>
      </c>
      <c r="I286" s="280">
        <f t="shared" ca="1" si="229"/>
        <v>241.33430200323556</v>
      </c>
      <c r="J286" s="280">
        <f t="shared" ca="1" si="229"/>
        <v>180.00683391615198</v>
      </c>
      <c r="K286" s="280">
        <f t="shared" ca="1" si="229"/>
        <v>134.26379916802173</v>
      </c>
      <c r="L286" s="280">
        <f t="shared" ca="1" si="229"/>
        <v>100.14490769515911</v>
      </c>
      <c r="M286" s="280">
        <f t="shared" ca="1" si="229"/>
        <v>79.364767434566815</v>
      </c>
      <c r="N286" s="280">
        <f t="shared" ca="1" si="229"/>
        <v>66.596316564941262</v>
      </c>
      <c r="O286" s="280">
        <f t="shared" ca="1" si="229"/>
        <v>58.986654590928858</v>
      </c>
      <c r="P286" s="280">
        <f t="shared" ca="1" si="229"/>
        <v>52.246514511603614</v>
      </c>
      <c r="Q286" s="280">
        <f t="shared" ca="1" si="229"/>
        <v>46.276539965549873</v>
      </c>
      <c r="S286" s="289" t="s">
        <v>744</v>
      </c>
      <c r="T286" s="288">
        <f>VLOOKUP(S286,$Y$32:$AB$34,2,0)</f>
        <v>-0.7</v>
      </c>
      <c r="U286" s="288">
        <f>VLOOKUP(S286,$Y$32:$AB$34,3,0)</f>
        <v>-0.35</v>
      </c>
      <c r="V286" s="288">
        <f>VLOOKUP(S286,$Y$32:$AB$34,4,0)</f>
        <v>-0.1</v>
      </c>
    </row>
    <row r="287" spans="1:22">
      <c r="A287" s="270" t="s">
        <v>734</v>
      </c>
      <c r="B287" s="213">
        <f ca="1">SUM(B286:Q286)</f>
        <v>4416.6141994424725</v>
      </c>
      <c r="C287" s="277"/>
      <c r="D287" s="277"/>
      <c r="E287" s="277"/>
      <c r="F287" s="277"/>
      <c r="G287" s="277"/>
      <c r="H287" s="277"/>
      <c r="I287" s="277"/>
      <c r="J287" s="277"/>
      <c r="K287" s="277"/>
      <c r="L287" s="277"/>
      <c r="M287" s="277"/>
      <c r="N287" s="256"/>
      <c r="O287" s="256"/>
      <c r="P287" s="256"/>
      <c r="Q287" s="256"/>
    </row>
    <row r="288" spans="1:22">
      <c r="A288" s="281" t="s">
        <v>735</v>
      </c>
      <c r="B288" s="213">
        <f ca="1">(Q285*(1+C288))/(DCF!$H$31-NPV!C288)*NPV!$Q$45</f>
        <v>358.71478758627552</v>
      </c>
      <c r="C288" s="286">
        <v>-0.05</v>
      </c>
      <c r="D288" s="277"/>
      <c r="E288" s="277"/>
      <c r="F288" s="277"/>
      <c r="G288" s="277"/>
      <c r="H288" s="277"/>
      <c r="I288" s="277"/>
      <c r="J288" s="277"/>
      <c r="K288" s="277"/>
      <c r="L288" s="277"/>
      <c r="M288" s="277"/>
      <c r="N288" s="256"/>
      <c r="O288" s="256"/>
      <c r="P288" s="256"/>
      <c r="Q288" s="256"/>
    </row>
    <row r="289" spans="1:22">
      <c r="A289" s="281" t="s">
        <v>736</v>
      </c>
      <c r="B289" s="213">
        <f ca="1">SUM(B287:B288)/DCF!$C$30</f>
        <v>2.0355196023140443</v>
      </c>
      <c r="C289" s="283"/>
      <c r="D289" s="283"/>
      <c r="E289" s="283"/>
      <c r="F289" s="283"/>
      <c r="G289" s="283"/>
      <c r="H289" s="283"/>
      <c r="I289" s="283"/>
      <c r="J289" s="283"/>
      <c r="K289" s="283"/>
      <c r="L289" s="283"/>
      <c r="M289" s="256"/>
      <c r="N289" s="256"/>
      <c r="O289" s="256"/>
      <c r="P289" s="256"/>
      <c r="Q289" s="256"/>
    </row>
    <row r="290" spans="1:22">
      <c r="A290" s="284" t="s">
        <v>737</v>
      </c>
      <c r="B290" s="285">
        <f ca="1">B289/DCF!$H$24</f>
        <v>1.9762326236058683</v>
      </c>
    </row>
    <row r="292" spans="1:22">
      <c r="A292" s="265" t="s">
        <v>765</v>
      </c>
      <c r="B292" s="266">
        <v>2015</v>
      </c>
      <c r="C292" s="266">
        <v>2016</v>
      </c>
      <c r="D292" s="266">
        <v>2017</v>
      </c>
      <c r="E292" s="266">
        <v>2018</v>
      </c>
      <c r="F292" s="266">
        <v>2019</v>
      </c>
      <c r="G292" s="266">
        <v>2020</v>
      </c>
      <c r="H292" s="266">
        <v>2021</v>
      </c>
      <c r="I292" s="266">
        <v>2022</v>
      </c>
      <c r="J292" s="266">
        <v>2023</v>
      </c>
      <c r="K292" s="266">
        <v>2024</v>
      </c>
      <c r="L292" s="266">
        <v>2025</v>
      </c>
      <c r="M292" s="266">
        <v>2026</v>
      </c>
      <c r="N292" s="266">
        <v>2027</v>
      </c>
      <c r="O292" s="266">
        <v>2028</v>
      </c>
      <c r="P292" s="266">
        <v>2029</v>
      </c>
      <c r="Q292" s="267">
        <v>2030</v>
      </c>
      <c r="S292" s="256" t="s">
        <v>709</v>
      </c>
      <c r="T292" s="256" t="s">
        <v>710</v>
      </c>
      <c r="U292" s="256"/>
      <c r="V292" s="256"/>
    </row>
    <row r="293" spans="1:22">
      <c r="A293" s="268" t="s">
        <v>729</v>
      </c>
      <c r="B293" s="269"/>
      <c r="C293" s="269"/>
      <c r="D293" s="269"/>
      <c r="E293" s="269"/>
      <c r="F293" s="269">
        <f>Sales!K162</f>
        <v>50</v>
      </c>
      <c r="G293" s="269">
        <f>Sales!L162</f>
        <v>175</v>
      </c>
      <c r="H293" s="269">
        <f>Sales!M162</f>
        <v>391.25</v>
      </c>
      <c r="I293" s="269">
        <f>Sales!N162</f>
        <v>760.5</v>
      </c>
      <c r="J293" s="269">
        <f>Sales!O162</f>
        <v>1140.75</v>
      </c>
      <c r="K293" s="269">
        <f>Sales!P162</f>
        <v>1398.6000000000001</v>
      </c>
      <c r="L293" s="269">
        <f>Sales!Q162</f>
        <v>1577.0700000000002</v>
      </c>
      <c r="M293" s="269">
        <f>L293*(1+M294)</f>
        <v>1671.6942000000004</v>
      </c>
      <c r="N293" s="269">
        <f>M293*(1+N294)</f>
        <v>1755.2789100000005</v>
      </c>
      <c r="O293" s="269">
        <f>N293*(1+O294)</f>
        <v>1843.0428555000005</v>
      </c>
      <c r="P293" s="269">
        <f>O293*(1+P294)</f>
        <v>1898.3341411650006</v>
      </c>
      <c r="Q293" s="269">
        <f>P293*(1+Q294)</f>
        <v>1955.2841653999506</v>
      </c>
      <c r="S293" s="213">
        <f>VLOOKUP(A292,$A$2:$H$19,5,0)</f>
        <v>1955.2841653999506</v>
      </c>
      <c r="T293" s="256">
        <f>VLOOKUP(A292,$A$2:$H$19,6,0)</f>
        <v>2030</v>
      </c>
      <c r="U293" s="256"/>
      <c r="V293" s="256"/>
    </row>
    <row r="294" spans="1:22">
      <c r="A294" s="270" t="s">
        <v>579</v>
      </c>
      <c r="B294" s="271"/>
      <c r="C294" s="271"/>
      <c r="D294" s="271"/>
      <c r="E294" s="271"/>
      <c r="F294" s="271"/>
      <c r="G294" s="271">
        <f t="shared" ref="G294" si="230">G293/F293-1</f>
        <v>2.5</v>
      </c>
      <c r="H294" s="271">
        <f t="shared" ref="H294" si="231">H293/G293-1</f>
        <v>1.2357142857142858</v>
      </c>
      <c r="I294" s="271">
        <f>I293/H293-1</f>
        <v>0.94376996805111824</v>
      </c>
      <c r="J294" s="271">
        <f>J293/I293-1</f>
        <v>0.5</v>
      </c>
      <c r="K294" s="271">
        <f t="shared" ref="K294" si="232">K293/J293-1</f>
        <v>0.2260355029585801</v>
      </c>
      <c r="L294" s="271">
        <f t="shared" ref="L294" si="233">L293/K293-1</f>
        <v>0.12760617760617765</v>
      </c>
      <c r="M294" s="272">
        <v>0.06</v>
      </c>
      <c r="N294" s="272">
        <v>0.05</v>
      </c>
      <c r="O294" s="272">
        <v>0.05</v>
      </c>
      <c r="P294" s="272">
        <v>0.03</v>
      </c>
      <c r="Q294" s="272">
        <v>0.03</v>
      </c>
      <c r="S294" s="256" t="s">
        <v>738</v>
      </c>
      <c r="T294" s="256"/>
      <c r="U294" s="256"/>
      <c r="V294" s="256"/>
    </row>
    <row r="295" spans="1:22">
      <c r="A295" s="273" t="s">
        <v>730</v>
      </c>
      <c r="B295" s="269"/>
      <c r="C295" s="269"/>
      <c r="D295" s="269"/>
      <c r="E295" s="269"/>
      <c r="F295" s="269">
        <f t="shared" ref="F295:Q295" si="234">F293*F296</f>
        <v>-2.5</v>
      </c>
      <c r="G295" s="269">
        <f t="shared" si="234"/>
        <v>0</v>
      </c>
      <c r="H295" s="269">
        <f t="shared" si="234"/>
        <v>39.124999999999972</v>
      </c>
      <c r="I295" s="269">
        <f t="shared" si="234"/>
        <v>109.84999999999995</v>
      </c>
      <c r="J295" s="269">
        <f t="shared" si="234"/>
        <v>215.47499999999994</v>
      </c>
      <c r="K295" s="269">
        <f t="shared" si="234"/>
        <v>326.33999999999997</v>
      </c>
      <c r="L295" s="269">
        <f t="shared" si="234"/>
        <v>438.07499999999999</v>
      </c>
      <c r="M295" s="269">
        <f t="shared" si="234"/>
        <v>538.6570200000001</v>
      </c>
      <c r="N295" s="269">
        <f t="shared" si="234"/>
        <v>643.6022670000001</v>
      </c>
      <c r="O295" s="269">
        <f t="shared" si="234"/>
        <v>757.69539615000019</v>
      </c>
      <c r="P295" s="269">
        <f t="shared" si="234"/>
        <v>864.79666430850023</v>
      </c>
      <c r="Q295" s="269">
        <f t="shared" si="234"/>
        <v>977.64208269997528</v>
      </c>
      <c r="S295" s="282">
        <f>IF(S293&gt;$X$39,$Z$39,$Z$40)</f>
        <v>-0.05</v>
      </c>
      <c r="T295" s="282">
        <f>IF(S293&gt;$X$39,$AA$39,$AA$40)</f>
        <v>-0.03</v>
      </c>
      <c r="U295" s="282">
        <f>IF(S293&gt;$X$39,$AB$39,$AB$40)</f>
        <v>-0.03</v>
      </c>
      <c r="V295" s="256"/>
    </row>
    <row r="296" spans="1:22">
      <c r="A296" s="270" t="s">
        <v>580</v>
      </c>
      <c r="B296" s="286"/>
      <c r="C296" s="286"/>
      <c r="D296" s="286"/>
      <c r="E296" s="286"/>
      <c r="F296" s="286">
        <f>IF(F292-T293&gt;3,T298,IF(F292-T293=1,E296+S295,IF(F292-T293=2,E296+T295,IF(F292-T293=3,E296+U295,IF(F292-T293=0,T299,IF(T293-F292=U300+1,$AA$37,IF(T293-F292=U300+2,$Z$37,IF(F292&lt;T293,G296-(T299-$AB$37)/U300))))))))</f>
        <v>-0.05</v>
      </c>
      <c r="G296" s="286">
        <f>IF(G292-T293&gt;3,T298,IF(G292-T293=1,F296+S295,IF(G292-T293=2,F296+T295,IF(G292-T293=3,F296+U295,IF(G292-T293=0,T299,IF(T293-G292=U300+1,$AA$37,IF(T293-G292=U300+2,$Z$37,IF(G292&lt;T293,H296-(T299-$AB$37)/U300))))))))</f>
        <v>0</v>
      </c>
      <c r="H296" s="286">
        <f>IF(H292-T293&gt;3,T298,IF(H292-T293=1,G296+S295,IF(H292-T293=2,G296+T295,IF(H292-T293=3,G296+U295,IF(H292-T293=0,T299,IF(T293-H292=U300+1,$AA$37,IF(T293-H292=U300+2,$Z$37,IF(H292&lt;T293,I296-(T299-$AB$37)/U300))))))))</f>
        <v>9.9999999999999922E-2</v>
      </c>
      <c r="I296" s="286">
        <f>IF(I292-T293&gt;3,T298,IF(I292-T293=1,H296+S295,IF(I292-T293=2,H296+T295,IF(I292-T293=3,H296+U295,IF(I292-T293=0,T299,IF(T293-I292=U300+1,$AA$37,IF(T293-I292=U300+2,$Z$37,IF(I292&lt;T293,J296-(T299-$AB$37)/U300))))))))</f>
        <v>0.14444444444444438</v>
      </c>
      <c r="J296" s="286">
        <f>IF(J292-T293&gt;3,T298,IF(J292-T293=1,I296+S295,IF(J292-T293=2,I296+T295,IF(J292-T293=3,I296+U295,IF(J292-T293=0,T299,IF(T293-J292=U300+1,$AA$37,IF(T293-J292=U300+2,$Z$37,IF(J292&lt;T293,K296-(T299-$AB$37)/U300))))))))</f>
        <v>0.18888888888888883</v>
      </c>
      <c r="K296" s="286">
        <f>IF(K292-T293&gt;3,T298,IF(K292-T293=1,J296+S295,IF(K292-T293=2,J296+T295,IF(K292-T293=3,J296+U295,IF(K292-T293=0,T299,IF(T293-K292=U300+1,$AA$37,IF(T293-K292=U300+2,$Z$37,IF(K292&lt;T293,L296-(T299-$AB$37)/U300))))))))</f>
        <v>0.23333333333333328</v>
      </c>
      <c r="L296" s="286">
        <f>IF(L292-T293&gt;3,T298,IF(L292-T293=1,K296+S295,IF(L292-T293=2,K296+T295,IF(L292-T293=3,K296+U295,IF(L292-T293=0,T299,IF(T293-L292=U300+1,$AA$37,IF(T293-L292=U300+2,$Z$37,IF(L292&lt;T293,M296-(T299-$AB$37)/U300))))))))</f>
        <v>0.27777777777777773</v>
      </c>
      <c r="M296" s="286">
        <f>IF(M292-T293&gt;3,T298,IF(M292-T293=1,L296+S295,IF(M292-T293=2,L296+T295,IF(M292-T293=3,L296+U295,IF(M292-T293=0,T299,IF(T293-M292=U300+1,$AA$37,IF(T293-M292=U300+2,$Z$37,IF(M292&lt;T293,N296-(T299-$AB$37)/U300))))))))</f>
        <v>0.32222222222222219</v>
      </c>
      <c r="N296" s="286">
        <f>IF(N292-T293&gt;3,T298,IF(N292-T293=1,M296+S295,IF(N292-T293=2,M296+T295,IF(N292-T293=3,M296+U295,IF(N292-T293=0,T299,IF(T293-N292=U300+1,$AA$37,IF(T293-N292=U300+2,$Z$37,IF(N292&lt;T293,O296-(T299-$AB$37)/U300))))))))</f>
        <v>0.36666666666666664</v>
      </c>
      <c r="O296" s="286">
        <f>IF(O292-T293&gt;3,T298,IF(O292-T293=1,N296+S295,IF(O292-T293=2,N296+T295,IF(O292-T293=3,N296+U295,IF(O292-T293=0,T299,IF(T293-O292=U300+1,$AA$37,IF(T293-O292=U300+2,$Z$37,IF(O292&lt;T293,P296-(T299-$AB$37)/U300))))))))</f>
        <v>0.41111111111111109</v>
      </c>
      <c r="P296" s="286">
        <f>IF(P292-T293&gt;3,T298,IF(P292-T293=1,O296+S295,IF(P292-T293=2,O296+T295,IF(P292-T293=3,O296+U295,IF(P292-T293=0,T299,IF(T293-P292=U300+1,$AA$37,IF(T293-P292=U300+2,$Z$37,IF(P292&lt;T293,Q296-(T299-$AB$37)/U300))))))))</f>
        <v>0.45555555555555555</v>
      </c>
      <c r="Q296" s="286">
        <f>IF(Q292-T293&gt;3,T298,IF(Q292-T293=1,P296+S295,IF(Q292-T293=2,P296+T295,IF(Q292-T293=3,P296+U295,IF(Q292-T293=0,T299,IF(T293-Q292=U300+1,$AA$37,IF(T293-Q292=U300+2,$Z$37,IF(Q292&lt;T293,R296-(T299-$AB$37)/U300))))))))</f>
        <v>0.5</v>
      </c>
      <c r="S296" s="287" t="s">
        <v>739</v>
      </c>
      <c r="T296" s="213">
        <f>VLOOKUP(A292,$A$2:$H$19,7,0)</f>
        <v>50</v>
      </c>
      <c r="U296" s="256"/>
      <c r="V296" s="256"/>
    </row>
    <row r="297" spans="1:22">
      <c r="A297" s="270" t="s">
        <v>731</v>
      </c>
      <c r="B297" s="213"/>
      <c r="C297" s="213"/>
      <c r="D297" s="213"/>
      <c r="E297" s="213"/>
      <c r="F297" s="213">
        <f t="shared" ref="F297:Q297" si="235">F295*F298</f>
        <v>-0.4</v>
      </c>
      <c r="G297" s="213">
        <f t="shared" si="235"/>
        <v>0</v>
      </c>
      <c r="H297" s="213">
        <f t="shared" si="235"/>
        <v>6.2599999999999953</v>
      </c>
      <c r="I297" s="213">
        <f t="shared" si="235"/>
        <v>17.575999999999993</v>
      </c>
      <c r="J297" s="213">
        <f t="shared" si="235"/>
        <v>34.475999999999992</v>
      </c>
      <c r="K297" s="213">
        <f t="shared" si="235"/>
        <v>52.214399999999998</v>
      </c>
      <c r="L297" s="213">
        <f t="shared" si="235"/>
        <v>70.091999999999999</v>
      </c>
      <c r="M297" s="213">
        <f t="shared" si="235"/>
        <v>86.185123200000021</v>
      </c>
      <c r="N297" s="213">
        <f t="shared" si="235"/>
        <v>102.97636272000001</v>
      </c>
      <c r="O297" s="213">
        <f t="shared" si="235"/>
        <v>121.23126338400003</v>
      </c>
      <c r="P297" s="213">
        <f t="shared" si="235"/>
        <v>138.36746628936004</v>
      </c>
      <c r="Q297" s="213">
        <f t="shared" si="235"/>
        <v>156.42273323199603</v>
      </c>
      <c r="S297" s="287" t="s">
        <v>740</v>
      </c>
      <c r="T297" s="256">
        <f>VLOOKUP(A292,$A$2:$H$19,8,0)</f>
        <v>2019</v>
      </c>
      <c r="U297" s="256"/>
      <c r="V297" s="256"/>
    </row>
    <row r="298" spans="1:22">
      <c r="A298" s="270" t="s">
        <v>635</v>
      </c>
      <c r="B298" s="196">
        <f>'P&amp;L'!G$120</f>
        <v>0.1455435708203236</v>
      </c>
      <c r="C298" s="196">
        <f>'P&amp;L'!H$120</f>
        <v>0.15028163725122043</v>
      </c>
      <c r="D298" s="196">
        <f>'P&amp;L'!I$120</f>
        <v>0.15290792800832961</v>
      </c>
      <c r="E298" s="196">
        <f>'P&amp;L'!J$120</f>
        <v>0.16</v>
      </c>
      <c r="F298" s="196">
        <f>'P&amp;L'!K$120</f>
        <v>0.16</v>
      </c>
      <c r="G298" s="196">
        <f>'P&amp;L'!L$120</f>
        <v>0.16</v>
      </c>
      <c r="H298" s="196">
        <f>'P&amp;L'!M$120</f>
        <v>0.16</v>
      </c>
      <c r="I298" s="196">
        <f>'P&amp;L'!N$120</f>
        <v>0.16</v>
      </c>
      <c r="J298" s="196">
        <f>'P&amp;L'!O$120</f>
        <v>0.16</v>
      </c>
      <c r="K298" s="196">
        <f>'P&amp;L'!P$120</f>
        <v>0.16</v>
      </c>
      <c r="L298" s="196">
        <f>'P&amp;L'!Q$120</f>
        <v>0.16</v>
      </c>
      <c r="M298" s="196">
        <f t="shared" ref="M298" si="236">L298</f>
        <v>0.16</v>
      </c>
      <c r="N298" s="196">
        <f t="shared" ref="N298" si="237">M298</f>
        <v>0.16</v>
      </c>
      <c r="O298" s="196">
        <f t="shared" ref="O298" si="238">N298</f>
        <v>0.16</v>
      </c>
      <c r="P298" s="196">
        <f t="shared" ref="P298" si="239">O298</f>
        <v>0.16</v>
      </c>
      <c r="Q298" s="196">
        <f t="shared" ref="Q298" si="240">P298</f>
        <v>0.16</v>
      </c>
      <c r="S298" s="287" t="s">
        <v>741</v>
      </c>
      <c r="T298" s="288" t="b">
        <f>IF(Q292-T293&gt;3,IF(AND(S293&lt;$X$42,S293&lt;$X$43,S293&lt;$X$44),$AA$45,IF(AND(S293&lt;$X$42,S293&lt;$X$43),$AA$44,IF(S293&lt;$X$42,$AA$43,$AA$42))))</f>
        <v>0</v>
      </c>
      <c r="U298" s="256"/>
      <c r="V298" s="256"/>
    </row>
    <row r="299" spans="1:22">
      <c r="A299" s="256" t="s">
        <v>732</v>
      </c>
      <c r="B299" s="213"/>
      <c r="C299" s="213"/>
      <c r="D299" s="213"/>
      <c r="E299" s="213"/>
      <c r="F299" s="213">
        <f t="shared" ref="F299:Q299" si="241">F295-F297</f>
        <v>-2.1</v>
      </c>
      <c r="G299" s="213">
        <f t="shared" si="241"/>
        <v>0</v>
      </c>
      <c r="H299" s="213">
        <f t="shared" si="241"/>
        <v>32.864999999999974</v>
      </c>
      <c r="I299" s="213">
        <f t="shared" si="241"/>
        <v>92.273999999999958</v>
      </c>
      <c r="J299" s="213">
        <f t="shared" si="241"/>
        <v>180.99899999999994</v>
      </c>
      <c r="K299" s="213">
        <f t="shared" si="241"/>
        <v>274.12559999999996</v>
      </c>
      <c r="L299" s="213">
        <f t="shared" si="241"/>
        <v>367.983</v>
      </c>
      <c r="M299" s="213">
        <f t="shared" si="241"/>
        <v>452.47189680000008</v>
      </c>
      <c r="N299" s="213">
        <f t="shared" si="241"/>
        <v>540.6259042800001</v>
      </c>
      <c r="O299" s="213">
        <f t="shared" si="241"/>
        <v>636.46413276600015</v>
      </c>
      <c r="P299" s="213">
        <f t="shared" si="241"/>
        <v>726.42919801914013</v>
      </c>
      <c r="Q299" s="213">
        <f t="shared" si="241"/>
        <v>821.21934946797921</v>
      </c>
      <c r="S299" s="287" t="s">
        <v>742</v>
      </c>
      <c r="T299" s="288">
        <f>IF(S293&gt;$X$42,$Z$42,IF(S293&gt;$X$43,$Z$43,IF(S293&gt;$X$44,$Z$44,$Z$45)))</f>
        <v>0.5</v>
      </c>
      <c r="U299" s="256"/>
      <c r="V299" s="256"/>
    </row>
    <row r="300" spans="1:22">
      <c r="A300" s="270" t="s">
        <v>607</v>
      </c>
      <c r="B300" s="277"/>
      <c r="C300" s="277"/>
      <c r="D300" s="277"/>
      <c r="E300" s="277"/>
      <c r="F300" s="277">
        <f t="shared" ref="F300:Q300" si="242">F299</f>
        <v>-2.1</v>
      </c>
      <c r="G300" s="277">
        <f t="shared" si="242"/>
        <v>0</v>
      </c>
      <c r="H300" s="277">
        <f t="shared" si="242"/>
        <v>32.864999999999974</v>
      </c>
      <c r="I300" s="277">
        <f t="shared" si="242"/>
        <v>92.273999999999958</v>
      </c>
      <c r="J300" s="277">
        <f t="shared" si="242"/>
        <v>180.99899999999994</v>
      </c>
      <c r="K300" s="277">
        <f t="shared" si="242"/>
        <v>274.12559999999996</v>
      </c>
      <c r="L300" s="277">
        <f t="shared" si="242"/>
        <v>367.983</v>
      </c>
      <c r="M300" s="277">
        <f t="shared" si="242"/>
        <v>452.47189680000008</v>
      </c>
      <c r="N300" s="277">
        <f t="shared" si="242"/>
        <v>540.6259042800001</v>
      </c>
      <c r="O300" s="277">
        <f t="shared" si="242"/>
        <v>636.46413276600015</v>
      </c>
      <c r="P300" s="277">
        <f t="shared" si="242"/>
        <v>726.42919801914013</v>
      </c>
      <c r="Q300" s="277">
        <f t="shared" si="242"/>
        <v>821.21934946797921</v>
      </c>
      <c r="S300" s="287" t="s">
        <v>743</v>
      </c>
      <c r="T300" s="256">
        <f>T293-T297</f>
        <v>11</v>
      </c>
      <c r="U300" s="256">
        <f>T300-2</f>
        <v>9</v>
      </c>
      <c r="V300" s="256"/>
    </row>
    <row r="301" spans="1:22">
      <c r="A301" s="279" t="s">
        <v>733</v>
      </c>
      <c r="B301" s="280"/>
      <c r="C301" s="280"/>
      <c r="D301" s="280"/>
      <c r="E301" s="280"/>
      <c r="F301" s="280">
        <f t="shared" ref="F301:Q301" ca="1" si="243">F300*F$45</f>
        <v>-1.8640756836792163</v>
      </c>
      <c r="G301" s="280">
        <f t="shared" ca="1" si="243"/>
        <v>0</v>
      </c>
      <c r="H301" s="280">
        <f t="shared" ca="1" si="243"/>
        <v>25.359330656673006</v>
      </c>
      <c r="I301" s="280">
        <f t="shared" ca="1" si="243"/>
        <v>66.384004785333047</v>
      </c>
      <c r="J301" s="280">
        <f t="shared" ca="1" si="243"/>
        <v>121.40602182037566</v>
      </c>
      <c r="K301" s="280">
        <f t="shared" ca="1" si="243"/>
        <v>171.43267429251102</v>
      </c>
      <c r="L301" s="280">
        <f t="shared" ca="1" si="243"/>
        <v>214.56145823088511</v>
      </c>
      <c r="M301" s="280">
        <f t="shared" ca="1" si="243"/>
        <v>245.97757648557914</v>
      </c>
      <c r="N301" s="280">
        <f t="shared" ca="1" si="243"/>
        <v>274.01902138151792</v>
      </c>
      <c r="O301" s="280">
        <f t="shared" ca="1" si="243"/>
        <v>300.77223699007709</v>
      </c>
      <c r="P301" s="280">
        <f t="shared" ca="1" si="243"/>
        <v>320.06416682707896</v>
      </c>
      <c r="Q301" s="280">
        <f t="shared" ca="1" si="243"/>
        <v>337.35168857937515</v>
      </c>
      <c r="S301" s="289" t="s">
        <v>744</v>
      </c>
      <c r="T301" s="288">
        <f>VLOOKUP(S301,$Y$32:$AB$34,2,0)</f>
        <v>-0.7</v>
      </c>
      <c r="U301" s="288">
        <f>VLOOKUP(S301,$Y$32:$AB$34,3,0)</f>
        <v>-0.35</v>
      </c>
      <c r="V301" s="288">
        <f>VLOOKUP(S301,$Y$32:$AB$34,4,0)</f>
        <v>-0.1</v>
      </c>
    </row>
    <row r="302" spans="1:22">
      <c r="A302" s="270" t="s">
        <v>734</v>
      </c>
      <c r="B302" s="213">
        <f ca="1">SUM(B301:Q301)</f>
        <v>2075.4641043657266</v>
      </c>
      <c r="C302" s="277"/>
      <c r="D302" s="277"/>
      <c r="E302" s="277"/>
      <c r="F302" s="277"/>
      <c r="G302" s="277"/>
      <c r="H302" s="277"/>
      <c r="I302" s="277"/>
      <c r="J302" s="277"/>
      <c r="K302" s="277"/>
      <c r="L302" s="277"/>
      <c r="M302" s="277"/>
      <c r="N302" s="256"/>
      <c r="O302" s="256"/>
      <c r="P302" s="256"/>
      <c r="Q302" s="256"/>
    </row>
    <row r="303" spans="1:22">
      <c r="A303" s="281" t="s">
        <v>735</v>
      </c>
      <c r="B303" s="213">
        <f ca="1">(Q300*(1+C303))/(DCF!$H$31-NPV!C303)*NPV!$Q$45</f>
        <v>2614.9975646560638</v>
      </c>
      <c r="C303" s="286">
        <v>-0.05</v>
      </c>
      <c r="D303" s="277"/>
      <c r="E303" s="277"/>
      <c r="F303" s="277"/>
      <c r="G303" s="277"/>
      <c r="H303" s="277"/>
      <c r="I303" s="277"/>
      <c r="J303" s="277"/>
      <c r="K303" s="277"/>
      <c r="L303" s="277"/>
      <c r="M303" s="277"/>
      <c r="N303" s="256"/>
      <c r="O303" s="256"/>
      <c r="P303" s="256"/>
      <c r="Q303" s="256"/>
    </row>
    <row r="304" spans="1:22">
      <c r="A304" s="281" t="s">
        <v>736</v>
      </c>
      <c r="B304" s="213">
        <f ca="1">SUM(B302:B303)/DCF!$C$30</f>
        <v>1.9993442749453496</v>
      </c>
      <c r="C304" s="283"/>
      <c r="D304" s="283"/>
      <c r="E304" s="283"/>
      <c r="F304" s="283"/>
      <c r="G304" s="283"/>
      <c r="H304" s="283"/>
      <c r="I304" s="283"/>
      <c r="J304" s="283"/>
      <c r="K304" s="283"/>
      <c r="L304" s="283"/>
      <c r="M304" s="256"/>
      <c r="N304" s="256"/>
      <c r="O304" s="256"/>
      <c r="P304" s="256"/>
      <c r="Q304" s="256"/>
    </row>
    <row r="305" spans="1:22">
      <c r="A305" s="284" t="s">
        <v>737</v>
      </c>
      <c r="B305" s="285">
        <f ca="1">B304/DCF!$H$24</f>
        <v>1.9411109465488832</v>
      </c>
    </row>
    <row r="307" spans="1:22">
      <c r="A307" s="265" t="str">
        <f>Sales!A182</f>
        <v>AVXS-101 (SMA gene therapy)</v>
      </c>
      <c r="B307" s="266">
        <v>2015</v>
      </c>
      <c r="C307" s="266">
        <v>2016</v>
      </c>
      <c r="D307" s="266">
        <v>2017</v>
      </c>
      <c r="E307" s="266">
        <v>2018</v>
      </c>
      <c r="F307" s="266">
        <v>2019</v>
      </c>
      <c r="G307" s="266">
        <v>2020</v>
      </c>
      <c r="H307" s="266">
        <v>2021</v>
      </c>
      <c r="I307" s="266">
        <v>2022</v>
      </c>
      <c r="J307" s="266">
        <v>2023</v>
      </c>
      <c r="K307" s="266">
        <v>2024</v>
      </c>
      <c r="L307" s="266">
        <v>2025</v>
      </c>
      <c r="M307" s="266">
        <v>2026</v>
      </c>
      <c r="N307" s="266">
        <v>2027</v>
      </c>
      <c r="O307" s="266">
        <v>2028</v>
      </c>
      <c r="P307" s="266">
        <v>2029</v>
      </c>
      <c r="Q307" s="267">
        <v>2030</v>
      </c>
      <c r="S307" s="256" t="s">
        <v>709</v>
      </c>
      <c r="T307" s="256" t="s">
        <v>710</v>
      </c>
      <c r="U307" s="256"/>
      <c r="V307" s="256"/>
    </row>
    <row r="308" spans="1:22">
      <c r="A308" s="268" t="s">
        <v>729</v>
      </c>
      <c r="B308" s="269"/>
      <c r="C308" s="269"/>
      <c r="D308" s="269"/>
      <c r="E308" s="269"/>
      <c r="F308" s="269">
        <f>Sales!K182</f>
        <v>80</v>
      </c>
      <c r="G308" s="269">
        <f>Sales!L182</f>
        <v>296</v>
      </c>
      <c r="H308" s="269">
        <f>Sales!M182</f>
        <v>540.79999999999995</v>
      </c>
      <c r="I308" s="269">
        <f>Sales!N182</f>
        <v>742.08</v>
      </c>
      <c r="J308" s="269">
        <f>Sales!O182</f>
        <v>908.49599999999998</v>
      </c>
      <c r="K308" s="269">
        <f>Sales!P182</f>
        <v>1052.8704</v>
      </c>
      <c r="L308" s="269">
        <f>Sales!Q182</f>
        <v>1167.87744</v>
      </c>
      <c r="M308" s="269">
        <f>L308*(1+M309)</f>
        <v>1237.9500864000001</v>
      </c>
      <c r="N308" s="269">
        <f>M308*(1+N309)</f>
        <v>1299.8475907200002</v>
      </c>
      <c r="O308" s="269">
        <f>N308*(1+O309)</f>
        <v>1364.8399702560002</v>
      </c>
      <c r="P308" s="269">
        <f>O308*(1+P309)</f>
        <v>1405.7851693636803</v>
      </c>
      <c r="Q308" s="269">
        <f>P308*(1+Q309)</f>
        <v>1447.9587244445909</v>
      </c>
      <c r="S308" s="213">
        <f>MAX(MAX(Sales!C182:W182),MAX(K308:Q308))</f>
        <v>1447.9587244445909</v>
      </c>
      <c r="T308" s="256">
        <f>IFERROR(INDEX(Sales!$B$1:$Q$1,MATCH(NPV!S308,Sales!B182:Q182,0)),INDEX(C307:Q307,MATCH(NPV!S308,C308:Q308,0)))</f>
        <v>2030</v>
      </c>
      <c r="U308" s="256"/>
      <c r="V308" s="256"/>
    </row>
    <row r="309" spans="1:22">
      <c r="A309" s="270" t="s">
        <v>579</v>
      </c>
      <c r="B309" s="271"/>
      <c r="C309" s="271"/>
      <c r="D309" s="271"/>
      <c r="E309" s="271"/>
      <c r="F309" s="271"/>
      <c r="G309" s="271">
        <f t="shared" ref="G309" si="244">G308/F308-1</f>
        <v>2.7</v>
      </c>
      <c r="H309" s="271">
        <f t="shared" ref="H309" si="245">H308/G308-1</f>
        <v>0.8270270270270268</v>
      </c>
      <c r="I309" s="271">
        <f>I308/H308-1</f>
        <v>0.37218934911242618</v>
      </c>
      <c r="J309" s="271">
        <f>J308/I308-1</f>
        <v>0.22425614489003864</v>
      </c>
      <c r="K309" s="271">
        <f t="shared" ref="K309" si="246">K308/J308-1</f>
        <v>0.15891583452211133</v>
      </c>
      <c r="L309" s="271">
        <f t="shared" ref="L309" si="247">L308/K308-1</f>
        <v>0.10923190546528794</v>
      </c>
      <c r="M309" s="272">
        <v>0.06</v>
      </c>
      <c r="N309" s="272">
        <v>0.05</v>
      </c>
      <c r="O309" s="272">
        <v>0.05</v>
      </c>
      <c r="P309" s="272">
        <v>0.03</v>
      </c>
      <c r="Q309" s="272">
        <v>0.03</v>
      </c>
      <c r="S309" s="256" t="s">
        <v>738</v>
      </c>
      <c r="T309" s="256"/>
      <c r="U309" s="256"/>
      <c r="V309" s="256"/>
    </row>
    <row r="310" spans="1:22">
      <c r="A310" s="273" t="s">
        <v>730</v>
      </c>
      <c r="B310" s="269"/>
      <c r="C310" s="269"/>
      <c r="D310" s="269"/>
      <c r="E310" s="269"/>
      <c r="F310" s="269">
        <f t="shared" ref="F310:Q310" si="248">F308*F311</f>
        <v>-4</v>
      </c>
      <c r="G310" s="269">
        <f t="shared" si="248"/>
        <v>0</v>
      </c>
      <c r="H310" s="269">
        <f t="shared" si="248"/>
        <v>54.079999999999956</v>
      </c>
      <c r="I310" s="269">
        <f t="shared" si="248"/>
        <v>107.18933333333329</v>
      </c>
      <c r="J310" s="269">
        <f t="shared" si="248"/>
        <v>171.60479999999995</v>
      </c>
      <c r="K310" s="269">
        <f t="shared" si="248"/>
        <v>245.66975999999994</v>
      </c>
      <c r="L310" s="269">
        <f t="shared" si="248"/>
        <v>324.41039999999992</v>
      </c>
      <c r="M310" s="269">
        <f t="shared" si="248"/>
        <v>398.89502784000001</v>
      </c>
      <c r="N310" s="269">
        <f t="shared" si="248"/>
        <v>476.61078326400002</v>
      </c>
      <c r="O310" s="269">
        <f t="shared" si="248"/>
        <v>561.10087666080005</v>
      </c>
      <c r="P310" s="269">
        <f t="shared" si="248"/>
        <v>640.41324382123219</v>
      </c>
      <c r="Q310" s="269">
        <f t="shared" si="248"/>
        <v>723.97936222229544</v>
      </c>
      <c r="S310" s="282">
        <f>IF(S308&gt;$X$39,$Z$39,$Z$40)</f>
        <v>-0.05</v>
      </c>
      <c r="T310" s="282">
        <f>IF(S308&gt;$X$39,$AA$39,$AA$40)</f>
        <v>-0.03</v>
      </c>
      <c r="U310" s="282">
        <f>IF(S308&gt;$X$39,$AB$39,$AB$40)</f>
        <v>-0.03</v>
      </c>
      <c r="V310" s="256"/>
    </row>
    <row r="311" spans="1:22">
      <c r="A311" s="270" t="s">
        <v>580</v>
      </c>
      <c r="B311" s="286"/>
      <c r="C311" s="286"/>
      <c r="D311" s="286"/>
      <c r="E311" s="286"/>
      <c r="F311" s="286">
        <f>IF(F307-T308&gt;3,T313,IF(F307-T308=1,E311+S310,IF(F307-T308=2,E311+T310,IF(F307-T308=3,E311+U310,IF(F307-T308=0,T314,IF(T308-F307=U315+1,$AA$37,IF(T308-F307=U315+2,$Z$37,IF(F307&lt;T308,G311-(T314-$AB$37)/U315))))))))</f>
        <v>-0.05</v>
      </c>
      <c r="G311" s="286">
        <f>IF(G307-T308&gt;3,T313,IF(G307-T308=1,F311+S310,IF(G307-T308=2,F311+T310,IF(G307-T308=3,F311+U310,IF(G307-T308=0,T314,IF(T308-G307=U315+1,$AA$37,IF(T308-G307=U315+2,$Z$37,IF(G307&lt;T308,H311-(T314-$AB$37)/U315))))))))</f>
        <v>0</v>
      </c>
      <c r="H311" s="286">
        <f>IF(H307-T308&gt;3,T313,IF(H307-T308=1,G311+S310,IF(H307-T308=2,G311+T310,IF(H307-T308=3,G311+U310,IF(H307-T308=0,T314,IF(T308-H307=U315+1,$AA$37,IF(T308-H307=U315+2,$Z$37,IF(H307&lt;T308,I311-(T314-$AB$37)/U315))))))))</f>
        <v>9.9999999999999922E-2</v>
      </c>
      <c r="I311" s="286">
        <f>IF(I307-T308&gt;3,T313,IF(I307-T308=1,H311+S310,IF(I307-T308=2,H311+T310,IF(I307-T308=3,H311+U310,IF(I307-T308=0,T314,IF(T308-I307=U315+1,$AA$37,IF(T308-I307=U315+2,$Z$37,IF(I307&lt;T308,J311-(T314-$AB$37)/U315))))))))</f>
        <v>0.14444444444444438</v>
      </c>
      <c r="J311" s="286">
        <f>IF(J307-T308&gt;3,T313,IF(J307-T308=1,I311+S310,IF(J307-T308=2,I311+T310,IF(J307-T308=3,I311+U310,IF(J307-T308=0,T314,IF(T308-J307=U315+1,$AA$37,IF(T308-J307=U315+2,$Z$37,IF(J307&lt;T308,K311-(T314-$AB$37)/U315))))))))</f>
        <v>0.18888888888888883</v>
      </c>
      <c r="K311" s="286">
        <f>IF(K307-T308&gt;3,T313,IF(K307-T308=1,J311+S310,IF(K307-T308=2,J311+T310,IF(K307-T308=3,J311+U310,IF(K307-T308=0,T314,IF(T308-K307=U315+1,$AA$37,IF(T308-K307=U315+2,$Z$37,IF(K307&lt;T308,L311-(T314-$AB$37)/U315))))))))</f>
        <v>0.23333333333333328</v>
      </c>
      <c r="L311" s="286">
        <f>IF(L307-T308&gt;3,T313,IF(L307-T308=1,K311+S310,IF(L307-T308=2,K311+T310,IF(L307-T308=3,K311+U310,IF(L307-T308=0,T314,IF(T308-L307=U315+1,$AA$37,IF(T308-L307=U315+2,$Z$37,IF(L307&lt;T308,M311-(T314-$AB$37)/U315))))))))</f>
        <v>0.27777777777777773</v>
      </c>
      <c r="M311" s="286">
        <f>IF(M307-T308&gt;3,T313,IF(M307-T308=1,L311+S310,IF(M307-T308=2,L311+T310,IF(M307-T308=3,L311+U310,IF(M307-T308=0,T314,IF(T308-M307=U315+1,$AA$37,IF(T308-M307=U315+2,$Z$37,IF(M307&lt;T308,N311-(T314-$AB$37)/U315))))))))</f>
        <v>0.32222222222222219</v>
      </c>
      <c r="N311" s="286">
        <f>IF(N307-T308&gt;3,T313,IF(N307-T308=1,M311+S310,IF(N307-T308=2,M311+T310,IF(N307-T308=3,M311+U310,IF(N307-T308=0,T314,IF(T308-N307=U315+1,$AA$37,IF(T308-N307=U315+2,$Z$37,IF(N307&lt;T308,O311-(T314-$AB$37)/U315))))))))</f>
        <v>0.36666666666666664</v>
      </c>
      <c r="O311" s="286">
        <f>IF(O307-T308&gt;3,T313,IF(O307-T308=1,N311+S310,IF(O307-T308=2,N311+T310,IF(O307-T308=3,N311+U310,IF(O307-T308=0,T314,IF(T308-O307=U315+1,$AA$37,IF(T308-O307=U315+2,$Z$37,IF(O307&lt;T308,P311-(T314-$AB$37)/U315))))))))</f>
        <v>0.41111111111111109</v>
      </c>
      <c r="P311" s="286">
        <f>IF(P307-T308&gt;3,T313,IF(P307-T308=1,O311+S310,IF(P307-T308=2,O311+T310,IF(P307-T308=3,O311+U310,IF(P307-T308=0,T314,IF(T308-P307=U315+1,$AA$37,IF(T308-P307=U315+2,$Z$37,IF(P307&lt;T308,Q311-(T314-$AB$37)/U315))))))))</f>
        <v>0.45555555555555555</v>
      </c>
      <c r="Q311" s="286">
        <f>IF(Q307-T308&gt;3,T313,IF(Q307-T308=1,P311+S310,IF(Q307-T308=2,P311+T310,IF(Q307-T308=3,P311+U310,IF(Q307-T308=0,T314,IF(T308-Q307=U315+1,$AA$37,IF(T308-Q307=U315+2,$Z$37,IF(Q307&lt;T308,R311-(T314-$AB$37)/U315))))))))</f>
        <v>0.5</v>
      </c>
      <c r="S311" s="287" t="s">
        <v>739</v>
      </c>
      <c r="T311" s="213">
        <f t="array" ref="T311">INDEX(Sales!B182:Q182,MATCH(FALSE,ISBLANK(Sales!B182:Q182),0))</f>
        <v>80</v>
      </c>
      <c r="U311" s="256"/>
      <c r="V311" s="256"/>
    </row>
    <row r="312" spans="1:22">
      <c r="A312" s="270" t="s">
        <v>731</v>
      </c>
      <c r="B312" s="213"/>
      <c r="C312" s="213"/>
      <c r="D312" s="213"/>
      <c r="E312" s="213"/>
      <c r="F312" s="213">
        <f t="shared" ref="F312:Q312" si="249">F310*F313</f>
        <v>-0.64</v>
      </c>
      <c r="G312" s="213">
        <f t="shared" si="249"/>
        <v>0</v>
      </c>
      <c r="H312" s="213">
        <f t="shared" si="249"/>
        <v>8.6527999999999938</v>
      </c>
      <c r="I312" s="213">
        <f t="shared" si="249"/>
        <v>17.150293333333327</v>
      </c>
      <c r="J312" s="213">
        <f t="shared" si="249"/>
        <v>27.456767999999993</v>
      </c>
      <c r="K312" s="213">
        <f t="shared" si="249"/>
        <v>39.307161599999993</v>
      </c>
      <c r="L312" s="213">
        <f t="shared" si="249"/>
        <v>51.905663999999987</v>
      </c>
      <c r="M312" s="213">
        <f t="shared" si="249"/>
        <v>63.823204454400006</v>
      </c>
      <c r="N312" s="213">
        <f t="shared" si="249"/>
        <v>76.257725322240006</v>
      </c>
      <c r="O312" s="213">
        <f t="shared" si="249"/>
        <v>89.776140265728017</v>
      </c>
      <c r="P312" s="213">
        <f t="shared" si="249"/>
        <v>102.46611901139715</v>
      </c>
      <c r="Q312" s="213">
        <f t="shared" si="249"/>
        <v>115.83669795556727</v>
      </c>
      <c r="S312" s="287" t="s">
        <v>740</v>
      </c>
      <c r="T312" s="256">
        <f>IFERROR(INDEX(Sales!$B$1:$Q$1,MATCH(NPV!T311,Sales!B182:Q182,0)),INDEX(C307:Q307,MATCH(NPV!T311,C308:Q308,0)))</f>
        <v>2019</v>
      </c>
      <c r="U312" s="256"/>
      <c r="V312" s="256"/>
    </row>
    <row r="313" spans="1:22">
      <c r="A313" s="270" t="s">
        <v>635</v>
      </c>
      <c r="B313" s="196">
        <f>'P&amp;L'!G$120</f>
        <v>0.1455435708203236</v>
      </c>
      <c r="C313" s="196">
        <f>'P&amp;L'!H$120</f>
        <v>0.15028163725122043</v>
      </c>
      <c r="D313" s="196">
        <f>'P&amp;L'!I$120</f>
        <v>0.15290792800832961</v>
      </c>
      <c r="E313" s="196">
        <f>'P&amp;L'!J$120</f>
        <v>0.16</v>
      </c>
      <c r="F313" s="196">
        <f>'P&amp;L'!K$120</f>
        <v>0.16</v>
      </c>
      <c r="G313" s="196">
        <f>'P&amp;L'!L$120</f>
        <v>0.16</v>
      </c>
      <c r="H313" s="196">
        <f>'P&amp;L'!M$120</f>
        <v>0.16</v>
      </c>
      <c r="I313" s="196">
        <f>'P&amp;L'!N$120</f>
        <v>0.16</v>
      </c>
      <c r="J313" s="196">
        <f>'P&amp;L'!O$120</f>
        <v>0.16</v>
      </c>
      <c r="K313" s="196">
        <f>'P&amp;L'!P$120</f>
        <v>0.16</v>
      </c>
      <c r="L313" s="196">
        <f>'P&amp;L'!Q$120</f>
        <v>0.16</v>
      </c>
      <c r="M313" s="196">
        <f t="shared" ref="M313" si="250">L313</f>
        <v>0.16</v>
      </c>
      <c r="N313" s="196">
        <f t="shared" ref="N313" si="251">M313</f>
        <v>0.16</v>
      </c>
      <c r="O313" s="196">
        <f t="shared" ref="O313" si="252">N313</f>
        <v>0.16</v>
      </c>
      <c r="P313" s="196">
        <f t="shared" ref="P313" si="253">O313</f>
        <v>0.16</v>
      </c>
      <c r="Q313" s="196">
        <f t="shared" ref="Q313" si="254">P313</f>
        <v>0.16</v>
      </c>
      <c r="S313" s="287" t="s">
        <v>741</v>
      </c>
      <c r="T313" s="288" t="b">
        <f>IF(Q307-T308&gt;3,IF(AND(S308&lt;$X$42,S308&lt;$X$43,S308&lt;$X$44),$AA$45,IF(AND(S308&lt;$X$42,S308&lt;$X$43),$AA$44,IF(S308&lt;$X$42,$AA$43,$AA$42))))</f>
        <v>0</v>
      </c>
      <c r="U313" s="256"/>
      <c r="V313" s="256"/>
    </row>
    <row r="314" spans="1:22">
      <c r="A314" s="256" t="s">
        <v>732</v>
      </c>
      <c r="B314" s="213"/>
      <c r="C314" s="213"/>
      <c r="D314" s="213"/>
      <c r="E314" s="213"/>
      <c r="F314" s="213">
        <f t="shared" ref="F314:Q314" si="255">F310-F312</f>
        <v>-3.36</v>
      </c>
      <c r="G314" s="213">
        <f t="shared" si="255"/>
        <v>0</v>
      </c>
      <c r="H314" s="213">
        <f t="shared" si="255"/>
        <v>45.427199999999964</v>
      </c>
      <c r="I314" s="213">
        <f t="shared" si="255"/>
        <v>90.039039999999972</v>
      </c>
      <c r="J314" s="213">
        <f t="shared" si="255"/>
        <v>144.14803199999997</v>
      </c>
      <c r="K314" s="213">
        <f t="shared" si="255"/>
        <v>206.36259839999994</v>
      </c>
      <c r="L314" s="213">
        <f t="shared" si="255"/>
        <v>272.50473599999992</v>
      </c>
      <c r="M314" s="213">
        <f t="shared" si="255"/>
        <v>335.0718233856</v>
      </c>
      <c r="N314" s="213">
        <f t="shared" si="255"/>
        <v>400.35305794176003</v>
      </c>
      <c r="O314" s="213">
        <f t="shared" si="255"/>
        <v>471.32473639507202</v>
      </c>
      <c r="P314" s="213">
        <f t="shared" si="255"/>
        <v>537.94712480983503</v>
      </c>
      <c r="Q314" s="213">
        <f t="shared" si="255"/>
        <v>608.14266426672816</v>
      </c>
      <c r="S314" s="287" t="s">
        <v>742</v>
      </c>
      <c r="T314" s="288">
        <f>IF(S308&gt;$X$42,$Z$42,IF(S308&gt;$X$43,$Z$43,IF(S308&gt;$X$44,$Z$44,$Z$45)))</f>
        <v>0.5</v>
      </c>
      <c r="U314" s="256"/>
      <c r="V314" s="256"/>
    </row>
    <row r="315" spans="1:22">
      <c r="A315" s="270" t="s">
        <v>607</v>
      </c>
      <c r="B315" s="277"/>
      <c r="C315" s="277"/>
      <c r="D315" s="277"/>
      <c r="E315" s="277"/>
      <c r="F315" s="277">
        <f t="shared" ref="F315:Q315" si="256">F314</f>
        <v>-3.36</v>
      </c>
      <c r="G315" s="277">
        <f t="shared" si="256"/>
        <v>0</v>
      </c>
      <c r="H315" s="277">
        <f t="shared" si="256"/>
        <v>45.427199999999964</v>
      </c>
      <c r="I315" s="277">
        <f t="shared" si="256"/>
        <v>90.039039999999972</v>
      </c>
      <c r="J315" s="277">
        <f t="shared" si="256"/>
        <v>144.14803199999997</v>
      </c>
      <c r="K315" s="277">
        <f t="shared" si="256"/>
        <v>206.36259839999994</v>
      </c>
      <c r="L315" s="277">
        <f t="shared" si="256"/>
        <v>272.50473599999992</v>
      </c>
      <c r="M315" s="277">
        <f t="shared" si="256"/>
        <v>335.0718233856</v>
      </c>
      <c r="N315" s="277">
        <f t="shared" si="256"/>
        <v>400.35305794176003</v>
      </c>
      <c r="O315" s="277">
        <f t="shared" si="256"/>
        <v>471.32473639507202</v>
      </c>
      <c r="P315" s="277">
        <f t="shared" si="256"/>
        <v>537.94712480983503</v>
      </c>
      <c r="Q315" s="277">
        <f t="shared" si="256"/>
        <v>608.14266426672816</v>
      </c>
      <c r="S315" s="287" t="s">
        <v>743</v>
      </c>
      <c r="T315" s="256">
        <f>T308-T312</f>
        <v>11</v>
      </c>
      <c r="U315" s="256">
        <f>T315-2</f>
        <v>9</v>
      </c>
      <c r="V315" s="256"/>
    </row>
    <row r="316" spans="1:22">
      <c r="A316" s="279" t="s">
        <v>733</v>
      </c>
      <c r="B316" s="280"/>
      <c r="C316" s="280"/>
      <c r="D316" s="280"/>
      <c r="E316" s="280"/>
      <c r="F316" s="280">
        <f t="shared" ref="F316:Q316" ca="1" si="257">F315*F$45</f>
        <v>-2.9825210938867457</v>
      </c>
      <c r="G316" s="280">
        <f t="shared" ca="1" si="257"/>
        <v>0</v>
      </c>
      <c r="H316" s="280">
        <f t="shared" ca="1" si="257"/>
        <v>35.052590464226867</v>
      </c>
      <c r="I316" s="280">
        <f t="shared" ca="1" si="257"/>
        <v>64.776123959368789</v>
      </c>
      <c r="J316" s="280">
        <f t="shared" ca="1" si="257"/>
        <v>96.688043129278114</v>
      </c>
      <c r="K316" s="280">
        <f t="shared" ca="1" si="257"/>
        <v>129.05504672917615</v>
      </c>
      <c r="L316" s="280">
        <f t="shared" ca="1" si="257"/>
        <v>158.890528994498</v>
      </c>
      <c r="M316" s="280">
        <f t="shared" ca="1" si="257"/>
        <v>182.15530212570292</v>
      </c>
      <c r="N316" s="280">
        <f t="shared" ca="1" si="257"/>
        <v>202.9210074393352</v>
      </c>
      <c r="O316" s="280">
        <f t="shared" ca="1" si="257"/>
        <v>222.73273231945598</v>
      </c>
      <c r="P316" s="280">
        <f t="shared" ca="1" si="257"/>
        <v>237.01910491591494</v>
      </c>
      <c r="Q316" s="280">
        <f t="shared" ca="1" si="257"/>
        <v>249.82114074692811</v>
      </c>
      <c r="S316" s="289" t="s">
        <v>744</v>
      </c>
      <c r="T316" s="288">
        <f>VLOOKUP(S316,$Y$32:$AB$34,2,0)</f>
        <v>-0.7</v>
      </c>
      <c r="U316" s="288">
        <f>VLOOKUP(S316,$Y$32:$AB$34,3,0)</f>
        <v>-0.35</v>
      </c>
      <c r="V316" s="288">
        <f>VLOOKUP(S316,$Y$32:$AB$34,4,0)</f>
        <v>-0.1</v>
      </c>
    </row>
    <row r="317" spans="1:22">
      <c r="A317" s="270" t="s">
        <v>734</v>
      </c>
      <c r="B317" s="213">
        <f ca="1">SUM(B316:Q316)</f>
        <v>1576.1290997299984</v>
      </c>
      <c r="C317" s="277"/>
      <c r="D317" s="277"/>
      <c r="E317" s="277"/>
      <c r="F317" s="277"/>
      <c r="G317" s="277"/>
      <c r="H317" s="277"/>
      <c r="I317" s="277"/>
      <c r="J317" s="277"/>
      <c r="K317" s="277"/>
      <c r="L317" s="277"/>
      <c r="M317" s="277"/>
      <c r="N317" s="256"/>
      <c r="O317" s="256"/>
      <c r="P317" s="256"/>
      <c r="Q317" s="256"/>
    </row>
    <row r="318" spans="1:22">
      <c r="A318" s="281" t="s">
        <v>735</v>
      </c>
      <c r="B318" s="213">
        <f ca="1">(Q315*(1+C318))/(DCF!$H$31-NPV!C318)*NPV!$Q$45</f>
        <v>3443.1409066728984</v>
      </c>
      <c r="C318" s="286">
        <v>0</v>
      </c>
      <c r="D318" s="277"/>
      <c r="E318" s="277"/>
      <c r="F318" s="277"/>
      <c r="G318" s="277"/>
      <c r="H318" s="277"/>
      <c r="I318" s="277"/>
      <c r="J318" s="277"/>
      <c r="K318" s="277"/>
      <c r="L318" s="277"/>
      <c r="M318" s="277"/>
      <c r="N318" s="256"/>
      <c r="O318" s="256"/>
      <c r="P318" s="256"/>
      <c r="Q318" s="256"/>
    </row>
    <row r="319" spans="1:22">
      <c r="A319" s="281" t="s">
        <v>736</v>
      </c>
      <c r="B319" s="213">
        <f ca="1">SUM(B317:B318)/DCF!$C$30</f>
        <v>2.1395012815016612</v>
      </c>
      <c r="C319" s="283"/>
      <c r="D319" s="283"/>
      <c r="E319" s="283"/>
      <c r="F319" s="283"/>
      <c r="G319" s="283"/>
      <c r="H319" s="283"/>
      <c r="I319" s="283"/>
      <c r="J319" s="283"/>
      <c r="K319" s="283"/>
      <c r="L319" s="283"/>
      <c r="M319" s="256"/>
      <c r="N319" s="256"/>
      <c r="O319" s="256"/>
      <c r="P319" s="256"/>
      <c r="Q319" s="256"/>
    </row>
    <row r="320" spans="1:22">
      <c r="A320" s="284" t="s">
        <v>737</v>
      </c>
      <c r="B320" s="285">
        <f ca="1">B319/DCF!$H$24</f>
        <v>2.0771857101957876</v>
      </c>
    </row>
    <row r="322" spans="1:22" hidden="1" outlineLevel="1">
      <c r="A322" s="265" t="s">
        <v>747</v>
      </c>
      <c r="B322" s="266">
        <v>2015</v>
      </c>
      <c r="C322" s="266">
        <v>2016</v>
      </c>
      <c r="D322" s="266">
        <v>2017</v>
      </c>
      <c r="E322" s="266">
        <v>2018</v>
      </c>
      <c r="F322" s="266">
        <v>2019</v>
      </c>
      <c r="G322" s="266">
        <v>2020</v>
      </c>
      <c r="H322" s="266">
        <v>2021</v>
      </c>
      <c r="I322" s="266">
        <v>2022</v>
      </c>
      <c r="J322" s="266">
        <v>2023</v>
      </c>
      <c r="K322" s="266">
        <v>2024</v>
      </c>
      <c r="L322" s="266">
        <v>2025</v>
      </c>
      <c r="M322" s="266">
        <v>2026</v>
      </c>
      <c r="N322" s="266">
        <v>2027</v>
      </c>
      <c r="O322" s="266">
        <v>2028</v>
      </c>
      <c r="P322" s="266">
        <v>2029</v>
      </c>
      <c r="Q322" s="267">
        <v>2030</v>
      </c>
      <c r="S322" s="256" t="s">
        <v>709</v>
      </c>
      <c r="T322" s="256" t="s">
        <v>710</v>
      </c>
      <c r="U322" s="256"/>
      <c r="V322" s="256"/>
    </row>
    <row r="323" spans="1:22" hidden="1" outlineLevel="1">
      <c r="A323" s="268" t="s">
        <v>729</v>
      </c>
      <c r="B323" s="269">
        <f>Sales!G364</f>
        <v>728</v>
      </c>
      <c r="C323" s="269">
        <f>Sales!H364</f>
        <v>444</v>
      </c>
      <c r="D323" s="269">
        <f>Sales!I364</f>
        <v>381</v>
      </c>
      <c r="E323" s="269">
        <f>Sales!J364</f>
        <v>0</v>
      </c>
      <c r="F323" s="269">
        <f>Sales!K364</f>
        <v>0</v>
      </c>
      <c r="G323" s="269">
        <f>Sales!L364</f>
        <v>0</v>
      </c>
      <c r="H323" s="269">
        <f>Sales!M364</f>
        <v>0</v>
      </c>
      <c r="I323" s="269">
        <f>Sales!N364</f>
        <v>0</v>
      </c>
      <c r="J323" s="269">
        <f>Sales!O364</f>
        <v>0</v>
      </c>
      <c r="K323" s="269">
        <f>Sales!P364</f>
        <v>0</v>
      </c>
      <c r="L323" s="269">
        <f>Sales!Q364</f>
        <v>0</v>
      </c>
      <c r="M323" s="269">
        <f>L323*(1+M324)</f>
        <v>0</v>
      </c>
      <c r="N323" s="269">
        <f>M323*(1+N324)</f>
        <v>0</v>
      </c>
      <c r="O323" s="269">
        <f>N323*(1+O324)</f>
        <v>0</v>
      </c>
      <c r="P323" s="269">
        <f>O323*(1+P324)</f>
        <v>0</v>
      </c>
      <c r="Q323" s="269">
        <f>P323*(1+Q324)</f>
        <v>0</v>
      </c>
      <c r="S323" s="213">
        <f>MAX(MAX(Sales!C364:W364),MAX(K323:Q323))</f>
        <v>1067</v>
      </c>
      <c r="T323" s="256">
        <f>IFERROR(INDEX(Sales!$B$1:$Q$1,MATCH(NPV!S323,Sales!B364:Q364,0)),INDEX(C322:Q322,MATCH(NPV!S323,C323:Q323,0)))</f>
        <v>2011</v>
      </c>
      <c r="U323" s="256"/>
      <c r="V323" s="256"/>
    </row>
    <row r="324" spans="1:22" hidden="1" outlineLevel="1">
      <c r="A324" s="270" t="s">
        <v>579</v>
      </c>
      <c r="B324" s="271"/>
      <c r="C324" s="271">
        <f t="shared" ref="C324:H324" si="258">C323/B323-1</f>
        <v>-0.39010989010989006</v>
      </c>
      <c r="D324" s="271">
        <f t="shared" si="258"/>
        <v>-0.14189189189189189</v>
      </c>
      <c r="E324" s="271">
        <f t="shared" si="258"/>
        <v>-1</v>
      </c>
      <c r="F324" s="271" t="e">
        <f t="shared" si="258"/>
        <v>#DIV/0!</v>
      </c>
      <c r="G324" s="271" t="e">
        <f t="shared" si="258"/>
        <v>#DIV/0!</v>
      </c>
      <c r="H324" s="271" t="e">
        <f t="shared" si="258"/>
        <v>#DIV/0!</v>
      </c>
      <c r="I324" s="271" t="e">
        <f>I323/H323-1</f>
        <v>#DIV/0!</v>
      </c>
      <c r="J324" s="271" t="e">
        <f>J323/I323-1</f>
        <v>#DIV/0!</v>
      </c>
      <c r="K324" s="271" t="e">
        <f t="shared" ref="K324:L324" si="259">K323/J323-1</f>
        <v>#DIV/0!</v>
      </c>
      <c r="L324" s="271" t="e">
        <f t="shared" si="259"/>
        <v>#DIV/0!</v>
      </c>
      <c r="M324" s="272">
        <v>-0.05</v>
      </c>
      <c r="N324" s="272">
        <v>-0.05</v>
      </c>
      <c r="O324" s="272">
        <v>-0.05</v>
      </c>
      <c r="P324" s="272">
        <v>-0.05</v>
      </c>
      <c r="Q324" s="272">
        <v>-0.05</v>
      </c>
      <c r="S324" s="256" t="s">
        <v>738</v>
      </c>
      <c r="T324" s="256"/>
      <c r="U324" s="256"/>
      <c r="V324" s="256"/>
    </row>
    <row r="325" spans="1:22" hidden="1" outlineLevel="1">
      <c r="A325" s="273" t="s">
        <v>730</v>
      </c>
      <c r="B325" s="274">
        <f t="shared" ref="B325:Q325" si="260">B323*B326</f>
        <v>283.92</v>
      </c>
      <c r="C325" s="274">
        <f t="shared" si="260"/>
        <v>173.16</v>
      </c>
      <c r="D325" s="274">
        <f t="shared" si="260"/>
        <v>148.59</v>
      </c>
      <c r="E325" s="274">
        <f t="shared" si="260"/>
        <v>0</v>
      </c>
      <c r="F325" s="274">
        <f t="shared" si="260"/>
        <v>0</v>
      </c>
      <c r="G325" s="274">
        <f t="shared" si="260"/>
        <v>0</v>
      </c>
      <c r="H325" s="274">
        <f t="shared" si="260"/>
        <v>0</v>
      </c>
      <c r="I325" s="274">
        <f t="shared" si="260"/>
        <v>0</v>
      </c>
      <c r="J325" s="274">
        <f t="shared" si="260"/>
        <v>0</v>
      </c>
      <c r="K325" s="274">
        <f t="shared" si="260"/>
        <v>0</v>
      </c>
      <c r="L325" s="274">
        <f t="shared" si="260"/>
        <v>0</v>
      </c>
      <c r="M325" s="274">
        <f t="shared" si="260"/>
        <v>0</v>
      </c>
      <c r="N325" s="274">
        <f t="shared" si="260"/>
        <v>0</v>
      </c>
      <c r="O325" s="274">
        <f t="shared" si="260"/>
        <v>0</v>
      </c>
      <c r="P325" s="274">
        <f t="shared" si="260"/>
        <v>0</v>
      </c>
      <c r="Q325" s="274">
        <f t="shared" si="260"/>
        <v>0</v>
      </c>
      <c r="S325" s="282">
        <f>IF(S323&gt;$X$39,$Z$39,$Z$40)</f>
        <v>-0.05</v>
      </c>
      <c r="T325" s="282">
        <f>IF(S323&gt;$X$39,$AA$39,$AA$40)</f>
        <v>-0.03</v>
      </c>
      <c r="U325" s="282">
        <f>IF(S323&gt;$X$39,$AB$39,$AB$40)</f>
        <v>-0.03</v>
      </c>
      <c r="V325" s="256"/>
    </row>
    <row r="326" spans="1:22" hidden="1" outlineLevel="1">
      <c r="A326" s="270" t="s">
        <v>580</v>
      </c>
      <c r="B326" s="286">
        <f>IF(B322-T323&gt;3,T328,IF(B322-T323=1,45%+S325,IF(B322-T323=2,A326+T325,IF(B322-T323=3,A326+U325,IF(B322-T323=0,T329,IF(T323-B322=U330+1,$AA$37,IF(T323-B322=U330+2,$Z$37,IF(B322&lt;T323,C326-(T329-$AB$37)/U330))))))))</f>
        <v>0.39</v>
      </c>
      <c r="C326" s="286">
        <f>IF(C322-T323&gt;3,T328,IF(C322-T323=1,B326+S325,IF(C322-T323=2,B326+T325,IF(C322-T323=3,B326+U325,IF(C322-T323=0,T329,IF(T323-C322=U330+1,$AA$37,IF(T323-C322=U330+2,$Z$37,IF(C322&lt;T323,D326-(T329-$AB$37)/U330))))))))</f>
        <v>0.39</v>
      </c>
      <c r="D326" s="286">
        <f>IF(D322-T323&gt;3,T328,IF(D322-T323=1,C326+S325,IF(D322-T323=2,C326+T325,IF(D322-T323=3,C326+U325,IF(D322-T323=0,T329,IF(T323-D322=U330+1,$AA$37,IF(T323-D322=U330+2,$Z$37,IF(D322&lt;T323,E326-(T329-$AB$37)/U330))))))))</f>
        <v>0.39</v>
      </c>
      <c r="E326" s="286">
        <f>IF(E322-T323&gt;3,T328,IF(E322-T323=1,D326+S325,IF(E322-T323=2,D326+T325,IF(E322-T323=3,D326+U325,IF(E322-T323=0,T329,IF(T323-E322=U330+1,$AA$37,IF(T323-E322=U330+2,$Z$37,IF(E322&lt;T323,F326-(T329-$AB$37)/U330))))))))</f>
        <v>0.39</v>
      </c>
      <c r="F326" s="286">
        <f>IF(F322-T323&gt;3,T328,IF(F322-T323=1,E326+S325,IF(F322-T323=2,E326+T325,IF(F322-T323=3,E326+U325,IF(F322-T323=0,T329,IF(T323-F322=U330+1,$AA$37,IF(T323-F322=U330+2,$Z$37,IF(F322&lt;T323,G326-(T329-$AB$37)/U330))))))))</f>
        <v>0.39</v>
      </c>
      <c r="G326" s="286">
        <f>IF(G322-T323&gt;3,T328,IF(G322-T323=1,F326+S325,IF(G322-T323=2,F326+T325,IF(G322-T323=3,F326+U325,IF(G322-T323=0,T329,IF(T323-G322=U330+1,$AA$37,IF(T323-G322=U330+2,$Z$37,IF(G322&lt;T323,H326-(T329-$AB$37)/U330))))))))</f>
        <v>0.39</v>
      </c>
      <c r="H326" s="286">
        <f>IF(H322-T323&gt;3,T328,IF(H322-T323=1,G326+S325,IF(H322-T323=2,G326+T325,IF(H322-T323=3,G326+U325,IF(H322-T323=0,T329,IF(T323-H322=U330+1,$AA$37,IF(T323-H322=U330+2,$Z$37,IF(H322&lt;T323,I326-(T329-$AB$37)/U330))))))))</f>
        <v>0.39</v>
      </c>
      <c r="I326" s="286">
        <f>IF(I322-T323&gt;3,T328,IF(I322-T323=1,H326+S325,IF(I322-T323=2,H326+T325,IF(I322-T323=3,H326+U325,IF(I322-T323=0,T329,IF(T323-I322=U330+1,$AA$37,IF(T323-I322=U330+2,$Z$37,IF(I322&lt;T323,J326-(T329-$AB$37)/U330))))))))</f>
        <v>0.39</v>
      </c>
      <c r="J326" s="286">
        <f>IF(J322-T323&gt;3,T328,IF(J322-T323=1,I326+S325,IF(J322-T323=2,I326+T325,IF(J322-T323=3,I326+U325,IF(J322-T323=0,T329,IF(T323-J322=U330+1,$AA$37,IF(T323-J322=U330+2,$Z$37,IF(J322&lt;T323,K326-(T329-$AB$37)/U330))))))))</f>
        <v>0.39</v>
      </c>
      <c r="K326" s="286">
        <f>IF(K322-T323&gt;3,T328,IF(K322-T323=1,J326+S325,IF(K322-T323=2,J326+T325,IF(K322-T323=3,J326+U325,IF(K322-T323=0,T329,IF(T323-K322=U330+1,$AA$37,IF(T323-K322=U330+2,$Z$37,IF(K322&lt;T323,L326-(T329-$AB$37)/U330))))))))</f>
        <v>0.39</v>
      </c>
      <c r="L326" s="286">
        <f>IF(L322-T323&gt;3,T328,IF(L322-T323=1,K326+S325,IF(L322-T323=2,K326+T325,IF(L322-T323=3,K326+U325,IF(L322-T323=0,T329,IF(T323-L322=U330+1,$AA$37,IF(T323-L322=U330+2,$Z$37,IF(L322&lt;T323,M326-(T329-$AB$37)/U330))))))))</f>
        <v>0.39</v>
      </c>
      <c r="M326" s="286">
        <f>IF(M322-T323&gt;3,T328,IF(M322-T323=1,L326+S325,IF(M322-T323=2,L326+T325,IF(M322-T323=3,L326+U325,IF(M322-T323=0,T329,IF(T323-M322=U330+1,$AA$37,IF(T323-M322=U330+2,$Z$37,IF(M322&lt;T323,N326-(T329-$AB$37)/U330))))))))</f>
        <v>0.39</v>
      </c>
      <c r="N326" s="286">
        <f>IF(N322-T323&gt;3,T328,IF(N322-T323=1,M326+S325,IF(N322-T323=2,M326+T325,IF(N322-T323=3,M326+U325,IF(N322-T323=0,T329,IF(T323-N322=U330+1,$AA$37,IF(T323-N322=U330+2,$Z$37,IF(N322&lt;T323,O326-(T329-$AB$37)/U330))))))))</f>
        <v>0.39</v>
      </c>
      <c r="O326" s="286">
        <f>IF(O322-T323&gt;3,T328,IF(O322-T323=1,N326+S325,IF(O322-T323=2,N326+T325,IF(O322-T323=3,N326+U325,IF(O322-T323=0,T329,IF(T323-O322=U330+1,$AA$37,IF(T323-O322=U330+2,$Z$37,IF(O322&lt;T323,P326-(T329-$AB$37)/U330))))))))</f>
        <v>0.39</v>
      </c>
      <c r="P326" s="286">
        <f>IF(P322-T323&gt;3,T328,IF(P322-T323=1,O326+S325,IF(P322-T323=2,O326+T325,IF(P322-T323=3,O326+U325,IF(P322-T323=0,T329,IF(T323-P322=U330+1,$AA$37,IF(T323-P322=U330+2,$Z$37,IF(P322&lt;T323,Q326-(T329-$AB$37)/U330))))))))</f>
        <v>0.39</v>
      </c>
      <c r="Q326" s="286">
        <f>IF(Q322-T323&gt;3,T328,IF(Q322-T323=1,P326+S325,IF(Q322-T323=2,P326+T325,IF(Q322-T323=3,P326+U325,IF(Q322-T323=0,T329,IF(T323-Q322=U330+1,$AA$37,IF(T323-Q322=U330+2,$Z$37,IF(Q322&lt;T323,R326-(T329-$AB$37)/U330))))))))</f>
        <v>0.39</v>
      </c>
      <c r="S326" s="287" t="s">
        <v>739</v>
      </c>
      <c r="T326" s="213">
        <f t="array" ref="T326">INDEX(Sales!B364:Q364,MATCH(FALSE,ISBLANK(Sales!B364:Q364),0))</f>
        <v>1003</v>
      </c>
      <c r="U326" s="256"/>
      <c r="V326" s="256"/>
    </row>
    <row r="327" spans="1:22" hidden="1" outlineLevel="1">
      <c r="A327" s="270" t="s">
        <v>731</v>
      </c>
      <c r="B327" s="213">
        <f>B325*B328</f>
        <v>41.322730627306278</v>
      </c>
      <c r="C327" s="213">
        <f t="shared" ref="C327:Q327" si="261">C325*C328</f>
        <v>26.02276830642133</v>
      </c>
      <c r="D327" s="213">
        <f t="shared" si="261"/>
        <v>22.720589022757697</v>
      </c>
      <c r="E327" s="213">
        <f t="shared" si="261"/>
        <v>0</v>
      </c>
      <c r="F327" s="213">
        <f t="shared" si="261"/>
        <v>0</v>
      </c>
      <c r="G327" s="213">
        <f t="shared" si="261"/>
        <v>0</v>
      </c>
      <c r="H327" s="213">
        <f t="shared" si="261"/>
        <v>0</v>
      </c>
      <c r="I327" s="213">
        <f t="shared" si="261"/>
        <v>0</v>
      </c>
      <c r="J327" s="213">
        <f t="shared" si="261"/>
        <v>0</v>
      </c>
      <c r="K327" s="213">
        <f t="shared" si="261"/>
        <v>0</v>
      </c>
      <c r="L327" s="213">
        <f t="shared" si="261"/>
        <v>0</v>
      </c>
      <c r="M327" s="213">
        <f t="shared" si="261"/>
        <v>0</v>
      </c>
      <c r="N327" s="213">
        <f t="shared" si="261"/>
        <v>0</v>
      </c>
      <c r="O327" s="213">
        <f t="shared" si="261"/>
        <v>0</v>
      </c>
      <c r="P327" s="213">
        <f t="shared" si="261"/>
        <v>0</v>
      </c>
      <c r="Q327" s="213">
        <f t="shared" si="261"/>
        <v>0</v>
      </c>
      <c r="S327" s="287" t="s">
        <v>740</v>
      </c>
      <c r="T327" s="256">
        <f>IFERROR(INDEX(Sales!$B$1:$Q$1,MATCH(NPV!T326,Sales!B364:Q364,0)),INDEX(C322:Q322,MATCH(NPV!T326,C323:Q323,0)))</f>
        <v>2010</v>
      </c>
      <c r="U327" s="256"/>
      <c r="V327" s="256"/>
    </row>
    <row r="328" spans="1:22" hidden="1" outlineLevel="1">
      <c r="A328" s="270" t="s">
        <v>635</v>
      </c>
      <c r="B328" s="196">
        <f>'P&amp;L'!G$120</f>
        <v>0.1455435708203236</v>
      </c>
      <c r="C328" s="196">
        <f>'P&amp;L'!H$120</f>
        <v>0.15028163725122043</v>
      </c>
      <c r="D328" s="196">
        <f>'P&amp;L'!I$120</f>
        <v>0.15290792800832961</v>
      </c>
      <c r="E328" s="196">
        <f>'P&amp;L'!J$120</f>
        <v>0.16</v>
      </c>
      <c r="F328" s="196">
        <f>'P&amp;L'!K$120</f>
        <v>0.16</v>
      </c>
      <c r="G328" s="196">
        <f>'P&amp;L'!L$120</f>
        <v>0.16</v>
      </c>
      <c r="H328" s="196">
        <f>'P&amp;L'!M$120</f>
        <v>0.16</v>
      </c>
      <c r="I328" s="196">
        <f>'P&amp;L'!N$120</f>
        <v>0.16</v>
      </c>
      <c r="J328" s="196">
        <f>'P&amp;L'!O$120</f>
        <v>0.16</v>
      </c>
      <c r="K328" s="196">
        <f>'P&amp;L'!P$120</f>
        <v>0.16</v>
      </c>
      <c r="L328" s="196">
        <f>'P&amp;L'!Q$120</f>
        <v>0.16</v>
      </c>
      <c r="M328" s="196">
        <f t="shared" ref="M328" si="262">L328</f>
        <v>0.16</v>
      </c>
      <c r="N328" s="196">
        <f t="shared" ref="N328" si="263">M328</f>
        <v>0.16</v>
      </c>
      <c r="O328" s="196">
        <f t="shared" ref="O328" si="264">N328</f>
        <v>0.16</v>
      </c>
      <c r="P328" s="196">
        <f t="shared" ref="P328" si="265">O328</f>
        <v>0.16</v>
      </c>
      <c r="Q328" s="196">
        <f t="shared" ref="Q328" si="266">P328</f>
        <v>0.16</v>
      </c>
      <c r="S328" s="287" t="s">
        <v>741</v>
      </c>
      <c r="T328" s="288">
        <f>IF(Q322-T323&gt;3,IF(AND(S323&lt;$X$42,S323&lt;$X$43,S323&lt;$X$44),$AA$45,IF(AND(S323&lt;$X$42,S323&lt;$X$43),$AA$44,IF(S323&lt;$X$42,$AA$43,$AA$42))))</f>
        <v>0.39</v>
      </c>
      <c r="U328" s="256"/>
      <c r="V328" s="256"/>
    </row>
    <row r="329" spans="1:22" hidden="1" outlineLevel="1">
      <c r="A329" s="256" t="s">
        <v>732</v>
      </c>
      <c r="B329" s="213">
        <f>B325-B327</f>
        <v>242.59726937269375</v>
      </c>
      <c r="C329" s="213">
        <f t="shared" ref="C329:Q329" si="267">C325-C327</f>
        <v>147.13723169357866</v>
      </c>
      <c r="D329" s="213">
        <f t="shared" si="267"/>
        <v>125.86941097724231</v>
      </c>
      <c r="E329" s="213">
        <f t="shared" si="267"/>
        <v>0</v>
      </c>
      <c r="F329" s="213">
        <f t="shared" si="267"/>
        <v>0</v>
      </c>
      <c r="G329" s="213">
        <f t="shared" si="267"/>
        <v>0</v>
      </c>
      <c r="H329" s="213">
        <f t="shared" si="267"/>
        <v>0</v>
      </c>
      <c r="I329" s="213">
        <f t="shared" si="267"/>
        <v>0</v>
      </c>
      <c r="J329" s="213">
        <f t="shared" si="267"/>
        <v>0</v>
      </c>
      <c r="K329" s="213">
        <f t="shared" si="267"/>
        <v>0</v>
      </c>
      <c r="L329" s="213">
        <f t="shared" si="267"/>
        <v>0</v>
      </c>
      <c r="M329" s="213">
        <f t="shared" si="267"/>
        <v>0</v>
      </c>
      <c r="N329" s="213">
        <f t="shared" si="267"/>
        <v>0</v>
      </c>
      <c r="O329" s="213">
        <f t="shared" si="267"/>
        <v>0</v>
      </c>
      <c r="P329" s="213">
        <f t="shared" si="267"/>
        <v>0</v>
      </c>
      <c r="Q329" s="213">
        <f t="shared" si="267"/>
        <v>0</v>
      </c>
      <c r="S329" s="287" t="s">
        <v>742</v>
      </c>
      <c r="T329" s="288">
        <f>IF(S323&gt;$X$42,$Z$42,IF(S323&gt;$X$43,$Z$43,IF(S323&gt;$X$44,$Z$44,$Z$45)))</f>
        <v>0.5</v>
      </c>
      <c r="U329" s="256"/>
      <c r="V329" s="256"/>
    </row>
    <row r="330" spans="1:22" hidden="1" outlineLevel="1">
      <c r="A330" s="270" t="s">
        <v>607</v>
      </c>
      <c r="B330" s="277">
        <f>B329</f>
        <v>242.59726937269375</v>
      </c>
      <c r="C330" s="277">
        <f t="shared" ref="C330:Q330" si="268">C329</f>
        <v>147.13723169357866</v>
      </c>
      <c r="D330" s="277">
        <f t="shared" si="268"/>
        <v>125.86941097724231</v>
      </c>
      <c r="E330" s="277">
        <f t="shared" si="268"/>
        <v>0</v>
      </c>
      <c r="F330" s="277">
        <f t="shared" si="268"/>
        <v>0</v>
      </c>
      <c r="G330" s="277">
        <f t="shared" si="268"/>
        <v>0</v>
      </c>
      <c r="H330" s="277">
        <f t="shared" si="268"/>
        <v>0</v>
      </c>
      <c r="I330" s="277">
        <f t="shared" si="268"/>
        <v>0</v>
      </c>
      <c r="J330" s="277">
        <f t="shared" si="268"/>
        <v>0</v>
      </c>
      <c r="K330" s="277">
        <f t="shared" si="268"/>
        <v>0</v>
      </c>
      <c r="L330" s="277">
        <f t="shared" si="268"/>
        <v>0</v>
      </c>
      <c r="M330" s="277">
        <f t="shared" si="268"/>
        <v>0</v>
      </c>
      <c r="N330" s="277">
        <f t="shared" si="268"/>
        <v>0</v>
      </c>
      <c r="O330" s="277">
        <f t="shared" si="268"/>
        <v>0</v>
      </c>
      <c r="P330" s="277">
        <f t="shared" si="268"/>
        <v>0</v>
      </c>
      <c r="Q330" s="277">
        <f t="shared" si="268"/>
        <v>0</v>
      </c>
      <c r="S330" s="287" t="s">
        <v>743</v>
      </c>
      <c r="T330" s="256">
        <f>T323-T327</f>
        <v>1</v>
      </c>
      <c r="U330" s="256">
        <f>T330-2</f>
        <v>-1</v>
      </c>
      <c r="V330" s="256"/>
    </row>
    <row r="331" spans="1:22" hidden="1" outlineLevel="1">
      <c r="A331" s="279" t="s">
        <v>733</v>
      </c>
      <c r="B331" s="280">
        <f t="shared" ref="B331:Q331" si="269">B330*B$45</f>
        <v>0</v>
      </c>
      <c r="C331" s="280">
        <f t="shared" si="269"/>
        <v>0</v>
      </c>
      <c r="D331" s="280">
        <f t="shared" si="269"/>
        <v>0</v>
      </c>
      <c r="E331" s="280">
        <f t="shared" ca="1" si="269"/>
        <v>0</v>
      </c>
      <c r="F331" s="280">
        <f t="shared" ca="1" si="269"/>
        <v>0</v>
      </c>
      <c r="G331" s="280">
        <f t="shared" ca="1" si="269"/>
        <v>0</v>
      </c>
      <c r="H331" s="280">
        <f t="shared" ca="1" si="269"/>
        <v>0</v>
      </c>
      <c r="I331" s="280">
        <f t="shared" ca="1" si="269"/>
        <v>0</v>
      </c>
      <c r="J331" s="280">
        <f t="shared" ca="1" si="269"/>
        <v>0</v>
      </c>
      <c r="K331" s="280">
        <f t="shared" ca="1" si="269"/>
        <v>0</v>
      </c>
      <c r="L331" s="280">
        <f t="shared" ca="1" si="269"/>
        <v>0</v>
      </c>
      <c r="M331" s="280">
        <f t="shared" ca="1" si="269"/>
        <v>0</v>
      </c>
      <c r="N331" s="280">
        <f t="shared" ca="1" si="269"/>
        <v>0</v>
      </c>
      <c r="O331" s="280">
        <f t="shared" ca="1" si="269"/>
        <v>0</v>
      </c>
      <c r="P331" s="280">
        <f t="shared" ca="1" si="269"/>
        <v>0</v>
      </c>
      <c r="Q331" s="280">
        <f t="shared" ca="1" si="269"/>
        <v>0</v>
      </c>
      <c r="S331" s="289" t="s">
        <v>744</v>
      </c>
      <c r="T331" s="288">
        <f>VLOOKUP(S331,$Y$32:$AB$34,2,0)</f>
        <v>-0.7</v>
      </c>
      <c r="U331" s="288">
        <f>VLOOKUP(S331,$Y$32:$AB$34,3,0)</f>
        <v>-0.35</v>
      </c>
      <c r="V331" s="288">
        <f>VLOOKUP(S331,$Y$32:$AB$34,4,0)</f>
        <v>-0.1</v>
      </c>
    </row>
    <row r="332" spans="1:22" hidden="1" outlineLevel="1">
      <c r="A332" s="270" t="s">
        <v>734</v>
      </c>
      <c r="B332" s="213">
        <f ca="1">SUM(B331:Q331)</f>
        <v>0</v>
      </c>
      <c r="C332" s="277"/>
      <c r="D332" s="277"/>
      <c r="E332" s="277"/>
      <c r="F332" s="277"/>
      <c r="G332" s="277"/>
      <c r="H332" s="277"/>
      <c r="I332" s="277"/>
      <c r="J332" s="277"/>
      <c r="K332" s="277"/>
      <c r="L332" s="277"/>
      <c r="M332" s="277"/>
      <c r="N332" s="256"/>
      <c r="O332" s="256"/>
      <c r="P332" s="256"/>
      <c r="Q332" s="256"/>
    </row>
    <row r="333" spans="1:22" hidden="1" outlineLevel="1">
      <c r="A333" s="281" t="s">
        <v>735</v>
      </c>
      <c r="B333" s="213">
        <f ca="1">(Q330*(1+C333))/(DCF!$H$31-NPV!C333)*NPV!$Q$45</f>
        <v>0</v>
      </c>
      <c r="C333" s="282">
        <v>-0.05</v>
      </c>
      <c r="D333" s="277"/>
      <c r="E333" s="277"/>
      <c r="F333" s="277"/>
      <c r="G333" s="277"/>
      <c r="H333" s="277"/>
      <c r="I333" s="277"/>
      <c r="J333" s="277"/>
      <c r="K333" s="277"/>
      <c r="L333" s="277"/>
      <c r="M333" s="277"/>
      <c r="N333" s="256"/>
      <c r="O333" s="256"/>
      <c r="P333" s="256"/>
      <c r="Q333" s="256"/>
    </row>
    <row r="334" spans="1:22" hidden="1" outlineLevel="1">
      <c r="A334" s="281" t="s">
        <v>736</v>
      </c>
      <c r="B334" s="213">
        <f ca="1">SUM(B332:B333)/DCF!$C$30</f>
        <v>0</v>
      </c>
      <c r="C334" s="283"/>
      <c r="D334" s="283"/>
      <c r="E334" s="283"/>
      <c r="F334" s="283"/>
      <c r="G334" s="283"/>
      <c r="H334" s="283"/>
      <c r="I334" s="283"/>
      <c r="J334" s="283"/>
      <c r="K334" s="283"/>
      <c r="L334" s="283"/>
      <c r="M334" s="256"/>
      <c r="N334" s="256"/>
      <c r="O334" s="256"/>
      <c r="P334" s="256"/>
      <c r="Q334" s="256"/>
    </row>
    <row r="335" spans="1:22" hidden="1" outlineLevel="1">
      <c r="A335" s="284" t="s">
        <v>737</v>
      </c>
      <c r="B335" s="285">
        <f ca="1">B334/DCF!$H$24</f>
        <v>0</v>
      </c>
    </row>
    <row r="336" spans="1:22" hidden="1" outlineLevel="1"/>
    <row r="337" spans="1:22" hidden="1" outlineLevel="1">
      <c r="A337" s="265" t="s">
        <v>1460</v>
      </c>
      <c r="B337" s="266">
        <v>2015</v>
      </c>
      <c r="C337" s="266">
        <v>2016</v>
      </c>
      <c r="D337" s="266">
        <v>2017</v>
      </c>
      <c r="E337" s="266">
        <v>2018</v>
      </c>
      <c r="F337" s="266">
        <v>2019</v>
      </c>
      <c r="G337" s="266">
        <v>2020</v>
      </c>
      <c r="H337" s="266">
        <v>2021</v>
      </c>
      <c r="I337" s="266">
        <v>2022</v>
      </c>
      <c r="J337" s="266">
        <v>2023</v>
      </c>
      <c r="K337" s="266">
        <v>2024</v>
      </c>
      <c r="L337" s="266">
        <v>2025</v>
      </c>
      <c r="M337" s="266">
        <v>2026</v>
      </c>
      <c r="N337" s="266">
        <v>2027</v>
      </c>
      <c r="O337" s="266">
        <v>2028</v>
      </c>
      <c r="P337" s="266">
        <v>2029</v>
      </c>
      <c r="Q337" s="267">
        <v>2030</v>
      </c>
      <c r="S337" s="256" t="s">
        <v>709</v>
      </c>
      <c r="T337" s="256" t="s">
        <v>710</v>
      </c>
      <c r="U337" s="256"/>
      <c r="V337" s="256"/>
    </row>
    <row r="338" spans="1:22" hidden="1" outlineLevel="1">
      <c r="A338" s="268" t="s">
        <v>729</v>
      </c>
      <c r="B338" s="269">
        <f>Sales!G173</f>
        <v>0</v>
      </c>
      <c r="C338" s="269">
        <f>Sales!H173</f>
        <v>0</v>
      </c>
      <c r="D338" s="269">
        <f>Sales!I173</f>
        <v>0</v>
      </c>
      <c r="E338" s="269">
        <f>Sales!J173</f>
        <v>39.222160419464018</v>
      </c>
      <c r="F338" s="269">
        <f>Sales!K173</f>
        <v>91.239906188296374</v>
      </c>
      <c r="G338" s="269">
        <f>Sales!L173</f>
        <v>142.38899759745533</v>
      </c>
      <c r="H338" s="269">
        <f>Sales!M173</f>
        <v>285.86306360067857</v>
      </c>
      <c r="I338" s="269">
        <f>Sales!N173</f>
        <v>400.16288485657833</v>
      </c>
      <c r="J338" s="269">
        <f>Sales!O173</f>
        <v>642.7605441407328</v>
      </c>
      <c r="K338" s="269">
        <f>Sales!P173</f>
        <v>680.46264041439485</v>
      </c>
      <c r="L338" s="269">
        <f>Sales!Q173</f>
        <v>720.16197801724377</v>
      </c>
      <c r="M338" s="269">
        <f>L338*(1+M339)</f>
        <v>734.56521757758867</v>
      </c>
      <c r="N338" s="269">
        <f>M338*(1+N339)</f>
        <v>749.25652192914049</v>
      </c>
      <c r="O338" s="269">
        <f>N338*(1+O339)</f>
        <v>764.2416523677233</v>
      </c>
      <c r="P338" s="269">
        <f>O338*(1+P339)</f>
        <v>779.52648541507779</v>
      </c>
      <c r="Q338" s="269">
        <f>P338*(1+Q339)</f>
        <v>795.11701512337936</v>
      </c>
      <c r="S338" s="213">
        <f>MAX(MAX(Sales!C379:W379),MAX(K338:Q338))</f>
        <v>795.11701512337936</v>
      </c>
      <c r="T338" s="256">
        <f>IFERROR(INDEX(Sales!$B$1:$Q$1,MATCH(NPV!S338,Sales!B379:Q379,0)),INDEX(C337:Q337,MATCH(NPV!S338,C338:Q338,0)))</f>
        <v>2030</v>
      </c>
      <c r="U338" s="256"/>
      <c r="V338" s="256"/>
    </row>
    <row r="339" spans="1:22" hidden="1" outlineLevel="1">
      <c r="A339" s="270" t="s">
        <v>579</v>
      </c>
      <c r="B339" s="271"/>
      <c r="C339" s="271"/>
      <c r="D339" s="271"/>
      <c r="E339" s="271"/>
      <c r="F339" s="271">
        <f t="shared" ref="F339" si="270">F338/E338-1</f>
        <v>1.3262335682819377</v>
      </c>
      <c r="G339" s="271">
        <f t="shared" ref="G339" si="271">G338/F338-1</f>
        <v>0.56059999999999999</v>
      </c>
      <c r="H339" s="271">
        <f t="shared" ref="H339" si="272">H338/G338-1</f>
        <v>1.0076204511870746</v>
      </c>
      <c r="I339" s="271">
        <f>I338/H338-1</f>
        <v>0.39984116806207926</v>
      </c>
      <c r="J339" s="271">
        <f>J338/I338-1</f>
        <v>0.60624727695849012</v>
      </c>
      <c r="K339" s="271">
        <f t="shared" ref="K339" si="273">K338/J338-1</f>
        <v>5.8656519317102251E-2</v>
      </c>
      <c r="L339" s="271">
        <f t="shared" ref="L339" si="274">L338/K338-1</f>
        <v>5.8341685854600867E-2</v>
      </c>
      <c r="M339" s="272">
        <v>0.02</v>
      </c>
      <c r="N339" s="272">
        <v>0.02</v>
      </c>
      <c r="O339" s="272">
        <v>0.02</v>
      </c>
      <c r="P339" s="272">
        <v>0.02</v>
      </c>
      <c r="Q339" s="272">
        <v>0.02</v>
      </c>
      <c r="S339" s="256" t="s">
        <v>738</v>
      </c>
      <c r="T339" s="256"/>
      <c r="U339" s="256"/>
      <c r="V339" s="256"/>
    </row>
    <row r="340" spans="1:22" hidden="1" outlineLevel="1">
      <c r="A340" s="273" t="s">
        <v>730</v>
      </c>
      <c r="B340" s="274">
        <f t="shared" ref="B340:Q340" si="275">B338*B341</f>
        <v>0</v>
      </c>
      <c r="C340" s="274">
        <f t="shared" si="275"/>
        <v>0</v>
      </c>
      <c r="D340" s="274">
        <f t="shared" si="275"/>
        <v>0</v>
      </c>
      <c r="E340" s="274">
        <f t="shared" si="275"/>
        <v>7.9597913792441739</v>
      </c>
      <c r="F340" s="274">
        <f t="shared" si="275"/>
        <v>20.394802559736849</v>
      </c>
      <c r="G340" s="274">
        <f t="shared" si="275"/>
        <v>34.759667060555294</v>
      </c>
      <c r="H340" s="274">
        <f t="shared" si="275"/>
        <v>75.669634482532615</v>
      </c>
      <c r="I340" s="274">
        <f t="shared" si="275"/>
        <v>114.16411715025917</v>
      </c>
      <c r="J340" s="274">
        <f t="shared" si="275"/>
        <v>196.60910761951837</v>
      </c>
      <c r="K340" s="274">
        <f t="shared" si="275"/>
        <v>222.15103848822898</v>
      </c>
      <c r="L340" s="274">
        <f t="shared" si="275"/>
        <v>249.93856884127879</v>
      </c>
      <c r="M340" s="274">
        <f t="shared" si="275"/>
        <v>270.06074175646648</v>
      </c>
      <c r="N340" s="274">
        <f t="shared" si="275"/>
        <v>290.88782616072518</v>
      </c>
      <c r="O340" s="274">
        <f t="shared" si="275"/>
        <v>312.43996964445159</v>
      </c>
      <c r="P340" s="274">
        <f t="shared" si="275"/>
        <v>334.73784373706286</v>
      </c>
      <c r="Q340" s="274">
        <f t="shared" si="275"/>
        <v>357.80265680552071</v>
      </c>
      <c r="S340" s="282">
        <f>IF(S338&gt;$X$39,$Z$39,$Z$40)</f>
        <v>-0.05</v>
      </c>
      <c r="T340" s="282">
        <f>IF(S338&gt;$X$39,$AA$39,$AA$40)</f>
        <v>-0.03</v>
      </c>
      <c r="U340" s="282">
        <f>IF(S338&gt;$X$39,$AB$39,$AB$40)</f>
        <v>-0.03</v>
      </c>
      <c r="V340" s="256"/>
    </row>
    <row r="341" spans="1:22" hidden="1" outlineLevel="1">
      <c r="A341" s="270" t="s">
        <v>580</v>
      </c>
      <c r="B341" s="286">
        <f>IF(B337-T338&gt;3,T343,IF(B337-T338=1,45%+S340,IF(B337-T338=2,A341+T340,IF(B337-T338=3,A341+U340,IF(B337-T338=0,T344,IF(T338-B337=U345+1,$AA$37,IF(T338-B337=U345+2,$Z$37,IF(B337&lt;T338,C341-(T344-$AB$37)/U345))))))))</f>
        <v>0.1411764705882354</v>
      </c>
      <c r="C341" s="286">
        <f>IF(C337-T338&gt;3,T343,IF(C337-T338=1,B341+S340,IF(C337-T338=2,B341+T340,IF(C337-T338=3,B341+U340,IF(C337-T338=0,T344,IF(T338-C337=U345+1,$AA$37,IF(T338-C337=U345+2,$Z$37,IF(C337&lt;T338,D341-(T344-$AB$37)/U345))))))))</f>
        <v>0.16176470588235306</v>
      </c>
      <c r="D341" s="286">
        <f>IF(D337-T338&gt;3,T343,IF(D337-T338=1,C341+S340,IF(D337-T338=2,C341+T340,IF(D337-T338=3,C341+U340,IF(D337-T338=0,T344,IF(T338-D337=U345+1,$AA$37,IF(T338-D337=U345+2,$Z$37,IF(D337&lt;T338,E341-(T344-$AB$37)/U345))))))))</f>
        <v>0.18235294117647072</v>
      </c>
      <c r="E341" s="286">
        <f>IF(E337-T338&gt;3,T343,IF(E337-T338=1,D341+S340,IF(E337-T338=2,D341+T340,IF(E337-T338=3,D341+U340,IF(E337-T338=0,T344,IF(T338-E337=U345+1,$AA$37,IF(T338-E337=U345+2,$Z$37,IF(E337&lt;T338,F341-(T344-$AB$37)/U345))))))))</f>
        <v>0.20294117647058837</v>
      </c>
      <c r="F341" s="286">
        <f>IF(F337-T338&gt;3,T343,IF(F337-T338=1,E341+S340,IF(F337-T338=2,E341+T340,IF(F337-T338=3,E341+U340,IF(F337-T338=0,T344,IF(T338-F337=U345+1,$AA$37,IF(T338-F337=U345+2,$Z$37,IF(F337&lt;T338,G341-(T344-$AB$37)/U345))))))))</f>
        <v>0.22352941176470603</v>
      </c>
      <c r="G341" s="286">
        <f>IF(G337-T338&gt;3,T343,IF(G337-T338=1,F341+S340,IF(G337-T338=2,F341+T340,IF(G337-T338=3,F341+U340,IF(G337-T338=0,T344,IF(T338-G337=U345+1,$AA$37,IF(T338-G337=U345+2,$Z$37,IF(G337&lt;T338,H341-(T344-$AB$37)/U345))))))))</f>
        <v>0.24411764705882369</v>
      </c>
      <c r="H341" s="286">
        <f>IF(H337-T338&gt;3,T343,IF(H337-T338=1,G341+S340,IF(H337-T338=2,G341+T340,IF(H337-T338=3,G341+U340,IF(H337-T338=0,T344,IF(T338-H337=U345+1,$AA$37,IF(T338-H337=U345+2,$Z$37,IF(H337&lt;T338,I341-(T344-$AB$37)/U345))))))))</f>
        <v>0.26470588235294135</v>
      </c>
      <c r="I341" s="286">
        <f>IF(I337-T338&gt;3,T343,IF(I337-T338=1,H341+S340,IF(I337-T338=2,H341+T340,IF(I337-T338=3,H341+U340,IF(I337-T338=0,T344,IF(T338-I337=U345+1,$AA$37,IF(T338-I337=U345+2,$Z$37,IF(I337&lt;T338,J341-(T344-$AB$37)/U345))))))))</f>
        <v>0.28529411764705898</v>
      </c>
      <c r="J341" s="286">
        <f>IF(J337-T338&gt;3,T343,IF(J337-T338=1,I341+S340,IF(J337-T338=2,I341+T340,IF(J337-T338=3,I341+U340,IF(J337-T338=0,T344,IF(T338-J337=U345+1,$AA$37,IF(T338-J337=U345+2,$Z$37,IF(J337&lt;T338,K341-(T344-$AB$37)/U345))))))))</f>
        <v>0.30588235294117661</v>
      </c>
      <c r="K341" s="286">
        <f>IF(K337-T338&gt;3,T343,IF(K337-T338=1,J341+S340,IF(K337-T338=2,J341+T340,IF(K337-T338=3,J341+U340,IF(K337-T338=0,T344,IF(T338-K337=U345+1,$AA$37,IF(T338-K337=U345+2,$Z$37,IF(K337&lt;T338,L341-(T344-$AB$37)/U345))))))))</f>
        <v>0.32647058823529423</v>
      </c>
      <c r="L341" s="286">
        <f>IF(L337-T338&gt;3,T343,IF(L337-T338=1,K341+S340,IF(L337-T338=2,K341+T340,IF(L337-T338=3,K341+U340,IF(L337-T338=0,T344,IF(T338-L337=U345+1,$AA$37,IF(T338-L337=U345+2,$Z$37,IF(L337&lt;T338,M341-(T344-$AB$37)/U345))))))))</f>
        <v>0.34705882352941186</v>
      </c>
      <c r="M341" s="286">
        <f>IF(M337-T338&gt;3,T343,IF(M337-T338=1,L341+S340,IF(M337-T338=2,L341+T340,IF(M337-T338=3,L341+U340,IF(M337-T338=0,T344,IF(T338-M337=U345+1,$AA$37,IF(T338-M337=U345+2,$Z$37,IF(M337&lt;T338,N341-(T344-$AB$37)/U345))))))))</f>
        <v>0.36764705882352949</v>
      </c>
      <c r="N341" s="286">
        <f>IF(N337-T338&gt;3,T343,IF(N337-T338=1,M341+S340,IF(N337-T338=2,M341+T340,IF(N337-T338=3,M341+U340,IF(N337-T338=0,T344,IF(T338-N337=U345+1,$AA$37,IF(T338-N337=U345+2,$Z$37,IF(N337&lt;T338,O341-(T344-$AB$37)/U345))))))))</f>
        <v>0.38823529411764712</v>
      </c>
      <c r="O341" s="286">
        <f>IF(O337-T338&gt;3,T343,IF(O337-T338=1,N341+S340,IF(O337-T338=2,N341+T340,IF(O337-T338=3,N341+U340,IF(O337-T338=0,T344,IF(T338-O337=U345+1,$AA$37,IF(T338-O337=U345+2,$Z$37,IF(O337&lt;T338,P341-(T344-$AB$37)/U345))))))))</f>
        <v>0.40882352941176475</v>
      </c>
      <c r="P341" s="286">
        <f>IF(P337-T338&gt;3,T343,IF(P337-T338=1,O341+S340,IF(P337-T338=2,O341+T340,IF(P337-T338=3,O341+U340,IF(P337-T338=0,T344,IF(T338-P337=U345+1,$AA$37,IF(T338-P337=U345+2,$Z$37,IF(P337&lt;T338,Q341-(T344-$AB$37)/U345))))))))</f>
        <v>0.42941176470588238</v>
      </c>
      <c r="Q341" s="286">
        <f>IF(Q337-T338&gt;3,T343,IF(Q337-T338=1,P341+S340,IF(Q337-T338=2,P341+T340,IF(Q337-T338=3,P341+U340,IF(Q337-T338=0,T344,IF(T338-Q337=U345+1,$AA$37,IF(T338-Q337=U345+2,$Z$37,IF(Q337&lt;T338,R341-(T344-$AB$37)/U345))))))))</f>
        <v>0.45</v>
      </c>
      <c r="S341" s="287" t="s">
        <v>739</v>
      </c>
      <c r="T341" s="213">
        <f t="array" ref="T341">INDEX(Sales!B379:Q379,MATCH(FALSE,ISBLANK(Sales!B379:Q379),0))</f>
        <v>0.66</v>
      </c>
      <c r="U341" s="256"/>
      <c r="V341" s="256"/>
    </row>
    <row r="342" spans="1:22" hidden="1" outlineLevel="1">
      <c r="A342" s="270" t="s">
        <v>731</v>
      </c>
      <c r="B342" s="213">
        <f>B340*B343</f>
        <v>0</v>
      </c>
      <c r="C342" s="213">
        <f t="shared" ref="C342:Q342" si="276">C340*C343</f>
        <v>0</v>
      </c>
      <c r="D342" s="213">
        <f t="shared" si="276"/>
        <v>0</v>
      </c>
      <c r="E342" s="213">
        <f t="shared" si="276"/>
        <v>1.2735666206790679</v>
      </c>
      <c r="F342" s="213">
        <f t="shared" si="276"/>
        <v>3.2631684095578959</v>
      </c>
      <c r="G342" s="213">
        <f t="shared" si="276"/>
        <v>5.561546729688847</v>
      </c>
      <c r="H342" s="213">
        <f t="shared" si="276"/>
        <v>12.107141517205219</v>
      </c>
      <c r="I342" s="213">
        <f t="shared" si="276"/>
        <v>18.266258744041469</v>
      </c>
      <c r="J342" s="213">
        <f t="shared" si="276"/>
        <v>31.45745721912294</v>
      </c>
      <c r="K342" s="213">
        <f t="shared" si="276"/>
        <v>35.544166158116639</v>
      </c>
      <c r="L342" s="213">
        <f t="shared" si="276"/>
        <v>39.990171014604606</v>
      </c>
      <c r="M342" s="213">
        <f t="shared" si="276"/>
        <v>43.209718681034637</v>
      </c>
      <c r="N342" s="213">
        <f t="shared" si="276"/>
        <v>46.542052185716031</v>
      </c>
      <c r="O342" s="213">
        <f t="shared" si="276"/>
        <v>49.990395143112259</v>
      </c>
      <c r="P342" s="213">
        <f t="shared" si="276"/>
        <v>53.558054997930057</v>
      </c>
      <c r="Q342" s="213">
        <f t="shared" si="276"/>
        <v>57.248425088883316</v>
      </c>
      <c r="S342" s="287" t="s">
        <v>740</v>
      </c>
      <c r="T342" s="256">
        <f>IFERROR(INDEX(Sales!$B$1:$Q$1,MATCH(NPV!T341,Sales!B379:Q379,0)),INDEX(C337:Q337,MATCH(NPV!T341,C338:Q338,0)))</f>
        <v>2011</v>
      </c>
      <c r="U342" s="256"/>
      <c r="V342" s="256"/>
    </row>
    <row r="343" spans="1:22" hidden="1" outlineLevel="1">
      <c r="A343" s="270" t="s">
        <v>635</v>
      </c>
      <c r="B343" s="196">
        <f>'P&amp;L'!G$120</f>
        <v>0.1455435708203236</v>
      </c>
      <c r="C343" s="196">
        <f>'P&amp;L'!H$120</f>
        <v>0.15028163725122043</v>
      </c>
      <c r="D343" s="196">
        <f>'P&amp;L'!I$120</f>
        <v>0.15290792800832961</v>
      </c>
      <c r="E343" s="196">
        <f>'P&amp;L'!J$120</f>
        <v>0.16</v>
      </c>
      <c r="F343" s="196">
        <f>'P&amp;L'!K$120</f>
        <v>0.16</v>
      </c>
      <c r="G343" s="196">
        <f>'P&amp;L'!L$120</f>
        <v>0.16</v>
      </c>
      <c r="H343" s="196">
        <f>'P&amp;L'!M$120</f>
        <v>0.16</v>
      </c>
      <c r="I343" s="196">
        <f>'P&amp;L'!N$120</f>
        <v>0.16</v>
      </c>
      <c r="J343" s="196">
        <f>'P&amp;L'!O$120</f>
        <v>0.16</v>
      </c>
      <c r="K343" s="196">
        <f>'P&amp;L'!P$120</f>
        <v>0.16</v>
      </c>
      <c r="L343" s="196">
        <f>'P&amp;L'!Q$120</f>
        <v>0.16</v>
      </c>
      <c r="M343" s="196">
        <f t="shared" ref="M343" si="277">L343</f>
        <v>0.16</v>
      </c>
      <c r="N343" s="196">
        <f t="shared" ref="N343" si="278">M343</f>
        <v>0.16</v>
      </c>
      <c r="O343" s="196">
        <f t="shared" ref="O343" si="279">N343</f>
        <v>0.16</v>
      </c>
      <c r="P343" s="196">
        <f t="shared" ref="P343" si="280">O343</f>
        <v>0.16</v>
      </c>
      <c r="Q343" s="196">
        <f t="shared" ref="Q343" si="281">P343</f>
        <v>0.16</v>
      </c>
      <c r="S343" s="287" t="s">
        <v>741</v>
      </c>
      <c r="T343" s="288" t="b">
        <f>IF(Q337-T338&gt;3,IF(AND(S338&lt;$X$42,S338&lt;$X$43,S338&lt;$X$44),$AA$45,IF(AND(S338&lt;$X$42,S338&lt;$X$43),$AA$44,IF(S338&lt;$X$42,$AA$43,$AA$42))))</f>
        <v>0</v>
      </c>
      <c r="U343" s="256"/>
      <c r="V343" s="256"/>
    </row>
    <row r="344" spans="1:22" hidden="1" outlineLevel="1">
      <c r="A344" s="256" t="s">
        <v>732</v>
      </c>
      <c r="B344" s="213">
        <f>B340-B342</f>
        <v>0</v>
      </c>
      <c r="C344" s="213">
        <f t="shared" ref="C344:Q344" si="282">C340-C342</f>
        <v>0</v>
      </c>
      <c r="D344" s="213">
        <f t="shared" si="282"/>
        <v>0</v>
      </c>
      <c r="E344" s="213">
        <f t="shared" si="282"/>
        <v>6.686224758565106</v>
      </c>
      <c r="F344" s="213">
        <f t="shared" si="282"/>
        <v>17.131634150178954</v>
      </c>
      <c r="G344" s="213">
        <f t="shared" si="282"/>
        <v>29.198120330866448</v>
      </c>
      <c r="H344" s="213">
        <f t="shared" si="282"/>
        <v>63.562492965327394</v>
      </c>
      <c r="I344" s="213">
        <f t="shared" si="282"/>
        <v>95.897858406217708</v>
      </c>
      <c r="J344" s="213">
        <f t="shared" si="282"/>
        <v>165.15165040039543</v>
      </c>
      <c r="K344" s="213">
        <f t="shared" si="282"/>
        <v>186.60687233011234</v>
      </c>
      <c r="L344" s="213">
        <f t="shared" si="282"/>
        <v>209.94839782667418</v>
      </c>
      <c r="M344" s="213">
        <f t="shared" si="282"/>
        <v>226.85102307543184</v>
      </c>
      <c r="N344" s="213">
        <f t="shared" si="282"/>
        <v>244.34577397500914</v>
      </c>
      <c r="O344" s="213">
        <f t="shared" si="282"/>
        <v>262.44957450133933</v>
      </c>
      <c r="P344" s="213">
        <f t="shared" si="282"/>
        <v>281.17978873913279</v>
      </c>
      <c r="Q344" s="213">
        <f t="shared" si="282"/>
        <v>300.55423171663739</v>
      </c>
      <c r="S344" s="287" t="s">
        <v>742</v>
      </c>
      <c r="T344" s="288">
        <f>IF(S338&gt;$X$42,$Z$42,IF(S338&gt;$X$43,$Z$43,IF(S338&gt;$X$44,$Z$44,$Z$45)))</f>
        <v>0.45</v>
      </c>
      <c r="U344" s="256"/>
      <c r="V344" s="256"/>
    </row>
    <row r="345" spans="1:22" hidden="1" outlineLevel="1">
      <c r="A345" s="270" t="s">
        <v>607</v>
      </c>
      <c r="B345" s="277">
        <f>B344</f>
        <v>0</v>
      </c>
      <c r="C345" s="277">
        <f t="shared" ref="C345:Q345" si="283">C344</f>
        <v>0</v>
      </c>
      <c r="D345" s="277">
        <f t="shared" si="283"/>
        <v>0</v>
      </c>
      <c r="E345" s="277">
        <f t="shared" si="283"/>
        <v>6.686224758565106</v>
      </c>
      <c r="F345" s="277">
        <f t="shared" si="283"/>
        <v>17.131634150178954</v>
      </c>
      <c r="G345" s="277">
        <f t="shared" si="283"/>
        <v>29.198120330866448</v>
      </c>
      <c r="H345" s="277">
        <f t="shared" si="283"/>
        <v>63.562492965327394</v>
      </c>
      <c r="I345" s="277">
        <f t="shared" si="283"/>
        <v>95.897858406217708</v>
      </c>
      <c r="J345" s="277">
        <f t="shared" si="283"/>
        <v>165.15165040039543</v>
      </c>
      <c r="K345" s="277">
        <f t="shared" si="283"/>
        <v>186.60687233011234</v>
      </c>
      <c r="L345" s="277">
        <f t="shared" si="283"/>
        <v>209.94839782667418</v>
      </c>
      <c r="M345" s="277">
        <f t="shared" si="283"/>
        <v>226.85102307543184</v>
      </c>
      <c r="N345" s="277">
        <f t="shared" si="283"/>
        <v>244.34577397500914</v>
      </c>
      <c r="O345" s="277">
        <f t="shared" si="283"/>
        <v>262.44957450133933</v>
      </c>
      <c r="P345" s="277">
        <f t="shared" si="283"/>
        <v>281.17978873913279</v>
      </c>
      <c r="Q345" s="277">
        <f t="shared" si="283"/>
        <v>300.55423171663739</v>
      </c>
      <c r="S345" s="287" t="s">
        <v>743</v>
      </c>
      <c r="T345" s="256">
        <f>T338-T342</f>
        <v>19</v>
      </c>
      <c r="U345" s="256">
        <f>T345-2</f>
        <v>17</v>
      </c>
      <c r="V345" s="256"/>
    </row>
    <row r="346" spans="1:22" hidden="1" outlineLevel="1">
      <c r="A346" s="279" t="s">
        <v>733</v>
      </c>
      <c r="B346" s="280">
        <f t="shared" ref="B346:Q346" si="284">B345*B$45</f>
        <v>0</v>
      </c>
      <c r="C346" s="280">
        <f t="shared" si="284"/>
        <v>0</v>
      </c>
      <c r="D346" s="280">
        <f t="shared" si="284"/>
        <v>0</v>
      </c>
      <c r="E346" s="280">
        <f t="shared" ca="1" si="284"/>
        <v>6.3656867894474916</v>
      </c>
      <c r="F346" s="280">
        <f t="shared" ca="1" si="284"/>
        <v>15.206982210017639</v>
      </c>
      <c r="G346" s="280">
        <f t="shared" ca="1" si="284"/>
        <v>24.164571156394839</v>
      </c>
      <c r="H346" s="280">
        <f t="shared" ca="1" si="284"/>
        <v>49.046166939607197</v>
      </c>
      <c r="I346" s="280">
        <f t="shared" ca="1" si="284"/>
        <v>68.991090570925195</v>
      </c>
      <c r="J346" s="280">
        <f t="shared" ca="1" si="284"/>
        <v>110.77632954978461</v>
      </c>
      <c r="K346" s="280">
        <f t="shared" ca="1" si="284"/>
        <v>116.70021028649766</v>
      </c>
      <c r="L346" s="280">
        <f t="shared" ca="1" si="284"/>
        <v>122.41553112760427</v>
      </c>
      <c r="M346" s="280">
        <f t="shared" ca="1" si="284"/>
        <v>123.32316166816773</v>
      </c>
      <c r="N346" s="280">
        <f t="shared" ca="1" si="284"/>
        <v>123.84791282340061</v>
      </c>
      <c r="O346" s="280">
        <f t="shared" ca="1" si="284"/>
        <v>124.0251281353565</v>
      </c>
      <c r="P346" s="280">
        <f t="shared" ca="1" si="284"/>
        <v>123.88760674379363</v>
      </c>
      <c r="Q346" s="280">
        <f t="shared" ca="1" si="284"/>
        <v>123.46576787915527</v>
      </c>
      <c r="S346" s="289" t="s">
        <v>744</v>
      </c>
      <c r="T346" s="288">
        <f>VLOOKUP(S346,$Y$32:$AB$34,2,0)</f>
        <v>-0.7</v>
      </c>
      <c r="U346" s="288">
        <f>VLOOKUP(S346,$Y$32:$AB$34,3,0)</f>
        <v>-0.35</v>
      </c>
      <c r="V346" s="288">
        <f>VLOOKUP(S346,$Y$32:$AB$34,4,0)</f>
        <v>-0.1</v>
      </c>
    </row>
    <row r="347" spans="1:22" hidden="1" outlineLevel="1">
      <c r="A347" s="270" t="s">
        <v>734</v>
      </c>
      <c r="B347" s="213">
        <f ca="1">SUM(B346:Q346)</f>
        <v>1132.2161458801527</v>
      </c>
      <c r="C347" s="277"/>
      <c r="D347" s="277"/>
      <c r="E347" s="277"/>
      <c r="F347" s="277"/>
      <c r="G347" s="277"/>
      <c r="H347" s="277"/>
      <c r="I347" s="277"/>
      <c r="J347" s="277"/>
      <c r="K347" s="277"/>
      <c r="L347" s="277"/>
      <c r="M347" s="277"/>
      <c r="N347" s="256"/>
      <c r="O347" s="256"/>
      <c r="P347" s="256"/>
      <c r="Q347" s="256"/>
    </row>
    <row r="348" spans="1:22" hidden="1" outlineLevel="1">
      <c r="A348" s="281" t="s">
        <v>735</v>
      </c>
      <c r="B348" s="213">
        <f ca="1">(Q345*(1+C348))/(DCF!$H$31-NPV!C348)*NPV!$Q$45</f>
        <v>957.05073741291153</v>
      </c>
      <c r="C348" s="282">
        <v>-0.05</v>
      </c>
      <c r="D348" s="277"/>
      <c r="E348" s="277"/>
      <c r="F348" s="277"/>
      <c r="G348" s="277"/>
      <c r="H348" s="277"/>
      <c r="I348" s="277"/>
      <c r="J348" s="277"/>
      <c r="K348" s="277"/>
      <c r="L348" s="277"/>
      <c r="M348" s="277"/>
      <c r="N348" s="256"/>
      <c r="O348" s="256"/>
      <c r="P348" s="256"/>
      <c r="Q348" s="256"/>
    </row>
    <row r="349" spans="1:22" hidden="1" outlineLevel="1">
      <c r="A349" s="281" t="s">
        <v>736</v>
      </c>
      <c r="B349" s="213">
        <f ca="1">SUM(B347:B348)/DCF!$C$30</f>
        <v>0.89056559390156176</v>
      </c>
      <c r="C349" s="283"/>
      <c r="D349" s="283"/>
      <c r="E349" s="283"/>
      <c r="F349" s="283"/>
      <c r="G349" s="283"/>
      <c r="H349" s="283"/>
      <c r="I349" s="283"/>
      <c r="J349" s="283"/>
      <c r="K349" s="283"/>
      <c r="L349" s="283"/>
      <c r="M349" s="256"/>
      <c r="N349" s="256"/>
      <c r="O349" s="256"/>
      <c r="P349" s="256"/>
      <c r="Q349" s="256"/>
    </row>
    <row r="350" spans="1:22" hidden="1" outlineLevel="1">
      <c r="A350" s="284" t="s">
        <v>737</v>
      </c>
      <c r="B350" s="285">
        <f ca="1">B349/DCF!$H$24</f>
        <v>0.864626790195691</v>
      </c>
    </row>
    <row r="351" spans="1:22" hidden="1" outlineLevel="1"/>
    <row r="352" spans="1:22" hidden="1" outlineLevel="1">
      <c r="A352" s="265" t="s">
        <v>1459</v>
      </c>
      <c r="B352" s="266">
        <v>2015</v>
      </c>
      <c r="C352" s="266">
        <v>2016</v>
      </c>
      <c r="D352" s="266">
        <v>2017</v>
      </c>
      <c r="E352" s="266">
        <v>2018</v>
      </c>
      <c r="F352" s="266">
        <v>2019</v>
      </c>
      <c r="G352" s="266">
        <v>2020</v>
      </c>
      <c r="H352" s="266">
        <v>2021</v>
      </c>
      <c r="I352" s="266">
        <v>2022</v>
      </c>
      <c r="J352" s="266">
        <v>2023</v>
      </c>
      <c r="K352" s="266">
        <v>2024</v>
      </c>
      <c r="L352" s="266">
        <v>2025</v>
      </c>
      <c r="M352" s="266">
        <v>2026</v>
      </c>
      <c r="N352" s="266">
        <v>2027</v>
      </c>
      <c r="O352" s="266">
        <v>2028</v>
      </c>
      <c r="P352" s="266">
        <v>2029</v>
      </c>
      <c r="Q352" s="267">
        <v>2030</v>
      </c>
      <c r="S352" s="256" t="s">
        <v>709</v>
      </c>
      <c r="T352" s="256" t="s">
        <v>710</v>
      </c>
      <c r="U352" s="256"/>
      <c r="V352" s="256"/>
    </row>
    <row r="353" spans="1:22" hidden="1" outlineLevel="1">
      <c r="A353" s="268" t="s">
        <v>729</v>
      </c>
      <c r="B353" s="269">
        <f>Sales!G190</f>
        <v>141</v>
      </c>
      <c r="C353" s="269">
        <f>Sales!H190</f>
        <v>124</v>
      </c>
      <c r="D353" s="269">
        <f>Sales!I190</f>
        <v>102</v>
      </c>
      <c r="E353" s="269">
        <f>Sales!J190</f>
        <v>96.9</v>
      </c>
      <c r="F353" s="269">
        <f>Sales!K190</f>
        <v>92.055000000000007</v>
      </c>
      <c r="G353" s="269">
        <f>Sales!L190</f>
        <v>87.452250000000006</v>
      </c>
      <c r="H353" s="269">
        <f>Sales!M190</f>
        <v>83.079637500000004</v>
      </c>
      <c r="I353" s="269">
        <f>Sales!N190</f>
        <v>78.925655625000005</v>
      </c>
      <c r="J353" s="269">
        <f>Sales!O190</f>
        <v>74.979372843749999</v>
      </c>
      <c r="K353" s="269">
        <f>Sales!P190</f>
        <v>71.230404201562493</v>
      </c>
      <c r="L353" s="269">
        <f>Sales!Q190</f>
        <v>67.668883991484364</v>
      </c>
      <c r="M353" s="269">
        <f>L353*(1+M354)</f>
        <v>64.285439791910136</v>
      </c>
      <c r="N353" s="269">
        <f t="shared" ref="N353:Q353" si="285">M353*(1+N354)</f>
        <v>61.071167802314626</v>
      </c>
      <c r="O353" s="269">
        <f t="shared" si="285"/>
        <v>58.017609412198894</v>
      </c>
      <c r="P353" s="269">
        <f t="shared" si="285"/>
        <v>55.116728941588946</v>
      </c>
      <c r="Q353" s="269">
        <f t="shared" si="285"/>
        <v>52.360892494509493</v>
      </c>
      <c r="S353" s="213">
        <f>MAX(MAX(Sales!C190:W190),MAX(K353:Q353))</f>
        <v>243</v>
      </c>
      <c r="T353" s="256">
        <f>IFERROR(INDEX(Sales!$B$1:$Q$1,MATCH(NPV!S353,Sales!B190:Q190,0)),INDEX(C352:Q352,MATCH(NPV!S353,C353:Q353,0)))</f>
        <v>2014</v>
      </c>
      <c r="U353" s="256"/>
      <c r="V353" s="256"/>
    </row>
    <row r="354" spans="1:22" hidden="1" outlineLevel="1">
      <c r="A354" s="270" t="s">
        <v>579</v>
      </c>
      <c r="B354" s="271"/>
      <c r="C354" s="271">
        <f t="shared" ref="C354:J354" si="286">C353/B353-1</f>
        <v>-0.12056737588652477</v>
      </c>
      <c r="D354" s="271">
        <f t="shared" si="286"/>
        <v>-0.17741935483870963</v>
      </c>
      <c r="E354" s="271">
        <f t="shared" si="286"/>
        <v>-4.9999999999999933E-2</v>
      </c>
      <c r="F354" s="271">
        <f t="shared" si="286"/>
        <v>-4.9999999999999933E-2</v>
      </c>
      <c r="G354" s="271">
        <f t="shared" si="286"/>
        <v>-5.0000000000000044E-2</v>
      </c>
      <c r="H354" s="271">
        <f t="shared" si="286"/>
        <v>-5.0000000000000044E-2</v>
      </c>
      <c r="I354" s="271">
        <f t="shared" si="286"/>
        <v>-5.0000000000000044E-2</v>
      </c>
      <c r="J354" s="271">
        <f t="shared" si="286"/>
        <v>-5.0000000000000044E-2</v>
      </c>
      <c r="K354" s="271">
        <f t="shared" ref="K354" si="287">K353/J353-1</f>
        <v>-5.0000000000000044E-2</v>
      </c>
      <c r="L354" s="271">
        <f t="shared" ref="L354" si="288">L353/K353-1</f>
        <v>-5.0000000000000044E-2</v>
      </c>
      <c r="M354" s="272">
        <v>-0.05</v>
      </c>
      <c r="N354" s="272">
        <v>-0.05</v>
      </c>
      <c r="O354" s="272">
        <v>-0.05</v>
      </c>
      <c r="P354" s="272">
        <v>-0.05</v>
      </c>
      <c r="Q354" s="272">
        <v>-0.05</v>
      </c>
      <c r="S354" s="256" t="s">
        <v>738</v>
      </c>
      <c r="T354" s="256"/>
      <c r="U354" s="256"/>
      <c r="V354" s="256"/>
    </row>
    <row r="355" spans="1:22" hidden="1" outlineLevel="1">
      <c r="A355" s="273" t="s">
        <v>730</v>
      </c>
      <c r="B355" s="274">
        <f t="shared" ref="B355:Q355" si="289">B353*B356</f>
        <v>56.400000000000006</v>
      </c>
      <c r="C355" s="274">
        <f t="shared" si="289"/>
        <v>45.88</v>
      </c>
      <c r="D355" s="274">
        <f t="shared" si="289"/>
        <v>34.68</v>
      </c>
      <c r="E355" s="274">
        <f t="shared" si="289"/>
        <v>32.946000000000005</v>
      </c>
      <c r="F355" s="274">
        <f t="shared" si="289"/>
        <v>31.298700000000004</v>
      </c>
      <c r="G355" s="274">
        <f t="shared" si="289"/>
        <v>29.733765000000005</v>
      </c>
      <c r="H355" s="274">
        <f t="shared" si="289"/>
        <v>28.247076750000005</v>
      </c>
      <c r="I355" s="274">
        <f t="shared" si="289"/>
        <v>26.834722912500002</v>
      </c>
      <c r="J355" s="274">
        <f t="shared" si="289"/>
        <v>25.492986766875003</v>
      </c>
      <c r="K355" s="274">
        <f t="shared" si="289"/>
        <v>24.21833742853125</v>
      </c>
      <c r="L355" s="274">
        <f t="shared" si="289"/>
        <v>23.007420557104684</v>
      </c>
      <c r="M355" s="274">
        <f t="shared" si="289"/>
        <v>21.857049529249448</v>
      </c>
      <c r="N355" s="274">
        <f t="shared" si="289"/>
        <v>20.764197052786976</v>
      </c>
      <c r="O355" s="274">
        <f t="shared" si="289"/>
        <v>19.725987200147625</v>
      </c>
      <c r="P355" s="274">
        <f t="shared" si="289"/>
        <v>18.739687840140242</v>
      </c>
      <c r="Q355" s="274">
        <f t="shared" si="289"/>
        <v>17.802703448133229</v>
      </c>
      <c r="S355" s="282">
        <f>IF(S353&gt;$X$39,$Z$39,$Z$40)</f>
        <v>-0.05</v>
      </c>
      <c r="T355" s="282">
        <f>IF(S353&gt;$X$39,$AA$39,$AA$40)</f>
        <v>-0.03</v>
      </c>
      <c r="U355" s="282">
        <f>IF(S353&gt;$X$39,$AB$39,$AB$40)</f>
        <v>-0.03</v>
      </c>
      <c r="V355" s="256"/>
    </row>
    <row r="356" spans="1:22" hidden="1" outlineLevel="1">
      <c r="A356" s="270" t="s">
        <v>580</v>
      </c>
      <c r="B356" s="286">
        <f>IF(B352-T353&gt;3,T358,IF(B352-T353=1,45%+S355,IF(B352-T353=2,A356+T355,IF(B352-T353=3,A356+U355,IF(B352-T353=0,T359,IF(T353-B352=U360+1,$AA$37,IF(T353-B352=U360+2,$Z$37,IF(B352&lt;T353,C356-(T359-$AB$37)/U360))))))))</f>
        <v>0.4</v>
      </c>
      <c r="C356" s="286">
        <f>IF(C352-T353&gt;3,T358,IF(C352-T353=1,B356+S355,IF(C352-T353=2,B356+T355,IF(C352-T353=3,B356+U355,IF(C352-T353=0,T359,IF(T353-C352=U360+1,$AA$37,IF(T353-C352=U360+2,$Z$37,IF(C352&lt;T353,D356-(T359-$AB$37)/U360))))))))</f>
        <v>0.37</v>
      </c>
      <c r="D356" s="286">
        <f>IF(D352-T353&gt;3,T358,IF(D352-T353=1,C356+S355,IF(D352-T353=2,C356+T355,IF(D352-T353=3,C356+U355,IF(D352-T353=0,T359,IF(T353-D352=U360+1,$AA$37,IF(T353-D352=U360+2,$Z$37,IF(D352&lt;T353,E356-(T359-$AB$37)/U360))))))))</f>
        <v>0.33999999999999997</v>
      </c>
      <c r="E356" s="286">
        <f>IF(E352-T353&gt;3,T358,IF(E352-T353=1,D356+S355,IF(E352-T353=2,D356+T355,IF(E352-T353=3,D356+U355,IF(E352-T353=0,T359,IF(T353-E352=U360+1,$AA$37,IF(T353-E352=U360+2,$Z$37,IF(E352&lt;T353,F356-(T359-$AB$37)/U360))))))))</f>
        <v>0.34</v>
      </c>
      <c r="F356" s="286">
        <f>IF(F352-T353&gt;3,T358,IF(F352-T353=1,E356+S355,IF(F352-T353=2,E356+T355,IF(F352-T353=3,E356+U355,IF(F352-T353=0,T359,IF(T353-F352=U360+1,$AA$37,IF(T353-F352=U360+2,$Z$37,IF(F352&lt;T353,G356-(T359-$AB$37)/U360))))))))</f>
        <v>0.34</v>
      </c>
      <c r="G356" s="286">
        <f>IF(G352-T353&gt;3,T358,IF(G352-T353=1,F356+S355,IF(G352-T353=2,F356+T355,IF(G352-T353=3,F356+U355,IF(G352-T353=0,T359,IF(T353-G352=U360+1,$AA$37,IF(T353-G352=U360+2,$Z$37,IF(G352&lt;T353,H356-(T359-$AB$37)/U360))))))))</f>
        <v>0.34</v>
      </c>
      <c r="H356" s="286">
        <f>IF(H352-T353&gt;3,T358,IF(H352-T353=1,G356+S355,IF(H352-T353=2,G356+T355,IF(H352-T353=3,G356+U355,IF(H352-T353=0,T359,IF(T353-H352=U360+1,$AA$37,IF(T353-H352=U360+2,$Z$37,IF(H352&lt;T353,I356-(T359-$AB$37)/U360))))))))</f>
        <v>0.34</v>
      </c>
      <c r="I356" s="286">
        <f>IF(I352-T353&gt;3,T358,IF(I352-T353=1,H356+S355,IF(I352-T353=2,H356+T355,IF(I352-T353=3,H356+U355,IF(I352-T353=0,T359,IF(T353-I352=U360+1,$AA$37,IF(T353-I352=U360+2,$Z$37,IF(I352&lt;T353,J356-(T359-$AB$37)/U360))))))))</f>
        <v>0.34</v>
      </c>
      <c r="J356" s="286">
        <f>IF(J352-T353&gt;3,T358,IF(J352-T353=1,I356+S355,IF(J352-T353=2,I356+T355,IF(J352-T353=3,I356+U355,IF(J352-T353=0,T359,IF(T353-J352=U360+1,$AA$37,IF(T353-J352=U360+2,$Z$37,IF(J352&lt;T353,K356-(T359-$AB$37)/U360))))))))</f>
        <v>0.34</v>
      </c>
      <c r="K356" s="286">
        <f>IF(K352-T353&gt;3,T358,IF(K352-T353=1,J356+S355,IF(K352-T353=2,J356+T355,IF(K352-T353=3,J356+U355,IF(K352-T353=0,T359,IF(T353-K352=U360+1,$AA$37,IF(T353-K352=U360+2,$Z$37,IF(K352&lt;T353,L356-(T359-$AB$37)/U360))))))))</f>
        <v>0.34</v>
      </c>
      <c r="L356" s="286">
        <f>IF(L352-T353&gt;3,T358,IF(L352-T353=1,K356+S355,IF(L352-T353=2,K356+T355,IF(L352-T353=3,K356+U355,IF(L352-T353=0,T359,IF(T353-L352=U360+1,$AA$37,IF(T353-L352=U360+2,$Z$37,IF(L352&lt;T353,M356-(T359-$AB$37)/U360))))))))</f>
        <v>0.34</v>
      </c>
      <c r="M356" s="286">
        <f>IF(M352-T353&gt;3,T358,IF(M352-T353=1,L356+S355,IF(M352-T353=2,L356+T355,IF(M352-T353=3,L356+U355,IF(M352-T353=0,T359,IF(T353-M352=U360+1,$AA$37,IF(T353-M352=U360+2,$Z$37,IF(M352&lt;T353,N356-(T359-$AB$37)/U360))))))))</f>
        <v>0.34</v>
      </c>
      <c r="N356" s="286">
        <f>IF(N352-T353&gt;3,T358,IF(N352-T353=1,M356+S355,IF(N352-T353=2,M356+T355,IF(N352-T353=3,M356+U355,IF(N352-T353=0,T359,IF(T353-N352=U360+1,$AA$37,IF(T353-N352=U360+2,$Z$37,IF(N352&lt;T353,O356-(T359-$AB$37)/U360))))))))</f>
        <v>0.34</v>
      </c>
      <c r="O356" s="286">
        <f>IF(O352-T353&gt;3,T358,IF(O352-T353=1,N356+S355,IF(O352-T353=2,N356+T355,IF(O352-T353=3,N356+U355,IF(O352-T353=0,T359,IF(T353-O352=U360+1,$AA$37,IF(T353-O352=U360+2,$Z$37,IF(O352&lt;T353,P356-(T359-$AB$37)/U360))))))))</f>
        <v>0.34</v>
      </c>
      <c r="P356" s="286">
        <f>IF(P352-T353&gt;3,T358,IF(P352-T353=1,O356+S355,IF(P352-T353=2,O356+T355,IF(P352-T353=3,O356+U355,IF(P352-T353=0,T359,IF(T353-P352=U360+1,$AA$37,IF(T353-P352=U360+2,$Z$37,IF(P352&lt;T353,Q356-(T359-$AB$37)/U360))))))))</f>
        <v>0.34</v>
      </c>
      <c r="Q356" s="286">
        <f>IF(Q352-T353&gt;3,T358,IF(Q352-T353=1,P356+S355,IF(Q352-T353=2,P356+T355,IF(Q352-T353=3,P356+U355,IF(Q352-T353=0,T359,IF(T353-Q352=U360+1,$AA$37,IF(T353-Q352=U360+2,$Z$37,IF(Q352&lt;T353,R356-(T359-$AB$37)/U360))))))))</f>
        <v>0.34</v>
      </c>
      <c r="S356" s="287" t="s">
        <v>739</v>
      </c>
      <c r="T356" s="213">
        <f t="array" ref="T356">INDEX(Sales!B190:Q190,MATCH(FALSE,ISBLANK(Sales!B190:Q190),0))</f>
        <v>190</v>
      </c>
      <c r="U356" s="256"/>
      <c r="V356" s="256"/>
    </row>
    <row r="357" spans="1:22" hidden="1" outlineLevel="1">
      <c r="A357" s="270" t="s">
        <v>731</v>
      </c>
      <c r="B357" s="213">
        <f>B355*B358</f>
        <v>8.2086573942662522</v>
      </c>
      <c r="C357" s="213">
        <f t="shared" ref="C357:Q357" si="290">C355*C358</f>
        <v>6.8949215170859937</v>
      </c>
      <c r="D357" s="213">
        <f t="shared" si="290"/>
        <v>5.3028469433288707</v>
      </c>
      <c r="E357" s="213">
        <f t="shared" si="290"/>
        <v>5.2713600000000005</v>
      </c>
      <c r="F357" s="213">
        <f t="shared" si="290"/>
        <v>5.0077920000000011</v>
      </c>
      <c r="G357" s="213">
        <f t="shared" si="290"/>
        <v>4.757402400000001</v>
      </c>
      <c r="H357" s="213">
        <f t="shared" si="290"/>
        <v>4.5195322800000008</v>
      </c>
      <c r="I357" s="213">
        <f t="shared" si="290"/>
        <v>4.2935556660000005</v>
      </c>
      <c r="J357" s="213">
        <f t="shared" si="290"/>
        <v>4.0788778827000005</v>
      </c>
      <c r="K357" s="213">
        <f t="shared" si="290"/>
        <v>3.874933988565</v>
      </c>
      <c r="L357" s="213">
        <f t="shared" si="290"/>
        <v>3.6811872891367496</v>
      </c>
      <c r="M357" s="213">
        <f t="shared" si="290"/>
        <v>3.4971279246799116</v>
      </c>
      <c r="N357" s="213">
        <f t="shared" si="290"/>
        <v>3.3222715284459161</v>
      </c>
      <c r="O357" s="213">
        <f t="shared" si="290"/>
        <v>3.1561579520236198</v>
      </c>
      <c r="P357" s="213">
        <f t="shared" si="290"/>
        <v>2.9983500544224388</v>
      </c>
      <c r="Q357" s="213">
        <f t="shared" si="290"/>
        <v>2.8484325517013169</v>
      </c>
      <c r="S357" s="287" t="s">
        <v>740</v>
      </c>
      <c r="T357" s="256">
        <f>IFERROR(INDEX(Sales!$B$1:$Q$1,MATCH(NPV!T356,Sales!B190:Q190,0)),INDEX(C352:Q352,MATCH(NPV!T356,C353:Q353,0)))</f>
        <v>2010</v>
      </c>
      <c r="U357" s="256"/>
      <c r="V357" s="256"/>
    </row>
    <row r="358" spans="1:22" hidden="1" outlineLevel="1">
      <c r="A358" s="270" t="s">
        <v>635</v>
      </c>
      <c r="B358" s="196">
        <f>'P&amp;L'!G$120</f>
        <v>0.1455435708203236</v>
      </c>
      <c r="C358" s="196">
        <f>'P&amp;L'!H$120</f>
        <v>0.15028163725122043</v>
      </c>
      <c r="D358" s="196">
        <f>'P&amp;L'!I$120</f>
        <v>0.15290792800832961</v>
      </c>
      <c r="E358" s="196">
        <f>'P&amp;L'!J$120</f>
        <v>0.16</v>
      </c>
      <c r="F358" s="196">
        <f>'P&amp;L'!K$120</f>
        <v>0.16</v>
      </c>
      <c r="G358" s="196">
        <f>'P&amp;L'!L$120</f>
        <v>0.16</v>
      </c>
      <c r="H358" s="196">
        <f>'P&amp;L'!M$120</f>
        <v>0.16</v>
      </c>
      <c r="I358" s="196">
        <f>'P&amp;L'!N$120</f>
        <v>0.16</v>
      </c>
      <c r="J358" s="196">
        <f>'P&amp;L'!O$120</f>
        <v>0.16</v>
      </c>
      <c r="K358" s="196">
        <f>'P&amp;L'!P$120</f>
        <v>0.16</v>
      </c>
      <c r="L358" s="196">
        <f>'P&amp;L'!Q$120</f>
        <v>0.16</v>
      </c>
      <c r="M358" s="196">
        <f t="shared" ref="M358" si="291">L358</f>
        <v>0.16</v>
      </c>
      <c r="N358" s="196">
        <f t="shared" ref="N358" si="292">M358</f>
        <v>0.16</v>
      </c>
      <c r="O358" s="196">
        <f t="shared" ref="O358" si="293">N358</f>
        <v>0.16</v>
      </c>
      <c r="P358" s="196">
        <f t="shared" ref="P358" si="294">O358</f>
        <v>0.16</v>
      </c>
      <c r="Q358" s="196">
        <f t="shared" ref="Q358" si="295">P358</f>
        <v>0.16</v>
      </c>
      <c r="S358" s="287" t="s">
        <v>741</v>
      </c>
      <c r="T358" s="288">
        <f>IF(Q352-T353&gt;3,IF(AND(S353&lt;$X$42,S353&lt;$X$43,S353&lt;$X$44),$AA$45,IF(AND(S353&lt;$X$42,S353&lt;$X$43),$AA$44,IF(S353&lt;$X$42,$AA$43,$AA$42))))</f>
        <v>0.34</v>
      </c>
      <c r="U358" s="256"/>
      <c r="V358" s="256"/>
    </row>
    <row r="359" spans="1:22" hidden="1" outlineLevel="1">
      <c r="A359" s="256" t="s">
        <v>732</v>
      </c>
      <c r="B359" s="213">
        <f>B355-B357</f>
        <v>48.191342605733752</v>
      </c>
      <c r="C359" s="213">
        <f t="shared" ref="C359:Q359" si="296">C355-C357</f>
        <v>38.985078482914005</v>
      </c>
      <c r="D359" s="213">
        <f t="shared" si="296"/>
        <v>29.37715305667113</v>
      </c>
      <c r="E359" s="213">
        <f t="shared" si="296"/>
        <v>27.674640000000004</v>
      </c>
      <c r="F359" s="213">
        <f t="shared" si="296"/>
        <v>26.290908000000002</v>
      </c>
      <c r="G359" s="213">
        <f t="shared" si="296"/>
        <v>24.976362600000005</v>
      </c>
      <c r="H359" s="213">
        <f t="shared" si="296"/>
        <v>23.727544470000005</v>
      </c>
      <c r="I359" s="213">
        <f t="shared" si="296"/>
        <v>22.541167246500002</v>
      </c>
      <c r="J359" s="213">
        <f t="shared" si="296"/>
        <v>21.414108884175</v>
      </c>
      <c r="K359" s="213">
        <f t="shared" si="296"/>
        <v>20.343403439966249</v>
      </c>
      <c r="L359" s="213">
        <f t="shared" si="296"/>
        <v>19.326233267967936</v>
      </c>
      <c r="M359" s="213">
        <f t="shared" si="296"/>
        <v>18.359921604569536</v>
      </c>
      <c r="N359" s="213">
        <f t="shared" si="296"/>
        <v>17.441925524341059</v>
      </c>
      <c r="O359" s="213">
        <f t="shared" si="296"/>
        <v>16.569829248124005</v>
      </c>
      <c r="P359" s="213">
        <f t="shared" si="296"/>
        <v>15.741337785717803</v>
      </c>
      <c r="Q359" s="213">
        <f t="shared" si="296"/>
        <v>14.954270896431913</v>
      </c>
      <c r="S359" s="287" t="s">
        <v>742</v>
      </c>
      <c r="T359" s="288">
        <f>IF(S353&gt;$X$42,$Z$42,IF(S353&gt;$X$43,$Z$43,IF(S353&gt;$X$44,$Z$44,$Z$45)))</f>
        <v>0.45</v>
      </c>
      <c r="U359" s="256"/>
      <c r="V359" s="256"/>
    </row>
    <row r="360" spans="1:22" hidden="1" outlineLevel="1">
      <c r="A360" s="270" t="s">
        <v>607</v>
      </c>
      <c r="B360" s="277">
        <f>B359</f>
        <v>48.191342605733752</v>
      </c>
      <c r="C360" s="277">
        <f t="shared" ref="C360:Q360" si="297">C359</f>
        <v>38.985078482914005</v>
      </c>
      <c r="D360" s="277">
        <f t="shared" si="297"/>
        <v>29.37715305667113</v>
      </c>
      <c r="E360" s="277">
        <f t="shared" si="297"/>
        <v>27.674640000000004</v>
      </c>
      <c r="F360" s="277">
        <f t="shared" si="297"/>
        <v>26.290908000000002</v>
      </c>
      <c r="G360" s="277">
        <f t="shared" si="297"/>
        <v>24.976362600000005</v>
      </c>
      <c r="H360" s="277">
        <f t="shared" si="297"/>
        <v>23.727544470000005</v>
      </c>
      <c r="I360" s="277">
        <f t="shared" si="297"/>
        <v>22.541167246500002</v>
      </c>
      <c r="J360" s="277">
        <f t="shared" si="297"/>
        <v>21.414108884175</v>
      </c>
      <c r="K360" s="277">
        <f t="shared" si="297"/>
        <v>20.343403439966249</v>
      </c>
      <c r="L360" s="277">
        <f t="shared" si="297"/>
        <v>19.326233267967936</v>
      </c>
      <c r="M360" s="277">
        <f t="shared" si="297"/>
        <v>18.359921604569536</v>
      </c>
      <c r="N360" s="277">
        <f t="shared" si="297"/>
        <v>17.441925524341059</v>
      </c>
      <c r="O360" s="277">
        <f t="shared" si="297"/>
        <v>16.569829248124005</v>
      </c>
      <c r="P360" s="277">
        <f t="shared" si="297"/>
        <v>15.741337785717803</v>
      </c>
      <c r="Q360" s="277">
        <f t="shared" si="297"/>
        <v>14.954270896431913</v>
      </c>
      <c r="S360" s="287" t="s">
        <v>743</v>
      </c>
      <c r="T360" s="256">
        <f>T353-T357</f>
        <v>4</v>
      </c>
      <c r="U360" s="256">
        <f>T360-2</f>
        <v>2</v>
      </c>
      <c r="V360" s="256"/>
    </row>
    <row r="361" spans="1:22" hidden="1" outlineLevel="1">
      <c r="A361" s="279" t="s">
        <v>733</v>
      </c>
      <c r="B361" s="280">
        <f t="shared" ref="B361:Q361" si="298">B360*B$45</f>
        <v>0</v>
      </c>
      <c r="C361" s="280">
        <f t="shared" si="298"/>
        <v>0</v>
      </c>
      <c r="D361" s="280">
        <f t="shared" si="298"/>
        <v>0</v>
      </c>
      <c r="E361" s="280">
        <f t="shared" ca="1" si="298"/>
        <v>26.347916292380457</v>
      </c>
      <c r="F361" s="280">
        <f t="shared" ca="1" si="298"/>
        <v>23.337258240308273</v>
      </c>
      <c r="G361" s="280">
        <f t="shared" ca="1" si="298"/>
        <v>20.670614561362378</v>
      </c>
      <c r="H361" s="280">
        <f t="shared" ca="1" si="298"/>
        <v>18.308676278279133</v>
      </c>
      <c r="I361" s="280">
        <f t="shared" ca="1" si="298"/>
        <v>16.216626074069072</v>
      </c>
      <c r="J361" s="280">
        <f t="shared" ca="1" si="298"/>
        <v>14.36362505017183</v>
      </c>
      <c r="K361" s="280">
        <f t="shared" ca="1" si="298"/>
        <v>12.722358130451454</v>
      </c>
      <c r="L361" s="280">
        <f t="shared" ca="1" si="298"/>
        <v>11.268631409835358</v>
      </c>
      <c r="M361" s="280">
        <f t="shared" ca="1" si="298"/>
        <v>9.9810155121157553</v>
      </c>
      <c r="N361" s="280">
        <f t="shared" ca="1" si="298"/>
        <v>8.8405296996532865</v>
      </c>
      <c r="O361" s="280">
        <f t="shared" ca="1" si="298"/>
        <v>7.8303620784459307</v>
      </c>
      <c r="P361" s="280">
        <f t="shared" ca="1" si="298"/>
        <v>6.9356217741080339</v>
      </c>
      <c r="Q361" s="280">
        <f t="shared" ca="1" si="298"/>
        <v>6.1431194255870603</v>
      </c>
      <c r="S361" s="289" t="s">
        <v>744</v>
      </c>
      <c r="T361" s="288">
        <f>VLOOKUP(S361,$Y$32:$AB$34,2,0)</f>
        <v>-0.7</v>
      </c>
      <c r="U361" s="288">
        <f>VLOOKUP(S361,$Y$32:$AB$34,3,0)</f>
        <v>-0.35</v>
      </c>
      <c r="V361" s="288">
        <f>VLOOKUP(S361,$Y$32:$AB$34,4,0)</f>
        <v>-0.1</v>
      </c>
    </row>
    <row r="362" spans="1:22" hidden="1" outlineLevel="1">
      <c r="A362" s="270" t="s">
        <v>734</v>
      </c>
      <c r="B362" s="213">
        <f ca="1">SUM(B361:Q361)</f>
        <v>182.96635452676804</v>
      </c>
      <c r="C362" s="277"/>
      <c r="D362" s="277"/>
      <c r="E362" s="277"/>
      <c r="F362" s="277"/>
      <c r="G362" s="277"/>
      <c r="H362" s="277"/>
      <c r="I362" s="277"/>
      <c r="J362" s="277"/>
      <c r="K362" s="277"/>
      <c r="L362" s="277"/>
      <c r="M362" s="277"/>
      <c r="N362" s="256"/>
      <c r="O362" s="256"/>
      <c r="P362" s="256"/>
      <c r="Q362" s="256"/>
    </row>
    <row r="363" spans="1:22" hidden="1" outlineLevel="1">
      <c r="A363" s="281" t="s">
        <v>735</v>
      </c>
      <c r="B363" s="213">
        <f ca="1">(Q360*(1+C363))/(DCF!$H$31-NPV!C363)*NPV!$Q$45</f>
        <v>47.618680685873549</v>
      </c>
      <c r="C363" s="282">
        <v>-0.05</v>
      </c>
      <c r="D363" s="277"/>
      <c r="E363" s="277"/>
      <c r="F363" s="277"/>
      <c r="G363" s="277"/>
      <c r="H363" s="277"/>
      <c r="I363" s="277"/>
      <c r="J363" s="277"/>
      <c r="K363" s="277"/>
      <c r="L363" s="277"/>
      <c r="M363" s="277"/>
      <c r="N363" s="256"/>
      <c r="O363" s="256"/>
      <c r="P363" s="256"/>
      <c r="Q363" s="256"/>
    </row>
    <row r="364" spans="1:22" hidden="1" outlineLevel="1">
      <c r="A364" s="281" t="s">
        <v>736</v>
      </c>
      <c r="B364" s="213">
        <f ca="1">SUM(B362:B363)/DCF!$C$30</f>
        <v>9.8288591309736398E-2</v>
      </c>
      <c r="C364" s="283"/>
      <c r="D364" s="283"/>
      <c r="E364" s="283"/>
      <c r="F364" s="283"/>
      <c r="G364" s="283"/>
      <c r="H364" s="283"/>
      <c r="I364" s="283"/>
      <c r="J364" s="283"/>
      <c r="K364" s="283"/>
      <c r="L364" s="283"/>
      <c r="M364" s="256"/>
      <c r="N364" s="256"/>
      <c r="O364" s="256"/>
      <c r="P364" s="256"/>
      <c r="Q364" s="256"/>
    </row>
    <row r="365" spans="1:22" hidden="1" outlineLevel="1">
      <c r="A365" s="284" t="s">
        <v>737</v>
      </c>
      <c r="B365" s="285">
        <f ca="1">B364/DCF!$H$24</f>
        <v>9.5425816805569316E-2</v>
      </c>
    </row>
    <row r="366" spans="1:22" hidden="1" outlineLevel="1"/>
    <row r="367" spans="1:22" collapsed="1">
      <c r="A367" s="265" t="s">
        <v>748</v>
      </c>
      <c r="B367" s="266">
        <v>2015</v>
      </c>
      <c r="C367" s="266">
        <v>2016</v>
      </c>
      <c r="D367" s="266">
        <v>2017</v>
      </c>
      <c r="E367" s="266">
        <v>2018</v>
      </c>
      <c r="F367" s="266">
        <v>2019</v>
      </c>
      <c r="G367" s="266">
        <v>2020</v>
      </c>
      <c r="H367" s="266">
        <v>2021</v>
      </c>
      <c r="I367" s="266">
        <v>2022</v>
      </c>
      <c r="J367" s="266">
        <v>2023</v>
      </c>
      <c r="K367" s="266">
        <v>2024</v>
      </c>
      <c r="L367" s="266">
        <v>2025</v>
      </c>
      <c r="M367" s="266">
        <v>2026</v>
      </c>
      <c r="N367" s="266">
        <v>2027</v>
      </c>
      <c r="O367" s="266">
        <v>2028</v>
      </c>
      <c r="P367" s="266">
        <v>2029</v>
      </c>
      <c r="Q367" s="267">
        <v>2030</v>
      </c>
    </row>
    <row r="368" spans="1:22">
      <c r="A368" s="290" t="s">
        <v>729</v>
      </c>
      <c r="B368" s="291">
        <f>B323+B353+B338</f>
        <v>869</v>
      </c>
      <c r="C368" s="291">
        <f t="shared" ref="C368:Q368" si="299">C323+C353+C338</f>
        <v>568</v>
      </c>
      <c r="D368" s="291">
        <f t="shared" si="299"/>
        <v>483</v>
      </c>
      <c r="E368" s="291">
        <f t="shared" si="299"/>
        <v>136.12216041946402</v>
      </c>
      <c r="F368" s="291">
        <f t="shared" si="299"/>
        <v>183.29490618829638</v>
      </c>
      <c r="G368" s="291">
        <f t="shared" si="299"/>
        <v>229.84124759745532</v>
      </c>
      <c r="H368" s="291">
        <f t="shared" si="299"/>
        <v>368.94270110067856</v>
      </c>
      <c r="I368" s="291">
        <f t="shared" si="299"/>
        <v>479.08854048157832</v>
      </c>
      <c r="J368" s="291">
        <f t="shared" si="299"/>
        <v>717.73991698448276</v>
      </c>
      <c r="K368" s="291">
        <f t="shared" si="299"/>
        <v>751.69304461595732</v>
      </c>
      <c r="L368" s="291">
        <f t="shared" si="299"/>
        <v>787.8308620087281</v>
      </c>
      <c r="M368" s="291">
        <f t="shared" si="299"/>
        <v>798.85065736949878</v>
      </c>
      <c r="N368" s="291">
        <f t="shared" si="299"/>
        <v>810.32768973145517</v>
      </c>
      <c r="O368" s="291">
        <f t="shared" si="299"/>
        <v>822.25926177992221</v>
      </c>
      <c r="P368" s="291">
        <f t="shared" si="299"/>
        <v>834.6432143566667</v>
      </c>
      <c r="Q368" s="291">
        <f t="shared" si="299"/>
        <v>847.47790761788883</v>
      </c>
    </row>
    <row r="369" spans="1:22">
      <c r="A369" s="292" t="s">
        <v>579</v>
      </c>
      <c r="B369" s="293"/>
      <c r="C369" s="293">
        <f t="shared" ref="C369:Q369" si="300">C368/B368-1</f>
        <v>-0.34637514384349832</v>
      </c>
      <c r="D369" s="293">
        <f t="shared" si="300"/>
        <v>-0.14964788732394363</v>
      </c>
      <c r="E369" s="293">
        <f t="shared" si="300"/>
        <v>-0.71817358091208283</v>
      </c>
      <c r="F369" s="293">
        <f t="shared" si="300"/>
        <v>0.34654714282720978</v>
      </c>
      <c r="G369" s="293">
        <f t="shared" si="300"/>
        <v>0.25394236194072151</v>
      </c>
      <c r="H369" s="293">
        <f t="shared" si="300"/>
        <v>0.6052066587579874</v>
      </c>
      <c r="I369" s="293">
        <f t="shared" si="300"/>
        <v>0.29854456817358943</v>
      </c>
      <c r="J369" s="293">
        <f t="shared" si="300"/>
        <v>0.49813626571617187</v>
      </c>
      <c r="K369" s="293">
        <f t="shared" si="300"/>
        <v>4.7305614231580417E-2</v>
      </c>
      <c r="L369" s="293">
        <f t="shared" si="300"/>
        <v>4.8075231840456478E-2</v>
      </c>
      <c r="M369" s="293">
        <f t="shared" si="300"/>
        <v>1.3987514188862349E-2</v>
      </c>
      <c r="N369" s="293">
        <f t="shared" si="300"/>
        <v>1.4366931110438852E-2</v>
      </c>
      <c r="O369" s="293">
        <f t="shared" si="300"/>
        <v>1.4724379037844848E-2</v>
      </c>
      <c r="P369" s="293">
        <f t="shared" si="300"/>
        <v>1.506088548025275E-2</v>
      </c>
      <c r="Q369" s="293">
        <f t="shared" si="300"/>
        <v>1.5377460740653159E-2</v>
      </c>
    </row>
    <row r="370" spans="1:22">
      <c r="A370" s="294" t="s">
        <v>730</v>
      </c>
      <c r="B370" s="295">
        <f>B325+B355+B340</f>
        <v>340.32000000000005</v>
      </c>
      <c r="C370" s="295">
        <f t="shared" ref="C370:Q370" si="301">C325+C355+C340</f>
        <v>219.04</v>
      </c>
      <c r="D370" s="295">
        <f t="shared" si="301"/>
        <v>183.27</v>
      </c>
      <c r="E370" s="295">
        <f t="shared" si="301"/>
        <v>40.905791379244178</v>
      </c>
      <c r="F370" s="295">
        <f t="shared" si="301"/>
        <v>51.693502559736856</v>
      </c>
      <c r="G370" s="295">
        <f t="shared" si="301"/>
        <v>64.493432060555307</v>
      </c>
      <c r="H370" s="295">
        <f t="shared" si="301"/>
        <v>103.91671123253262</v>
      </c>
      <c r="I370" s="295">
        <f t="shared" si="301"/>
        <v>140.99884006275917</v>
      </c>
      <c r="J370" s="295">
        <f t="shared" si="301"/>
        <v>222.10209438639336</v>
      </c>
      <c r="K370" s="295">
        <f t="shared" si="301"/>
        <v>246.36937591676022</v>
      </c>
      <c r="L370" s="295">
        <f t="shared" si="301"/>
        <v>272.94598939838346</v>
      </c>
      <c r="M370" s="295">
        <f t="shared" si="301"/>
        <v>291.91779128571591</v>
      </c>
      <c r="N370" s="295">
        <f t="shared" si="301"/>
        <v>311.65202321351217</v>
      </c>
      <c r="O370" s="295">
        <f t="shared" si="301"/>
        <v>332.16595684459924</v>
      </c>
      <c r="P370" s="295">
        <f t="shared" si="301"/>
        <v>353.47753157720308</v>
      </c>
      <c r="Q370" s="295">
        <f t="shared" si="301"/>
        <v>375.60536025365394</v>
      </c>
    </row>
    <row r="371" spans="1:22">
      <c r="A371" s="292" t="s">
        <v>580</v>
      </c>
      <c r="B371" s="293">
        <f t="shared" ref="B371:Q371" si="302">B370/B368</f>
        <v>0.39162255466052942</v>
      </c>
      <c r="C371" s="293">
        <f t="shared" si="302"/>
        <v>0.38563380281690141</v>
      </c>
      <c r="D371" s="293">
        <f t="shared" si="302"/>
        <v>0.3794409937888199</v>
      </c>
      <c r="E371" s="293">
        <f t="shared" si="302"/>
        <v>0.30050795001483893</v>
      </c>
      <c r="F371" s="293">
        <f t="shared" si="302"/>
        <v>0.28202367231434583</v>
      </c>
      <c r="G371" s="293">
        <f t="shared" si="302"/>
        <v>0.28059990421523168</v>
      </c>
      <c r="H371" s="293">
        <f t="shared" si="302"/>
        <v>0.28166084034868982</v>
      </c>
      <c r="I371" s="293">
        <f t="shared" si="302"/>
        <v>0.29430643429923742</v>
      </c>
      <c r="J371" s="293">
        <f t="shared" si="302"/>
        <v>0.30944648490435722</v>
      </c>
      <c r="K371" s="293">
        <f t="shared" si="302"/>
        <v>0.32775263477744593</v>
      </c>
      <c r="L371" s="293">
        <f t="shared" si="302"/>
        <v>0.3464525224392131</v>
      </c>
      <c r="M371" s="293">
        <f t="shared" si="302"/>
        <v>0.36542223329571955</v>
      </c>
      <c r="N371" s="293">
        <f t="shared" si="302"/>
        <v>0.38459999227817887</v>
      </c>
      <c r="O371" s="293">
        <f t="shared" si="302"/>
        <v>0.40396742522008039</v>
      </c>
      <c r="P371" s="293">
        <f t="shared" si="302"/>
        <v>0.42350734481159047</v>
      </c>
      <c r="Q371" s="293">
        <f t="shared" si="302"/>
        <v>0.44320371879594417</v>
      </c>
    </row>
    <row r="372" spans="1:22">
      <c r="A372" s="292" t="s">
        <v>731</v>
      </c>
      <c r="B372" s="296">
        <f>B327+B357+B342</f>
        <v>49.531388021572532</v>
      </c>
      <c r="C372" s="296">
        <f t="shared" ref="C372:Q372" si="303">C327+C357+C342</f>
        <v>32.917689823507324</v>
      </c>
      <c r="D372" s="296">
        <f t="shared" si="303"/>
        <v>28.023435966086566</v>
      </c>
      <c r="E372" s="296">
        <f t="shared" si="303"/>
        <v>6.5449266206790684</v>
      </c>
      <c r="F372" s="296">
        <f t="shared" si="303"/>
        <v>8.2709604095578975</v>
      </c>
      <c r="G372" s="296">
        <f t="shared" si="303"/>
        <v>10.318949129688848</v>
      </c>
      <c r="H372" s="296">
        <f t="shared" si="303"/>
        <v>16.626673797205221</v>
      </c>
      <c r="I372" s="296">
        <f t="shared" si="303"/>
        <v>22.559814410041469</v>
      </c>
      <c r="J372" s="296">
        <f t="shared" si="303"/>
        <v>35.536335101822942</v>
      </c>
      <c r="K372" s="296">
        <f t="shared" si="303"/>
        <v>39.419100146681636</v>
      </c>
      <c r="L372" s="296">
        <f t="shared" si="303"/>
        <v>43.671358303741357</v>
      </c>
      <c r="M372" s="296">
        <f t="shared" si="303"/>
        <v>46.706846605714546</v>
      </c>
      <c r="N372" s="296">
        <f t="shared" si="303"/>
        <v>49.864323714161948</v>
      </c>
      <c r="O372" s="296">
        <f t="shared" si="303"/>
        <v>53.146553095135879</v>
      </c>
      <c r="P372" s="296">
        <f t="shared" si="303"/>
        <v>56.556405052352495</v>
      </c>
      <c r="Q372" s="296">
        <f t="shared" si="303"/>
        <v>60.096857640584631</v>
      </c>
    </row>
    <row r="373" spans="1:22">
      <c r="A373" s="292" t="s">
        <v>635</v>
      </c>
      <c r="B373" s="297">
        <f>'P&amp;L'!G$120</f>
        <v>0.1455435708203236</v>
      </c>
      <c r="C373" s="297">
        <f>'P&amp;L'!H$120</f>
        <v>0.15028163725122043</v>
      </c>
      <c r="D373" s="297">
        <f>'P&amp;L'!I$120</f>
        <v>0.15290792800832961</v>
      </c>
      <c r="E373" s="297">
        <f>'P&amp;L'!J$120</f>
        <v>0.16</v>
      </c>
      <c r="F373" s="297">
        <f>'P&amp;L'!K$120</f>
        <v>0.16</v>
      </c>
      <c r="G373" s="297">
        <f>'P&amp;L'!L$120</f>
        <v>0.16</v>
      </c>
      <c r="H373" s="297">
        <f>'P&amp;L'!M$120</f>
        <v>0.16</v>
      </c>
      <c r="I373" s="297">
        <f>'P&amp;L'!N$120</f>
        <v>0.16</v>
      </c>
      <c r="J373" s="297">
        <f>'P&amp;L'!O$120</f>
        <v>0.16</v>
      </c>
      <c r="K373" s="297">
        <f>'P&amp;L'!P$120</f>
        <v>0.16</v>
      </c>
      <c r="L373" s="297">
        <f>'P&amp;L'!Q$120</f>
        <v>0.16</v>
      </c>
      <c r="M373" s="297">
        <f t="shared" ref="M373" si="304">L373</f>
        <v>0.16</v>
      </c>
      <c r="N373" s="297">
        <f t="shared" ref="N373" si="305">M373</f>
        <v>0.16</v>
      </c>
      <c r="O373" s="297">
        <f t="shared" ref="O373" si="306">N373</f>
        <v>0.16</v>
      </c>
      <c r="P373" s="297">
        <f t="shared" ref="P373" si="307">O373</f>
        <v>0.16</v>
      </c>
      <c r="Q373" s="297">
        <f t="shared" ref="Q373" si="308">P373</f>
        <v>0.16</v>
      </c>
    </row>
    <row r="374" spans="1:22">
      <c r="A374" s="298" t="s">
        <v>732</v>
      </c>
      <c r="B374" s="296">
        <f>B370-B372</f>
        <v>290.78861197842753</v>
      </c>
      <c r="C374" s="296">
        <f t="shared" ref="C374:Q374" si="309">C370-C372</f>
        <v>186.12231017649268</v>
      </c>
      <c r="D374" s="296">
        <f t="shared" si="309"/>
        <v>155.24656403391344</v>
      </c>
      <c r="E374" s="296">
        <f t="shared" si="309"/>
        <v>34.360864758565107</v>
      </c>
      <c r="F374" s="296">
        <f t="shared" si="309"/>
        <v>43.422542150178955</v>
      </c>
      <c r="G374" s="296">
        <f t="shared" si="309"/>
        <v>54.174482930866461</v>
      </c>
      <c r="H374" s="296">
        <f t="shared" si="309"/>
        <v>87.290037435327406</v>
      </c>
      <c r="I374" s="296">
        <f t="shared" si="309"/>
        <v>118.4390256527177</v>
      </c>
      <c r="J374" s="296">
        <f t="shared" si="309"/>
        <v>186.56575928457042</v>
      </c>
      <c r="K374" s="296">
        <f t="shared" si="309"/>
        <v>206.95027577007858</v>
      </c>
      <c r="L374" s="296">
        <f t="shared" si="309"/>
        <v>229.2746310946421</v>
      </c>
      <c r="M374" s="296">
        <f t="shared" si="309"/>
        <v>245.21094468000138</v>
      </c>
      <c r="N374" s="296">
        <f t="shared" si="309"/>
        <v>261.7876994993502</v>
      </c>
      <c r="O374" s="296">
        <f t="shared" si="309"/>
        <v>279.01940374946338</v>
      </c>
      <c r="P374" s="296">
        <f t="shared" si="309"/>
        <v>296.92112652485059</v>
      </c>
      <c r="Q374" s="296">
        <f t="shared" si="309"/>
        <v>315.50850261306931</v>
      </c>
    </row>
    <row r="375" spans="1:22">
      <c r="A375" s="292" t="s">
        <v>607</v>
      </c>
      <c r="B375" s="299">
        <f>B374</f>
        <v>290.78861197842753</v>
      </c>
      <c r="C375" s="299">
        <f t="shared" ref="C375:Q375" si="310">C374</f>
        <v>186.12231017649268</v>
      </c>
      <c r="D375" s="299">
        <f t="shared" si="310"/>
        <v>155.24656403391344</v>
      </c>
      <c r="E375" s="299">
        <f t="shared" si="310"/>
        <v>34.360864758565107</v>
      </c>
      <c r="F375" s="299">
        <f t="shared" si="310"/>
        <v>43.422542150178955</v>
      </c>
      <c r="G375" s="299">
        <f t="shared" si="310"/>
        <v>54.174482930866461</v>
      </c>
      <c r="H375" s="299">
        <f t="shared" si="310"/>
        <v>87.290037435327406</v>
      </c>
      <c r="I375" s="299">
        <f t="shared" si="310"/>
        <v>118.4390256527177</v>
      </c>
      <c r="J375" s="299">
        <f t="shared" si="310"/>
        <v>186.56575928457042</v>
      </c>
      <c r="K375" s="299">
        <f t="shared" si="310"/>
        <v>206.95027577007858</v>
      </c>
      <c r="L375" s="299">
        <f t="shared" si="310"/>
        <v>229.2746310946421</v>
      </c>
      <c r="M375" s="299">
        <f t="shared" si="310"/>
        <v>245.21094468000138</v>
      </c>
      <c r="N375" s="299">
        <f t="shared" si="310"/>
        <v>261.7876994993502</v>
      </c>
      <c r="O375" s="299">
        <f t="shared" si="310"/>
        <v>279.01940374946338</v>
      </c>
      <c r="P375" s="299">
        <f t="shared" si="310"/>
        <v>296.92112652485059</v>
      </c>
      <c r="Q375" s="299">
        <f t="shared" si="310"/>
        <v>315.50850261306931</v>
      </c>
    </row>
    <row r="376" spans="1:22">
      <c r="A376" s="300" t="s">
        <v>733</v>
      </c>
      <c r="B376" s="301">
        <f t="shared" ref="B376:Q376" si="311">B375*B$45</f>
        <v>0</v>
      </c>
      <c r="C376" s="301">
        <f t="shared" si="311"/>
        <v>0</v>
      </c>
      <c r="D376" s="301">
        <f t="shared" si="311"/>
        <v>0</v>
      </c>
      <c r="E376" s="301">
        <f t="shared" ca="1" si="311"/>
        <v>32.713603081827948</v>
      </c>
      <c r="F376" s="301">
        <f t="shared" ca="1" si="311"/>
        <v>38.544240450325916</v>
      </c>
      <c r="G376" s="301">
        <f t="shared" ca="1" si="311"/>
        <v>44.835185717757227</v>
      </c>
      <c r="H376" s="301">
        <f t="shared" ca="1" si="311"/>
        <v>67.354843217886341</v>
      </c>
      <c r="I376" s="301">
        <f t="shared" ca="1" si="311"/>
        <v>85.20771664499425</v>
      </c>
      <c r="J376" s="301">
        <f t="shared" ca="1" si="311"/>
        <v>125.13995459995644</v>
      </c>
      <c r="K376" s="301">
        <f t="shared" ca="1" si="311"/>
        <v>129.4225684169491</v>
      </c>
      <c r="L376" s="301">
        <f t="shared" ca="1" si="311"/>
        <v>133.68416253743962</v>
      </c>
      <c r="M376" s="301">
        <f t="shared" ca="1" si="311"/>
        <v>133.30417718028349</v>
      </c>
      <c r="N376" s="301">
        <f t="shared" ca="1" si="311"/>
        <v>132.68844252305388</v>
      </c>
      <c r="O376" s="301">
        <f t="shared" ca="1" si="311"/>
        <v>131.85549021380245</v>
      </c>
      <c r="P376" s="301">
        <f t="shared" ca="1" si="311"/>
        <v>130.82322851790167</v>
      </c>
      <c r="Q376" s="301">
        <f t="shared" ca="1" si="311"/>
        <v>129.60888730474232</v>
      </c>
    </row>
    <row r="377" spans="1:22">
      <c r="A377" s="270" t="s">
        <v>734</v>
      </c>
      <c r="B377" s="213">
        <f ca="1">B332+B362</f>
        <v>182.96635452676804</v>
      </c>
      <c r="C377" s="277"/>
      <c r="D377" s="277"/>
      <c r="E377" s="277"/>
      <c r="F377" s="277"/>
      <c r="G377" s="277"/>
      <c r="H377" s="277"/>
      <c r="I377" s="277"/>
      <c r="J377" s="277"/>
      <c r="K377" s="277"/>
      <c r="L377" s="277"/>
      <c r="M377" s="277"/>
      <c r="N377" s="256"/>
      <c r="O377" s="256"/>
      <c r="P377" s="256"/>
      <c r="Q377" s="256"/>
    </row>
    <row r="378" spans="1:22">
      <c r="A378" s="281" t="s">
        <v>735</v>
      </c>
      <c r="B378" s="213">
        <f ca="1">B333+B363</f>
        <v>47.618680685873549</v>
      </c>
      <c r="C378" s="282"/>
      <c r="D378" s="277"/>
      <c r="E378" s="277"/>
      <c r="F378" s="277"/>
      <c r="G378" s="277"/>
      <c r="H378" s="277"/>
      <c r="I378" s="277"/>
      <c r="J378" s="277"/>
      <c r="K378" s="277"/>
      <c r="L378" s="277"/>
      <c r="M378" s="277"/>
      <c r="N378" s="256"/>
      <c r="O378" s="256"/>
      <c r="P378" s="256"/>
      <c r="Q378" s="256"/>
    </row>
    <row r="379" spans="1:22">
      <c r="A379" s="281" t="s">
        <v>736</v>
      </c>
      <c r="B379" s="213">
        <f ca="1">SUM(B377:B378)/DCF!$C$30</f>
        <v>9.8288591309736398E-2</v>
      </c>
      <c r="C379" s="283"/>
      <c r="D379" s="283"/>
      <c r="E379" s="283"/>
      <c r="F379" s="283"/>
      <c r="G379" s="283"/>
      <c r="H379" s="283"/>
      <c r="I379" s="283"/>
      <c r="J379" s="283"/>
      <c r="K379" s="283"/>
      <c r="L379" s="283"/>
      <c r="M379" s="256"/>
      <c r="N379" s="256"/>
      <c r="O379" s="256"/>
      <c r="P379" s="256"/>
      <c r="Q379" s="256"/>
    </row>
    <row r="380" spans="1:22">
      <c r="A380" s="284" t="s">
        <v>737</v>
      </c>
      <c r="B380" s="285">
        <f ca="1">B379/DCF!$H$24</f>
        <v>9.5425816805569316E-2</v>
      </c>
    </row>
    <row r="382" spans="1:22">
      <c r="A382" s="265" t="s">
        <v>35</v>
      </c>
      <c r="B382" s="266">
        <v>2015</v>
      </c>
      <c r="C382" s="266">
        <v>2016</v>
      </c>
      <c r="D382" s="266">
        <v>2017</v>
      </c>
      <c r="E382" s="266">
        <v>2018</v>
      </c>
      <c r="F382" s="266">
        <v>2019</v>
      </c>
      <c r="G382" s="266">
        <v>2020</v>
      </c>
      <c r="H382" s="266">
        <v>2021</v>
      </c>
      <c r="I382" s="266">
        <v>2022</v>
      </c>
      <c r="J382" s="266">
        <v>2023</v>
      </c>
      <c r="K382" s="266">
        <v>2024</v>
      </c>
      <c r="L382" s="266">
        <v>2025</v>
      </c>
      <c r="M382" s="266">
        <v>2026</v>
      </c>
      <c r="N382" s="266">
        <v>2027</v>
      </c>
      <c r="O382" s="266">
        <v>2028</v>
      </c>
      <c r="P382" s="266">
        <v>2029</v>
      </c>
      <c r="Q382" s="267">
        <v>2030</v>
      </c>
      <c r="S382" s="256" t="s">
        <v>709</v>
      </c>
      <c r="T382" s="256" t="s">
        <v>710</v>
      </c>
      <c r="U382" s="256"/>
      <c r="V382" s="256"/>
    </row>
    <row r="383" spans="1:22">
      <c r="A383" s="268" t="s">
        <v>729</v>
      </c>
      <c r="B383" s="269">
        <f>Sales!G197</f>
        <v>2060</v>
      </c>
      <c r="C383" s="269">
        <f>Sales!H197</f>
        <v>1835</v>
      </c>
      <c r="D383" s="269">
        <f>Sales!I197</f>
        <v>1888</v>
      </c>
      <c r="E383" s="269">
        <f>Sales!J197</f>
        <v>1966.5702204210054</v>
      </c>
      <c r="F383" s="269">
        <f>Sales!K197</f>
        <v>1868.241709399955</v>
      </c>
      <c r="G383" s="269">
        <f>Sales!L197</f>
        <v>1774.8296239299571</v>
      </c>
      <c r="H383" s="269">
        <f>Sales!M197</f>
        <v>1686.0881427334591</v>
      </c>
      <c r="I383" s="269">
        <f>Sales!N197</f>
        <v>1348.8705141867674</v>
      </c>
      <c r="J383" s="269">
        <f>Sales!O197</f>
        <v>1079.096411349414</v>
      </c>
      <c r="K383" s="269">
        <f>Sales!P197</f>
        <v>863.27712907953128</v>
      </c>
      <c r="L383" s="269">
        <f>Sales!Q197</f>
        <v>690.62170326362502</v>
      </c>
      <c r="M383" s="269">
        <f>L383*(1+M384)</f>
        <v>587.0284477740812</v>
      </c>
      <c r="N383" s="269">
        <f>M383*(1+N384)</f>
        <v>528.32560299667307</v>
      </c>
      <c r="O383" s="269">
        <f>N383*(1+O384)</f>
        <v>475.49304269700576</v>
      </c>
      <c r="P383" s="269">
        <f>O383*(1+P384)</f>
        <v>427.94373842730522</v>
      </c>
      <c r="Q383" s="269">
        <f>P383*(1+Q384)</f>
        <v>385.1493645845747</v>
      </c>
      <c r="S383" s="213">
        <f>VLOOKUP(A382,$A$2:$H$19,5,0)</f>
        <v>2441</v>
      </c>
      <c r="T383" s="256">
        <f>VLOOKUP(A382,$A$2:$H$19,6,0)</f>
        <v>2014</v>
      </c>
      <c r="U383" s="256"/>
      <c r="V383" s="256"/>
    </row>
    <row r="384" spans="1:22">
      <c r="A384" s="270" t="s">
        <v>579</v>
      </c>
      <c r="B384" s="271"/>
      <c r="C384" s="271">
        <f t="shared" ref="C384:H384" si="312">C383/B383-1</f>
        <v>-0.10922330097087374</v>
      </c>
      <c r="D384" s="271">
        <f t="shared" si="312"/>
        <v>2.8882833787466033E-2</v>
      </c>
      <c r="E384" s="271">
        <f t="shared" si="312"/>
        <v>4.1615582850108801E-2</v>
      </c>
      <c r="F384" s="271">
        <f t="shared" si="312"/>
        <v>-5.0000000000000044E-2</v>
      </c>
      <c r="G384" s="271">
        <f t="shared" si="312"/>
        <v>-5.0000000000000044E-2</v>
      </c>
      <c r="H384" s="271">
        <f t="shared" si="312"/>
        <v>-5.0000000000000044E-2</v>
      </c>
      <c r="I384" s="271">
        <f>I383/H383-1</f>
        <v>-0.19999999999999996</v>
      </c>
      <c r="J384" s="271">
        <f>J383/I383-1</f>
        <v>-0.19999999999999996</v>
      </c>
      <c r="K384" s="271">
        <f t="shared" ref="K384:L384" si="313">K383/J383-1</f>
        <v>-0.19999999999999996</v>
      </c>
      <c r="L384" s="271">
        <f t="shared" si="313"/>
        <v>-0.19999999999999996</v>
      </c>
      <c r="M384" s="272">
        <v>-0.15</v>
      </c>
      <c r="N384" s="272">
        <v>-0.1</v>
      </c>
      <c r="O384" s="272">
        <v>-0.1</v>
      </c>
      <c r="P384" s="272">
        <v>-0.1</v>
      </c>
      <c r="Q384" s="272">
        <v>-0.1</v>
      </c>
      <c r="S384" s="256" t="s">
        <v>738</v>
      </c>
      <c r="T384" s="256"/>
      <c r="U384" s="256"/>
      <c r="V384" s="256"/>
    </row>
    <row r="385" spans="1:22">
      <c r="A385" s="273" t="s">
        <v>730</v>
      </c>
      <c r="B385" s="274">
        <f t="shared" ref="B385:Q385" si="314">B383*B386</f>
        <v>824</v>
      </c>
      <c r="C385" s="274">
        <f t="shared" si="314"/>
        <v>678.95</v>
      </c>
      <c r="D385" s="274">
        <f t="shared" si="314"/>
        <v>641.91999999999996</v>
      </c>
      <c r="E385" s="274">
        <f t="shared" si="314"/>
        <v>766.96238596419209</v>
      </c>
      <c r="F385" s="274">
        <f t="shared" si="314"/>
        <v>728.61426666598243</v>
      </c>
      <c r="G385" s="274">
        <f t="shared" si="314"/>
        <v>692.18355333268323</v>
      </c>
      <c r="H385" s="274">
        <f t="shared" si="314"/>
        <v>657.57437566604904</v>
      </c>
      <c r="I385" s="274">
        <f t="shared" si="314"/>
        <v>526.05950053283937</v>
      </c>
      <c r="J385" s="274">
        <f t="shared" si="314"/>
        <v>420.84760042627147</v>
      </c>
      <c r="K385" s="274">
        <f t="shared" si="314"/>
        <v>336.67808034101722</v>
      </c>
      <c r="L385" s="274">
        <f t="shared" si="314"/>
        <v>269.34246427281374</v>
      </c>
      <c r="M385" s="274">
        <f t="shared" si="314"/>
        <v>228.94109463189167</v>
      </c>
      <c r="N385" s="274">
        <f t="shared" si="314"/>
        <v>206.04698516870249</v>
      </c>
      <c r="O385" s="274">
        <f t="shared" si="314"/>
        <v>185.44228665183226</v>
      </c>
      <c r="P385" s="274">
        <f t="shared" si="314"/>
        <v>166.89805798664904</v>
      </c>
      <c r="Q385" s="274">
        <f t="shared" si="314"/>
        <v>150.20825218798413</v>
      </c>
      <c r="S385" s="282">
        <f>IF(S383&gt;$X$39,$Z$39,$Z$40)</f>
        <v>-0.05</v>
      </c>
      <c r="T385" s="282">
        <f>IF(S383&gt;$X$39,$AA$39,$AA$40)</f>
        <v>-0.03</v>
      </c>
      <c r="U385" s="282">
        <f>IF(S383&gt;$X$39,$AB$39,$AB$40)</f>
        <v>-0.03</v>
      </c>
      <c r="V385" s="256"/>
    </row>
    <row r="386" spans="1:22">
      <c r="A386" s="270" t="s">
        <v>580</v>
      </c>
      <c r="B386" s="286">
        <f>IF(B382-T383&gt;3,T388,IF(B382-T383=1,45%+S385,IF(B382-T383=2,A386+T385,IF(B382-T383=3,A386+U385,IF(B382-T383=0,T389,IF(T383-B382=U390+1,$AA$37,IF(T383-B382=U390+2,$Z$37,IF(B382&lt;T383,C386-(T389-$AB$37)/U390))))))))</f>
        <v>0.4</v>
      </c>
      <c r="C386" s="286">
        <f>IF(C382-T383&gt;3,T388,IF(C382-T383=1,B386+S385,IF(C382-T383=2,B386+T385,IF(C382-T383=3,B386+U385,IF(C382-T383=0,T389,IF(T383-C382=U390+1,$AA$37,IF(T383-C382=U390+2,$Z$37,IF(C382&lt;T383,D386-(T389-$AB$37)/U390))))))))</f>
        <v>0.37</v>
      </c>
      <c r="D386" s="286">
        <f>IF(D382-T383&gt;3,T388,IF(D382-T383=1,C386+S385,IF(D382-T383=2,C386+T385,IF(D382-T383=3,C386+U385,IF(D382-T383=0,T389,IF(T383-D382=U390+1,$AA$37,IF(T383-D382=U390+2,$Z$37,IF(D382&lt;T383,E386-(T389-$AB$37)/U390))))))))</f>
        <v>0.33999999999999997</v>
      </c>
      <c r="E386" s="286">
        <f>IF(E382-T383&gt;3,T388,IF(E382-T383=1,D386+S385,IF(E382-T383=2,D386+T385,IF(E382-T383=3,D386+U385,IF(E382-T383=0,T389,IF(T383-E382=U390+1,$AA$37,IF(T383-E382=U390+2,$Z$37,IF(E382&lt;T383,F386-(T389-$AB$37)/U390))))))))</f>
        <v>0.39</v>
      </c>
      <c r="F386" s="286">
        <f>IF(F382-T383&gt;3,T388,IF(F382-T383=1,E386+S385,IF(F382-T383=2,E386+T385,IF(F382-T383=3,E386+U385,IF(F382-T383=0,T389,IF(T383-F382=U390+1,$AA$37,IF(T383-F382=U390+2,$Z$37,IF(F382&lt;T383,G386-(T389-$AB$37)/U390))))))))</f>
        <v>0.39</v>
      </c>
      <c r="G386" s="286">
        <f>IF(G382-T383&gt;3,T388,IF(G382-T383=1,F386+S385,IF(G382-T383=2,F386+T385,IF(G382-T383=3,F386+U385,IF(G382-T383=0,T389,IF(T383-G382=U390+1,$AA$37,IF(T383-G382=U390+2,$Z$37,IF(G382&lt;T383,H386-(T389-$AB$37)/U390))))))))</f>
        <v>0.39</v>
      </c>
      <c r="H386" s="286">
        <f>IF(H382-T383&gt;3,T388,IF(H382-T383=1,G386+S385,IF(H382-T383=2,G386+T385,IF(H382-T383=3,G386+U385,IF(H382-T383=0,T389,IF(T383-H382=U390+1,$AA$37,IF(T383-H382=U390+2,$Z$37,IF(H382&lt;T383,I386-(T389-$AB$37)/U390))))))))</f>
        <v>0.39</v>
      </c>
      <c r="I386" s="286">
        <f>IF(I382-T383&gt;3,T388,IF(I382-T383=1,H386+S385,IF(I382-T383=2,H386+T385,IF(I382-T383=3,H386+U385,IF(I382-T383=0,T389,IF(T383-I382=U390+1,$AA$37,IF(T383-I382=U390+2,$Z$37,IF(I382&lt;T383,J386-(T389-$AB$37)/U390))))))))</f>
        <v>0.39</v>
      </c>
      <c r="J386" s="286">
        <f>IF(J382-T383&gt;3,T388,IF(J382-T383=1,I386+S385,IF(J382-T383=2,I386+T385,IF(J382-T383=3,I386+U385,IF(J382-T383=0,T389,IF(T383-J382=U390+1,$AA$37,IF(T383-J382=U390+2,$Z$37,IF(J382&lt;T383,K386-(T389-$AB$37)/U390))))))))</f>
        <v>0.39</v>
      </c>
      <c r="K386" s="286">
        <f>IF(K382-T383&gt;3,T388,IF(K382-T383=1,J386+S385,IF(K382-T383=2,J386+T385,IF(K382-T383=3,J386+U385,IF(K382-T383=0,T389,IF(T383-K382=U390+1,$AA$37,IF(T383-K382=U390+2,$Z$37,IF(K382&lt;T383,L386-(T389-$AB$37)/U390))))))))</f>
        <v>0.39</v>
      </c>
      <c r="L386" s="286">
        <f>IF(L382-T383&gt;3,T388,IF(L382-T383=1,K386+S385,IF(L382-T383=2,K386+T385,IF(L382-T383=3,K386+U385,IF(L382-T383=0,T389,IF(T383-L382=U390+1,$AA$37,IF(T383-L382=U390+2,$Z$37,IF(L382&lt;T383,M386-(T389-$AB$37)/U390))))))))</f>
        <v>0.39</v>
      </c>
      <c r="M386" s="286">
        <f>IF(M382-T383&gt;3,T388,IF(M382-T383=1,L386+S385,IF(M382-T383=2,L386+T385,IF(M382-T383=3,L386+U385,IF(M382-T383=0,T389,IF(T383-M382=U390+1,$AA$37,IF(T383-M382=U390+2,$Z$37,IF(M382&lt;T383,N386-(T389-$AB$37)/U390))))))))</f>
        <v>0.39</v>
      </c>
      <c r="N386" s="286">
        <f>IF(N382-T383&gt;3,T388,IF(N382-T383=1,M386+S385,IF(N382-T383=2,M386+T385,IF(N382-T383=3,M386+U385,IF(N382-T383=0,T389,IF(T383-N382=U390+1,$AA$37,IF(T383-N382=U390+2,$Z$37,IF(N382&lt;T383,O386-(T389-$AB$37)/U390))))))))</f>
        <v>0.39</v>
      </c>
      <c r="O386" s="286">
        <f>IF(O382-T383&gt;3,T388,IF(O382-T383=1,N386+S385,IF(O382-T383=2,N386+T385,IF(O382-T383=3,N386+U385,IF(O382-T383=0,T389,IF(T383-O382=U390+1,$AA$37,IF(T383-O382=U390+2,$Z$37,IF(O382&lt;T383,P386-(T389-$AB$37)/U390))))))))</f>
        <v>0.39</v>
      </c>
      <c r="P386" s="286">
        <f>IF(P382-T383&gt;3,T388,IF(P382-T383=1,O386+S385,IF(P382-T383=2,O386+T385,IF(P382-T383=3,O386+U385,IF(P382-T383=0,T389,IF(T383-P382=U390+1,$AA$37,IF(T383-P382=U390+2,$Z$37,IF(P382&lt;T383,Q386-(T389-$AB$37)/U390))))))))</f>
        <v>0.39</v>
      </c>
      <c r="Q386" s="286">
        <f>IF(Q382-T383&gt;3,T388,IF(Q382-T383=1,P386+S385,IF(Q382-T383=2,P386+T385,IF(Q382-T383=3,P386+U385,IF(Q382-T383=0,T389,IF(T383-Q382=U390+1,$AA$37,IF(T383-Q382=U390+2,$Z$37,IF(Q382&lt;T383,R386-(T389-$AB$37)/U390))))))))</f>
        <v>0.39</v>
      </c>
      <c r="S386" s="287" t="s">
        <v>739</v>
      </c>
      <c r="T386" s="213">
        <f>VLOOKUP(A382,$A$2:$H$19,7,0)</f>
        <v>1533</v>
      </c>
      <c r="U386" s="256"/>
      <c r="V386" s="256"/>
    </row>
    <row r="387" spans="1:22">
      <c r="A387" s="270" t="s">
        <v>731</v>
      </c>
      <c r="B387" s="213">
        <f>B385*B388</f>
        <v>119.92790235594664</v>
      </c>
      <c r="C387" s="213">
        <f t="shared" ref="C387:Q387" si="315">C385*C388</f>
        <v>102.03371761171611</v>
      </c>
      <c r="D387" s="213">
        <f t="shared" si="315"/>
        <v>98.154657147106946</v>
      </c>
      <c r="E387" s="213">
        <f t="shared" si="315"/>
        <v>122.71398175427073</v>
      </c>
      <c r="F387" s="213">
        <f t="shared" si="315"/>
        <v>116.57828266655719</v>
      </c>
      <c r="G387" s="213">
        <f t="shared" si="315"/>
        <v>110.74936853322932</v>
      </c>
      <c r="H387" s="213">
        <f t="shared" si="315"/>
        <v>105.21190010656785</v>
      </c>
      <c r="I387" s="213">
        <f t="shared" si="315"/>
        <v>84.169520085254305</v>
      </c>
      <c r="J387" s="213">
        <f t="shared" si="315"/>
        <v>67.335616068203436</v>
      </c>
      <c r="K387" s="213">
        <f t="shared" si="315"/>
        <v>53.86849285456276</v>
      </c>
      <c r="L387" s="213">
        <f t="shared" si="315"/>
        <v>43.094794283650202</v>
      </c>
      <c r="M387" s="213">
        <f t="shared" si="315"/>
        <v>36.630575141102668</v>
      </c>
      <c r="N387" s="213">
        <f t="shared" si="315"/>
        <v>32.967517626992397</v>
      </c>
      <c r="O387" s="213">
        <f t="shared" si="315"/>
        <v>29.670765864293163</v>
      </c>
      <c r="P387" s="213">
        <f t="shared" si="315"/>
        <v>26.703689277863845</v>
      </c>
      <c r="Q387" s="213">
        <f t="shared" si="315"/>
        <v>24.03332035007746</v>
      </c>
      <c r="S387" s="287" t="s">
        <v>740</v>
      </c>
      <c r="T387" s="256">
        <f>VLOOKUP(A382,$A$2:$H$19,8,0)</f>
        <v>2010</v>
      </c>
      <c r="U387" s="256"/>
      <c r="V387" s="256"/>
    </row>
    <row r="388" spans="1:22">
      <c r="A388" s="270" t="s">
        <v>635</v>
      </c>
      <c r="B388" s="196">
        <f>'P&amp;L'!G$120</f>
        <v>0.1455435708203236</v>
      </c>
      <c r="C388" s="196">
        <f>'P&amp;L'!H$120</f>
        <v>0.15028163725122043</v>
      </c>
      <c r="D388" s="196">
        <f>'P&amp;L'!I$120</f>
        <v>0.15290792800832961</v>
      </c>
      <c r="E388" s="196">
        <f>'P&amp;L'!J$120</f>
        <v>0.16</v>
      </c>
      <c r="F388" s="196">
        <f>'P&amp;L'!K$120</f>
        <v>0.16</v>
      </c>
      <c r="G388" s="196">
        <f>'P&amp;L'!L$120</f>
        <v>0.16</v>
      </c>
      <c r="H388" s="196">
        <f>'P&amp;L'!M$120</f>
        <v>0.16</v>
      </c>
      <c r="I388" s="196">
        <f>'P&amp;L'!N$120</f>
        <v>0.16</v>
      </c>
      <c r="J388" s="196">
        <f>'P&amp;L'!O$120</f>
        <v>0.16</v>
      </c>
      <c r="K388" s="196">
        <f>'P&amp;L'!P$120</f>
        <v>0.16</v>
      </c>
      <c r="L388" s="196">
        <f>'P&amp;L'!Q$120</f>
        <v>0.16</v>
      </c>
      <c r="M388" s="196">
        <f t="shared" ref="M388" si="316">L388</f>
        <v>0.16</v>
      </c>
      <c r="N388" s="196">
        <f t="shared" ref="N388" si="317">M388</f>
        <v>0.16</v>
      </c>
      <c r="O388" s="196">
        <f t="shared" ref="O388" si="318">N388</f>
        <v>0.16</v>
      </c>
      <c r="P388" s="196">
        <f t="shared" ref="P388" si="319">O388</f>
        <v>0.16</v>
      </c>
      <c r="Q388" s="196">
        <f t="shared" ref="Q388" si="320">P388</f>
        <v>0.16</v>
      </c>
      <c r="S388" s="287" t="s">
        <v>741</v>
      </c>
      <c r="T388" s="288">
        <f>IF(Q382-T383&gt;3,IF(AND(S383&lt;$X$42,S383&lt;$X$43,S383&lt;$X$44),$AA$45,IF(AND(S383&lt;$X$42,S383&lt;$X$43),$AA$44,IF(S383&lt;$X$42,$AA$43,$AA$42))))</f>
        <v>0.39</v>
      </c>
      <c r="U388" s="256"/>
      <c r="V388" s="256"/>
    </row>
    <row r="389" spans="1:22">
      <c r="A389" s="256" t="s">
        <v>732</v>
      </c>
      <c r="B389" s="213">
        <f>B385-B387</f>
        <v>704.07209764405331</v>
      </c>
      <c r="C389" s="213">
        <f t="shared" ref="C389:Q389" si="321">C385-C387</f>
        <v>576.91628238828389</v>
      </c>
      <c r="D389" s="213">
        <f t="shared" si="321"/>
        <v>543.76534285289301</v>
      </c>
      <c r="E389" s="213">
        <f t="shared" si="321"/>
        <v>644.24840420992132</v>
      </c>
      <c r="F389" s="213">
        <f t="shared" si="321"/>
        <v>612.0359839994253</v>
      </c>
      <c r="G389" s="213">
        <f t="shared" si="321"/>
        <v>581.43418479945387</v>
      </c>
      <c r="H389" s="213">
        <f t="shared" si="321"/>
        <v>552.36247555948114</v>
      </c>
      <c r="I389" s="213">
        <f t="shared" si="321"/>
        <v>441.88998044758506</v>
      </c>
      <c r="J389" s="213">
        <f t="shared" si="321"/>
        <v>353.51198435806805</v>
      </c>
      <c r="K389" s="213">
        <f t="shared" si="321"/>
        <v>282.80958748645446</v>
      </c>
      <c r="L389" s="213">
        <f t="shared" si="321"/>
        <v>226.24766998916354</v>
      </c>
      <c r="M389" s="213">
        <f t="shared" si="321"/>
        <v>192.31051949078901</v>
      </c>
      <c r="N389" s="213">
        <f t="shared" si="321"/>
        <v>173.0794675417101</v>
      </c>
      <c r="O389" s="213">
        <f t="shared" si="321"/>
        <v>155.77152078753909</v>
      </c>
      <c r="P389" s="213">
        <f t="shared" si="321"/>
        <v>140.19436870878519</v>
      </c>
      <c r="Q389" s="213">
        <f t="shared" si="321"/>
        <v>126.17493183790667</v>
      </c>
      <c r="S389" s="287" t="s">
        <v>742</v>
      </c>
      <c r="T389" s="288">
        <f>IF(S383&gt;$X$42,$Z$42,IF(S383&gt;$X$43,$Z$43,IF(S383&gt;$X$44,$Z$44,$Z$45)))</f>
        <v>0.5</v>
      </c>
      <c r="U389" s="256"/>
      <c r="V389" s="256"/>
    </row>
    <row r="390" spans="1:22">
      <c r="A390" s="270" t="s">
        <v>607</v>
      </c>
      <c r="B390" s="277">
        <f>B389</f>
        <v>704.07209764405331</v>
      </c>
      <c r="C390" s="277">
        <f t="shared" ref="C390:Q390" si="322">C389</f>
        <v>576.91628238828389</v>
      </c>
      <c r="D390" s="277">
        <f t="shared" si="322"/>
        <v>543.76534285289301</v>
      </c>
      <c r="E390" s="277">
        <f t="shared" si="322"/>
        <v>644.24840420992132</v>
      </c>
      <c r="F390" s="277">
        <f t="shared" si="322"/>
        <v>612.0359839994253</v>
      </c>
      <c r="G390" s="277">
        <f t="shared" si="322"/>
        <v>581.43418479945387</v>
      </c>
      <c r="H390" s="277">
        <f t="shared" si="322"/>
        <v>552.36247555948114</v>
      </c>
      <c r="I390" s="277">
        <f t="shared" si="322"/>
        <v>441.88998044758506</v>
      </c>
      <c r="J390" s="277">
        <f t="shared" si="322"/>
        <v>353.51198435806805</v>
      </c>
      <c r="K390" s="277">
        <f t="shared" si="322"/>
        <v>282.80958748645446</v>
      </c>
      <c r="L390" s="277">
        <f t="shared" si="322"/>
        <v>226.24766998916354</v>
      </c>
      <c r="M390" s="277">
        <f t="shared" si="322"/>
        <v>192.31051949078901</v>
      </c>
      <c r="N390" s="277">
        <f t="shared" si="322"/>
        <v>173.0794675417101</v>
      </c>
      <c r="O390" s="277">
        <f t="shared" si="322"/>
        <v>155.77152078753909</v>
      </c>
      <c r="P390" s="277">
        <f t="shared" si="322"/>
        <v>140.19436870878519</v>
      </c>
      <c r="Q390" s="277">
        <f t="shared" si="322"/>
        <v>126.17493183790667</v>
      </c>
      <c r="S390" s="287" t="s">
        <v>743</v>
      </c>
      <c r="T390" s="256">
        <f>T383-T387</f>
        <v>4</v>
      </c>
      <c r="U390" s="256">
        <f>T390-2</f>
        <v>2</v>
      </c>
      <c r="V390" s="256"/>
    </row>
    <row r="391" spans="1:22">
      <c r="A391" s="279" t="s">
        <v>733</v>
      </c>
      <c r="B391" s="280">
        <f t="shared" ref="B391:Q391" si="323">B390*B$45</f>
        <v>0</v>
      </c>
      <c r="C391" s="280">
        <f t="shared" si="323"/>
        <v>0</v>
      </c>
      <c r="D391" s="280">
        <f t="shared" si="323"/>
        <v>0</v>
      </c>
      <c r="E391" s="280">
        <f t="shared" ca="1" si="323"/>
        <v>613.36310158407457</v>
      </c>
      <c r="F391" s="280">
        <f t="shared" ca="1" si="323"/>
        <v>543.27685490952877</v>
      </c>
      <c r="G391" s="280">
        <f t="shared" ca="1" si="323"/>
        <v>481.19904884746722</v>
      </c>
      <c r="H391" s="280">
        <f t="shared" ca="1" si="323"/>
        <v>426.21459485931405</v>
      </c>
      <c r="I391" s="280">
        <f t="shared" ca="1" si="323"/>
        <v>317.90565681148786</v>
      </c>
      <c r="J391" s="280">
        <f t="shared" ca="1" si="323"/>
        <v>237.12000445715125</v>
      </c>
      <c r="K391" s="280">
        <f t="shared" ca="1" si="323"/>
        <v>176.8634665947462</v>
      </c>
      <c r="L391" s="280">
        <f t="shared" ca="1" si="323"/>
        <v>131.91921907863949</v>
      </c>
      <c r="M391" s="280">
        <f t="shared" ca="1" si="323"/>
        <v>104.5458863889091</v>
      </c>
      <c r="N391" s="280">
        <f t="shared" ca="1" si="323"/>
        <v>87.726218706031972</v>
      </c>
      <c r="O391" s="280">
        <f t="shared" ca="1" si="323"/>
        <v>73.612551524313076</v>
      </c>
      <c r="P391" s="280">
        <f t="shared" ca="1" si="323"/>
        <v>61.769535058588559</v>
      </c>
      <c r="Q391" s="280">
        <f t="shared" ca="1" si="323"/>
        <v>51.831859952497474</v>
      </c>
      <c r="S391" s="289" t="s">
        <v>744</v>
      </c>
      <c r="T391" s="288">
        <f>VLOOKUP(S391,$Y$32:$AB$34,2,0)</f>
        <v>-0.7</v>
      </c>
      <c r="U391" s="288">
        <f>VLOOKUP(S391,$Y$32:$AB$34,3,0)</f>
        <v>-0.35</v>
      </c>
      <c r="V391" s="288">
        <f>VLOOKUP(S391,$Y$32:$AB$34,4,0)</f>
        <v>-0.1</v>
      </c>
    </row>
    <row r="392" spans="1:22">
      <c r="A392" s="270" t="s">
        <v>734</v>
      </c>
      <c r="B392" s="213">
        <f ca="1">SUM(B391:Q391)</f>
        <v>3307.3479987727487</v>
      </c>
      <c r="C392" s="277"/>
      <c r="D392" s="277"/>
      <c r="E392" s="277"/>
      <c r="F392" s="277"/>
      <c r="G392" s="277"/>
      <c r="H392" s="277"/>
      <c r="I392" s="277"/>
      <c r="J392" s="277"/>
      <c r="K392" s="277"/>
      <c r="L392" s="277"/>
      <c r="M392" s="277"/>
      <c r="N392" s="256"/>
      <c r="O392" s="256"/>
      <c r="P392" s="256"/>
      <c r="Q392" s="256"/>
    </row>
    <row r="393" spans="1:22">
      <c r="A393" s="281" t="s">
        <v>735</v>
      </c>
      <c r="B393" s="213">
        <f ca="1">(Q390*(1+C393))/(DCF!$H$31-NPV!C393)*NPV!$Q$45</f>
        <v>401.7771131312536</v>
      </c>
      <c r="C393" s="286">
        <v>-0.05</v>
      </c>
      <c r="D393" s="277"/>
      <c r="E393" s="277"/>
      <c r="F393" s="277"/>
      <c r="G393" s="277"/>
      <c r="H393" s="277"/>
      <c r="I393" s="277"/>
      <c r="J393" s="277"/>
      <c r="K393" s="277"/>
      <c r="L393" s="277"/>
      <c r="M393" s="277"/>
      <c r="N393" s="256"/>
      <c r="O393" s="256"/>
      <c r="P393" s="256"/>
      <c r="Q393" s="256"/>
    </row>
    <row r="394" spans="1:22">
      <c r="A394" s="281" t="s">
        <v>736</v>
      </c>
      <c r="B394" s="213">
        <f ca="1">SUM(B392:B393)/DCF!$C$30</f>
        <v>1.5810422471884069</v>
      </c>
      <c r="C394" s="283"/>
      <c r="D394" s="283"/>
      <c r="E394" s="283"/>
      <c r="F394" s="283"/>
      <c r="G394" s="283"/>
      <c r="H394" s="283"/>
      <c r="I394" s="283"/>
      <c r="J394" s="283"/>
      <c r="K394" s="283"/>
      <c r="L394" s="283"/>
      <c r="M394" s="256"/>
      <c r="N394" s="256"/>
      <c r="O394" s="256"/>
      <c r="P394" s="256"/>
      <c r="Q394" s="256"/>
    </row>
    <row r="395" spans="1:22">
      <c r="A395" s="284" t="s">
        <v>737</v>
      </c>
      <c r="B395" s="285">
        <f ca="1">B394/DCF!$H$24</f>
        <v>1.5349924729984532</v>
      </c>
    </row>
    <row r="397" spans="1:22">
      <c r="A397" s="265" t="s">
        <v>1466</v>
      </c>
      <c r="B397" s="266">
        <v>2015</v>
      </c>
      <c r="C397" s="266">
        <v>2016</v>
      </c>
      <c r="D397" s="266">
        <v>2017</v>
      </c>
      <c r="E397" s="266">
        <v>2018</v>
      </c>
      <c r="F397" s="266">
        <v>2019</v>
      </c>
      <c r="G397" s="266">
        <v>2020</v>
      </c>
      <c r="H397" s="266">
        <v>2021</v>
      </c>
      <c r="I397" s="266">
        <v>2022</v>
      </c>
      <c r="J397" s="266">
        <v>2023</v>
      </c>
      <c r="K397" s="266">
        <v>2024</v>
      </c>
      <c r="L397" s="266">
        <v>2025</v>
      </c>
      <c r="M397" s="266">
        <v>2026</v>
      </c>
      <c r="N397" s="266">
        <v>2027</v>
      </c>
      <c r="O397" s="266">
        <v>2028</v>
      </c>
      <c r="P397" s="266">
        <v>2029</v>
      </c>
      <c r="Q397" s="267">
        <v>2030</v>
      </c>
      <c r="S397" s="256" t="s">
        <v>709</v>
      </c>
      <c r="T397" s="256" t="s">
        <v>710</v>
      </c>
      <c r="U397" s="256"/>
      <c r="V397" s="256"/>
    </row>
    <row r="398" spans="1:22">
      <c r="A398" s="268" t="s">
        <v>729</v>
      </c>
      <c r="B398" s="269"/>
      <c r="C398" s="269"/>
      <c r="D398" s="269"/>
      <c r="E398" s="269"/>
      <c r="F398" s="269">
        <f>Sales!K224</f>
        <v>100</v>
      </c>
      <c r="G398" s="269">
        <f>Sales!L224</f>
        <v>229.99999999999997</v>
      </c>
      <c r="H398" s="269">
        <f>Sales!M224</f>
        <v>459.99999999999994</v>
      </c>
      <c r="I398" s="269">
        <f>Sales!N224</f>
        <v>781.99999999999989</v>
      </c>
      <c r="J398" s="269">
        <f>Sales!O224</f>
        <v>899.29999999999984</v>
      </c>
      <c r="K398" s="269">
        <f>Sales!P224</f>
        <v>989.2299999999999</v>
      </c>
      <c r="L398" s="269">
        <f>Sales!Q224</f>
        <v>1038.6914999999999</v>
      </c>
      <c r="M398" s="269">
        <f>L398*(1+M399)</f>
        <v>1017.9176699999999</v>
      </c>
      <c r="N398" s="269">
        <f>M398*(1+N399)</f>
        <v>997.55931659999987</v>
      </c>
      <c r="O398" s="269">
        <f>N398*(1+O399)</f>
        <v>977.60813026799985</v>
      </c>
      <c r="P398" s="269">
        <f>O398*(1+P399)</f>
        <v>958.05596766263989</v>
      </c>
      <c r="Q398" s="269">
        <f>P398*(1+Q399)</f>
        <v>938.89484830938704</v>
      </c>
      <c r="S398" s="213">
        <f>VLOOKUP(A397,$A$2:$H$19,5,0)</f>
        <v>1038.6914999999999</v>
      </c>
      <c r="T398" s="256">
        <f>VLOOKUP(A397,$A$2:$H$19,6,0)</f>
        <v>2025</v>
      </c>
      <c r="U398" s="256"/>
      <c r="V398" s="256"/>
    </row>
    <row r="399" spans="1:22">
      <c r="A399" s="270" t="s">
        <v>579</v>
      </c>
      <c r="B399" s="271"/>
      <c r="C399" s="271"/>
      <c r="D399" s="271"/>
      <c r="E399" s="271"/>
      <c r="F399" s="271"/>
      <c r="G399" s="271">
        <f t="shared" ref="G399" si="324">G398/F398-1</f>
        <v>1.2999999999999998</v>
      </c>
      <c r="H399" s="271">
        <f t="shared" ref="H399" si="325">H398/G398-1</f>
        <v>1</v>
      </c>
      <c r="I399" s="271">
        <f>I398/H398-1</f>
        <v>0.7</v>
      </c>
      <c r="J399" s="271">
        <f>J398/I398-1</f>
        <v>0.14999999999999991</v>
      </c>
      <c r="K399" s="271">
        <f t="shared" ref="K399" si="326">K398/J398-1</f>
        <v>0.10000000000000009</v>
      </c>
      <c r="L399" s="271">
        <f t="shared" ref="L399" si="327">L398/K398-1</f>
        <v>5.0000000000000044E-2</v>
      </c>
      <c r="M399" s="272">
        <v>-0.02</v>
      </c>
      <c r="N399" s="272">
        <v>-0.02</v>
      </c>
      <c r="O399" s="272">
        <v>-0.02</v>
      </c>
      <c r="P399" s="272">
        <v>-0.02</v>
      </c>
      <c r="Q399" s="272">
        <v>-0.02</v>
      </c>
      <c r="S399" s="256" t="s">
        <v>738</v>
      </c>
      <c r="T399" s="256"/>
      <c r="U399" s="256"/>
      <c r="V399" s="256"/>
    </row>
    <row r="400" spans="1:22">
      <c r="A400" s="273" t="s">
        <v>730</v>
      </c>
      <c r="B400" s="274"/>
      <c r="C400" s="274"/>
      <c r="D400" s="274"/>
      <c r="E400" s="274"/>
      <c r="F400" s="274">
        <f t="shared" ref="F400:Q400" si="328">F398*F401</f>
        <v>-5</v>
      </c>
      <c r="G400" s="274">
        <f t="shared" si="328"/>
        <v>0</v>
      </c>
      <c r="H400" s="274">
        <f t="shared" si="328"/>
        <v>46.000000000000007</v>
      </c>
      <c r="I400" s="274">
        <f t="shared" si="328"/>
        <v>156.4</v>
      </c>
      <c r="J400" s="274">
        <f t="shared" si="328"/>
        <v>269.79000000000002</v>
      </c>
      <c r="K400" s="274">
        <f t="shared" si="328"/>
        <v>395.69200000000001</v>
      </c>
      <c r="L400" s="274">
        <f t="shared" si="328"/>
        <v>519.34574999999995</v>
      </c>
      <c r="M400" s="274">
        <f t="shared" si="328"/>
        <v>458.0629515</v>
      </c>
      <c r="N400" s="274">
        <f t="shared" si="328"/>
        <v>418.97491297199997</v>
      </c>
      <c r="O400" s="274">
        <f t="shared" si="328"/>
        <v>381.26717080451994</v>
      </c>
      <c r="P400" s="274">
        <f t="shared" si="328"/>
        <v>373.64182738842959</v>
      </c>
      <c r="Q400" s="274">
        <f t="shared" si="328"/>
        <v>366.16899084066097</v>
      </c>
      <c r="S400" s="282">
        <f>IF(S398&gt;$X$39,$Z$39,$Z$40)</f>
        <v>-0.05</v>
      </c>
      <c r="T400" s="282">
        <f>IF(S398&gt;$X$39,$AA$39,$AA$40)</f>
        <v>-0.03</v>
      </c>
      <c r="U400" s="282">
        <f>IF(S398&gt;$X$39,$AB$39,$AB$40)</f>
        <v>-0.03</v>
      </c>
      <c r="V400" s="256"/>
    </row>
    <row r="401" spans="1:22">
      <c r="A401" s="270" t="s">
        <v>580</v>
      </c>
      <c r="B401" s="286"/>
      <c r="C401" s="286"/>
      <c r="D401" s="286"/>
      <c r="E401" s="286"/>
      <c r="F401" s="286">
        <f>IF(F397-T398&gt;3,T403,IF(F397-T398=1,E401+S400,IF(F397-T398=2,E401+T400,IF(F397-T398=3,E401+U400,IF(F397-T398=0,T404,IF(T398-F397=U405+1,$AA$37,IF(T398-F397=U405+2,$Z$37,IF(F397&lt;T398,G401-(T404-$AB$37)/U405))))))))</f>
        <v>-0.05</v>
      </c>
      <c r="G401" s="286">
        <f>IF(G397-T398&gt;3,T403,IF(G397-T398=1,F401+S400,IF(G397-T398=2,F401+T400,IF(G397-T398=3,F401+U400,IF(G397-T398=0,T404,IF(T398-G397=U405+1,$AA$37,IF(T398-G397=U405+2,$Z$37,IF(G397&lt;T398,H401-(T404-$AB$37)/U405))))))))</f>
        <v>0</v>
      </c>
      <c r="H401" s="286">
        <f>IF(H397-T398&gt;3,T403,IF(H397-T398=1,G401+S400,IF(H397-T398=2,G401+T400,IF(H397-T398=3,G401+U400,IF(H397-T398=0,T404,IF(T398-H397=U405+1,$AA$37,IF(T398-H397=U405+2,$Z$37,IF(H397&lt;T398,I401-(T404-$AB$37)/U405))))))))</f>
        <v>0.10000000000000003</v>
      </c>
      <c r="I401" s="286">
        <f>IF(I397-T398&gt;3,T403,IF(I397-T398=1,H401+S400,IF(I397-T398=2,H401+T400,IF(I397-T398=3,H401+U400,IF(I397-T398=0,T404,IF(T398-I397=U405+1,$AA$37,IF(T398-I397=U405+2,$Z$37,IF(I397&lt;T398,J401-(T404-$AB$37)/U405))))))))</f>
        <v>0.20000000000000004</v>
      </c>
      <c r="J401" s="286">
        <f>IF(J397-T398&gt;3,T403,IF(J397-T398=1,I401+S400,IF(J397-T398=2,I401+T400,IF(J397-T398=3,I401+U400,IF(J397-T398=0,T404,IF(T398-J397=U405+1,$AA$37,IF(T398-J397=U405+2,$Z$37,IF(J397&lt;T398,K401-(T404-$AB$37)/U405))))))))</f>
        <v>0.30000000000000004</v>
      </c>
      <c r="K401" s="286">
        <f>IF(K397-T398&gt;3,T403,IF(K397-T398=1,J401+S400,IF(K397-T398=2,J401+T400,IF(K397-T398=3,J401+U400,IF(K397-T398=0,T404,IF(T398-K397=U405+1,$AA$37,IF(T398-K397=U405+2,$Z$37,IF(K397&lt;T398,L401-(T404-$AB$37)/U405))))))))</f>
        <v>0.4</v>
      </c>
      <c r="L401" s="286">
        <f>IF(L397-T398&gt;3,T403,IF(L397-T398=1,K401+S400,IF(L397-T398=2,K401+T400,IF(L397-T398=3,K401+U400,IF(L397-T398=0,T404,IF(T398-L397=U405+1,$AA$37,IF(T398-L397=U405+2,$Z$37,IF(L397&lt;T398,M401-(T404-$AB$37)/U405))))))))</f>
        <v>0.5</v>
      </c>
      <c r="M401" s="286">
        <f>IF(M397-T398&gt;3,T403,IF(M397-T398=1,L401+S400,IF(M397-T398=2,L401+T400,IF(M397-T398=3,L401+U400,IF(M397-T398=0,T404,IF(T398-M397=U405+1,$AA$37,IF(T398-M397=U405+2,$Z$37,IF(M397&lt;T398,N401-(T404-$AB$37)/U405))))))))</f>
        <v>0.45</v>
      </c>
      <c r="N401" s="286">
        <f>IF(N397-T398&gt;3,T403,IF(N397-T398=1,M401+S400,IF(N397-T398=2,M401+T400,IF(N397-T398=3,M401+U400,IF(N397-T398=0,T404,IF(T398-N397=U405+1,$AA$37,IF(T398-N397=U405+2,$Z$37,IF(N397&lt;T398,O401-(T404-$AB$37)/U405))))))))</f>
        <v>0.42000000000000004</v>
      </c>
      <c r="O401" s="286">
        <f>IF(O397-T398&gt;3,T403,IF(O397-T398=1,N401+S400,IF(O397-T398=2,N401+T400,IF(O397-T398=3,N401+U400,IF(O397-T398=0,T404,IF(T398-O397=U405+1,$AA$37,IF(T398-O397=U405+2,$Z$37,IF(O397&lt;T398,P401-(T404-$AB$37)/U405))))))))</f>
        <v>0.39</v>
      </c>
      <c r="P401" s="286">
        <f>IF(P397-T398&gt;3,T403,IF(P397-T398=1,O401+S400,IF(P397-T398=2,O401+T400,IF(P397-T398=3,O401+U400,IF(P397-T398=0,T404,IF(T398-P397=U405+1,$AA$37,IF(T398-P397=U405+2,$Z$37,IF(P397&lt;T398,Q401-(T404-$AB$37)/U405))))))))</f>
        <v>0.39</v>
      </c>
      <c r="Q401" s="286">
        <f>IF(Q397-T398&gt;3,T403,IF(Q397-T398=1,P401+S400,IF(Q397-T398=2,P401+T400,IF(Q397-T398=3,P401+U400,IF(Q397-T398=0,T404,IF(T398-Q397=U405+1,$AA$37,IF(T398-Q397=U405+2,$Z$37,IF(Q397&lt;T398,R401-(T404-$AB$37)/U405))))))))</f>
        <v>0.39</v>
      </c>
      <c r="S401" s="287" t="s">
        <v>739</v>
      </c>
      <c r="T401" s="213">
        <f>VLOOKUP(A397,$A$2:$H$19,7,0)</f>
        <v>100</v>
      </c>
      <c r="U401" s="256"/>
      <c r="V401" s="256"/>
    </row>
    <row r="402" spans="1:22">
      <c r="A402" s="270" t="s">
        <v>731</v>
      </c>
      <c r="B402" s="213"/>
      <c r="C402" s="213"/>
      <c r="D402" s="213"/>
      <c r="E402" s="213"/>
      <c r="F402" s="213">
        <f t="shared" ref="F402:Q402" si="329">F400*F403</f>
        <v>-0.8</v>
      </c>
      <c r="G402" s="213">
        <f t="shared" si="329"/>
        <v>0</v>
      </c>
      <c r="H402" s="213">
        <f t="shared" si="329"/>
        <v>7.3600000000000012</v>
      </c>
      <c r="I402" s="213">
        <f t="shared" si="329"/>
        <v>25.024000000000001</v>
      </c>
      <c r="J402" s="213">
        <f t="shared" si="329"/>
        <v>43.166400000000003</v>
      </c>
      <c r="K402" s="213">
        <f t="shared" si="329"/>
        <v>63.310720000000003</v>
      </c>
      <c r="L402" s="213">
        <f t="shared" si="329"/>
        <v>83.095320000000001</v>
      </c>
      <c r="M402" s="213">
        <f t="shared" si="329"/>
        <v>73.290072240000001</v>
      </c>
      <c r="N402" s="213">
        <f t="shared" si="329"/>
        <v>67.03598607552</v>
      </c>
      <c r="O402" s="213">
        <f t="shared" si="329"/>
        <v>61.002747328723189</v>
      </c>
      <c r="P402" s="213">
        <f t="shared" si="329"/>
        <v>59.782692382148738</v>
      </c>
      <c r="Q402" s="213">
        <f t="shared" si="329"/>
        <v>58.587038534505758</v>
      </c>
      <c r="S402" s="287" t="s">
        <v>740</v>
      </c>
      <c r="T402" s="256">
        <f>VLOOKUP(A397,$A$2:$H$19,8,0)</f>
        <v>2019</v>
      </c>
      <c r="U402" s="256"/>
      <c r="V402" s="256"/>
    </row>
    <row r="403" spans="1:22">
      <c r="A403" s="270" t="s">
        <v>635</v>
      </c>
      <c r="B403" s="196">
        <f>'P&amp;L'!G$120</f>
        <v>0.1455435708203236</v>
      </c>
      <c r="C403" s="196">
        <f>'P&amp;L'!H$120</f>
        <v>0.15028163725122043</v>
      </c>
      <c r="D403" s="196">
        <f>'P&amp;L'!I$120</f>
        <v>0.15290792800832961</v>
      </c>
      <c r="E403" s="196">
        <f>'P&amp;L'!J$120</f>
        <v>0.16</v>
      </c>
      <c r="F403" s="196">
        <f>'P&amp;L'!K$120</f>
        <v>0.16</v>
      </c>
      <c r="G403" s="196">
        <f>'P&amp;L'!L$120</f>
        <v>0.16</v>
      </c>
      <c r="H403" s="196">
        <f>'P&amp;L'!M$120</f>
        <v>0.16</v>
      </c>
      <c r="I403" s="196">
        <f>'P&amp;L'!N$120</f>
        <v>0.16</v>
      </c>
      <c r="J403" s="196">
        <f>'P&amp;L'!O$120</f>
        <v>0.16</v>
      </c>
      <c r="K403" s="196">
        <f>'P&amp;L'!P$120</f>
        <v>0.16</v>
      </c>
      <c r="L403" s="196">
        <f>'P&amp;L'!Q$120</f>
        <v>0.16</v>
      </c>
      <c r="M403" s="196">
        <f t="shared" ref="M403" si="330">L403</f>
        <v>0.16</v>
      </c>
      <c r="N403" s="196">
        <f t="shared" ref="N403" si="331">M403</f>
        <v>0.16</v>
      </c>
      <c r="O403" s="196">
        <f t="shared" ref="O403" si="332">N403</f>
        <v>0.16</v>
      </c>
      <c r="P403" s="196">
        <f t="shared" ref="P403" si="333">O403</f>
        <v>0.16</v>
      </c>
      <c r="Q403" s="196">
        <f t="shared" ref="Q403" si="334">P403</f>
        <v>0.16</v>
      </c>
      <c r="S403" s="287" t="s">
        <v>741</v>
      </c>
      <c r="T403" s="288">
        <f>IF(Q397-T398&gt;3,IF(AND(S398&lt;$X$42,S398&lt;$X$43,S398&lt;$X$44),$AA$45,IF(AND(S398&lt;$X$42,S398&lt;$X$43),$AA$44,IF(S398&lt;$X$42,$AA$43,$AA$42))))</f>
        <v>0.39</v>
      </c>
      <c r="U403" s="256"/>
      <c r="V403" s="256"/>
    </row>
    <row r="404" spans="1:22">
      <c r="A404" s="256" t="s">
        <v>732</v>
      </c>
      <c r="B404" s="213"/>
      <c r="C404" s="213"/>
      <c r="D404" s="213"/>
      <c r="E404" s="213"/>
      <c r="F404" s="213">
        <f t="shared" ref="F404:Q404" si="335">F400-F402</f>
        <v>-4.2</v>
      </c>
      <c r="G404" s="213">
        <f t="shared" si="335"/>
        <v>0</v>
      </c>
      <c r="H404" s="213">
        <f t="shared" si="335"/>
        <v>38.640000000000008</v>
      </c>
      <c r="I404" s="213">
        <f t="shared" si="335"/>
        <v>131.376</v>
      </c>
      <c r="J404" s="213">
        <f t="shared" si="335"/>
        <v>226.62360000000001</v>
      </c>
      <c r="K404" s="213">
        <f t="shared" si="335"/>
        <v>332.38128</v>
      </c>
      <c r="L404" s="213">
        <f t="shared" si="335"/>
        <v>436.25042999999994</v>
      </c>
      <c r="M404" s="213">
        <f t="shared" si="335"/>
        <v>384.77287925999997</v>
      </c>
      <c r="N404" s="213">
        <f t="shared" si="335"/>
        <v>351.93892689647998</v>
      </c>
      <c r="O404" s="213">
        <f t="shared" si="335"/>
        <v>320.26442347579678</v>
      </c>
      <c r="P404" s="213">
        <f t="shared" si="335"/>
        <v>313.85913500628084</v>
      </c>
      <c r="Q404" s="213">
        <f t="shared" si="335"/>
        <v>307.58195230615519</v>
      </c>
      <c r="S404" s="287" t="s">
        <v>742</v>
      </c>
      <c r="T404" s="288">
        <f>IF(S398&gt;$X$42,$Z$42,IF(S398&gt;$X$43,$Z$43,IF(S398&gt;$X$44,$Z$44,$Z$45)))</f>
        <v>0.5</v>
      </c>
      <c r="U404" s="256"/>
      <c r="V404" s="256"/>
    </row>
    <row r="405" spans="1:22">
      <c r="A405" s="270" t="s">
        <v>607</v>
      </c>
      <c r="B405" s="277"/>
      <c r="C405" s="277"/>
      <c r="D405" s="277"/>
      <c r="E405" s="277"/>
      <c r="F405" s="277">
        <f t="shared" ref="F405:Q405" si="336">F404</f>
        <v>-4.2</v>
      </c>
      <c r="G405" s="277">
        <f t="shared" si="336"/>
        <v>0</v>
      </c>
      <c r="H405" s="277">
        <f t="shared" si="336"/>
        <v>38.640000000000008</v>
      </c>
      <c r="I405" s="277">
        <f t="shared" si="336"/>
        <v>131.376</v>
      </c>
      <c r="J405" s="277">
        <f t="shared" si="336"/>
        <v>226.62360000000001</v>
      </c>
      <c r="K405" s="277">
        <f t="shared" si="336"/>
        <v>332.38128</v>
      </c>
      <c r="L405" s="277">
        <f t="shared" si="336"/>
        <v>436.25042999999994</v>
      </c>
      <c r="M405" s="277">
        <f t="shared" si="336"/>
        <v>384.77287925999997</v>
      </c>
      <c r="N405" s="277">
        <f t="shared" si="336"/>
        <v>351.93892689647998</v>
      </c>
      <c r="O405" s="277">
        <f t="shared" si="336"/>
        <v>320.26442347579678</v>
      </c>
      <c r="P405" s="277">
        <f t="shared" si="336"/>
        <v>313.85913500628084</v>
      </c>
      <c r="Q405" s="277">
        <f t="shared" si="336"/>
        <v>307.58195230615519</v>
      </c>
      <c r="S405" s="287" t="s">
        <v>743</v>
      </c>
      <c r="T405" s="256">
        <f>T398-T402</f>
        <v>6</v>
      </c>
      <c r="U405" s="256">
        <f>T405-2</f>
        <v>4</v>
      </c>
      <c r="V405" s="256"/>
    </row>
    <row r="406" spans="1:22">
      <c r="A406" s="279" t="s">
        <v>733</v>
      </c>
      <c r="B406" s="280"/>
      <c r="C406" s="280"/>
      <c r="D406" s="280"/>
      <c r="E406" s="280"/>
      <c r="F406" s="280">
        <f t="shared" ref="F406:Q406" ca="1" si="337">F405*F$45</f>
        <v>-3.7281513673584326</v>
      </c>
      <c r="G406" s="280">
        <f t="shared" ca="1" si="337"/>
        <v>0</v>
      </c>
      <c r="H406" s="280">
        <f t="shared" ca="1" si="337"/>
        <v>29.815443072382351</v>
      </c>
      <c r="I406" s="280">
        <f t="shared" ca="1" si="337"/>
        <v>94.514868897825167</v>
      </c>
      <c r="J406" s="280">
        <f t="shared" ca="1" si="337"/>
        <v>152.00895986503846</v>
      </c>
      <c r="K406" s="280">
        <f t="shared" ca="1" si="337"/>
        <v>207.86461284596521</v>
      </c>
      <c r="L406" s="280">
        <f t="shared" ca="1" si="337"/>
        <v>254.36644740287093</v>
      </c>
      <c r="M406" s="280">
        <f t="shared" ca="1" si="337"/>
        <v>209.17431780207997</v>
      </c>
      <c r="N406" s="280">
        <f t="shared" ca="1" si="337"/>
        <v>178.38205600353183</v>
      </c>
      <c r="O406" s="280">
        <f t="shared" ca="1" si="337"/>
        <v>151.34654431904619</v>
      </c>
      <c r="P406" s="280">
        <f t="shared" ca="1" si="337"/>
        <v>138.28610251457178</v>
      </c>
      <c r="Q406" s="280">
        <f t="shared" ca="1" si="337"/>
        <v>126.35271082475657</v>
      </c>
      <c r="S406" s="289" t="s">
        <v>744</v>
      </c>
      <c r="T406" s="288">
        <f>VLOOKUP(S406,$Y$32:$AB$34,2,0)</f>
        <v>-0.7</v>
      </c>
      <c r="U406" s="288">
        <f>VLOOKUP(S406,$Y$32:$AB$34,3,0)</f>
        <v>-0.35</v>
      </c>
      <c r="V406" s="288">
        <f>VLOOKUP(S406,$Y$32:$AB$34,4,0)</f>
        <v>-0.1</v>
      </c>
    </row>
    <row r="407" spans="1:22">
      <c r="A407" s="270" t="s">
        <v>734</v>
      </c>
      <c r="B407" s="213">
        <f ca="1">SUM(B406:Q406)</f>
        <v>1538.3839121807098</v>
      </c>
      <c r="C407" s="277"/>
      <c r="D407" s="277"/>
      <c r="E407" s="277"/>
      <c r="F407" s="277"/>
      <c r="G407" s="277"/>
      <c r="H407" s="277"/>
      <c r="I407" s="277"/>
      <c r="J407" s="277"/>
      <c r="K407" s="277"/>
      <c r="L407" s="277"/>
      <c r="M407" s="277"/>
      <c r="N407" s="256"/>
      <c r="O407" s="256"/>
      <c r="P407" s="256"/>
      <c r="Q407" s="256"/>
    </row>
    <row r="408" spans="1:22">
      <c r="A408" s="281" t="s">
        <v>735</v>
      </c>
      <c r="B408" s="213">
        <f ca="1">(Q405*(1+C408))/(DCF!$H$31-NPV!C408)*NPV!$Q$45</f>
        <v>979.42901215592394</v>
      </c>
      <c r="C408" s="286">
        <v>-0.05</v>
      </c>
      <c r="D408" s="277"/>
      <c r="E408" s="277"/>
      <c r="F408" s="277"/>
      <c r="G408" s="277"/>
      <c r="H408" s="277"/>
      <c r="I408" s="277"/>
      <c r="J408" s="277"/>
      <c r="K408" s="277"/>
      <c r="L408" s="277"/>
      <c r="M408" s="277"/>
      <c r="N408" s="256"/>
      <c r="O408" s="256"/>
      <c r="P408" s="256"/>
      <c r="Q408" s="256"/>
    </row>
    <row r="409" spans="1:22">
      <c r="A409" s="281" t="s">
        <v>736</v>
      </c>
      <c r="B409" s="213">
        <f ca="1">SUM(B407:B408)/DCF!$C$30</f>
        <v>1.0732365406379514</v>
      </c>
      <c r="C409" s="283"/>
      <c r="D409" s="283"/>
      <c r="E409" s="283"/>
      <c r="F409" s="283"/>
      <c r="G409" s="283"/>
      <c r="H409" s="283"/>
      <c r="I409" s="283"/>
      <c r="J409" s="283"/>
      <c r="K409" s="283"/>
      <c r="L409" s="283"/>
      <c r="M409" s="256"/>
      <c r="N409" s="256"/>
      <c r="O409" s="256"/>
      <c r="P409" s="256"/>
      <c r="Q409" s="256"/>
    </row>
    <row r="410" spans="1:22">
      <c r="A410" s="284" t="s">
        <v>737</v>
      </c>
      <c r="B410" s="285">
        <f ca="1">B409/DCF!$H$24</f>
        <v>1.0419772239203411</v>
      </c>
    </row>
    <row r="412" spans="1:22">
      <c r="A412" s="265" t="s">
        <v>1458</v>
      </c>
      <c r="B412" s="266">
        <v>2015</v>
      </c>
      <c r="C412" s="266">
        <v>2016</v>
      </c>
      <c r="D412" s="266">
        <v>2017</v>
      </c>
      <c r="E412" s="266">
        <v>2018</v>
      </c>
      <c r="F412" s="266">
        <v>2019</v>
      </c>
      <c r="G412" s="266">
        <v>2020</v>
      </c>
      <c r="H412" s="266">
        <v>2021</v>
      </c>
      <c r="I412" s="266">
        <v>2022</v>
      </c>
      <c r="J412" s="266">
        <v>2023</v>
      </c>
      <c r="K412" s="266">
        <v>2024</v>
      </c>
      <c r="L412" s="266">
        <v>2025</v>
      </c>
      <c r="M412" s="266">
        <v>2026</v>
      </c>
      <c r="N412" s="266">
        <v>2027</v>
      </c>
      <c r="O412" s="266">
        <v>2028</v>
      </c>
      <c r="P412" s="266">
        <v>2029</v>
      </c>
      <c r="Q412" s="267">
        <v>2030</v>
      </c>
      <c r="S412" s="256" t="s">
        <v>709</v>
      </c>
      <c r="T412" s="256" t="s">
        <v>710</v>
      </c>
      <c r="U412" s="256"/>
      <c r="V412" s="256"/>
    </row>
    <row r="413" spans="1:22">
      <c r="A413" s="268" t="s">
        <v>729</v>
      </c>
      <c r="B413" s="269">
        <f>Sales!G227+Sales!G221+Sales!G213+Sales!G205</f>
        <v>50</v>
      </c>
      <c r="C413" s="269">
        <f>Sales!H227+Sales!H221+Sales!H213+Sales!H205</f>
        <v>3628</v>
      </c>
      <c r="D413" s="269">
        <f>Sales!I227+Sales!I221+Sales!I213+Sales!I205</f>
        <v>2733</v>
      </c>
      <c r="E413" s="269">
        <f>Sales!J227+Sales!J221+Sales!J213+Sales!J205</f>
        <v>2797.8504917133005</v>
      </c>
      <c r="F413" s="269">
        <f>Sales!K227+Sales!K221+Sales!K213+Sales!K205</f>
        <v>2828.8629769619015</v>
      </c>
      <c r="G413" s="269">
        <f>Sales!L227+Sales!L221+Sales!L213+Sales!L205</f>
        <v>2862.3935276530442</v>
      </c>
      <c r="H413" s="269">
        <f>Sales!M227+Sales!M221+Sales!M213+Sales!M205</f>
        <v>2898.4700550234534</v>
      </c>
      <c r="I413" s="269">
        <f>Sales!N227+Sales!N221+Sales!N213+Sales!N205</f>
        <v>2937.1227365687496</v>
      </c>
      <c r="J413" s="269">
        <f>Sales!O227+Sales!O221+Sales!O213+Sales!O205</f>
        <v>2978.384041163567</v>
      </c>
      <c r="K413" s="269">
        <f>Sales!P227+Sales!P221+Sales!P213+Sales!P205</f>
        <v>3022.2887562212964</v>
      </c>
      <c r="L413" s="269">
        <f>Sales!Q227+Sales!Q221+Sales!Q213+Sales!Q205</f>
        <v>3068.8740169160733</v>
      </c>
      <c r="M413" s="269">
        <f>L413*(1+M414)</f>
        <v>3099.5627570852339</v>
      </c>
      <c r="N413" s="269">
        <f>M413*(1+N414)</f>
        <v>3130.5583846560862</v>
      </c>
      <c r="O413" s="269">
        <f>N413*(1+O414)</f>
        <v>3161.8639685026469</v>
      </c>
      <c r="P413" s="269">
        <f>O413*(1+P414)</f>
        <v>3193.4826081876736</v>
      </c>
      <c r="Q413" s="269">
        <f>P413*(1+Q414)</f>
        <v>3225.4174342695505</v>
      </c>
      <c r="S413" s="213">
        <f>MAX(MAX(Sales!B227:Q227),MAX(K413:Q413))</f>
        <v>3225.4174342695505</v>
      </c>
      <c r="T413" s="256">
        <f>IFERROR(INDEX(Sales!$B$1:$Q$1,MATCH(S413,Sales!B227:Q227,0)),INDEX(C412:Q412,MATCH(S413,C413:Q413,0)))</f>
        <v>2030</v>
      </c>
      <c r="U413" s="256"/>
      <c r="V413" s="256"/>
    </row>
    <row r="414" spans="1:22">
      <c r="A414" s="270" t="s">
        <v>579</v>
      </c>
      <c r="B414" s="271"/>
      <c r="C414" s="271">
        <f t="shared" ref="C414:F414" si="338">C413/B413-1</f>
        <v>71.56</v>
      </c>
      <c r="D414" s="271">
        <f t="shared" si="338"/>
        <v>-0.24669239250275632</v>
      </c>
      <c r="E414" s="271">
        <f t="shared" si="338"/>
        <v>2.372868339308476E-2</v>
      </c>
      <c r="F414" s="271">
        <f t="shared" si="338"/>
        <v>1.1084396875549407E-2</v>
      </c>
      <c r="G414" s="271">
        <f t="shared" ref="G414" si="339">G413/F413-1</f>
        <v>1.1853013371172061E-2</v>
      </c>
      <c r="H414" s="271">
        <f t="shared" ref="H414" si="340">H413/G413-1</f>
        <v>1.2603622465562792E-2</v>
      </c>
      <c r="I414" s="271">
        <f>I413/H413-1</f>
        <v>1.3335546274941157E-2</v>
      </c>
      <c r="J414" s="271">
        <f>J413/I413-1</f>
        <v>1.404820577672572E-2</v>
      </c>
      <c r="K414" s="271">
        <f t="shared" ref="K414" si="341">K413/J413-1</f>
        <v>1.4741119496657351E-2</v>
      </c>
      <c r="L414" s="271">
        <f t="shared" ref="L414" si="342">L413/K413-1</f>
        <v>1.541390133516618E-2</v>
      </c>
      <c r="M414" s="272">
        <v>0.01</v>
      </c>
      <c r="N414" s="272">
        <v>0.01</v>
      </c>
      <c r="O414" s="272">
        <v>0.01</v>
      </c>
      <c r="P414" s="272">
        <v>0.01</v>
      </c>
      <c r="Q414" s="272">
        <v>0.01</v>
      </c>
      <c r="S414" s="256" t="s">
        <v>738</v>
      </c>
      <c r="T414" s="256"/>
      <c r="U414" s="256"/>
      <c r="V414" s="256"/>
    </row>
    <row r="415" spans="1:22">
      <c r="A415" s="273" t="s">
        <v>730</v>
      </c>
      <c r="B415" s="274">
        <f t="shared" ref="B415" si="343">B413*B416</f>
        <v>7.9411764705882293</v>
      </c>
      <c r="C415" s="274">
        <f t="shared" ref="C415" si="344">C413*C416</f>
        <v>682.91764705882315</v>
      </c>
      <c r="D415" s="274">
        <f t="shared" ref="D415" si="345">D413*D416</f>
        <v>594.82941176470558</v>
      </c>
      <c r="E415" s="274">
        <f t="shared" ref="E415" si="346">E413*E416</f>
        <v>691.23365089387391</v>
      </c>
      <c r="F415" s="274">
        <f t="shared" ref="F415:Q415" si="347">F413*F416</f>
        <v>782.09741127770189</v>
      </c>
      <c r="G415" s="274">
        <f t="shared" si="347"/>
        <v>875.55566728210738</v>
      </c>
      <c r="H415" s="274">
        <f t="shared" si="347"/>
        <v>971.83995962551057</v>
      </c>
      <c r="I415" s="274">
        <f t="shared" si="347"/>
        <v>1071.1859392191909</v>
      </c>
      <c r="J415" s="274">
        <f t="shared" si="347"/>
        <v>1173.8337103409351</v>
      </c>
      <c r="K415" s="274">
        <f t="shared" si="347"/>
        <v>1280.0281791054899</v>
      </c>
      <c r="L415" s="274">
        <f t="shared" si="347"/>
        <v>1390.019407661986</v>
      </c>
      <c r="M415" s="274">
        <f t="shared" si="347"/>
        <v>1495.0832122411127</v>
      </c>
      <c r="N415" s="274">
        <f t="shared" si="347"/>
        <v>1602.1092909710558</v>
      </c>
      <c r="O415" s="274">
        <f t="shared" si="347"/>
        <v>1711.1263829543734</v>
      </c>
      <c r="P415" s="274">
        <f t="shared" si="347"/>
        <v>1822.1636058482607</v>
      </c>
      <c r="Q415" s="274">
        <f t="shared" si="347"/>
        <v>1935.2504605617303</v>
      </c>
      <c r="S415" s="282">
        <f>IF(S413&gt;$X$39,$Z$39,$Z$40)</f>
        <v>-0.1</v>
      </c>
      <c r="T415" s="282">
        <f>IF(S413&gt;$X$39,$AA$39,$AA$40)</f>
        <v>-0.05</v>
      </c>
      <c r="U415" s="282">
        <f>IF(S413&gt;$X$39,$AB$39,$AB$40)</f>
        <v>-0.05</v>
      </c>
      <c r="V415" s="256"/>
    </row>
    <row r="416" spans="1:22">
      <c r="A416" s="270" t="s">
        <v>580</v>
      </c>
      <c r="B416" s="286">
        <f>IF(B412-T413&gt;3,T418,IF(B412-T413=1,45%+S415,IF(B412-T413=2,A416+T415,IF(B412-T413=3,A416+U415,IF(B412-T413=0,T419,IF(T413-B412=U420+1,$AA$37,IF(T413-B412=U420+2,$Z$37,IF(B412&lt;T413,C416-(T419-$AB$37)/U420))))))))</f>
        <v>0.15882352941176459</v>
      </c>
      <c r="C416" s="286">
        <f>IF(C412-T413&gt;3,T418,IF(C412-T413=1,B416+S415,IF(C412-T413=2,B416+T415,IF(C412-T413=3,B416+U415,IF(C412-T413=0,T419,IF(T413-C412=U420+1,$AA$37,IF(T413-C412=U420+2,$Z$37,IF(C412&lt;T413,D416-(T419-$AB$37)/U420))))))))</f>
        <v>0.18823529411764695</v>
      </c>
      <c r="D416" s="286">
        <f>IF(D412-T413&gt;3,T418,IF(D412-T413=1,C416+S415,IF(D412-T413=2,C416+T415,IF(D412-T413=3,C416+U415,IF(D412-T413=0,T419,IF(T413-D412=U420+1,$AA$37,IF(T413-D412=U420+2,$Z$37,IF(D412&lt;T413,E416-(T419-$AB$37)/U420))))))))</f>
        <v>0.2176470588235293</v>
      </c>
      <c r="E416" s="286">
        <f>IF(E412-T413&gt;3,T418,IF(E412-T413=1,D416+S415,IF(E412-T413=2,D416+T415,IF(E412-T413=3,D416+U415,IF(E412-T413=0,T419,IF(T413-E412=U420+1,$AA$37,IF(T413-E412=U420+2,$Z$37,IF(E412&lt;T413,F416-(T419-$AB$37)/U420))))))))</f>
        <v>0.24705882352941166</v>
      </c>
      <c r="F416" s="286">
        <f>IF(F412-T413&gt;3,T418,IF(F412-T413=1,E416+S415,IF(F412-T413=2,E416+T415,IF(F412-T413=3,E416+U415,IF(F412-T413=0,T419,IF(T413-F412=U420+1,$AA$37,IF(T413-F412=U420+2,$Z$37,IF(F412&lt;T413,G416-(T419-$AB$37)/U420))))))))</f>
        <v>0.27647058823529402</v>
      </c>
      <c r="G416" s="286">
        <f>IF(G412-T413&gt;3,T418,IF(G412-T413=1,F416+S415,IF(G412-T413=2,F416+T415,IF(G412-T413=3,F416+U415,IF(G412-T413=0,T419,IF(T413-G412=U420+1,$AA$37,IF(T413-G412=U420+2,$Z$37,IF(G412&lt;T413,H416-(T419-$AB$37)/U420))))))))</f>
        <v>0.30588235294117638</v>
      </c>
      <c r="H416" s="286">
        <f>IF(H412-T413&gt;3,T418,IF(H412-T413=1,G416+S415,IF(H412-T413=2,G416+T415,IF(H412-T413=3,G416+U415,IF(H412-T413=0,T419,IF(T413-H412=U420+1,$AA$37,IF(T413-H412=U420+2,$Z$37,IF(H412&lt;T413,I416-(T419-$AB$37)/U420))))))))</f>
        <v>0.33529411764705874</v>
      </c>
      <c r="I416" s="286">
        <f>IF(I412-T413&gt;3,T418,IF(I412-T413=1,H416+S415,IF(I412-T413=2,H416+T415,IF(I412-T413=3,H416+U415,IF(I412-T413=0,T419,IF(T413-I412=U420+1,$AA$37,IF(T413-I412=U420+2,$Z$37,IF(I412&lt;T413,J416-(T419-$AB$37)/U420))))))))</f>
        <v>0.3647058823529411</v>
      </c>
      <c r="J416" s="286">
        <f>IF(J412-T413&gt;3,T418,IF(J412-T413=1,I416+S415,IF(J412-T413=2,I416+T415,IF(J412-T413=3,I416+U415,IF(J412-T413=0,T419,IF(T413-J412=U420+1,$AA$37,IF(T413-J412=U420+2,$Z$37,IF(J412&lt;T413,K416-(T419-$AB$37)/U420))))))))</f>
        <v>0.39411764705882346</v>
      </c>
      <c r="K416" s="286">
        <f>IF(K412-T413&gt;3,T418,IF(K412-T413=1,J416+S415,IF(K412-T413=2,J416+T415,IF(K412-T413=3,J416+U415,IF(K412-T413=0,T419,IF(T413-K412=U420+1,$AA$37,IF(T413-K412=U420+2,$Z$37,IF(K412&lt;T413,L416-(T419-$AB$37)/U420))))))))</f>
        <v>0.42352941176470582</v>
      </c>
      <c r="L416" s="286">
        <f>IF(L412-T413&gt;3,T418,IF(L412-T413=1,K416+S415,IF(L412-T413=2,K416+T415,IF(L412-T413=3,K416+U415,IF(L412-T413=0,T419,IF(T413-L412=U420+1,$AA$37,IF(T413-L412=U420+2,$Z$37,IF(L412&lt;T413,M416-(T419-$AB$37)/U420))))))))</f>
        <v>0.45294117647058818</v>
      </c>
      <c r="M416" s="286">
        <f>IF(M412-T413&gt;3,T418,IF(M412-T413=1,L416+S415,IF(M412-T413=2,L416+T415,IF(M412-T413=3,L416+U415,IF(M412-T413=0,T419,IF(T413-M412=U420+1,$AA$37,IF(T413-M412=U420+2,$Z$37,IF(M412&lt;T413,N416-(T419-$AB$37)/U420))))))))</f>
        <v>0.48235294117647054</v>
      </c>
      <c r="N416" s="286">
        <f>IF(N412-T413&gt;3,T418,IF(N412-T413=1,M416+S415,IF(N412-T413=2,M416+T415,IF(N412-T413=3,M416+U415,IF(N412-T413=0,T419,IF(T413-N412=U420+1,$AA$37,IF(T413-N412=U420+2,$Z$37,IF(N412&lt;T413,O416-(T419-$AB$37)/U420))))))))</f>
        <v>0.5117647058823529</v>
      </c>
      <c r="O416" s="286">
        <f>IF(O412-T413&gt;3,T418,IF(O412-T413=1,N416+S415,IF(O412-T413=2,N416+T415,IF(O412-T413=3,N416+U415,IF(O412-T413=0,T419,IF(T413-O412=U420+1,$AA$37,IF(T413-O412=U420+2,$Z$37,IF(O412&lt;T413,P416-(T419-$AB$37)/U420))))))))</f>
        <v>0.54117647058823526</v>
      </c>
      <c r="P416" s="286">
        <f>IF(P412-T413&gt;3,T418,IF(P412-T413=1,O416+S415,IF(P412-T413=2,O416+T415,IF(P412-T413=3,O416+U415,IF(P412-T413=0,T419,IF(T413-P412=U420+1,$AA$37,IF(T413-P412=U420+2,$Z$37,IF(P412&lt;T413,Q416-(T419-$AB$37)/U420))))))))</f>
        <v>0.57058823529411762</v>
      </c>
      <c r="Q416" s="286">
        <f>IF(Q412-T413&gt;3,T418,IF(Q412-T413=1,P416+S415,IF(Q412-T413=2,P416+T415,IF(Q412-T413=3,P416+U415,IF(Q412-T413=0,T419,IF(T413-Q412=U420+1,$AA$37,IF(T413-Q412=U420+2,$Z$37,IF(Q412&lt;T413,R416-(T419-$AB$37)/U420))))))))</f>
        <v>0.6</v>
      </c>
      <c r="S416" s="287" t="s">
        <v>739</v>
      </c>
      <c r="T416" s="213">
        <f t="array" ref="T416">INDEX(Sales!B227:Q227,MATCH(FALSE,ISBLANK(Sales!B227:Q227),0))</f>
        <v>113</v>
      </c>
      <c r="U416" s="256"/>
      <c r="V416" s="256"/>
    </row>
    <row r="417" spans="1:22">
      <c r="A417" s="270" t="s">
        <v>731</v>
      </c>
      <c r="B417" s="213">
        <f>B415*B418</f>
        <v>1.1557871800437454</v>
      </c>
      <c r="C417" s="213">
        <f t="shared" ref="C417" si="348">C415*C418</f>
        <v>102.62998210775105</v>
      </c>
      <c r="D417" s="213">
        <f t="shared" ref="D417" si="349">D415*D418</f>
        <v>90.954132871354659</v>
      </c>
      <c r="E417" s="213">
        <f t="shared" ref="E417" si="350">E415*E418</f>
        <v>110.59738414301982</v>
      </c>
      <c r="F417" s="213">
        <f t="shared" ref="F417:Q417" si="351">F415*F418</f>
        <v>125.13558580443231</v>
      </c>
      <c r="G417" s="213">
        <f t="shared" si="351"/>
        <v>140.08890676513718</v>
      </c>
      <c r="H417" s="213">
        <f t="shared" si="351"/>
        <v>155.49439354008169</v>
      </c>
      <c r="I417" s="213">
        <f t="shared" si="351"/>
        <v>171.38975027507055</v>
      </c>
      <c r="J417" s="213">
        <f t="shared" si="351"/>
        <v>187.81339365454963</v>
      </c>
      <c r="K417" s="213">
        <f t="shared" si="351"/>
        <v>204.8045086568784</v>
      </c>
      <c r="L417" s="213">
        <f t="shared" si="351"/>
        <v>222.40310522591776</v>
      </c>
      <c r="M417" s="213">
        <f t="shared" si="351"/>
        <v>239.21331395857806</v>
      </c>
      <c r="N417" s="213">
        <f t="shared" si="351"/>
        <v>256.33748655536891</v>
      </c>
      <c r="O417" s="213">
        <f t="shared" si="351"/>
        <v>273.78022127269975</v>
      </c>
      <c r="P417" s="213">
        <f t="shared" si="351"/>
        <v>291.54617693572169</v>
      </c>
      <c r="Q417" s="213">
        <f t="shared" si="351"/>
        <v>309.64007368987683</v>
      </c>
      <c r="S417" s="287" t="s">
        <v>740</v>
      </c>
      <c r="T417" s="256">
        <f>IFERROR(INDEX(Sales!$B$1:$Q$1,MATCH(NPV!T416,Sales!B227:Q227,0)),INDEX(C412:Q412,MATCH(NPV!T416,C413:Q413,0)))</f>
        <v>2011</v>
      </c>
      <c r="U417" s="256"/>
      <c r="V417" s="256"/>
    </row>
    <row r="418" spans="1:22">
      <c r="A418" s="270" t="s">
        <v>635</v>
      </c>
      <c r="B418" s="196">
        <f>'P&amp;L'!G$120</f>
        <v>0.1455435708203236</v>
      </c>
      <c r="C418" s="196">
        <f>'P&amp;L'!H$120</f>
        <v>0.15028163725122043</v>
      </c>
      <c r="D418" s="196">
        <f>'P&amp;L'!I$120</f>
        <v>0.15290792800832961</v>
      </c>
      <c r="E418" s="196">
        <f>'P&amp;L'!J$120</f>
        <v>0.16</v>
      </c>
      <c r="F418" s="196">
        <f>'P&amp;L'!K$120</f>
        <v>0.16</v>
      </c>
      <c r="G418" s="196">
        <f>'P&amp;L'!L$120</f>
        <v>0.16</v>
      </c>
      <c r="H418" s="196">
        <f>'P&amp;L'!M$120</f>
        <v>0.16</v>
      </c>
      <c r="I418" s="196">
        <f>'P&amp;L'!N$120</f>
        <v>0.16</v>
      </c>
      <c r="J418" s="196">
        <f>'P&amp;L'!O$120</f>
        <v>0.16</v>
      </c>
      <c r="K418" s="196">
        <f>'P&amp;L'!P$120</f>
        <v>0.16</v>
      </c>
      <c r="L418" s="196">
        <f>'P&amp;L'!Q$120</f>
        <v>0.16</v>
      </c>
      <c r="M418" s="196">
        <f t="shared" ref="M418" si="352">L418</f>
        <v>0.16</v>
      </c>
      <c r="N418" s="196">
        <f t="shared" ref="N418" si="353">M418</f>
        <v>0.16</v>
      </c>
      <c r="O418" s="196">
        <f t="shared" ref="O418" si="354">N418</f>
        <v>0.16</v>
      </c>
      <c r="P418" s="196">
        <f t="shared" ref="P418" si="355">O418</f>
        <v>0.16</v>
      </c>
      <c r="Q418" s="196">
        <f t="shared" ref="Q418" si="356">P418</f>
        <v>0.16</v>
      </c>
      <c r="S418" s="287" t="s">
        <v>741</v>
      </c>
      <c r="T418" s="288" t="b">
        <f>IF(Q412-T413&gt;3,IF(AND(S413&lt;$X$42,S413&lt;$X$43,S413&lt;$X$44),$AA$45,IF(AND(S413&lt;$X$42,S413&lt;$X$43),$AA$44,IF(S413&lt;$X$42,$AA$43,$AA$42))))</f>
        <v>0</v>
      </c>
      <c r="U418" s="256"/>
      <c r="V418" s="256"/>
    </row>
    <row r="419" spans="1:22">
      <c r="A419" s="256" t="s">
        <v>732</v>
      </c>
      <c r="B419" s="213">
        <f t="shared" ref="B419" si="357">B415-B417</f>
        <v>6.7853892905444839</v>
      </c>
      <c r="C419" s="213">
        <f t="shared" ref="C419" si="358">C415-C417</f>
        <v>580.28766495107209</v>
      </c>
      <c r="D419" s="213">
        <f t="shared" ref="D419" si="359">D415-D417</f>
        <v>503.87527889335092</v>
      </c>
      <c r="E419" s="213">
        <f t="shared" ref="E419" si="360">E415-E417</f>
        <v>580.63626675085413</v>
      </c>
      <c r="F419" s="213">
        <f t="shared" ref="F419:Q419" si="361">F415-F417</f>
        <v>656.96182547326953</v>
      </c>
      <c r="G419" s="213">
        <f t="shared" si="361"/>
        <v>735.46676051697023</v>
      </c>
      <c r="H419" s="213">
        <f t="shared" si="361"/>
        <v>816.34556608542891</v>
      </c>
      <c r="I419" s="213">
        <f t="shared" si="361"/>
        <v>899.79618894412033</v>
      </c>
      <c r="J419" s="213">
        <f t="shared" si="361"/>
        <v>986.02031668638551</v>
      </c>
      <c r="K419" s="213">
        <f t="shared" si="361"/>
        <v>1075.2236704486115</v>
      </c>
      <c r="L419" s="213">
        <f t="shared" si="361"/>
        <v>1167.6163024360683</v>
      </c>
      <c r="M419" s="213">
        <f t="shared" si="361"/>
        <v>1255.8698982825347</v>
      </c>
      <c r="N419" s="213">
        <f t="shared" si="361"/>
        <v>1345.7718044156868</v>
      </c>
      <c r="O419" s="213">
        <f t="shared" si="361"/>
        <v>1437.3461616816737</v>
      </c>
      <c r="P419" s="213">
        <f t="shared" si="361"/>
        <v>1530.617428912539</v>
      </c>
      <c r="Q419" s="213">
        <f t="shared" si="361"/>
        <v>1625.6103868718535</v>
      </c>
      <c r="S419" s="287" t="s">
        <v>742</v>
      </c>
      <c r="T419" s="288">
        <f>IF(S413&gt;$X$42,$Z$42,IF(S413&gt;$X$43,$Z$43,IF(S413&gt;$X$44,$Z$44,$Z$45)))</f>
        <v>0.6</v>
      </c>
      <c r="U419" s="256"/>
      <c r="V419" s="256"/>
    </row>
    <row r="420" spans="1:22">
      <c r="A420" s="270" t="s">
        <v>607</v>
      </c>
      <c r="B420" s="277">
        <f t="shared" ref="B420" si="362">B419</f>
        <v>6.7853892905444839</v>
      </c>
      <c r="C420" s="277">
        <f t="shared" ref="C420" si="363">C419</f>
        <v>580.28766495107209</v>
      </c>
      <c r="D420" s="277">
        <f t="shared" ref="D420" si="364">D419</f>
        <v>503.87527889335092</v>
      </c>
      <c r="E420" s="277">
        <f t="shared" ref="E420" si="365">E419</f>
        <v>580.63626675085413</v>
      </c>
      <c r="F420" s="277">
        <f t="shared" ref="F420:Q420" si="366">F419</f>
        <v>656.96182547326953</v>
      </c>
      <c r="G420" s="277">
        <f t="shared" si="366"/>
        <v>735.46676051697023</v>
      </c>
      <c r="H420" s="277">
        <f t="shared" si="366"/>
        <v>816.34556608542891</v>
      </c>
      <c r="I420" s="277">
        <f t="shared" si="366"/>
        <v>899.79618894412033</v>
      </c>
      <c r="J420" s="277">
        <f t="shared" si="366"/>
        <v>986.02031668638551</v>
      </c>
      <c r="K420" s="277">
        <f t="shared" si="366"/>
        <v>1075.2236704486115</v>
      </c>
      <c r="L420" s="277">
        <f t="shared" si="366"/>
        <v>1167.6163024360683</v>
      </c>
      <c r="M420" s="277">
        <f t="shared" si="366"/>
        <v>1255.8698982825347</v>
      </c>
      <c r="N420" s="277">
        <f t="shared" si="366"/>
        <v>1345.7718044156868</v>
      </c>
      <c r="O420" s="277">
        <f t="shared" si="366"/>
        <v>1437.3461616816737</v>
      </c>
      <c r="P420" s="277">
        <f t="shared" si="366"/>
        <v>1530.617428912539</v>
      </c>
      <c r="Q420" s="277">
        <f t="shared" si="366"/>
        <v>1625.6103868718535</v>
      </c>
      <c r="S420" s="287" t="s">
        <v>743</v>
      </c>
      <c r="T420" s="256">
        <f>T413-T417</f>
        <v>19</v>
      </c>
      <c r="U420" s="256">
        <f>T420-2</f>
        <v>17</v>
      </c>
      <c r="V420" s="256"/>
    </row>
    <row r="421" spans="1:22">
      <c r="A421" s="279" t="s">
        <v>733</v>
      </c>
      <c r="B421" s="280">
        <f t="shared" ref="B421" si="367">B420*B$45</f>
        <v>0</v>
      </c>
      <c r="C421" s="280">
        <f t="shared" ref="C421" si="368">C420*C$45</f>
        <v>0</v>
      </c>
      <c r="D421" s="280">
        <f t="shared" ref="D421" si="369">D420*D$45</f>
        <v>0</v>
      </c>
      <c r="E421" s="280">
        <f t="shared" ref="E421" ca="1" si="370">E420*E$45</f>
        <v>552.8005333645458</v>
      </c>
      <c r="F421" s="280">
        <f t="shared" ref="F421:Q421" ca="1" si="371">F420*F$45</f>
        <v>583.15550665249089</v>
      </c>
      <c r="G421" s="280">
        <f t="shared" ca="1" si="371"/>
        <v>608.67749931449578</v>
      </c>
      <c r="H421" s="280">
        <f t="shared" ca="1" si="371"/>
        <v>629.90954329740805</v>
      </c>
      <c r="I421" s="280">
        <f t="shared" ca="1" si="371"/>
        <v>647.33375070649322</v>
      </c>
      <c r="J421" s="280">
        <f t="shared" ca="1" si="371"/>
        <v>661.37826221670321</v>
      </c>
      <c r="K421" s="280">
        <f t="shared" ca="1" si="371"/>
        <v>672.42340477363325</v>
      </c>
      <c r="L421" s="280">
        <f t="shared" ca="1" si="371"/>
        <v>680.80714735419019</v>
      </c>
      <c r="M421" s="280">
        <f t="shared" ca="1" si="371"/>
        <v>682.7293278222636</v>
      </c>
      <c r="N421" s="280">
        <f t="shared" ca="1" si="371"/>
        <v>682.11136375336309</v>
      </c>
      <c r="O421" s="280">
        <f t="shared" ca="1" si="371"/>
        <v>679.2430211256551</v>
      </c>
      <c r="P421" s="280">
        <f t="shared" ca="1" si="371"/>
        <v>674.3889059687682</v>
      </c>
      <c r="Q421" s="280">
        <f t="shared" ca="1" si="371"/>
        <v>667.79041353405694</v>
      </c>
      <c r="S421" s="289" t="s">
        <v>744</v>
      </c>
      <c r="T421" s="288">
        <f>VLOOKUP(S421,$Y$32:$AB$34,2,0)</f>
        <v>-0.7</v>
      </c>
      <c r="U421" s="288">
        <f>VLOOKUP(S421,$Y$32:$AB$34,3,0)</f>
        <v>-0.35</v>
      </c>
      <c r="V421" s="288">
        <f>VLOOKUP(S421,$Y$32:$AB$34,4,0)</f>
        <v>-0.1</v>
      </c>
    </row>
    <row r="422" spans="1:22">
      <c r="A422" s="270" t="s">
        <v>734</v>
      </c>
      <c r="B422" s="213">
        <f ca="1">SUM(B421:Q421)</f>
        <v>8422.7486798840673</v>
      </c>
      <c r="C422" s="277"/>
      <c r="D422" s="277"/>
      <c r="E422" s="277"/>
      <c r="F422" s="277"/>
      <c r="G422" s="277"/>
      <c r="H422" s="277"/>
      <c r="I422" s="277"/>
      <c r="J422" s="277"/>
      <c r="K422" s="277"/>
      <c r="L422" s="277"/>
      <c r="M422" s="277"/>
      <c r="N422" s="256"/>
      <c r="O422" s="256"/>
      <c r="P422" s="256"/>
      <c r="Q422" s="256"/>
    </row>
    <row r="423" spans="1:22">
      <c r="A423" s="281" t="s">
        <v>735</v>
      </c>
      <c r="B423" s="213">
        <f ca="1">(Q420*(1+C423))/(DCF!$H$31-NPV!C423)*NPV!$Q$45</f>
        <v>5176.4089649171756</v>
      </c>
      <c r="C423" s="286">
        <v>-0.05</v>
      </c>
      <c r="D423" s="277"/>
      <c r="E423" s="277"/>
      <c r="F423" s="277"/>
      <c r="G423" s="277"/>
      <c r="H423" s="277"/>
      <c r="I423" s="277"/>
      <c r="J423" s="277"/>
      <c r="K423" s="277"/>
      <c r="L423" s="277"/>
      <c r="M423" s="277"/>
      <c r="N423" s="256"/>
      <c r="O423" s="256"/>
      <c r="P423" s="256"/>
      <c r="Q423" s="256"/>
    </row>
    <row r="424" spans="1:22">
      <c r="A424" s="281" t="s">
        <v>736</v>
      </c>
      <c r="B424" s="213">
        <f ca="1">SUM(B422:B423)/DCF!$C$30</f>
        <v>5.7967423890883385</v>
      </c>
      <c r="C424" s="283"/>
      <c r="D424" s="283"/>
      <c r="E424" s="283"/>
      <c r="F424" s="283"/>
      <c r="G424" s="283"/>
      <c r="H424" s="283"/>
      <c r="I424" s="283"/>
      <c r="J424" s="283"/>
      <c r="K424" s="283"/>
      <c r="L424" s="283"/>
      <c r="M424" s="256"/>
      <c r="N424" s="256"/>
      <c r="O424" s="256"/>
      <c r="P424" s="256"/>
      <c r="Q424" s="256"/>
    </row>
    <row r="425" spans="1:22">
      <c r="A425" s="284" t="s">
        <v>737</v>
      </c>
      <c r="B425" s="285">
        <f ca="1">B424/DCF!$H$24</f>
        <v>5.6279052321246006</v>
      </c>
    </row>
    <row r="427" spans="1:22">
      <c r="A427" s="265" t="s">
        <v>41</v>
      </c>
      <c r="B427" s="266">
        <v>2015</v>
      </c>
      <c r="C427" s="266">
        <v>2016</v>
      </c>
      <c r="D427" s="266">
        <v>2017</v>
      </c>
      <c r="E427" s="266">
        <v>2018</v>
      </c>
      <c r="F427" s="266">
        <v>2019</v>
      </c>
      <c r="G427" s="266">
        <v>2020</v>
      </c>
      <c r="H427" s="266">
        <v>2021</v>
      </c>
      <c r="I427" s="266">
        <v>2022</v>
      </c>
      <c r="J427" s="266">
        <v>2023</v>
      </c>
      <c r="K427" s="266">
        <v>2024</v>
      </c>
      <c r="L427" s="266">
        <v>2025</v>
      </c>
      <c r="M427" s="266">
        <v>2026</v>
      </c>
      <c r="N427" s="266">
        <v>2027</v>
      </c>
      <c r="O427" s="266">
        <v>2028</v>
      </c>
      <c r="P427" s="266">
        <v>2029</v>
      </c>
      <c r="Q427" s="267">
        <v>2030</v>
      </c>
      <c r="S427" s="256" t="s">
        <v>709</v>
      </c>
      <c r="T427" s="256" t="s">
        <v>710</v>
      </c>
      <c r="U427" s="256"/>
      <c r="V427" s="256"/>
    </row>
    <row r="428" spans="1:22">
      <c r="A428" s="268" t="s">
        <v>729</v>
      </c>
      <c r="B428" s="269">
        <f>Sales!G268</f>
        <v>261</v>
      </c>
      <c r="C428" s="269">
        <f>Sales!H268</f>
        <v>1128</v>
      </c>
      <c r="D428" s="269">
        <f>Sales!I268</f>
        <v>2071</v>
      </c>
      <c r="E428" s="269">
        <f>Sales!J268</f>
        <v>2899.4</v>
      </c>
      <c r="F428" s="269">
        <f>Sales!K268</f>
        <v>3624.25</v>
      </c>
      <c r="G428" s="269">
        <f>Sales!L268</f>
        <v>4349.1000000000004</v>
      </c>
      <c r="H428" s="269">
        <f>Sales!M268</f>
        <v>5001.4650000000001</v>
      </c>
      <c r="I428" s="269">
        <f>Sales!N268</f>
        <v>5501.6115</v>
      </c>
      <c r="J428" s="269">
        <f>Sales!O268</f>
        <v>5776.6920749999999</v>
      </c>
      <c r="K428" s="269">
        <f>Sales!P268</f>
        <v>6065.5266787499995</v>
      </c>
      <c r="L428" s="269">
        <f>Sales!Q268</f>
        <v>6368.8030126874992</v>
      </c>
      <c r="M428" s="269">
        <f>L428*(1+M429)</f>
        <v>6368.8030126874992</v>
      </c>
      <c r="N428" s="269">
        <f>M428*(1+N429)</f>
        <v>6305.1149825606244</v>
      </c>
      <c r="O428" s="269">
        <f>N428*(1+O429)</f>
        <v>6242.063832735018</v>
      </c>
      <c r="P428" s="269">
        <f>O428*(1+P429)</f>
        <v>6179.6431944076676</v>
      </c>
      <c r="Q428" s="269">
        <f>P428*(1+Q429)</f>
        <v>6117.8467624635905</v>
      </c>
      <c r="S428" s="213">
        <f>VLOOKUP(A427,$A$2:$H$19,5,0)</f>
        <v>6368.8030126874992</v>
      </c>
      <c r="T428" s="256">
        <f>VLOOKUP(A427,$A$2:$H$19,6,0)</f>
        <v>2025</v>
      </c>
      <c r="U428" s="256"/>
      <c r="V428" s="256"/>
    </row>
    <row r="429" spans="1:22">
      <c r="A429" s="270" t="s">
        <v>579</v>
      </c>
      <c r="B429" s="271"/>
      <c r="C429" s="271">
        <f t="shared" ref="C429:H429" si="372">C428/B428-1</f>
        <v>3.3218390804597702</v>
      </c>
      <c r="D429" s="271">
        <f t="shared" si="372"/>
        <v>0.83599290780141855</v>
      </c>
      <c r="E429" s="271">
        <f t="shared" si="372"/>
        <v>0.40000000000000013</v>
      </c>
      <c r="F429" s="271">
        <f t="shared" si="372"/>
        <v>0.25</v>
      </c>
      <c r="G429" s="271">
        <f t="shared" si="372"/>
        <v>0.20000000000000018</v>
      </c>
      <c r="H429" s="271">
        <f t="shared" si="372"/>
        <v>0.14999999999999991</v>
      </c>
      <c r="I429" s="271">
        <f>I428/H428-1</f>
        <v>9.9999999999999867E-2</v>
      </c>
      <c r="J429" s="271">
        <f>J428/I428-1</f>
        <v>5.0000000000000044E-2</v>
      </c>
      <c r="K429" s="271">
        <f t="shared" ref="K429:L429" si="373">K428/J428-1</f>
        <v>4.9999999999999822E-2</v>
      </c>
      <c r="L429" s="271">
        <f t="shared" si="373"/>
        <v>5.0000000000000044E-2</v>
      </c>
      <c r="M429" s="272">
        <v>0</v>
      </c>
      <c r="N429" s="272">
        <v>-0.01</v>
      </c>
      <c r="O429" s="272">
        <v>-0.01</v>
      </c>
      <c r="P429" s="272">
        <v>-0.01</v>
      </c>
      <c r="Q429" s="272">
        <v>-0.01</v>
      </c>
      <c r="S429" s="256" t="s">
        <v>738</v>
      </c>
      <c r="T429" s="256"/>
      <c r="U429" s="256"/>
      <c r="V429" s="256"/>
    </row>
    <row r="430" spans="1:22">
      <c r="A430" s="273" t="s">
        <v>730</v>
      </c>
      <c r="B430" s="274">
        <f t="shared" ref="B430:Q430" si="374">B428*B431</f>
        <v>-13.05</v>
      </c>
      <c r="C430" s="274">
        <f t="shared" si="374"/>
        <v>0</v>
      </c>
      <c r="D430" s="274">
        <f t="shared" si="374"/>
        <v>207.1</v>
      </c>
      <c r="E430" s="274">
        <f t="shared" si="374"/>
        <v>507.39499999999998</v>
      </c>
      <c r="F430" s="274">
        <f t="shared" si="374"/>
        <v>906.0625</v>
      </c>
      <c r="G430" s="274">
        <f t="shared" si="374"/>
        <v>1413.4575000000002</v>
      </c>
      <c r="H430" s="274">
        <f t="shared" si="374"/>
        <v>2000.5860000000002</v>
      </c>
      <c r="I430" s="274">
        <f t="shared" si="374"/>
        <v>2613.2654625</v>
      </c>
      <c r="J430" s="274">
        <f t="shared" si="374"/>
        <v>3177.18064125</v>
      </c>
      <c r="K430" s="274">
        <f t="shared" si="374"/>
        <v>3790.9541742187498</v>
      </c>
      <c r="L430" s="274">
        <f t="shared" si="374"/>
        <v>4458.162108881249</v>
      </c>
      <c r="M430" s="274">
        <f t="shared" si="374"/>
        <v>3821.2818076124995</v>
      </c>
      <c r="N430" s="274">
        <f t="shared" si="374"/>
        <v>3467.8132404083431</v>
      </c>
      <c r="O430" s="274">
        <f t="shared" si="374"/>
        <v>3121.0319163675085</v>
      </c>
      <c r="P430" s="274">
        <f t="shared" si="374"/>
        <v>3089.8215972038333</v>
      </c>
      <c r="Q430" s="274">
        <f t="shared" si="374"/>
        <v>3058.9233812317948</v>
      </c>
      <c r="S430" s="282">
        <f>IF(S428&gt;$X$39,$Z$39,$Z$40)</f>
        <v>-0.1</v>
      </c>
      <c r="T430" s="282">
        <f>IF(S428&gt;$X$39,$AA$39,$AA$40)</f>
        <v>-0.05</v>
      </c>
      <c r="U430" s="282">
        <f>IF(S428&gt;$X$39,$AB$39,$AB$40)</f>
        <v>-0.05</v>
      </c>
      <c r="V430" s="256"/>
    </row>
    <row r="431" spans="1:22">
      <c r="A431" s="270" t="s">
        <v>580</v>
      </c>
      <c r="B431" s="286">
        <f>IF(B427-T428&gt;3,T433,IF(B427-T428=1,45%+S430,IF(B427-T428=2,A431+T430,IF(B427-T428=3,A431+U430,IF(B427-T428=0,T434,IF(T428-B427=U435+1,$AA$37,IF(T428-B427=U435+2,$Z$37,IF(B427&lt;T428,C431-(T434-$AB$37)/U435))))))))</f>
        <v>-0.05</v>
      </c>
      <c r="C431" s="286">
        <f>IF(C427-T428&gt;3,T433,IF(C427-T428=1,B431+S430,IF(C427-T428=2,B431+T430,IF(C427-T428=3,B431+U430,IF(C427-T428=0,T434,IF(T428-C427=U435+1,$AA$37,IF(T428-C427=U435+2,$Z$37,IF(C427&lt;T428,D431-(T434-$AB$37)/U435))))))))</f>
        <v>0</v>
      </c>
      <c r="D431" s="286">
        <f>IF(D427-T428&gt;3,T433,IF(D427-T428=1,C431+S430,IF(D427-T428=2,C431+T430,IF(D427-T428=3,C431+U430,IF(D427-T428=0,T434,IF(T428-D427=U435+1,$AA$37,IF(T428-D427=U435+2,$Z$37,IF(D427&lt;T428,E431-(T434-$AB$37)/U435))))))))</f>
        <v>9.9999999999999992E-2</v>
      </c>
      <c r="E431" s="286">
        <f>IF(E427-T428&gt;3,T433,IF(E427-T428=1,D431+S430,IF(E427-T428=2,D431+T430,IF(E427-T428=3,D431+U430,IF(E427-T428=0,T434,IF(T428-E427=U435+1,$AA$37,IF(T428-E427=U435+2,$Z$37,IF(E427&lt;T428,F431-(T434-$AB$37)/U435))))))))</f>
        <v>0.17499999999999999</v>
      </c>
      <c r="F431" s="286">
        <f>IF(F427-T428&gt;3,T433,IF(F427-T428=1,E431+S430,IF(F427-T428=2,E431+T430,IF(F427-T428=3,E431+U430,IF(F427-T428=0,T434,IF(T428-F427=U435+1,$AA$37,IF(T428-F427=U435+2,$Z$37,IF(F427&lt;T428,G431-(T434-$AB$37)/U435))))))))</f>
        <v>0.25</v>
      </c>
      <c r="G431" s="286">
        <f>IF(G427-T428&gt;3,T433,IF(G427-T428=1,F431+S430,IF(G427-T428=2,F431+T430,IF(G427-T428=3,F431+U430,IF(G427-T428=0,T434,IF(T428-G427=U435+1,$AA$37,IF(T428-G427=U435+2,$Z$37,IF(G427&lt;T428,H431-(T434-$AB$37)/U435))))))))</f>
        <v>0.32500000000000001</v>
      </c>
      <c r="H431" s="286">
        <f>IF(H427-T428&gt;3,T433,IF(H427-T428=1,G431+S430,IF(H427-T428=2,G431+T430,IF(H427-T428=3,G431+U430,IF(H427-T428=0,T434,IF(T428-H427=U435+1,$AA$37,IF(T428-H427=U435+2,$Z$37,IF(H427&lt;T428,I431-(T434-$AB$37)/U435))))))))</f>
        <v>0.4</v>
      </c>
      <c r="I431" s="286">
        <f>IF(I427-T428&gt;3,T433,IF(I427-T428=1,H431+S430,IF(I427-T428=2,H431+T430,IF(I427-T428=3,H431+U430,IF(I427-T428=0,T434,IF(T428-I427=U435+1,$AA$37,IF(T428-I427=U435+2,$Z$37,IF(I427&lt;T428,J431-(T434-$AB$37)/U435))))))))</f>
        <v>0.47500000000000003</v>
      </c>
      <c r="J431" s="286">
        <f>IF(J427-T428&gt;3,T433,IF(J427-T428=1,I431+S430,IF(J427-T428=2,I431+T430,IF(J427-T428=3,I431+U430,IF(J427-T428=0,T434,IF(T428-J427=U435+1,$AA$37,IF(T428-J427=U435+2,$Z$37,IF(J427&lt;T428,K431-(T434-$AB$37)/U435))))))))</f>
        <v>0.55000000000000004</v>
      </c>
      <c r="K431" s="286">
        <f>IF(K427-T428&gt;3,T433,IF(K427-T428=1,J431+S430,IF(K427-T428=2,J431+T430,IF(K427-T428=3,J431+U430,IF(K427-T428=0,T434,IF(T428-K427=U435+1,$AA$37,IF(T428-K427=U435+2,$Z$37,IF(K427&lt;T428,L431-(T434-$AB$37)/U435))))))))</f>
        <v>0.625</v>
      </c>
      <c r="L431" s="286">
        <f>IF(L427-T428&gt;3,T433,IF(L427-T428=1,K431+S430,IF(L427-T428=2,K431+T430,IF(L427-T428=3,K431+U430,IF(L427-T428=0,T434,IF(T428-L427=U435+1,$AA$37,IF(T428-L427=U435+2,$Z$37,IF(L427&lt;T428,M431-(T434-$AB$37)/U435))))))))</f>
        <v>0.7</v>
      </c>
      <c r="M431" s="286">
        <f>IF(M427-T428&gt;3,T433,IF(M427-T428=1,L431+S430,IF(M427-T428=2,L431+T430,IF(M427-T428=3,L431+U430,IF(M427-T428=0,T434,IF(T428-M427=U435+1,$AA$37,IF(T428-M427=U435+2,$Z$37,IF(M427&lt;T428,N431-(T434-$AB$37)/U435))))))))</f>
        <v>0.6</v>
      </c>
      <c r="N431" s="286">
        <f>IF(N427-T428&gt;3,T433,IF(N427-T428=1,M431+S430,IF(N427-T428=2,M431+T430,IF(N427-T428=3,M431+U430,IF(N427-T428=0,T434,IF(T428-N427=U435+1,$AA$37,IF(T428-N427=U435+2,$Z$37,IF(N427&lt;T428,O431-(T434-$AB$37)/U435))))))))</f>
        <v>0.54999999999999993</v>
      </c>
      <c r="O431" s="286">
        <f>IF(O427-T428&gt;3,T433,IF(O427-T428=1,N431+S430,IF(O427-T428=2,N431+T430,IF(O427-T428=3,N431+U430,IF(O427-T428=0,T434,IF(T428-O427=U435+1,$AA$37,IF(T428-O427=U435+2,$Z$37,IF(O427&lt;T428,P431-(T434-$AB$37)/U435))))))))</f>
        <v>0.49999999999999994</v>
      </c>
      <c r="P431" s="286">
        <f>IF(P427-T428&gt;3,T433,IF(P427-T428=1,O431+S430,IF(P427-T428=2,O431+T430,IF(P427-T428=3,O431+U430,IF(P427-T428=0,T434,IF(T428-P427=U435+1,$AA$37,IF(T428-P427=U435+2,$Z$37,IF(P427&lt;T428,Q431-(T434-$AB$37)/U435))))))))</f>
        <v>0.49999999999999994</v>
      </c>
      <c r="Q431" s="286">
        <f>IF(Q427-T428&gt;3,T433,IF(Q427-T428=1,P431+S430,IF(Q427-T428=2,P431+T430,IF(Q427-T428=3,P431+U430,IF(Q427-T428=0,T434,IF(T428-Q427=U435+1,$AA$37,IF(T428-Q427=U435+2,$Z$37,IF(Q427&lt;T428,R431-(T434-$AB$37)/U435))))))))</f>
        <v>0.49999999999999994</v>
      </c>
      <c r="S431" s="287" t="s">
        <v>739</v>
      </c>
      <c r="T431" s="213">
        <f>VLOOKUP(A427,$A$2:$H$19,7,0)</f>
        <v>261</v>
      </c>
      <c r="U431" s="256"/>
      <c r="V431" s="256"/>
    </row>
    <row r="432" spans="1:22">
      <c r="A432" s="270" t="s">
        <v>731</v>
      </c>
      <c r="B432" s="213">
        <f>B430*B433</f>
        <v>-1.899343599205223</v>
      </c>
      <c r="C432" s="213">
        <f t="shared" ref="C432:Q432" si="375">C430*C433</f>
        <v>0</v>
      </c>
      <c r="D432" s="213">
        <f t="shared" si="375"/>
        <v>31.667231890525063</v>
      </c>
      <c r="E432" s="213">
        <f t="shared" si="375"/>
        <v>81.183199999999999</v>
      </c>
      <c r="F432" s="213">
        <f t="shared" si="375"/>
        <v>144.97</v>
      </c>
      <c r="G432" s="213">
        <f t="shared" si="375"/>
        <v>226.15320000000003</v>
      </c>
      <c r="H432" s="213">
        <f t="shared" si="375"/>
        <v>320.09376000000003</v>
      </c>
      <c r="I432" s="213">
        <f t="shared" si="375"/>
        <v>418.12247400000001</v>
      </c>
      <c r="J432" s="213">
        <f t="shared" si="375"/>
        <v>508.34890260000003</v>
      </c>
      <c r="K432" s="213">
        <f t="shared" si="375"/>
        <v>606.552667875</v>
      </c>
      <c r="L432" s="213">
        <f t="shared" si="375"/>
        <v>713.30593742099984</v>
      </c>
      <c r="M432" s="213">
        <f t="shared" si="375"/>
        <v>611.40508921799994</v>
      </c>
      <c r="N432" s="213">
        <f t="shared" si="375"/>
        <v>554.85011846533496</v>
      </c>
      <c r="O432" s="213">
        <f t="shared" si="375"/>
        <v>499.36510661880135</v>
      </c>
      <c r="P432" s="213">
        <f t="shared" si="375"/>
        <v>494.37145555261333</v>
      </c>
      <c r="Q432" s="213">
        <f t="shared" si="375"/>
        <v>489.4277409970872</v>
      </c>
      <c r="S432" s="287" t="s">
        <v>740</v>
      </c>
      <c r="T432" s="256">
        <f>VLOOKUP(A427,$A$2:$H$19,8,0)</f>
        <v>2015</v>
      </c>
      <c r="U432" s="256"/>
      <c r="V432" s="256"/>
    </row>
    <row r="433" spans="1:22">
      <c r="A433" s="270" t="s">
        <v>635</v>
      </c>
      <c r="B433" s="196">
        <f>'P&amp;L'!G$120</f>
        <v>0.1455435708203236</v>
      </c>
      <c r="C433" s="196">
        <f>'P&amp;L'!H$120</f>
        <v>0.15028163725122043</v>
      </c>
      <c r="D433" s="196">
        <f>'P&amp;L'!I$120</f>
        <v>0.15290792800832961</v>
      </c>
      <c r="E433" s="196">
        <f>'P&amp;L'!J$120</f>
        <v>0.16</v>
      </c>
      <c r="F433" s="196">
        <f>'P&amp;L'!K$120</f>
        <v>0.16</v>
      </c>
      <c r="G433" s="196">
        <f>'P&amp;L'!L$120</f>
        <v>0.16</v>
      </c>
      <c r="H433" s="196">
        <f>'P&amp;L'!M$120</f>
        <v>0.16</v>
      </c>
      <c r="I433" s="196">
        <f>'P&amp;L'!N$120</f>
        <v>0.16</v>
      </c>
      <c r="J433" s="196">
        <f>'P&amp;L'!O$120</f>
        <v>0.16</v>
      </c>
      <c r="K433" s="196">
        <f>'P&amp;L'!P$120</f>
        <v>0.16</v>
      </c>
      <c r="L433" s="196">
        <f>'P&amp;L'!Q$120</f>
        <v>0.16</v>
      </c>
      <c r="M433" s="196">
        <f t="shared" ref="M433" si="376">L433</f>
        <v>0.16</v>
      </c>
      <c r="N433" s="196">
        <f t="shared" ref="N433" si="377">M433</f>
        <v>0.16</v>
      </c>
      <c r="O433" s="196">
        <f t="shared" ref="O433" si="378">N433</f>
        <v>0.16</v>
      </c>
      <c r="P433" s="196">
        <f t="shared" ref="P433" si="379">O433</f>
        <v>0.16</v>
      </c>
      <c r="Q433" s="196">
        <f t="shared" ref="Q433" si="380">P433</f>
        <v>0.16</v>
      </c>
      <c r="S433" s="287" t="s">
        <v>741</v>
      </c>
      <c r="T433" s="288">
        <f>IF(Q427-T428&gt;3,IF(AND(S428&lt;$X$42,S428&lt;$X$43,S428&lt;$X$44),$AA$45,IF(AND(S428&lt;$X$42,S428&lt;$X$43),$AA$44,IF(S428&lt;$X$42,$AA$43,$AA$42))))</f>
        <v>0.49999999999999994</v>
      </c>
      <c r="U433" s="256"/>
      <c r="V433" s="256"/>
    </row>
    <row r="434" spans="1:22">
      <c r="A434" s="256" t="s">
        <v>732</v>
      </c>
      <c r="B434" s="213">
        <f>B430-B432</f>
        <v>-11.150656400794778</v>
      </c>
      <c r="C434" s="213">
        <f t="shared" ref="C434:Q434" si="381">C430-C432</f>
        <v>0</v>
      </c>
      <c r="D434" s="213">
        <f t="shared" si="381"/>
        <v>175.43276810947492</v>
      </c>
      <c r="E434" s="213">
        <f t="shared" si="381"/>
        <v>426.21179999999998</v>
      </c>
      <c r="F434" s="213">
        <f t="shared" si="381"/>
        <v>761.09249999999997</v>
      </c>
      <c r="G434" s="213">
        <f t="shared" si="381"/>
        <v>1187.3043000000002</v>
      </c>
      <c r="H434" s="213">
        <f t="shared" si="381"/>
        <v>1680.4922400000003</v>
      </c>
      <c r="I434" s="213">
        <f t="shared" si="381"/>
        <v>2195.1429884999998</v>
      </c>
      <c r="J434" s="213">
        <f t="shared" si="381"/>
        <v>2668.8317386499998</v>
      </c>
      <c r="K434" s="213">
        <f t="shared" si="381"/>
        <v>3184.40150634375</v>
      </c>
      <c r="L434" s="213">
        <f t="shared" si="381"/>
        <v>3744.8561714602492</v>
      </c>
      <c r="M434" s="213">
        <f t="shared" si="381"/>
        <v>3209.8767183944997</v>
      </c>
      <c r="N434" s="213">
        <f t="shared" si="381"/>
        <v>2912.963121943008</v>
      </c>
      <c r="O434" s="213">
        <f t="shared" si="381"/>
        <v>2621.6668097487072</v>
      </c>
      <c r="P434" s="213">
        <f t="shared" si="381"/>
        <v>2595.4501416512198</v>
      </c>
      <c r="Q434" s="213">
        <f t="shared" si="381"/>
        <v>2569.4956402347075</v>
      </c>
      <c r="S434" s="287" t="s">
        <v>742</v>
      </c>
      <c r="T434" s="288">
        <f>IF(S428&gt;$X$42,$Z$42,IF(S428&gt;$X$43,$Z$43,IF(S428&gt;$X$44,$Z$44,$Z$45)))</f>
        <v>0.7</v>
      </c>
      <c r="U434" s="256"/>
      <c r="V434" s="256"/>
    </row>
    <row r="435" spans="1:22">
      <c r="A435" s="270" t="s">
        <v>607</v>
      </c>
      <c r="B435" s="277">
        <f>B434</f>
        <v>-11.150656400794778</v>
      </c>
      <c r="C435" s="277">
        <f t="shared" ref="C435:Q435" si="382">C434</f>
        <v>0</v>
      </c>
      <c r="D435" s="277">
        <f t="shared" si="382"/>
        <v>175.43276810947492</v>
      </c>
      <c r="E435" s="277">
        <f t="shared" si="382"/>
        <v>426.21179999999998</v>
      </c>
      <c r="F435" s="277">
        <f t="shared" si="382"/>
        <v>761.09249999999997</v>
      </c>
      <c r="G435" s="277">
        <f t="shared" si="382"/>
        <v>1187.3043000000002</v>
      </c>
      <c r="H435" s="277">
        <f t="shared" si="382"/>
        <v>1680.4922400000003</v>
      </c>
      <c r="I435" s="277">
        <f t="shared" si="382"/>
        <v>2195.1429884999998</v>
      </c>
      <c r="J435" s="277">
        <f t="shared" si="382"/>
        <v>2668.8317386499998</v>
      </c>
      <c r="K435" s="277">
        <f t="shared" si="382"/>
        <v>3184.40150634375</v>
      </c>
      <c r="L435" s="277">
        <f t="shared" si="382"/>
        <v>3744.8561714602492</v>
      </c>
      <c r="M435" s="277">
        <f t="shared" si="382"/>
        <v>3209.8767183944997</v>
      </c>
      <c r="N435" s="277">
        <f t="shared" si="382"/>
        <v>2912.963121943008</v>
      </c>
      <c r="O435" s="277">
        <f t="shared" si="382"/>
        <v>2621.6668097487072</v>
      </c>
      <c r="P435" s="277">
        <f t="shared" si="382"/>
        <v>2595.4501416512198</v>
      </c>
      <c r="Q435" s="277">
        <f t="shared" si="382"/>
        <v>2569.4956402347075</v>
      </c>
      <c r="S435" s="287" t="s">
        <v>743</v>
      </c>
      <c r="T435" s="256">
        <f>T428-T432</f>
        <v>10</v>
      </c>
      <c r="U435" s="256">
        <f>T435-2</f>
        <v>8</v>
      </c>
      <c r="V435" s="256"/>
    </row>
    <row r="436" spans="1:22">
      <c r="A436" s="279" t="s">
        <v>733</v>
      </c>
      <c r="B436" s="280">
        <f t="shared" ref="B436:Q436" si="383">B435*B$45</f>
        <v>0</v>
      </c>
      <c r="C436" s="280">
        <f t="shared" si="383"/>
        <v>0</v>
      </c>
      <c r="D436" s="280">
        <f t="shared" si="383"/>
        <v>0</v>
      </c>
      <c r="E436" s="280">
        <f t="shared" ca="1" si="383"/>
        <v>405.77918373011534</v>
      </c>
      <c r="F436" s="280">
        <f t="shared" ca="1" si="383"/>
        <v>675.58762965743983</v>
      </c>
      <c r="G436" s="280">
        <f t="shared" ca="1" si="383"/>
        <v>982.62144674133481</v>
      </c>
      <c r="H436" s="280">
        <f t="shared" ca="1" si="383"/>
        <v>1296.7034346609807</v>
      </c>
      <c r="I436" s="280">
        <f t="shared" ca="1" si="383"/>
        <v>1579.2355663900378</v>
      </c>
      <c r="J436" s="280">
        <f t="shared" ca="1" si="383"/>
        <v>1790.1327869074032</v>
      </c>
      <c r="K436" s="280">
        <f t="shared" ca="1" si="383"/>
        <v>1991.4610902944114</v>
      </c>
      <c r="L436" s="280">
        <f t="shared" ca="1" si="383"/>
        <v>2183.5296766791957</v>
      </c>
      <c r="M436" s="280">
        <f t="shared" ca="1" si="383"/>
        <v>1744.9872612909705</v>
      </c>
      <c r="N436" s="280">
        <f t="shared" ca="1" si="383"/>
        <v>1476.4503470441698</v>
      </c>
      <c r="O436" s="280">
        <f t="shared" ca="1" si="383"/>
        <v>1238.914418608194</v>
      </c>
      <c r="P436" s="280">
        <f t="shared" ca="1" si="383"/>
        <v>1143.5534108403695</v>
      </c>
      <c r="Q436" s="280">
        <f t="shared" ca="1" si="383"/>
        <v>1055.5324756925008</v>
      </c>
      <c r="S436" s="289" t="s">
        <v>744</v>
      </c>
      <c r="T436" s="288">
        <f>VLOOKUP(S436,$Y$32:$AB$34,2,0)</f>
        <v>-0.7</v>
      </c>
      <c r="U436" s="288">
        <f>VLOOKUP(S436,$Y$32:$AB$34,3,0)</f>
        <v>-0.35</v>
      </c>
      <c r="V436" s="288">
        <f>VLOOKUP(S436,$Y$32:$AB$34,4,0)</f>
        <v>-0.1</v>
      </c>
    </row>
    <row r="437" spans="1:22">
      <c r="A437" s="270" t="s">
        <v>734</v>
      </c>
      <c r="B437" s="213">
        <f ca="1">SUM(B436:Q436)</f>
        <v>17564.488728537122</v>
      </c>
      <c r="C437" s="277"/>
      <c r="D437" s="277"/>
      <c r="E437" s="277"/>
      <c r="F437" s="277"/>
      <c r="G437" s="277"/>
      <c r="H437" s="277"/>
      <c r="I437" s="277"/>
      <c r="J437" s="277"/>
      <c r="K437" s="277"/>
      <c r="L437" s="277"/>
      <c r="M437" s="277"/>
      <c r="N437" s="256"/>
      <c r="O437" s="256"/>
      <c r="P437" s="256"/>
      <c r="Q437" s="256"/>
    </row>
    <row r="438" spans="1:22">
      <c r="A438" s="281" t="s">
        <v>735</v>
      </c>
      <c r="B438" s="213">
        <f ca="1">(Q435*(1+C438))/(DCF!$H$31-NPV!C438)*NPV!$Q$45</f>
        <v>8182.0098929246278</v>
      </c>
      <c r="C438" s="286">
        <v>-0.05</v>
      </c>
      <c r="D438" s="277"/>
      <c r="E438" s="277"/>
      <c r="F438" s="277"/>
      <c r="G438" s="277"/>
      <c r="H438" s="277"/>
      <c r="I438" s="277"/>
      <c r="J438" s="277"/>
      <c r="K438" s="277"/>
      <c r="L438" s="277"/>
      <c r="M438" s="277"/>
      <c r="N438" s="256"/>
      <c r="O438" s="256"/>
      <c r="P438" s="256"/>
      <c r="Q438" s="256"/>
    </row>
    <row r="439" spans="1:22">
      <c r="A439" s="281" t="s">
        <v>736</v>
      </c>
      <c r="B439" s="213">
        <f ca="1">SUM(B437:B438)/DCF!$C$30</f>
        <v>10.974637093547207</v>
      </c>
      <c r="C439" s="283"/>
      <c r="D439" s="283"/>
      <c r="E439" s="283"/>
      <c r="F439" s="283"/>
      <c r="G439" s="283"/>
      <c r="H439" s="283"/>
      <c r="I439" s="283"/>
      <c r="J439" s="283"/>
      <c r="K439" s="283"/>
      <c r="L439" s="283"/>
      <c r="M439" s="256"/>
      <c r="N439" s="256"/>
      <c r="O439" s="256"/>
      <c r="P439" s="256"/>
      <c r="Q439" s="256"/>
    </row>
    <row r="440" spans="1:22">
      <c r="A440" s="284" t="s">
        <v>737</v>
      </c>
      <c r="B440" s="285">
        <f ca="1">B439/DCF!$H$24</f>
        <v>10.654987469463308</v>
      </c>
    </row>
    <row r="442" spans="1:22" hidden="1" outlineLevel="1">
      <c r="A442" s="265" t="s">
        <v>749</v>
      </c>
      <c r="B442" s="266">
        <v>2015</v>
      </c>
      <c r="C442" s="266">
        <v>2016</v>
      </c>
      <c r="D442" s="266">
        <v>2017</v>
      </c>
      <c r="E442" s="266">
        <v>2018</v>
      </c>
      <c r="F442" s="266">
        <v>2019</v>
      </c>
      <c r="G442" s="266">
        <v>2020</v>
      </c>
      <c r="H442" s="266">
        <v>2021</v>
      </c>
      <c r="I442" s="266">
        <v>2022</v>
      </c>
      <c r="J442" s="266">
        <v>2023</v>
      </c>
      <c r="K442" s="266">
        <v>2024</v>
      </c>
      <c r="L442" s="266">
        <v>2025</v>
      </c>
      <c r="M442" s="266">
        <v>2026</v>
      </c>
      <c r="N442" s="266">
        <v>2027</v>
      </c>
      <c r="O442" s="266">
        <v>2028</v>
      </c>
      <c r="P442" s="266">
        <v>2029</v>
      </c>
      <c r="Q442" s="267">
        <v>2030</v>
      </c>
      <c r="S442" s="256" t="s">
        <v>709</v>
      </c>
      <c r="T442" s="256" t="s">
        <v>710</v>
      </c>
      <c r="U442" s="256"/>
      <c r="V442" s="256"/>
    </row>
    <row r="443" spans="1:22" hidden="1" outlineLevel="1">
      <c r="A443" s="268" t="s">
        <v>729</v>
      </c>
      <c r="B443" s="269">
        <f>Sales!G257</f>
        <v>570</v>
      </c>
      <c r="C443" s="269">
        <f>Sales!H257</f>
        <v>515</v>
      </c>
      <c r="D443" s="269">
        <f>Sales!I257</f>
        <v>488</v>
      </c>
      <c r="E443" s="269">
        <f>Sales!J257</f>
        <v>470.1161214227705</v>
      </c>
      <c r="F443" s="269">
        <f>Sales!K257</f>
        <v>436.18199292317661</v>
      </c>
      <c r="G443" s="269">
        <f>Sales!L257</f>
        <v>404.72585341855421</v>
      </c>
      <c r="H443" s="269">
        <f>Sales!M257</f>
        <v>375.56398367925539</v>
      </c>
      <c r="I443" s="269">
        <f>Sales!N257</f>
        <v>348.52655082170747</v>
      </c>
      <c r="J443" s="269">
        <f>Sales!O257</f>
        <v>323.45653366418787</v>
      </c>
      <c r="K443" s="269">
        <f>Sales!P257</f>
        <v>300.20873356769476</v>
      </c>
      <c r="L443" s="269">
        <f>Sales!Q257</f>
        <v>278.64886375195607</v>
      </c>
      <c r="M443" s="269">
        <f>L443*(1+M444)</f>
        <v>273.07588647691693</v>
      </c>
      <c r="N443" s="269">
        <f>M443*(1+N444)</f>
        <v>267.61436874737859</v>
      </c>
      <c r="O443" s="269">
        <f>N443*(1+O444)</f>
        <v>262.262081372431</v>
      </c>
      <c r="P443" s="269">
        <f>O443*(1+P444)</f>
        <v>257.01683974498235</v>
      </c>
      <c r="Q443" s="269">
        <f>P443*(1+Q444)</f>
        <v>251.87650295008271</v>
      </c>
      <c r="S443" s="213">
        <f>MAX(MAX(Sales!C257:W257),MAX(K443:Q443))</f>
        <v>903</v>
      </c>
      <c r="T443" s="256">
        <f>IFERROR(INDEX(Sales!$B$1:$Q$1,MATCH(NPV!S443,Sales!B257:Q257,0)),INDEX(C442:Q442,MATCH(NPV!S443,C443:Q443,0)))</f>
        <v>2011</v>
      </c>
      <c r="U443" s="256"/>
      <c r="V443" s="256"/>
    </row>
    <row r="444" spans="1:22" hidden="1" outlineLevel="1">
      <c r="A444" s="270" t="s">
        <v>579</v>
      </c>
      <c r="B444" s="271"/>
      <c r="C444" s="271">
        <f t="shared" ref="C444:H444" si="384">C443/B443-1</f>
        <v>-9.6491228070175405E-2</v>
      </c>
      <c r="D444" s="271">
        <f t="shared" si="384"/>
        <v>-5.2427184466019461E-2</v>
      </c>
      <c r="E444" s="271">
        <f t="shared" si="384"/>
        <v>-3.6647292166453904E-2</v>
      </c>
      <c r="F444" s="271">
        <f t="shared" si="384"/>
        <v>-7.218243951493275E-2</v>
      </c>
      <c r="G444" s="271">
        <f t="shared" si="384"/>
        <v>-7.2117006238179737E-2</v>
      </c>
      <c r="H444" s="271">
        <f t="shared" si="384"/>
        <v>-7.2053389950210489E-2</v>
      </c>
      <c r="I444" s="271">
        <f>I443/H443-1</f>
        <v>-7.1991548797285088E-2</v>
      </c>
      <c r="J444" s="271">
        <f>J443/I443-1</f>
        <v>-7.1931441373441984E-2</v>
      </c>
      <c r="K444" s="271">
        <f t="shared" ref="K444:L444" si="385">K443/J443-1</f>
        <v>-7.1873026749952551E-2</v>
      </c>
      <c r="L444" s="271">
        <f t="shared" si="385"/>
        <v>-7.1816264502102212E-2</v>
      </c>
      <c r="M444" s="272">
        <v>-0.02</v>
      </c>
      <c r="N444" s="272">
        <v>-0.02</v>
      </c>
      <c r="O444" s="272">
        <v>-0.02</v>
      </c>
      <c r="P444" s="272">
        <v>-0.02</v>
      </c>
      <c r="Q444" s="272">
        <v>-0.02</v>
      </c>
      <c r="S444" s="256" t="s">
        <v>738</v>
      </c>
      <c r="T444" s="256"/>
      <c r="U444" s="256"/>
      <c r="V444" s="256"/>
    </row>
    <row r="445" spans="1:22" hidden="1" outlineLevel="1">
      <c r="A445" s="273" t="s">
        <v>730</v>
      </c>
      <c r="B445" s="274">
        <f t="shared" ref="B445:Q445" si="386">B443*B446</f>
        <v>193.8</v>
      </c>
      <c r="C445" s="274">
        <f t="shared" si="386"/>
        <v>175.10000000000002</v>
      </c>
      <c r="D445" s="274">
        <f t="shared" si="386"/>
        <v>165.92000000000002</v>
      </c>
      <c r="E445" s="274">
        <f t="shared" si="386"/>
        <v>159.83948128374197</v>
      </c>
      <c r="F445" s="274">
        <f t="shared" si="386"/>
        <v>148.30187759388005</v>
      </c>
      <c r="G445" s="274">
        <f t="shared" si="386"/>
        <v>137.60679016230844</v>
      </c>
      <c r="H445" s="274">
        <f t="shared" si="386"/>
        <v>127.69175445094685</v>
      </c>
      <c r="I445" s="274">
        <f t="shared" si="386"/>
        <v>118.49902727938056</v>
      </c>
      <c r="J445" s="274">
        <f t="shared" si="386"/>
        <v>109.97522144582389</v>
      </c>
      <c r="K445" s="274">
        <f t="shared" si="386"/>
        <v>102.07096941301623</v>
      </c>
      <c r="L445" s="274">
        <f t="shared" si="386"/>
        <v>94.740613675665074</v>
      </c>
      <c r="M445" s="274">
        <f t="shared" si="386"/>
        <v>92.845801402151764</v>
      </c>
      <c r="N445" s="274">
        <f t="shared" si="386"/>
        <v>90.988885374108733</v>
      </c>
      <c r="O445" s="274">
        <f t="shared" si="386"/>
        <v>89.169107666626545</v>
      </c>
      <c r="P445" s="274">
        <f t="shared" si="386"/>
        <v>87.385725513294005</v>
      </c>
      <c r="Q445" s="274">
        <f t="shared" si="386"/>
        <v>85.638011003028126</v>
      </c>
      <c r="S445" s="282">
        <f>IF(S443&gt;$X$39,$Z$39,$Z$40)</f>
        <v>-0.05</v>
      </c>
      <c r="T445" s="282">
        <f>IF(S443&gt;$X$39,$AA$39,$AA$40)</f>
        <v>-0.03</v>
      </c>
      <c r="U445" s="282">
        <f>IF(S443&gt;$X$39,$AB$39,$AB$40)</f>
        <v>-0.03</v>
      </c>
      <c r="V445" s="256"/>
    </row>
    <row r="446" spans="1:22" hidden="1" outlineLevel="1">
      <c r="A446" s="270" t="s">
        <v>580</v>
      </c>
      <c r="B446" s="286">
        <f>IF(B442-T443&gt;3,T448,IF(B442-T443=1,45%+S445,IF(B442-T443=2,A446+T445,IF(B442-T443=3,A446+U445,IF(B442-T443=0,T449,IF(T443-B442=U450+1,$AA$37,IF(T443-B442=U450+2,$Z$37,IF(B442&lt;T443,C446-(T449-$AB$37)/U450))))))))</f>
        <v>0.34</v>
      </c>
      <c r="C446" s="286">
        <f>IF(C442-T443&gt;3,T448,IF(C442-T443=1,B446+S445,IF(C442-T443=2,B446+T445,IF(C442-T443=3,B446+U445,IF(C442-T443=0,T449,IF(T443-C442=U450+1,$AA$37,IF(T443-C442=U450+2,$Z$37,IF(C442&lt;T443,D446-(T449-$AB$37)/U450))))))))</f>
        <v>0.34</v>
      </c>
      <c r="D446" s="286">
        <f>IF(D442-T443&gt;3,T448,IF(D442-T443=1,C446+S445,IF(D442-T443=2,C446+T445,IF(D442-T443=3,C446+U445,IF(D442-T443=0,T449,IF(T443-D442=U450+1,$AA$37,IF(T443-D442=U450+2,$Z$37,IF(D442&lt;T443,E446-(T449-$AB$37)/U450))))))))</f>
        <v>0.34</v>
      </c>
      <c r="E446" s="286">
        <f>IF(E442-T443&gt;3,T448,IF(E442-T443=1,D446+S445,IF(E442-T443=2,D446+T445,IF(E442-T443=3,D446+U445,IF(E442-T443=0,T449,IF(T443-E442=U450+1,$AA$37,IF(T443-E442=U450+2,$Z$37,IF(E442&lt;T443,F446-(T449-$AB$37)/U450))))))))</f>
        <v>0.34</v>
      </c>
      <c r="F446" s="286">
        <f>IF(F442-T443&gt;3,T448,IF(F442-T443=1,E446+S445,IF(F442-T443=2,E446+T445,IF(F442-T443=3,E446+U445,IF(F442-T443=0,T449,IF(T443-F442=U450+1,$AA$37,IF(T443-F442=U450+2,$Z$37,IF(F442&lt;T443,G446-(T449-$AB$37)/U450))))))))</f>
        <v>0.34</v>
      </c>
      <c r="G446" s="286">
        <f>IF(G442-T443&gt;3,T448,IF(G442-T443=1,F446+S445,IF(G442-T443=2,F446+T445,IF(G442-T443=3,F446+U445,IF(G442-T443=0,T449,IF(T443-G442=U450+1,$AA$37,IF(T443-G442=U450+2,$Z$37,IF(G442&lt;T443,H446-(T449-$AB$37)/U450))))))))</f>
        <v>0.34</v>
      </c>
      <c r="H446" s="286">
        <f>IF(H442-T443&gt;3,T448,IF(H442-T443=1,G446+S445,IF(H442-T443=2,G446+T445,IF(H442-T443=3,G446+U445,IF(H442-T443=0,T449,IF(T443-H442=U450+1,$AA$37,IF(T443-H442=U450+2,$Z$37,IF(H442&lt;T443,I446-(T449-$AB$37)/U450))))))))</f>
        <v>0.34</v>
      </c>
      <c r="I446" s="286">
        <f>IF(I442-T443&gt;3,T448,IF(I442-T443=1,H446+S445,IF(I442-T443=2,H446+T445,IF(I442-T443=3,H446+U445,IF(I442-T443=0,T449,IF(T443-I442=U450+1,$AA$37,IF(T443-I442=U450+2,$Z$37,IF(I442&lt;T443,J446-(T449-$AB$37)/U450))))))))</f>
        <v>0.34</v>
      </c>
      <c r="J446" s="286">
        <f>IF(J442-T443&gt;3,T448,IF(J442-T443=1,I446+S445,IF(J442-T443=2,I446+T445,IF(J442-T443=3,I446+U445,IF(J442-T443=0,T449,IF(T443-J442=U450+1,$AA$37,IF(T443-J442=U450+2,$Z$37,IF(J442&lt;T443,K446-(T449-$AB$37)/U450))))))))</f>
        <v>0.34</v>
      </c>
      <c r="K446" s="286">
        <f>IF(K442-T443&gt;3,T448,IF(K442-T443=1,J446+S445,IF(K442-T443=2,J446+T445,IF(K442-T443=3,J446+U445,IF(K442-T443=0,T449,IF(T443-K442=U450+1,$AA$37,IF(T443-K442=U450+2,$Z$37,IF(K442&lt;T443,L446-(T449-$AB$37)/U450))))))))</f>
        <v>0.34</v>
      </c>
      <c r="L446" s="286">
        <f>IF(L442-T443&gt;3,T448,IF(L442-T443=1,K446+S445,IF(L442-T443=2,K446+T445,IF(L442-T443=3,K446+U445,IF(L442-T443=0,T449,IF(T443-L442=U450+1,$AA$37,IF(T443-L442=U450+2,$Z$37,IF(L442&lt;T443,M446-(T449-$AB$37)/U450))))))))</f>
        <v>0.34</v>
      </c>
      <c r="M446" s="286">
        <f>IF(M442-T443&gt;3,T448,IF(M442-T443=1,L446+S445,IF(M442-T443=2,L446+T445,IF(M442-T443=3,L446+U445,IF(M442-T443=0,T449,IF(T443-M442=U450+1,$AA$37,IF(T443-M442=U450+2,$Z$37,IF(M442&lt;T443,N446-(T449-$AB$37)/U450))))))))</f>
        <v>0.34</v>
      </c>
      <c r="N446" s="286">
        <f>IF(N442-T443&gt;3,T448,IF(N442-T443=1,M446+S445,IF(N442-T443=2,M446+T445,IF(N442-T443=3,M446+U445,IF(N442-T443=0,T449,IF(T443-N442=U450+1,$AA$37,IF(T443-N442=U450+2,$Z$37,IF(N442&lt;T443,O446-(T449-$AB$37)/U450))))))))</f>
        <v>0.34</v>
      </c>
      <c r="O446" s="286">
        <f>IF(O442-T443&gt;3,T448,IF(O442-T443=1,N446+S445,IF(O442-T443=2,N446+T445,IF(O442-T443=3,N446+U445,IF(O442-T443=0,T449,IF(T443-O442=U450+1,$AA$37,IF(T443-O442=U450+2,$Z$37,IF(O442&lt;T443,P446-(T449-$AB$37)/U450))))))))</f>
        <v>0.34</v>
      </c>
      <c r="P446" s="286">
        <f>IF(P442-T443&gt;3,T448,IF(P442-T443=1,O446+S445,IF(P442-T443=2,O446+T445,IF(P442-T443=3,O446+U445,IF(P442-T443=0,T449,IF(T443-P442=U450+1,$AA$37,IF(T443-P442=U450+2,$Z$37,IF(P442&lt;T443,Q446-(T449-$AB$37)/U450))))))))</f>
        <v>0.34</v>
      </c>
      <c r="Q446" s="286">
        <f>IF(Q442-T443&gt;3,T448,IF(Q442-T443=1,P446+S445,IF(Q442-T443=2,P446+T445,IF(Q442-T443=3,P446+U445,IF(Q442-T443=0,T449,IF(T443-Q442=U450+1,$AA$37,IF(T443-Q442=U450+2,$Z$37,IF(Q442&lt;T443,R446-(T449-$AB$37)/U450))))))))</f>
        <v>0.34</v>
      </c>
      <c r="S446" s="287" t="s">
        <v>739</v>
      </c>
      <c r="T446" s="213">
        <f t="array" ref="T446">INDEX(Sales!B257:Q257,MATCH(FALSE,ISBLANK(Sales!B257:Q257),0))</f>
        <v>871</v>
      </c>
      <c r="U446" s="256"/>
      <c r="V446" s="256"/>
    </row>
    <row r="447" spans="1:22" hidden="1" outlineLevel="1">
      <c r="A447" s="270" t="s">
        <v>731</v>
      </c>
      <c r="B447" s="213">
        <f>B445*B448</f>
        <v>28.206344024978716</v>
      </c>
      <c r="C447" s="213">
        <f t="shared" ref="C447:Q447" si="387">C445*C448</f>
        <v>26.3143146826887</v>
      </c>
      <c r="D447" s="213">
        <f t="shared" si="387"/>
        <v>25.370483415142051</v>
      </c>
      <c r="E447" s="213">
        <f t="shared" si="387"/>
        <v>25.574317005398715</v>
      </c>
      <c r="F447" s="213">
        <f t="shared" si="387"/>
        <v>23.728300415020808</v>
      </c>
      <c r="G447" s="213">
        <f t="shared" si="387"/>
        <v>22.01708642596935</v>
      </c>
      <c r="H447" s="213">
        <f t="shared" si="387"/>
        <v>20.430680712151496</v>
      </c>
      <c r="I447" s="213">
        <f t="shared" si="387"/>
        <v>18.959844364700889</v>
      </c>
      <c r="J447" s="213">
        <f t="shared" si="387"/>
        <v>17.596035431331824</v>
      </c>
      <c r="K447" s="213">
        <f t="shared" si="387"/>
        <v>16.331355106082597</v>
      </c>
      <c r="L447" s="213">
        <f t="shared" si="387"/>
        <v>15.158498188106412</v>
      </c>
      <c r="M447" s="213">
        <f t="shared" si="387"/>
        <v>14.855328224344282</v>
      </c>
      <c r="N447" s="213">
        <f t="shared" si="387"/>
        <v>14.558221659857397</v>
      </c>
      <c r="O447" s="213">
        <f t="shared" si="387"/>
        <v>14.267057226660247</v>
      </c>
      <c r="P447" s="213">
        <f t="shared" si="387"/>
        <v>13.981716082127042</v>
      </c>
      <c r="Q447" s="213">
        <f t="shared" si="387"/>
        <v>13.7020817604845</v>
      </c>
      <c r="S447" s="287" t="s">
        <v>740</v>
      </c>
      <c r="T447" s="256">
        <f>IFERROR(INDEX(Sales!$B$1:$Q$1,MATCH(NPV!T446,Sales!B257:Q257,0)),INDEX(C442:Q442,MATCH(NPV!T446,C443:Q443,0)))</f>
        <v>2010</v>
      </c>
      <c r="U447" s="256"/>
      <c r="V447" s="256"/>
    </row>
    <row r="448" spans="1:22" hidden="1" outlineLevel="1">
      <c r="A448" s="270" t="s">
        <v>635</v>
      </c>
      <c r="B448" s="196">
        <f>'P&amp;L'!G$120</f>
        <v>0.1455435708203236</v>
      </c>
      <c r="C448" s="196">
        <f>'P&amp;L'!H$120</f>
        <v>0.15028163725122043</v>
      </c>
      <c r="D448" s="196">
        <f>'P&amp;L'!I$120</f>
        <v>0.15290792800832961</v>
      </c>
      <c r="E448" s="196">
        <f>'P&amp;L'!J$120</f>
        <v>0.16</v>
      </c>
      <c r="F448" s="196">
        <f>'P&amp;L'!K$120</f>
        <v>0.16</v>
      </c>
      <c r="G448" s="196">
        <f>'P&amp;L'!L$120</f>
        <v>0.16</v>
      </c>
      <c r="H448" s="196">
        <f>'P&amp;L'!M$120</f>
        <v>0.16</v>
      </c>
      <c r="I448" s="196">
        <f>'P&amp;L'!N$120</f>
        <v>0.16</v>
      </c>
      <c r="J448" s="196">
        <f>'P&amp;L'!O$120</f>
        <v>0.16</v>
      </c>
      <c r="K448" s="196">
        <f>'P&amp;L'!P$120</f>
        <v>0.16</v>
      </c>
      <c r="L448" s="196">
        <f>'P&amp;L'!Q$120</f>
        <v>0.16</v>
      </c>
      <c r="M448" s="196">
        <f t="shared" ref="M448" si="388">L448</f>
        <v>0.16</v>
      </c>
      <c r="N448" s="196">
        <f t="shared" ref="N448" si="389">M448</f>
        <v>0.16</v>
      </c>
      <c r="O448" s="196">
        <f t="shared" ref="O448" si="390">N448</f>
        <v>0.16</v>
      </c>
      <c r="P448" s="196">
        <f t="shared" ref="P448" si="391">O448</f>
        <v>0.16</v>
      </c>
      <c r="Q448" s="196">
        <f t="shared" ref="Q448" si="392">P448</f>
        <v>0.16</v>
      </c>
      <c r="S448" s="287" t="s">
        <v>741</v>
      </c>
      <c r="T448" s="288">
        <f>IF(Q442-T443&gt;3,IF(AND(S443&lt;$X$42,S443&lt;$X$43,S443&lt;$X$44),$AA$45,IF(AND(S443&lt;$X$42,S443&lt;$X$43),$AA$44,IF(S443&lt;$X$42,$AA$43,$AA$42))))</f>
        <v>0.34</v>
      </c>
      <c r="U448" s="256"/>
      <c r="V448" s="256"/>
    </row>
    <row r="449" spans="1:22" hidden="1" outlineLevel="1">
      <c r="A449" s="256" t="s">
        <v>732</v>
      </c>
      <c r="B449" s="213">
        <f>B445-B447</f>
        <v>165.59365597502131</v>
      </c>
      <c r="C449" s="213">
        <f t="shared" ref="C449:Q449" si="393">C445-C447</f>
        <v>148.78568531731133</v>
      </c>
      <c r="D449" s="213">
        <f t="shared" si="393"/>
        <v>140.54951658485797</v>
      </c>
      <c r="E449" s="213">
        <f t="shared" si="393"/>
        <v>134.26516427834326</v>
      </c>
      <c r="F449" s="213">
        <f t="shared" si="393"/>
        <v>124.57357717885924</v>
      </c>
      <c r="G449" s="213">
        <f t="shared" si="393"/>
        <v>115.58970373633909</v>
      </c>
      <c r="H449" s="213">
        <f t="shared" si="393"/>
        <v>107.26107373879535</v>
      </c>
      <c r="I449" s="213">
        <f t="shared" si="393"/>
        <v>99.539182914679671</v>
      </c>
      <c r="J449" s="213">
        <f t="shared" si="393"/>
        <v>92.379186014492063</v>
      </c>
      <c r="K449" s="213">
        <f t="shared" si="393"/>
        <v>85.739614306933632</v>
      </c>
      <c r="L449" s="213">
        <f t="shared" si="393"/>
        <v>79.582115487558667</v>
      </c>
      <c r="M449" s="213">
        <f t="shared" si="393"/>
        <v>77.990473177807488</v>
      </c>
      <c r="N449" s="213">
        <f t="shared" si="393"/>
        <v>76.430663714251338</v>
      </c>
      <c r="O449" s="213">
        <f t="shared" si="393"/>
        <v>74.902050439966303</v>
      </c>
      <c r="P449" s="213">
        <f t="shared" si="393"/>
        <v>73.404009431166969</v>
      </c>
      <c r="Q449" s="213">
        <f t="shared" si="393"/>
        <v>71.935929242543622</v>
      </c>
      <c r="S449" s="287" t="s">
        <v>742</v>
      </c>
      <c r="T449" s="288">
        <f>IF(S443&gt;$X$42,$Z$42,IF(S443&gt;$X$43,$Z$43,IF(S443&gt;$X$44,$Z$44,$Z$45)))</f>
        <v>0.45</v>
      </c>
      <c r="U449" s="256"/>
      <c r="V449" s="256"/>
    </row>
    <row r="450" spans="1:22" hidden="1" outlineLevel="1">
      <c r="A450" s="270" t="s">
        <v>607</v>
      </c>
      <c r="B450" s="277">
        <f>B449</f>
        <v>165.59365597502131</v>
      </c>
      <c r="C450" s="277">
        <f t="shared" ref="C450:Q450" si="394">C449</f>
        <v>148.78568531731133</v>
      </c>
      <c r="D450" s="277">
        <f t="shared" si="394"/>
        <v>140.54951658485797</v>
      </c>
      <c r="E450" s="277">
        <f t="shared" si="394"/>
        <v>134.26516427834326</v>
      </c>
      <c r="F450" s="277">
        <f t="shared" si="394"/>
        <v>124.57357717885924</v>
      </c>
      <c r="G450" s="277">
        <f t="shared" si="394"/>
        <v>115.58970373633909</v>
      </c>
      <c r="H450" s="277">
        <f t="shared" si="394"/>
        <v>107.26107373879535</v>
      </c>
      <c r="I450" s="277">
        <f t="shared" si="394"/>
        <v>99.539182914679671</v>
      </c>
      <c r="J450" s="277">
        <f t="shared" si="394"/>
        <v>92.379186014492063</v>
      </c>
      <c r="K450" s="277">
        <f t="shared" si="394"/>
        <v>85.739614306933632</v>
      </c>
      <c r="L450" s="277">
        <f t="shared" si="394"/>
        <v>79.582115487558667</v>
      </c>
      <c r="M450" s="277">
        <f t="shared" si="394"/>
        <v>77.990473177807488</v>
      </c>
      <c r="N450" s="277">
        <f t="shared" si="394"/>
        <v>76.430663714251338</v>
      </c>
      <c r="O450" s="277">
        <f t="shared" si="394"/>
        <v>74.902050439966303</v>
      </c>
      <c r="P450" s="277">
        <f t="shared" si="394"/>
        <v>73.404009431166969</v>
      </c>
      <c r="Q450" s="277">
        <f t="shared" si="394"/>
        <v>71.935929242543622</v>
      </c>
      <c r="S450" s="287" t="s">
        <v>743</v>
      </c>
      <c r="T450" s="256">
        <f>T443-T447</f>
        <v>1</v>
      </c>
      <c r="U450" s="256">
        <f>T450-2</f>
        <v>-1</v>
      </c>
      <c r="V450" s="256"/>
    </row>
    <row r="451" spans="1:22" hidden="1" outlineLevel="1">
      <c r="A451" s="279" t="s">
        <v>733</v>
      </c>
      <c r="B451" s="280">
        <f t="shared" ref="B451:Q451" si="395">B450*B$45</f>
        <v>0</v>
      </c>
      <c r="C451" s="280">
        <f t="shared" si="395"/>
        <v>0</v>
      </c>
      <c r="D451" s="280">
        <f t="shared" si="395"/>
        <v>0</v>
      </c>
      <c r="E451" s="280">
        <f t="shared" ca="1" si="395"/>
        <v>127.82848519035834</v>
      </c>
      <c r="F451" s="280">
        <f t="shared" ca="1" si="395"/>
        <v>110.57836954668934</v>
      </c>
      <c r="G451" s="280">
        <f t="shared" ca="1" si="395"/>
        <v>95.662857376835717</v>
      </c>
      <c r="H451" s="280">
        <f t="shared" ca="1" si="395"/>
        <v>82.764918166191961</v>
      </c>
      <c r="I451" s="280">
        <f t="shared" ca="1" si="395"/>
        <v>71.610741865923671</v>
      </c>
      <c r="J451" s="280">
        <f t="shared" ca="1" si="395"/>
        <v>61.963820093061116</v>
      </c>
      <c r="K451" s="280">
        <f t="shared" ca="1" si="395"/>
        <v>53.619842048484614</v>
      </c>
      <c r="L451" s="280">
        <f t="shared" ca="1" si="395"/>
        <v>46.402292356193882</v>
      </c>
      <c r="M451" s="280">
        <f t="shared" ca="1" si="395"/>
        <v>42.398009062914788</v>
      </c>
      <c r="N451" s="280">
        <f t="shared" ca="1" si="395"/>
        <v>38.739275178482828</v>
      </c>
      <c r="O451" s="280">
        <f t="shared" ca="1" si="395"/>
        <v>35.396271535469182</v>
      </c>
      <c r="P451" s="280">
        <f t="shared" ca="1" si="395"/>
        <v>32.341752209875352</v>
      </c>
      <c r="Q451" s="280">
        <f t="shared" ca="1" si="395"/>
        <v>29.550822463231285</v>
      </c>
      <c r="S451" s="289" t="s">
        <v>744</v>
      </c>
      <c r="T451" s="288">
        <f>VLOOKUP(S451,$Y$32:$AB$34,2,0)</f>
        <v>-0.7</v>
      </c>
      <c r="U451" s="288">
        <f>VLOOKUP(S451,$Y$32:$AB$34,3,0)</f>
        <v>-0.35</v>
      </c>
      <c r="V451" s="288">
        <f>VLOOKUP(S451,$Y$32:$AB$34,4,0)</f>
        <v>-0.1</v>
      </c>
    </row>
    <row r="452" spans="1:22" hidden="1" outlineLevel="1">
      <c r="A452" s="270" t="s">
        <v>734</v>
      </c>
      <c r="B452" s="213">
        <f ca="1">SUM(B451:Q451)</f>
        <v>828.85745709371201</v>
      </c>
      <c r="C452" s="277"/>
      <c r="D452" s="277"/>
      <c r="E452" s="277"/>
      <c r="F452" s="277"/>
      <c r="G452" s="277"/>
      <c r="H452" s="277"/>
      <c r="I452" s="277"/>
      <c r="J452" s="277"/>
      <c r="K452" s="277"/>
      <c r="L452" s="277"/>
      <c r="M452" s="277"/>
      <c r="N452" s="256"/>
      <c r="O452" s="256"/>
      <c r="P452" s="256"/>
      <c r="Q452" s="256"/>
    </row>
    <row r="453" spans="1:22" hidden="1" outlineLevel="1">
      <c r="A453" s="281" t="s">
        <v>735</v>
      </c>
      <c r="B453" s="213">
        <f ca="1">(Q450*(1+C453))/(DCF!$H$31-NPV!C453)*NPV!$Q$45</f>
        <v>229.06459754314071</v>
      </c>
      <c r="C453" s="282">
        <v>-0.05</v>
      </c>
      <c r="D453" s="277"/>
      <c r="E453" s="277"/>
      <c r="F453" s="277"/>
      <c r="G453" s="277"/>
      <c r="H453" s="277"/>
      <c r="I453" s="277"/>
      <c r="J453" s="277"/>
      <c r="K453" s="277"/>
      <c r="L453" s="277"/>
      <c r="M453" s="277"/>
      <c r="N453" s="256"/>
      <c r="O453" s="256"/>
      <c r="P453" s="256"/>
      <c r="Q453" s="256"/>
    </row>
    <row r="454" spans="1:22" hidden="1" outlineLevel="1">
      <c r="A454" s="281" t="s">
        <v>736</v>
      </c>
      <c r="B454" s="213">
        <f ca="1">SUM(B452:B453)/DCF!$C$30</f>
        <v>0.45094716736438734</v>
      </c>
      <c r="C454" s="283"/>
      <c r="D454" s="283"/>
      <c r="E454" s="283"/>
      <c r="F454" s="283"/>
      <c r="G454" s="283"/>
      <c r="H454" s="283"/>
      <c r="I454" s="283"/>
      <c r="J454" s="283"/>
      <c r="K454" s="283"/>
      <c r="L454" s="283"/>
      <c r="M454" s="256"/>
      <c r="N454" s="256"/>
      <c r="O454" s="256"/>
      <c r="P454" s="256"/>
      <c r="Q454" s="256"/>
    </row>
    <row r="455" spans="1:22" hidden="1" outlineLevel="1">
      <c r="A455" s="284" t="s">
        <v>737</v>
      </c>
      <c r="B455" s="285">
        <f ca="1">B454/DCF!$H$24</f>
        <v>0.43781278384891975</v>
      </c>
    </row>
    <row r="456" spans="1:22" hidden="1" outlineLevel="1"/>
    <row r="457" spans="1:22" hidden="1" outlineLevel="1">
      <c r="A457" s="265" t="s">
        <v>38</v>
      </c>
      <c r="B457" s="266">
        <v>2015</v>
      </c>
      <c r="C457" s="266">
        <v>2016</v>
      </c>
      <c r="D457" s="266">
        <v>2017</v>
      </c>
      <c r="E457" s="266">
        <v>2018</v>
      </c>
      <c r="F457" s="266">
        <v>2019</v>
      </c>
      <c r="G457" s="266">
        <v>2020</v>
      </c>
      <c r="H457" s="266">
        <v>2021</v>
      </c>
      <c r="I457" s="266">
        <v>2022</v>
      </c>
      <c r="J457" s="266">
        <v>2023</v>
      </c>
      <c r="K457" s="266">
        <v>2024</v>
      </c>
      <c r="L457" s="266">
        <v>2025</v>
      </c>
      <c r="M457" s="266">
        <v>2026</v>
      </c>
      <c r="N457" s="266">
        <v>2027</v>
      </c>
      <c r="O457" s="266">
        <v>2028</v>
      </c>
      <c r="P457" s="266">
        <v>2029</v>
      </c>
      <c r="Q457" s="267">
        <v>2030</v>
      </c>
      <c r="S457" s="256" t="s">
        <v>709</v>
      </c>
      <c r="T457" s="256" t="s">
        <v>710</v>
      </c>
      <c r="U457" s="256"/>
      <c r="V457" s="256"/>
    </row>
    <row r="458" spans="1:22" hidden="1" outlineLevel="1">
      <c r="A458" s="268" t="s">
        <v>729</v>
      </c>
      <c r="B458" s="269">
        <f>Sales!G380</f>
        <v>441</v>
      </c>
      <c r="C458" s="269">
        <f>Sales!H380</f>
        <v>383</v>
      </c>
      <c r="D458" s="269">
        <f>Sales!I380</f>
        <v>378</v>
      </c>
      <c r="E458" s="269">
        <f>Sales!J380</f>
        <v>0</v>
      </c>
      <c r="F458" s="269">
        <f>Sales!K380</f>
        <v>0</v>
      </c>
      <c r="G458" s="269">
        <f>Sales!L380</f>
        <v>0</v>
      </c>
      <c r="H458" s="269">
        <f>Sales!M380</f>
        <v>0</v>
      </c>
      <c r="I458" s="269">
        <f>Sales!N380</f>
        <v>0</v>
      </c>
      <c r="J458" s="269">
        <f>Sales!O380</f>
        <v>0</v>
      </c>
      <c r="K458" s="269">
        <f>Sales!P380</f>
        <v>0</v>
      </c>
      <c r="L458" s="269">
        <f>Sales!Q380</f>
        <v>0</v>
      </c>
      <c r="M458" s="269">
        <f>L458*(1+M459)</f>
        <v>0</v>
      </c>
      <c r="N458" s="269">
        <f>M458*(1+N459)</f>
        <v>0</v>
      </c>
      <c r="O458" s="269">
        <f>N458*(1+O459)</f>
        <v>0</v>
      </c>
      <c r="P458" s="269">
        <f>O458*(1+P459)</f>
        <v>0</v>
      </c>
      <c r="Q458" s="269">
        <f>P458*(1+Q459)</f>
        <v>0</v>
      </c>
      <c r="S458" s="213">
        <f>MAX(MAX(Sales!C380:W380),MAX(K458:Q458))</f>
        <v>637</v>
      </c>
      <c r="T458" s="256">
        <f>IFERROR(INDEX(Sales!$B$1:$Q$1,MATCH(NPV!S458,Sales!B380:Q380,0)),INDEX(C457:Q457,MATCH(NPV!S458,C458:Q458,0)))</f>
        <v>2013</v>
      </c>
      <c r="U458" s="256"/>
      <c r="V458" s="256"/>
    </row>
    <row r="459" spans="1:22" hidden="1" outlineLevel="1">
      <c r="A459" s="270" t="s">
        <v>579</v>
      </c>
      <c r="B459" s="271"/>
      <c r="C459" s="271">
        <f t="shared" ref="C459:H459" si="396">C458/B458-1</f>
        <v>-0.13151927437641719</v>
      </c>
      <c r="D459" s="271">
        <f t="shared" si="396"/>
        <v>-1.3054830287206221E-2</v>
      </c>
      <c r="E459" s="271">
        <f t="shared" si="396"/>
        <v>-1</v>
      </c>
      <c r="F459" s="271" t="e">
        <f t="shared" si="396"/>
        <v>#DIV/0!</v>
      </c>
      <c r="G459" s="271" t="e">
        <f t="shared" si="396"/>
        <v>#DIV/0!</v>
      </c>
      <c r="H459" s="271" t="e">
        <f t="shared" si="396"/>
        <v>#DIV/0!</v>
      </c>
      <c r="I459" s="271" t="e">
        <f>I458/H458-1</f>
        <v>#DIV/0!</v>
      </c>
      <c r="J459" s="271" t="e">
        <f>J458/I458-1</f>
        <v>#DIV/0!</v>
      </c>
      <c r="K459" s="271" t="e">
        <f t="shared" ref="K459:L459" si="397">K458/J458-1</f>
        <v>#DIV/0!</v>
      </c>
      <c r="L459" s="271" t="e">
        <f t="shared" si="397"/>
        <v>#DIV/0!</v>
      </c>
      <c r="M459" s="272">
        <v>0</v>
      </c>
      <c r="N459" s="272">
        <v>0</v>
      </c>
      <c r="O459" s="272">
        <v>0</v>
      </c>
      <c r="P459" s="272">
        <v>0</v>
      </c>
      <c r="Q459" s="272">
        <v>0</v>
      </c>
      <c r="S459" s="256" t="s">
        <v>738</v>
      </c>
      <c r="T459" s="256"/>
      <c r="U459" s="256"/>
      <c r="V459" s="256"/>
    </row>
    <row r="460" spans="1:22" hidden="1" outlineLevel="1">
      <c r="A460" s="273" t="s">
        <v>730</v>
      </c>
      <c r="B460" s="274">
        <f t="shared" ref="B460:Q460" si="398">B458*B461</f>
        <v>163.16999999999999</v>
      </c>
      <c r="C460" s="274">
        <f t="shared" si="398"/>
        <v>130.22</v>
      </c>
      <c r="D460" s="274">
        <f t="shared" si="398"/>
        <v>128.52000000000001</v>
      </c>
      <c r="E460" s="274">
        <f t="shared" si="398"/>
        <v>0</v>
      </c>
      <c r="F460" s="274">
        <f t="shared" si="398"/>
        <v>0</v>
      </c>
      <c r="G460" s="274">
        <f t="shared" si="398"/>
        <v>0</v>
      </c>
      <c r="H460" s="274">
        <f t="shared" si="398"/>
        <v>0</v>
      </c>
      <c r="I460" s="274">
        <f t="shared" si="398"/>
        <v>0</v>
      </c>
      <c r="J460" s="274">
        <f t="shared" si="398"/>
        <v>0</v>
      </c>
      <c r="K460" s="274">
        <f t="shared" si="398"/>
        <v>0</v>
      </c>
      <c r="L460" s="274">
        <f t="shared" si="398"/>
        <v>0</v>
      </c>
      <c r="M460" s="274">
        <f t="shared" si="398"/>
        <v>0</v>
      </c>
      <c r="N460" s="274">
        <f t="shared" si="398"/>
        <v>0</v>
      </c>
      <c r="O460" s="274">
        <f t="shared" si="398"/>
        <v>0</v>
      </c>
      <c r="P460" s="274">
        <f t="shared" si="398"/>
        <v>0</v>
      </c>
      <c r="Q460" s="274">
        <f t="shared" si="398"/>
        <v>0</v>
      </c>
      <c r="S460" s="282">
        <f>IF(S458&gt;$X$39,$Z$39,$Z$40)</f>
        <v>-0.05</v>
      </c>
      <c r="T460" s="282">
        <f>IF(S458&gt;$X$39,$AA$39,$AA$40)</f>
        <v>-0.03</v>
      </c>
      <c r="U460" s="282">
        <f>IF(S458&gt;$X$39,$AB$39,$AB$40)</f>
        <v>-0.03</v>
      </c>
      <c r="V460" s="256"/>
    </row>
    <row r="461" spans="1:22" hidden="1" outlineLevel="1">
      <c r="A461" s="270" t="s">
        <v>580</v>
      </c>
      <c r="B461" s="286">
        <f>IF(B457-T458&gt;3,T463,IF(B457-T458=1,45%+S460,IF(B457-T458=2,40%+T460,IF(B457-T458=3,37%+U460,IF(B457-T458=0,T464,IF(T458-B457=U465+1,$AA$37,IF(T458-B457=U465+2,$Z$37,IF(B457&lt;T458,C461-(T464-$AB$37)/U465))))))))</f>
        <v>0.37</v>
      </c>
      <c r="C461" s="286">
        <f>IF(C457-T458&gt;3,T463,IF(C457-T458=1,B461+S460,IF(C457-T458=2,B461+T460,IF(C457-T458=3,B461+U460,IF(C457-T458=0,T464,IF(T458-C457=U465+1,$AA$37,IF(T458-C457=U465+2,$Z$37,IF(C457&lt;T458,D461-(T464-$AB$37)/U465))))))))</f>
        <v>0.33999999999999997</v>
      </c>
      <c r="D461" s="286">
        <f>IF(D457-T458&gt;3,T463,IF(D457-T458=1,C461+S460,IF(D457-T458=2,C461+T460,IF(D457-T458=3,C461+U460,IF(D457-T458=0,T464,IF(T458-D457=U465+1,$AA$37,IF(T458-D457=U465+2,$Z$37,IF(D457&lt;T458,E461-(T464-$AB$37)/U465))))))))</f>
        <v>0.34</v>
      </c>
      <c r="E461" s="286">
        <f>IF(E457-T458&gt;3,T463,IF(E457-T458=1,D461+S460,IF(E457-T458=2,D461+T460,IF(E457-T458=3,D461+U460,IF(E457-T458=0,T464,IF(T458-E457=U465+1,$AA$37,IF(T458-E457=U465+2,$Z$37,IF(E457&lt;T458,F461-(T464-$AB$37)/U465))))))))</f>
        <v>0.34</v>
      </c>
      <c r="F461" s="286">
        <f>IF(F457-T458&gt;3,T463,IF(F457-T458=1,E461+S460,IF(F457-T458=2,E461+T460,IF(F457-T458=3,E461+U460,IF(F457-T458=0,T464,IF(T458-F457=U465+1,$AA$37,IF(T458-F457=U465+2,$Z$37,IF(F457&lt;T458,G461-(T464-$AB$37)/U465))))))))</f>
        <v>0.34</v>
      </c>
      <c r="G461" s="286">
        <f>IF(G457-T458&gt;3,T463,IF(G457-T458=1,F461+S460,IF(G457-T458=2,F461+T460,IF(G457-T458=3,F461+U460,IF(G457-T458=0,T464,IF(T458-G457=U465+1,$AA$37,IF(T458-G457=U465+2,$Z$37,IF(G457&lt;T458,H461-(T464-$AB$37)/U465))))))))</f>
        <v>0.34</v>
      </c>
      <c r="H461" s="286">
        <f>IF(H457-T458&gt;3,T463,IF(H457-T458=1,G461+S460,IF(H457-T458=2,G461+T460,IF(H457-T458=3,G461+U460,IF(H457-T458=0,T464,IF(T458-H457=U465+1,$AA$37,IF(T458-H457=U465+2,$Z$37,IF(H457&lt;T458,I461-(T464-$AB$37)/U465))))))))</f>
        <v>0.34</v>
      </c>
      <c r="I461" s="286">
        <f>IF(I457-T458&gt;3,T463,IF(I457-T458=1,H461+S460,IF(I457-T458=2,H461+T460,IF(I457-T458=3,H461+U460,IF(I457-T458=0,T464,IF(T458-I457=U465+1,$AA$37,IF(T458-I457=U465+2,$Z$37,IF(I457&lt;T458,J461-(T464-$AB$37)/U465))))))))</f>
        <v>0.34</v>
      </c>
      <c r="J461" s="286">
        <f>IF(J457-T458&gt;3,T463,IF(J457-T458=1,I461+S460,IF(J457-T458=2,I461+T460,IF(J457-T458=3,I461+U460,IF(J457-T458=0,T464,IF(T458-J457=U465+1,$AA$37,IF(T458-J457=U465+2,$Z$37,IF(J457&lt;T458,K461-(T464-$AB$37)/U465))))))))</f>
        <v>0.34</v>
      </c>
      <c r="K461" s="286">
        <f>IF(K457-T458&gt;3,T463,IF(K457-T458=1,J461+S460,IF(K457-T458=2,J461+T460,IF(K457-T458=3,J461+U460,IF(K457-T458=0,T464,IF(T458-K457=U465+1,$AA$37,IF(T458-K457=U465+2,$Z$37,IF(K457&lt;T458,L461-(T464-$AB$37)/U465))))))))</f>
        <v>0.34</v>
      </c>
      <c r="L461" s="286">
        <f>IF(L457-T458&gt;3,T463,IF(L457-T458=1,K461+S460,IF(L457-T458=2,K461+T460,IF(L457-T458=3,K461+U460,IF(L457-T458=0,T464,IF(T458-L457=U465+1,$AA$37,IF(T458-L457=U465+2,$Z$37,IF(L457&lt;T458,M461-(T464-$AB$37)/U465))))))))</f>
        <v>0.34</v>
      </c>
      <c r="M461" s="286">
        <f>IF(M457-T458&gt;3,T463,IF(M457-T458=1,L461+S460,IF(M457-T458=2,L461+T460,IF(M457-T458=3,L461+U460,IF(M457-T458=0,T464,IF(T458-M457=U465+1,$AA$37,IF(T458-M457=U465+2,$Z$37,IF(M457&lt;T458,N461-(T464-$AB$37)/U465))))))))</f>
        <v>0.34</v>
      </c>
      <c r="N461" s="286">
        <f>IF(N457-T458&gt;3,T463,IF(N457-T458=1,M461+S460,IF(N457-T458=2,M461+T460,IF(N457-T458=3,M461+U460,IF(N457-T458=0,T464,IF(T458-N457=U465+1,$AA$37,IF(T458-N457=U465+2,$Z$37,IF(N457&lt;T458,O461-(T464-$AB$37)/U465))))))))</f>
        <v>0.34</v>
      </c>
      <c r="O461" s="286">
        <f>IF(O457-T458&gt;3,T463,IF(O457-T458=1,N461+S460,IF(O457-T458=2,N461+T460,IF(O457-T458=3,N461+U460,IF(O457-T458=0,T464,IF(T458-O457=U465+1,$AA$37,IF(T458-O457=U465+2,$Z$37,IF(O457&lt;T458,P461-(T464-$AB$37)/U465))))))))</f>
        <v>0.34</v>
      </c>
      <c r="P461" s="286">
        <f>IF(P457-T458&gt;3,T463,IF(P457-T458=1,O461+S460,IF(P457-T458=2,O461+T460,IF(P457-T458=3,O461+U460,IF(P457-T458=0,T464,IF(T458-P457=U465+1,$AA$37,IF(T458-P457=U465+2,$Z$37,IF(P457&lt;T458,Q461-(T464-$AB$37)/U465))))))))</f>
        <v>0.34</v>
      </c>
      <c r="Q461" s="286">
        <f>IF(Q457-T458&gt;3,T463,IF(Q457-T458=1,P461+S460,IF(Q457-T458=2,P461+T460,IF(Q457-T458=3,P461+U460,IF(Q457-T458=0,T464,IF(T458-Q457=U465+1,$AA$37,IF(T458-Q457=U465+2,$Z$37,IF(Q457&lt;T458,R461-(T464-$AB$37)/U465))))))))</f>
        <v>0.34</v>
      </c>
      <c r="S461" s="287" t="s">
        <v>739</v>
      </c>
      <c r="T461" s="213">
        <f t="array" ref="T461">INDEX(Sales!B380:Q380,MATCH(FALSE,ISBLANK(Sales!B380:Q380),0))</f>
        <v>444</v>
      </c>
      <c r="U461" s="256"/>
      <c r="V461" s="256"/>
    </row>
    <row r="462" spans="1:22" hidden="1" outlineLevel="1">
      <c r="A462" s="270" t="s">
        <v>731</v>
      </c>
      <c r="B462" s="213">
        <f>B460*B463</f>
        <v>23.748344450752199</v>
      </c>
      <c r="C462" s="213">
        <f t="shared" ref="C462:Q462" si="399">C460*C463</f>
        <v>19.569674802853925</v>
      </c>
      <c r="D462" s="213">
        <f t="shared" si="399"/>
        <v>19.651726907630522</v>
      </c>
      <c r="E462" s="213">
        <f t="shared" si="399"/>
        <v>0</v>
      </c>
      <c r="F462" s="213">
        <f t="shared" si="399"/>
        <v>0</v>
      </c>
      <c r="G462" s="213">
        <f t="shared" si="399"/>
        <v>0</v>
      </c>
      <c r="H462" s="213">
        <f t="shared" si="399"/>
        <v>0</v>
      </c>
      <c r="I462" s="213">
        <f t="shared" si="399"/>
        <v>0</v>
      </c>
      <c r="J462" s="213">
        <f t="shared" si="399"/>
        <v>0</v>
      </c>
      <c r="K462" s="213">
        <f t="shared" si="399"/>
        <v>0</v>
      </c>
      <c r="L462" s="213">
        <f t="shared" si="399"/>
        <v>0</v>
      </c>
      <c r="M462" s="213">
        <f t="shared" si="399"/>
        <v>0</v>
      </c>
      <c r="N462" s="213">
        <f t="shared" si="399"/>
        <v>0</v>
      </c>
      <c r="O462" s="213">
        <f t="shared" si="399"/>
        <v>0</v>
      </c>
      <c r="P462" s="213">
        <f t="shared" si="399"/>
        <v>0</v>
      </c>
      <c r="Q462" s="213">
        <f t="shared" si="399"/>
        <v>0</v>
      </c>
      <c r="S462" s="287" t="s">
        <v>740</v>
      </c>
      <c r="T462" s="256">
        <f>IFERROR(INDEX(Sales!$B$1:$Q$1,MATCH(NPV!T461,Sales!B380:Q380,0)),INDEX(C457:Q457,MATCH(NPV!T461,C458:Q458,0)))</f>
        <v>2010</v>
      </c>
      <c r="U462" s="256"/>
      <c r="V462" s="256"/>
    </row>
    <row r="463" spans="1:22" hidden="1" outlineLevel="1">
      <c r="A463" s="270" t="s">
        <v>635</v>
      </c>
      <c r="B463" s="196">
        <f>'P&amp;L'!G$120</f>
        <v>0.1455435708203236</v>
      </c>
      <c r="C463" s="196">
        <f>'P&amp;L'!H$120</f>
        <v>0.15028163725122043</v>
      </c>
      <c r="D463" s="196">
        <f>'P&amp;L'!I$120</f>
        <v>0.15290792800832961</v>
      </c>
      <c r="E463" s="196">
        <f>'P&amp;L'!J$120</f>
        <v>0.16</v>
      </c>
      <c r="F463" s="196">
        <f>'P&amp;L'!K$120</f>
        <v>0.16</v>
      </c>
      <c r="G463" s="196">
        <f>'P&amp;L'!L$120</f>
        <v>0.16</v>
      </c>
      <c r="H463" s="196">
        <f>'P&amp;L'!M$120</f>
        <v>0.16</v>
      </c>
      <c r="I463" s="196">
        <f>'P&amp;L'!N$120</f>
        <v>0.16</v>
      </c>
      <c r="J463" s="196">
        <f>'P&amp;L'!O$120</f>
        <v>0.16</v>
      </c>
      <c r="K463" s="196">
        <f>'P&amp;L'!P$120</f>
        <v>0.16</v>
      </c>
      <c r="L463" s="196">
        <f>'P&amp;L'!Q$120</f>
        <v>0.16</v>
      </c>
      <c r="M463" s="196">
        <f t="shared" ref="M463" si="400">L463</f>
        <v>0.16</v>
      </c>
      <c r="N463" s="196">
        <f t="shared" ref="N463" si="401">M463</f>
        <v>0.16</v>
      </c>
      <c r="O463" s="196">
        <f t="shared" ref="O463" si="402">N463</f>
        <v>0.16</v>
      </c>
      <c r="P463" s="196">
        <f t="shared" ref="P463" si="403">O463</f>
        <v>0.16</v>
      </c>
      <c r="Q463" s="196">
        <f t="shared" ref="Q463" si="404">P463</f>
        <v>0.16</v>
      </c>
      <c r="S463" s="287" t="s">
        <v>741</v>
      </c>
      <c r="T463" s="288">
        <f>IF(Q457-T458&gt;3,IF(AND(S458&lt;$X$42,S458&lt;$X$43,S458&lt;$X$44),$AA$45,IF(AND(S458&lt;$X$42,S458&lt;$X$43),$AA$44,IF(S458&lt;$X$42,$AA$43,$AA$42))))</f>
        <v>0.34</v>
      </c>
      <c r="U463" s="256"/>
      <c r="V463" s="256"/>
    </row>
    <row r="464" spans="1:22" hidden="1" outlineLevel="1">
      <c r="A464" s="256" t="s">
        <v>732</v>
      </c>
      <c r="B464" s="213">
        <f>B460-B462</f>
        <v>139.42165554924779</v>
      </c>
      <c r="C464" s="213">
        <f t="shared" ref="C464:Q464" si="405">C460-C462</f>
        <v>110.65032519714607</v>
      </c>
      <c r="D464" s="213">
        <f t="shared" si="405"/>
        <v>108.86827309236949</v>
      </c>
      <c r="E464" s="213">
        <f t="shared" si="405"/>
        <v>0</v>
      </c>
      <c r="F464" s="213">
        <f t="shared" si="405"/>
        <v>0</v>
      </c>
      <c r="G464" s="213">
        <f t="shared" si="405"/>
        <v>0</v>
      </c>
      <c r="H464" s="213">
        <f t="shared" si="405"/>
        <v>0</v>
      </c>
      <c r="I464" s="213">
        <f t="shared" si="405"/>
        <v>0</v>
      </c>
      <c r="J464" s="213">
        <f t="shared" si="405"/>
        <v>0</v>
      </c>
      <c r="K464" s="213">
        <f t="shared" si="405"/>
        <v>0</v>
      </c>
      <c r="L464" s="213">
        <f t="shared" si="405"/>
        <v>0</v>
      </c>
      <c r="M464" s="213">
        <f t="shared" si="405"/>
        <v>0</v>
      </c>
      <c r="N464" s="213">
        <f t="shared" si="405"/>
        <v>0</v>
      </c>
      <c r="O464" s="213">
        <f t="shared" si="405"/>
        <v>0</v>
      </c>
      <c r="P464" s="213">
        <f t="shared" si="405"/>
        <v>0</v>
      </c>
      <c r="Q464" s="213">
        <f t="shared" si="405"/>
        <v>0</v>
      </c>
      <c r="S464" s="287" t="s">
        <v>742</v>
      </c>
      <c r="T464" s="288">
        <f>IF(S458&gt;$X$42,$Z$42,IF(S458&gt;$X$43,$Z$43,IF(S458&gt;$X$44,$Z$44,$Z$45)))</f>
        <v>0.45</v>
      </c>
      <c r="U464" s="256"/>
      <c r="V464" s="256"/>
    </row>
    <row r="465" spans="1:22" hidden="1" outlineLevel="1">
      <c r="A465" s="270" t="s">
        <v>607</v>
      </c>
      <c r="B465" s="277">
        <f>B464</f>
        <v>139.42165554924779</v>
      </c>
      <c r="C465" s="277">
        <f t="shared" ref="C465:Q465" si="406">C464</f>
        <v>110.65032519714607</v>
      </c>
      <c r="D465" s="277">
        <f t="shared" si="406"/>
        <v>108.86827309236949</v>
      </c>
      <c r="E465" s="277">
        <f t="shared" si="406"/>
        <v>0</v>
      </c>
      <c r="F465" s="277">
        <f t="shared" si="406"/>
        <v>0</v>
      </c>
      <c r="G465" s="277">
        <f t="shared" si="406"/>
        <v>0</v>
      </c>
      <c r="H465" s="277">
        <f t="shared" si="406"/>
        <v>0</v>
      </c>
      <c r="I465" s="277">
        <f t="shared" si="406"/>
        <v>0</v>
      </c>
      <c r="J465" s="277">
        <f t="shared" si="406"/>
        <v>0</v>
      </c>
      <c r="K465" s="277">
        <f t="shared" si="406"/>
        <v>0</v>
      </c>
      <c r="L465" s="277">
        <f t="shared" si="406"/>
        <v>0</v>
      </c>
      <c r="M465" s="277">
        <f t="shared" si="406"/>
        <v>0</v>
      </c>
      <c r="N465" s="277">
        <f t="shared" si="406"/>
        <v>0</v>
      </c>
      <c r="O465" s="277">
        <f t="shared" si="406"/>
        <v>0</v>
      </c>
      <c r="P465" s="277">
        <f t="shared" si="406"/>
        <v>0</v>
      </c>
      <c r="Q465" s="277">
        <f t="shared" si="406"/>
        <v>0</v>
      </c>
      <c r="S465" s="287" t="s">
        <v>743</v>
      </c>
      <c r="T465" s="256">
        <f>T458-T462</f>
        <v>3</v>
      </c>
      <c r="U465" s="256">
        <f>T465-2</f>
        <v>1</v>
      </c>
      <c r="V465" s="256"/>
    </row>
    <row r="466" spans="1:22" hidden="1" outlineLevel="1">
      <c r="A466" s="279" t="s">
        <v>733</v>
      </c>
      <c r="B466" s="280">
        <f t="shared" ref="B466:Q466" si="407">B465*B$45</f>
        <v>0</v>
      </c>
      <c r="C466" s="280">
        <f t="shared" si="407"/>
        <v>0</v>
      </c>
      <c r="D466" s="280">
        <f t="shared" si="407"/>
        <v>0</v>
      </c>
      <c r="E466" s="280">
        <f t="shared" ca="1" si="407"/>
        <v>0</v>
      </c>
      <c r="F466" s="280">
        <f t="shared" ca="1" si="407"/>
        <v>0</v>
      </c>
      <c r="G466" s="280">
        <f t="shared" ca="1" si="407"/>
        <v>0</v>
      </c>
      <c r="H466" s="280">
        <f t="shared" ca="1" si="407"/>
        <v>0</v>
      </c>
      <c r="I466" s="280">
        <f t="shared" ca="1" si="407"/>
        <v>0</v>
      </c>
      <c r="J466" s="280">
        <f t="shared" ca="1" si="407"/>
        <v>0</v>
      </c>
      <c r="K466" s="280">
        <f t="shared" ca="1" si="407"/>
        <v>0</v>
      </c>
      <c r="L466" s="280">
        <f t="shared" ca="1" si="407"/>
        <v>0</v>
      </c>
      <c r="M466" s="280">
        <f t="shared" ca="1" si="407"/>
        <v>0</v>
      </c>
      <c r="N466" s="280">
        <f t="shared" ca="1" si="407"/>
        <v>0</v>
      </c>
      <c r="O466" s="280">
        <f t="shared" ca="1" si="407"/>
        <v>0</v>
      </c>
      <c r="P466" s="280">
        <f t="shared" ca="1" si="407"/>
        <v>0</v>
      </c>
      <c r="Q466" s="280">
        <f t="shared" ca="1" si="407"/>
        <v>0</v>
      </c>
      <c r="S466" s="289" t="s">
        <v>744</v>
      </c>
      <c r="T466" s="288">
        <f>VLOOKUP(S466,$Y$32:$AB$34,2,0)</f>
        <v>-0.7</v>
      </c>
      <c r="U466" s="288">
        <f>VLOOKUP(S466,$Y$32:$AB$34,3,0)</f>
        <v>-0.35</v>
      </c>
      <c r="V466" s="288">
        <f>VLOOKUP(S466,$Y$32:$AB$34,4,0)</f>
        <v>-0.1</v>
      </c>
    </row>
    <row r="467" spans="1:22" hidden="1" outlineLevel="1">
      <c r="A467" s="270" t="s">
        <v>734</v>
      </c>
      <c r="B467" s="213">
        <f ca="1">SUM(B466:Q466)</f>
        <v>0</v>
      </c>
      <c r="C467" s="277"/>
      <c r="D467" s="277"/>
      <c r="E467" s="277"/>
      <c r="F467" s="277"/>
      <c r="G467" s="277"/>
      <c r="H467" s="277"/>
      <c r="I467" s="277"/>
      <c r="J467" s="277"/>
      <c r="K467" s="277"/>
      <c r="L467" s="277"/>
      <c r="M467" s="277"/>
      <c r="N467" s="256"/>
      <c r="O467" s="256"/>
      <c r="P467" s="256"/>
      <c r="Q467" s="256"/>
    </row>
    <row r="468" spans="1:22" hidden="1" outlineLevel="1">
      <c r="A468" s="281" t="s">
        <v>735</v>
      </c>
      <c r="B468" s="213">
        <f ca="1">(Q465*(1+C468))/(DCF!$H$31-NPV!C468)*NPV!$Q$45</f>
        <v>0</v>
      </c>
      <c r="C468" s="282">
        <v>-0.05</v>
      </c>
      <c r="D468" s="277"/>
      <c r="E468" s="277"/>
      <c r="F468" s="277"/>
      <c r="G468" s="277"/>
      <c r="H468" s="277"/>
      <c r="I468" s="277"/>
      <c r="J468" s="277"/>
      <c r="K468" s="277"/>
      <c r="L468" s="277"/>
      <c r="M468" s="277"/>
      <c r="N468" s="256"/>
      <c r="O468" s="256"/>
      <c r="P468" s="256"/>
      <c r="Q468" s="256"/>
    </row>
    <row r="469" spans="1:22" hidden="1" outlineLevel="1">
      <c r="A469" s="281" t="s">
        <v>736</v>
      </c>
      <c r="B469" s="213">
        <f ca="1">SUM(B467:B468)/DCF!$C$30</f>
        <v>0</v>
      </c>
      <c r="C469" s="283"/>
      <c r="D469" s="283"/>
      <c r="E469" s="283"/>
      <c r="F469" s="283"/>
      <c r="G469" s="283"/>
      <c r="H469" s="283"/>
      <c r="I469" s="283"/>
      <c r="J469" s="283"/>
      <c r="K469" s="283"/>
      <c r="L469" s="283"/>
      <c r="M469" s="256"/>
      <c r="N469" s="256"/>
      <c r="O469" s="256"/>
      <c r="P469" s="256"/>
      <c r="Q469" s="256"/>
    </row>
    <row r="470" spans="1:22" hidden="1" outlineLevel="1">
      <c r="A470" s="284" t="s">
        <v>737</v>
      </c>
      <c r="B470" s="285">
        <f ca="1">B469/DCF!$H$24</f>
        <v>0</v>
      </c>
    </row>
    <row r="471" spans="1:22" hidden="1" outlineLevel="1"/>
    <row r="472" spans="1:22" hidden="1" outlineLevel="1">
      <c r="A472" s="265" t="s">
        <v>750</v>
      </c>
      <c r="B472" s="266">
        <v>2015</v>
      </c>
      <c r="C472" s="266">
        <v>2016</v>
      </c>
      <c r="D472" s="266">
        <v>2017</v>
      </c>
      <c r="E472" s="266">
        <v>2018</v>
      </c>
      <c r="F472" s="266">
        <v>2019</v>
      </c>
      <c r="G472" s="266">
        <v>2020</v>
      </c>
      <c r="H472" s="266">
        <v>2021</v>
      </c>
      <c r="I472" s="266">
        <v>2022</v>
      </c>
      <c r="J472" s="266">
        <v>2023</v>
      </c>
      <c r="K472" s="266">
        <v>2024</v>
      </c>
      <c r="L472" s="266">
        <v>2025</v>
      </c>
      <c r="M472" s="266">
        <v>2026</v>
      </c>
      <c r="N472" s="266">
        <v>2027</v>
      </c>
      <c r="O472" s="266">
        <v>2028</v>
      </c>
      <c r="P472" s="266">
        <v>2029</v>
      </c>
      <c r="Q472" s="267">
        <v>2030</v>
      </c>
      <c r="S472" s="256" t="s">
        <v>709</v>
      </c>
      <c r="T472" s="256" t="s">
        <v>710</v>
      </c>
      <c r="U472" s="256"/>
      <c r="V472" s="256"/>
    </row>
    <row r="473" spans="1:22" hidden="1" outlineLevel="1">
      <c r="A473" s="268" t="s">
        <v>729</v>
      </c>
      <c r="B473" s="269">
        <f>Sales!G388</f>
        <v>335</v>
      </c>
      <c r="C473" s="269">
        <f>Sales!H388</f>
        <v>398</v>
      </c>
      <c r="D473" s="269">
        <f>Sales!I388</f>
        <v>414</v>
      </c>
      <c r="E473" s="269">
        <f>Sales!J388</f>
        <v>434.7</v>
      </c>
      <c r="F473" s="269">
        <f>Sales!K388</f>
        <v>456.435</v>
      </c>
      <c r="G473" s="269">
        <f>Sales!L388</f>
        <v>456.435</v>
      </c>
      <c r="H473" s="269">
        <f>Sales!M388</f>
        <v>456.435</v>
      </c>
      <c r="I473" s="269">
        <f>Sales!N388</f>
        <v>456.435</v>
      </c>
      <c r="J473" s="269">
        <f>Sales!O388</f>
        <v>456.435</v>
      </c>
      <c r="K473" s="269">
        <f>Sales!P388</f>
        <v>456.435</v>
      </c>
      <c r="L473" s="269">
        <f>Sales!Q388</f>
        <v>456.435</v>
      </c>
      <c r="M473" s="269">
        <f>L473*(1+M474)</f>
        <v>456.435</v>
      </c>
      <c r="N473" s="269">
        <f>M473*(1+N474)</f>
        <v>456.435</v>
      </c>
      <c r="O473" s="269">
        <f>N473*(1+O474)</f>
        <v>456.435</v>
      </c>
      <c r="P473" s="269">
        <f>O473*(1+P474)</f>
        <v>456.435</v>
      </c>
      <c r="Q473" s="269">
        <f>P473*(1+Q474)</f>
        <v>456.435</v>
      </c>
      <c r="S473" s="213">
        <f>MAX(MAX(Sales!C388:W388),MAX(K473:Q473))</f>
        <v>456.435</v>
      </c>
      <c r="T473" s="256">
        <f>IFERROR(INDEX(Sales!$B$1:$Q$1,MATCH(NPV!S473,Sales!B388:Q388,0)),INDEX(C472:Q472,MATCH(NPV!S473,C473:Q473,0)))</f>
        <v>2019</v>
      </c>
      <c r="U473" s="256"/>
      <c r="V473" s="256"/>
    </row>
    <row r="474" spans="1:22" hidden="1" outlineLevel="1">
      <c r="A474" s="270" t="s">
        <v>579</v>
      </c>
      <c r="B474" s="271"/>
      <c r="C474" s="271">
        <f t="shared" ref="C474:H474" si="408">C473/B473-1</f>
        <v>0.18805970149253737</v>
      </c>
      <c r="D474" s="271">
        <f t="shared" si="408"/>
        <v>4.020100502512558E-2</v>
      </c>
      <c r="E474" s="271">
        <f t="shared" si="408"/>
        <v>5.0000000000000044E-2</v>
      </c>
      <c r="F474" s="271">
        <f t="shared" si="408"/>
        <v>5.0000000000000044E-2</v>
      </c>
      <c r="G474" s="271">
        <f t="shared" si="408"/>
        <v>0</v>
      </c>
      <c r="H474" s="271">
        <f t="shared" si="408"/>
        <v>0</v>
      </c>
      <c r="I474" s="271">
        <f>I473/H473-1</f>
        <v>0</v>
      </c>
      <c r="J474" s="271">
        <f>J473/I473-1</f>
        <v>0</v>
      </c>
      <c r="K474" s="271">
        <f t="shared" ref="K474:L474" si="409">K473/J473-1</f>
        <v>0</v>
      </c>
      <c r="L474" s="271">
        <f t="shared" si="409"/>
        <v>0</v>
      </c>
      <c r="M474" s="272">
        <v>0</v>
      </c>
      <c r="N474" s="272">
        <v>0</v>
      </c>
      <c r="O474" s="272">
        <v>0</v>
      </c>
      <c r="P474" s="272">
        <v>0</v>
      </c>
      <c r="Q474" s="272">
        <v>0</v>
      </c>
      <c r="S474" s="256" t="s">
        <v>738</v>
      </c>
      <c r="T474" s="256"/>
      <c r="U474" s="256"/>
      <c r="V474" s="256"/>
    </row>
    <row r="475" spans="1:22" hidden="1" outlineLevel="1">
      <c r="A475" s="273" t="s">
        <v>730</v>
      </c>
      <c r="B475" s="274">
        <f t="shared" ref="B475:Q475" si="410">B473*B476</f>
        <v>83.750000000000014</v>
      </c>
      <c r="C475" s="274">
        <f t="shared" si="410"/>
        <v>119.40000000000002</v>
      </c>
      <c r="D475" s="274">
        <f t="shared" si="410"/>
        <v>144.9</v>
      </c>
      <c r="E475" s="274">
        <f t="shared" si="410"/>
        <v>173.88</v>
      </c>
      <c r="F475" s="274">
        <f t="shared" si="410"/>
        <v>205.39574999999999</v>
      </c>
      <c r="G475" s="274">
        <f t="shared" si="410"/>
        <v>182.57400000000001</v>
      </c>
      <c r="H475" s="274">
        <f t="shared" si="410"/>
        <v>168.88095000000001</v>
      </c>
      <c r="I475" s="274">
        <f t="shared" si="410"/>
        <v>155.18789999999998</v>
      </c>
      <c r="J475" s="274">
        <f t="shared" si="410"/>
        <v>155.18790000000001</v>
      </c>
      <c r="K475" s="274">
        <f t="shared" si="410"/>
        <v>155.18790000000001</v>
      </c>
      <c r="L475" s="274">
        <f t="shared" si="410"/>
        <v>155.18790000000001</v>
      </c>
      <c r="M475" s="274">
        <f t="shared" si="410"/>
        <v>155.18790000000001</v>
      </c>
      <c r="N475" s="274">
        <f t="shared" si="410"/>
        <v>155.18790000000001</v>
      </c>
      <c r="O475" s="274">
        <f t="shared" si="410"/>
        <v>155.18790000000001</v>
      </c>
      <c r="P475" s="274">
        <f t="shared" si="410"/>
        <v>155.18790000000001</v>
      </c>
      <c r="Q475" s="274">
        <f t="shared" si="410"/>
        <v>155.18790000000001</v>
      </c>
      <c r="S475" s="282">
        <f>IF(S473&gt;$X$39,$Z$39,$Z$40)</f>
        <v>-0.05</v>
      </c>
      <c r="T475" s="282">
        <f>IF(S473&gt;$X$39,$AA$39,$AA$40)</f>
        <v>-0.03</v>
      </c>
      <c r="U475" s="282">
        <f>IF(S473&gt;$X$39,$AB$39,$AB$40)</f>
        <v>-0.03</v>
      </c>
      <c r="V475" s="256"/>
    </row>
    <row r="476" spans="1:22" hidden="1" outlineLevel="1">
      <c r="A476" s="270" t="s">
        <v>580</v>
      </c>
      <c r="B476" s="286">
        <f>IF(B472-T473&gt;3,T478,IF(B472-T473=1,45%+S475,IF(B472-T473=2,A476+T475,IF(B472-T473=3,A476+U475,IF(B472-T473=0,T479,IF(T473-B472=U480+1,$AA$37,IF(T473-B472=U480+2,$Z$37,IF(B472&lt;T473,C476-(T479-$AB$37)/U480))))))))</f>
        <v>0.25000000000000006</v>
      </c>
      <c r="C476" s="286">
        <f>IF(C472-T473&gt;3,T478,IF(C472-T473=1,B476+S475,IF(C472-T473=2,B476+T475,IF(C472-T473=3,B476+U475,IF(C472-T473=0,T479,IF(T473-C472=U480+1,$AA$37,IF(T473-C472=U480+2,$Z$37,IF(C472&lt;T473,D476-(T479-$AB$37)/U480))))))))</f>
        <v>0.30000000000000004</v>
      </c>
      <c r="D476" s="286">
        <f>IF(D472-T473&gt;3,T478,IF(D472-T473=1,C476+S475,IF(D472-T473=2,C476+T475,IF(D472-T473=3,C476+U475,IF(D472-T473=0,T479,IF(T473-D472=U480+1,$AA$37,IF(T473-D472=U480+2,$Z$37,IF(D472&lt;T473,E476-(T479-$AB$37)/U480))))))))</f>
        <v>0.35000000000000003</v>
      </c>
      <c r="E476" s="286">
        <f>IF(E472-T473&gt;3,T478,IF(E472-T473=1,D476+S475,IF(E472-T473=2,D476+T475,IF(E472-T473=3,D476+U475,IF(E472-T473=0,T479,IF(T473-E472=U480+1,$AA$37,IF(T473-E472=U480+2,$Z$37,IF(E472&lt;T473,F476-(T479-$AB$37)/U480))))))))</f>
        <v>0.4</v>
      </c>
      <c r="F476" s="286">
        <f>IF(F472-T473&gt;3,T478,IF(F472-T473=1,E476+S475,IF(F472-T473=2,E476+T475,IF(F472-T473=3,E476+U475,IF(F472-T473=0,T479,IF(T473-F472=U480+1,$AA$37,IF(T473-F472=U480+2,$Z$37,IF(F472&lt;T473,G476-(T479-$AB$37)/U480))))))))</f>
        <v>0.45</v>
      </c>
      <c r="G476" s="286">
        <f>IF(G472-T473&gt;3,T478,IF(G472-T473=1,F476+S475,IF(G472-T473=2,F476+T475,IF(G472-T473=3,F476+U475,IF(G472-T473=0,T479,IF(T473-G472=U480+1,$AA$37,IF(T473-G472=U480+2,$Z$37,IF(G472&lt;T473,H476-(T479-$AB$37)/U480))))))))</f>
        <v>0.4</v>
      </c>
      <c r="H476" s="286">
        <f>IF(H472-T473&gt;3,T478,IF(H472-T473=1,G476+S475,IF(H472-T473=2,G476+T475,IF(H472-T473=3,G476+U475,IF(H472-T473=0,T479,IF(T473-H472=U480+1,$AA$37,IF(T473-H472=U480+2,$Z$37,IF(H472&lt;T473,I476-(T479-$AB$37)/U480))))))))</f>
        <v>0.37</v>
      </c>
      <c r="I476" s="286">
        <f>IF(I472-T473&gt;3,T478,IF(I472-T473=1,H476+S475,IF(I472-T473=2,H476+T475,IF(I472-T473=3,H476+U475,IF(I472-T473=0,T479,IF(T473-I472=U480+1,$AA$37,IF(T473-I472=U480+2,$Z$37,IF(I472&lt;T473,J476-(T479-$AB$37)/U480))))))))</f>
        <v>0.33999999999999997</v>
      </c>
      <c r="J476" s="286">
        <f>IF(J472-T473&gt;3,T478,IF(J472-T473=1,I476+S475,IF(J472-T473=2,I476+T475,IF(J472-T473=3,I476+U475,IF(J472-T473=0,T479,IF(T473-J472=U480+1,$AA$37,IF(T473-J472=U480+2,$Z$37,IF(J472&lt;T473,K476-(T479-$AB$37)/U480))))))))</f>
        <v>0.34</v>
      </c>
      <c r="K476" s="286">
        <f>IF(K472-T473&gt;3,T478,IF(K472-T473=1,J476+S475,IF(K472-T473=2,J476+T475,IF(K472-T473=3,J476+U475,IF(K472-T473=0,T479,IF(T473-K472=U480+1,$AA$37,IF(T473-K472=U480+2,$Z$37,IF(K472&lt;T473,L476-(T479-$AB$37)/U480))))))))</f>
        <v>0.34</v>
      </c>
      <c r="L476" s="286">
        <f>IF(L472-T473&gt;3,T478,IF(L472-T473=1,K476+S475,IF(L472-T473=2,K476+T475,IF(L472-T473=3,K476+U475,IF(L472-T473=0,T479,IF(T473-L472=U480+1,$AA$37,IF(T473-L472=U480+2,$Z$37,IF(L472&lt;T473,M476-(T479-$AB$37)/U480))))))))</f>
        <v>0.34</v>
      </c>
      <c r="M476" s="286">
        <f>IF(M472-T473&gt;3,T478,IF(M472-T473=1,L476+S475,IF(M472-T473=2,L476+T475,IF(M472-T473=3,L476+U475,IF(M472-T473=0,T479,IF(T473-M472=U480+1,$AA$37,IF(T473-M472=U480+2,$Z$37,IF(M472&lt;T473,N476-(T479-$AB$37)/U480))))))))</f>
        <v>0.34</v>
      </c>
      <c r="N476" s="286">
        <f>IF(N472-T473&gt;3,T478,IF(N472-T473=1,M476+S475,IF(N472-T473=2,M476+T475,IF(N472-T473=3,M476+U475,IF(N472-T473=0,T479,IF(T473-N472=U480+1,$AA$37,IF(T473-N472=U480+2,$Z$37,IF(N472&lt;T473,O476-(T479-$AB$37)/U480))))))))</f>
        <v>0.34</v>
      </c>
      <c r="O476" s="286">
        <f>IF(O472-T473&gt;3,T478,IF(O472-T473=1,N476+S475,IF(O472-T473=2,N476+T475,IF(O472-T473=3,N476+U475,IF(O472-T473=0,T479,IF(T473-O472=U480+1,$AA$37,IF(T473-O472=U480+2,$Z$37,IF(O472&lt;T473,P476-(T479-$AB$37)/U480))))))))</f>
        <v>0.34</v>
      </c>
      <c r="P476" s="286">
        <f>IF(P472-T473&gt;3,T478,IF(P472-T473=1,O476+S475,IF(P472-T473=2,O476+T475,IF(P472-T473=3,O476+U475,IF(P472-T473=0,T479,IF(T473-P472=U480+1,$AA$37,IF(T473-P472=U480+2,$Z$37,IF(P472&lt;T473,Q476-(T479-$AB$37)/U480))))))))</f>
        <v>0.34</v>
      </c>
      <c r="Q476" s="286">
        <f>IF(Q472-T473&gt;3,T478,IF(Q472-T473=1,P476+S475,IF(Q472-T473=2,P476+T475,IF(Q472-T473=3,P476+U475,IF(Q472-T473=0,T479,IF(T473-Q472=U480+1,$AA$37,IF(T473-Q472=U480+2,$Z$37,IF(Q472&lt;T473,R476-(T479-$AB$37)/U480))))))))</f>
        <v>0.34</v>
      </c>
      <c r="S476" s="287" t="s">
        <v>739</v>
      </c>
      <c r="T476" s="213">
        <f t="array" ref="T476">INDEX(Sales!B388:Q388,MATCH(FALSE,ISBLANK(Sales!B388:Q388),0))</f>
        <v>144</v>
      </c>
      <c r="U476" s="256"/>
      <c r="V476" s="256"/>
    </row>
    <row r="477" spans="1:22" hidden="1" outlineLevel="1">
      <c r="A477" s="270" t="s">
        <v>731</v>
      </c>
      <c r="B477" s="213">
        <f>B475*B478</f>
        <v>12.189274056202104</v>
      </c>
      <c r="C477" s="213">
        <f t="shared" ref="C477:Q477" si="411">C475*C478</f>
        <v>17.943627487795723</v>
      </c>
      <c r="D477" s="213">
        <f t="shared" si="411"/>
        <v>22.15635876840696</v>
      </c>
      <c r="E477" s="213">
        <f t="shared" si="411"/>
        <v>27.820799999999998</v>
      </c>
      <c r="F477" s="213">
        <f t="shared" si="411"/>
        <v>32.863320000000002</v>
      </c>
      <c r="G477" s="213">
        <f t="shared" si="411"/>
        <v>29.211840000000002</v>
      </c>
      <c r="H477" s="213">
        <f t="shared" si="411"/>
        <v>27.020952000000001</v>
      </c>
      <c r="I477" s="213">
        <f t="shared" si="411"/>
        <v>24.830063999999997</v>
      </c>
      <c r="J477" s="213">
        <f t="shared" si="411"/>
        <v>24.830064000000004</v>
      </c>
      <c r="K477" s="213">
        <f t="shared" si="411"/>
        <v>24.830064000000004</v>
      </c>
      <c r="L477" s="213">
        <f t="shared" si="411"/>
        <v>24.830064000000004</v>
      </c>
      <c r="M477" s="213">
        <f t="shared" si="411"/>
        <v>24.830064000000004</v>
      </c>
      <c r="N477" s="213">
        <f t="shared" si="411"/>
        <v>24.830064000000004</v>
      </c>
      <c r="O477" s="213">
        <f t="shared" si="411"/>
        <v>24.830064000000004</v>
      </c>
      <c r="P477" s="213">
        <f t="shared" si="411"/>
        <v>24.830064000000004</v>
      </c>
      <c r="Q477" s="213">
        <f t="shared" si="411"/>
        <v>24.830064000000004</v>
      </c>
      <c r="S477" s="287" t="s">
        <v>740</v>
      </c>
      <c r="T477" s="256">
        <f>IFERROR(INDEX(Sales!$B$1:$Q$1,MATCH(NPV!T476,Sales!B388:Q388,0)),INDEX(C472:Q472,MATCH(NPV!T476,C473:Q473,0)))</f>
        <v>2010</v>
      </c>
      <c r="U477" s="256"/>
      <c r="V477" s="256"/>
    </row>
    <row r="478" spans="1:22" hidden="1" outlineLevel="1">
      <c r="A478" s="270" t="s">
        <v>635</v>
      </c>
      <c r="B478" s="196">
        <f>'P&amp;L'!G$120</f>
        <v>0.1455435708203236</v>
      </c>
      <c r="C478" s="196">
        <f>'P&amp;L'!H$120</f>
        <v>0.15028163725122043</v>
      </c>
      <c r="D478" s="196">
        <f>'P&amp;L'!I$120</f>
        <v>0.15290792800832961</v>
      </c>
      <c r="E478" s="196">
        <f>'P&amp;L'!J$120</f>
        <v>0.16</v>
      </c>
      <c r="F478" s="196">
        <f>'P&amp;L'!K$120</f>
        <v>0.16</v>
      </c>
      <c r="G478" s="196">
        <f>'P&amp;L'!L$120</f>
        <v>0.16</v>
      </c>
      <c r="H478" s="196">
        <f>'P&amp;L'!M$120</f>
        <v>0.16</v>
      </c>
      <c r="I478" s="196">
        <f>'P&amp;L'!N$120</f>
        <v>0.16</v>
      </c>
      <c r="J478" s="196">
        <f>'P&amp;L'!O$120</f>
        <v>0.16</v>
      </c>
      <c r="K478" s="196">
        <f>'P&amp;L'!P$120</f>
        <v>0.16</v>
      </c>
      <c r="L478" s="196">
        <f>'P&amp;L'!Q$120</f>
        <v>0.16</v>
      </c>
      <c r="M478" s="196">
        <f t="shared" ref="M478" si="412">L478</f>
        <v>0.16</v>
      </c>
      <c r="N478" s="196">
        <f t="shared" ref="N478" si="413">M478</f>
        <v>0.16</v>
      </c>
      <c r="O478" s="196">
        <f t="shared" ref="O478" si="414">N478</f>
        <v>0.16</v>
      </c>
      <c r="P478" s="196">
        <f t="shared" ref="P478" si="415">O478</f>
        <v>0.16</v>
      </c>
      <c r="Q478" s="196">
        <f t="shared" ref="Q478" si="416">P478</f>
        <v>0.16</v>
      </c>
      <c r="S478" s="287" t="s">
        <v>741</v>
      </c>
      <c r="T478" s="288">
        <f>IF(Q472-T473&gt;3,IF(AND(S473&lt;$X$42,S473&lt;$X$43,S473&lt;$X$44),$AA$45,IF(AND(S473&lt;$X$42,S473&lt;$X$43),$AA$44,IF(S473&lt;$X$42,$AA$43,$AA$42))))</f>
        <v>0.34</v>
      </c>
      <c r="U478" s="256"/>
      <c r="V478" s="256"/>
    </row>
    <row r="479" spans="1:22" hidden="1" outlineLevel="1">
      <c r="A479" s="256" t="s">
        <v>732</v>
      </c>
      <c r="B479" s="213">
        <f>B475-B477</f>
        <v>71.560725943797905</v>
      </c>
      <c r="C479" s="213">
        <f t="shared" ref="C479:Q479" si="417">C475-C477</f>
        <v>101.4563725122043</v>
      </c>
      <c r="D479" s="213">
        <f t="shared" si="417"/>
        <v>122.74364123159305</v>
      </c>
      <c r="E479" s="213">
        <f t="shared" si="417"/>
        <v>146.0592</v>
      </c>
      <c r="F479" s="213">
        <f t="shared" si="417"/>
        <v>172.53242999999998</v>
      </c>
      <c r="G479" s="213">
        <f t="shared" si="417"/>
        <v>153.36216000000002</v>
      </c>
      <c r="H479" s="213">
        <f t="shared" si="417"/>
        <v>141.85999800000002</v>
      </c>
      <c r="I479" s="213">
        <f t="shared" si="417"/>
        <v>130.35783599999999</v>
      </c>
      <c r="J479" s="213">
        <f t="shared" si="417"/>
        <v>130.35783600000002</v>
      </c>
      <c r="K479" s="213">
        <f t="shared" si="417"/>
        <v>130.35783600000002</v>
      </c>
      <c r="L479" s="213">
        <f t="shared" si="417"/>
        <v>130.35783600000002</v>
      </c>
      <c r="M479" s="213">
        <f t="shared" si="417"/>
        <v>130.35783600000002</v>
      </c>
      <c r="N479" s="213">
        <f t="shared" si="417"/>
        <v>130.35783600000002</v>
      </c>
      <c r="O479" s="213">
        <f t="shared" si="417"/>
        <v>130.35783600000002</v>
      </c>
      <c r="P479" s="213">
        <f t="shared" si="417"/>
        <v>130.35783600000002</v>
      </c>
      <c r="Q479" s="213">
        <f t="shared" si="417"/>
        <v>130.35783600000002</v>
      </c>
      <c r="S479" s="287" t="s">
        <v>742</v>
      </c>
      <c r="T479" s="288">
        <f>IF(S473&gt;$X$42,$Z$42,IF(S473&gt;$X$43,$Z$43,IF(S473&gt;$X$44,$Z$44,$Z$45)))</f>
        <v>0.45</v>
      </c>
      <c r="U479" s="256"/>
      <c r="V479" s="256"/>
    </row>
    <row r="480" spans="1:22" hidden="1" outlineLevel="1">
      <c r="A480" s="270" t="s">
        <v>607</v>
      </c>
      <c r="B480" s="277">
        <f>B479</f>
        <v>71.560725943797905</v>
      </c>
      <c r="C480" s="277">
        <f t="shared" ref="C480:Q480" si="418">C479</f>
        <v>101.4563725122043</v>
      </c>
      <c r="D480" s="277">
        <f t="shared" si="418"/>
        <v>122.74364123159305</v>
      </c>
      <c r="E480" s="277">
        <f t="shared" si="418"/>
        <v>146.0592</v>
      </c>
      <c r="F480" s="277">
        <f t="shared" si="418"/>
        <v>172.53242999999998</v>
      </c>
      <c r="G480" s="277">
        <f t="shared" si="418"/>
        <v>153.36216000000002</v>
      </c>
      <c r="H480" s="277">
        <f t="shared" si="418"/>
        <v>141.85999800000002</v>
      </c>
      <c r="I480" s="277">
        <f t="shared" si="418"/>
        <v>130.35783599999999</v>
      </c>
      <c r="J480" s="277">
        <f t="shared" si="418"/>
        <v>130.35783600000002</v>
      </c>
      <c r="K480" s="277">
        <f t="shared" si="418"/>
        <v>130.35783600000002</v>
      </c>
      <c r="L480" s="277">
        <f t="shared" si="418"/>
        <v>130.35783600000002</v>
      </c>
      <c r="M480" s="277">
        <f t="shared" si="418"/>
        <v>130.35783600000002</v>
      </c>
      <c r="N480" s="277">
        <f t="shared" si="418"/>
        <v>130.35783600000002</v>
      </c>
      <c r="O480" s="277">
        <f t="shared" si="418"/>
        <v>130.35783600000002</v>
      </c>
      <c r="P480" s="277">
        <f t="shared" si="418"/>
        <v>130.35783600000002</v>
      </c>
      <c r="Q480" s="277">
        <f t="shared" si="418"/>
        <v>130.35783600000002</v>
      </c>
      <c r="S480" s="287" t="s">
        <v>743</v>
      </c>
      <c r="T480" s="256">
        <f>T473-T477</f>
        <v>9</v>
      </c>
      <c r="U480" s="256">
        <f>T480-2</f>
        <v>7</v>
      </c>
      <c r="V480" s="256"/>
    </row>
    <row r="481" spans="1:22" hidden="1" outlineLevel="1">
      <c r="A481" s="279" t="s">
        <v>733</v>
      </c>
      <c r="B481" s="280">
        <f t="shared" ref="B481:Q481" si="419">B480*B$45</f>
        <v>0</v>
      </c>
      <c r="C481" s="280">
        <f t="shared" si="419"/>
        <v>0</v>
      </c>
      <c r="D481" s="280">
        <f t="shared" si="419"/>
        <v>0</v>
      </c>
      <c r="E481" s="280">
        <f t="shared" ca="1" si="419"/>
        <v>139.05711421474879</v>
      </c>
      <c r="F481" s="280">
        <f t="shared" ca="1" si="419"/>
        <v>153.14928924242213</v>
      </c>
      <c r="G481" s="280">
        <f t="shared" ca="1" si="419"/>
        <v>126.92360967156949</v>
      </c>
      <c r="H481" s="280">
        <f t="shared" ca="1" si="419"/>
        <v>109.46218153771413</v>
      </c>
      <c r="I481" s="280">
        <f t="shared" ca="1" si="419"/>
        <v>93.782378663867021</v>
      </c>
      <c r="J481" s="280">
        <f t="shared" ca="1" si="419"/>
        <v>87.438197348454736</v>
      </c>
      <c r="K481" s="280">
        <f t="shared" ca="1" si="419"/>
        <v>81.523186599371144</v>
      </c>
      <c r="L481" s="280">
        <f t="shared" ca="1" si="419"/>
        <v>76.008313927498207</v>
      </c>
      <c r="M481" s="280">
        <f t="shared" ca="1" si="419"/>
        <v>70.866510830744218</v>
      </c>
      <c r="N481" s="280">
        <f t="shared" ca="1" si="419"/>
        <v>66.072539934438836</v>
      </c>
      <c r="O481" s="280">
        <f t="shared" ca="1" si="419"/>
        <v>61.602871119401584</v>
      </c>
      <c r="P481" s="280">
        <f t="shared" ca="1" si="419"/>
        <v>57.435566029687159</v>
      </c>
      <c r="Q481" s="280">
        <f t="shared" ca="1" si="419"/>
        <v>53.550170393139261</v>
      </c>
      <c r="S481" s="289" t="s">
        <v>744</v>
      </c>
      <c r="T481" s="288">
        <f>VLOOKUP(S481,$Y$32:$AB$34,2,0)</f>
        <v>-0.7</v>
      </c>
      <c r="U481" s="288">
        <f>VLOOKUP(S481,$Y$32:$AB$34,3,0)</f>
        <v>-0.35</v>
      </c>
      <c r="V481" s="288">
        <f>VLOOKUP(S481,$Y$32:$AB$34,4,0)</f>
        <v>-0.1</v>
      </c>
    </row>
    <row r="482" spans="1:22" hidden="1" outlineLevel="1">
      <c r="A482" s="270" t="s">
        <v>734</v>
      </c>
      <c r="B482" s="213">
        <f ca="1">SUM(B481:Q481)</f>
        <v>1176.8719295130568</v>
      </c>
      <c r="C482" s="277"/>
      <c r="D482" s="277"/>
      <c r="E482" s="277"/>
      <c r="F482" s="277"/>
      <c r="G482" s="277"/>
      <c r="H482" s="277"/>
      <c r="I482" s="277"/>
      <c r="J482" s="277"/>
      <c r="K482" s="277"/>
      <c r="L482" s="277"/>
      <c r="M482" s="277"/>
      <c r="N482" s="256"/>
      <c r="O482" s="256"/>
      <c r="P482" s="256"/>
      <c r="Q482" s="256"/>
    </row>
    <row r="483" spans="1:22" hidden="1" outlineLevel="1">
      <c r="A483" s="281" t="s">
        <v>735</v>
      </c>
      <c r="B483" s="213">
        <f ca="1">(Q480*(1+C483))/(DCF!$H$31-NPV!C483)*NPV!$Q$45</f>
        <v>415.09667775689246</v>
      </c>
      <c r="C483" s="282">
        <v>-0.05</v>
      </c>
      <c r="D483" s="277"/>
      <c r="E483" s="277"/>
      <c r="F483" s="277"/>
      <c r="G483" s="277"/>
      <c r="H483" s="277"/>
      <c r="I483" s="277"/>
      <c r="J483" s="277"/>
      <c r="K483" s="277"/>
      <c r="L483" s="277"/>
      <c r="M483" s="277"/>
      <c r="N483" s="256"/>
      <c r="O483" s="256"/>
      <c r="P483" s="256"/>
      <c r="Q483" s="256"/>
    </row>
    <row r="484" spans="1:22" hidden="1" outlineLevel="1">
      <c r="A484" s="281" t="s">
        <v>736</v>
      </c>
      <c r="B484" s="213">
        <f ca="1">SUM(B482:B483)/DCF!$C$30</f>
        <v>0.67858849414746347</v>
      </c>
      <c r="C484" s="283"/>
      <c r="D484" s="283"/>
      <c r="E484" s="283"/>
      <c r="F484" s="283"/>
      <c r="G484" s="283"/>
      <c r="H484" s="283"/>
      <c r="I484" s="283"/>
      <c r="J484" s="283"/>
      <c r="K484" s="283"/>
      <c r="L484" s="283"/>
      <c r="M484" s="256"/>
      <c r="N484" s="256"/>
      <c r="O484" s="256"/>
      <c r="P484" s="256"/>
      <c r="Q484" s="256"/>
    </row>
    <row r="485" spans="1:22" hidden="1" outlineLevel="1">
      <c r="A485" s="284" t="s">
        <v>737</v>
      </c>
      <c r="B485" s="285">
        <f ca="1">B484/DCF!$H$24</f>
        <v>0.6588237807256927</v>
      </c>
    </row>
    <row r="486" spans="1:22" hidden="1" outlineLevel="1"/>
    <row r="487" spans="1:22" hidden="1" outlineLevel="1">
      <c r="A487" s="265" t="s">
        <v>751</v>
      </c>
      <c r="B487" s="266">
        <v>2015</v>
      </c>
      <c r="C487" s="266">
        <v>2016</v>
      </c>
      <c r="D487" s="266">
        <v>2017</v>
      </c>
      <c r="E487" s="266">
        <v>2018</v>
      </c>
      <c r="F487" s="266">
        <v>2019</v>
      </c>
      <c r="G487" s="266">
        <v>2020</v>
      </c>
      <c r="H487" s="266">
        <v>2021</v>
      </c>
      <c r="I487" s="266">
        <v>2022</v>
      </c>
      <c r="J487" s="266">
        <v>2023</v>
      </c>
      <c r="K487" s="266">
        <v>2024</v>
      </c>
      <c r="L487" s="266">
        <v>2025</v>
      </c>
      <c r="M487" s="266">
        <v>2026</v>
      </c>
      <c r="N487" s="266">
        <v>2027</v>
      </c>
      <c r="O487" s="266">
        <v>2028</v>
      </c>
      <c r="P487" s="266">
        <v>2029</v>
      </c>
      <c r="Q487" s="267">
        <v>2030</v>
      </c>
      <c r="S487" s="256" t="s">
        <v>709</v>
      </c>
      <c r="T487" s="256" t="s">
        <v>710</v>
      </c>
      <c r="U487" s="256"/>
      <c r="V487" s="256"/>
    </row>
    <row r="488" spans="1:22" hidden="1" outlineLevel="1">
      <c r="A488" s="268" t="s">
        <v>729</v>
      </c>
      <c r="B488" s="269">
        <f>Sales!G265</f>
        <v>236</v>
      </c>
      <c r="C488" s="269">
        <f>Sales!H265</f>
        <v>283</v>
      </c>
      <c r="D488" s="269">
        <f>Sales!I265</f>
        <v>402</v>
      </c>
      <c r="E488" s="269">
        <f>Sales!J265</f>
        <v>486.42</v>
      </c>
      <c r="F488" s="269">
        <f>Sales!K265</f>
        <v>535.06200000000001</v>
      </c>
      <c r="G488" s="269">
        <f>Sales!L265</f>
        <v>561.81510000000003</v>
      </c>
      <c r="H488" s="269">
        <f>Sales!M265</f>
        <v>589.90585499999997</v>
      </c>
      <c r="I488" s="269">
        <f>Sales!N265</f>
        <v>619.40114774999995</v>
      </c>
      <c r="J488" s="269">
        <f>Sales!O265</f>
        <v>650.37120513749994</v>
      </c>
      <c r="K488" s="269">
        <f>Sales!P265</f>
        <v>325.18560256874997</v>
      </c>
      <c r="L488" s="269">
        <f>Sales!Q265</f>
        <v>162.59280128437499</v>
      </c>
      <c r="M488" s="269">
        <f>L488*(1+M489)</f>
        <v>164.21872929721874</v>
      </c>
      <c r="N488" s="269">
        <f>M488*(1+N489)</f>
        <v>165.86091659019093</v>
      </c>
      <c r="O488" s="269">
        <f>N488*(1+O489)</f>
        <v>167.51952575609283</v>
      </c>
      <c r="P488" s="269">
        <f>O488*(1+P489)</f>
        <v>169.19472101365378</v>
      </c>
      <c r="Q488" s="269">
        <f>P488*(1+Q489)</f>
        <v>170.88666822379031</v>
      </c>
      <c r="S488" s="213">
        <f>MAX(MAX(Sales!C265:W265),MAX(K488:Q488))</f>
        <v>650.37120513749994</v>
      </c>
      <c r="T488" s="256">
        <f>IFERROR(INDEX(Sales!$B$1:$Q$1,MATCH(NPV!S488,Sales!B265:Q265,0)),INDEX(C487:Q487,MATCH(NPV!S488,C488:Q488,0)))</f>
        <v>2023</v>
      </c>
      <c r="U488" s="256"/>
      <c r="V488" s="256"/>
    </row>
    <row r="489" spans="1:22" hidden="1" outlineLevel="1">
      <c r="A489" s="270" t="s">
        <v>579</v>
      </c>
      <c r="B489" s="271"/>
      <c r="C489" s="271">
        <f t="shared" ref="C489:H489" si="420">C488/B488-1</f>
        <v>0.19915254237288127</v>
      </c>
      <c r="D489" s="271">
        <f t="shared" si="420"/>
        <v>0.42049469964664321</v>
      </c>
      <c r="E489" s="271">
        <f t="shared" si="420"/>
        <v>0.20999999999999996</v>
      </c>
      <c r="F489" s="271">
        <f t="shared" si="420"/>
        <v>0.10000000000000009</v>
      </c>
      <c r="G489" s="271">
        <f t="shared" si="420"/>
        <v>5.0000000000000044E-2</v>
      </c>
      <c r="H489" s="271">
        <f t="shared" si="420"/>
        <v>4.9999999999999822E-2</v>
      </c>
      <c r="I489" s="271">
        <f>I488/H488-1</f>
        <v>5.0000000000000044E-2</v>
      </c>
      <c r="J489" s="271">
        <f>J488/I488-1</f>
        <v>5.0000000000000044E-2</v>
      </c>
      <c r="K489" s="271">
        <f t="shared" ref="K489:L489" si="421">K488/J488-1</f>
        <v>-0.5</v>
      </c>
      <c r="L489" s="271">
        <f t="shared" si="421"/>
        <v>-0.5</v>
      </c>
      <c r="M489" s="272">
        <v>0.01</v>
      </c>
      <c r="N489" s="272">
        <v>0.01</v>
      </c>
      <c r="O489" s="272">
        <v>0.01</v>
      </c>
      <c r="P489" s="272">
        <v>0.01</v>
      </c>
      <c r="Q489" s="272">
        <v>0.01</v>
      </c>
      <c r="S489" s="256" t="s">
        <v>738</v>
      </c>
      <c r="T489" s="256"/>
      <c r="U489" s="256"/>
      <c r="V489" s="256"/>
    </row>
    <row r="490" spans="1:22" hidden="1" outlineLevel="1">
      <c r="A490" s="273" t="s">
        <v>730</v>
      </c>
      <c r="B490" s="274">
        <f t="shared" ref="B490:Q490" si="422">B488*B491</f>
        <v>46.127272727272761</v>
      </c>
      <c r="C490" s="274">
        <f t="shared" si="422"/>
        <v>64.318181818181856</v>
      </c>
      <c r="D490" s="274">
        <f t="shared" si="422"/>
        <v>104.1545454545455</v>
      </c>
      <c r="E490" s="274">
        <f t="shared" si="422"/>
        <v>141.50400000000005</v>
      </c>
      <c r="F490" s="274">
        <f t="shared" si="422"/>
        <v>172.67910000000003</v>
      </c>
      <c r="G490" s="274">
        <f t="shared" si="422"/>
        <v>199.18899000000005</v>
      </c>
      <c r="H490" s="274">
        <f t="shared" si="422"/>
        <v>227.91817125000003</v>
      </c>
      <c r="I490" s="274">
        <f t="shared" si="422"/>
        <v>259.02229814999998</v>
      </c>
      <c r="J490" s="274">
        <f t="shared" si="422"/>
        <v>292.66704231187498</v>
      </c>
      <c r="K490" s="274">
        <f t="shared" si="422"/>
        <v>130.07424102749999</v>
      </c>
      <c r="L490" s="274">
        <f t="shared" si="422"/>
        <v>60.159336475218744</v>
      </c>
      <c r="M490" s="274">
        <f t="shared" si="422"/>
        <v>55.834367961054369</v>
      </c>
      <c r="N490" s="274">
        <f t="shared" si="422"/>
        <v>56.39271164066492</v>
      </c>
      <c r="O490" s="274">
        <f t="shared" si="422"/>
        <v>56.956638757071566</v>
      </c>
      <c r="P490" s="274">
        <f t="shared" si="422"/>
        <v>57.52620514464229</v>
      </c>
      <c r="Q490" s="274">
        <f t="shared" si="422"/>
        <v>58.101467196088713</v>
      </c>
      <c r="S490" s="282">
        <f>IF(S488&gt;$X$39,$Z$39,$Z$40)</f>
        <v>-0.05</v>
      </c>
      <c r="T490" s="282">
        <f>IF(S488&gt;$X$39,$AA$39,$AA$40)</f>
        <v>-0.03</v>
      </c>
      <c r="U490" s="282">
        <f>IF(S488&gt;$X$39,$AB$39,$AB$40)</f>
        <v>-0.03</v>
      </c>
      <c r="V490" s="256"/>
    </row>
    <row r="491" spans="1:22" hidden="1" outlineLevel="1">
      <c r="A491" s="270" t="s">
        <v>580</v>
      </c>
      <c r="B491" s="286">
        <f>IF(B487-T488&gt;3,T493,IF(B487-T488=1,45%+S490,IF(B487-T488=2,A491+T490,IF(B487-T488=3,A491+U490,IF(B487-T488=0,T494,IF(T488-B487=U495+1,$AA$37,IF(T488-B487=U495+2,$Z$37,IF(B487&lt;T488,C491-(T494-$AB$37)/U495))))))))</f>
        <v>0.1954545454545456</v>
      </c>
      <c r="C491" s="286">
        <f>IF(C487-T488&gt;3,T493,IF(C487-T488=1,B491+S490,IF(C487-T488=2,B491+T490,IF(C487-T488=3,B491+U490,IF(C487-T488=0,T494,IF(T488-C487=U495+1,$AA$37,IF(T488-C487=U495+2,$Z$37,IF(C487&lt;T488,D491-(T494-$AB$37)/U495))))))))</f>
        <v>0.2272727272727274</v>
      </c>
      <c r="D491" s="286">
        <f>IF(D487-T488&gt;3,T493,IF(D487-T488=1,C491+S490,IF(D487-T488=2,C491+T490,IF(D487-T488=3,C491+U490,IF(D487-T488=0,T494,IF(T488-D487=U495+1,$AA$37,IF(T488-D487=U495+2,$Z$37,IF(D487&lt;T488,E491-(T494-$AB$37)/U495))))))))</f>
        <v>0.2590909090909092</v>
      </c>
      <c r="E491" s="286">
        <f>IF(E487-T488&gt;3,T493,IF(E487-T488=1,D491+S490,IF(E487-T488=2,D491+T490,IF(E487-T488=3,D491+U490,IF(E487-T488=0,T494,IF(T488-E487=U495+1,$AA$37,IF(T488-E487=U495+2,$Z$37,IF(E487&lt;T488,F491-(T494-$AB$37)/U495))))))))</f>
        <v>0.29090909090909101</v>
      </c>
      <c r="F491" s="286">
        <f>IF(F487-T488&gt;3,T493,IF(F487-T488=1,E491+S490,IF(F487-T488=2,E491+T490,IF(F487-T488=3,E491+U490,IF(F487-T488=0,T494,IF(T488-F487=U495+1,$AA$37,IF(T488-F487=U495+2,$Z$37,IF(F487&lt;T488,G491-(T494-$AB$37)/U495))))))))</f>
        <v>0.32272727272727281</v>
      </c>
      <c r="G491" s="286">
        <f>IF(G487-T488&gt;3,T493,IF(G487-T488=1,F491+S490,IF(G487-T488=2,F491+T490,IF(G487-T488=3,F491+U490,IF(G487-T488=0,T494,IF(T488-G487=U495+1,$AA$37,IF(T488-G487=U495+2,$Z$37,IF(G487&lt;T488,H491-(T494-$AB$37)/U495))))))))</f>
        <v>0.35454545454545461</v>
      </c>
      <c r="H491" s="286">
        <f>IF(H487-T488&gt;3,T493,IF(H487-T488=1,G491+S490,IF(H487-T488=2,G491+T490,IF(H487-T488=3,G491+U490,IF(H487-T488=0,T494,IF(T488-H487=U495+1,$AA$37,IF(T488-H487=U495+2,$Z$37,IF(H487&lt;T488,I491-(T494-$AB$37)/U495))))))))</f>
        <v>0.38636363636363641</v>
      </c>
      <c r="I491" s="286">
        <f>IF(I487-T488&gt;3,T493,IF(I487-T488=1,H491+S490,IF(I487-T488=2,H491+T490,IF(I487-T488=3,H491+U490,IF(I487-T488=0,T494,IF(T488-I487=U495+1,$AA$37,IF(T488-I487=U495+2,$Z$37,IF(I487&lt;T488,J491-(T494-$AB$37)/U495))))))))</f>
        <v>0.41818181818181821</v>
      </c>
      <c r="J491" s="286">
        <f>IF(J487-T488&gt;3,T493,IF(J487-T488=1,I491+S490,IF(J487-T488=2,I491+T490,IF(J487-T488=3,I491+U490,IF(J487-T488=0,T494,IF(T488-J487=U495+1,$AA$37,IF(T488-J487=U495+2,$Z$37,IF(J487&lt;T488,K491-(T494-$AB$37)/U495))))))))</f>
        <v>0.45</v>
      </c>
      <c r="K491" s="286">
        <f>IF(K487-T488&gt;3,T493,IF(K487-T488=1,J491+S490,IF(K487-T488=2,J491+T490,IF(K487-T488=3,J491+U490,IF(K487-T488=0,T494,IF(T488-K487=U495+1,$AA$37,IF(T488-K487=U495+2,$Z$37,IF(K487&lt;T488,L491-(T494-$AB$37)/U495))))))))</f>
        <v>0.4</v>
      </c>
      <c r="L491" s="286">
        <f>IF(L487-T488&gt;3,T493,IF(L487-T488=1,K491+S490,IF(L487-T488=2,K491+T490,IF(L487-T488=3,K491+U490,IF(L487-T488=0,T494,IF(T488-L487=U495+1,$AA$37,IF(T488-L487=U495+2,$Z$37,IF(L487&lt;T488,M491-(T494-$AB$37)/U495))))))))</f>
        <v>0.37</v>
      </c>
      <c r="M491" s="286">
        <f>IF(M487-T488&gt;3,T493,IF(M487-T488=1,L491+S490,IF(M487-T488=2,L491+T490,IF(M487-T488=3,L491+U490,IF(M487-T488=0,T494,IF(T488-M487=U495+1,$AA$37,IF(T488-M487=U495+2,$Z$37,IF(M487&lt;T488,N491-(T494-$AB$37)/U495))))))))</f>
        <v>0.33999999999999997</v>
      </c>
      <c r="N491" s="286">
        <f>IF(N487-T488&gt;3,T493,IF(N487-T488=1,M491+S490,IF(N487-T488=2,M491+T490,IF(N487-T488=3,M491+U490,IF(N487-T488=0,T494,IF(T488-N487=U495+1,$AA$37,IF(T488-N487=U495+2,$Z$37,IF(N487&lt;T488,O491-(T494-$AB$37)/U495))))))))</f>
        <v>0.34</v>
      </c>
      <c r="O491" s="286">
        <f>IF(O487-T488&gt;3,T493,IF(O487-T488=1,N491+S490,IF(O487-T488=2,N491+T490,IF(O487-T488=3,N491+U490,IF(O487-T488=0,T494,IF(T488-O487=U495+1,$AA$37,IF(T488-O487=U495+2,$Z$37,IF(O487&lt;T488,P491-(T494-$AB$37)/U495))))))))</f>
        <v>0.34</v>
      </c>
      <c r="P491" s="286">
        <f>IF(P487-T488&gt;3,T493,IF(P487-T488=1,O491+S490,IF(P487-T488=2,O491+T490,IF(P487-T488=3,O491+U490,IF(P487-T488=0,T494,IF(T488-P487=U495+1,$AA$37,IF(T488-P487=U495+2,$Z$37,IF(P487&lt;T488,Q491-(T494-$AB$37)/U495))))))))</f>
        <v>0.34</v>
      </c>
      <c r="Q491" s="286">
        <f>IF(Q487-T488&gt;3,T493,IF(Q487-T488=1,P491+S490,IF(Q487-T488=2,P491+T490,IF(Q487-T488=3,P491+U490,IF(Q487-T488=0,T494,IF(T488-Q487=U495+1,$AA$37,IF(T488-Q487=U495+2,$Z$37,IF(Q487&lt;T488,R491-(T494-$AB$37)/U495))))))))</f>
        <v>0.34</v>
      </c>
      <c r="S491" s="287" t="s">
        <v>739</v>
      </c>
      <c r="T491" s="213">
        <f t="array" ref="T491">INDEX(Sales!B265:Q265,MATCH(FALSE,ISBLANK(Sales!B265:Q265),0))</f>
        <v>26</v>
      </c>
      <c r="U491" s="256"/>
      <c r="V491" s="256"/>
    </row>
    <row r="492" spans="1:22" hidden="1" outlineLevel="1">
      <c r="A492" s="270" t="s">
        <v>731</v>
      </c>
      <c r="B492" s="213">
        <f>B490*B493</f>
        <v>6.7135279849302041</v>
      </c>
      <c r="C492" s="213">
        <f t="shared" ref="C492:Q492" si="423">C490*C493</f>
        <v>9.6658416686580466</v>
      </c>
      <c r="D492" s="213">
        <f t="shared" si="423"/>
        <v>15.926055738103937</v>
      </c>
      <c r="E492" s="213">
        <f t="shared" si="423"/>
        <v>22.640640000000008</v>
      </c>
      <c r="F492" s="213">
        <f t="shared" si="423"/>
        <v>27.628656000000007</v>
      </c>
      <c r="G492" s="213">
        <f t="shared" si="423"/>
        <v>31.870238400000009</v>
      </c>
      <c r="H492" s="213">
        <f t="shared" si="423"/>
        <v>36.466907400000004</v>
      </c>
      <c r="I492" s="213">
        <f t="shared" si="423"/>
        <v>41.443567703999996</v>
      </c>
      <c r="J492" s="213">
        <f t="shared" si="423"/>
        <v>46.826726769899999</v>
      </c>
      <c r="K492" s="213">
        <f t="shared" si="423"/>
        <v>20.811878564400001</v>
      </c>
      <c r="L492" s="213">
        <f t="shared" si="423"/>
        <v>9.625493836035</v>
      </c>
      <c r="M492" s="213">
        <f t="shared" si="423"/>
        <v>8.9334988737686984</v>
      </c>
      <c r="N492" s="213">
        <f t="shared" si="423"/>
        <v>9.0228338625063866</v>
      </c>
      <c r="O492" s="213">
        <f t="shared" si="423"/>
        <v>9.1130622011314504</v>
      </c>
      <c r="P492" s="213">
        <f t="shared" si="423"/>
        <v>9.2041928231427672</v>
      </c>
      <c r="Q492" s="213">
        <f t="shared" si="423"/>
        <v>9.296234751374195</v>
      </c>
      <c r="S492" s="287" t="s">
        <v>740</v>
      </c>
      <c r="T492" s="256">
        <f>IFERROR(INDEX(Sales!$B$1:$Q$1,MATCH(NPV!T491,Sales!B265:Q265,0)),INDEX(C487:Q487,MATCH(NPV!T491,C488:Q488,0)))</f>
        <v>2010</v>
      </c>
      <c r="U492" s="256"/>
      <c r="V492" s="256"/>
    </row>
    <row r="493" spans="1:22" hidden="1" outlineLevel="1">
      <c r="A493" s="270" t="s">
        <v>635</v>
      </c>
      <c r="B493" s="196">
        <f>'P&amp;L'!G$120</f>
        <v>0.1455435708203236</v>
      </c>
      <c r="C493" s="196">
        <f>'P&amp;L'!H$120</f>
        <v>0.15028163725122043</v>
      </c>
      <c r="D493" s="196">
        <f>'P&amp;L'!I$120</f>
        <v>0.15290792800832961</v>
      </c>
      <c r="E493" s="196">
        <f>'P&amp;L'!J$120</f>
        <v>0.16</v>
      </c>
      <c r="F493" s="196">
        <f>'P&amp;L'!K$120</f>
        <v>0.16</v>
      </c>
      <c r="G493" s="196">
        <f>'P&amp;L'!L$120</f>
        <v>0.16</v>
      </c>
      <c r="H493" s="196">
        <f>'P&amp;L'!M$120</f>
        <v>0.16</v>
      </c>
      <c r="I493" s="196">
        <f>'P&amp;L'!N$120</f>
        <v>0.16</v>
      </c>
      <c r="J493" s="196">
        <f>'P&amp;L'!O$120</f>
        <v>0.16</v>
      </c>
      <c r="K493" s="196">
        <f>'P&amp;L'!P$120</f>
        <v>0.16</v>
      </c>
      <c r="L493" s="196">
        <f>'P&amp;L'!Q$120</f>
        <v>0.16</v>
      </c>
      <c r="M493" s="196">
        <f t="shared" ref="M493" si="424">L493</f>
        <v>0.16</v>
      </c>
      <c r="N493" s="196">
        <f t="shared" ref="N493" si="425">M493</f>
        <v>0.16</v>
      </c>
      <c r="O493" s="196">
        <f t="shared" ref="O493" si="426">N493</f>
        <v>0.16</v>
      </c>
      <c r="P493" s="196">
        <f t="shared" ref="P493" si="427">O493</f>
        <v>0.16</v>
      </c>
      <c r="Q493" s="196">
        <f t="shared" ref="Q493" si="428">P493</f>
        <v>0.16</v>
      </c>
      <c r="S493" s="287" t="s">
        <v>741</v>
      </c>
      <c r="T493" s="288">
        <f>IF(Q487-T488&gt;3,IF(AND(S488&lt;$X$42,S488&lt;$X$43,S488&lt;$X$44),$AA$45,IF(AND(S488&lt;$X$42,S488&lt;$X$43),$AA$44,IF(S488&lt;$X$42,$AA$43,$AA$42))))</f>
        <v>0.34</v>
      </c>
      <c r="U493" s="256"/>
      <c r="V493" s="256"/>
    </row>
    <row r="494" spans="1:22" hidden="1" outlineLevel="1">
      <c r="A494" s="256" t="s">
        <v>732</v>
      </c>
      <c r="B494" s="213">
        <f>B490-B492</f>
        <v>39.413744742342558</v>
      </c>
      <c r="C494" s="213">
        <f t="shared" ref="C494:Q494" si="429">C490-C492</f>
        <v>54.652340149523809</v>
      </c>
      <c r="D494" s="213">
        <f t="shared" si="429"/>
        <v>88.228489716441558</v>
      </c>
      <c r="E494" s="213">
        <f t="shared" si="429"/>
        <v>118.86336000000004</v>
      </c>
      <c r="F494" s="213">
        <f t="shared" si="429"/>
        <v>145.05044400000003</v>
      </c>
      <c r="G494" s="213">
        <f t="shared" si="429"/>
        <v>167.31875160000004</v>
      </c>
      <c r="H494" s="213">
        <f t="shared" si="429"/>
        <v>191.45126385000003</v>
      </c>
      <c r="I494" s="213">
        <f t="shared" si="429"/>
        <v>217.57873044599998</v>
      </c>
      <c r="J494" s="213">
        <f t="shared" si="429"/>
        <v>245.84031554197497</v>
      </c>
      <c r="K494" s="213">
        <f t="shared" si="429"/>
        <v>109.26236246309999</v>
      </c>
      <c r="L494" s="213">
        <f t="shared" si="429"/>
        <v>50.533842639183746</v>
      </c>
      <c r="M494" s="213">
        <f t="shared" si="429"/>
        <v>46.90086908728567</v>
      </c>
      <c r="N494" s="213">
        <f t="shared" si="429"/>
        <v>47.369877778158532</v>
      </c>
      <c r="O494" s="213">
        <f t="shared" si="429"/>
        <v>47.843576555940118</v>
      </c>
      <c r="P494" s="213">
        <f t="shared" si="429"/>
        <v>48.322012321499521</v>
      </c>
      <c r="Q494" s="213">
        <f t="shared" si="429"/>
        <v>48.80523244471452</v>
      </c>
      <c r="S494" s="287" t="s">
        <v>742</v>
      </c>
      <c r="T494" s="288">
        <f>IF(S488&gt;$X$42,$Z$42,IF(S488&gt;$X$43,$Z$43,IF(S488&gt;$X$44,$Z$44,$Z$45)))</f>
        <v>0.45</v>
      </c>
      <c r="U494" s="256"/>
      <c r="V494" s="256"/>
    </row>
    <row r="495" spans="1:22" hidden="1" outlineLevel="1">
      <c r="A495" s="270" t="s">
        <v>607</v>
      </c>
      <c r="B495" s="277">
        <f>B494</f>
        <v>39.413744742342558</v>
      </c>
      <c r="C495" s="277">
        <f t="shared" ref="C495:Q495" si="430">C494</f>
        <v>54.652340149523809</v>
      </c>
      <c r="D495" s="277">
        <f t="shared" si="430"/>
        <v>88.228489716441558</v>
      </c>
      <c r="E495" s="277">
        <f t="shared" si="430"/>
        <v>118.86336000000004</v>
      </c>
      <c r="F495" s="277">
        <f t="shared" si="430"/>
        <v>145.05044400000003</v>
      </c>
      <c r="G495" s="277">
        <f t="shared" si="430"/>
        <v>167.31875160000004</v>
      </c>
      <c r="H495" s="277">
        <f t="shared" si="430"/>
        <v>191.45126385000003</v>
      </c>
      <c r="I495" s="277">
        <f t="shared" si="430"/>
        <v>217.57873044599998</v>
      </c>
      <c r="J495" s="277">
        <f t="shared" si="430"/>
        <v>245.84031554197497</v>
      </c>
      <c r="K495" s="277">
        <f t="shared" si="430"/>
        <v>109.26236246309999</v>
      </c>
      <c r="L495" s="277">
        <f t="shared" si="430"/>
        <v>50.533842639183746</v>
      </c>
      <c r="M495" s="277">
        <f t="shared" si="430"/>
        <v>46.90086908728567</v>
      </c>
      <c r="N495" s="277">
        <f t="shared" si="430"/>
        <v>47.369877778158532</v>
      </c>
      <c r="O495" s="277">
        <f t="shared" si="430"/>
        <v>47.843576555940118</v>
      </c>
      <c r="P495" s="277">
        <f t="shared" si="430"/>
        <v>48.322012321499521</v>
      </c>
      <c r="Q495" s="277">
        <f t="shared" si="430"/>
        <v>48.80523244471452</v>
      </c>
      <c r="S495" s="287" t="s">
        <v>743</v>
      </c>
      <c r="T495" s="256">
        <f>T488-T492</f>
        <v>13</v>
      </c>
      <c r="U495" s="256">
        <f>T495-2</f>
        <v>11</v>
      </c>
      <c r="V495" s="256"/>
    </row>
    <row r="496" spans="1:22" hidden="1" outlineLevel="1">
      <c r="A496" s="279" t="s">
        <v>733</v>
      </c>
      <c r="B496" s="280">
        <f t="shared" ref="B496:Q496" si="431">B495*B$45</f>
        <v>0</v>
      </c>
      <c r="C496" s="280">
        <f t="shared" si="431"/>
        <v>0</v>
      </c>
      <c r="D496" s="280">
        <f t="shared" si="431"/>
        <v>0</v>
      </c>
      <c r="E496" s="280">
        <f t="shared" ca="1" si="431"/>
        <v>113.16504422500471</v>
      </c>
      <c r="F496" s="280">
        <f t="shared" ca="1" si="431"/>
        <v>128.75476455584473</v>
      </c>
      <c r="G496" s="280">
        <f t="shared" ca="1" si="431"/>
        <v>138.47418371528346</v>
      </c>
      <c r="H496" s="280">
        <f t="shared" ca="1" si="431"/>
        <v>147.72785347969275</v>
      </c>
      <c r="I496" s="280">
        <f t="shared" ca="1" si="431"/>
        <v>156.53106490575851</v>
      </c>
      <c r="J496" s="280">
        <f t="shared" ca="1" si="431"/>
        <v>164.89867188778425</v>
      </c>
      <c r="K496" s="280">
        <f t="shared" ca="1" si="431"/>
        <v>68.330498853689363</v>
      </c>
      <c r="L496" s="280">
        <f t="shared" ca="1" si="431"/>
        <v>29.464988781202784</v>
      </c>
      <c r="M496" s="280">
        <f t="shared" ca="1" si="431"/>
        <v>25.496748405254642</v>
      </c>
      <c r="N496" s="280">
        <f t="shared" ca="1" si="431"/>
        <v>24.009666294144878</v>
      </c>
      <c r="O496" s="280">
        <f t="shared" ca="1" si="431"/>
        <v>22.609317329161566</v>
      </c>
      <c r="P496" s="280">
        <f t="shared" ca="1" si="431"/>
        <v>21.290642853098923</v>
      </c>
      <c r="Q496" s="280">
        <f t="shared" ca="1" si="431"/>
        <v>20.048879251809847</v>
      </c>
      <c r="S496" s="289" t="s">
        <v>744</v>
      </c>
      <c r="T496" s="288">
        <f>VLOOKUP(S496,$Y$32:$AB$34,2,0)</f>
        <v>-0.7</v>
      </c>
      <c r="U496" s="288">
        <f>VLOOKUP(S496,$Y$32:$AB$34,3,0)</f>
        <v>-0.35</v>
      </c>
      <c r="V496" s="288">
        <f>VLOOKUP(S496,$Y$32:$AB$34,4,0)</f>
        <v>-0.1</v>
      </c>
    </row>
    <row r="497" spans="1:17" hidden="1" outlineLevel="1">
      <c r="A497" s="270" t="s">
        <v>734</v>
      </c>
      <c r="B497" s="213">
        <f ca="1">SUM(B496:Q496)</f>
        <v>1060.8023245377306</v>
      </c>
      <c r="C497" s="277"/>
      <c r="D497" s="277"/>
      <c r="E497" s="277"/>
      <c r="F497" s="277"/>
      <c r="G497" s="277"/>
      <c r="H497" s="277"/>
      <c r="I497" s="277"/>
      <c r="J497" s="277"/>
      <c r="K497" s="277"/>
      <c r="L497" s="277"/>
      <c r="M497" s="277"/>
      <c r="N497" s="256"/>
      <c r="O497" s="256"/>
      <c r="P497" s="256"/>
      <c r="Q497" s="256"/>
    </row>
    <row r="498" spans="1:17" hidden="1" outlineLevel="1">
      <c r="A498" s="281" t="s">
        <v>735</v>
      </c>
      <c r="B498" s="213">
        <f ca="1">(Q495*(1+C498))/(DCF!$H$31-NPV!C498)*NPV!$Q$45</f>
        <v>155.40983546975949</v>
      </c>
      <c r="C498" s="282">
        <v>-0.05</v>
      </c>
      <c r="D498" s="277"/>
      <c r="E498" s="277"/>
      <c r="F498" s="277"/>
      <c r="G498" s="277"/>
      <c r="H498" s="277"/>
      <c r="I498" s="277"/>
      <c r="J498" s="277"/>
      <c r="K498" s="277"/>
      <c r="L498" s="277"/>
      <c r="M498" s="277"/>
      <c r="N498" s="256"/>
      <c r="O498" s="256"/>
      <c r="P498" s="256"/>
      <c r="Q498" s="256"/>
    </row>
    <row r="499" spans="1:17" hidden="1" outlineLevel="1">
      <c r="A499" s="281" t="s">
        <v>736</v>
      </c>
      <c r="B499" s="213">
        <f ca="1">SUM(B497:B498)/DCF!$C$30</f>
        <v>0.51841950554453964</v>
      </c>
      <c r="C499" s="283"/>
      <c r="D499" s="283"/>
      <c r="E499" s="283"/>
      <c r="F499" s="283"/>
      <c r="G499" s="283"/>
      <c r="H499" s="283"/>
      <c r="I499" s="283"/>
      <c r="J499" s="283"/>
      <c r="K499" s="283"/>
      <c r="L499" s="283"/>
      <c r="M499" s="256"/>
      <c r="N499" s="256"/>
      <c r="O499" s="256"/>
      <c r="P499" s="256"/>
      <c r="Q499" s="256"/>
    </row>
    <row r="500" spans="1:17" hidden="1" outlineLevel="1">
      <c r="A500" s="284" t="s">
        <v>737</v>
      </c>
      <c r="B500" s="285">
        <f ca="1">B499/DCF!$H$24</f>
        <v>0.50331990829566953</v>
      </c>
    </row>
    <row r="501" spans="1:17" hidden="1" outlineLevel="1"/>
    <row r="502" spans="1:17" hidden="1" outlineLevel="1"/>
    <row r="503" spans="1:17" collapsed="1">
      <c r="A503" s="265" t="s">
        <v>752</v>
      </c>
      <c r="B503" s="266">
        <v>2015</v>
      </c>
      <c r="C503" s="266">
        <v>2016</v>
      </c>
      <c r="D503" s="266">
        <v>2017</v>
      </c>
      <c r="E503" s="266">
        <v>2018</v>
      </c>
      <c r="F503" s="266">
        <v>2019</v>
      </c>
      <c r="G503" s="266">
        <v>2020</v>
      </c>
      <c r="H503" s="266">
        <v>2021</v>
      </c>
      <c r="I503" s="266">
        <v>2022</v>
      </c>
      <c r="J503" s="266">
        <v>2023</v>
      </c>
      <c r="K503" s="266">
        <v>2024</v>
      </c>
      <c r="L503" s="266">
        <v>2025</v>
      </c>
      <c r="M503" s="266">
        <v>2026</v>
      </c>
      <c r="N503" s="266">
        <v>2027</v>
      </c>
      <c r="O503" s="266">
        <v>2028</v>
      </c>
      <c r="P503" s="266">
        <v>2029</v>
      </c>
      <c r="Q503" s="267">
        <v>2030</v>
      </c>
    </row>
    <row r="504" spans="1:17">
      <c r="A504" s="290" t="s">
        <v>729</v>
      </c>
      <c r="B504" s="291">
        <f t="shared" ref="B504:Q504" si="432">B443+B458+B473+B488</f>
        <v>1582</v>
      </c>
      <c r="C504" s="291">
        <f t="shared" si="432"/>
        <v>1579</v>
      </c>
      <c r="D504" s="291">
        <f t="shared" si="432"/>
        <v>1682</v>
      </c>
      <c r="E504" s="291">
        <f t="shared" si="432"/>
        <v>1391.2361214227706</v>
      </c>
      <c r="F504" s="291">
        <f t="shared" si="432"/>
        <v>1427.6789929231768</v>
      </c>
      <c r="G504" s="291">
        <f t="shared" si="432"/>
        <v>1422.9759534185541</v>
      </c>
      <c r="H504" s="291">
        <f t="shared" si="432"/>
        <v>1421.9048386792554</v>
      </c>
      <c r="I504" s="291">
        <f t="shared" si="432"/>
        <v>1424.3626985717074</v>
      </c>
      <c r="J504" s="291">
        <f t="shared" si="432"/>
        <v>1430.2627388016876</v>
      </c>
      <c r="K504" s="291">
        <f t="shared" si="432"/>
        <v>1081.8293361364447</v>
      </c>
      <c r="L504" s="291">
        <f t="shared" si="432"/>
        <v>897.67666503633109</v>
      </c>
      <c r="M504" s="291">
        <f t="shared" si="432"/>
        <v>893.72961577413571</v>
      </c>
      <c r="N504" s="291">
        <f t="shared" si="432"/>
        <v>889.91028533756958</v>
      </c>
      <c r="O504" s="291">
        <f t="shared" si="432"/>
        <v>886.21660712852395</v>
      </c>
      <c r="P504" s="291">
        <f t="shared" si="432"/>
        <v>882.64656075863616</v>
      </c>
      <c r="Q504" s="291">
        <f t="shared" si="432"/>
        <v>879.19817117387311</v>
      </c>
    </row>
    <row r="505" spans="1:17">
      <c r="A505" s="292" t="s">
        <v>579</v>
      </c>
      <c r="B505" s="293"/>
      <c r="C505" s="293">
        <f t="shared" ref="C505:Q505" si="433">C504/B504-1</f>
        <v>-1.8963337547408532E-3</v>
      </c>
      <c r="D505" s="293">
        <f t="shared" si="433"/>
        <v>6.5231158961367885E-2</v>
      </c>
      <c r="E505" s="293">
        <f t="shared" si="433"/>
        <v>-0.17286794207920897</v>
      </c>
      <c r="F505" s="293">
        <f t="shared" si="433"/>
        <v>2.6194598414492898E-2</v>
      </c>
      <c r="G505" s="293">
        <f t="shared" si="433"/>
        <v>-3.2941855472659043E-3</v>
      </c>
      <c r="H505" s="293">
        <f t="shared" si="433"/>
        <v>-7.5272862954955944E-4</v>
      </c>
      <c r="I505" s="293">
        <f t="shared" si="433"/>
        <v>1.7285684847483385E-3</v>
      </c>
      <c r="J505" s="293">
        <f t="shared" si="433"/>
        <v>4.142231635170246E-3</v>
      </c>
      <c r="K505" s="293">
        <f t="shared" si="433"/>
        <v>-0.24361496193151877</v>
      </c>
      <c r="L505" s="293">
        <f t="shared" si="433"/>
        <v>-0.1702234030348827</v>
      </c>
      <c r="M505" s="293">
        <f t="shared" si="433"/>
        <v>-4.3969609726188796E-3</v>
      </c>
      <c r="N505" s="293">
        <f t="shared" si="433"/>
        <v>-4.2734741796128795E-3</v>
      </c>
      <c r="O505" s="293">
        <f t="shared" si="433"/>
        <v>-4.1506186296571546E-3</v>
      </c>
      <c r="P505" s="293">
        <f t="shared" si="433"/>
        <v>-4.0284128520851059E-3</v>
      </c>
      <c r="Q505" s="293">
        <f t="shared" si="433"/>
        <v>-3.9068747764667844E-3</v>
      </c>
    </row>
    <row r="506" spans="1:17">
      <c r="A506" s="294" t="s">
        <v>730</v>
      </c>
      <c r="B506" s="295">
        <f t="shared" ref="B506:Q506" si="434">B445+B460+B475+B490</f>
        <v>486.84727272727281</v>
      </c>
      <c r="C506" s="295">
        <f t="shared" si="434"/>
        <v>489.03818181818195</v>
      </c>
      <c r="D506" s="295">
        <f t="shared" si="434"/>
        <v>543.49454545454557</v>
      </c>
      <c r="E506" s="295">
        <f t="shared" si="434"/>
        <v>475.22348128374199</v>
      </c>
      <c r="F506" s="295">
        <f t="shared" si="434"/>
        <v>526.3767275938801</v>
      </c>
      <c r="G506" s="295">
        <f t="shared" si="434"/>
        <v>519.36978016230842</v>
      </c>
      <c r="H506" s="295">
        <f t="shared" si="434"/>
        <v>524.49087570094684</v>
      </c>
      <c r="I506" s="295">
        <f t="shared" si="434"/>
        <v>532.70922542938047</v>
      </c>
      <c r="J506" s="295">
        <f t="shared" si="434"/>
        <v>557.83016375769887</v>
      </c>
      <c r="K506" s="295">
        <f t="shared" si="434"/>
        <v>387.33311044051618</v>
      </c>
      <c r="L506" s="295">
        <f t="shared" si="434"/>
        <v>310.08785015088387</v>
      </c>
      <c r="M506" s="295">
        <f t="shared" si="434"/>
        <v>303.86806936320613</v>
      </c>
      <c r="N506" s="295">
        <f t="shared" si="434"/>
        <v>302.56949701477367</v>
      </c>
      <c r="O506" s="295">
        <f t="shared" si="434"/>
        <v>301.31364642369812</v>
      </c>
      <c r="P506" s="295">
        <f t="shared" si="434"/>
        <v>300.09983065793631</v>
      </c>
      <c r="Q506" s="295">
        <f t="shared" si="434"/>
        <v>298.92737819911684</v>
      </c>
    </row>
    <row r="507" spans="1:17">
      <c r="A507" s="292" t="s">
        <v>580</v>
      </c>
      <c r="B507" s="293">
        <f t="shared" ref="B507:Q507" si="435">B506/B504</f>
        <v>0.30774163889208145</v>
      </c>
      <c r="C507" s="293">
        <f t="shared" si="435"/>
        <v>0.30971385802291446</v>
      </c>
      <c r="D507" s="293">
        <f t="shared" si="435"/>
        <v>0.32312398659604374</v>
      </c>
      <c r="E507" s="293">
        <f t="shared" si="435"/>
        <v>0.34158362765750133</v>
      </c>
      <c r="F507" s="293">
        <f t="shared" si="435"/>
        <v>0.3686940343053744</v>
      </c>
      <c r="G507" s="293">
        <f t="shared" si="435"/>
        <v>0.36498844475521575</v>
      </c>
      <c r="H507" s="293">
        <f t="shared" si="435"/>
        <v>0.36886496299437538</v>
      </c>
      <c r="I507" s="293">
        <f t="shared" si="435"/>
        <v>0.37399829830109949</v>
      </c>
      <c r="J507" s="293">
        <f t="shared" si="435"/>
        <v>0.39001936401214221</v>
      </c>
      <c r="K507" s="293">
        <f t="shared" si="435"/>
        <v>0.35803531805100186</v>
      </c>
      <c r="L507" s="293">
        <f t="shared" si="435"/>
        <v>0.34543378727387758</v>
      </c>
      <c r="M507" s="293">
        <f t="shared" si="435"/>
        <v>0.33999999999999997</v>
      </c>
      <c r="N507" s="293">
        <f t="shared" si="435"/>
        <v>0.34</v>
      </c>
      <c r="O507" s="293">
        <f t="shared" si="435"/>
        <v>0.33999999999999997</v>
      </c>
      <c r="P507" s="293">
        <f t="shared" si="435"/>
        <v>0.34</v>
      </c>
      <c r="Q507" s="293">
        <f t="shared" si="435"/>
        <v>0.33999999999999997</v>
      </c>
    </row>
    <row r="508" spans="1:17">
      <c r="A508" s="292" t="s">
        <v>731</v>
      </c>
      <c r="B508" s="296">
        <f t="shared" ref="B508:Q508" si="436">B447+B462+B477+B492</f>
        <v>70.857490516863237</v>
      </c>
      <c r="C508" s="296">
        <f t="shared" si="436"/>
        <v>73.493458641996398</v>
      </c>
      <c r="D508" s="296">
        <f t="shared" si="436"/>
        <v>83.104624829283466</v>
      </c>
      <c r="E508" s="296">
        <f t="shared" si="436"/>
        <v>76.035757005398722</v>
      </c>
      <c r="F508" s="296">
        <f t="shared" si="436"/>
        <v>84.22027641502082</v>
      </c>
      <c r="G508" s="296">
        <f t="shared" si="436"/>
        <v>83.099164825969353</v>
      </c>
      <c r="H508" s="296">
        <f t="shared" si="436"/>
        <v>83.918540112151504</v>
      </c>
      <c r="I508" s="296">
        <f t="shared" si="436"/>
        <v>85.233476068700881</v>
      </c>
      <c r="J508" s="296">
        <f t="shared" si="436"/>
        <v>89.252826201231827</v>
      </c>
      <c r="K508" s="296">
        <f t="shared" si="436"/>
        <v>61.973297670482609</v>
      </c>
      <c r="L508" s="296">
        <f t="shared" si="436"/>
        <v>49.614056024141412</v>
      </c>
      <c r="M508" s="296">
        <f t="shared" si="436"/>
        <v>48.618891098112982</v>
      </c>
      <c r="N508" s="296">
        <f t="shared" si="436"/>
        <v>48.411119522363791</v>
      </c>
      <c r="O508" s="296">
        <f t="shared" si="436"/>
        <v>48.210183427791698</v>
      </c>
      <c r="P508" s="296">
        <f t="shared" si="436"/>
        <v>48.015972905269813</v>
      </c>
      <c r="Q508" s="296">
        <f t="shared" si="436"/>
        <v>47.828380511858697</v>
      </c>
    </row>
    <row r="509" spans="1:17">
      <c r="A509" s="292" t="s">
        <v>635</v>
      </c>
      <c r="B509" s="297">
        <f>'P&amp;L'!G$120</f>
        <v>0.1455435708203236</v>
      </c>
      <c r="C509" s="297">
        <f>'P&amp;L'!H$120</f>
        <v>0.15028163725122043</v>
      </c>
      <c r="D509" s="297">
        <f>'P&amp;L'!I$120</f>
        <v>0.15290792800832961</v>
      </c>
      <c r="E509" s="297">
        <f>'P&amp;L'!J$120</f>
        <v>0.16</v>
      </c>
      <c r="F509" s="297">
        <f>'P&amp;L'!K$120</f>
        <v>0.16</v>
      </c>
      <c r="G509" s="297">
        <f>'P&amp;L'!L$120</f>
        <v>0.16</v>
      </c>
      <c r="H509" s="297">
        <f>'P&amp;L'!M$120</f>
        <v>0.16</v>
      </c>
      <c r="I509" s="297">
        <f>'P&amp;L'!N$120</f>
        <v>0.16</v>
      </c>
      <c r="J509" s="297">
        <f>'P&amp;L'!O$120</f>
        <v>0.16</v>
      </c>
      <c r="K509" s="297">
        <f>'P&amp;L'!P$120</f>
        <v>0.16</v>
      </c>
      <c r="L509" s="297">
        <f>'P&amp;L'!Q$120</f>
        <v>0.16</v>
      </c>
      <c r="M509" s="297">
        <f t="shared" ref="M509" si="437">L509</f>
        <v>0.16</v>
      </c>
      <c r="N509" s="297">
        <f t="shared" ref="N509" si="438">M509</f>
        <v>0.16</v>
      </c>
      <c r="O509" s="297">
        <f t="shared" ref="O509" si="439">N509</f>
        <v>0.16</v>
      </c>
      <c r="P509" s="297">
        <f t="shared" ref="P509" si="440">O509</f>
        <v>0.16</v>
      </c>
      <c r="Q509" s="297">
        <f t="shared" ref="Q509" si="441">P509</f>
        <v>0.16</v>
      </c>
    </row>
    <row r="510" spans="1:17">
      <c r="A510" s="298" t="s">
        <v>732</v>
      </c>
      <c r="B510" s="296">
        <f>B506-B508</f>
        <v>415.98978221040954</v>
      </c>
      <c r="C510" s="296">
        <f t="shared" ref="C510:Q510" si="442">C506-C508</f>
        <v>415.54472317618558</v>
      </c>
      <c r="D510" s="296">
        <f t="shared" si="442"/>
        <v>460.38992062526211</v>
      </c>
      <c r="E510" s="296">
        <f t="shared" si="442"/>
        <v>399.18772427834324</v>
      </c>
      <c r="F510" s="296">
        <f t="shared" si="442"/>
        <v>442.1564511788593</v>
      </c>
      <c r="G510" s="296">
        <f t="shared" si="442"/>
        <v>436.27061533633906</v>
      </c>
      <c r="H510" s="296">
        <f t="shared" si="442"/>
        <v>440.57233558879534</v>
      </c>
      <c r="I510" s="296">
        <f t="shared" si="442"/>
        <v>447.47574936067957</v>
      </c>
      <c r="J510" s="296">
        <f t="shared" si="442"/>
        <v>468.57733755646706</v>
      </c>
      <c r="K510" s="296">
        <f t="shared" si="442"/>
        <v>325.35981277003356</v>
      </c>
      <c r="L510" s="296">
        <f t="shared" si="442"/>
        <v>260.47379412674246</v>
      </c>
      <c r="M510" s="296">
        <f t="shared" si="442"/>
        <v>255.24917826509315</v>
      </c>
      <c r="N510" s="296">
        <f t="shared" si="442"/>
        <v>254.1583774924099</v>
      </c>
      <c r="O510" s="296">
        <f t="shared" si="442"/>
        <v>253.10346299590643</v>
      </c>
      <c r="P510" s="296">
        <f t="shared" si="442"/>
        <v>252.08385775266649</v>
      </c>
      <c r="Q510" s="296">
        <f t="shared" si="442"/>
        <v>251.09899768725813</v>
      </c>
    </row>
    <row r="511" spans="1:17">
      <c r="A511" s="292" t="s">
        <v>607</v>
      </c>
      <c r="B511" s="299">
        <f>B510</f>
        <v>415.98978221040954</v>
      </c>
      <c r="C511" s="299">
        <f t="shared" ref="C511:Q511" si="443">C510</f>
        <v>415.54472317618558</v>
      </c>
      <c r="D511" s="299">
        <f t="shared" si="443"/>
        <v>460.38992062526211</v>
      </c>
      <c r="E511" s="299">
        <f t="shared" si="443"/>
        <v>399.18772427834324</v>
      </c>
      <c r="F511" s="299">
        <f t="shared" si="443"/>
        <v>442.1564511788593</v>
      </c>
      <c r="G511" s="299">
        <f t="shared" si="443"/>
        <v>436.27061533633906</v>
      </c>
      <c r="H511" s="299">
        <f t="shared" si="443"/>
        <v>440.57233558879534</v>
      </c>
      <c r="I511" s="299">
        <f t="shared" si="443"/>
        <v>447.47574936067957</v>
      </c>
      <c r="J511" s="299">
        <f t="shared" si="443"/>
        <v>468.57733755646706</v>
      </c>
      <c r="K511" s="299">
        <f t="shared" si="443"/>
        <v>325.35981277003356</v>
      </c>
      <c r="L511" s="299">
        <f t="shared" si="443"/>
        <v>260.47379412674246</v>
      </c>
      <c r="M511" s="299">
        <f t="shared" si="443"/>
        <v>255.24917826509315</v>
      </c>
      <c r="N511" s="299">
        <f t="shared" si="443"/>
        <v>254.1583774924099</v>
      </c>
      <c r="O511" s="299">
        <f t="shared" si="443"/>
        <v>253.10346299590643</v>
      </c>
      <c r="P511" s="299">
        <f t="shared" si="443"/>
        <v>252.08385775266649</v>
      </c>
      <c r="Q511" s="299">
        <f t="shared" si="443"/>
        <v>251.09899768725813</v>
      </c>
    </row>
    <row r="512" spans="1:17">
      <c r="A512" s="300" t="s">
        <v>733</v>
      </c>
      <c r="B512" s="301">
        <f t="shared" ref="B512:Q512" si="444">B511*B$45</f>
        <v>0</v>
      </c>
      <c r="C512" s="301">
        <f t="shared" si="444"/>
        <v>0</v>
      </c>
      <c r="D512" s="301">
        <f t="shared" si="444"/>
        <v>0</v>
      </c>
      <c r="E512" s="301">
        <f t="shared" ca="1" si="444"/>
        <v>380.05064363011178</v>
      </c>
      <c r="F512" s="301">
        <f t="shared" ca="1" si="444"/>
        <v>392.48242334495626</v>
      </c>
      <c r="G512" s="301">
        <f t="shared" ca="1" si="444"/>
        <v>361.06065076368861</v>
      </c>
      <c r="H512" s="301">
        <f t="shared" ca="1" si="444"/>
        <v>339.95495318359883</v>
      </c>
      <c r="I512" s="301">
        <f t="shared" ca="1" si="444"/>
        <v>321.92418543554913</v>
      </c>
      <c r="J512" s="301">
        <f t="shared" ca="1" si="444"/>
        <v>314.3006893293001</v>
      </c>
      <c r="K512" s="301">
        <f t="shared" ca="1" si="444"/>
        <v>203.47352750154508</v>
      </c>
      <c r="L512" s="301">
        <f t="shared" ca="1" si="444"/>
        <v>151.8755950648949</v>
      </c>
      <c r="M512" s="301">
        <f t="shared" ca="1" si="444"/>
        <v>138.76126829891362</v>
      </c>
      <c r="N512" s="301">
        <f t="shared" ca="1" si="444"/>
        <v>128.82148140706653</v>
      </c>
      <c r="O512" s="301">
        <f t="shared" ca="1" si="444"/>
        <v>119.60845998403232</v>
      </c>
      <c r="P512" s="301">
        <f t="shared" ca="1" si="444"/>
        <v>111.06796109266142</v>
      </c>
      <c r="Q512" s="301">
        <f t="shared" ca="1" si="444"/>
        <v>103.14987210818038</v>
      </c>
    </row>
    <row r="513" spans="1:22">
      <c r="A513" s="270" t="s">
        <v>734</v>
      </c>
      <c r="B513" s="213">
        <f ca="1">B452+B467+B482+B497</f>
        <v>3066.5317111444992</v>
      </c>
      <c r="C513" s="277"/>
      <c r="D513" s="277"/>
      <c r="E513" s="277"/>
      <c r="F513" s="277"/>
      <c r="G513" s="277"/>
      <c r="H513" s="277"/>
      <c r="I513" s="277"/>
      <c r="J513" s="277"/>
      <c r="K513" s="277"/>
      <c r="L513" s="277"/>
      <c r="M513" s="277"/>
      <c r="N513" s="256"/>
      <c r="O513" s="256"/>
      <c r="P513" s="256"/>
      <c r="Q513" s="256"/>
    </row>
    <row r="514" spans="1:22">
      <c r="A514" s="281" t="s">
        <v>735</v>
      </c>
      <c r="B514" s="213">
        <f ca="1">B453+B468+B483+B498</f>
        <v>799.57111076979265</v>
      </c>
      <c r="C514" s="282"/>
      <c r="D514" s="277"/>
      <c r="E514" s="277"/>
      <c r="F514" s="277"/>
      <c r="G514" s="277"/>
      <c r="H514" s="277"/>
      <c r="I514" s="277"/>
      <c r="J514" s="277"/>
      <c r="K514" s="277"/>
      <c r="L514" s="277"/>
      <c r="M514" s="277"/>
      <c r="N514" s="256"/>
      <c r="O514" s="256"/>
      <c r="P514" s="256"/>
      <c r="Q514" s="256"/>
    </row>
    <row r="515" spans="1:22">
      <c r="A515" s="281" t="s">
        <v>736</v>
      </c>
      <c r="B515" s="213">
        <f ca="1">SUM(B513:B514)/DCF!$C$30</f>
        <v>1.6479551670563903</v>
      </c>
      <c r="C515" s="283"/>
      <c r="D515" s="283"/>
      <c r="E515" s="283"/>
      <c r="F515" s="283"/>
      <c r="G515" s="283"/>
      <c r="H515" s="283"/>
      <c r="I515" s="283"/>
      <c r="J515" s="283"/>
      <c r="K515" s="283"/>
      <c r="L515" s="283"/>
      <c r="M515" s="256"/>
      <c r="N515" s="256"/>
      <c r="O515" s="256"/>
      <c r="P515" s="256"/>
      <c r="Q515" s="256"/>
    </row>
    <row r="516" spans="1:22">
      <c r="A516" s="284" t="s">
        <v>737</v>
      </c>
      <c r="B516" s="285">
        <f ca="1">B515/DCF!$H$24</f>
        <v>1.5999564728702818</v>
      </c>
    </row>
    <row r="518" spans="1:22" hidden="1" outlineLevel="1">
      <c r="A518" s="265" t="s">
        <v>479</v>
      </c>
      <c r="B518" s="266">
        <v>2015</v>
      </c>
      <c r="C518" s="266">
        <v>2016</v>
      </c>
      <c r="D518" s="266">
        <v>2017</v>
      </c>
      <c r="E518" s="266">
        <v>2018</v>
      </c>
      <c r="F518" s="266">
        <v>2019</v>
      </c>
      <c r="G518" s="266">
        <v>2020</v>
      </c>
      <c r="H518" s="266">
        <v>2021</v>
      </c>
      <c r="I518" s="266">
        <v>2022</v>
      </c>
      <c r="J518" s="266">
        <v>2023</v>
      </c>
      <c r="K518" s="266">
        <v>2024</v>
      </c>
      <c r="L518" s="266">
        <v>2025</v>
      </c>
      <c r="M518" s="266">
        <v>2026</v>
      </c>
      <c r="N518" s="266">
        <v>2027</v>
      </c>
      <c r="O518" s="266">
        <v>2028</v>
      </c>
      <c r="P518" s="266">
        <v>2029</v>
      </c>
      <c r="Q518" s="267">
        <v>2030</v>
      </c>
      <c r="S518" s="256" t="s">
        <v>709</v>
      </c>
      <c r="T518" s="256" t="s">
        <v>710</v>
      </c>
      <c r="U518" s="256"/>
      <c r="V518" s="256"/>
    </row>
    <row r="519" spans="1:22" hidden="1" outlineLevel="1">
      <c r="A519" s="268" t="s">
        <v>729</v>
      </c>
      <c r="B519" s="269">
        <f>Sales!G289</f>
        <v>260</v>
      </c>
      <c r="C519" s="269">
        <f>Sales!H289</f>
        <v>363</v>
      </c>
      <c r="D519" s="269">
        <f>Sales!I289</f>
        <v>411</v>
      </c>
      <c r="E519" s="269">
        <f>Sales!J289</f>
        <v>493.2</v>
      </c>
      <c r="F519" s="269">
        <f>Sales!K289</f>
        <v>567.17999999999995</v>
      </c>
      <c r="G519" s="269">
        <f>Sales!L289</f>
        <v>623.89799999999991</v>
      </c>
      <c r="H519" s="269">
        <f>Sales!M289</f>
        <v>655.09289999999987</v>
      </c>
      <c r="I519" s="269">
        <f>Sales!N289</f>
        <v>687.84754499999985</v>
      </c>
      <c r="J519" s="269">
        <f>Sales!O289</f>
        <v>722.23992224999984</v>
      </c>
      <c r="K519" s="269">
        <f>Sales!P289</f>
        <v>758.35191836249987</v>
      </c>
      <c r="L519" s="269">
        <f>Sales!Q289</f>
        <v>606.68153468999992</v>
      </c>
      <c r="M519" s="269">
        <f>L519*(1+M520)</f>
        <v>612.74835003689998</v>
      </c>
      <c r="N519" s="269">
        <f>M519*(1+N520)</f>
        <v>618.87583353726893</v>
      </c>
      <c r="O519" s="269">
        <f>N519*(1+O520)</f>
        <v>625.06459187264159</v>
      </c>
      <c r="P519" s="269">
        <f>O519*(1+P520)</f>
        <v>631.31523779136796</v>
      </c>
      <c r="Q519" s="269">
        <f>P519*(1+Q520)</f>
        <v>637.6283901692816</v>
      </c>
      <c r="S519" s="213">
        <f>MAX(MAX(Sales!C289:W289),MAX(K519:Q519))</f>
        <v>758.35191836249987</v>
      </c>
      <c r="T519" s="256">
        <f>IFERROR(INDEX(Sales!$B$1:$Q$1,MATCH(NPV!S519,Sales!B289:Q289,0)),INDEX(C518:Q518,MATCH(NPV!S519,C519:Q519,0)))</f>
        <v>2024</v>
      </c>
      <c r="U519" s="256"/>
      <c r="V519" s="256"/>
    </row>
    <row r="520" spans="1:22" hidden="1" outlineLevel="1">
      <c r="A520" s="270" t="s">
        <v>579</v>
      </c>
      <c r="B520" s="271"/>
      <c r="C520" s="271">
        <f t="shared" ref="C520:H520" si="445">C519/B519-1</f>
        <v>0.39615384615384608</v>
      </c>
      <c r="D520" s="271">
        <f t="shared" si="445"/>
        <v>0.13223140495867769</v>
      </c>
      <c r="E520" s="271">
        <f t="shared" si="445"/>
        <v>0.19999999999999996</v>
      </c>
      <c r="F520" s="271">
        <f t="shared" si="445"/>
        <v>0.14999999999999991</v>
      </c>
      <c r="G520" s="271">
        <f t="shared" si="445"/>
        <v>9.9999999999999867E-2</v>
      </c>
      <c r="H520" s="271">
        <f t="shared" si="445"/>
        <v>5.0000000000000044E-2</v>
      </c>
      <c r="I520" s="271">
        <f>I519/H519-1</f>
        <v>5.0000000000000044E-2</v>
      </c>
      <c r="J520" s="271">
        <f>J519/I519-1</f>
        <v>5.0000000000000044E-2</v>
      </c>
      <c r="K520" s="271">
        <f t="shared" ref="K520:L520" si="446">K519/J519-1</f>
        <v>5.0000000000000044E-2</v>
      </c>
      <c r="L520" s="271">
        <f t="shared" si="446"/>
        <v>-0.19999999999999996</v>
      </c>
      <c r="M520" s="272">
        <v>0.01</v>
      </c>
      <c r="N520" s="272">
        <v>0.01</v>
      </c>
      <c r="O520" s="272">
        <v>0.01</v>
      </c>
      <c r="P520" s="272">
        <v>0.01</v>
      </c>
      <c r="Q520" s="272">
        <v>0.01</v>
      </c>
      <c r="S520" s="256" t="s">
        <v>738</v>
      </c>
      <c r="T520" s="256"/>
      <c r="U520" s="256"/>
      <c r="V520" s="256"/>
    </row>
    <row r="521" spans="1:22" hidden="1" outlineLevel="1">
      <c r="A521" s="273" t="s">
        <v>730</v>
      </c>
      <c r="B521" s="274">
        <f t="shared" ref="B521:Q521" si="447">B519*B522</f>
        <v>26.000000000000021</v>
      </c>
      <c r="C521" s="274">
        <f t="shared" si="447"/>
        <v>50.4166666666667</v>
      </c>
      <c r="D521" s="274">
        <f t="shared" si="447"/>
        <v>73.066666666666706</v>
      </c>
      <c r="E521" s="274">
        <f t="shared" si="447"/>
        <v>106.86000000000004</v>
      </c>
      <c r="F521" s="274">
        <f t="shared" si="447"/>
        <v>144.94600000000003</v>
      </c>
      <c r="G521" s="274">
        <f t="shared" si="447"/>
        <v>183.70330000000001</v>
      </c>
      <c r="H521" s="274">
        <f t="shared" si="447"/>
        <v>218.36429999999999</v>
      </c>
      <c r="I521" s="274">
        <f t="shared" si="447"/>
        <v>256.03214174999994</v>
      </c>
      <c r="J521" s="274">
        <f t="shared" si="447"/>
        <v>296.9208569249999</v>
      </c>
      <c r="K521" s="274">
        <f t="shared" si="447"/>
        <v>341.25836326312498</v>
      </c>
      <c r="L521" s="274">
        <f t="shared" si="447"/>
        <v>242.67261387599999</v>
      </c>
      <c r="M521" s="274">
        <f t="shared" si="447"/>
        <v>226.716889513653</v>
      </c>
      <c r="N521" s="274">
        <f t="shared" si="447"/>
        <v>210.4177834026714</v>
      </c>
      <c r="O521" s="274">
        <f t="shared" si="447"/>
        <v>212.52196123669816</v>
      </c>
      <c r="P521" s="274">
        <f t="shared" si="447"/>
        <v>214.64718084906514</v>
      </c>
      <c r="Q521" s="274">
        <f t="shared" si="447"/>
        <v>216.79365265755575</v>
      </c>
      <c r="S521" s="282">
        <f>IF(S519&gt;$X$39,$Z$39,$Z$40)</f>
        <v>-0.05</v>
      </c>
      <c r="T521" s="282">
        <f>IF(S519&gt;$X$39,$AA$39,$AA$40)</f>
        <v>-0.03</v>
      </c>
      <c r="U521" s="282">
        <f>IF(S519&gt;$X$39,$AB$39,$AB$40)</f>
        <v>-0.03</v>
      </c>
      <c r="V521" s="256"/>
    </row>
    <row r="522" spans="1:22" hidden="1" outlineLevel="1">
      <c r="A522" s="270" t="s">
        <v>580</v>
      </c>
      <c r="B522" s="286">
        <f>IF(B518-T519&gt;3,T524,IF(B518-T519=1,45%+S521,IF(B518-T519=2,A522+T521,IF(B518-T519=3,A522+U521,IF(B518-T519=0,T525,IF(T519-B518=U526+1,$AA$37,IF(T519-B518=U526+2,$Z$37,IF(B518&lt;T519,C522-(T525-$AB$37)/U526))))))))</f>
        <v>0.10000000000000009</v>
      </c>
      <c r="C522" s="286">
        <f>IF(C518-T519&gt;3,T524,IF(C518-T519=1,B522+S521,IF(C518-T519=2,B522+T521,IF(C518-T519=3,B522+U521,IF(C518-T519=0,T525,IF(T519-C518=U526+1,$AA$37,IF(T519-C518=U526+2,$Z$37,IF(C518&lt;T519,D522-(T525-$AB$37)/U526))))))))</f>
        <v>0.13888888888888898</v>
      </c>
      <c r="D522" s="286">
        <f>IF(D518-T519&gt;3,T524,IF(D518-T519=1,C522+S521,IF(D518-T519=2,C522+T521,IF(D518-T519=3,C522+U521,IF(D518-T519=0,T525,IF(T519-D518=U526+1,$AA$37,IF(T519-D518=U526+2,$Z$37,IF(D518&lt;T519,E522-(T525-$AB$37)/U526))))))))</f>
        <v>0.17777777777777787</v>
      </c>
      <c r="E522" s="286">
        <f>IF(E518-T519&gt;3,T524,IF(E518-T519=1,D522+S521,IF(E518-T519=2,D522+T521,IF(E518-T519=3,D522+U521,IF(E518-T519=0,T525,IF(T519-E518=U526+1,$AA$37,IF(T519-E518=U526+2,$Z$37,IF(E518&lt;T519,F522-(T525-$AB$37)/U526))))))))</f>
        <v>0.21666666666666676</v>
      </c>
      <c r="F522" s="286">
        <f>IF(F518-T519&gt;3,T524,IF(F518-T519=1,E522+S521,IF(F518-T519=2,E522+T521,IF(F518-T519=3,E522+U521,IF(F518-T519=0,T525,IF(T519-F518=U526+1,$AA$37,IF(T519-F518=U526+2,$Z$37,IF(F518&lt;T519,G522-(T525-$AB$37)/U526))))))))</f>
        <v>0.25555555555555565</v>
      </c>
      <c r="G522" s="286">
        <f>IF(G518-T519&gt;3,T524,IF(G518-T519=1,F522+S521,IF(G518-T519=2,F522+T521,IF(G518-T519=3,F522+U521,IF(G518-T519=0,T525,IF(T519-G518=U526+1,$AA$37,IF(T519-G518=U526+2,$Z$37,IF(G518&lt;T519,H522-(T525-$AB$37)/U526))))))))</f>
        <v>0.29444444444444451</v>
      </c>
      <c r="H522" s="286">
        <f>IF(H518-T519&gt;3,T524,IF(H518-T519=1,G522+S521,IF(H518-T519=2,G522+T521,IF(H518-T519=3,G522+U521,IF(H518-T519=0,T525,IF(T519-H518=U526+1,$AA$37,IF(T519-H518=U526+2,$Z$37,IF(H518&lt;T519,I522-(T525-$AB$37)/U526))))))))</f>
        <v>0.33333333333333337</v>
      </c>
      <c r="I522" s="286">
        <f>IF(I518-T519&gt;3,T524,IF(I518-T519=1,H522+S521,IF(I518-T519=2,H522+T521,IF(I518-T519=3,H522+U521,IF(I518-T519=0,T525,IF(T519-I518=U526+1,$AA$37,IF(T519-I518=U526+2,$Z$37,IF(I518&lt;T519,J522-(T525-$AB$37)/U526))))))))</f>
        <v>0.37222222222222223</v>
      </c>
      <c r="J522" s="286">
        <f>IF(J518-T519&gt;3,T524,IF(J518-T519=1,I522+S521,IF(J518-T519=2,I522+T521,IF(J518-T519=3,I522+U521,IF(J518-T519=0,T525,IF(T519-J518=U526+1,$AA$37,IF(T519-J518=U526+2,$Z$37,IF(J518&lt;T519,K522-(T525-$AB$37)/U526))))))))</f>
        <v>0.41111111111111109</v>
      </c>
      <c r="K522" s="286">
        <f>IF(K518-T519&gt;3,T524,IF(K518-T519=1,J522+S521,IF(K518-T519=2,J522+T521,IF(K518-T519=3,J522+U521,IF(K518-T519=0,T525,IF(T519-K518=U526+1,$AA$37,IF(T519-K518=U526+2,$Z$37,IF(K518&lt;T519,L522-(T525-$AB$37)/U526))))))))</f>
        <v>0.45</v>
      </c>
      <c r="L522" s="286">
        <f>IF(L518-T519&gt;3,T524,IF(L518-T519=1,K522+S521,IF(L518-T519=2,K522+T521,IF(L518-T519=3,K522+U521,IF(L518-T519=0,T525,IF(T519-L518=U526+1,$AA$37,IF(T519-L518=U526+2,$Z$37,IF(L518&lt;T519,M522-(T525-$AB$37)/U526))))))))</f>
        <v>0.4</v>
      </c>
      <c r="M522" s="286">
        <f>IF(M518-T519&gt;3,T524,IF(M518-T519=1,L522+S521,IF(M518-T519=2,L522+T521,IF(M518-T519=3,L522+U521,IF(M518-T519=0,T525,IF(T519-M518=U526+1,$AA$37,IF(T519-M518=U526+2,$Z$37,IF(M518&lt;T519,N522-(T525-$AB$37)/U526))))))))</f>
        <v>0.37</v>
      </c>
      <c r="N522" s="286">
        <f>IF(N518-T519&gt;3,T524,IF(N518-T519=1,M522+S521,IF(N518-T519=2,M522+T521,IF(N518-T519=3,M522+U521,IF(N518-T519=0,T525,IF(T519-N518=U526+1,$AA$37,IF(T519-N518=U526+2,$Z$37,IF(N518&lt;T519,O522-(T525-$AB$37)/U526))))))))</f>
        <v>0.33999999999999997</v>
      </c>
      <c r="O522" s="286">
        <f>IF(O518-T519&gt;3,T524,IF(O518-T519=1,N522+S521,IF(O518-T519=2,N522+T521,IF(O518-T519=3,N522+U521,IF(O518-T519=0,T525,IF(T519-O518=U526+1,$AA$37,IF(T519-O518=U526+2,$Z$37,IF(O518&lt;T519,P522-(T525-$AB$37)/U526))))))))</f>
        <v>0.34</v>
      </c>
      <c r="P522" s="286">
        <f>IF(P518-T519&gt;3,T524,IF(P518-T519=1,O522+S521,IF(P518-T519=2,O522+T521,IF(P518-T519=3,O522+U521,IF(P518-T519=0,T525,IF(T519-P518=U526+1,$AA$37,IF(T519-P518=U526+2,$Z$37,IF(P518&lt;T519,Q522-(T525-$AB$37)/U526))))))))</f>
        <v>0.34</v>
      </c>
      <c r="Q522" s="286">
        <f>IF(Q518-T519&gt;3,T524,IF(Q518-T519=1,P522+S521,IF(Q518-T519=2,P522+T521,IF(Q518-T519=3,P522+U521,IF(Q518-T519=0,T525,IF(T519-Q518=U526+1,$AA$37,IF(T519-Q518=U526+2,$Z$37,IF(Q518&lt;T519,R522-(T525-$AB$37)/U526))))))))</f>
        <v>0.34</v>
      </c>
      <c r="S522" s="287" t="s">
        <v>739</v>
      </c>
      <c r="T522" s="213">
        <f t="array" ref="T522">INDEX(Sales!B289:Q289,MATCH(FALSE,ISBLANK(Sales!B289:Q289),0))</f>
        <v>6</v>
      </c>
      <c r="U522" s="256"/>
      <c r="V522" s="256"/>
    </row>
    <row r="523" spans="1:22" hidden="1" outlineLevel="1">
      <c r="A523" s="270" t="s">
        <v>731</v>
      </c>
      <c r="B523" s="213">
        <f>B521*B524</f>
        <v>3.7841328413284168</v>
      </c>
      <c r="C523" s="213">
        <f t="shared" ref="C523:Q523" si="448">C521*C524</f>
        <v>7.5766992114157015</v>
      </c>
      <c r="D523" s="213">
        <f t="shared" si="448"/>
        <v>11.17247260647529</v>
      </c>
      <c r="E523" s="213">
        <f t="shared" si="448"/>
        <v>17.097600000000007</v>
      </c>
      <c r="F523" s="213">
        <f t="shared" si="448"/>
        <v>23.191360000000003</v>
      </c>
      <c r="G523" s="213">
        <f t="shared" si="448"/>
        <v>29.392528000000002</v>
      </c>
      <c r="H523" s="213">
        <f t="shared" si="448"/>
        <v>34.938288</v>
      </c>
      <c r="I523" s="213">
        <f t="shared" si="448"/>
        <v>40.965142679999992</v>
      </c>
      <c r="J523" s="213">
        <f t="shared" si="448"/>
        <v>47.507337107999987</v>
      </c>
      <c r="K523" s="213">
        <f t="shared" si="448"/>
        <v>54.601338122099996</v>
      </c>
      <c r="L523" s="213">
        <f t="shared" si="448"/>
        <v>38.827618220159998</v>
      </c>
      <c r="M523" s="213">
        <f t="shared" si="448"/>
        <v>36.274702322184481</v>
      </c>
      <c r="N523" s="213">
        <f t="shared" si="448"/>
        <v>33.666845344427422</v>
      </c>
      <c r="O523" s="213">
        <f t="shared" si="448"/>
        <v>34.003513797871705</v>
      </c>
      <c r="P523" s="213">
        <f t="shared" si="448"/>
        <v>34.343548935850421</v>
      </c>
      <c r="Q523" s="213">
        <f t="shared" si="448"/>
        <v>34.686984425208919</v>
      </c>
      <c r="S523" s="287" t="s">
        <v>740</v>
      </c>
      <c r="T523" s="256">
        <f>IFERROR(INDEX(Sales!$B$1:$Q$1,MATCH(NPV!T522,Sales!B289:Q289,0)),INDEX(C518:Q518,MATCH(NPV!T522,C519:Q519,0)))</f>
        <v>2013</v>
      </c>
      <c r="U523" s="256"/>
      <c r="V523" s="256"/>
    </row>
    <row r="524" spans="1:22" hidden="1" outlineLevel="1">
      <c r="A524" s="270" t="s">
        <v>635</v>
      </c>
      <c r="B524" s="196">
        <f>'P&amp;L'!G$120</f>
        <v>0.1455435708203236</v>
      </c>
      <c r="C524" s="196">
        <f>'P&amp;L'!H$120</f>
        <v>0.15028163725122043</v>
      </c>
      <c r="D524" s="196">
        <f>'P&amp;L'!I$120</f>
        <v>0.15290792800832961</v>
      </c>
      <c r="E524" s="196">
        <f>'P&amp;L'!J$120</f>
        <v>0.16</v>
      </c>
      <c r="F524" s="196">
        <f>'P&amp;L'!K$120</f>
        <v>0.16</v>
      </c>
      <c r="G524" s="196">
        <f>'P&amp;L'!L$120</f>
        <v>0.16</v>
      </c>
      <c r="H524" s="196">
        <f>'P&amp;L'!M$120</f>
        <v>0.16</v>
      </c>
      <c r="I524" s="196">
        <f>'P&amp;L'!N$120</f>
        <v>0.16</v>
      </c>
      <c r="J524" s="196">
        <f>'P&amp;L'!O$120</f>
        <v>0.16</v>
      </c>
      <c r="K524" s="196">
        <f>'P&amp;L'!P$120</f>
        <v>0.16</v>
      </c>
      <c r="L524" s="196">
        <f>'P&amp;L'!Q$120</f>
        <v>0.16</v>
      </c>
      <c r="M524" s="196">
        <f t="shared" ref="M524" si="449">L524</f>
        <v>0.16</v>
      </c>
      <c r="N524" s="196">
        <f t="shared" ref="N524" si="450">M524</f>
        <v>0.16</v>
      </c>
      <c r="O524" s="196">
        <f t="shared" ref="O524" si="451">N524</f>
        <v>0.16</v>
      </c>
      <c r="P524" s="196">
        <f t="shared" ref="P524" si="452">O524</f>
        <v>0.16</v>
      </c>
      <c r="Q524" s="196">
        <f t="shared" ref="Q524" si="453">P524</f>
        <v>0.16</v>
      </c>
      <c r="S524" s="287" t="s">
        <v>741</v>
      </c>
      <c r="T524" s="288">
        <f>IF(Q518-T519&gt;3,IF(AND(S519&lt;$X$42,S519&lt;$X$43,S519&lt;$X$44),$AA$45,IF(AND(S519&lt;$X$42,S519&lt;$X$43),$AA$44,IF(S519&lt;$X$42,$AA$43,$AA$42))))</f>
        <v>0.34</v>
      </c>
      <c r="U524" s="256"/>
      <c r="V524" s="256"/>
    </row>
    <row r="525" spans="1:22" hidden="1" outlineLevel="1">
      <c r="A525" s="256" t="s">
        <v>732</v>
      </c>
      <c r="B525" s="213">
        <f>B521-B523</f>
        <v>22.215867158671603</v>
      </c>
      <c r="C525" s="213">
        <f t="shared" ref="C525:Q525" si="454">C521-C523</f>
        <v>42.839967455250999</v>
      </c>
      <c r="D525" s="213">
        <f t="shared" si="454"/>
        <v>61.894194060191417</v>
      </c>
      <c r="E525" s="213">
        <f t="shared" si="454"/>
        <v>89.762400000000042</v>
      </c>
      <c r="F525" s="213">
        <f t="shared" si="454"/>
        <v>121.75464000000002</v>
      </c>
      <c r="G525" s="213">
        <f t="shared" si="454"/>
        <v>154.31077200000001</v>
      </c>
      <c r="H525" s="213">
        <f t="shared" si="454"/>
        <v>183.42601199999999</v>
      </c>
      <c r="I525" s="213">
        <f t="shared" si="454"/>
        <v>215.06699906999995</v>
      </c>
      <c r="J525" s="213">
        <f t="shared" si="454"/>
        <v>249.41351981699989</v>
      </c>
      <c r="K525" s="213">
        <f t="shared" si="454"/>
        <v>286.65702514102497</v>
      </c>
      <c r="L525" s="213">
        <f t="shared" si="454"/>
        <v>203.84499565583999</v>
      </c>
      <c r="M525" s="213">
        <f t="shared" si="454"/>
        <v>190.44218719146852</v>
      </c>
      <c r="N525" s="213">
        <f t="shared" si="454"/>
        <v>176.75093805824397</v>
      </c>
      <c r="O525" s="213">
        <f t="shared" si="454"/>
        <v>178.51844743882646</v>
      </c>
      <c r="P525" s="213">
        <f t="shared" si="454"/>
        <v>180.3036319132147</v>
      </c>
      <c r="Q525" s="213">
        <f t="shared" si="454"/>
        <v>182.10666823234683</v>
      </c>
      <c r="S525" s="287" t="s">
        <v>742</v>
      </c>
      <c r="T525" s="288">
        <f>IF(S519&gt;$X$42,$Z$42,IF(S519&gt;$X$43,$Z$43,IF(S519&gt;$X$44,$Z$44,$Z$45)))</f>
        <v>0.45</v>
      </c>
      <c r="U525" s="256"/>
      <c r="V525" s="256"/>
    </row>
    <row r="526" spans="1:22" hidden="1" outlineLevel="1">
      <c r="A526" s="270" t="s">
        <v>607</v>
      </c>
      <c r="B526" s="277">
        <f>B525</f>
        <v>22.215867158671603</v>
      </c>
      <c r="C526" s="277">
        <f t="shared" ref="C526:Q526" si="455">C525</f>
        <v>42.839967455250999</v>
      </c>
      <c r="D526" s="277">
        <f t="shared" si="455"/>
        <v>61.894194060191417</v>
      </c>
      <c r="E526" s="277">
        <f t="shared" si="455"/>
        <v>89.762400000000042</v>
      </c>
      <c r="F526" s="277">
        <f t="shared" si="455"/>
        <v>121.75464000000002</v>
      </c>
      <c r="G526" s="277">
        <f t="shared" si="455"/>
        <v>154.31077200000001</v>
      </c>
      <c r="H526" s="277">
        <f t="shared" si="455"/>
        <v>183.42601199999999</v>
      </c>
      <c r="I526" s="277">
        <f t="shared" si="455"/>
        <v>215.06699906999995</v>
      </c>
      <c r="J526" s="277">
        <f t="shared" si="455"/>
        <v>249.41351981699989</v>
      </c>
      <c r="K526" s="277">
        <f t="shared" si="455"/>
        <v>286.65702514102497</v>
      </c>
      <c r="L526" s="277">
        <f t="shared" si="455"/>
        <v>203.84499565583999</v>
      </c>
      <c r="M526" s="277">
        <f t="shared" si="455"/>
        <v>190.44218719146852</v>
      </c>
      <c r="N526" s="277">
        <f t="shared" si="455"/>
        <v>176.75093805824397</v>
      </c>
      <c r="O526" s="277">
        <f t="shared" si="455"/>
        <v>178.51844743882646</v>
      </c>
      <c r="P526" s="277">
        <f t="shared" si="455"/>
        <v>180.3036319132147</v>
      </c>
      <c r="Q526" s="277">
        <f t="shared" si="455"/>
        <v>182.10666823234683</v>
      </c>
      <c r="S526" s="287" t="s">
        <v>743</v>
      </c>
      <c r="T526" s="256">
        <f>T519-T523</f>
        <v>11</v>
      </c>
      <c r="U526" s="256">
        <f>T526-2</f>
        <v>9</v>
      </c>
      <c r="V526" s="256"/>
    </row>
    <row r="527" spans="1:22" hidden="1" outlineLevel="1">
      <c r="A527" s="279" t="s">
        <v>733</v>
      </c>
      <c r="B527" s="280">
        <f t="shared" ref="B527:Q527" si="456">B526*B$45</f>
        <v>0</v>
      </c>
      <c r="C527" s="280">
        <f t="shared" si="456"/>
        <v>0</v>
      </c>
      <c r="D527" s="280">
        <f t="shared" si="456"/>
        <v>0</v>
      </c>
      <c r="E527" s="280">
        <f t="shared" ca="1" si="456"/>
        <v>85.459185788981259</v>
      </c>
      <c r="F527" s="280">
        <f t="shared" ca="1" si="456"/>
        <v>108.07612561862709</v>
      </c>
      <c r="G527" s="280">
        <f t="shared" ca="1" si="456"/>
        <v>127.70868768049795</v>
      </c>
      <c r="H527" s="280">
        <f t="shared" ca="1" si="456"/>
        <v>141.53539903675261</v>
      </c>
      <c r="I527" s="280">
        <f t="shared" ca="1" si="456"/>
        <v>154.72406848548999</v>
      </c>
      <c r="J527" s="280">
        <f t="shared" ca="1" si="456"/>
        <v>167.29541726307545</v>
      </c>
      <c r="K527" s="280">
        <f t="shared" ca="1" si="456"/>
        <v>179.26957724729647</v>
      </c>
      <c r="L527" s="280">
        <f t="shared" ca="1" si="456"/>
        <v>118.85679371325705</v>
      </c>
      <c r="M527" s="280">
        <f t="shared" ca="1" si="456"/>
        <v>103.53020374804947</v>
      </c>
      <c r="N527" s="280">
        <f t="shared" ca="1" si="456"/>
        <v>89.587122428933597</v>
      </c>
      <c r="O527" s="280">
        <f t="shared" ca="1" si="456"/>
        <v>84.362008817097035</v>
      </c>
      <c r="P527" s="280">
        <f t="shared" ca="1" si="456"/>
        <v>79.441646731109046</v>
      </c>
      <c r="Q527" s="280">
        <f t="shared" ca="1" si="456"/>
        <v>74.808261726353393</v>
      </c>
      <c r="S527" s="289" t="s">
        <v>744</v>
      </c>
      <c r="T527" s="288">
        <f>VLOOKUP(S527,$Y$32:$AB$34,2,0)</f>
        <v>-0.7</v>
      </c>
      <c r="U527" s="288">
        <f>VLOOKUP(S527,$Y$32:$AB$34,3,0)</f>
        <v>-0.35</v>
      </c>
      <c r="V527" s="288">
        <f>VLOOKUP(S527,$Y$32:$AB$34,4,0)</f>
        <v>-0.1</v>
      </c>
    </row>
    <row r="528" spans="1:22" hidden="1" outlineLevel="1">
      <c r="A528" s="270" t="s">
        <v>734</v>
      </c>
      <c r="B528" s="213">
        <f ca="1">SUM(B527:Q527)</f>
        <v>1514.6544982855203</v>
      </c>
      <c r="C528" s="277"/>
      <c r="D528" s="277"/>
      <c r="E528" s="277"/>
      <c r="F528" s="277"/>
      <c r="G528" s="277"/>
      <c r="H528" s="277"/>
      <c r="I528" s="277"/>
      <c r="J528" s="277"/>
      <c r="K528" s="277"/>
      <c r="L528" s="277"/>
      <c r="M528" s="277"/>
      <c r="N528" s="256"/>
      <c r="O528" s="256"/>
      <c r="P528" s="256"/>
      <c r="Q528" s="256"/>
    </row>
    <row r="529" spans="1:22" hidden="1" outlineLevel="1">
      <c r="A529" s="281" t="s">
        <v>735</v>
      </c>
      <c r="B529" s="213">
        <f ca="1">(Q526*(1+C529))/(DCF!$H$31-NPV!C529)*NPV!$Q$45</f>
        <v>579.87977784951715</v>
      </c>
      <c r="C529" s="612">
        <v>-0.05</v>
      </c>
      <c r="D529" s="277"/>
      <c r="E529" s="277"/>
      <c r="F529" s="277"/>
      <c r="G529" s="277"/>
      <c r="H529" s="277"/>
      <c r="I529" s="277"/>
      <c r="J529" s="277"/>
      <c r="K529" s="277"/>
      <c r="L529" s="277"/>
      <c r="M529" s="277"/>
      <c r="N529" s="256"/>
      <c r="O529" s="256"/>
      <c r="P529" s="256"/>
      <c r="Q529" s="256"/>
    </row>
    <row r="530" spans="1:22" hidden="1" outlineLevel="1">
      <c r="A530" s="281" t="s">
        <v>736</v>
      </c>
      <c r="B530" s="213">
        <f ca="1">SUM(B528:B529)/DCF!$C$30</f>
        <v>0.89281085939259908</v>
      </c>
      <c r="C530" s="283"/>
      <c r="D530" s="283"/>
      <c r="E530" s="283"/>
      <c r="F530" s="283"/>
      <c r="G530" s="283"/>
      <c r="H530" s="283"/>
      <c r="I530" s="283"/>
      <c r="J530" s="283"/>
      <c r="K530" s="283"/>
      <c r="L530" s="283"/>
      <c r="M530" s="256"/>
      <c r="N530" s="256"/>
      <c r="O530" s="256"/>
      <c r="P530" s="256"/>
      <c r="Q530" s="256"/>
    </row>
    <row r="531" spans="1:22" hidden="1" outlineLevel="1">
      <c r="A531" s="284" t="s">
        <v>737</v>
      </c>
      <c r="B531" s="285">
        <f ca="1">B530/DCF!$H$24</f>
        <v>0.86680665960446512</v>
      </c>
    </row>
    <row r="532" spans="1:22" hidden="1" outlineLevel="1"/>
    <row r="533" spans="1:22" hidden="1" outlineLevel="1">
      <c r="A533" s="265" t="s">
        <v>48</v>
      </c>
      <c r="B533" s="266">
        <v>2015</v>
      </c>
      <c r="C533" s="266">
        <v>2016</v>
      </c>
      <c r="D533" s="266">
        <v>2017</v>
      </c>
      <c r="E533" s="266">
        <v>2018</v>
      </c>
      <c r="F533" s="266">
        <v>2019</v>
      </c>
      <c r="G533" s="266">
        <v>2020</v>
      </c>
      <c r="H533" s="266">
        <v>2021</v>
      </c>
      <c r="I533" s="266">
        <v>2022</v>
      </c>
      <c r="J533" s="266">
        <v>2023</v>
      </c>
      <c r="K533" s="266">
        <v>2024</v>
      </c>
      <c r="L533" s="266">
        <v>2025</v>
      </c>
      <c r="M533" s="266">
        <v>2026</v>
      </c>
      <c r="N533" s="266">
        <v>2027</v>
      </c>
      <c r="O533" s="266">
        <v>2028</v>
      </c>
      <c r="P533" s="266">
        <v>2029</v>
      </c>
      <c r="Q533" s="267">
        <v>2030</v>
      </c>
      <c r="S533" s="256" t="s">
        <v>709</v>
      </c>
      <c r="T533" s="256" t="s">
        <v>710</v>
      </c>
      <c r="U533" s="256"/>
      <c r="V533" s="256"/>
    </row>
    <row r="534" spans="1:22" hidden="1" outlineLevel="1">
      <c r="A534" s="268" t="s">
        <v>729</v>
      </c>
      <c r="B534" s="269">
        <f>Sales!G304</f>
        <v>755</v>
      </c>
      <c r="C534" s="269">
        <f>Sales!H304</f>
        <v>835</v>
      </c>
      <c r="D534" s="269">
        <f>Sales!I304</f>
        <v>920</v>
      </c>
      <c r="E534" s="269">
        <f>Sales!J304</f>
        <v>1025.3663797576471</v>
      </c>
      <c r="F534" s="269">
        <f>Sales!K304</f>
        <v>1025.3663797576471</v>
      </c>
      <c r="G534" s="269">
        <f>Sales!L304</f>
        <v>922.82974178188238</v>
      </c>
      <c r="H534" s="269">
        <f>Sales!M304</f>
        <v>830.54676760369421</v>
      </c>
      <c r="I534" s="269">
        <f>Sales!N304</f>
        <v>747.49209084332483</v>
      </c>
      <c r="J534" s="269">
        <f>Sales!O304</f>
        <v>672.74288175899233</v>
      </c>
      <c r="K534" s="269">
        <f>Sales!P304</f>
        <v>605.46859358309314</v>
      </c>
      <c r="L534" s="269">
        <f>Sales!Q304</f>
        <v>544.92173422478379</v>
      </c>
      <c r="M534" s="269">
        <f>L534*(1+M535)</f>
        <v>544.92173422478379</v>
      </c>
      <c r="N534" s="269">
        <f>M534*(1+N535)</f>
        <v>544.92173422478379</v>
      </c>
      <c r="O534" s="269">
        <f>N534*(1+O535)</f>
        <v>544.92173422478379</v>
      </c>
      <c r="P534" s="269">
        <f>O534*(1+P535)</f>
        <v>544.92173422478379</v>
      </c>
      <c r="Q534" s="269">
        <f>P534*(1+Q535)</f>
        <v>544.92173422478379</v>
      </c>
      <c r="S534" s="213">
        <f>MAX(MAX(Sales!C304:W304),MAX(K534:Q534))</f>
        <v>1025.3663797576471</v>
      </c>
      <c r="T534" s="256">
        <f>IFERROR(INDEX(Sales!$B$1:$Q$1,MATCH(NPV!S534,Sales!B304:Q304,0)),INDEX(C533:Q533,MATCH(NPV!S534,C534:Q534,0)))</f>
        <v>2018</v>
      </c>
      <c r="U534" s="256"/>
      <c r="V534" s="256"/>
    </row>
    <row r="535" spans="1:22" hidden="1" outlineLevel="1">
      <c r="A535" s="270" t="s">
        <v>579</v>
      </c>
      <c r="B535" s="271"/>
      <c r="C535" s="271">
        <f t="shared" ref="C535:H535" si="457">C534/B534-1</f>
        <v>0.10596026490066235</v>
      </c>
      <c r="D535" s="271">
        <f t="shared" si="457"/>
        <v>0.10179640718562877</v>
      </c>
      <c r="E535" s="271">
        <f t="shared" si="457"/>
        <v>0.1145286736496165</v>
      </c>
      <c r="F535" s="271">
        <f t="shared" si="457"/>
        <v>0</v>
      </c>
      <c r="G535" s="271">
        <f t="shared" si="457"/>
        <v>-9.9999999999999978E-2</v>
      </c>
      <c r="H535" s="271">
        <f t="shared" si="457"/>
        <v>-9.9999999999999978E-2</v>
      </c>
      <c r="I535" s="271">
        <f>I534/H534-1</f>
        <v>-9.9999999999999978E-2</v>
      </c>
      <c r="J535" s="271">
        <f>J534/I534-1</f>
        <v>-9.9999999999999978E-2</v>
      </c>
      <c r="K535" s="271">
        <f t="shared" ref="K535:L535" si="458">K534/J534-1</f>
        <v>-9.9999999999999978E-2</v>
      </c>
      <c r="L535" s="271">
        <f t="shared" si="458"/>
        <v>-0.10000000000000009</v>
      </c>
      <c r="M535" s="272">
        <v>0</v>
      </c>
      <c r="N535" s="272">
        <v>0</v>
      </c>
      <c r="O535" s="272">
        <v>0</v>
      </c>
      <c r="P535" s="272">
        <v>0</v>
      </c>
      <c r="Q535" s="272">
        <v>0</v>
      </c>
      <c r="S535" s="256" t="s">
        <v>738</v>
      </c>
      <c r="T535" s="256"/>
      <c r="U535" s="256"/>
      <c r="V535" s="256"/>
    </row>
    <row r="536" spans="1:22" hidden="1" outlineLevel="1">
      <c r="A536" s="273" t="s">
        <v>730</v>
      </c>
      <c r="B536" s="274">
        <f t="shared" ref="B536:Q536" si="459">B534*B537</f>
        <v>226.50000000000003</v>
      </c>
      <c r="C536" s="274">
        <f t="shared" si="459"/>
        <v>306.16666666666669</v>
      </c>
      <c r="D536" s="274">
        <f t="shared" si="459"/>
        <v>398.66666666666669</v>
      </c>
      <c r="E536" s="274">
        <f t="shared" si="459"/>
        <v>512.68318987882355</v>
      </c>
      <c r="F536" s="274">
        <f t="shared" si="459"/>
        <v>461.41487089094119</v>
      </c>
      <c r="G536" s="274">
        <f t="shared" si="459"/>
        <v>387.58849154839061</v>
      </c>
      <c r="H536" s="274">
        <f t="shared" si="459"/>
        <v>323.91323936544075</v>
      </c>
      <c r="I536" s="274">
        <f t="shared" si="459"/>
        <v>291.5219154288967</v>
      </c>
      <c r="J536" s="274">
        <f t="shared" si="459"/>
        <v>262.36972388600702</v>
      </c>
      <c r="K536" s="274">
        <f t="shared" si="459"/>
        <v>236.13275149740633</v>
      </c>
      <c r="L536" s="274">
        <f t="shared" si="459"/>
        <v>212.51947634766569</v>
      </c>
      <c r="M536" s="274">
        <f t="shared" si="459"/>
        <v>212.51947634766569</v>
      </c>
      <c r="N536" s="274">
        <f t="shared" si="459"/>
        <v>212.51947634766569</v>
      </c>
      <c r="O536" s="274">
        <f t="shared" si="459"/>
        <v>212.51947634766569</v>
      </c>
      <c r="P536" s="274">
        <f t="shared" si="459"/>
        <v>212.51947634766569</v>
      </c>
      <c r="Q536" s="274">
        <f t="shared" si="459"/>
        <v>212.51947634766569</v>
      </c>
      <c r="S536" s="282">
        <f>IF(S534&gt;$X$39,$Z$39,$Z$40)</f>
        <v>-0.05</v>
      </c>
      <c r="T536" s="282">
        <f>IF(S534&gt;$X$39,$AA$39,$AA$40)</f>
        <v>-0.03</v>
      </c>
      <c r="U536" s="282">
        <f>IF(S534&gt;$X$39,$AB$39,$AB$40)</f>
        <v>-0.03</v>
      </c>
      <c r="V536" s="256"/>
    </row>
    <row r="537" spans="1:22" hidden="1" outlineLevel="1">
      <c r="A537" s="270" t="s">
        <v>580</v>
      </c>
      <c r="B537" s="286">
        <f>IF(B533-T534&gt;3,T539,IF(B533-T534=1,45%+S536,IF(B533-T534=2,A537+T536,IF(B533-T534=3,A537+U536,IF(B533-T534=0,T540,IF(T534-B533=U541+1,$AA$37,IF(T534-B533=U541+2,$Z$37,IF(B533&lt;T534,C537-(T540-$AB$37)/U541))))))))</f>
        <v>0.30000000000000004</v>
      </c>
      <c r="C537" s="286">
        <f>IF(C533-T534&gt;3,T539,IF(C533-T534=1,B537+S536,IF(C533-T534=2,B537+T536,IF(C533-T534=3,B537+U536,IF(C533-T534=0,T540,IF(T534-C533=U541+1,$AA$37,IF(T534-C533=U541+2,$Z$37,IF(C533&lt;T534,D537-(T540-$AB$37)/U541))))))))</f>
        <v>0.3666666666666667</v>
      </c>
      <c r="D537" s="286">
        <f>IF(D533-T534&gt;3,T539,IF(D533-T534=1,C537+S536,IF(D533-T534=2,C537+T536,IF(D533-T534=3,C537+U536,IF(D533-T534=0,T540,IF(T534-D533=U541+1,$AA$37,IF(T534-D533=U541+2,$Z$37,IF(D533&lt;T534,E537-(T540-$AB$37)/U541))))))))</f>
        <v>0.43333333333333335</v>
      </c>
      <c r="E537" s="286">
        <f>IF(E533-T534&gt;3,T539,IF(E533-T534=1,D537+S536,IF(E533-T534=2,D537+T536,IF(E533-T534=3,D537+U536,IF(E533-T534=0,T540,IF(T534-E533=U541+1,$AA$37,IF(T534-E533=U541+2,$Z$37,IF(E533&lt;T534,F537-(T540-$AB$37)/U541))))))))</f>
        <v>0.5</v>
      </c>
      <c r="F537" s="286">
        <f>IF(F533-T534&gt;3,T539,IF(F533-T534=1,E537+S536,IF(F533-T534=2,E537+T536,IF(F533-T534=3,E537+U536,IF(F533-T534=0,T540,IF(T534-F533=U541+1,$AA$37,IF(T534-F533=U541+2,$Z$37,IF(F533&lt;T534,G537-(T540-$AB$37)/U541))))))))</f>
        <v>0.45</v>
      </c>
      <c r="G537" s="286">
        <f>IF(G533-T534&gt;3,T539,IF(G533-T534=1,F537+S536,IF(G533-T534=2,F537+T536,IF(G533-T534=3,F537+U536,IF(G533-T534=0,T540,IF(T534-G533=U541+1,$AA$37,IF(T534-G533=U541+2,$Z$37,IF(G533&lt;T534,H537-(T540-$AB$37)/U541))))))))</f>
        <v>0.42000000000000004</v>
      </c>
      <c r="H537" s="286">
        <f>IF(H533-T534&gt;3,T539,IF(H533-T534=1,G537+S536,IF(H533-T534=2,G537+T536,IF(H533-T534=3,G537+U536,IF(H533-T534=0,T540,IF(T534-H533=U541+1,$AA$37,IF(T534-H533=U541+2,$Z$37,IF(H533&lt;T534,I537-(T540-$AB$37)/U541))))))))</f>
        <v>0.39</v>
      </c>
      <c r="I537" s="286">
        <f>IF(I533-T534&gt;3,T539,IF(I533-T534=1,H537+S536,IF(I533-T534=2,H537+T536,IF(I533-T534=3,H537+U536,IF(I533-T534=0,T540,IF(T534-I533=U541+1,$AA$37,IF(T534-I533=U541+2,$Z$37,IF(I533&lt;T534,J537-(T540-$AB$37)/U541))))))))</f>
        <v>0.39</v>
      </c>
      <c r="J537" s="286">
        <f>IF(J533-T534&gt;3,T539,IF(J533-T534=1,I537+S536,IF(J533-T534=2,I537+T536,IF(J533-T534=3,I537+U536,IF(J533-T534=0,T540,IF(T534-J533=U541+1,$AA$37,IF(T534-J533=U541+2,$Z$37,IF(J533&lt;T534,K537-(T540-$AB$37)/U541))))))))</f>
        <v>0.39</v>
      </c>
      <c r="K537" s="286">
        <f>IF(K533-T534&gt;3,T539,IF(K533-T534=1,J537+S536,IF(K533-T534=2,J537+T536,IF(K533-T534=3,J537+U536,IF(K533-T534=0,T540,IF(T534-K533=U541+1,$AA$37,IF(T534-K533=U541+2,$Z$37,IF(K533&lt;T534,L537-(T540-$AB$37)/U541))))))))</f>
        <v>0.39</v>
      </c>
      <c r="L537" s="286">
        <f>IF(L533-T534&gt;3,T539,IF(L533-T534=1,K537+S536,IF(L533-T534=2,K537+T536,IF(L533-T534=3,K537+U536,IF(L533-T534=0,T540,IF(T534-L533=U541+1,$AA$37,IF(T534-L533=U541+2,$Z$37,IF(L533&lt;T534,M537-(T540-$AB$37)/U541))))))))</f>
        <v>0.39</v>
      </c>
      <c r="M537" s="286">
        <f>IF(M533-T534&gt;3,T539,IF(M533-T534=1,L537+S536,IF(M533-T534=2,L537+T536,IF(M533-T534=3,L537+U536,IF(M533-T534=0,T540,IF(T534-M533=U541+1,$AA$37,IF(T534-M533=U541+2,$Z$37,IF(M533&lt;T534,N537-(T540-$AB$37)/U541))))))))</f>
        <v>0.39</v>
      </c>
      <c r="N537" s="286">
        <f>IF(N533-T534&gt;3,T539,IF(N533-T534=1,M537+S536,IF(N533-T534=2,M537+T536,IF(N533-T534=3,M537+U536,IF(N533-T534=0,T540,IF(T534-N533=U541+1,$AA$37,IF(T534-N533=U541+2,$Z$37,IF(N533&lt;T534,O537-(T540-$AB$37)/U541))))))))</f>
        <v>0.39</v>
      </c>
      <c r="O537" s="286">
        <f>IF(O533-T534&gt;3,T539,IF(O533-T534=1,N537+S536,IF(O533-T534=2,N537+T536,IF(O533-T534=3,N537+U536,IF(O533-T534=0,T540,IF(T534-O533=U541+1,$AA$37,IF(T534-O533=U541+2,$Z$37,IF(O533&lt;T534,P537-(T540-$AB$37)/U541))))))))</f>
        <v>0.39</v>
      </c>
      <c r="P537" s="286">
        <f>IF(P533-T534&gt;3,T539,IF(P533-T534=1,O537+S536,IF(P533-T534=2,O537+T536,IF(P533-T534=3,O537+U536,IF(P533-T534=0,T540,IF(T534-P533=U541+1,$AA$37,IF(T534-P533=U541+2,$Z$37,IF(P533&lt;T534,Q537-(T540-$AB$37)/U541))))))))</f>
        <v>0.39</v>
      </c>
      <c r="Q537" s="286">
        <f>IF(Q533-T534&gt;3,T539,IF(Q533-T534=1,P537+S536,IF(Q533-T534=2,P537+T536,IF(Q533-T534=3,P537+U536,IF(Q533-T534=0,T540,IF(T534-Q533=U541+1,$AA$37,IF(T534-Q533=U541+2,$Z$37,IF(Q533&lt;T534,R537-(T540-$AB$37)/U541))))))))</f>
        <v>0.39</v>
      </c>
      <c r="S537" s="287" t="s">
        <v>739</v>
      </c>
      <c r="T537" s="213">
        <f t="array" ref="T537">INDEX(Sales!B304:Q304,MATCH(FALSE,ISBLANK(Sales!B304:Q304),0))</f>
        <v>369</v>
      </c>
      <c r="U537" s="256"/>
      <c r="V537" s="256"/>
    </row>
    <row r="538" spans="1:22" hidden="1" outlineLevel="1">
      <c r="A538" s="270" t="s">
        <v>731</v>
      </c>
      <c r="B538" s="213">
        <f>B536*B539</f>
        <v>32.965618790803298</v>
      </c>
      <c r="C538" s="213">
        <f t="shared" ref="C538:Q538" si="460">C536*C539</f>
        <v>46.011227938415324</v>
      </c>
      <c r="D538" s="213">
        <f t="shared" si="460"/>
        <v>60.959293965987406</v>
      </c>
      <c r="E538" s="213">
        <f t="shared" si="460"/>
        <v>82.029310380611776</v>
      </c>
      <c r="F538" s="213">
        <f t="shared" si="460"/>
        <v>73.826379342550595</v>
      </c>
      <c r="G538" s="213">
        <f t="shared" si="460"/>
        <v>62.014158647742498</v>
      </c>
      <c r="H538" s="213">
        <f t="shared" si="460"/>
        <v>51.826118298470519</v>
      </c>
      <c r="I538" s="213">
        <f t="shared" si="460"/>
        <v>46.643506468623471</v>
      </c>
      <c r="J538" s="213">
        <f t="shared" si="460"/>
        <v>41.979155821761125</v>
      </c>
      <c r="K538" s="213">
        <f t="shared" si="460"/>
        <v>37.781240239585017</v>
      </c>
      <c r="L538" s="213">
        <f t="shared" si="460"/>
        <v>34.003116215626513</v>
      </c>
      <c r="M538" s="213">
        <f t="shared" si="460"/>
        <v>34.003116215626513</v>
      </c>
      <c r="N538" s="213">
        <f t="shared" si="460"/>
        <v>34.003116215626513</v>
      </c>
      <c r="O538" s="213">
        <f t="shared" si="460"/>
        <v>34.003116215626513</v>
      </c>
      <c r="P538" s="213">
        <f t="shared" si="460"/>
        <v>34.003116215626513</v>
      </c>
      <c r="Q538" s="213">
        <f t="shared" si="460"/>
        <v>34.003116215626513</v>
      </c>
      <c r="S538" s="287" t="s">
        <v>740</v>
      </c>
      <c r="T538" s="256">
        <f>IFERROR(INDEX(Sales!$B$1:$Q$1,MATCH(NPV!T537,Sales!B304:Q304,0)),INDEX(C533:Q533,MATCH(NPV!T537,C534:Q534,0)))</f>
        <v>2010</v>
      </c>
      <c r="U538" s="256"/>
      <c r="V538" s="256"/>
    </row>
    <row r="539" spans="1:22" hidden="1" outlineLevel="1">
      <c r="A539" s="270" t="s">
        <v>635</v>
      </c>
      <c r="B539" s="196">
        <f>'P&amp;L'!G$120</f>
        <v>0.1455435708203236</v>
      </c>
      <c r="C539" s="196">
        <f>'P&amp;L'!H$120</f>
        <v>0.15028163725122043</v>
      </c>
      <c r="D539" s="196">
        <f>'P&amp;L'!I$120</f>
        <v>0.15290792800832961</v>
      </c>
      <c r="E539" s="196">
        <f>'P&amp;L'!J$120</f>
        <v>0.16</v>
      </c>
      <c r="F539" s="196">
        <f>'P&amp;L'!K$120</f>
        <v>0.16</v>
      </c>
      <c r="G539" s="196">
        <f>'P&amp;L'!L$120</f>
        <v>0.16</v>
      </c>
      <c r="H539" s="196">
        <f>'P&amp;L'!M$120</f>
        <v>0.16</v>
      </c>
      <c r="I539" s="196">
        <f>'P&amp;L'!N$120</f>
        <v>0.16</v>
      </c>
      <c r="J539" s="196">
        <f>'P&amp;L'!O$120</f>
        <v>0.16</v>
      </c>
      <c r="K539" s="196">
        <f>'P&amp;L'!P$120</f>
        <v>0.16</v>
      </c>
      <c r="L539" s="196">
        <f>'P&amp;L'!Q$120</f>
        <v>0.16</v>
      </c>
      <c r="M539" s="196">
        <f t="shared" ref="M539" si="461">L539</f>
        <v>0.16</v>
      </c>
      <c r="N539" s="196">
        <f t="shared" ref="N539" si="462">M539</f>
        <v>0.16</v>
      </c>
      <c r="O539" s="196">
        <f t="shared" ref="O539" si="463">N539</f>
        <v>0.16</v>
      </c>
      <c r="P539" s="196">
        <f t="shared" ref="P539" si="464">O539</f>
        <v>0.16</v>
      </c>
      <c r="Q539" s="196">
        <f t="shared" ref="Q539" si="465">P539</f>
        <v>0.16</v>
      </c>
      <c r="S539" s="287" t="s">
        <v>741</v>
      </c>
      <c r="T539" s="288">
        <f>IF(Q533-T534&gt;3,IF(AND(S534&lt;$X$42,S534&lt;$X$43,S534&lt;$X$44),$AA$45,IF(AND(S534&lt;$X$42,S534&lt;$X$43),$AA$44,IF(S534&lt;$X$42,$AA$43,$AA$42))))</f>
        <v>0.39</v>
      </c>
      <c r="U539" s="256"/>
      <c r="V539" s="256"/>
    </row>
    <row r="540" spans="1:22" hidden="1" outlineLevel="1">
      <c r="A540" s="256" t="s">
        <v>732</v>
      </c>
      <c r="B540" s="213">
        <f>B536-B538</f>
        <v>193.53438120919674</v>
      </c>
      <c r="C540" s="213">
        <f t="shared" ref="C540:Q540" si="466">C536-C538</f>
        <v>260.15543872825134</v>
      </c>
      <c r="D540" s="213">
        <f t="shared" si="466"/>
        <v>337.70737270067929</v>
      </c>
      <c r="E540" s="213">
        <f t="shared" si="466"/>
        <v>430.65387949821178</v>
      </c>
      <c r="F540" s="213">
        <f t="shared" si="466"/>
        <v>387.58849154839061</v>
      </c>
      <c r="G540" s="213">
        <f t="shared" si="466"/>
        <v>325.57433290064813</v>
      </c>
      <c r="H540" s="213">
        <f t="shared" si="466"/>
        <v>272.08712106697021</v>
      </c>
      <c r="I540" s="213">
        <f t="shared" si="466"/>
        <v>244.87840896027325</v>
      </c>
      <c r="J540" s="213">
        <f t="shared" si="466"/>
        <v>220.39056806424588</v>
      </c>
      <c r="K540" s="213">
        <f t="shared" si="466"/>
        <v>198.3515112578213</v>
      </c>
      <c r="L540" s="213">
        <f t="shared" si="466"/>
        <v>178.51636013203918</v>
      </c>
      <c r="M540" s="213">
        <f t="shared" si="466"/>
        <v>178.51636013203918</v>
      </c>
      <c r="N540" s="213">
        <f t="shared" si="466"/>
        <v>178.51636013203918</v>
      </c>
      <c r="O540" s="213">
        <f t="shared" si="466"/>
        <v>178.51636013203918</v>
      </c>
      <c r="P540" s="213">
        <f t="shared" si="466"/>
        <v>178.51636013203918</v>
      </c>
      <c r="Q540" s="213">
        <f t="shared" si="466"/>
        <v>178.51636013203918</v>
      </c>
      <c r="S540" s="287" t="s">
        <v>742</v>
      </c>
      <c r="T540" s="288">
        <f>IF(S534&gt;$X$42,$Z$42,IF(S534&gt;$X$43,$Z$43,IF(S534&gt;$X$44,$Z$44,$Z$45)))</f>
        <v>0.5</v>
      </c>
      <c r="U540" s="256"/>
      <c r="V540" s="256"/>
    </row>
    <row r="541" spans="1:22" hidden="1" outlineLevel="1">
      <c r="A541" s="270" t="s">
        <v>607</v>
      </c>
      <c r="B541" s="277">
        <f>B540</f>
        <v>193.53438120919674</v>
      </c>
      <c r="C541" s="277">
        <f t="shared" ref="C541:Q541" si="467">C540</f>
        <v>260.15543872825134</v>
      </c>
      <c r="D541" s="277">
        <f t="shared" si="467"/>
        <v>337.70737270067929</v>
      </c>
      <c r="E541" s="277">
        <f t="shared" si="467"/>
        <v>430.65387949821178</v>
      </c>
      <c r="F541" s="277">
        <f t="shared" si="467"/>
        <v>387.58849154839061</v>
      </c>
      <c r="G541" s="277">
        <f t="shared" si="467"/>
        <v>325.57433290064813</v>
      </c>
      <c r="H541" s="277">
        <f t="shared" si="467"/>
        <v>272.08712106697021</v>
      </c>
      <c r="I541" s="277">
        <f t="shared" si="467"/>
        <v>244.87840896027325</v>
      </c>
      <c r="J541" s="277">
        <f t="shared" si="467"/>
        <v>220.39056806424588</v>
      </c>
      <c r="K541" s="277">
        <f t="shared" si="467"/>
        <v>198.3515112578213</v>
      </c>
      <c r="L541" s="277">
        <f t="shared" si="467"/>
        <v>178.51636013203918</v>
      </c>
      <c r="M541" s="277">
        <f t="shared" si="467"/>
        <v>178.51636013203918</v>
      </c>
      <c r="N541" s="277">
        <f t="shared" si="467"/>
        <v>178.51636013203918</v>
      </c>
      <c r="O541" s="277">
        <f t="shared" si="467"/>
        <v>178.51636013203918</v>
      </c>
      <c r="P541" s="277">
        <f t="shared" si="467"/>
        <v>178.51636013203918</v>
      </c>
      <c r="Q541" s="277">
        <f t="shared" si="467"/>
        <v>178.51636013203918</v>
      </c>
      <c r="S541" s="287" t="s">
        <v>743</v>
      </c>
      <c r="T541" s="256">
        <f>T534-T538</f>
        <v>8</v>
      </c>
      <c r="U541" s="256">
        <f>T541-2</f>
        <v>6</v>
      </c>
      <c r="V541" s="256"/>
    </row>
    <row r="542" spans="1:22" hidden="1" outlineLevel="1">
      <c r="A542" s="279" t="s">
        <v>733</v>
      </c>
      <c r="B542" s="280">
        <f t="shared" ref="B542:Q542" si="468">B541*B$45</f>
        <v>0</v>
      </c>
      <c r="C542" s="280">
        <f t="shared" si="468"/>
        <v>0</v>
      </c>
      <c r="D542" s="280">
        <f t="shared" si="468"/>
        <v>0</v>
      </c>
      <c r="E542" s="280">
        <f t="shared" ca="1" si="468"/>
        <v>410.00830970187081</v>
      </c>
      <c r="F542" s="280">
        <f t="shared" ca="1" si="468"/>
        <v>344.04489636631541</v>
      </c>
      <c r="G542" s="280">
        <f t="shared" ca="1" si="468"/>
        <v>269.44762350871616</v>
      </c>
      <c r="H542" s="280">
        <f t="shared" ca="1" si="468"/>
        <v>209.94819018894032</v>
      </c>
      <c r="I542" s="280">
        <f t="shared" ca="1" si="468"/>
        <v>176.17107172381745</v>
      </c>
      <c r="J542" s="280">
        <f t="shared" ca="1" si="468"/>
        <v>147.82812123499482</v>
      </c>
      <c r="K542" s="280">
        <f t="shared" ca="1" si="468"/>
        <v>124.04507286035825</v>
      </c>
      <c r="L542" s="280">
        <f t="shared" ca="1" si="468"/>
        <v>104.08831535152484</v>
      </c>
      <c r="M542" s="280">
        <f t="shared" ca="1" si="468"/>
        <v>97.046959024098769</v>
      </c>
      <c r="N542" s="280">
        <f t="shared" ca="1" si="468"/>
        <v>90.481935691037563</v>
      </c>
      <c r="O542" s="280">
        <f t="shared" ca="1" si="468"/>
        <v>84.361022423835621</v>
      </c>
      <c r="P542" s="280">
        <f t="shared" ca="1" si="468"/>
        <v>78.6541761075502</v>
      </c>
      <c r="Q542" s="280">
        <f t="shared" ca="1" si="468"/>
        <v>73.333385980983223</v>
      </c>
      <c r="S542" s="289" t="s">
        <v>744</v>
      </c>
      <c r="T542" s="288">
        <f>VLOOKUP(S542,$Y$32:$AB$34,2,0)</f>
        <v>-0.7</v>
      </c>
      <c r="U542" s="288">
        <f>VLOOKUP(S542,$Y$32:$AB$34,3,0)</f>
        <v>-0.35</v>
      </c>
      <c r="V542" s="288">
        <f>VLOOKUP(S542,$Y$32:$AB$34,4,0)</f>
        <v>-0.1</v>
      </c>
    </row>
    <row r="543" spans="1:22" hidden="1" outlineLevel="1">
      <c r="A543" s="270" t="s">
        <v>734</v>
      </c>
      <c r="B543" s="213">
        <f ca="1">SUM(B542:Q542)</f>
        <v>2209.4590801640429</v>
      </c>
      <c r="C543" s="277"/>
      <c r="D543" s="277"/>
      <c r="E543" s="277"/>
      <c r="F543" s="277"/>
      <c r="G543" s="277"/>
      <c r="H543" s="277"/>
      <c r="I543" s="277"/>
      <c r="J543" s="277"/>
      <c r="K543" s="277"/>
      <c r="L543" s="277"/>
      <c r="M543" s="277"/>
      <c r="N543" s="256"/>
      <c r="O543" s="256"/>
      <c r="P543" s="256"/>
      <c r="Q543" s="256"/>
    </row>
    <row r="544" spans="1:22" hidden="1" outlineLevel="1">
      <c r="A544" s="281" t="s">
        <v>735</v>
      </c>
      <c r="B544" s="213">
        <f ca="1">(Q541*(1+C544))/(DCF!$H$31-NPV!C544)*NPV!$Q$45</f>
        <v>568.44720877433417</v>
      </c>
      <c r="C544" s="612">
        <v>-0.05</v>
      </c>
      <c r="D544" s="277"/>
      <c r="E544" s="277"/>
      <c r="F544" s="277"/>
      <c r="G544" s="277"/>
      <c r="H544" s="277"/>
      <c r="I544" s="277"/>
      <c r="J544" s="277"/>
      <c r="K544" s="277"/>
      <c r="L544" s="277"/>
      <c r="M544" s="277"/>
      <c r="N544" s="256"/>
      <c r="O544" s="256"/>
      <c r="P544" s="256"/>
      <c r="Q544" s="256"/>
    </row>
    <row r="545" spans="1:22" hidden="1" outlineLevel="1">
      <c r="A545" s="281" t="s">
        <v>736</v>
      </c>
      <c r="B545" s="213">
        <f ca="1">SUM(B543:B544)/DCF!$C$30</f>
        <v>1.184103277467339</v>
      </c>
      <c r="C545" s="283"/>
      <c r="D545" s="283"/>
      <c r="E545" s="283"/>
      <c r="F545" s="283"/>
      <c r="G545" s="283"/>
      <c r="H545" s="283"/>
      <c r="I545" s="283"/>
      <c r="J545" s="283"/>
      <c r="K545" s="283"/>
      <c r="L545" s="283"/>
      <c r="M545" s="256"/>
      <c r="N545" s="256"/>
      <c r="O545" s="256"/>
      <c r="P545" s="256"/>
      <c r="Q545" s="256"/>
    </row>
    <row r="546" spans="1:22" hidden="1" outlineLevel="1">
      <c r="A546" s="284" t="s">
        <v>737</v>
      </c>
      <c r="B546" s="285">
        <f ca="1">B545/DCF!$H$24</f>
        <v>1.1496148324925621</v>
      </c>
    </row>
    <row r="547" spans="1:22" hidden="1" outlineLevel="1"/>
    <row r="548" spans="1:22" hidden="1" outlineLevel="1">
      <c r="A548" s="265" t="s">
        <v>753</v>
      </c>
      <c r="B548" s="266">
        <v>2015</v>
      </c>
      <c r="C548" s="266">
        <v>2016</v>
      </c>
      <c r="D548" s="266">
        <v>2017</v>
      </c>
      <c r="E548" s="266">
        <v>2018</v>
      </c>
      <c r="F548" s="266">
        <v>2019</v>
      </c>
      <c r="G548" s="266">
        <v>2020</v>
      </c>
      <c r="H548" s="266">
        <v>2021</v>
      </c>
      <c r="I548" s="266">
        <v>2022</v>
      </c>
      <c r="J548" s="266">
        <v>2023</v>
      </c>
      <c r="K548" s="266">
        <v>2024</v>
      </c>
      <c r="L548" s="266">
        <v>2025</v>
      </c>
      <c r="M548" s="266">
        <v>2026</v>
      </c>
      <c r="N548" s="266">
        <v>2027</v>
      </c>
      <c r="O548" s="266">
        <v>2028</v>
      </c>
      <c r="P548" s="266">
        <v>2029</v>
      </c>
      <c r="Q548" s="267">
        <v>2030</v>
      </c>
      <c r="S548" s="256" t="s">
        <v>709</v>
      </c>
      <c r="T548" s="256" t="s">
        <v>710</v>
      </c>
      <c r="U548" s="256"/>
      <c r="V548" s="256"/>
    </row>
    <row r="549" spans="1:22" hidden="1" outlineLevel="1">
      <c r="A549" s="268" t="s">
        <v>729</v>
      </c>
      <c r="B549" s="269">
        <f>Sales!G295</f>
        <v>150</v>
      </c>
      <c r="C549" s="269">
        <f>Sales!H295</f>
        <v>149</v>
      </c>
      <c r="D549" s="269">
        <f>Sales!I295</f>
        <v>151</v>
      </c>
      <c r="E549" s="269">
        <f>Sales!J295</f>
        <v>166.1</v>
      </c>
      <c r="F549" s="269">
        <f>Sales!K295</f>
        <v>182.70999999999998</v>
      </c>
      <c r="G549" s="269">
        <f>Sales!L295</f>
        <v>197.32679999999999</v>
      </c>
      <c r="H549" s="269">
        <f>Sales!M295</f>
        <v>207.19314</v>
      </c>
      <c r="I549" s="269">
        <f>Sales!N295</f>
        <v>217.552797</v>
      </c>
      <c r="J549" s="269">
        <f>Sales!O295</f>
        <v>228.43043685000001</v>
      </c>
      <c r="K549" s="269">
        <f>Sales!P295</f>
        <v>239.85195869250001</v>
      </c>
      <c r="L549" s="269">
        <f>Sales!Q295</f>
        <v>191.88156695399999</v>
      </c>
      <c r="M549" s="269">
        <f>L549*(1+M550)</f>
        <v>191.88156695399999</v>
      </c>
      <c r="N549" s="269">
        <f>M549*(1+N550)</f>
        <v>189.96275128445998</v>
      </c>
      <c r="O549" s="269">
        <f>N549*(1+O550)</f>
        <v>188.06312377161538</v>
      </c>
      <c r="P549" s="269">
        <f>O549*(1+P550)</f>
        <v>186.18249253389922</v>
      </c>
      <c r="Q549" s="269">
        <f>P549*(1+Q550)</f>
        <v>184.32066760856023</v>
      </c>
      <c r="S549" s="213">
        <f>MAX(MAX(Sales!C295:W295),MAX(K549:Q549))</f>
        <v>239.85195869250001</v>
      </c>
      <c r="T549" s="256">
        <f>IFERROR(INDEX(Sales!$B$1:$Q$1,MATCH(NPV!S549,Sales!B295:Q295,0)),INDEX(C548:Q548,MATCH(NPV!S549,C549:Q549,0)))</f>
        <v>2024</v>
      </c>
      <c r="U549" s="256"/>
      <c r="V549" s="256"/>
    </row>
    <row r="550" spans="1:22" hidden="1" outlineLevel="1">
      <c r="A550" s="270" t="s">
        <v>579</v>
      </c>
      <c r="B550" s="271"/>
      <c r="C550" s="271">
        <f t="shared" ref="C550:H550" si="469">C549/B549-1</f>
        <v>-6.6666666666667096E-3</v>
      </c>
      <c r="D550" s="271">
        <f t="shared" si="469"/>
        <v>1.3422818791946289E-2</v>
      </c>
      <c r="E550" s="271">
        <f t="shared" si="469"/>
        <v>9.9999999999999867E-2</v>
      </c>
      <c r="F550" s="271">
        <f t="shared" si="469"/>
        <v>9.9999999999999867E-2</v>
      </c>
      <c r="G550" s="271">
        <f t="shared" si="469"/>
        <v>8.0000000000000071E-2</v>
      </c>
      <c r="H550" s="271">
        <f t="shared" si="469"/>
        <v>5.0000000000000044E-2</v>
      </c>
      <c r="I550" s="271">
        <f>I549/H549-1</f>
        <v>5.0000000000000044E-2</v>
      </c>
      <c r="J550" s="271">
        <f>J549/I549-1</f>
        <v>5.0000000000000044E-2</v>
      </c>
      <c r="K550" s="271">
        <f t="shared" ref="K550:L550" si="470">K549/J549-1</f>
        <v>5.0000000000000044E-2</v>
      </c>
      <c r="L550" s="271">
        <f t="shared" si="470"/>
        <v>-0.20000000000000007</v>
      </c>
      <c r="M550" s="272">
        <v>0</v>
      </c>
      <c r="N550" s="272">
        <v>-0.01</v>
      </c>
      <c r="O550" s="272">
        <v>-0.01</v>
      </c>
      <c r="P550" s="272">
        <v>-0.01</v>
      </c>
      <c r="Q550" s="272">
        <v>-0.01</v>
      </c>
      <c r="S550" s="256" t="s">
        <v>738</v>
      </c>
      <c r="T550" s="256"/>
      <c r="U550" s="256"/>
      <c r="V550" s="256"/>
    </row>
    <row r="551" spans="1:22" hidden="1" outlineLevel="1">
      <c r="A551" s="273" t="s">
        <v>730</v>
      </c>
      <c r="B551" s="274">
        <f t="shared" ref="B551:Q551" si="471">B549*B552</f>
        <v>24.545454545454572</v>
      </c>
      <c r="C551" s="274">
        <f t="shared" si="471"/>
        <v>29.122727272727296</v>
      </c>
      <c r="D551" s="274">
        <f t="shared" si="471"/>
        <v>34.318181818181841</v>
      </c>
      <c r="E551" s="274">
        <f t="shared" si="471"/>
        <v>43.035000000000018</v>
      </c>
      <c r="F551" s="274">
        <f t="shared" si="471"/>
        <v>53.152000000000015</v>
      </c>
      <c r="G551" s="274">
        <f t="shared" si="471"/>
        <v>63.68274000000001</v>
      </c>
      <c r="H551" s="274">
        <f t="shared" si="471"/>
        <v>73.459386000000009</v>
      </c>
      <c r="I551" s="274">
        <f t="shared" si="471"/>
        <v>84.054489750000016</v>
      </c>
      <c r="J551" s="274">
        <f t="shared" si="471"/>
        <v>95.525455410000006</v>
      </c>
      <c r="K551" s="274">
        <f t="shared" si="471"/>
        <v>107.93338141162501</v>
      </c>
      <c r="L551" s="274">
        <f t="shared" si="471"/>
        <v>76.7526267816</v>
      </c>
      <c r="M551" s="274">
        <f t="shared" si="471"/>
        <v>70.99617977298</v>
      </c>
      <c r="N551" s="274">
        <f t="shared" si="471"/>
        <v>64.587335436716387</v>
      </c>
      <c r="O551" s="274">
        <f t="shared" si="471"/>
        <v>63.941462082349233</v>
      </c>
      <c r="P551" s="274">
        <f t="shared" si="471"/>
        <v>63.302047461525738</v>
      </c>
      <c r="Q551" s="274">
        <f t="shared" si="471"/>
        <v>62.669026986910481</v>
      </c>
      <c r="S551" s="282">
        <f>IF(S549&gt;$X$39,$Z$39,$Z$40)</f>
        <v>-0.05</v>
      </c>
      <c r="T551" s="282">
        <f>IF(S549&gt;$X$39,$AA$39,$AA$40)</f>
        <v>-0.03</v>
      </c>
      <c r="U551" s="282">
        <f>IF(S549&gt;$X$39,$AB$39,$AB$40)</f>
        <v>-0.03</v>
      </c>
      <c r="V551" s="256"/>
    </row>
    <row r="552" spans="1:22" hidden="1" outlineLevel="1">
      <c r="A552" s="270" t="s">
        <v>580</v>
      </c>
      <c r="B552" s="286">
        <f>IF(B548-T549&gt;3,T554,IF(B548-T549=1,45%+S551,IF(B548-T549=2,A552+T551,IF(B548-T549=3,A552+U551,IF(B548-T549=0,T555,IF(T549-B548=U556+1,$AA$37,IF(T549-B548=U556+2,$Z$37,IF(B548&lt;T549,C552-(T555-$AB$37)/U556))))))))</f>
        <v>0.1636363636363638</v>
      </c>
      <c r="C552" s="286">
        <f>IF(C548-T549&gt;3,T554,IF(C548-T549=1,B552+S551,IF(C548-T549=2,B552+T551,IF(C548-T549=3,B552+U551,IF(C548-T549=0,T555,IF(T549-C548=U556+1,$AA$37,IF(T549-C548=U556+2,$Z$37,IF(C548&lt;T549,D552-(T555-$AB$37)/U556))))))))</f>
        <v>0.1954545454545456</v>
      </c>
      <c r="D552" s="286">
        <f>IF(D548-T549&gt;3,T554,IF(D548-T549=1,C552+S551,IF(D548-T549=2,C552+T551,IF(D548-T549=3,C552+U551,IF(D548-T549=0,T555,IF(T549-D548=U556+1,$AA$37,IF(T549-D548=U556+2,$Z$37,IF(D548&lt;T549,E552-(T555-$AB$37)/U556))))))))</f>
        <v>0.2272727272727274</v>
      </c>
      <c r="E552" s="286">
        <f>IF(E548-T549&gt;3,T554,IF(E548-T549=1,D552+S551,IF(E548-T549=2,D552+T551,IF(E548-T549=3,D552+U551,IF(E548-T549=0,T555,IF(T549-E548=U556+1,$AA$37,IF(T549-E548=U556+2,$Z$37,IF(E548&lt;T549,F552-(T555-$AB$37)/U556))))))))</f>
        <v>0.2590909090909092</v>
      </c>
      <c r="F552" s="286">
        <f>IF(F548-T549&gt;3,T554,IF(F548-T549=1,E552+S551,IF(F548-T549=2,E552+T551,IF(F548-T549=3,E552+U551,IF(F548-T549=0,T555,IF(T549-F548=U556+1,$AA$37,IF(T549-F548=U556+2,$Z$37,IF(F548&lt;T549,G552-(T555-$AB$37)/U556))))))))</f>
        <v>0.29090909090909101</v>
      </c>
      <c r="G552" s="286">
        <f>IF(G548-T549&gt;3,T554,IF(G548-T549=1,F552+S551,IF(G548-T549=2,F552+T551,IF(G548-T549=3,F552+U551,IF(G548-T549=0,T555,IF(T549-G548=U556+1,$AA$37,IF(T549-G548=U556+2,$Z$37,IF(G548&lt;T549,H552-(T555-$AB$37)/U556))))))))</f>
        <v>0.32272727272727281</v>
      </c>
      <c r="H552" s="286">
        <f>IF(H548-T549&gt;3,T554,IF(H548-T549=1,G552+S551,IF(H548-T549=2,G552+T551,IF(H548-T549=3,G552+U551,IF(H548-T549=0,T555,IF(T549-H548=U556+1,$AA$37,IF(T549-H548=U556+2,$Z$37,IF(H548&lt;T549,I552-(T555-$AB$37)/U556))))))))</f>
        <v>0.35454545454545461</v>
      </c>
      <c r="I552" s="286">
        <f>IF(I548-T549&gt;3,T554,IF(I548-T549=1,H552+S551,IF(I548-T549=2,H552+T551,IF(I548-T549=3,H552+U551,IF(I548-T549=0,T555,IF(T549-I548=U556+1,$AA$37,IF(T549-I548=U556+2,$Z$37,IF(I548&lt;T549,J552-(T555-$AB$37)/U556))))))))</f>
        <v>0.38636363636363641</v>
      </c>
      <c r="J552" s="286">
        <f>IF(J548-T549&gt;3,T554,IF(J548-T549=1,I552+S551,IF(J548-T549=2,I552+T551,IF(J548-T549=3,I552+U551,IF(J548-T549=0,T555,IF(T549-J548=U556+1,$AA$37,IF(T549-J548=U556+2,$Z$37,IF(J548&lt;T549,K552-(T555-$AB$37)/U556))))))))</f>
        <v>0.41818181818181821</v>
      </c>
      <c r="K552" s="286">
        <f>IF(K548-T549&gt;3,T554,IF(K548-T549=1,J552+S551,IF(K548-T549=2,J552+T551,IF(K548-T549=3,J552+U551,IF(K548-T549=0,T555,IF(T549-K548=U556+1,$AA$37,IF(T549-K548=U556+2,$Z$37,IF(K548&lt;T549,L552-(T555-$AB$37)/U556))))))))</f>
        <v>0.45</v>
      </c>
      <c r="L552" s="286">
        <f>IF(L548-T549&gt;3,T554,IF(L548-T549=1,K552+S551,IF(L548-T549=2,K552+T551,IF(L548-T549=3,K552+U551,IF(L548-T549=0,T555,IF(T549-L548=U556+1,$AA$37,IF(T549-L548=U556+2,$Z$37,IF(L548&lt;T549,M552-(T555-$AB$37)/U556))))))))</f>
        <v>0.4</v>
      </c>
      <c r="M552" s="286">
        <f>IF(M548-T549&gt;3,T554,IF(M548-T549=1,L552+S551,IF(M548-T549=2,L552+T551,IF(M548-T549=3,L552+U551,IF(M548-T549=0,T555,IF(T549-M548=U556+1,$AA$37,IF(T549-M548=U556+2,$Z$37,IF(M548&lt;T549,N552-(T555-$AB$37)/U556))))))))</f>
        <v>0.37</v>
      </c>
      <c r="N552" s="286">
        <f>IF(N548-T549&gt;3,T554,IF(N548-T549=1,M552+S551,IF(N548-T549=2,M552+T551,IF(N548-T549=3,M552+U551,IF(N548-T549=0,T555,IF(T549-N548=U556+1,$AA$37,IF(T549-N548=U556+2,$Z$37,IF(N548&lt;T549,O552-(T555-$AB$37)/U556))))))))</f>
        <v>0.33999999999999997</v>
      </c>
      <c r="O552" s="286">
        <f>IF(O548-T549&gt;3,T554,IF(O548-T549=1,N552+S551,IF(O548-T549=2,N552+T551,IF(O548-T549=3,N552+U551,IF(O548-T549=0,T555,IF(T549-O548=U556+1,$AA$37,IF(T549-O548=U556+2,$Z$37,IF(O548&lt;T549,P552-(T555-$AB$37)/U556))))))))</f>
        <v>0.34</v>
      </c>
      <c r="P552" s="286">
        <f>IF(P548-T549&gt;3,T554,IF(P548-T549=1,O552+S551,IF(P548-T549=2,O552+T551,IF(P548-T549=3,O552+U551,IF(P548-T549=0,T555,IF(T549-P548=U556+1,$AA$37,IF(T549-P548=U556+2,$Z$37,IF(P548&lt;T549,Q552-(T555-$AB$37)/U556))))))))</f>
        <v>0.34</v>
      </c>
      <c r="Q552" s="286">
        <f>IF(Q548-T549&gt;3,T554,IF(Q548-T549=1,P552+S551,IF(Q548-T549=2,P552+T551,IF(Q548-T549=3,P552+U551,IF(Q548-T549=0,T555,IF(T549-Q548=U556+1,$AA$37,IF(T549-Q548=U556+2,$Z$37,IF(Q548&lt;T549,R552-(T555-$AB$37)/U556))))))))</f>
        <v>0.34</v>
      </c>
      <c r="S552" s="287" t="s">
        <v>739</v>
      </c>
      <c r="T552" s="213">
        <f t="array" ref="T552">INDEX(Sales!B334:Q334,MATCH(FALSE,ISBLANK(Sales!B334:Q334),0))</f>
        <v>-0.09</v>
      </c>
      <c r="U552" s="256"/>
      <c r="V552" s="256"/>
    </row>
    <row r="553" spans="1:22" hidden="1" outlineLevel="1">
      <c r="A553" s="270" t="s">
        <v>731</v>
      </c>
      <c r="B553" s="213">
        <f>B551*B554</f>
        <v>3.572433101953401</v>
      </c>
      <c r="C553" s="213">
        <f t="shared" ref="C553:Q553" si="472">C551*C554</f>
        <v>4.3766111357662272</v>
      </c>
      <c r="D553" s="213">
        <f t="shared" si="472"/>
        <v>5.2475220748313154</v>
      </c>
      <c r="E553" s="213">
        <f t="shared" si="472"/>
        <v>6.8856000000000028</v>
      </c>
      <c r="F553" s="213">
        <f t="shared" si="472"/>
        <v>8.5043200000000034</v>
      </c>
      <c r="G553" s="213">
        <f t="shared" si="472"/>
        <v>10.189238400000002</v>
      </c>
      <c r="H553" s="213">
        <f t="shared" si="472"/>
        <v>11.753501760000002</v>
      </c>
      <c r="I553" s="213">
        <f t="shared" si="472"/>
        <v>13.448718360000003</v>
      </c>
      <c r="J553" s="213">
        <f t="shared" si="472"/>
        <v>15.284072865600001</v>
      </c>
      <c r="K553" s="213">
        <f t="shared" si="472"/>
        <v>17.269341025860001</v>
      </c>
      <c r="L553" s="213">
        <f t="shared" si="472"/>
        <v>12.280420285056</v>
      </c>
      <c r="M553" s="213">
        <f t="shared" si="472"/>
        <v>11.359388763676801</v>
      </c>
      <c r="N553" s="213">
        <f t="shared" si="472"/>
        <v>10.333973669874622</v>
      </c>
      <c r="O553" s="213">
        <f t="shared" si="472"/>
        <v>10.230633933175877</v>
      </c>
      <c r="P553" s="213">
        <f t="shared" si="472"/>
        <v>10.128327593844118</v>
      </c>
      <c r="Q553" s="213">
        <f t="shared" si="472"/>
        <v>10.027044317905677</v>
      </c>
      <c r="S553" s="287" t="s">
        <v>740</v>
      </c>
      <c r="T553" s="256">
        <f>IFERROR(INDEX(Sales!$B$1:$Q$1,MATCH(NPV!T552,Sales!B334:Q334,0)),INDEX(C548:Q548,MATCH(NPV!T552,C549:Q549,0)))</f>
        <v>2011</v>
      </c>
      <c r="U553" s="256"/>
      <c r="V553" s="256"/>
    </row>
    <row r="554" spans="1:22" hidden="1" outlineLevel="1">
      <c r="A554" s="270" t="s">
        <v>635</v>
      </c>
      <c r="B554" s="196">
        <f>'P&amp;L'!G$120</f>
        <v>0.1455435708203236</v>
      </c>
      <c r="C554" s="196">
        <f>'P&amp;L'!H$120</f>
        <v>0.15028163725122043</v>
      </c>
      <c r="D554" s="196">
        <f>'P&amp;L'!I$120</f>
        <v>0.15290792800832961</v>
      </c>
      <c r="E554" s="196">
        <f>'P&amp;L'!J$120</f>
        <v>0.16</v>
      </c>
      <c r="F554" s="196">
        <f>'P&amp;L'!K$120</f>
        <v>0.16</v>
      </c>
      <c r="G554" s="196">
        <f>'P&amp;L'!L$120</f>
        <v>0.16</v>
      </c>
      <c r="H554" s="196">
        <f>'P&amp;L'!M$120</f>
        <v>0.16</v>
      </c>
      <c r="I554" s="196">
        <f>'P&amp;L'!N$120</f>
        <v>0.16</v>
      </c>
      <c r="J554" s="196">
        <f>'P&amp;L'!O$120</f>
        <v>0.16</v>
      </c>
      <c r="K554" s="196">
        <f>'P&amp;L'!P$120</f>
        <v>0.16</v>
      </c>
      <c r="L554" s="196">
        <f>'P&amp;L'!Q$120</f>
        <v>0.16</v>
      </c>
      <c r="M554" s="196">
        <f t="shared" ref="M554" si="473">L554</f>
        <v>0.16</v>
      </c>
      <c r="N554" s="196">
        <f t="shared" ref="N554" si="474">M554</f>
        <v>0.16</v>
      </c>
      <c r="O554" s="196">
        <f t="shared" ref="O554" si="475">N554</f>
        <v>0.16</v>
      </c>
      <c r="P554" s="196">
        <f t="shared" ref="P554" si="476">O554</f>
        <v>0.16</v>
      </c>
      <c r="Q554" s="196">
        <f t="shared" ref="Q554" si="477">P554</f>
        <v>0.16</v>
      </c>
      <c r="S554" s="287" t="s">
        <v>741</v>
      </c>
      <c r="T554" s="288">
        <f>IF(Q548-T549&gt;3,IF(AND(S549&lt;$X$42,S549&lt;$X$43,S549&lt;$X$44),$AA$45,IF(AND(S549&lt;$X$42,S549&lt;$X$43),$AA$44,IF(S549&lt;$X$42,$AA$43,$AA$42))))</f>
        <v>0.34</v>
      </c>
      <c r="U554" s="256"/>
      <c r="V554" s="256"/>
    </row>
    <row r="555" spans="1:22" hidden="1" outlineLevel="1">
      <c r="A555" s="256" t="s">
        <v>732</v>
      </c>
      <c r="B555" s="213">
        <f>B551-B553</f>
        <v>20.973021443501171</v>
      </c>
      <c r="C555" s="213">
        <f t="shared" ref="C555:Q555" si="478">C551-C553</f>
        <v>24.746116136961071</v>
      </c>
      <c r="D555" s="213">
        <f t="shared" si="478"/>
        <v>29.070659743350525</v>
      </c>
      <c r="E555" s="213">
        <f t="shared" si="478"/>
        <v>36.149400000000014</v>
      </c>
      <c r="F555" s="213">
        <f t="shared" si="478"/>
        <v>44.647680000000008</v>
      </c>
      <c r="G555" s="213">
        <f t="shared" si="478"/>
        <v>53.493501600000009</v>
      </c>
      <c r="H555" s="213">
        <f t="shared" si="478"/>
        <v>61.705884240000003</v>
      </c>
      <c r="I555" s="213">
        <f t="shared" si="478"/>
        <v>70.605771390000015</v>
      </c>
      <c r="J555" s="213">
        <f t="shared" si="478"/>
        <v>80.241382544400011</v>
      </c>
      <c r="K555" s="213">
        <f t="shared" si="478"/>
        <v>90.664040385765006</v>
      </c>
      <c r="L555" s="213">
        <f t="shared" si="478"/>
        <v>64.472206496544004</v>
      </c>
      <c r="M555" s="213">
        <f t="shared" si="478"/>
        <v>59.636791009303195</v>
      </c>
      <c r="N555" s="213">
        <f t="shared" si="478"/>
        <v>54.253361766841763</v>
      </c>
      <c r="O555" s="213">
        <f t="shared" si="478"/>
        <v>53.710828149173352</v>
      </c>
      <c r="P555" s="213">
        <f t="shared" si="478"/>
        <v>53.173719867681619</v>
      </c>
      <c r="Q555" s="213">
        <f t="shared" si="478"/>
        <v>52.641982669004804</v>
      </c>
      <c r="S555" s="287" t="s">
        <v>742</v>
      </c>
      <c r="T555" s="288">
        <f>IF(S549&gt;$X$42,$Z$42,IF(S549&gt;$X$43,$Z$43,IF(S549&gt;$X$44,$Z$44,$Z$45)))</f>
        <v>0.45</v>
      </c>
      <c r="U555" s="256"/>
      <c r="V555" s="256"/>
    </row>
    <row r="556" spans="1:22" hidden="1" outlineLevel="1">
      <c r="A556" s="270" t="s">
        <v>607</v>
      </c>
      <c r="B556" s="277">
        <f>B555</f>
        <v>20.973021443501171</v>
      </c>
      <c r="C556" s="277">
        <f t="shared" ref="C556:Q556" si="479">C555</f>
        <v>24.746116136961071</v>
      </c>
      <c r="D556" s="277">
        <f t="shared" si="479"/>
        <v>29.070659743350525</v>
      </c>
      <c r="E556" s="277">
        <f t="shared" si="479"/>
        <v>36.149400000000014</v>
      </c>
      <c r="F556" s="277">
        <f t="shared" si="479"/>
        <v>44.647680000000008</v>
      </c>
      <c r="G556" s="277">
        <f t="shared" si="479"/>
        <v>53.493501600000009</v>
      </c>
      <c r="H556" s="277">
        <f t="shared" si="479"/>
        <v>61.705884240000003</v>
      </c>
      <c r="I556" s="277">
        <f t="shared" si="479"/>
        <v>70.605771390000015</v>
      </c>
      <c r="J556" s="277">
        <f t="shared" si="479"/>
        <v>80.241382544400011</v>
      </c>
      <c r="K556" s="277">
        <f t="shared" si="479"/>
        <v>90.664040385765006</v>
      </c>
      <c r="L556" s="277">
        <f t="shared" si="479"/>
        <v>64.472206496544004</v>
      </c>
      <c r="M556" s="277">
        <f t="shared" si="479"/>
        <v>59.636791009303195</v>
      </c>
      <c r="N556" s="277">
        <f t="shared" si="479"/>
        <v>54.253361766841763</v>
      </c>
      <c r="O556" s="277">
        <f t="shared" si="479"/>
        <v>53.710828149173352</v>
      </c>
      <c r="P556" s="277">
        <f t="shared" si="479"/>
        <v>53.173719867681619</v>
      </c>
      <c r="Q556" s="277">
        <f t="shared" si="479"/>
        <v>52.641982669004804</v>
      </c>
      <c r="S556" s="287" t="s">
        <v>743</v>
      </c>
      <c r="T556" s="256">
        <f>T549-T553</f>
        <v>13</v>
      </c>
      <c r="U556" s="256">
        <f>T556-2</f>
        <v>11</v>
      </c>
      <c r="V556" s="256"/>
    </row>
    <row r="557" spans="1:22" hidden="1" outlineLevel="1">
      <c r="A557" s="279" t="s">
        <v>733</v>
      </c>
      <c r="B557" s="280">
        <f t="shared" ref="B557:Q557" si="480">B556*B$45</f>
        <v>0</v>
      </c>
      <c r="C557" s="280">
        <f t="shared" si="480"/>
        <v>0</v>
      </c>
      <c r="D557" s="280">
        <f t="shared" si="480"/>
        <v>0</v>
      </c>
      <c r="E557" s="280">
        <f t="shared" ca="1" si="480"/>
        <v>34.416395849043688</v>
      </c>
      <c r="F557" s="280">
        <f t="shared" ca="1" si="480"/>
        <v>39.631740295567084</v>
      </c>
      <c r="G557" s="280">
        <f t="shared" ca="1" si="480"/>
        <v>44.27160074586768</v>
      </c>
      <c r="H557" s="280">
        <f t="shared" ca="1" si="480"/>
        <v>47.613568291633932</v>
      </c>
      <c r="I557" s="280">
        <f t="shared" ca="1" si="480"/>
        <v>50.795390530657549</v>
      </c>
      <c r="J557" s="280">
        <f t="shared" ca="1" si="480"/>
        <v>53.822325206672637</v>
      </c>
      <c r="K557" s="280">
        <f t="shared" ca="1" si="480"/>
        <v>56.699479747589869</v>
      </c>
      <c r="L557" s="280">
        <f t="shared" ca="1" si="480"/>
        <v>37.592091594615034</v>
      </c>
      <c r="M557" s="280">
        <f t="shared" ca="1" si="480"/>
        <v>32.42038549927765</v>
      </c>
      <c r="N557" s="280">
        <f t="shared" ca="1" si="480"/>
        <v>27.49859557285999</v>
      </c>
      <c r="O557" s="280">
        <f t="shared" ca="1" si="480"/>
        <v>25.381989496894168</v>
      </c>
      <c r="P557" s="280">
        <f t="shared" ca="1" si="480"/>
        <v>23.428301605929658</v>
      </c>
      <c r="Q557" s="280">
        <f t="shared" ca="1" si="480"/>
        <v>21.624991855172333</v>
      </c>
      <c r="S557" s="289" t="s">
        <v>744</v>
      </c>
      <c r="T557" s="288">
        <f>VLOOKUP(S557,$Y$32:$AB$34,2,0)</f>
        <v>-0.7</v>
      </c>
      <c r="U557" s="288">
        <f>VLOOKUP(S557,$Y$32:$AB$34,3,0)</f>
        <v>-0.35</v>
      </c>
      <c r="V557" s="288">
        <f>VLOOKUP(S557,$Y$32:$AB$34,4,0)</f>
        <v>-0.1</v>
      </c>
    </row>
    <row r="558" spans="1:22" hidden="1" outlineLevel="1">
      <c r="A558" s="270" t="s">
        <v>734</v>
      </c>
      <c r="B558" s="213">
        <f ca="1">SUM(B557:Q557)</f>
        <v>495.19685629178127</v>
      </c>
      <c r="C558" s="277"/>
      <c r="D558" s="277"/>
      <c r="E558" s="277"/>
      <c r="F558" s="277"/>
      <c r="G558" s="277"/>
      <c r="H558" s="277"/>
      <c r="I558" s="277"/>
      <c r="J558" s="277"/>
      <c r="K558" s="277"/>
      <c r="L558" s="277"/>
      <c r="M558" s="277"/>
      <c r="N558" s="256"/>
      <c r="O558" s="256"/>
      <c r="P558" s="256"/>
      <c r="Q558" s="256"/>
    </row>
    <row r="559" spans="1:22" hidden="1" outlineLevel="1">
      <c r="A559" s="281" t="s">
        <v>735</v>
      </c>
      <c r="B559" s="213">
        <f ca="1">(Q556*(1+C559))/(DCF!$H$31-NPV!C559)*NPV!$Q$45</f>
        <v>167.62714683634209</v>
      </c>
      <c r="C559" s="612">
        <v>-0.05</v>
      </c>
      <c r="D559" s="277"/>
      <c r="E559" s="277"/>
      <c r="F559" s="277"/>
      <c r="G559" s="277"/>
      <c r="H559" s="277"/>
      <c r="I559" s="277"/>
      <c r="J559" s="277"/>
      <c r="K559" s="277"/>
      <c r="L559" s="277"/>
      <c r="M559" s="277"/>
      <c r="N559" s="256"/>
      <c r="O559" s="256"/>
      <c r="P559" s="256"/>
      <c r="Q559" s="256"/>
    </row>
    <row r="560" spans="1:22" hidden="1" outlineLevel="1">
      <c r="A560" s="281" t="s">
        <v>736</v>
      </c>
      <c r="B560" s="213">
        <f ca="1">SUM(B558:B559)/DCF!$C$30</f>
        <v>0.28253367567268689</v>
      </c>
      <c r="C560" s="283"/>
      <c r="D560" s="283"/>
      <c r="E560" s="283"/>
      <c r="F560" s="283"/>
      <c r="G560" s="283"/>
      <c r="H560" s="283"/>
      <c r="I560" s="283"/>
      <c r="J560" s="283"/>
      <c r="K560" s="283"/>
      <c r="L560" s="283"/>
      <c r="M560" s="256"/>
      <c r="N560" s="256"/>
      <c r="O560" s="256"/>
      <c r="P560" s="256"/>
      <c r="Q560" s="256"/>
    </row>
    <row r="561" spans="1:22" hidden="1" outlineLevel="1">
      <c r="A561" s="284" t="s">
        <v>737</v>
      </c>
      <c r="B561" s="285">
        <f ca="1">B560/DCF!$H$24</f>
        <v>0.27430453948804551</v>
      </c>
    </row>
    <row r="562" spans="1:22" hidden="1" outlineLevel="1"/>
    <row r="563" spans="1:22" hidden="1" outlineLevel="1">
      <c r="A563" s="265" t="s">
        <v>754</v>
      </c>
      <c r="B563" s="266">
        <v>2015</v>
      </c>
      <c r="C563" s="266">
        <v>2016</v>
      </c>
      <c r="D563" s="266">
        <v>2017</v>
      </c>
      <c r="E563" s="266">
        <v>2018</v>
      </c>
      <c r="F563" s="266">
        <v>2019</v>
      </c>
      <c r="G563" s="266">
        <v>2020</v>
      </c>
      <c r="H563" s="266">
        <v>2021</v>
      </c>
      <c r="I563" s="266">
        <v>2022</v>
      </c>
      <c r="J563" s="266">
        <v>2023</v>
      </c>
      <c r="K563" s="266">
        <v>2024</v>
      </c>
      <c r="L563" s="266">
        <v>2025</v>
      </c>
      <c r="M563" s="266">
        <v>2026</v>
      </c>
      <c r="N563" s="266">
        <v>2027</v>
      </c>
      <c r="O563" s="266">
        <v>2028</v>
      </c>
      <c r="P563" s="266">
        <v>2029</v>
      </c>
      <c r="Q563" s="267">
        <v>2030</v>
      </c>
      <c r="S563" s="256" t="s">
        <v>709</v>
      </c>
      <c r="T563" s="256" t="s">
        <v>710</v>
      </c>
      <c r="U563" s="256"/>
      <c r="V563" s="256"/>
    </row>
    <row r="564" spans="1:22" hidden="1" outlineLevel="1">
      <c r="A564" s="268" t="s">
        <v>729</v>
      </c>
      <c r="B564" s="269">
        <f>Sales!G292</f>
        <v>166</v>
      </c>
      <c r="C564" s="269">
        <f>Sales!H292</f>
        <v>143</v>
      </c>
      <c r="D564" s="269">
        <f>Sales!I292</f>
        <v>112</v>
      </c>
      <c r="E564" s="269">
        <f>Sales!J292</f>
        <v>100.8</v>
      </c>
      <c r="F564" s="269">
        <f>Sales!K292</f>
        <v>100.8</v>
      </c>
      <c r="G564" s="269">
        <f>Sales!L292</f>
        <v>100.8</v>
      </c>
      <c r="H564" s="269">
        <f>Sales!M292</f>
        <v>100.8</v>
      </c>
      <c r="I564" s="269">
        <f>Sales!N292</f>
        <v>100.8</v>
      </c>
      <c r="J564" s="269">
        <f>Sales!O292</f>
        <v>100.8</v>
      </c>
      <c r="K564" s="269">
        <f>Sales!P292</f>
        <v>95.759999999999991</v>
      </c>
      <c r="L564" s="269">
        <f>Sales!Q292</f>
        <v>86.183999999999997</v>
      </c>
      <c r="M564" s="269">
        <f>L564*(1+M565)</f>
        <v>86.183999999999997</v>
      </c>
      <c r="N564" s="269">
        <f>M564*(1+N565)</f>
        <v>85.322159999999997</v>
      </c>
      <c r="O564" s="269">
        <f>N564*(1+O565)</f>
        <v>84.468938399999999</v>
      </c>
      <c r="P564" s="269">
        <f>O564*(1+P565)</f>
        <v>83.624249015999993</v>
      </c>
      <c r="Q564" s="269">
        <f>P564*(1+Q565)</f>
        <v>82.78800652583999</v>
      </c>
      <c r="S564" s="213">
        <f>MAX(MAX(Sales!C292:W292),MAX(K564:Q564))</f>
        <v>220</v>
      </c>
      <c r="T564" s="256">
        <f>IFERROR(INDEX(Sales!$B$1:$Q$1,MATCH(NPV!S564,Sales!B292:Q292,0)),INDEX(C563:Q563,MATCH(NPV!S564,C564:Q564,0)))</f>
        <v>2014</v>
      </c>
      <c r="U564" s="256"/>
      <c r="V564" s="256"/>
    </row>
    <row r="565" spans="1:22" hidden="1" outlineLevel="1">
      <c r="A565" s="270" t="s">
        <v>579</v>
      </c>
      <c r="B565" s="271"/>
      <c r="C565" s="271">
        <f t="shared" ref="C565:H565" si="481">C564/B564-1</f>
        <v>-0.13855421686746983</v>
      </c>
      <c r="D565" s="271">
        <f t="shared" si="481"/>
        <v>-0.21678321678321677</v>
      </c>
      <c r="E565" s="271">
        <f t="shared" si="481"/>
        <v>-9.9999999999999978E-2</v>
      </c>
      <c r="F565" s="271">
        <f t="shared" si="481"/>
        <v>0</v>
      </c>
      <c r="G565" s="271">
        <f t="shared" si="481"/>
        <v>0</v>
      </c>
      <c r="H565" s="271">
        <f t="shared" si="481"/>
        <v>0</v>
      </c>
      <c r="I565" s="271">
        <f>I564/H564-1</f>
        <v>0</v>
      </c>
      <c r="J565" s="271">
        <f>J564/I564-1</f>
        <v>0</v>
      </c>
      <c r="K565" s="271">
        <f t="shared" ref="K565:L565" si="482">K564/J564-1</f>
        <v>-5.0000000000000044E-2</v>
      </c>
      <c r="L565" s="271">
        <f t="shared" si="482"/>
        <v>-9.9999999999999978E-2</v>
      </c>
      <c r="M565" s="272">
        <v>0</v>
      </c>
      <c r="N565" s="272">
        <v>-0.01</v>
      </c>
      <c r="O565" s="272">
        <v>-0.01</v>
      </c>
      <c r="P565" s="272">
        <v>-0.01</v>
      </c>
      <c r="Q565" s="272">
        <v>-0.01</v>
      </c>
      <c r="S565" s="256" t="s">
        <v>738</v>
      </c>
      <c r="T565" s="256"/>
      <c r="U565" s="256"/>
      <c r="V565" s="256"/>
    </row>
    <row r="566" spans="1:22" hidden="1" outlineLevel="1">
      <c r="A566" s="273" t="s">
        <v>730</v>
      </c>
      <c r="B566" s="274">
        <f t="shared" ref="B566:Q566" si="483">B564*B567</f>
        <v>66.400000000000006</v>
      </c>
      <c r="C566" s="274">
        <f t="shared" si="483"/>
        <v>52.91</v>
      </c>
      <c r="D566" s="274">
        <f t="shared" si="483"/>
        <v>38.08</v>
      </c>
      <c r="E566" s="274">
        <f t="shared" si="483"/>
        <v>34.271999999999998</v>
      </c>
      <c r="F566" s="274">
        <f t="shared" si="483"/>
        <v>34.271999999999998</v>
      </c>
      <c r="G566" s="274">
        <f t="shared" si="483"/>
        <v>34.271999999999998</v>
      </c>
      <c r="H566" s="274">
        <f t="shared" si="483"/>
        <v>34.271999999999998</v>
      </c>
      <c r="I566" s="274">
        <f t="shared" si="483"/>
        <v>34.271999999999998</v>
      </c>
      <c r="J566" s="274">
        <f t="shared" si="483"/>
        <v>34.271999999999998</v>
      </c>
      <c r="K566" s="274">
        <f t="shared" si="483"/>
        <v>32.558399999999999</v>
      </c>
      <c r="L566" s="274">
        <f t="shared" si="483"/>
        <v>29.30256</v>
      </c>
      <c r="M566" s="274">
        <f t="shared" si="483"/>
        <v>29.30256</v>
      </c>
      <c r="N566" s="274">
        <f t="shared" si="483"/>
        <v>29.0095344</v>
      </c>
      <c r="O566" s="274">
        <f t="shared" si="483"/>
        <v>28.719439056000002</v>
      </c>
      <c r="P566" s="274">
        <f t="shared" si="483"/>
        <v>28.432244665439999</v>
      </c>
      <c r="Q566" s="274">
        <f t="shared" si="483"/>
        <v>28.147922218785599</v>
      </c>
      <c r="S566" s="282">
        <f>IF(S564&gt;$X$39,$Z$39,$Z$40)</f>
        <v>-0.05</v>
      </c>
      <c r="T566" s="282">
        <f>IF(S564&gt;$X$39,$AA$39,$AA$40)</f>
        <v>-0.03</v>
      </c>
      <c r="U566" s="282">
        <f>IF(S564&gt;$X$39,$AB$39,$AB$40)</f>
        <v>-0.03</v>
      </c>
      <c r="V566" s="256"/>
    </row>
    <row r="567" spans="1:22" hidden="1" outlineLevel="1">
      <c r="A567" s="270" t="s">
        <v>580</v>
      </c>
      <c r="B567" s="286">
        <f>IF(B563-T564&gt;3,T569,IF(B563-T564=1,45%+S566,IF(B563-T564=2,37%+T566,IF(B563-T564=3,A567+U566,IF(B563-T564=0,T570,IF(T564-B563=U571+1,$AA$37,IF(T564-B563=U571+2,$Z$37,IF(B563&lt;T564,C567-(T570-$AB$37)/U571))))))))</f>
        <v>0.4</v>
      </c>
      <c r="C567" s="286">
        <f>IF(C563-T564&gt;3,T569,IF(C563-T564=1,B567+S566,IF(C563-T564=2,B567+T566,IF(C563-T564=3,B567+U566,IF(C563-T564=0,T570,IF(T564-C563=U571+1,$AA$37,IF(T564-C563=U571+2,$Z$37,IF(C563&lt;T564,D567-(T570-$AB$37)/U571))))))))</f>
        <v>0.37</v>
      </c>
      <c r="D567" s="286">
        <f>IF(D563-T564&gt;3,T569,IF(D563-T564=1,C567+S566,IF(D563-T564=2,C567+T566,IF(D563-T564=3,C567+U566,IF(D563-T564=0,T570,IF(T564-D563=U571+1,$AA$37,IF(T564-D563=U571+2,$Z$37,IF(D563&lt;T564,E567-(T570-$AB$37)/U571))))))))</f>
        <v>0.33999999999999997</v>
      </c>
      <c r="E567" s="286">
        <f>IF(E563-T564&gt;3,T569,IF(E563-T564=1,D567+S566,IF(E563-T564=2,D567+T566,IF(E563-T564=3,D567+U566,IF(E563-T564=0,T570,IF(T564-E563=U571+1,$AA$37,IF(T564-E563=U571+2,$Z$37,IF(E563&lt;T564,F567-(T570-$AB$37)/U571))))))))</f>
        <v>0.34</v>
      </c>
      <c r="F567" s="286">
        <f>IF(F563-T564&gt;3,T569,IF(F563-T564=1,E567+S566,IF(F563-T564=2,E567+T566,IF(F563-T564=3,E567+U566,IF(F563-T564=0,T570,IF(T564-F563=U571+1,$AA$37,IF(T564-F563=U571+2,$Z$37,IF(F563&lt;T564,G567-(T570-$AB$37)/U571))))))))</f>
        <v>0.34</v>
      </c>
      <c r="G567" s="286">
        <f>IF(G563-T564&gt;3,T569,IF(G563-T564=1,F567+S566,IF(G563-T564=2,F567+T566,IF(G563-T564=3,F567+U566,IF(G563-T564=0,T570,IF(T564-G563=U571+1,$AA$37,IF(T564-G563=U571+2,$Z$37,IF(G563&lt;T564,H567-(T570-$AB$37)/U571))))))))</f>
        <v>0.34</v>
      </c>
      <c r="H567" s="286">
        <f>IF(H563-T564&gt;3,T569,IF(H563-T564=1,G567+S566,IF(H563-T564=2,G567+T566,IF(H563-T564=3,G567+U566,IF(H563-T564=0,T570,IF(T564-H563=U571+1,$AA$37,IF(T564-H563=U571+2,$Z$37,IF(H563&lt;T564,I567-(T570-$AB$37)/U571))))))))</f>
        <v>0.34</v>
      </c>
      <c r="I567" s="286">
        <f>IF(I563-T564&gt;3,T569,IF(I563-T564=1,H567+S566,IF(I563-T564=2,H567+T566,IF(I563-T564=3,H567+U566,IF(I563-T564=0,T570,IF(T564-I563=U571+1,$AA$37,IF(T564-I563=U571+2,$Z$37,IF(I563&lt;T564,J567-(T570-$AB$37)/U571))))))))</f>
        <v>0.34</v>
      </c>
      <c r="J567" s="286">
        <f>IF(J563-T564&gt;3,T569,IF(J563-T564=1,I567+S566,IF(J563-T564=2,I567+T566,IF(J563-T564=3,I567+U566,IF(J563-T564=0,T570,IF(T564-J563=U571+1,$AA$37,IF(T564-J563=U571+2,$Z$37,IF(J563&lt;T564,K567-(T570-$AB$37)/U571))))))))</f>
        <v>0.34</v>
      </c>
      <c r="K567" s="286">
        <f>IF(K563-T564&gt;3,T569,IF(K563-T564=1,J567+S566,IF(K563-T564=2,J567+T566,IF(K563-T564=3,J567+U566,IF(K563-T564=0,T570,IF(T564-K563=U571+1,$AA$37,IF(T564-K563=U571+2,$Z$37,IF(K563&lt;T564,L567-(T570-$AB$37)/U571))))))))</f>
        <v>0.34</v>
      </c>
      <c r="L567" s="286">
        <f>IF(L563-T564&gt;3,T569,IF(L563-T564=1,K567+S566,IF(L563-T564=2,K567+T566,IF(L563-T564=3,K567+U566,IF(L563-T564=0,T570,IF(T564-L563=U571+1,$AA$37,IF(T564-L563=U571+2,$Z$37,IF(L563&lt;T564,M567-(T570-$AB$37)/U571))))))))</f>
        <v>0.34</v>
      </c>
      <c r="M567" s="286">
        <f>IF(M563-T564&gt;3,T569,IF(M563-T564=1,L567+S566,IF(M563-T564=2,L567+T566,IF(M563-T564=3,L567+U566,IF(M563-T564=0,T570,IF(T564-M563=U571+1,$AA$37,IF(T564-M563=U571+2,$Z$37,IF(M563&lt;T564,N567-(T570-$AB$37)/U571))))))))</f>
        <v>0.34</v>
      </c>
      <c r="N567" s="286">
        <f>IF(N563-T564&gt;3,T569,IF(N563-T564=1,M567+S566,IF(N563-T564=2,M567+T566,IF(N563-T564=3,M567+U566,IF(N563-T564=0,T570,IF(T564-N563=U571+1,$AA$37,IF(T564-N563=U571+2,$Z$37,IF(N563&lt;T564,O567-(T570-$AB$37)/U571))))))))</f>
        <v>0.34</v>
      </c>
      <c r="O567" s="286">
        <f>IF(O563-T564&gt;3,T569,IF(O563-T564=1,N567+S566,IF(O563-T564=2,N567+T566,IF(O563-T564=3,N567+U566,IF(O563-T564=0,T570,IF(T564-O563=U571+1,$AA$37,IF(T564-O563=U571+2,$Z$37,IF(O563&lt;T564,P567-(T570-$AB$37)/U571))))))))</f>
        <v>0.34</v>
      </c>
      <c r="P567" s="286">
        <f>IF(P563-T564&gt;3,T569,IF(P563-T564=1,O567+S566,IF(P563-T564=2,O567+T566,IF(P563-T564=3,O567+U566,IF(P563-T564=0,T570,IF(T564-P563=U571+1,$AA$37,IF(T564-P563=U571+2,$Z$37,IF(P563&lt;T564,Q567-(T570-$AB$37)/U571))))))))</f>
        <v>0.34</v>
      </c>
      <c r="Q567" s="286">
        <f>IF(Q563-T564&gt;3,T569,IF(Q563-T564=1,P567+S566,IF(Q563-T564=2,P567+T566,IF(Q563-T564=3,P567+U566,IF(Q563-T564=0,T570,IF(T564-Q563=U571+1,$AA$37,IF(T564-Q563=U571+2,$Z$37,IF(Q563&lt;T564,R567-(T570-$AB$37)/U571))))))))</f>
        <v>0.34</v>
      </c>
      <c r="S567" s="287" t="s">
        <v>739</v>
      </c>
      <c r="T567" s="213">
        <f t="array" ref="T567">INDEX(Sales!B292:Q292,MATCH(FALSE,ISBLANK(Sales!B292:Q292),0))</f>
        <v>33</v>
      </c>
      <c r="U567" s="256"/>
      <c r="V567" s="256"/>
    </row>
    <row r="568" spans="1:22" hidden="1" outlineLevel="1">
      <c r="A568" s="270" t="s">
        <v>731</v>
      </c>
      <c r="B568" s="213">
        <f>B566*B569</f>
        <v>9.6640931024694883</v>
      </c>
      <c r="C568" s="213">
        <f t="shared" ref="C568:Q568" si="484">C566*C569</f>
        <v>7.9514014269620725</v>
      </c>
      <c r="D568" s="213">
        <f t="shared" si="484"/>
        <v>5.8227338985571917</v>
      </c>
      <c r="E568" s="213">
        <f t="shared" si="484"/>
        <v>5.4835199999999995</v>
      </c>
      <c r="F568" s="213">
        <f t="shared" si="484"/>
        <v>5.4835199999999995</v>
      </c>
      <c r="G568" s="213">
        <f t="shared" si="484"/>
        <v>5.4835199999999995</v>
      </c>
      <c r="H568" s="213">
        <f t="shared" si="484"/>
        <v>5.4835199999999995</v>
      </c>
      <c r="I568" s="213">
        <f t="shared" si="484"/>
        <v>5.4835199999999995</v>
      </c>
      <c r="J568" s="213">
        <f t="shared" si="484"/>
        <v>5.4835199999999995</v>
      </c>
      <c r="K568" s="213">
        <f t="shared" si="484"/>
        <v>5.2093439999999998</v>
      </c>
      <c r="L568" s="213">
        <f t="shared" si="484"/>
        <v>4.6884096</v>
      </c>
      <c r="M568" s="213">
        <f t="shared" si="484"/>
        <v>4.6884096</v>
      </c>
      <c r="N568" s="213">
        <f t="shared" si="484"/>
        <v>4.6415255039999996</v>
      </c>
      <c r="O568" s="213">
        <f t="shared" si="484"/>
        <v>4.5951102489600002</v>
      </c>
      <c r="P568" s="213">
        <f t="shared" si="484"/>
        <v>4.5491591464703998</v>
      </c>
      <c r="Q568" s="213">
        <f t="shared" si="484"/>
        <v>4.5036675550056957</v>
      </c>
      <c r="S568" s="287" t="s">
        <v>740</v>
      </c>
      <c r="T568" s="256">
        <f>IFERROR(INDEX(Sales!$B$1:$Q$1,MATCH(NPV!T567,Sales!B292:Q292,0)),INDEX(C563:Q563,MATCH(NPV!T567,C564:Q564,0)))</f>
        <v>2010</v>
      </c>
      <c r="U568" s="256"/>
      <c r="V568" s="256"/>
    </row>
    <row r="569" spans="1:22" hidden="1" outlineLevel="1">
      <c r="A569" s="270" t="s">
        <v>635</v>
      </c>
      <c r="B569" s="196">
        <f>'P&amp;L'!G$120</f>
        <v>0.1455435708203236</v>
      </c>
      <c r="C569" s="196">
        <f>'P&amp;L'!H$120</f>
        <v>0.15028163725122043</v>
      </c>
      <c r="D569" s="196">
        <f>'P&amp;L'!I$120</f>
        <v>0.15290792800832961</v>
      </c>
      <c r="E569" s="196">
        <f>'P&amp;L'!J$120</f>
        <v>0.16</v>
      </c>
      <c r="F569" s="196">
        <f>'P&amp;L'!K$120</f>
        <v>0.16</v>
      </c>
      <c r="G569" s="196">
        <f>'P&amp;L'!L$120</f>
        <v>0.16</v>
      </c>
      <c r="H569" s="196">
        <f>'P&amp;L'!M$120</f>
        <v>0.16</v>
      </c>
      <c r="I569" s="196">
        <f>'P&amp;L'!N$120</f>
        <v>0.16</v>
      </c>
      <c r="J569" s="196">
        <f>'P&amp;L'!O$120</f>
        <v>0.16</v>
      </c>
      <c r="K569" s="196">
        <f>'P&amp;L'!P$120</f>
        <v>0.16</v>
      </c>
      <c r="L569" s="196">
        <f>'P&amp;L'!Q$120</f>
        <v>0.16</v>
      </c>
      <c r="M569" s="196">
        <f t="shared" ref="M569" si="485">L569</f>
        <v>0.16</v>
      </c>
      <c r="N569" s="196">
        <f t="shared" ref="N569" si="486">M569</f>
        <v>0.16</v>
      </c>
      <c r="O569" s="196">
        <f t="shared" ref="O569" si="487">N569</f>
        <v>0.16</v>
      </c>
      <c r="P569" s="196">
        <f t="shared" ref="P569" si="488">O569</f>
        <v>0.16</v>
      </c>
      <c r="Q569" s="196">
        <f t="shared" ref="Q569" si="489">P569</f>
        <v>0.16</v>
      </c>
      <c r="S569" s="287" t="s">
        <v>741</v>
      </c>
      <c r="T569" s="288">
        <f>IF(Q563-T564&gt;3,IF(AND(S564&lt;$X$42,S564&lt;$X$43,S564&lt;$X$44),$AA$45,IF(AND(S564&lt;$X$42,S564&lt;$X$43),$AA$44,IF(S564&lt;$X$42,$AA$43,$AA$42))))</f>
        <v>0.34</v>
      </c>
      <c r="U569" s="256"/>
      <c r="V569" s="256"/>
    </row>
    <row r="570" spans="1:22" hidden="1" outlineLevel="1">
      <c r="A570" s="256" t="s">
        <v>732</v>
      </c>
      <c r="B570" s="213">
        <f>B566-B568</f>
        <v>56.735906897530519</v>
      </c>
      <c r="C570" s="213">
        <f t="shared" ref="C570:Q570" si="490">C566-C568</f>
        <v>44.958598573037925</v>
      </c>
      <c r="D570" s="213">
        <f t="shared" si="490"/>
        <v>32.257266101442809</v>
      </c>
      <c r="E570" s="213">
        <f t="shared" si="490"/>
        <v>28.78848</v>
      </c>
      <c r="F570" s="213">
        <f t="shared" si="490"/>
        <v>28.78848</v>
      </c>
      <c r="G570" s="213">
        <f t="shared" si="490"/>
        <v>28.78848</v>
      </c>
      <c r="H570" s="213">
        <f t="shared" si="490"/>
        <v>28.78848</v>
      </c>
      <c r="I570" s="213">
        <f t="shared" si="490"/>
        <v>28.78848</v>
      </c>
      <c r="J570" s="213">
        <f t="shared" si="490"/>
        <v>28.78848</v>
      </c>
      <c r="K570" s="213">
        <f t="shared" si="490"/>
        <v>27.349055999999997</v>
      </c>
      <c r="L570" s="213">
        <f t="shared" si="490"/>
        <v>24.6141504</v>
      </c>
      <c r="M570" s="213">
        <f t="shared" si="490"/>
        <v>24.6141504</v>
      </c>
      <c r="N570" s="213">
        <f t="shared" si="490"/>
        <v>24.368008895999999</v>
      </c>
      <c r="O570" s="213">
        <f t="shared" si="490"/>
        <v>24.124328807040001</v>
      </c>
      <c r="P570" s="213">
        <f t="shared" si="490"/>
        <v>23.883085518969601</v>
      </c>
      <c r="Q570" s="213">
        <f t="shared" si="490"/>
        <v>23.644254663779904</v>
      </c>
      <c r="S570" s="287" t="s">
        <v>742</v>
      </c>
      <c r="T570" s="288">
        <f>IF(S564&gt;$X$42,$Z$42,IF(S564&gt;$X$43,$Z$43,IF(S564&gt;$X$44,$Z$44,$Z$45)))</f>
        <v>0.45</v>
      </c>
      <c r="U570" s="256"/>
      <c r="V570" s="256"/>
    </row>
    <row r="571" spans="1:22" hidden="1" outlineLevel="1">
      <c r="A571" s="270" t="s">
        <v>607</v>
      </c>
      <c r="B571" s="277">
        <f>B570</f>
        <v>56.735906897530519</v>
      </c>
      <c r="C571" s="277">
        <f t="shared" ref="C571:Q571" si="491">C570</f>
        <v>44.958598573037925</v>
      </c>
      <c r="D571" s="277">
        <f t="shared" si="491"/>
        <v>32.257266101442809</v>
      </c>
      <c r="E571" s="277">
        <f t="shared" si="491"/>
        <v>28.78848</v>
      </c>
      <c r="F571" s="277">
        <f t="shared" si="491"/>
        <v>28.78848</v>
      </c>
      <c r="G571" s="277">
        <f t="shared" si="491"/>
        <v>28.78848</v>
      </c>
      <c r="H571" s="277">
        <f t="shared" si="491"/>
        <v>28.78848</v>
      </c>
      <c r="I571" s="277">
        <f t="shared" si="491"/>
        <v>28.78848</v>
      </c>
      <c r="J571" s="277">
        <f t="shared" si="491"/>
        <v>28.78848</v>
      </c>
      <c r="K571" s="277">
        <f t="shared" si="491"/>
        <v>27.349055999999997</v>
      </c>
      <c r="L571" s="277">
        <f t="shared" si="491"/>
        <v>24.6141504</v>
      </c>
      <c r="M571" s="277">
        <f t="shared" si="491"/>
        <v>24.6141504</v>
      </c>
      <c r="N571" s="277">
        <f t="shared" si="491"/>
        <v>24.368008895999999</v>
      </c>
      <c r="O571" s="277">
        <f t="shared" si="491"/>
        <v>24.124328807040001</v>
      </c>
      <c r="P571" s="277">
        <f t="shared" si="491"/>
        <v>23.883085518969601</v>
      </c>
      <c r="Q571" s="277">
        <f t="shared" si="491"/>
        <v>23.644254663779904</v>
      </c>
      <c r="S571" s="287" t="s">
        <v>743</v>
      </c>
      <c r="T571" s="256">
        <f>T564-T568</f>
        <v>4</v>
      </c>
      <c r="U571" s="256">
        <f>T571-2</f>
        <v>2</v>
      </c>
      <c r="V571" s="256"/>
    </row>
    <row r="572" spans="1:22" hidden="1" outlineLevel="1">
      <c r="A572" s="279" t="s">
        <v>733</v>
      </c>
      <c r="B572" s="280">
        <f t="shared" ref="B572:Q572" si="492">B571*B$45</f>
        <v>0</v>
      </c>
      <c r="C572" s="280">
        <f t="shared" si="492"/>
        <v>0</v>
      </c>
      <c r="D572" s="280">
        <f t="shared" si="492"/>
        <v>0</v>
      </c>
      <c r="E572" s="280">
        <f t="shared" ca="1" si="492"/>
        <v>27.408358743776571</v>
      </c>
      <c r="F572" s="280">
        <f t="shared" ca="1" si="492"/>
        <v>25.55424073242164</v>
      </c>
      <c r="G572" s="280">
        <f t="shared" ca="1" si="492"/>
        <v>23.825549917644512</v>
      </c>
      <c r="H572" s="280">
        <f t="shared" ca="1" si="492"/>
        <v>22.213801412536689</v>
      </c>
      <c r="I572" s="280">
        <f t="shared" ca="1" si="492"/>
        <v>20.711084315001688</v>
      </c>
      <c r="J572" s="280">
        <f t="shared" ca="1" si="492"/>
        <v>19.310022878885789</v>
      </c>
      <c r="K572" s="280">
        <f t="shared" ca="1" si="492"/>
        <v>17.103553296210368</v>
      </c>
      <c r="L572" s="280">
        <f t="shared" ca="1" si="492"/>
        <v>14.351880393763635</v>
      </c>
      <c r="M572" s="280">
        <f t="shared" ca="1" si="492"/>
        <v>13.38100577176785</v>
      </c>
      <c r="N572" s="280">
        <f t="shared" ca="1" si="492"/>
        <v>12.351050694825284</v>
      </c>
      <c r="O572" s="280">
        <f t="shared" ca="1" si="492"/>
        <v>11.400372727437359</v>
      </c>
      <c r="P572" s="280">
        <f t="shared" ca="1" si="492"/>
        <v>10.522869797542846</v>
      </c>
      <c r="Q572" s="280">
        <f t="shared" ca="1" si="492"/>
        <v>9.7129095182601173</v>
      </c>
      <c r="S572" s="289" t="s">
        <v>744</v>
      </c>
      <c r="T572" s="288">
        <f>VLOOKUP(S572,$Y$32:$AB$34,2,0)</f>
        <v>-0.7</v>
      </c>
      <c r="U572" s="288">
        <f>VLOOKUP(S572,$Y$32:$AB$34,3,0)</f>
        <v>-0.35</v>
      </c>
      <c r="V572" s="288">
        <f>VLOOKUP(S572,$Y$32:$AB$34,4,0)</f>
        <v>-0.1</v>
      </c>
    </row>
    <row r="573" spans="1:22" hidden="1" outlineLevel="1">
      <c r="A573" s="270" t="s">
        <v>734</v>
      </c>
      <c r="B573" s="213">
        <f ca="1">SUM(B572:Q572)</f>
        <v>227.84670020007437</v>
      </c>
      <c r="C573" s="277"/>
      <c r="D573" s="277"/>
      <c r="E573" s="277"/>
      <c r="F573" s="277"/>
      <c r="G573" s="277"/>
      <c r="H573" s="277"/>
      <c r="I573" s="277"/>
      <c r="J573" s="277"/>
      <c r="K573" s="277"/>
      <c r="L573" s="277"/>
      <c r="M573" s="277"/>
      <c r="N573" s="256"/>
      <c r="O573" s="256"/>
      <c r="P573" s="256"/>
      <c r="Q573" s="256"/>
    </row>
    <row r="574" spans="1:22" hidden="1" outlineLevel="1">
      <c r="A574" s="281" t="s">
        <v>735</v>
      </c>
      <c r="B574" s="213">
        <f ca="1">(Q571*(1+C574))/(DCF!$H$31-NPV!C574)*NPV!$Q$45</f>
        <v>75.290077375731713</v>
      </c>
      <c r="C574" s="612">
        <v>-0.05</v>
      </c>
      <c r="D574" s="277"/>
      <c r="E574" s="277"/>
      <c r="F574" s="277"/>
      <c r="G574" s="277"/>
      <c r="H574" s="277"/>
      <c r="I574" s="277"/>
      <c r="J574" s="277"/>
      <c r="K574" s="277"/>
      <c r="L574" s="277"/>
      <c r="M574" s="277"/>
      <c r="N574" s="256"/>
      <c r="O574" s="256"/>
      <c r="P574" s="256"/>
      <c r="Q574" s="256"/>
    </row>
    <row r="575" spans="1:22" hidden="1" outlineLevel="1">
      <c r="A575" s="281" t="s">
        <v>736</v>
      </c>
      <c r="B575" s="213">
        <f ca="1">SUM(B573:B574)/DCF!$C$30</f>
        <v>0.12921431269215947</v>
      </c>
      <c r="C575" s="283"/>
      <c r="D575" s="283"/>
      <c r="E575" s="283"/>
      <c r="F575" s="283"/>
      <c r="G575" s="283"/>
      <c r="H575" s="283"/>
      <c r="I575" s="283"/>
      <c r="J575" s="283"/>
      <c r="K575" s="283"/>
      <c r="L575" s="283"/>
      <c r="M575" s="256"/>
      <c r="N575" s="256"/>
      <c r="O575" s="256"/>
      <c r="P575" s="256"/>
      <c r="Q575" s="256"/>
    </row>
    <row r="576" spans="1:22" hidden="1" outlineLevel="1">
      <c r="A576" s="284" t="s">
        <v>737</v>
      </c>
      <c r="B576" s="285">
        <f ca="1">B575/DCF!$H$24</f>
        <v>0.12545078902151405</v>
      </c>
    </row>
    <row r="577" spans="1:22" hidden="1" outlineLevel="1"/>
    <row r="578" spans="1:22" hidden="1" outlineLevel="1">
      <c r="A578" s="265" t="s">
        <v>755</v>
      </c>
      <c r="B578" s="266">
        <v>2015</v>
      </c>
      <c r="C578" s="266">
        <v>2016</v>
      </c>
      <c r="D578" s="266">
        <v>2017</v>
      </c>
      <c r="E578" s="266">
        <v>2018</v>
      </c>
      <c r="F578" s="266">
        <v>2019</v>
      </c>
      <c r="G578" s="266">
        <v>2020</v>
      </c>
      <c r="H578" s="266">
        <v>2021</v>
      </c>
      <c r="I578" s="266">
        <v>2022</v>
      </c>
      <c r="J578" s="266">
        <v>2023</v>
      </c>
      <c r="K578" s="266">
        <v>2024</v>
      </c>
      <c r="L578" s="266">
        <v>2025</v>
      </c>
      <c r="M578" s="266">
        <v>2026</v>
      </c>
      <c r="N578" s="266">
        <v>2027</v>
      </c>
      <c r="O578" s="266">
        <v>2028</v>
      </c>
      <c r="P578" s="266">
        <v>2029</v>
      </c>
      <c r="Q578" s="267">
        <v>2030</v>
      </c>
      <c r="S578" s="256" t="s">
        <v>709</v>
      </c>
      <c r="T578" s="256" t="s">
        <v>710</v>
      </c>
      <c r="U578" s="256"/>
      <c r="V578" s="256"/>
    </row>
    <row r="579" spans="1:22" hidden="1" outlineLevel="1">
      <c r="A579" s="268" t="s">
        <v>729</v>
      </c>
      <c r="B579" s="269">
        <f>Sales!G312</f>
        <v>263</v>
      </c>
      <c r="C579" s="269">
        <f>Sales!H312</f>
        <v>31</v>
      </c>
      <c r="D579" s="269">
        <f>Sales!I312</f>
        <v>23</v>
      </c>
      <c r="E579" s="269">
        <f>Sales!J312</f>
        <v>20.7</v>
      </c>
      <c r="F579" s="269">
        <f>Sales!K312</f>
        <v>18.63</v>
      </c>
      <c r="G579" s="269">
        <f>Sales!L312</f>
        <v>16.766999999999999</v>
      </c>
      <c r="H579" s="269">
        <f>Sales!M312</f>
        <v>15.090299999999999</v>
      </c>
      <c r="I579" s="269">
        <f>Sales!N312</f>
        <v>13.58127</v>
      </c>
      <c r="J579" s="269">
        <f>Sales!O312</f>
        <v>12.223143</v>
      </c>
      <c r="K579" s="269">
        <f>Sales!P312</f>
        <v>11.0008287</v>
      </c>
      <c r="L579" s="269">
        <f>Sales!Q312</f>
        <v>9.90074583</v>
      </c>
      <c r="M579" s="269">
        <f>L579*(1+M580)</f>
        <v>9.90074583</v>
      </c>
      <c r="N579" s="269">
        <f>M579*(1+N580)</f>
        <v>9.90074583</v>
      </c>
      <c r="O579" s="269">
        <f>N579*(1+O580)</f>
        <v>9.90074583</v>
      </c>
      <c r="P579" s="269">
        <f>O579*(1+P580)</f>
        <v>9.90074583</v>
      </c>
      <c r="Q579" s="269">
        <f>P579*(1+Q580)</f>
        <v>9.90074583</v>
      </c>
      <c r="S579" s="213">
        <f>MAX(MAX(Sales!C312:W312),MAX(K579:Q579))</f>
        <v>327</v>
      </c>
      <c r="T579" s="256">
        <f>IFERROR(INDEX(Sales!$B$1:$Q$1,MATCH(NPV!S579,Sales!B312:Q312,0)),INDEX(C578:Q578,MATCH(NPV!S579,C579:Q579,0)))</f>
        <v>2014</v>
      </c>
      <c r="U579" s="256"/>
      <c r="V579" s="256"/>
    </row>
    <row r="580" spans="1:22" hidden="1" outlineLevel="1">
      <c r="A580" s="270" t="s">
        <v>579</v>
      </c>
      <c r="B580" s="271"/>
      <c r="C580" s="271">
        <f t="shared" ref="C580:H580" si="493">C579/B579-1</f>
        <v>-0.88212927756653992</v>
      </c>
      <c r="D580" s="271">
        <f t="shared" si="493"/>
        <v>-0.25806451612903225</v>
      </c>
      <c r="E580" s="271">
        <f t="shared" si="493"/>
        <v>-9.9999999999999978E-2</v>
      </c>
      <c r="F580" s="271">
        <f t="shared" si="493"/>
        <v>-9.9999999999999978E-2</v>
      </c>
      <c r="G580" s="271">
        <f t="shared" si="493"/>
        <v>-9.9999999999999978E-2</v>
      </c>
      <c r="H580" s="271">
        <f t="shared" si="493"/>
        <v>-9.9999999999999978E-2</v>
      </c>
      <c r="I580" s="271">
        <f>I579/H579-1</f>
        <v>-9.9999999999999978E-2</v>
      </c>
      <c r="J580" s="271">
        <f>J579/I579-1</f>
        <v>-9.9999999999999978E-2</v>
      </c>
      <c r="K580" s="271">
        <f t="shared" ref="K580:L580" si="494">K579/J579-1</f>
        <v>-0.10000000000000009</v>
      </c>
      <c r="L580" s="271">
        <f t="shared" si="494"/>
        <v>-9.9999999999999978E-2</v>
      </c>
      <c r="M580" s="272">
        <v>0</v>
      </c>
      <c r="N580" s="272">
        <v>0</v>
      </c>
      <c r="O580" s="272">
        <v>0</v>
      </c>
      <c r="P580" s="272">
        <v>0</v>
      </c>
      <c r="Q580" s="272">
        <v>0</v>
      </c>
      <c r="S580" s="256" t="s">
        <v>738</v>
      </c>
      <c r="T580" s="256"/>
      <c r="U580" s="256"/>
      <c r="V580" s="256"/>
    </row>
    <row r="581" spans="1:22" hidden="1" outlineLevel="1">
      <c r="A581" s="273" t="s">
        <v>730</v>
      </c>
      <c r="B581" s="274">
        <f t="shared" ref="B581:Q581" si="495">B579*B582</f>
        <v>105.2</v>
      </c>
      <c r="C581" s="274">
        <f t="shared" si="495"/>
        <v>11.47</v>
      </c>
      <c r="D581" s="274">
        <f t="shared" si="495"/>
        <v>7.8199999999999994</v>
      </c>
      <c r="E581" s="274">
        <f t="shared" si="495"/>
        <v>7.0380000000000003</v>
      </c>
      <c r="F581" s="274">
        <f t="shared" si="495"/>
        <v>6.3342000000000001</v>
      </c>
      <c r="G581" s="274">
        <f t="shared" si="495"/>
        <v>5.70078</v>
      </c>
      <c r="H581" s="274">
        <f t="shared" si="495"/>
        <v>5.1307020000000003</v>
      </c>
      <c r="I581" s="274">
        <f t="shared" si="495"/>
        <v>4.6176318000000007</v>
      </c>
      <c r="J581" s="274">
        <f t="shared" si="495"/>
        <v>4.1558686200000006</v>
      </c>
      <c r="K581" s="274">
        <f t="shared" si="495"/>
        <v>3.7402817580000001</v>
      </c>
      <c r="L581" s="274">
        <f t="shared" si="495"/>
        <v>3.3662535822000001</v>
      </c>
      <c r="M581" s="274">
        <f t="shared" si="495"/>
        <v>3.3662535822000001</v>
      </c>
      <c r="N581" s="274">
        <f t="shared" si="495"/>
        <v>3.3662535822000001</v>
      </c>
      <c r="O581" s="274">
        <f t="shared" si="495"/>
        <v>3.3662535822000001</v>
      </c>
      <c r="P581" s="274">
        <f t="shared" si="495"/>
        <v>3.3662535822000001</v>
      </c>
      <c r="Q581" s="274">
        <f t="shared" si="495"/>
        <v>3.3662535822000001</v>
      </c>
      <c r="S581" s="282">
        <f>IF(S579&gt;$X$39,$Z$39,$Z$40)</f>
        <v>-0.05</v>
      </c>
      <c r="T581" s="282">
        <f>IF(S579&gt;$X$39,$AA$39,$AA$40)</f>
        <v>-0.03</v>
      </c>
      <c r="U581" s="282">
        <f>IF(S579&gt;$X$39,$AB$39,$AB$40)</f>
        <v>-0.03</v>
      </c>
      <c r="V581" s="256"/>
    </row>
    <row r="582" spans="1:22" hidden="1" outlineLevel="1">
      <c r="A582" s="270" t="s">
        <v>580</v>
      </c>
      <c r="B582" s="286">
        <f>IF(B578-T579&gt;3,T584,IF(B578-T579=1,45%+S581,IF(B578-T579=2,37%+T581,IF(B578-T579=3,A582+U581,IF(B578-T579=0,T585,IF(T579-B578=U586+1,$AA$37,IF(T579-B578=U586+2,$Z$37,IF(B578&lt;T579,C582-(T585-$AB$37)/U586))))))))</f>
        <v>0.4</v>
      </c>
      <c r="C582" s="286">
        <f>IF(C578-T579&gt;3,T584,IF(C578-T579=1,B582+S581,IF(C578-T579=2,B582+T581,IF(C578-T579=3,B582+U581,IF(C578-T579=0,T585,IF(T579-C578=U586+1,$AA$37,IF(T579-C578=U586+2,$Z$37,IF(C578&lt;T579,D582-(T585-$AB$37)/U586))))))))</f>
        <v>0.37</v>
      </c>
      <c r="D582" s="286">
        <f>IF(D578-T579&gt;3,T584,IF(D578-T579=1,C582+S581,IF(D578-T579=2,C582+T581,IF(D578-T579=3,C582+U581,IF(D578-T579=0,T585,IF(T579-D578=U586+1,$AA$37,IF(T579-D578=U586+2,$Z$37,IF(D578&lt;T579,E582-(T585-$AB$37)/U586))))))))</f>
        <v>0.33999999999999997</v>
      </c>
      <c r="E582" s="286">
        <f>IF(E578-T579&gt;3,T584,IF(E578-T579=1,D582+S581,IF(E578-T579=2,D582+T581,IF(E578-T579=3,D582+U581,IF(E578-T579=0,T585,IF(T579-E578=U586+1,$AA$37,IF(T579-E578=U586+2,$Z$37,IF(E578&lt;T579,F582-(T585-$AB$37)/U586))))))))</f>
        <v>0.34</v>
      </c>
      <c r="F582" s="286">
        <f>IF(F578-T579&gt;3,T584,IF(F578-T579=1,E582+S581,IF(F578-T579=2,E582+T581,IF(F578-T579=3,E582+U581,IF(F578-T579=0,T585,IF(T579-F578=U586+1,$AA$37,IF(T579-F578=U586+2,$Z$37,IF(F578&lt;T579,G582-(T585-$AB$37)/U586))))))))</f>
        <v>0.34</v>
      </c>
      <c r="G582" s="286">
        <f>IF(G578-T579&gt;3,T584,IF(G578-T579=1,F582+S581,IF(G578-T579=2,F582+T581,IF(G578-T579=3,F582+U581,IF(G578-T579=0,T585,IF(T579-G578=U586+1,$AA$37,IF(T579-G578=U586+2,$Z$37,IF(G578&lt;T579,H582-(T585-$AB$37)/U586))))))))</f>
        <v>0.34</v>
      </c>
      <c r="H582" s="286">
        <f>IF(H578-T579&gt;3,T584,IF(H578-T579=1,G582+S581,IF(H578-T579=2,G582+T581,IF(H578-T579=3,G582+U581,IF(H578-T579=0,T585,IF(T579-H578=U586+1,$AA$37,IF(T579-H578=U586+2,$Z$37,IF(H578&lt;T579,I582-(T585-$AB$37)/U586))))))))</f>
        <v>0.34</v>
      </c>
      <c r="I582" s="286">
        <f>IF(I578-T579&gt;3,T584,IF(I578-T579=1,H582+S581,IF(I578-T579=2,H582+T581,IF(I578-T579=3,H582+U581,IF(I578-T579=0,T585,IF(T579-I578=U586+1,$AA$37,IF(T579-I578=U586+2,$Z$37,IF(I578&lt;T579,J582-(T585-$AB$37)/U586))))))))</f>
        <v>0.34</v>
      </c>
      <c r="J582" s="286">
        <f>IF(J578-T579&gt;3,T584,IF(J578-T579=1,I582+S581,IF(J578-T579=2,I582+T581,IF(J578-T579=3,I582+U581,IF(J578-T579=0,T585,IF(T579-J578=U586+1,$AA$37,IF(T579-J578=U586+2,$Z$37,IF(J578&lt;T579,K582-(T585-$AB$37)/U586))))))))</f>
        <v>0.34</v>
      </c>
      <c r="K582" s="286">
        <f>IF(K578-T579&gt;3,T584,IF(K578-T579=1,J582+S581,IF(K578-T579=2,J582+T581,IF(K578-T579=3,J582+U581,IF(K578-T579=0,T585,IF(T579-K578=U586+1,$AA$37,IF(T579-K578=U586+2,$Z$37,IF(K578&lt;T579,L582-(T585-$AB$37)/U586))))))))</f>
        <v>0.34</v>
      </c>
      <c r="L582" s="286">
        <f>IF(L578-T579&gt;3,T584,IF(L578-T579=1,K582+S581,IF(L578-T579=2,K582+T581,IF(L578-T579=3,K582+U581,IF(L578-T579=0,T585,IF(T579-L578=U586+1,$AA$37,IF(T579-L578=U586+2,$Z$37,IF(L578&lt;T579,M582-(T585-$AB$37)/U586))))))))</f>
        <v>0.34</v>
      </c>
      <c r="M582" s="286">
        <f>IF(M578-T579&gt;3,T584,IF(M578-T579=1,L582+S581,IF(M578-T579=2,L582+T581,IF(M578-T579=3,L582+U581,IF(M578-T579=0,T585,IF(T579-M578=U586+1,$AA$37,IF(T579-M578=U586+2,$Z$37,IF(M578&lt;T579,N582-(T585-$AB$37)/U586))))))))</f>
        <v>0.34</v>
      </c>
      <c r="N582" s="286">
        <f>IF(N578-T579&gt;3,T584,IF(N578-T579=1,M582+S581,IF(N578-T579=2,M582+T581,IF(N578-T579=3,M582+U581,IF(N578-T579=0,T585,IF(T579-N578=U586+1,$AA$37,IF(T579-N578=U586+2,$Z$37,IF(N578&lt;T579,O582-(T585-$AB$37)/U586))))))))</f>
        <v>0.34</v>
      </c>
      <c r="O582" s="286">
        <f>IF(O578-T579&gt;3,T584,IF(O578-T579=1,N582+S581,IF(O578-T579=2,N582+T581,IF(O578-T579=3,N582+U581,IF(O578-T579=0,T585,IF(T579-O578=U586+1,$AA$37,IF(T579-O578=U586+2,$Z$37,IF(O578&lt;T579,P582-(T585-$AB$37)/U586))))))))</f>
        <v>0.34</v>
      </c>
      <c r="P582" s="286">
        <f>IF(P578-T579&gt;3,T584,IF(P578-T579=1,O582+S581,IF(P578-T579=2,O582+T581,IF(P578-T579=3,O582+U581,IF(P578-T579=0,T585,IF(T579-P578=U586+1,$AA$37,IF(T579-P578=U586+2,$Z$37,IF(P578&lt;T579,Q582-(T585-$AB$37)/U586))))))))</f>
        <v>0.34</v>
      </c>
      <c r="Q582" s="286">
        <f>IF(Q578-T579&gt;3,T584,IF(Q578-T579=1,P582+S581,IF(Q578-T579=2,P582+T581,IF(Q578-T579=3,P582+U581,IF(Q578-T579=0,T585,IF(T579-Q578=U586+1,$AA$37,IF(T579-Q578=U586+2,$Z$37,IF(Q578&lt;T579,R582-(T585-$AB$37)/U586))))))))</f>
        <v>0.34</v>
      </c>
      <c r="S582" s="287" t="s">
        <v>739</v>
      </c>
      <c r="T582" s="213">
        <f t="array" ref="T582">INDEX(Sales!B312:Q312,MATCH(FALSE,ISBLANK(Sales!B312:Q312),0))</f>
        <v>327</v>
      </c>
      <c r="U582" s="256"/>
      <c r="V582" s="256"/>
    </row>
    <row r="583" spans="1:22" hidden="1" outlineLevel="1">
      <c r="A583" s="270" t="s">
        <v>731</v>
      </c>
      <c r="B583" s="213">
        <f>B581*B584</f>
        <v>15.311183650298043</v>
      </c>
      <c r="C583" s="213">
        <f t="shared" ref="C583:Q583" si="496">C581*C584</f>
        <v>1.7237303792714984</v>
      </c>
      <c r="D583" s="213">
        <f t="shared" si="496"/>
        <v>1.1957399970251374</v>
      </c>
      <c r="E583" s="213">
        <f t="shared" si="496"/>
        <v>1.12608</v>
      </c>
      <c r="F583" s="213">
        <f t="shared" si="496"/>
        <v>1.0134719999999999</v>
      </c>
      <c r="G583" s="213">
        <f t="shared" si="496"/>
        <v>0.91212479999999996</v>
      </c>
      <c r="H583" s="213">
        <f t="shared" si="496"/>
        <v>0.82091232000000003</v>
      </c>
      <c r="I583" s="213">
        <f t="shared" si="496"/>
        <v>0.73882108800000013</v>
      </c>
      <c r="J583" s="213">
        <f t="shared" si="496"/>
        <v>0.66493897920000011</v>
      </c>
      <c r="K583" s="213">
        <f t="shared" si="496"/>
        <v>0.59844508128000007</v>
      </c>
      <c r="L583" s="213">
        <f t="shared" si="496"/>
        <v>0.53860057315200005</v>
      </c>
      <c r="M583" s="213">
        <f t="shared" si="496"/>
        <v>0.53860057315200005</v>
      </c>
      <c r="N583" s="213">
        <f t="shared" si="496"/>
        <v>0.53860057315200005</v>
      </c>
      <c r="O583" s="213">
        <f t="shared" si="496"/>
        <v>0.53860057315200005</v>
      </c>
      <c r="P583" s="213">
        <f t="shared" si="496"/>
        <v>0.53860057315200005</v>
      </c>
      <c r="Q583" s="213">
        <f t="shared" si="496"/>
        <v>0.53860057315200005</v>
      </c>
      <c r="S583" s="287" t="s">
        <v>740</v>
      </c>
      <c r="T583" s="256">
        <f>IFERROR(INDEX(Sales!$B$1:$Q$1,MATCH(NPV!T582,Sales!B312:Q312,0)),INDEX(C578:Q578,MATCH(NPV!T582,C579:Q579,0)))</f>
        <v>2014</v>
      </c>
      <c r="U583" s="256"/>
      <c r="V583" s="256"/>
    </row>
    <row r="584" spans="1:22" hidden="1" outlineLevel="1">
      <c r="A584" s="270" t="s">
        <v>635</v>
      </c>
      <c r="B584" s="196">
        <f>'P&amp;L'!G$120</f>
        <v>0.1455435708203236</v>
      </c>
      <c r="C584" s="196">
        <f>'P&amp;L'!H$120</f>
        <v>0.15028163725122043</v>
      </c>
      <c r="D584" s="196">
        <f>'P&amp;L'!I$120</f>
        <v>0.15290792800832961</v>
      </c>
      <c r="E584" s="196">
        <f>'P&amp;L'!J$120</f>
        <v>0.16</v>
      </c>
      <c r="F584" s="196">
        <f>'P&amp;L'!K$120</f>
        <v>0.16</v>
      </c>
      <c r="G584" s="196">
        <f>'P&amp;L'!L$120</f>
        <v>0.16</v>
      </c>
      <c r="H584" s="196">
        <f>'P&amp;L'!M$120</f>
        <v>0.16</v>
      </c>
      <c r="I584" s="196">
        <f>'P&amp;L'!N$120</f>
        <v>0.16</v>
      </c>
      <c r="J584" s="196">
        <f>'P&amp;L'!O$120</f>
        <v>0.16</v>
      </c>
      <c r="K584" s="196">
        <f>'P&amp;L'!P$120</f>
        <v>0.16</v>
      </c>
      <c r="L584" s="196">
        <f>'P&amp;L'!Q$120</f>
        <v>0.16</v>
      </c>
      <c r="M584" s="196">
        <f t="shared" ref="M584" si="497">L584</f>
        <v>0.16</v>
      </c>
      <c r="N584" s="196">
        <f t="shared" ref="N584" si="498">M584</f>
        <v>0.16</v>
      </c>
      <c r="O584" s="196">
        <f t="shared" ref="O584" si="499">N584</f>
        <v>0.16</v>
      </c>
      <c r="P584" s="196">
        <f t="shared" ref="P584" si="500">O584</f>
        <v>0.16</v>
      </c>
      <c r="Q584" s="196">
        <f t="shared" ref="Q584" si="501">P584</f>
        <v>0.16</v>
      </c>
      <c r="S584" s="287" t="s">
        <v>741</v>
      </c>
      <c r="T584" s="288">
        <f>IF(Q578-T579&gt;3,IF(AND(S579&lt;$X$42,S579&lt;$X$43,S579&lt;$X$44),$AA$45,IF(AND(S579&lt;$X$42,S579&lt;$X$43),$AA$44,IF(S579&lt;$X$42,$AA$43,$AA$42))))</f>
        <v>0.34</v>
      </c>
      <c r="U584" s="256"/>
      <c r="V584" s="256"/>
    </row>
    <row r="585" spans="1:22" hidden="1" outlineLevel="1">
      <c r="A585" s="256" t="s">
        <v>732</v>
      </c>
      <c r="B585" s="213">
        <f>B581-B583</f>
        <v>89.888816349701955</v>
      </c>
      <c r="C585" s="213">
        <f t="shared" ref="C585:Q585" si="502">C581-C583</f>
        <v>9.7462696207285013</v>
      </c>
      <c r="D585" s="213">
        <f t="shared" si="502"/>
        <v>6.6242600029748617</v>
      </c>
      <c r="E585" s="213">
        <f t="shared" si="502"/>
        <v>5.9119200000000003</v>
      </c>
      <c r="F585" s="213">
        <f t="shared" si="502"/>
        <v>5.3207279999999999</v>
      </c>
      <c r="G585" s="213">
        <f t="shared" si="502"/>
        <v>4.7886552</v>
      </c>
      <c r="H585" s="213">
        <f t="shared" si="502"/>
        <v>4.3097896800000006</v>
      </c>
      <c r="I585" s="213">
        <f t="shared" si="502"/>
        <v>3.8788107120000008</v>
      </c>
      <c r="J585" s="213">
        <f t="shared" si="502"/>
        <v>3.4909296408000006</v>
      </c>
      <c r="K585" s="213">
        <f t="shared" si="502"/>
        <v>3.1418366767200001</v>
      </c>
      <c r="L585" s="213">
        <f t="shared" si="502"/>
        <v>2.8276530090480003</v>
      </c>
      <c r="M585" s="213">
        <f t="shared" si="502"/>
        <v>2.8276530090480003</v>
      </c>
      <c r="N585" s="213">
        <f t="shared" si="502"/>
        <v>2.8276530090480003</v>
      </c>
      <c r="O585" s="213">
        <f t="shared" si="502"/>
        <v>2.8276530090480003</v>
      </c>
      <c r="P585" s="213">
        <f t="shared" si="502"/>
        <v>2.8276530090480003</v>
      </c>
      <c r="Q585" s="213">
        <f t="shared" si="502"/>
        <v>2.8276530090480003</v>
      </c>
      <c r="S585" s="287" t="s">
        <v>742</v>
      </c>
      <c r="T585" s="288">
        <f>IF(S579&gt;$X$42,$Z$42,IF(S579&gt;$X$43,$Z$43,IF(S579&gt;$X$44,$Z$44,$Z$45)))</f>
        <v>0.45</v>
      </c>
      <c r="U585" s="256"/>
      <c r="V585" s="256"/>
    </row>
    <row r="586" spans="1:22" hidden="1" outlineLevel="1">
      <c r="A586" s="270" t="s">
        <v>607</v>
      </c>
      <c r="B586" s="277">
        <f>B585</f>
        <v>89.888816349701955</v>
      </c>
      <c r="C586" s="277">
        <f t="shared" ref="C586:Q586" si="503">C585</f>
        <v>9.7462696207285013</v>
      </c>
      <c r="D586" s="277">
        <f t="shared" si="503"/>
        <v>6.6242600029748617</v>
      </c>
      <c r="E586" s="277">
        <f t="shared" si="503"/>
        <v>5.9119200000000003</v>
      </c>
      <c r="F586" s="277">
        <f t="shared" si="503"/>
        <v>5.3207279999999999</v>
      </c>
      <c r="G586" s="277">
        <f t="shared" si="503"/>
        <v>4.7886552</v>
      </c>
      <c r="H586" s="277">
        <f t="shared" si="503"/>
        <v>4.3097896800000006</v>
      </c>
      <c r="I586" s="277">
        <f t="shared" si="503"/>
        <v>3.8788107120000008</v>
      </c>
      <c r="J586" s="277">
        <f t="shared" si="503"/>
        <v>3.4909296408000006</v>
      </c>
      <c r="K586" s="277">
        <f t="shared" si="503"/>
        <v>3.1418366767200001</v>
      </c>
      <c r="L586" s="277">
        <f t="shared" si="503"/>
        <v>2.8276530090480003</v>
      </c>
      <c r="M586" s="277">
        <f t="shared" si="503"/>
        <v>2.8276530090480003</v>
      </c>
      <c r="N586" s="277">
        <f t="shared" si="503"/>
        <v>2.8276530090480003</v>
      </c>
      <c r="O586" s="277">
        <f t="shared" si="503"/>
        <v>2.8276530090480003</v>
      </c>
      <c r="P586" s="277">
        <f t="shared" si="503"/>
        <v>2.8276530090480003</v>
      </c>
      <c r="Q586" s="277">
        <f t="shared" si="503"/>
        <v>2.8276530090480003</v>
      </c>
      <c r="S586" s="287" t="s">
        <v>743</v>
      </c>
      <c r="T586" s="256">
        <f>T579-T583</f>
        <v>0</v>
      </c>
      <c r="U586" s="256">
        <f>T586-2</f>
        <v>-2</v>
      </c>
      <c r="V586" s="256"/>
    </row>
    <row r="587" spans="1:22" hidden="1" outlineLevel="1">
      <c r="A587" s="279" t="s">
        <v>733</v>
      </c>
      <c r="B587" s="280">
        <f t="shared" ref="B587:Q587" si="504">B586*B$45</f>
        <v>0</v>
      </c>
      <c r="C587" s="280">
        <f t="shared" si="504"/>
        <v>0</v>
      </c>
      <c r="D587" s="280">
        <f t="shared" si="504"/>
        <v>0</v>
      </c>
      <c r="E587" s="280">
        <f t="shared" ca="1" si="504"/>
        <v>5.6285022420255464</v>
      </c>
      <c r="F587" s="280">
        <f t="shared" ca="1" si="504"/>
        <v>4.7229712782243567</v>
      </c>
      <c r="G587" s="280">
        <f t="shared" ca="1" si="504"/>
        <v>3.9631249550510472</v>
      </c>
      <c r="H587" s="280">
        <f t="shared" ca="1" si="504"/>
        <v>3.3255250739643101</v>
      </c>
      <c r="I587" s="280">
        <f t="shared" ca="1" si="504"/>
        <v>2.7905042467738399</v>
      </c>
      <c r="J587" s="280">
        <f t="shared" ca="1" si="504"/>
        <v>2.3415592359314754</v>
      </c>
      <c r="K587" s="280">
        <f t="shared" ca="1" si="504"/>
        <v>1.9648418961250067</v>
      </c>
      <c r="L587" s="280">
        <f t="shared" ca="1" si="504"/>
        <v>1.6487320147732072</v>
      </c>
      <c r="M587" s="280">
        <f t="shared" ca="1" si="504"/>
        <v>1.5371987503021034</v>
      </c>
      <c r="N587" s="280">
        <f t="shared" ca="1" si="504"/>
        <v>1.4332104773591063</v>
      </c>
      <c r="O587" s="280">
        <f t="shared" ca="1" si="504"/>
        <v>1.3362567930843223</v>
      </c>
      <c r="P587" s="280">
        <f t="shared" ca="1" si="504"/>
        <v>1.2458618223013458</v>
      </c>
      <c r="Q587" s="280">
        <f t="shared" ca="1" si="504"/>
        <v>1.16158188179185</v>
      </c>
      <c r="S587" s="289" t="s">
        <v>744</v>
      </c>
      <c r="T587" s="288">
        <f>VLOOKUP(S587,$Y$32:$AB$34,2,0)</f>
        <v>-0.7</v>
      </c>
      <c r="U587" s="288">
        <f>VLOOKUP(S587,$Y$32:$AB$34,3,0)</f>
        <v>-0.35</v>
      </c>
      <c r="V587" s="288">
        <f>VLOOKUP(S587,$Y$32:$AB$34,4,0)</f>
        <v>-0.1</v>
      </c>
    </row>
    <row r="588" spans="1:22" hidden="1" outlineLevel="1">
      <c r="A588" s="270" t="s">
        <v>734</v>
      </c>
      <c r="B588" s="213">
        <f ca="1">SUM(B587:Q587)</f>
        <v>33.099870667707513</v>
      </c>
      <c r="C588" s="277"/>
      <c r="D588" s="277"/>
      <c r="E588" s="277"/>
      <c r="F588" s="277"/>
      <c r="G588" s="277"/>
      <c r="H588" s="277"/>
      <c r="I588" s="277"/>
      <c r="J588" s="277"/>
      <c r="K588" s="277"/>
      <c r="L588" s="277"/>
      <c r="M588" s="277"/>
      <c r="N588" s="256"/>
      <c r="O588" s="256"/>
      <c r="P588" s="256"/>
      <c r="Q588" s="256"/>
    </row>
    <row r="589" spans="1:22" hidden="1" outlineLevel="1">
      <c r="A589" s="281" t="s">
        <v>735</v>
      </c>
      <c r="B589" s="213">
        <f ca="1">(Q586*(1+C589))/(DCF!$H$31-NPV!C589)*NPV!$Q$45</f>
        <v>9.0040568785224764</v>
      </c>
      <c r="C589" s="612">
        <v>-0.05</v>
      </c>
      <c r="D589" s="277"/>
      <c r="E589" s="277"/>
      <c r="F589" s="277"/>
      <c r="G589" s="277"/>
      <c r="H589" s="277"/>
      <c r="I589" s="277"/>
      <c r="J589" s="277"/>
      <c r="K589" s="277"/>
      <c r="L589" s="277"/>
      <c r="M589" s="277"/>
      <c r="N589" s="256"/>
      <c r="O589" s="256"/>
      <c r="P589" s="256"/>
      <c r="Q589" s="256"/>
    </row>
    <row r="590" spans="1:22" hidden="1" outlineLevel="1">
      <c r="A590" s="281" t="s">
        <v>736</v>
      </c>
      <c r="B590" s="213">
        <f ca="1">SUM(B588:B589)/DCF!$C$30</f>
        <v>1.7947113191061376E-2</v>
      </c>
      <c r="C590" s="283"/>
      <c r="D590" s="283"/>
      <c r="E590" s="283"/>
      <c r="F590" s="283"/>
      <c r="G590" s="283"/>
      <c r="H590" s="283"/>
      <c r="I590" s="283"/>
      <c r="J590" s="283"/>
      <c r="K590" s="283"/>
      <c r="L590" s="283"/>
      <c r="M590" s="256"/>
      <c r="N590" s="256"/>
      <c r="O590" s="256"/>
      <c r="P590" s="256"/>
      <c r="Q590" s="256"/>
    </row>
    <row r="591" spans="1:22" hidden="1" outlineLevel="1">
      <c r="A591" s="284" t="s">
        <v>737</v>
      </c>
      <c r="B591" s="285">
        <f ca="1">B590/DCF!$H$24</f>
        <v>1.7424381738894539E-2</v>
      </c>
    </row>
    <row r="592" spans="1:22" hidden="1" outlineLevel="1"/>
    <row r="593" spans="1:22" collapsed="1">
      <c r="A593" s="265" t="s">
        <v>756</v>
      </c>
      <c r="B593" s="266">
        <v>2015</v>
      </c>
      <c r="C593" s="266">
        <v>2016</v>
      </c>
      <c r="D593" s="266">
        <v>2017</v>
      </c>
      <c r="E593" s="266">
        <v>2018</v>
      </c>
      <c r="F593" s="266">
        <v>2019</v>
      </c>
      <c r="G593" s="266">
        <v>2020</v>
      </c>
      <c r="H593" s="266">
        <v>2021</v>
      </c>
      <c r="I593" s="266">
        <v>2022</v>
      </c>
      <c r="J593" s="266">
        <v>2023</v>
      </c>
      <c r="K593" s="266">
        <v>2024</v>
      </c>
      <c r="L593" s="266">
        <v>2025</v>
      </c>
      <c r="M593" s="266">
        <v>2026</v>
      </c>
      <c r="N593" s="266">
        <v>2027</v>
      </c>
      <c r="O593" s="266">
        <v>2028</v>
      </c>
      <c r="P593" s="266">
        <v>2029</v>
      </c>
      <c r="Q593" s="267">
        <v>2030</v>
      </c>
    </row>
    <row r="594" spans="1:22">
      <c r="A594" s="290" t="s">
        <v>729</v>
      </c>
      <c r="B594" s="291">
        <f t="shared" ref="B594:Q594" si="505">B519+B534+B549+B564+B579</f>
        <v>1594</v>
      </c>
      <c r="C594" s="291">
        <f t="shared" si="505"/>
        <v>1521</v>
      </c>
      <c r="D594" s="291">
        <f t="shared" si="505"/>
        <v>1617</v>
      </c>
      <c r="E594" s="291">
        <f t="shared" si="505"/>
        <v>1806.1663797576471</v>
      </c>
      <c r="F594" s="291">
        <f t="shared" si="505"/>
        <v>1894.6863797576473</v>
      </c>
      <c r="G594" s="291">
        <f t="shared" si="505"/>
        <v>1861.6215417818823</v>
      </c>
      <c r="H594" s="291">
        <f t="shared" si="505"/>
        <v>1808.7231076036942</v>
      </c>
      <c r="I594" s="291">
        <f t="shared" si="505"/>
        <v>1767.2737028433246</v>
      </c>
      <c r="J594" s="291">
        <f t="shared" si="505"/>
        <v>1736.436383858992</v>
      </c>
      <c r="K594" s="291">
        <f t="shared" si="505"/>
        <v>1710.4332993380929</v>
      </c>
      <c r="L594" s="291">
        <f t="shared" si="505"/>
        <v>1439.5695816987836</v>
      </c>
      <c r="M594" s="291">
        <f t="shared" si="505"/>
        <v>1445.6363970456837</v>
      </c>
      <c r="N594" s="291">
        <f t="shared" si="505"/>
        <v>1448.9832248765126</v>
      </c>
      <c r="O594" s="291">
        <f t="shared" si="505"/>
        <v>1452.4191340990408</v>
      </c>
      <c r="P594" s="291">
        <f t="shared" si="505"/>
        <v>1455.9444593960511</v>
      </c>
      <c r="Q594" s="291">
        <f t="shared" si="505"/>
        <v>1459.5595443584655</v>
      </c>
    </row>
    <row r="595" spans="1:22">
      <c r="A595" s="292" t="s">
        <v>579</v>
      </c>
      <c r="B595" s="293"/>
      <c r="C595" s="293">
        <f t="shared" ref="C595:Q595" si="506">C594/B594-1</f>
        <v>-4.5796737766624851E-2</v>
      </c>
      <c r="D595" s="293">
        <f t="shared" si="506"/>
        <v>6.3116370808678601E-2</v>
      </c>
      <c r="E595" s="293">
        <f t="shared" si="506"/>
        <v>0.11698601098184724</v>
      </c>
      <c r="F595" s="293">
        <f t="shared" si="506"/>
        <v>4.9009881366454122E-2</v>
      </c>
      <c r="G595" s="293">
        <f t="shared" si="506"/>
        <v>-1.7451351489629841E-2</v>
      </c>
      <c r="H595" s="293">
        <f t="shared" si="506"/>
        <v>-2.8415246058850152E-2</v>
      </c>
      <c r="I595" s="293">
        <f t="shared" si="506"/>
        <v>-2.2916390345277482E-2</v>
      </c>
      <c r="J595" s="293">
        <f t="shared" si="506"/>
        <v>-1.7449090616082352E-2</v>
      </c>
      <c r="K595" s="293">
        <f t="shared" si="506"/>
        <v>-1.4974971016853966E-2</v>
      </c>
      <c r="L595" s="293">
        <f t="shared" si="506"/>
        <v>-0.15835970788462117</v>
      </c>
      <c r="M595" s="293">
        <f t="shared" si="506"/>
        <v>4.2143258818658769E-3</v>
      </c>
      <c r="N595" s="293">
        <f t="shared" si="506"/>
        <v>2.3151242163441665E-3</v>
      </c>
      <c r="O595" s="293">
        <f t="shared" si="506"/>
        <v>2.3712553489505517E-3</v>
      </c>
      <c r="P595" s="293">
        <f t="shared" si="506"/>
        <v>2.4272093462862632E-3</v>
      </c>
      <c r="Q595" s="293">
        <f t="shared" si="506"/>
        <v>2.4829827395433934E-3</v>
      </c>
    </row>
    <row r="596" spans="1:22">
      <c r="A596" s="294" t="s">
        <v>730</v>
      </c>
      <c r="B596" s="295">
        <f t="shared" ref="B596:Q596" si="507">B521+B536+B551+B566+B581</f>
        <v>448.64545454545458</v>
      </c>
      <c r="C596" s="295">
        <f t="shared" si="507"/>
        <v>450.08606060606064</v>
      </c>
      <c r="D596" s="295">
        <f t="shared" si="507"/>
        <v>551.95151515151531</v>
      </c>
      <c r="E596" s="295">
        <f t="shared" si="507"/>
        <v>703.8881898788236</v>
      </c>
      <c r="F596" s="295">
        <f t="shared" si="507"/>
        <v>700.11907089094132</v>
      </c>
      <c r="G596" s="295">
        <f t="shared" si="507"/>
        <v>674.94731154839064</v>
      </c>
      <c r="H596" s="295">
        <f t="shared" si="507"/>
        <v>655.13962736544079</v>
      </c>
      <c r="I596" s="295">
        <f t="shared" si="507"/>
        <v>670.49817872889673</v>
      </c>
      <c r="J596" s="295">
        <f t="shared" si="507"/>
        <v>693.24390484100695</v>
      </c>
      <c r="K596" s="295">
        <f t="shared" si="507"/>
        <v>721.62317793015632</v>
      </c>
      <c r="L596" s="295">
        <f t="shared" si="507"/>
        <v>564.61353058746568</v>
      </c>
      <c r="M596" s="295">
        <f t="shared" si="507"/>
        <v>542.90135921649869</v>
      </c>
      <c r="N596" s="295">
        <f t="shared" si="507"/>
        <v>519.90038316925347</v>
      </c>
      <c r="O596" s="295">
        <f t="shared" si="507"/>
        <v>521.06859230491307</v>
      </c>
      <c r="P596" s="295">
        <f t="shared" si="507"/>
        <v>522.26720290589651</v>
      </c>
      <c r="Q596" s="295">
        <f t="shared" si="507"/>
        <v>523.49633179311752</v>
      </c>
    </row>
    <row r="597" spans="1:22">
      <c r="A597" s="292" t="s">
        <v>580</v>
      </c>
      <c r="B597" s="293">
        <f t="shared" ref="B597:Q597" si="508">B596/B594</f>
        <v>0.2814588798904985</v>
      </c>
      <c r="C597" s="293">
        <f t="shared" si="508"/>
        <v>0.29591456976072361</v>
      </c>
      <c r="D597" s="293">
        <f t="shared" si="508"/>
        <v>0.34134292835591545</v>
      </c>
      <c r="E597" s="293">
        <f t="shared" si="508"/>
        <v>0.38971392545423855</v>
      </c>
      <c r="F597" s="293">
        <f t="shared" si="508"/>
        <v>0.36951712872950232</v>
      </c>
      <c r="G597" s="293">
        <f t="shared" si="508"/>
        <v>0.36255882111374449</v>
      </c>
      <c r="H597" s="293">
        <f t="shared" si="508"/>
        <v>0.36221112264851274</v>
      </c>
      <c r="I597" s="293">
        <f t="shared" si="508"/>
        <v>0.3793969081586786</v>
      </c>
      <c r="J597" s="293">
        <f t="shared" si="508"/>
        <v>0.39923368992094449</v>
      </c>
      <c r="K597" s="293">
        <f t="shared" si="508"/>
        <v>0.42189495387479392</v>
      </c>
      <c r="L597" s="293">
        <f t="shared" si="508"/>
        <v>0.39220996175897649</v>
      </c>
      <c r="M597" s="293">
        <f t="shared" si="508"/>
        <v>0.37554488827617866</v>
      </c>
      <c r="N597" s="293">
        <f t="shared" si="508"/>
        <v>0.35880359016134311</v>
      </c>
      <c r="O597" s="293">
        <f t="shared" si="508"/>
        <v>0.35875910752727752</v>
      </c>
      <c r="P597" s="293">
        <f t="shared" si="508"/>
        <v>0.3587136854949407</v>
      </c>
      <c r="Q597" s="293">
        <f t="shared" si="508"/>
        <v>0.35866733482477758</v>
      </c>
    </row>
    <row r="598" spans="1:22">
      <c r="A598" s="292" t="s">
        <v>731</v>
      </c>
      <c r="B598" s="296">
        <f t="shared" ref="B598:Q598" si="509">B523+B538+B553+B568+B583</f>
        <v>65.29746148685264</v>
      </c>
      <c r="C598" s="296">
        <f t="shared" si="509"/>
        <v>67.639670091830823</v>
      </c>
      <c r="D598" s="296">
        <f t="shared" si="509"/>
        <v>84.397762542876336</v>
      </c>
      <c r="E598" s="296">
        <f t="shared" si="509"/>
        <v>112.62211038061177</v>
      </c>
      <c r="F598" s="296">
        <f t="shared" si="509"/>
        <v>112.0190513425506</v>
      </c>
      <c r="G598" s="296">
        <f t="shared" si="509"/>
        <v>107.99156984774251</v>
      </c>
      <c r="H598" s="296">
        <f t="shared" si="509"/>
        <v>104.82234037847053</v>
      </c>
      <c r="I598" s="296">
        <f t="shared" si="509"/>
        <v>107.27970859662346</v>
      </c>
      <c r="J598" s="296">
        <f t="shared" si="509"/>
        <v>110.91902477456111</v>
      </c>
      <c r="K598" s="296">
        <f t="shared" si="509"/>
        <v>115.45970846882501</v>
      </c>
      <c r="L598" s="296">
        <f t="shared" si="509"/>
        <v>90.338164893994502</v>
      </c>
      <c r="M598" s="296">
        <f t="shared" si="509"/>
        <v>86.864217474639787</v>
      </c>
      <c r="N598" s="296">
        <f t="shared" si="509"/>
        <v>83.184061307080555</v>
      </c>
      <c r="O598" s="296">
        <f t="shared" si="509"/>
        <v>83.370974768786084</v>
      </c>
      <c r="P598" s="296">
        <f t="shared" si="509"/>
        <v>83.562752464943458</v>
      </c>
      <c r="Q598" s="296">
        <f t="shared" si="509"/>
        <v>83.759413086898789</v>
      </c>
    </row>
    <row r="599" spans="1:22">
      <c r="A599" s="292" t="s">
        <v>635</v>
      </c>
      <c r="B599" s="297">
        <f>'P&amp;L'!G$120</f>
        <v>0.1455435708203236</v>
      </c>
      <c r="C599" s="297">
        <f>'P&amp;L'!H$120</f>
        <v>0.15028163725122043</v>
      </c>
      <c r="D599" s="297">
        <f>'P&amp;L'!I$120</f>
        <v>0.15290792800832961</v>
      </c>
      <c r="E599" s="297">
        <f>'P&amp;L'!J$120</f>
        <v>0.16</v>
      </c>
      <c r="F599" s="297">
        <f>'P&amp;L'!K$120</f>
        <v>0.16</v>
      </c>
      <c r="G599" s="297">
        <f>'P&amp;L'!L$120</f>
        <v>0.16</v>
      </c>
      <c r="H599" s="297">
        <f>'P&amp;L'!M$120</f>
        <v>0.16</v>
      </c>
      <c r="I599" s="297">
        <f>'P&amp;L'!N$120</f>
        <v>0.16</v>
      </c>
      <c r="J599" s="297">
        <f>'P&amp;L'!O$120</f>
        <v>0.16</v>
      </c>
      <c r="K599" s="297">
        <f>'P&amp;L'!P$120</f>
        <v>0.16</v>
      </c>
      <c r="L599" s="297">
        <f>'P&amp;L'!Q$120</f>
        <v>0.16</v>
      </c>
      <c r="M599" s="297">
        <f t="shared" ref="M599" si="510">L599</f>
        <v>0.16</v>
      </c>
      <c r="N599" s="297">
        <f t="shared" ref="N599" si="511">M599</f>
        <v>0.16</v>
      </c>
      <c r="O599" s="297">
        <f t="shared" ref="O599" si="512">N599</f>
        <v>0.16</v>
      </c>
      <c r="P599" s="297">
        <f t="shared" ref="P599" si="513">O599</f>
        <v>0.16</v>
      </c>
      <c r="Q599" s="297">
        <f t="shared" ref="Q599" si="514">P599</f>
        <v>0.16</v>
      </c>
    </row>
    <row r="600" spans="1:22">
      <c r="A600" s="298" t="s">
        <v>732</v>
      </c>
      <c r="B600" s="296">
        <f>B596-B598</f>
        <v>383.34799305860196</v>
      </c>
      <c r="C600" s="296">
        <f t="shared" ref="C600:Q600" si="515">C596-C598</f>
        <v>382.44639051422985</v>
      </c>
      <c r="D600" s="296">
        <f t="shared" si="515"/>
        <v>467.553752608639</v>
      </c>
      <c r="E600" s="296">
        <f t="shared" si="515"/>
        <v>591.26607949821187</v>
      </c>
      <c r="F600" s="296">
        <f t="shared" si="515"/>
        <v>588.10001954839072</v>
      </c>
      <c r="G600" s="296">
        <f t="shared" si="515"/>
        <v>566.9557417006481</v>
      </c>
      <c r="H600" s="296">
        <f t="shared" si="515"/>
        <v>550.3172869869702</v>
      </c>
      <c r="I600" s="296">
        <f t="shared" si="515"/>
        <v>563.2184701322733</v>
      </c>
      <c r="J600" s="296">
        <f t="shared" si="515"/>
        <v>582.32488006644587</v>
      </c>
      <c r="K600" s="296">
        <f t="shared" si="515"/>
        <v>606.16346946133126</v>
      </c>
      <c r="L600" s="296">
        <f t="shared" si="515"/>
        <v>474.27536569347114</v>
      </c>
      <c r="M600" s="296">
        <f t="shared" si="515"/>
        <v>456.03714174185893</v>
      </c>
      <c r="N600" s="296">
        <f t="shared" si="515"/>
        <v>436.71632186217289</v>
      </c>
      <c r="O600" s="296">
        <f t="shared" si="515"/>
        <v>437.69761753612698</v>
      </c>
      <c r="P600" s="296">
        <f t="shared" si="515"/>
        <v>438.70445044095305</v>
      </c>
      <c r="Q600" s="296">
        <f t="shared" si="515"/>
        <v>439.73691870621872</v>
      </c>
    </row>
    <row r="601" spans="1:22">
      <c r="A601" s="292" t="s">
        <v>607</v>
      </c>
      <c r="B601" s="299">
        <f>B600</f>
        <v>383.34799305860196</v>
      </c>
      <c r="C601" s="299">
        <f t="shared" ref="C601:Q601" si="516">C600</f>
        <v>382.44639051422985</v>
      </c>
      <c r="D601" s="299">
        <f t="shared" si="516"/>
        <v>467.553752608639</v>
      </c>
      <c r="E601" s="299">
        <f t="shared" si="516"/>
        <v>591.26607949821187</v>
      </c>
      <c r="F601" s="299">
        <f t="shared" si="516"/>
        <v>588.10001954839072</v>
      </c>
      <c r="G601" s="299">
        <f t="shared" si="516"/>
        <v>566.9557417006481</v>
      </c>
      <c r="H601" s="299">
        <f t="shared" si="516"/>
        <v>550.3172869869702</v>
      </c>
      <c r="I601" s="299">
        <f t="shared" si="516"/>
        <v>563.2184701322733</v>
      </c>
      <c r="J601" s="299">
        <f t="shared" si="516"/>
        <v>582.32488006644587</v>
      </c>
      <c r="K601" s="299">
        <f t="shared" si="516"/>
        <v>606.16346946133126</v>
      </c>
      <c r="L601" s="299">
        <f t="shared" si="516"/>
        <v>474.27536569347114</v>
      </c>
      <c r="M601" s="299">
        <f t="shared" si="516"/>
        <v>456.03714174185893</v>
      </c>
      <c r="N601" s="299">
        <f t="shared" si="516"/>
        <v>436.71632186217289</v>
      </c>
      <c r="O601" s="299">
        <f t="shared" si="516"/>
        <v>437.69761753612698</v>
      </c>
      <c r="P601" s="299">
        <f t="shared" si="516"/>
        <v>438.70445044095305</v>
      </c>
      <c r="Q601" s="299">
        <f t="shared" si="516"/>
        <v>439.73691870621872</v>
      </c>
    </row>
    <row r="602" spans="1:22">
      <c r="A602" s="300" t="s">
        <v>733</v>
      </c>
      <c r="B602" s="301">
        <f t="shared" ref="B602:Q602" si="517">B601*B$45</f>
        <v>0</v>
      </c>
      <c r="C602" s="301">
        <f t="shared" si="517"/>
        <v>0</v>
      </c>
      <c r="D602" s="301">
        <f t="shared" si="517"/>
        <v>0</v>
      </c>
      <c r="E602" s="301">
        <f t="shared" ca="1" si="517"/>
        <v>562.92075232569789</v>
      </c>
      <c r="F602" s="301">
        <f t="shared" ca="1" si="517"/>
        <v>522.02997429115567</v>
      </c>
      <c r="G602" s="301">
        <f t="shared" ca="1" si="517"/>
        <v>469.21658680777728</v>
      </c>
      <c r="H602" s="301">
        <f t="shared" ca="1" si="517"/>
        <v>424.63648400382783</v>
      </c>
      <c r="I602" s="301">
        <f t="shared" ca="1" si="517"/>
        <v>405.19211930174055</v>
      </c>
      <c r="J602" s="301">
        <f t="shared" ca="1" si="517"/>
        <v>390.59744581956028</v>
      </c>
      <c r="K602" s="301">
        <f t="shared" ca="1" si="517"/>
        <v>379.08252504757991</v>
      </c>
      <c r="L602" s="301">
        <f t="shared" ca="1" si="517"/>
        <v>276.53781306793377</v>
      </c>
      <c r="M602" s="301">
        <f t="shared" ca="1" si="517"/>
        <v>247.91575279349587</v>
      </c>
      <c r="N602" s="301">
        <f t="shared" ca="1" si="517"/>
        <v>221.35191486501552</v>
      </c>
      <c r="O602" s="301">
        <f t="shared" ca="1" si="517"/>
        <v>206.84165025834852</v>
      </c>
      <c r="P602" s="301">
        <f t="shared" ca="1" si="517"/>
        <v>193.29285606443307</v>
      </c>
      <c r="Q602" s="301">
        <f t="shared" ca="1" si="517"/>
        <v>180.64113096256091</v>
      </c>
    </row>
    <row r="603" spans="1:22">
      <c r="A603" s="270" t="s">
        <v>734</v>
      </c>
      <c r="B603" s="213">
        <f ca="1">B528+B543+B558+B573+B588</f>
        <v>4480.2570056091263</v>
      </c>
      <c r="C603" s="277"/>
      <c r="D603" s="277"/>
      <c r="E603" s="277"/>
      <c r="F603" s="277"/>
      <c r="G603" s="277"/>
      <c r="H603" s="277"/>
      <c r="I603" s="277"/>
      <c r="J603" s="277"/>
      <c r="K603" s="277"/>
      <c r="L603" s="277"/>
      <c r="M603" s="277"/>
      <c r="N603" s="256"/>
      <c r="O603" s="256"/>
      <c r="P603" s="256"/>
      <c r="Q603" s="256"/>
    </row>
    <row r="604" spans="1:22">
      <c r="A604" s="281" t="s">
        <v>735</v>
      </c>
      <c r="B604" s="213">
        <f ca="1">B529+B544+B559+B574+B589</f>
        <v>1400.2482677144476</v>
      </c>
      <c r="C604" s="282"/>
      <c r="D604" s="277"/>
      <c r="E604" s="277"/>
      <c r="F604" s="277"/>
      <c r="G604" s="277"/>
      <c r="H604" s="277"/>
      <c r="I604" s="277"/>
      <c r="J604" s="277"/>
      <c r="K604" s="277"/>
      <c r="L604" s="277"/>
      <c r="M604" s="277"/>
      <c r="N604" s="256"/>
      <c r="O604" s="256"/>
      <c r="P604" s="256"/>
      <c r="Q604" s="256"/>
    </row>
    <row r="605" spans="1:22">
      <c r="A605" s="281" t="s">
        <v>736</v>
      </c>
      <c r="B605" s="213">
        <f ca="1">SUM(B603:B604)/DCF!$C$30</f>
        <v>2.5066092384158454</v>
      </c>
      <c r="C605" s="283"/>
      <c r="D605" s="283"/>
      <c r="E605" s="283"/>
      <c r="F605" s="283"/>
      <c r="G605" s="283"/>
      <c r="H605" s="283"/>
      <c r="I605" s="283"/>
      <c r="J605" s="283"/>
      <c r="K605" s="283"/>
      <c r="L605" s="283"/>
      <c r="M605" s="256"/>
      <c r="N605" s="256"/>
      <c r="O605" s="256"/>
      <c r="P605" s="256"/>
      <c r="Q605" s="256"/>
    </row>
    <row r="606" spans="1:22">
      <c r="A606" s="284" t="s">
        <v>737</v>
      </c>
      <c r="B606" s="285">
        <f ca="1">B605/DCF!$H$24</f>
        <v>2.4336012023454807</v>
      </c>
    </row>
    <row r="608" spans="1:22">
      <c r="A608" s="265" t="s">
        <v>50</v>
      </c>
      <c r="B608" s="266">
        <v>2015</v>
      </c>
      <c r="C608" s="266">
        <v>2016</v>
      </c>
      <c r="D608" s="266">
        <v>2017</v>
      </c>
      <c r="E608" s="266">
        <v>2018</v>
      </c>
      <c r="F608" s="266">
        <v>2019</v>
      </c>
      <c r="G608" s="266">
        <v>2020</v>
      </c>
      <c r="H608" s="266">
        <v>2021</v>
      </c>
      <c r="I608" s="266">
        <v>2022</v>
      </c>
      <c r="J608" s="266">
        <v>2023</v>
      </c>
      <c r="K608" s="266">
        <v>2024</v>
      </c>
      <c r="L608" s="266">
        <v>2025</v>
      </c>
      <c r="M608" s="266">
        <v>2026</v>
      </c>
      <c r="N608" s="266">
        <v>2027</v>
      </c>
      <c r="O608" s="266">
        <v>2028</v>
      </c>
      <c r="P608" s="266">
        <v>2029</v>
      </c>
      <c r="Q608" s="267">
        <v>2030</v>
      </c>
      <c r="S608" s="256" t="s">
        <v>709</v>
      </c>
      <c r="T608" s="256" t="s">
        <v>710</v>
      </c>
      <c r="U608" s="256"/>
      <c r="V608" s="256"/>
    </row>
    <row r="609" spans="1:22">
      <c r="A609" s="268" t="s">
        <v>729</v>
      </c>
      <c r="B609" s="269">
        <f>Sales!G372</f>
        <v>1140</v>
      </c>
      <c r="C609" s="269">
        <f>Sales!H372</f>
        <v>1193</v>
      </c>
      <c r="D609" s="269">
        <f>Sales!I372</f>
        <v>1233</v>
      </c>
      <c r="E609" s="269">
        <f>Sales!J372</f>
        <v>1348.5276143368935</v>
      </c>
      <c r="F609" s="269">
        <f>Sales!K372</f>
        <v>1415.9539950537383</v>
      </c>
      <c r="G609" s="269">
        <f>Sales!L372</f>
        <v>1486.7516948064251</v>
      </c>
      <c r="H609" s="269">
        <f>Sales!M372</f>
        <v>1561.0892795467464</v>
      </c>
      <c r="I609" s="269">
        <f>Sales!N372</f>
        <v>1248.8714236373971</v>
      </c>
      <c r="J609" s="269">
        <f>Sales!O372</f>
        <v>624.43571181869856</v>
      </c>
      <c r="K609" s="269">
        <f>Sales!P372</f>
        <v>405.88321268215407</v>
      </c>
      <c r="L609" s="269">
        <f>Sales!Q372</f>
        <v>365.29489141393867</v>
      </c>
      <c r="M609" s="269">
        <f>L609*(1+M610)</f>
        <v>365.29489141393867</v>
      </c>
      <c r="N609" s="269">
        <f>M609*(1+N610)</f>
        <v>365.29489141393867</v>
      </c>
      <c r="O609" s="269">
        <f>N609*(1+O610)</f>
        <v>365.29489141393867</v>
      </c>
      <c r="P609" s="269">
        <f>O609*(1+P610)</f>
        <v>365.29489141393867</v>
      </c>
      <c r="Q609" s="269">
        <f>P609*(1+Q610)</f>
        <v>365.29489141393867</v>
      </c>
      <c r="S609" s="213">
        <f>VLOOKUP(A608,$A$2:$H$19,5,0)</f>
        <v>1561.0892795467464</v>
      </c>
      <c r="T609" s="256">
        <f>VLOOKUP(A608,$A$2:$H$19,6,0)</f>
        <v>2021</v>
      </c>
      <c r="U609" s="256"/>
      <c r="V609" s="256"/>
    </row>
    <row r="610" spans="1:22">
      <c r="A610" s="270" t="s">
        <v>579</v>
      </c>
      <c r="B610" s="271"/>
      <c r="C610" s="271">
        <f t="shared" ref="C610:H610" si="518">C609/B609-1</f>
        <v>4.6491228070175472E-2</v>
      </c>
      <c r="D610" s="271">
        <f t="shared" si="518"/>
        <v>3.3528918692372178E-2</v>
      </c>
      <c r="E610" s="271">
        <f t="shared" si="518"/>
        <v>9.369636199261433E-2</v>
      </c>
      <c r="F610" s="271">
        <f t="shared" si="518"/>
        <v>5.0000000000000044E-2</v>
      </c>
      <c r="G610" s="271">
        <f t="shared" si="518"/>
        <v>5.0000000000000044E-2</v>
      </c>
      <c r="H610" s="271">
        <f t="shared" si="518"/>
        <v>5.0000000000000044E-2</v>
      </c>
      <c r="I610" s="271">
        <f>I609/H609-1</f>
        <v>-0.19999999999999996</v>
      </c>
      <c r="J610" s="271">
        <f>J609/I609-1</f>
        <v>-0.5</v>
      </c>
      <c r="K610" s="271">
        <f t="shared" ref="K610:L610" si="519">K609/J609-1</f>
        <v>-0.35</v>
      </c>
      <c r="L610" s="271">
        <f t="shared" si="519"/>
        <v>-9.9999999999999978E-2</v>
      </c>
      <c r="M610" s="272">
        <v>0</v>
      </c>
      <c r="N610" s="272">
        <v>0</v>
      </c>
      <c r="O610" s="272">
        <v>0</v>
      </c>
      <c r="P610" s="272">
        <v>0</v>
      </c>
      <c r="Q610" s="272">
        <v>0</v>
      </c>
      <c r="S610" s="256" t="s">
        <v>738</v>
      </c>
      <c r="T610" s="256"/>
      <c r="U610" s="256"/>
      <c r="V610" s="256"/>
    </row>
    <row r="611" spans="1:22">
      <c r="A611" s="273" t="s">
        <v>730</v>
      </c>
      <c r="B611" s="274">
        <f t="shared" ref="B611:Q611" si="520">B609*B612</f>
        <v>265.99999999999994</v>
      </c>
      <c r="C611" s="274">
        <f t="shared" si="520"/>
        <v>331.38888888888886</v>
      </c>
      <c r="D611" s="274">
        <f t="shared" si="520"/>
        <v>397.29999999999995</v>
      </c>
      <c r="E611" s="274">
        <f t="shared" si="520"/>
        <v>494.46012525686092</v>
      </c>
      <c r="F611" s="274">
        <f t="shared" si="520"/>
        <v>582.11442018875903</v>
      </c>
      <c r="G611" s="274">
        <f t="shared" si="520"/>
        <v>677.29799430070477</v>
      </c>
      <c r="H611" s="274">
        <f t="shared" si="520"/>
        <v>780.54463977337321</v>
      </c>
      <c r="I611" s="274">
        <f t="shared" si="520"/>
        <v>561.99214063682871</v>
      </c>
      <c r="J611" s="274">
        <f t="shared" si="520"/>
        <v>262.26299896385342</v>
      </c>
      <c r="K611" s="274">
        <f t="shared" si="520"/>
        <v>158.29445294604008</v>
      </c>
      <c r="L611" s="274">
        <f t="shared" si="520"/>
        <v>142.46500765143608</v>
      </c>
      <c r="M611" s="274">
        <f t="shared" si="520"/>
        <v>142.46500765143608</v>
      </c>
      <c r="N611" s="274">
        <f t="shared" si="520"/>
        <v>142.46500765143608</v>
      </c>
      <c r="O611" s="274">
        <f t="shared" si="520"/>
        <v>142.46500765143608</v>
      </c>
      <c r="P611" s="274">
        <f t="shared" si="520"/>
        <v>142.46500765143608</v>
      </c>
      <c r="Q611" s="274">
        <f t="shared" si="520"/>
        <v>142.46500765143608</v>
      </c>
      <c r="S611" s="282">
        <f>IF(S609&gt;$X$39,$Z$39,$Z$40)</f>
        <v>-0.05</v>
      </c>
      <c r="T611" s="282">
        <f>IF(S609&gt;$X$39,$AA$39,$AA$40)</f>
        <v>-0.03</v>
      </c>
      <c r="U611" s="282">
        <f>IF(S609&gt;$X$39,$AB$39,$AB$40)</f>
        <v>-0.03</v>
      </c>
      <c r="V611" s="256"/>
    </row>
    <row r="612" spans="1:22">
      <c r="A612" s="270" t="s">
        <v>580</v>
      </c>
      <c r="B612" s="286">
        <f>IF(B608-T609&gt;3,T614,IF(B608-T609=1,45%+S611,IF(B608-T609=2,A612+T611,IF(B608-T609=3,A612+U611,IF(B608-T609=0,T615,IF(T609-B608=U616+1,$AA$37,IF(T609-B608=U616+2,$Z$37,IF(B608&lt;T609,C612-(T615-$AB$37)/U616))))))))</f>
        <v>0.23333333333333328</v>
      </c>
      <c r="C612" s="286">
        <f>IF(C608-T609&gt;3,T614,IF(C608-T609=1,B612+S611,IF(C608-T609=2,B612+T611,IF(C608-T609=3,B612+U611,IF(C608-T609=0,T615,IF(T609-C608=U616+1,$AA$37,IF(T609-C608=U616+2,$Z$37,IF(C608&lt;T609,D612-(T615-$AB$37)/U616))))))))</f>
        <v>0.27777777777777773</v>
      </c>
      <c r="D612" s="286">
        <f>IF(D608-T609&gt;3,T614,IF(D608-T609=1,C612+S611,IF(D608-T609=2,C612+T611,IF(D608-T609=3,C612+U611,IF(D608-T609=0,T615,IF(T609-D608=U616+1,$AA$37,IF(T609-D608=U616+2,$Z$37,IF(D608&lt;T609,E612-(T615-$AB$37)/U616))))))))</f>
        <v>0.32222222222222219</v>
      </c>
      <c r="E612" s="286">
        <f>IF(E608-T609&gt;3,T614,IF(E608-T609=1,D612+S611,IF(E608-T609=2,D612+T611,IF(E608-T609=3,D612+U611,IF(E608-T609=0,T615,IF(T609-E608=U616+1,$AA$37,IF(T609-E608=U616+2,$Z$37,IF(E608&lt;T609,F612-(T615-$AB$37)/U616))))))))</f>
        <v>0.36666666666666664</v>
      </c>
      <c r="F612" s="286">
        <f>IF(F608-T609&gt;3,T614,IF(F608-T609=1,E612+S611,IF(F608-T609=2,E612+T611,IF(F608-T609=3,E612+U611,IF(F608-T609=0,T615,IF(T609-F608=U616+1,$AA$37,IF(T609-F608=U616+2,$Z$37,IF(F608&lt;T609,G612-(T615-$AB$37)/U616))))))))</f>
        <v>0.41111111111111109</v>
      </c>
      <c r="G612" s="286">
        <f>IF(G608-T609&gt;3,T614,IF(G608-T609=1,F612+S611,IF(G608-T609=2,F612+T611,IF(G608-T609=3,F612+U611,IF(G608-T609=0,T615,IF(T609-G608=U616+1,$AA$37,IF(T609-G608=U616+2,$Z$37,IF(G608&lt;T609,H612-(T615-$AB$37)/U616))))))))</f>
        <v>0.45555555555555555</v>
      </c>
      <c r="H612" s="286">
        <f>IF(H608-T609&gt;3,T614,IF(H608-T609=1,G612+S611,IF(H608-T609=2,G612+T611,IF(H608-T609=3,G612+U611,IF(H608-T609=0,T615,IF(T609-H608=U616+1,$AA$37,IF(T609-H608=U616+2,$Z$37,IF(H608&lt;T609,I612-(T615-$AB$37)/U616))))))))</f>
        <v>0.5</v>
      </c>
      <c r="I612" s="286">
        <f>IF(I608-T609&gt;3,T614,IF(I608-T609=1,H612+S611,IF(I608-T609=2,H612+T611,IF(I608-T609=3,H612+U611,IF(I608-T609=0,T615,IF(T609-I608=U616+1,$AA$37,IF(T609-I608=U616+2,$Z$37,IF(I608&lt;T609,J612-(T615-$AB$37)/U616))))))))</f>
        <v>0.45</v>
      </c>
      <c r="J612" s="286">
        <f>IF(J608-T609&gt;3,T614,IF(J608-T609=1,I612+S611,IF(J608-T609=2,I612+T611,IF(J608-T609=3,I612+U611,IF(J608-T609=0,T615,IF(T609-J608=U616+1,$AA$37,IF(T609-J608=U616+2,$Z$37,IF(J608&lt;T609,K612-(T615-$AB$37)/U616))))))))</f>
        <v>0.42000000000000004</v>
      </c>
      <c r="K612" s="286">
        <f>IF(K608-T609&gt;3,T614,IF(K608-T609=1,J612+S611,IF(K608-T609=2,J612+T611,IF(K608-T609=3,J612+U611,IF(K608-T609=0,T615,IF(T609-K608=U616+1,$AA$37,IF(T609-K608=U616+2,$Z$37,IF(K608&lt;T609,L612-(T615-$AB$37)/U616))))))))</f>
        <v>0.39</v>
      </c>
      <c r="L612" s="286">
        <f>IF(L608-T609&gt;3,T614,IF(L608-T609=1,K612+S611,IF(L608-T609=2,K612+T611,IF(L608-T609=3,K612+U611,IF(L608-T609=0,T615,IF(T609-L608=U616+1,$AA$37,IF(T609-L608=U616+2,$Z$37,IF(L608&lt;T609,M612-(T615-$AB$37)/U616))))))))</f>
        <v>0.39</v>
      </c>
      <c r="M612" s="286">
        <f>IF(M608-T609&gt;3,T614,IF(M608-T609=1,L612+S611,IF(M608-T609=2,L612+T611,IF(M608-T609=3,L612+U611,IF(M608-T609=0,T615,IF(T609-M608=U616+1,$AA$37,IF(T609-M608=U616+2,$Z$37,IF(M608&lt;T609,N612-(T615-$AB$37)/U616))))))))</f>
        <v>0.39</v>
      </c>
      <c r="N612" s="286">
        <f>IF(N608-T609&gt;3,T614,IF(N608-T609=1,M612+S611,IF(N608-T609=2,M612+T611,IF(N608-T609=3,M612+U611,IF(N608-T609=0,T615,IF(T609-N608=U616+1,$AA$37,IF(T609-N608=U616+2,$Z$37,IF(N608&lt;T609,O612-(T615-$AB$37)/U616))))))))</f>
        <v>0.39</v>
      </c>
      <c r="O612" s="286">
        <f>IF(O608-T609&gt;3,T614,IF(O608-T609=1,N612+S611,IF(O608-T609=2,N612+T611,IF(O608-T609=3,N612+U611,IF(O608-T609=0,T615,IF(T609-O608=U616+1,$AA$37,IF(T609-O608=U616+2,$Z$37,IF(O608&lt;T609,P612-(T615-$AB$37)/U616))))))))</f>
        <v>0.39</v>
      </c>
      <c r="P612" s="286">
        <f>IF(P608-T609&gt;3,T614,IF(P608-T609=1,O612+S611,IF(P608-T609=2,O612+T611,IF(P608-T609=3,O612+U611,IF(P608-T609=0,T615,IF(T609-P608=U616+1,$AA$37,IF(T609-P608=U616+2,$Z$37,IF(P608&lt;T609,Q612-(T615-$AB$37)/U616))))))))</f>
        <v>0.39</v>
      </c>
      <c r="Q612" s="286">
        <f>IF(Q608-T609&gt;3,T614,IF(Q608-T609=1,P612+S611,IF(Q608-T609=2,P612+T611,IF(Q608-T609=3,P612+U611,IF(Q608-T609=0,T615,IF(T609-Q608=U616+1,$AA$37,IF(T609-Q608=U616+2,$Z$37,IF(Q608&lt;T609,R612-(T615-$AB$37)/U616))))))))</f>
        <v>0.39</v>
      </c>
      <c r="S612" s="287" t="s">
        <v>739</v>
      </c>
      <c r="T612" s="213">
        <f>VLOOKUP(A608,$A$2:$H$19,7,0)</f>
        <v>391</v>
      </c>
      <c r="U612" s="256"/>
      <c r="V612" s="256"/>
    </row>
    <row r="613" spans="1:22">
      <c r="A613" s="270" t="s">
        <v>731</v>
      </c>
      <c r="B613" s="213">
        <f>B611*B614</f>
        <v>38.714589838206066</v>
      </c>
      <c r="C613" s="213">
        <f t="shared" ref="C613:Q613" si="521">C611*C614</f>
        <v>49.801664789084988</v>
      </c>
      <c r="D613" s="213">
        <f t="shared" si="521"/>
        <v>60.750319797709345</v>
      </c>
      <c r="E613" s="213">
        <f t="shared" si="521"/>
        <v>79.113620041097747</v>
      </c>
      <c r="F613" s="213">
        <f t="shared" si="521"/>
        <v>93.138307230201448</v>
      </c>
      <c r="G613" s="213">
        <f t="shared" si="521"/>
        <v>108.36767908811277</v>
      </c>
      <c r="H613" s="213">
        <f t="shared" si="521"/>
        <v>124.88714236373971</v>
      </c>
      <c r="I613" s="213">
        <f t="shared" si="521"/>
        <v>89.918742501892595</v>
      </c>
      <c r="J613" s="213">
        <f t="shared" si="521"/>
        <v>41.962079834216546</v>
      </c>
      <c r="K613" s="213">
        <f t="shared" si="521"/>
        <v>25.327112471366412</v>
      </c>
      <c r="L613" s="213">
        <f t="shared" si="521"/>
        <v>22.794401224229773</v>
      </c>
      <c r="M613" s="213">
        <f t="shared" si="521"/>
        <v>22.794401224229773</v>
      </c>
      <c r="N613" s="213">
        <f t="shared" si="521"/>
        <v>22.794401224229773</v>
      </c>
      <c r="O613" s="213">
        <f t="shared" si="521"/>
        <v>22.794401224229773</v>
      </c>
      <c r="P613" s="213">
        <f t="shared" si="521"/>
        <v>22.794401224229773</v>
      </c>
      <c r="Q613" s="213">
        <f t="shared" si="521"/>
        <v>22.794401224229773</v>
      </c>
      <c r="S613" s="287" t="s">
        <v>740</v>
      </c>
      <c r="T613" s="256">
        <f>VLOOKUP(A608,$A$2:$H$19,8,0)</f>
        <v>2010</v>
      </c>
      <c r="U613" s="256"/>
      <c r="V613" s="256"/>
    </row>
    <row r="614" spans="1:22">
      <c r="A614" s="270" t="s">
        <v>635</v>
      </c>
      <c r="B614" s="196">
        <f>'P&amp;L'!G$120</f>
        <v>0.1455435708203236</v>
      </c>
      <c r="C614" s="196">
        <f>'P&amp;L'!H$120</f>
        <v>0.15028163725122043</v>
      </c>
      <c r="D614" s="196">
        <f>'P&amp;L'!I$120</f>
        <v>0.15290792800832961</v>
      </c>
      <c r="E614" s="196">
        <f>'P&amp;L'!J$120</f>
        <v>0.16</v>
      </c>
      <c r="F614" s="196">
        <f>'P&amp;L'!K$120</f>
        <v>0.16</v>
      </c>
      <c r="G614" s="196">
        <f>'P&amp;L'!L$120</f>
        <v>0.16</v>
      </c>
      <c r="H614" s="196">
        <f>'P&amp;L'!M$120</f>
        <v>0.16</v>
      </c>
      <c r="I614" s="196">
        <f>'P&amp;L'!N$120</f>
        <v>0.16</v>
      </c>
      <c r="J614" s="196">
        <f>'P&amp;L'!O$120</f>
        <v>0.16</v>
      </c>
      <c r="K614" s="196">
        <f>'P&amp;L'!P$120</f>
        <v>0.16</v>
      </c>
      <c r="L614" s="196">
        <f>'P&amp;L'!Q$120</f>
        <v>0.16</v>
      </c>
      <c r="M614" s="196">
        <f t="shared" ref="M614" si="522">L614</f>
        <v>0.16</v>
      </c>
      <c r="N614" s="196">
        <f t="shared" ref="N614" si="523">M614</f>
        <v>0.16</v>
      </c>
      <c r="O614" s="196">
        <f t="shared" ref="O614" si="524">N614</f>
        <v>0.16</v>
      </c>
      <c r="P614" s="196">
        <f t="shared" ref="P614" si="525">O614</f>
        <v>0.16</v>
      </c>
      <c r="Q614" s="196">
        <f t="shared" ref="Q614" si="526">P614</f>
        <v>0.16</v>
      </c>
      <c r="S614" s="287" t="s">
        <v>741</v>
      </c>
      <c r="T614" s="288">
        <f>IF(Q608-T609&gt;3,IF(AND(S609&lt;$X$42,S609&lt;$X$43,S609&lt;$X$44),$AA$45,IF(AND(S609&lt;$X$42,S609&lt;$X$43),$AA$44,IF(S609&lt;$X$42,$AA$43,$AA$42))))</f>
        <v>0.39</v>
      </c>
      <c r="U614" s="256"/>
      <c r="V614" s="256"/>
    </row>
    <row r="615" spans="1:22">
      <c r="A615" s="256" t="s">
        <v>732</v>
      </c>
      <c r="B615" s="213">
        <f>B611-B613</f>
        <v>227.28541016179389</v>
      </c>
      <c r="C615" s="213">
        <f t="shared" ref="C615:Q615" si="527">C611-C613</f>
        <v>281.58722409980385</v>
      </c>
      <c r="D615" s="213">
        <f t="shared" si="527"/>
        <v>336.54968020229063</v>
      </c>
      <c r="E615" s="213">
        <f t="shared" si="527"/>
        <v>415.34650521576316</v>
      </c>
      <c r="F615" s="213">
        <f t="shared" si="527"/>
        <v>488.97611295855756</v>
      </c>
      <c r="G615" s="213">
        <f t="shared" si="527"/>
        <v>568.93031521259195</v>
      </c>
      <c r="H615" s="213">
        <f t="shared" si="527"/>
        <v>655.65749740963349</v>
      </c>
      <c r="I615" s="213">
        <f t="shared" si="527"/>
        <v>472.0733981349361</v>
      </c>
      <c r="J615" s="213">
        <f t="shared" si="527"/>
        <v>220.30091912963687</v>
      </c>
      <c r="K615" s="213">
        <f t="shared" si="527"/>
        <v>132.96734047467368</v>
      </c>
      <c r="L615" s="213">
        <f t="shared" si="527"/>
        <v>119.67060642720631</v>
      </c>
      <c r="M615" s="213">
        <f t="shared" si="527"/>
        <v>119.67060642720631</v>
      </c>
      <c r="N615" s="213">
        <f t="shared" si="527"/>
        <v>119.67060642720631</v>
      </c>
      <c r="O615" s="213">
        <f t="shared" si="527"/>
        <v>119.67060642720631</v>
      </c>
      <c r="P615" s="213">
        <f t="shared" si="527"/>
        <v>119.67060642720631</v>
      </c>
      <c r="Q615" s="213">
        <f t="shared" si="527"/>
        <v>119.67060642720631</v>
      </c>
      <c r="S615" s="287" t="s">
        <v>742</v>
      </c>
      <c r="T615" s="288">
        <f>IF(S609&gt;$X$42,$Z$42,IF(S609&gt;$X$43,$Z$43,IF(S609&gt;$X$44,$Z$44,$Z$45)))</f>
        <v>0.5</v>
      </c>
      <c r="U615" s="256"/>
      <c r="V615" s="256"/>
    </row>
    <row r="616" spans="1:22">
      <c r="A616" s="270" t="s">
        <v>607</v>
      </c>
      <c r="B616" s="277">
        <f>B615</f>
        <v>227.28541016179389</v>
      </c>
      <c r="C616" s="277">
        <f t="shared" ref="C616:Q616" si="528">C615</f>
        <v>281.58722409980385</v>
      </c>
      <c r="D616" s="277">
        <f t="shared" si="528"/>
        <v>336.54968020229063</v>
      </c>
      <c r="E616" s="277">
        <f t="shared" si="528"/>
        <v>415.34650521576316</v>
      </c>
      <c r="F616" s="277">
        <f t="shared" si="528"/>
        <v>488.97611295855756</v>
      </c>
      <c r="G616" s="277">
        <f t="shared" si="528"/>
        <v>568.93031521259195</v>
      </c>
      <c r="H616" s="277">
        <f t="shared" si="528"/>
        <v>655.65749740963349</v>
      </c>
      <c r="I616" s="277">
        <f t="shared" si="528"/>
        <v>472.0733981349361</v>
      </c>
      <c r="J616" s="277">
        <f t="shared" si="528"/>
        <v>220.30091912963687</v>
      </c>
      <c r="K616" s="277">
        <f t="shared" si="528"/>
        <v>132.96734047467368</v>
      </c>
      <c r="L616" s="277">
        <f t="shared" si="528"/>
        <v>119.67060642720631</v>
      </c>
      <c r="M616" s="277">
        <f t="shared" si="528"/>
        <v>119.67060642720631</v>
      </c>
      <c r="N616" s="277">
        <f t="shared" si="528"/>
        <v>119.67060642720631</v>
      </c>
      <c r="O616" s="277">
        <f t="shared" si="528"/>
        <v>119.67060642720631</v>
      </c>
      <c r="P616" s="277">
        <f t="shared" si="528"/>
        <v>119.67060642720631</v>
      </c>
      <c r="Q616" s="277">
        <f t="shared" si="528"/>
        <v>119.67060642720631</v>
      </c>
      <c r="S616" s="287" t="s">
        <v>743</v>
      </c>
      <c r="T616" s="256">
        <f>T609-T613</f>
        <v>11</v>
      </c>
      <c r="U616" s="256">
        <f>T616-2</f>
        <v>9</v>
      </c>
      <c r="V616" s="256"/>
    </row>
    <row r="617" spans="1:22">
      <c r="A617" s="279" t="s">
        <v>733</v>
      </c>
      <c r="B617" s="280">
        <f t="shared" ref="B617:Q617" si="529">B616*B$45</f>
        <v>0</v>
      </c>
      <c r="C617" s="280">
        <f t="shared" si="529"/>
        <v>0</v>
      </c>
      <c r="D617" s="280">
        <f t="shared" si="529"/>
        <v>0</v>
      </c>
      <c r="E617" s="280">
        <f t="shared" ca="1" si="529"/>
        <v>395.43477175340632</v>
      </c>
      <c r="F617" s="280">
        <f t="shared" ca="1" si="529"/>
        <v>434.04213431715658</v>
      </c>
      <c r="G617" s="280">
        <f t="shared" ca="1" si="529"/>
        <v>470.8507578294803</v>
      </c>
      <c r="H617" s="280">
        <f t="shared" ca="1" si="529"/>
        <v>505.91922331774333</v>
      </c>
      <c r="I617" s="280">
        <f t="shared" ca="1" si="529"/>
        <v>339.62029088170067</v>
      </c>
      <c r="J617" s="280">
        <f t="shared" ca="1" si="529"/>
        <v>147.76798874525005</v>
      </c>
      <c r="K617" s="280">
        <f t="shared" ca="1" si="529"/>
        <v>83.155118570232602</v>
      </c>
      <c r="L617" s="280">
        <f t="shared" ca="1" si="529"/>
        <v>69.776864209476301</v>
      </c>
      <c r="M617" s="280">
        <f t="shared" ca="1" si="529"/>
        <v>65.056605622813066</v>
      </c>
      <c r="N617" s="280">
        <f t="shared" ca="1" si="529"/>
        <v>60.655662634197917</v>
      </c>
      <c r="O617" s="280">
        <f t="shared" ca="1" si="529"/>
        <v>56.552434212821851</v>
      </c>
      <c r="P617" s="280">
        <f t="shared" ca="1" si="529"/>
        <v>52.726780592326733</v>
      </c>
      <c r="Q617" s="280">
        <f t="shared" ca="1" si="529"/>
        <v>49.159924419328377</v>
      </c>
      <c r="S617" s="289" t="s">
        <v>744</v>
      </c>
      <c r="T617" s="288">
        <f>VLOOKUP(S617,$Y$32:$AB$34,2,0)</f>
        <v>-0.7</v>
      </c>
      <c r="U617" s="288">
        <f>VLOOKUP(S617,$Y$32:$AB$34,3,0)</f>
        <v>-0.35</v>
      </c>
      <c r="V617" s="288">
        <f>VLOOKUP(S617,$Y$32:$AB$34,4,0)</f>
        <v>-0.1</v>
      </c>
    </row>
    <row r="618" spans="1:22">
      <c r="A618" s="270" t="s">
        <v>734</v>
      </c>
      <c r="B618" s="213">
        <f ca="1">SUM(B617:Q617)</f>
        <v>2730.718557105934</v>
      </c>
      <c r="C618" s="277"/>
      <c r="D618" s="277"/>
      <c r="E618" s="277"/>
      <c r="F618" s="277"/>
      <c r="G618" s="277"/>
      <c r="H618" s="277"/>
      <c r="I618" s="277"/>
      <c r="J618" s="277"/>
      <c r="K618" s="277"/>
      <c r="L618" s="277"/>
      <c r="M618" s="277"/>
      <c r="N618" s="256"/>
      <c r="O618" s="256"/>
      <c r="P618" s="256"/>
      <c r="Q618" s="256"/>
    </row>
    <row r="619" spans="1:22">
      <c r="A619" s="281" t="s">
        <v>735</v>
      </c>
      <c r="B619" s="213">
        <f ca="1">(Q616*(1+C619))/(DCF!$H$31-NPV!C619)*NPV!$Q$45</f>
        <v>381.06547851167119</v>
      </c>
      <c r="C619" s="286">
        <v>-0.05</v>
      </c>
      <c r="D619" s="277"/>
      <c r="E619" s="277"/>
      <c r="F619" s="277"/>
      <c r="G619" s="277"/>
      <c r="H619" s="277"/>
      <c r="I619" s="277"/>
      <c r="J619" s="277"/>
      <c r="K619" s="277"/>
      <c r="L619" s="277"/>
      <c r="M619" s="277"/>
      <c r="N619" s="256"/>
      <c r="O619" s="256"/>
      <c r="P619" s="256"/>
      <c r="Q619" s="256"/>
    </row>
    <row r="620" spans="1:22">
      <c r="A620" s="281" t="s">
        <v>736</v>
      </c>
      <c r="B620" s="213">
        <f ca="1">SUM(B618:B619)/DCF!$C$30</f>
        <v>1.3264211575522613</v>
      </c>
      <c r="C620" s="283"/>
      <c r="D620" s="283"/>
      <c r="E620" s="283"/>
      <c r="F620" s="283"/>
      <c r="G620" s="283"/>
      <c r="H620" s="283"/>
      <c r="I620" s="283"/>
      <c r="J620" s="283"/>
      <c r="K620" s="283"/>
      <c r="L620" s="283"/>
      <c r="M620" s="256"/>
      <c r="N620" s="256"/>
      <c r="O620" s="256"/>
      <c r="P620" s="256"/>
      <c r="Q620" s="256"/>
    </row>
    <row r="621" spans="1:22">
      <c r="A621" s="284" t="s">
        <v>737</v>
      </c>
      <c r="B621" s="285">
        <f ca="1">B620/DCF!$H$24</f>
        <v>1.2877875316041372</v>
      </c>
    </row>
    <row r="623" spans="1:22" hidden="1" outlineLevel="1">
      <c r="A623" s="265" t="s">
        <v>53</v>
      </c>
      <c r="B623" s="266">
        <v>2015</v>
      </c>
      <c r="C623" s="266">
        <v>2016</v>
      </c>
      <c r="D623" s="266">
        <v>2017</v>
      </c>
      <c r="E623" s="266">
        <v>2018</v>
      </c>
      <c r="F623" s="266">
        <v>2019</v>
      </c>
      <c r="G623" s="266">
        <v>2020</v>
      </c>
      <c r="H623" s="266">
        <v>2021</v>
      </c>
      <c r="I623" s="266">
        <v>2022</v>
      </c>
      <c r="J623" s="266">
        <v>2023</v>
      </c>
      <c r="K623" s="266">
        <v>2024</v>
      </c>
      <c r="L623" s="266">
        <v>2025</v>
      </c>
      <c r="M623" s="266">
        <v>2026</v>
      </c>
      <c r="N623" s="266">
        <v>2027</v>
      </c>
      <c r="O623" s="266">
        <v>2028</v>
      </c>
      <c r="P623" s="266">
        <v>2029</v>
      </c>
      <c r="Q623" s="267">
        <v>2030</v>
      </c>
      <c r="S623" s="256" t="s">
        <v>709</v>
      </c>
      <c r="T623" s="256" t="s">
        <v>710</v>
      </c>
      <c r="U623" s="256"/>
      <c r="V623" s="256"/>
    </row>
    <row r="624" spans="1:22" hidden="1" outlineLevel="1">
      <c r="A624" s="268" t="s">
        <v>729</v>
      </c>
      <c r="B624" s="269">
        <f>Sales!G332</f>
        <v>1284</v>
      </c>
      <c r="C624" s="269">
        <f>Sales!H332</f>
        <v>1073</v>
      </c>
      <c r="D624" s="269">
        <f>Sales!I332</f>
        <v>957</v>
      </c>
      <c r="E624" s="269">
        <f>Sales!J332</f>
        <v>893.8850013716351</v>
      </c>
      <c r="F624" s="269">
        <f>Sales!K332</f>
        <v>804.49650123447168</v>
      </c>
      <c r="G624" s="269">
        <f>Sales!L332</f>
        <v>724.04685111102447</v>
      </c>
      <c r="H624" s="269">
        <f>Sales!M332</f>
        <v>651.64216599992199</v>
      </c>
      <c r="I624" s="269">
        <f>Sales!N332</f>
        <v>586.4779493999298</v>
      </c>
      <c r="J624" s="269">
        <f>Sales!O332</f>
        <v>527.83015445993692</v>
      </c>
      <c r="K624" s="269">
        <f>Sales!P332</f>
        <v>475.04713901394319</v>
      </c>
      <c r="L624" s="269">
        <f>Sales!Q332</f>
        <v>427.54242511254887</v>
      </c>
      <c r="M624" s="269">
        <f>L624*(1+M625)</f>
        <v>427.54242511254887</v>
      </c>
      <c r="N624" s="269">
        <f>M624*(1+N625)</f>
        <v>427.54242511254887</v>
      </c>
      <c r="O624" s="269">
        <f>N624*(1+O625)</f>
        <v>427.54242511254887</v>
      </c>
      <c r="P624" s="269">
        <f>O624*(1+P625)</f>
        <v>427.54242511254887</v>
      </c>
      <c r="Q624" s="269">
        <f>P624*(1+Q625)</f>
        <v>427.54242511254887</v>
      </c>
      <c r="S624" s="213">
        <f>MAX(MAX(Sales!C332:W332),MAX(K624:Q624))</f>
        <v>5665</v>
      </c>
      <c r="T624" s="256">
        <f>IFERROR(INDEX(Sales!$B$1:$Q$1,MATCH(NPV!S624,Sales!B332:Q332,0)),INDEX(C623:Q623,MATCH(NPV!S624,C624:Q624,0)))</f>
        <v>2011</v>
      </c>
      <c r="U624" s="256"/>
      <c r="V624" s="256"/>
    </row>
    <row r="625" spans="1:22" hidden="1" outlineLevel="1">
      <c r="A625" s="270" t="s">
        <v>579</v>
      </c>
      <c r="B625" s="271"/>
      <c r="C625" s="271">
        <f t="shared" ref="C625:H625" si="530">C624/B624-1</f>
        <v>-0.16433021806853587</v>
      </c>
      <c r="D625" s="271">
        <f t="shared" si="530"/>
        <v>-0.10810810810810811</v>
      </c>
      <c r="E625" s="271">
        <f t="shared" si="530"/>
        <v>-6.5950886759001959E-2</v>
      </c>
      <c r="F625" s="271">
        <f t="shared" si="530"/>
        <v>-9.9999999999999867E-2</v>
      </c>
      <c r="G625" s="271">
        <f t="shared" si="530"/>
        <v>-0.10000000000000009</v>
      </c>
      <c r="H625" s="271">
        <f t="shared" si="530"/>
        <v>-0.10000000000000009</v>
      </c>
      <c r="I625" s="271">
        <f>I624/H624-1</f>
        <v>-9.9999999999999978E-2</v>
      </c>
      <c r="J625" s="271">
        <f>J624/I624-1</f>
        <v>-9.9999999999999867E-2</v>
      </c>
      <c r="K625" s="271">
        <f t="shared" ref="K625:L625" si="531">K624/J624-1</f>
        <v>-0.10000000000000009</v>
      </c>
      <c r="L625" s="271">
        <f t="shared" si="531"/>
        <v>-9.9999999999999978E-2</v>
      </c>
      <c r="M625" s="272">
        <v>0</v>
      </c>
      <c r="N625" s="272">
        <v>0</v>
      </c>
      <c r="O625" s="272">
        <v>0</v>
      </c>
      <c r="P625" s="272">
        <v>0</v>
      </c>
      <c r="Q625" s="272">
        <v>0</v>
      </c>
      <c r="S625" s="256" t="s">
        <v>738</v>
      </c>
      <c r="T625" s="256"/>
      <c r="U625" s="256"/>
      <c r="V625" s="256"/>
    </row>
    <row r="626" spans="1:22" hidden="1" outlineLevel="1">
      <c r="A626" s="273" t="s">
        <v>730</v>
      </c>
      <c r="B626" s="274">
        <f t="shared" ref="B626:Q626" si="532">B624*B627</f>
        <v>641.99999999999989</v>
      </c>
      <c r="C626" s="274">
        <f t="shared" si="532"/>
        <v>536.49999999999989</v>
      </c>
      <c r="D626" s="274">
        <f t="shared" si="532"/>
        <v>478.49999999999994</v>
      </c>
      <c r="E626" s="274">
        <f t="shared" si="532"/>
        <v>446.94250068581749</v>
      </c>
      <c r="F626" s="274">
        <f t="shared" si="532"/>
        <v>402.24825061723578</v>
      </c>
      <c r="G626" s="274">
        <f t="shared" si="532"/>
        <v>362.02342555551218</v>
      </c>
      <c r="H626" s="274">
        <f t="shared" si="532"/>
        <v>325.82108299996094</v>
      </c>
      <c r="I626" s="274">
        <f t="shared" si="532"/>
        <v>293.23897469996484</v>
      </c>
      <c r="J626" s="274">
        <f t="shared" si="532"/>
        <v>263.9150772299684</v>
      </c>
      <c r="K626" s="274">
        <f t="shared" si="532"/>
        <v>237.52356950697157</v>
      </c>
      <c r="L626" s="274">
        <f t="shared" si="532"/>
        <v>213.77121255627441</v>
      </c>
      <c r="M626" s="274">
        <f t="shared" si="532"/>
        <v>213.77121255627441</v>
      </c>
      <c r="N626" s="274">
        <f t="shared" si="532"/>
        <v>213.77121255627441</v>
      </c>
      <c r="O626" s="274">
        <f t="shared" si="532"/>
        <v>213.77121255627441</v>
      </c>
      <c r="P626" s="274">
        <f t="shared" si="532"/>
        <v>213.77121255627441</v>
      </c>
      <c r="Q626" s="274">
        <f t="shared" si="532"/>
        <v>213.77121255627441</v>
      </c>
      <c r="S626" s="282">
        <f>IF(S624&gt;$X$39,$Z$39,$Z$40)</f>
        <v>-0.1</v>
      </c>
      <c r="T626" s="282">
        <f>IF(S624&gt;$X$39,$AA$39,$AA$40)</f>
        <v>-0.05</v>
      </c>
      <c r="U626" s="282">
        <f>IF(S624&gt;$X$39,$AB$39,$AB$40)</f>
        <v>-0.05</v>
      </c>
      <c r="V626" s="256"/>
    </row>
    <row r="627" spans="1:22" hidden="1" outlineLevel="1">
      <c r="A627" s="270" t="s">
        <v>580</v>
      </c>
      <c r="B627" s="286">
        <f>IF(B623-T624&gt;3,T629,IF(B623-T624=1,45%+S626,IF(B623-T624=2,A627+T626,IF(B623-T624=3,A627+U626,IF(B623-T624=0,T630,IF(T624-B623=U631+1,$AA$37,IF(T624-B623=U631+2,$Z$37,IF(B623&lt;T624,C627-(T630-$AB$37)/U631))))))))</f>
        <v>0.49999999999999994</v>
      </c>
      <c r="C627" s="286">
        <f>IF(C623-T624&gt;3,T629,IF(C623-T624=1,B627+S626,IF(C623-T624=2,B627+T626,IF(C623-T624=3,B627+U626,IF(C623-T624=0,T630,IF(T624-C623=U631+1,$AA$37,IF(T624-C623=U631+2,$Z$37,IF(C623&lt;T624,D627-(T630-$AB$37)/U631))))))))</f>
        <v>0.49999999999999994</v>
      </c>
      <c r="D627" s="286">
        <f>IF(D623-T624&gt;3,T629,IF(D623-T624=1,C627+S626,IF(D623-T624=2,C627+T626,IF(D623-T624=3,C627+U626,IF(D623-T624=0,T630,IF(T624-D623=U631+1,$AA$37,IF(T624-D623=U631+2,$Z$37,IF(D623&lt;T624,E627-(T630-$AB$37)/U631))))))))</f>
        <v>0.49999999999999994</v>
      </c>
      <c r="E627" s="286">
        <f>IF(E623-T624&gt;3,T629,IF(E623-T624=1,D627+S626,IF(E623-T624=2,D627+T626,IF(E623-T624=3,D627+U626,IF(E623-T624=0,T630,IF(T624-E623=U631+1,$AA$37,IF(T624-E623=U631+2,$Z$37,IF(E623&lt;T624,F627-(T630-$AB$37)/U631))))))))</f>
        <v>0.49999999999999994</v>
      </c>
      <c r="F627" s="286">
        <f>IF(F623-T624&gt;3,T629,IF(F623-T624=1,E627+S626,IF(F623-T624=2,E627+T626,IF(F623-T624=3,E627+U626,IF(F623-T624=0,T630,IF(T624-F623=U631+1,$AA$37,IF(T624-F623=U631+2,$Z$37,IF(F623&lt;T624,G627-(T630-$AB$37)/U631))))))))</f>
        <v>0.49999999999999994</v>
      </c>
      <c r="G627" s="286">
        <f>IF(G623-T624&gt;3,T629,IF(G623-T624=1,F627+S626,IF(G623-T624=2,F627+T626,IF(G623-T624=3,F627+U626,IF(G623-T624=0,T630,IF(T624-G623=U631+1,$AA$37,IF(T624-G623=U631+2,$Z$37,IF(G623&lt;T624,H627-(T630-$AB$37)/U631))))))))</f>
        <v>0.49999999999999994</v>
      </c>
      <c r="H627" s="286">
        <f>IF(H623-T624&gt;3,T629,IF(H623-T624=1,G627+S626,IF(H623-T624=2,G627+T626,IF(H623-T624=3,G627+U626,IF(H623-T624=0,T630,IF(T624-H623=U631+1,$AA$37,IF(T624-H623=U631+2,$Z$37,IF(H623&lt;T624,I627-(T630-$AB$37)/U631))))))))</f>
        <v>0.49999999999999994</v>
      </c>
      <c r="I627" s="286">
        <f>IF(I623-T624&gt;3,T629,IF(I623-T624=1,H627+S626,IF(I623-T624=2,H627+T626,IF(I623-T624=3,H627+U626,IF(I623-T624=0,T630,IF(T624-I623=U631+1,$AA$37,IF(T624-I623=U631+2,$Z$37,IF(I623&lt;T624,J627-(T630-$AB$37)/U631))))))))</f>
        <v>0.49999999999999994</v>
      </c>
      <c r="J627" s="286">
        <f>IF(J623-T624&gt;3,T629,IF(J623-T624=1,I627+S626,IF(J623-T624=2,I627+T626,IF(J623-T624=3,I627+U626,IF(J623-T624=0,T630,IF(T624-J623=U631+1,$AA$37,IF(T624-J623=U631+2,$Z$37,IF(J623&lt;T624,K627-(T630-$AB$37)/U631))))))))</f>
        <v>0.49999999999999994</v>
      </c>
      <c r="K627" s="286">
        <f>IF(K623-T624&gt;3,T629,IF(K623-T624=1,J627+S626,IF(K623-T624=2,J627+T626,IF(K623-T624=3,J627+U626,IF(K623-T624=0,T630,IF(T624-K623=U631+1,$AA$37,IF(T624-K623=U631+2,$Z$37,IF(K623&lt;T624,L627-(T630-$AB$37)/U631))))))))</f>
        <v>0.49999999999999994</v>
      </c>
      <c r="L627" s="286">
        <f>IF(L623-T624&gt;3,T629,IF(L623-T624=1,K627+S626,IF(L623-T624=2,K627+T626,IF(L623-T624=3,K627+U626,IF(L623-T624=0,T630,IF(T624-L623=U631+1,$AA$37,IF(T624-L623=U631+2,$Z$37,IF(L623&lt;T624,M627-(T630-$AB$37)/U631))))))))</f>
        <v>0.49999999999999994</v>
      </c>
      <c r="M627" s="286">
        <f>IF(M623-T624&gt;3,T629,IF(M623-T624=1,L627+S626,IF(M623-T624=2,L627+T626,IF(M623-T624=3,L627+U626,IF(M623-T624=0,T630,IF(T624-M623=U631+1,$AA$37,IF(T624-M623=U631+2,$Z$37,IF(M623&lt;T624,N627-(T630-$AB$37)/U631))))))))</f>
        <v>0.49999999999999994</v>
      </c>
      <c r="N627" s="286">
        <f>IF(N623-T624&gt;3,T629,IF(N623-T624=1,M627+S626,IF(N623-T624=2,M627+T626,IF(N623-T624=3,M627+U626,IF(N623-T624=0,T630,IF(T624-N623=U631+1,$AA$37,IF(T624-N623=U631+2,$Z$37,IF(N623&lt;T624,O627-(T630-$AB$37)/U631))))))))</f>
        <v>0.49999999999999994</v>
      </c>
      <c r="O627" s="286">
        <f>IF(O623-T624&gt;3,T629,IF(O623-T624=1,N627+S626,IF(O623-T624=2,N627+T626,IF(O623-T624=3,N627+U626,IF(O623-T624=0,T630,IF(T624-O623=U631+1,$AA$37,IF(T624-O623=U631+2,$Z$37,IF(O623&lt;T624,P627-(T630-$AB$37)/U631))))))))</f>
        <v>0.49999999999999994</v>
      </c>
      <c r="P627" s="286">
        <f>IF(P623-T624&gt;3,T629,IF(P623-T624=1,O627+S626,IF(P623-T624=2,O627+T626,IF(P623-T624=3,O627+U626,IF(P623-T624=0,T630,IF(T624-P623=U631+1,$AA$37,IF(T624-P623=U631+2,$Z$37,IF(P623&lt;T624,Q627-(T630-$AB$37)/U631))))))))</f>
        <v>0.49999999999999994</v>
      </c>
      <c r="Q627" s="286">
        <f>IF(Q623-T624&gt;3,T629,IF(Q623-T624=1,P627+S626,IF(Q623-T624=2,P627+T626,IF(Q623-T624=3,P627+U626,IF(Q623-T624=0,T630,IF(T624-Q623=U631+1,$AA$37,IF(T624-Q623=U631+2,$Z$37,IF(Q623&lt;T624,R627-(T630-$AB$37)/U631))))))))</f>
        <v>0.49999999999999994</v>
      </c>
      <c r="S627" s="287" t="s">
        <v>739</v>
      </c>
      <c r="T627" s="213">
        <f t="array" ref="T627">INDEX(Sales!B332:Q332,MATCH(FALSE,ISBLANK(Sales!B332:Q332),0))</f>
        <v>6053</v>
      </c>
      <c r="U627" s="256"/>
      <c r="V627" s="256"/>
    </row>
    <row r="628" spans="1:22" hidden="1" outlineLevel="1">
      <c r="A628" s="270" t="s">
        <v>731</v>
      </c>
      <c r="B628" s="213">
        <f>B626*B629</f>
        <v>93.438972466647726</v>
      </c>
      <c r="C628" s="213">
        <f t="shared" ref="C628:Q628" si="533">C626*C629</f>
        <v>80.626098385279747</v>
      </c>
      <c r="D628" s="213">
        <f t="shared" si="533"/>
        <v>73.166443551985708</v>
      </c>
      <c r="E628" s="213">
        <f t="shared" si="533"/>
        <v>71.510800109730795</v>
      </c>
      <c r="F628" s="213">
        <f t="shared" si="533"/>
        <v>64.35972009875772</v>
      </c>
      <c r="G628" s="213">
        <f t="shared" si="533"/>
        <v>57.92374808888195</v>
      </c>
      <c r="H628" s="213">
        <f t="shared" si="533"/>
        <v>52.131373279993753</v>
      </c>
      <c r="I628" s="213">
        <f t="shared" si="533"/>
        <v>46.918235951994376</v>
      </c>
      <c r="J628" s="213">
        <f t="shared" si="533"/>
        <v>42.226412356794945</v>
      </c>
      <c r="K628" s="213">
        <f t="shared" si="533"/>
        <v>38.003771121115449</v>
      </c>
      <c r="L628" s="213">
        <f t="shared" si="533"/>
        <v>34.203394009003908</v>
      </c>
      <c r="M628" s="213">
        <f t="shared" si="533"/>
        <v>34.203394009003908</v>
      </c>
      <c r="N628" s="213">
        <f t="shared" si="533"/>
        <v>34.203394009003908</v>
      </c>
      <c r="O628" s="213">
        <f t="shared" si="533"/>
        <v>34.203394009003908</v>
      </c>
      <c r="P628" s="213">
        <f t="shared" si="533"/>
        <v>34.203394009003908</v>
      </c>
      <c r="Q628" s="213">
        <f t="shared" si="533"/>
        <v>34.203394009003908</v>
      </c>
      <c r="S628" s="287" t="s">
        <v>740</v>
      </c>
      <c r="T628" s="256">
        <f>IFERROR(INDEX(Sales!$B$1:$Q$1,MATCH(NPV!T627,Sales!B332:Q332,0)),INDEX(C623:Q623,MATCH(NPV!T627,C624:Q624,0)))</f>
        <v>2010</v>
      </c>
      <c r="U628" s="256"/>
      <c r="V628" s="256"/>
    </row>
    <row r="629" spans="1:22" hidden="1" outlineLevel="1">
      <c r="A629" s="270" t="s">
        <v>635</v>
      </c>
      <c r="B629" s="196">
        <f>'P&amp;L'!G$120</f>
        <v>0.1455435708203236</v>
      </c>
      <c r="C629" s="196">
        <f>'P&amp;L'!H$120</f>
        <v>0.15028163725122043</v>
      </c>
      <c r="D629" s="196">
        <f>'P&amp;L'!I$120</f>
        <v>0.15290792800832961</v>
      </c>
      <c r="E629" s="196">
        <f>'P&amp;L'!J$120</f>
        <v>0.16</v>
      </c>
      <c r="F629" s="196">
        <f>'P&amp;L'!K$120</f>
        <v>0.16</v>
      </c>
      <c r="G629" s="196">
        <f>'P&amp;L'!L$120</f>
        <v>0.16</v>
      </c>
      <c r="H629" s="196">
        <f>'P&amp;L'!M$120</f>
        <v>0.16</v>
      </c>
      <c r="I629" s="196">
        <f>'P&amp;L'!N$120</f>
        <v>0.16</v>
      </c>
      <c r="J629" s="196">
        <f>'P&amp;L'!O$120</f>
        <v>0.16</v>
      </c>
      <c r="K629" s="196">
        <f>'P&amp;L'!P$120</f>
        <v>0.16</v>
      </c>
      <c r="L629" s="196">
        <f>'P&amp;L'!Q$120</f>
        <v>0.16</v>
      </c>
      <c r="M629" s="196">
        <f t="shared" ref="M629" si="534">L629</f>
        <v>0.16</v>
      </c>
      <c r="N629" s="196">
        <f t="shared" ref="N629" si="535">M629</f>
        <v>0.16</v>
      </c>
      <c r="O629" s="196">
        <f t="shared" ref="O629" si="536">N629</f>
        <v>0.16</v>
      </c>
      <c r="P629" s="196">
        <f t="shared" ref="P629" si="537">O629</f>
        <v>0.16</v>
      </c>
      <c r="Q629" s="196">
        <f t="shared" ref="Q629" si="538">P629</f>
        <v>0.16</v>
      </c>
      <c r="S629" s="287" t="s">
        <v>741</v>
      </c>
      <c r="T629" s="288">
        <f>IF(Q623-T624&gt;3,IF(AND(S624&lt;$X$42,S624&lt;$X$43,S624&lt;$X$44),$AA$45,IF(AND(S624&lt;$X$42,S624&lt;$X$43),$AA$44,IF(S624&lt;$X$42,$AA$43,$AA$42))))</f>
        <v>0.49999999999999994</v>
      </c>
      <c r="U629" s="256"/>
      <c r="V629" s="256"/>
    </row>
    <row r="630" spans="1:22" hidden="1" outlineLevel="1">
      <c r="A630" s="256" t="s">
        <v>732</v>
      </c>
      <c r="B630" s="213">
        <f>B626-B628</f>
        <v>548.56102753335222</v>
      </c>
      <c r="C630" s="213">
        <f t="shared" ref="C630:Q630" si="539">C626-C628</f>
        <v>455.87390161472013</v>
      </c>
      <c r="D630" s="213">
        <f t="shared" si="539"/>
        <v>405.33355644801424</v>
      </c>
      <c r="E630" s="213">
        <f t="shared" si="539"/>
        <v>375.43170057608671</v>
      </c>
      <c r="F630" s="213">
        <f t="shared" si="539"/>
        <v>337.88853051847809</v>
      </c>
      <c r="G630" s="213">
        <f t="shared" si="539"/>
        <v>304.09967746663023</v>
      </c>
      <c r="H630" s="213">
        <f t="shared" si="539"/>
        <v>273.6897097199672</v>
      </c>
      <c r="I630" s="213">
        <f t="shared" si="539"/>
        <v>246.32073874797047</v>
      </c>
      <c r="J630" s="213">
        <f t="shared" si="539"/>
        <v>221.68866487317345</v>
      </c>
      <c r="K630" s="213">
        <f t="shared" si="539"/>
        <v>199.51979838585612</v>
      </c>
      <c r="L630" s="213">
        <f t="shared" si="539"/>
        <v>179.56781854727049</v>
      </c>
      <c r="M630" s="213">
        <f t="shared" si="539"/>
        <v>179.56781854727049</v>
      </c>
      <c r="N630" s="213">
        <f t="shared" si="539"/>
        <v>179.56781854727049</v>
      </c>
      <c r="O630" s="213">
        <f t="shared" si="539"/>
        <v>179.56781854727049</v>
      </c>
      <c r="P630" s="213">
        <f t="shared" si="539"/>
        <v>179.56781854727049</v>
      </c>
      <c r="Q630" s="213">
        <f t="shared" si="539"/>
        <v>179.56781854727049</v>
      </c>
      <c r="S630" s="287" t="s">
        <v>742</v>
      </c>
      <c r="T630" s="288">
        <f>IF(S624&gt;$X$42,$Z$42,IF(S624&gt;$X$43,$Z$43,IF(S624&gt;$X$44,$Z$44,$Z$45)))</f>
        <v>0.7</v>
      </c>
      <c r="U630" s="256"/>
      <c r="V630" s="256"/>
    </row>
    <row r="631" spans="1:22" hidden="1" outlineLevel="1">
      <c r="A631" s="270" t="s">
        <v>607</v>
      </c>
      <c r="B631" s="277">
        <f>B630</f>
        <v>548.56102753335222</v>
      </c>
      <c r="C631" s="277">
        <f t="shared" ref="C631:Q631" si="540">C630</f>
        <v>455.87390161472013</v>
      </c>
      <c r="D631" s="277">
        <f t="shared" si="540"/>
        <v>405.33355644801424</v>
      </c>
      <c r="E631" s="277">
        <f t="shared" si="540"/>
        <v>375.43170057608671</v>
      </c>
      <c r="F631" s="277">
        <f t="shared" si="540"/>
        <v>337.88853051847809</v>
      </c>
      <c r="G631" s="277">
        <f t="shared" si="540"/>
        <v>304.09967746663023</v>
      </c>
      <c r="H631" s="277">
        <f t="shared" si="540"/>
        <v>273.6897097199672</v>
      </c>
      <c r="I631" s="277">
        <f t="shared" si="540"/>
        <v>246.32073874797047</v>
      </c>
      <c r="J631" s="277">
        <f t="shared" si="540"/>
        <v>221.68866487317345</v>
      </c>
      <c r="K631" s="277">
        <f t="shared" si="540"/>
        <v>199.51979838585612</v>
      </c>
      <c r="L631" s="277">
        <f t="shared" si="540"/>
        <v>179.56781854727049</v>
      </c>
      <c r="M631" s="277">
        <f t="shared" si="540"/>
        <v>179.56781854727049</v>
      </c>
      <c r="N631" s="277">
        <f t="shared" si="540"/>
        <v>179.56781854727049</v>
      </c>
      <c r="O631" s="277">
        <f t="shared" si="540"/>
        <v>179.56781854727049</v>
      </c>
      <c r="P631" s="277">
        <f t="shared" si="540"/>
        <v>179.56781854727049</v>
      </c>
      <c r="Q631" s="277">
        <f t="shared" si="540"/>
        <v>179.56781854727049</v>
      </c>
      <c r="S631" s="287" t="s">
        <v>743</v>
      </c>
      <c r="T631" s="256">
        <f>T624-T628</f>
        <v>1</v>
      </c>
      <c r="U631" s="256">
        <f>T631-2</f>
        <v>-1</v>
      </c>
      <c r="V631" s="256"/>
    </row>
    <row r="632" spans="1:22" hidden="1" outlineLevel="1">
      <c r="A632" s="279" t="s">
        <v>733</v>
      </c>
      <c r="B632" s="280">
        <f t="shared" ref="B632:Q632" si="541">B631*B$45</f>
        <v>0</v>
      </c>
      <c r="C632" s="280">
        <f t="shared" si="541"/>
        <v>0</v>
      </c>
      <c r="D632" s="280">
        <f t="shared" si="541"/>
        <v>0</v>
      </c>
      <c r="E632" s="280">
        <f t="shared" ca="1" si="541"/>
        <v>357.43348496257858</v>
      </c>
      <c r="F632" s="280">
        <f t="shared" ca="1" si="541"/>
        <v>299.928473111237</v>
      </c>
      <c r="G632" s="280">
        <f t="shared" ca="1" si="541"/>
        <v>251.67504659574922</v>
      </c>
      <c r="H632" s="280">
        <f t="shared" ca="1" si="541"/>
        <v>211.18478156450649</v>
      </c>
      <c r="I632" s="280">
        <f t="shared" ca="1" si="541"/>
        <v>177.20871642902716</v>
      </c>
      <c r="J632" s="280">
        <f t="shared" ca="1" si="541"/>
        <v>148.69882642955181</v>
      </c>
      <c r="K632" s="280">
        <f t="shared" ca="1" si="541"/>
        <v>124.77569629246574</v>
      </c>
      <c r="L632" s="280">
        <f t="shared" ca="1" si="541"/>
        <v>104.70139381123947</v>
      </c>
      <c r="M632" s="280">
        <f t="shared" ca="1" si="541"/>
        <v>97.618564011244061</v>
      </c>
      <c r="N632" s="280">
        <f t="shared" ca="1" si="541"/>
        <v>91.014872799089673</v>
      </c>
      <c r="O632" s="280">
        <f t="shared" ca="1" si="541"/>
        <v>84.857907453753612</v>
      </c>
      <c r="P632" s="280">
        <f t="shared" ca="1" si="541"/>
        <v>79.117447906841861</v>
      </c>
      <c r="Q632" s="280">
        <f t="shared" ca="1" si="541"/>
        <v>73.765318414235153</v>
      </c>
      <c r="S632" s="289" t="s">
        <v>744</v>
      </c>
      <c r="T632" s="288">
        <f>VLOOKUP(S632,$Y$32:$AB$34,2,0)</f>
        <v>-0.7</v>
      </c>
      <c r="U632" s="288">
        <f>VLOOKUP(S632,$Y$32:$AB$34,3,0)</f>
        <v>-0.35</v>
      </c>
      <c r="V632" s="288">
        <f>VLOOKUP(S632,$Y$32:$AB$34,4,0)</f>
        <v>-0.1</v>
      </c>
    </row>
    <row r="633" spans="1:22" hidden="1" outlineLevel="1">
      <c r="A633" s="270" t="s">
        <v>734</v>
      </c>
      <c r="B633" s="213">
        <f ca="1">SUM(B632:Q632)</f>
        <v>2101.9805297815196</v>
      </c>
      <c r="C633" s="277"/>
      <c r="D633" s="277"/>
      <c r="E633" s="277"/>
      <c r="F633" s="277"/>
      <c r="G633" s="277"/>
      <c r="H633" s="277"/>
      <c r="I633" s="277"/>
      <c r="J633" s="277"/>
      <c r="K633" s="277"/>
      <c r="L633" s="277"/>
      <c r="M633" s="277"/>
      <c r="N633" s="256"/>
      <c r="O633" s="256"/>
      <c r="P633" s="256"/>
      <c r="Q633" s="256"/>
    </row>
    <row r="634" spans="1:22" hidden="1" outlineLevel="1">
      <c r="A634" s="281" t="s">
        <v>735</v>
      </c>
      <c r="B634" s="213">
        <f ca="1">(Q631*(1+C634))/(DCF!$H$31-NPV!C634)*NPV!$Q$45</f>
        <v>571.79535345327815</v>
      </c>
      <c r="C634" s="612">
        <v>-0.05</v>
      </c>
      <c r="D634" s="277"/>
      <c r="E634" s="277"/>
      <c r="F634" s="277"/>
      <c r="G634" s="277"/>
      <c r="H634" s="277"/>
      <c r="I634" s="277"/>
      <c r="J634" s="277"/>
      <c r="K634" s="277"/>
      <c r="L634" s="277"/>
      <c r="M634" s="277"/>
      <c r="N634" s="256"/>
      <c r="O634" s="256"/>
      <c r="P634" s="256"/>
      <c r="Q634" s="256"/>
    </row>
    <row r="635" spans="1:22" hidden="1" outlineLevel="1">
      <c r="A635" s="281" t="s">
        <v>736</v>
      </c>
      <c r="B635" s="213">
        <f ca="1">SUM(B633:B634)/DCF!$C$30</f>
        <v>1.1397169152748499</v>
      </c>
      <c r="C635" s="283"/>
      <c r="D635" s="283"/>
      <c r="E635" s="283"/>
      <c r="F635" s="283"/>
      <c r="G635" s="283"/>
      <c r="H635" s="283"/>
      <c r="I635" s="283"/>
      <c r="J635" s="283"/>
      <c r="K635" s="283"/>
      <c r="L635" s="283"/>
      <c r="M635" s="256"/>
      <c r="N635" s="256"/>
      <c r="O635" s="256"/>
      <c r="P635" s="256"/>
      <c r="Q635" s="256"/>
    </row>
    <row r="636" spans="1:22" hidden="1" outlineLevel="1">
      <c r="A636" s="284" t="s">
        <v>737</v>
      </c>
      <c r="B636" s="285">
        <f ca="1">B635/DCF!$H$24</f>
        <v>1.1065212769658737</v>
      </c>
    </row>
    <row r="637" spans="1:22" hidden="1" outlineLevel="1"/>
    <row r="638" spans="1:22" hidden="1" outlineLevel="1">
      <c r="A638" s="265" t="s">
        <v>54</v>
      </c>
      <c r="B638" s="266">
        <v>2015</v>
      </c>
      <c r="C638" s="266">
        <v>2016</v>
      </c>
      <c r="D638" s="266">
        <v>2017</v>
      </c>
      <c r="E638" s="266">
        <v>2018</v>
      </c>
      <c r="F638" s="266">
        <v>2019</v>
      </c>
      <c r="G638" s="266">
        <v>2020</v>
      </c>
      <c r="H638" s="266">
        <v>2021</v>
      </c>
      <c r="I638" s="266">
        <v>2022</v>
      </c>
      <c r="J638" s="266">
        <v>2023</v>
      </c>
      <c r="K638" s="266">
        <v>2024</v>
      </c>
      <c r="L638" s="266">
        <v>2025</v>
      </c>
      <c r="M638" s="266">
        <v>2026</v>
      </c>
      <c r="N638" s="266">
        <v>2027</v>
      </c>
      <c r="O638" s="266">
        <v>2028</v>
      </c>
      <c r="P638" s="266">
        <v>2029</v>
      </c>
      <c r="Q638" s="267">
        <v>2030</v>
      </c>
      <c r="S638" s="256" t="s">
        <v>709</v>
      </c>
      <c r="T638" s="256" t="s">
        <v>710</v>
      </c>
      <c r="U638" s="256"/>
      <c r="V638" s="256"/>
    </row>
    <row r="639" spans="1:22" hidden="1" outlineLevel="1">
      <c r="A639" s="268" t="s">
        <v>729</v>
      </c>
      <c r="B639" s="269">
        <f>Sales!G340</f>
        <v>1047</v>
      </c>
      <c r="C639" s="269">
        <f>Sales!H340</f>
        <v>926</v>
      </c>
      <c r="D639" s="269">
        <f>Sales!I340</f>
        <v>960</v>
      </c>
      <c r="E639" s="269">
        <f>Sales!J340</f>
        <v>804.62857857304118</v>
      </c>
      <c r="F639" s="269">
        <f>Sales!K340</f>
        <v>571.64000500112877</v>
      </c>
      <c r="G639" s="269">
        <f>Sales!L340</f>
        <v>517.2760045010159</v>
      </c>
      <c r="H639" s="269">
        <f>Sales!M340</f>
        <v>468.34840405091433</v>
      </c>
      <c r="I639" s="269">
        <f>Sales!N340</f>
        <v>424.31356364582291</v>
      </c>
      <c r="J639" s="269">
        <f>Sales!O340</f>
        <v>384.68220728124061</v>
      </c>
      <c r="K639" s="269">
        <f>Sales!P340</f>
        <v>349.01398655311658</v>
      </c>
      <c r="L639" s="269">
        <f>Sales!Q340</f>
        <v>316.91258789780494</v>
      </c>
      <c r="M639" s="269">
        <f>L639*(1+M640)</f>
        <v>316.91258789780494</v>
      </c>
      <c r="N639" s="269">
        <f>M639*(1+N640)</f>
        <v>316.91258789780494</v>
      </c>
      <c r="O639" s="269">
        <f>N639*(1+O640)</f>
        <v>316.91258789780494</v>
      </c>
      <c r="P639" s="269">
        <f>O639*(1+P640)</f>
        <v>316.91258789780494</v>
      </c>
      <c r="Q639" s="269">
        <f>P639*(1+Q640)</f>
        <v>316.91258789780494</v>
      </c>
      <c r="S639" s="213">
        <f>MAX(MAX(Sales!C340:W340),MAX(K639:Q639))</f>
        <v>1456</v>
      </c>
      <c r="T639" s="256">
        <f>IFERROR(INDEX(Sales!$B$1:$Q$1,MATCH(NPV!S639,Sales!B340:Q340,0)),INDEX(C638:Q638,MATCH(NPV!S639,C639:Q639,0)))</f>
        <v>2013</v>
      </c>
      <c r="U639" s="256"/>
      <c r="V639" s="256"/>
    </row>
    <row r="640" spans="1:22" hidden="1" outlineLevel="1">
      <c r="A640" s="270" t="s">
        <v>579</v>
      </c>
      <c r="B640" s="271"/>
      <c r="C640" s="271">
        <f t="shared" ref="C640:H640" si="542">C639/B639-1</f>
        <v>-0.11556829035339067</v>
      </c>
      <c r="D640" s="271">
        <f t="shared" si="542"/>
        <v>3.6717062634989306E-2</v>
      </c>
      <c r="E640" s="271">
        <f t="shared" si="542"/>
        <v>-0.16184523065308209</v>
      </c>
      <c r="F640" s="271">
        <f t="shared" si="542"/>
        <v>-0.28956040063242994</v>
      </c>
      <c r="G640" s="271">
        <f t="shared" si="542"/>
        <v>-9.5101812372291095E-2</v>
      </c>
      <c r="H640" s="271">
        <f t="shared" si="542"/>
        <v>-9.4587029021960922E-2</v>
      </c>
      <c r="I640" s="271">
        <f>I639/H639-1</f>
        <v>-9.4021544696679227E-2</v>
      </c>
      <c r="J640" s="271">
        <f>J639/I639-1</f>
        <v>-9.3401106540310419E-2</v>
      </c>
      <c r="K640" s="271">
        <f t="shared" ref="K640:L640" si="543">K639/J639-1</f>
        <v>-9.2721264599709086E-2</v>
      </c>
      <c r="L640" s="271">
        <f t="shared" si="543"/>
        <v>-9.1977398878328676E-2</v>
      </c>
      <c r="M640" s="272">
        <v>0</v>
      </c>
      <c r="N640" s="272">
        <v>0</v>
      </c>
      <c r="O640" s="272">
        <v>0</v>
      </c>
      <c r="P640" s="272">
        <v>0</v>
      </c>
      <c r="Q640" s="272">
        <v>0</v>
      </c>
      <c r="S640" s="256" t="s">
        <v>738</v>
      </c>
      <c r="T640" s="256"/>
      <c r="U640" s="256"/>
      <c r="V640" s="256"/>
    </row>
    <row r="641" spans="1:22" hidden="1" outlineLevel="1">
      <c r="A641" s="273" t="s">
        <v>730</v>
      </c>
      <c r="B641" s="274">
        <f t="shared" ref="B641:Q641" si="544">B639*B642</f>
        <v>439.74000000000007</v>
      </c>
      <c r="C641" s="274">
        <f t="shared" si="544"/>
        <v>361.14</v>
      </c>
      <c r="D641" s="274">
        <f t="shared" si="544"/>
        <v>374.40000000000003</v>
      </c>
      <c r="E641" s="274">
        <f t="shared" si="544"/>
        <v>313.80514564348607</v>
      </c>
      <c r="F641" s="274">
        <f t="shared" si="544"/>
        <v>222.93960195044022</v>
      </c>
      <c r="G641" s="274">
        <f t="shared" si="544"/>
        <v>201.7376417553962</v>
      </c>
      <c r="H641" s="274">
        <f t="shared" si="544"/>
        <v>182.65587757985659</v>
      </c>
      <c r="I641" s="274">
        <f t="shared" si="544"/>
        <v>165.48228982187095</v>
      </c>
      <c r="J641" s="274">
        <f t="shared" si="544"/>
        <v>150.02606083968385</v>
      </c>
      <c r="K641" s="274">
        <f t="shared" si="544"/>
        <v>136.11545475571546</v>
      </c>
      <c r="L641" s="274">
        <f t="shared" si="544"/>
        <v>123.59590928014393</v>
      </c>
      <c r="M641" s="274">
        <f t="shared" si="544"/>
        <v>123.59590928014393</v>
      </c>
      <c r="N641" s="274">
        <f t="shared" si="544"/>
        <v>123.59590928014393</v>
      </c>
      <c r="O641" s="274">
        <f t="shared" si="544"/>
        <v>123.59590928014393</v>
      </c>
      <c r="P641" s="274">
        <f t="shared" si="544"/>
        <v>123.59590928014393</v>
      </c>
      <c r="Q641" s="274">
        <f t="shared" si="544"/>
        <v>123.59590928014393</v>
      </c>
      <c r="S641" s="282">
        <f>IF(S639&gt;$X$39,$Z$39,$Z$40)</f>
        <v>-0.05</v>
      </c>
      <c r="T641" s="282">
        <f>IF(S639&gt;$X$39,$AA$39,$AA$40)</f>
        <v>-0.03</v>
      </c>
      <c r="U641" s="282">
        <f>IF(S639&gt;$X$39,$AB$39,$AB$40)</f>
        <v>-0.03</v>
      </c>
      <c r="V641" s="256"/>
    </row>
    <row r="642" spans="1:22" hidden="1" outlineLevel="1">
      <c r="A642" s="270" t="s">
        <v>580</v>
      </c>
      <c r="B642" s="286">
        <f>IF(B638-T639&gt;3,T644,IF(B638-T639=1,45%+S641,IF(B638-T639=2,45%+T641,IF(B638-T639=3,45%+U641,IF(B638-T639=0,T645,IF(T639-B638=U646+1,$AA$37,IF(T639-B638=U646+2,$Z$37,IF(B638&lt;T639,C642-(T645-$AB$37)/U646))))))))</f>
        <v>0.42000000000000004</v>
      </c>
      <c r="C642" s="286">
        <f>IF(C638-T639&gt;3,T644,IF(C638-T639=1,B642+S641,IF(C638-T639=2,B642+T641,IF(C638-T639=3,B642+U641,IF(C638-T639=0,T645,IF(T639-C638=U646+1,$AA$37,IF(T639-C638=U646+2,$Z$37,IF(C638&lt;T639,D642-(T645-$AB$37)/U646))))))))</f>
        <v>0.39</v>
      </c>
      <c r="D642" s="286">
        <f>IF(D638-T639&gt;3,T644,IF(D638-T639=1,C642+S641,IF(D638-T639=2,C642+T641,IF(D638-T639=3,C642+U641,IF(D638-T639=0,T645,IF(T639-D638=U646+1,$AA$37,IF(T639-D638=U646+2,$Z$37,IF(D638&lt;T639,E642-(T645-$AB$37)/U646))))))))</f>
        <v>0.39</v>
      </c>
      <c r="E642" s="286">
        <f>IF(E638-T639&gt;3,T644,IF(E638-T639=1,D642+S641,IF(E638-T639=2,D642+T641,IF(E638-T639=3,D642+U641,IF(E638-T639=0,T645,IF(T639-E638=U646+1,$AA$37,IF(T639-E638=U646+2,$Z$37,IF(E638&lt;T639,F642-(T645-$AB$37)/U646))))))))</f>
        <v>0.39</v>
      </c>
      <c r="F642" s="286">
        <f>IF(F638-T639&gt;3,T644,IF(F638-T639=1,E642+S641,IF(F638-T639=2,E642+T641,IF(F638-T639=3,E642+U641,IF(F638-T639=0,T645,IF(T639-F638=U646+1,$AA$37,IF(T639-F638=U646+2,$Z$37,IF(F638&lt;T639,G642-(T645-$AB$37)/U646))))))))</f>
        <v>0.39</v>
      </c>
      <c r="G642" s="286">
        <f>IF(G638-T639&gt;3,T644,IF(G638-T639=1,F642+S641,IF(G638-T639=2,F642+T641,IF(G638-T639=3,F642+U641,IF(G638-T639=0,T645,IF(T639-G638=U646+1,$AA$37,IF(T639-G638=U646+2,$Z$37,IF(G638&lt;T639,H642-(T645-$AB$37)/U646))))))))</f>
        <v>0.39</v>
      </c>
      <c r="H642" s="286">
        <f>IF(H638-T639&gt;3,T644,IF(H638-T639=1,G642+S641,IF(H638-T639=2,G642+T641,IF(H638-T639=3,G642+U641,IF(H638-T639=0,T645,IF(T639-H638=U646+1,$AA$37,IF(T639-H638=U646+2,$Z$37,IF(H638&lt;T639,I642-(T645-$AB$37)/U646))))))))</f>
        <v>0.39</v>
      </c>
      <c r="I642" s="286">
        <f>IF(I638-T639&gt;3,T644,IF(I638-T639=1,H642+S641,IF(I638-T639=2,H642+T641,IF(I638-T639=3,H642+U641,IF(I638-T639=0,T645,IF(T639-I638=U646+1,$AA$37,IF(T639-I638=U646+2,$Z$37,IF(I638&lt;T639,J642-(T645-$AB$37)/U646))))))))</f>
        <v>0.39</v>
      </c>
      <c r="J642" s="286">
        <f>IF(J638-T639&gt;3,T644,IF(J638-T639=1,I642+S641,IF(J638-T639=2,I642+T641,IF(J638-T639=3,I642+U641,IF(J638-T639=0,T645,IF(T639-J638=U646+1,$AA$37,IF(T639-J638=U646+2,$Z$37,IF(J638&lt;T639,K642-(T645-$AB$37)/U646))))))))</f>
        <v>0.39</v>
      </c>
      <c r="K642" s="286">
        <f>IF(K638-T639&gt;3,T644,IF(K638-T639=1,J642+S641,IF(K638-T639=2,J642+T641,IF(K638-T639=3,J642+U641,IF(K638-T639=0,T645,IF(T639-K638=U646+1,$AA$37,IF(T639-K638=U646+2,$Z$37,IF(K638&lt;T639,L642-(T645-$AB$37)/U646))))))))</f>
        <v>0.39</v>
      </c>
      <c r="L642" s="286">
        <f>IF(L638-T639&gt;3,T644,IF(L638-T639=1,K642+S641,IF(L638-T639=2,K642+T641,IF(L638-T639=3,K642+U641,IF(L638-T639=0,T645,IF(T639-L638=U646+1,$AA$37,IF(T639-L638=U646+2,$Z$37,IF(L638&lt;T639,M642-(T645-$AB$37)/U646))))))))</f>
        <v>0.39</v>
      </c>
      <c r="M642" s="286">
        <f>IF(M638-T639&gt;3,T644,IF(M638-T639=1,L642+S641,IF(M638-T639=2,L642+T641,IF(M638-T639=3,L642+U641,IF(M638-T639=0,T645,IF(T639-M638=U646+1,$AA$37,IF(T639-M638=U646+2,$Z$37,IF(M638&lt;T639,N642-(T645-$AB$37)/U646))))))))</f>
        <v>0.39</v>
      </c>
      <c r="N642" s="286">
        <f>IF(N638-T639&gt;3,T644,IF(N638-T639=1,M642+S641,IF(N638-T639=2,M642+T641,IF(N638-T639=3,M642+U641,IF(N638-T639=0,T645,IF(T639-N638=U646+1,$AA$37,IF(T639-N638=U646+2,$Z$37,IF(N638&lt;T639,O642-(T645-$AB$37)/U646))))))))</f>
        <v>0.39</v>
      </c>
      <c r="O642" s="286">
        <f>IF(O638-T639&gt;3,T644,IF(O638-T639=1,N642+S641,IF(O638-T639=2,N642+T641,IF(O638-T639=3,N642+U641,IF(O638-T639=0,T645,IF(T639-O638=U646+1,$AA$37,IF(T639-O638=U646+2,$Z$37,IF(O638&lt;T639,P642-(T645-$AB$37)/U646))))))))</f>
        <v>0.39</v>
      </c>
      <c r="P642" s="286">
        <f>IF(P638-T639&gt;3,T644,IF(P638-T639=1,O642+S641,IF(P638-T639=2,O642+T641,IF(P638-T639=3,O642+U641,IF(P638-T639=0,T645,IF(T639-P638=U646+1,$AA$37,IF(T639-P638=U646+2,$Z$37,IF(P638&lt;T639,Q642-(T645-$AB$37)/U646))))))))</f>
        <v>0.39</v>
      </c>
      <c r="Q642" s="286">
        <f>IF(Q638-T639&gt;3,T644,IF(Q638-T639=1,P642+S641,IF(Q638-T639=2,P642+T641,IF(Q638-T639=3,P642+U641,IF(Q638-T639=0,T645,IF(T639-Q638=U646+1,$AA$37,IF(T639-Q638=U646+2,$Z$37,IF(Q638&lt;T639,R642-(T645-$AB$37)/U646))))))))</f>
        <v>0.39</v>
      </c>
      <c r="S642" s="287" t="s">
        <v>739</v>
      </c>
      <c r="T642" s="213">
        <f t="array" ref="T642">INDEX(Sales!B340:Q340,MATCH(FALSE,ISBLANK(Sales!B340:Q340),0))</f>
        <v>904</v>
      </c>
      <c r="U642" s="256"/>
      <c r="V642" s="256"/>
    </row>
    <row r="643" spans="1:22" hidden="1" outlineLevel="1">
      <c r="A643" s="270" t="s">
        <v>731</v>
      </c>
      <c r="B643" s="213">
        <f>B641*B644</f>
        <v>64.001329832529109</v>
      </c>
      <c r="C643" s="213">
        <f t="shared" ref="C643:Q643" si="545">C641*C644</f>
        <v>54.272710476905743</v>
      </c>
      <c r="D643" s="213">
        <f t="shared" si="545"/>
        <v>57.248728246318613</v>
      </c>
      <c r="E643" s="213">
        <f t="shared" si="545"/>
        <v>50.208823302957775</v>
      </c>
      <c r="F643" s="213">
        <f t="shared" si="545"/>
        <v>35.67033631207044</v>
      </c>
      <c r="G643" s="213">
        <f t="shared" si="545"/>
        <v>32.278022680863394</v>
      </c>
      <c r="H643" s="213">
        <f t="shared" si="545"/>
        <v>29.224940412777055</v>
      </c>
      <c r="I643" s="213">
        <f t="shared" si="545"/>
        <v>26.477166371499351</v>
      </c>
      <c r="J643" s="213">
        <f t="shared" si="545"/>
        <v>24.004169734349418</v>
      </c>
      <c r="K643" s="213">
        <f t="shared" si="545"/>
        <v>21.778472760914475</v>
      </c>
      <c r="L643" s="213">
        <f t="shared" si="545"/>
        <v>19.775345484823028</v>
      </c>
      <c r="M643" s="213">
        <f t="shared" si="545"/>
        <v>19.775345484823028</v>
      </c>
      <c r="N643" s="213">
        <f t="shared" si="545"/>
        <v>19.775345484823028</v>
      </c>
      <c r="O643" s="213">
        <f t="shared" si="545"/>
        <v>19.775345484823028</v>
      </c>
      <c r="P643" s="213">
        <f t="shared" si="545"/>
        <v>19.775345484823028</v>
      </c>
      <c r="Q643" s="213">
        <f t="shared" si="545"/>
        <v>19.775345484823028</v>
      </c>
      <c r="S643" s="287" t="s">
        <v>740</v>
      </c>
      <c r="T643" s="256">
        <f>IFERROR(INDEX(Sales!$B$1:$Q$1,MATCH(NPV!T642,Sales!B340:Q340,0)),INDEX(C638:Q638,MATCH(NPV!T642,C639:Q639,0)))</f>
        <v>2010</v>
      </c>
      <c r="U643" s="256"/>
      <c r="V643" s="256"/>
    </row>
    <row r="644" spans="1:22" hidden="1" outlineLevel="1">
      <c r="A644" s="270" t="s">
        <v>635</v>
      </c>
      <c r="B644" s="196">
        <f>'P&amp;L'!G$120</f>
        <v>0.1455435708203236</v>
      </c>
      <c r="C644" s="196">
        <f>'P&amp;L'!H$120</f>
        <v>0.15028163725122043</v>
      </c>
      <c r="D644" s="196">
        <f>'P&amp;L'!I$120</f>
        <v>0.15290792800832961</v>
      </c>
      <c r="E644" s="196">
        <f>'P&amp;L'!J$120</f>
        <v>0.16</v>
      </c>
      <c r="F644" s="196">
        <f>'P&amp;L'!K$120</f>
        <v>0.16</v>
      </c>
      <c r="G644" s="196">
        <f>'P&amp;L'!L$120</f>
        <v>0.16</v>
      </c>
      <c r="H644" s="196">
        <f>'P&amp;L'!M$120</f>
        <v>0.16</v>
      </c>
      <c r="I644" s="196">
        <f>'P&amp;L'!N$120</f>
        <v>0.16</v>
      </c>
      <c r="J644" s="196">
        <f>'P&amp;L'!O$120</f>
        <v>0.16</v>
      </c>
      <c r="K644" s="196">
        <f>'P&amp;L'!P$120</f>
        <v>0.16</v>
      </c>
      <c r="L644" s="196">
        <f>'P&amp;L'!Q$120</f>
        <v>0.16</v>
      </c>
      <c r="M644" s="196">
        <f t="shared" ref="M644" si="546">L644</f>
        <v>0.16</v>
      </c>
      <c r="N644" s="196">
        <f t="shared" ref="N644" si="547">M644</f>
        <v>0.16</v>
      </c>
      <c r="O644" s="196">
        <f t="shared" ref="O644" si="548">N644</f>
        <v>0.16</v>
      </c>
      <c r="P644" s="196">
        <f t="shared" ref="P644" si="549">O644</f>
        <v>0.16</v>
      </c>
      <c r="Q644" s="196">
        <f t="shared" ref="Q644" si="550">P644</f>
        <v>0.16</v>
      </c>
      <c r="S644" s="287" t="s">
        <v>741</v>
      </c>
      <c r="T644" s="288">
        <f>IF(Q638-T639&gt;3,IF(AND(S639&lt;$X$42,S639&lt;$X$43,S639&lt;$X$44),$AA$45,IF(AND(S639&lt;$X$42,S639&lt;$X$43),$AA$44,IF(S639&lt;$X$42,$AA$43,$AA$42))))</f>
        <v>0.39</v>
      </c>
      <c r="U644" s="256"/>
      <c r="V644" s="256"/>
    </row>
    <row r="645" spans="1:22" hidden="1" outlineLevel="1">
      <c r="A645" s="256" t="s">
        <v>732</v>
      </c>
      <c r="B645" s="213">
        <f>B641-B643</f>
        <v>375.73867016747096</v>
      </c>
      <c r="C645" s="213">
        <f t="shared" ref="C645:Q645" si="551">C641-C643</f>
        <v>306.86728952309426</v>
      </c>
      <c r="D645" s="213">
        <f t="shared" si="551"/>
        <v>317.15127175368144</v>
      </c>
      <c r="E645" s="213">
        <f t="shared" si="551"/>
        <v>263.59632234052827</v>
      </c>
      <c r="F645" s="213">
        <f t="shared" si="551"/>
        <v>187.26926563836977</v>
      </c>
      <c r="G645" s="213">
        <f t="shared" si="551"/>
        <v>169.45961907453281</v>
      </c>
      <c r="H645" s="213">
        <f t="shared" si="551"/>
        <v>153.43093716707955</v>
      </c>
      <c r="I645" s="213">
        <f t="shared" si="551"/>
        <v>139.0051234503716</v>
      </c>
      <c r="J645" s="213">
        <f t="shared" si="551"/>
        <v>126.02189110533443</v>
      </c>
      <c r="K645" s="213">
        <f t="shared" si="551"/>
        <v>114.33698199480099</v>
      </c>
      <c r="L645" s="213">
        <f t="shared" si="551"/>
        <v>103.82056379532091</v>
      </c>
      <c r="M645" s="213">
        <f t="shared" si="551"/>
        <v>103.82056379532091</v>
      </c>
      <c r="N645" s="213">
        <f t="shared" si="551"/>
        <v>103.82056379532091</v>
      </c>
      <c r="O645" s="213">
        <f t="shared" si="551"/>
        <v>103.82056379532091</v>
      </c>
      <c r="P645" s="213">
        <f t="shared" si="551"/>
        <v>103.82056379532091</v>
      </c>
      <c r="Q645" s="213">
        <f t="shared" si="551"/>
        <v>103.82056379532091</v>
      </c>
      <c r="S645" s="287" t="s">
        <v>742</v>
      </c>
      <c r="T645" s="288">
        <f>IF(S639&gt;$X$42,$Z$42,IF(S639&gt;$X$43,$Z$43,IF(S639&gt;$X$44,$Z$44,$Z$45)))</f>
        <v>0.5</v>
      </c>
      <c r="U645" s="256"/>
      <c r="V645" s="256"/>
    </row>
    <row r="646" spans="1:22" hidden="1" outlineLevel="1">
      <c r="A646" s="270" t="s">
        <v>607</v>
      </c>
      <c r="B646" s="277">
        <f>B645</f>
        <v>375.73867016747096</v>
      </c>
      <c r="C646" s="277">
        <f t="shared" ref="C646:Q646" si="552">C645</f>
        <v>306.86728952309426</v>
      </c>
      <c r="D646" s="277">
        <f t="shared" si="552"/>
        <v>317.15127175368144</v>
      </c>
      <c r="E646" s="277">
        <f t="shared" si="552"/>
        <v>263.59632234052827</v>
      </c>
      <c r="F646" s="277">
        <f t="shared" si="552"/>
        <v>187.26926563836977</v>
      </c>
      <c r="G646" s="277">
        <f t="shared" si="552"/>
        <v>169.45961907453281</v>
      </c>
      <c r="H646" s="277">
        <f t="shared" si="552"/>
        <v>153.43093716707955</v>
      </c>
      <c r="I646" s="277">
        <f t="shared" si="552"/>
        <v>139.0051234503716</v>
      </c>
      <c r="J646" s="277">
        <f t="shared" si="552"/>
        <v>126.02189110533443</v>
      </c>
      <c r="K646" s="277">
        <f t="shared" si="552"/>
        <v>114.33698199480099</v>
      </c>
      <c r="L646" s="277">
        <f t="shared" si="552"/>
        <v>103.82056379532091</v>
      </c>
      <c r="M646" s="277">
        <f t="shared" si="552"/>
        <v>103.82056379532091</v>
      </c>
      <c r="N646" s="277">
        <f t="shared" si="552"/>
        <v>103.82056379532091</v>
      </c>
      <c r="O646" s="277">
        <f t="shared" si="552"/>
        <v>103.82056379532091</v>
      </c>
      <c r="P646" s="277">
        <f t="shared" si="552"/>
        <v>103.82056379532091</v>
      </c>
      <c r="Q646" s="277">
        <f t="shared" si="552"/>
        <v>103.82056379532091</v>
      </c>
      <c r="S646" s="287" t="s">
        <v>743</v>
      </c>
      <c r="T646" s="256">
        <f>T639-T643</f>
        <v>3</v>
      </c>
      <c r="U646" s="256">
        <f>T646-2</f>
        <v>1</v>
      </c>
      <c r="V646" s="256"/>
    </row>
    <row r="647" spans="1:22" hidden="1" outlineLevel="1">
      <c r="A647" s="279" t="s">
        <v>733</v>
      </c>
      <c r="B647" s="280">
        <f t="shared" ref="B647:Q647" si="553">B646*B$45</f>
        <v>0</v>
      </c>
      <c r="C647" s="280">
        <f t="shared" si="553"/>
        <v>0</v>
      </c>
      <c r="D647" s="280">
        <f t="shared" si="553"/>
        <v>0</v>
      </c>
      <c r="E647" s="280">
        <f t="shared" ca="1" si="553"/>
        <v>250.95950068393211</v>
      </c>
      <c r="F647" s="280">
        <f t="shared" ca="1" si="553"/>
        <v>166.23051636997565</v>
      </c>
      <c r="G647" s="280">
        <f t="shared" ca="1" si="553"/>
        <v>140.24598079805901</v>
      </c>
      <c r="H647" s="280">
        <f t="shared" ca="1" si="553"/>
        <v>118.39056347430986</v>
      </c>
      <c r="I647" s="280">
        <f t="shared" ca="1" si="553"/>
        <v>100.00343303980844</v>
      </c>
      <c r="J647" s="280">
        <f t="shared" ca="1" si="553"/>
        <v>84.52983973049156</v>
      </c>
      <c r="K647" s="280">
        <f t="shared" ca="1" si="553"/>
        <v>71.504064537946917</v>
      </c>
      <c r="L647" s="280">
        <f t="shared" ca="1" si="553"/>
        <v>60.535110486834142</v>
      </c>
      <c r="M647" s="280">
        <f t="shared" ca="1" si="553"/>
        <v>56.4400371655071</v>
      </c>
      <c r="N647" s="280">
        <f t="shared" ca="1" si="553"/>
        <v>52.621986969638662</v>
      </c>
      <c r="O647" s="280">
        <f t="shared" ca="1" si="553"/>
        <v>49.062219865530473</v>
      </c>
      <c r="P647" s="280">
        <f t="shared" ca="1" si="553"/>
        <v>45.743263543478129</v>
      </c>
      <c r="Q647" s="280">
        <f t="shared" ca="1" si="553"/>
        <v>42.64882765890053</v>
      </c>
      <c r="S647" s="289" t="s">
        <v>744</v>
      </c>
      <c r="T647" s="288">
        <f>VLOOKUP(S647,$Y$32:$AB$34,2,0)</f>
        <v>-0.7</v>
      </c>
      <c r="U647" s="288">
        <f>VLOOKUP(S647,$Y$32:$AB$34,3,0)</f>
        <v>-0.35</v>
      </c>
      <c r="V647" s="288">
        <f>VLOOKUP(S647,$Y$32:$AB$34,4,0)</f>
        <v>-0.1</v>
      </c>
    </row>
    <row r="648" spans="1:22" hidden="1" outlineLevel="1">
      <c r="A648" s="270" t="s">
        <v>734</v>
      </c>
      <c r="B648" s="213">
        <f ca="1">SUM(B647:Q647)</f>
        <v>1238.9153443244124</v>
      </c>
      <c r="C648" s="277"/>
      <c r="D648" s="277"/>
      <c r="E648" s="277"/>
      <c r="F648" s="277"/>
      <c r="G648" s="277"/>
      <c r="H648" s="277"/>
      <c r="I648" s="277"/>
      <c r="J648" s="277"/>
      <c r="K648" s="277"/>
      <c r="L648" s="277"/>
      <c r="M648" s="277"/>
      <c r="N648" s="256"/>
      <c r="O648" s="256"/>
      <c r="P648" s="256"/>
      <c r="Q648" s="256"/>
    </row>
    <row r="649" spans="1:22" hidden="1" outlineLevel="1">
      <c r="A649" s="281" t="s">
        <v>735</v>
      </c>
      <c r="B649" s="213">
        <f ca="1">(Q646*(1+C649))/(DCF!$H$31-NPV!C649)*NPV!$Q$45</f>
        <v>330.59440411610711</v>
      </c>
      <c r="C649" s="612">
        <v>-0.05</v>
      </c>
      <c r="D649" s="277"/>
      <c r="E649" s="277"/>
      <c r="F649" s="277"/>
      <c r="G649" s="277"/>
      <c r="H649" s="277"/>
      <c r="I649" s="277"/>
      <c r="J649" s="277"/>
      <c r="K649" s="277"/>
      <c r="L649" s="277"/>
      <c r="M649" s="277"/>
      <c r="N649" s="256"/>
      <c r="O649" s="256"/>
      <c r="P649" s="256"/>
      <c r="Q649" s="256"/>
    </row>
    <row r="650" spans="1:22" hidden="1" outlineLevel="1">
      <c r="A650" s="281" t="s">
        <v>736</v>
      </c>
      <c r="B650" s="213">
        <f ca="1">SUM(B648:B649)/DCF!$C$30</f>
        <v>0.66901523803943719</v>
      </c>
      <c r="C650" s="283"/>
      <c r="D650" s="283"/>
      <c r="E650" s="283"/>
      <c r="F650" s="283"/>
      <c r="G650" s="283"/>
      <c r="H650" s="283"/>
      <c r="I650" s="283"/>
      <c r="J650" s="283"/>
      <c r="K650" s="283"/>
      <c r="L650" s="283"/>
      <c r="M650" s="256"/>
      <c r="N650" s="256"/>
      <c r="O650" s="256"/>
      <c r="P650" s="256"/>
      <c r="Q650" s="256"/>
    </row>
    <row r="651" spans="1:22" hidden="1" outlineLevel="1">
      <c r="A651" s="284" t="s">
        <v>737</v>
      </c>
      <c r="B651" s="285">
        <f ca="1">B650/DCF!$H$24</f>
        <v>0.64952935731984196</v>
      </c>
    </row>
    <row r="652" spans="1:22" hidden="1" outlineLevel="1"/>
    <row r="653" spans="1:22" hidden="1" outlineLevel="1">
      <c r="A653" s="265" t="s">
        <v>55</v>
      </c>
      <c r="B653" s="266">
        <v>2015</v>
      </c>
      <c r="C653" s="266">
        <v>2016</v>
      </c>
      <c r="D653" s="266">
        <v>2017</v>
      </c>
      <c r="E653" s="266">
        <v>2018</v>
      </c>
      <c r="F653" s="266">
        <v>2019</v>
      </c>
      <c r="G653" s="266">
        <v>2020</v>
      </c>
      <c r="H653" s="266">
        <v>2021</v>
      </c>
      <c r="I653" s="266">
        <v>2022</v>
      </c>
      <c r="J653" s="266">
        <v>2023</v>
      </c>
      <c r="K653" s="266">
        <v>2024</v>
      </c>
      <c r="L653" s="266">
        <v>2025</v>
      </c>
      <c r="M653" s="266">
        <v>2026</v>
      </c>
      <c r="N653" s="266">
        <v>2027</v>
      </c>
      <c r="O653" s="266">
        <v>2028</v>
      </c>
      <c r="P653" s="266">
        <v>2029</v>
      </c>
      <c r="Q653" s="267">
        <v>2030</v>
      </c>
      <c r="S653" s="256" t="s">
        <v>709</v>
      </c>
      <c r="T653" s="256" t="s">
        <v>710</v>
      </c>
      <c r="U653" s="256"/>
      <c r="V653" s="256"/>
    </row>
    <row r="654" spans="1:22" hidden="1" outlineLevel="1">
      <c r="A654" s="268" t="s">
        <v>729</v>
      </c>
      <c r="B654" s="269">
        <f>Sales!G348</f>
        <v>558</v>
      </c>
      <c r="C654" s="269">
        <f>Sales!H348</f>
        <v>525</v>
      </c>
      <c r="D654" s="269">
        <f>Sales!I348</f>
        <v>465</v>
      </c>
      <c r="E654" s="269">
        <f>Sales!J348</f>
        <v>484.35124602530061</v>
      </c>
      <c r="F654" s="269">
        <f>Sales!K348</f>
        <v>484.35124602530061</v>
      </c>
      <c r="G654" s="269">
        <f>Sales!L348</f>
        <v>484.35124602530061</v>
      </c>
      <c r="H654" s="269">
        <f>Sales!M348</f>
        <v>484.35124602530061</v>
      </c>
      <c r="I654" s="269">
        <f>Sales!N348</f>
        <v>484.35124602530061</v>
      </c>
      <c r="J654" s="269">
        <f>Sales!O348</f>
        <v>484.35124602530061</v>
      </c>
      <c r="K654" s="269">
        <f>Sales!P348</f>
        <v>484.35124602530061</v>
      </c>
      <c r="L654" s="269">
        <f>Sales!Q348</f>
        <v>484.35124602530061</v>
      </c>
      <c r="M654" s="269">
        <f>L654*(1+M655)</f>
        <v>484.35124602530061</v>
      </c>
      <c r="N654" s="269">
        <f>M654*(1+N655)</f>
        <v>484.35124602530061</v>
      </c>
      <c r="O654" s="269">
        <f>N654*(1+O655)</f>
        <v>484.35124602530061</v>
      </c>
      <c r="P654" s="269">
        <f>O654*(1+P655)</f>
        <v>484.35124602530061</v>
      </c>
      <c r="Q654" s="269">
        <f>P654*(1+Q655)</f>
        <v>484.35124602530061</v>
      </c>
      <c r="S654" s="213">
        <f>MAX(MAX(Sales!C348:W348),MAX(K654:Q654))</f>
        <v>794</v>
      </c>
      <c r="T654" s="256">
        <f>IFERROR(INDEX(Sales!$B$1:$Q$1,MATCH(NPV!S654,Sales!B348:Q348,0)),INDEX(C653:Q653,MATCH(NPV!S654,C654:Q654,0)))</f>
        <v>2011</v>
      </c>
      <c r="U654" s="256"/>
      <c r="V654" s="256"/>
    </row>
    <row r="655" spans="1:22" hidden="1" outlineLevel="1">
      <c r="A655" s="270" t="s">
        <v>579</v>
      </c>
      <c r="B655" s="271"/>
      <c r="C655" s="271">
        <f t="shared" ref="C655:H655" si="554">C654/B654-1</f>
        <v>-5.9139784946236507E-2</v>
      </c>
      <c r="D655" s="271">
        <f t="shared" si="554"/>
        <v>-0.11428571428571432</v>
      </c>
      <c r="E655" s="271">
        <f t="shared" si="554"/>
        <v>4.1615582850108801E-2</v>
      </c>
      <c r="F655" s="271">
        <f t="shared" si="554"/>
        <v>0</v>
      </c>
      <c r="G655" s="271">
        <f t="shared" si="554"/>
        <v>0</v>
      </c>
      <c r="H655" s="271">
        <f t="shared" si="554"/>
        <v>0</v>
      </c>
      <c r="I655" s="271">
        <f>I654/H654-1</f>
        <v>0</v>
      </c>
      <c r="J655" s="271">
        <f>J654/I654-1</f>
        <v>0</v>
      </c>
      <c r="K655" s="271">
        <f t="shared" ref="K655:L655" si="555">K654/J654-1</f>
        <v>0</v>
      </c>
      <c r="L655" s="271">
        <f t="shared" si="555"/>
        <v>0</v>
      </c>
      <c r="M655" s="272">
        <v>0</v>
      </c>
      <c r="N655" s="272">
        <v>0</v>
      </c>
      <c r="O655" s="272">
        <v>0</v>
      </c>
      <c r="P655" s="272">
        <v>0</v>
      </c>
      <c r="Q655" s="272">
        <v>0</v>
      </c>
      <c r="S655" s="256" t="s">
        <v>738</v>
      </c>
      <c r="T655" s="256"/>
      <c r="U655" s="256"/>
      <c r="V655" s="256"/>
    </row>
    <row r="656" spans="1:22" hidden="1" outlineLevel="1">
      <c r="A656" s="273" t="s">
        <v>730</v>
      </c>
      <c r="B656" s="274">
        <f t="shared" ref="B656:Q656" si="556">B654*B657</f>
        <v>189.72000000000003</v>
      </c>
      <c r="C656" s="274">
        <f t="shared" si="556"/>
        <v>178.5</v>
      </c>
      <c r="D656" s="274">
        <f t="shared" si="556"/>
        <v>158.10000000000002</v>
      </c>
      <c r="E656" s="274">
        <f t="shared" si="556"/>
        <v>164.67942364860221</v>
      </c>
      <c r="F656" s="274">
        <f t="shared" si="556"/>
        <v>164.67942364860221</v>
      </c>
      <c r="G656" s="274">
        <f t="shared" si="556"/>
        <v>164.67942364860221</v>
      </c>
      <c r="H656" s="274">
        <f t="shared" si="556"/>
        <v>164.67942364860221</v>
      </c>
      <c r="I656" s="274">
        <f t="shared" si="556"/>
        <v>164.67942364860221</v>
      </c>
      <c r="J656" s="274">
        <f t="shared" si="556"/>
        <v>164.67942364860221</v>
      </c>
      <c r="K656" s="274">
        <f t="shared" si="556"/>
        <v>164.67942364860221</v>
      </c>
      <c r="L656" s="274">
        <f t="shared" si="556"/>
        <v>164.67942364860221</v>
      </c>
      <c r="M656" s="274">
        <f t="shared" si="556"/>
        <v>164.67942364860221</v>
      </c>
      <c r="N656" s="274">
        <f t="shared" si="556"/>
        <v>164.67942364860221</v>
      </c>
      <c r="O656" s="274">
        <f t="shared" si="556"/>
        <v>164.67942364860221</v>
      </c>
      <c r="P656" s="274">
        <f t="shared" si="556"/>
        <v>164.67942364860221</v>
      </c>
      <c r="Q656" s="274">
        <f t="shared" si="556"/>
        <v>164.67942364860221</v>
      </c>
      <c r="S656" s="282">
        <f>IF(S654&gt;$X$39,$Z$39,$Z$40)</f>
        <v>-0.05</v>
      </c>
      <c r="T656" s="282">
        <f>IF(S654&gt;$X$39,$AA$39,$AA$40)</f>
        <v>-0.03</v>
      </c>
      <c r="U656" s="282">
        <f>IF(S654&gt;$X$39,$AB$39,$AB$40)</f>
        <v>-0.03</v>
      </c>
      <c r="V656" s="256"/>
    </row>
    <row r="657" spans="1:22" hidden="1" outlineLevel="1">
      <c r="A657" s="270" t="s">
        <v>580</v>
      </c>
      <c r="B657" s="286">
        <f>IF(B653-T654&gt;3,T659,IF(B653-T654=1,45%+S656,IF(B653-T654=2,A657+T656,IF(B653-T654=3,A657+U656,IF(B653-T654=0,T660,IF(T654-B653=U661+1,$AA$37,IF(T654-B653=U661+2,$Z$37,IF(B653&lt;T654,C657-(T660-$AB$37)/U661))))))))</f>
        <v>0.34</v>
      </c>
      <c r="C657" s="286">
        <f>IF(C653-T654&gt;3,T659,IF(C653-T654=1,B657+S656,IF(C653-T654=2,B657+T656,IF(C653-T654=3,B657+U656,IF(C653-T654=0,T660,IF(T654-C653=U661+1,$AA$37,IF(T654-C653=U661+2,$Z$37,IF(C653&lt;T654,D657-(T660-$AB$37)/U661))))))))</f>
        <v>0.34</v>
      </c>
      <c r="D657" s="286">
        <f>IF(D653-T654&gt;3,T659,IF(D653-T654=1,C657+S656,IF(D653-T654=2,C657+T656,IF(D653-T654=3,C657+U656,IF(D653-T654=0,T660,IF(T654-D653=U661+1,$AA$37,IF(T654-D653=U661+2,$Z$37,IF(D653&lt;T654,E657-(T660-$AB$37)/U661))))))))</f>
        <v>0.34</v>
      </c>
      <c r="E657" s="286">
        <f>IF(E653-T654&gt;3,T659,IF(E653-T654=1,D657+S656,IF(E653-T654=2,D657+T656,IF(E653-T654=3,D657+U656,IF(E653-T654=0,T660,IF(T654-E653=U661+1,$AA$37,IF(T654-E653=U661+2,$Z$37,IF(E653&lt;T654,F657-(T660-$AB$37)/U661))))))))</f>
        <v>0.34</v>
      </c>
      <c r="F657" s="286">
        <f>IF(F653-T654&gt;3,T659,IF(F653-T654=1,E657+S656,IF(F653-T654=2,E657+T656,IF(F653-T654=3,E657+U656,IF(F653-T654=0,T660,IF(T654-F653=U661+1,$AA$37,IF(T654-F653=U661+2,$Z$37,IF(F653&lt;T654,G657-(T660-$AB$37)/U661))))))))</f>
        <v>0.34</v>
      </c>
      <c r="G657" s="286">
        <f>IF(G653-T654&gt;3,T659,IF(G653-T654=1,F657+S656,IF(G653-T654=2,F657+T656,IF(G653-T654=3,F657+U656,IF(G653-T654=0,T660,IF(T654-G653=U661+1,$AA$37,IF(T654-G653=U661+2,$Z$37,IF(G653&lt;T654,H657-(T660-$AB$37)/U661))))))))</f>
        <v>0.34</v>
      </c>
      <c r="H657" s="286">
        <f>IF(H653-T654&gt;3,T659,IF(H653-T654=1,G657+S656,IF(H653-T654=2,G657+T656,IF(H653-T654=3,G657+U656,IF(H653-T654=0,T660,IF(T654-H653=U661+1,$AA$37,IF(T654-H653=U661+2,$Z$37,IF(H653&lt;T654,I657-(T660-$AB$37)/U661))))))))</f>
        <v>0.34</v>
      </c>
      <c r="I657" s="286">
        <f>IF(I653-T654&gt;3,T659,IF(I653-T654=1,H657+S656,IF(I653-T654=2,H657+T656,IF(I653-T654=3,H657+U656,IF(I653-T654=0,T660,IF(T654-I653=U661+1,$AA$37,IF(T654-I653=U661+2,$Z$37,IF(I653&lt;T654,J657-(T660-$AB$37)/U661))))))))</f>
        <v>0.34</v>
      </c>
      <c r="J657" s="286">
        <f>IF(J653-T654&gt;3,T659,IF(J653-T654=1,I657+S656,IF(J653-T654=2,I657+T656,IF(J653-T654=3,I657+U656,IF(J653-T654=0,T660,IF(T654-J653=U661+1,$AA$37,IF(T654-J653=U661+2,$Z$37,IF(J653&lt;T654,K657-(T660-$AB$37)/U661))))))))</f>
        <v>0.34</v>
      </c>
      <c r="K657" s="286">
        <f>IF(K653-T654&gt;3,T659,IF(K653-T654=1,J657+S656,IF(K653-T654=2,J657+T656,IF(K653-T654=3,J657+U656,IF(K653-T654=0,T660,IF(T654-K653=U661+1,$AA$37,IF(T654-K653=U661+2,$Z$37,IF(K653&lt;T654,L657-(T660-$AB$37)/U661))))))))</f>
        <v>0.34</v>
      </c>
      <c r="L657" s="286">
        <f>IF(L653-T654&gt;3,T659,IF(L653-T654=1,K657+S656,IF(L653-T654=2,K657+T656,IF(L653-T654=3,K657+U656,IF(L653-T654=0,T660,IF(T654-L653=U661+1,$AA$37,IF(T654-L653=U661+2,$Z$37,IF(L653&lt;T654,M657-(T660-$AB$37)/U661))))))))</f>
        <v>0.34</v>
      </c>
      <c r="M657" s="286">
        <f>IF(M653-T654&gt;3,T659,IF(M653-T654=1,L657+S656,IF(M653-T654=2,L657+T656,IF(M653-T654=3,L657+U656,IF(M653-T654=0,T660,IF(T654-M653=U661+1,$AA$37,IF(T654-M653=U661+2,$Z$37,IF(M653&lt;T654,N657-(T660-$AB$37)/U661))))))))</f>
        <v>0.34</v>
      </c>
      <c r="N657" s="286">
        <f>IF(N653-T654&gt;3,T659,IF(N653-T654=1,M657+S656,IF(N653-T654=2,M657+T656,IF(N653-T654=3,M657+U656,IF(N653-T654=0,T660,IF(T654-N653=U661+1,$AA$37,IF(T654-N653=U661+2,$Z$37,IF(N653&lt;T654,O657-(T660-$AB$37)/U661))))))))</f>
        <v>0.34</v>
      </c>
      <c r="O657" s="286">
        <f>IF(O653-T654&gt;3,T659,IF(O653-T654=1,N657+S656,IF(O653-T654=2,N657+T656,IF(O653-T654=3,N657+U656,IF(O653-T654=0,T660,IF(T654-O653=U661+1,$AA$37,IF(T654-O653=U661+2,$Z$37,IF(O653&lt;T654,P657-(T660-$AB$37)/U661))))))))</f>
        <v>0.34</v>
      </c>
      <c r="P657" s="286">
        <f>IF(P653-T654&gt;3,T659,IF(P653-T654=1,O657+S656,IF(P653-T654=2,O657+T656,IF(P653-T654=3,O657+U656,IF(P653-T654=0,T660,IF(T654-P653=U661+1,$AA$37,IF(T654-P653=U661+2,$Z$37,IF(P653&lt;T654,Q657-(T660-$AB$37)/U661))))))))</f>
        <v>0.34</v>
      </c>
      <c r="Q657" s="286">
        <f>IF(Q653-T654&gt;3,T659,IF(Q653-T654=1,P657+S656,IF(Q653-T654=2,P657+T656,IF(Q653-T654=3,P657+U656,IF(Q653-T654=0,T660,IF(T654-Q653=U661+1,$AA$37,IF(T654-Q653=U661+2,$Z$37,IF(Q653&lt;T654,R657-(T660-$AB$37)/U661))))))))</f>
        <v>0.34</v>
      </c>
      <c r="S657" s="287" t="s">
        <v>739</v>
      </c>
      <c r="T657" s="213">
        <f t="array" ref="T657">INDEX(Sales!B348:Q348,MATCH(FALSE,ISBLANK(Sales!B348:Q348),0))</f>
        <v>791</v>
      </c>
      <c r="U657" s="256"/>
      <c r="V657" s="256"/>
    </row>
    <row r="658" spans="1:22" hidden="1" outlineLevel="1">
      <c r="A658" s="270" t="s">
        <v>731</v>
      </c>
      <c r="B658" s="213">
        <f>B656*B659</f>
        <v>27.612526256031796</v>
      </c>
      <c r="C658" s="213">
        <f t="shared" ref="C658:Q658" si="557">C656*C659</f>
        <v>26.825272249342845</v>
      </c>
      <c r="D658" s="213">
        <f t="shared" si="557"/>
        <v>24.174743418116915</v>
      </c>
      <c r="E658" s="213">
        <f t="shared" si="557"/>
        <v>26.348707783776355</v>
      </c>
      <c r="F658" s="213">
        <f t="shared" si="557"/>
        <v>26.348707783776355</v>
      </c>
      <c r="G658" s="213">
        <f t="shared" si="557"/>
        <v>26.348707783776355</v>
      </c>
      <c r="H658" s="213">
        <f t="shared" si="557"/>
        <v>26.348707783776355</v>
      </c>
      <c r="I658" s="213">
        <f t="shared" si="557"/>
        <v>26.348707783776355</v>
      </c>
      <c r="J658" s="213">
        <f t="shared" si="557"/>
        <v>26.348707783776355</v>
      </c>
      <c r="K658" s="213">
        <f t="shared" si="557"/>
        <v>26.348707783776355</v>
      </c>
      <c r="L658" s="213">
        <f t="shared" si="557"/>
        <v>26.348707783776355</v>
      </c>
      <c r="M658" s="213">
        <f t="shared" si="557"/>
        <v>26.348707783776355</v>
      </c>
      <c r="N658" s="213">
        <f t="shared" si="557"/>
        <v>26.348707783776355</v>
      </c>
      <c r="O658" s="213">
        <f t="shared" si="557"/>
        <v>26.348707783776355</v>
      </c>
      <c r="P658" s="213">
        <f t="shared" si="557"/>
        <v>26.348707783776355</v>
      </c>
      <c r="Q658" s="213">
        <f t="shared" si="557"/>
        <v>26.348707783776355</v>
      </c>
      <c r="S658" s="287" t="s">
        <v>740</v>
      </c>
      <c r="T658" s="256">
        <f>IFERROR(INDEX(Sales!$B$1:$Q$1,MATCH(NPV!T657,Sales!B348:Q348,0)),INDEX(C653:Q653,MATCH(NPV!T657,C654:Q654,0)))</f>
        <v>2010</v>
      </c>
      <c r="U658" s="256"/>
      <c r="V658" s="256"/>
    </row>
    <row r="659" spans="1:22" hidden="1" outlineLevel="1">
      <c r="A659" s="270" t="s">
        <v>635</v>
      </c>
      <c r="B659" s="196">
        <f>'P&amp;L'!G$120</f>
        <v>0.1455435708203236</v>
      </c>
      <c r="C659" s="196">
        <f>'P&amp;L'!H$120</f>
        <v>0.15028163725122043</v>
      </c>
      <c r="D659" s="196">
        <f>'P&amp;L'!I$120</f>
        <v>0.15290792800832961</v>
      </c>
      <c r="E659" s="196">
        <f>'P&amp;L'!J$120</f>
        <v>0.16</v>
      </c>
      <c r="F659" s="196">
        <f>'P&amp;L'!K$120</f>
        <v>0.16</v>
      </c>
      <c r="G659" s="196">
        <f>'P&amp;L'!L$120</f>
        <v>0.16</v>
      </c>
      <c r="H659" s="196">
        <f>'P&amp;L'!M$120</f>
        <v>0.16</v>
      </c>
      <c r="I659" s="196">
        <f>'P&amp;L'!N$120</f>
        <v>0.16</v>
      </c>
      <c r="J659" s="196">
        <f>'P&amp;L'!O$120</f>
        <v>0.16</v>
      </c>
      <c r="K659" s="196">
        <f>'P&amp;L'!P$120</f>
        <v>0.16</v>
      </c>
      <c r="L659" s="196">
        <f>'P&amp;L'!Q$120</f>
        <v>0.16</v>
      </c>
      <c r="M659" s="196">
        <f t="shared" ref="M659" si="558">L659</f>
        <v>0.16</v>
      </c>
      <c r="N659" s="196">
        <f t="shared" ref="N659" si="559">M659</f>
        <v>0.16</v>
      </c>
      <c r="O659" s="196">
        <f t="shared" ref="O659" si="560">N659</f>
        <v>0.16</v>
      </c>
      <c r="P659" s="196">
        <f t="shared" ref="P659" si="561">O659</f>
        <v>0.16</v>
      </c>
      <c r="Q659" s="196">
        <f t="shared" ref="Q659" si="562">P659</f>
        <v>0.16</v>
      </c>
      <c r="S659" s="287" t="s">
        <v>741</v>
      </c>
      <c r="T659" s="288">
        <f>IF(Q653-T654&gt;3,IF(AND(S654&lt;$X$42,S654&lt;$X$43,S654&lt;$X$44),$AA$45,IF(AND(S654&lt;$X$42,S654&lt;$X$43),$AA$44,IF(S654&lt;$X$42,$AA$43,$AA$42))))</f>
        <v>0.34</v>
      </c>
      <c r="U659" s="256"/>
      <c r="V659" s="256"/>
    </row>
    <row r="660" spans="1:22" hidden="1" outlineLevel="1">
      <c r="A660" s="256" t="s">
        <v>732</v>
      </c>
      <c r="B660" s="213">
        <f>B656-B658</f>
        <v>162.10747374396823</v>
      </c>
      <c r="C660" s="213">
        <f t="shared" ref="C660:Q660" si="563">C656-C658</f>
        <v>151.67472775065715</v>
      </c>
      <c r="D660" s="213">
        <f t="shared" si="563"/>
        <v>133.9252565818831</v>
      </c>
      <c r="E660" s="213">
        <f t="shared" si="563"/>
        <v>138.33071586482586</v>
      </c>
      <c r="F660" s="213">
        <f t="shared" si="563"/>
        <v>138.33071586482586</v>
      </c>
      <c r="G660" s="213">
        <f t="shared" si="563"/>
        <v>138.33071586482586</v>
      </c>
      <c r="H660" s="213">
        <f t="shared" si="563"/>
        <v>138.33071586482586</v>
      </c>
      <c r="I660" s="213">
        <f t="shared" si="563"/>
        <v>138.33071586482586</v>
      </c>
      <c r="J660" s="213">
        <f t="shared" si="563"/>
        <v>138.33071586482586</v>
      </c>
      <c r="K660" s="213">
        <f t="shared" si="563"/>
        <v>138.33071586482586</v>
      </c>
      <c r="L660" s="213">
        <f t="shared" si="563"/>
        <v>138.33071586482586</v>
      </c>
      <c r="M660" s="213">
        <f t="shared" si="563"/>
        <v>138.33071586482586</v>
      </c>
      <c r="N660" s="213">
        <f t="shared" si="563"/>
        <v>138.33071586482586</v>
      </c>
      <c r="O660" s="213">
        <f t="shared" si="563"/>
        <v>138.33071586482586</v>
      </c>
      <c r="P660" s="213">
        <f t="shared" si="563"/>
        <v>138.33071586482586</v>
      </c>
      <c r="Q660" s="213">
        <f t="shared" si="563"/>
        <v>138.33071586482586</v>
      </c>
      <c r="S660" s="287" t="s">
        <v>742</v>
      </c>
      <c r="T660" s="288">
        <f>IF(S654&gt;$X$42,$Z$42,IF(S654&gt;$X$43,$Z$43,IF(S654&gt;$X$44,$Z$44,$Z$45)))</f>
        <v>0.45</v>
      </c>
      <c r="U660" s="256"/>
      <c r="V660" s="256"/>
    </row>
    <row r="661" spans="1:22" hidden="1" outlineLevel="1">
      <c r="A661" s="270" t="s">
        <v>607</v>
      </c>
      <c r="B661" s="277">
        <f>B660</f>
        <v>162.10747374396823</v>
      </c>
      <c r="C661" s="277">
        <f t="shared" ref="C661:Q661" si="564">C660</f>
        <v>151.67472775065715</v>
      </c>
      <c r="D661" s="277">
        <f t="shared" si="564"/>
        <v>133.9252565818831</v>
      </c>
      <c r="E661" s="277">
        <f t="shared" si="564"/>
        <v>138.33071586482586</v>
      </c>
      <c r="F661" s="277">
        <f t="shared" si="564"/>
        <v>138.33071586482586</v>
      </c>
      <c r="G661" s="277">
        <f t="shared" si="564"/>
        <v>138.33071586482586</v>
      </c>
      <c r="H661" s="277">
        <f t="shared" si="564"/>
        <v>138.33071586482586</v>
      </c>
      <c r="I661" s="277">
        <f t="shared" si="564"/>
        <v>138.33071586482586</v>
      </c>
      <c r="J661" s="277">
        <f t="shared" si="564"/>
        <v>138.33071586482586</v>
      </c>
      <c r="K661" s="277">
        <f t="shared" si="564"/>
        <v>138.33071586482586</v>
      </c>
      <c r="L661" s="277">
        <f t="shared" si="564"/>
        <v>138.33071586482586</v>
      </c>
      <c r="M661" s="277">
        <f t="shared" si="564"/>
        <v>138.33071586482586</v>
      </c>
      <c r="N661" s="277">
        <f t="shared" si="564"/>
        <v>138.33071586482586</v>
      </c>
      <c r="O661" s="277">
        <f t="shared" si="564"/>
        <v>138.33071586482586</v>
      </c>
      <c r="P661" s="277">
        <f t="shared" si="564"/>
        <v>138.33071586482586</v>
      </c>
      <c r="Q661" s="277">
        <f t="shared" si="564"/>
        <v>138.33071586482586</v>
      </c>
      <c r="S661" s="287" t="s">
        <v>743</v>
      </c>
      <c r="T661" s="256">
        <f>T654-T658</f>
        <v>1</v>
      </c>
      <c r="U661" s="256">
        <f>T661-2</f>
        <v>-1</v>
      </c>
      <c r="V661" s="256"/>
    </row>
    <row r="662" spans="1:22" hidden="1" outlineLevel="1">
      <c r="A662" s="279" t="s">
        <v>733</v>
      </c>
      <c r="B662" s="280">
        <f t="shared" ref="B662:Q662" si="565">B661*B$45</f>
        <v>0</v>
      </c>
      <c r="C662" s="280">
        <f t="shared" si="565"/>
        <v>0</v>
      </c>
      <c r="D662" s="280">
        <f t="shared" si="565"/>
        <v>0</v>
      </c>
      <c r="E662" s="280">
        <f t="shared" ca="1" si="565"/>
        <v>131.6991340184189</v>
      </c>
      <c r="F662" s="280">
        <f t="shared" ca="1" si="565"/>
        <v>122.78996369026699</v>
      </c>
      <c r="G662" s="280">
        <f t="shared" ca="1" si="565"/>
        <v>114.48348005802697</v>
      </c>
      <c r="H662" s="280">
        <f t="shared" ca="1" si="565"/>
        <v>106.73891263016597</v>
      </c>
      <c r="I662" s="280">
        <f t="shared" ca="1" si="565"/>
        <v>99.518248953433812</v>
      </c>
      <c r="J662" s="280">
        <f t="shared" ca="1" si="565"/>
        <v>92.786048037355116</v>
      </c>
      <c r="K662" s="280">
        <f t="shared" ca="1" si="565"/>
        <v>86.509266400163227</v>
      </c>
      <c r="L662" s="280">
        <f t="shared" ca="1" si="565"/>
        <v>80.657095882362142</v>
      </c>
      <c r="M662" s="280">
        <f t="shared" ca="1" si="565"/>
        <v>75.200812431860882</v>
      </c>
      <c r="N662" s="280">
        <f t="shared" ca="1" si="565"/>
        <v>70.113635118476623</v>
      </c>
      <c r="O662" s="280">
        <f t="shared" ca="1" si="565"/>
        <v>65.370594685811028</v>
      </c>
      <c r="P662" s="280">
        <f t="shared" ca="1" si="565"/>
        <v>60.948410995316749</v>
      </c>
      <c r="Q662" s="280">
        <f t="shared" ca="1" si="565"/>
        <v>56.825378761015614</v>
      </c>
      <c r="S662" s="289" t="s">
        <v>744</v>
      </c>
      <c r="T662" s="288">
        <f>VLOOKUP(S662,$Y$32:$AB$34,2,0)</f>
        <v>-0.7</v>
      </c>
      <c r="U662" s="288">
        <f>VLOOKUP(S662,$Y$32:$AB$34,3,0)</f>
        <v>-0.35</v>
      </c>
      <c r="V662" s="288">
        <f>VLOOKUP(S662,$Y$32:$AB$34,4,0)</f>
        <v>-0.1</v>
      </c>
    </row>
    <row r="663" spans="1:22" hidden="1" outlineLevel="1">
      <c r="A663" s="270" t="s">
        <v>734</v>
      </c>
      <c r="B663" s="213">
        <f ca="1">SUM(B662:Q662)</f>
        <v>1163.6409816626742</v>
      </c>
      <c r="C663" s="277"/>
      <c r="D663" s="277"/>
      <c r="E663" s="277"/>
      <c r="F663" s="277"/>
      <c r="G663" s="277"/>
      <c r="H663" s="277"/>
      <c r="I663" s="277"/>
      <c r="J663" s="277"/>
      <c r="K663" s="277"/>
      <c r="L663" s="277"/>
      <c r="M663" s="277"/>
      <c r="N663" s="256"/>
      <c r="O663" s="256"/>
      <c r="P663" s="256"/>
      <c r="Q663" s="256"/>
    </row>
    <row r="664" spans="1:22" hidden="1" outlineLevel="1">
      <c r="A664" s="281" t="s">
        <v>735</v>
      </c>
      <c r="B664" s="213">
        <f ca="1">(Q661*(1+C664))/(DCF!$H$31-NPV!C664)*NPV!$Q$45</f>
        <v>440.48461027860151</v>
      </c>
      <c r="C664" s="612">
        <v>-0.05</v>
      </c>
      <c r="D664" s="277"/>
      <c r="E664" s="277"/>
      <c r="F664" s="277"/>
      <c r="G664" s="277"/>
      <c r="H664" s="277"/>
      <c r="I664" s="277"/>
      <c r="J664" s="277"/>
      <c r="K664" s="277"/>
      <c r="L664" s="277"/>
      <c r="M664" s="277"/>
      <c r="N664" s="256"/>
      <c r="O664" s="256"/>
      <c r="P664" s="256"/>
      <c r="Q664" s="256"/>
    </row>
    <row r="665" spans="1:22" hidden="1" outlineLevel="1">
      <c r="A665" s="281" t="s">
        <v>736</v>
      </c>
      <c r="B665" s="213">
        <f ca="1">SUM(B663:B664)/DCF!$C$30</f>
        <v>0.68377049954871083</v>
      </c>
      <c r="C665" s="283"/>
      <c r="D665" s="283"/>
      <c r="E665" s="283"/>
      <c r="F665" s="283"/>
      <c r="G665" s="283"/>
      <c r="H665" s="283"/>
      <c r="I665" s="283"/>
      <c r="J665" s="283"/>
      <c r="K665" s="283"/>
      <c r="L665" s="283"/>
      <c r="M665" s="256"/>
      <c r="N665" s="256"/>
      <c r="O665" s="256"/>
      <c r="P665" s="256"/>
      <c r="Q665" s="256"/>
    </row>
    <row r="666" spans="1:22" hidden="1" outlineLevel="1">
      <c r="A666" s="284" t="s">
        <v>737</v>
      </c>
      <c r="B666" s="285">
        <f ca="1">B665/DCF!$H$24</f>
        <v>0.66385485393078725</v>
      </c>
    </row>
    <row r="667" spans="1:22" hidden="1" outlineLevel="1"/>
    <row r="668" spans="1:22" hidden="1" outlineLevel="1">
      <c r="A668" s="265" t="s">
        <v>757</v>
      </c>
      <c r="B668" s="266">
        <v>2015</v>
      </c>
      <c r="C668" s="266">
        <v>2016</v>
      </c>
      <c r="D668" s="266">
        <v>2017</v>
      </c>
      <c r="E668" s="266">
        <v>2018</v>
      </c>
      <c r="F668" s="266">
        <v>2019</v>
      </c>
      <c r="G668" s="266">
        <v>2020</v>
      </c>
      <c r="H668" s="266">
        <v>2021</v>
      </c>
      <c r="I668" s="266">
        <v>2022</v>
      </c>
      <c r="J668" s="266">
        <v>2023</v>
      </c>
      <c r="K668" s="266">
        <v>2024</v>
      </c>
      <c r="L668" s="266">
        <v>2025</v>
      </c>
      <c r="M668" s="266">
        <v>2026</v>
      </c>
      <c r="N668" s="266">
        <v>2027</v>
      </c>
      <c r="O668" s="266">
        <v>2028</v>
      </c>
      <c r="P668" s="266">
        <v>2029</v>
      </c>
      <c r="Q668" s="267">
        <v>2030</v>
      </c>
      <c r="S668" s="256" t="s">
        <v>709</v>
      </c>
      <c r="T668" s="256" t="s">
        <v>710</v>
      </c>
      <c r="U668" s="256"/>
      <c r="V668" s="256"/>
    </row>
    <row r="669" spans="1:22" hidden="1" outlineLevel="1">
      <c r="A669" s="268" t="s">
        <v>729</v>
      </c>
      <c r="B669" s="269">
        <f>Sales!G356</f>
        <v>365</v>
      </c>
      <c r="C669" s="269">
        <f>Sales!H356</f>
        <v>282</v>
      </c>
      <c r="D669" s="269">
        <f>Sales!I356</f>
        <v>236</v>
      </c>
      <c r="E669" s="269">
        <f>Sales!J356</f>
        <v>0</v>
      </c>
      <c r="F669" s="269">
        <f>Sales!K356</f>
        <v>0</v>
      </c>
      <c r="G669" s="269">
        <f>Sales!L356</f>
        <v>0</v>
      </c>
      <c r="H669" s="269">
        <f>Sales!M356</f>
        <v>0</v>
      </c>
      <c r="I669" s="269">
        <f>Sales!N356</f>
        <v>0</v>
      </c>
      <c r="J669" s="269">
        <f>Sales!O356</f>
        <v>0</v>
      </c>
      <c r="K669" s="269">
        <f>Sales!P356</f>
        <v>0</v>
      </c>
      <c r="L669" s="269">
        <f>Sales!Q356</f>
        <v>0</v>
      </c>
      <c r="M669" s="269">
        <f>L669*(1+M670)</f>
        <v>0</v>
      </c>
      <c r="N669" s="269">
        <f>M669*(1+N670)</f>
        <v>0</v>
      </c>
      <c r="O669" s="269">
        <f>N669*(1+O670)</f>
        <v>0</v>
      </c>
      <c r="P669" s="269">
        <f>O669*(1+P670)</f>
        <v>0</v>
      </c>
      <c r="Q669" s="269">
        <f>P669*(1+Q670)</f>
        <v>0</v>
      </c>
      <c r="S669" s="213">
        <f>MAX(MAX(Sales!C356:W356),MAX(K669:Q669))</f>
        <v>594</v>
      </c>
      <c r="T669" s="256">
        <f>IFERROR(INDEX(Sales!$B$1:$Q$1,MATCH(NPV!S669,Sales!B356:Q356,0)),INDEX(C668:Q668,MATCH(NPV!S669,C669:Q669,0)))</f>
        <v>2013</v>
      </c>
      <c r="U669" s="256"/>
      <c r="V669" s="256"/>
    </row>
    <row r="670" spans="1:22" hidden="1" outlineLevel="1">
      <c r="A670" s="270" t="s">
        <v>579</v>
      </c>
      <c r="B670" s="271"/>
      <c r="C670" s="271">
        <f t="shared" ref="C670:H670" si="566">C669/B669-1</f>
        <v>-0.22739726027397256</v>
      </c>
      <c r="D670" s="271">
        <f t="shared" si="566"/>
        <v>-0.16312056737588654</v>
      </c>
      <c r="E670" s="271">
        <f t="shared" si="566"/>
        <v>-1</v>
      </c>
      <c r="F670" s="271" t="e">
        <f t="shared" si="566"/>
        <v>#DIV/0!</v>
      </c>
      <c r="G670" s="271" t="e">
        <f t="shared" si="566"/>
        <v>#DIV/0!</v>
      </c>
      <c r="H670" s="271" t="e">
        <f t="shared" si="566"/>
        <v>#DIV/0!</v>
      </c>
      <c r="I670" s="271" t="e">
        <f>I669/H669-1</f>
        <v>#DIV/0!</v>
      </c>
      <c r="J670" s="271" t="e">
        <f>J669/I669-1</f>
        <v>#DIV/0!</v>
      </c>
      <c r="K670" s="271" t="e">
        <f t="shared" ref="K670:L670" si="567">K669/J669-1</f>
        <v>#DIV/0!</v>
      </c>
      <c r="L670" s="271" t="e">
        <f t="shared" si="567"/>
        <v>#DIV/0!</v>
      </c>
      <c r="M670" s="272">
        <v>-0.05</v>
      </c>
      <c r="N670" s="272">
        <v>-0.05</v>
      </c>
      <c r="O670" s="272">
        <v>-0.05</v>
      </c>
      <c r="P670" s="272">
        <v>-0.05</v>
      </c>
      <c r="Q670" s="272">
        <v>-0.05</v>
      </c>
      <c r="S670" s="256" t="s">
        <v>738</v>
      </c>
      <c r="T670" s="256"/>
      <c r="U670" s="256"/>
      <c r="V670" s="256"/>
    </row>
    <row r="671" spans="1:22" hidden="1" outlineLevel="1">
      <c r="A671" s="273" t="s">
        <v>730</v>
      </c>
      <c r="B671" s="274">
        <f t="shared" ref="B671:Q671" si="568">B669*B672</f>
        <v>135.05000000000001</v>
      </c>
      <c r="C671" s="274">
        <f t="shared" si="568"/>
        <v>95.88</v>
      </c>
      <c r="D671" s="274">
        <f t="shared" si="568"/>
        <v>80.240000000000009</v>
      </c>
      <c r="E671" s="274">
        <f t="shared" si="568"/>
        <v>0</v>
      </c>
      <c r="F671" s="274">
        <f t="shared" si="568"/>
        <v>0</v>
      </c>
      <c r="G671" s="274">
        <f t="shared" si="568"/>
        <v>0</v>
      </c>
      <c r="H671" s="274">
        <f t="shared" si="568"/>
        <v>0</v>
      </c>
      <c r="I671" s="274">
        <f t="shared" si="568"/>
        <v>0</v>
      </c>
      <c r="J671" s="274">
        <f t="shared" si="568"/>
        <v>0</v>
      </c>
      <c r="K671" s="274">
        <f t="shared" si="568"/>
        <v>0</v>
      </c>
      <c r="L671" s="274">
        <f t="shared" si="568"/>
        <v>0</v>
      </c>
      <c r="M671" s="274">
        <f t="shared" si="568"/>
        <v>0</v>
      </c>
      <c r="N671" s="274">
        <f t="shared" si="568"/>
        <v>0</v>
      </c>
      <c r="O671" s="274">
        <f t="shared" si="568"/>
        <v>0</v>
      </c>
      <c r="P671" s="274">
        <f t="shared" si="568"/>
        <v>0</v>
      </c>
      <c r="Q671" s="274">
        <f t="shared" si="568"/>
        <v>0</v>
      </c>
      <c r="S671" s="282">
        <f>IF(S669&gt;$X$39,$Z$39,$Z$40)</f>
        <v>-0.05</v>
      </c>
      <c r="T671" s="282">
        <f>IF(S669&gt;$X$39,$AA$39,$AA$40)</f>
        <v>-0.03</v>
      </c>
      <c r="U671" s="282">
        <f>IF(S669&gt;$X$39,$AB$39,$AB$40)</f>
        <v>-0.03</v>
      </c>
      <c r="V671" s="256"/>
    </row>
    <row r="672" spans="1:22" hidden="1" outlineLevel="1">
      <c r="A672" s="270" t="s">
        <v>580</v>
      </c>
      <c r="B672" s="286">
        <f>IF(B668-T669&gt;3,T674,IF(B668-T669=1,45%+S671,IF(B668-T669=2,40%+T671,IF(B668-T669=3,37%+U671,IF(B668-T669=0,T675,IF(T669-B668=U676+1,$AA$37,IF(T669-B668=U676+2,$Z$37,IF(B668&lt;T669,C672-(T675-$AB$37)/U676))))))))</f>
        <v>0.37</v>
      </c>
      <c r="C672" s="286">
        <f>IF(C668-T669&gt;3,T674,IF(C668-T669=1,B672+S671,IF(C668-T669=2,B672+T671,IF(C668-T669=3,B672+U671,IF(C668-T669=0,T675,IF(T669-C668=U676+1,$AA$37,IF(T669-C668=U676+2,$Z$37,IF(C668&lt;T669,D672-(T675-$AB$37)/U676))))))))</f>
        <v>0.33999999999999997</v>
      </c>
      <c r="D672" s="286">
        <f>IF(D668-T669&gt;3,T674,IF(D668-T669=1,C672+S671,IF(D668-T669=2,C672+T671,IF(D668-T669=3,C672+U671,IF(D668-T669=0,T675,IF(T669-D668=U676+1,$AA$37,IF(T669-D668=U676+2,$Z$37,IF(D668&lt;T669,E672-(T675-$AB$37)/U676))))))))</f>
        <v>0.34</v>
      </c>
      <c r="E672" s="286">
        <f>IF(E668-T669&gt;3,T674,IF(E668-T669=1,D672+S671,IF(E668-T669=2,D672+T671,IF(E668-T669=3,D672+U671,IF(E668-T669=0,T675,IF(T669-E668=U676+1,$AA$37,IF(T669-E668=U676+2,$Z$37,IF(E668&lt;T669,F672-(T675-$AB$37)/U676))))))))</f>
        <v>0.34</v>
      </c>
      <c r="F672" s="286">
        <f>IF(F668-T669&gt;3,T674,IF(F668-T669=1,E672+S671,IF(F668-T669=2,E672+T671,IF(F668-T669=3,E672+U671,IF(F668-T669=0,T675,IF(T669-F668=U676+1,$AA$37,IF(T669-F668=U676+2,$Z$37,IF(F668&lt;T669,G672-(T675-$AB$37)/U676))))))))</f>
        <v>0.34</v>
      </c>
      <c r="G672" s="286">
        <f>IF(G668-T669&gt;3,T674,IF(G668-T669=1,F672+S671,IF(G668-T669=2,F672+T671,IF(G668-T669=3,F672+U671,IF(G668-T669=0,T675,IF(T669-G668=U676+1,$AA$37,IF(T669-G668=U676+2,$Z$37,IF(G668&lt;T669,H672-(T675-$AB$37)/U676))))))))</f>
        <v>0.34</v>
      </c>
      <c r="H672" s="286">
        <f>IF(H668-T669&gt;3,T674,IF(H668-T669=1,G672+S671,IF(H668-T669=2,G672+T671,IF(H668-T669=3,G672+U671,IF(H668-T669=0,T675,IF(T669-H668=U676+1,$AA$37,IF(T669-H668=U676+2,$Z$37,IF(H668&lt;T669,I672-(T675-$AB$37)/U676))))))))</f>
        <v>0.34</v>
      </c>
      <c r="I672" s="286">
        <f>IF(I668-T669&gt;3,T674,IF(I668-T669=1,H672+S671,IF(I668-T669=2,H672+T671,IF(I668-T669=3,H672+U671,IF(I668-T669=0,T675,IF(T669-I668=U676+1,$AA$37,IF(T669-I668=U676+2,$Z$37,IF(I668&lt;T669,J672-(T675-$AB$37)/U676))))))))</f>
        <v>0.34</v>
      </c>
      <c r="J672" s="286">
        <f>IF(J668-T669&gt;3,T674,IF(J668-T669=1,I672+S671,IF(J668-T669=2,I672+T671,IF(J668-T669=3,I672+U671,IF(J668-T669=0,T675,IF(T669-J668=U676+1,$AA$37,IF(T669-J668=U676+2,$Z$37,IF(J668&lt;T669,K672-(T675-$AB$37)/U676))))))))</f>
        <v>0.34</v>
      </c>
      <c r="K672" s="286">
        <f>IF(K668-T669&gt;3,T674,IF(K668-T669=1,J672+S671,IF(K668-T669=2,J672+T671,IF(K668-T669=3,J672+U671,IF(K668-T669=0,T675,IF(T669-K668=U676+1,$AA$37,IF(T669-K668=U676+2,$Z$37,IF(K668&lt;T669,L672-(T675-$AB$37)/U676))))))))</f>
        <v>0.34</v>
      </c>
      <c r="L672" s="286">
        <f>IF(L668-T669&gt;3,T674,IF(L668-T669=1,K672+S671,IF(L668-T669=2,K672+T671,IF(L668-T669=3,K672+U671,IF(L668-T669=0,T675,IF(T669-L668=U676+1,$AA$37,IF(T669-L668=U676+2,$Z$37,IF(L668&lt;T669,M672-(T675-$AB$37)/U676))))))))</f>
        <v>0.34</v>
      </c>
      <c r="M672" s="286">
        <f>IF(M668-T669&gt;3,T674,IF(M668-T669=1,L672+S671,IF(M668-T669=2,L672+T671,IF(M668-T669=3,L672+U671,IF(M668-T669=0,T675,IF(T669-M668=U676+1,$AA$37,IF(T669-M668=U676+2,$Z$37,IF(M668&lt;T669,N672-(T675-$AB$37)/U676))))))))</f>
        <v>0.34</v>
      </c>
      <c r="N672" s="286">
        <f>IF(N668-T669&gt;3,T674,IF(N668-T669=1,M672+S671,IF(N668-T669=2,M672+T671,IF(N668-T669=3,M672+U671,IF(N668-T669=0,T675,IF(T669-N668=U676+1,$AA$37,IF(T669-N668=U676+2,$Z$37,IF(N668&lt;T669,O672-(T675-$AB$37)/U676))))))))</f>
        <v>0.34</v>
      </c>
      <c r="O672" s="286">
        <f>IF(O668-T669&gt;3,T674,IF(O668-T669=1,N672+S671,IF(O668-T669=2,N672+T671,IF(O668-T669=3,N672+U671,IF(O668-T669=0,T675,IF(T669-O668=U676+1,$AA$37,IF(T669-O668=U676+2,$Z$37,IF(O668&lt;T669,P672-(T675-$AB$37)/U676))))))))</f>
        <v>0.34</v>
      </c>
      <c r="P672" s="286">
        <f>IF(P668-T669&gt;3,T674,IF(P668-T669=1,O672+S671,IF(P668-T669=2,O672+T671,IF(P668-T669=3,O672+U671,IF(P668-T669=0,T675,IF(T669-P668=U676+1,$AA$37,IF(T669-P668=U676+2,$Z$37,IF(P668&lt;T669,Q672-(T675-$AB$37)/U676))))))))</f>
        <v>0.34</v>
      </c>
      <c r="Q672" s="286">
        <f>IF(Q668-T669&gt;3,T674,IF(Q668-T669=1,P672+S671,IF(Q668-T669=2,P672+T671,IF(Q668-T669=3,P672+U671,IF(Q668-T669=0,T675,IF(T669-Q668=U676+1,$AA$37,IF(T669-Q668=U676+2,$Z$37,IF(Q668&lt;T669,R672-(T675-$AB$37)/U676))))))))</f>
        <v>0.34</v>
      </c>
      <c r="S672" s="287" t="s">
        <v>739</v>
      </c>
      <c r="T672" s="213">
        <f t="array" ref="T672">INDEX(Sales!B356:Q356,MATCH(FALSE,ISBLANK(Sales!B356:Q356),0))</f>
        <v>464</v>
      </c>
      <c r="U672" s="256"/>
      <c r="V672" s="256"/>
    </row>
    <row r="673" spans="1:22" hidden="1" outlineLevel="1">
      <c r="A673" s="270" t="s">
        <v>731</v>
      </c>
      <c r="B673" s="213">
        <f>B671*B674</f>
        <v>19.655659239284702</v>
      </c>
      <c r="C673" s="213">
        <f t="shared" ref="C673:Q673" si="569">C671*C674</f>
        <v>14.409003379647014</v>
      </c>
      <c r="D673" s="213">
        <f t="shared" si="569"/>
        <v>12.26933214338837</v>
      </c>
      <c r="E673" s="213">
        <f t="shared" si="569"/>
        <v>0</v>
      </c>
      <c r="F673" s="213">
        <f t="shared" si="569"/>
        <v>0</v>
      </c>
      <c r="G673" s="213">
        <f t="shared" si="569"/>
        <v>0</v>
      </c>
      <c r="H673" s="213">
        <f t="shared" si="569"/>
        <v>0</v>
      </c>
      <c r="I673" s="213">
        <f t="shared" si="569"/>
        <v>0</v>
      </c>
      <c r="J673" s="213">
        <f t="shared" si="569"/>
        <v>0</v>
      </c>
      <c r="K673" s="213">
        <f t="shared" si="569"/>
        <v>0</v>
      </c>
      <c r="L673" s="213">
        <f t="shared" si="569"/>
        <v>0</v>
      </c>
      <c r="M673" s="213">
        <f t="shared" si="569"/>
        <v>0</v>
      </c>
      <c r="N673" s="213">
        <f t="shared" si="569"/>
        <v>0</v>
      </c>
      <c r="O673" s="213">
        <f t="shared" si="569"/>
        <v>0</v>
      </c>
      <c r="P673" s="213">
        <f t="shared" si="569"/>
        <v>0</v>
      </c>
      <c r="Q673" s="213">
        <f t="shared" si="569"/>
        <v>0</v>
      </c>
      <c r="S673" s="287" t="s">
        <v>740</v>
      </c>
      <c r="T673" s="256">
        <f>IFERROR(INDEX(Sales!$B$1:$Q$1,MATCH(NPV!T672,Sales!B356:Q356,0)),INDEX(C668:Q668,MATCH(NPV!T672,C669:Q669,0)))</f>
        <v>2010</v>
      </c>
      <c r="U673" s="256"/>
      <c r="V673" s="256"/>
    </row>
    <row r="674" spans="1:22" hidden="1" outlineLevel="1">
      <c r="A674" s="270" t="s">
        <v>635</v>
      </c>
      <c r="B674" s="196">
        <f>'P&amp;L'!G$120</f>
        <v>0.1455435708203236</v>
      </c>
      <c r="C674" s="196">
        <f>'P&amp;L'!H$120</f>
        <v>0.15028163725122043</v>
      </c>
      <c r="D674" s="196">
        <f>'P&amp;L'!I$120</f>
        <v>0.15290792800832961</v>
      </c>
      <c r="E674" s="196">
        <f>'P&amp;L'!J$120</f>
        <v>0.16</v>
      </c>
      <c r="F674" s="196">
        <f>'P&amp;L'!K$120</f>
        <v>0.16</v>
      </c>
      <c r="G674" s="196">
        <f>'P&amp;L'!L$120</f>
        <v>0.16</v>
      </c>
      <c r="H674" s="196">
        <f>'P&amp;L'!M$120</f>
        <v>0.16</v>
      </c>
      <c r="I674" s="196">
        <f>'P&amp;L'!N$120</f>
        <v>0.16</v>
      </c>
      <c r="J674" s="196">
        <f>'P&amp;L'!O$120</f>
        <v>0.16</v>
      </c>
      <c r="K674" s="196">
        <f>'P&amp;L'!P$120</f>
        <v>0.16</v>
      </c>
      <c r="L674" s="196">
        <f>'P&amp;L'!Q$120</f>
        <v>0.16</v>
      </c>
      <c r="M674" s="196">
        <f t="shared" ref="M674" si="570">L674</f>
        <v>0.16</v>
      </c>
      <c r="N674" s="196">
        <f t="shared" ref="N674" si="571">M674</f>
        <v>0.16</v>
      </c>
      <c r="O674" s="196">
        <f t="shared" ref="O674" si="572">N674</f>
        <v>0.16</v>
      </c>
      <c r="P674" s="196">
        <f t="shared" ref="P674" si="573">O674</f>
        <v>0.16</v>
      </c>
      <c r="Q674" s="196">
        <f t="shared" ref="Q674" si="574">P674</f>
        <v>0.16</v>
      </c>
      <c r="S674" s="287" t="s">
        <v>741</v>
      </c>
      <c r="T674" s="288">
        <f>IF(Q668-T669&gt;3,IF(AND(S669&lt;$X$42,S669&lt;$X$43,S669&lt;$X$44),$AA$45,IF(AND(S669&lt;$X$42,S669&lt;$X$43),$AA$44,IF(S669&lt;$X$42,$AA$43,$AA$42))))</f>
        <v>0.34</v>
      </c>
      <c r="U674" s="256"/>
      <c r="V674" s="256"/>
    </row>
    <row r="675" spans="1:22" hidden="1" outlineLevel="1">
      <c r="A675" s="256" t="s">
        <v>732</v>
      </c>
      <c r="B675" s="213">
        <f>B671-B673</f>
        <v>115.39434076071531</v>
      </c>
      <c r="C675" s="213">
        <f t="shared" ref="C675:Q675" si="575">C671-C673</f>
        <v>81.470996620352977</v>
      </c>
      <c r="D675" s="213">
        <f t="shared" si="575"/>
        <v>67.970667856611641</v>
      </c>
      <c r="E675" s="213">
        <f t="shared" si="575"/>
        <v>0</v>
      </c>
      <c r="F675" s="213">
        <f t="shared" si="575"/>
        <v>0</v>
      </c>
      <c r="G675" s="213">
        <f t="shared" si="575"/>
        <v>0</v>
      </c>
      <c r="H675" s="213">
        <f t="shared" si="575"/>
        <v>0</v>
      </c>
      <c r="I675" s="213">
        <f t="shared" si="575"/>
        <v>0</v>
      </c>
      <c r="J675" s="213">
        <f t="shared" si="575"/>
        <v>0</v>
      </c>
      <c r="K675" s="213">
        <f t="shared" si="575"/>
        <v>0</v>
      </c>
      <c r="L675" s="213">
        <f t="shared" si="575"/>
        <v>0</v>
      </c>
      <c r="M675" s="213">
        <f t="shared" si="575"/>
        <v>0</v>
      </c>
      <c r="N675" s="213">
        <f t="shared" si="575"/>
        <v>0</v>
      </c>
      <c r="O675" s="213">
        <f t="shared" si="575"/>
        <v>0</v>
      </c>
      <c r="P675" s="213">
        <f t="shared" si="575"/>
        <v>0</v>
      </c>
      <c r="Q675" s="213">
        <f t="shared" si="575"/>
        <v>0</v>
      </c>
      <c r="S675" s="287" t="s">
        <v>742</v>
      </c>
      <c r="T675" s="288">
        <f>IF(S669&gt;$X$42,$Z$42,IF(S669&gt;$X$43,$Z$43,IF(S669&gt;$X$44,$Z$44,$Z$45)))</f>
        <v>0.45</v>
      </c>
      <c r="U675" s="256"/>
      <c r="V675" s="256"/>
    </row>
    <row r="676" spans="1:22" hidden="1" outlineLevel="1">
      <c r="A676" s="270" t="s">
        <v>607</v>
      </c>
      <c r="B676" s="277">
        <f>B675</f>
        <v>115.39434076071531</v>
      </c>
      <c r="C676" s="277">
        <f t="shared" ref="C676:Q676" si="576">C675</f>
        <v>81.470996620352977</v>
      </c>
      <c r="D676" s="277">
        <f t="shared" si="576"/>
        <v>67.970667856611641</v>
      </c>
      <c r="E676" s="277">
        <f t="shared" si="576"/>
        <v>0</v>
      </c>
      <c r="F676" s="277">
        <f t="shared" si="576"/>
        <v>0</v>
      </c>
      <c r="G676" s="277">
        <f t="shared" si="576"/>
        <v>0</v>
      </c>
      <c r="H676" s="277">
        <f t="shared" si="576"/>
        <v>0</v>
      </c>
      <c r="I676" s="277">
        <f t="shared" si="576"/>
        <v>0</v>
      </c>
      <c r="J676" s="277">
        <f t="shared" si="576"/>
        <v>0</v>
      </c>
      <c r="K676" s="277">
        <f t="shared" si="576"/>
        <v>0</v>
      </c>
      <c r="L676" s="277">
        <f t="shared" si="576"/>
        <v>0</v>
      </c>
      <c r="M676" s="277">
        <f t="shared" si="576"/>
        <v>0</v>
      </c>
      <c r="N676" s="277">
        <f t="shared" si="576"/>
        <v>0</v>
      </c>
      <c r="O676" s="277">
        <f t="shared" si="576"/>
        <v>0</v>
      </c>
      <c r="P676" s="277">
        <f t="shared" si="576"/>
        <v>0</v>
      </c>
      <c r="Q676" s="277">
        <f t="shared" si="576"/>
        <v>0</v>
      </c>
      <c r="S676" s="287" t="s">
        <v>743</v>
      </c>
      <c r="T676" s="256">
        <f>T669-T673</f>
        <v>3</v>
      </c>
      <c r="U676" s="256">
        <f>T676-2</f>
        <v>1</v>
      </c>
      <c r="V676" s="256"/>
    </row>
    <row r="677" spans="1:22" hidden="1" outlineLevel="1">
      <c r="A677" s="279" t="s">
        <v>733</v>
      </c>
      <c r="B677" s="280">
        <f t="shared" ref="B677:Q677" si="577">B676*B$45</f>
        <v>0</v>
      </c>
      <c r="C677" s="280">
        <f t="shared" si="577"/>
        <v>0</v>
      </c>
      <c r="D677" s="280">
        <f t="shared" si="577"/>
        <v>0</v>
      </c>
      <c r="E677" s="280">
        <f t="shared" ca="1" si="577"/>
        <v>0</v>
      </c>
      <c r="F677" s="280">
        <f t="shared" ca="1" si="577"/>
        <v>0</v>
      </c>
      <c r="G677" s="280">
        <f t="shared" ca="1" si="577"/>
        <v>0</v>
      </c>
      <c r="H677" s="280">
        <f t="shared" ca="1" si="577"/>
        <v>0</v>
      </c>
      <c r="I677" s="280">
        <f t="shared" ca="1" si="577"/>
        <v>0</v>
      </c>
      <c r="J677" s="280">
        <f t="shared" ca="1" si="577"/>
        <v>0</v>
      </c>
      <c r="K677" s="280">
        <f t="shared" ca="1" si="577"/>
        <v>0</v>
      </c>
      <c r="L677" s="280">
        <f t="shared" ca="1" si="577"/>
        <v>0</v>
      </c>
      <c r="M677" s="280">
        <f t="shared" ca="1" si="577"/>
        <v>0</v>
      </c>
      <c r="N677" s="280">
        <f t="shared" ca="1" si="577"/>
        <v>0</v>
      </c>
      <c r="O677" s="280">
        <f t="shared" ca="1" si="577"/>
        <v>0</v>
      </c>
      <c r="P677" s="280">
        <f t="shared" ca="1" si="577"/>
        <v>0</v>
      </c>
      <c r="Q677" s="280">
        <f t="shared" ca="1" si="577"/>
        <v>0</v>
      </c>
      <c r="S677" s="289" t="s">
        <v>744</v>
      </c>
      <c r="T677" s="288">
        <f>VLOOKUP(S677,$Y$32:$AB$34,2,0)</f>
        <v>-0.7</v>
      </c>
      <c r="U677" s="288">
        <f>VLOOKUP(S677,$Y$32:$AB$34,3,0)</f>
        <v>-0.35</v>
      </c>
      <c r="V677" s="288">
        <f>VLOOKUP(S677,$Y$32:$AB$34,4,0)</f>
        <v>-0.1</v>
      </c>
    </row>
    <row r="678" spans="1:22" hidden="1" outlineLevel="1">
      <c r="A678" s="270" t="s">
        <v>734</v>
      </c>
      <c r="B678" s="213">
        <f ca="1">SUM(B677:Q677)</f>
        <v>0</v>
      </c>
      <c r="C678" s="277"/>
      <c r="D678" s="277"/>
      <c r="E678" s="277"/>
      <c r="F678" s="277"/>
      <c r="G678" s="277"/>
      <c r="H678" s="277"/>
      <c r="I678" s="277"/>
      <c r="J678" s="277"/>
      <c r="K678" s="277"/>
      <c r="L678" s="277"/>
      <c r="M678" s="277"/>
      <c r="N678" s="256"/>
      <c r="O678" s="256"/>
      <c r="P678" s="256"/>
      <c r="Q678" s="256"/>
    </row>
    <row r="679" spans="1:22" hidden="1" outlineLevel="1">
      <c r="A679" s="281" t="s">
        <v>735</v>
      </c>
      <c r="B679" s="213">
        <f ca="1">(Q676*(1+C679))/(DCF!$H$31-NPV!C679)*NPV!$Q$45</f>
        <v>0</v>
      </c>
      <c r="C679" s="612">
        <v>-0.05</v>
      </c>
      <c r="D679" s="277"/>
      <c r="E679" s="277"/>
      <c r="F679" s="277"/>
      <c r="G679" s="277"/>
      <c r="H679" s="277"/>
      <c r="I679" s="277"/>
      <c r="J679" s="277"/>
      <c r="K679" s="277"/>
      <c r="L679" s="277"/>
      <c r="M679" s="277"/>
      <c r="N679" s="256"/>
      <c r="O679" s="256"/>
      <c r="P679" s="256"/>
      <c r="Q679" s="256"/>
    </row>
    <row r="680" spans="1:22" hidden="1" outlineLevel="1">
      <c r="A680" s="281" t="s">
        <v>736</v>
      </c>
      <c r="B680" s="213">
        <f ca="1">SUM(B678:B679)/DCF!$C$30</f>
        <v>0</v>
      </c>
      <c r="C680" s="283"/>
      <c r="D680" s="283"/>
      <c r="E680" s="283"/>
      <c r="F680" s="283"/>
      <c r="G680" s="283"/>
      <c r="H680" s="283"/>
      <c r="I680" s="283"/>
      <c r="J680" s="283"/>
      <c r="K680" s="283"/>
      <c r="L680" s="283"/>
      <c r="M680" s="256"/>
      <c r="N680" s="256"/>
      <c r="O680" s="256"/>
      <c r="P680" s="256"/>
      <c r="Q680" s="256"/>
    </row>
    <row r="681" spans="1:22" hidden="1" outlineLevel="1">
      <c r="A681" s="284" t="s">
        <v>737</v>
      </c>
      <c r="B681" s="285">
        <f ca="1">B680/DCF!$H$24</f>
        <v>0</v>
      </c>
    </row>
    <row r="682" spans="1:22" hidden="1" outlineLevel="1"/>
    <row r="683" spans="1:22" hidden="1" outlineLevel="1">
      <c r="A683" s="265" t="s">
        <v>758</v>
      </c>
      <c r="B683" s="266">
        <v>2015</v>
      </c>
      <c r="C683" s="266">
        <v>2016</v>
      </c>
      <c r="D683" s="266">
        <v>2017</v>
      </c>
      <c r="E683" s="266">
        <v>2018</v>
      </c>
      <c r="F683" s="266">
        <v>2019</v>
      </c>
      <c r="G683" s="266">
        <v>2020</v>
      </c>
      <c r="H683" s="266">
        <v>2021</v>
      </c>
      <c r="I683" s="266">
        <v>2022</v>
      </c>
      <c r="J683" s="266">
        <v>2023</v>
      </c>
      <c r="K683" s="266">
        <v>2024</v>
      </c>
      <c r="L683" s="266">
        <v>2025</v>
      </c>
      <c r="M683" s="266">
        <v>2026</v>
      </c>
      <c r="N683" s="266">
        <v>2027</v>
      </c>
      <c r="O683" s="266">
        <v>2028</v>
      </c>
      <c r="P683" s="266">
        <v>2029</v>
      </c>
      <c r="Q683" s="267">
        <v>2030</v>
      </c>
      <c r="S683" s="256" t="s">
        <v>709</v>
      </c>
      <c r="T683" s="256" t="s">
        <v>710</v>
      </c>
      <c r="U683" s="256"/>
      <c r="V683" s="256"/>
    </row>
    <row r="684" spans="1:22" hidden="1" outlineLevel="1">
      <c r="A684" s="268" t="s">
        <v>729</v>
      </c>
      <c r="B684" s="269">
        <f>Sales!G391</f>
        <v>1861</v>
      </c>
      <c r="C684" s="269">
        <f>Sales!H391</f>
        <v>1913</v>
      </c>
      <c r="D684" s="269">
        <f>Sales!I391+Sales!I325</f>
        <v>2982</v>
      </c>
      <c r="E684" s="269">
        <f>Sales!J391+Sales!J325</f>
        <v>2893.5600000000004</v>
      </c>
      <c r="F684" s="269">
        <f>Sales!K391+Sales!K325</f>
        <v>2807.8038000000001</v>
      </c>
      <c r="G684" s="269">
        <f>Sales!L391+Sales!L325</f>
        <v>2724.6518040000001</v>
      </c>
      <c r="H684" s="269">
        <f>Sales!M391+Sales!M325</f>
        <v>2644.0268314199998</v>
      </c>
      <c r="I684" s="269">
        <f>Sales!N391+Sales!N325</f>
        <v>2565.8540454636</v>
      </c>
      <c r="J684" s="269">
        <f>Sales!O391+Sales!O325</f>
        <v>2490.0608836554779</v>
      </c>
      <c r="K684" s="269">
        <f>Sales!P391+Sales!P325</f>
        <v>2416.5769904882736</v>
      </c>
      <c r="L684" s="269">
        <f>Sales!Q391+Sales!Q325</f>
        <v>2345.3341521163588</v>
      </c>
      <c r="M684" s="269">
        <f>L684*(1+M685)</f>
        <v>2345.3341521163588</v>
      </c>
      <c r="N684" s="269">
        <f>M684*(1+N685)</f>
        <v>2345.3341521163588</v>
      </c>
      <c r="O684" s="269">
        <f>N684*(1+O685)</f>
        <v>2345.3341521163588</v>
      </c>
      <c r="P684" s="269">
        <f>O684*(1+P685)</f>
        <v>2345.3341521163588</v>
      </c>
      <c r="Q684" s="269">
        <f>P684*(1+Q685)</f>
        <v>2345.3341521163588</v>
      </c>
      <c r="S684" s="213">
        <f>MAX(MAX(Sales!C391:W391),MAX(K684:Q684))</f>
        <v>3676</v>
      </c>
      <c r="T684" s="256">
        <f>IFERROR(INDEX(Sales!$B$1:$Q$1,MATCH(NPV!S684,Sales!B391:Q391,0)),INDEX(C683:Q683,MATCH(NPV!S684,C684:Q684,0)))</f>
        <v>2014</v>
      </c>
      <c r="U684" s="256"/>
      <c r="V684" s="256"/>
    </row>
    <row r="685" spans="1:22" hidden="1" outlineLevel="1">
      <c r="A685" s="270" t="s">
        <v>579</v>
      </c>
      <c r="B685" s="271"/>
      <c r="C685" s="271">
        <f t="shared" ref="C685:H685" si="578">C684/B684-1</f>
        <v>2.7941966684578157E-2</v>
      </c>
      <c r="D685" s="271">
        <f t="shared" si="578"/>
        <v>0.55880815473078926</v>
      </c>
      <c r="E685" s="271">
        <f t="shared" si="578"/>
        <v>-2.9657947686116515E-2</v>
      </c>
      <c r="F685" s="271">
        <f t="shared" si="578"/>
        <v>-2.9636917845145883E-2</v>
      </c>
      <c r="G685" s="271">
        <f t="shared" si="578"/>
        <v>-2.9614603413529172E-2</v>
      </c>
      <c r="H685" s="271">
        <f t="shared" si="578"/>
        <v>-2.9590926980701426E-2</v>
      </c>
      <c r="I685" s="271">
        <f>I684/H684-1</f>
        <v>-2.9565806605077571E-2</v>
      </c>
      <c r="J685" s="271">
        <f>J684/I684-1</f>
        <v>-2.9539155565813879E-2</v>
      </c>
      <c r="K685" s="271">
        <f t="shared" ref="K685:L685" si="579">K684/J684-1</f>
        <v>-2.9510882103142788E-2</v>
      </c>
      <c r="L685" s="271">
        <f t="shared" si="579"/>
        <v>-2.9480889147057598E-2</v>
      </c>
      <c r="M685" s="272">
        <v>0</v>
      </c>
      <c r="N685" s="272">
        <v>0</v>
      </c>
      <c r="O685" s="272">
        <v>0</v>
      </c>
      <c r="P685" s="272">
        <v>0</v>
      </c>
      <c r="Q685" s="272">
        <v>0</v>
      </c>
      <c r="S685" s="256" t="s">
        <v>738</v>
      </c>
      <c r="T685" s="256"/>
      <c r="U685" s="256"/>
      <c r="V685" s="256"/>
    </row>
    <row r="686" spans="1:22" hidden="1" outlineLevel="1">
      <c r="A686" s="273" t="s">
        <v>730</v>
      </c>
      <c r="B686" s="274">
        <f t="shared" ref="B686:Q686" si="580">B684*B687</f>
        <v>651.34999999999991</v>
      </c>
      <c r="C686" s="274">
        <f t="shared" si="580"/>
        <v>573.9</v>
      </c>
      <c r="D686" s="274">
        <f t="shared" si="580"/>
        <v>745.5</v>
      </c>
      <c r="E686" s="274">
        <f t="shared" si="580"/>
        <v>1157.424</v>
      </c>
      <c r="F686" s="274">
        <f t="shared" si="580"/>
        <v>1123.1215199999999</v>
      </c>
      <c r="G686" s="274">
        <f t="shared" si="580"/>
        <v>1089.8607216</v>
      </c>
      <c r="H686" s="274">
        <f t="shared" si="580"/>
        <v>1057.6107325679998</v>
      </c>
      <c r="I686" s="274">
        <f t="shared" si="580"/>
        <v>1026.34161818544</v>
      </c>
      <c r="J686" s="274">
        <f t="shared" si="580"/>
        <v>996.02435346219113</v>
      </c>
      <c r="K686" s="274">
        <f t="shared" si="580"/>
        <v>966.63079619530936</v>
      </c>
      <c r="L686" s="274">
        <f t="shared" si="580"/>
        <v>938.13366084654342</v>
      </c>
      <c r="M686" s="274">
        <f t="shared" si="580"/>
        <v>938.13366084654342</v>
      </c>
      <c r="N686" s="274">
        <f t="shared" si="580"/>
        <v>938.13366084654342</v>
      </c>
      <c r="O686" s="274">
        <f t="shared" si="580"/>
        <v>938.13366084654342</v>
      </c>
      <c r="P686" s="274">
        <f t="shared" si="580"/>
        <v>938.13366084654342</v>
      </c>
      <c r="Q686" s="274">
        <f t="shared" si="580"/>
        <v>938.13366084654342</v>
      </c>
      <c r="S686" s="282">
        <f>IF(S684&gt;$X$39,$Z$39,$Z$40)</f>
        <v>-0.1</v>
      </c>
      <c r="T686" s="282">
        <f>IF(S684&gt;$X$39,$AA$39,$AA$40)</f>
        <v>-0.05</v>
      </c>
      <c r="U686" s="282">
        <f>IF(S684&gt;$X$39,$AB$39,$AB$40)</f>
        <v>-0.05</v>
      </c>
      <c r="V686" s="256"/>
    </row>
    <row r="687" spans="1:22" hidden="1" outlineLevel="1">
      <c r="A687" s="270" t="s">
        <v>580</v>
      </c>
      <c r="B687" s="286">
        <f>IF(B683-T684&gt;3,T689,IF(B683-T684=1,45%+S686,IF(B683-T684=2,45%+T686,IF(B683-T684=3,A687+U686,IF(B683-T684=0,T690,IF(T684-B683=U691+1,$AA$37,IF(T684-B683=U691+2,$Z$37,IF(B683&lt;T684,C687-(T690-$AB$37)/U691))))))))</f>
        <v>0.35</v>
      </c>
      <c r="C687" s="286">
        <f>IF(C683-T684&gt;3,T689,IF(C683-T684=1,B687+S686,IF(C683-T684=2,B687+T686,IF(C683-T684=3,B687+U686,IF(C683-T684=0,T690,IF(T684-C683=U691+1,$AA$37,IF(T684-C683=U691+2,$Z$37,IF(C683&lt;T684,D687-(T690-$AB$37)/U691))))))))</f>
        <v>0.3</v>
      </c>
      <c r="D687" s="286">
        <f>IF(D683-T684&gt;3,T689,IF(D683-T684=1,C687+S686,IF(D683-T684=2,C687+T686,IF(D683-T684=3,C687+U686,IF(D683-T684=0,T690,IF(T684-D683=U691+1,$AA$37,IF(T684-D683=U691+2,$Z$37,IF(D683&lt;T684,E687-(T690-$AB$37)/U691))))))))</f>
        <v>0.25</v>
      </c>
      <c r="E687" s="286">
        <f>IF(E683-T684&gt;3,T689,IF(E683-T684=1,D687+S686,IF(E683-T684=2,D687+T686,IF(E683-T684=3,D687+U686,IF(E683-T684=0,T690,IF(T684-E683=U691+1,$AA$37,IF(T684-E683=U691+2,$Z$37,IF(E683&lt;T684,F687-(T690-$AB$37)/U691))))))))</f>
        <v>0.39999999999999997</v>
      </c>
      <c r="F687" s="286">
        <f>IF(F683-T684&gt;3,T689,IF(F683-T684=1,E687+S686,IF(F683-T684=2,E687+T686,IF(F683-T684=3,E687+U686,IF(F683-T684=0,T690,IF(T684-F683=U691+1,$AA$37,IF(T684-F683=U691+2,$Z$37,IF(F683&lt;T684,G687-(T690-$AB$37)/U691))))))))</f>
        <v>0.39999999999999997</v>
      </c>
      <c r="G687" s="286">
        <f>IF(G683-T684&gt;3,T689,IF(G683-T684=1,F687+S686,IF(G683-T684=2,F687+T686,IF(G683-T684=3,F687+U686,IF(G683-T684=0,T690,IF(T684-G683=U691+1,$AA$37,IF(T684-G683=U691+2,$Z$37,IF(G683&lt;T684,H687-(T690-$AB$37)/U691))))))))</f>
        <v>0.39999999999999997</v>
      </c>
      <c r="H687" s="286">
        <f>IF(H683-T684&gt;3,T689,IF(H683-T684=1,G687+S686,IF(H683-T684=2,G687+T686,IF(H683-T684=3,G687+U686,IF(H683-T684=0,T690,IF(T684-H683=U691+1,$AA$37,IF(T684-H683=U691+2,$Z$37,IF(H683&lt;T684,I687-(T690-$AB$37)/U691))))))))</f>
        <v>0.39999999999999997</v>
      </c>
      <c r="I687" s="286">
        <f>IF(I683-T684&gt;3,T689,IF(I683-T684=1,H687+S686,IF(I683-T684=2,H687+T686,IF(I683-T684=3,H687+U686,IF(I683-T684=0,T690,IF(T684-I683=U691+1,$AA$37,IF(T684-I683=U691+2,$Z$37,IF(I683&lt;T684,J687-(T690-$AB$37)/U691))))))))</f>
        <v>0.39999999999999997</v>
      </c>
      <c r="J687" s="286">
        <f>IF(J683-T684&gt;3,T689,IF(J683-T684=1,I687+S686,IF(J683-T684=2,I687+T686,IF(J683-T684=3,I687+U686,IF(J683-T684=0,T690,IF(T684-J683=U691+1,$AA$37,IF(T684-J683=U691+2,$Z$37,IF(J683&lt;T684,K687-(T690-$AB$37)/U691))))))))</f>
        <v>0.39999999999999997</v>
      </c>
      <c r="K687" s="286">
        <f>IF(K683-T684&gt;3,T689,IF(K683-T684=1,J687+S686,IF(K683-T684=2,J687+T686,IF(K683-T684=3,J687+U686,IF(K683-T684=0,T690,IF(T684-K683=U691+1,$AA$37,IF(T684-K683=U691+2,$Z$37,IF(K683&lt;T684,L687-(T690-$AB$37)/U691))))))))</f>
        <v>0.39999999999999997</v>
      </c>
      <c r="L687" s="286">
        <f>IF(L683-T684&gt;3,T689,IF(L683-T684=1,K687+S686,IF(L683-T684=2,K687+T686,IF(L683-T684=3,K687+U686,IF(L683-T684=0,T690,IF(T684-L683=U691+1,$AA$37,IF(T684-L683=U691+2,$Z$37,IF(L683&lt;T684,M687-(T690-$AB$37)/U691))))))))</f>
        <v>0.39999999999999997</v>
      </c>
      <c r="M687" s="286">
        <f>IF(M683-T684&gt;3,T689,IF(M683-T684=1,L687+S686,IF(M683-T684=2,L687+T686,IF(M683-T684=3,L687+U686,IF(M683-T684=0,T690,IF(T684-M683=U691+1,$AA$37,IF(T684-M683=U691+2,$Z$37,IF(M683&lt;T684,N687-(T690-$AB$37)/U691))))))))</f>
        <v>0.39999999999999997</v>
      </c>
      <c r="N687" s="286">
        <f>IF(N683-T684&gt;3,T689,IF(N683-T684=1,M687+S686,IF(N683-T684=2,M687+T686,IF(N683-T684=3,M687+U686,IF(N683-T684=0,T690,IF(T684-N683=U691+1,$AA$37,IF(T684-N683=U691+2,$Z$37,IF(N683&lt;T684,O687-(T690-$AB$37)/U691))))))))</f>
        <v>0.39999999999999997</v>
      </c>
      <c r="O687" s="286">
        <f>IF(O683-T684&gt;3,T689,IF(O683-T684=1,N687+S686,IF(O683-T684=2,N687+T686,IF(O683-T684=3,N687+U686,IF(O683-T684=0,T690,IF(T684-O683=U691+1,$AA$37,IF(T684-O683=U691+2,$Z$37,IF(O683&lt;T684,P687-(T690-$AB$37)/U691))))))))</f>
        <v>0.39999999999999997</v>
      </c>
      <c r="P687" s="286">
        <f>IF(P683-T684&gt;3,T689,IF(P683-T684=1,O687+S686,IF(P683-T684=2,O687+T686,IF(P683-T684=3,O687+U686,IF(P683-T684=0,T690,IF(T684-P683=U691+1,$AA$37,IF(T684-P683=U691+2,$Z$37,IF(P683&lt;T684,Q687-(T690-$AB$37)/U691))))))))</f>
        <v>0.39999999999999997</v>
      </c>
      <c r="Q687" s="286">
        <f>IF(Q683-T684&gt;3,T689,IF(Q683-T684=1,P687+S686,IF(Q683-T684=2,P687+T686,IF(Q683-T684=3,P687+U686,IF(Q683-T684=0,T690,IF(T684-Q683=U691+1,$AA$37,IF(T684-Q683=U691+2,$Z$37,IF(Q683&lt;T684,R687-(T690-$AB$37)/U691))))))))</f>
        <v>0.39999999999999997</v>
      </c>
      <c r="S687" s="287" t="s">
        <v>739</v>
      </c>
      <c r="T687" s="213">
        <f t="array" ref="T687">INDEX(Sales!B391:Q391,MATCH(FALSE,ISBLANK(Sales!B391:Q391),0))</f>
        <v>3676</v>
      </c>
      <c r="U687" s="256"/>
      <c r="V687" s="256"/>
    </row>
    <row r="688" spans="1:22" hidden="1" outlineLevel="1">
      <c r="A688" s="270" t="s">
        <v>731</v>
      </c>
      <c r="B688" s="213">
        <f>B686*B689</f>
        <v>94.799804853817761</v>
      </c>
      <c r="C688" s="213">
        <f t="shared" ref="C688:Q688" si="581">C686*C689</f>
        <v>86.246631618475405</v>
      </c>
      <c r="D688" s="213">
        <f t="shared" si="581"/>
        <v>113.99286033020972</v>
      </c>
      <c r="E688" s="213">
        <f t="shared" si="581"/>
        <v>185.18783999999999</v>
      </c>
      <c r="F688" s="213">
        <f t="shared" si="581"/>
        <v>179.69944319999999</v>
      </c>
      <c r="G688" s="213">
        <f t="shared" si="581"/>
        <v>174.377715456</v>
      </c>
      <c r="H688" s="213">
        <f t="shared" si="581"/>
        <v>169.21771721087995</v>
      </c>
      <c r="I688" s="213">
        <f t="shared" si="581"/>
        <v>164.21465890967039</v>
      </c>
      <c r="J688" s="213">
        <f t="shared" si="581"/>
        <v>159.36389655395058</v>
      </c>
      <c r="K688" s="213">
        <f t="shared" si="581"/>
        <v>154.66092739124949</v>
      </c>
      <c r="L688" s="213">
        <f t="shared" si="581"/>
        <v>150.10138573544694</v>
      </c>
      <c r="M688" s="213">
        <f t="shared" si="581"/>
        <v>150.10138573544694</v>
      </c>
      <c r="N688" s="213">
        <f t="shared" si="581"/>
        <v>150.10138573544694</v>
      </c>
      <c r="O688" s="213">
        <f t="shared" si="581"/>
        <v>150.10138573544694</v>
      </c>
      <c r="P688" s="213">
        <f t="shared" si="581"/>
        <v>150.10138573544694</v>
      </c>
      <c r="Q688" s="213">
        <f t="shared" si="581"/>
        <v>150.10138573544694</v>
      </c>
      <c r="S688" s="287" t="s">
        <v>740</v>
      </c>
      <c r="T688" s="256">
        <f>IFERROR(INDEX(Sales!$B$1:$Q$1,MATCH(NPV!T687,Sales!B391:Q391,0)),INDEX(C683:Q683,MATCH(NPV!T687,C684:Q684,0)))</f>
        <v>2014</v>
      </c>
      <c r="U688" s="256"/>
      <c r="V688" s="256"/>
    </row>
    <row r="689" spans="1:22" hidden="1" outlineLevel="1">
      <c r="A689" s="270" t="s">
        <v>635</v>
      </c>
      <c r="B689" s="196">
        <f>'P&amp;L'!G$120</f>
        <v>0.1455435708203236</v>
      </c>
      <c r="C689" s="196">
        <f>'P&amp;L'!H$120</f>
        <v>0.15028163725122043</v>
      </c>
      <c r="D689" s="196">
        <f>'P&amp;L'!I$120</f>
        <v>0.15290792800832961</v>
      </c>
      <c r="E689" s="196">
        <f>'P&amp;L'!J$120</f>
        <v>0.16</v>
      </c>
      <c r="F689" s="196">
        <f>'P&amp;L'!K$120</f>
        <v>0.16</v>
      </c>
      <c r="G689" s="196">
        <f>'P&amp;L'!L$120</f>
        <v>0.16</v>
      </c>
      <c r="H689" s="196">
        <f>'P&amp;L'!M$120</f>
        <v>0.16</v>
      </c>
      <c r="I689" s="196">
        <f>'P&amp;L'!N$120</f>
        <v>0.16</v>
      </c>
      <c r="J689" s="196">
        <f>'P&amp;L'!O$120</f>
        <v>0.16</v>
      </c>
      <c r="K689" s="196">
        <f>'P&amp;L'!P$120</f>
        <v>0.16</v>
      </c>
      <c r="L689" s="196">
        <f>'P&amp;L'!Q$120</f>
        <v>0.16</v>
      </c>
      <c r="M689" s="196">
        <f t="shared" ref="M689" si="582">L689</f>
        <v>0.16</v>
      </c>
      <c r="N689" s="196">
        <f t="shared" ref="N689" si="583">M689</f>
        <v>0.16</v>
      </c>
      <c r="O689" s="196">
        <f t="shared" ref="O689" si="584">N689</f>
        <v>0.16</v>
      </c>
      <c r="P689" s="196">
        <f t="shared" ref="P689" si="585">O689</f>
        <v>0.16</v>
      </c>
      <c r="Q689" s="196">
        <f t="shared" ref="Q689" si="586">P689</f>
        <v>0.16</v>
      </c>
      <c r="S689" s="287" t="s">
        <v>741</v>
      </c>
      <c r="T689" s="288">
        <f>IF(Q683-T684&gt;3,IF(AND(S684&lt;$X$42,S684&lt;$X$43,S684&lt;$X$44),$AA$45,IF(AND(S684&lt;$X$42,S684&lt;$X$43),$AA$44,IF(S684&lt;$X$42,$AA$43,$AA$42))))</f>
        <v>0.39999999999999997</v>
      </c>
      <c r="U689" s="256"/>
      <c r="V689" s="256"/>
    </row>
    <row r="690" spans="1:22" hidden="1" outlineLevel="1">
      <c r="A690" s="256" t="s">
        <v>732</v>
      </c>
      <c r="B690" s="213">
        <f>B686-B688</f>
        <v>556.5501951461822</v>
      </c>
      <c r="C690" s="213">
        <f t="shared" ref="C690:Q690" si="587">C686-C688</f>
        <v>487.65336838152456</v>
      </c>
      <c r="D690" s="213">
        <f t="shared" si="587"/>
        <v>631.50713966979026</v>
      </c>
      <c r="E690" s="213">
        <f t="shared" si="587"/>
        <v>972.23615999999993</v>
      </c>
      <c r="F690" s="213">
        <f t="shared" si="587"/>
        <v>943.4220767999999</v>
      </c>
      <c r="G690" s="213">
        <f t="shared" si="587"/>
        <v>915.483006144</v>
      </c>
      <c r="H690" s="213">
        <f t="shared" si="587"/>
        <v>888.39301535711979</v>
      </c>
      <c r="I690" s="213">
        <f t="shared" si="587"/>
        <v>862.12695927576965</v>
      </c>
      <c r="J690" s="213">
        <f t="shared" si="587"/>
        <v>836.66045690824058</v>
      </c>
      <c r="K690" s="213">
        <f t="shared" si="587"/>
        <v>811.96986880405984</v>
      </c>
      <c r="L690" s="213">
        <f t="shared" si="587"/>
        <v>788.03227511109651</v>
      </c>
      <c r="M690" s="213">
        <f t="shared" si="587"/>
        <v>788.03227511109651</v>
      </c>
      <c r="N690" s="213">
        <f t="shared" si="587"/>
        <v>788.03227511109651</v>
      </c>
      <c r="O690" s="213">
        <f t="shared" si="587"/>
        <v>788.03227511109651</v>
      </c>
      <c r="P690" s="213">
        <f t="shared" si="587"/>
        <v>788.03227511109651</v>
      </c>
      <c r="Q690" s="213">
        <f t="shared" si="587"/>
        <v>788.03227511109651</v>
      </c>
      <c r="S690" s="287" t="s">
        <v>742</v>
      </c>
      <c r="T690" s="288">
        <f>IF(S684&gt;$X$42,$Z$42,IF(S684&gt;$X$43,$Z$43,IF(S684&gt;$X$44,$Z$44,$Z$45)))</f>
        <v>0.6</v>
      </c>
      <c r="U690" s="256"/>
      <c r="V690" s="256"/>
    </row>
    <row r="691" spans="1:22" hidden="1" outlineLevel="1">
      <c r="A691" s="270" t="s">
        <v>607</v>
      </c>
      <c r="B691" s="277">
        <f>B690</f>
        <v>556.5501951461822</v>
      </c>
      <c r="C691" s="277">
        <f t="shared" ref="C691:Q691" si="588">C690</f>
        <v>487.65336838152456</v>
      </c>
      <c r="D691" s="277">
        <f t="shared" si="588"/>
        <v>631.50713966979026</v>
      </c>
      <c r="E691" s="277">
        <f t="shared" si="588"/>
        <v>972.23615999999993</v>
      </c>
      <c r="F691" s="277">
        <f t="shared" si="588"/>
        <v>943.4220767999999</v>
      </c>
      <c r="G691" s="277">
        <f t="shared" si="588"/>
        <v>915.483006144</v>
      </c>
      <c r="H691" s="277">
        <f t="shared" si="588"/>
        <v>888.39301535711979</v>
      </c>
      <c r="I691" s="277">
        <f t="shared" si="588"/>
        <v>862.12695927576965</v>
      </c>
      <c r="J691" s="277">
        <f t="shared" si="588"/>
        <v>836.66045690824058</v>
      </c>
      <c r="K691" s="277">
        <f t="shared" si="588"/>
        <v>811.96986880405984</v>
      </c>
      <c r="L691" s="277">
        <f t="shared" si="588"/>
        <v>788.03227511109651</v>
      </c>
      <c r="M691" s="277">
        <f t="shared" si="588"/>
        <v>788.03227511109651</v>
      </c>
      <c r="N691" s="277">
        <f t="shared" si="588"/>
        <v>788.03227511109651</v>
      </c>
      <c r="O691" s="277">
        <f t="shared" si="588"/>
        <v>788.03227511109651</v>
      </c>
      <c r="P691" s="277">
        <f t="shared" si="588"/>
        <v>788.03227511109651</v>
      </c>
      <c r="Q691" s="277">
        <f t="shared" si="588"/>
        <v>788.03227511109651</v>
      </c>
      <c r="S691" s="287" t="s">
        <v>743</v>
      </c>
      <c r="T691" s="256">
        <f>T684-T688</f>
        <v>0</v>
      </c>
      <c r="U691" s="256">
        <f>T691-2</f>
        <v>-2</v>
      </c>
      <c r="V691" s="256"/>
    </row>
    <row r="692" spans="1:22" hidden="1" outlineLevel="1">
      <c r="A692" s="279" t="s">
        <v>733</v>
      </c>
      <c r="B692" s="280">
        <f t="shared" ref="B692:Q692" si="589">B691*B$45</f>
        <v>0</v>
      </c>
      <c r="C692" s="280">
        <f t="shared" si="589"/>
        <v>0</v>
      </c>
      <c r="D692" s="280">
        <f t="shared" si="589"/>
        <v>0</v>
      </c>
      <c r="E692" s="280">
        <f t="shared" ca="1" si="589"/>
        <v>925.62710698695298</v>
      </c>
      <c r="F692" s="280">
        <f t="shared" ca="1" si="589"/>
        <v>837.43340609953611</v>
      </c>
      <c r="G692" s="280">
        <f t="shared" ca="1" si="589"/>
        <v>757.6602190056276</v>
      </c>
      <c r="H692" s="280">
        <f t="shared" ca="1" si="589"/>
        <v>685.50288238308235</v>
      </c>
      <c r="I692" s="280">
        <f t="shared" ca="1" si="589"/>
        <v>620.23365401009335</v>
      </c>
      <c r="J692" s="280">
        <f t="shared" ca="1" si="589"/>
        <v>561.19435846412057</v>
      </c>
      <c r="K692" s="280">
        <f t="shared" ca="1" si="589"/>
        <v>507.78973599700038</v>
      </c>
      <c r="L692" s="280">
        <f t="shared" ca="1" si="589"/>
        <v>459.4814273508257</v>
      </c>
      <c r="M692" s="280">
        <f t="shared" ca="1" si="589"/>
        <v>428.39847202692533</v>
      </c>
      <c r="N692" s="280">
        <f t="shared" ca="1" si="589"/>
        <v>399.41821346976491</v>
      </c>
      <c r="O692" s="280">
        <f t="shared" ca="1" si="589"/>
        <v>372.39840865107396</v>
      </c>
      <c r="P692" s="280">
        <f t="shared" ca="1" si="589"/>
        <v>347.20643698525322</v>
      </c>
      <c r="Q692" s="280">
        <f t="shared" ca="1" si="589"/>
        <v>323.71864939129864</v>
      </c>
      <c r="S692" s="289" t="s">
        <v>744</v>
      </c>
      <c r="T692" s="288">
        <f>VLOOKUP(S692,$Y$32:$AB$34,2,0)</f>
        <v>-0.7</v>
      </c>
      <c r="U692" s="288">
        <f>VLOOKUP(S692,$Y$32:$AB$34,3,0)</f>
        <v>-0.35</v>
      </c>
      <c r="V692" s="288">
        <f>VLOOKUP(S692,$Y$32:$AB$34,4,0)</f>
        <v>-0.1</v>
      </c>
    </row>
    <row r="693" spans="1:22" hidden="1" outlineLevel="1">
      <c r="A693" s="270" t="s">
        <v>734</v>
      </c>
      <c r="B693" s="213">
        <f ca="1">SUM(B692:Q692)</f>
        <v>7226.0629708215547</v>
      </c>
      <c r="C693" s="277"/>
      <c r="D693" s="277"/>
      <c r="E693" s="277"/>
      <c r="F693" s="277"/>
      <c r="G693" s="277"/>
      <c r="H693" s="277"/>
      <c r="I693" s="277"/>
      <c r="J693" s="277"/>
      <c r="K693" s="277"/>
      <c r="L693" s="277"/>
      <c r="M693" s="277"/>
      <c r="N693" s="256"/>
      <c r="O693" s="256"/>
      <c r="P693" s="256"/>
      <c r="Q693" s="256"/>
    </row>
    <row r="694" spans="1:22" hidden="1" outlineLevel="1">
      <c r="A694" s="281" t="s">
        <v>735</v>
      </c>
      <c r="B694" s="213">
        <f ca="1">(Q691*(1+C694))/(DCF!$H$31-NPV!C694)*NPV!$Q$45</f>
        <v>4461.6277094867428</v>
      </c>
      <c r="C694" s="612">
        <v>0</v>
      </c>
      <c r="D694" s="277"/>
      <c r="E694" s="277"/>
      <c r="F694" s="277"/>
      <c r="G694" s="277"/>
      <c r="H694" s="277"/>
      <c r="I694" s="277"/>
      <c r="J694" s="277"/>
      <c r="K694" s="277"/>
      <c r="L694" s="277"/>
      <c r="M694" s="277"/>
      <c r="N694" s="256"/>
      <c r="O694" s="256"/>
      <c r="P694" s="256"/>
      <c r="Q694" s="256"/>
    </row>
    <row r="695" spans="1:22" hidden="1" outlineLevel="1">
      <c r="A695" s="281" t="s">
        <v>736</v>
      </c>
      <c r="B695" s="213">
        <f ca="1">SUM(B693:B694)/DCF!$C$30</f>
        <v>4.9819653368748069</v>
      </c>
      <c r="C695" s="283"/>
      <c r="D695" s="283"/>
      <c r="E695" s="283"/>
      <c r="F695" s="283"/>
      <c r="G695" s="283"/>
      <c r="H695" s="283"/>
      <c r="I695" s="283"/>
      <c r="J695" s="283"/>
      <c r="K695" s="283"/>
      <c r="L695" s="283"/>
      <c r="M695" s="256"/>
      <c r="N695" s="256"/>
      <c r="O695" s="256"/>
      <c r="P695" s="256"/>
      <c r="Q695" s="256"/>
    </row>
    <row r="696" spans="1:22" hidden="1" outlineLevel="1">
      <c r="A696" s="284" t="s">
        <v>737</v>
      </c>
      <c r="B696" s="285">
        <f ca="1">B695/DCF!$H$24</f>
        <v>4.83685955036389</v>
      </c>
    </row>
    <row r="697" spans="1:22" hidden="1" outlineLevel="1"/>
    <row r="698" spans="1:22" collapsed="1">
      <c r="A698" s="265" t="s">
        <v>759</v>
      </c>
      <c r="B698" s="266">
        <v>2015</v>
      </c>
      <c r="C698" s="266">
        <v>2016</v>
      </c>
      <c r="D698" s="266">
        <v>2017</v>
      </c>
      <c r="E698" s="266">
        <v>2018</v>
      </c>
      <c r="F698" s="266">
        <v>2019</v>
      </c>
      <c r="G698" s="266">
        <v>2020</v>
      </c>
      <c r="H698" s="266">
        <v>2021</v>
      </c>
      <c r="I698" s="266">
        <v>2022</v>
      </c>
      <c r="J698" s="266">
        <v>2023</v>
      </c>
      <c r="K698" s="266">
        <v>2024</v>
      </c>
      <c r="L698" s="266">
        <v>2025</v>
      </c>
      <c r="M698" s="266">
        <v>2026</v>
      </c>
      <c r="N698" s="266">
        <v>2027</v>
      </c>
      <c r="O698" s="266">
        <v>2028</v>
      </c>
      <c r="P698" s="266">
        <v>2029</v>
      </c>
      <c r="Q698" s="267">
        <v>2030</v>
      </c>
      <c r="S698" s="38" t="s">
        <v>1905</v>
      </c>
    </row>
    <row r="699" spans="1:22">
      <c r="A699" s="290" t="s">
        <v>729</v>
      </c>
      <c r="B699" s="291">
        <f t="shared" ref="B699:Q699" si="590">B624+B639+B654+B669+B684</f>
        <v>5115</v>
      </c>
      <c r="C699" s="291">
        <f t="shared" si="590"/>
        <v>4719</v>
      </c>
      <c r="D699" s="291">
        <f t="shared" si="590"/>
        <v>5600</v>
      </c>
      <c r="E699" s="291">
        <f t="shared" si="590"/>
        <v>5076.4248259699771</v>
      </c>
      <c r="F699" s="291">
        <f t="shared" si="590"/>
        <v>4668.291552260901</v>
      </c>
      <c r="G699" s="291">
        <f t="shared" si="590"/>
        <v>4450.3259056373408</v>
      </c>
      <c r="H699" s="291">
        <f t="shared" si="590"/>
        <v>4248.3686474961369</v>
      </c>
      <c r="I699" s="291">
        <f t="shared" si="590"/>
        <v>4060.9968045346532</v>
      </c>
      <c r="J699" s="291">
        <f t="shared" si="590"/>
        <v>3886.9244914219562</v>
      </c>
      <c r="K699" s="291">
        <f t="shared" si="590"/>
        <v>3724.9893620806342</v>
      </c>
      <c r="L699" s="291">
        <f t="shared" si="590"/>
        <v>3574.1404111520133</v>
      </c>
      <c r="M699" s="291">
        <f t="shared" si="590"/>
        <v>3574.1404111520133</v>
      </c>
      <c r="N699" s="291">
        <f t="shared" si="590"/>
        <v>3574.1404111520133</v>
      </c>
      <c r="O699" s="291">
        <f t="shared" si="590"/>
        <v>3574.1404111520133</v>
      </c>
      <c r="P699" s="291">
        <f t="shared" si="590"/>
        <v>3574.1404111520133</v>
      </c>
      <c r="Q699" s="291">
        <f t="shared" si="590"/>
        <v>3574.1404111520133</v>
      </c>
    </row>
    <row r="700" spans="1:22">
      <c r="A700" s="292" t="s">
        <v>579</v>
      </c>
      <c r="B700" s="293"/>
      <c r="C700" s="293">
        <f t="shared" ref="C700:Q700" si="591">C699/B699-1</f>
        <v>-7.7419354838709653E-2</v>
      </c>
      <c r="D700" s="293">
        <f t="shared" si="591"/>
        <v>0.18669209578300494</v>
      </c>
      <c r="E700" s="293">
        <f t="shared" si="591"/>
        <v>-9.3495566791075513E-2</v>
      </c>
      <c r="F700" s="293">
        <f t="shared" si="591"/>
        <v>-8.0397777510886725E-2</v>
      </c>
      <c r="G700" s="293">
        <f t="shared" si="591"/>
        <v>-4.6690667063842062E-2</v>
      </c>
      <c r="H700" s="293">
        <f t="shared" si="591"/>
        <v>-4.5380329985581391E-2</v>
      </c>
      <c r="I700" s="293">
        <f t="shared" si="591"/>
        <v>-4.4104421840113872E-2</v>
      </c>
      <c r="J700" s="293">
        <f t="shared" si="591"/>
        <v>-4.2864429964170725E-2</v>
      </c>
      <c r="K700" s="293">
        <f t="shared" si="591"/>
        <v>-4.1661506339702781E-2</v>
      </c>
      <c r="L700" s="293">
        <f t="shared" si="591"/>
        <v>-4.0496478315944162E-2</v>
      </c>
      <c r="M700" s="293">
        <f t="shared" si="591"/>
        <v>0</v>
      </c>
      <c r="N700" s="293">
        <f t="shared" si="591"/>
        <v>0</v>
      </c>
      <c r="O700" s="293">
        <f t="shared" si="591"/>
        <v>0</v>
      </c>
      <c r="P700" s="293">
        <f t="shared" si="591"/>
        <v>0</v>
      </c>
      <c r="Q700" s="293">
        <f t="shared" si="591"/>
        <v>0</v>
      </c>
    </row>
    <row r="701" spans="1:22">
      <c r="A701" s="294" t="s">
        <v>730</v>
      </c>
      <c r="B701" s="295">
        <f t="shared" ref="B701:Q701" si="592">B626+B641+B656+B671+B686</f>
        <v>2057.8599999999997</v>
      </c>
      <c r="C701" s="295">
        <f t="shared" si="592"/>
        <v>1745.92</v>
      </c>
      <c r="D701" s="295">
        <f t="shared" si="592"/>
        <v>1836.74</v>
      </c>
      <c r="E701" s="295">
        <f t="shared" si="592"/>
        <v>2082.8510699779058</v>
      </c>
      <c r="F701" s="295">
        <f t="shared" si="592"/>
        <v>1912.9887962162782</v>
      </c>
      <c r="G701" s="295">
        <f t="shared" si="592"/>
        <v>1818.3012125595105</v>
      </c>
      <c r="H701" s="295">
        <f t="shared" si="592"/>
        <v>1730.7671167964195</v>
      </c>
      <c r="I701" s="295">
        <f t="shared" si="592"/>
        <v>1649.7423063558781</v>
      </c>
      <c r="J701" s="295">
        <f t="shared" si="592"/>
        <v>1574.6449151804457</v>
      </c>
      <c r="K701" s="295">
        <f t="shared" si="592"/>
        <v>1504.9492441065986</v>
      </c>
      <c r="L701" s="295">
        <f t="shared" si="592"/>
        <v>1440.180206331564</v>
      </c>
      <c r="M701" s="295">
        <f t="shared" si="592"/>
        <v>1440.180206331564</v>
      </c>
      <c r="N701" s="295">
        <f t="shared" si="592"/>
        <v>1440.180206331564</v>
      </c>
      <c r="O701" s="295">
        <f t="shared" si="592"/>
        <v>1440.180206331564</v>
      </c>
      <c r="P701" s="295">
        <f t="shared" si="592"/>
        <v>1440.180206331564</v>
      </c>
      <c r="Q701" s="295">
        <f t="shared" si="592"/>
        <v>1440.180206331564</v>
      </c>
    </row>
    <row r="702" spans="1:22">
      <c r="A702" s="292" t="s">
        <v>580</v>
      </c>
      <c r="B702" s="293">
        <f t="shared" ref="B702:Q702" si="593">B701/B699</f>
        <v>0.40231867057673504</v>
      </c>
      <c r="C702" s="293">
        <f t="shared" si="593"/>
        <v>0.36997668997668998</v>
      </c>
      <c r="D702" s="293">
        <f t="shared" si="593"/>
        <v>0.32798928571428571</v>
      </c>
      <c r="E702" s="293">
        <f t="shared" si="593"/>
        <v>0.41029881095105658</v>
      </c>
      <c r="F702" s="293">
        <f t="shared" si="593"/>
        <v>0.40978348819918892</v>
      </c>
      <c r="G702" s="293">
        <f t="shared" si="593"/>
        <v>0.40857709100725009</v>
      </c>
      <c r="H702" s="293">
        <f t="shared" si="593"/>
        <v>0.40739569948019522</v>
      </c>
      <c r="I702" s="293">
        <f t="shared" si="593"/>
        <v>0.40624072998868588</v>
      </c>
      <c r="J702" s="293">
        <f t="shared" si="593"/>
        <v>0.40511332768504393</v>
      </c>
      <c r="K702" s="293">
        <f t="shared" si="593"/>
        <v>0.40401437368561838</v>
      </c>
      <c r="L702" s="293">
        <f t="shared" si="593"/>
        <v>0.40294449592352938</v>
      </c>
      <c r="M702" s="293">
        <f t="shared" si="593"/>
        <v>0.40294449592352938</v>
      </c>
      <c r="N702" s="293">
        <f t="shared" si="593"/>
        <v>0.40294449592352938</v>
      </c>
      <c r="O702" s="293">
        <f t="shared" si="593"/>
        <v>0.40294449592352938</v>
      </c>
      <c r="P702" s="293">
        <f t="shared" si="593"/>
        <v>0.40294449592352938</v>
      </c>
      <c r="Q702" s="293">
        <f t="shared" si="593"/>
        <v>0.40294449592352938</v>
      </c>
    </row>
    <row r="703" spans="1:22">
      <c r="A703" s="292" t="s">
        <v>731</v>
      </c>
      <c r="B703" s="296">
        <f t="shared" ref="B703:Q703" si="594">B628+B643+B658+B673+B688</f>
        <v>299.50829264831111</v>
      </c>
      <c r="C703" s="296">
        <f t="shared" si="594"/>
        <v>262.37971610965076</v>
      </c>
      <c r="D703" s="296">
        <f t="shared" si="594"/>
        <v>280.85210769001935</v>
      </c>
      <c r="E703" s="296">
        <f t="shared" si="594"/>
        <v>333.25617119646495</v>
      </c>
      <c r="F703" s="296">
        <f t="shared" si="594"/>
        <v>306.07820739460453</v>
      </c>
      <c r="G703" s="296">
        <f t="shared" si="594"/>
        <v>290.92819400952169</v>
      </c>
      <c r="H703" s="296">
        <f t="shared" si="594"/>
        <v>276.92273868742711</v>
      </c>
      <c r="I703" s="296">
        <f t="shared" si="594"/>
        <v>263.95876901694044</v>
      </c>
      <c r="J703" s="296">
        <f t="shared" si="594"/>
        <v>251.94318642887129</v>
      </c>
      <c r="K703" s="296">
        <f t="shared" si="594"/>
        <v>240.79187905705578</v>
      </c>
      <c r="L703" s="296">
        <f t="shared" si="594"/>
        <v>230.42883301305022</v>
      </c>
      <c r="M703" s="296">
        <f t="shared" si="594"/>
        <v>230.42883301305022</v>
      </c>
      <c r="N703" s="296">
        <f t="shared" si="594"/>
        <v>230.42883301305022</v>
      </c>
      <c r="O703" s="296">
        <f t="shared" si="594"/>
        <v>230.42883301305022</v>
      </c>
      <c r="P703" s="296">
        <f t="shared" si="594"/>
        <v>230.42883301305022</v>
      </c>
      <c r="Q703" s="296">
        <f t="shared" si="594"/>
        <v>230.42883301305022</v>
      </c>
    </row>
    <row r="704" spans="1:22">
      <c r="A704" s="292" t="s">
        <v>635</v>
      </c>
      <c r="B704" s="297">
        <f>'P&amp;L'!G$120</f>
        <v>0.1455435708203236</v>
      </c>
      <c r="C704" s="297">
        <f>'P&amp;L'!H$120</f>
        <v>0.15028163725122043</v>
      </c>
      <c r="D704" s="297">
        <f>'P&amp;L'!I$120</f>
        <v>0.15290792800832961</v>
      </c>
      <c r="E704" s="297">
        <f>'P&amp;L'!J$120</f>
        <v>0.16</v>
      </c>
      <c r="F704" s="297">
        <f>'P&amp;L'!K$120</f>
        <v>0.16</v>
      </c>
      <c r="G704" s="297">
        <f>'P&amp;L'!L$120</f>
        <v>0.16</v>
      </c>
      <c r="H704" s="297">
        <f>'P&amp;L'!M$120</f>
        <v>0.16</v>
      </c>
      <c r="I704" s="297">
        <f>'P&amp;L'!N$120</f>
        <v>0.16</v>
      </c>
      <c r="J704" s="297">
        <f>'P&amp;L'!O$120</f>
        <v>0.16</v>
      </c>
      <c r="K704" s="297">
        <f>'P&amp;L'!P$120</f>
        <v>0.16</v>
      </c>
      <c r="L704" s="297">
        <f>'P&amp;L'!Q$120</f>
        <v>0.16</v>
      </c>
      <c r="M704" s="297">
        <f t="shared" ref="M704" si="595">L704</f>
        <v>0.16</v>
      </c>
      <c r="N704" s="297">
        <f t="shared" ref="N704" si="596">M704</f>
        <v>0.16</v>
      </c>
      <c r="O704" s="297">
        <f t="shared" ref="O704" si="597">N704</f>
        <v>0.16</v>
      </c>
      <c r="P704" s="297">
        <f t="shared" ref="P704" si="598">O704</f>
        <v>0.16</v>
      </c>
      <c r="Q704" s="297">
        <f t="shared" ref="Q704" si="599">P704</f>
        <v>0.16</v>
      </c>
    </row>
    <row r="705" spans="1:22">
      <c r="A705" s="298" t="s">
        <v>732</v>
      </c>
      <c r="B705" s="296">
        <f>B701-B703</f>
        <v>1758.3517073516887</v>
      </c>
      <c r="C705" s="296">
        <f t="shared" ref="C705:Q705" si="600">C701-C703</f>
        <v>1483.5402838903492</v>
      </c>
      <c r="D705" s="296">
        <f t="shared" si="600"/>
        <v>1555.8878923099805</v>
      </c>
      <c r="E705" s="296">
        <f t="shared" si="600"/>
        <v>1749.5948987814409</v>
      </c>
      <c r="F705" s="296">
        <f t="shared" si="600"/>
        <v>1606.9105888216736</v>
      </c>
      <c r="G705" s="296">
        <f t="shared" si="600"/>
        <v>1527.373018549989</v>
      </c>
      <c r="H705" s="296">
        <f t="shared" si="600"/>
        <v>1453.8443781089923</v>
      </c>
      <c r="I705" s="296">
        <f t="shared" si="600"/>
        <v>1385.7835373389375</v>
      </c>
      <c r="J705" s="296">
        <f t="shared" si="600"/>
        <v>1322.7017287515744</v>
      </c>
      <c r="K705" s="296">
        <f t="shared" si="600"/>
        <v>1264.1573650495429</v>
      </c>
      <c r="L705" s="296">
        <f t="shared" si="600"/>
        <v>1209.7513733185137</v>
      </c>
      <c r="M705" s="296">
        <f t="shared" si="600"/>
        <v>1209.7513733185137</v>
      </c>
      <c r="N705" s="296">
        <f t="shared" si="600"/>
        <v>1209.7513733185137</v>
      </c>
      <c r="O705" s="296">
        <f t="shared" si="600"/>
        <v>1209.7513733185137</v>
      </c>
      <c r="P705" s="296">
        <f t="shared" si="600"/>
        <v>1209.7513733185137</v>
      </c>
      <c r="Q705" s="296">
        <f t="shared" si="600"/>
        <v>1209.7513733185137</v>
      </c>
    </row>
    <row r="706" spans="1:22">
      <c r="A706" s="292" t="s">
        <v>607</v>
      </c>
      <c r="B706" s="299">
        <f>B705</f>
        <v>1758.3517073516887</v>
      </c>
      <c r="C706" s="299">
        <f t="shared" ref="C706:Q706" si="601">C705</f>
        <v>1483.5402838903492</v>
      </c>
      <c r="D706" s="299">
        <f t="shared" si="601"/>
        <v>1555.8878923099805</v>
      </c>
      <c r="E706" s="299">
        <f t="shared" si="601"/>
        <v>1749.5948987814409</v>
      </c>
      <c r="F706" s="299">
        <f t="shared" si="601"/>
        <v>1606.9105888216736</v>
      </c>
      <c r="G706" s="299">
        <f t="shared" si="601"/>
        <v>1527.373018549989</v>
      </c>
      <c r="H706" s="299">
        <f t="shared" si="601"/>
        <v>1453.8443781089923</v>
      </c>
      <c r="I706" s="299">
        <f t="shared" si="601"/>
        <v>1385.7835373389375</v>
      </c>
      <c r="J706" s="299">
        <f t="shared" si="601"/>
        <v>1322.7017287515744</v>
      </c>
      <c r="K706" s="299">
        <f t="shared" si="601"/>
        <v>1264.1573650495429</v>
      </c>
      <c r="L706" s="299">
        <f t="shared" si="601"/>
        <v>1209.7513733185137</v>
      </c>
      <c r="M706" s="299">
        <f t="shared" si="601"/>
        <v>1209.7513733185137</v>
      </c>
      <c r="N706" s="299">
        <f t="shared" si="601"/>
        <v>1209.7513733185137</v>
      </c>
      <c r="O706" s="299">
        <f t="shared" si="601"/>
        <v>1209.7513733185137</v>
      </c>
      <c r="P706" s="299">
        <f t="shared" si="601"/>
        <v>1209.7513733185137</v>
      </c>
      <c r="Q706" s="299">
        <f t="shared" si="601"/>
        <v>1209.7513733185137</v>
      </c>
    </row>
    <row r="707" spans="1:22">
      <c r="A707" s="300" t="s">
        <v>733</v>
      </c>
      <c r="B707" s="301">
        <f t="shared" ref="B707:Q707" si="602">B706*B$45</f>
        <v>0</v>
      </c>
      <c r="C707" s="301">
        <f t="shared" si="602"/>
        <v>0</v>
      </c>
      <c r="D707" s="301">
        <f t="shared" si="602"/>
        <v>0</v>
      </c>
      <c r="E707" s="301">
        <f t="shared" ca="1" si="602"/>
        <v>1665.7192266518825</v>
      </c>
      <c r="F707" s="301">
        <f t="shared" ca="1" si="602"/>
        <v>1426.3823592710157</v>
      </c>
      <c r="G707" s="301">
        <f t="shared" ca="1" si="602"/>
        <v>1264.0647264574629</v>
      </c>
      <c r="H707" s="301">
        <f t="shared" ca="1" si="602"/>
        <v>1121.8171400520646</v>
      </c>
      <c r="I707" s="301">
        <f t="shared" ca="1" si="602"/>
        <v>996.96405243236279</v>
      </c>
      <c r="J707" s="301">
        <f t="shared" ca="1" si="602"/>
        <v>887.20907266151903</v>
      </c>
      <c r="K707" s="301">
        <f t="shared" ca="1" si="602"/>
        <v>790.57876322757636</v>
      </c>
      <c r="L707" s="301">
        <f t="shared" ca="1" si="602"/>
        <v>705.37502753126148</v>
      </c>
      <c r="M707" s="301">
        <f t="shared" ca="1" si="602"/>
        <v>657.65788563553735</v>
      </c>
      <c r="N707" s="301">
        <f t="shared" ca="1" si="602"/>
        <v>613.16870835696989</v>
      </c>
      <c r="O707" s="301">
        <f t="shared" ca="1" si="602"/>
        <v>571.68913065616903</v>
      </c>
      <c r="P707" s="301">
        <f t="shared" ca="1" si="602"/>
        <v>533.01555943088988</v>
      </c>
      <c r="Q707" s="301">
        <f t="shared" ca="1" si="602"/>
        <v>496.95817422544991</v>
      </c>
    </row>
    <row r="708" spans="1:22">
      <c r="A708" s="270" t="s">
        <v>734</v>
      </c>
      <c r="B708" s="213">
        <f ca="1">B633+B648+B663+B678+B693</f>
        <v>11730.599826590162</v>
      </c>
      <c r="C708" s="277"/>
      <c r="D708" s="277"/>
      <c r="E708" s="277"/>
      <c r="F708" s="277"/>
      <c r="G708" s="277"/>
      <c r="H708" s="277"/>
      <c r="I708" s="277"/>
      <c r="J708" s="277"/>
      <c r="K708" s="277"/>
      <c r="L708" s="277"/>
      <c r="M708" s="277"/>
      <c r="N708" s="256"/>
      <c r="O708" s="256"/>
      <c r="P708" s="256"/>
      <c r="Q708" s="256"/>
    </row>
    <row r="709" spans="1:22">
      <c r="A709" s="281" t="s">
        <v>735</v>
      </c>
      <c r="B709" s="213">
        <f ca="1">B634+B649+B664+B679+B694</f>
        <v>5804.5020773347296</v>
      </c>
      <c r="C709" s="286"/>
      <c r="D709" s="277"/>
      <c r="E709" s="277"/>
      <c r="F709" s="277"/>
      <c r="G709" s="277"/>
      <c r="H709" s="277"/>
      <c r="I709" s="277"/>
      <c r="J709" s="277"/>
      <c r="K709" s="277"/>
      <c r="L709" s="277"/>
      <c r="M709" s="277"/>
      <c r="N709" s="256"/>
      <c r="O709" s="256"/>
      <c r="P709" s="256"/>
      <c r="Q709" s="256"/>
    </row>
    <row r="710" spans="1:22">
      <c r="A710" s="281" t="s">
        <v>736</v>
      </c>
      <c r="B710" s="213">
        <f ca="1">SUM(B708:B709)/DCF!$C$30</f>
        <v>7.4744679897378061</v>
      </c>
      <c r="C710" s="283"/>
      <c r="D710" s="283"/>
      <c r="E710" s="283"/>
      <c r="F710" s="283"/>
      <c r="G710" s="283"/>
      <c r="H710" s="283"/>
      <c r="I710" s="283"/>
      <c r="J710" s="283"/>
      <c r="K710" s="283"/>
      <c r="L710" s="283"/>
      <c r="M710" s="256"/>
      <c r="N710" s="256"/>
      <c r="O710" s="256"/>
      <c r="P710" s="256"/>
      <c r="Q710" s="256"/>
    </row>
    <row r="711" spans="1:22">
      <c r="A711" s="284" t="s">
        <v>737</v>
      </c>
      <c r="B711" s="285">
        <f ca="1">B710/DCF!$H$24</f>
        <v>7.2567650385803937</v>
      </c>
    </row>
    <row r="712" spans="1:22" ht="15">
      <c r="A712"/>
    </row>
    <row r="713" spans="1:22">
      <c r="A713" s="265" t="s">
        <v>51</v>
      </c>
      <c r="B713" s="266">
        <v>2015</v>
      </c>
      <c r="C713" s="266">
        <v>2016</v>
      </c>
      <c r="D713" s="266">
        <v>2017</v>
      </c>
      <c r="E713" s="266">
        <v>2018</v>
      </c>
      <c r="F713" s="266">
        <v>2019</v>
      </c>
      <c r="G713" s="266">
        <v>2020</v>
      </c>
      <c r="H713" s="266">
        <v>2021</v>
      </c>
      <c r="I713" s="266">
        <v>2022</v>
      </c>
      <c r="J713" s="266">
        <v>2023</v>
      </c>
      <c r="K713" s="266">
        <v>2024</v>
      </c>
      <c r="L713" s="266">
        <v>2025</v>
      </c>
      <c r="M713" s="266">
        <v>2026</v>
      </c>
      <c r="N713" s="266">
        <v>2027</v>
      </c>
      <c r="O713" s="266">
        <v>2028</v>
      </c>
      <c r="P713" s="266">
        <v>2029</v>
      </c>
      <c r="Q713" s="267">
        <v>2030</v>
      </c>
      <c r="S713" s="256" t="s">
        <v>709</v>
      </c>
      <c r="T713" s="256" t="s">
        <v>710</v>
      </c>
      <c r="U713" s="256"/>
      <c r="V713" s="256"/>
    </row>
    <row r="714" spans="1:22">
      <c r="A714" s="268" t="s">
        <v>729</v>
      </c>
      <c r="B714" s="269">
        <f>Sales!G319</f>
        <v>21</v>
      </c>
      <c r="C714" s="269">
        <f>Sales!H319</f>
        <v>170</v>
      </c>
      <c r="D714" s="269">
        <f>Sales!I319</f>
        <v>507</v>
      </c>
      <c r="E714" s="269">
        <f>Sales!J319</f>
        <v>912.6</v>
      </c>
      <c r="F714" s="269">
        <f>Sales!K319</f>
        <v>1323.27</v>
      </c>
      <c r="G714" s="269">
        <f>Sales!L319</f>
        <v>1786.4144999999999</v>
      </c>
      <c r="H714" s="269">
        <f>Sales!M319</f>
        <v>2233.0181249999996</v>
      </c>
      <c r="I714" s="269">
        <f>Sales!N319</f>
        <v>2456.3199374999995</v>
      </c>
      <c r="J714" s="269">
        <f>Sales!O319</f>
        <v>2579.1359343749996</v>
      </c>
      <c r="K714" s="269">
        <f>Sales!P319</f>
        <v>2708.0927310937495</v>
      </c>
      <c r="L714" s="269">
        <f>Sales!Q319</f>
        <v>2843.4973676484369</v>
      </c>
      <c r="M714" s="269">
        <f>L714*(1+M715)</f>
        <v>2928.8022886778899</v>
      </c>
      <c r="N714" s="269">
        <f>M714*(1+N715)</f>
        <v>3016.6663573382266</v>
      </c>
      <c r="O714" s="269">
        <f>N714*(1+O715)</f>
        <v>3107.1663480583734</v>
      </c>
      <c r="P714" s="269">
        <f>O714*(1+P715)</f>
        <v>3200.3813385001245</v>
      </c>
      <c r="Q714" s="269">
        <f>P714*(1+Q715)</f>
        <v>3296.3927786551285</v>
      </c>
      <c r="S714" s="213">
        <f>VLOOKUP(A713,$A$2:$H$23,5,0)</f>
        <v>3296.3927786551285</v>
      </c>
      <c r="T714" s="256">
        <f>VLOOKUP(A713,$A$2:$H$23,6,0)</f>
        <v>2030</v>
      </c>
      <c r="U714" s="256"/>
      <c r="V714" s="256"/>
    </row>
    <row r="715" spans="1:22">
      <c r="A715" s="270" t="s">
        <v>579</v>
      </c>
      <c r="B715" s="271"/>
      <c r="C715" s="271">
        <f t="shared" ref="C715:H715" si="603">C714/B714-1</f>
        <v>7.0952380952380949</v>
      </c>
      <c r="D715" s="271">
        <f t="shared" si="603"/>
        <v>1.9823529411764707</v>
      </c>
      <c r="E715" s="271">
        <f t="shared" si="603"/>
        <v>0.8</v>
      </c>
      <c r="F715" s="271">
        <f t="shared" si="603"/>
        <v>0.44999999999999996</v>
      </c>
      <c r="G715" s="271">
        <f t="shared" si="603"/>
        <v>0.34999999999999987</v>
      </c>
      <c r="H715" s="271">
        <f t="shared" si="603"/>
        <v>0.24999999999999978</v>
      </c>
      <c r="I715" s="271">
        <f>I714/H714-1</f>
        <v>9.9999999999999867E-2</v>
      </c>
      <c r="J715" s="271">
        <f>J714/I714-1</f>
        <v>5.0000000000000044E-2</v>
      </c>
      <c r="K715" s="271">
        <f t="shared" ref="K715:L715" si="604">K714/J714-1</f>
        <v>5.0000000000000044E-2</v>
      </c>
      <c r="L715" s="271">
        <f t="shared" si="604"/>
        <v>5.0000000000000044E-2</v>
      </c>
      <c r="M715" s="272">
        <v>0.03</v>
      </c>
      <c r="N715" s="272">
        <v>0.03</v>
      </c>
      <c r="O715" s="272">
        <v>0.03</v>
      </c>
      <c r="P715" s="272">
        <v>0.03</v>
      </c>
      <c r="Q715" s="272">
        <v>0.03</v>
      </c>
      <c r="S715" s="256" t="s">
        <v>738</v>
      </c>
      <c r="T715" s="256"/>
      <c r="U715" s="256"/>
      <c r="V715" s="256"/>
    </row>
    <row r="716" spans="1:22">
      <c r="A716" s="273" t="s">
        <v>730</v>
      </c>
      <c r="B716" s="274">
        <f t="shared" ref="B716:Q716" si="605">B714*B717</f>
        <v>-1.05</v>
      </c>
      <c r="C716" s="274">
        <f t="shared" si="605"/>
        <v>0</v>
      </c>
      <c r="D716" s="274">
        <f t="shared" si="605"/>
        <v>50.700000000000102</v>
      </c>
      <c r="E716" s="274">
        <f t="shared" si="605"/>
        <v>126.36000000000018</v>
      </c>
      <c r="F716" s="274">
        <f t="shared" si="605"/>
        <v>234.11700000000027</v>
      </c>
      <c r="G716" s="274">
        <f t="shared" si="605"/>
        <v>384.76620000000031</v>
      </c>
      <c r="H716" s="274">
        <f t="shared" si="605"/>
        <v>566.84306250000031</v>
      </c>
      <c r="I716" s="274">
        <f t="shared" si="605"/>
        <v>718.00121250000029</v>
      </c>
      <c r="J716" s="274">
        <f t="shared" si="605"/>
        <v>853.09880906250032</v>
      </c>
      <c r="K716" s="274">
        <f t="shared" si="605"/>
        <v>999.91116225000019</v>
      </c>
      <c r="L716" s="274">
        <f t="shared" si="605"/>
        <v>1159.2720037335939</v>
      </c>
      <c r="M716" s="274">
        <f t="shared" si="605"/>
        <v>1306.6964057178282</v>
      </c>
      <c r="N716" s="274">
        <f t="shared" si="605"/>
        <v>1461.9229270177561</v>
      </c>
      <c r="O716" s="274">
        <f t="shared" si="605"/>
        <v>1625.287012830534</v>
      </c>
      <c r="P716" s="274">
        <f t="shared" si="605"/>
        <v>1797.1372131577623</v>
      </c>
      <c r="Q716" s="274">
        <f t="shared" si="605"/>
        <v>1977.8356671930769</v>
      </c>
      <c r="S716" s="282">
        <f>IF(S714&gt;$X$39,$Z$39,$Z$40)</f>
        <v>-0.1</v>
      </c>
      <c r="T716" s="282">
        <f>IF(S714&gt;$X$39,$AA$39,$AA$40)</f>
        <v>-0.05</v>
      </c>
      <c r="U716" s="282">
        <f>IF(S714&gt;$X$39,$AB$39,$AB$40)</f>
        <v>-0.05</v>
      </c>
      <c r="V716" s="256"/>
    </row>
    <row r="717" spans="1:22">
      <c r="A717" s="270" t="s">
        <v>580</v>
      </c>
      <c r="B717" s="286">
        <f>IF(B713-T714&gt;3,T719,IF(B713-T714=1,45%+S716,IF(B713-T714=2,A717+T716,IF(B713-T714=3,A717+U716,IF(B713-T714=0,T720,IF(T714-B713=U721+1,$AA$37,IF(T714-B713=U721+2,$Z$37,IF(B713&lt;T714,C717-(T720-$AB$37)/U721))))))))</f>
        <v>-0.05</v>
      </c>
      <c r="C717" s="286">
        <f>IF(C713-T714&gt;3,T719,IF(C713-T714=1,B717+S716,IF(C713-T714=2,B717+T716,IF(C713-T714=3,B717+U716,IF(C713-T714=0,T720,IF(T714-C713=U721+1,$AA$37,IF(T714-C713=U721+2,$Z$37,IF(C713&lt;T714,D717-(T720-$AB$37)/U721))))))))</f>
        <v>0</v>
      </c>
      <c r="D717" s="286">
        <f>IF(D713-T714&gt;3,T719,IF(D713-T714=1,C717+S716,IF(D713-T714=2,C717+T716,IF(D713-T714=3,C717+U716,IF(D713-T714=0,T720,IF(T714-D713=U721+1,$AA$37,IF(T714-D713=U721+2,$Z$37,IF(D713&lt;T714,E717-(T720-$AB$37)/U721))))))))</f>
        <v>0.1000000000000002</v>
      </c>
      <c r="E717" s="286">
        <f>IF(E713-T714&gt;3,T719,IF(E713-T714=1,D717+S716,IF(E713-T714=2,D717+T716,IF(E713-T714=3,D717+U716,IF(E713-T714=0,T720,IF(T714-E713=U721+1,$AA$37,IF(T714-E713=U721+2,$Z$37,IF(E713&lt;T714,F717-(T720-$AB$37)/U721))))))))</f>
        <v>0.13846153846153866</v>
      </c>
      <c r="F717" s="286">
        <f>IF(F713-T714&gt;3,T719,IF(F713-T714=1,E717+S716,IF(F713-T714=2,E717+T716,IF(F713-T714=3,E717+U716,IF(F713-T714=0,T720,IF(T714-F713=U721+1,$AA$37,IF(T714-F713=U721+2,$Z$37,IF(F713&lt;T714,G717-(T720-$AB$37)/U721))))))))</f>
        <v>0.17692307692307713</v>
      </c>
      <c r="G717" s="286">
        <f>IF(G713-T714&gt;3,T719,IF(G713-T714=1,F717+S716,IF(G713-T714=2,F717+T716,IF(G713-T714=3,F717+U716,IF(G713-T714=0,T720,IF(T714-G713=U721+1,$AA$37,IF(T714-G713=U721+2,$Z$37,IF(G713&lt;T714,H717-(T720-$AB$37)/U721))))))))</f>
        <v>0.21538461538461559</v>
      </c>
      <c r="H717" s="286">
        <f>IF(H713-T714&gt;3,T719,IF(H713-T714=1,G717+S716,IF(H713-T714=2,G717+T716,IF(H713-T714=3,G717+U716,IF(H713-T714=0,T720,IF(T714-H713=U721+1,$AA$37,IF(T714-H713=U721+2,$Z$37,IF(H713&lt;T714,I717-(T720-$AB$37)/U721))))))))</f>
        <v>0.25384615384615405</v>
      </c>
      <c r="I717" s="286">
        <f>IF(I713-T714&gt;3,T719,IF(I713-T714=1,H717+S716,IF(I713-T714=2,H717+T716,IF(I713-T714=3,H717+U716,IF(I713-T714=0,T720,IF(T714-I713=U721+1,$AA$37,IF(T714-I713=U721+2,$Z$37,IF(I713&lt;T714,J717-(T720-$AB$37)/U721))))))))</f>
        <v>0.29230769230769249</v>
      </c>
      <c r="J717" s="286">
        <f>IF(J713-T714&gt;3,T719,IF(J713-T714=1,I717+S716,IF(J713-T714=2,I717+T716,IF(J713-T714=3,I717+U716,IF(J713-T714=0,T720,IF(T714-J713=U721+1,$AA$37,IF(T714-J713=U721+2,$Z$37,IF(J713&lt;T714,K717-(T720-$AB$37)/U721))))))))</f>
        <v>0.33076923076923093</v>
      </c>
      <c r="K717" s="286">
        <f>IF(K713-T714&gt;3,T719,IF(K713-T714=1,J717+S716,IF(K713-T714=2,J717+T716,IF(K713-T714=3,J717+U716,IF(K713-T714=0,T720,IF(T714-K713=U721+1,$AA$37,IF(T714-K713=U721+2,$Z$37,IF(K713&lt;T714,L717-(T720-$AB$37)/U721))))))))</f>
        <v>0.36923076923076936</v>
      </c>
      <c r="L717" s="286">
        <f>IF(L713-T714&gt;3,T719,IF(L713-T714=1,K717+S716,IF(L713-T714=2,K717+T716,IF(L713-T714=3,K717+U716,IF(L713-T714=0,T720,IF(T714-L713=U721+1,$AA$37,IF(T714-L713=U721+2,$Z$37,IF(L713&lt;T714,M717-(T720-$AB$37)/U721))))))))</f>
        <v>0.4076923076923078</v>
      </c>
      <c r="M717" s="286">
        <f>IF(M713-T714&gt;3,T719,IF(M713-T714=1,L717+S716,IF(M713-T714=2,L717+T716,IF(M713-T714=3,L717+U716,IF(M713-T714=0,T720,IF(T714-M713=U721+1,$AA$37,IF(T714-M713=U721+2,$Z$37,IF(M713&lt;T714,N717-(T720-$AB$37)/U721))))))))</f>
        <v>0.44615384615384623</v>
      </c>
      <c r="N717" s="286">
        <f>IF(N713-T714&gt;3,T719,IF(N713-T714=1,M717+S716,IF(N713-T714=2,M717+T716,IF(N713-T714=3,M717+U716,IF(N713-T714=0,T720,IF(T714-N713=U721+1,$AA$37,IF(T714-N713=U721+2,$Z$37,IF(N713&lt;T714,O717-(T720-$AB$37)/U721))))))))</f>
        <v>0.48461538461538467</v>
      </c>
      <c r="O717" s="286">
        <f>IF(O713-T714&gt;3,T719,IF(O713-T714=1,N717+S716,IF(O713-T714=2,N717+T716,IF(O713-T714=3,N717+U716,IF(O713-T714=0,T720,IF(T714-O713=U721+1,$AA$37,IF(T714-O713=U721+2,$Z$37,IF(O713&lt;T714,P717-(T720-$AB$37)/U721))))))))</f>
        <v>0.52307692307692311</v>
      </c>
      <c r="P717" s="286">
        <f>IF(P713-T714&gt;3,T719,IF(P713-T714=1,O717+S716,IF(P713-T714=2,O717+T716,IF(P713-T714=3,O717+U716,IF(P713-T714=0,T720,IF(T714-P713=U721+1,$AA$37,IF(T714-P713=U721+2,$Z$37,IF(P713&lt;T714,Q717-(T720-$AB$37)/U721))))))))</f>
        <v>0.56153846153846154</v>
      </c>
      <c r="Q717" s="286">
        <f>IF(Q713-T714&gt;3,T719,IF(Q713-T714=1,P717+S716,IF(Q713-T714=2,P717+T716,IF(Q713-T714=3,P717+U716,IF(Q713-T714=0,T720,IF(T714-Q713=U721+1,$AA$37,IF(T714-Q713=U721+2,$Z$37,IF(Q713&lt;T714,R717-(T720-$AB$37)/U721))))))))</f>
        <v>0.6</v>
      </c>
      <c r="S717" s="287" t="s">
        <v>739</v>
      </c>
      <c r="T717" s="213">
        <f>VLOOKUP(A713,$A$2:$H$23,7,0)</f>
        <v>21</v>
      </c>
      <c r="U717" s="256"/>
      <c r="V717" s="256"/>
    </row>
    <row r="718" spans="1:22">
      <c r="A718" s="270" t="s">
        <v>731</v>
      </c>
      <c r="B718" s="213">
        <f>B716*B719</f>
        <v>-0.1528207493613398</v>
      </c>
      <c r="C718" s="213">
        <f t="shared" ref="C718:Q718" si="606">C716*C719</f>
        <v>0</v>
      </c>
      <c r="D718" s="213">
        <f t="shared" si="606"/>
        <v>7.7524319500223271</v>
      </c>
      <c r="E718" s="213">
        <f t="shared" si="606"/>
        <v>20.217600000000029</v>
      </c>
      <c r="F718" s="213">
        <f t="shared" si="606"/>
        <v>37.458720000000042</v>
      </c>
      <c r="G718" s="213">
        <f t="shared" si="606"/>
        <v>61.562592000000052</v>
      </c>
      <c r="H718" s="213">
        <f t="shared" si="606"/>
        <v>90.694890000000058</v>
      </c>
      <c r="I718" s="213">
        <f t="shared" si="606"/>
        <v>114.88019400000005</v>
      </c>
      <c r="J718" s="213">
        <f t="shared" si="606"/>
        <v>136.49580945000005</v>
      </c>
      <c r="K718" s="213">
        <f t="shared" si="606"/>
        <v>159.98578596000004</v>
      </c>
      <c r="L718" s="213">
        <f t="shared" si="606"/>
        <v>185.48352059737502</v>
      </c>
      <c r="M718" s="213">
        <f t="shared" si="606"/>
        <v>209.07142491485251</v>
      </c>
      <c r="N718" s="213">
        <f t="shared" si="606"/>
        <v>233.90766832284098</v>
      </c>
      <c r="O718" s="213">
        <f t="shared" si="606"/>
        <v>260.04592205288543</v>
      </c>
      <c r="P718" s="213">
        <f t="shared" si="606"/>
        <v>287.54195410524198</v>
      </c>
      <c r="Q718" s="213">
        <f t="shared" si="606"/>
        <v>316.45370675089231</v>
      </c>
      <c r="S718" s="287" t="s">
        <v>740</v>
      </c>
      <c r="T718" s="256">
        <f>VLOOKUP(A713,$A$2:$H$23,8,0)</f>
        <v>2015</v>
      </c>
      <c r="U718" s="256"/>
      <c r="V718" s="256"/>
    </row>
    <row r="719" spans="1:22">
      <c r="A719" s="270" t="s">
        <v>635</v>
      </c>
      <c r="B719" s="196">
        <f>'P&amp;L'!G$120</f>
        <v>0.1455435708203236</v>
      </c>
      <c r="C719" s="196">
        <f>'P&amp;L'!H$120</f>
        <v>0.15028163725122043</v>
      </c>
      <c r="D719" s="196">
        <f>'P&amp;L'!I$120</f>
        <v>0.15290792800832961</v>
      </c>
      <c r="E719" s="196">
        <f>'P&amp;L'!J$120</f>
        <v>0.16</v>
      </c>
      <c r="F719" s="196">
        <f>'P&amp;L'!K$120</f>
        <v>0.16</v>
      </c>
      <c r="G719" s="196">
        <f>'P&amp;L'!L$120</f>
        <v>0.16</v>
      </c>
      <c r="H719" s="196">
        <f>'P&amp;L'!M$120</f>
        <v>0.16</v>
      </c>
      <c r="I719" s="196">
        <f>'P&amp;L'!N$120</f>
        <v>0.16</v>
      </c>
      <c r="J719" s="196">
        <f>'P&amp;L'!O$120</f>
        <v>0.16</v>
      </c>
      <c r="K719" s="196">
        <f>'P&amp;L'!P$120</f>
        <v>0.16</v>
      </c>
      <c r="L719" s="196">
        <f>'P&amp;L'!Q$120</f>
        <v>0.16</v>
      </c>
      <c r="M719" s="196">
        <f t="shared" ref="M719" si="607">L719</f>
        <v>0.16</v>
      </c>
      <c r="N719" s="196">
        <f t="shared" ref="N719" si="608">M719</f>
        <v>0.16</v>
      </c>
      <c r="O719" s="196">
        <f t="shared" ref="O719" si="609">N719</f>
        <v>0.16</v>
      </c>
      <c r="P719" s="196">
        <f t="shared" ref="P719" si="610">O719</f>
        <v>0.16</v>
      </c>
      <c r="Q719" s="196">
        <f t="shared" ref="Q719" si="611">P719</f>
        <v>0.16</v>
      </c>
      <c r="S719" s="287" t="s">
        <v>741</v>
      </c>
      <c r="T719" s="288" t="b">
        <f>IF(Q713-T714&gt;3,IF(AND(S714&lt;$X$42,S714&lt;$X$43,S714&lt;$X$44),$AA$45,IF(AND(S714&lt;$X$42,S714&lt;$X$43),$AA$44,IF(S714&lt;$X$42,$AA$43,$AA$42))))</f>
        <v>0</v>
      </c>
      <c r="U719" s="256"/>
      <c r="V719" s="256"/>
    </row>
    <row r="720" spans="1:22">
      <c r="A720" s="256" t="s">
        <v>732</v>
      </c>
      <c r="B720" s="213">
        <f>B716-B718</f>
        <v>-0.89717925063866022</v>
      </c>
      <c r="C720" s="213">
        <f t="shared" ref="C720:Q720" si="612">C716-C718</f>
        <v>0</v>
      </c>
      <c r="D720" s="213">
        <f t="shared" si="612"/>
        <v>42.947568049977775</v>
      </c>
      <c r="E720" s="213">
        <f t="shared" si="612"/>
        <v>106.14240000000015</v>
      </c>
      <c r="F720" s="213">
        <f t="shared" si="612"/>
        <v>196.65828000000022</v>
      </c>
      <c r="G720" s="213">
        <f t="shared" si="612"/>
        <v>323.20360800000026</v>
      </c>
      <c r="H720" s="213">
        <f t="shared" si="612"/>
        <v>476.14817250000027</v>
      </c>
      <c r="I720" s="213">
        <f t="shared" si="612"/>
        <v>603.12101850000022</v>
      </c>
      <c r="J720" s="213">
        <f t="shared" si="612"/>
        <v>716.6029996125003</v>
      </c>
      <c r="K720" s="213">
        <f t="shared" si="612"/>
        <v>839.92537629000014</v>
      </c>
      <c r="L720" s="213">
        <f t="shared" si="612"/>
        <v>973.78848313621893</v>
      </c>
      <c r="M720" s="213">
        <f t="shared" si="612"/>
        <v>1097.6249808029756</v>
      </c>
      <c r="N720" s="213">
        <f t="shared" si="612"/>
        <v>1228.0152586949152</v>
      </c>
      <c r="O720" s="213">
        <f t="shared" si="612"/>
        <v>1365.2410907776484</v>
      </c>
      <c r="P720" s="213">
        <f t="shared" si="612"/>
        <v>1509.5952590525203</v>
      </c>
      <c r="Q720" s="213">
        <f t="shared" si="612"/>
        <v>1661.3819604421847</v>
      </c>
      <c r="S720" s="287" t="s">
        <v>742</v>
      </c>
      <c r="T720" s="288">
        <f>IF(S714&gt;$X$42,$Z$42,IF(S714&gt;$X$43,$Z$43,IF(S714&gt;$X$44,$Z$44,$Z$45)))</f>
        <v>0.6</v>
      </c>
      <c r="U720" s="256"/>
      <c r="V720" s="256"/>
    </row>
    <row r="721" spans="1:22">
      <c r="A721" s="270" t="s">
        <v>607</v>
      </c>
      <c r="B721" s="277">
        <f>B720</f>
        <v>-0.89717925063866022</v>
      </c>
      <c r="C721" s="277">
        <f t="shared" ref="C721:Q721" si="613">C720</f>
        <v>0</v>
      </c>
      <c r="D721" s="277">
        <f t="shared" si="613"/>
        <v>42.947568049977775</v>
      </c>
      <c r="E721" s="277">
        <f t="shared" si="613"/>
        <v>106.14240000000015</v>
      </c>
      <c r="F721" s="277">
        <f t="shared" si="613"/>
        <v>196.65828000000022</v>
      </c>
      <c r="G721" s="277">
        <f t="shared" si="613"/>
        <v>323.20360800000026</v>
      </c>
      <c r="H721" s="277">
        <f t="shared" si="613"/>
        <v>476.14817250000027</v>
      </c>
      <c r="I721" s="277">
        <f t="shared" si="613"/>
        <v>603.12101850000022</v>
      </c>
      <c r="J721" s="277">
        <f t="shared" si="613"/>
        <v>716.6029996125003</v>
      </c>
      <c r="K721" s="277">
        <f t="shared" si="613"/>
        <v>839.92537629000014</v>
      </c>
      <c r="L721" s="277">
        <f t="shared" si="613"/>
        <v>973.78848313621893</v>
      </c>
      <c r="M721" s="277">
        <f t="shared" si="613"/>
        <v>1097.6249808029756</v>
      </c>
      <c r="N721" s="277">
        <f t="shared" si="613"/>
        <v>1228.0152586949152</v>
      </c>
      <c r="O721" s="277">
        <f t="shared" si="613"/>
        <v>1365.2410907776484</v>
      </c>
      <c r="P721" s="277">
        <f t="shared" si="613"/>
        <v>1509.5952590525203</v>
      </c>
      <c r="Q721" s="277">
        <f t="shared" si="613"/>
        <v>1661.3819604421847</v>
      </c>
      <c r="S721" s="287" t="s">
        <v>743</v>
      </c>
      <c r="T721" s="256">
        <f>T714-T718</f>
        <v>15</v>
      </c>
      <c r="U721" s="256">
        <f>T721-2</f>
        <v>13</v>
      </c>
      <c r="V721" s="256"/>
    </row>
    <row r="722" spans="1:22">
      <c r="A722" s="279" t="s">
        <v>733</v>
      </c>
      <c r="B722" s="280">
        <f t="shared" ref="B722:Q722" si="614">B721*B$45</f>
        <v>0</v>
      </c>
      <c r="C722" s="280">
        <f t="shared" si="614"/>
        <v>0</v>
      </c>
      <c r="D722" s="280">
        <f t="shared" si="614"/>
        <v>0</v>
      </c>
      <c r="E722" s="280">
        <f t="shared" ca="1" si="614"/>
        <v>101.0539277212772</v>
      </c>
      <c r="F722" s="280">
        <f t="shared" ca="1" si="614"/>
        <v>174.564722734371</v>
      </c>
      <c r="G722" s="280">
        <f t="shared" ca="1" si="614"/>
        <v>267.48559479232023</v>
      </c>
      <c r="H722" s="280">
        <f t="shared" ca="1" si="614"/>
        <v>367.40602306399188</v>
      </c>
      <c r="I722" s="280">
        <f t="shared" ca="1" si="614"/>
        <v>433.89891603527514</v>
      </c>
      <c r="J722" s="280">
        <f t="shared" ca="1" si="614"/>
        <v>480.66519377179924</v>
      </c>
      <c r="K722" s="280">
        <f t="shared" ca="1" si="614"/>
        <v>525.27255193801079</v>
      </c>
      <c r="L722" s="280">
        <f t="shared" ca="1" si="614"/>
        <v>567.79111249744903</v>
      </c>
      <c r="M722" s="280">
        <f t="shared" ca="1" si="614"/>
        <v>596.70254567718871</v>
      </c>
      <c r="N722" s="280">
        <f t="shared" ca="1" si="614"/>
        <v>622.42585263704439</v>
      </c>
      <c r="O722" s="280">
        <f t="shared" ca="1" si="614"/>
        <v>645.16851109807237</v>
      </c>
      <c r="P722" s="280">
        <f t="shared" ca="1" si="614"/>
        <v>665.12655349244756</v>
      </c>
      <c r="Q722" s="280">
        <f t="shared" ca="1" si="614"/>
        <v>682.48514857033013</v>
      </c>
      <c r="S722" s="289" t="s">
        <v>744</v>
      </c>
      <c r="T722" s="288">
        <f>VLOOKUP(S722,$Y$32:$AB$34,2,0)</f>
        <v>-0.7</v>
      </c>
      <c r="U722" s="288">
        <f>VLOOKUP(S722,$Y$32:$AB$34,3,0)</f>
        <v>-0.35</v>
      </c>
      <c r="V722" s="288">
        <f>VLOOKUP(S722,$Y$32:$AB$34,4,0)</f>
        <v>-0.1</v>
      </c>
    </row>
    <row r="723" spans="1:22">
      <c r="A723" s="270" t="s">
        <v>734</v>
      </c>
      <c r="B723" s="213">
        <f ca="1">SUM(B722:Q722)</f>
        <v>6130.0466540295774</v>
      </c>
      <c r="C723" s="277"/>
      <c r="D723" s="277"/>
      <c r="E723" s="277"/>
      <c r="F723" s="277"/>
      <c r="G723" s="277"/>
      <c r="H723" s="277"/>
      <c r="I723" s="277"/>
      <c r="J723" s="277"/>
      <c r="K723" s="277"/>
      <c r="L723" s="277"/>
      <c r="M723" s="277"/>
      <c r="N723" s="256"/>
      <c r="O723" s="256"/>
      <c r="P723" s="256"/>
      <c r="Q723" s="256"/>
    </row>
    <row r="724" spans="1:22">
      <c r="A724" s="281" t="s">
        <v>735</v>
      </c>
      <c r="B724" s="213">
        <f ca="1">(Q721*(1+C724))/(DCF!$H$31-NPV!C724)*NPV!$Q$45</f>
        <v>5290.3158983460235</v>
      </c>
      <c r="C724" s="286">
        <v>-0.05</v>
      </c>
      <c r="D724" s="277"/>
      <c r="E724" s="277"/>
      <c r="F724" s="277"/>
      <c r="G724" s="277"/>
      <c r="H724" s="277"/>
      <c r="I724" s="277"/>
      <c r="J724" s="277"/>
      <c r="K724" s="277"/>
      <c r="L724" s="277"/>
      <c r="M724" s="277"/>
      <c r="N724" s="256"/>
      <c r="O724" s="256"/>
      <c r="P724" s="256"/>
      <c r="Q724" s="256"/>
    </row>
    <row r="725" spans="1:22">
      <c r="A725" s="281" t="s">
        <v>736</v>
      </c>
      <c r="B725" s="213">
        <f ca="1">SUM(B723:B724)/DCF!$C$30</f>
        <v>4.8680147282078439</v>
      </c>
      <c r="C725" s="283"/>
      <c r="D725" s="283"/>
      <c r="E725" s="283"/>
      <c r="F725" s="283"/>
      <c r="G725" s="283"/>
      <c r="H725" s="283"/>
      <c r="I725" s="283"/>
      <c r="J725" s="283"/>
      <c r="K725" s="283"/>
      <c r="L725" s="283"/>
      <c r="M725" s="256"/>
      <c r="N725" s="256"/>
      <c r="O725" s="256"/>
      <c r="P725" s="256"/>
      <c r="Q725" s="256"/>
    </row>
    <row r="726" spans="1:22">
      <c r="A726" s="284" t="s">
        <v>737</v>
      </c>
      <c r="B726" s="285">
        <f ca="1">B725/DCF!$H$24</f>
        <v>4.7262278914639255</v>
      </c>
    </row>
    <row r="728" spans="1:22">
      <c r="A728" s="265" t="s">
        <v>901</v>
      </c>
      <c r="B728" s="266">
        <v>2015</v>
      </c>
      <c r="C728" s="266">
        <v>2016</v>
      </c>
      <c r="D728" s="266">
        <v>2017</v>
      </c>
      <c r="E728" s="266">
        <v>2018</v>
      </c>
      <c r="F728" s="266">
        <v>2019</v>
      </c>
      <c r="G728" s="266">
        <v>2020</v>
      </c>
      <c r="H728" s="266">
        <v>2021</v>
      </c>
      <c r="I728" s="266">
        <v>2022</v>
      </c>
      <c r="J728" s="266">
        <v>2023</v>
      </c>
      <c r="K728" s="266">
        <v>2024</v>
      </c>
      <c r="L728" s="266">
        <v>2025</v>
      </c>
      <c r="M728" s="266">
        <v>2026</v>
      </c>
      <c r="N728" s="266">
        <v>2027</v>
      </c>
      <c r="O728" s="266">
        <v>2028</v>
      </c>
      <c r="P728" s="266">
        <v>2029</v>
      </c>
      <c r="Q728" s="267">
        <v>2030</v>
      </c>
      <c r="S728" s="256" t="s">
        <v>709</v>
      </c>
      <c r="T728" s="256" t="s">
        <v>710</v>
      </c>
      <c r="U728" s="256"/>
      <c r="V728" s="256"/>
    </row>
    <row r="729" spans="1:22">
      <c r="A729" s="268" t="s">
        <v>729</v>
      </c>
      <c r="B729" s="269"/>
      <c r="C729" s="269"/>
      <c r="D729" s="269">
        <f>Sales!I322</f>
        <v>0</v>
      </c>
      <c r="E729" s="269">
        <f>Sales!J322</f>
        <v>50</v>
      </c>
      <c r="F729" s="269">
        <f>Sales!K322</f>
        <v>200</v>
      </c>
      <c r="G729" s="269">
        <f>Sales!L322</f>
        <v>450</v>
      </c>
      <c r="H729" s="269">
        <f>Sales!M322</f>
        <v>675</v>
      </c>
      <c r="I729" s="269">
        <f>Sales!N322</f>
        <v>843.75</v>
      </c>
      <c r="J729" s="269">
        <f>Sales!O322</f>
        <v>928.125</v>
      </c>
      <c r="K729" s="269">
        <f>Sales!P322</f>
        <v>974.53125</v>
      </c>
      <c r="L729" s="269">
        <f>Sales!Q322</f>
        <v>1023.2578125</v>
      </c>
      <c r="M729" s="269">
        <f>L729*(1+M730)</f>
        <v>1074.420703125</v>
      </c>
      <c r="N729" s="269">
        <f>M729*(1+N730)</f>
        <v>1128.1417382812501</v>
      </c>
      <c r="O729" s="269">
        <f>N729*(1+O730)</f>
        <v>1184.5488251953127</v>
      </c>
      <c r="P729" s="269">
        <f>O729*(1+P730)</f>
        <v>1243.7762664550785</v>
      </c>
      <c r="Q729" s="269">
        <f>P729*(1+Q730)</f>
        <v>1305.9650797778324</v>
      </c>
      <c r="S729" s="213">
        <f>VLOOKUP(A728,$A$2:$H$23,5,0)</f>
        <v>1305.9650797778324</v>
      </c>
      <c r="T729" s="256">
        <f>VLOOKUP(A728,$A$2:$H$23,6,0)</f>
        <v>2030</v>
      </c>
      <c r="U729" s="256"/>
      <c r="V729" s="256"/>
    </row>
    <row r="730" spans="1:22">
      <c r="A730" s="270" t="s">
        <v>579</v>
      </c>
      <c r="B730" s="271"/>
      <c r="C730" s="271"/>
      <c r="D730" s="271"/>
      <c r="E730" s="271"/>
      <c r="F730" s="271">
        <f t="shared" ref="F730:J730" si="615">F729/E729-1</f>
        <v>3</v>
      </c>
      <c r="G730" s="271">
        <f t="shared" si="615"/>
        <v>1.25</v>
      </c>
      <c r="H730" s="271">
        <f t="shared" si="615"/>
        <v>0.5</v>
      </c>
      <c r="I730" s="271">
        <f t="shared" si="615"/>
        <v>0.25</v>
      </c>
      <c r="J730" s="271">
        <f t="shared" si="615"/>
        <v>0.10000000000000009</v>
      </c>
      <c r="K730" s="271">
        <f t="shared" ref="K730" si="616">K729/J729-1</f>
        <v>5.0000000000000044E-2</v>
      </c>
      <c r="L730" s="271">
        <f t="shared" ref="L730" si="617">L729/K729-1</f>
        <v>5.0000000000000044E-2</v>
      </c>
      <c r="M730" s="272">
        <v>0.05</v>
      </c>
      <c r="N730" s="272">
        <v>0.05</v>
      </c>
      <c r="O730" s="272">
        <v>0.05</v>
      </c>
      <c r="P730" s="272">
        <v>0.05</v>
      </c>
      <c r="Q730" s="272">
        <v>0.05</v>
      </c>
      <c r="S730" s="256" t="s">
        <v>738</v>
      </c>
      <c r="T730" s="256"/>
      <c r="U730" s="256"/>
      <c r="V730" s="256"/>
    </row>
    <row r="731" spans="1:22">
      <c r="A731" s="273" t="s">
        <v>730</v>
      </c>
      <c r="B731" s="274"/>
      <c r="C731" s="274"/>
      <c r="D731" s="274">
        <f t="shared" ref="D731:Q731" si="618">D729*D732</f>
        <v>0</v>
      </c>
      <c r="E731" s="274">
        <f t="shared" si="618"/>
        <v>-2.5</v>
      </c>
      <c r="F731" s="274">
        <f t="shared" si="618"/>
        <v>0</v>
      </c>
      <c r="G731" s="274">
        <f t="shared" si="618"/>
        <v>45.000000000000043</v>
      </c>
      <c r="H731" s="274">
        <f t="shared" si="618"/>
        <v>94.500000000000071</v>
      </c>
      <c r="I731" s="274">
        <f t="shared" si="618"/>
        <v>151.87500000000009</v>
      </c>
      <c r="J731" s="274">
        <f t="shared" si="618"/>
        <v>204.18750000000011</v>
      </c>
      <c r="K731" s="274">
        <f t="shared" si="618"/>
        <v>253.37812500000013</v>
      </c>
      <c r="L731" s="274">
        <f t="shared" si="618"/>
        <v>306.9773437500001</v>
      </c>
      <c r="M731" s="274">
        <f t="shared" si="618"/>
        <v>365.30303906250009</v>
      </c>
      <c r="N731" s="274">
        <f t="shared" si="618"/>
        <v>428.6938605468751</v>
      </c>
      <c r="O731" s="274">
        <f t="shared" si="618"/>
        <v>497.51050658203138</v>
      </c>
      <c r="P731" s="274">
        <f t="shared" si="618"/>
        <v>572.13708256933614</v>
      </c>
      <c r="Q731" s="274">
        <f t="shared" si="618"/>
        <v>652.98253988891622</v>
      </c>
      <c r="S731" s="282">
        <f>IF(S729&gt;$X$39,$Z$39,$Z$40)</f>
        <v>-0.05</v>
      </c>
      <c r="T731" s="282">
        <f>IF(S729&gt;$X$39,$AA$39,$AA$40)</f>
        <v>-0.03</v>
      </c>
      <c r="U731" s="282">
        <f>IF(S729&gt;$X$39,$AB$39,$AB$40)</f>
        <v>-0.03</v>
      </c>
      <c r="V731" s="256"/>
    </row>
    <row r="732" spans="1:22">
      <c r="A732" s="270" t="s">
        <v>580</v>
      </c>
      <c r="B732" s="286">
        <f>IF(B728-T729&gt;3,T734,IF(B728-T729=1,45%+S731,IF(B728-T729=2,A732+T731,IF(B728-T729=3,A732+U731,IF(B728-T729=0,T735,IF(T729-B728=U736+1,$AA$37,IF(T729-B728=U736+2,$Z$37,IF(B728&lt;T729,C732-(T735-$AB$37)/U736))))))))</f>
        <v>-0.17</v>
      </c>
      <c r="C732" s="286">
        <f>IF(C728-T729&gt;3,T734,IF(C728-T729=1,B732+S731,IF(C728-T729=2,B732+T731,IF(C728-T729=3,B732+U731,IF(C728-T729=0,T735,IF(T729-C728=U736+1,$AA$37,IF(T729-C728=U736+2,$Z$37,IF(C728&lt;T729,D732-(T735-$AB$37)/U736))))))))</f>
        <v>-0.13</v>
      </c>
      <c r="D732" s="286">
        <f>IF(D728-T729&gt;3,T734,IF(D728-T729=1,C732+S731,IF(D728-T729=2,C732+T731,IF(D728-T729=3,C732+U731,IF(D728-T729=0,T735,IF(T729-D728=U736+1,$AA$37,IF(T729-D728=U736+2,$Z$37,IF(D728&lt;T729,E732-(T735-$AB$37)/U736))))))))</f>
        <v>-0.09</v>
      </c>
      <c r="E732" s="286">
        <f>IF(E728-T729&gt;3,T734,IF(E728-T729=1,D732+S731,IF(E728-T729=2,D732+T731,IF(E728-T729=3,D732+U731,IF(E728-T729=0,T735,IF(T729-E728=U736+1,$AA$37,IF(T729-E728=U736+2,$Z$37,IF(E728&lt;T729,F732-(T735-$AB$37)/U736))))))))</f>
        <v>-0.05</v>
      </c>
      <c r="F732" s="286">
        <f>IF(F728-T729&gt;3,T734,IF(F728-T729=1,E732+S731,IF(F728-T729=2,E732+T731,IF(F728-T729=3,E732+U731,IF(F728-T729=0,T735,IF(T729-F728=U736+1,$AA$37,IF(T729-F728=U736+2,$Z$37,IF(F728&lt;T729,G732-(T735-$AB$37)/U736))))))))</f>
        <v>0</v>
      </c>
      <c r="G732" s="286">
        <f>IF(G728-T729&gt;3,T734,IF(G728-T729=1,F732+S731,IF(G728-T729=2,F732+T731,IF(G728-T729=3,F732+U731,IF(G728-T729=0,T735,IF(T729-G728=U736+1,$AA$37,IF(T729-G728=U736+2,$Z$37,IF(G728&lt;T729,H732-(T735-$AB$37)/U736))))))))</f>
        <v>0.10000000000000009</v>
      </c>
      <c r="H732" s="286">
        <f>IF(H728-T729&gt;3,T734,IF(H728-T729=1,G732+S731,IF(H728-T729=2,G732+T731,IF(H728-T729=3,G732+U731,IF(H728-T729=0,T735,IF(T729-H728=U736+1,$AA$37,IF(T729-H728=U736+2,$Z$37,IF(H728&lt;T729,I732-(T735-$AB$37)/U736))))))))</f>
        <v>0.1400000000000001</v>
      </c>
      <c r="I732" s="286">
        <f>IF(I728-T729&gt;3,T734,IF(I728-T729=1,H732+S731,IF(I728-T729=2,H732+T731,IF(I728-T729=3,H732+U731,IF(I728-T729=0,T735,IF(T729-I728=U736+1,$AA$37,IF(T729-I728=U736+2,$Z$37,IF(I728&lt;T729,J732-(T735-$AB$37)/U736))))))))</f>
        <v>0.1800000000000001</v>
      </c>
      <c r="J732" s="286">
        <f>IF(J728-T729&gt;3,T734,IF(J728-T729=1,I732+S731,IF(J728-T729=2,I732+T731,IF(J728-T729=3,I732+U731,IF(J728-T729=0,T735,IF(T729-J728=U736+1,$AA$37,IF(T729-J728=U736+2,$Z$37,IF(J728&lt;T729,K732-(T735-$AB$37)/U736))))))))</f>
        <v>0.22000000000000011</v>
      </c>
      <c r="K732" s="286">
        <f>IF(K728-T729&gt;3,T734,IF(K728-T729=1,J732+S731,IF(K728-T729=2,J732+T731,IF(K728-T729=3,J732+U731,IF(K728-T729=0,T735,IF(T729-K728=U736+1,$AA$37,IF(T729-K728=U736+2,$Z$37,IF(K728&lt;T729,L732-(T735-$AB$37)/U736))))))))</f>
        <v>0.26000000000000012</v>
      </c>
      <c r="L732" s="286">
        <f>IF(L728-T729&gt;3,T734,IF(L728-T729=1,K732+S731,IF(L728-T729=2,K732+T731,IF(L728-T729=3,K732+U731,IF(L728-T729=0,T735,IF(T729-L728=U736+1,$AA$37,IF(T729-L728=U736+2,$Z$37,IF(L728&lt;T729,M732-(T735-$AB$37)/U736))))))))</f>
        <v>0.3000000000000001</v>
      </c>
      <c r="M732" s="286">
        <f>IF(M728-T729&gt;3,T734,IF(M728-T729=1,L732+S731,IF(M728-T729=2,L732+T731,IF(M728-T729=3,L732+U731,IF(M728-T729=0,T735,IF(T729-M728=U736+1,$AA$37,IF(T729-M728=U736+2,$Z$37,IF(M728&lt;T729,N732-(T735-$AB$37)/U736))))))))</f>
        <v>0.34000000000000008</v>
      </c>
      <c r="N732" s="286">
        <f>IF(N728-T729&gt;3,T734,IF(N728-T729=1,M732+S731,IF(N728-T729=2,M732+T731,IF(N728-T729=3,M732+U731,IF(N728-T729=0,T735,IF(T729-N728=U736+1,$AA$37,IF(T729-N728=U736+2,$Z$37,IF(N728&lt;T729,O732-(T735-$AB$37)/U736))))))))</f>
        <v>0.38000000000000006</v>
      </c>
      <c r="O732" s="286">
        <f>IF(O728-T729&gt;3,T734,IF(O728-T729=1,N732+S731,IF(O728-T729=2,N732+T731,IF(O728-T729=3,N732+U731,IF(O728-T729=0,T735,IF(T729-O728=U736+1,$AA$37,IF(T729-O728=U736+2,$Z$37,IF(O728&lt;T729,P732-(T735-$AB$37)/U736))))))))</f>
        <v>0.42000000000000004</v>
      </c>
      <c r="P732" s="286">
        <f>IF(P728-T729&gt;3,T734,IF(P728-T729=1,O732+S731,IF(P728-T729=2,O732+T731,IF(P728-T729=3,O732+U731,IF(P728-T729=0,T735,IF(T729-P728=U736+1,$AA$37,IF(T729-P728=U736+2,$Z$37,IF(P728&lt;T729,Q732-(T735-$AB$37)/U736))))))))</f>
        <v>0.46</v>
      </c>
      <c r="Q732" s="286">
        <f>IF(Q728-T729&gt;3,T734,IF(Q728-T729=1,P732+S731,IF(Q728-T729=2,P732+T731,IF(Q728-T729=3,P732+U731,IF(Q728-T729=0,T735,IF(T729-Q728=U736+1,$AA$37,IF(T729-Q728=U736+2,$Z$37,IF(Q728&lt;T729,R732-(T735-$AB$37)/U736))))))))</f>
        <v>0.5</v>
      </c>
      <c r="S732" s="287" t="s">
        <v>739</v>
      </c>
      <c r="T732" s="213">
        <f>VLOOKUP(A728,$A$2:$H$23,7,0)</f>
        <v>50</v>
      </c>
      <c r="U732" s="256"/>
      <c r="V732" s="256"/>
    </row>
    <row r="733" spans="1:22">
      <c r="A733" s="270" t="s">
        <v>731</v>
      </c>
      <c r="B733" s="213"/>
      <c r="C733" s="213"/>
      <c r="D733" s="213">
        <f t="shared" ref="D733:Q733" si="619">D731*D734</f>
        <v>0</v>
      </c>
      <c r="E733" s="213">
        <f t="shared" si="619"/>
        <v>-0.4</v>
      </c>
      <c r="F733" s="213">
        <f t="shared" si="619"/>
        <v>0</v>
      </c>
      <c r="G733" s="213">
        <f t="shared" si="619"/>
        <v>7.2000000000000073</v>
      </c>
      <c r="H733" s="213">
        <f t="shared" si="619"/>
        <v>15.120000000000012</v>
      </c>
      <c r="I733" s="213">
        <f t="shared" si="619"/>
        <v>24.300000000000015</v>
      </c>
      <c r="J733" s="213">
        <f t="shared" si="619"/>
        <v>32.670000000000016</v>
      </c>
      <c r="K733" s="213">
        <f t="shared" si="619"/>
        <v>40.540500000000023</v>
      </c>
      <c r="L733" s="213">
        <f t="shared" si="619"/>
        <v>49.116375000000019</v>
      </c>
      <c r="M733" s="213">
        <f t="shared" si="619"/>
        <v>58.448486250000016</v>
      </c>
      <c r="N733" s="213">
        <f t="shared" si="619"/>
        <v>68.591017687500013</v>
      </c>
      <c r="O733" s="213">
        <f t="shared" si="619"/>
        <v>79.60168105312502</v>
      </c>
      <c r="P733" s="213">
        <f t="shared" si="619"/>
        <v>91.541933211093792</v>
      </c>
      <c r="Q733" s="213">
        <f t="shared" si="619"/>
        <v>104.4772063822266</v>
      </c>
      <c r="S733" s="287" t="s">
        <v>740</v>
      </c>
      <c r="T733" s="256">
        <f>VLOOKUP(A728,$A$2:$H$23,8,0)</f>
        <v>2018</v>
      </c>
      <c r="U733" s="256"/>
      <c r="V733" s="256"/>
    </row>
    <row r="734" spans="1:22">
      <c r="A734" s="270" t="s">
        <v>635</v>
      </c>
      <c r="B734" s="196">
        <f>'P&amp;L'!G$120</f>
        <v>0.1455435708203236</v>
      </c>
      <c r="C734" s="196">
        <f>'P&amp;L'!H$120</f>
        <v>0.15028163725122043</v>
      </c>
      <c r="D734" s="196">
        <f>'P&amp;L'!I$120</f>
        <v>0.15290792800832961</v>
      </c>
      <c r="E734" s="196">
        <f>'P&amp;L'!J$120</f>
        <v>0.16</v>
      </c>
      <c r="F734" s="196">
        <f>'P&amp;L'!K$120</f>
        <v>0.16</v>
      </c>
      <c r="G734" s="196">
        <f>'P&amp;L'!L$120</f>
        <v>0.16</v>
      </c>
      <c r="H734" s="196">
        <f>'P&amp;L'!M$120</f>
        <v>0.16</v>
      </c>
      <c r="I734" s="196">
        <f>'P&amp;L'!N$120</f>
        <v>0.16</v>
      </c>
      <c r="J734" s="196">
        <f>'P&amp;L'!O$120</f>
        <v>0.16</v>
      </c>
      <c r="K734" s="196">
        <f>'P&amp;L'!P$120</f>
        <v>0.16</v>
      </c>
      <c r="L734" s="196">
        <f>'P&amp;L'!Q$120</f>
        <v>0.16</v>
      </c>
      <c r="M734" s="196">
        <f t="shared" ref="M734" si="620">L734</f>
        <v>0.16</v>
      </c>
      <c r="N734" s="196">
        <f t="shared" ref="N734" si="621">M734</f>
        <v>0.16</v>
      </c>
      <c r="O734" s="196">
        <f t="shared" ref="O734" si="622">N734</f>
        <v>0.16</v>
      </c>
      <c r="P734" s="196">
        <f t="shared" ref="P734" si="623">O734</f>
        <v>0.16</v>
      </c>
      <c r="Q734" s="196">
        <f t="shared" ref="Q734" si="624">P734</f>
        <v>0.16</v>
      </c>
      <c r="S734" s="287" t="s">
        <v>741</v>
      </c>
      <c r="T734" s="288" t="b">
        <f>IF(Q728-T729&gt;3,IF(AND(S729&lt;$X$42,S729&lt;$X$43,S729&lt;$X$44),$AA$45,IF(AND(S729&lt;$X$42,S729&lt;$X$43),$AA$44,IF(S729&lt;$X$42,$AA$43,$AA$42))))</f>
        <v>0</v>
      </c>
      <c r="U734" s="256"/>
      <c r="V734" s="256"/>
    </row>
    <row r="735" spans="1:22">
      <c r="A735" s="256" t="s">
        <v>732</v>
      </c>
      <c r="B735" s="213"/>
      <c r="C735" s="213"/>
      <c r="D735" s="213">
        <f t="shared" ref="D735:Q735" si="625">D731-D733</f>
        <v>0</v>
      </c>
      <c r="E735" s="213">
        <f t="shared" si="625"/>
        <v>-2.1</v>
      </c>
      <c r="F735" s="213">
        <f t="shared" si="625"/>
        <v>0</v>
      </c>
      <c r="G735" s="213">
        <f t="shared" si="625"/>
        <v>37.800000000000033</v>
      </c>
      <c r="H735" s="213">
        <f t="shared" si="625"/>
        <v>79.380000000000052</v>
      </c>
      <c r="I735" s="213">
        <f t="shared" si="625"/>
        <v>127.57500000000007</v>
      </c>
      <c r="J735" s="213">
        <f t="shared" si="625"/>
        <v>171.5175000000001</v>
      </c>
      <c r="K735" s="213">
        <f t="shared" si="625"/>
        <v>212.83762500000012</v>
      </c>
      <c r="L735" s="213">
        <f t="shared" si="625"/>
        <v>257.8609687500001</v>
      </c>
      <c r="M735" s="213">
        <f t="shared" si="625"/>
        <v>306.85455281250006</v>
      </c>
      <c r="N735" s="213">
        <f t="shared" si="625"/>
        <v>360.10284285937507</v>
      </c>
      <c r="O735" s="213">
        <f t="shared" si="625"/>
        <v>417.90882552890639</v>
      </c>
      <c r="P735" s="213">
        <f t="shared" si="625"/>
        <v>480.59514935824234</v>
      </c>
      <c r="Q735" s="213">
        <f t="shared" si="625"/>
        <v>548.50533350668957</v>
      </c>
      <c r="S735" s="287" t="s">
        <v>742</v>
      </c>
      <c r="T735" s="288">
        <f>IF(S729&gt;$X$42,$Z$42,IF(S729&gt;$X$43,$Z$43,IF(S729&gt;$X$44,$Z$44,$Z$45)))</f>
        <v>0.5</v>
      </c>
      <c r="U735" s="256"/>
      <c r="V735" s="256"/>
    </row>
    <row r="736" spans="1:22">
      <c r="A736" s="270" t="s">
        <v>607</v>
      </c>
      <c r="B736" s="277"/>
      <c r="C736" s="277"/>
      <c r="D736" s="277">
        <f>D735</f>
        <v>0</v>
      </c>
      <c r="E736" s="277">
        <f t="shared" ref="E736:Q736" si="626">E735</f>
        <v>-2.1</v>
      </c>
      <c r="F736" s="277">
        <f t="shared" si="626"/>
        <v>0</v>
      </c>
      <c r="G736" s="277">
        <f t="shared" si="626"/>
        <v>37.800000000000033</v>
      </c>
      <c r="H736" s="277">
        <f t="shared" si="626"/>
        <v>79.380000000000052</v>
      </c>
      <c r="I736" s="277">
        <f t="shared" si="626"/>
        <v>127.57500000000007</v>
      </c>
      <c r="J736" s="277">
        <f t="shared" si="626"/>
        <v>171.5175000000001</v>
      </c>
      <c r="K736" s="277">
        <f t="shared" si="626"/>
        <v>212.83762500000012</v>
      </c>
      <c r="L736" s="277">
        <f t="shared" si="626"/>
        <v>257.8609687500001</v>
      </c>
      <c r="M736" s="277">
        <f t="shared" si="626"/>
        <v>306.85455281250006</v>
      </c>
      <c r="N736" s="277">
        <f t="shared" si="626"/>
        <v>360.10284285937507</v>
      </c>
      <c r="O736" s="277">
        <f t="shared" si="626"/>
        <v>417.90882552890639</v>
      </c>
      <c r="P736" s="277">
        <f t="shared" si="626"/>
        <v>480.59514935824234</v>
      </c>
      <c r="Q736" s="277">
        <f t="shared" si="626"/>
        <v>548.50533350668957</v>
      </c>
      <c r="S736" s="287" t="s">
        <v>743</v>
      </c>
      <c r="T736" s="256">
        <f>T729-T733</f>
        <v>12</v>
      </c>
      <c r="U736" s="256">
        <f>T736-2</f>
        <v>10</v>
      </c>
      <c r="V736" s="256"/>
    </row>
    <row r="737" spans="1:22">
      <c r="A737" s="279" t="s">
        <v>733</v>
      </c>
      <c r="B737" s="280"/>
      <c r="C737" s="280"/>
      <c r="D737" s="280">
        <f t="shared" ref="D737:Q737" si="627">D736*D$45</f>
        <v>0</v>
      </c>
      <c r="E737" s="280">
        <f t="shared" ca="1" si="627"/>
        <v>-1.9993258887558774</v>
      </c>
      <c r="F737" s="280">
        <f t="shared" ca="1" si="627"/>
        <v>0</v>
      </c>
      <c r="G737" s="280">
        <f t="shared" ca="1" si="627"/>
        <v>31.283547685982843</v>
      </c>
      <c r="H737" s="280">
        <f t="shared" ca="1" si="627"/>
        <v>61.25129065956812</v>
      </c>
      <c r="I737" s="280">
        <f t="shared" ca="1" si="627"/>
        <v>91.780343438984687</v>
      </c>
      <c r="J737" s="280">
        <f t="shared" ca="1" si="627"/>
        <v>115.04625631951724</v>
      </c>
      <c r="K737" s="280">
        <f t="shared" ca="1" si="627"/>
        <v>133.10439901934234</v>
      </c>
      <c r="L737" s="280">
        <f t="shared" ca="1" si="627"/>
        <v>150.35212353785016</v>
      </c>
      <c r="M737" s="280">
        <f t="shared" ca="1" si="627"/>
        <v>166.81552991068529</v>
      </c>
      <c r="N737" s="280">
        <f t="shared" ca="1" si="627"/>
        <v>182.5199788168546</v>
      </c>
      <c r="O737" s="280">
        <f t="shared" ca="1" si="627"/>
        <v>197.49011113315581</v>
      </c>
      <c r="P737" s="280">
        <f t="shared" ca="1" si="627"/>
        <v>211.74986699313331</v>
      </c>
      <c r="Q737" s="280">
        <f t="shared" ca="1" si="627"/>
        <v>225.32250436275191</v>
      </c>
      <c r="S737" s="289" t="s">
        <v>744</v>
      </c>
      <c r="T737" s="288">
        <f>VLOOKUP(S737,$Y$32:$AB$34,2,0)</f>
        <v>-0.7</v>
      </c>
      <c r="U737" s="288">
        <f>VLOOKUP(S737,$Y$32:$AB$34,3,0)</f>
        <v>-0.35</v>
      </c>
      <c r="V737" s="288">
        <f>VLOOKUP(S737,$Y$32:$AB$34,4,0)</f>
        <v>-0.1</v>
      </c>
    </row>
    <row r="738" spans="1:22">
      <c r="A738" s="270" t="s">
        <v>734</v>
      </c>
      <c r="B738" s="213">
        <f ca="1">SUM(B737:Q737)</f>
        <v>1564.7166259890705</v>
      </c>
      <c r="C738" s="277"/>
      <c r="D738" s="277"/>
      <c r="E738" s="277"/>
      <c r="F738" s="277"/>
      <c r="G738" s="277"/>
      <c r="H738" s="277"/>
      <c r="I738" s="277"/>
      <c r="J738" s="277"/>
      <c r="K738" s="277"/>
      <c r="L738" s="277"/>
      <c r="M738" s="277"/>
      <c r="N738" s="256"/>
      <c r="O738" s="256"/>
      <c r="P738" s="256"/>
      <c r="Q738" s="256"/>
    </row>
    <row r="739" spans="1:22">
      <c r="A739" s="281" t="s">
        <v>735</v>
      </c>
      <c r="B739" s="213">
        <f ca="1">(Q736*(1+C739))/(DCF!$H$31-NPV!C739)*NPV!$Q$45</f>
        <v>1746.5980462468181</v>
      </c>
      <c r="C739" s="286">
        <v>-0.05</v>
      </c>
      <c r="D739" s="277"/>
      <c r="E739" s="277"/>
      <c r="F739" s="277"/>
      <c r="G739" s="277"/>
      <c r="H739" s="277"/>
      <c r="I739" s="277"/>
      <c r="J739" s="277"/>
      <c r="K739" s="277"/>
      <c r="L739" s="277"/>
      <c r="M739" s="277"/>
      <c r="N739" s="256"/>
      <c r="O739" s="256"/>
      <c r="P739" s="256"/>
      <c r="Q739" s="256"/>
    </row>
    <row r="740" spans="1:22">
      <c r="A740" s="281" t="s">
        <v>736</v>
      </c>
      <c r="B740" s="213">
        <f ca="1">SUM(B738:B739)/DCF!$C$30</f>
        <v>1.4114725798106942</v>
      </c>
      <c r="C740" s="283"/>
      <c r="D740" s="283"/>
      <c r="E740" s="283"/>
      <c r="F740" s="283"/>
      <c r="G740" s="283"/>
      <c r="H740" s="283"/>
      <c r="I740" s="283"/>
      <c r="J740" s="283"/>
      <c r="K740" s="283"/>
      <c r="L740" s="283"/>
      <c r="M740" s="256"/>
      <c r="N740" s="256"/>
      <c r="O740" s="256"/>
      <c r="P740" s="256"/>
      <c r="Q740" s="256"/>
    </row>
    <row r="741" spans="1:22">
      <c r="A741" s="284" t="s">
        <v>737</v>
      </c>
      <c r="B741" s="285">
        <f ca="1">B740/DCF!$H$24</f>
        <v>1.3703617279715476</v>
      </c>
    </row>
    <row r="742" spans="1:22" customFormat="1" ht="15"/>
    <row r="743" spans="1:22">
      <c r="A743" s="265" t="s">
        <v>1470</v>
      </c>
      <c r="B743" s="266">
        <v>2015</v>
      </c>
      <c r="C743" s="266">
        <v>2016</v>
      </c>
      <c r="D743" s="266">
        <v>2017</v>
      </c>
      <c r="E743" s="266">
        <v>2018</v>
      </c>
      <c r="F743" s="266">
        <v>2019</v>
      </c>
      <c r="G743" s="266">
        <v>2020</v>
      </c>
      <c r="H743" s="266">
        <v>2021</v>
      </c>
      <c r="I743" s="266">
        <v>2022</v>
      </c>
      <c r="J743" s="266">
        <v>2023</v>
      </c>
      <c r="K743" s="266">
        <v>2024</v>
      </c>
      <c r="L743" s="266">
        <v>2025</v>
      </c>
      <c r="M743" s="266">
        <v>2026</v>
      </c>
      <c r="N743" s="266">
        <v>2027</v>
      </c>
      <c r="O743" s="266">
        <v>2028</v>
      </c>
      <c r="P743" s="266">
        <v>2029</v>
      </c>
      <c r="Q743" s="267">
        <v>2030</v>
      </c>
    </row>
    <row r="744" spans="1:22">
      <c r="A744" s="268" t="s">
        <v>729</v>
      </c>
      <c r="B744" s="269"/>
      <c r="C744" s="269"/>
      <c r="D744" s="269"/>
      <c r="E744" s="269">
        <f>Bullbear!G183-Bullbear!G184</f>
        <v>26.766648125839197</v>
      </c>
      <c r="F744" s="269">
        <f>Bullbear!H183-Bullbear!H184</f>
        <v>256.37197185648893</v>
      </c>
      <c r="G744" s="269">
        <f>Bullbear!I183-Bullbear!I184</f>
        <v>938.01669927923649</v>
      </c>
      <c r="H744" s="269">
        <f>Bullbear!J183-Bullbear!J184</f>
        <v>1805.8739190802034</v>
      </c>
      <c r="I744" s="269">
        <f>Bullbear!K183-Bullbear!K184</f>
        <v>2508.5478654569738</v>
      </c>
      <c r="J744" s="269">
        <f>Bullbear!L183-Bullbear!L184</f>
        <v>3205.8294632422203</v>
      </c>
      <c r="K744" s="269">
        <f t="shared" ref="K744:Q744" si="628">J744*(1+K745)</f>
        <v>3205.8294632422203</v>
      </c>
      <c r="L744" s="269">
        <f t="shared" si="628"/>
        <v>3205.8294632422203</v>
      </c>
      <c r="M744" s="269">
        <f t="shared" si="628"/>
        <v>3205.8294632422203</v>
      </c>
      <c r="N744" s="269">
        <f t="shared" si="628"/>
        <v>3205.8294632422203</v>
      </c>
      <c r="O744" s="269">
        <f t="shared" si="628"/>
        <v>3205.8294632422203</v>
      </c>
      <c r="P744" s="269">
        <f t="shared" si="628"/>
        <v>3205.8294632422203</v>
      </c>
      <c r="Q744" s="269">
        <f t="shared" si="628"/>
        <v>3205.8294632422203</v>
      </c>
    </row>
    <row r="745" spans="1:22">
      <c r="A745" s="270" t="s">
        <v>579</v>
      </c>
      <c r="B745" s="271"/>
      <c r="C745" s="271"/>
      <c r="D745" s="271"/>
      <c r="E745" s="271"/>
      <c r="F745" s="271">
        <f>F744/E744-1</f>
        <v>8.5780379616900966</v>
      </c>
      <c r="G745" s="271">
        <f>G744/F744-1</f>
        <v>2.6588114234434195</v>
      </c>
      <c r="H745" s="271">
        <f>H744/G744-1</f>
        <v>0.9252044451530772</v>
      </c>
      <c r="I745" s="271">
        <f t="shared" ref="I745:J745" si="629">I744/H744-1</f>
        <v>0.38910465395871463</v>
      </c>
      <c r="J745" s="271">
        <f t="shared" si="629"/>
        <v>0.27796224556322158</v>
      </c>
      <c r="K745" s="271">
        <v>0</v>
      </c>
      <c r="L745" s="271">
        <v>0</v>
      </c>
      <c r="M745" s="272">
        <v>0</v>
      </c>
      <c r="N745" s="272">
        <v>0</v>
      </c>
      <c r="O745" s="272">
        <v>0</v>
      </c>
      <c r="P745" s="272">
        <v>0</v>
      </c>
      <c r="Q745" s="272">
        <v>0</v>
      </c>
    </row>
    <row r="746" spans="1:22">
      <c r="A746" s="273" t="s">
        <v>730</v>
      </c>
      <c r="B746" s="274"/>
      <c r="C746" s="274"/>
      <c r="D746" s="274"/>
      <c r="E746" s="274">
        <f t="shared" ref="E746:Q746" si="630">E744*E747</f>
        <v>0</v>
      </c>
      <c r="F746" s="274">
        <f t="shared" si="630"/>
        <v>25.637197185648894</v>
      </c>
      <c r="G746" s="274">
        <f t="shared" si="630"/>
        <v>187.60333985584731</v>
      </c>
      <c r="H746" s="274">
        <f t="shared" si="630"/>
        <v>722.3495676320814</v>
      </c>
      <c r="I746" s="274">
        <f t="shared" si="630"/>
        <v>1003.4191461827895</v>
      </c>
      <c r="J746" s="274">
        <f t="shared" si="630"/>
        <v>1282.3317852968883</v>
      </c>
      <c r="K746" s="274">
        <f t="shared" si="630"/>
        <v>1282.3317852968883</v>
      </c>
      <c r="L746" s="274">
        <f t="shared" si="630"/>
        <v>1282.3317852968883</v>
      </c>
      <c r="M746" s="274">
        <f t="shared" si="630"/>
        <v>1282.3317852968883</v>
      </c>
      <c r="N746" s="274">
        <f t="shared" si="630"/>
        <v>1282.3317852968883</v>
      </c>
      <c r="O746" s="274">
        <f t="shared" si="630"/>
        <v>1282.3317852968883</v>
      </c>
      <c r="P746" s="274">
        <f t="shared" si="630"/>
        <v>1282.3317852968883</v>
      </c>
      <c r="Q746" s="274">
        <f t="shared" si="630"/>
        <v>1282.3317852968883</v>
      </c>
    </row>
    <row r="747" spans="1:22">
      <c r="A747" s="270" t="s">
        <v>580</v>
      </c>
      <c r="B747" s="286"/>
      <c r="C747" s="286"/>
      <c r="D747" s="286"/>
      <c r="E747" s="286">
        <v>0</v>
      </c>
      <c r="F747" s="286">
        <v>0.1</v>
      </c>
      <c r="G747" s="286">
        <v>0.2</v>
      </c>
      <c r="H747" s="286">
        <v>0.4</v>
      </c>
      <c r="I747" s="286">
        <v>0.4</v>
      </c>
      <c r="J747" s="286">
        <v>0.4</v>
      </c>
      <c r="K747" s="286">
        <v>0.4</v>
      </c>
      <c r="L747" s="286">
        <v>0.4</v>
      </c>
      <c r="M747" s="286">
        <v>0.4</v>
      </c>
      <c r="N747" s="286">
        <v>0.4</v>
      </c>
      <c r="O747" s="286">
        <v>0.4</v>
      </c>
      <c r="P747" s="286">
        <v>0.4</v>
      </c>
      <c r="Q747" s="286">
        <v>0.4</v>
      </c>
    </row>
    <row r="748" spans="1:22">
      <c r="A748" s="270" t="s">
        <v>731</v>
      </c>
      <c r="B748" s="213"/>
      <c r="C748" s="213"/>
      <c r="D748" s="213"/>
      <c r="E748" s="213">
        <f t="shared" ref="E748:Q748" si="631">E746*E749</f>
        <v>0</v>
      </c>
      <c r="F748" s="213">
        <f t="shared" si="631"/>
        <v>4.1019515497038235</v>
      </c>
      <c r="G748" s="213">
        <f t="shared" si="631"/>
        <v>30.016534376935571</v>
      </c>
      <c r="H748" s="213">
        <f t="shared" si="631"/>
        <v>115.57593082113303</v>
      </c>
      <c r="I748" s="213">
        <f t="shared" si="631"/>
        <v>160.54706338924632</v>
      </c>
      <c r="J748" s="213">
        <f t="shared" si="631"/>
        <v>205.17308564750212</v>
      </c>
      <c r="K748" s="213">
        <f t="shared" si="631"/>
        <v>205.17308564750212</v>
      </c>
      <c r="L748" s="213">
        <f t="shared" si="631"/>
        <v>205.17308564750212</v>
      </c>
      <c r="M748" s="213">
        <f t="shared" si="631"/>
        <v>205.17308564750212</v>
      </c>
      <c r="N748" s="213">
        <f t="shared" si="631"/>
        <v>205.17308564750212</v>
      </c>
      <c r="O748" s="213">
        <f t="shared" si="631"/>
        <v>205.17308564750212</v>
      </c>
      <c r="P748" s="213">
        <f t="shared" si="631"/>
        <v>205.17308564750212</v>
      </c>
      <c r="Q748" s="213">
        <f t="shared" si="631"/>
        <v>205.17308564750212</v>
      </c>
    </row>
    <row r="749" spans="1:22">
      <c r="A749" s="270" t="s">
        <v>635</v>
      </c>
      <c r="B749" s="196"/>
      <c r="C749" s="196"/>
      <c r="D749" s="196"/>
      <c r="E749" s="196">
        <f>'P&amp;L'!J$120</f>
        <v>0.16</v>
      </c>
      <c r="F749" s="196">
        <f>'P&amp;L'!K$120</f>
        <v>0.16</v>
      </c>
      <c r="G749" s="196">
        <f>'P&amp;L'!L$120</f>
        <v>0.16</v>
      </c>
      <c r="H749" s="196">
        <f>'P&amp;L'!M$120</f>
        <v>0.16</v>
      </c>
      <c r="I749" s="196">
        <f>'P&amp;L'!N$120</f>
        <v>0.16</v>
      </c>
      <c r="J749" s="196">
        <f>'P&amp;L'!O$120</f>
        <v>0.16</v>
      </c>
      <c r="K749" s="196">
        <f>'P&amp;L'!P$120</f>
        <v>0.16</v>
      </c>
      <c r="L749" s="196">
        <f>'P&amp;L'!Q$120</f>
        <v>0.16</v>
      </c>
      <c r="M749" s="196">
        <f t="shared" ref="M749" si="632">L749</f>
        <v>0.16</v>
      </c>
      <c r="N749" s="196">
        <f t="shared" ref="N749" si="633">M749</f>
        <v>0.16</v>
      </c>
      <c r="O749" s="196">
        <f t="shared" ref="O749" si="634">N749</f>
        <v>0.16</v>
      </c>
      <c r="P749" s="196">
        <f t="shared" ref="P749" si="635">O749</f>
        <v>0.16</v>
      </c>
      <c r="Q749" s="196">
        <f t="shared" ref="Q749" si="636">P749</f>
        <v>0.16</v>
      </c>
    </row>
    <row r="750" spans="1:22">
      <c r="A750" s="256" t="s">
        <v>732</v>
      </c>
      <c r="B750" s="213"/>
      <c r="C750" s="213"/>
      <c r="D750" s="213"/>
      <c r="E750" s="213">
        <f t="shared" ref="E750:Q750" si="637">E746-E748</f>
        <v>0</v>
      </c>
      <c r="F750" s="213">
        <f t="shared" si="637"/>
        <v>21.535245635945071</v>
      </c>
      <c r="G750" s="213">
        <f t="shared" si="637"/>
        <v>157.58680547891174</v>
      </c>
      <c r="H750" s="213">
        <f t="shared" si="637"/>
        <v>606.77363681094835</v>
      </c>
      <c r="I750" s="213">
        <f t="shared" si="637"/>
        <v>842.8720827935432</v>
      </c>
      <c r="J750" s="213">
        <f t="shared" si="637"/>
        <v>1077.1586996493861</v>
      </c>
      <c r="K750" s="213">
        <f t="shared" si="637"/>
        <v>1077.1586996493861</v>
      </c>
      <c r="L750" s="213">
        <f t="shared" si="637"/>
        <v>1077.1586996493861</v>
      </c>
      <c r="M750" s="213">
        <f t="shared" si="637"/>
        <v>1077.1586996493861</v>
      </c>
      <c r="N750" s="213">
        <f t="shared" si="637"/>
        <v>1077.1586996493861</v>
      </c>
      <c r="O750" s="213">
        <f t="shared" si="637"/>
        <v>1077.1586996493861</v>
      </c>
      <c r="P750" s="213">
        <f t="shared" si="637"/>
        <v>1077.1586996493861</v>
      </c>
      <c r="Q750" s="213">
        <f t="shared" si="637"/>
        <v>1077.1586996493861</v>
      </c>
    </row>
    <row r="751" spans="1:22">
      <c r="A751" s="270" t="s">
        <v>607</v>
      </c>
      <c r="B751" s="277"/>
      <c r="C751" s="277"/>
      <c r="D751" s="277"/>
      <c r="E751" s="277">
        <f t="shared" ref="E751:Q751" si="638">E750</f>
        <v>0</v>
      </c>
      <c r="F751" s="277">
        <f t="shared" si="638"/>
        <v>21.535245635945071</v>
      </c>
      <c r="G751" s="277">
        <f t="shared" si="638"/>
        <v>157.58680547891174</v>
      </c>
      <c r="H751" s="277">
        <f t="shared" si="638"/>
        <v>606.77363681094835</v>
      </c>
      <c r="I751" s="277">
        <f t="shared" si="638"/>
        <v>842.8720827935432</v>
      </c>
      <c r="J751" s="277">
        <f t="shared" si="638"/>
        <v>1077.1586996493861</v>
      </c>
      <c r="K751" s="277">
        <f t="shared" si="638"/>
        <v>1077.1586996493861</v>
      </c>
      <c r="L751" s="277">
        <f t="shared" si="638"/>
        <v>1077.1586996493861</v>
      </c>
      <c r="M751" s="277">
        <f t="shared" si="638"/>
        <v>1077.1586996493861</v>
      </c>
      <c r="N751" s="277">
        <f t="shared" si="638"/>
        <v>1077.1586996493861</v>
      </c>
      <c r="O751" s="277">
        <f t="shared" si="638"/>
        <v>1077.1586996493861</v>
      </c>
      <c r="P751" s="277">
        <f t="shared" si="638"/>
        <v>1077.1586996493861</v>
      </c>
      <c r="Q751" s="277">
        <f t="shared" si="638"/>
        <v>1077.1586996493861</v>
      </c>
    </row>
    <row r="752" spans="1:22">
      <c r="A752" s="279" t="s">
        <v>733</v>
      </c>
      <c r="B752" s="280"/>
      <c r="C752" s="280"/>
      <c r="D752" s="280"/>
      <c r="E752" s="280">
        <f ca="1">E751*E$45</f>
        <v>0</v>
      </c>
      <c r="F752" s="280">
        <f t="shared" ref="F752:Q752" ca="1" si="639">F751*F$45</f>
        <v>19.115870348582934</v>
      </c>
      <c r="G752" s="280">
        <f t="shared" ca="1" si="639"/>
        <v>130.41995618733424</v>
      </c>
      <c r="H752" s="280">
        <f t="shared" ca="1" si="639"/>
        <v>468.19940026292005</v>
      </c>
      <c r="I752" s="280">
        <f t="shared" ca="1" si="639"/>
        <v>606.38125991709728</v>
      </c>
      <c r="J752" s="280">
        <f t="shared" ca="1" si="639"/>
        <v>722.50980720137056</v>
      </c>
      <c r="K752" s="280">
        <f t="shared" ca="1" si="639"/>
        <v>673.63353338155196</v>
      </c>
      <c r="L752" s="280">
        <f t="shared" ca="1" si="639"/>
        <v>628.06363702360238</v>
      </c>
      <c r="M752" s="280">
        <f t="shared" ca="1" si="639"/>
        <v>585.57644862356847</v>
      </c>
      <c r="N752" s="280">
        <f t="shared" ca="1" si="639"/>
        <v>545.96342945054914</v>
      </c>
      <c r="O752" s="280">
        <f t="shared" ca="1" si="639"/>
        <v>509.03014798161672</v>
      </c>
      <c r="P752" s="280">
        <f t="shared" ca="1" si="639"/>
        <v>474.59532557877276</v>
      </c>
      <c r="Q752" s="280">
        <f t="shared" ca="1" si="639"/>
        <v>442.4899467238543</v>
      </c>
    </row>
    <row r="753" spans="1:17">
      <c r="A753" s="270" t="s">
        <v>734</v>
      </c>
      <c r="B753" s="213">
        <f ca="1">SUM(B752:Q752)</f>
        <v>5805.978762680822</v>
      </c>
      <c r="C753" s="277"/>
      <c r="D753" s="277"/>
      <c r="E753" s="277"/>
      <c r="F753" s="277"/>
      <c r="G753" s="277"/>
      <c r="H753" s="277"/>
      <c r="I753" s="277"/>
      <c r="J753" s="277"/>
      <c r="K753" s="277"/>
      <c r="L753" s="277"/>
      <c r="M753" s="277"/>
      <c r="N753" s="256"/>
      <c r="O753" s="256"/>
      <c r="P753" s="256"/>
      <c r="Q753" s="256"/>
    </row>
    <row r="754" spans="1:17">
      <c r="A754" s="281" t="s">
        <v>735</v>
      </c>
      <c r="B754" s="213">
        <f ca="1">(Q751*(1+C754))/(DCF!$H$31-NPV!C754)*NPV!$Q$45</f>
        <v>3429.9817438009209</v>
      </c>
      <c r="C754" s="286">
        <v>-0.05</v>
      </c>
      <c r="D754" s="277"/>
      <c r="E754" s="277"/>
      <c r="F754" s="277"/>
      <c r="G754" s="277"/>
      <c r="H754" s="277"/>
      <c r="I754" s="277"/>
      <c r="J754" s="277"/>
      <c r="K754" s="277"/>
      <c r="L754" s="277"/>
      <c r="M754" s="277"/>
      <c r="N754" s="256"/>
      <c r="O754" s="256"/>
      <c r="P754" s="256"/>
      <c r="Q754" s="256"/>
    </row>
    <row r="755" spans="1:17">
      <c r="A755" s="281" t="s">
        <v>736</v>
      </c>
      <c r="B755" s="213">
        <f ca="1">SUM(B753:B754)/DCF!$C$30</f>
        <v>3.9368970615864205</v>
      </c>
      <c r="C755" s="283"/>
      <c r="D755" s="283"/>
      <c r="E755" s="283"/>
      <c r="F755" s="283"/>
      <c r="G755" s="283"/>
      <c r="H755" s="283"/>
      <c r="I755" s="283"/>
      <c r="J755" s="283"/>
      <c r="K755" s="283"/>
      <c r="L755" s="283"/>
      <c r="M755" s="256"/>
      <c r="N755" s="256"/>
      <c r="O755" s="256"/>
      <c r="P755" s="256"/>
      <c r="Q755" s="256"/>
    </row>
    <row r="756" spans="1:17">
      <c r="A756" s="284" t="s">
        <v>737</v>
      </c>
      <c r="B756" s="285">
        <f ca="1">B755/DCF!$H$24</f>
        <v>3.8222301568800199</v>
      </c>
    </row>
    <row r="760" spans="1:17">
      <c r="A760" s="266"/>
      <c r="B760" s="266"/>
      <c r="C760" s="266"/>
      <c r="D760" s="266"/>
      <c r="E760" s="266">
        <v>2018</v>
      </c>
      <c r="F760" s="266">
        <v>2019</v>
      </c>
      <c r="G760" s="266">
        <v>2020</v>
      </c>
      <c r="H760" s="266">
        <v>2021</v>
      </c>
      <c r="I760" s="266">
        <v>2022</v>
      </c>
      <c r="J760" s="266">
        <v>2023</v>
      </c>
      <c r="K760" s="266">
        <v>2024</v>
      </c>
      <c r="L760" s="266">
        <v>2025</v>
      </c>
    </row>
    <row r="761" spans="1:17">
      <c r="A761" s="40" t="s">
        <v>1903</v>
      </c>
      <c r="B761" s="1397"/>
      <c r="C761" s="1397"/>
      <c r="D761" s="1397"/>
      <c r="E761" s="1397">
        <f t="shared" ref="E761:L761" si="640">E36++E68+E83+E98+E113+E128+E263+E278+E293+E308+E368+E383+E398+E413+E428+E504+E594+E609+E699+E53+E714+E729</f>
        <v>52257.860294215883</v>
      </c>
      <c r="F761" s="1397">
        <f t="shared" si="640"/>
        <v>53311.369525681912</v>
      </c>
      <c r="G761" s="1397">
        <f t="shared" si="640"/>
        <v>54983.750913794494</v>
      </c>
      <c r="H761" s="1397">
        <f t="shared" si="640"/>
        <v>57005.038212037078</v>
      </c>
      <c r="I761" s="1397">
        <f t="shared" si="640"/>
        <v>58206.580638780448</v>
      </c>
      <c r="J761" s="1397">
        <f t="shared" si="640"/>
        <v>57674.975218288317</v>
      </c>
      <c r="K761" s="1397">
        <f t="shared" si="640"/>
        <v>58416.956918083233</v>
      </c>
      <c r="L761" s="1397">
        <f t="shared" si="640"/>
        <v>59056.427094547718</v>
      </c>
      <c r="M761" s="1397"/>
      <c r="N761" s="1397"/>
      <c r="O761" s="1397"/>
      <c r="P761" s="1397"/>
      <c r="Q761" s="1397"/>
    </row>
    <row r="762" spans="1:17">
      <c r="A762" s="40" t="s">
        <v>1904</v>
      </c>
      <c r="B762" s="1397"/>
      <c r="C762" s="1397"/>
      <c r="D762" s="1397"/>
      <c r="E762" s="1397">
        <f>Sales!J2</f>
        <v>52257.86029421589</v>
      </c>
      <c r="F762" s="1397">
        <f>Sales!K2</f>
        <v>53311.369525681919</v>
      </c>
      <c r="G762" s="1397">
        <f>Sales!L2</f>
        <v>54983.750913794494</v>
      </c>
      <c r="H762" s="1397">
        <f>Sales!M2</f>
        <v>57005.038212037085</v>
      </c>
      <c r="I762" s="1397">
        <f>Sales!N2</f>
        <v>58206.58063878044</v>
      </c>
      <c r="J762" s="1397">
        <f>Sales!O2</f>
        <v>57674.975218288324</v>
      </c>
      <c r="K762" s="1397">
        <f>Sales!P2</f>
        <v>58416.956918083248</v>
      </c>
      <c r="L762" s="1397">
        <f>Sales!Q2</f>
        <v>59056.427094547711</v>
      </c>
      <c r="M762" s="1397"/>
      <c r="N762" s="1397"/>
      <c r="O762" s="1397"/>
      <c r="P762" s="1397"/>
      <c r="Q762" s="1397"/>
    </row>
    <row r="764" spans="1:17">
      <c r="B764" s="257"/>
      <c r="C764" s="257"/>
      <c r="D764" s="257"/>
      <c r="E764" s="257"/>
      <c r="F764" s="257"/>
      <c r="G764" s="257"/>
      <c r="H764" s="257"/>
      <c r="I764" s="257"/>
      <c r="J764" s="257"/>
      <c r="K764" s="257"/>
      <c r="L764" s="257"/>
    </row>
  </sheetData>
  <pageMargins left="0.7" right="0.7" top="0.75" bottom="0.75" header="0.3" footer="0.3"/>
  <pageSetup paperSize="9" orientation="portrait" r:id="rId1"/>
  <ignoredErrors>
    <ignoredError sqref="B39:Q39"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pageSetUpPr fitToPage="1"/>
  </sheetPr>
  <dimension ref="A1:P77"/>
  <sheetViews>
    <sheetView zoomScale="85" zoomScaleNormal="85" workbookViewId="0">
      <selection sqref="A1:XFD1048576"/>
    </sheetView>
  </sheetViews>
  <sheetFormatPr defaultRowHeight="15.75" outlineLevelRow="1"/>
  <cols>
    <col min="1" max="1" width="9.140625" style="622"/>
    <col min="2" max="3" width="40.5703125" style="622" customWidth="1"/>
    <col min="4" max="5" width="13" style="637" customWidth="1"/>
    <col min="6" max="6" width="12.5703125" style="637" customWidth="1"/>
    <col min="7" max="8" width="16.28515625" style="622" customWidth="1"/>
    <col min="9" max="9" width="16.5703125" style="622" customWidth="1"/>
    <col min="10" max="10" width="86.7109375" style="622" customWidth="1"/>
    <col min="11" max="11" width="19.5703125" style="622" customWidth="1"/>
    <col min="12" max="16384" width="9.140625" style="622"/>
  </cols>
  <sheetData>
    <row r="1" spans="1:10" s="620" customFormat="1">
      <c r="A1" s="620">
        <v>2018</v>
      </c>
      <c r="D1" s="621"/>
      <c r="E1" s="621"/>
      <c r="F1" s="621"/>
      <c r="G1" s="621"/>
    </row>
    <row r="2" spans="1:10">
      <c r="E2" s="1337" t="str">
        <f>'MS vs Consensus'!B1</f>
        <v>Consensus - 17 Apr 2018 (pre-1Q18)</v>
      </c>
    </row>
    <row r="3" spans="1:10">
      <c r="E3" s="1337"/>
    </row>
    <row r="4" spans="1:10">
      <c r="B4" s="623" t="s">
        <v>1544</v>
      </c>
      <c r="C4" s="1248">
        <v>43191</v>
      </c>
      <c r="D4" s="624" t="s">
        <v>488</v>
      </c>
      <c r="E4" s="624" t="s">
        <v>489</v>
      </c>
      <c r="J4"/>
    </row>
    <row r="5" spans="1:10">
      <c r="B5" s="625" t="s">
        <v>871</v>
      </c>
      <c r="C5" s="626" t="s">
        <v>1485</v>
      </c>
      <c r="D5" s="627">
        <f>Sales!J4</f>
        <v>2.3254474538859787E-2</v>
      </c>
      <c r="E5" s="627">
        <f>'MS vs Consensus'!P7/'MS vs Consensus'!O7-1-E6</f>
        <v>2.9659546989937363E-2</v>
      </c>
      <c r="J5"/>
    </row>
    <row r="6" spans="1:10">
      <c r="B6" s="625" t="s">
        <v>1854</v>
      </c>
      <c r="C6" s="627">
        <v>0.04</v>
      </c>
      <c r="D6" s="627">
        <f>Sales!J5</f>
        <v>4.086534655739324E-2</v>
      </c>
      <c r="E6" s="627">
        <f>D6</f>
        <v>4.086534655739324E-2</v>
      </c>
      <c r="J6"/>
    </row>
    <row r="7" spans="1:10">
      <c r="B7" s="629" t="s">
        <v>872</v>
      </c>
      <c r="C7" s="630" t="s">
        <v>1486</v>
      </c>
      <c r="D7" s="627">
        <f>'P&amp;L'!J53</f>
        <v>7.6600474220410525E-2</v>
      </c>
      <c r="E7" s="627">
        <f>'MS vs Consensus'!P13/'MS vs Consensus'!O13-1-E8</f>
        <v>8.2642074631336798E-2</v>
      </c>
      <c r="J7"/>
    </row>
    <row r="8" spans="1:10">
      <c r="B8" s="625" t="s">
        <v>1854</v>
      </c>
      <c r="C8" s="627">
        <v>0.04</v>
      </c>
      <c r="D8" s="627">
        <f>'P&amp;L'!J54</f>
        <v>4.3250152209984155E-2</v>
      </c>
      <c r="E8" s="627">
        <f>D8</f>
        <v>4.3250152209984155E-2</v>
      </c>
      <c r="J8"/>
    </row>
    <row r="9" spans="1:10" outlineLevel="1">
      <c r="B9" s="631" t="s">
        <v>886</v>
      </c>
      <c r="C9" s="631"/>
      <c r="D9" s="632"/>
      <c r="E9" s="633"/>
      <c r="J9"/>
    </row>
    <row r="10" spans="1:10" outlineLevel="1">
      <c r="B10" s="629" t="s">
        <v>883</v>
      </c>
      <c r="C10" s="630" t="s">
        <v>1855</v>
      </c>
      <c r="D10" s="634">
        <f>'P&amp;L'!J120</f>
        <v>0.16</v>
      </c>
      <c r="E10" s="635"/>
      <c r="J10"/>
    </row>
    <row r="11" spans="1:10" outlineLevel="1">
      <c r="B11" s="629" t="s">
        <v>900</v>
      </c>
      <c r="C11" s="630" t="s">
        <v>1853</v>
      </c>
      <c r="D11" s="636">
        <f>'P&amp;L'!J107</f>
        <v>-830</v>
      </c>
      <c r="F11" s="622"/>
      <c r="J11"/>
    </row>
    <row r="12" spans="1:10">
      <c r="B12" s="638" t="s">
        <v>261</v>
      </c>
      <c r="C12" s="638"/>
      <c r="D12" s="639"/>
      <c r="E12" s="639"/>
      <c r="F12" s="622"/>
      <c r="J12"/>
    </row>
    <row r="13" spans="1:10">
      <c r="B13" s="640" t="s">
        <v>1473</v>
      </c>
      <c r="C13" s="637" t="s">
        <v>491</v>
      </c>
      <c r="D13" s="627">
        <f>Sales!J36</f>
        <v>3.2087791890058191E-2</v>
      </c>
      <c r="E13" s="627">
        <f>'MS vs Consensus'!P4/'MS vs Consensus'!O4-1-$D$6</f>
        <v>1.7671238808460471E-2</v>
      </c>
      <c r="F13" s="622"/>
      <c r="J13"/>
    </row>
    <row r="14" spans="1:10">
      <c r="B14" s="640" t="s">
        <v>1474</v>
      </c>
      <c r="C14" s="637" t="s">
        <v>1487</v>
      </c>
      <c r="D14" s="627">
        <f>Sales!J504</f>
        <v>-1.2619425624538397E-2</v>
      </c>
      <c r="E14" s="627">
        <f>'MS vs Consensus'!P5/'MS vs Consensus'!O5-1-$D$6</f>
        <v>-1.7743385656331462E-2</v>
      </c>
      <c r="F14" s="622"/>
      <c r="J14" s="630"/>
    </row>
    <row r="15" spans="1:10">
      <c r="B15" s="640" t="s">
        <v>1475</v>
      </c>
      <c r="C15" s="637" t="s">
        <v>1485</v>
      </c>
      <c r="D15" s="627">
        <f>Sales!K426</f>
        <v>3.2525932270345503E-2</v>
      </c>
      <c r="E15" s="627">
        <f>'MS vs Consensus'!P6/'MS vs Consensus'!O6-1-$D$6</f>
        <v>0.15863381871806595</v>
      </c>
      <c r="F15" s="622"/>
      <c r="J15" s="630"/>
    </row>
    <row r="16" spans="1:10" outlineLevel="1">
      <c r="B16" s="640"/>
      <c r="C16" s="637"/>
      <c r="D16" s="643"/>
      <c r="E16" s="643"/>
      <c r="F16" s="622"/>
      <c r="J16" s="630"/>
    </row>
    <row r="17" spans="1:10">
      <c r="D17" s="622"/>
      <c r="J17" s="637"/>
    </row>
    <row r="18" spans="1:10" s="620" customFormat="1">
      <c r="A18" s="620">
        <v>2017</v>
      </c>
      <c r="D18" s="621"/>
      <c r="E18" s="621"/>
      <c r="F18" s="621"/>
      <c r="G18" s="621"/>
    </row>
    <row r="19" spans="1:10">
      <c r="G19" s="637"/>
    </row>
    <row r="20" spans="1:10">
      <c r="G20" s="637"/>
    </row>
    <row r="21" spans="1:10">
      <c r="B21" s="623">
        <v>2017</v>
      </c>
      <c r="C21" s="624" t="s">
        <v>800</v>
      </c>
      <c r="D21" s="624" t="s">
        <v>488</v>
      </c>
      <c r="E21" s="624" t="s">
        <v>489</v>
      </c>
      <c r="F21" s="622"/>
      <c r="G21" s="637"/>
    </row>
    <row r="22" spans="1:10">
      <c r="B22" s="625" t="s">
        <v>871</v>
      </c>
      <c r="C22" s="626" t="s">
        <v>801</v>
      </c>
      <c r="D22" s="644">
        <f>Sales!I4</f>
        <v>0.02</v>
      </c>
      <c r="E22" s="642">
        <f>('MS vs Consensus'!O7/'MS vs Consensus'!N7-1)-D23</f>
        <v>1.478658932941011E-2</v>
      </c>
      <c r="F22" s="622"/>
      <c r="G22" s="637"/>
    </row>
    <row r="23" spans="1:10">
      <c r="B23" s="625" t="s">
        <v>888</v>
      </c>
      <c r="C23" s="628" t="s">
        <v>941</v>
      </c>
      <c r="D23" s="644">
        <f>Sales!I5</f>
        <v>-7.8189537903458999E-3</v>
      </c>
      <c r="E23" s="642"/>
      <c r="F23" s="622"/>
      <c r="G23" s="637"/>
    </row>
    <row r="24" spans="1:10">
      <c r="B24" s="629" t="s">
        <v>872</v>
      </c>
      <c r="C24" s="630" t="s">
        <v>881</v>
      </c>
      <c r="D24" s="644">
        <f>'P&amp;L'!I53</f>
        <v>0</v>
      </c>
      <c r="E24" s="642">
        <f>('MS vs Consensus'!O13/'MS vs Consensus'!N13-1)-D25</f>
        <v>-5.5040881621107873E-3</v>
      </c>
      <c r="F24" s="622"/>
      <c r="G24" s="637"/>
    </row>
    <row r="25" spans="1:10">
      <c r="B25" s="625" t="s">
        <v>888</v>
      </c>
      <c r="C25" s="628" t="s">
        <v>898</v>
      </c>
      <c r="D25" s="634">
        <f>'P&amp;L'!I54</f>
        <v>-1.0549010549010585E-2</v>
      </c>
      <c r="E25" s="635"/>
      <c r="F25" s="622"/>
      <c r="G25" s="637"/>
    </row>
    <row r="26" spans="1:10">
      <c r="B26" s="631" t="s">
        <v>886</v>
      </c>
      <c r="C26" s="632"/>
      <c r="D26" s="632"/>
      <c r="E26" s="633"/>
      <c r="F26" s="622"/>
      <c r="G26" s="637"/>
    </row>
    <row r="27" spans="1:10">
      <c r="B27" s="629" t="s">
        <v>883</v>
      </c>
      <c r="C27" s="630" t="s">
        <v>884</v>
      </c>
      <c r="D27" s="634">
        <f>'P&amp;L'!I120</f>
        <v>0.15290792800832961</v>
      </c>
      <c r="E27" s="635"/>
      <c r="F27" s="622"/>
      <c r="G27" s="637"/>
    </row>
    <row r="28" spans="1:10" s="645" customFormat="1" ht="31.5">
      <c r="B28" s="629" t="s">
        <v>885</v>
      </c>
      <c r="C28" s="630" t="s">
        <v>887</v>
      </c>
      <c r="D28" s="634">
        <f>'P&amp;L'!I104/'P&amp;L'!H104-1</f>
        <v>0.17636684303350969</v>
      </c>
      <c r="E28" s="636"/>
      <c r="G28" s="636"/>
    </row>
    <row r="29" spans="1:10">
      <c r="B29" s="645" t="s">
        <v>900</v>
      </c>
      <c r="C29" s="630" t="s">
        <v>899</v>
      </c>
      <c r="D29" s="636">
        <f>'P&amp;L'!I107</f>
        <v>-738</v>
      </c>
      <c r="F29" s="622"/>
      <c r="G29" s="637"/>
    </row>
    <row r="30" spans="1:10">
      <c r="B30" s="638" t="s">
        <v>882</v>
      </c>
      <c r="C30" s="639"/>
      <c r="D30" s="639"/>
      <c r="E30" s="639"/>
      <c r="F30" s="622"/>
      <c r="G30" s="637"/>
    </row>
    <row r="31" spans="1:10">
      <c r="B31" s="640" t="s">
        <v>829</v>
      </c>
      <c r="C31" s="630" t="s">
        <v>1477</v>
      </c>
      <c r="D31" s="641">
        <f>Sales!I36</f>
        <v>0.02</v>
      </c>
      <c r="E31" s="642">
        <f>('MS vs Consensus'!O4/'MS vs Consensus'!N4-1)-$D$23</f>
        <v>1.5251842788441588E-2</v>
      </c>
      <c r="F31" s="622"/>
      <c r="G31" s="637"/>
    </row>
    <row r="32" spans="1:10">
      <c r="B32" s="640" t="s">
        <v>71</v>
      </c>
      <c r="C32" s="630" t="s">
        <v>940</v>
      </c>
      <c r="D32" s="641">
        <f>Sales!I504</f>
        <v>-0.02</v>
      </c>
      <c r="E32" s="642">
        <f>('MS vs Consensus'!O5/'MS vs Consensus'!N5-1)-$D$23</f>
        <v>1.0182441510791888E-3</v>
      </c>
      <c r="F32" s="622"/>
      <c r="G32" s="637"/>
    </row>
    <row r="33" spans="1:8">
      <c r="B33" s="640" t="s">
        <v>59</v>
      </c>
      <c r="C33" s="630" t="s">
        <v>897</v>
      </c>
      <c r="D33" s="641">
        <f>Sales!I426</f>
        <v>0.04</v>
      </c>
      <c r="E33" s="642">
        <f>('MS vs Consensus'!O6/'MS vs Consensus'!N6-1)-$D$23</f>
        <v>3.7913536765410413E-2</v>
      </c>
      <c r="F33" s="622"/>
      <c r="G33" s="637"/>
    </row>
    <row r="34" spans="1:8">
      <c r="B34" s="640" t="s">
        <v>51</v>
      </c>
      <c r="C34" s="630" t="s">
        <v>889</v>
      </c>
      <c r="D34" s="643">
        <f>Sales!I319</f>
        <v>507</v>
      </c>
      <c r="E34" s="643">
        <f>'MS vs Consensus'!O25</f>
        <v>481</v>
      </c>
      <c r="F34" s="622"/>
      <c r="G34" s="637"/>
    </row>
    <row r="35" spans="1:8">
      <c r="C35" s="637"/>
      <c r="D35" s="622"/>
      <c r="G35" s="637"/>
    </row>
    <row r="36" spans="1:8">
      <c r="D36" s="622"/>
      <c r="E36" s="622"/>
      <c r="F36" s="622"/>
      <c r="G36" s="637"/>
    </row>
    <row r="37" spans="1:8">
      <c r="B37" s="640"/>
      <c r="C37" s="640"/>
      <c r="D37" s="630"/>
      <c r="G37" s="637"/>
    </row>
    <row r="38" spans="1:8">
      <c r="D38" s="630"/>
      <c r="G38" s="637"/>
    </row>
    <row r="39" spans="1:8">
      <c r="D39" s="630"/>
      <c r="E39" s="622"/>
      <c r="F39" s="622"/>
      <c r="G39" s="637"/>
      <c r="H39" s="646"/>
    </row>
    <row r="40" spans="1:8">
      <c r="D40" s="622"/>
      <c r="E40" s="622"/>
      <c r="F40" s="622"/>
      <c r="G40" s="637"/>
    </row>
    <row r="41" spans="1:8" s="620" customFormat="1">
      <c r="A41" s="620">
        <v>2016</v>
      </c>
      <c r="D41" s="621"/>
      <c r="E41" s="621"/>
      <c r="F41" s="621"/>
      <c r="G41" s="621"/>
    </row>
    <row r="42" spans="1:8">
      <c r="G42" s="637"/>
    </row>
    <row r="43" spans="1:8">
      <c r="G43" s="637"/>
    </row>
    <row r="44" spans="1:8" ht="31.5">
      <c r="B44" s="623">
        <v>2016</v>
      </c>
      <c r="C44" s="623"/>
      <c r="D44" s="624" t="s">
        <v>800</v>
      </c>
      <c r="E44" s="624" t="s">
        <v>488</v>
      </c>
      <c r="F44" s="624" t="s">
        <v>489</v>
      </c>
      <c r="G44" s="637"/>
    </row>
    <row r="45" spans="1:8" ht="31.5">
      <c r="B45" s="625" t="s">
        <v>625</v>
      </c>
      <c r="C45" s="625"/>
      <c r="D45" s="626" t="s">
        <v>801</v>
      </c>
      <c r="E45" s="644">
        <f>Sales!H4</f>
        <v>0</v>
      </c>
      <c r="F45" s="644"/>
      <c r="G45" s="637"/>
    </row>
    <row r="46" spans="1:8" ht="63">
      <c r="B46" s="647" t="s">
        <v>626</v>
      </c>
      <c r="C46" s="647"/>
      <c r="D46" s="648" t="s">
        <v>869</v>
      </c>
      <c r="E46" s="649">
        <f>'P&amp;L'!H53</f>
        <v>-0.02</v>
      </c>
      <c r="F46" s="649"/>
      <c r="G46" s="637"/>
    </row>
    <row r="47" spans="1:8">
      <c r="G47" s="637"/>
    </row>
    <row r="48" spans="1:8">
      <c r="G48" s="637"/>
    </row>
    <row r="49" spans="1:8">
      <c r="G49" s="637"/>
    </row>
    <row r="50" spans="1:8">
      <c r="G50" s="637"/>
    </row>
    <row r="51" spans="1:8">
      <c r="G51" s="637"/>
    </row>
    <row r="52" spans="1:8">
      <c r="D52" s="622"/>
      <c r="E52" s="622"/>
      <c r="F52" s="622"/>
      <c r="G52" s="637"/>
      <c r="H52" s="646"/>
    </row>
    <row r="53" spans="1:8">
      <c r="D53" s="622"/>
      <c r="E53" s="622"/>
      <c r="F53" s="622"/>
      <c r="G53" s="637"/>
    </row>
    <row r="54" spans="1:8" s="620" customFormat="1">
      <c r="A54" s="620">
        <v>2015</v>
      </c>
      <c r="D54" s="621"/>
      <c r="E54" s="621"/>
      <c r="F54" s="621"/>
      <c r="G54" s="621"/>
    </row>
    <row r="55" spans="1:8">
      <c r="B55" s="650"/>
      <c r="C55" s="650"/>
      <c r="G55" s="637"/>
    </row>
    <row r="56" spans="1:8">
      <c r="B56" s="651">
        <v>2015</v>
      </c>
      <c r="C56" s="651"/>
      <c r="D56" s="652" t="s">
        <v>487</v>
      </c>
      <c r="E56" s="652" t="s">
        <v>488</v>
      </c>
      <c r="F56" s="652" t="s">
        <v>489</v>
      </c>
      <c r="G56" s="637"/>
    </row>
    <row r="57" spans="1:8" ht="31.5">
      <c r="B57" s="622" t="s">
        <v>490</v>
      </c>
      <c r="D57" s="637" t="s">
        <v>491</v>
      </c>
      <c r="E57" s="641">
        <f>Sales!G4</f>
        <v>0.05</v>
      </c>
      <c r="F57" s="653"/>
      <c r="G57" s="637"/>
    </row>
    <row r="58" spans="1:8" ht="31.5">
      <c r="B58" s="622" t="s">
        <v>493</v>
      </c>
      <c r="D58" s="637" t="s">
        <v>492</v>
      </c>
      <c r="E58" s="641">
        <f>'P&amp;L'!G53</f>
        <v>0.1</v>
      </c>
      <c r="F58" s="654"/>
      <c r="G58" s="637"/>
    </row>
    <row r="59" spans="1:8">
      <c r="G59" s="637"/>
    </row>
    <row r="60" spans="1:8">
      <c r="B60" s="650" t="s">
        <v>621</v>
      </c>
      <c r="C60" s="650"/>
      <c r="D60" s="641">
        <v>-0.1</v>
      </c>
      <c r="E60" s="641"/>
      <c r="G60" s="637"/>
    </row>
    <row r="61" spans="1:8">
      <c r="B61" s="650" t="s">
        <v>622</v>
      </c>
      <c r="C61" s="650"/>
      <c r="D61" s="641">
        <v>-0.14000000000000001</v>
      </c>
      <c r="E61" s="641"/>
      <c r="G61" s="637"/>
    </row>
    <row r="62" spans="1:8">
      <c r="B62" s="650"/>
      <c r="C62" s="650"/>
      <c r="G62" s="637"/>
    </row>
    <row r="63" spans="1:8">
      <c r="B63" s="650" t="s">
        <v>623</v>
      </c>
      <c r="C63" s="650"/>
      <c r="D63" s="641">
        <v>-7.0000000000000007E-2</v>
      </c>
      <c r="G63" s="637"/>
    </row>
    <row r="64" spans="1:8">
      <c r="B64" s="650" t="s">
        <v>624</v>
      </c>
      <c r="C64" s="650"/>
      <c r="D64" s="641">
        <v>-0.13</v>
      </c>
      <c r="G64" s="637"/>
    </row>
    <row r="65" spans="2:16">
      <c r="D65" s="622"/>
      <c r="G65" s="637"/>
    </row>
    <row r="66" spans="2:16">
      <c r="D66" s="622"/>
      <c r="G66" s="637"/>
    </row>
    <row r="67" spans="2:16">
      <c r="B67" s="650"/>
      <c r="C67" s="650"/>
    </row>
    <row r="68" spans="2:16">
      <c r="B68" s="650"/>
      <c r="C68" s="650"/>
    </row>
    <row r="69" spans="2:16">
      <c r="B69" s="650"/>
      <c r="C69" s="650"/>
    </row>
    <row r="70" spans="2:16">
      <c r="B70" s="650"/>
      <c r="C70" s="650"/>
    </row>
    <row r="71" spans="2:16">
      <c r="B71" s="650"/>
      <c r="C71" s="650"/>
    </row>
    <row r="72" spans="2:16">
      <c r="B72" s="650"/>
      <c r="C72" s="650"/>
      <c r="N72" s="655"/>
    </row>
    <row r="73" spans="2:16">
      <c r="B73" s="650"/>
      <c r="C73" s="650"/>
      <c r="N73" s="655"/>
    </row>
    <row r="74" spans="2:16">
      <c r="B74" s="650"/>
      <c r="C74" s="650"/>
      <c r="N74" s="655"/>
    </row>
    <row r="75" spans="2:16">
      <c r="B75" s="650"/>
      <c r="C75" s="650"/>
      <c r="N75" s="655"/>
      <c r="O75" s="656"/>
      <c r="P75" s="656"/>
    </row>
    <row r="76" spans="2:16">
      <c r="B76" s="650"/>
      <c r="C76" s="650"/>
      <c r="N76" s="655"/>
    </row>
    <row r="77" spans="2:16">
      <c r="N77" s="655"/>
    </row>
  </sheetData>
  <pageMargins left="0" right="0" top="0" bottom="0" header="0" footer="0"/>
  <pageSetup paperSize="5" scale="48" orientation="landscape" r:id="rId1"/>
  <drawing r:id="rId2"/>
  <webPublishItems count="1">
    <webPublishItem id="26005" divId="MS_Novartis_26005" sourceType="range" sourceRef="B52:E53" destinationFile="C:\Users\meunier\AppData\Local\Temp\ExcelPreview\me-20160421170816U9028064432830SE.html"/>
  </webPublishItem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sheetPr>
  <dimension ref="A1:AL289"/>
  <sheetViews>
    <sheetView zoomScale="70" zoomScaleNormal="70" workbookViewId="0">
      <selection activeCell="A32" sqref="A32"/>
    </sheetView>
  </sheetViews>
  <sheetFormatPr defaultColWidth="8" defaultRowHeight="16.5" outlineLevelCol="1"/>
  <cols>
    <col min="1" max="1" width="40.28515625" style="1098" bestFit="1" customWidth="1"/>
    <col min="2" max="2" width="15" style="1128" bestFit="1" customWidth="1"/>
    <col min="3" max="3" width="8.28515625" style="1098" customWidth="1"/>
    <col min="4" max="4" width="11.7109375" style="1098" bestFit="1" customWidth="1"/>
    <col min="5" max="5" width="9.42578125" style="1098" customWidth="1"/>
    <col min="6" max="10" width="10" style="1098" customWidth="1"/>
    <col min="11" max="12" width="10" style="1098" hidden="1" customWidth="1" outlineLevel="1"/>
    <col min="13" max="13" width="13.42578125" style="1098" customWidth="1" collapsed="1"/>
    <col min="14" max="14" width="1.85546875" style="1098" customWidth="1"/>
    <col min="15" max="15" width="0.5703125" style="1098" customWidth="1"/>
    <col min="16" max="16" width="12.42578125" style="1098" bestFit="1" customWidth="1"/>
    <col min="17" max="17" width="1.85546875" style="1098" customWidth="1"/>
    <col min="18" max="18" width="8.7109375" style="1098" bestFit="1" customWidth="1"/>
    <col min="19" max="19" width="54.140625" style="1098" customWidth="1"/>
    <col min="20" max="20" width="5" style="1098" customWidth="1"/>
    <col min="21" max="21" width="9.7109375" style="1098" customWidth="1"/>
    <col min="22" max="22" width="6.85546875" style="1098" bestFit="1" customWidth="1"/>
    <col min="23" max="26" width="5" style="1098" customWidth="1"/>
    <col min="27" max="28" width="4.85546875" style="1098" customWidth="1"/>
    <col min="29" max="29" width="12.85546875" style="1098" customWidth="1"/>
    <col min="30" max="37" width="6.28515625" style="1098" customWidth="1"/>
    <col min="38" max="16384" width="8" style="1098"/>
  </cols>
  <sheetData>
    <row r="1" spans="1:38" ht="33" customHeight="1">
      <c r="A1" s="1093" t="s">
        <v>12</v>
      </c>
      <c r="B1" s="1094" t="s">
        <v>952</v>
      </c>
      <c r="C1" s="1093"/>
      <c r="D1" s="1095">
        <v>2015</v>
      </c>
      <c r="E1" s="1095">
        <v>2016</v>
      </c>
      <c r="F1" s="1095">
        <v>2017</v>
      </c>
      <c r="G1" s="1096">
        <f t="shared" ref="G1:L1" si="0">F1+1</f>
        <v>2018</v>
      </c>
      <c r="H1" s="1096">
        <f t="shared" si="0"/>
        <v>2019</v>
      </c>
      <c r="I1" s="1096">
        <f t="shared" si="0"/>
        <v>2020</v>
      </c>
      <c r="J1" s="1096">
        <f t="shared" si="0"/>
        <v>2021</v>
      </c>
      <c r="K1" s="1096">
        <f t="shared" si="0"/>
        <v>2022</v>
      </c>
      <c r="L1" s="1096">
        <f t="shared" si="0"/>
        <v>2023</v>
      </c>
      <c r="M1" s="1097" t="s">
        <v>949</v>
      </c>
      <c r="P1" s="1097" t="s">
        <v>950</v>
      </c>
      <c r="R1" s="1097" t="s">
        <v>521</v>
      </c>
      <c r="S1" s="1094" t="s">
        <v>951</v>
      </c>
      <c r="T1" s="519"/>
      <c r="U1" s="1094" t="s">
        <v>1462</v>
      </c>
      <c r="V1" s="1094" t="s">
        <v>18</v>
      </c>
      <c r="W1" s="519"/>
      <c r="X1" s="519"/>
      <c r="Y1" s="520"/>
      <c r="Z1" s="520"/>
      <c r="AA1" s="520"/>
      <c r="AB1" s="520"/>
      <c r="AC1" s="520"/>
      <c r="AD1" s="520"/>
      <c r="AE1" s="520"/>
      <c r="AF1" s="520"/>
      <c r="AG1" s="520"/>
      <c r="AH1" s="519"/>
      <c r="AI1" s="519"/>
      <c r="AJ1" s="519"/>
      <c r="AK1" s="519"/>
      <c r="AL1" s="519"/>
    </row>
    <row r="2" spans="1:38">
      <c r="A2" s="1099" t="s">
        <v>523</v>
      </c>
      <c r="B2" s="1100"/>
      <c r="C2" s="1099"/>
      <c r="D2" s="1101"/>
      <c r="E2" s="1101"/>
      <c r="F2" s="1101"/>
      <c r="G2" s="1101"/>
      <c r="H2" s="1101"/>
      <c r="I2" s="1101"/>
      <c r="J2" s="1101"/>
      <c r="K2" s="1101"/>
      <c r="L2" s="1101"/>
      <c r="M2" s="521"/>
      <c r="P2" s="521"/>
      <c r="R2" s="521" t="s">
        <v>953</v>
      </c>
      <c r="S2" s="1100"/>
      <c r="T2" s="519"/>
      <c r="U2" s="1100" t="s">
        <v>672</v>
      </c>
      <c r="V2" s="1100"/>
      <c r="W2" s="519"/>
      <c r="X2" s="519"/>
      <c r="Y2" s="520"/>
      <c r="Z2" s="520"/>
      <c r="AA2" s="520"/>
      <c r="AB2" s="520"/>
      <c r="AC2" s="520"/>
      <c r="AD2" s="520"/>
      <c r="AE2" s="520"/>
      <c r="AF2" s="520"/>
      <c r="AG2" s="520"/>
      <c r="AH2" s="519"/>
      <c r="AI2" s="519"/>
      <c r="AJ2" s="519"/>
      <c r="AK2" s="519"/>
      <c r="AL2" s="519"/>
    </row>
    <row r="3" spans="1:38" ht="16.5" customHeight="1">
      <c r="B3" s="1098"/>
    </row>
    <row r="4" spans="1:38" ht="16.5" customHeight="1">
      <c r="A4" s="1102" t="s">
        <v>51</v>
      </c>
      <c r="B4" s="1103">
        <f>B5</f>
        <v>0.4</v>
      </c>
      <c r="C4" s="523" t="s">
        <v>399</v>
      </c>
      <c r="D4" s="1104">
        <f>D5</f>
        <v>21</v>
      </c>
      <c r="E4" s="1104">
        <f>E5</f>
        <v>170</v>
      </c>
      <c r="F4" s="1104">
        <f>F5</f>
        <v>507</v>
      </c>
      <c r="G4" s="1104">
        <f ca="1">G5*(1+$P4*1/3*YEARFRAC(NOW(),"31/12/2018"))</f>
        <v>1082.2759999999998</v>
      </c>
      <c r="H4" s="1104">
        <f>H5*(1+$P4*1/3)</f>
        <v>1676.1419999999998</v>
      </c>
      <c r="I4" s="1104">
        <f>I5*(1+$P4*2/3)</f>
        <v>2739.1688999999997</v>
      </c>
      <c r="J4" s="1104">
        <f t="shared" ref="J4:L4" si="1">J5*(1+$P4)</f>
        <v>4019.4326249999995</v>
      </c>
      <c r="K4" s="1104">
        <f t="shared" si="1"/>
        <v>4421.3758874999994</v>
      </c>
      <c r="L4" s="1104">
        <f t="shared" si="1"/>
        <v>4642.4446818749993</v>
      </c>
      <c r="M4" s="1105">
        <f>(J4-J5)*B4/'P&amp;L'!$M$50</f>
        <v>4.1227389043198948E-2</v>
      </c>
      <c r="P4" s="1106">
        <v>0.8</v>
      </c>
      <c r="R4" s="1107">
        <f>(J4/F4)^(1/4)-1</f>
        <v>0.67798934381983433</v>
      </c>
      <c r="S4" s="1108" t="s">
        <v>548</v>
      </c>
      <c r="T4" s="519"/>
      <c r="U4" s="1109">
        <f ca="1">(SUM(G4:L4)/SUM(G5:L5))*U5</f>
        <v>7.7778020604348201</v>
      </c>
      <c r="V4" s="519"/>
      <c r="W4" s="519"/>
      <c r="X4" s="519"/>
      <c r="Y4" s="519"/>
      <c r="Z4" s="519"/>
      <c r="AA4" s="519"/>
      <c r="AB4" s="519"/>
      <c r="AC4" s="519"/>
      <c r="AD4" s="519"/>
      <c r="AE4" s="519"/>
      <c r="AF4" s="519"/>
      <c r="AG4" s="519"/>
      <c r="AH4" s="519"/>
      <c r="AI4" s="519"/>
      <c r="AJ4" s="519"/>
      <c r="AK4" s="519"/>
      <c r="AL4" s="519"/>
    </row>
    <row r="5" spans="1:38" ht="16.5" customHeight="1">
      <c r="A5" s="1110" t="s">
        <v>542</v>
      </c>
      <c r="B5" s="1111">
        <v>0.4</v>
      </c>
      <c r="C5" s="1102" t="s">
        <v>398</v>
      </c>
      <c r="D5" s="1112">
        <f>Sales!G319</f>
        <v>21</v>
      </c>
      <c r="E5" s="1112">
        <f>Sales!H319</f>
        <v>170</v>
      </c>
      <c r="F5" s="1112">
        <f>Sales!I319</f>
        <v>507</v>
      </c>
      <c r="G5" s="1112">
        <f>Sales!J319</f>
        <v>912.6</v>
      </c>
      <c r="H5" s="1112">
        <f>Sales!K319</f>
        <v>1323.27</v>
      </c>
      <c r="I5" s="1112">
        <f>Sales!L319</f>
        <v>1786.4144999999999</v>
      </c>
      <c r="J5" s="1112">
        <f>Sales!M319</f>
        <v>2233.0181249999996</v>
      </c>
      <c r="K5" s="1112">
        <f>Sales!N319</f>
        <v>2456.3199374999995</v>
      </c>
      <c r="L5" s="1112">
        <f>Sales!O319</f>
        <v>2579.1359343749996</v>
      </c>
      <c r="M5" s="1105"/>
      <c r="R5" s="1113">
        <f>(J5/F5)^(1/4)-1</f>
        <v>0.44867535595280383</v>
      </c>
      <c r="S5" s="1108" t="s">
        <v>810</v>
      </c>
      <c r="T5" s="519"/>
      <c r="U5" s="1114">
        <f ca="1">OFFSET(NPV!$A$32,MATCH($A4,NPV!$A$32:$A$1955,FALSE)+12,1)</f>
        <v>4.7262278914639255</v>
      </c>
      <c r="V5" s="1115">
        <f ca="1">U5/NPV!$D$29</f>
        <v>5.1807135355203739E-2</v>
      </c>
      <c r="W5" s="519"/>
      <c r="X5" s="519"/>
      <c r="Y5" s="519"/>
      <c r="Z5" s="519"/>
      <c r="AA5" s="519"/>
      <c r="AB5" s="519"/>
      <c r="AC5" s="519"/>
      <c r="AD5" s="519"/>
      <c r="AE5" s="519"/>
      <c r="AF5" s="519"/>
      <c r="AG5" s="519"/>
      <c r="AH5" s="519"/>
      <c r="AI5" s="519"/>
      <c r="AJ5" s="519"/>
      <c r="AK5" s="519"/>
      <c r="AL5" s="519"/>
    </row>
    <row r="6" spans="1:38" ht="16.5" customHeight="1">
      <c r="A6" s="1102"/>
      <c r="B6" s="1103">
        <f>B5</f>
        <v>0.4</v>
      </c>
      <c r="C6" s="523" t="s">
        <v>397</v>
      </c>
      <c r="D6" s="1104">
        <f>D5</f>
        <v>21</v>
      </c>
      <c r="E6" s="1104">
        <f>E5</f>
        <v>170</v>
      </c>
      <c r="F6" s="1104">
        <f>F5</f>
        <v>507</v>
      </c>
      <c r="G6" s="1104">
        <f ca="1">G5*(1+$P6*1/3*YEARFRAC(NOW(),"31/12/2018"))</f>
        <v>806.55250000000001</v>
      </c>
      <c r="H6" s="1104">
        <f>H5*(1+$P6*1/3)</f>
        <v>1102.7250000000001</v>
      </c>
      <c r="I6" s="1104">
        <f>I5*(1+$P6*2/3)</f>
        <v>1190.943</v>
      </c>
      <c r="J6" s="1104">
        <f t="shared" ref="J6:L6" si="2">J5*(1+$P6)</f>
        <v>1116.5090624999998</v>
      </c>
      <c r="K6" s="1104">
        <f t="shared" si="2"/>
        <v>1228.1599687499997</v>
      </c>
      <c r="L6" s="1104">
        <f t="shared" si="2"/>
        <v>1289.5679671874998</v>
      </c>
      <c r="M6" s="1105">
        <f>(J6-J5)*B6/'P&amp;L'!$M$50</f>
        <v>-2.5767118151999342E-2</v>
      </c>
      <c r="P6" s="1116">
        <v>-0.5</v>
      </c>
      <c r="R6" s="1107">
        <f>(J6/F6)^(1/4)-1</f>
        <v>0.21818591368711182</v>
      </c>
      <c r="S6" s="1117" t="s">
        <v>408</v>
      </c>
      <c r="T6" s="519"/>
      <c r="U6" s="1109">
        <f ca="1">(SUM(G6:L6)/SUM(G5:L5))*U5</f>
        <v>2.8189940358571173</v>
      </c>
      <c r="V6" s="519"/>
      <c r="W6" s="519"/>
      <c r="X6" s="519"/>
      <c r="Y6" s="519"/>
      <c r="Z6" s="519"/>
      <c r="AA6" s="519"/>
      <c r="AB6" s="519"/>
      <c r="AC6" s="519"/>
      <c r="AD6" s="519"/>
      <c r="AE6" s="519"/>
      <c r="AF6" s="519"/>
      <c r="AG6" s="519"/>
      <c r="AH6" s="519"/>
      <c r="AI6" s="519"/>
      <c r="AJ6" s="519"/>
      <c r="AK6" s="519"/>
      <c r="AL6" s="519"/>
    </row>
    <row r="7" spans="1:38" ht="7.5" customHeight="1">
      <c r="A7" s="1102"/>
      <c r="B7" s="1118"/>
      <c r="C7" s="523"/>
      <c r="D7" s="1119"/>
      <c r="E7" s="1119"/>
      <c r="F7" s="1119"/>
      <c r="G7" s="1119"/>
      <c r="H7" s="1119"/>
      <c r="I7" s="1119"/>
      <c r="J7" s="1119"/>
      <c r="K7" s="1119"/>
      <c r="L7" s="1119"/>
      <c r="S7" s="1120"/>
      <c r="T7" s="519"/>
      <c r="U7" s="519"/>
      <c r="V7" s="519"/>
      <c r="W7" s="519"/>
      <c r="X7" s="522"/>
      <c r="Y7" s="519"/>
      <c r="Z7" s="519"/>
      <c r="AA7" s="519"/>
      <c r="AB7" s="519"/>
      <c r="AC7" s="519"/>
      <c r="AD7" s="519"/>
      <c r="AE7" s="519"/>
      <c r="AF7" s="519"/>
      <c r="AG7" s="519"/>
      <c r="AH7" s="519"/>
      <c r="AI7" s="519"/>
      <c r="AJ7" s="519"/>
      <c r="AK7" s="519"/>
      <c r="AL7" s="519"/>
    </row>
    <row r="8" spans="1:38" ht="16.5" customHeight="1">
      <c r="A8" s="1102" t="s">
        <v>41</v>
      </c>
      <c r="B8" s="1103">
        <f>B9</f>
        <v>0.4</v>
      </c>
      <c r="C8" s="523" t="s">
        <v>399</v>
      </c>
      <c r="D8" s="1104">
        <f>D9</f>
        <v>261</v>
      </c>
      <c r="E8" s="1104">
        <f>E9</f>
        <v>1128</v>
      </c>
      <c r="F8" s="1104">
        <f>F9</f>
        <v>2071</v>
      </c>
      <c r="G8" s="1104">
        <f ca="1">G9*(1+$P8*1/3*YEARFRAC(NOW(),"31/12/2018"))</f>
        <v>2966.7842037037035</v>
      </c>
      <c r="H8" s="1104">
        <f>H9*(1+$P8*1/3)</f>
        <v>3745.0583333333338</v>
      </c>
      <c r="I8" s="1104">
        <f>I9*(1+$P8*2/3)</f>
        <v>4639.04</v>
      </c>
      <c r="J8" s="1104">
        <f t="shared" ref="J8:L8" si="3">J9*(1+$P8)</f>
        <v>5501.6115000000009</v>
      </c>
      <c r="K8" s="1104">
        <f t="shared" si="3"/>
        <v>6051.7726500000008</v>
      </c>
      <c r="L8" s="1104">
        <f t="shared" si="3"/>
        <v>6354.3612825</v>
      </c>
      <c r="M8" s="1105">
        <f>(J8-J9)*B8/'P&amp;L'!$M$50</f>
        <v>1.1542525172122335E-2</v>
      </c>
      <c r="P8" s="1106">
        <v>0.1</v>
      </c>
      <c r="R8" s="1107">
        <f>(J8/F8)^(1/4)-1</f>
        <v>0.27666647797888411</v>
      </c>
      <c r="S8" s="1117" t="s">
        <v>412</v>
      </c>
      <c r="T8" s="1121"/>
      <c r="U8" s="1109">
        <f ca="1">(SUM(G8:L8)/SUM(G9:L9))*U9</f>
        <v>11.481451104728905</v>
      </c>
      <c r="V8" s="519"/>
      <c r="W8" s="519"/>
      <c r="X8" s="519"/>
      <c r="Y8" s="519"/>
      <c r="Z8" s="519"/>
      <c r="AA8" s="519"/>
      <c r="AB8" s="519"/>
      <c r="AC8" s="519"/>
      <c r="AD8" s="519"/>
      <c r="AE8" s="519"/>
      <c r="AF8" s="519"/>
      <c r="AG8" s="519"/>
      <c r="AH8" s="519"/>
      <c r="AI8" s="519"/>
      <c r="AJ8" s="519"/>
      <c r="AK8" s="519"/>
      <c r="AL8" s="519"/>
    </row>
    <row r="9" spans="1:38" ht="16.5" customHeight="1">
      <c r="A9" s="1110" t="s">
        <v>411</v>
      </c>
      <c r="B9" s="1111">
        <v>0.4</v>
      </c>
      <c r="C9" s="1102" t="s">
        <v>398</v>
      </c>
      <c r="D9" s="1112">
        <f>Sales!G268</f>
        <v>261</v>
      </c>
      <c r="E9" s="1112">
        <f>Sales!H268</f>
        <v>1128</v>
      </c>
      <c r="F9" s="1112">
        <f>Sales!I268</f>
        <v>2071</v>
      </c>
      <c r="G9" s="1112">
        <f>Sales!J268</f>
        <v>2899.4</v>
      </c>
      <c r="H9" s="1112">
        <f>Sales!K268</f>
        <v>3624.25</v>
      </c>
      <c r="I9" s="1112">
        <f>Sales!L268</f>
        <v>4349.1000000000004</v>
      </c>
      <c r="J9" s="1112">
        <f>Sales!M268</f>
        <v>5001.4650000000001</v>
      </c>
      <c r="K9" s="1112">
        <f>Sales!N268</f>
        <v>5501.6115</v>
      </c>
      <c r="L9" s="1112">
        <f>Sales!O268</f>
        <v>5776.6920749999999</v>
      </c>
      <c r="M9" s="1105"/>
      <c r="R9" s="1113">
        <f>(J9/F9)^(1/4)-1</f>
        <v>0.24660620357513285</v>
      </c>
      <c r="S9" s="1117" t="s">
        <v>799</v>
      </c>
      <c r="T9" s="519"/>
      <c r="U9" s="1114">
        <f ca="1">OFFSET(NPV!$A$32,MATCH($A8,NPV!$A$32:$A$1955,FALSE)+12,1)</f>
        <v>10.654987469463308</v>
      </c>
      <c r="V9" s="1115">
        <f ca="1">U9/NPV!$D$29</f>
        <v>0.11679597148403792</v>
      </c>
      <c r="W9" s="519"/>
      <c r="X9" s="519"/>
      <c r="Y9" s="519"/>
      <c r="Z9" s="519"/>
      <c r="AA9" s="519"/>
      <c r="AB9" s="519"/>
      <c r="AC9" s="519"/>
      <c r="AD9" s="519"/>
      <c r="AE9" s="519"/>
      <c r="AF9" s="519"/>
      <c r="AG9" s="519"/>
      <c r="AH9" s="519"/>
      <c r="AI9" s="519"/>
      <c r="AJ9" s="519"/>
      <c r="AK9" s="519"/>
      <c r="AL9" s="519"/>
    </row>
    <row r="10" spans="1:38" ht="16.5" customHeight="1">
      <c r="A10" s="1102"/>
      <c r="B10" s="1103">
        <f>B9</f>
        <v>0.4</v>
      </c>
      <c r="C10" s="523" t="s">
        <v>397</v>
      </c>
      <c r="D10" s="1104">
        <f>D9</f>
        <v>261</v>
      </c>
      <c r="E10" s="1104">
        <f>E9</f>
        <v>1128</v>
      </c>
      <c r="F10" s="1104">
        <f>F9</f>
        <v>2071</v>
      </c>
      <c r="G10" s="1104">
        <f ca="1">G9*(1+$P10*1/3*YEARFRAC(NOW(),"31/12/2018"))</f>
        <v>2663.555287037037</v>
      </c>
      <c r="H10" s="1104">
        <f>H9*(1+$P10*1/3)</f>
        <v>3201.4208333333331</v>
      </c>
      <c r="I10" s="1104">
        <f>I9*(1+$P10*2/3)</f>
        <v>3334.3100000000004</v>
      </c>
      <c r="J10" s="1104">
        <f t="shared" ref="J10:L10" si="4">J9*(1+$P10)</f>
        <v>3250.9522500000003</v>
      </c>
      <c r="K10" s="1104">
        <f t="shared" si="4"/>
        <v>3576.0474750000003</v>
      </c>
      <c r="L10" s="1104">
        <f t="shared" si="4"/>
        <v>3754.8498487500001</v>
      </c>
      <c r="M10" s="1105">
        <f>(J10-J9)*B10/'P&amp;L'!$M$50</f>
        <v>-4.0398838102428114E-2</v>
      </c>
      <c r="P10" s="1116">
        <v>-0.35</v>
      </c>
      <c r="R10" s="1107">
        <f>(J10/F10)^(1/4)-1</f>
        <v>0.11932865762559675</v>
      </c>
      <c r="S10" s="1117" t="s">
        <v>549</v>
      </c>
      <c r="T10" s="519"/>
      <c r="U10" s="1109">
        <f ca="1">(SUM(G10:L10)/SUM(G9:L9))*U9</f>
        <v>7.7623647460337262</v>
      </c>
      <c r="V10" s="519"/>
      <c r="W10" s="519"/>
      <c r="X10" s="519"/>
      <c r="Y10" s="519"/>
      <c r="Z10" s="519"/>
      <c r="AA10" s="519"/>
      <c r="AB10" s="519"/>
      <c r="AC10" s="519"/>
      <c r="AD10" s="519"/>
      <c r="AE10" s="519"/>
      <c r="AF10" s="519"/>
      <c r="AG10" s="519"/>
      <c r="AH10" s="519"/>
      <c r="AI10" s="519"/>
      <c r="AJ10" s="519"/>
      <c r="AK10" s="519"/>
      <c r="AL10" s="519"/>
    </row>
    <row r="11" spans="1:38" ht="7.5" customHeight="1">
      <c r="A11" s="1102"/>
      <c r="B11" s="1118"/>
      <c r="C11" s="523"/>
      <c r="D11" s="1119"/>
      <c r="E11" s="1119"/>
      <c r="F11" s="1119"/>
      <c r="G11" s="1119"/>
      <c r="H11" s="1119"/>
      <c r="I11" s="1119"/>
      <c r="J11" s="1119"/>
      <c r="K11" s="1119"/>
      <c r="L11" s="1119"/>
      <c r="S11" s="1117"/>
      <c r="T11" s="519"/>
      <c r="U11" s="519"/>
      <c r="V11" s="519"/>
      <c r="W11" s="519"/>
      <c r="X11" s="519"/>
      <c r="Y11" s="519"/>
      <c r="Z11" s="519"/>
      <c r="AA11" s="519"/>
      <c r="AB11" s="519"/>
      <c r="AC11" s="519"/>
      <c r="AD11" s="519"/>
      <c r="AE11" s="519"/>
      <c r="AF11" s="519"/>
      <c r="AG11" s="519"/>
      <c r="AH11" s="519"/>
      <c r="AI11" s="519"/>
      <c r="AJ11" s="519"/>
      <c r="AK11" s="519"/>
      <c r="AL11" s="519"/>
    </row>
    <row r="12" spans="1:38" ht="16.5" customHeight="1">
      <c r="A12" s="1102" t="s">
        <v>893</v>
      </c>
      <c r="B12" s="1103">
        <f>B13</f>
        <v>0.5</v>
      </c>
      <c r="C12" s="523" t="s">
        <v>399</v>
      </c>
      <c r="D12" s="1104"/>
      <c r="E12" s="1104"/>
      <c r="F12" s="1104">
        <f>F13</f>
        <v>76</v>
      </c>
      <c r="G12" s="1104">
        <f ca="1">G13*(1+$P12*1/3*YEARFRAC(NOW(),"31/12/2018"))</f>
        <v>250.69398148148147</v>
      </c>
      <c r="H12" s="1104">
        <f>H13*(1+$P12*1/3)</f>
        <v>506.33333333333337</v>
      </c>
      <c r="I12" s="1104">
        <f>I13*(1+$P12*2/3)</f>
        <v>731.73333333333335</v>
      </c>
      <c r="J12" s="1104">
        <f t="shared" ref="J12:L12" si="5">J13*(1+$P12)</f>
        <v>943.25000000000011</v>
      </c>
      <c r="K12" s="1104">
        <f t="shared" si="5"/>
        <v>1037.575</v>
      </c>
      <c r="L12" s="1104">
        <f t="shared" si="5"/>
        <v>1089.4537500000001</v>
      </c>
      <c r="M12" s="1105">
        <f>(J12-J13)*B12/'P&amp;L'!$M$50</f>
        <v>2.4737040384904476E-3</v>
      </c>
      <c r="P12" s="1106">
        <v>0.1</v>
      </c>
      <c r="R12" s="1107">
        <f>(J12/F12)^(1/4)-1</f>
        <v>0.87695260078346515</v>
      </c>
      <c r="S12" s="1120" t="s">
        <v>558</v>
      </c>
      <c r="T12" s="519"/>
      <c r="U12" s="1109">
        <f ca="1">(SUM(G12:L12)/SUM(G13:L13))*U13</f>
        <v>1.6618980104333976</v>
      </c>
      <c r="V12" s="519"/>
      <c r="W12" s="519"/>
      <c r="X12" s="519"/>
      <c r="Y12" s="519"/>
      <c r="Z12" s="519"/>
      <c r="AA12" s="519"/>
      <c r="AB12" s="519"/>
      <c r="AC12" s="519"/>
      <c r="AD12" s="519"/>
      <c r="AE12" s="519"/>
      <c r="AF12" s="519"/>
      <c r="AG12" s="519"/>
      <c r="AH12" s="519"/>
      <c r="AI12" s="519"/>
      <c r="AJ12" s="519"/>
      <c r="AK12" s="519"/>
      <c r="AL12" s="519"/>
    </row>
    <row r="13" spans="1:38" ht="16.5" customHeight="1">
      <c r="A13" s="1110" t="s">
        <v>556</v>
      </c>
      <c r="B13" s="1111">
        <v>0.5</v>
      </c>
      <c r="C13" s="1102" t="s">
        <v>398</v>
      </c>
      <c r="D13" s="1122"/>
      <c r="E13" s="1122"/>
      <c r="F13" s="1122">
        <f>Sales!I140</f>
        <v>76</v>
      </c>
      <c r="G13" s="1122">
        <f>Sales!J140</f>
        <v>245</v>
      </c>
      <c r="H13" s="1122">
        <f>Sales!K140</f>
        <v>490</v>
      </c>
      <c r="I13" s="1122">
        <f>Sales!L140</f>
        <v>686</v>
      </c>
      <c r="J13" s="1122">
        <f>Sales!M140</f>
        <v>857.5</v>
      </c>
      <c r="K13" s="1122">
        <f>Sales!N140</f>
        <v>943.25</v>
      </c>
      <c r="L13" s="1122">
        <f>Sales!O140</f>
        <v>990.41250000000002</v>
      </c>
      <c r="M13" s="1105"/>
      <c r="R13" s="1113">
        <f>(J13/F13)^(1/4)-1</f>
        <v>0.83275804316360214</v>
      </c>
      <c r="S13" s="1123" t="s">
        <v>557</v>
      </c>
      <c r="T13" s="519"/>
      <c r="U13" s="1114">
        <f ca="1">OFFSET(NPV!$A$32,MATCH($A12,NPV!$A$32:$A$1955,FALSE)+12,1)</f>
        <v>1.5354516307131707</v>
      </c>
      <c r="V13" s="1115">
        <f ca="1">U13/NPV!$D$29</f>
        <v>1.6831044183755209E-2</v>
      </c>
      <c r="W13" s="519"/>
      <c r="X13" s="519"/>
      <c r="Y13" s="519"/>
      <c r="Z13" s="519"/>
      <c r="AA13" s="519"/>
      <c r="AB13" s="519"/>
      <c r="AC13" s="519"/>
      <c r="AD13" s="519"/>
      <c r="AE13" s="519"/>
      <c r="AF13" s="519"/>
      <c r="AG13" s="519"/>
      <c r="AH13" s="519"/>
      <c r="AI13" s="519"/>
      <c r="AJ13" s="519"/>
      <c r="AK13" s="519"/>
      <c r="AL13" s="519"/>
    </row>
    <row r="14" spans="1:38" ht="16.5" customHeight="1">
      <c r="A14" s="1102"/>
      <c r="B14" s="1103">
        <f>B13</f>
        <v>0.5</v>
      </c>
      <c r="C14" s="523" t="s">
        <v>397</v>
      </c>
      <c r="D14" s="1104"/>
      <c r="E14" s="1104"/>
      <c r="F14" s="1104">
        <f>F13</f>
        <v>76</v>
      </c>
      <c r="G14" s="1104">
        <f ca="1">G13*(1+$P14*1/3*YEARFRAC(NOW(),"31/12/2018"))</f>
        <v>239.3060185185185</v>
      </c>
      <c r="H14" s="1104">
        <f>H13*(1+$P14*1/3)</f>
        <v>473.66666666666669</v>
      </c>
      <c r="I14" s="1104">
        <f>I13*(1+$P14*2/3)</f>
        <v>640.26666666666665</v>
      </c>
      <c r="J14" s="1104">
        <f t="shared" ref="J14:L14" si="6">J13*(1+$P14)</f>
        <v>771.75</v>
      </c>
      <c r="K14" s="1104">
        <f t="shared" si="6"/>
        <v>848.92500000000007</v>
      </c>
      <c r="L14" s="1104">
        <f t="shared" si="6"/>
        <v>891.37125000000003</v>
      </c>
      <c r="M14" s="1105">
        <f>(J14-J13)*B14/'P&amp;L'!$M$50</f>
        <v>-2.4737040384904441E-3</v>
      </c>
      <c r="P14" s="1116">
        <v>-0.1</v>
      </c>
      <c r="R14" s="1107">
        <f>(J14/F14)^(1/4)-1</f>
        <v>0.78511320033244414</v>
      </c>
      <c r="S14" s="1123" t="s">
        <v>908</v>
      </c>
      <c r="T14" s="519"/>
      <c r="U14" s="1109">
        <f ca="1">(SUM(G14:L14)/SUM(G13:L13))*U13</f>
        <v>1.4090052509929438</v>
      </c>
      <c r="V14" s="519"/>
      <c r="W14" s="519"/>
      <c r="X14" s="519"/>
      <c r="Y14" s="519"/>
      <c r="Z14" s="519"/>
      <c r="AA14" s="519"/>
      <c r="AB14" s="519"/>
      <c r="AC14" s="519"/>
      <c r="AD14" s="519"/>
      <c r="AE14" s="519"/>
      <c r="AF14" s="519"/>
      <c r="AG14" s="519"/>
      <c r="AH14" s="519"/>
      <c r="AI14" s="519"/>
      <c r="AJ14" s="519"/>
      <c r="AK14" s="519"/>
      <c r="AL14" s="519"/>
    </row>
    <row r="15" spans="1:38" ht="7.5" customHeight="1">
      <c r="A15" s="1102"/>
      <c r="B15" s="1118"/>
      <c r="C15" s="523"/>
      <c r="D15" s="1124"/>
      <c r="E15" s="1124"/>
      <c r="F15" s="1124"/>
      <c r="G15" s="1124"/>
      <c r="H15" s="1124"/>
      <c r="I15" s="1124"/>
      <c r="J15" s="1124"/>
      <c r="K15" s="1124"/>
      <c r="L15" s="1124"/>
      <c r="S15" s="1125"/>
      <c r="T15" s="519"/>
      <c r="U15" s="519"/>
      <c r="V15" s="519"/>
      <c r="W15" s="519"/>
      <c r="X15" s="519"/>
      <c r="Y15" s="519"/>
      <c r="Z15" s="519"/>
      <c r="AA15" s="519"/>
      <c r="AB15" s="519"/>
      <c r="AC15" s="519"/>
      <c r="AD15" s="519"/>
      <c r="AE15" s="519"/>
      <c r="AF15" s="519"/>
      <c r="AG15" s="519"/>
      <c r="AH15" s="519"/>
      <c r="AI15" s="519"/>
      <c r="AJ15" s="519"/>
      <c r="AK15" s="519"/>
      <c r="AL15" s="519"/>
    </row>
    <row r="16" spans="1:38" ht="16.5" customHeight="1">
      <c r="A16" s="1102" t="s">
        <v>32</v>
      </c>
      <c r="B16" s="1103">
        <f>B17</f>
        <v>0.4</v>
      </c>
      <c r="C16" s="523" t="s">
        <v>399</v>
      </c>
      <c r="D16" s="1104">
        <f>D17</f>
        <v>2776</v>
      </c>
      <c r="E16" s="1104">
        <f>E17</f>
        <v>3109</v>
      </c>
      <c r="F16" s="1104">
        <f>F17</f>
        <v>3185</v>
      </c>
      <c r="G16" s="1126">
        <f>F16*1.1</f>
        <v>3503.5000000000005</v>
      </c>
      <c r="H16" s="1126">
        <f>G16</f>
        <v>3503.5000000000005</v>
      </c>
      <c r="I16" s="1126">
        <f>H16</f>
        <v>3503.5000000000005</v>
      </c>
      <c r="J16" s="1126">
        <f>I16</f>
        <v>3503.5000000000005</v>
      </c>
      <c r="K16" s="1126">
        <f t="shared" ref="K16" si="7">J16</f>
        <v>3503.5000000000005</v>
      </c>
      <c r="L16" s="1126">
        <f>K16*0.7</f>
        <v>2452.4500000000003</v>
      </c>
      <c r="M16" s="1105">
        <f>(J16-J17)*B16/'P&amp;L'!$M$50</f>
        <v>5.2053669497493578E-2</v>
      </c>
      <c r="P16" s="1127" t="s">
        <v>988</v>
      </c>
      <c r="R16" s="1107">
        <f>(J16/F16)^(1/4)-1</f>
        <v>2.4113689084445111E-2</v>
      </c>
      <c r="S16" s="1117" t="s">
        <v>534</v>
      </c>
      <c r="T16" s="1121"/>
      <c r="U16" s="1109">
        <f ca="1">(SUM(G16:L16)/SUM(G17:L17))*U17</f>
        <v>3.6575795552400083</v>
      </c>
      <c r="V16" s="519"/>
      <c r="W16" s="519"/>
      <c r="X16" s="519"/>
      <c r="Y16" s="519"/>
      <c r="Z16" s="519"/>
      <c r="AA16" s="519"/>
      <c r="AB16" s="519"/>
      <c r="AC16" s="519"/>
      <c r="AD16" s="519"/>
      <c r="AE16" s="519"/>
      <c r="AF16" s="519"/>
      <c r="AG16" s="519"/>
      <c r="AH16" s="519"/>
      <c r="AI16" s="519"/>
      <c r="AJ16" s="519"/>
      <c r="AK16" s="519"/>
      <c r="AL16" s="519"/>
    </row>
    <row r="17" spans="1:38" ht="16.5" customHeight="1">
      <c r="A17" s="1110" t="s">
        <v>417</v>
      </c>
      <c r="B17" s="1111">
        <v>0.4</v>
      </c>
      <c r="C17" s="1102" t="s">
        <v>398</v>
      </c>
      <c r="D17" s="1112">
        <f>Sales!G154</f>
        <v>2776</v>
      </c>
      <c r="E17" s="1112">
        <f>Sales!H154</f>
        <v>3109</v>
      </c>
      <c r="F17" s="1112">
        <f>Sales!I154</f>
        <v>3185</v>
      </c>
      <c r="G17" s="1112">
        <f>Sales!J154</f>
        <v>3343.8173382953637</v>
      </c>
      <c r="H17" s="1112">
        <f>Sales!K154</f>
        <v>2542.8597052101318</v>
      </c>
      <c r="I17" s="1112">
        <f>Sales!L154</f>
        <v>1858.2607641681054</v>
      </c>
      <c r="J17" s="1112">
        <f>Sales!M154</f>
        <v>1247.9744349176738</v>
      </c>
      <c r="K17" s="1112">
        <f>Sales!N154</f>
        <v>998.37954793413905</v>
      </c>
      <c r="L17" s="1112">
        <f>Sales!O154</f>
        <v>798.70363834731131</v>
      </c>
      <c r="M17" s="1105"/>
      <c r="P17" s="1128"/>
      <c r="R17" s="1113">
        <f>(J17/F17)^(1/4)-1</f>
        <v>-0.20882225405302568</v>
      </c>
      <c r="S17" s="1117" t="s">
        <v>533</v>
      </c>
      <c r="T17" s="519"/>
      <c r="U17" s="1114">
        <f ca="1">OFFSET(NPV!$A$32,MATCH($A16,NPV!$A$32:$A$1955,FALSE)+12,1)</f>
        <v>1.9762326236058683</v>
      </c>
      <c r="V17" s="1115">
        <f ca="1">U17/NPV!$D$29</f>
        <v>2.1662719905959932E-2</v>
      </c>
      <c r="W17" s="519"/>
      <c r="X17" s="519"/>
      <c r="Y17" s="519"/>
      <c r="Z17" s="519"/>
      <c r="AA17" s="519"/>
      <c r="AB17" s="519"/>
      <c r="AC17" s="519"/>
      <c r="AD17" s="519"/>
      <c r="AE17" s="519"/>
      <c r="AF17" s="519"/>
      <c r="AG17" s="519"/>
      <c r="AH17" s="519"/>
      <c r="AI17" s="519"/>
      <c r="AJ17" s="519"/>
      <c r="AK17" s="519"/>
      <c r="AL17" s="519"/>
    </row>
    <row r="18" spans="1:38" ht="16.5" customHeight="1">
      <c r="A18" s="1102"/>
      <c r="B18" s="1103">
        <f>B17</f>
        <v>0.4</v>
      </c>
      <c r="C18" s="523" t="s">
        <v>397</v>
      </c>
      <c r="D18" s="1104">
        <f>D17</f>
        <v>2776</v>
      </c>
      <c r="E18" s="1104">
        <f>E17</f>
        <v>3109</v>
      </c>
      <c r="F18" s="1104">
        <f>F17</f>
        <v>3185</v>
      </c>
      <c r="G18" s="1126">
        <f>G17*0.95</f>
        <v>3176.6264713805954</v>
      </c>
      <c r="H18" s="1126">
        <f>H17*0.7</f>
        <v>1780.0017936470922</v>
      </c>
      <c r="I18" s="1126">
        <f>I17*0.7</f>
        <v>1300.7825349176737</v>
      </c>
      <c r="J18" s="1126">
        <f>J17*0.7</f>
        <v>873.58210444237159</v>
      </c>
      <c r="K18" s="1126">
        <f t="shared" ref="K18:L18" si="8">K17*0.7</f>
        <v>698.86568355389727</v>
      </c>
      <c r="L18" s="1126">
        <f t="shared" si="8"/>
        <v>559.09254684311793</v>
      </c>
      <c r="M18" s="1105">
        <f>(J18-J17)*B18/'P&amp;L'!$M$50</f>
        <v>-8.6403341796068012E-3</v>
      </c>
      <c r="P18" s="1127" t="s">
        <v>988</v>
      </c>
      <c r="R18" s="1107">
        <f>(J18/F18)^(1/4)-1</f>
        <v>-0.27631666293315182</v>
      </c>
      <c r="S18" s="1123" t="s">
        <v>535</v>
      </c>
      <c r="T18" s="519"/>
      <c r="U18" s="1109">
        <f ca="1">(SUM(G18:L18)/SUM(G17:L17))*U17</f>
        <v>1.5364713562375547</v>
      </c>
      <c r="V18" s="519"/>
      <c r="W18" s="519"/>
      <c r="X18" s="519"/>
      <c r="Y18" s="519"/>
      <c r="Z18" s="519"/>
      <c r="AA18" s="519"/>
      <c r="AB18" s="519"/>
      <c r="AC18" s="519"/>
      <c r="AD18" s="519"/>
      <c r="AE18" s="519"/>
      <c r="AF18" s="519"/>
      <c r="AG18" s="519"/>
      <c r="AH18" s="519"/>
      <c r="AI18" s="519"/>
      <c r="AJ18" s="519"/>
      <c r="AK18" s="519"/>
      <c r="AL18" s="519"/>
    </row>
    <row r="19" spans="1:38" ht="7.5" customHeight="1">
      <c r="A19" s="1102"/>
      <c r="B19" s="1118"/>
      <c r="C19" s="523"/>
      <c r="D19" s="1119"/>
      <c r="E19" s="1119"/>
      <c r="F19" s="1119"/>
      <c r="G19" s="1119"/>
      <c r="H19" s="1119"/>
      <c r="I19" s="1119"/>
      <c r="J19" s="1119"/>
      <c r="K19" s="1119"/>
      <c r="L19" s="1119"/>
      <c r="S19" s="1117"/>
      <c r="T19" s="519"/>
      <c r="U19" s="519"/>
      <c r="V19" s="519"/>
      <c r="W19" s="519"/>
      <c r="X19" s="519"/>
      <c r="Y19" s="524"/>
      <c r="Z19" s="524"/>
      <c r="AA19" s="524"/>
      <c r="AB19" s="524"/>
      <c r="AC19" s="524"/>
      <c r="AD19" s="524"/>
      <c r="AE19" s="524"/>
      <c r="AF19" s="524"/>
      <c r="AG19" s="524"/>
      <c r="AH19" s="519"/>
      <c r="AI19" s="519"/>
      <c r="AJ19" s="519"/>
      <c r="AK19" s="519"/>
      <c r="AL19" s="519"/>
    </row>
    <row r="20" spans="1:38" ht="16.5" customHeight="1">
      <c r="A20" s="1129" t="s">
        <v>35</v>
      </c>
      <c r="B20" s="1103">
        <f>B21</f>
        <v>0.4</v>
      </c>
      <c r="C20" s="523" t="s">
        <v>399</v>
      </c>
      <c r="D20" s="1104">
        <f>D21</f>
        <v>2060</v>
      </c>
      <c r="E20" s="1104">
        <f>E21</f>
        <v>1835</v>
      </c>
      <c r="F20" s="1104">
        <f>F21</f>
        <v>1888</v>
      </c>
      <c r="G20" s="1104">
        <f ca="1">G21*(1+$P20*1/3*YEARFRAC(NOW(),"31/12/2018"))</f>
        <v>2057.9793177035376</v>
      </c>
      <c r="H20" s="1104">
        <f>H21*(1+$P20*1/3)</f>
        <v>1992.7911566932853</v>
      </c>
      <c r="I20" s="1104">
        <f>I21*(1+$P20*2/3)</f>
        <v>2011.4735737872845</v>
      </c>
      <c r="J20" s="1104">
        <f t="shared" ref="J20:L20" si="9">J21*(1+$P20)</f>
        <v>2023.3057712801508</v>
      </c>
      <c r="K20" s="1104">
        <f t="shared" si="9"/>
        <v>1618.6446170241209</v>
      </c>
      <c r="L20" s="1104">
        <f t="shared" si="9"/>
        <v>1294.9156936192967</v>
      </c>
      <c r="M20" s="1105">
        <f>(J20-J21)*B20/'P&amp;L'!$M$50</f>
        <v>7.782405687100845E-3</v>
      </c>
      <c r="P20" s="1106">
        <v>0.2</v>
      </c>
      <c r="R20" s="1107">
        <f>(J20/F20)^(1/4)-1</f>
        <v>1.7454232136054904E-2</v>
      </c>
      <c r="S20" s="1130" t="s">
        <v>420</v>
      </c>
      <c r="T20" s="1121"/>
      <c r="U20" s="1109">
        <f ca="1">(SUM(G20:L20)/SUM(G21:L21))*U21</f>
        <v>1.7363305248706911</v>
      </c>
      <c r="V20" s="519"/>
      <c r="W20" s="519"/>
      <c r="X20" s="519"/>
      <c r="Y20" s="524"/>
      <c r="Z20" s="524"/>
      <c r="AA20" s="524"/>
      <c r="AB20" s="524"/>
      <c r="AC20" s="524"/>
      <c r="AD20" s="524"/>
      <c r="AE20" s="524"/>
      <c r="AF20" s="524"/>
      <c r="AG20" s="524"/>
      <c r="AH20" s="519"/>
      <c r="AI20" s="519"/>
      <c r="AJ20" s="519"/>
      <c r="AK20" s="519"/>
      <c r="AL20" s="519"/>
    </row>
    <row r="21" spans="1:38" ht="16.5" customHeight="1">
      <c r="A21" s="1110" t="s">
        <v>525</v>
      </c>
      <c r="B21" s="1111">
        <v>0.4</v>
      </c>
      <c r="C21" s="1102" t="s">
        <v>398</v>
      </c>
      <c r="D21" s="1112">
        <f>Sales!G197</f>
        <v>2060</v>
      </c>
      <c r="E21" s="1112">
        <f>Sales!H197</f>
        <v>1835</v>
      </c>
      <c r="F21" s="1112">
        <f>Sales!I197</f>
        <v>1888</v>
      </c>
      <c r="G21" s="1112">
        <f>Sales!J197</f>
        <v>1966.5702204210054</v>
      </c>
      <c r="H21" s="1112">
        <f>Sales!K197</f>
        <v>1868.241709399955</v>
      </c>
      <c r="I21" s="1112">
        <f>Sales!L197</f>
        <v>1774.8296239299571</v>
      </c>
      <c r="J21" s="1112">
        <f>Sales!M197</f>
        <v>1686.0881427334591</v>
      </c>
      <c r="K21" s="1112">
        <f>Sales!N197</f>
        <v>1348.8705141867674</v>
      </c>
      <c r="L21" s="1112">
        <f>Sales!O197</f>
        <v>1079.096411349414</v>
      </c>
      <c r="M21" s="1105"/>
      <c r="R21" s="1113">
        <f>(J21/F21)^(1/4)-1</f>
        <v>-2.7880687507777835E-2</v>
      </c>
      <c r="S21" s="1130" t="s">
        <v>537</v>
      </c>
      <c r="T21" s="519"/>
      <c r="U21" s="1114">
        <f ca="1">OFFSET(NPV!$A$32,MATCH($A20,NPV!$A$32:$A$1955,FALSE)+12,1)</f>
        <v>1.5349924729984532</v>
      </c>
      <c r="V21" s="1115">
        <f ca="1">U21/NPV!$D$29</f>
        <v>1.6826011069309178E-2</v>
      </c>
      <c r="W21" s="519"/>
      <c r="X21" s="519"/>
      <c r="Y21" s="524"/>
      <c r="Z21" s="524"/>
      <c r="AA21" s="524"/>
      <c r="AB21" s="524"/>
      <c r="AC21" s="524"/>
      <c r="AD21" s="524"/>
      <c r="AE21" s="524"/>
      <c r="AF21" s="524"/>
      <c r="AG21" s="524"/>
      <c r="AH21" s="519"/>
      <c r="AI21" s="519"/>
      <c r="AJ21" s="519"/>
      <c r="AK21" s="519"/>
      <c r="AL21" s="519"/>
    </row>
    <row r="22" spans="1:38" ht="16.5" customHeight="1">
      <c r="A22" s="1110"/>
      <c r="B22" s="1103">
        <f>B21</f>
        <v>0.4</v>
      </c>
      <c r="C22" s="523" t="s">
        <v>397</v>
      </c>
      <c r="D22" s="1104">
        <f>D21</f>
        <v>2060</v>
      </c>
      <c r="E22" s="1104">
        <f>E21</f>
        <v>1835</v>
      </c>
      <c r="F22" s="1104">
        <f>F21</f>
        <v>1888</v>
      </c>
      <c r="G22" s="1104">
        <f ca="1">G21*(1+$P22*1/3*YEARFRAC(NOW(),"31/12/2018"))</f>
        <v>1760.8997515353085</v>
      </c>
      <c r="H22" s="1104">
        <f>H21*(1+$P22*1/3)</f>
        <v>1588.0054529899617</v>
      </c>
      <c r="I22" s="1104">
        <f>I21*(1+$P22*2/3)</f>
        <v>1242.3807367509698</v>
      </c>
      <c r="J22" s="1104">
        <f t="shared" ref="J22:L22" si="10">J21*(1+$P22)</f>
        <v>927.34847850340259</v>
      </c>
      <c r="K22" s="1104">
        <f t="shared" si="10"/>
        <v>741.87878280272218</v>
      </c>
      <c r="L22" s="1104">
        <f t="shared" si="10"/>
        <v>593.50302624217773</v>
      </c>
      <c r="M22" s="1105">
        <f>(J22-J21)*B22/'P&amp;L'!$M$50</f>
        <v>-1.7510412795976905E-2</v>
      </c>
      <c r="P22" s="1116">
        <v>-0.45</v>
      </c>
      <c r="R22" s="1107">
        <f>(J22/F22)^(1/4)-1</f>
        <v>-0.16283658011551139</v>
      </c>
      <c r="S22" s="1130" t="s">
        <v>419</v>
      </c>
      <c r="T22" s="519"/>
      <c r="U22" s="1109">
        <f ca="1">(SUM(G22:L22)/SUM(G21:L21))*U21</f>
        <v>1.0819818562859183</v>
      </c>
      <c r="V22" s="519"/>
      <c r="W22" s="519"/>
      <c r="X22" s="519"/>
      <c r="Y22" s="524"/>
      <c r="Z22" s="524"/>
      <c r="AA22" s="524"/>
      <c r="AB22" s="524"/>
      <c r="AC22" s="524"/>
      <c r="AD22" s="524"/>
      <c r="AE22" s="524"/>
      <c r="AF22" s="524"/>
      <c r="AG22" s="524"/>
      <c r="AH22" s="519"/>
      <c r="AI22" s="519"/>
      <c r="AJ22" s="519"/>
      <c r="AK22" s="519"/>
      <c r="AL22" s="519"/>
    </row>
    <row r="23" spans="1:38" ht="7.5" customHeight="1">
      <c r="A23" s="1102"/>
      <c r="B23" s="1118"/>
      <c r="C23" s="523"/>
      <c r="D23" s="1119"/>
      <c r="E23" s="1119"/>
      <c r="F23" s="1119"/>
      <c r="G23" s="1119"/>
      <c r="H23" s="1119"/>
      <c r="I23" s="1119"/>
      <c r="J23" s="1119"/>
      <c r="K23" s="1119"/>
      <c r="L23" s="1119"/>
      <c r="S23" s="1117"/>
      <c r="T23" s="519"/>
      <c r="U23" s="519"/>
      <c r="V23" s="519"/>
      <c r="W23" s="519"/>
      <c r="X23" s="519"/>
      <c r="Y23" s="524"/>
      <c r="Z23" s="524"/>
      <c r="AA23" s="524"/>
      <c r="AB23" s="524"/>
      <c r="AC23" s="524"/>
      <c r="AD23" s="524"/>
      <c r="AE23" s="524"/>
      <c r="AF23" s="524"/>
      <c r="AG23" s="524"/>
      <c r="AH23" s="519"/>
      <c r="AI23" s="519"/>
      <c r="AJ23" s="519"/>
      <c r="AK23" s="519"/>
      <c r="AL23" s="519"/>
    </row>
    <row r="24" spans="1:38" ht="16.5" customHeight="1">
      <c r="A24" s="1129" t="s">
        <v>17</v>
      </c>
      <c r="B24" s="1103">
        <f>B25</f>
        <v>0.5</v>
      </c>
      <c r="C24" s="523" t="s">
        <v>399</v>
      </c>
      <c r="D24" s="1104">
        <f>D25</f>
        <v>4658</v>
      </c>
      <c r="E24" s="1104">
        <f>E25</f>
        <v>3323</v>
      </c>
      <c r="F24" s="1104">
        <f>F25</f>
        <v>1943</v>
      </c>
      <c r="G24" s="1104">
        <f ca="1">G25*(1+$P24*1/3*YEARFRAC(NOW(),"31/12/2018"))</f>
        <v>1463.4376647373169</v>
      </c>
      <c r="H24" s="1104">
        <f>H25*(1+$P24*1/3)</f>
        <v>1193.3322879330306</v>
      </c>
      <c r="I24" s="1104">
        <f>I25*(1+$P24*2/3)</f>
        <v>1057.8314225395181</v>
      </c>
      <c r="J24" s="1104">
        <f t="shared" ref="J24:L24" si="11">J25*(1+$P24)</f>
        <v>935.19452028556634</v>
      </c>
      <c r="K24" s="1104">
        <f t="shared" si="11"/>
        <v>841.6750682570098</v>
      </c>
      <c r="L24" s="1104">
        <f t="shared" si="11"/>
        <v>757.50756143130877</v>
      </c>
      <c r="M24" s="1105">
        <f>(J24-J25)*B24/'P&amp;L'!$M$50</f>
        <v>4.4963935113790836E-3</v>
      </c>
      <c r="P24" s="1106">
        <v>0.2</v>
      </c>
      <c r="R24" s="1107">
        <f>(J24/F24)^(1/4)-1</f>
        <v>-0.16707233278409683</v>
      </c>
      <c r="S24" s="1117" t="s">
        <v>530</v>
      </c>
      <c r="T24" s="1121"/>
      <c r="U24" s="1109">
        <f ca="1">(SUM(G24:L24)/SUM(G25:L25))*U25</f>
        <v>1.1167840232668689</v>
      </c>
      <c r="V24" s="519"/>
      <c r="W24" s="519"/>
      <c r="X24" s="519"/>
      <c r="Y24" s="524"/>
      <c r="Z24" s="524"/>
      <c r="AA24" s="524"/>
      <c r="AB24" s="524"/>
      <c r="AC24" s="524"/>
      <c r="AD24" s="524"/>
      <c r="AE24" s="524"/>
      <c r="AF24" s="524"/>
      <c r="AG24" s="524"/>
      <c r="AH24" s="519"/>
      <c r="AI24" s="519"/>
      <c r="AJ24" s="519"/>
      <c r="AK24" s="519"/>
      <c r="AL24" s="519"/>
    </row>
    <row r="25" spans="1:38" ht="16.5" customHeight="1">
      <c r="A25" s="1110" t="s">
        <v>522</v>
      </c>
      <c r="B25" s="1111">
        <v>0.5</v>
      </c>
      <c r="C25" s="1102" t="s">
        <v>398</v>
      </c>
      <c r="D25" s="1112">
        <f>Sales!G54</f>
        <v>4658</v>
      </c>
      <c r="E25" s="1112">
        <f>Sales!H54</f>
        <v>3323</v>
      </c>
      <c r="F25" s="1112">
        <f>Sales!I54</f>
        <v>1943</v>
      </c>
      <c r="G25" s="1112">
        <f>Sales!J54</f>
        <v>1398.4362749215202</v>
      </c>
      <c r="H25" s="1112">
        <f>Sales!K54</f>
        <v>1118.7490199372162</v>
      </c>
      <c r="I25" s="1112">
        <f>Sales!L54</f>
        <v>933.38066694663371</v>
      </c>
      <c r="J25" s="1112">
        <f>Sales!M54</f>
        <v>779.32876690463866</v>
      </c>
      <c r="K25" s="1112">
        <f>Sales!N54</f>
        <v>701.39589021417487</v>
      </c>
      <c r="L25" s="1112">
        <f>Sales!O54</f>
        <v>631.25630119275729</v>
      </c>
      <c r="M25" s="1105"/>
      <c r="R25" s="1113">
        <f>(J25/F25)^(1/4)-1</f>
        <v>-0.20418526393096792</v>
      </c>
      <c r="S25" s="1117" t="s">
        <v>532</v>
      </c>
      <c r="T25" s="519"/>
      <c r="U25" s="1114">
        <f ca="1">OFFSET(NPV!$A$32,MATCH($A24,NPV!$A$32:$A$1955,FALSE)+12,1)</f>
        <v>0.99410863775952241</v>
      </c>
      <c r="V25" s="1115">
        <f ca="1">U25/NPV!$D$29</f>
        <v>1.0897045579880473E-2</v>
      </c>
      <c r="W25" s="519"/>
      <c r="X25" s="519"/>
      <c r="Y25" s="524"/>
      <c r="Z25" s="524"/>
      <c r="AA25" s="524"/>
      <c r="AB25" s="524"/>
      <c r="AC25" s="524"/>
      <c r="AD25" s="524"/>
      <c r="AE25" s="524"/>
      <c r="AF25" s="524"/>
      <c r="AG25" s="524"/>
      <c r="AH25" s="519"/>
      <c r="AI25" s="519"/>
      <c r="AJ25" s="519"/>
      <c r="AK25" s="519"/>
      <c r="AL25" s="519"/>
    </row>
    <row r="26" spans="1:38" ht="16.5" customHeight="1">
      <c r="A26" s="1110"/>
      <c r="B26" s="1103">
        <f>B25</f>
        <v>0.5</v>
      </c>
      <c r="C26" s="523" t="s">
        <v>397</v>
      </c>
      <c r="D26" s="1104">
        <f>D25</f>
        <v>4658</v>
      </c>
      <c r="E26" s="1104">
        <f>E25</f>
        <v>3323</v>
      </c>
      <c r="F26" s="1104">
        <f>F25</f>
        <v>1943</v>
      </c>
      <c r="G26" s="1104">
        <f ca="1">G25*(1+$P26*1/3*YEARFRAC(NOW(),"31/12/2018"))</f>
        <v>1333.4348851057237</v>
      </c>
      <c r="H26" s="1104">
        <f>H25*(1+$P26*1/3)</f>
        <v>1044.1657519414018</v>
      </c>
      <c r="I26" s="1104">
        <f>I25*(1+$P26*2/3)</f>
        <v>808.92991135374928</v>
      </c>
      <c r="J26" s="1104">
        <f t="shared" ref="J26:L26" si="12">J25*(1+$P26)</f>
        <v>623.46301352371097</v>
      </c>
      <c r="K26" s="1104">
        <f t="shared" si="12"/>
        <v>561.11671217133994</v>
      </c>
      <c r="L26" s="1104">
        <f t="shared" si="12"/>
        <v>505.00504095420587</v>
      </c>
      <c r="M26" s="1105">
        <f>(J26-J25)*B26/'P&amp;L'!$M$50</f>
        <v>-4.4963935113790836E-3</v>
      </c>
      <c r="P26" s="1116">
        <v>-0.2</v>
      </c>
      <c r="R26" s="1107">
        <f>(J26/F26)^(1/4)-1</f>
        <v>-0.24736489104163584</v>
      </c>
      <c r="S26" s="1117" t="s">
        <v>421</v>
      </c>
      <c r="T26" s="519"/>
      <c r="U26" s="1109">
        <f ca="1">(SUM(G26:L26)/SUM(G25:L25))*U25</f>
        <v>0.87143325225217583</v>
      </c>
      <c r="V26" s="519"/>
      <c r="W26" s="519"/>
      <c r="X26" s="519"/>
      <c r="Y26" s="524"/>
      <c r="Z26" s="524"/>
      <c r="AA26" s="524"/>
      <c r="AB26" s="524"/>
      <c r="AC26" s="524"/>
      <c r="AD26" s="524"/>
      <c r="AE26" s="524"/>
      <c r="AF26" s="524"/>
      <c r="AG26" s="524"/>
      <c r="AH26" s="519"/>
      <c r="AI26" s="519"/>
      <c r="AJ26" s="519"/>
      <c r="AK26" s="519"/>
      <c r="AL26" s="519"/>
    </row>
    <row r="27" spans="1:38" ht="7.5" customHeight="1">
      <c r="A27" s="1102"/>
      <c r="B27" s="1118"/>
      <c r="C27" s="523"/>
      <c r="D27" s="1119"/>
      <c r="E27" s="1119"/>
      <c r="F27" s="1119"/>
      <c r="G27" s="1119"/>
      <c r="H27" s="1119"/>
      <c r="I27" s="1119"/>
      <c r="J27" s="1119"/>
      <c r="K27" s="1119"/>
      <c r="L27" s="1119"/>
      <c r="S27" s="1117"/>
      <c r="T27" s="519"/>
      <c r="U27" s="519"/>
      <c r="V27" s="519"/>
      <c r="W27" s="519"/>
      <c r="X27" s="519"/>
      <c r="Y27" s="524"/>
      <c r="Z27" s="524"/>
      <c r="AA27" s="524"/>
      <c r="AB27" s="524"/>
      <c r="AC27" s="524"/>
      <c r="AD27" s="524"/>
      <c r="AE27" s="524"/>
      <c r="AF27" s="524"/>
      <c r="AG27" s="524"/>
      <c r="AH27" s="519"/>
      <c r="AI27" s="519"/>
      <c r="AJ27" s="519"/>
      <c r="AK27" s="519"/>
      <c r="AL27" s="519"/>
    </row>
    <row r="28" spans="1:38" ht="16.5" customHeight="1">
      <c r="A28" s="1129" t="s">
        <v>19</v>
      </c>
      <c r="B28" s="1103">
        <f>B29</f>
        <v>0.5</v>
      </c>
      <c r="C28" s="523" t="s">
        <v>399</v>
      </c>
      <c r="D28" s="1104">
        <f>D29</f>
        <v>1632</v>
      </c>
      <c r="E28" s="1104">
        <f>E29</f>
        <v>1739</v>
      </c>
      <c r="F28" s="1104">
        <f>F29</f>
        <v>1841</v>
      </c>
      <c r="G28" s="1104">
        <f ca="1">G29*(1+$P28*1/3*YEARFRAC(NOW(),"31/12/2018"))</f>
        <v>2112.9659182518726</v>
      </c>
      <c r="H28" s="1104">
        <f>H29*(1+$P28*1/3)</f>
        <v>2228.252223220592</v>
      </c>
      <c r="I28" s="1104">
        <f>I29*(1+$P28*2/3)</f>
        <v>2471.6459276031492</v>
      </c>
      <c r="J28" s="1104">
        <f t="shared" ref="J28:L28" si="13">J29*(1+$P28)</f>
        <v>2727.6378272477609</v>
      </c>
      <c r="K28" s="1104">
        <f t="shared" si="13"/>
        <v>2809.4669620651939</v>
      </c>
      <c r="L28" s="1104">
        <f t="shared" si="13"/>
        <v>1042.3477819328468</v>
      </c>
      <c r="M28" s="1105">
        <f>(J28-J29)*B28/'P&amp;L'!$M$50</f>
        <v>1.5737303110908658E-2</v>
      </c>
      <c r="P28" s="1106">
        <v>0.25</v>
      </c>
      <c r="R28" s="1107">
        <f>(J28/F28)^(1/4)-1</f>
        <v>0.10327360731303847</v>
      </c>
      <c r="S28" s="1117" t="s">
        <v>531</v>
      </c>
      <c r="T28" s="1121"/>
      <c r="U28" s="1109">
        <f ca="1">(SUM(G28:L28)/SUM(G29:L29))*U29</f>
        <v>1.7686134366746571</v>
      </c>
      <c r="V28" s="519"/>
      <c r="W28" s="519"/>
      <c r="X28" s="519"/>
      <c r="Y28" s="524"/>
      <c r="Z28" s="524"/>
      <c r="AA28" s="524"/>
      <c r="AB28" s="524"/>
      <c r="AC28" s="524"/>
      <c r="AD28" s="524"/>
      <c r="AE28" s="524"/>
      <c r="AF28" s="524"/>
      <c r="AG28" s="524"/>
      <c r="AH28" s="519"/>
      <c r="AI28" s="519"/>
      <c r="AJ28" s="519"/>
      <c r="AK28" s="519"/>
      <c r="AL28" s="519"/>
    </row>
    <row r="29" spans="1:38" ht="16.5" customHeight="1">
      <c r="A29" s="1110" t="s">
        <v>522</v>
      </c>
      <c r="B29" s="1111">
        <v>0.5</v>
      </c>
      <c r="C29" s="1102" t="s">
        <v>398</v>
      </c>
      <c r="D29" s="1112">
        <f>Sales!G62</f>
        <v>1632</v>
      </c>
      <c r="E29" s="1112">
        <f>Sales!H62</f>
        <v>1739</v>
      </c>
      <c r="F29" s="1112">
        <f>Sales!I62</f>
        <v>1841</v>
      </c>
      <c r="G29" s="1112">
        <f>Sales!J62</f>
        <v>1996.94000587357</v>
      </c>
      <c r="H29" s="1112">
        <f>Sales!K62</f>
        <v>2056.8482060497772</v>
      </c>
      <c r="I29" s="1112">
        <f>Sales!L62</f>
        <v>2118.5536522312705</v>
      </c>
      <c r="J29" s="1112">
        <f>Sales!M62</f>
        <v>2182.1102617982087</v>
      </c>
      <c r="K29" s="1112">
        <f>Sales!N62</f>
        <v>2247.5735696521551</v>
      </c>
      <c r="L29" s="1112">
        <f>Sales!O62</f>
        <v>833.87822554627746</v>
      </c>
      <c r="M29" s="1105"/>
      <c r="R29" s="1113">
        <f>(J29/F29)^(1/4)-1</f>
        <v>4.341175655097107E-2</v>
      </c>
      <c r="S29" s="1130" t="s">
        <v>536</v>
      </c>
      <c r="T29" s="525"/>
      <c r="U29" s="1114">
        <f ca="1">OFFSET(NPV!$A$32,MATCH($A28,NPV!$A$32:$A$1955,FALSE)+12,1)</f>
        <v>1.5102460521709333</v>
      </c>
      <c r="V29" s="1115">
        <f ca="1">U29/NPV!$D$29</f>
        <v>1.6554750096962993E-2</v>
      </c>
      <c r="W29" s="519"/>
      <c r="X29" s="519"/>
      <c r="Y29" s="524"/>
      <c r="Z29" s="524"/>
      <c r="AA29" s="524"/>
      <c r="AB29" s="524"/>
      <c r="AC29" s="524"/>
      <c r="AD29" s="524"/>
      <c r="AE29" s="524"/>
      <c r="AF29" s="524"/>
      <c r="AG29" s="524"/>
      <c r="AH29" s="519"/>
      <c r="AI29" s="519"/>
      <c r="AJ29" s="519"/>
      <c r="AK29" s="519"/>
      <c r="AL29" s="519"/>
    </row>
    <row r="30" spans="1:38" ht="16.5" customHeight="1">
      <c r="A30" s="1110"/>
      <c r="B30" s="1103">
        <f>B29</f>
        <v>0.5</v>
      </c>
      <c r="C30" s="523" t="s">
        <v>397</v>
      </c>
      <c r="D30" s="1104">
        <f>D29</f>
        <v>1632</v>
      </c>
      <c r="E30" s="1104">
        <f>E29</f>
        <v>1739</v>
      </c>
      <c r="F30" s="1104">
        <f>F29</f>
        <v>1841</v>
      </c>
      <c r="G30" s="1104">
        <f ca="1">G29*(1+$P30*1/3*YEARFRAC(NOW(),"31/12/2018"))</f>
        <v>1857.7089110196073</v>
      </c>
      <c r="H30" s="1104">
        <f>H29*(1+$P30*1/3)</f>
        <v>1851.1633854447996</v>
      </c>
      <c r="I30" s="1104">
        <f>I29*(1+$P30*2/3)</f>
        <v>1694.8429217850164</v>
      </c>
      <c r="J30" s="1104">
        <f t="shared" ref="J30:L30" si="14">J29*(1+$P30)</f>
        <v>1527.477183258746</v>
      </c>
      <c r="K30" s="1104">
        <f t="shared" si="14"/>
        <v>1573.3014987565084</v>
      </c>
      <c r="L30" s="1104">
        <f t="shared" si="14"/>
        <v>583.71475788239422</v>
      </c>
      <c r="M30" s="1105">
        <f>(J30-J29)*B30/'P&amp;L'!$M$50</f>
        <v>-1.8884763733090393E-2</v>
      </c>
      <c r="P30" s="1116">
        <v>-0.3</v>
      </c>
      <c r="R30" s="1107">
        <f>(J30/F30)^(1/4)-1</f>
        <v>-4.5600428242838609E-2</v>
      </c>
      <c r="S30" s="1117" t="s">
        <v>418</v>
      </c>
      <c r="T30" s="519"/>
      <c r="U30" s="1109">
        <f ca="1">(SUM(G30:L30)/SUM(G29:L29))*U29</f>
        <v>1.200205190766465</v>
      </c>
      <c r="V30" s="519"/>
      <c r="W30" s="519"/>
      <c r="X30" s="519"/>
      <c r="Y30" s="524"/>
      <c r="Z30" s="524"/>
      <c r="AA30" s="524"/>
      <c r="AB30" s="524"/>
      <c r="AC30" s="524"/>
      <c r="AD30" s="524"/>
      <c r="AE30" s="524"/>
      <c r="AF30" s="524"/>
      <c r="AG30" s="524"/>
      <c r="AH30" s="519"/>
      <c r="AI30" s="519"/>
      <c r="AJ30" s="519"/>
      <c r="AK30" s="519"/>
      <c r="AL30" s="519"/>
    </row>
    <row r="31" spans="1:38" ht="7.5" customHeight="1">
      <c r="A31" s="1102"/>
      <c r="B31" s="1118"/>
      <c r="C31" s="523"/>
      <c r="D31" s="1119"/>
      <c r="E31" s="1119"/>
      <c r="F31" s="1119"/>
      <c r="G31" s="1119"/>
      <c r="H31" s="1119"/>
      <c r="I31" s="1119"/>
      <c r="J31" s="1119"/>
      <c r="K31" s="1119"/>
      <c r="L31" s="1119"/>
      <c r="S31" s="1117"/>
      <c r="T31" s="519"/>
      <c r="U31" s="519"/>
      <c r="V31" s="519"/>
      <c r="W31" s="519"/>
      <c r="X31" s="519"/>
      <c r="Y31" s="524"/>
      <c r="Z31" s="524"/>
      <c r="AA31" s="524"/>
      <c r="AB31" s="524"/>
      <c r="AC31" s="524"/>
      <c r="AD31" s="524"/>
      <c r="AE31" s="524"/>
      <c r="AF31" s="524"/>
      <c r="AG31" s="524"/>
      <c r="AH31" s="519"/>
      <c r="AI31" s="519"/>
      <c r="AJ31" s="519"/>
      <c r="AK31" s="519"/>
      <c r="AL31" s="519"/>
    </row>
    <row r="32" spans="1:38" ht="16.5" customHeight="1">
      <c r="A32" s="1102" t="s">
        <v>416</v>
      </c>
      <c r="B32" s="1103">
        <f>B33</f>
        <v>0.5</v>
      </c>
      <c r="C32" s="523" t="s">
        <v>399</v>
      </c>
      <c r="D32" s="1104">
        <f>D33</f>
        <v>1607</v>
      </c>
      <c r="E32" s="1104">
        <f>E33</f>
        <v>1516</v>
      </c>
      <c r="F32" s="1104">
        <f>F33</f>
        <v>1525</v>
      </c>
      <c r="G32" s="1104">
        <f ca="1">G33*(1+$P32*1/3*YEARFRAC(NOW(),"31/12/2018"))</f>
        <v>1648.2551151332204</v>
      </c>
      <c r="H32" s="1104">
        <f>H33*(1+$P32*1/3)</f>
        <v>1287.4449666563969</v>
      </c>
      <c r="I32" s="1104">
        <f>I33*(1+$P32*2/3)</f>
        <v>812.10197332511734</v>
      </c>
      <c r="J32" s="1104">
        <f t="shared" ref="J32:L32" si="15">J33*(1+$P32)</f>
        <v>541.49600399352994</v>
      </c>
      <c r="K32" s="1104">
        <f t="shared" si="15"/>
        <v>433.19680319482393</v>
      </c>
      <c r="L32" s="1104">
        <f t="shared" si="15"/>
        <v>389.87712287534157</v>
      </c>
      <c r="M32" s="1105">
        <f>(J32-J33)*B32/'P&amp;L'!$M$50</f>
        <v>5.2070003961330715E-3</v>
      </c>
      <c r="P32" s="1106">
        <v>0.5</v>
      </c>
      <c r="R32" s="1107">
        <f>(J32/F32)^(1/4)-1</f>
        <v>-0.22806389701367114</v>
      </c>
      <c r="S32" s="1117" t="s">
        <v>415</v>
      </c>
      <c r="T32" s="1121"/>
      <c r="U32" s="1109">
        <f ca="1">(SUM(G32:L32)/SUM(G33:L33))*U33</f>
        <v>0.77596338401017395</v>
      </c>
      <c r="V32" s="519"/>
      <c r="W32" s="519"/>
      <c r="X32" s="519"/>
      <c r="Y32" s="519"/>
      <c r="Z32" s="519"/>
      <c r="AA32" s="519"/>
      <c r="AB32" s="519"/>
      <c r="AC32" s="519"/>
      <c r="AD32" s="519"/>
      <c r="AE32" s="519"/>
      <c r="AF32" s="519"/>
      <c r="AG32" s="519"/>
      <c r="AH32" s="519"/>
      <c r="AI32" s="519"/>
      <c r="AJ32" s="519"/>
      <c r="AK32" s="519"/>
      <c r="AL32" s="519"/>
    </row>
    <row r="33" spans="1:38" ht="16.5" customHeight="1">
      <c r="A33" s="1110" t="s">
        <v>528</v>
      </c>
      <c r="B33" s="1111">
        <v>0.5</v>
      </c>
      <c r="C33" s="1102" t="s">
        <v>398</v>
      </c>
      <c r="D33" s="1112">
        <f>Sales!G74</f>
        <v>1607</v>
      </c>
      <c r="E33" s="1112">
        <f>Sales!H74</f>
        <v>1516</v>
      </c>
      <c r="F33" s="1112">
        <f>Sales!I74</f>
        <v>1525</v>
      </c>
      <c r="G33" s="1112">
        <f>Sales!J74</f>
        <v>1476.6615714175678</v>
      </c>
      <c r="H33" s="1112">
        <f>Sales!K74</f>
        <v>1103.5242571340543</v>
      </c>
      <c r="I33" s="1112">
        <f>Sales!L74</f>
        <v>609.07647999383801</v>
      </c>
      <c r="J33" s="1112">
        <f>Sales!M74</f>
        <v>360.99733599568663</v>
      </c>
      <c r="K33" s="1112">
        <f>Sales!N74</f>
        <v>288.79786879654927</v>
      </c>
      <c r="L33" s="1112">
        <f>Sales!O74</f>
        <v>259.91808191689438</v>
      </c>
      <c r="M33" s="1105"/>
      <c r="R33" s="1113">
        <f>(J33/F33)^(1/4)-1</f>
        <v>-0.30247699068277778</v>
      </c>
      <c r="S33" s="1123" t="s">
        <v>538</v>
      </c>
      <c r="T33" s="519"/>
      <c r="U33" s="1114">
        <f ca="1">OFFSET(NPV!$A$32,MATCH($A32,NPV!$A$32:$A$1955,FALSE)+12,1)</f>
        <v>0.62214858055910016</v>
      </c>
      <c r="V33" s="1115">
        <f ca="1">U33/NPV!$D$29</f>
        <v>6.8197591111268992E-3</v>
      </c>
      <c r="W33" s="519"/>
      <c r="X33" s="519"/>
      <c r="Y33" s="519"/>
      <c r="Z33" s="519"/>
      <c r="AA33" s="519"/>
      <c r="AB33" s="519"/>
      <c r="AC33" s="519"/>
      <c r="AD33" s="519"/>
      <c r="AE33" s="519"/>
      <c r="AF33" s="519"/>
      <c r="AG33" s="519"/>
      <c r="AH33" s="519"/>
      <c r="AI33" s="519"/>
      <c r="AJ33" s="519"/>
      <c r="AK33" s="519"/>
      <c r="AL33" s="519"/>
    </row>
    <row r="34" spans="1:38" ht="16.5" customHeight="1">
      <c r="A34" s="1102"/>
      <c r="B34" s="1103">
        <f>B33</f>
        <v>0.5</v>
      </c>
      <c r="C34" s="523" t="s">
        <v>397</v>
      </c>
      <c r="D34" s="1104">
        <f>D33</f>
        <v>1607</v>
      </c>
      <c r="E34" s="1104">
        <f>E33</f>
        <v>1516</v>
      </c>
      <c r="F34" s="1104">
        <f>F33</f>
        <v>1525</v>
      </c>
      <c r="G34" s="1104">
        <f ca="1">G33*(1+$P34*1/3*YEARFRAC(NOW(),"31/12/2018"))</f>
        <v>1408.0241539313067</v>
      </c>
      <c r="H34" s="1104">
        <f>H33*(1+$P34*1/3)</f>
        <v>1029.9559733251174</v>
      </c>
      <c r="I34" s="1104">
        <f>I33*(1+$P34*2/3)</f>
        <v>527.8662826613263</v>
      </c>
      <c r="J34" s="1104">
        <f t="shared" ref="J34:L34" si="16">J33*(1+$P34)</f>
        <v>288.79786879654932</v>
      </c>
      <c r="K34" s="1104">
        <f t="shared" si="16"/>
        <v>231.03829503723944</v>
      </c>
      <c r="L34" s="1104">
        <f t="shared" si="16"/>
        <v>207.93446553351552</v>
      </c>
      <c r="M34" s="1105">
        <f>(J34-J33)*B34/'P&amp;L'!$M$50</f>
        <v>-2.0828001584532281E-3</v>
      </c>
      <c r="P34" s="1116">
        <v>-0.2</v>
      </c>
      <c r="R34" s="1107">
        <f>(J34/F34)^(1/4)-1</f>
        <v>-0.34032346685159298</v>
      </c>
      <c r="S34" s="1123" t="s">
        <v>414</v>
      </c>
      <c r="T34" s="519"/>
      <c r="U34" s="1109">
        <f ca="1">(SUM(G34:L34)/SUM(G33:L33))*U33</f>
        <v>0.56062265917867071</v>
      </c>
      <c r="V34" s="519"/>
      <c r="W34" s="519"/>
      <c r="X34" s="519"/>
      <c r="Y34" s="519"/>
      <c r="Z34" s="519"/>
      <c r="AA34" s="519"/>
      <c r="AB34" s="519"/>
      <c r="AC34" s="519"/>
      <c r="AD34" s="519"/>
      <c r="AE34" s="519"/>
      <c r="AF34" s="519"/>
      <c r="AG34" s="519"/>
      <c r="AH34" s="519"/>
      <c r="AI34" s="519"/>
      <c r="AJ34" s="519"/>
      <c r="AK34" s="519"/>
      <c r="AL34" s="519"/>
    </row>
    <row r="35" spans="1:38" ht="7.5" customHeight="1">
      <c r="A35" s="1102"/>
      <c r="B35" s="1118"/>
      <c r="C35" s="523"/>
      <c r="D35" s="1124"/>
      <c r="E35" s="1124"/>
      <c r="F35" s="1124"/>
      <c r="G35" s="1124"/>
      <c r="H35" s="1124"/>
      <c r="I35" s="1124"/>
      <c r="J35" s="1124"/>
      <c r="K35" s="1124"/>
      <c r="L35" s="1124"/>
      <c r="S35" s="1125"/>
      <c r="T35" s="519"/>
      <c r="U35" s="519"/>
      <c r="V35" s="519"/>
      <c r="W35" s="519"/>
      <c r="X35" s="519"/>
      <c r="Y35" s="519"/>
      <c r="Z35" s="519"/>
      <c r="AA35" s="519"/>
      <c r="AB35" s="519"/>
      <c r="AC35" s="519"/>
      <c r="AD35" s="519"/>
      <c r="AE35" s="519"/>
      <c r="AF35" s="519"/>
      <c r="AG35" s="519"/>
      <c r="AH35" s="519"/>
      <c r="AI35" s="519"/>
      <c r="AJ35" s="519"/>
      <c r="AK35" s="519"/>
      <c r="AL35" s="519"/>
    </row>
    <row r="36" spans="1:38" ht="16.5" customHeight="1">
      <c r="A36" s="1102" t="s">
        <v>23</v>
      </c>
      <c r="B36" s="1103">
        <f>B37</f>
        <v>0.5</v>
      </c>
      <c r="C36" s="523" t="s">
        <v>399</v>
      </c>
      <c r="D36" s="1104">
        <f>D37</f>
        <v>565</v>
      </c>
      <c r="E36" s="1104">
        <f>E37</f>
        <v>729</v>
      </c>
      <c r="F36" s="1104">
        <f>F37</f>
        <v>808</v>
      </c>
      <c r="G36" s="1104">
        <f ca="1">G37*(1+$P36*1/3*YEARFRAC(NOW(),"31/12/2018"))</f>
        <v>998.58485254623133</v>
      </c>
      <c r="H36" s="1104">
        <f>H37*(1+$P36*1/3)</f>
        <v>1095.9168477135331</v>
      </c>
      <c r="I36" s="1104">
        <f>I37*(1+$P36*2/3)</f>
        <v>1302.5646172562394</v>
      </c>
      <c r="J36" s="1104">
        <f t="shared" ref="J36:L36" si="17">J37*(1+$P36)</f>
        <v>1524.128827633933</v>
      </c>
      <c r="K36" s="1104">
        <f t="shared" si="17"/>
        <v>1263.7038748781297</v>
      </c>
      <c r="L36" s="1104">
        <f t="shared" si="17"/>
        <v>945.37348859953613</v>
      </c>
      <c r="M36" s="1105">
        <f>(J36-J37)*B36/'P&amp;L'!$M$50</f>
        <v>1.4655951938183736E-2</v>
      </c>
      <c r="P36" s="1106">
        <v>0.5</v>
      </c>
      <c r="R36" s="1107">
        <f>(J36/F36)^(1/4)-1</f>
        <v>0.17193244848264366</v>
      </c>
      <c r="S36" s="1123" t="s">
        <v>553</v>
      </c>
      <c r="T36" s="1121"/>
      <c r="U36" s="1109">
        <f ca="1">(SUM(G36:L36)/SUM(G37:L37))*U37</f>
        <v>1.5830847963427757</v>
      </c>
      <c r="V36" s="519"/>
      <c r="W36" s="519"/>
      <c r="X36" s="519"/>
      <c r="Y36" s="519"/>
      <c r="Z36" s="519"/>
      <c r="AA36" s="519"/>
      <c r="AB36" s="519"/>
      <c r="AC36" s="519"/>
      <c r="AD36" s="519"/>
      <c r="AE36" s="519"/>
      <c r="AF36" s="519"/>
      <c r="AG36" s="519"/>
      <c r="AH36" s="519"/>
      <c r="AI36" s="519"/>
      <c r="AJ36" s="519"/>
      <c r="AK36" s="519"/>
      <c r="AL36" s="519"/>
    </row>
    <row r="37" spans="1:38" ht="16.5" customHeight="1">
      <c r="A37" s="1110" t="s">
        <v>527</v>
      </c>
      <c r="B37" s="1111">
        <v>0.5</v>
      </c>
      <c r="C37" s="1102" t="s">
        <v>398</v>
      </c>
      <c r="D37" s="1112">
        <f>Sales!G98</f>
        <v>565</v>
      </c>
      <c r="E37" s="1112">
        <f>Sales!H98</f>
        <v>729</v>
      </c>
      <c r="F37" s="1112">
        <f>Sales!I98</f>
        <v>808</v>
      </c>
      <c r="G37" s="1112">
        <f>Sales!J98</f>
        <v>894.6259981334963</v>
      </c>
      <c r="H37" s="1112">
        <f>Sales!K98</f>
        <v>939.35729804017114</v>
      </c>
      <c r="I37" s="1112">
        <f>Sales!L98</f>
        <v>976.92346294217964</v>
      </c>
      <c r="J37" s="1112">
        <f>Sales!M98</f>
        <v>1016.0858850892887</v>
      </c>
      <c r="K37" s="1112">
        <f>Sales!N98</f>
        <v>842.46924991875312</v>
      </c>
      <c r="L37" s="1112">
        <f>Sales!O98</f>
        <v>630.24899239969079</v>
      </c>
      <c r="M37" s="1105"/>
      <c r="R37" s="1113">
        <f>(J37/F37)^(1/4)-1</f>
        <v>5.8960508544308121E-2</v>
      </c>
      <c r="S37" s="1123" t="s">
        <v>552</v>
      </c>
      <c r="T37" s="519"/>
      <c r="U37" s="1114">
        <f ca="1">OFFSET(NPV!$A$32,MATCH($A36,NPV!$A$32:$A$1955,FALSE)+12,1)</f>
        <v>1.1766579354878846</v>
      </c>
      <c r="V37" s="1115">
        <f ca="1">U37/NPV!$D$29</f>
        <v>1.2898082430746603E-2</v>
      </c>
      <c r="W37" s="519"/>
      <c r="X37" s="519"/>
      <c r="Y37" s="519"/>
      <c r="Z37" s="519"/>
      <c r="AA37" s="519"/>
      <c r="AB37" s="519"/>
      <c r="AC37" s="519"/>
      <c r="AD37" s="519"/>
      <c r="AE37" s="519"/>
      <c r="AF37" s="519"/>
      <c r="AG37" s="519"/>
      <c r="AH37" s="519"/>
      <c r="AI37" s="519"/>
      <c r="AJ37" s="519"/>
      <c r="AK37" s="519"/>
      <c r="AL37" s="519"/>
    </row>
    <row r="38" spans="1:38" ht="16.5" customHeight="1">
      <c r="A38" s="1102"/>
      <c r="B38" s="1103">
        <f>B37</f>
        <v>0.5</v>
      </c>
      <c r="C38" s="523" t="s">
        <v>397</v>
      </c>
      <c r="D38" s="1104">
        <f>D37</f>
        <v>565</v>
      </c>
      <c r="E38" s="1104">
        <f>E37</f>
        <v>729</v>
      </c>
      <c r="F38" s="1104">
        <f>F37</f>
        <v>808</v>
      </c>
      <c r="G38" s="1104">
        <f ca="1">G37*(1+$P38*1/3*YEARFRAC(NOW(),"31/12/2018"))</f>
        <v>853.04245636840233</v>
      </c>
      <c r="H38" s="1104">
        <f>H37*(1+$P38*1/3)</f>
        <v>876.7334781708264</v>
      </c>
      <c r="I38" s="1104">
        <f>I37*(1+$P38*2/3)</f>
        <v>846.66700121655572</v>
      </c>
      <c r="J38" s="1104">
        <f t="shared" ref="J38:L38" si="18">J37*(1+$P38)</f>
        <v>812.868708071431</v>
      </c>
      <c r="K38" s="1104">
        <f t="shared" si="18"/>
        <v>673.97539993500254</v>
      </c>
      <c r="L38" s="1104">
        <f t="shared" si="18"/>
        <v>504.19919391975264</v>
      </c>
      <c r="M38" s="1105">
        <f>(J38-J37)*B38/'P&amp;L'!$M$50</f>
        <v>-5.8623807752734933E-3</v>
      </c>
      <c r="P38" s="1116">
        <v>-0.2</v>
      </c>
      <c r="R38" s="1107">
        <f>(J38/F38)^(1/4)-1</f>
        <v>1.5030152215151915E-3</v>
      </c>
      <c r="S38" s="1123" t="s">
        <v>549</v>
      </c>
      <c r="T38" s="519"/>
      <c r="U38" s="1109">
        <f ca="1">(SUM(G38:L38)/SUM(G37:L37))*U37</f>
        <v>1.0140871911459277</v>
      </c>
      <c r="V38" s="519"/>
      <c r="W38" s="519"/>
      <c r="X38" s="519"/>
      <c r="Y38" s="519"/>
      <c r="Z38" s="519"/>
      <c r="AA38" s="519"/>
      <c r="AB38" s="519"/>
      <c r="AC38" s="519"/>
      <c r="AD38" s="519"/>
      <c r="AE38" s="519"/>
      <c r="AF38" s="519"/>
      <c r="AG38" s="519"/>
      <c r="AH38" s="519"/>
      <c r="AI38" s="519"/>
      <c r="AJ38" s="519"/>
      <c r="AK38" s="519"/>
      <c r="AL38" s="519"/>
    </row>
    <row r="39" spans="1:38" ht="7.5" customHeight="1">
      <c r="A39" s="523"/>
      <c r="B39" s="1131"/>
      <c r="C39" s="523"/>
      <c r="D39" s="1119"/>
      <c r="E39" s="1119"/>
      <c r="F39" s="1119"/>
      <c r="G39" s="1119"/>
      <c r="H39" s="1119"/>
      <c r="I39" s="1119"/>
      <c r="J39" s="1119"/>
      <c r="K39" s="1119"/>
      <c r="L39" s="1119"/>
      <c r="S39" s="1123"/>
      <c r="T39" s="519"/>
      <c r="U39" s="519"/>
      <c r="V39" s="519"/>
      <c r="W39" s="519"/>
      <c r="X39" s="519"/>
      <c r="Y39" s="519"/>
      <c r="Z39" s="519"/>
      <c r="AA39" s="519"/>
      <c r="AB39" s="519"/>
      <c r="AC39" s="519"/>
      <c r="AD39" s="519"/>
      <c r="AE39" s="519"/>
      <c r="AF39" s="519"/>
      <c r="AG39" s="519"/>
      <c r="AH39" s="519"/>
      <c r="AI39" s="519"/>
      <c r="AJ39" s="519"/>
      <c r="AK39" s="519"/>
      <c r="AL39" s="519"/>
    </row>
    <row r="40" spans="1:38" ht="16.5" customHeight="1">
      <c r="A40" s="1102" t="s">
        <v>24</v>
      </c>
      <c r="B40" s="1103">
        <f>B41</f>
        <v>0.5</v>
      </c>
      <c r="C40" s="523" t="s">
        <v>399</v>
      </c>
      <c r="D40" s="1104">
        <f>D41</f>
        <v>453</v>
      </c>
      <c r="E40" s="1104">
        <f>E41</f>
        <v>672</v>
      </c>
      <c r="F40" s="1104">
        <f>F41</f>
        <v>873</v>
      </c>
      <c r="G40" s="1104">
        <f ca="1">G41*(1+$P40*1/3*YEARFRAC(NOW(),"31/12/2018"))</f>
        <v>1099.0922361515029</v>
      </c>
      <c r="H40" s="1104">
        <f>H41*(1+$P40*1/3)</f>
        <v>1176.3068207829212</v>
      </c>
      <c r="I40" s="1104">
        <f>I41*(1+$P40*2/3)</f>
        <v>1312.3172969359468</v>
      </c>
      <c r="J40" s="1104">
        <f t="shared" ref="J40:L40" si="19">J41*(1+$P40)</f>
        <v>1458.9880536523171</v>
      </c>
      <c r="K40" s="1104">
        <f t="shared" si="19"/>
        <v>1531.9374563349331</v>
      </c>
      <c r="L40" s="1104">
        <f t="shared" si="19"/>
        <v>1577.8955800249812</v>
      </c>
      <c r="M40" s="1105">
        <f>(J40-J41)*B40/'P&amp;L'!$M$50</f>
        <v>7.0147806422333342E-3</v>
      </c>
      <c r="P40" s="1106">
        <v>0.2</v>
      </c>
      <c r="R40" s="1107">
        <f>(J40/F40)^(1/4)-1</f>
        <v>0.13699714202274005</v>
      </c>
      <c r="S40" s="1117" t="s">
        <v>555</v>
      </c>
      <c r="T40" s="1121"/>
      <c r="U40" s="1109">
        <f ca="1">(SUM(G40:L40)/SUM(G41:L41))*U41</f>
        <v>2.1838342978901326</v>
      </c>
      <c r="V40" s="1115"/>
      <c r="W40" s="519"/>
      <c r="X40" s="519"/>
      <c r="Y40" s="519"/>
      <c r="Z40" s="519"/>
      <c r="AA40" s="519"/>
      <c r="AB40" s="519"/>
      <c r="AC40" s="519"/>
      <c r="AD40" s="519"/>
      <c r="AE40" s="519"/>
      <c r="AF40" s="519"/>
      <c r="AG40" s="519"/>
      <c r="AH40" s="519"/>
      <c r="AI40" s="519"/>
      <c r="AJ40" s="519"/>
      <c r="AK40" s="519"/>
      <c r="AL40" s="519"/>
    </row>
    <row r="41" spans="1:38" ht="16.5" customHeight="1">
      <c r="A41" s="1110" t="s">
        <v>554</v>
      </c>
      <c r="B41" s="1111">
        <v>0.5</v>
      </c>
      <c r="C41" s="1102" t="s">
        <v>398</v>
      </c>
      <c r="D41" s="1112">
        <f>Sales!G106</f>
        <v>453</v>
      </c>
      <c r="E41" s="1112">
        <f>Sales!H106</f>
        <v>672</v>
      </c>
      <c r="F41" s="1112">
        <f>Sales!I106</f>
        <v>873</v>
      </c>
      <c r="G41" s="1112">
        <f>Sales!J106</f>
        <v>1050.2739471276084</v>
      </c>
      <c r="H41" s="1112">
        <f>Sales!K106</f>
        <v>1102.7876444839887</v>
      </c>
      <c r="I41" s="1112">
        <f>Sales!L106</f>
        <v>1157.9270267081884</v>
      </c>
      <c r="J41" s="1112">
        <f>Sales!M106</f>
        <v>1215.8233780435976</v>
      </c>
      <c r="K41" s="1112">
        <f>Sales!N106</f>
        <v>1276.6145469457776</v>
      </c>
      <c r="L41" s="1112">
        <f>Sales!O106</f>
        <v>1314.912983354151</v>
      </c>
      <c r="M41" s="1105"/>
      <c r="R41" s="1113">
        <f>(J41/F41)^(1/4)-1</f>
        <v>8.6335724102591715E-2</v>
      </c>
      <c r="S41" s="1123" t="s">
        <v>554</v>
      </c>
      <c r="T41" s="519"/>
      <c r="U41" s="1114">
        <f ca="1">OFFSET(NPV!$A$32,MATCH($A40,NPV!$A$32:$A$1955,FALSE)+12,1)</f>
        <v>1.9058668104335497</v>
      </c>
      <c r="V41" s="1115">
        <f ca="1">U41/NPV!$D$29</f>
        <v>2.0891396285704262E-2</v>
      </c>
      <c r="W41" s="519"/>
      <c r="X41" s="519"/>
      <c r="Y41" s="519"/>
      <c r="Z41" s="519"/>
      <c r="AA41" s="519"/>
      <c r="AB41" s="519"/>
      <c r="AC41" s="519"/>
      <c r="AD41" s="519"/>
      <c r="AE41" s="519"/>
      <c r="AF41" s="519"/>
      <c r="AG41" s="519"/>
      <c r="AH41" s="519"/>
      <c r="AI41" s="519"/>
      <c r="AJ41" s="519"/>
      <c r="AK41" s="519"/>
      <c r="AL41" s="519"/>
    </row>
    <row r="42" spans="1:38" ht="16.5" customHeight="1">
      <c r="A42" s="1102"/>
      <c r="B42" s="1103">
        <f>B41</f>
        <v>0.5</v>
      </c>
      <c r="C42" s="523" t="s">
        <v>397</v>
      </c>
      <c r="D42" s="1104">
        <f>D41</f>
        <v>453</v>
      </c>
      <c r="E42" s="1104">
        <f>E41</f>
        <v>672</v>
      </c>
      <c r="F42" s="1104">
        <f>F41</f>
        <v>873</v>
      </c>
      <c r="G42" s="1104">
        <f ca="1">G41*(1+$P42*1/3*YEARFRAC(NOW(),"31/12/2018"))</f>
        <v>1001.455658103714</v>
      </c>
      <c r="H42" s="1104">
        <f>H41*(1+$P42*1/3)</f>
        <v>1029.2684681850562</v>
      </c>
      <c r="I42" s="1104">
        <f>I41*(1+$P42*2/3)</f>
        <v>1003.53675648043</v>
      </c>
      <c r="J42" s="1104">
        <f t="shared" ref="J42:L42" si="20">J41*(1+$P42)</f>
        <v>972.65870243487814</v>
      </c>
      <c r="K42" s="1104">
        <f t="shared" si="20"/>
        <v>1021.2916375566222</v>
      </c>
      <c r="L42" s="1104">
        <f t="shared" si="20"/>
        <v>1051.9303866833209</v>
      </c>
      <c r="M42" s="1105">
        <f>(J42-J41)*B42/'P&amp;L'!$M$50</f>
        <v>-7.0147806422333307E-3</v>
      </c>
      <c r="P42" s="1116">
        <v>-0.2</v>
      </c>
      <c r="R42" s="1107">
        <f>(J42/F42)^(1/4)-1</f>
        <v>2.7392895630415248E-2</v>
      </c>
      <c r="S42" s="1123" t="s">
        <v>549</v>
      </c>
      <c r="T42" s="519"/>
      <c r="U42" s="1109">
        <f ca="1">(SUM(G42:L42)/SUM(G41:L41))*U41</f>
        <v>1.6278993229769665</v>
      </c>
      <c r="V42" s="519"/>
      <c r="W42" s="519"/>
      <c r="X42" s="519"/>
      <c r="Y42" s="519"/>
      <c r="Z42" s="519"/>
      <c r="AA42" s="519"/>
      <c r="AB42" s="519"/>
      <c r="AC42" s="519"/>
      <c r="AD42" s="519"/>
      <c r="AE42" s="519"/>
      <c r="AF42" s="519"/>
      <c r="AG42" s="519"/>
      <c r="AH42" s="519"/>
      <c r="AI42" s="519"/>
      <c r="AJ42" s="519"/>
      <c r="AK42" s="519"/>
      <c r="AL42" s="519"/>
    </row>
    <row r="43" spans="1:38" ht="7.5" customHeight="1">
      <c r="A43" s="1102"/>
      <c r="B43" s="1118"/>
      <c r="C43" s="523"/>
      <c r="D43" s="1124"/>
      <c r="E43" s="1124"/>
      <c r="F43" s="1124"/>
      <c r="G43" s="1124"/>
      <c r="H43" s="1124"/>
      <c r="I43" s="1124"/>
      <c r="J43" s="1124"/>
      <c r="K43" s="1124"/>
      <c r="L43" s="1124"/>
      <c r="S43" s="1125"/>
      <c r="T43" s="519"/>
      <c r="U43" s="519"/>
      <c r="V43" s="519"/>
      <c r="W43" s="519"/>
      <c r="X43" s="519"/>
      <c r="Y43" s="519"/>
      <c r="Z43" s="519"/>
      <c r="AA43" s="519"/>
      <c r="AB43" s="519"/>
      <c r="AC43" s="519"/>
      <c r="AD43" s="519"/>
      <c r="AE43" s="519"/>
      <c r="AF43" s="519"/>
      <c r="AG43" s="519"/>
      <c r="AH43" s="519"/>
      <c r="AI43" s="519"/>
      <c r="AJ43" s="519"/>
      <c r="AK43" s="519"/>
      <c r="AL43" s="519"/>
    </row>
    <row r="44" spans="1:38" ht="16.5" customHeight="1">
      <c r="A44" s="1132" t="s">
        <v>25</v>
      </c>
      <c r="B44" s="1103">
        <f>B45</f>
        <v>0.5</v>
      </c>
      <c r="C44" s="523" t="s">
        <v>399</v>
      </c>
      <c r="D44" s="1104">
        <f>D45</f>
        <v>410</v>
      </c>
      <c r="E44" s="1104">
        <f>E45</f>
        <v>581</v>
      </c>
      <c r="F44" s="1104">
        <f>F45</f>
        <v>777</v>
      </c>
      <c r="G44" s="1104">
        <f ca="1">G45*(1+$P44*1/3*YEARFRAC(NOW(),"31/12/2018"))</f>
        <v>973.99757379978598</v>
      </c>
      <c r="H44" s="1104">
        <f>H45*(1+$P44*1/3)</f>
        <v>1092.0631087587053</v>
      </c>
      <c r="I44" s="1104">
        <f>I45*(1+$P44*2/3)</f>
        <v>1276.3487583617371</v>
      </c>
      <c r="J44" s="1104">
        <f t="shared" ref="J44:L44" si="21">J45*(1+$P44)</f>
        <v>1418.9995019433429</v>
      </c>
      <c r="K44" s="1104">
        <f t="shared" si="21"/>
        <v>1461.5694870016434</v>
      </c>
      <c r="L44" s="1104">
        <f t="shared" si="21"/>
        <v>1505.4165716116927</v>
      </c>
      <c r="M44" s="1105">
        <f>(J44-J45)*B44/'P&amp;L'!$M$50</f>
        <v>6.8225166153025743E-3</v>
      </c>
      <c r="P44" s="1106">
        <v>0.2</v>
      </c>
      <c r="R44" s="1107">
        <f>(J44/F44)^(1/4)-1</f>
        <v>0.16249289188163374</v>
      </c>
      <c r="S44" s="1117" t="s">
        <v>551</v>
      </c>
      <c r="T44" s="525"/>
      <c r="U44" s="1109">
        <f ca="1">(SUM(G44:L44)/SUM(G45:L45))*U45</f>
        <v>2.2220713446159124</v>
      </c>
      <c r="V44" s="519"/>
      <c r="W44" s="519"/>
      <c r="X44" s="522"/>
      <c r="Y44" s="519"/>
      <c r="Z44" s="519"/>
      <c r="AA44" s="519"/>
      <c r="AB44" s="519"/>
      <c r="AC44" s="519"/>
      <c r="AD44" s="519"/>
      <c r="AE44" s="519"/>
      <c r="AF44" s="519"/>
      <c r="AG44" s="519"/>
      <c r="AH44" s="519"/>
      <c r="AI44" s="519"/>
      <c r="AJ44" s="519"/>
      <c r="AK44" s="519"/>
      <c r="AL44" s="519"/>
    </row>
    <row r="45" spans="1:38" ht="16.5" customHeight="1">
      <c r="A45" s="1110" t="s">
        <v>410</v>
      </c>
      <c r="B45" s="1111">
        <v>0.5</v>
      </c>
      <c r="C45" s="1102" t="s">
        <v>398</v>
      </c>
      <c r="D45" s="1112">
        <f>Sales!G114</f>
        <v>410</v>
      </c>
      <c r="E45" s="1112">
        <f>Sales!H114</f>
        <v>581</v>
      </c>
      <c r="F45" s="1112">
        <f>Sales!I114</f>
        <v>777</v>
      </c>
      <c r="G45" s="1112">
        <f>Sales!J114</f>
        <v>930.7356040557147</v>
      </c>
      <c r="H45" s="1112">
        <f>Sales!K114</f>
        <v>1023.8091644612863</v>
      </c>
      <c r="I45" s="1112">
        <f>Sales!L114</f>
        <v>1126.190080907415</v>
      </c>
      <c r="J45" s="1112">
        <f>Sales!M114</f>
        <v>1182.4995849527859</v>
      </c>
      <c r="K45" s="1112">
        <f>Sales!N114</f>
        <v>1217.9745725013695</v>
      </c>
      <c r="L45" s="1112">
        <f>Sales!O114</f>
        <v>1254.5138096764106</v>
      </c>
      <c r="M45" s="1105"/>
      <c r="R45" s="1113">
        <f>(J45/F45)^(1/4)-1</f>
        <v>0.11069545453711727</v>
      </c>
      <c r="S45" s="1117" t="s">
        <v>550</v>
      </c>
      <c r="T45" s="525"/>
      <c r="U45" s="1114">
        <f ca="1">OFFSET(NPV!$A$32,MATCH($A44,NPV!$A$32:$A$1955,FALSE)+12,1)</f>
        <v>1.9366578252123685</v>
      </c>
      <c r="V45" s="1115">
        <f ca="1">U45/NPV!$D$29</f>
        <v>2.1228915827081314E-2</v>
      </c>
      <c r="W45" s="519"/>
      <c r="X45" s="522"/>
      <c r="Y45" s="519"/>
      <c r="Z45" s="519"/>
      <c r="AA45" s="519"/>
      <c r="AB45" s="519"/>
      <c r="AC45" s="519"/>
      <c r="AD45" s="519"/>
      <c r="AE45" s="519"/>
      <c r="AF45" s="519"/>
      <c r="AG45" s="519"/>
      <c r="AH45" s="519"/>
      <c r="AI45" s="519"/>
      <c r="AJ45" s="519"/>
      <c r="AK45" s="519"/>
      <c r="AL45" s="519"/>
    </row>
    <row r="46" spans="1:38" ht="16.5" customHeight="1">
      <c r="A46" s="1102"/>
      <c r="B46" s="1103">
        <f>B45</f>
        <v>0.5</v>
      </c>
      <c r="C46" s="523" t="s">
        <v>397</v>
      </c>
      <c r="D46" s="1104">
        <f>D45</f>
        <v>410</v>
      </c>
      <c r="E46" s="1104">
        <f>E45</f>
        <v>581</v>
      </c>
      <c r="F46" s="1104">
        <f>F45</f>
        <v>777</v>
      </c>
      <c r="G46" s="1104">
        <f ca="1">G45*(1+$P46*1/3*YEARFRAC(NOW(),"31/12/2018"))</f>
        <v>887.47363431164354</v>
      </c>
      <c r="H46" s="1104">
        <f>H45*(1+$P46*1/3)</f>
        <v>955.55522016386726</v>
      </c>
      <c r="I46" s="1104">
        <f>I45*(1+$P46*2/3)</f>
        <v>976.03140345309305</v>
      </c>
      <c r="J46" s="1104">
        <f t="shared" ref="J46:L46" si="22">J45*(1+$P46)</f>
        <v>945.99966796222873</v>
      </c>
      <c r="K46" s="1104">
        <f t="shared" si="22"/>
        <v>974.37965800109566</v>
      </c>
      <c r="L46" s="1104">
        <f t="shared" si="22"/>
        <v>1003.6110477411285</v>
      </c>
      <c r="M46" s="1105">
        <f>(J46-J45)*B46/'P&amp;L'!$M$50</f>
        <v>-6.8225166153025778E-3</v>
      </c>
      <c r="P46" s="1116">
        <v>-0.2</v>
      </c>
      <c r="R46" s="1107">
        <f>(J46/F46)^(1/4)-1</f>
        <v>5.0430906286446975E-2</v>
      </c>
      <c r="S46" s="1123" t="s">
        <v>409</v>
      </c>
      <c r="T46" s="525"/>
      <c r="U46" s="1109">
        <f ca="1">(SUM(G46:L46)/SUM(G45:L45))*U45</f>
        <v>1.6512443058088251</v>
      </c>
      <c r="V46" s="519"/>
      <c r="W46" s="519"/>
      <c r="X46" s="522"/>
      <c r="Y46" s="519"/>
      <c r="Z46" s="519"/>
      <c r="AA46" s="519"/>
      <c r="AB46" s="519"/>
      <c r="AC46" s="519"/>
      <c r="AD46" s="519"/>
      <c r="AE46" s="519"/>
      <c r="AF46" s="519"/>
      <c r="AG46" s="519"/>
      <c r="AH46" s="519"/>
      <c r="AI46" s="519"/>
      <c r="AJ46" s="519"/>
      <c r="AK46" s="519"/>
      <c r="AL46" s="519"/>
    </row>
    <row r="47" spans="1:38" ht="7.5" customHeight="1">
      <c r="A47" s="1102"/>
      <c r="B47" s="1118"/>
      <c r="C47" s="523"/>
      <c r="D47" s="1119"/>
      <c r="E47" s="1119"/>
      <c r="F47" s="1119"/>
      <c r="G47" s="1119"/>
      <c r="H47" s="1119"/>
      <c r="I47" s="1119"/>
      <c r="J47" s="1119"/>
      <c r="K47" s="1119"/>
      <c r="L47" s="1119"/>
      <c r="S47" s="1117"/>
      <c r="T47" s="519"/>
      <c r="U47" s="519"/>
      <c r="V47" s="519"/>
      <c r="W47" s="519"/>
      <c r="X47" s="522"/>
      <c r="Y47" s="524"/>
      <c r="Z47" s="524"/>
      <c r="AA47" s="519"/>
      <c r="AB47" s="519"/>
      <c r="AC47" s="519"/>
      <c r="AD47" s="519"/>
      <c r="AE47" s="519"/>
      <c r="AF47" s="519"/>
      <c r="AG47" s="519"/>
      <c r="AH47" s="519"/>
      <c r="AI47" s="519"/>
      <c r="AJ47" s="519"/>
      <c r="AK47" s="519"/>
      <c r="AL47" s="519"/>
    </row>
    <row r="48" spans="1:38" ht="16.5" customHeight="1">
      <c r="A48" s="1102" t="s">
        <v>50</v>
      </c>
      <c r="B48" s="1103">
        <f>B49</f>
        <v>0.5</v>
      </c>
      <c r="C48" s="523" t="s">
        <v>399</v>
      </c>
      <c r="D48" s="1104">
        <f>D49</f>
        <v>1140</v>
      </c>
      <c r="E48" s="1104">
        <f>E49</f>
        <v>1193</v>
      </c>
      <c r="F48" s="1104">
        <f>F49</f>
        <v>1233</v>
      </c>
      <c r="G48" s="1104">
        <f ca="1">G49*(1+$P48*1/3*YEARFRAC(NOW(),"31/12/2018"))</f>
        <v>1379.8683950034267</v>
      </c>
      <c r="H48" s="1104">
        <f>H49*(1+$P48*1/3)</f>
        <v>1463.1524615555297</v>
      </c>
      <c r="I48" s="1104">
        <f>I49*(1+$P48*2/3)</f>
        <v>1585.8684744601867</v>
      </c>
      <c r="J48" s="1104">
        <f t="shared" ref="J48:L48" si="23">J49*(1+$P48)</f>
        <v>1717.1982075014212</v>
      </c>
      <c r="K48" s="1104">
        <f t="shared" si="23"/>
        <v>1373.7585660011368</v>
      </c>
      <c r="L48" s="1104">
        <f t="shared" si="23"/>
        <v>686.87928300056842</v>
      </c>
      <c r="M48" s="1105">
        <f>(J48-J49)*B48/'P&amp;L'!$M$50</f>
        <v>4.5034085775614314E-3</v>
      </c>
      <c r="P48" s="1106">
        <v>0.1</v>
      </c>
      <c r="R48" s="1107">
        <f>(J48/F48)^(1/4)-1</f>
        <v>8.6336414338354928E-2</v>
      </c>
      <c r="S48" s="1117" t="s">
        <v>540</v>
      </c>
      <c r="T48" s="525"/>
      <c r="U48" s="1109">
        <f ca="1">(SUM(G48:L48)/SUM(G49:L49))*U49</f>
        <v>1.375101197361682</v>
      </c>
      <c r="V48" s="519"/>
      <c r="W48" s="519"/>
      <c r="X48" s="522"/>
      <c r="Y48" s="519"/>
      <c r="Z48" s="519"/>
      <c r="AA48" s="519"/>
      <c r="AB48" s="519"/>
      <c r="AC48" s="519"/>
      <c r="AD48" s="519"/>
      <c r="AE48" s="519"/>
      <c r="AF48" s="519"/>
      <c r="AG48" s="519"/>
      <c r="AH48" s="519"/>
      <c r="AI48" s="519"/>
      <c r="AJ48" s="519"/>
      <c r="AK48" s="519"/>
      <c r="AL48" s="519"/>
    </row>
    <row r="49" spans="1:38" ht="16.5" customHeight="1">
      <c r="A49" s="1110" t="s">
        <v>541</v>
      </c>
      <c r="B49" s="1111">
        <v>0.5</v>
      </c>
      <c r="C49" s="1102" t="s">
        <v>398</v>
      </c>
      <c r="D49" s="1112">
        <f>Sales!G372</f>
        <v>1140</v>
      </c>
      <c r="E49" s="1112">
        <f>Sales!H372</f>
        <v>1193</v>
      </c>
      <c r="F49" s="1112">
        <f>Sales!I372</f>
        <v>1233</v>
      </c>
      <c r="G49" s="1112">
        <f>Sales!J372</f>
        <v>1348.5276143368935</v>
      </c>
      <c r="H49" s="1112">
        <f>Sales!K372</f>
        <v>1415.9539950537383</v>
      </c>
      <c r="I49" s="1112">
        <f>Sales!L372</f>
        <v>1486.7516948064251</v>
      </c>
      <c r="J49" s="1112">
        <f>Sales!M372</f>
        <v>1561.0892795467464</v>
      </c>
      <c r="K49" s="1112">
        <f>Sales!N372</f>
        <v>1248.8714236373971</v>
      </c>
      <c r="L49" s="1112">
        <f>Sales!O372</f>
        <v>624.43571181869856</v>
      </c>
      <c r="M49" s="1105"/>
      <c r="R49" s="1113">
        <f>(J49/F49)^(1/4)-1</f>
        <v>6.0757634544985617E-2</v>
      </c>
      <c r="S49" s="1117" t="s">
        <v>539</v>
      </c>
      <c r="T49" s="525"/>
      <c r="U49" s="1114">
        <f ca="1">OFFSET(NPV!$A$32,MATCH($A48,NPV!$A$32:$A$1955,FALSE)+12,1)</f>
        <v>1.2877875316041372</v>
      </c>
      <c r="V49" s="1115">
        <f ca="1">U49/NPV!$D$29</f>
        <v>1.4116243332035797E-2</v>
      </c>
      <c r="W49" s="519"/>
      <c r="X49" s="522"/>
      <c r="Y49" s="519"/>
      <c r="Z49" s="519"/>
      <c r="AA49" s="519"/>
      <c r="AB49" s="519"/>
      <c r="AC49" s="519"/>
      <c r="AD49" s="519"/>
      <c r="AE49" s="519"/>
      <c r="AF49" s="519"/>
      <c r="AG49" s="519"/>
      <c r="AH49" s="519"/>
      <c r="AI49" s="519"/>
      <c r="AJ49" s="519"/>
      <c r="AK49" s="519"/>
      <c r="AL49" s="519"/>
    </row>
    <row r="50" spans="1:38" ht="16.5" customHeight="1">
      <c r="A50" s="1102"/>
      <c r="B50" s="1103">
        <f>B49</f>
        <v>0.5</v>
      </c>
      <c r="C50" s="523" t="s">
        <v>397</v>
      </c>
      <c r="D50" s="1104">
        <f>D49</f>
        <v>1140</v>
      </c>
      <c r="E50" s="1104">
        <f>E49</f>
        <v>1193</v>
      </c>
      <c r="F50" s="1104">
        <f>F49</f>
        <v>1233</v>
      </c>
      <c r="G50" s="1104">
        <f ca="1">G49*(1+$P50*1/3*YEARFRAC(NOW(),"31/12/2018"))</f>
        <v>1191.8237110042267</v>
      </c>
      <c r="H50" s="1104">
        <f>H49*(1+$P50*1/3)</f>
        <v>1179.961662544782</v>
      </c>
      <c r="I50" s="1104">
        <f>I49*(1+$P50*2/3)</f>
        <v>991.16779653761682</v>
      </c>
      <c r="J50" s="1104">
        <f t="shared" ref="J50:L50" si="24">J49*(1+$P50)</f>
        <v>780.54463977337321</v>
      </c>
      <c r="K50" s="1104">
        <f t="shared" si="24"/>
        <v>624.43571181869856</v>
      </c>
      <c r="L50" s="1104">
        <f t="shared" si="24"/>
        <v>312.21785590934928</v>
      </c>
      <c r="M50" s="1105">
        <f>(J50-J49)*B50/'P&amp;L'!$M$50</f>
        <v>-2.2517042887807141E-2</v>
      </c>
      <c r="P50" s="1116">
        <v>-0.5</v>
      </c>
      <c r="R50" s="1107">
        <f>(J50/F50)^(1/4)-1</f>
        <v>-0.10801270765811188</v>
      </c>
      <c r="S50" s="1123" t="s">
        <v>543</v>
      </c>
      <c r="T50" s="525"/>
      <c r="U50" s="1109">
        <f ca="1">(SUM(G50:L50)/SUM(G49:L49))*U49</f>
        <v>0.85121920281641261</v>
      </c>
      <c r="V50" s="519"/>
      <c r="W50" s="519"/>
      <c r="X50" s="522"/>
      <c r="Y50" s="519"/>
      <c r="Z50" s="519"/>
      <c r="AA50" s="519"/>
      <c r="AB50" s="519"/>
      <c r="AC50" s="519"/>
      <c r="AD50" s="519"/>
      <c r="AE50" s="519"/>
      <c r="AF50" s="519"/>
      <c r="AG50" s="519"/>
      <c r="AH50" s="519"/>
      <c r="AI50" s="519"/>
      <c r="AJ50" s="519"/>
      <c r="AK50" s="519"/>
      <c r="AL50" s="519"/>
    </row>
    <row r="51" spans="1:38" ht="7.5" customHeight="1">
      <c r="A51" s="1102"/>
      <c r="B51" s="1118"/>
      <c r="C51" s="523"/>
      <c r="D51" s="1119"/>
      <c r="E51" s="1119"/>
      <c r="F51" s="1119"/>
      <c r="G51" s="1119"/>
      <c r="H51" s="1119"/>
      <c r="I51" s="1119"/>
      <c r="J51" s="1119"/>
      <c r="K51" s="1119"/>
      <c r="L51" s="1119"/>
      <c r="S51" s="1117"/>
      <c r="T51" s="519"/>
      <c r="U51" s="519"/>
      <c r="V51" s="519"/>
      <c r="W51" s="519"/>
      <c r="X51" s="522"/>
      <c r="Y51" s="524"/>
      <c r="Z51" s="524"/>
      <c r="AA51" s="519"/>
      <c r="AB51" s="519"/>
      <c r="AC51" s="519"/>
      <c r="AD51" s="519"/>
      <c r="AE51" s="519"/>
      <c r="AF51" s="519"/>
      <c r="AG51" s="519"/>
      <c r="AH51" s="519"/>
      <c r="AI51" s="519"/>
      <c r="AJ51" s="519"/>
      <c r="AK51" s="519"/>
      <c r="AL51" s="519"/>
    </row>
    <row r="52" spans="1:38" ht="16.5" customHeight="1">
      <c r="A52" s="1102" t="s">
        <v>479</v>
      </c>
      <c r="B52" s="1103">
        <f>B53</f>
        <v>0.4</v>
      </c>
      <c r="C52" s="523" t="s">
        <v>399</v>
      </c>
      <c r="D52" s="1104">
        <f>D53</f>
        <v>260</v>
      </c>
      <c r="E52" s="1104">
        <f>E53</f>
        <v>363</v>
      </c>
      <c r="F52" s="1104">
        <f>F53</f>
        <v>411</v>
      </c>
      <c r="G52" s="1104">
        <f ca="1">G53*(1+$P52*1/3*YEARFRAC(NOW(),"31/12/2018"))</f>
        <v>516.12466666666671</v>
      </c>
      <c r="H52" s="1104">
        <f>H53*(1+$P52*1/3)</f>
        <v>604.99199999999996</v>
      </c>
      <c r="I52" s="1104">
        <f>I53*(1+$P52*2/3)</f>
        <v>707.08439999999985</v>
      </c>
      <c r="J52" s="1104">
        <f t="shared" ref="J52:L52" si="25">J53*(1+$P52)</f>
        <v>786.1114799999998</v>
      </c>
      <c r="K52" s="1104">
        <f t="shared" si="25"/>
        <v>825.41705399999978</v>
      </c>
      <c r="L52" s="1104">
        <f t="shared" si="25"/>
        <v>866.68790669999976</v>
      </c>
      <c r="M52" s="1105">
        <f>(J52-J53)*B52/'P&amp;L'!$M$50</f>
        <v>3.0236845757507466E-3</v>
      </c>
      <c r="P52" s="1106">
        <v>0.2</v>
      </c>
      <c r="R52" s="1107">
        <f>(J52/F52)^(1/4)-1</f>
        <v>0.17600882063021817</v>
      </c>
      <c r="S52" s="1117" t="s">
        <v>546</v>
      </c>
      <c r="T52" s="525"/>
      <c r="U52" s="1109">
        <f ca="1">(SUM(G52:L52)/SUM(G53:L53))*U53</f>
        <v>0.99556549474650979</v>
      </c>
      <c r="V52" s="519"/>
      <c r="W52" s="519"/>
      <c r="X52" s="519"/>
      <c r="Y52" s="519"/>
      <c r="Z52" s="519"/>
      <c r="AA52" s="519"/>
      <c r="AB52" s="519"/>
      <c r="AC52" s="519"/>
      <c r="AD52" s="519"/>
      <c r="AE52" s="519"/>
      <c r="AF52" s="519"/>
      <c r="AG52" s="519"/>
      <c r="AH52" s="519"/>
      <c r="AI52" s="519"/>
      <c r="AJ52" s="519"/>
      <c r="AK52" s="519"/>
      <c r="AL52" s="519"/>
    </row>
    <row r="53" spans="1:38" ht="16.5" customHeight="1">
      <c r="A53" s="1110" t="s">
        <v>547</v>
      </c>
      <c r="B53" s="1111">
        <v>0.4</v>
      </c>
      <c r="C53" s="1102" t="s">
        <v>398</v>
      </c>
      <c r="D53" s="1112">
        <f>Sales!G289</f>
        <v>260</v>
      </c>
      <c r="E53" s="1112">
        <f>Sales!H289</f>
        <v>363</v>
      </c>
      <c r="F53" s="1112">
        <f>Sales!I289</f>
        <v>411</v>
      </c>
      <c r="G53" s="1112">
        <f>Sales!J289</f>
        <v>493.2</v>
      </c>
      <c r="H53" s="1112">
        <f>Sales!K289</f>
        <v>567.17999999999995</v>
      </c>
      <c r="I53" s="1112">
        <f>Sales!L289</f>
        <v>623.89799999999991</v>
      </c>
      <c r="J53" s="1112">
        <f>Sales!M289</f>
        <v>655.09289999999987</v>
      </c>
      <c r="K53" s="1112">
        <f>Sales!N289</f>
        <v>687.84754499999985</v>
      </c>
      <c r="L53" s="1112">
        <f>Sales!O289</f>
        <v>722.23992224999984</v>
      </c>
      <c r="M53" s="1105"/>
      <c r="R53" s="1113">
        <f>(J53/F53)^(1/4)-1</f>
        <v>0.12360915123990002</v>
      </c>
      <c r="S53" s="1123" t="s">
        <v>544</v>
      </c>
      <c r="T53" s="525"/>
      <c r="U53" s="1114">
        <f ca="1">OFFSET(NPV!$A$32,MATCH($A52,NPV!$A$32:$A$1955,FALSE)+12,1)</f>
        <v>0.86680665960446512</v>
      </c>
      <c r="V53" s="1115">
        <f ca="1">U53/NPV!$D$29</f>
        <v>9.5016090997277081E-3</v>
      </c>
      <c r="W53" s="519"/>
      <c r="X53" s="519"/>
      <c r="Y53" s="519"/>
      <c r="Z53" s="519"/>
      <c r="AA53" s="519"/>
      <c r="AB53" s="519"/>
      <c r="AC53" s="519"/>
      <c r="AD53" s="519"/>
      <c r="AE53" s="519"/>
      <c r="AF53" s="519"/>
      <c r="AG53" s="519"/>
      <c r="AH53" s="519"/>
      <c r="AI53" s="519"/>
      <c r="AJ53" s="519"/>
      <c r="AK53" s="519"/>
      <c r="AL53" s="519"/>
    </row>
    <row r="54" spans="1:38" ht="16.5" customHeight="1">
      <c r="A54" s="1102"/>
      <c r="B54" s="1103">
        <f>B53</f>
        <v>0.4</v>
      </c>
      <c r="C54" s="523" t="s">
        <v>397</v>
      </c>
      <c r="D54" s="1104">
        <f>D53</f>
        <v>260</v>
      </c>
      <c r="E54" s="1104">
        <f>E53</f>
        <v>363</v>
      </c>
      <c r="F54" s="1104">
        <f>F53</f>
        <v>411</v>
      </c>
      <c r="G54" s="1104">
        <f ca="1">G53*(1+$P54*1/3*YEARFRAC(NOW(),"31/12/2018"))</f>
        <v>470.27533333333332</v>
      </c>
      <c r="H54" s="1104">
        <f>H53*(1+$P54*1/3)</f>
        <v>529.36799999999994</v>
      </c>
      <c r="I54" s="1104">
        <f>I53*(1+$P54*2/3)</f>
        <v>540.71159999999998</v>
      </c>
      <c r="J54" s="1104">
        <f t="shared" ref="J54:L54" si="26">J53*(1+$P54)</f>
        <v>524.07431999999994</v>
      </c>
      <c r="K54" s="1104">
        <f t="shared" si="26"/>
        <v>550.27803599999993</v>
      </c>
      <c r="L54" s="1104">
        <f t="shared" si="26"/>
        <v>577.79193779999991</v>
      </c>
      <c r="M54" s="1105">
        <f>(J54-J53)*B54/'P&amp;L'!$M$50</f>
        <v>-3.0236845757507466E-3</v>
      </c>
      <c r="P54" s="1116">
        <v>-0.2</v>
      </c>
      <c r="R54" s="1107">
        <f>(J54/F54)^(1/4)-1</f>
        <v>6.2643926584315723E-2</v>
      </c>
      <c r="S54" s="1123" t="s">
        <v>545</v>
      </c>
      <c r="T54" s="525"/>
      <c r="U54" s="1109">
        <f ca="1">(SUM(G54:L54)/SUM(G53:L53))*U53</f>
        <v>0.73804782446242023</v>
      </c>
      <c r="V54" s="519"/>
      <c r="W54" s="519"/>
      <c r="X54" s="519"/>
      <c r="Y54" s="519"/>
      <c r="Z54" s="519"/>
      <c r="AA54" s="519"/>
      <c r="AB54" s="519"/>
      <c r="AC54" s="519"/>
      <c r="AD54" s="519"/>
      <c r="AE54" s="519"/>
      <c r="AF54" s="519"/>
      <c r="AG54" s="519"/>
      <c r="AH54" s="519"/>
      <c r="AI54" s="519"/>
      <c r="AJ54" s="519"/>
      <c r="AK54" s="519"/>
      <c r="AL54" s="519"/>
    </row>
    <row r="55" spans="1:38" ht="7.5" customHeight="1">
      <c r="A55" s="1102"/>
      <c r="B55" s="1118"/>
      <c r="C55" s="523"/>
      <c r="D55" s="1119"/>
      <c r="E55" s="1119"/>
      <c r="F55" s="1119"/>
      <c r="G55" s="1119"/>
      <c r="H55" s="1119"/>
      <c r="I55" s="1119"/>
      <c r="J55" s="1119"/>
      <c r="K55" s="1119"/>
      <c r="L55" s="1119"/>
      <c r="S55" s="1117"/>
      <c r="T55" s="519"/>
      <c r="U55" s="519"/>
      <c r="V55" s="519"/>
      <c r="W55" s="519"/>
      <c r="X55" s="519"/>
      <c r="Y55" s="519"/>
      <c r="Z55" s="519"/>
      <c r="AA55" s="519"/>
      <c r="AB55" s="519"/>
      <c r="AC55" s="519"/>
      <c r="AD55" s="519"/>
      <c r="AE55" s="519"/>
      <c r="AF55" s="519"/>
      <c r="AG55" s="519"/>
      <c r="AH55" s="519"/>
      <c r="AI55" s="519"/>
      <c r="AJ55" s="519"/>
      <c r="AK55" s="519"/>
      <c r="AL55" s="519"/>
    </row>
    <row r="56" spans="1:38" ht="16.5" customHeight="1">
      <c r="A56" s="1102" t="s">
        <v>938</v>
      </c>
      <c r="B56" s="1103">
        <f>B57</f>
        <v>0.5</v>
      </c>
      <c r="C56" s="523" t="s">
        <v>399</v>
      </c>
      <c r="D56" s="1119"/>
      <c r="E56" s="1119"/>
      <c r="F56" s="1119"/>
      <c r="G56" s="1104">
        <f ca="1">G57*(1+$P56*1/3*YEARFRAC(NOW(),"31/12/2018"))</f>
        <v>87.659722222222214</v>
      </c>
      <c r="H56" s="1104">
        <f>H57*(1+$P56*1/3)</f>
        <v>292.5</v>
      </c>
      <c r="I56" s="1104">
        <f>I57*(1+$P56*2/3)</f>
        <v>702</v>
      </c>
      <c r="J56" s="1104">
        <f t="shared" ref="J56:L56" si="27">J57*(1+$P56)</f>
        <v>1421.55</v>
      </c>
      <c r="K56" s="1104">
        <f t="shared" si="27"/>
        <v>2032.8165000000001</v>
      </c>
      <c r="L56" s="1104">
        <f t="shared" si="27"/>
        <v>2541.0206250000001</v>
      </c>
      <c r="M56" s="1105">
        <f>(J56-J57)*B56/'P&amp;L'!$M$50</f>
        <v>2.460520566238664E-2</v>
      </c>
      <c r="P56" s="1106">
        <v>1.5</v>
      </c>
      <c r="R56" s="1133" t="s">
        <v>819</v>
      </c>
      <c r="S56" s="1123" t="s">
        <v>993</v>
      </c>
      <c r="T56" s="1121"/>
      <c r="U56" s="1109">
        <f ca="1">(SUM(G56:L56)/SUM(G57:L57))*U57</f>
        <v>4.6199003146453359</v>
      </c>
      <c r="V56" s="519"/>
      <c r="W56" s="519"/>
      <c r="X56" s="519"/>
      <c r="Y56" s="519"/>
      <c r="Z56" s="519"/>
      <c r="AA56" s="519"/>
      <c r="AB56" s="519"/>
      <c r="AC56" s="519"/>
      <c r="AD56" s="519"/>
      <c r="AE56" s="519"/>
      <c r="AF56" s="519"/>
      <c r="AG56" s="519"/>
      <c r="AH56" s="519"/>
      <c r="AI56" s="519"/>
      <c r="AJ56" s="519"/>
      <c r="AK56" s="519"/>
      <c r="AL56" s="519"/>
    </row>
    <row r="57" spans="1:38" ht="16.5" customHeight="1">
      <c r="A57" s="1110" t="s">
        <v>405</v>
      </c>
      <c r="B57" s="1111">
        <v>0.5</v>
      </c>
      <c r="C57" s="1102" t="s">
        <v>398</v>
      </c>
      <c r="D57" s="1112"/>
      <c r="E57" s="1112"/>
      <c r="F57" s="1112"/>
      <c r="G57" s="1112">
        <f>Sales!J143</f>
        <v>65</v>
      </c>
      <c r="H57" s="1112">
        <f>Sales!K143</f>
        <v>195</v>
      </c>
      <c r="I57" s="1112">
        <f>Sales!L143</f>
        <v>351</v>
      </c>
      <c r="J57" s="1112">
        <f>Sales!M143</f>
        <v>568.62</v>
      </c>
      <c r="K57" s="1112">
        <f>Sales!N143</f>
        <v>813.12660000000005</v>
      </c>
      <c r="L57" s="1112">
        <f>Sales!O143</f>
        <v>1016.4082500000001</v>
      </c>
      <c r="M57" s="1105"/>
      <c r="R57" s="1133" t="s">
        <v>819</v>
      </c>
      <c r="T57" s="519"/>
      <c r="U57" s="1114">
        <f ca="1">OFFSET(NPV!$A$32,MATCH($A56,NPV!$A$32:$A$1955,FALSE)+12,1)</f>
        <v>1.9642392679870087</v>
      </c>
      <c r="V57" s="1115">
        <f ca="1">U57/NPV!$D$29</f>
        <v>2.1531253245405634E-2</v>
      </c>
      <c r="W57" s="519"/>
      <c r="X57" s="519"/>
      <c r="Y57" s="519"/>
      <c r="Z57" s="519"/>
      <c r="AA57" s="519"/>
      <c r="AB57" s="519"/>
      <c r="AC57" s="519"/>
      <c r="AD57" s="519"/>
      <c r="AE57" s="519"/>
      <c r="AF57" s="519"/>
      <c r="AG57" s="519"/>
      <c r="AH57" s="519"/>
      <c r="AI57" s="519"/>
      <c r="AJ57" s="519"/>
      <c r="AK57" s="519"/>
      <c r="AL57" s="519"/>
    </row>
    <row r="58" spans="1:38" ht="16.5" customHeight="1">
      <c r="A58" s="1102"/>
      <c r="B58" s="1103">
        <f>B57</f>
        <v>0.5</v>
      </c>
      <c r="C58" s="523" t="s">
        <v>397</v>
      </c>
      <c r="D58" s="1119"/>
      <c r="E58" s="1119"/>
      <c r="F58" s="1119"/>
      <c r="G58" s="1104">
        <f ca="1">G57*(1+$P58*1/3*YEARFRAC(NOW(),"31/12/2018"))</f>
        <v>57.44675925925926</v>
      </c>
      <c r="H58" s="1104">
        <f>H57*(1+$P58*1/3)</f>
        <v>162.5</v>
      </c>
      <c r="I58" s="1104">
        <f>I57*(1+$P58*2/3)</f>
        <v>234.00000000000003</v>
      </c>
      <c r="J58" s="1104">
        <f t="shared" ref="J58:L58" si="28">J57*(1+$P58)</f>
        <v>284.31</v>
      </c>
      <c r="K58" s="1104">
        <f t="shared" si="28"/>
        <v>406.56330000000003</v>
      </c>
      <c r="L58" s="1104">
        <f t="shared" si="28"/>
        <v>508.20412500000003</v>
      </c>
      <c r="M58" s="1105">
        <f>(J58-J57)*B58/'P&amp;L'!$M$50</f>
        <v>-8.2017352207955467E-3</v>
      </c>
      <c r="P58" s="1116">
        <v>-0.5</v>
      </c>
      <c r="R58" s="1133" t="s">
        <v>819</v>
      </c>
      <c r="S58" s="1123" t="s">
        <v>992</v>
      </c>
      <c r="T58" s="519"/>
      <c r="U58" s="1109">
        <f ca="1">(SUM(G58:L58)/SUM(G57:L57))*U57</f>
        <v>1.0790189191008996</v>
      </c>
      <c r="V58" s="519"/>
      <c r="W58" s="519"/>
      <c r="X58" s="519"/>
      <c r="Y58" s="519"/>
      <c r="Z58" s="519"/>
      <c r="AA58" s="519"/>
      <c r="AB58" s="519"/>
      <c r="AC58" s="519"/>
      <c r="AD58" s="519"/>
      <c r="AE58" s="519"/>
      <c r="AF58" s="519"/>
      <c r="AG58" s="519"/>
      <c r="AH58" s="519"/>
      <c r="AI58" s="519"/>
      <c r="AJ58" s="519"/>
      <c r="AK58" s="519"/>
      <c r="AL58" s="519"/>
    </row>
    <row r="59" spans="1:38" ht="7.5" customHeight="1">
      <c r="A59" s="1102"/>
      <c r="B59" s="1118"/>
      <c r="C59" s="523"/>
      <c r="D59" s="1119"/>
      <c r="E59" s="1119"/>
      <c r="F59" s="1119"/>
      <c r="G59" s="1119"/>
      <c r="H59" s="1119"/>
      <c r="I59" s="1119"/>
      <c r="J59" s="1119"/>
      <c r="K59" s="1119"/>
      <c r="L59" s="1119"/>
      <c r="S59" s="1117"/>
      <c r="T59" s="519"/>
      <c r="U59" s="519"/>
      <c r="V59" s="519"/>
      <c r="W59" s="519"/>
      <c r="X59" s="519"/>
      <c r="Y59" s="519"/>
      <c r="Z59" s="519"/>
      <c r="AA59" s="519"/>
      <c r="AB59" s="519"/>
      <c r="AC59" s="519"/>
      <c r="AD59" s="519"/>
      <c r="AE59" s="519"/>
      <c r="AF59" s="519"/>
      <c r="AG59" s="519"/>
      <c r="AH59" s="519"/>
      <c r="AI59" s="519"/>
      <c r="AJ59" s="519"/>
      <c r="AK59" s="519"/>
      <c r="AL59" s="519"/>
    </row>
    <row r="60" spans="1:38" ht="16.5" customHeight="1">
      <c r="A60" s="1102" t="s">
        <v>59</v>
      </c>
      <c r="B60" s="1103">
        <f>B61</f>
        <v>0.2</v>
      </c>
      <c r="C60" s="523" t="s">
        <v>399</v>
      </c>
      <c r="D60" s="1104">
        <f>D61</f>
        <v>5999</v>
      </c>
      <c r="E60" s="1104">
        <f>E61</f>
        <v>5812</v>
      </c>
      <c r="F60" s="1104">
        <f>F61</f>
        <v>6771</v>
      </c>
      <c r="G60" s="1104">
        <f ca="1">G61*(1+$P60*1/3*YEARFRAC(NOW(),"31/12/2018"))</f>
        <v>7519.2763306793631</v>
      </c>
      <c r="H60" s="1104">
        <f>H61*(1+$P60*1/3)</f>
        <v>7877.4244253385959</v>
      </c>
      <c r="I60" s="1104">
        <f>I61*(1+$P60*2/3)</f>
        <v>8564.5054372108461</v>
      </c>
      <c r="J60" s="1104">
        <f t="shared" ref="J60:L60" si="29">J61*(1+$P60)</f>
        <v>9298.5773426850428</v>
      </c>
      <c r="K60" s="1104">
        <f t="shared" si="29"/>
        <v>9662.9409387291562</v>
      </c>
      <c r="L60" s="1104">
        <f t="shared" si="29"/>
        <v>10047.903878127765</v>
      </c>
      <c r="M60" s="1105">
        <f>(J60-J61)*B60/'P&amp;L'!$M$50</f>
        <v>1.399534237027703E-2</v>
      </c>
      <c r="P60" s="1106">
        <v>0.15</v>
      </c>
      <c r="R60" s="1107">
        <f>(J60/F60)^(1/4)-1</f>
        <v>8.2532449633855531E-2</v>
      </c>
      <c r="S60" s="1130"/>
      <c r="T60" s="519"/>
      <c r="U60" s="1109">
        <f ca="1">(SUM(G60:L60)/SUM(G61:L61))*U61</f>
        <v>13.306501479078158</v>
      </c>
      <c r="V60" s="1115"/>
      <c r="W60" s="519"/>
      <c r="X60" s="522"/>
      <c r="Y60" s="1134"/>
      <c r="Z60" s="519"/>
      <c r="AA60" s="519"/>
      <c r="AB60" s="519"/>
      <c r="AC60" s="519"/>
      <c r="AD60" s="519"/>
      <c r="AE60" s="519"/>
      <c r="AF60" s="519"/>
      <c r="AG60" s="519"/>
      <c r="AH60" s="519"/>
      <c r="AI60" s="519"/>
      <c r="AJ60" s="519"/>
      <c r="AK60" s="519"/>
      <c r="AL60" s="519"/>
    </row>
    <row r="61" spans="1:38" ht="16.5" customHeight="1">
      <c r="A61" s="1110" t="s">
        <v>525</v>
      </c>
      <c r="B61" s="1111">
        <v>0.2</v>
      </c>
      <c r="C61" s="1102" t="s">
        <v>398</v>
      </c>
      <c r="D61" s="1112">
        <f>Sales!G424</f>
        <v>5999</v>
      </c>
      <c r="E61" s="1112">
        <f>Sales!H424</f>
        <v>5812</v>
      </c>
      <c r="F61" s="1112">
        <f>Sales!I424</f>
        <v>6771</v>
      </c>
      <c r="G61" s="1112">
        <f>Sales!J424</f>
        <v>7265.9763227608937</v>
      </c>
      <c r="H61" s="1112">
        <f>Sales!K424</f>
        <v>7502.308976512948</v>
      </c>
      <c r="I61" s="1112">
        <f>Sales!L424</f>
        <v>7785.9140338280413</v>
      </c>
      <c r="J61" s="1112">
        <f>Sales!M424</f>
        <v>8085.7194284217767</v>
      </c>
      <c r="K61" s="1112">
        <f>Sales!N424</f>
        <v>8402.5573380253536</v>
      </c>
      <c r="L61" s="1112">
        <f>Sales!O424</f>
        <v>8737.3077201111009</v>
      </c>
      <c r="M61" s="1105"/>
      <c r="R61" s="1113">
        <f>(J61/F61)^(1/4)-1</f>
        <v>4.536140885326545E-2</v>
      </c>
      <c r="S61" s="1130"/>
      <c r="T61" s="519"/>
      <c r="U61" s="1114">
        <f ca="1">OFFSET(NPV!$A$32,MATCH($A60,NPV!$A$32:$A$1955,FALSE)+12,1)</f>
        <v>12.00253392941082</v>
      </c>
      <c r="V61" s="1115">
        <f ca="1">U61/NPV!$D$29</f>
        <v>0.13156726974792726</v>
      </c>
      <c r="W61" s="519"/>
      <c r="X61" s="522"/>
      <c r="Y61" s="519"/>
      <c r="Z61" s="519"/>
      <c r="AA61" s="519"/>
      <c r="AB61" s="519"/>
      <c r="AC61" s="519"/>
      <c r="AD61" s="519"/>
      <c r="AE61" s="519"/>
      <c r="AF61" s="519"/>
      <c r="AG61" s="519"/>
      <c r="AH61" s="519"/>
      <c r="AI61" s="519"/>
      <c r="AJ61" s="519"/>
      <c r="AK61" s="519"/>
      <c r="AL61" s="519"/>
    </row>
    <row r="62" spans="1:38" ht="17.25" customHeight="1">
      <c r="A62" s="1102"/>
      <c r="B62" s="1103">
        <f>B61</f>
        <v>0.2</v>
      </c>
      <c r="C62" s="523" t="s">
        <v>397</v>
      </c>
      <c r="D62" s="1104">
        <f>D61</f>
        <v>5999</v>
      </c>
      <c r="E62" s="1104">
        <f>E61</f>
        <v>5812</v>
      </c>
      <c r="F62" s="1104">
        <f>F61</f>
        <v>6771</v>
      </c>
      <c r="G62" s="1104">
        <f ca="1">G61*(1+$P62*1/3*YEARFRAC(NOW(),"31/12/2018"))</f>
        <v>7012.6763148424234</v>
      </c>
      <c r="H62" s="1104">
        <f>H61*(1+$P62*1/3)</f>
        <v>7127.1935276873</v>
      </c>
      <c r="I62" s="1104">
        <f>I61*(1+$P62*2/3)</f>
        <v>7007.3226304452373</v>
      </c>
      <c r="J62" s="1104">
        <f t="shared" ref="J62:L62" si="30">J61*(1+$P62)</f>
        <v>6872.8615141585096</v>
      </c>
      <c r="K62" s="1104">
        <f t="shared" si="30"/>
        <v>7142.1737373215501</v>
      </c>
      <c r="L62" s="1104">
        <f t="shared" si="30"/>
        <v>7426.711562094436</v>
      </c>
      <c r="M62" s="1105">
        <f>(J62-J61)*B62/'P&amp;L'!$M$50</f>
        <v>-1.3995342370277041E-2</v>
      </c>
      <c r="P62" s="1116">
        <v>-0.15</v>
      </c>
      <c r="R62" s="1107">
        <f>(J62/F62)^(1/4)-1</f>
        <v>3.7399151387560448E-3</v>
      </c>
      <c r="S62" s="1130"/>
      <c r="T62" s="519"/>
      <c r="U62" s="1109">
        <f ca="1">(SUM(G62:L62)/SUM(G61:L61))*U61</f>
        <v>10.698566379743482</v>
      </c>
      <c r="V62" s="519"/>
      <c r="W62" s="519"/>
      <c r="X62" s="519"/>
      <c r="Y62" s="519"/>
      <c r="Z62" s="519"/>
      <c r="AA62" s="519"/>
      <c r="AB62" s="519"/>
      <c r="AC62" s="519"/>
      <c r="AD62" s="519"/>
      <c r="AE62" s="519"/>
      <c r="AF62" s="519"/>
      <c r="AG62" s="519"/>
      <c r="AH62" s="519"/>
      <c r="AI62" s="519"/>
      <c r="AJ62" s="519"/>
      <c r="AK62" s="519"/>
      <c r="AL62" s="519"/>
    </row>
    <row r="63" spans="1:38" ht="16.5" customHeight="1">
      <c r="A63" s="1102"/>
      <c r="B63" s="1118"/>
      <c r="C63" s="523"/>
      <c r="D63" s="1124"/>
      <c r="E63" s="1124"/>
      <c r="F63" s="1124"/>
      <c r="G63" s="1124"/>
      <c r="H63" s="1124"/>
      <c r="I63" s="1124"/>
      <c r="J63" s="1124"/>
      <c r="K63" s="1124"/>
      <c r="L63" s="1124"/>
      <c r="S63" s="1125"/>
      <c r="T63" s="519"/>
      <c r="U63" s="519"/>
      <c r="V63" s="519"/>
      <c r="W63" s="519"/>
      <c r="X63" s="522"/>
      <c r="Y63" s="519"/>
      <c r="Z63" s="519"/>
      <c r="AA63" s="519"/>
      <c r="AB63" s="519"/>
      <c r="AC63" s="519"/>
      <c r="AD63" s="519"/>
      <c r="AE63" s="519"/>
      <c r="AF63" s="519"/>
      <c r="AG63" s="519"/>
      <c r="AH63" s="519"/>
      <c r="AI63" s="519"/>
      <c r="AJ63" s="519"/>
      <c r="AK63" s="519"/>
      <c r="AL63" s="519"/>
    </row>
    <row r="64" spans="1:38" ht="16.5" customHeight="1">
      <c r="A64" s="1102" t="s">
        <v>71</v>
      </c>
      <c r="B64" s="1103">
        <f>B65</f>
        <v>0.15</v>
      </c>
      <c r="C64" s="523" t="s">
        <v>399</v>
      </c>
      <c r="D64" s="1104">
        <f>D65</f>
        <v>10070</v>
      </c>
      <c r="E64" s="1104">
        <f>E65</f>
        <v>10144</v>
      </c>
      <c r="F64" s="1104">
        <f>F65</f>
        <v>10060</v>
      </c>
      <c r="G64" s="1104">
        <f ca="1">G65*(1+$P64*1/3*YEARFRAC(NOW(),"31/12/2018"))</f>
        <v>10745.64325745524</v>
      </c>
      <c r="H64" s="1104">
        <f>H65*(1+$P64*1/3)</f>
        <v>11450.808419502961</v>
      </c>
      <c r="I64" s="1104">
        <f>I65*(1+$P64*2/3)</f>
        <v>12633.648942943477</v>
      </c>
      <c r="J64" s="1104">
        <f t="shared" ref="J64:L64" si="31">J65*(1+$P64)</f>
        <v>13747.586849566003</v>
      </c>
      <c r="K64" s="1104">
        <f t="shared" si="31"/>
        <v>14317.802816659039</v>
      </c>
      <c r="L64" s="1104">
        <f t="shared" si="31"/>
        <v>14920.90409892547</v>
      </c>
      <c r="M64" s="1105">
        <f>(J64-J65)*B64/'P&amp;L'!$M$50</f>
        <v>1.5518679172692397E-2</v>
      </c>
      <c r="P64" s="1106">
        <v>0.15</v>
      </c>
      <c r="R64" s="1107">
        <f>(J64/F64)^(1/4)-1</f>
        <v>8.1202703140790922E-2</v>
      </c>
      <c r="S64" s="1130"/>
      <c r="T64" s="519"/>
      <c r="U64" s="1109">
        <f ca="1">(SUM(G64:L64)/SUM(G65:L65))*U65</f>
        <v>22.513660665698684</v>
      </c>
      <c r="V64" s="519"/>
      <c r="W64" s="519"/>
      <c r="X64" s="522"/>
      <c r="Y64" s="519"/>
      <c r="Z64" s="519"/>
      <c r="AA64" s="519"/>
      <c r="AB64" s="519"/>
      <c r="AC64" s="519"/>
      <c r="AD64" s="519"/>
      <c r="AE64" s="519"/>
      <c r="AF64" s="519"/>
      <c r="AG64" s="519"/>
      <c r="AH64" s="519"/>
      <c r="AI64" s="519"/>
      <c r="AJ64" s="519"/>
      <c r="AK64" s="519"/>
      <c r="AL64" s="519"/>
    </row>
    <row r="65" spans="1:38" ht="16.5" customHeight="1">
      <c r="A65" s="1110" t="s">
        <v>526</v>
      </c>
      <c r="B65" s="1111">
        <v>0.15</v>
      </c>
      <c r="C65" s="1102" t="s">
        <v>398</v>
      </c>
      <c r="D65" s="1112">
        <f>Sales!G502</f>
        <v>10070</v>
      </c>
      <c r="E65" s="1112">
        <f>Sales!H502</f>
        <v>10144</v>
      </c>
      <c r="F65" s="1112">
        <f>Sales!I502</f>
        <v>10060</v>
      </c>
      <c r="G65" s="1112">
        <f>Sales!J502</f>
        <v>10383.657422316164</v>
      </c>
      <c r="H65" s="1112">
        <f>Sales!K502</f>
        <v>10905.531828098057</v>
      </c>
      <c r="I65" s="1112">
        <f>Sales!L502</f>
        <v>11485.135402675887</v>
      </c>
      <c r="J65" s="1112">
        <f>Sales!M502</f>
        <v>11954.423347448699</v>
      </c>
      <c r="K65" s="1112">
        <f>Sales!N502</f>
        <v>12450.263318833948</v>
      </c>
      <c r="L65" s="1112">
        <f>Sales!O502</f>
        <v>12974.699216456931</v>
      </c>
      <c r="M65" s="1105"/>
      <c r="R65" s="1113">
        <f>(J65/F65)^(1/4)-1</f>
        <v>4.4077322017921361E-2</v>
      </c>
      <c r="S65" s="1130"/>
      <c r="T65" s="519"/>
      <c r="U65" s="1114">
        <f ca="1">NPV!B50</f>
        <v>20.296710557264156</v>
      </c>
      <c r="V65" s="1115">
        <f ca="1">U65/NPV!$D$29</f>
        <v>0.22248491931688794</v>
      </c>
      <c r="W65" s="519"/>
      <c r="X65" s="519"/>
      <c r="Y65" s="520"/>
      <c r="Z65" s="520"/>
      <c r="AA65" s="520"/>
      <c r="AB65" s="520"/>
      <c r="AC65" s="520"/>
      <c r="AD65" s="520"/>
      <c r="AE65" s="520"/>
      <c r="AF65" s="520"/>
      <c r="AG65" s="520"/>
      <c r="AH65" s="519"/>
      <c r="AI65" s="519"/>
      <c r="AJ65" s="519"/>
      <c r="AK65" s="519"/>
      <c r="AL65" s="519"/>
    </row>
    <row r="66" spans="1:38" ht="16.5" customHeight="1">
      <c r="A66" s="1102"/>
      <c r="B66" s="1103">
        <f>B65</f>
        <v>0.15</v>
      </c>
      <c r="C66" s="523" t="s">
        <v>397</v>
      </c>
      <c r="D66" s="1104">
        <f>D65</f>
        <v>10070</v>
      </c>
      <c r="E66" s="1104">
        <f>E65</f>
        <v>10144</v>
      </c>
      <c r="F66" s="1104">
        <f>F65</f>
        <v>10060</v>
      </c>
      <c r="G66" s="1104">
        <f ca="1">G65*(1+$P66*1/3*YEARFRAC(NOW(),"31/12/2018"))</f>
        <v>10021.671587177087</v>
      </c>
      <c r="H66" s="1104">
        <f>H65*(1+$P66*1/3)</f>
        <v>10360.255236693154</v>
      </c>
      <c r="I66" s="1104">
        <f>I65*(1+$P66*2/3)</f>
        <v>10336.621862408299</v>
      </c>
      <c r="J66" s="1104">
        <f t="shared" ref="J66:L66" si="32">J65*(1+$P66)</f>
        <v>10161.259845331395</v>
      </c>
      <c r="K66" s="1104">
        <f t="shared" si="32"/>
        <v>10582.723821008854</v>
      </c>
      <c r="L66" s="1104">
        <f t="shared" si="32"/>
        <v>11028.49433398839</v>
      </c>
      <c r="M66" s="1105">
        <f>(J66-J65)*B66/'P&amp;L'!$M$50</f>
        <v>-1.5518679172692397E-2</v>
      </c>
      <c r="P66" s="1116">
        <v>-0.15</v>
      </c>
      <c r="R66" s="1107">
        <f>(J66/F66)^(1/4)-1</f>
        <v>2.5069547480018883E-3</v>
      </c>
      <c r="S66" s="1130"/>
      <c r="T66" s="519"/>
      <c r="U66" s="1109">
        <f ca="1">(SUM(G66:L66)/SUM(G65:L65))*U65</f>
        <v>18.079760448829628</v>
      </c>
      <c r="V66" s="519"/>
      <c r="W66" s="519"/>
      <c r="X66" s="522"/>
      <c r="Y66" s="523"/>
      <c r="Z66" s="523"/>
      <c r="AA66" s="524"/>
      <c r="AB66" s="524"/>
      <c r="AC66" s="524"/>
      <c r="AD66" s="524"/>
      <c r="AE66" s="524"/>
      <c r="AF66" s="524"/>
      <c r="AG66" s="524"/>
      <c r="AH66" s="519"/>
      <c r="AI66" s="519"/>
      <c r="AJ66" s="519"/>
      <c r="AK66" s="519"/>
      <c r="AL66" s="519"/>
    </row>
    <row r="67" spans="1:38" ht="16.5" customHeight="1">
      <c r="A67" s="1102"/>
      <c r="B67" s="1118"/>
      <c r="C67" s="523"/>
      <c r="D67" s="1124"/>
      <c r="E67" s="1124"/>
      <c r="F67" s="1124"/>
      <c r="G67" s="1124"/>
      <c r="H67" s="1124"/>
      <c r="I67" s="1124"/>
      <c r="J67" s="1124"/>
      <c r="K67" s="1124"/>
      <c r="L67" s="1124"/>
      <c r="S67" s="1125"/>
      <c r="T67" s="1121"/>
      <c r="U67" s="519"/>
      <c r="V67" s="519"/>
      <c r="W67" s="519"/>
      <c r="X67" s="519"/>
      <c r="Y67" s="519"/>
      <c r="Z67" s="519"/>
      <c r="AA67" s="519"/>
      <c r="AB67" s="519"/>
      <c r="AC67" s="519"/>
      <c r="AD67" s="519"/>
      <c r="AE67" s="519"/>
      <c r="AF67" s="519"/>
      <c r="AG67" s="519"/>
      <c r="AH67" s="519"/>
      <c r="AI67" s="519"/>
      <c r="AJ67" s="519"/>
      <c r="AK67" s="519"/>
      <c r="AL67" s="519"/>
    </row>
    <row r="68" spans="1:38" ht="15" customHeight="1">
      <c r="A68" s="1102"/>
      <c r="B68" s="1103"/>
      <c r="C68" s="523"/>
      <c r="D68" s="1104"/>
      <c r="E68" s="1104"/>
      <c r="F68" s="1104"/>
      <c r="G68" s="1104"/>
      <c r="H68" s="1104"/>
      <c r="I68" s="1104"/>
      <c r="J68" s="1104"/>
      <c r="K68" s="1104"/>
      <c r="L68" s="1104"/>
      <c r="S68" s="1130"/>
      <c r="T68" s="519"/>
      <c r="U68" s="519"/>
      <c r="V68" s="519"/>
      <c r="W68" s="519"/>
      <c r="X68" s="519"/>
      <c r="Y68" s="524"/>
      <c r="Z68" s="524"/>
      <c r="AA68" s="524"/>
      <c r="AB68" s="524"/>
      <c r="AC68" s="524"/>
      <c r="AD68" s="524"/>
      <c r="AE68" s="524"/>
      <c r="AF68" s="524"/>
      <c r="AG68" s="524"/>
      <c r="AH68" s="519"/>
      <c r="AI68" s="519"/>
      <c r="AJ68" s="519"/>
      <c r="AK68" s="519"/>
      <c r="AL68" s="519"/>
    </row>
    <row r="69" spans="1:38" ht="15" customHeight="1">
      <c r="A69" s="1135" t="s">
        <v>954</v>
      </c>
      <c r="B69" s="1136"/>
      <c r="C69" s="1137"/>
      <c r="D69" s="1095">
        <f t="shared" ref="D69:L69" si="33">D1</f>
        <v>2015</v>
      </c>
      <c r="E69" s="1095">
        <f t="shared" si="33"/>
        <v>2016</v>
      </c>
      <c r="F69" s="1096">
        <f t="shared" si="33"/>
        <v>2017</v>
      </c>
      <c r="G69" s="1096">
        <f t="shared" si="33"/>
        <v>2018</v>
      </c>
      <c r="H69" s="1096">
        <f t="shared" si="33"/>
        <v>2019</v>
      </c>
      <c r="I69" s="1096">
        <f t="shared" si="33"/>
        <v>2020</v>
      </c>
      <c r="J69" s="1096">
        <f t="shared" si="33"/>
        <v>2021</v>
      </c>
      <c r="K69" s="1096">
        <f t="shared" si="33"/>
        <v>2022</v>
      </c>
      <c r="L69" s="1096">
        <f t="shared" si="33"/>
        <v>2023</v>
      </c>
      <c r="M69" s="1138"/>
      <c r="S69" s="1139" t="s">
        <v>1467</v>
      </c>
      <c r="T69" s="1140"/>
      <c r="U69" s="1140"/>
      <c r="V69" s="1140"/>
    </row>
    <row r="70" spans="1:38" ht="6.75" customHeight="1">
      <c r="A70" s="1137"/>
      <c r="B70" s="1136"/>
      <c r="C70" s="1137"/>
      <c r="D70" s="1137"/>
      <c r="E70" s="1137"/>
      <c r="F70" s="1137"/>
      <c r="G70" s="1137"/>
      <c r="H70" s="1137"/>
      <c r="I70" s="1137"/>
      <c r="J70" s="1137"/>
      <c r="K70" s="1137"/>
      <c r="L70" s="1137"/>
      <c r="M70" s="1137"/>
      <c r="S70" s="1141"/>
      <c r="T70" s="1141"/>
      <c r="U70" s="1141"/>
      <c r="V70" s="1141"/>
    </row>
    <row r="71" spans="1:38" ht="16.5" customHeight="1">
      <c r="A71" s="1102" t="s">
        <v>407</v>
      </c>
      <c r="B71" s="1118"/>
      <c r="C71" s="1102" t="s">
        <v>955</v>
      </c>
      <c r="F71" s="1142">
        <f>(SUMIF($C$2:$C$70,"Bull",F$2:F$70)-SUMIF($C$2:$C$70,"Base",F$2:F$70))/'P&amp;L'!I3*100</f>
        <v>0</v>
      </c>
      <c r="G71" s="1142">
        <f ca="1">(SUMIF($C$2:$C$70,"Bull",G$2:G$70)-SUMIF($C$2:$C$70,"Base",G$2:G$70))/'P&amp;L'!J3*100</f>
        <v>3.319532996776335</v>
      </c>
      <c r="H71" s="1142">
        <f>(SUMIF($C$2:$C$70,"Bull",H$2:H$70)-SUMIF($C$2:$C$70,"Base",H$2:H$70))/'P&amp;L'!K3*100</f>
        <v>6.3895311839624185</v>
      </c>
      <c r="I71" s="1142">
        <f>(SUMIF($C$2:$C$70,"Bull",I$2:I$70)-SUMIF($C$2:$C$70,"Base",I$2:I$70))/'P&amp;L'!L3*100</f>
        <v>12.624598273591744</v>
      </c>
      <c r="J71" s="1142">
        <f>(SUMIF($C$2:$C$70,"Bull",J$2:J$70)-SUMIF($C$2:$C$70,"Base",J$2:J$70))/'P&amp;L'!M3*100</f>
        <v>19.262740600387552</v>
      </c>
      <c r="K71" s="1142">
        <f>(SUMIF($C$2:$C$70,"Bull",K$2:K$70)-SUMIF($C$2:$C$70,"Base",K$2:K$70))/'P&amp;L'!N3*100</f>
        <v>20.206014731370125</v>
      </c>
      <c r="L71" s="1142">
        <f>(SUMIF($C$2:$C$70,"Bull",L$2:L$70)-SUMIF($C$2:$C$70,"Base",L$2:L$70))/'P&amp;L'!O3*100</f>
        <v>18.884411291390609</v>
      </c>
      <c r="M71" s="1105">
        <f>J71/100</f>
        <v>0.19262740600387551</v>
      </c>
      <c r="S71" s="1102" t="s">
        <v>955</v>
      </c>
      <c r="T71" s="519"/>
      <c r="U71" s="1109">
        <f ca="1">SUMIF($C$2:$C$69,"Bull",$U$2:$U$69)</f>
        <v>78.776141690038699</v>
      </c>
      <c r="V71" s="519"/>
      <c r="W71" s="519"/>
      <c r="X71" s="522"/>
      <c r="Y71" s="525"/>
      <c r="Z71" s="523"/>
      <c r="AA71" s="524"/>
      <c r="AB71" s="524"/>
      <c r="AC71" s="524"/>
      <c r="AD71" s="524"/>
      <c r="AE71" s="524"/>
      <c r="AF71" s="524"/>
      <c r="AG71" s="524"/>
      <c r="AH71" s="519"/>
      <c r="AI71" s="519"/>
      <c r="AJ71" s="519"/>
      <c r="AK71" s="519"/>
      <c r="AL71" s="519"/>
    </row>
    <row r="72" spans="1:38" ht="16.5" customHeight="1">
      <c r="A72" s="1102"/>
      <c r="B72" s="1118"/>
      <c r="C72" s="1102" t="s">
        <v>397</v>
      </c>
      <c r="F72" s="1142">
        <f>(SUMIF($C$2:$C$70,"Bear",F$2:F$70)-SUMIF($C$2:$C$70,"Base",F$2:F$70))/'P&amp;L'!I3*100</f>
        <v>0</v>
      </c>
      <c r="G72" s="1142">
        <f ca="1">(SUMIF($C$2:$C$70,"Bear",G$2:G$70)-SUMIF($C$2:$C$70,"Base",G$2:G$70))/'P&amp;L'!J3*100</f>
        <v>-3.6921697058942966</v>
      </c>
      <c r="H72" s="1142">
        <f>(SUMIF($C$2:$C$70,"Bear",H$2:H$70)-SUMIF($C$2:$C$70,"Base",H$2:H$70))/'P&amp;L'!K3*100</f>
        <v>-6.5421905019862852</v>
      </c>
      <c r="I72" s="1142">
        <f>(SUMIF($C$2:$C$70,"Bear",I$2:I$70)-SUMIF($C$2:$C$70,"Base",I$2:I$70))/'P&amp;L'!L3*100</f>
        <v>-11.699773437696448</v>
      </c>
      <c r="J72" s="1142">
        <f>(SUMIF($C$2:$C$70,"Bear",J$2:J$70)-SUMIF($C$2:$C$70,"Base",J$2:J$70))/'P&amp;L'!M3*100</f>
        <v>-17.285101143946509</v>
      </c>
      <c r="K72" s="1142">
        <f>(SUMIF($C$2:$C$70,"Bear",K$2:K$70)-SUMIF($C$2:$C$70,"Base",K$2:K$70))/'P&amp;L'!N3*100</f>
        <v>-17.164328493085286</v>
      </c>
      <c r="L72" s="1142">
        <f>(SUMIF($C$2:$C$70,"Bear",L$2:L$70)-SUMIF($C$2:$C$70,"Base",L$2:L$70))/'P&amp;L'!O3*100</f>
        <v>-16.342721243643535</v>
      </c>
      <c r="M72" s="1105">
        <f>J72/100</f>
        <v>-0.1728510114394651</v>
      </c>
      <c r="S72" s="1102" t="s">
        <v>398</v>
      </c>
      <c r="T72" s="519"/>
      <c r="U72" s="1114">
        <f ca="1">SUMIF($C$2:$C$69,"Base",$U$2:$U$69)</f>
        <v>64.991655875738672</v>
      </c>
      <c r="V72" s="1115">
        <f ca="1">U72/NPV!$D$29</f>
        <v>0.71241412607175292</v>
      </c>
      <c r="W72" s="519"/>
      <c r="X72" s="522"/>
      <c r="Y72" s="525"/>
      <c r="Z72" s="524"/>
      <c r="AA72" s="524"/>
      <c r="AB72" s="524"/>
      <c r="AC72" s="524"/>
      <c r="AD72" s="524"/>
      <c r="AE72" s="524"/>
      <c r="AF72" s="524"/>
      <c r="AG72" s="524"/>
      <c r="AH72" s="519"/>
      <c r="AI72" s="519"/>
      <c r="AJ72" s="519"/>
      <c r="AK72" s="519"/>
      <c r="AL72" s="519"/>
    </row>
    <row r="73" spans="1:38">
      <c r="A73" s="1102"/>
      <c r="B73" s="1118"/>
      <c r="C73" s="523"/>
      <c r="F73" s="1143"/>
      <c r="G73" s="1143"/>
      <c r="H73" s="1143"/>
      <c r="I73" s="1143"/>
      <c r="J73" s="1143"/>
      <c r="K73" s="1143"/>
      <c r="L73" s="1143"/>
      <c r="S73" s="1102" t="s">
        <v>397</v>
      </c>
      <c r="T73" s="519"/>
      <c r="U73" s="1109">
        <f ca="1">SUMIF($C$2:$C$69,"Bear",$U$2:$U$69)</f>
        <v>52.980921942489132</v>
      </c>
      <c r="V73" s="519"/>
      <c r="W73" s="519"/>
      <c r="X73" s="519"/>
      <c r="Y73" s="524"/>
      <c r="Z73" s="524"/>
      <c r="AA73" s="524"/>
      <c r="AB73" s="524"/>
      <c r="AC73" s="524"/>
      <c r="AD73" s="524"/>
      <c r="AE73" s="524"/>
      <c r="AF73" s="524"/>
      <c r="AG73" s="524"/>
      <c r="AH73" s="519"/>
      <c r="AI73" s="519"/>
      <c r="AJ73" s="519"/>
      <c r="AK73" s="519"/>
      <c r="AL73" s="519"/>
    </row>
    <row r="74" spans="1:38" ht="16.5" customHeight="1">
      <c r="A74" s="1102" t="s">
        <v>956</v>
      </c>
      <c r="B74" s="1118"/>
      <c r="C74" s="1102" t="s">
        <v>399</v>
      </c>
      <c r="F74" s="1144">
        <f>(SUMPRODUCT(($C$2:$C$70="Bull")*F$2:F$70*$B$2:$B$70)-SUMPRODUCT(($C$2:$C$70="Base")*F$2:F$70*$B$2:$B$70))/'P&amp;L'!I50*100</f>
        <v>0</v>
      </c>
      <c r="G74" s="1144">
        <f ca="1">(SUMPRODUCT(($C$2:$C$70="Bull")*G$2:G$70*$B$2:$B$70)-SUMPRODUCT(($C$2:$C$70="Base")*G$2:G$70*$B$2:$B$70))/'P&amp;L'!J50*100</f>
        <v>4.2638103950270523</v>
      </c>
      <c r="H74" s="1144">
        <f>(SUMPRODUCT(($C$2:$C$70="Bull")*H$2:H$70*$B$2:$B$70)-SUMPRODUCT(($C$2:$C$70="Base")*H$2:H$70*$B$2:$B$70))/'P&amp;L'!K50*100</f>
        <v>8.2915564818435961</v>
      </c>
      <c r="I74" s="1144">
        <f>(SUMPRODUCT(($C$2:$C$70="Bull")*I$2:I$70*$B$2:$B$70)-SUMPRODUCT(($C$2:$C$70="Base")*I$2:I$70*$B$2:$B$70))/'P&amp;L'!L50*100</f>
        <v>15.495662930748752</v>
      </c>
      <c r="J74" s="1144">
        <f>(SUMPRODUCT(($C$2:$C$70="Bull")*J$2:J$70*$B$2:$B$70)-SUMPRODUCT(($C$2:$C$70="Base")*J$2:J$70*$B$2:$B$70))/'P&amp;L'!M50*100</f>
        <v>23.065996001121484</v>
      </c>
      <c r="K74" s="1144">
        <f>(SUMPRODUCT(($C$2:$C$70="Bull")*K$2:K$70*$B$2:$B$70)-SUMPRODUCT(($C$2:$C$70="Base")*K$2:K$70*$B$2:$B$70))/'P&amp;L'!N50*100</f>
        <v>23.368970161492562</v>
      </c>
      <c r="L74" s="1144">
        <f>(SUMPRODUCT(($C$2:$C$70="Bull")*L$2:L$70*$B$2:$B$70)-SUMPRODUCT(($C$2:$C$70="Base")*L$2:L$70*$B$2:$B$70))/'P&amp;L'!O50*100</f>
        <v>21.400037155155008</v>
      </c>
      <c r="M74" s="1105">
        <f>J74/100</f>
        <v>0.23065996001121483</v>
      </c>
      <c r="T74" s="1121"/>
      <c r="U74" s="519"/>
      <c r="V74" s="519"/>
      <c r="W74" s="519"/>
      <c r="X74" s="522"/>
      <c r="Y74" s="525"/>
      <c r="Z74" s="524"/>
      <c r="AA74" s="524"/>
      <c r="AB74" s="524"/>
      <c r="AC74" s="524"/>
      <c r="AD74" s="524"/>
      <c r="AE74" s="524"/>
      <c r="AF74" s="524"/>
      <c r="AG74" s="524"/>
      <c r="AH74" s="519"/>
      <c r="AI74" s="519"/>
      <c r="AJ74" s="519"/>
      <c r="AK74" s="519"/>
      <c r="AL74" s="519"/>
    </row>
    <row r="75" spans="1:38" ht="16.5" customHeight="1">
      <c r="A75" s="1102"/>
      <c r="B75" s="1118"/>
      <c r="C75" s="1102" t="s">
        <v>397</v>
      </c>
      <c r="F75" s="1144">
        <f>(SUMPRODUCT(($C$2:$C$70="Bear")*F$2:F$70*$B$2:$B$70)-SUMPRODUCT(($C$2:$C$70="Base")*F$2:F$70*$B$2:$B$70))/'P&amp;L'!I50*100</f>
        <v>0</v>
      </c>
      <c r="G75" s="1144">
        <f ca="1">(SUMPRODUCT(($C$2:$C$70="Bear")*G$2:G$70*$B$2:$B$70)-SUMPRODUCT(($C$2:$C$70="Base")*G$2:G$70*$B$2:$B$70))/'P&amp;L'!J50*100</f>
        <v>-4.7829584745878844</v>
      </c>
      <c r="H75" s="1144">
        <f>(SUMPRODUCT(($C$2:$C$70="Bear")*H$2:H$70*$B$2:$B$70)-SUMPRODUCT(($C$2:$C$70="Base")*H$2:H$70*$B$2:$B$70))/'P&amp;L'!K50*100</f>
        <v>-8.4783156054161406</v>
      </c>
      <c r="I75" s="1144">
        <f>(SUMPRODUCT(($C$2:$C$70="Bear")*I$2:I$70*$B$2:$B$70)-SUMPRODUCT(($C$2:$C$70="Base")*I$2:I$70*$B$2:$B$70))/'P&amp;L'!L50*100</f>
        <v>-14.190312631846508</v>
      </c>
      <c r="J75" s="1144">
        <f>(SUMPRODUCT(($C$2:$C$70="Bear")*J$2:J$70*$B$2:$B$70)-SUMPRODUCT(($C$2:$C$70="Base")*J$2:J$70*$B$2:$B$70))/'P&amp;L'!M50*100</f>
        <v>-20.321052693155657</v>
      </c>
      <c r="K75" s="1144">
        <f>(SUMPRODUCT(($C$2:$C$70="Bear")*K$2:K$70*$B$2:$B$70)-SUMPRODUCT(($C$2:$C$70="Base")*K$2:K$70*$B$2:$B$70))/'P&amp;L'!N50*100</f>
        <v>-19.232314630467137</v>
      </c>
      <c r="L75" s="1144">
        <f>(SUMPRODUCT(($C$2:$C$70="Bear")*L$2:L$70*$B$2:$B$70)-SUMPRODUCT(($C$2:$C$70="Base")*L$2:L$70*$B$2:$B$70))/'P&amp;L'!O50*100</f>
        <v>-17.643924210267976</v>
      </c>
      <c r="M75" s="1105">
        <f>J75/100</f>
        <v>-0.20321052693155658</v>
      </c>
      <c r="T75" s="519"/>
      <c r="U75" s="519"/>
      <c r="V75" s="519"/>
      <c r="W75" s="519"/>
      <c r="X75" s="522"/>
      <c r="Y75" s="525"/>
      <c r="Z75" s="523"/>
      <c r="AA75" s="524"/>
      <c r="AB75" s="524"/>
      <c r="AC75" s="524"/>
      <c r="AD75" s="524"/>
      <c r="AE75" s="524"/>
      <c r="AF75" s="524"/>
      <c r="AG75" s="524"/>
      <c r="AH75" s="519"/>
      <c r="AI75" s="519"/>
      <c r="AJ75" s="519"/>
      <c r="AK75" s="519"/>
      <c r="AL75" s="519"/>
    </row>
    <row r="76" spans="1:38" ht="16.5" customHeight="1">
      <c r="B76" s="1098"/>
    </row>
    <row r="77" spans="1:38" ht="16.5" customHeight="1">
      <c r="B77" s="1098"/>
    </row>
    <row r="78" spans="1:38" ht="16.5" customHeight="1">
      <c r="B78" s="1098"/>
    </row>
    <row r="79" spans="1:38" ht="33">
      <c r="A79" s="1093" t="s">
        <v>12</v>
      </c>
      <c r="B79" s="1145"/>
      <c r="C79" s="1093"/>
      <c r="D79" s="1095">
        <v>2015</v>
      </c>
      <c r="E79" s="1095">
        <v>2016</v>
      </c>
      <c r="F79" s="1096">
        <v>2017</v>
      </c>
      <c r="G79" s="1096">
        <v>2018</v>
      </c>
      <c r="H79" s="1096">
        <v>2019</v>
      </c>
      <c r="I79" s="1096">
        <v>2020</v>
      </c>
      <c r="J79" s="1096">
        <v>2021</v>
      </c>
      <c r="K79" s="1096">
        <v>2022</v>
      </c>
      <c r="L79" s="1096">
        <v>2023</v>
      </c>
      <c r="M79" s="1146" t="s">
        <v>949</v>
      </c>
      <c r="O79" s="1146"/>
      <c r="P79" s="1145" t="s">
        <v>951</v>
      </c>
      <c r="Q79" s="1145"/>
      <c r="R79" s="1145"/>
      <c r="S79" s="1145"/>
      <c r="T79" s="1147"/>
      <c r="U79" s="1094" t="s">
        <v>1462</v>
      </c>
      <c r="V79" s="1094" t="s">
        <v>18</v>
      </c>
      <c r="W79" s="519"/>
      <c r="X79" s="522"/>
      <c r="Y79" s="525"/>
      <c r="Z79" s="524"/>
      <c r="AA79" s="524"/>
      <c r="AB79" s="524"/>
      <c r="AC79" s="524"/>
      <c r="AD79" s="524"/>
      <c r="AE79" s="524"/>
      <c r="AF79" s="524"/>
      <c r="AG79" s="524"/>
      <c r="AH79" s="519"/>
      <c r="AI79" s="519"/>
      <c r="AJ79" s="519"/>
      <c r="AK79" s="519"/>
      <c r="AL79" s="519"/>
    </row>
    <row r="80" spans="1:38" ht="19.5" customHeight="1">
      <c r="A80" s="1099" t="s">
        <v>524</v>
      </c>
      <c r="B80" s="1148"/>
      <c r="C80" s="1099"/>
      <c r="D80" s="1101"/>
      <c r="E80" s="1101"/>
      <c r="F80" s="1101"/>
      <c r="G80" s="1101"/>
      <c r="H80" s="1101"/>
      <c r="I80" s="1101"/>
      <c r="J80" s="1101"/>
      <c r="K80" s="1101"/>
      <c r="L80" s="1101"/>
      <c r="M80" s="1149"/>
      <c r="O80" s="1149"/>
      <c r="P80" s="1150"/>
      <c r="Q80" s="1150"/>
      <c r="R80" s="1150"/>
      <c r="S80" s="1150"/>
      <c r="T80" s="1147"/>
      <c r="U80" s="1100" t="s">
        <v>672</v>
      </c>
      <c r="V80" s="1100"/>
      <c r="W80" s="519"/>
      <c r="X80" s="519"/>
      <c r="Y80" s="524"/>
      <c r="Z80" s="524"/>
      <c r="AA80" s="524"/>
      <c r="AB80" s="524"/>
      <c r="AC80" s="524"/>
      <c r="AD80" s="524"/>
      <c r="AE80" s="524"/>
      <c r="AF80" s="524"/>
      <c r="AG80" s="524"/>
      <c r="AH80" s="519"/>
      <c r="AI80" s="519"/>
      <c r="AJ80" s="519"/>
      <c r="AK80" s="519"/>
      <c r="AL80" s="519"/>
    </row>
    <row r="81" spans="1:38" ht="9.75" customHeight="1">
      <c r="B81" s="1098"/>
    </row>
    <row r="82" spans="1:38" ht="16.5" customHeight="1">
      <c r="A82" s="1102" t="str">
        <f>Sales!A182</f>
        <v>AVXS-101 (SMA gene therapy)</v>
      </c>
      <c r="B82" s="1103">
        <f>B83</f>
        <v>0.5</v>
      </c>
      <c r="C82" s="523" t="s">
        <v>399</v>
      </c>
      <c r="D82" s="1119"/>
      <c r="E82" s="1119"/>
      <c r="F82" s="1119"/>
      <c r="G82" s="1104"/>
      <c r="H82" s="1104">
        <f t="shared" ref="H82:L82" si="34">H83*1.3</f>
        <v>104</v>
      </c>
      <c r="I82" s="1104">
        <f t="shared" si="34"/>
        <v>384.8</v>
      </c>
      <c r="J82" s="1104">
        <f t="shared" si="34"/>
        <v>703.04</v>
      </c>
      <c r="K82" s="1104">
        <f t="shared" si="34"/>
        <v>964.70400000000006</v>
      </c>
      <c r="L82" s="1104">
        <f t="shared" si="34"/>
        <v>1181.0448000000001</v>
      </c>
      <c r="M82" s="1105">
        <f>(J82-J83)*B82/'P&amp;L'!$M$50</f>
        <v>4.6802768886844278E-3</v>
      </c>
      <c r="P82" s="1151" t="s">
        <v>1826</v>
      </c>
      <c r="T82" s="1121"/>
      <c r="U82" s="1109">
        <f ca="1">(SUM(G82:L82)/SUM(G83:L83))*U83</f>
        <v>2.7003414232545233</v>
      </c>
      <c r="V82" s="519"/>
      <c r="W82" s="519"/>
      <c r="X82" s="519"/>
      <c r="Y82" s="519"/>
      <c r="Z82" s="519"/>
      <c r="AA82" s="519"/>
      <c r="AB82" s="519"/>
      <c r="AC82" s="519"/>
      <c r="AD82" s="519"/>
      <c r="AE82" s="519"/>
      <c r="AF82" s="519"/>
      <c r="AG82" s="519"/>
      <c r="AH82" s="519"/>
      <c r="AI82" s="519"/>
      <c r="AJ82" s="519"/>
      <c r="AK82" s="519"/>
      <c r="AL82" s="519"/>
    </row>
    <row r="83" spans="1:38" ht="16.5" customHeight="1">
      <c r="A83" s="1110" t="s">
        <v>1823</v>
      </c>
      <c r="B83" s="1111">
        <v>0.5</v>
      </c>
      <c r="C83" s="1102" t="s">
        <v>398</v>
      </c>
      <c r="D83" s="1112"/>
      <c r="E83" s="1112"/>
      <c r="F83" s="1112"/>
      <c r="G83" s="1112"/>
      <c r="H83" s="1112">
        <f>Sales!K182</f>
        <v>80</v>
      </c>
      <c r="I83" s="1112">
        <f>Sales!L182</f>
        <v>296</v>
      </c>
      <c r="J83" s="1112">
        <f>Sales!M182</f>
        <v>540.79999999999995</v>
      </c>
      <c r="K83" s="1112">
        <f>Sales!N182</f>
        <v>742.08</v>
      </c>
      <c r="L83" s="1112">
        <f>Sales!O182</f>
        <v>908.49599999999998</v>
      </c>
      <c r="M83" s="1105"/>
      <c r="P83" s="1152" t="s">
        <v>1825</v>
      </c>
      <c r="T83" s="519"/>
      <c r="U83" s="1114">
        <f ca="1">OFFSET(NPV!$A$32,MATCH($A82,NPV!$A$32:$A$1955,FALSE)+12,1)</f>
        <v>2.0771857101957876</v>
      </c>
      <c r="V83" s="1115">
        <f ca="1">U83/NPV!$D$29</f>
        <v>2.2769329731299852E-2</v>
      </c>
      <c r="W83" s="519"/>
      <c r="X83" s="519"/>
      <c r="Y83" s="519"/>
      <c r="Z83" s="519"/>
      <c r="AA83" s="519"/>
      <c r="AB83" s="519"/>
      <c r="AC83" s="519"/>
      <c r="AD83" s="519"/>
      <c r="AE83" s="519"/>
      <c r="AF83" s="519"/>
      <c r="AG83" s="519"/>
      <c r="AH83" s="519"/>
      <c r="AI83" s="519"/>
      <c r="AJ83" s="519"/>
      <c r="AK83" s="519"/>
      <c r="AL83" s="519"/>
    </row>
    <row r="84" spans="1:38" ht="16.5" customHeight="1">
      <c r="A84" s="1110" t="s">
        <v>1822</v>
      </c>
      <c r="B84" s="1103">
        <f>B83</f>
        <v>0.5</v>
      </c>
      <c r="C84" s="523" t="s">
        <v>397</v>
      </c>
      <c r="D84" s="1119"/>
      <c r="E84" s="1119"/>
      <c r="F84" s="1119"/>
      <c r="G84" s="1104"/>
      <c r="H84" s="1104">
        <v>0</v>
      </c>
      <c r="I84" s="1104">
        <v>0</v>
      </c>
      <c r="J84" s="1104">
        <v>0</v>
      </c>
      <c r="K84" s="1104">
        <v>0</v>
      </c>
      <c r="L84" s="1104">
        <v>0</v>
      </c>
      <c r="M84" s="1105">
        <f>(J84-J83)*B84/'P&amp;L'!$M$50</f>
        <v>-1.5600922962281423E-2</v>
      </c>
      <c r="P84" s="1151" t="s">
        <v>1824</v>
      </c>
      <c r="T84" s="519"/>
      <c r="U84" s="1109">
        <f ca="1">(SUM(G84:L84)/SUM(G83:L83))*U83</f>
        <v>0</v>
      </c>
      <c r="V84" s="519"/>
      <c r="W84" s="519"/>
      <c r="X84" s="519"/>
      <c r="Y84" s="519"/>
      <c r="Z84" s="519"/>
      <c r="AA84" s="519"/>
      <c r="AB84" s="519"/>
      <c r="AC84" s="519"/>
      <c r="AD84" s="519"/>
      <c r="AE84" s="519"/>
      <c r="AF84" s="519"/>
      <c r="AG84" s="519"/>
      <c r="AH84" s="519"/>
      <c r="AI84" s="519"/>
      <c r="AJ84" s="519"/>
      <c r="AK84" s="519"/>
      <c r="AL84" s="519"/>
    </row>
    <row r="85" spans="1:38" ht="9.75" customHeight="1">
      <c r="B85" s="1098"/>
    </row>
    <row r="86" spans="1:38" ht="16.5" customHeight="1">
      <c r="A86" s="1102" t="s">
        <v>1464</v>
      </c>
      <c r="B86" s="1103">
        <f>B87</f>
        <v>0.5</v>
      </c>
      <c r="C86" s="523" t="s">
        <v>399</v>
      </c>
      <c r="D86" s="1119"/>
      <c r="E86" s="1119"/>
      <c r="F86" s="1119"/>
      <c r="G86" s="1104">
        <f>G87*1.3</f>
        <v>50.988808545303222</v>
      </c>
      <c r="H86" s="1104">
        <f t="shared" ref="H86:L86" si="35">H87*1.3</f>
        <v>118.61187804478529</v>
      </c>
      <c r="I86" s="1104">
        <f t="shared" si="35"/>
        <v>185.10569687669192</v>
      </c>
      <c r="J86" s="1104">
        <f t="shared" si="35"/>
        <v>371.62198268088218</v>
      </c>
      <c r="K86" s="1104">
        <f t="shared" si="35"/>
        <v>520.21175031355187</v>
      </c>
      <c r="L86" s="1104">
        <f t="shared" si="35"/>
        <v>835.58870738295263</v>
      </c>
      <c r="M86" s="1105">
        <f>(J86-J87)*B86/'P&amp;L'!$M$50</f>
        <v>2.4739613348720101E-3</v>
      </c>
      <c r="P86" s="1151" t="s">
        <v>540</v>
      </c>
      <c r="T86" s="1121"/>
      <c r="U86" s="1109">
        <f ca="1">(SUM(G86:L86)/SUM(G87:L87))*U87</f>
        <v>1.1240148272543984</v>
      </c>
      <c r="V86" s="519"/>
      <c r="W86" s="519"/>
      <c r="X86" s="519"/>
      <c r="Y86" s="519"/>
      <c r="Z86" s="519"/>
      <c r="AA86" s="519"/>
      <c r="AB86" s="519"/>
      <c r="AC86" s="519"/>
      <c r="AD86" s="519"/>
      <c r="AE86" s="519"/>
      <c r="AF86" s="519"/>
      <c r="AG86" s="519"/>
      <c r="AH86" s="519"/>
      <c r="AI86" s="519"/>
      <c r="AJ86" s="519"/>
      <c r="AK86" s="519"/>
      <c r="AL86" s="519"/>
    </row>
    <row r="87" spans="1:38" ht="16.5" customHeight="1">
      <c r="A87" s="1110" t="s">
        <v>1463</v>
      </c>
      <c r="B87" s="1111">
        <v>0.5</v>
      </c>
      <c r="C87" s="1102" t="s">
        <v>398</v>
      </c>
      <c r="D87" s="1112"/>
      <c r="E87" s="1112"/>
      <c r="F87" s="1112"/>
      <c r="G87" s="1112">
        <f>Sales!J173</f>
        <v>39.222160419464018</v>
      </c>
      <c r="H87" s="1112">
        <f>Sales!K173</f>
        <v>91.239906188296374</v>
      </c>
      <c r="I87" s="1112">
        <f>Sales!L173</f>
        <v>142.38899759745533</v>
      </c>
      <c r="J87" s="1112">
        <f>Sales!M173</f>
        <v>285.86306360067857</v>
      </c>
      <c r="K87" s="1112">
        <f>Sales!N173</f>
        <v>400.16288485657833</v>
      </c>
      <c r="L87" s="1112">
        <f>Sales!O173</f>
        <v>642.7605441407328</v>
      </c>
      <c r="M87" s="1105"/>
      <c r="P87" s="1152" t="s">
        <v>915</v>
      </c>
      <c r="T87" s="519"/>
      <c r="U87" s="1114">
        <f ca="1">OFFSET(NPV!$A$32,MATCH($A86,NPV!$A$32:$A$1955,FALSE)+12,1)</f>
        <v>0.864626790195691</v>
      </c>
      <c r="V87" s="1115">
        <f ca="1">U87/NPV!$D$29</f>
        <v>9.47771418985233E-3</v>
      </c>
      <c r="W87" s="519"/>
      <c r="X87" s="519"/>
      <c r="Y87" s="519"/>
      <c r="Z87" s="519"/>
      <c r="AA87" s="519"/>
      <c r="AB87" s="519"/>
      <c r="AC87" s="519"/>
      <c r="AD87" s="519"/>
      <c r="AE87" s="519"/>
      <c r="AF87" s="519"/>
      <c r="AG87" s="519"/>
      <c r="AH87" s="519"/>
      <c r="AI87" s="519"/>
      <c r="AJ87" s="519"/>
      <c r="AK87" s="519"/>
      <c r="AL87" s="519"/>
    </row>
    <row r="88" spans="1:38" ht="16.5" customHeight="1">
      <c r="A88" s="1110" t="s">
        <v>916</v>
      </c>
      <c r="B88" s="1103">
        <f>B87</f>
        <v>0.5</v>
      </c>
      <c r="C88" s="523" t="s">
        <v>397</v>
      </c>
      <c r="D88" s="1119"/>
      <c r="E88" s="1119"/>
      <c r="F88" s="1119"/>
      <c r="G88" s="1104">
        <v>0</v>
      </c>
      <c r="H88" s="1104">
        <v>0</v>
      </c>
      <c r="I88" s="1104">
        <v>0</v>
      </c>
      <c r="J88" s="1104">
        <v>0</v>
      </c>
      <c r="K88" s="1104">
        <v>0</v>
      </c>
      <c r="L88" s="1104">
        <v>0</v>
      </c>
      <c r="M88" s="1105">
        <f>(J88-J87)*B88/'P&amp;L'!$M$50</f>
        <v>-8.246537782906696E-3</v>
      </c>
      <c r="P88" s="1151" t="s">
        <v>404</v>
      </c>
      <c r="T88" s="519"/>
      <c r="U88" s="1109">
        <f ca="1">(SUM(G88:L88)/SUM(G87:L87))*U87</f>
        <v>0</v>
      </c>
      <c r="V88" s="519"/>
      <c r="W88" s="519"/>
      <c r="X88" s="519"/>
      <c r="Y88" s="519"/>
      <c r="Z88" s="519"/>
      <c r="AA88" s="519"/>
      <c r="AB88" s="519"/>
      <c r="AC88" s="519"/>
      <c r="AD88" s="519"/>
      <c r="AE88" s="519"/>
      <c r="AF88" s="519"/>
      <c r="AG88" s="519"/>
      <c r="AH88" s="519"/>
      <c r="AI88" s="519"/>
      <c r="AJ88" s="519"/>
      <c r="AK88" s="519"/>
      <c r="AL88" s="519"/>
    </row>
    <row r="89" spans="1:38" ht="9.75" customHeight="1">
      <c r="B89" s="1098"/>
    </row>
    <row r="90" spans="1:38" ht="16.5" customHeight="1">
      <c r="A90" s="1102" t="s">
        <v>901</v>
      </c>
      <c r="B90" s="1103">
        <f>B91</f>
        <v>0.5</v>
      </c>
      <c r="C90" s="523" t="s">
        <v>399</v>
      </c>
      <c r="D90" s="1119"/>
      <c r="E90" s="1119"/>
      <c r="F90" s="1119"/>
      <c r="G90" s="1104">
        <f>G91*1.3</f>
        <v>65</v>
      </c>
      <c r="H90" s="1104">
        <f t="shared" ref="H90" si="36">H91*1.3</f>
        <v>260</v>
      </c>
      <c r="I90" s="1104">
        <f t="shared" ref="I90" si="37">I91*1.3</f>
        <v>585</v>
      </c>
      <c r="J90" s="1104">
        <f t="shared" ref="J90:L90" si="38">J91*1.3</f>
        <v>877.5</v>
      </c>
      <c r="K90" s="1104">
        <f t="shared" si="38"/>
        <v>1096.875</v>
      </c>
      <c r="L90" s="1104">
        <f t="shared" si="38"/>
        <v>1206.5625</v>
      </c>
      <c r="M90" s="1105">
        <f>(J90-J91)*B90/'P&amp;L'!$M$50</f>
        <v>5.8416917527033809E-3</v>
      </c>
      <c r="P90" s="1151" t="s">
        <v>540</v>
      </c>
      <c r="T90" s="1121"/>
      <c r="U90" s="1109">
        <f ca="1">(SUM(G90:L90)/SUM(G91:L91))*U91</f>
        <v>1.7814702463630121</v>
      </c>
      <c r="V90" s="519"/>
      <c r="W90" s="519"/>
      <c r="X90" s="522"/>
      <c r="Y90" s="525"/>
      <c r="Z90" s="524"/>
      <c r="AA90" s="524"/>
      <c r="AB90" s="524"/>
      <c r="AC90" s="524"/>
      <c r="AD90" s="524"/>
      <c r="AE90" s="524"/>
      <c r="AF90" s="524"/>
      <c r="AG90" s="524"/>
      <c r="AH90" s="519"/>
      <c r="AI90" s="519"/>
      <c r="AJ90" s="519"/>
      <c r="AK90" s="519"/>
      <c r="AL90" s="519"/>
    </row>
    <row r="91" spans="1:38" ht="16.5" customHeight="1">
      <c r="A91" s="1110" t="s">
        <v>911</v>
      </c>
      <c r="B91" s="1111">
        <v>0.5</v>
      </c>
      <c r="C91" s="1102" t="s">
        <v>398</v>
      </c>
      <c r="D91" s="1153"/>
      <c r="E91" s="1153"/>
      <c r="F91" s="1112"/>
      <c r="G91" s="1112">
        <f>Sales!J322</f>
        <v>50</v>
      </c>
      <c r="H91" s="1112">
        <f>Sales!K322</f>
        <v>200</v>
      </c>
      <c r="I91" s="1112">
        <f>Sales!L322</f>
        <v>450</v>
      </c>
      <c r="J91" s="1112">
        <f>Sales!M322</f>
        <v>675</v>
      </c>
      <c r="K91" s="1112">
        <f>Sales!N322</f>
        <v>843.75</v>
      </c>
      <c r="L91" s="1112">
        <f>Sales!O322</f>
        <v>928.125</v>
      </c>
      <c r="M91" s="1105"/>
      <c r="P91" s="1152" t="s">
        <v>912</v>
      </c>
      <c r="T91" s="519"/>
      <c r="U91" s="1114">
        <f ca="1">OFFSET(NPV!$A$32,MATCH($A90,NPV!$A$32:$A$1955,FALSE)+12,1)</f>
        <v>1.3703617279715476</v>
      </c>
      <c r="V91" s="1115">
        <f ca="1">U91/NPV!$D$29</f>
        <v>1.5021390664389367E-2</v>
      </c>
      <c r="W91" s="519"/>
      <c r="X91" s="522"/>
      <c r="Y91" s="525"/>
      <c r="Z91" s="523"/>
      <c r="AA91" s="524"/>
      <c r="AB91" s="524"/>
      <c r="AC91" s="524"/>
      <c r="AD91" s="524"/>
      <c r="AE91" s="524"/>
      <c r="AF91" s="524"/>
      <c r="AG91" s="524"/>
      <c r="AH91" s="519"/>
      <c r="AI91" s="519"/>
      <c r="AJ91" s="519"/>
      <c r="AK91" s="519"/>
      <c r="AL91" s="519"/>
    </row>
    <row r="92" spans="1:38" ht="16.5" customHeight="1">
      <c r="A92" s="1154"/>
      <c r="B92" s="1103">
        <f>B91</f>
        <v>0.5</v>
      </c>
      <c r="C92" s="523" t="s">
        <v>397</v>
      </c>
      <c r="D92" s="1119"/>
      <c r="E92" s="1119"/>
      <c r="F92" s="1119"/>
      <c r="G92" s="1119">
        <v>0</v>
      </c>
      <c r="H92" s="1104">
        <v>0</v>
      </c>
      <c r="I92" s="1104">
        <v>0</v>
      </c>
      <c r="J92" s="1104">
        <v>0</v>
      </c>
      <c r="K92" s="1104">
        <v>0</v>
      </c>
      <c r="L92" s="1104">
        <v>0</v>
      </c>
      <c r="M92" s="1105">
        <f>(J92-J91)*B92/'P&amp;L'!$M$50</f>
        <v>-1.9472305842344603E-2</v>
      </c>
      <c r="P92" s="1152" t="s">
        <v>404</v>
      </c>
      <c r="T92" s="519"/>
      <c r="U92" s="1109">
        <f ca="1">(SUM(G92:L92)/SUM(G91:L91))*U91</f>
        <v>0</v>
      </c>
      <c r="V92" s="519"/>
      <c r="W92" s="519"/>
      <c r="X92" s="522"/>
      <c r="Y92" s="525"/>
      <c r="Z92" s="524"/>
      <c r="AA92" s="524"/>
      <c r="AB92" s="524"/>
      <c r="AC92" s="524"/>
      <c r="AD92" s="524"/>
      <c r="AE92" s="524"/>
      <c r="AF92" s="524"/>
      <c r="AG92" s="524"/>
      <c r="AH92" s="519"/>
      <c r="AI92" s="519"/>
      <c r="AJ92" s="519"/>
      <c r="AK92" s="519"/>
      <c r="AL92" s="519"/>
    </row>
    <row r="93" spans="1:38" ht="9.75" customHeight="1">
      <c r="A93" s="1154"/>
      <c r="B93" s="1098"/>
    </row>
    <row r="94" spans="1:38" ht="16.5" customHeight="1">
      <c r="A94" s="1102" t="s">
        <v>1465</v>
      </c>
      <c r="B94" s="1103">
        <f>B95</f>
        <v>0.5</v>
      </c>
      <c r="C94" s="523" t="s">
        <v>399</v>
      </c>
      <c r="D94" s="1119"/>
      <c r="E94" s="1119"/>
      <c r="F94" s="1119"/>
      <c r="G94" s="1119"/>
      <c r="H94" s="1104">
        <f t="shared" ref="H94" si="39">H95*1.3</f>
        <v>130</v>
      </c>
      <c r="I94" s="1104">
        <f t="shared" ref="I94" si="40">I95*1.3</f>
        <v>299</v>
      </c>
      <c r="J94" s="1104">
        <f t="shared" ref="J94:L94" si="41">J95*1.3</f>
        <v>598</v>
      </c>
      <c r="K94" s="1104">
        <f t="shared" si="41"/>
        <v>1016.5999999999999</v>
      </c>
      <c r="L94" s="1104">
        <f t="shared" si="41"/>
        <v>1169.0899999999999</v>
      </c>
      <c r="M94" s="1105">
        <f>(J94-J95)*B94/'P&amp;L'!$M$50</f>
        <v>3.9810047499904541E-3</v>
      </c>
      <c r="P94" s="1151" t="s">
        <v>910</v>
      </c>
      <c r="T94" s="1121"/>
      <c r="U94" s="1109">
        <f ca="1">(SUM(G94:L94)/SUM(G95:L95))*U95</f>
        <v>1.3545703910964435</v>
      </c>
      <c r="V94" s="519"/>
      <c r="W94" s="519"/>
      <c r="X94" s="522"/>
      <c r="Y94" s="525"/>
      <c r="Z94" s="524"/>
      <c r="AA94" s="524"/>
      <c r="AB94" s="524"/>
      <c r="AC94" s="524"/>
      <c r="AD94" s="524"/>
      <c r="AE94" s="524"/>
      <c r="AF94" s="524"/>
      <c r="AG94" s="524"/>
      <c r="AH94" s="519"/>
      <c r="AI94" s="519"/>
      <c r="AJ94" s="519"/>
      <c r="AK94" s="519"/>
      <c r="AL94" s="519"/>
    </row>
    <row r="95" spans="1:38" ht="16.5" customHeight="1">
      <c r="A95" s="1110" t="s">
        <v>909</v>
      </c>
      <c r="B95" s="1111">
        <v>0.5</v>
      </c>
      <c r="C95" s="1102" t="s">
        <v>398</v>
      </c>
      <c r="D95" s="1153"/>
      <c r="E95" s="1153"/>
      <c r="F95" s="1153"/>
      <c r="G95" s="1153"/>
      <c r="H95" s="1112">
        <f>Sales!K224</f>
        <v>100</v>
      </c>
      <c r="I95" s="1112">
        <f>Sales!L224</f>
        <v>229.99999999999997</v>
      </c>
      <c r="J95" s="1112">
        <f>Sales!M224</f>
        <v>459.99999999999994</v>
      </c>
      <c r="K95" s="1112">
        <f>Sales!N224</f>
        <v>781.99999999999989</v>
      </c>
      <c r="L95" s="1112">
        <f>Sales!O224</f>
        <v>899.29999999999984</v>
      </c>
      <c r="M95" s="1105"/>
      <c r="P95" s="1152" t="s">
        <v>879</v>
      </c>
      <c r="T95" s="519"/>
      <c r="U95" s="1114">
        <f ca="1">OFFSET(NPV!$A$32,MATCH($A94,NPV!$A$32:$A$1955,FALSE)+12,1)</f>
        <v>1.0419772239203411</v>
      </c>
      <c r="V95" s="1115">
        <f ca="1">U95/NPV!$D$29</f>
        <v>1.1421763045784898E-2</v>
      </c>
      <c r="W95" s="519"/>
      <c r="X95" s="522"/>
      <c r="Y95" s="525"/>
      <c r="Z95" s="523"/>
      <c r="AA95" s="524"/>
      <c r="AB95" s="524"/>
      <c r="AC95" s="524"/>
      <c r="AD95" s="524"/>
      <c r="AE95" s="524"/>
      <c r="AF95" s="524"/>
      <c r="AG95" s="524"/>
      <c r="AH95" s="519"/>
      <c r="AI95" s="519"/>
      <c r="AJ95" s="519"/>
      <c r="AK95" s="519"/>
      <c r="AL95" s="519"/>
    </row>
    <row r="96" spans="1:38" ht="16.5" customHeight="1">
      <c r="A96" s="1102"/>
      <c r="B96" s="1103">
        <f>B95</f>
        <v>0.5</v>
      </c>
      <c r="C96" s="523" t="s">
        <v>397</v>
      </c>
      <c r="D96" s="1119"/>
      <c r="E96" s="1119"/>
      <c r="F96" s="1119"/>
      <c r="G96" s="1119"/>
      <c r="H96" s="1104">
        <v>0</v>
      </c>
      <c r="I96" s="1104">
        <v>0</v>
      </c>
      <c r="J96" s="1104">
        <v>0</v>
      </c>
      <c r="K96" s="1104">
        <v>0</v>
      </c>
      <c r="L96" s="1104">
        <v>0</v>
      </c>
      <c r="M96" s="1105">
        <f>(J96-J95)*B96/'P&amp;L'!$M$50</f>
        <v>-1.3270015833301506E-2</v>
      </c>
      <c r="P96" s="1151" t="s">
        <v>404</v>
      </c>
      <c r="T96" s="519"/>
      <c r="U96" s="1109">
        <f ca="1">(SUM(G96:L96)/SUM(G95:L95))*U95</f>
        <v>0</v>
      </c>
      <c r="V96" s="519"/>
      <c r="W96" s="519"/>
      <c r="X96" s="522"/>
      <c r="Y96" s="525"/>
      <c r="Z96" s="524"/>
      <c r="AA96" s="524"/>
      <c r="AB96" s="524"/>
      <c r="AC96" s="524"/>
      <c r="AD96" s="524"/>
      <c r="AE96" s="524"/>
      <c r="AF96" s="524"/>
      <c r="AG96" s="524"/>
      <c r="AH96" s="519"/>
      <c r="AI96" s="519"/>
      <c r="AJ96" s="519"/>
      <c r="AK96" s="519"/>
      <c r="AL96" s="519"/>
    </row>
    <row r="97" spans="1:38" ht="9.75" customHeight="1">
      <c r="B97" s="1098"/>
    </row>
    <row r="98" spans="1:38" ht="16.5" customHeight="1">
      <c r="A98" s="1102" t="s">
        <v>765</v>
      </c>
      <c r="B98" s="1103">
        <f>B99</f>
        <v>0.5</v>
      </c>
      <c r="C98" s="523" t="s">
        <v>399</v>
      </c>
      <c r="D98" s="1119"/>
      <c r="E98" s="1119"/>
      <c r="F98" s="1119"/>
      <c r="G98" s="1119"/>
      <c r="H98" s="1104">
        <f t="shared" ref="H98" si="42">H99*1.3</f>
        <v>65</v>
      </c>
      <c r="I98" s="1104">
        <f t="shared" ref="I98" si="43">I99*1.3</f>
        <v>227.5</v>
      </c>
      <c r="J98" s="1104">
        <f t="shared" ref="J98:L98" si="44">J99*1.3</f>
        <v>508.625</v>
      </c>
      <c r="K98" s="1104">
        <f t="shared" si="44"/>
        <v>988.65</v>
      </c>
      <c r="L98" s="1104">
        <f t="shared" si="44"/>
        <v>1482.9750000000001</v>
      </c>
      <c r="M98" s="1105">
        <f>(J98-J99)*B98/'P&amp;L'!$M$50</f>
        <v>3.3860176270299226E-3</v>
      </c>
      <c r="P98" s="1151" t="s">
        <v>540</v>
      </c>
      <c r="T98" s="1121"/>
      <c r="U98" s="1109">
        <f ca="1">(SUM(G98:L98)/SUM(G99:L99))*U99</f>
        <v>2.5234442305135483</v>
      </c>
      <c r="V98" s="519"/>
      <c r="W98" s="519"/>
      <c r="X98" s="522"/>
      <c r="Y98" s="525"/>
      <c r="Z98" s="524"/>
      <c r="AA98" s="524"/>
      <c r="AB98" s="524"/>
      <c r="AC98" s="524"/>
      <c r="AD98" s="524"/>
      <c r="AE98" s="524"/>
      <c r="AF98" s="524"/>
      <c r="AG98" s="524"/>
      <c r="AH98" s="519"/>
      <c r="AI98" s="519"/>
      <c r="AJ98" s="519"/>
      <c r="AK98" s="519"/>
      <c r="AL98" s="519"/>
    </row>
    <row r="99" spans="1:38" ht="16.5" customHeight="1">
      <c r="A99" s="1110" t="s">
        <v>417</v>
      </c>
      <c r="B99" s="1111">
        <v>0.5</v>
      </c>
      <c r="C99" s="1102" t="s">
        <v>398</v>
      </c>
      <c r="D99" s="1153"/>
      <c r="E99" s="1153"/>
      <c r="F99" s="1153"/>
      <c r="G99" s="1153"/>
      <c r="H99" s="1112">
        <f>Sales!K162</f>
        <v>50</v>
      </c>
      <c r="I99" s="1112">
        <f>Sales!L162</f>
        <v>175</v>
      </c>
      <c r="J99" s="1112">
        <f>Sales!M162</f>
        <v>391.25</v>
      </c>
      <c r="K99" s="1112">
        <f>Sales!N162</f>
        <v>760.5</v>
      </c>
      <c r="L99" s="1112">
        <f>Sales!O162</f>
        <v>1140.75</v>
      </c>
      <c r="M99" s="1105"/>
      <c r="P99" s="1152" t="s">
        <v>839</v>
      </c>
      <c r="T99" s="519"/>
      <c r="U99" s="1114">
        <f ca="1">OFFSET(NPV!$A$32,MATCH($A98,NPV!$A$32:$A$1955,FALSE)+12,1)</f>
        <v>1.9411109465488832</v>
      </c>
      <c r="V99" s="1115">
        <f ca="1">U99/NPV!$D$29</f>
        <v>2.1277729270938017E-2</v>
      </c>
      <c r="W99" s="519"/>
      <c r="X99" s="522"/>
      <c r="Y99" s="525"/>
      <c r="Z99" s="523"/>
      <c r="AA99" s="524"/>
      <c r="AB99" s="524"/>
      <c r="AC99" s="524"/>
      <c r="AD99" s="524"/>
      <c r="AE99" s="524"/>
      <c r="AF99" s="524"/>
      <c r="AG99" s="524"/>
      <c r="AH99" s="519"/>
      <c r="AI99" s="519"/>
      <c r="AJ99" s="519"/>
      <c r="AK99" s="519"/>
      <c r="AL99" s="519"/>
    </row>
    <row r="100" spans="1:38" ht="16.5" customHeight="1">
      <c r="A100" s="1154"/>
      <c r="B100" s="1103">
        <f>B99</f>
        <v>0.5</v>
      </c>
      <c r="C100" s="523" t="s">
        <v>397</v>
      </c>
      <c r="D100" s="1119"/>
      <c r="E100" s="1119"/>
      <c r="F100" s="1119"/>
      <c r="G100" s="1119"/>
      <c r="H100" s="1104">
        <v>0</v>
      </c>
      <c r="I100" s="1104">
        <v>0</v>
      </c>
      <c r="J100" s="1104">
        <v>0</v>
      </c>
      <c r="K100" s="1104">
        <v>0</v>
      </c>
      <c r="L100" s="1104">
        <v>0</v>
      </c>
      <c r="M100" s="1105">
        <f>(J100-J99)*B100/'P&amp;L'!$M$50</f>
        <v>-1.1286725423433076E-2</v>
      </c>
      <c r="P100" s="1151" t="s">
        <v>404</v>
      </c>
      <c r="T100" s="519"/>
      <c r="U100" s="1109">
        <f ca="1">(SUM(G100:L100)/SUM(G99:L99))*U99</f>
        <v>0</v>
      </c>
      <c r="V100" s="519"/>
      <c r="W100" s="519"/>
      <c r="X100" s="522"/>
      <c r="Y100" s="525"/>
      <c r="Z100" s="524"/>
      <c r="AA100" s="524"/>
      <c r="AB100" s="524"/>
      <c r="AC100" s="524"/>
      <c r="AD100" s="524"/>
      <c r="AE100" s="524"/>
      <c r="AF100" s="524"/>
      <c r="AG100" s="524"/>
      <c r="AH100" s="519"/>
      <c r="AI100" s="519"/>
      <c r="AJ100" s="519"/>
      <c r="AK100" s="519"/>
      <c r="AL100" s="519"/>
    </row>
    <row r="101" spans="1:38" ht="9.75" customHeight="1">
      <c r="B101" s="1098"/>
    </row>
    <row r="102" spans="1:38" ht="16.5" customHeight="1">
      <c r="A102" s="1102" t="s">
        <v>906</v>
      </c>
      <c r="B102" s="1103">
        <f>B103</f>
        <v>0.5</v>
      </c>
      <c r="C102" s="523" t="s">
        <v>399</v>
      </c>
      <c r="D102" s="1119"/>
      <c r="E102" s="1119"/>
      <c r="F102" s="1119"/>
      <c r="G102" s="1119"/>
      <c r="H102" s="1104">
        <v>50</v>
      </c>
      <c r="I102" s="1104">
        <v>300</v>
      </c>
      <c r="J102" s="1104">
        <v>600</v>
      </c>
      <c r="K102" s="1104">
        <v>800</v>
      </c>
      <c r="L102" s="1104">
        <v>1000</v>
      </c>
      <c r="M102" s="1105">
        <f>(J102-J103)*B102/'P&amp;L'!$M$50</f>
        <v>1.7308716304306315E-2</v>
      </c>
      <c r="P102" s="1151" t="s">
        <v>914</v>
      </c>
      <c r="T102" s="1121"/>
      <c r="U102" s="519"/>
      <c r="V102" s="519"/>
      <c r="W102" s="519"/>
      <c r="X102" s="522"/>
      <c r="Y102" s="525"/>
      <c r="Z102" s="524"/>
      <c r="AA102" s="524"/>
      <c r="AB102" s="524"/>
      <c r="AC102" s="524"/>
      <c r="AD102" s="524"/>
      <c r="AE102" s="524"/>
      <c r="AF102" s="524"/>
      <c r="AG102" s="524"/>
      <c r="AH102" s="519"/>
      <c r="AI102" s="519"/>
      <c r="AJ102" s="519"/>
      <c r="AK102" s="519"/>
      <c r="AL102" s="519"/>
    </row>
    <row r="103" spans="1:38" ht="16.5" customHeight="1">
      <c r="A103" s="1110" t="s">
        <v>913</v>
      </c>
      <c r="B103" s="1111">
        <v>0.5</v>
      </c>
      <c r="C103" s="1102" t="s">
        <v>398</v>
      </c>
      <c r="D103" s="1153"/>
      <c r="E103" s="1153"/>
      <c r="F103" s="1153"/>
      <c r="G103" s="1153"/>
      <c r="H103" s="1112">
        <v>0</v>
      </c>
      <c r="I103" s="1112">
        <v>0</v>
      </c>
      <c r="J103" s="1112">
        <v>0</v>
      </c>
      <c r="K103" s="1112">
        <v>0</v>
      </c>
      <c r="L103" s="1112">
        <v>0</v>
      </c>
      <c r="M103" s="1105"/>
      <c r="P103" s="1152"/>
      <c r="T103" s="519"/>
      <c r="U103" s="1114"/>
      <c r="V103" s="519"/>
      <c r="W103" s="519"/>
      <c r="X103" s="522"/>
      <c r="Y103" s="525"/>
      <c r="Z103" s="523"/>
      <c r="AA103" s="524"/>
      <c r="AB103" s="524"/>
      <c r="AC103" s="524"/>
      <c r="AD103" s="524"/>
      <c r="AE103" s="524"/>
      <c r="AF103" s="524"/>
      <c r="AG103" s="524"/>
      <c r="AH103" s="519"/>
      <c r="AI103" s="519"/>
      <c r="AJ103" s="519"/>
      <c r="AK103" s="519"/>
      <c r="AL103" s="519"/>
    </row>
    <row r="104" spans="1:38" ht="16.5" customHeight="1">
      <c r="A104" s="1102"/>
      <c r="B104" s="1103">
        <f>B103</f>
        <v>0.5</v>
      </c>
      <c r="C104" s="523" t="s">
        <v>397</v>
      </c>
      <c r="D104" s="1119"/>
      <c r="E104" s="1119"/>
      <c r="F104" s="1119"/>
      <c r="G104" s="1119"/>
      <c r="H104" s="1104">
        <v>0</v>
      </c>
      <c r="I104" s="1104">
        <v>0</v>
      </c>
      <c r="J104" s="1104">
        <v>0</v>
      </c>
      <c r="K104" s="1104">
        <v>0</v>
      </c>
      <c r="L104" s="1104">
        <v>0</v>
      </c>
      <c r="M104" s="1105">
        <f>(J104-J103)*B104/'P&amp;L'!$M$50</f>
        <v>0</v>
      </c>
      <c r="P104" s="1151" t="s">
        <v>404</v>
      </c>
      <c r="T104" s="519"/>
      <c r="U104" s="519"/>
      <c r="V104" s="519"/>
      <c r="W104" s="519"/>
      <c r="X104" s="522"/>
      <c r="Y104" s="525"/>
      <c r="Z104" s="524"/>
      <c r="AA104" s="524"/>
      <c r="AB104" s="524"/>
      <c r="AC104" s="524"/>
      <c r="AD104" s="524"/>
      <c r="AE104" s="524"/>
      <c r="AF104" s="524"/>
      <c r="AG104" s="524"/>
      <c r="AH104" s="519"/>
      <c r="AI104" s="519"/>
      <c r="AJ104" s="519"/>
      <c r="AK104" s="519"/>
      <c r="AL104" s="519"/>
    </row>
    <row r="105" spans="1:38" ht="9.75" customHeight="1">
      <c r="B105" s="1098"/>
    </row>
    <row r="106" spans="1:38" ht="16.5" customHeight="1">
      <c r="A106" s="1102" t="s">
        <v>989</v>
      </c>
      <c r="B106" s="1103">
        <f>B107</f>
        <v>0.5</v>
      </c>
      <c r="C106" s="523" t="s">
        <v>399</v>
      </c>
      <c r="D106" s="1119"/>
      <c r="E106" s="1119"/>
      <c r="F106" s="1119"/>
      <c r="G106" s="1119"/>
      <c r="H106" s="1104">
        <v>50</v>
      </c>
      <c r="I106" s="1104">
        <v>150</v>
      </c>
      <c r="J106" s="1104">
        <v>200</v>
      </c>
      <c r="K106" s="1104">
        <v>250</v>
      </c>
      <c r="L106" s="1104">
        <v>350</v>
      </c>
      <c r="M106" s="1105">
        <f>(J106-J107)*B106/'P&amp;L'!$M$50</f>
        <v>5.7695721014354379E-3</v>
      </c>
      <c r="P106" s="1151" t="s">
        <v>923</v>
      </c>
      <c r="T106" s="1121"/>
      <c r="U106" s="519"/>
      <c r="V106" s="519"/>
      <c r="W106" s="519"/>
      <c r="X106" s="522"/>
      <c r="Y106" s="525"/>
      <c r="Z106" s="524"/>
      <c r="AA106" s="524"/>
      <c r="AB106" s="524"/>
      <c r="AC106" s="524"/>
      <c r="AD106" s="524"/>
      <c r="AE106" s="524"/>
      <c r="AF106" s="524"/>
      <c r="AG106" s="524"/>
      <c r="AH106" s="519"/>
      <c r="AI106" s="519"/>
      <c r="AJ106" s="519"/>
      <c r="AK106" s="519"/>
      <c r="AL106" s="519"/>
    </row>
    <row r="107" spans="1:38" ht="16.5" customHeight="1">
      <c r="A107" s="1110" t="s">
        <v>917</v>
      </c>
      <c r="B107" s="1111">
        <v>0.5</v>
      </c>
      <c r="C107" s="1102" t="s">
        <v>398</v>
      </c>
      <c r="D107" s="1153"/>
      <c r="E107" s="1153"/>
      <c r="F107" s="1153"/>
      <c r="G107" s="1153"/>
      <c r="H107" s="1112">
        <v>0</v>
      </c>
      <c r="I107" s="1112">
        <v>0</v>
      </c>
      <c r="J107" s="1112">
        <v>0</v>
      </c>
      <c r="K107" s="1112">
        <v>0</v>
      </c>
      <c r="L107" s="1112">
        <v>0</v>
      </c>
      <c r="M107" s="1105"/>
      <c r="P107" s="1152"/>
      <c r="T107" s="519"/>
      <c r="U107" s="519"/>
      <c r="V107" s="519"/>
      <c r="W107" s="519"/>
      <c r="X107" s="522"/>
      <c r="Y107" s="525"/>
      <c r="Z107" s="523"/>
      <c r="AA107" s="524"/>
      <c r="AB107" s="524"/>
      <c r="AC107" s="524"/>
      <c r="AD107" s="524"/>
      <c r="AE107" s="524"/>
      <c r="AF107" s="524"/>
      <c r="AG107" s="524"/>
      <c r="AH107" s="519"/>
      <c r="AI107" s="519"/>
      <c r="AJ107" s="519"/>
      <c r="AK107" s="519"/>
      <c r="AL107" s="519"/>
    </row>
    <row r="108" spans="1:38" ht="16.5" customHeight="1">
      <c r="A108" s="1102"/>
      <c r="B108" s="1103">
        <f>B107</f>
        <v>0.5</v>
      </c>
      <c r="C108" s="523" t="s">
        <v>397</v>
      </c>
      <c r="D108" s="1119"/>
      <c r="E108" s="1119"/>
      <c r="F108" s="1119"/>
      <c r="G108" s="1119"/>
      <c r="H108" s="1104">
        <v>0</v>
      </c>
      <c r="I108" s="1104">
        <v>0</v>
      </c>
      <c r="J108" s="1104">
        <v>0</v>
      </c>
      <c r="K108" s="1104">
        <v>0</v>
      </c>
      <c r="L108" s="1104">
        <v>0</v>
      </c>
      <c r="M108" s="1105">
        <f>(J108-J107)*B108/'P&amp;L'!$M$50</f>
        <v>0</v>
      </c>
      <c r="P108" s="1152" t="s">
        <v>404</v>
      </c>
      <c r="T108" s="519"/>
      <c r="U108" s="519"/>
      <c r="V108" s="519"/>
      <c r="W108" s="519"/>
      <c r="X108" s="522"/>
      <c r="Y108" s="525"/>
      <c r="Z108" s="524"/>
      <c r="AA108" s="524"/>
      <c r="AB108" s="524"/>
      <c r="AC108" s="524"/>
      <c r="AD108" s="524"/>
      <c r="AE108" s="524"/>
      <c r="AF108" s="524"/>
      <c r="AG108" s="524"/>
      <c r="AH108" s="519"/>
      <c r="AI108" s="519"/>
      <c r="AJ108" s="519"/>
      <c r="AK108" s="519"/>
      <c r="AL108" s="519"/>
    </row>
    <row r="109" spans="1:38" ht="9" customHeight="1">
      <c r="A109" s="1102"/>
      <c r="B109" s="1103"/>
      <c r="C109" s="523"/>
      <c r="D109" s="1119"/>
      <c r="E109" s="1119"/>
      <c r="F109" s="1119"/>
      <c r="G109" s="1119"/>
      <c r="H109" s="1104"/>
      <c r="I109" s="1104"/>
      <c r="J109" s="1104"/>
      <c r="K109" s="1104"/>
      <c r="L109" s="1104"/>
      <c r="M109" s="1104"/>
      <c r="P109" s="1152"/>
      <c r="T109" s="519"/>
      <c r="U109" s="519"/>
      <c r="V109" s="519"/>
      <c r="W109" s="519"/>
      <c r="X109" s="522"/>
      <c r="Y109" s="525"/>
      <c r="Z109" s="524"/>
      <c r="AA109" s="524"/>
      <c r="AB109" s="524"/>
      <c r="AC109" s="524"/>
      <c r="AD109" s="524"/>
      <c r="AE109" s="524"/>
      <c r="AF109" s="524"/>
      <c r="AG109" s="524"/>
      <c r="AH109" s="519"/>
      <c r="AI109" s="519"/>
      <c r="AJ109" s="519"/>
      <c r="AK109" s="519"/>
      <c r="AL109" s="519"/>
    </row>
    <row r="110" spans="1:38" s="1155" customFormat="1" ht="16.5" customHeight="1">
      <c r="A110" s="1102" t="s">
        <v>1659</v>
      </c>
      <c r="B110" s="1103">
        <f>B111</f>
        <v>0.5</v>
      </c>
      <c r="C110" s="523" t="s">
        <v>403</v>
      </c>
      <c r="I110" s="1104">
        <v>50</v>
      </c>
      <c r="J110" s="1104">
        <v>100</v>
      </c>
      <c r="K110" s="1155">
        <v>150</v>
      </c>
      <c r="L110" s="1155">
        <v>200</v>
      </c>
      <c r="M110" s="1105">
        <f>(J110-J111)*B110/'P&amp;L'!$M$50</f>
        <v>2.8847860507177189E-3</v>
      </c>
      <c r="N110" s="1098"/>
      <c r="O110" s="1098"/>
      <c r="P110" s="1151"/>
    </row>
    <row r="111" spans="1:38" s="1155" customFormat="1" ht="16.5" customHeight="1">
      <c r="A111" s="1110" t="s">
        <v>763</v>
      </c>
      <c r="B111" s="1111">
        <v>0.5</v>
      </c>
      <c r="C111" s="1102" t="s">
        <v>402</v>
      </c>
      <c r="H111" s="1112"/>
      <c r="I111" s="1112">
        <v>0</v>
      </c>
      <c r="J111" s="1112">
        <v>0</v>
      </c>
      <c r="K111" s="1112">
        <v>0</v>
      </c>
      <c r="L111" s="1112">
        <v>0</v>
      </c>
      <c r="M111" s="1105"/>
      <c r="N111" s="1098"/>
      <c r="O111" s="1098"/>
      <c r="P111" s="1152"/>
    </row>
    <row r="112" spans="1:38" s="1155" customFormat="1" ht="16.5" customHeight="1">
      <c r="A112" s="1102"/>
      <c r="B112" s="1103">
        <f>B111</f>
        <v>0.5</v>
      </c>
      <c r="C112" s="523" t="s">
        <v>401</v>
      </c>
      <c r="H112" s="1104"/>
      <c r="I112" s="1104">
        <v>0</v>
      </c>
      <c r="J112" s="1104">
        <v>0</v>
      </c>
      <c r="K112" s="1104">
        <v>0</v>
      </c>
      <c r="L112" s="1104">
        <v>0</v>
      </c>
      <c r="M112" s="1105">
        <f>(J112-J111)*B112/'P&amp;L'!$M$50</f>
        <v>0</v>
      </c>
      <c r="N112" s="1098"/>
      <c r="O112" s="1098"/>
      <c r="P112" s="1098" t="s">
        <v>404</v>
      </c>
    </row>
    <row r="113" spans="1:38" ht="9" customHeight="1">
      <c r="A113" s="1102"/>
      <c r="B113" s="1103"/>
      <c r="C113" s="523"/>
      <c r="D113" s="1119"/>
      <c r="E113" s="1119"/>
      <c r="F113" s="1119"/>
      <c r="G113" s="1119"/>
      <c r="H113" s="1104"/>
      <c r="I113" s="1104"/>
      <c r="J113" s="1104"/>
      <c r="K113" s="1104"/>
      <c r="L113" s="1104"/>
      <c r="M113" s="1104"/>
      <c r="P113" s="1152"/>
      <c r="T113" s="519"/>
      <c r="U113" s="519"/>
      <c r="V113" s="519"/>
      <c r="W113" s="519"/>
      <c r="X113" s="522"/>
      <c r="Y113" s="525"/>
      <c r="Z113" s="524"/>
      <c r="AA113" s="524"/>
      <c r="AB113" s="524"/>
      <c r="AC113" s="524"/>
      <c r="AD113" s="524"/>
      <c r="AE113" s="524"/>
      <c r="AF113" s="524"/>
      <c r="AG113" s="524"/>
      <c r="AH113" s="519"/>
      <c r="AI113" s="519"/>
      <c r="AJ113" s="519"/>
      <c r="AK113" s="519"/>
      <c r="AL113" s="519"/>
    </row>
    <row r="114" spans="1:38" ht="16.5" customHeight="1">
      <c r="A114" s="1102" t="s">
        <v>990</v>
      </c>
      <c r="B114" s="1103">
        <f>B115</f>
        <v>0.5</v>
      </c>
      <c r="C114" s="523" t="s">
        <v>399</v>
      </c>
      <c r="D114" s="1119"/>
      <c r="E114" s="1119"/>
      <c r="F114" s="1119"/>
      <c r="G114" s="1119"/>
      <c r="H114" s="1104"/>
      <c r="I114" s="1104">
        <v>50</v>
      </c>
      <c r="J114" s="1104">
        <v>150</v>
      </c>
      <c r="K114" s="1104">
        <v>200</v>
      </c>
      <c r="L114" s="1104">
        <v>250</v>
      </c>
      <c r="M114" s="1105">
        <f>(J114-J115)*B114/'P&amp;L'!$M$50</f>
        <v>4.3271790760765786E-3</v>
      </c>
      <c r="P114" s="1151"/>
      <c r="T114" s="1121"/>
      <c r="U114" s="519"/>
      <c r="V114" s="519"/>
      <c r="W114" s="519"/>
      <c r="X114" s="522"/>
      <c r="Y114" s="525"/>
      <c r="Z114" s="524"/>
      <c r="AA114" s="524"/>
      <c r="AB114" s="524"/>
      <c r="AC114" s="524"/>
      <c r="AD114" s="524"/>
      <c r="AE114" s="524"/>
      <c r="AF114" s="524"/>
      <c r="AG114" s="524"/>
      <c r="AH114" s="519"/>
      <c r="AI114" s="519"/>
      <c r="AJ114" s="519"/>
      <c r="AK114" s="519"/>
      <c r="AL114" s="519"/>
    </row>
    <row r="115" spans="1:38" ht="16.5" customHeight="1">
      <c r="A115" s="1110" t="s">
        <v>762</v>
      </c>
      <c r="B115" s="1111">
        <v>0.5</v>
      </c>
      <c r="C115" s="1102" t="s">
        <v>398</v>
      </c>
      <c r="D115" s="1153"/>
      <c r="E115" s="1153"/>
      <c r="F115" s="1153"/>
      <c r="G115" s="1153"/>
      <c r="H115" s="1112"/>
      <c r="I115" s="1112">
        <v>0</v>
      </c>
      <c r="J115" s="1112">
        <v>0</v>
      </c>
      <c r="K115" s="1112">
        <v>0</v>
      </c>
      <c r="L115" s="1112">
        <v>0</v>
      </c>
      <c r="M115" s="1105"/>
      <c r="P115" s="1152"/>
      <c r="T115" s="519"/>
      <c r="U115" s="519"/>
      <c r="V115" s="519"/>
      <c r="W115" s="519"/>
      <c r="X115" s="522"/>
      <c r="Y115" s="525"/>
      <c r="Z115" s="523"/>
      <c r="AA115" s="524"/>
      <c r="AB115" s="524"/>
      <c r="AC115" s="524"/>
      <c r="AD115" s="524"/>
      <c r="AE115" s="524"/>
      <c r="AF115" s="524"/>
      <c r="AG115" s="524"/>
      <c r="AH115" s="519"/>
      <c r="AI115" s="519"/>
      <c r="AJ115" s="519"/>
      <c r="AK115" s="519"/>
      <c r="AL115" s="519"/>
    </row>
    <row r="116" spans="1:38" ht="16.5" customHeight="1">
      <c r="A116" s="1102"/>
      <c r="B116" s="1103">
        <f>B115</f>
        <v>0.5</v>
      </c>
      <c r="C116" s="523" t="s">
        <v>397</v>
      </c>
      <c r="D116" s="1119"/>
      <c r="E116" s="1119"/>
      <c r="F116" s="1119"/>
      <c r="G116" s="1119"/>
      <c r="H116" s="1104"/>
      <c r="I116" s="1104">
        <v>0</v>
      </c>
      <c r="J116" s="1104">
        <v>0</v>
      </c>
      <c r="K116" s="1104">
        <v>0</v>
      </c>
      <c r="L116" s="1104">
        <v>0</v>
      </c>
      <c r="M116" s="1105">
        <f>(J116-J115)*B116/'P&amp;L'!$M$50</f>
        <v>0</v>
      </c>
      <c r="P116" s="1151" t="s">
        <v>404</v>
      </c>
      <c r="T116" s="519"/>
      <c r="U116" s="519"/>
      <c r="V116" s="519"/>
      <c r="W116" s="519"/>
      <c r="X116" s="522"/>
      <c r="Y116" s="525"/>
      <c r="Z116" s="524"/>
      <c r="AA116" s="524"/>
      <c r="AB116" s="524"/>
      <c r="AC116" s="524"/>
      <c r="AD116" s="524"/>
      <c r="AE116" s="524"/>
      <c r="AF116" s="524"/>
      <c r="AG116" s="524"/>
      <c r="AH116" s="519"/>
      <c r="AI116" s="519"/>
      <c r="AJ116" s="519"/>
      <c r="AK116" s="519"/>
      <c r="AL116" s="519"/>
    </row>
    <row r="117" spans="1:38" ht="9.75" customHeight="1">
      <c r="B117" s="1098"/>
    </row>
    <row r="118" spans="1:38" ht="16.5" customHeight="1">
      <c r="A118" s="1102" t="s">
        <v>991</v>
      </c>
      <c r="B118" s="1103">
        <f>B119</f>
        <v>0.5</v>
      </c>
      <c r="C118" s="523" t="s">
        <v>399</v>
      </c>
      <c r="D118" s="1119"/>
      <c r="E118" s="1119"/>
      <c r="F118" s="1119"/>
      <c r="G118" s="1119"/>
      <c r="H118" s="1112"/>
      <c r="I118" s="1104">
        <v>50</v>
      </c>
      <c r="J118" s="1104">
        <v>150</v>
      </c>
      <c r="K118" s="1104">
        <v>200</v>
      </c>
      <c r="L118" s="1104">
        <v>250</v>
      </c>
      <c r="M118" s="1105">
        <f>(J118-J119)*B118/'P&amp;L'!$M$50</f>
        <v>4.3271790760765786E-3</v>
      </c>
      <c r="P118" s="1151" t="s">
        <v>920</v>
      </c>
      <c r="T118" s="1121"/>
      <c r="U118" s="519"/>
      <c r="V118" s="519"/>
      <c r="W118" s="519"/>
      <c r="X118" s="522"/>
      <c r="Y118" s="525"/>
      <c r="Z118" s="524"/>
      <c r="AA118" s="524"/>
      <c r="AB118" s="524"/>
      <c r="AC118" s="524"/>
      <c r="AD118" s="524"/>
      <c r="AE118" s="524"/>
      <c r="AF118" s="524"/>
      <c r="AG118" s="524"/>
      <c r="AH118" s="519"/>
      <c r="AI118" s="519"/>
      <c r="AJ118" s="519"/>
      <c r="AK118" s="519"/>
      <c r="AL118" s="519"/>
    </row>
    <row r="119" spans="1:38" ht="16.5" customHeight="1">
      <c r="A119" s="1110" t="s">
        <v>767</v>
      </c>
      <c r="B119" s="1111">
        <v>0.5</v>
      </c>
      <c r="C119" s="1102" t="s">
        <v>398</v>
      </c>
      <c r="D119" s="1153"/>
      <c r="E119" s="1153"/>
      <c r="F119" s="1153"/>
      <c r="G119" s="1153"/>
      <c r="H119" s="1112"/>
      <c r="I119" s="1112">
        <v>0</v>
      </c>
      <c r="J119" s="1112">
        <v>0</v>
      </c>
      <c r="K119" s="1112">
        <v>0</v>
      </c>
      <c r="L119" s="1112">
        <v>0</v>
      </c>
      <c r="M119" s="1105"/>
      <c r="P119" s="1152"/>
      <c r="T119" s="519"/>
      <c r="U119" s="519"/>
      <c r="V119" s="519"/>
      <c r="W119" s="519"/>
      <c r="X119" s="522"/>
      <c r="Y119" s="525"/>
      <c r="Z119" s="523"/>
      <c r="AA119" s="524"/>
      <c r="AB119" s="524"/>
      <c r="AC119" s="524"/>
      <c r="AD119" s="524"/>
      <c r="AE119" s="524"/>
      <c r="AF119" s="524"/>
      <c r="AG119" s="524"/>
      <c r="AH119" s="519"/>
      <c r="AI119" s="519"/>
      <c r="AJ119" s="519"/>
      <c r="AK119" s="519"/>
      <c r="AL119" s="519"/>
    </row>
    <row r="120" spans="1:38" ht="16.5" customHeight="1">
      <c r="A120" s="1102"/>
      <c r="B120" s="1103">
        <f>B119</f>
        <v>0.5</v>
      </c>
      <c r="C120" s="523" t="s">
        <v>397</v>
      </c>
      <c r="D120" s="1119"/>
      <c r="E120" s="1119"/>
      <c r="F120" s="1119"/>
      <c r="G120" s="1119"/>
      <c r="H120" s="1104"/>
      <c r="I120" s="1104">
        <v>0</v>
      </c>
      <c r="J120" s="1104">
        <v>0</v>
      </c>
      <c r="K120" s="1104">
        <v>0</v>
      </c>
      <c r="L120" s="1104">
        <v>0</v>
      </c>
      <c r="M120" s="1105">
        <f>(J120-J119)*B120/'P&amp;L'!$M$50</f>
        <v>0</v>
      </c>
      <c r="P120" s="1098" t="s">
        <v>404</v>
      </c>
      <c r="S120" s="1117"/>
      <c r="T120" s="519"/>
      <c r="U120" s="519"/>
      <c r="V120" s="519"/>
      <c r="W120" s="519"/>
      <c r="X120" s="522"/>
      <c r="Y120" s="525"/>
      <c r="Z120" s="524"/>
      <c r="AA120" s="524"/>
      <c r="AB120" s="524"/>
      <c r="AC120" s="524"/>
      <c r="AD120" s="524"/>
      <c r="AE120" s="524"/>
      <c r="AF120" s="524"/>
      <c r="AG120" s="524"/>
      <c r="AH120" s="519"/>
      <c r="AI120" s="519"/>
      <c r="AJ120" s="519"/>
      <c r="AK120" s="519"/>
      <c r="AL120" s="519"/>
    </row>
    <row r="121" spans="1:38" ht="9" customHeight="1">
      <c r="A121" s="1102"/>
      <c r="B121" s="1103"/>
      <c r="C121" s="523"/>
      <c r="D121" s="1119"/>
      <c r="E121" s="1119"/>
      <c r="F121" s="1119"/>
      <c r="G121" s="1119"/>
      <c r="H121" s="1104"/>
      <c r="I121" s="1104"/>
      <c r="J121" s="1104"/>
      <c r="K121" s="1104"/>
      <c r="L121" s="1104"/>
      <c r="M121" s="1104"/>
      <c r="P121" s="1152"/>
      <c r="T121" s="519"/>
      <c r="U121" s="519"/>
      <c r="V121" s="519"/>
      <c r="W121" s="519"/>
      <c r="X121" s="522"/>
      <c r="Y121" s="525"/>
      <c r="Z121" s="524"/>
      <c r="AA121" s="524"/>
      <c r="AB121" s="524"/>
      <c r="AC121" s="524"/>
      <c r="AD121" s="524"/>
      <c r="AE121" s="524"/>
      <c r="AF121" s="524"/>
      <c r="AG121" s="524"/>
      <c r="AH121" s="519"/>
      <c r="AI121" s="519"/>
      <c r="AJ121" s="519"/>
      <c r="AK121" s="519"/>
      <c r="AL121" s="519"/>
    </row>
    <row r="122" spans="1:38" s="1155" customFormat="1" ht="16.5" customHeight="1">
      <c r="A122" s="1102" t="s">
        <v>1661</v>
      </c>
      <c r="B122" s="1103">
        <f>B123</f>
        <v>0.5</v>
      </c>
      <c r="C122" s="523" t="s">
        <v>403</v>
      </c>
      <c r="I122" s="1104">
        <v>50</v>
      </c>
      <c r="J122" s="1104">
        <v>150</v>
      </c>
      <c r="K122" s="1155">
        <v>200</v>
      </c>
      <c r="L122" s="1155">
        <v>250</v>
      </c>
      <c r="M122" s="1105">
        <f>(J122-J123)*B122/'P&amp;L'!$M$50</f>
        <v>4.3271790760765786E-3</v>
      </c>
      <c r="N122" s="1098"/>
      <c r="O122" s="1098"/>
      <c r="P122" s="1151" t="s">
        <v>922</v>
      </c>
    </row>
    <row r="123" spans="1:38" s="1155" customFormat="1" ht="16.5" customHeight="1">
      <c r="A123" s="1110" t="s">
        <v>907</v>
      </c>
      <c r="B123" s="1111">
        <v>0.5</v>
      </c>
      <c r="C123" s="1102" t="s">
        <v>402</v>
      </c>
      <c r="H123" s="1112"/>
      <c r="I123" s="1112">
        <v>0</v>
      </c>
      <c r="J123" s="1112">
        <v>0</v>
      </c>
      <c r="K123" s="1112">
        <v>0</v>
      </c>
      <c r="L123" s="1112">
        <v>0</v>
      </c>
      <c r="M123" s="1105"/>
      <c r="N123" s="1098"/>
      <c r="O123" s="1098"/>
      <c r="P123" s="1152"/>
    </row>
    <row r="124" spans="1:38" s="1155" customFormat="1" ht="16.5" customHeight="1">
      <c r="A124" s="1102"/>
      <c r="B124" s="1103">
        <f>B123</f>
        <v>0.5</v>
      </c>
      <c r="C124" s="523" t="s">
        <v>401</v>
      </c>
      <c r="H124" s="1104"/>
      <c r="I124" s="1104">
        <v>0</v>
      </c>
      <c r="J124" s="1104">
        <v>0</v>
      </c>
      <c r="K124" s="1104">
        <v>0</v>
      </c>
      <c r="L124" s="1104">
        <v>0</v>
      </c>
      <c r="M124" s="1105">
        <f>(J124-J123)*B124/'P&amp;L'!$M$50</f>
        <v>0</v>
      </c>
      <c r="N124" s="1098"/>
      <c r="O124" s="1098"/>
      <c r="P124" s="1098" t="s">
        <v>404</v>
      </c>
    </row>
    <row r="125" spans="1:38" ht="9" customHeight="1">
      <c r="A125" s="1102"/>
      <c r="B125" s="1103"/>
      <c r="C125" s="523"/>
      <c r="D125" s="1119"/>
      <c r="E125" s="1119"/>
      <c r="F125" s="1119"/>
      <c r="G125" s="1119"/>
      <c r="H125" s="1104"/>
      <c r="I125" s="1104"/>
      <c r="J125" s="1104"/>
      <c r="K125" s="1104"/>
      <c r="L125" s="1104"/>
      <c r="M125" s="1104"/>
      <c r="P125" s="1152"/>
      <c r="T125" s="519"/>
      <c r="U125" s="519"/>
      <c r="V125" s="519"/>
      <c r="W125" s="519"/>
      <c r="X125" s="522"/>
      <c r="Y125" s="525"/>
      <c r="Z125" s="524"/>
      <c r="AA125" s="524"/>
      <c r="AB125" s="524"/>
      <c r="AC125" s="524"/>
      <c r="AD125" s="524"/>
      <c r="AE125" s="524"/>
      <c r="AF125" s="524"/>
      <c r="AG125" s="524"/>
      <c r="AH125" s="519"/>
      <c r="AI125" s="519"/>
      <c r="AJ125" s="519"/>
      <c r="AK125" s="519"/>
      <c r="AL125" s="519"/>
    </row>
    <row r="126" spans="1:38" s="1155" customFormat="1" ht="16.5" customHeight="1">
      <c r="A126" s="1102" t="s">
        <v>1660</v>
      </c>
      <c r="B126" s="1103">
        <f>B127</f>
        <v>0.5</v>
      </c>
      <c r="C126" s="523" t="s">
        <v>403</v>
      </c>
      <c r="I126" s="1104">
        <v>50</v>
      </c>
      <c r="J126" s="1104">
        <v>150</v>
      </c>
      <c r="K126" s="1155">
        <v>200</v>
      </c>
      <c r="L126" s="1155">
        <v>250</v>
      </c>
      <c r="M126" s="1105">
        <f>(J126-J127)*B126/'P&amp;L'!$M$50</f>
        <v>4.3271790760765786E-3</v>
      </c>
      <c r="N126" s="1098"/>
      <c r="O126" s="1098"/>
      <c r="P126" s="1151"/>
    </row>
    <row r="127" spans="1:38" s="1155" customFormat="1" ht="16.5" customHeight="1">
      <c r="A127" s="1110" t="s">
        <v>764</v>
      </c>
      <c r="B127" s="1111">
        <v>0.5</v>
      </c>
      <c r="C127" s="1102" t="s">
        <v>402</v>
      </c>
      <c r="H127" s="1112"/>
      <c r="I127" s="1112">
        <v>0</v>
      </c>
      <c r="J127" s="1112">
        <v>0</v>
      </c>
      <c r="K127" s="1112">
        <v>0</v>
      </c>
      <c r="L127" s="1112">
        <v>0</v>
      </c>
      <c r="M127" s="1105"/>
      <c r="N127" s="1098"/>
      <c r="O127" s="1098"/>
      <c r="P127" s="1152"/>
    </row>
    <row r="128" spans="1:38" s="1155" customFormat="1" ht="16.5" customHeight="1">
      <c r="A128" s="1102"/>
      <c r="B128" s="1103">
        <f>B127</f>
        <v>0.5</v>
      </c>
      <c r="C128" s="523" t="s">
        <v>401</v>
      </c>
      <c r="H128" s="1104"/>
      <c r="I128" s="1104">
        <v>0</v>
      </c>
      <c r="J128" s="1104">
        <v>0</v>
      </c>
      <c r="K128" s="1104">
        <v>0</v>
      </c>
      <c r="L128" s="1104">
        <v>0</v>
      </c>
      <c r="M128" s="1105">
        <f>(J128-J127)*B128/'P&amp;L'!$M$50</f>
        <v>0</v>
      </c>
      <c r="N128" s="1098"/>
      <c r="O128" s="1098"/>
      <c r="P128" s="1098" t="s">
        <v>404</v>
      </c>
    </row>
    <row r="129" spans="1:38" ht="9" customHeight="1">
      <c r="A129" s="1102"/>
      <c r="B129" s="1103"/>
      <c r="C129" s="523"/>
      <c r="D129" s="1119"/>
      <c r="E129" s="1119"/>
      <c r="F129" s="1119"/>
      <c r="G129" s="1119"/>
      <c r="H129" s="1104"/>
      <c r="I129" s="1104"/>
      <c r="J129" s="1104"/>
      <c r="K129" s="1104"/>
      <c r="L129" s="1104"/>
      <c r="M129" s="1104"/>
      <c r="P129" s="1152"/>
      <c r="T129" s="519"/>
      <c r="U129" s="519"/>
      <c r="V129" s="519"/>
      <c r="W129" s="519"/>
      <c r="X129" s="522"/>
      <c r="Y129" s="525"/>
      <c r="Z129" s="524"/>
      <c r="AA129" s="524"/>
      <c r="AB129" s="524"/>
      <c r="AC129" s="524"/>
      <c r="AD129" s="524"/>
      <c r="AE129" s="524"/>
      <c r="AF129" s="524"/>
      <c r="AG129" s="524"/>
      <c r="AH129" s="519"/>
      <c r="AI129" s="519"/>
      <c r="AJ129" s="519"/>
      <c r="AK129" s="519"/>
      <c r="AL129" s="519"/>
    </row>
    <row r="130" spans="1:38" s="1155" customFormat="1" ht="16.5" customHeight="1">
      <c r="A130" s="1102" t="s">
        <v>918</v>
      </c>
      <c r="B130" s="1103">
        <f>B131</f>
        <v>0.5</v>
      </c>
      <c r="C130" s="523" t="s">
        <v>403</v>
      </c>
      <c r="I130" s="1104">
        <v>50</v>
      </c>
      <c r="J130" s="1104">
        <v>100</v>
      </c>
      <c r="K130" s="1155">
        <v>150</v>
      </c>
      <c r="L130" s="1155">
        <v>200</v>
      </c>
      <c r="M130" s="1105">
        <f>(J130-J131)*B130/'P&amp;L'!$M$50</f>
        <v>2.8847860507177189E-3</v>
      </c>
      <c r="N130" s="1098"/>
      <c r="O130" s="1098"/>
      <c r="P130" s="1151" t="s">
        <v>921</v>
      </c>
    </row>
    <row r="131" spans="1:38" s="1155" customFormat="1" ht="16.5" customHeight="1">
      <c r="A131" s="1110" t="s">
        <v>919</v>
      </c>
      <c r="B131" s="1111">
        <v>0.5</v>
      </c>
      <c r="C131" s="1102" t="s">
        <v>402</v>
      </c>
      <c r="H131" s="1112"/>
      <c r="I131" s="1112">
        <v>0</v>
      </c>
      <c r="J131" s="1112">
        <v>0</v>
      </c>
      <c r="K131" s="1112">
        <v>0</v>
      </c>
      <c r="L131" s="1112">
        <v>0</v>
      </c>
      <c r="M131" s="1105"/>
      <c r="N131" s="1098"/>
      <c r="O131" s="1098"/>
      <c r="P131" s="1152"/>
    </row>
    <row r="132" spans="1:38" s="1155" customFormat="1" ht="16.5" customHeight="1">
      <c r="A132" s="1102"/>
      <c r="B132" s="1103">
        <f>B131</f>
        <v>0.5</v>
      </c>
      <c r="C132" s="523" t="s">
        <v>401</v>
      </c>
      <c r="H132" s="1104"/>
      <c r="I132" s="1104">
        <v>0</v>
      </c>
      <c r="J132" s="1104">
        <v>0</v>
      </c>
      <c r="K132" s="1104">
        <v>0</v>
      </c>
      <c r="L132" s="1104">
        <v>0</v>
      </c>
      <c r="M132" s="1105">
        <f>(J132-J131)*B132/'P&amp;L'!$M$50</f>
        <v>0</v>
      </c>
      <c r="N132" s="1098"/>
      <c r="O132" s="1098"/>
      <c r="P132" s="1098" t="s">
        <v>404</v>
      </c>
    </row>
    <row r="133" spans="1:38" ht="16.5" customHeight="1">
      <c r="A133" s="1102"/>
      <c r="B133" s="1103"/>
      <c r="C133" s="523"/>
      <c r="D133" s="1119"/>
      <c r="E133" s="1119"/>
      <c r="F133" s="1119"/>
      <c r="G133" s="1119"/>
      <c r="H133" s="1104"/>
      <c r="I133" s="1104"/>
      <c r="J133" s="1104"/>
      <c r="K133" s="1104"/>
      <c r="L133" s="1104"/>
      <c r="V133" s="519"/>
      <c r="W133" s="519"/>
      <c r="X133" s="522"/>
      <c r="Y133" s="525"/>
      <c r="Z133" s="524"/>
      <c r="AA133" s="524"/>
      <c r="AB133" s="524"/>
      <c r="AC133" s="524"/>
      <c r="AD133" s="524"/>
      <c r="AE133" s="524"/>
      <c r="AF133" s="524"/>
      <c r="AG133" s="524"/>
      <c r="AH133" s="519"/>
      <c r="AI133" s="519"/>
      <c r="AJ133" s="519"/>
      <c r="AK133" s="519"/>
      <c r="AL133" s="519"/>
    </row>
    <row r="134" spans="1:38">
      <c r="A134" s="1135" t="s">
        <v>957</v>
      </c>
      <c r="B134" s="1136"/>
      <c r="C134" s="1137"/>
      <c r="D134" s="1137"/>
      <c r="E134" s="1137"/>
      <c r="F134" s="1137"/>
      <c r="G134" s="1137"/>
      <c r="H134" s="1137"/>
      <c r="I134" s="1137"/>
      <c r="J134" s="1137"/>
      <c r="K134" s="1137"/>
      <c r="L134" s="1137"/>
      <c r="M134" s="1137"/>
      <c r="S134" s="1139" t="s">
        <v>1468</v>
      </c>
      <c r="T134" s="1140"/>
      <c r="U134" s="1140"/>
      <c r="V134" s="1140"/>
    </row>
    <row r="135" spans="1:38" ht="16.5" customHeight="1">
      <c r="A135" s="1102" t="s">
        <v>407</v>
      </c>
      <c r="B135" s="1118"/>
      <c r="C135" s="1102" t="s">
        <v>955</v>
      </c>
      <c r="D135" s="1142"/>
      <c r="E135" s="1142"/>
      <c r="F135" s="1142"/>
      <c r="G135" s="1142">
        <f>(SUMIF($C$79:$C$134,"bull",G$79:G$134)-SUMIF($C$79:$C$134,"base",G$79:G$134))/'P&amp;L'!J3*100</f>
        <v>5.1220329296187889E-2</v>
      </c>
      <c r="H135" s="1142">
        <f>(SUMIF($C$79:$C$134,"bull",H$79:H$134)-SUMIF($C$79:$C$134,"base",H$79:H$134))/'P&amp;L'!K3*100</f>
        <v>0.4808954902818352</v>
      </c>
      <c r="I135" s="1142">
        <f>(SUMIF($C$79:$C$134,"bull",I$79:I$134)-SUMIF($C$79:$C$134,"base",I$79:I$134))/'P&amp;L'!L3*100</f>
        <v>1.7059889216177575</v>
      </c>
      <c r="J135" s="1142">
        <f>(SUMIF($C$79:$C$134,"bull",J$79:J$134)-SUMIF($C$79:$C$134,"base",J$79:J$134))/'P&amp;L'!M3*100</f>
        <v>3.1679198465985388</v>
      </c>
      <c r="K135" s="1142">
        <f>(SUMIF($C$79:$C$134,"bull",K$79:K$134)-SUMIF($C$79:$C$134,"base",K$79:K$134))/'P&amp;L'!N3*100</f>
        <v>4.3097324012633038</v>
      </c>
      <c r="L135" s="1142">
        <f>(SUMIF($C$79:$C$134,"bull",L$79:L$134)-SUMIF($C$79:$C$134,"base",L$79:L$134))/'P&amp;L'!O3*100</f>
        <v>5.5584409895431985</v>
      </c>
      <c r="M135" s="1105">
        <f>+J135/100</f>
        <v>3.1679198465985388E-2</v>
      </c>
      <c r="S135" s="1102" t="s">
        <v>955</v>
      </c>
      <c r="T135" s="519"/>
      <c r="U135" s="1109">
        <f ca="1">U136+NPV!B756</f>
        <v>11.117492555712269</v>
      </c>
      <c r="V135" s="519"/>
      <c r="W135" s="519"/>
      <c r="X135" s="522"/>
      <c r="Y135" s="525"/>
      <c r="Z135" s="523"/>
      <c r="AA135" s="524"/>
      <c r="AB135" s="524"/>
      <c r="AC135" s="524"/>
      <c r="AD135" s="524"/>
      <c r="AE135" s="524"/>
      <c r="AF135" s="524"/>
      <c r="AG135" s="524"/>
      <c r="AH135" s="519"/>
      <c r="AI135" s="519"/>
      <c r="AJ135" s="519"/>
      <c r="AK135" s="519"/>
      <c r="AL135" s="519"/>
    </row>
    <row r="136" spans="1:38" ht="16.5" customHeight="1">
      <c r="A136" s="1102"/>
      <c r="B136" s="1118"/>
      <c r="C136" s="1102" t="s">
        <v>397</v>
      </c>
      <c r="D136" s="1142"/>
      <c r="E136" s="1142"/>
      <c r="F136" s="1156"/>
      <c r="G136" s="1156">
        <f>(SUMIF($C$79:$C$134,"bear",G$79:G$134)-SUMIF($C$79:$C$134,"base",G$79:G$134))/'P&amp;L'!J3*100</f>
        <v>-0.17073443098729299</v>
      </c>
      <c r="H136" s="1156">
        <f>(SUMIF($C$79:$C$134,"bear",H$79:H$134)-SUMIF($C$79:$C$134,"base",H$79:H$134))/'P&amp;L'!K3*100</f>
        <v>-0.97772747319349418</v>
      </c>
      <c r="I136" s="1156">
        <f>(SUMIF($C$79:$C$134,"bear",I$79:I$134)-SUMIF($C$79:$C$134,"base",I$79:I$134))/'P&amp;L'!L3*100</f>
        <v>-2.3523113212579423</v>
      </c>
      <c r="J136" s="1156">
        <f>(SUMIF($C$79:$C$134,"bear",J$79:J$134)-SUMIF($C$79:$C$134,"base",J$79:J$134))/'P&amp;L'!M3*100</f>
        <v>-4.1275528223465718</v>
      </c>
      <c r="K136" s="1156">
        <f>(SUMIF($C$79:$C$134,"bear",K$79:K$134)-SUMIF($C$79:$C$134,"base",K$79:K$134))/'P&amp;L'!N3*100</f>
        <v>-6.0620171226923123</v>
      </c>
      <c r="L136" s="1156">
        <f>(SUMIF($C$79:$C$134,"bear",L$79:L$134)-SUMIF($C$79:$C$134,"base",L$79:L$134))/'P&amp;L'!O3*100</f>
        <v>-7.8360355197996734</v>
      </c>
      <c r="M136" s="1105">
        <f>+J136/100</f>
        <v>-4.1275528223465717E-2</v>
      </c>
      <c r="S136" s="1102" t="s">
        <v>398</v>
      </c>
      <c r="T136" s="519"/>
      <c r="U136" s="1114">
        <f ca="1">SUMIF($C$80:$C$134,"Base",$U$80:$U$134)</f>
        <v>7.29526239883225</v>
      </c>
      <c r="V136" s="1115">
        <f ca="1">U136/NPV!$D$29</f>
        <v>7.9967926902264466E-2</v>
      </c>
      <c r="W136" s="519"/>
      <c r="X136" s="522"/>
      <c r="Y136" s="525"/>
      <c r="Z136" s="524"/>
      <c r="AA136" s="524"/>
      <c r="AB136" s="524"/>
      <c r="AC136" s="524"/>
      <c r="AD136" s="524"/>
      <c r="AE136" s="524"/>
      <c r="AF136" s="524"/>
      <c r="AG136" s="524"/>
      <c r="AH136" s="519"/>
      <c r="AI136" s="519"/>
      <c r="AJ136" s="519"/>
      <c r="AK136" s="519"/>
      <c r="AL136" s="519"/>
    </row>
    <row r="137" spans="1:38">
      <c r="A137" s="1102"/>
      <c r="B137" s="1118"/>
      <c r="C137" s="523"/>
      <c r="D137" s="1119"/>
      <c r="E137" s="1119"/>
      <c r="F137" s="1119"/>
      <c r="G137" s="1119"/>
      <c r="H137" s="1119"/>
      <c r="I137" s="1119"/>
      <c r="J137" s="1119"/>
      <c r="K137" s="1119"/>
      <c r="L137" s="1119"/>
      <c r="M137" s="1147"/>
      <c r="S137" s="1102" t="s">
        <v>397</v>
      </c>
      <c r="T137" s="519"/>
      <c r="U137" s="1109">
        <f ca="1">SUMIF($C$80:$C$134,"Bear",$U$80:$U$134)</f>
        <v>0</v>
      </c>
      <c r="V137" s="519"/>
      <c r="W137" s="519"/>
      <c r="X137" s="519"/>
      <c r="Y137" s="524"/>
      <c r="Z137" s="524"/>
      <c r="AA137" s="524"/>
      <c r="AB137" s="524"/>
      <c r="AC137" s="524"/>
      <c r="AD137" s="524"/>
      <c r="AE137" s="524"/>
      <c r="AF137" s="524"/>
      <c r="AG137" s="524"/>
      <c r="AH137" s="519"/>
      <c r="AI137" s="519"/>
      <c r="AJ137" s="519"/>
      <c r="AK137" s="519"/>
      <c r="AL137" s="519"/>
    </row>
    <row r="138" spans="1:38" ht="9.75" customHeight="1">
      <c r="A138" s="1102"/>
      <c r="B138" s="1118"/>
      <c r="C138" s="523"/>
      <c r="D138" s="1119"/>
      <c r="E138" s="1119"/>
      <c r="F138" s="1119"/>
      <c r="G138" s="1119"/>
      <c r="H138" s="1119"/>
      <c r="I138" s="1119"/>
      <c r="J138" s="1119"/>
      <c r="K138" s="1119"/>
      <c r="L138" s="1119"/>
      <c r="M138" s="1147"/>
      <c r="S138" s="1157"/>
      <c r="T138" s="1157"/>
      <c r="U138" s="1157"/>
      <c r="V138" s="519"/>
      <c r="W138" s="519"/>
      <c r="X138" s="519"/>
      <c r="Y138" s="524"/>
      <c r="Z138" s="524"/>
      <c r="AA138" s="524"/>
      <c r="AB138" s="524"/>
      <c r="AC138" s="524"/>
      <c r="AD138" s="524"/>
      <c r="AE138" s="524"/>
      <c r="AF138" s="524"/>
      <c r="AG138" s="524"/>
      <c r="AH138" s="519"/>
      <c r="AI138" s="519"/>
      <c r="AJ138" s="519"/>
      <c r="AK138" s="519"/>
      <c r="AL138" s="519"/>
    </row>
    <row r="139" spans="1:38" ht="16.5" customHeight="1">
      <c r="A139" s="1102" t="s">
        <v>956</v>
      </c>
      <c r="B139" s="1118"/>
      <c r="C139" s="1102" t="s">
        <v>399</v>
      </c>
      <c r="D139" s="1144"/>
      <c r="E139" s="1144"/>
      <c r="F139" s="1144"/>
      <c r="G139" s="1144">
        <f>(SUMPRODUCT(($C$79:$C$134="Bull")*G$79:G$134*$B$79:$B$134)-SUMPRODUCT(($C$79:$C$134="Base")*G$79:G$134*$B$79:$B$134))/'P&amp;L'!J50*100</f>
        <v>9.3003816182691074E-2</v>
      </c>
      <c r="H139" s="1144">
        <f>(SUMPRODUCT(($C$79:$C$134="Bull")*H$79:H$134*$B$79:$B$134)-SUMPRODUCT(($C$79:$C$134="Base")*H$79:H$134*$B$79:$B$134))/'P&amp;L'!K50*100</f>
        <v>0.85706078598262425</v>
      </c>
      <c r="I139" s="1144">
        <f>(SUMPRODUCT(($C$79:$C$134="Bull")*I$79:I$134*$B$79:$B$134)-SUMPRODUCT(($C$79:$C$134="Base")*I$79:I$134*$B$79:$B$134))/'P&amp;L'!L50*100</f>
        <v>2.8903834112006814</v>
      </c>
      <c r="J139" s="1144">
        <f>(SUMPRODUCT(($C$79:$C$134="Bull")*J$79:J$134*$B$79:$B$134)-SUMPRODUCT(($C$79:$C$134="Base")*J$79:J$134*$B$79:$B$134))/'P&amp;L'!M50*100</f>
        <v>5.2095598911175101</v>
      </c>
      <c r="K139" s="1144">
        <f>(SUMPRODUCT(($C$79:$C$134="Bull")*K$79:K$134*$B$79:$B$134)-SUMPRODUCT(($C$79:$C$134="Base")*K$79:K$134*$B$79:$B$134))/'P&amp;L'!N50*100</f>
        <v>6.8068872108291698</v>
      </c>
      <c r="L139" s="1144">
        <f>(SUMPRODUCT(($C$79:$C$134="Bull")*L$79:L$134*$B$79:$B$134)-SUMPRODUCT(($C$79:$C$134="Base")*L$79:L$134*$B$79:$B$134))/'P&amp;L'!O50*100</f>
        <v>8.7821201452163731</v>
      </c>
      <c r="M139" s="1105">
        <f>+J139/100</f>
        <v>5.2095598911175101E-2</v>
      </c>
      <c r="S139" s="1141"/>
      <c r="T139" s="1141"/>
      <c r="U139" s="1141"/>
      <c r="V139" s="524"/>
      <c r="W139" s="524"/>
      <c r="X139" s="524"/>
      <c r="Y139" s="524"/>
      <c r="Z139" s="524"/>
      <c r="AA139" s="519"/>
      <c r="AB139" s="519"/>
      <c r="AC139" s="519"/>
      <c r="AD139" s="519"/>
      <c r="AE139" s="519"/>
      <c r="AF139" s="519"/>
      <c r="AG139" s="519"/>
      <c r="AH139" s="519"/>
      <c r="AI139" s="519"/>
      <c r="AJ139" s="519"/>
      <c r="AK139" s="519"/>
      <c r="AL139" s="519"/>
    </row>
    <row r="140" spans="1:38" ht="16.5" customHeight="1">
      <c r="A140" s="1158"/>
      <c r="B140" s="1159"/>
      <c r="C140" s="1158" t="s">
        <v>397</v>
      </c>
      <c r="D140" s="1160"/>
      <c r="E140" s="1160"/>
      <c r="F140" s="1160"/>
      <c r="G140" s="1160">
        <f>(SUMPRODUCT(($C$79:$C$134="Bear")*G$79:G$134*$B$79:$B$134)-SUMPRODUCT(($C$79:$C$134="Base")*G$79:G$134*$B$79:$B$134))/'P&amp;L'!J50*100</f>
        <v>-0.31001272060897034</v>
      </c>
      <c r="H140" s="1160">
        <f>(SUMPRODUCT(($C$79:$C$134="Bear")*H$79:H$134*$B$79:$B$134)-SUMPRODUCT(($C$79:$C$134="Base")*H$79:H$134*$B$79:$B$134))/'P&amp;L'!K50*100</f>
        <v>-1.7425238821867866</v>
      </c>
      <c r="I140" s="1160">
        <f>(SUMPRODUCT(($C$79:$C$134="Bear")*I$79:I$134*$B$79:$B$134)-SUMPRODUCT(($C$79:$C$134="Base")*I$79:I$134*$B$79:$B$134))/'P&amp;L'!L50*100</f>
        <v>-3.9854195621013013</v>
      </c>
      <c r="J140" s="1160">
        <f>(SUMPRODUCT(($C$79:$C$134="Bear")*J$79:J$134*$B$79:$B$134)-SUMPRODUCT(($C$79:$C$134="Base")*J$79:J$134*$B$79:$B$134))/'P&amp;L'!M50*100</f>
        <v>-6.7876507844267309</v>
      </c>
      <c r="K140" s="1160">
        <f>(SUMPRODUCT(($C$79:$C$134="Bear")*K$79:K$134*$B$79:$B$134)-SUMPRODUCT(($C$79:$C$134="Base")*K$79:K$134*$B$79:$B$134))/'P&amp;L'!N50*100</f>
        <v>-9.5744846738480209</v>
      </c>
      <c r="L140" s="1160">
        <f>(SUMPRODUCT(($C$79:$C$134="Bear")*L$79:L$134*$B$79:$B$134)-SUMPRODUCT(($C$79:$C$134="Base")*L$79:L$134*$B$79:$B$134))/'P&amp;L'!O50*100</f>
        <v>-12.380630742779417</v>
      </c>
      <c r="M140" s="1161">
        <f>+J140/100</f>
        <v>-6.7876507844267311E-2</v>
      </c>
      <c r="S140" s="1141"/>
      <c r="T140" s="1141"/>
      <c r="U140" s="1141"/>
      <c r="V140" s="524"/>
      <c r="W140" s="524"/>
      <c r="X140" s="524"/>
      <c r="Y140" s="524"/>
      <c r="Z140" s="524"/>
      <c r="AA140" s="519"/>
      <c r="AB140" s="519"/>
      <c r="AC140" s="519"/>
      <c r="AD140" s="519"/>
      <c r="AE140" s="519"/>
      <c r="AF140" s="519"/>
      <c r="AG140" s="519"/>
      <c r="AH140" s="519"/>
      <c r="AI140" s="519"/>
      <c r="AJ140" s="519"/>
      <c r="AK140" s="519"/>
      <c r="AL140" s="519"/>
    </row>
    <row r="141" spans="1:38" s="1147" customFormat="1" ht="16.5" customHeight="1">
      <c r="S141" s="1162"/>
      <c r="T141" s="1162"/>
      <c r="U141" s="1162"/>
      <c r="V141" s="1162"/>
    </row>
    <row r="142" spans="1:38">
      <c r="A142" s="1135" t="s">
        <v>958</v>
      </c>
      <c r="B142" s="1136"/>
      <c r="C142" s="1137"/>
      <c r="D142" s="1137"/>
      <c r="E142" s="1137"/>
      <c r="F142" s="1137"/>
      <c r="G142" s="1137"/>
      <c r="H142" s="1137"/>
      <c r="I142" s="1137"/>
      <c r="J142" s="1137"/>
      <c r="K142" s="1137"/>
      <c r="L142" s="1137"/>
      <c r="M142" s="1138"/>
      <c r="S142" s="1139" t="s">
        <v>1469</v>
      </c>
      <c r="T142" s="1140"/>
      <c r="U142" s="1140"/>
      <c r="V142" s="1140"/>
    </row>
    <row r="143" spans="1:38">
      <c r="A143" s="1102" t="s">
        <v>959</v>
      </c>
      <c r="B143" s="1118"/>
      <c r="C143" s="1102" t="s">
        <v>399</v>
      </c>
      <c r="D143" s="1144"/>
      <c r="E143" s="1144"/>
      <c r="F143" s="1144"/>
      <c r="G143" s="1144">
        <f t="shared" ref="G143:J144" ca="1" si="45">G135+G71</f>
        <v>3.3707533260725229</v>
      </c>
      <c r="H143" s="1144">
        <f t="shared" si="45"/>
        <v>6.8704266742442535</v>
      </c>
      <c r="I143" s="1144">
        <f t="shared" si="45"/>
        <v>14.330587195209501</v>
      </c>
      <c r="J143" s="1144">
        <f t="shared" si="45"/>
        <v>22.430660446986092</v>
      </c>
      <c r="K143" s="1144">
        <f>K139+K71</f>
        <v>27.012901942199296</v>
      </c>
      <c r="L143" s="1144">
        <f>L139+L71</f>
        <v>27.666531436606981</v>
      </c>
      <c r="M143" s="1105">
        <f>+J143/100</f>
        <v>0.22430660446986092</v>
      </c>
      <c r="S143" s="1102" t="s">
        <v>955</v>
      </c>
      <c r="T143" s="519"/>
      <c r="U143" s="1109">
        <f ca="1">U144+U135-U136+U71-U72</f>
        <v>124.53739111513937</v>
      </c>
      <c r="V143" s="1157"/>
      <c r="W143" s="523"/>
      <c r="X143" s="522"/>
      <c r="AA143" s="519"/>
      <c r="AB143" s="519"/>
      <c r="AC143" s="519"/>
      <c r="AD143" s="519"/>
      <c r="AE143" s="519"/>
      <c r="AF143" s="519"/>
      <c r="AG143" s="519"/>
    </row>
    <row r="144" spans="1:38">
      <c r="A144" s="1102"/>
      <c r="B144" s="1118"/>
      <c r="C144" s="1102" t="s">
        <v>397</v>
      </c>
      <c r="D144" s="1144"/>
      <c r="E144" s="1144"/>
      <c r="F144" s="1144"/>
      <c r="G144" s="1144">
        <f t="shared" ca="1" si="45"/>
        <v>-3.8629041368815895</v>
      </c>
      <c r="H144" s="1144">
        <f t="shared" si="45"/>
        <v>-7.5199179751797791</v>
      </c>
      <c r="I144" s="1144">
        <f t="shared" si="45"/>
        <v>-14.05208475895439</v>
      </c>
      <c r="J144" s="1144">
        <f t="shared" si="45"/>
        <v>-21.412653966293082</v>
      </c>
      <c r="K144" s="1144">
        <f>K140+K72</f>
        <v>-26.738813166933305</v>
      </c>
      <c r="L144" s="1144">
        <f>L140+L72</f>
        <v>-28.723351986422951</v>
      </c>
      <c r="M144" s="1105">
        <f>+J144/100</f>
        <v>-0.21412653966293083</v>
      </c>
      <c r="S144" s="1102" t="s">
        <v>398</v>
      </c>
      <c r="T144" s="1141"/>
      <c r="U144" s="1114">
        <f ca="1">NPV!D26</f>
        <v>106.93067514395931</v>
      </c>
      <c r="V144" s="1163"/>
      <c r="W144" s="1102"/>
      <c r="X144" s="1164"/>
      <c r="AA144" s="1165"/>
      <c r="AB144" s="1165"/>
      <c r="AC144" s="1165"/>
      <c r="AD144" s="1165"/>
      <c r="AE144" s="1165"/>
      <c r="AF144" s="1165"/>
      <c r="AG144" s="1165"/>
    </row>
    <row r="145" spans="1:34">
      <c r="A145" s="1102"/>
      <c r="B145" s="1118"/>
      <c r="C145" s="523"/>
      <c r="D145" s="1166"/>
      <c r="E145" s="1166"/>
      <c r="F145" s="1166"/>
      <c r="G145" s="1166"/>
      <c r="H145" s="1166"/>
      <c r="I145" s="1166"/>
      <c r="J145" s="1166"/>
      <c r="K145" s="1166"/>
      <c r="L145" s="1166"/>
      <c r="M145" s="1167"/>
      <c r="S145" s="1102" t="s">
        <v>397</v>
      </c>
      <c r="T145" s="1141"/>
      <c r="U145" s="1109">
        <f ca="1">U144+U137-U136+U73-U72</f>
        <v>87.624678811877516</v>
      </c>
      <c r="V145" s="1157"/>
      <c r="W145" s="1102"/>
      <c r="X145" s="1164"/>
      <c r="AA145" s="1165"/>
      <c r="AB145" s="1165"/>
      <c r="AC145" s="1165"/>
      <c r="AD145" s="1165"/>
      <c r="AE145" s="1165"/>
      <c r="AF145" s="1165"/>
      <c r="AG145" s="1165"/>
    </row>
    <row r="146" spans="1:34">
      <c r="A146" s="1102" t="s">
        <v>960</v>
      </c>
      <c r="B146" s="1118"/>
      <c r="C146" s="1102" t="s">
        <v>399</v>
      </c>
      <c r="D146" s="1144"/>
      <c r="E146" s="1144"/>
      <c r="F146" s="1144"/>
      <c r="G146" s="1144">
        <f t="shared" ref="G146:L147" ca="1" si="46">G139+G74</f>
        <v>4.356814211209743</v>
      </c>
      <c r="H146" s="1144">
        <f t="shared" si="46"/>
        <v>9.1486172678262196</v>
      </c>
      <c r="I146" s="1144">
        <f t="shared" si="46"/>
        <v>18.386046341949434</v>
      </c>
      <c r="J146" s="1144">
        <f t="shared" si="46"/>
        <v>28.275555892238994</v>
      </c>
      <c r="K146" s="1144">
        <f t="shared" si="46"/>
        <v>30.175857372321733</v>
      </c>
      <c r="L146" s="1144">
        <f t="shared" si="46"/>
        <v>30.182157300371379</v>
      </c>
      <c r="M146" s="1105">
        <f>+J146/100</f>
        <v>0.28275555892238996</v>
      </c>
      <c r="P146" s="1167"/>
      <c r="R146" s="1167"/>
      <c r="S146" s="1120"/>
      <c r="W146" s="523"/>
      <c r="X146" s="522"/>
      <c r="AA146" s="519"/>
      <c r="AB146" s="519"/>
      <c r="AC146" s="519"/>
      <c r="AD146" s="519"/>
      <c r="AE146" s="519"/>
      <c r="AF146" s="519"/>
      <c r="AG146" s="519"/>
    </row>
    <row r="147" spans="1:34">
      <c r="A147" s="1158"/>
      <c r="B147" s="1159"/>
      <c r="C147" s="1158" t="s">
        <v>397</v>
      </c>
      <c r="D147" s="1160"/>
      <c r="E147" s="1160"/>
      <c r="F147" s="1160"/>
      <c r="G147" s="1160">
        <f t="shared" ca="1" si="46"/>
        <v>-5.0929711951968546</v>
      </c>
      <c r="H147" s="1160">
        <f t="shared" si="46"/>
        <v>-10.220839487602927</v>
      </c>
      <c r="I147" s="1160">
        <f t="shared" si="46"/>
        <v>-18.175732193947809</v>
      </c>
      <c r="J147" s="1160">
        <f t="shared" si="46"/>
        <v>-27.108703477582388</v>
      </c>
      <c r="K147" s="1160">
        <f t="shared" si="46"/>
        <v>-28.806799304315156</v>
      </c>
      <c r="L147" s="1160">
        <f t="shared" si="46"/>
        <v>-30.024554953047392</v>
      </c>
      <c r="M147" s="1161">
        <f>+J147/100</f>
        <v>-0.27108703477582385</v>
      </c>
      <c r="W147" s="523"/>
      <c r="X147" s="522"/>
      <c r="AA147" s="519"/>
      <c r="AB147" s="519"/>
      <c r="AC147" s="519"/>
      <c r="AD147" s="519"/>
      <c r="AE147" s="519"/>
      <c r="AF147" s="519"/>
      <c r="AG147" s="519"/>
    </row>
    <row r="148" spans="1:34" ht="12" customHeight="1">
      <c r="A148" s="1168"/>
      <c r="B148" s="1118"/>
      <c r="C148" s="523"/>
      <c r="D148" s="1166"/>
      <c r="E148" s="1166"/>
      <c r="F148" s="1166"/>
      <c r="G148" s="1166"/>
      <c r="H148" s="1166"/>
      <c r="I148" s="1166"/>
      <c r="J148" s="1166"/>
      <c r="K148" s="1166"/>
      <c r="L148" s="1166"/>
      <c r="M148" s="1169"/>
      <c r="W148" s="519"/>
      <c r="X148" s="519"/>
      <c r="Y148" s="519"/>
      <c r="Z148" s="519"/>
      <c r="AA148" s="519"/>
      <c r="AB148" s="519"/>
      <c r="AC148" s="519"/>
      <c r="AD148" s="519"/>
      <c r="AE148" s="519"/>
      <c r="AF148" s="519"/>
      <c r="AG148" s="519"/>
    </row>
    <row r="149" spans="1:34">
      <c r="A149" s="1135" t="s">
        <v>102</v>
      </c>
      <c r="B149" s="1136"/>
      <c r="C149" s="1170"/>
      <c r="D149" s="1171">
        <v>2015</v>
      </c>
      <c r="E149" s="1171">
        <v>2016</v>
      </c>
      <c r="F149" s="1171">
        <v>2017</v>
      </c>
      <c r="G149" s="1171">
        <v>2018</v>
      </c>
      <c r="H149" s="1171">
        <v>2019</v>
      </c>
      <c r="I149" s="1171">
        <v>2020</v>
      </c>
      <c r="J149" s="1171">
        <v>2021</v>
      </c>
      <c r="K149" s="1171">
        <v>2022</v>
      </c>
      <c r="L149" s="1171">
        <v>2023</v>
      </c>
      <c r="M149" s="1172" t="s">
        <v>961</v>
      </c>
      <c r="N149" s="1173" t="s">
        <v>521</v>
      </c>
      <c r="O149" s="1137"/>
      <c r="P149" s="1173"/>
      <c r="W149" s="519"/>
      <c r="X149" s="519"/>
      <c r="Y149" s="519"/>
      <c r="Z149" s="519"/>
      <c r="AA149" s="519"/>
      <c r="AB149" s="519"/>
      <c r="AC149" s="519"/>
      <c r="AD149" s="519"/>
      <c r="AE149" s="519"/>
      <c r="AF149" s="519"/>
      <c r="AG149" s="519"/>
    </row>
    <row r="150" spans="1:34">
      <c r="A150" s="1102" t="s">
        <v>962</v>
      </c>
      <c r="B150" s="1118"/>
      <c r="C150" s="523" t="s">
        <v>399</v>
      </c>
      <c r="D150" s="1174"/>
      <c r="E150" s="1174">
        <f t="shared" ref="E150:L152" si="47">(E159/D159-1)*100</f>
        <v>-1.8132513052980914</v>
      </c>
      <c r="F150" s="1174">
        <f t="shared" si="47"/>
        <v>1.2181046209654101</v>
      </c>
      <c r="G150" s="1174">
        <f t="shared" ca="1" si="47"/>
        <v>9.9988675359252035</v>
      </c>
      <c r="H150" s="1174">
        <f t="shared" ca="1" si="47"/>
        <v>5.4697891694445167</v>
      </c>
      <c r="I150" s="1174">
        <f t="shared" si="47"/>
        <v>10.336553690254702</v>
      </c>
      <c r="J150" s="1174">
        <f t="shared" si="47"/>
        <v>11.021383732759492</v>
      </c>
      <c r="K150" s="1174">
        <f t="shared" si="47"/>
        <v>5.929395177836394</v>
      </c>
      <c r="L150" s="1174">
        <f t="shared" si="47"/>
        <v>-0.40339153019305352</v>
      </c>
      <c r="M150" s="1175">
        <f ca="1">+(((1+G150%)*(1+H150%)*(1+I150%)*(1+J150%))^(1/4)-1)</f>
        <v>9.1843984411628776E-2</v>
      </c>
      <c r="W150" s="519"/>
      <c r="X150" s="519"/>
      <c r="Y150" s="519"/>
      <c r="Z150" s="519"/>
      <c r="AA150" s="519"/>
      <c r="AB150" s="519"/>
      <c r="AC150" s="519"/>
      <c r="AD150" s="519"/>
      <c r="AE150" s="519"/>
      <c r="AF150" s="519"/>
      <c r="AG150" s="519"/>
    </row>
    <row r="151" spans="1:34">
      <c r="A151" s="1102"/>
      <c r="B151" s="1118"/>
      <c r="C151" s="1102" t="s">
        <v>398</v>
      </c>
      <c r="D151" s="1176"/>
      <c r="E151" s="1176">
        <f t="shared" si="47"/>
        <v>-1.8132513052980914</v>
      </c>
      <c r="F151" s="1176">
        <f t="shared" si="47"/>
        <v>1.2181046209654101</v>
      </c>
      <c r="G151" s="1176">
        <f t="shared" si="47"/>
        <v>6.4119821096253027</v>
      </c>
      <c r="H151" s="1176">
        <f t="shared" si="47"/>
        <v>2.0159823336330485</v>
      </c>
      <c r="I151" s="1176">
        <f t="shared" si="47"/>
        <v>3.137006989300728</v>
      </c>
      <c r="J151" s="1176">
        <f t="shared" si="47"/>
        <v>3.6761538902859492</v>
      </c>
      <c r="K151" s="1176">
        <f t="shared" si="47"/>
        <v>2.1077828634621376</v>
      </c>
      <c r="L151" s="1176">
        <f t="shared" si="47"/>
        <v>-0.91330810822090047</v>
      </c>
      <c r="M151" s="1177">
        <f>+(((1+G151%)*(1+H151%)*(1+I151%)*(1+J151%))^(1/4)-1)</f>
        <v>3.7977734424218923E-2</v>
      </c>
      <c r="W151" s="519"/>
      <c r="X151" s="519"/>
      <c r="Y151" s="519"/>
      <c r="Z151" s="519"/>
      <c r="AA151" s="519"/>
      <c r="AB151" s="519"/>
      <c r="AC151" s="519"/>
      <c r="AD151" s="519"/>
      <c r="AE151" s="519"/>
      <c r="AF151" s="519"/>
      <c r="AG151" s="519"/>
    </row>
    <row r="152" spans="1:34">
      <c r="A152" s="1102"/>
      <c r="B152" s="1118"/>
      <c r="C152" s="523" t="s">
        <v>397</v>
      </c>
      <c r="D152" s="1174"/>
      <c r="E152" s="1174">
        <f t="shared" si="47"/>
        <v>-1.8132513052980914</v>
      </c>
      <c r="F152" s="1174">
        <f t="shared" si="47"/>
        <v>1.2181046209654101</v>
      </c>
      <c r="G152" s="1174">
        <f t="shared" ca="1" si="47"/>
        <v>2.3013892505748812</v>
      </c>
      <c r="H152" s="1174">
        <f t="shared" ca="1" si="47"/>
        <v>-1.8646618211775934</v>
      </c>
      <c r="I152" s="1174">
        <f t="shared" si="47"/>
        <v>-4.1478928127196451</v>
      </c>
      <c r="J152" s="1174">
        <f t="shared" si="47"/>
        <v>-5.2026595599292014</v>
      </c>
      <c r="K152" s="1174">
        <f t="shared" si="47"/>
        <v>-4.8124445599444732</v>
      </c>
      <c r="L152" s="1174">
        <f t="shared" si="47"/>
        <v>-3.597422235420511</v>
      </c>
      <c r="M152" s="1175">
        <f ca="1">+(((1+G152%)*(1+H152%)*(1+I152%)*(1+J152%))^(1/4)-1)</f>
        <v>-2.2703838015858735E-2</v>
      </c>
      <c r="P152" s="525"/>
      <c r="R152" s="525"/>
      <c r="S152" s="1120"/>
      <c r="W152" s="519"/>
      <c r="X152" s="519"/>
      <c r="Y152" s="519"/>
      <c r="Z152" s="519"/>
      <c r="AA152" s="519"/>
      <c r="AB152" s="519"/>
      <c r="AC152" s="519"/>
      <c r="AD152" s="519"/>
      <c r="AE152" s="519"/>
      <c r="AF152" s="519"/>
      <c r="AG152" s="519"/>
    </row>
    <row r="153" spans="1:34">
      <c r="A153" s="1102"/>
      <c r="B153" s="1118"/>
      <c r="C153" s="523"/>
      <c r="D153" s="1178"/>
      <c r="E153" s="1178"/>
      <c r="F153" s="1178"/>
      <c r="G153" s="1178"/>
      <c r="H153" s="1178"/>
      <c r="I153" s="1178"/>
      <c r="J153" s="1178"/>
      <c r="K153" s="1178"/>
      <c r="L153" s="1178"/>
      <c r="M153" s="1179"/>
      <c r="P153" s="525"/>
      <c r="R153" s="525"/>
      <c r="S153" s="1120"/>
      <c r="W153" s="519"/>
      <c r="X153" s="519"/>
      <c r="Y153" s="519"/>
      <c r="Z153" s="519"/>
      <c r="AA153" s="519"/>
      <c r="AB153" s="519"/>
      <c r="AC153" s="519"/>
      <c r="AD153" s="519"/>
      <c r="AE153" s="519"/>
      <c r="AF153" s="519"/>
      <c r="AG153" s="519"/>
    </row>
    <row r="154" spans="1:34">
      <c r="A154" s="1102" t="s">
        <v>994</v>
      </c>
      <c r="B154" s="1118"/>
      <c r="C154" s="523" t="s">
        <v>399</v>
      </c>
      <c r="D154" s="1174">
        <f>D155</f>
        <v>-3.4950848586664307</v>
      </c>
      <c r="E154" s="1174">
        <f t="shared" ref="E154" si="48">(E163/D163-1)*100</f>
        <v>-4.9630549362506322</v>
      </c>
      <c r="F154" s="1174">
        <f t="shared" ref="F154" si="49">(F163/E163-1)*100</f>
        <v>2.0449206190611635</v>
      </c>
      <c r="G154" s="1174">
        <f t="shared" ref="G154" ca="1" si="50">(G163/F163-1)*100</f>
        <v>13.368895880915655</v>
      </c>
      <c r="H154" s="1174">
        <f t="shared" ref="H154" ca="1" si="51">(H163/G163-1)*100</f>
        <v>9.3257148693849814</v>
      </c>
      <c r="I154" s="1174">
        <f t="shared" ref="I154" si="52">(I163/H163-1)*100</f>
        <v>18.958012804367797</v>
      </c>
      <c r="J154" s="1174">
        <f t="shared" ref="J154" si="53">(J163/I163-1)*100</f>
        <v>17.146584307024824</v>
      </c>
      <c r="K154" s="1174">
        <f t="shared" ref="K154" si="54">(K163/J163-1)*100</f>
        <v>9.1769359391513881</v>
      </c>
      <c r="L154" s="1174">
        <f t="shared" ref="L154" si="55">(L163/K163-1)*100</f>
        <v>0.45936973984741503</v>
      </c>
      <c r="M154" s="1175">
        <f ca="1">+(((1+G154%)*(1+H154%)*(1+I154%)*(1+J154%))^(1/4)-1)</f>
        <v>0.14639661075018151</v>
      </c>
      <c r="P154" s="1180"/>
      <c r="R154" s="1180"/>
      <c r="S154" s="1120"/>
      <c r="W154" s="519"/>
      <c r="X154" s="519"/>
      <c r="Y154" s="519"/>
      <c r="Z154" s="519"/>
      <c r="AA154" s="519"/>
      <c r="AB154" s="519"/>
      <c r="AC154" s="519"/>
      <c r="AD154" s="519"/>
      <c r="AE154" s="519"/>
      <c r="AF154" s="519"/>
      <c r="AG154" s="519"/>
    </row>
    <row r="155" spans="1:34">
      <c r="A155" s="1102"/>
      <c r="B155" s="1118"/>
      <c r="C155" s="1102" t="s">
        <v>398</v>
      </c>
      <c r="D155" s="1176">
        <f>'P&amp;L'!G134*100</f>
        <v>-3.4950848586664307</v>
      </c>
      <c r="E155" s="1176">
        <f>(E164/D164-1)*100</f>
        <v>-4.9630549362506322</v>
      </c>
      <c r="F155" s="1176">
        <f t="shared" ref="F155:J156" si="56">(F164/E164-1)*100</f>
        <v>2.0449206190611635</v>
      </c>
      <c r="G155" s="1176">
        <f t="shared" si="56"/>
        <v>8.6358344089214611</v>
      </c>
      <c r="H155" s="1176">
        <f t="shared" si="56"/>
        <v>4.526136938017844</v>
      </c>
      <c r="I155" s="1176">
        <f t="shared" si="56"/>
        <v>9.6759543183110974</v>
      </c>
      <c r="J155" s="1176">
        <f t="shared" si="56"/>
        <v>8.1150719800670004</v>
      </c>
      <c r="K155" s="1176">
        <f t="shared" ref="K155:L156" si="57">(K164/J164-1)*100</f>
        <v>7.5831757969563984</v>
      </c>
      <c r="L155" s="1176">
        <f t="shared" si="57"/>
        <v>0.45450819188725955</v>
      </c>
      <c r="M155" s="1177">
        <f>+(((1+G155%)*(1+H155%)*(1+I155%)*(1+J155%))^(1/4)-1)</f>
        <v>7.7206380313743717E-2</v>
      </c>
      <c r="P155" s="1180"/>
      <c r="R155" s="1180"/>
      <c r="S155" s="1120"/>
      <c r="W155" s="519"/>
      <c r="X155" s="519"/>
      <c r="Y155" s="519"/>
      <c r="Z155" s="519"/>
      <c r="AA155" s="519"/>
      <c r="AB155" s="519"/>
      <c r="AC155" s="519"/>
      <c r="AD155" s="519"/>
      <c r="AE155" s="519"/>
      <c r="AF155" s="519"/>
      <c r="AG155" s="519"/>
    </row>
    <row r="156" spans="1:34">
      <c r="A156" s="1181"/>
      <c r="B156" s="1182"/>
      <c r="C156" s="1181" t="s">
        <v>397</v>
      </c>
      <c r="D156" s="1183">
        <f>D155</f>
        <v>-3.4950848586664307</v>
      </c>
      <c r="E156" s="1184">
        <f t="shared" ref="E156" si="58">(E165/D165-1)*100</f>
        <v>-4.9630549362506322</v>
      </c>
      <c r="F156" s="1184">
        <f t="shared" si="56"/>
        <v>2.0449206190611635</v>
      </c>
      <c r="G156" s="1184">
        <f t="shared" ca="1" si="56"/>
        <v>3.1030426548133594</v>
      </c>
      <c r="H156" s="1184">
        <f t="shared" ca="1" si="56"/>
        <v>-1.1214559756171583</v>
      </c>
      <c r="I156" s="1184">
        <f t="shared" si="56"/>
        <v>-4.1896061317625577E-2</v>
      </c>
      <c r="J156" s="1184">
        <f t="shared" si="56"/>
        <v>-3.6881357872817877</v>
      </c>
      <c r="K156" s="1184">
        <f t="shared" si="57"/>
        <v>5.0768883447736224</v>
      </c>
      <c r="L156" s="1184">
        <f t="shared" si="57"/>
        <v>-1.2637604573083938</v>
      </c>
      <c r="M156" s="1185">
        <f ca="1">+(((1+G156%)*(1+H156%)*(1+I156%)*(1+J156%))^(1/4)-1)</f>
        <v>-4.6683003051245509E-3</v>
      </c>
      <c r="W156" s="519"/>
      <c r="X156" s="519"/>
      <c r="Y156" s="519"/>
      <c r="Z156" s="519"/>
      <c r="AA156" s="519"/>
      <c r="AB156" s="519"/>
      <c r="AC156" s="519"/>
      <c r="AD156" s="519"/>
      <c r="AE156" s="519"/>
      <c r="AF156" s="519"/>
      <c r="AG156" s="519"/>
    </row>
    <row r="157" spans="1:34">
      <c r="A157" s="1102"/>
      <c r="B157" s="1118"/>
      <c r="C157" s="523"/>
      <c r="D157" s="1166"/>
      <c r="E157" s="1166"/>
      <c r="F157" s="1166"/>
      <c r="G157" s="1166"/>
      <c r="H157" s="1166"/>
      <c r="I157" s="1166"/>
      <c r="J157" s="1166"/>
      <c r="K157" s="1166"/>
      <c r="L157" s="1166"/>
      <c r="M157" s="1169"/>
      <c r="W157" s="519"/>
      <c r="X157" s="519"/>
      <c r="Y157" s="519"/>
      <c r="Z157" s="519"/>
      <c r="AA157" s="519"/>
      <c r="AB157" s="519"/>
      <c r="AC157" s="519"/>
      <c r="AD157" s="519"/>
      <c r="AE157" s="519"/>
      <c r="AF157" s="519"/>
      <c r="AG157" s="519"/>
    </row>
    <row r="158" spans="1:34">
      <c r="A158" s="1135" t="s">
        <v>963</v>
      </c>
      <c r="B158" s="1136"/>
      <c r="C158" s="1170"/>
      <c r="D158" s="1171">
        <v>2015</v>
      </c>
      <c r="E158" s="1171">
        <v>2016</v>
      </c>
      <c r="F158" s="1171">
        <v>2017</v>
      </c>
      <c r="G158" s="1171">
        <v>2018</v>
      </c>
      <c r="H158" s="1171">
        <v>2019</v>
      </c>
      <c r="I158" s="1171">
        <v>2020</v>
      </c>
      <c r="J158" s="1171">
        <v>2021</v>
      </c>
      <c r="K158" s="1171">
        <v>2022</v>
      </c>
      <c r="L158" s="1171">
        <v>2023</v>
      </c>
      <c r="M158" s="1172" t="s">
        <v>961</v>
      </c>
      <c r="N158" s="1173" t="s">
        <v>521</v>
      </c>
      <c r="O158" s="1137"/>
      <c r="P158" s="1173"/>
      <c r="W158" s="519"/>
      <c r="X158" s="519"/>
      <c r="Y158" s="519"/>
      <c r="Z158" s="519"/>
      <c r="AA158" s="519"/>
      <c r="AB158" s="519"/>
      <c r="AC158" s="519"/>
      <c r="AD158" s="519"/>
      <c r="AE158" s="519"/>
      <c r="AF158" s="519"/>
      <c r="AG158" s="519"/>
      <c r="AH158" s="519"/>
    </row>
    <row r="159" spans="1:34">
      <c r="A159" s="1102"/>
      <c r="B159" s="1118"/>
      <c r="C159" s="523" t="s">
        <v>399</v>
      </c>
      <c r="D159" s="1186">
        <f t="shared" ref="D159:J159" si="59">D160*(1+D143/100)</f>
        <v>49414</v>
      </c>
      <c r="E159" s="1186">
        <f t="shared" si="59"/>
        <v>48518</v>
      </c>
      <c r="F159" s="1186">
        <f t="shared" si="59"/>
        <v>49109</v>
      </c>
      <c r="G159" s="1186">
        <f t="shared" ca="1" si="59"/>
        <v>54019.343858217508</v>
      </c>
      <c r="H159" s="1186">
        <f t="shared" si="59"/>
        <v>56974.088077979286</v>
      </c>
      <c r="I159" s="1186">
        <f t="shared" si="59"/>
        <v>62863.245281692616</v>
      </c>
      <c r="J159" s="1186">
        <f t="shared" si="59"/>
        <v>69791.64477105379</v>
      </c>
      <c r="K159" s="1186">
        <f>K160*(1+K143/100)</f>
        <v>73929.867190641366</v>
      </c>
      <c r="L159" s="1186">
        <f>L160*(1+L143/100)</f>
        <v>73631.640368111344</v>
      </c>
      <c r="M159" s="1175">
        <f>(J159/F159)^(1/($J$158-$F$158))-1</f>
        <v>9.1843984411628776E-2</v>
      </c>
      <c r="W159" s="519"/>
      <c r="X159" s="519"/>
      <c r="Y159" s="519"/>
      <c r="Z159" s="519"/>
      <c r="AA159" s="519"/>
      <c r="AB159" s="519"/>
      <c r="AC159" s="519"/>
      <c r="AD159" s="519"/>
      <c r="AE159" s="519"/>
      <c r="AF159" s="519"/>
      <c r="AG159" s="519"/>
      <c r="AH159" s="519"/>
    </row>
    <row r="160" spans="1:34">
      <c r="A160" s="1102" t="s">
        <v>261</v>
      </c>
      <c r="B160" s="1118"/>
      <c r="C160" s="1102" t="s">
        <v>398</v>
      </c>
      <c r="D160" s="1187">
        <f>'P&amp;L'!G3</f>
        <v>49414</v>
      </c>
      <c r="E160" s="1187">
        <f>'P&amp;L'!H3</f>
        <v>48518</v>
      </c>
      <c r="F160" s="1187">
        <f>'P&amp;L'!I3</f>
        <v>49109</v>
      </c>
      <c r="G160" s="1187">
        <f>'P&amp;L'!J3</f>
        <v>52257.86029421589</v>
      </c>
      <c r="H160" s="1187">
        <f>'P&amp;L'!K3</f>
        <v>53311.369525681919</v>
      </c>
      <c r="I160" s="1187">
        <f>'P&amp;L'!L3</f>
        <v>54983.750913794494</v>
      </c>
      <c r="J160" s="1187">
        <f>'P&amp;L'!M3</f>
        <v>57005.038212037085</v>
      </c>
      <c r="K160" s="1187">
        <f>'P&amp;L'!N3</f>
        <v>58206.58063878044</v>
      </c>
      <c r="L160" s="1187">
        <f>'P&amp;L'!O3</f>
        <v>57674.975218288324</v>
      </c>
      <c r="M160" s="1177">
        <f>(J160/F160)^(1/($J$158-$F$158))-1</f>
        <v>3.7977734424218923E-2</v>
      </c>
      <c r="W160" s="519"/>
      <c r="X160" s="519"/>
      <c r="Y160" s="519"/>
      <c r="Z160" s="519"/>
      <c r="AA160" s="519"/>
      <c r="AB160" s="519"/>
      <c r="AC160" s="519"/>
      <c r="AD160" s="519"/>
      <c r="AE160" s="519"/>
      <c r="AF160" s="519"/>
      <c r="AG160" s="519"/>
      <c r="AH160" s="519"/>
    </row>
    <row r="161" spans="1:34">
      <c r="A161" s="1102"/>
      <c r="B161" s="1118"/>
      <c r="C161" s="523" t="s">
        <v>397</v>
      </c>
      <c r="D161" s="1186">
        <f t="shared" ref="D161:J161" si="60">D160*(1+D144/100)</f>
        <v>49414</v>
      </c>
      <c r="E161" s="1186">
        <f t="shared" si="60"/>
        <v>48518</v>
      </c>
      <c r="F161" s="1186">
        <f t="shared" si="60"/>
        <v>49109</v>
      </c>
      <c r="G161" s="1186">
        <f t="shared" ca="1" si="60"/>
        <v>50239.189247064824</v>
      </c>
      <c r="H161" s="1186">
        <f t="shared" si="60"/>
        <v>49302.398265905649</v>
      </c>
      <c r="I161" s="1186">
        <f t="shared" si="60"/>
        <v>47257.387631735735</v>
      </c>
      <c r="J161" s="1186">
        <f t="shared" si="60"/>
        <v>44798.746636340438</v>
      </c>
      <c r="K161" s="1186">
        <f>K160*(1+K144/100)</f>
        <v>42642.831790916563</v>
      </c>
      <c r="L161" s="1186">
        <f>L160*(1+L144/100)</f>
        <v>41108.789078257163</v>
      </c>
      <c r="M161" s="1175">
        <f>(J161/F161)^(1/($J$158-$F$158))-1</f>
        <v>-2.2703838015858624E-2</v>
      </c>
      <c r="P161" s="525"/>
      <c r="R161" s="525"/>
      <c r="S161" s="1120"/>
      <c r="W161" s="519"/>
      <c r="X161" s="519"/>
      <c r="Y161" s="519"/>
      <c r="Z161" s="519"/>
      <c r="AA161" s="519"/>
      <c r="AB161" s="519"/>
      <c r="AC161" s="519"/>
      <c r="AD161" s="519"/>
      <c r="AE161" s="519"/>
      <c r="AF161" s="519"/>
      <c r="AG161" s="519"/>
      <c r="AH161" s="519"/>
    </row>
    <row r="162" spans="1:34">
      <c r="A162" s="1102"/>
      <c r="B162" s="1118"/>
      <c r="C162" s="523"/>
      <c r="D162" s="1188"/>
      <c r="E162" s="1188"/>
      <c r="F162" s="1188"/>
      <c r="G162" s="1188"/>
      <c r="H162" s="1188"/>
      <c r="I162" s="1188"/>
      <c r="J162" s="1188"/>
      <c r="K162" s="1188"/>
      <c r="L162" s="1188"/>
      <c r="M162" s="525"/>
      <c r="P162" s="525"/>
      <c r="R162" s="525"/>
      <c r="S162" s="1120"/>
      <c r="W162" s="519"/>
      <c r="X162" s="519"/>
      <c r="Y162" s="519"/>
      <c r="Z162" s="519"/>
      <c r="AA162" s="519"/>
      <c r="AB162" s="519"/>
      <c r="AC162" s="519"/>
      <c r="AD162" s="519"/>
      <c r="AE162" s="519"/>
      <c r="AF162" s="519"/>
      <c r="AG162" s="519"/>
    </row>
    <row r="163" spans="1:34">
      <c r="A163" s="1102"/>
      <c r="B163" s="1118"/>
      <c r="C163" s="523" t="s">
        <v>399</v>
      </c>
      <c r="D163" s="1189">
        <f t="shared" ref="D163:J163" si="61">D164*(1+D146%)</f>
        <v>5.0062421972534334</v>
      </c>
      <c r="E163" s="1189">
        <f>E164*(1+E146%)</f>
        <v>4.7577796467619846</v>
      </c>
      <c r="F163" s="1189">
        <f t="shared" si="61"/>
        <v>4.8550724637681162</v>
      </c>
      <c r="G163" s="1189">
        <f t="shared" ca="1" si="61"/>
        <v>5.5041420463922819</v>
      </c>
      <c r="H163" s="1189">
        <f t="shared" si="61"/>
        <v>6.0174426396447576</v>
      </c>
      <c r="I163" s="1189">
        <f t="shared" si="61"/>
        <v>7.158230185764098</v>
      </c>
      <c r="J163" s="1189">
        <f t="shared" si="61"/>
        <v>8.3856221594570393</v>
      </c>
      <c r="K163" s="1189">
        <f>K164*(1+K146%)</f>
        <v>9.1551653331296947</v>
      </c>
      <c r="L163" s="1189">
        <f>L164*(1+L146%)</f>
        <v>9.1972213923030939</v>
      </c>
      <c r="M163" s="1175">
        <f>(J163/F163)^(1/($J$158-$F$158))-1</f>
        <v>0.14639661075018151</v>
      </c>
      <c r="P163" s="1180"/>
      <c r="R163" s="1180"/>
      <c r="S163" s="1120"/>
      <c r="W163" s="519"/>
      <c r="X163" s="519"/>
      <c r="Y163" s="519"/>
      <c r="Z163" s="519"/>
      <c r="AA163" s="519"/>
      <c r="AB163" s="519"/>
      <c r="AC163" s="519"/>
      <c r="AD163" s="519"/>
      <c r="AE163" s="519"/>
      <c r="AF163" s="519"/>
      <c r="AG163" s="519"/>
    </row>
    <row r="164" spans="1:34">
      <c r="A164" s="1102" t="s">
        <v>948</v>
      </c>
      <c r="B164" s="1118"/>
      <c r="C164" s="1102" t="s">
        <v>398</v>
      </c>
      <c r="D164" s="1190">
        <f>'P&amp;L'!G133</f>
        <v>5.0062421972534334</v>
      </c>
      <c r="E164" s="1190">
        <f>'P&amp;L'!H133</f>
        <v>4.7577796467619846</v>
      </c>
      <c r="F164" s="1190">
        <f>'P&amp;L'!I133</f>
        <v>4.8550724637681162</v>
      </c>
      <c r="G164" s="1190">
        <f>'P&amp;L'!J133</f>
        <v>5.2743484821722744</v>
      </c>
      <c r="H164" s="1190">
        <f>'P&amp;L'!K133</f>
        <v>5.5130727170636566</v>
      </c>
      <c r="I164" s="1190">
        <f>'P&amp;L'!L133</f>
        <v>6.0465151147020091</v>
      </c>
      <c r="J164" s="1190">
        <f>'P&amp;L'!M133</f>
        <v>6.5371941685457085</v>
      </c>
      <c r="K164" s="1190">
        <f>'P&amp;L'!N133</f>
        <v>7.0329210945349114</v>
      </c>
      <c r="L164" s="1190">
        <f>'P&amp;L'!O133</f>
        <v>7.0648862970385391</v>
      </c>
      <c r="M164" s="1177">
        <f>(J164/F164)^(1/($J$158-$F$158))-1</f>
        <v>7.7206380313743717E-2</v>
      </c>
      <c r="P164" s="1180"/>
      <c r="R164" s="1180"/>
      <c r="S164" s="1120"/>
      <c r="W164" s="519"/>
      <c r="X164" s="519"/>
      <c r="Y164" s="519"/>
      <c r="Z164" s="519"/>
      <c r="AA164" s="519"/>
      <c r="AB164" s="519"/>
      <c r="AC164" s="519"/>
      <c r="AD164" s="519"/>
      <c r="AE164" s="519"/>
      <c r="AF164" s="519"/>
      <c r="AG164" s="519"/>
    </row>
    <row r="165" spans="1:34">
      <c r="A165" s="1158"/>
      <c r="B165" s="1159"/>
      <c r="C165" s="1181" t="s">
        <v>397</v>
      </c>
      <c r="D165" s="1191">
        <f t="shared" ref="D165:J165" si="62">D164*(1+D147%)</f>
        <v>5.0062421972534334</v>
      </c>
      <c r="E165" s="1191">
        <f t="shared" si="62"/>
        <v>4.7577796467619846</v>
      </c>
      <c r="F165" s="1191">
        <f t="shared" si="62"/>
        <v>4.8550724637681162</v>
      </c>
      <c r="G165" s="1191">
        <f t="shared" ca="1" si="62"/>
        <v>5.0057274332409385</v>
      </c>
      <c r="H165" s="1191">
        <f t="shared" si="62"/>
        <v>4.9495904038177505</v>
      </c>
      <c r="I165" s="1191">
        <f t="shared" si="62"/>
        <v>4.9475167203871955</v>
      </c>
      <c r="J165" s="1191">
        <f t="shared" si="62"/>
        <v>4.7650455856408449</v>
      </c>
      <c r="K165" s="1191">
        <f>K164*(1+K147%)</f>
        <v>5.0069616296013946</v>
      </c>
      <c r="L165" s="1191">
        <f>L164*(1+L147%)</f>
        <v>4.9436856284138884</v>
      </c>
      <c r="M165" s="1185">
        <f>(J165/F165)^(1/($J$158-$F$158))-1</f>
        <v>-4.6683003051245509E-3</v>
      </c>
      <c r="W165" s="519"/>
      <c r="X165" s="519"/>
      <c r="Y165" s="519"/>
      <c r="Z165" s="519"/>
      <c r="AA165" s="519"/>
      <c r="AB165" s="519"/>
      <c r="AC165" s="519"/>
      <c r="AD165" s="519"/>
      <c r="AE165" s="519"/>
      <c r="AF165" s="519"/>
      <c r="AG165" s="519"/>
    </row>
    <row r="166" spans="1:34" ht="15" customHeight="1">
      <c r="A166" s="1102"/>
      <c r="B166" s="1118"/>
      <c r="C166" s="523"/>
      <c r="D166" s="1166"/>
      <c r="E166" s="1166"/>
      <c r="F166" s="1166"/>
      <c r="G166" s="1166"/>
      <c r="H166" s="1166"/>
      <c r="I166" s="1166"/>
      <c r="J166" s="1166"/>
      <c r="K166" s="1166"/>
      <c r="L166" s="1166"/>
      <c r="M166" s="1169"/>
      <c r="W166" s="519"/>
      <c r="X166" s="519"/>
      <c r="Y166" s="519"/>
      <c r="Z166" s="519"/>
      <c r="AA166" s="519"/>
      <c r="AB166" s="519"/>
      <c r="AC166" s="519"/>
      <c r="AD166" s="519"/>
      <c r="AE166" s="519"/>
      <c r="AF166" s="519"/>
      <c r="AG166" s="519"/>
    </row>
    <row r="167" spans="1:34" ht="17.25" thickBot="1">
      <c r="A167" s="1093" t="s">
        <v>964</v>
      </c>
      <c r="B167" s="1192"/>
      <c r="C167" s="1193" t="s">
        <v>672</v>
      </c>
      <c r="D167" s="526"/>
      <c r="E167" s="527"/>
      <c r="F167" s="526" t="s">
        <v>965</v>
      </c>
      <c r="G167" s="527" t="s">
        <v>966</v>
      </c>
      <c r="H167" s="526" t="s">
        <v>967</v>
      </c>
      <c r="I167" s="527" t="s">
        <v>968</v>
      </c>
      <c r="J167" s="527" t="s">
        <v>969</v>
      </c>
      <c r="K167" s="527" t="s">
        <v>970</v>
      </c>
      <c r="L167" s="527" t="s">
        <v>971</v>
      </c>
      <c r="M167" s="1194" t="s">
        <v>972</v>
      </c>
      <c r="N167" s="1137"/>
      <c r="O167" s="1137"/>
      <c r="P167" s="1137"/>
      <c r="W167" s="519"/>
      <c r="X167" s="519"/>
      <c r="Y167" s="519"/>
      <c r="Z167" s="519"/>
      <c r="AA167" s="519"/>
      <c r="AB167" s="519"/>
      <c r="AC167" s="519"/>
      <c r="AD167" s="519"/>
      <c r="AE167" s="519"/>
      <c r="AF167" s="519"/>
      <c r="AG167" s="519"/>
    </row>
    <row r="168" spans="1:34" ht="17.25" thickBot="1">
      <c r="A168" s="1195" t="s">
        <v>399</v>
      </c>
      <c r="B168" s="1131"/>
      <c r="C168" s="1196">
        <f>C169*(1+(M146))</f>
        <v>118.01351142085988</v>
      </c>
      <c r="D168" s="1197"/>
      <c r="E168" s="1197"/>
      <c r="F168" s="1197">
        <f>$C$168/(F163/$B$173)</f>
        <v>25.036478378150782</v>
      </c>
      <c r="G168" s="1197">
        <f t="shared" ref="G168:J168" ca="1" si="63">$C$168/(G163/$B$173)</f>
        <v>22.08408063217751</v>
      </c>
      <c r="H168" s="1197">
        <f t="shared" si="63"/>
        <v>20.200261812659619</v>
      </c>
      <c r="I168" s="1197">
        <f t="shared" si="63"/>
        <v>16.981001394063238</v>
      </c>
      <c r="J168" s="1197">
        <f t="shared" si="63"/>
        <v>14.495515592292818</v>
      </c>
      <c r="K168" s="1197">
        <f t="shared" ref="K168:L168" si="64">$C$168/$B$173/K163</f>
        <v>12.51492687585125</v>
      </c>
      <c r="L168" s="1197">
        <f t="shared" si="64"/>
        <v>12.457699971899364</v>
      </c>
      <c r="M168" s="1198">
        <f>C168/C170-1</f>
        <v>0.52708995109807755</v>
      </c>
      <c r="W168" s="519"/>
      <c r="X168" s="519"/>
      <c r="Y168" s="519"/>
      <c r="Z168" s="519"/>
      <c r="AA168" s="519"/>
      <c r="AB168" s="519"/>
      <c r="AC168" s="519"/>
      <c r="AD168" s="519"/>
      <c r="AE168" s="519"/>
      <c r="AF168" s="519"/>
      <c r="AG168" s="519"/>
    </row>
    <row r="169" spans="1:34" ht="17.25" thickBot="1">
      <c r="A169" s="1195" t="s">
        <v>973</v>
      </c>
      <c r="B169" s="1131"/>
      <c r="C169" s="1199">
        <f>Valuation!D71</f>
        <v>92</v>
      </c>
      <c r="D169" s="1197"/>
      <c r="E169" s="1197"/>
      <c r="F169" s="1197">
        <f>$C$169/(F164/$B$173)</f>
        <v>19.517731343283582</v>
      </c>
      <c r="G169" s="1197">
        <f t="shared" ref="G169:J169" si="65">$C$169/(G164/$B$173)</f>
        <v>17.96620005680256</v>
      </c>
      <c r="H169" s="1197">
        <f t="shared" si="65"/>
        <v>17.18823691672084</v>
      </c>
      <c r="I169" s="1197">
        <f t="shared" si="65"/>
        <v>15.671837116489217</v>
      </c>
      <c r="J169" s="1197">
        <f t="shared" si="65"/>
        <v>14.495515592292818</v>
      </c>
      <c r="K169" s="1197">
        <f t="shared" ref="K169:L169" si="66">$C$169/K164/$B$173</f>
        <v>12.70032567533325</v>
      </c>
      <c r="L169" s="1197">
        <f t="shared" si="66"/>
        <v>12.642862828090511</v>
      </c>
      <c r="M169" s="1198">
        <f>C169/C170-1</f>
        <v>0.1904761904761858</v>
      </c>
      <c r="W169" s="519"/>
      <c r="X169" s="519"/>
      <c r="Y169" s="519"/>
      <c r="Z169" s="519"/>
      <c r="AA169" s="519"/>
      <c r="AB169" s="519"/>
      <c r="AC169" s="519"/>
      <c r="AD169" s="519"/>
      <c r="AE169" s="519"/>
      <c r="AF169" s="519"/>
      <c r="AG169" s="519"/>
    </row>
    <row r="170" spans="1:34" ht="17.25" thickBot="1">
      <c r="A170" s="1129" t="s">
        <v>974</v>
      </c>
      <c r="B170" s="1118"/>
      <c r="C170" s="1200">
        <f>Valuation!E34</f>
        <v>77.2800000000003</v>
      </c>
      <c r="D170" s="1201"/>
      <c r="E170" s="1201"/>
      <c r="F170" s="1201">
        <f>$C$170/(F164/$B$173)</f>
        <v>16.394894328358273</v>
      </c>
      <c r="G170" s="1201">
        <f t="shared" ref="G170:J170" si="67">$C$170/(G164/$B$173)</f>
        <v>15.091608047714208</v>
      </c>
      <c r="H170" s="1201">
        <f t="shared" si="67"/>
        <v>14.438119010045561</v>
      </c>
      <c r="I170" s="1201">
        <f t="shared" si="67"/>
        <v>13.164343177850993</v>
      </c>
      <c r="J170" s="1201">
        <f t="shared" si="67"/>
        <v>12.176233097526016</v>
      </c>
      <c r="K170" s="1201">
        <f t="shared" ref="K170:L170" si="68">$C$170/K164/$B$173</f>
        <v>10.668273567279972</v>
      </c>
      <c r="L170" s="1201">
        <f t="shared" si="68"/>
        <v>10.620004775596069</v>
      </c>
      <c r="M170" s="1202"/>
      <c r="W170" s="519"/>
      <c r="X170" s="519"/>
      <c r="Y170" s="519"/>
      <c r="Z170" s="519"/>
      <c r="AA170" s="519"/>
      <c r="AB170" s="519"/>
      <c r="AC170" s="519"/>
      <c r="AD170" s="519"/>
      <c r="AE170" s="519"/>
      <c r="AF170" s="519"/>
      <c r="AG170" s="519"/>
    </row>
    <row r="171" spans="1:34" ht="17.25" thickBot="1">
      <c r="A171" s="1203" t="s">
        <v>397</v>
      </c>
      <c r="B171" s="1182"/>
      <c r="C171" s="1204">
        <f>C169*(1+(M147))</f>
        <v>67.059992800624201</v>
      </c>
      <c r="D171" s="1205"/>
      <c r="E171" s="1205"/>
      <c r="F171" s="1205">
        <f>$C$171/(F165/$B$173)</f>
        <v>14.226727427881677</v>
      </c>
      <c r="G171" s="1205">
        <f t="shared" ref="G171:J171" ca="1" si="69">$C$171/(G165/$B$173)</f>
        <v>13.798552459322115</v>
      </c>
      <c r="H171" s="1205">
        <f t="shared" si="69"/>
        <v>13.95505222641575</v>
      </c>
      <c r="I171" s="1205">
        <f t="shared" si="69"/>
        <v>13.960901294182456</v>
      </c>
      <c r="J171" s="1205">
        <f t="shared" si="69"/>
        <v>14.495515592292818</v>
      </c>
      <c r="K171" s="1205">
        <f t="shared" ref="K171:L171" si="70">$C$171/K165/$B$173</f>
        <v>13.003253059081818</v>
      </c>
      <c r="L171" s="1205">
        <f t="shared" si="70"/>
        <v>13.169686347492974</v>
      </c>
      <c r="M171" s="1206">
        <f>C171/C170-1</f>
        <v>-0.13224646997122225</v>
      </c>
      <c r="W171" s="519"/>
      <c r="X171" s="519"/>
      <c r="Y171" s="519"/>
      <c r="Z171" s="519"/>
      <c r="AA171" s="519"/>
      <c r="AB171" s="519"/>
      <c r="AC171" s="519"/>
      <c r="AD171" s="519"/>
      <c r="AE171" s="519"/>
      <c r="AF171" s="519"/>
      <c r="AG171" s="519"/>
    </row>
    <row r="172" spans="1:34" ht="15" customHeight="1">
      <c r="A172" s="1102"/>
      <c r="B172" s="1118"/>
      <c r="C172" s="523"/>
      <c r="D172" s="1166"/>
      <c r="E172" s="1166"/>
      <c r="F172" s="1166"/>
      <c r="G172" s="1166"/>
      <c r="H172" s="1166"/>
      <c r="I172" s="1166"/>
      <c r="J172" s="1166"/>
      <c r="K172" s="1166"/>
      <c r="L172" s="1166"/>
      <c r="M172" s="1169"/>
      <c r="W172" s="519"/>
      <c r="X172" s="519"/>
      <c r="Y172" s="519"/>
      <c r="Z172" s="519"/>
      <c r="AA172" s="519"/>
      <c r="AB172" s="519"/>
      <c r="AC172" s="519"/>
      <c r="AD172" s="519"/>
      <c r="AE172" s="519"/>
      <c r="AF172" s="519"/>
      <c r="AG172" s="519"/>
    </row>
    <row r="173" spans="1:34" ht="15" customHeight="1">
      <c r="A173" s="1102" t="s">
        <v>1000</v>
      </c>
      <c r="B173" s="1207">
        <f>Valuation!E65</f>
        <v>1.03</v>
      </c>
      <c r="C173" s="523"/>
      <c r="D173" s="1166"/>
      <c r="E173" s="1166"/>
      <c r="F173" s="1166"/>
      <c r="G173" s="1166"/>
      <c r="H173" s="1166"/>
      <c r="I173" s="1166"/>
      <c r="J173" s="1166"/>
      <c r="K173" s="1166"/>
      <c r="L173" s="1166"/>
      <c r="M173" s="1169"/>
      <c r="W173" s="519"/>
      <c r="X173" s="519"/>
      <c r="Y173" s="519"/>
      <c r="Z173" s="519"/>
      <c r="AA173" s="519"/>
      <c r="AB173" s="519"/>
      <c r="AC173" s="519"/>
      <c r="AD173" s="519"/>
      <c r="AE173" s="519"/>
      <c r="AF173" s="519"/>
      <c r="AG173" s="519"/>
    </row>
    <row r="174" spans="1:34" ht="15" customHeight="1">
      <c r="A174" s="1102"/>
      <c r="B174" s="1118"/>
      <c r="C174" s="523"/>
      <c r="D174" s="1166"/>
      <c r="E174" s="1166"/>
      <c r="F174" s="1166"/>
      <c r="G174" s="1166"/>
      <c r="H174" s="1166"/>
      <c r="I174" s="1166"/>
      <c r="J174" s="1166"/>
      <c r="K174" s="1166"/>
      <c r="L174" s="1166"/>
      <c r="M174" s="1169"/>
      <c r="W174" s="519"/>
      <c r="X174" s="519"/>
      <c r="Y174" s="519"/>
      <c r="Z174" s="519"/>
      <c r="AA174" s="519"/>
      <c r="AB174" s="519"/>
      <c r="AC174" s="519"/>
      <c r="AD174" s="519"/>
      <c r="AE174" s="519"/>
      <c r="AF174" s="519"/>
      <c r="AG174" s="519"/>
    </row>
    <row r="175" spans="1:34" ht="15" customHeight="1">
      <c r="A175" s="1093" t="s">
        <v>975</v>
      </c>
      <c r="B175" s="1192"/>
      <c r="C175" s="1208"/>
      <c r="D175" s="1208"/>
      <c r="E175" s="1208"/>
      <c r="F175" s="1208"/>
      <c r="G175" s="1208">
        <v>2018</v>
      </c>
      <c r="H175" s="1208">
        <v>2019</v>
      </c>
      <c r="I175" s="1208">
        <v>2020</v>
      </c>
      <c r="J175" s="1208"/>
      <c r="K175" s="1208"/>
      <c r="L175" s="1208"/>
      <c r="M175" s="1208"/>
      <c r="N175" s="1137"/>
      <c r="O175" s="1137"/>
      <c r="P175" s="1137"/>
      <c r="W175" s="519"/>
      <c r="X175" s="519"/>
      <c r="Y175" s="519"/>
      <c r="Z175" s="519"/>
      <c r="AA175" s="519"/>
      <c r="AB175" s="519"/>
      <c r="AC175" s="519"/>
      <c r="AD175" s="519"/>
      <c r="AE175" s="519"/>
      <c r="AF175" s="519"/>
      <c r="AG175" s="519"/>
    </row>
    <row r="176" spans="1:34" ht="15" customHeight="1">
      <c r="A176" s="522" t="s">
        <v>999</v>
      </c>
      <c r="B176" s="1131"/>
      <c r="D176" s="1197"/>
      <c r="E176" s="1197"/>
      <c r="F176" s="1197"/>
      <c r="G176" s="1197">
        <v>14.779322704601533</v>
      </c>
      <c r="H176" s="1197">
        <v>14.054350509779511</v>
      </c>
      <c r="I176" s="1197">
        <v>12.918560894436084</v>
      </c>
      <c r="J176" s="1197"/>
      <c r="K176" s="1197"/>
      <c r="L176" s="1169"/>
      <c r="M176" s="1169"/>
      <c r="W176" s="519"/>
      <c r="X176" s="519"/>
      <c r="Y176" s="519"/>
      <c r="Z176" s="519"/>
      <c r="AA176" s="519"/>
      <c r="AB176" s="519"/>
      <c r="AC176" s="519"/>
      <c r="AD176" s="519"/>
      <c r="AE176" s="519"/>
      <c r="AF176" s="519"/>
      <c r="AG176" s="519"/>
    </row>
    <row r="177" spans="1:33" ht="15" customHeight="1">
      <c r="A177" s="522" t="s">
        <v>995</v>
      </c>
      <c r="B177" s="1131"/>
      <c r="D177" s="1209"/>
      <c r="E177" s="1209"/>
      <c r="F177" s="1209"/>
      <c r="G177" s="1209">
        <f ca="1">G168/G176-1</f>
        <v>0.49425525604780551</v>
      </c>
      <c r="H177" s="1209">
        <f>H168/H176-1</f>
        <v>0.43729600301369786</v>
      </c>
      <c r="I177" s="1209">
        <f>I168/I176-1</f>
        <v>0.31446540623397246</v>
      </c>
      <c r="J177" s="1209"/>
      <c r="K177" s="1209"/>
      <c r="L177" s="1209"/>
      <c r="M177" s="1169"/>
      <c r="W177" s="519"/>
      <c r="X177" s="519"/>
      <c r="Y177" s="519"/>
      <c r="Z177" s="519"/>
      <c r="AA177" s="519"/>
      <c r="AB177" s="519"/>
      <c r="AC177" s="519"/>
      <c r="AD177" s="519"/>
      <c r="AE177" s="519"/>
      <c r="AF177" s="519"/>
      <c r="AG177" s="519"/>
    </row>
    <row r="178" spans="1:33" ht="15" customHeight="1">
      <c r="A178" s="522" t="s">
        <v>996</v>
      </c>
      <c r="B178" s="1131"/>
      <c r="D178" s="1209"/>
      <c r="E178" s="1209"/>
      <c r="F178" s="1209"/>
      <c r="G178" s="1209">
        <f>G169/G176-1</f>
        <v>0.21563081176979737</v>
      </c>
      <c r="H178" s="1209">
        <f>H169/H176-1</f>
        <v>0.22298336765976212</v>
      </c>
      <c r="I178" s="1209">
        <f>I169/I176-1</f>
        <v>0.21312561395588148</v>
      </c>
      <c r="J178" s="1209"/>
      <c r="K178" s="1209"/>
      <c r="L178" s="1209"/>
      <c r="M178" s="1169"/>
      <c r="W178" s="519"/>
      <c r="X178" s="519"/>
      <c r="Y178" s="519"/>
      <c r="Z178" s="519"/>
      <c r="AA178" s="519"/>
      <c r="AB178" s="519"/>
      <c r="AC178" s="519"/>
      <c r="AD178" s="519"/>
      <c r="AE178" s="519"/>
      <c r="AF178" s="519"/>
      <c r="AG178" s="519"/>
    </row>
    <row r="179" spans="1:33" ht="15" customHeight="1">
      <c r="A179" s="1164" t="s">
        <v>997</v>
      </c>
      <c r="B179" s="1118"/>
      <c r="C179" s="1210"/>
      <c r="D179" s="1211"/>
      <c r="E179" s="1211"/>
      <c r="F179" s="1211"/>
      <c r="G179" s="1211">
        <f>G170/G176-1</f>
        <v>2.1129881886633672E-2</v>
      </c>
      <c r="H179" s="1211">
        <f>H170/H176-1</f>
        <v>2.7306028834204188E-2</v>
      </c>
      <c r="I179" s="1211">
        <f>I170/I176-1</f>
        <v>1.9025515722944419E-2</v>
      </c>
      <c r="J179" s="1209"/>
      <c r="K179" s="1209"/>
      <c r="L179" s="1209"/>
      <c r="M179" s="1169"/>
      <c r="P179" s="1169"/>
      <c r="R179" s="1169"/>
      <c r="S179" s="1120"/>
      <c r="W179" s="519"/>
      <c r="X179" s="519"/>
      <c r="Y179" s="519"/>
      <c r="Z179" s="519"/>
      <c r="AA179" s="519"/>
      <c r="AB179" s="519"/>
      <c r="AC179" s="519"/>
      <c r="AD179" s="519"/>
      <c r="AE179" s="519"/>
      <c r="AF179" s="519"/>
      <c r="AG179" s="519"/>
    </row>
    <row r="180" spans="1:33" ht="15" customHeight="1">
      <c r="A180" s="522" t="s">
        <v>998</v>
      </c>
      <c r="B180" s="1131"/>
      <c r="D180" s="1209"/>
      <c r="E180" s="1209"/>
      <c r="F180" s="1209"/>
      <c r="G180" s="1209">
        <f ca="1">G171/G176-1</f>
        <v>-6.6360973698345149E-2</v>
      </c>
      <c r="H180" s="1209">
        <f>H171/H176-1</f>
        <v>-7.0653057424934218E-3</v>
      </c>
      <c r="I180" s="1209">
        <f>I171/I176-1</f>
        <v>8.0685488752489487E-2</v>
      </c>
      <c r="J180" s="1209"/>
      <c r="K180" s="1209"/>
      <c r="L180" s="1209"/>
      <c r="M180" s="1169"/>
      <c r="P180" s="1169"/>
      <c r="R180" s="1169"/>
      <c r="S180" s="1120"/>
      <c r="W180" s="519"/>
      <c r="X180" s="519"/>
      <c r="Y180" s="519"/>
      <c r="Z180" s="519"/>
      <c r="AA180" s="519"/>
      <c r="AB180" s="519"/>
      <c r="AC180" s="519"/>
      <c r="AD180" s="519"/>
      <c r="AE180" s="519"/>
      <c r="AF180" s="519"/>
      <c r="AG180" s="519"/>
    </row>
    <row r="181" spans="1:33" ht="15" customHeight="1">
      <c r="A181" s="519"/>
      <c r="B181" s="1212"/>
      <c r="C181" s="519"/>
      <c r="D181" s="1166"/>
      <c r="E181" s="1166"/>
      <c r="F181" s="1166"/>
      <c r="G181" s="1166"/>
      <c r="H181" s="1166"/>
      <c r="I181" s="1166"/>
      <c r="J181" s="1166"/>
      <c r="K181" s="1166"/>
      <c r="L181" s="1166"/>
      <c r="M181" s="1169"/>
      <c r="P181" s="1169"/>
      <c r="R181" s="1169"/>
      <c r="S181" s="1213"/>
      <c r="W181" s="519"/>
      <c r="X181" s="519"/>
      <c r="Y181" s="519"/>
      <c r="Z181" s="519"/>
      <c r="AA181" s="519"/>
      <c r="AB181" s="519"/>
      <c r="AC181" s="519"/>
      <c r="AD181" s="519"/>
      <c r="AE181" s="519"/>
      <c r="AF181" s="519"/>
      <c r="AG181" s="519"/>
    </row>
    <row r="182" spans="1:33" ht="15" customHeight="1">
      <c r="A182" s="1214" t="s">
        <v>976</v>
      </c>
      <c r="B182" s="1215"/>
      <c r="C182" s="1216"/>
      <c r="D182" s="1217"/>
      <c r="E182" s="1217"/>
      <c r="F182" s="1217">
        <v>2017</v>
      </c>
      <c r="G182" s="1217">
        <v>2018</v>
      </c>
      <c r="H182" s="1217">
        <v>2019</v>
      </c>
      <c r="I182" s="1217">
        <v>2020</v>
      </c>
      <c r="J182" s="1217">
        <v>2021</v>
      </c>
      <c r="K182" s="1217">
        <v>2022</v>
      </c>
      <c r="L182" s="1217">
        <v>2023</v>
      </c>
      <c r="M182" s="1218" t="s">
        <v>977</v>
      </c>
      <c r="N182" s="1137"/>
      <c r="O182" s="1137"/>
      <c r="P182" s="1171"/>
      <c r="S182" s="1213"/>
      <c r="W182" s="519"/>
      <c r="X182" s="519"/>
      <c r="Y182" s="519"/>
      <c r="Z182" s="519"/>
      <c r="AA182" s="519"/>
    </row>
    <row r="183" spans="1:33" ht="15" customHeight="1">
      <c r="A183" s="1166" t="s">
        <v>399</v>
      </c>
      <c r="B183" s="1212"/>
      <c r="C183" s="519"/>
      <c r="D183" s="1119"/>
      <c r="E183" s="1119"/>
      <c r="F183" s="1119">
        <f t="shared" ref="F183:L183" si="71">SUMIF($C$79:$C$134,"Bull",F$79:F$134)</f>
        <v>0</v>
      </c>
      <c r="G183" s="1119">
        <f t="shared" si="71"/>
        <v>115.98880854530321</v>
      </c>
      <c r="H183" s="1119">
        <f t="shared" si="71"/>
        <v>777.61187804478527</v>
      </c>
      <c r="I183" s="1119">
        <f t="shared" si="71"/>
        <v>2231.4056968766918</v>
      </c>
      <c r="J183" s="1119">
        <f t="shared" si="71"/>
        <v>4158.7869826808819</v>
      </c>
      <c r="K183" s="1119">
        <f t="shared" si="71"/>
        <v>6037.0407503135521</v>
      </c>
      <c r="L183" s="1119">
        <f t="shared" si="71"/>
        <v>7725.2610073829528</v>
      </c>
      <c r="M183" s="1219">
        <f>(J183-F183)/(J159-F159)</f>
        <v>0.20107616935437941</v>
      </c>
      <c r="P183" s="1220"/>
      <c r="S183" s="1221"/>
      <c r="W183" s="519"/>
      <c r="X183" s="519"/>
      <c r="Y183" s="519"/>
      <c r="Z183" s="519"/>
      <c r="AA183" s="519"/>
    </row>
    <row r="184" spans="1:33" ht="15" customHeight="1">
      <c r="A184" s="1164" t="s">
        <v>398</v>
      </c>
      <c r="B184" s="1118"/>
      <c r="C184" s="1102"/>
      <c r="D184" s="1112"/>
      <c r="E184" s="1112"/>
      <c r="F184" s="1112">
        <f t="shared" ref="F184:L184" si="72">SUMIF($C$79:$C$134,"Base",F$79:F$134)</f>
        <v>0</v>
      </c>
      <c r="G184" s="1112">
        <f t="shared" si="72"/>
        <v>89.222160419464018</v>
      </c>
      <c r="H184" s="1112">
        <f t="shared" si="72"/>
        <v>521.23990618829635</v>
      </c>
      <c r="I184" s="1112">
        <f t="shared" si="72"/>
        <v>1293.3889975974553</v>
      </c>
      <c r="J184" s="1112">
        <f t="shared" si="72"/>
        <v>2352.9130636006785</v>
      </c>
      <c r="K184" s="1112">
        <f t="shared" si="72"/>
        <v>3528.4928848565783</v>
      </c>
      <c r="L184" s="1112">
        <f t="shared" si="72"/>
        <v>4519.4315441407325</v>
      </c>
      <c r="M184" s="1222">
        <f>(J184-F184)/(J160-F160)</f>
        <v>0.29798653456537094</v>
      </c>
      <c r="P184" s="1223"/>
      <c r="S184" s="1224"/>
      <c r="W184" s="519"/>
      <c r="X184" s="519"/>
      <c r="Y184" s="519"/>
      <c r="Z184" s="519"/>
      <c r="AA184" s="519"/>
    </row>
    <row r="185" spans="1:33" ht="15" customHeight="1">
      <c r="A185" s="522" t="s">
        <v>397</v>
      </c>
      <c r="B185" s="1131"/>
      <c r="C185" s="523"/>
      <c r="D185" s="522"/>
      <c r="E185" s="522"/>
      <c r="F185" s="522">
        <v>0</v>
      </c>
      <c r="G185" s="522">
        <v>0</v>
      </c>
      <c r="H185" s="522">
        <v>0</v>
      </c>
      <c r="I185" s="522">
        <v>0</v>
      </c>
      <c r="J185" s="522">
        <v>0</v>
      </c>
      <c r="K185" s="522">
        <v>0</v>
      </c>
      <c r="L185" s="522">
        <v>0</v>
      </c>
      <c r="M185" s="1219">
        <f>(J185-F185)/(J161-F161)</f>
        <v>0</v>
      </c>
      <c r="P185" s="525"/>
      <c r="S185" s="1213"/>
      <c r="W185" s="519"/>
      <c r="X185" s="519"/>
      <c r="Y185" s="519"/>
      <c r="Z185" s="519"/>
      <c r="AA185" s="519"/>
    </row>
    <row r="186" spans="1:33" ht="15" customHeight="1">
      <c r="A186" s="1102"/>
      <c r="B186" s="1118"/>
      <c r="C186" s="523"/>
      <c r="D186" s="1119"/>
      <c r="E186" s="1119"/>
      <c r="F186" s="1119"/>
      <c r="G186" s="1119"/>
      <c r="H186" s="1119"/>
      <c r="I186" s="1119"/>
      <c r="J186" s="1119"/>
      <c r="K186" s="1119"/>
      <c r="L186" s="1119"/>
      <c r="M186" s="1169"/>
      <c r="P186" s="1169"/>
      <c r="S186" s="1225"/>
      <c r="W186" s="519"/>
      <c r="X186" s="519"/>
      <c r="Y186" s="519"/>
      <c r="Z186" s="519"/>
      <c r="AA186" s="519"/>
    </row>
    <row r="187" spans="1:33" ht="15" customHeight="1">
      <c r="S187" s="1224"/>
      <c r="W187" s="519"/>
      <c r="X187" s="519"/>
      <c r="Y187" s="519"/>
      <c r="Z187" s="519"/>
      <c r="AA187" s="519"/>
    </row>
    <row r="188" spans="1:33" ht="15" customHeight="1">
      <c r="A188" s="528" t="s">
        <v>978</v>
      </c>
      <c r="B188" s="528" t="s">
        <v>979</v>
      </c>
      <c r="C188" s="529"/>
      <c r="D188" s="529"/>
      <c r="E188" s="529"/>
      <c r="F188" s="529"/>
      <c r="G188" s="529"/>
      <c r="H188" s="529"/>
      <c r="I188" s="529"/>
      <c r="J188" s="529"/>
      <c r="S188" s="1224"/>
      <c r="W188" s="519"/>
      <c r="X188" s="519"/>
      <c r="Y188" s="519"/>
      <c r="Z188" s="519"/>
      <c r="AA188" s="519"/>
    </row>
    <row r="189" spans="1:33" ht="15" customHeight="1">
      <c r="S189" s="1224"/>
      <c r="W189" s="519"/>
      <c r="X189" s="519"/>
      <c r="Y189" s="519"/>
      <c r="Z189" s="519"/>
      <c r="AA189" s="519"/>
    </row>
    <row r="190" spans="1:33" ht="15" customHeight="1">
      <c r="S190" s="1224"/>
      <c r="W190" s="519"/>
      <c r="X190" s="519"/>
      <c r="Y190" s="519"/>
      <c r="Z190" s="519"/>
      <c r="AA190" s="519"/>
    </row>
    <row r="191" spans="1:33" ht="15" customHeight="1">
      <c r="A191" s="530"/>
      <c r="B191" s="530"/>
      <c r="C191" s="531" t="s">
        <v>980</v>
      </c>
      <c r="D191" s="532"/>
      <c r="E191" s="532"/>
      <c r="F191" s="532"/>
      <c r="G191" s="532"/>
      <c r="H191" s="532"/>
      <c r="I191" s="532"/>
      <c r="J191" s="532"/>
      <c r="S191" s="1224"/>
      <c r="W191" s="519"/>
      <c r="X191" s="519"/>
      <c r="Y191" s="519"/>
      <c r="Z191" s="519"/>
      <c r="AA191" s="519"/>
    </row>
    <row r="192" spans="1:33" ht="15" customHeight="1">
      <c r="A192" s="531" t="s">
        <v>981</v>
      </c>
      <c r="B192" s="533" t="str">
        <f>"CHF "&amp;ROUND(C169,0)</f>
        <v>CHF 92</v>
      </c>
      <c r="C192" s="1226">
        <f>G169</f>
        <v>17.96620005680256</v>
      </c>
      <c r="D192" s="532"/>
      <c r="E192" s="532"/>
      <c r="F192" s="532"/>
      <c r="G192" s="532"/>
      <c r="H192" s="532"/>
      <c r="I192" s="532"/>
      <c r="J192" s="532"/>
      <c r="S192" s="1224"/>
      <c r="W192" s="519"/>
      <c r="X192" s="519"/>
      <c r="Y192" s="519"/>
      <c r="Z192" s="519"/>
      <c r="AA192" s="519"/>
    </row>
    <row r="193" spans="1:27" ht="15" customHeight="1">
      <c r="A193" s="1426" t="str">
        <f>"Valuation based on product-by-product analysis. Valuation combines DCF (CHF "&amp;ROUND(Valuation!D70,0)&amp;", "&amp;ROUND(DCF!C44*100,1)&amp;"% WACC, "&amp;ROUND(DCF!H38*100,1)&amp;"% g, "&amp;ROUND(DCF!H37*100,0)&amp;"% LT EBIT margin) and average comparable multiples (CHF "&amp;ROUND(Valuation!D69,0)&amp;", 2018-20e peers P/E)."</f>
        <v>Valuation based on product-by-product analysis. Valuation combines DCF (CHF 107, 7.3% WACC, 0% g, 33% LT EBIT margin) and average comparable multiples (CHF 79, 2018-20e peers P/E).</v>
      </c>
      <c r="B193" s="1426"/>
      <c r="C193" s="1426"/>
      <c r="D193" s="1426"/>
      <c r="E193" s="1426"/>
      <c r="F193" s="1426"/>
      <c r="G193" s="1426"/>
      <c r="H193" s="1426"/>
      <c r="I193" s="1426"/>
      <c r="J193" s="1426"/>
      <c r="S193" s="1224"/>
      <c r="W193" s="519"/>
      <c r="X193" s="519"/>
      <c r="Y193" s="519"/>
      <c r="Z193" s="519"/>
      <c r="AA193" s="519"/>
    </row>
    <row r="194" spans="1:27" ht="15" customHeight="1">
      <c r="A194" s="1426"/>
      <c r="B194" s="1426"/>
      <c r="C194" s="1426"/>
      <c r="D194" s="1426"/>
      <c r="E194" s="1426"/>
      <c r="F194" s="1426"/>
      <c r="G194" s="1426"/>
      <c r="H194" s="1426"/>
      <c r="I194" s="1426"/>
      <c r="J194" s="1426"/>
      <c r="S194" s="1224"/>
      <c r="W194" s="519"/>
      <c r="X194" s="519"/>
      <c r="Y194" s="519"/>
      <c r="Z194" s="519"/>
      <c r="AA194" s="519"/>
    </row>
    <row r="195" spans="1:27" ht="15" customHeight="1">
      <c r="A195" s="531" t="s">
        <v>399</v>
      </c>
      <c r="B195" s="533" t="str">
        <f>"CHF "&amp;ROUND(C168,0)</f>
        <v>CHF 118</v>
      </c>
      <c r="C195" s="1226">
        <f ca="1">G168</f>
        <v>22.08408063217751</v>
      </c>
      <c r="D195" s="532"/>
      <c r="E195" s="532"/>
      <c r="F195" s="532"/>
      <c r="G195" s="532"/>
      <c r="H195" s="532"/>
      <c r="I195" s="532"/>
      <c r="J195" s="532"/>
      <c r="S195" s="1224"/>
      <c r="W195" s="519"/>
      <c r="X195" s="519"/>
      <c r="Y195" s="519"/>
      <c r="Z195" s="519"/>
      <c r="AA195" s="519"/>
    </row>
    <row r="196" spans="1:27" ht="15" customHeight="1">
      <c r="A196" s="1426" t="str">
        <f ca="1">ROUND(G177*100,0)&amp;"% P/E "&amp;IF(G177&gt;0,"premium","discount")&amp;" to the sector, "&amp;ROUND(M150*100,0)&amp;"% revenue CAGR 2017-21 and USD "&amp;ROUND(J183/1000,1)&amp;"bn from the pipeline"</f>
        <v>49% P/E premium to the sector, 9% revenue CAGR 2017-21 and USD 4.2bn from the pipeline</v>
      </c>
      <c r="B196" s="1426"/>
      <c r="C196" s="1426"/>
      <c r="D196" s="1426"/>
      <c r="E196" s="1426"/>
      <c r="F196" s="1426"/>
      <c r="G196" s="1426"/>
      <c r="H196" s="1426"/>
      <c r="I196" s="1426"/>
      <c r="J196" s="1426"/>
      <c r="S196" s="1224"/>
      <c r="W196" s="519"/>
      <c r="X196" s="519"/>
      <c r="Y196" s="519"/>
      <c r="Z196" s="519"/>
      <c r="AA196" s="519"/>
    </row>
    <row r="197" spans="1:27" ht="15" customHeight="1">
      <c r="A197" s="1426"/>
      <c r="B197" s="1426"/>
      <c r="C197" s="1426"/>
      <c r="D197" s="1426"/>
      <c r="E197" s="1426"/>
      <c r="F197" s="1426"/>
      <c r="G197" s="1426"/>
      <c r="H197" s="1426"/>
      <c r="I197" s="1426"/>
      <c r="J197" s="1426"/>
      <c r="S197" s="1224"/>
      <c r="W197" s="519"/>
      <c r="X197" s="519"/>
      <c r="Y197" s="519"/>
      <c r="Z197" s="519"/>
      <c r="AA197" s="519"/>
    </row>
    <row r="198" spans="1:27" ht="15" customHeight="1">
      <c r="A198" s="531" t="s">
        <v>398</v>
      </c>
      <c r="B198" s="533" t="str">
        <f>"CHF "&amp;ROUND(C169,0)</f>
        <v>CHF 92</v>
      </c>
      <c r="C198" s="1226">
        <f>G169</f>
        <v>17.96620005680256</v>
      </c>
      <c r="D198" s="657"/>
      <c r="E198" s="657"/>
      <c r="F198" s="657"/>
      <c r="G198" s="657"/>
      <c r="H198" s="657"/>
      <c r="I198" s="657"/>
      <c r="J198" s="657"/>
      <c r="S198" s="1224"/>
      <c r="W198" s="519"/>
      <c r="X198" s="519"/>
      <c r="Y198" s="519"/>
      <c r="Z198" s="519"/>
      <c r="AA198" s="519"/>
    </row>
    <row r="199" spans="1:27" ht="15" customHeight="1">
      <c r="A199" s="1426" t="str">
        <f>ROUND(G178*100,0)&amp;"% P/E "&amp;IF(G178&gt;0,"premium","discount")&amp;" to the sector, "&amp;ROUND(M151*100,0)&amp;"% revenue CAGR 2017-21 and USD "&amp;ROUND(J184/1000,1)&amp;"bn from the pipeline"</f>
        <v>22% P/E premium to the sector, 4% revenue CAGR 2017-21 and USD 2.4bn from the pipeline</v>
      </c>
      <c r="B199" s="1426"/>
      <c r="C199" s="1426"/>
      <c r="D199" s="1426"/>
      <c r="E199" s="1426"/>
      <c r="F199" s="1426"/>
      <c r="G199" s="1426"/>
      <c r="H199" s="1426"/>
      <c r="I199" s="1426"/>
      <c r="J199" s="1426"/>
      <c r="S199" s="1224"/>
      <c r="W199" s="519"/>
      <c r="X199" s="519"/>
      <c r="Y199" s="519"/>
      <c r="Z199" s="519"/>
      <c r="AA199" s="519"/>
    </row>
    <row r="200" spans="1:27" ht="15" customHeight="1">
      <c r="A200" s="1426"/>
      <c r="B200" s="1426"/>
      <c r="C200" s="1426"/>
      <c r="D200" s="1426"/>
      <c r="E200" s="1426"/>
      <c r="F200" s="1426"/>
      <c r="G200" s="1426"/>
      <c r="H200" s="1426"/>
      <c r="I200" s="1426"/>
      <c r="J200" s="1426"/>
      <c r="S200" s="1224"/>
      <c r="W200" s="519"/>
      <c r="X200" s="519"/>
      <c r="Y200" s="519"/>
      <c r="Z200" s="519"/>
      <c r="AA200" s="519"/>
    </row>
    <row r="201" spans="1:27" ht="15" customHeight="1">
      <c r="A201" s="531" t="s">
        <v>397</v>
      </c>
      <c r="B201" s="533" t="str">
        <f>"CHF "&amp;ROUND(C171,0)</f>
        <v>CHF 67</v>
      </c>
      <c r="C201" s="1226">
        <f ca="1">G171</f>
        <v>13.798552459322115</v>
      </c>
      <c r="D201" s="532"/>
      <c r="E201" s="532"/>
      <c r="F201" s="532"/>
      <c r="G201" s="532"/>
      <c r="H201" s="532"/>
      <c r="I201" s="532"/>
      <c r="J201" s="532"/>
      <c r="S201" s="1224"/>
      <c r="W201" s="519"/>
      <c r="X201" s="519"/>
      <c r="Y201" s="519"/>
      <c r="Z201" s="519"/>
      <c r="AA201" s="519"/>
    </row>
    <row r="202" spans="1:27" ht="15" customHeight="1">
      <c r="A202" s="1426" t="str">
        <f ca="1">ROUND(G180*100,0)&amp;"% P/E "&amp;IF(G180&gt;0,"premium","discount")&amp;" to the sector, "&amp;ROUND(M152*100,0)&amp;"% revenue CAGR 2017-21 and no contribution from the pipeline"</f>
        <v>-7% P/E discount to the sector, -2% revenue CAGR 2017-21 and no contribution from the pipeline</v>
      </c>
      <c r="B202" s="1426"/>
      <c r="C202" s="1426"/>
      <c r="D202" s="1426"/>
      <c r="E202" s="1426"/>
      <c r="F202" s="1426"/>
      <c r="G202" s="1426"/>
      <c r="H202" s="1426"/>
      <c r="I202" s="1426"/>
      <c r="J202" s="1426"/>
      <c r="S202" s="1224"/>
      <c r="W202" s="519"/>
      <c r="X202" s="519"/>
      <c r="Y202" s="519"/>
      <c r="Z202" s="519"/>
      <c r="AA202" s="519"/>
    </row>
    <row r="203" spans="1:27" ht="15" customHeight="1">
      <c r="A203" s="1426"/>
      <c r="B203" s="1426"/>
      <c r="C203" s="1426"/>
      <c r="D203" s="1426"/>
      <c r="E203" s="1426"/>
      <c r="F203" s="1426"/>
      <c r="G203" s="1426"/>
      <c r="H203" s="1426"/>
      <c r="I203" s="1426"/>
      <c r="J203" s="1426"/>
      <c r="S203" s="1224"/>
      <c r="W203" s="519"/>
      <c r="X203" s="519"/>
      <c r="Y203" s="519"/>
      <c r="Z203" s="519"/>
      <c r="AA203" s="519"/>
    </row>
    <row r="204" spans="1:27" ht="15" customHeight="1">
      <c r="A204" s="530"/>
      <c r="B204" s="530"/>
      <c r="C204" s="532"/>
      <c r="D204" s="532"/>
      <c r="E204" s="532"/>
      <c r="F204" s="532"/>
      <c r="G204" s="532"/>
      <c r="H204" s="532"/>
      <c r="I204" s="532"/>
      <c r="J204" s="532"/>
      <c r="S204" s="1224"/>
      <c r="W204" s="519"/>
      <c r="X204" s="519"/>
      <c r="Y204" s="519"/>
      <c r="Z204" s="519"/>
      <c r="AA204" s="519"/>
    </row>
    <row r="205" spans="1:27" ht="15" customHeight="1">
      <c r="A205" s="614" t="s">
        <v>1471</v>
      </c>
      <c r="B205" s="615"/>
      <c r="C205" s="615"/>
      <c r="D205" s="615"/>
      <c r="E205" s="615"/>
      <c r="F205" s="615"/>
      <c r="G205" s="615"/>
      <c r="H205" s="615"/>
      <c r="I205" s="615"/>
      <c r="J205" s="615"/>
      <c r="S205" s="1224"/>
      <c r="W205" s="519"/>
      <c r="X205" s="519"/>
      <c r="Y205" s="519"/>
      <c r="Z205" s="519"/>
      <c r="AA205" s="519"/>
    </row>
    <row r="206" spans="1:27" ht="15" customHeight="1">
      <c r="A206" s="1227"/>
      <c r="B206" s="619" t="s">
        <v>397</v>
      </c>
      <c r="C206" s="619" t="s">
        <v>398</v>
      </c>
      <c r="D206" s="619" t="s">
        <v>399</v>
      </c>
      <c r="E206" s="616"/>
      <c r="F206" s="616"/>
      <c r="G206" s="616"/>
      <c r="H206" s="616"/>
      <c r="I206" s="616"/>
      <c r="J206" s="616"/>
      <c r="S206" s="1224"/>
      <c r="W206" s="519"/>
      <c r="X206" s="519"/>
      <c r="Y206" s="519"/>
      <c r="Z206" s="519"/>
      <c r="AA206" s="519"/>
    </row>
    <row r="207" spans="1:27" ht="15" customHeight="1">
      <c r="A207" s="1227" t="s">
        <v>1472</v>
      </c>
      <c r="B207" s="617">
        <f ca="1">U145</f>
        <v>87.624678811877516</v>
      </c>
      <c r="C207" s="618">
        <f ca="1">U144-U136</f>
        <v>99.635412745127056</v>
      </c>
      <c r="D207" s="618">
        <f ca="1">U143-U135</f>
        <v>113.4198985594271</v>
      </c>
      <c r="E207" s="616"/>
      <c r="F207" s="616"/>
      <c r="G207" s="616"/>
      <c r="H207" s="616"/>
      <c r="I207" s="616"/>
      <c r="J207" s="616"/>
      <c r="S207" s="1224"/>
      <c r="W207" s="519"/>
      <c r="X207" s="519"/>
      <c r="Y207" s="519"/>
      <c r="Z207" s="519"/>
      <c r="AA207" s="519"/>
    </row>
    <row r="208" spans="1:27" ht="15" customHeight="1">
      <c r="A208" s="1227" t="s">
        <v>983</v>
      </c>
      <c r="B208" s="619">
        <v>0</v>
      </c>
      <c r="C208" s="618">
        <f ca="1">U136</f>
        <v>7.29526239883225</v>
      </c>
      <c r="D208" s="618">
        <f ca="1">U135</f>
        <v>11.117492555712269</v>
      </c>
      <c r="E208" s="616"/>
      <c r="F208" s="616"/>
      <c r="G208" s="616"/>
      <c r="H208" s="616"/>
      <c r="I208" s="616"/>
      <c r="J208" s="616"/>
      <c r="S208" s="1224"/>
      <c r="W208" s="519"/>
      <c r="X208" s="519"/>
      <c r="Y208" s="519"/>
      <c r="Z208" s="519"/>
      <c r="AA208" s="519"/>
    </row>
    <row r="209" spans="1:33" ht="15" customHeight="1">
      <c r="A209" s="530"/>
      <c r="B209" s="530"/>
      <c r="C209" s="532"/>
      <c r="D209" s="532"/>
      <c r="E209" s="532"/>
      <c r="F209" s="532"/>
      <c r="G209" s="532"/>
      <c r="H209" s="532"/>
      <c r="I209" s="532"/>
      <c r="J209" s="532"/>
      <c r="S209" s="1224"/>
      <c r="W209" s="519"/>
      <c r="X209" s="519"/>
      <c r="Y209" s="519"/>
      <c r="Z209" s="519"/>
      <c r="AA209" s="519"/>
    </row>
    <row r="210" spans="1:33" ht="15" customHeight="1">
      <c r="A210" s="530"/>
      <c r="B210" s="530"/>
      <c r="C210" s="532"/>
      <c r="D210" s="532"/>
      <c r="E210" s="532"/>
      <c r="F210" s="532"/>
      <c r="G210" s="532"/>
      <c r="H210" s="532"/>
      <c r="I210" s="532"/>
      <c r="J210" s="532"/>
      <c r="S210" s="1224"/>
      <c r="W210" s="519"/>
      <c r="X210" s="519"/>
      <c r="Y210" s="519"/>
      <c r="Z210" s="519"/>
      <c r="AA210" s="519"/>
    </row>
    <row r="211" spans="1:33" ht="15" customHeight="1">
      <c r="A211" s="1102"/>
      <c r="B211" s="1118"/>
      <c r="C211" s="523"/>
      <c r="D211" s="1166"/>
      <c r="E211" s="1228"/>
      <c r="F211" s="1228"/>
      <c r="G211" s="1228"/>
      <c r="H211" s="1169"/>
      <c r="I211" s="1229"/>
      <c r="J211" s="1229"/>
      <c r="K211" s="1229"/>
      <c r="L211" s="1229"/>
      <c r="W211" s="519"/>
      <c r="X211" s="519"/>
      <c r="Y211" s="519"/>
      <c r="Z211" s="519"/>
      <c r="AA211" s="519"/>
      <c r="AB211" s="519"/>
      <c r="AC211" s="519"/>
      <c r="AD211" s="519"/>
      <c r="AE211" s="519"/>
      <c r="AF211" s="519"/>
      <c r="AG211" s="519"/>
    </row>
    <row r="212" spans="1:33" ht="15" customHeight="1">
      <c r="A212" s="1102"/>
      <c r="B212" s="1118"/>
      <c r="C212" s="523"/>
      <c r="D212" s="1166"/>
      <c r="E212" s="1166"/>
      <c r="F212" s="1166"/>
      <c r="G212" s="1166"/>
      <c r="H212" s="1166"/>
      <c r="I212" s="1166"/>
      <c r="J212" s="1166"/>
      <c r="K212" s="1166"/>
      <c r="L212" s="1166"/>
      <c r="M212" s="1169"/>
      <c r="P212" s="1169"/>
      <c r="R212" s="1169"/>
      <c r="S212" s="1120"/>
      <c r="W212" s="519"/>
      <c r="X212" s="519"/>
      <c r="Y212" s="519"/>
      <c r="Z212" s="519"/>
      <c r="AA212" s="519"/>
      <c r="AB212" s="519"/>
      <c r="AC212" s="519"/>
      <c r="AD212" s="519"/>
      <c r="AE212" s="519"/>
      <c r="AF212" s="519"/>
      <c r="AG212" s="519"/>
    </row>
    <row r="213" spans="1:33" ht="15" customHeight="1">
      <c r="A213" s="1102"/>
      <c r="B213" s="1118"/>
      <c r="C213" s="523"/>
      <c r="D213" s="1166"/>
      <c r="E213" s="1166"/>
      <c r="F213" s="1166"/>
      <c r="G213" s="1166"/>
      <c r="H213" s="1166"/>
      <c r="I213" s="1166"/>
      <c r="J213" s="1166"/>
      <c r="K213" s="1166"/>
      <c r="L213" s="1166"/>
      <c r="M213" s="1169"/>
      <c r="P213" s="1169"/>
      <c r="R213" s="1169"/>
      <c r="S213" s="1120"/>
      <c r="W213" s="519"/>
      <c r="X213" s="519"/>
      <c r="Y213" s="519"/>
      <c r="Z213" s="519"/>
      <c r="AA213" s="519"/>
      <c r="AB213" s="519"/>
      <c r="AC213" s="519"/>
      <c r="AD213" s="519"/>
      <c r="AE213" s="519"/>
      <c r="AF213" s="519"/>
      <c r="AG213" s="519"/>
    </row>
    <row r="214" spans="1:33" ht="15" customHeight="1">
      <c r="A214" s="1102"/>
      <c r="B214" s="1118"/>
      <c r="C214" s="523"/>
      <c r="D214" s="1166"/>
      <c r="E214" s="1166"/>
      <c r="F214" s="1166"/>
      <c r="G214" s="1166"/>
      <c r="H214" s="1166"/>
      <c r="I214" s="1166"/>
      <c r="J214" s="1166"/>
      <c r="K214" s="1166"/>
      <c r="L214" s="1166"/>
      <c r="M214" s="1169"/>
      <c r="P214" s="1169"/>
      <c r="R214" s="1169"/>
      <c r="S214" s="1120"/>
      <c r="W214" s="519"/>
      <c r="X214" s="519"/>
      <c r="Y214" s="519"/>
      <c r="Z214" s="519"/>
      <c r="AA214" s="519"/>
      <c r="AB214" s="519"/>
      <c r="AC214" s="519"/>
      <c r="AD214" s="519"/>
      <c r="AE214" s="519"/>
      <c r="AF214" s="519"/>
      <c r="AG214" s="519"/>
    </row>
    <row r="215" spans="1:33" ht="15" customHeight="1">
      <c r="A215" s="1102"/>
      <c r="B215" s="1118"/>
      <c r="C215" s="519"/>
      <c r="E215" s="1171" t="s">
        <v>982</v>
      </c>
      <c r="F215" s="1171"/>
      <c r="G215" s="1171" t="s">
        <v>983</v>
      </c>
      <c r="H215" s="1171"/>
      <c r="I215" s="1216" t="s">
        <v>984</v>
      </c>
      <c r="J215" s="1216"/>
      <c r="L215" s="522"/>
      <c r="M215" s="1169"/>
      <c r="P215" s="1169"/>
      <c r="R215" s="1169"/>
      <c r="S215" s="1120"/>
      <c r="W215" s="519"/>
      <c r="X215" s="519"/>
      <c r="Y215" s="519"/>
      <c r="Z215" s="519"/>
      <c r="AA215" s="519"/>
      <c r="AB215" s="519"/>
      <c r="AC215" s="519"/>
      <c r="AD215" s="519"/>
      <c r="AE215" s="519"/>
      <c r="AF215" s="519"/>
      <c r="AG215" s="519"/>
    </row>
    <row r="216" spans="1:33" ht="15" customHeight="1">
      <c r="A216" s="1102"/>
      <c r="B216" s="1118"/>
      <c r="C216" s="519"/>
      <c r="E216" s="1230" t="s">
        <v>985</v>
      </c>
      <c r="F216" s="1231" t="s">
        <v>986</v>
      </c>
      <c r="G216" s="1230" t="s">
        <v>985</v>
      </c>
      <c r="H216" s="1231" t="s">
        <v>986</v>
      </c>
      <c r="I216" s="1230" t="s">
        <v>985</v>
      </c>
      <c r="J216" s="1231" t="s">
        <v>986</v>
      </c>
      <c r="L216" s="522"/>
      <c r="M216" s="1169"/>
      <c r="P216" s="1169"/>
      <c r="R216" s="1169"/>
      <c r="S216" s="1120"/>
      <c r="W216" s="519"/>
      <c r="X216" s="519"/>
      <c r="Y216" s="519"/>
      <c r="Z216" s="519"/>
      <c r="AA216" s="519"/>
      <c r="AB216" s="519"/>
      <c r="AC216" s="519"/>
      <c r="AD216" s="519"/>
      <c r="AE216" s="519"/>
      <c r="AF216" s="519"/>
      <c r="AG216" s="519"/>
    </row>
    <row r="217" spans="1:33" ht="15" customHeight="1">
      <c r="A217" s="1102"/>
      <c r="B217" s="1118"/>
      <c r="C217" s="519"/>
      <c r="D217" s="1098" t="s">
        <v>487</v>
      </c>
      <c r="E217" s="1232">
        <f>M75</f>
        <v>-0.20321052693155658</v>
      </c>
      <c r="F217" s="1232">
        <f>M74</f>
        <v>0.23065996001121483</v>
      </c>
      <c r="G217" s="1232">
        <f>M140</f>
        <v>-6.7876507844267311E-2</v>
      </c>
      <c r="H217" s="1232">
        <f>M139</f>
        <v>5.2095598911175101E-2</v>
      </c>
      <c r="I217" s="1220">
        <f>E217+G217</f>
        <v>-0.27108703477582391</v>
      </c>
      <c r="J217" s="525">
        <f>F217+H217</f>
        <v>0.2827555589223899</v>
      </c>
      <c r="L217" s="522"/>
      <c r="M217" s="1169"/>
      <c r="P217" s="1169"/>
      <c r="R217" s="1169"/>
      <c r="S217" s="1120"/>
      <c r="W217" s="519"/>
      <c r="X217" s="519"/>
      <c r="Y217" s="519"/>
      <c r="Z217" s="519"/>
      <c r="AA217" s="519"/>
      <c r="AB217" s="522"/>
    </row>
    <row r="218" spans="1:33" ht="15" customHeight="1">
      <c r="A218" s="1102"/>
      <c r="B218" s="1118"/>
      <c r="C218" s="519"/>
      <c r="D218" s="1098" t="s">
        <v>987</v>
      </c>
      <c r="E218" s="1232">
        <v>-0.15315084203262411</v>
      </c>
      <c r="F218" s="1232">
        <v>0.15620809568745295</v>
      </c>
      <c r="G218" s="1232">
        <v>-3.1736071025276258E-2</v>
      </c>
      <c r="H218" s="1232">
        <v>7.5236444403304084E-2</v>
      </c>
      <c r="I218" s="1220">
        <f>E218+G218</f>
        <v>-0.18488691305790037</v>
      </c>
      <c r="J218" s="525">
        <f>F218+H218</f>
        <v>0.23144454009075704</v>
      </c>
      <c r="L218" s="522"/>
      <c r="M218" s="1169"/>
      <c r="P218" s="1169"/>
      <c r="R218" s="1169"/>
      <c r="S218" s="1120"/>
      <c r="W218" s="519"/>
      <c r="X218" s="519"/>
      <c r="Y218" s="519"/>
      <c r="Z218" s="519"/>
      <c r="AA218" s="519"/>
      <c r="AB218" s="522"/>
    </row>
    <row r="219" spans="1:33" ht="15" customHeight="1"/>
    <row r="220" spans="1:33" ht="15" customHeight="1"/>
    <row r="222" spans="1:33">
      <c r="A222" s="1233" t="s">
        <v>1001</v>
      </c>
      <c r="B222" s="1233"/>
      <c r="C222" s="1233"/>
      <c r="D222" s="1233"/>
      <c r="E222" s="1233"/>
      <c r="F222" s="1233">
        <v>2017</v>
      </c>
      <c r="G222" s="1233">
        <v>2018</v>
      </c>
      <c r="H222" s="1233">
        <v>2019</v>
      </c>
      <c r="I222" s="1233">
        <v>2020</v>
      </c>
      <c r="J222" s="1233">
        <v>2021</v>
      </c>
      <c r="K222" s="1233">
        <v>2022</v>
      </c>
      <c r="L222" s="1233"/>
      <c r="M222" s="1233" t="s">
        <v>738</v>
      </c>
    </row>
    <row r="223" spans="1:33">
      <c r="A223" s="1234" t="s">
        <v>17</v>
      </c>
      <c r="B223" s="1098"/>
      <c r="F223" s="1235">
        <f>Sales!I54/Sales!I$2</f>
        <v>3.9565049176322059E-2</v>
      </c>
      <c r="G223" s="1235">
        <f>Sales!J54/Sales!J$2</f>
        <v>2.6760304900510914E-2</v>
      </c>
      <c r="H223" s="1235">
        <f>Sales!K54/Sales!K$2</f>
        <v>2.0985186272475635E-2</v>
      </c>
      <c r="I223" s="1235">
        <f>Sales!L54/Sales!L$2</f>
        <v>1.6975572808956261E-2</v>
      </c>
      <c r="J223" s="1235">
        <f>Sales!M54/Sales!M$2</f>
        <v>1.3671226111731242E-2</v>
      </c>
      <c r="K223" s="1235">
        <f>Sales!N54/Sales!N$2</f>
        <v>1.205011327785962E-2</v>
      </c>
      <c r="M223" s="1098" t="s">
        <v>1004</v>
      </c>
    </row>
    <row r="224" spans="1:33">
      <c r="A224" s="1234" t="s">
        <v>416</v>
      </c>
      <c r="B224" s="1098"/>
      <c r="F224" s="1235">
        <f>Sales!I74/Sales!I$2</f>
        <v>3.1053371072512166E-2</v>
      </c>
      <c r="G224" s="1235">
        <f>Sales!J74/Sales!J$2</f>
        <v>2.8257214572197296E-2</v>
      </c>
      <c r="H224" s="1235">
        <f>Sales!K74/Sales!K$2</f>
        <v>2.0699604361175693E-2</v>
      </c>
      <c r="I224" s="1235">
        <f>Sales!L74/Sales!L$2</f>
        <v>1.1077390499399906E-2</v>
      </c>
      <c r="J224" s="1235">
        <f>Sales!M74/Sales!M$2</f>
        <v>6.3327268486850878E-3</v>
      </c>
      <c r="K224" s="1235">
        <f>Sales!N74/Sales!N$2</f>
        <v>4.9616016887983313E-3</v>
      </c>
      <c r="M224" s="1098" t="s">
        <v>1004</v>
      </c>
    </row>
    <row r="225" spans="1:13">
      <c r="A225" s="1234" t="s">
        <v>22</v>
      </c>
      <c r="B225" s="1098"/>
      <c r="F225" s="1235">
        <f>Sales!I90/Sales!I$2</f>
        <v>2.156427538740353E-2</v>
      </c>
      <c r="G225" s="1235">
        <f>Sales!J90/Sales!J$2</f>
        <v>2.1811800884406568E-2</v>
      </c>
      <c r="H225" s="1235">
        <f>Sales!K90/Sales!K$2</f>
        <v>1.6492676749947057E-2</v>
      </c>
      <c r="I225" s="1235">
        <f>Sales!L90/Sales!L$2</f>
        <v>1.2272745838721516E-2</v>
      </c>
      <c r="J225" s="1235">
        <f>Sales!M90/Sales!M$2</f>
        <v>6.3090704153995819E-3</v>
      </c>
      <c r="K225" s="1235">
        <f>Sales!N90/Sales!N$2</f>
        <v>1.8377708989005205E-3</v>
      </c>
      <c r="M225" s="1098" t="s">
        <v>1004</v>
      </c>
    </row>
    <row r="226" spans="1:13">
      <c r="A226" s="1234" t="s">
        <v>32</v>
      </c>
      <c r="B226" s="1098"/>
      <c r="F226" s="1235">
        <f>Sales!I154/Sales!I$2</f>
        <v>6.4855729092427053E-2</v>
      </c>
      <c r="G226" s="1235">
        <f>Sales!J154/Sales!J$2</f>
        <v>6.3986878136024078E-2</v>
      </c>
      <c r="H226" s="1235">
        <f>Sales!K154/Sales!K$2</f>
        <v>4.769826263767523E-2</v>
      </c>
      <c r="I226" s="1235">
        <f>Sales!L154/Sales!L$2</f>
        <v>3.3796544129583911E-2</v>
      </c>
      <c r="J226" s="1235">
        <f>Sales!M154/Sales!M$2</f>
        <v>2.1892353273682285E-2</v>
      </c>
      <c r="K226" s="1235">
        <f>Sales!N154/Sales!N$2</f>
        <v>1.7152348359542071E-2</v>
      </c>
      <c r="M226" s="1098" t="s">
        <v>1004</v>
      </c>
    </row>
    <row r="227" spans="1:13">
      <c r="A227" s="1234" t="s">
        <v>23</v>
      </c>
      <c r="B227" s="1098"/>
      <c r="F227" s="1235">
        <f>Sales!I98/Sales!I$2</f>
        <v>1.6453195951862183E-2</v>
      </c>
      <c r="G227" s="1235">
        <f>Sales!J98/Sales!J$2</f>
        <v>1.7119453286006756E-2</v>
      </c>
      <c r="H227" s="1235">
        <f>Sales!K98/Sales!K$2</f>
        <v>1.7620205715924264E-2</v>
      </c>
      <c r="I227" s="1235">
        <f>Sales!L98/Sales!L$2</f>
        <v>1.7767493972425333E-2</v>
      </c>
      <c r="J227" s="1235">
        <f>Sales!M98/Sales!M$2</f>
        <v>1.782449265817234E-2</v>
      </c>
      <c r="K227" s="1235">
        <f>Sales!N98/Sales!N$2</f>
        <v>1.4473780123710849E-2</v>
      </c>
      <c r="M227" s="1098" t="s">
        <v>1004</v>
      </c>
    </row>
    <row r="228" spans="1:13">
      <c r="A228" s="1234" t="s">
        <v>529</v>
      </c>
      <c r="B228" s="1098"/>
      <c r="F228" s="1235">
        <f>Sales!I122/Sales!I$2</f>
        <v>1.7654605062208558E-2</v>
      </c>
      <c r="G228" s="1235">
        <f>Sales!J122/Sales!J$2</f>
        <v>2.1672525260140209E-2</v>
      </c>
      <c r="H228" s="1235">
        <f>Sales!K122/Sales!K$2</f>
        <v>2.3368669536689483E-2</v>
      </c>
      <c r="I228" s="1235">
        <f>Sales!L122/Sales!L$2</f>
        <v>2.3790784442745561E-2</v>
      </c>
      <c r="J228" s="1235">
        <f>Sales!M122/Sales!M$2</f>
        <v>2.3875998745170789E-2</v>
      </c>
      <c r="K228" s="1235">
        <f>Sales!N122/Sales!N$2</f>
        <v>1.7534321418523454E-2</v>
      </c>
      <c r="M228" s="1098" t="s">
        <v>1004</v>
      </c>
    </row>
    <row r="229" spans="1:13">
      <c r="A229" s="1234" t="s">
        <v>54</v>
      </c>
      <c r="B229" s="1098"/>
      <c r="F229" s="1235">
        <f>Sales!I340/Sales!I$2</f>
        <v>1.9548351625974871E-2</v>
      </c>
      <c r="G229" s="1235">
        <f>Sales!J340/Sales!J$2</f>
        <v>1.5397273712373958E-2</v>
      </c>
      <c r="H229" s="1235">
        <f>Sales!K340/Sales!K$2</f>
        <v>1.0722665916990748E-2</v>
      </c>
      <c r="I229" s="1235">
        <f>Sales!L340/Sales!L$2</f>
        <v>9.4077976839379296E-3</v>
      </c>
      <c r="J229" s="1235">
        <f>Sales!M340/Sales!M$2</f>
        <v>8.2159124656462149E-3</v>
      </c>
      <c r="K229" s="1235">
        <f>Sales!N340/Sales!N$2</f>
        <v>7.2897868074236569E-3</v>
      </c>
      <c r="M229" s="1098" t="s">
        <v>1004</v>
      </c>
    </row>
    <row r="230" spans="1:13">
      <c r="A230" s="1234" t="s">
        <v>747</v>
      </c>
      <c r="B230" s="1098"/>
      <c r="F230" s="1235">
        <f>Sales!I364/Sales!I$2</f>
        <v>7.7582520515587774E-3</v>
      </c>
      <c r="G230" s="1235">
        <f>Sales!J364/Sales!J$2</f>
        <v>0</v>
      </c>
      <c r="H230" s="1235">
        <f>Sales!K364/Sales!K$2</f>
        <v>0</v>
      </c>
      <c r="I230" s="1235">
        <f>Sales!L364/Sales!L$2</f>
        <v>0</v>
      </c>
      <c r="J230" s="1235">
        <f>Sales!M364/Sales!M$2</f>
        <v>0</v>
      </c>
      <c r="K230" s="1235">
        <f>Sales!N364/Sales!N$2</f>
        <v>0</v>
      </c>
      <c r="M230" s="1098" t="s">
        <v>1004</v>
      </c>
    </row>
    <row r="231" spans="1:13">
      <c r="A231" s="1234" t="s">
        <v>50</v>
      </c>
      <c r="B231" s="1098"/>
      <c r="F231" s="1235">
        <f>Sales!I372/Sales!I$2</f>
        <v>2.5107414119611475E-2</v>
      </c>
      <c r="G231" s="1235">
        <f>Sales!J372/Sales!J$2</f>
        <v>2.5805258897792147E-2</v>
      </c>
      <c r="H231" s="1235">
        <f>Sales!K372/Sales!K$2</f>
        <v>2.6560075414525312E-2</v>
      </c>
      <c r="I231" s="1235">
        <f>Sales!L372/Sales!L$2</f>
        <v>2.7039837590152917E-2</v>
      </c>
      <c r="J231" s="1235">
        <f>Sales!M372/Sales!M$2</f>
        <v>2.7385110658817338E-2</v>
      </c>
      <c r="K231" s="1235">
        <f>Sales!N372/Sales!N$2</f>
        <v>2.1455845884293879E-2</v>
      </c>
      <c r="M231" s="1098" t="s">
        <v>1004</v>
      </c>
    </row>
    <row r="232" spans="1:13">
      <c r="A232" s="1236" t="s">
        <v>1002</v>
      </c>
      <c r="B232" s="1236"/>
      <c r="C232" s="1236"/>
      <c r="D232" s="1236"/>
      <c r="E232" s="1236"/>
      <c r="F232" s="1237">
        <f t="shared" ref="F232:K232" si="73">SUM(F223:F231)</f>
        <v>0.24356024353988068</v>
      </c>
      <c r="G232" s="1237">
        <f t="shared" si="73"/>
        <v>0.22081070964945193</v>
      </c>
      <c r="H232" s="1237">
        <f t="shared" si="73"/>
        <v>0.18414734660540344</v>
      </c>
      <c r="I232" s="1237">
        <f t="shared" si="73"/>
        <v>0.15212816696592332</v>
      </c>
      <c r="J232" s="1237">
        <f t="shared" si="73"/>
        <v>0.1255068911773049</v>
      </c>
      <c r="K232" s="1237">
        <f t="shared" si="73"/>
        <v>9.6755568459052393E-2</v>
      </c>
      <c r="L232" s="1236"/>
      <c r="M232" s="1236" t="s">
        <v>1002</v>
      </c>
    </row>
    <row r="233" spans="1:13">
      <c r="A233" s="1234" t="s">
        <v>21</v>
      </c>
      <c r="B233" s="1098"/>
      <c r="F233" s="1235">
        <f>Sales!I82/Sales!I$2</f>
        <v>3.282494043861614E-2</v>
      </c>
      <c r="G233" s="1235">
        <f>Sales!J82/Sales!J$2</f>
        <v>3.0672135169692277E-2</v>
      </c>
      <c r="H233" s="1235">
        <f>Sales!K82/Sales!K$2</f>
        <v>2.9019906359474341E-2</v>
      </c>
      <c r="I233" s="1235">
        <f>Sales!L82/Sales!L$2</f>
        <v>2.716480246758295E-2</v>
      </c>
      <c r="J233" s="1235">
        <f>Sales!M82/Sales!M$2</f>
        <v>2.5302152986636302E-2</v>
      </c>
      <c r="K233" s="1235">
        <f>Sales!N82/Sales!N$2</f>
        <v>2.3934976124757989E-2</v>
      </c>
      <c r="M233" s="1098" t="s">
        <v>760</v>
      </c>
    </row>
    <row r="234" spans="1:13">
      <c r="A234" s="1236" t="s">
        <v>1003</v>
      </c>
      <c r="B234" s="1236"/>
      <c r="C234" s="1236"/>
      <c r="D234" s="1236"/>
      <c r="E234" s="1236"/>
      <c r="F234" s="1237">
        <f t="shared" ref="F234:K234" si="74">SUM(F233)</f>
        <v>3.282494043861614E-2</v>
      </c>
      <c r="G234" s="1237">
        <f t="shared" si="74"/>
        <v>3.0672135169692277E-2</v>
      </c>
      <c r="H234" s="1237">
        <f t="shared" si="74"/>
        <v>2.9019906359474341E-2</v>
      </c>
      <c r="I234" s="1237">
        <f t="shared" si="74"/>
        <v>2.716480246758295E-2</v>
      </c>
      <c r="J234" s="1237">
        <f t="shared" si="74"/>
        <v>2.5302152986636302E-2</v>
      </c>
      <c r="K234" s="1237">
        <f t="shared" si="74"/>
        <v>2.3934976124757989E-2</v>
      </c>
      <c r="L234" s="1236"/>
      <c r="M234" s="1236" t="s">
        <v>1003</v>
      </c>
    </row>
    <row r="235" spans="1:13">
      <c r="A235" s="1238" t="s">
        <v>13</v>
      </c>
      <c r="B235" s="1239"/>
      <c r="C235" s="1239"/>
      <c r="D235" s="1239"/>
      <c r="E235" s="1239"/>
      <c r="F235" s="1240">
        <f t="shared" ref="F235:K235" si="75">F232+F234</f>
        <v>0.27638518397849682</v>
      </c>
      <c r="G235" s="1240">
        <f t="shared" si="75"/>
        <v>0.25148284481914418</v>
      </c>
      <c r="H235" s="1240">
        <f t="shared" si="75"/>
        <v>0.21316725296487779</v>
      </c>
      <c r="I235" s="1240">
        <f t="shared" si="75"/>
        <v>0.17929296943350628</v>
      </c>
      <c r="J235" s="1240">
        <f t="shared" si="75"/>
        <v>0.1508090441639412</v>
      </c>
      <c r="K235" s="1240">
        <f t="shared" si="75"/>
        <v>0.12069054458381039</v>
      </c>
      <c r="L235" s="1239"/>
      <c r="M235" s="1239" t="s">
        <v>984</v>
      </c>
    </row>
    <row r="237" spans="1:13">
      <c r="A237" s="1233" t="s">
        <v>1005</v>
      </c>
      <c r="B237" s="1241"/>
      <c r="C237" s="1241"/>
      <c r="D237" s="1241"/>
      <c r="E237" s="1241"/>
      <c r="F237" s="1241">
        <v>2017</v>
      </c>
      <c r="G237" s="1241">
        <v>2018</v>
      </c>
      <c r="H237" s="1241">
        <v>2019</v>
      </c>
      <c r="I237" s="1241">
        <v>2020</v>
      </c>
      <c r="J237" s="1241">
        <v>2021</v>
      </c>
      <c r="K237" s="1241">
        <v>2022</v>
      </c>
      <c r="L237" s="1241"/>
      <c r="M237" s="1241"/>
    </row>
    <row r="238" spans="1:13">
      <c r="A238" s="1234" t="str">
        <f>A12</f>
        <v>Kisqali</v>
      </c>
      <c r="B238" s="1098"/>
      <c r="F238" s="1242">
        <f>F12/Sales!I$2</f>
        <v>1.547577837056344E-3</v>
      </c>
      <c r="G238" s="1242">
        <f ca="1">G12/Sales!J$2</f>
        <v>4.7972492572419638E-3</v>
      </c>
      <c r="H238" s="1242">
        <f>H12/Sales!K$2</f>
        <v>9.4976613401277412E-3</v>
      </c>
      <c r="I238" s="1242">
        <f>I12/Sales!L$2</f>
        <v>1.3308174163682853E-2</v>
      </c>
      <c r="J238" s="1242">
        <f>J12/Sales!M$2</f>
        <v>1.6546783049095914E-2</v>
      </c>
      <c r="K238" s="1242">
        <f>K12/Sales!N$2</f>
        <v>1.7825733595982964E-2</v>
      </c>
      <c r="L238" s="1234"/>
      <c r="M238" s="1234" t="s">
        <v>399</v>
      </c>
    </row>
    <row r="239" spans="1:13">
      <c r="A239" s="1234" t="s">
        <v>1009</v>
      </c>
      <c r="B239" s="1098"/>
      <c r="F239" s="1242">
        <f>Sales!I137/Sales!I$2</f>
        <v>0</v>
      </c>
      <c r="G239" s="1242">
        <f>Sales!J137/Sales!J$2</f>
        <v>0</v>
      </c>
      <c r="H239" s="1242">
        <f>Sales!K137/Sales!K$2</f>
        <v>0</v>
      </c>
      <c r="I239" s="1242">
        <f>Sales!L137/Sales!L$2</f>
        <v>0</v>
      </c>
      <c r="J239" s="1242">
        <f>Sales!M137/Sales!M$2</f>
        <v>0</v>
      </c>
      <c r="K239" s="1242">
        <f>Sales!N137/Sales!N$2</f>
        <v>0</v>
      </c>
      <c r="L239" s="1234"/>
      <c r="M239" s="1234" t="s">
        <v>399</v>
      </c>
    </row>
    <row r="240" spans="1:13">
      <c r="A240" s="1234" t="str">
        <f>A56</f>
        <v>Kymriah</v>
      </c>
      <c r="B240" s="1098"/>
      <c r="F240" s="1242">
        <f>F56/Sales!I$2</f>
        <v>0</v>
      </c>
      <c r="G240" s="1242">
        <f ca="1">G56/Sales!J$2</f>
        <v>1.6774456843179388E-3</v>
      </c>
      <c r="H240" s="1242">
        <f>H56/Sales!K$2</f>
        <v>5.4866345134707657E-3</v>
      </c>
      <c r="I240" s="1242">
        <f>I56/Sales!L$2</f>
        <v>1.2767408340340784E-2</v>
      </c>
      <c r="J240" s="1242">
        <f>J56/Sales!M$2</f>
        <v>2.4937269486819288E-2</v>
      </c>
      <c r="K240" s="1242">
        <f>K56/Sales!N$2</f>
        <v>3.4924169701967094E-2</v>
      </c>
      <c r="L240" s="1234"/>
      <c r="M240" s="1234" t="s">
        <v>399</v>
      </c>
    </row>
    <row r="241" spans="1:13">
      <c r="A241" s="1234" t="str">
        <f>A8</f>
        <v>Cosentyx</v>
      </c>
      <c r="B241" s="1098"/>
      <c r="F241" s="1242">
        <f>F8/Sales!I$2</f>
        <v>4.2171496059785374E-2</v>
      </c>
      <c r="G241" s="1242">
        <f ca="1">G8/Sales!J$2</f>
        <v>5.6772018352846322E-2</v>
      </c>
      <c r="H241" s="1242">
        <f>H8/Sales!K$2</f>
        <v>7.0248773697873412E-2</v>
      </c>
      <c r="I241" s="1242">
        <f>I8/Sales!L$2</f>
        <v>8.4371108243838325E-2</v>
      </c>
      <c r="J241" s="1242">
        <f>J8/Sales!M$2</f>
        <v>9.651096942582682E-2</v>
      </c>
      <c r="K241" s="1242">
        <f>K8/Sales!N$2</f>
        <v>0.10397059204621918</v>
      </c>
      <c r="L241" s="1234"/>
      <c r="M241" s="1234" t="s">
        <v>399</v>
      </c>
    </row>
    <row r="242" spans="1:13">
      <c r="A242" s="1234" t="str">
        <f>A86</f>
        <v>erenumab (AMG334)</v>
      </c>
      <c r="B242" s="1098"/>
      <c r="F242" s="1242">
        <f>F86/Sales!I$2</f>
        <v>0</v>
      </c>
      <c r="G242" s="1242">
        <f>G86/Sales!J$2</f>
        <v>9.7571558150739794E-4</v>
      </c>
      <c r="H242" s="1242">
        <f>H86/Sales!K$2</f>
        <v>2.224888970215741E-3</v>
      </c>
      <c r="I242" s="1242">
        <f>I86/Sales!L$2</f>
        <v>3.3665527324046574E-3</v>
      </c>
      <c r="J242" s="1242">
        <f>J86/Sales!M$2</f>
        <v>6.5191076848083078E-3</v>
      </c>
      <c r="K242" s="1242">
        <f>K86/Sales!N$2</f>
        <v>8.9373356861811269E-3</v>
      </c>
      <c r="L242" s="1234"/>
      <c r="M242" s="1234" t="s">
        <v>399</v>
      </c>
    </row>
    <row r="243" spans="1:13">
      <c r="A243" s="1234" t="str">
        <f>A90</f>
        <v>ACZ885</v>
      </c>
      <c r="B243" s="1098"/>
      <c r="F243" s="1242">
        <f>G90/Sales!I$2</f>
        <v>1.3235863080087154E-3</v>
      </c>
      <c r="G243" s="1242">
        <f>H90/Sales!J$2</f>
        <v>4.9753280853096441E-3</v>
      </c>
      <c r="H243" s="1242">
        <f>I90/Sales!K$2</f>
        <v>1.0973269026941531E-2</v>
      </c>
      <c r="I243" s="1242">
        <f>J90/Sales!L$2</f>
        <v>1.5959260425425979E-2</v>
      </c>
      <c r="J243" s="1242">
        <f>K90/Sales!M$2</f>
        <v>1.9241720283039575E-2</v>
      </c>
      <c r="K243" s="1242">
        <f>L90/Sales!N$2</f>
        <v>2.0728970620825671E-2</v>
      </c>
      <c r="L243" s="1234"/>
      <c r="M243" s="1234" t="s">
        <v>399</v>
      </c>
    </row>
    <row r="244" spans="1:13">
      <c r="A244" s="1234" t="str">
        <f>A94</f>
        <v>RTH258 (brolucizumab)</v>
      </c>
      <c r="B244" s="1098"/>
      <c r="F244" s="1242">
        <f>G94/Sales!I$2</f>
        <v>0</v>
      </c>
      <c r="G244" s="1242">
        <f>H94/Sales!J$2</f>
        <v>2.4876640426548221E-3</v>
      </c>
      <c r="H244" s="1242">
        <f>I94/Sales!K$2</f>
        <v>5.608559724881227E-3</v>
      </c>
      <c r="I244" s="1242">
        <f>J94/Sales!L$2</f>
        <v>1.0875940438068075E-2</v>
      </c>
      <c r="J244" s="1242">
        <f>K94/Sales!M$2</f>
        <v>1.7833511420843787E-2</v>
      </c>
      <c r="K244" s="1242">
        <f>L94/Sales!N$2</f>
        <v>2.0085186024844201E-2</v>
      </c>
      <c r="L244" s="1234"/>
      <c r="M244" s="1234" t="s">
        <v>399</v>
      </c>
    </row>
    <row r="245" spans="1:13">
      <c r="A245" s="1234" t="str">
        <f>A98</f>
        <v>BAF312</v>
      </c>
      <c r="B245" s="1098"/>
      <c r="F245" s="1242">
        <f>F98/Sales!I$2</f>
        <v>0</v>
      </c>
      <c r="G245" s="1242">
        <f>G98/Sales!J$2</f>
        <v>0</v>
      </c>
      <c r="H245" s="1242">
        <f>H98/Sales!K$2</f>
        <v>1.2192521141046145E-3</v>
      </c>
      <c r="I245" s="1242">
        <f>I98/Sales!L$2</f>
        <v>4.1375860362215505E-3</v>
      </c>
      <c r="J245" s="1242">
        <f>J98/Sales!M$2</f>
        <v>8.9224569608761291E-3</v>
      </c>
      <c r="K245" s="1242">
        <f>K98/Sales!N$2</f>
        <v>1.6985192896579578E-2</v>
      </c>
      <c r="L245" s="1234"/>
      <c r="M245" s="1234" t="s">
        <v>399</v>
      </c>
    </row>
    <row r="246" spans="1:13">
      <c r="A246" s="1234" t="str">
        <f>A102</f>
        <v>SEG101</v>
      </c>
      <c r="B246" s="1098"/>
      <c r="F246" s="1242">
        <f>F102/Sales!I$2</f>
        <v>0</v>
      </c>
      <c r="G246" s="1242">
        <f>G102/Sales!J$2</f>
        <v>0</v>
      </c>
      <c r="H246" s="1242">
        <f>H102/Sales!K$2</f>
        <v>9.3788624161893425E-4</v>
      </c>
      <c r="I246" s="1242">
        <f>I102/Sales!L$2</f>
        <v>5.4561574104020445E-3</v>
      </c>
      <c r="J246" s="1242">
        <f>J102/Sales!M$2</f>
        <v>1.0525385453970366E-2</v>
      </c>
      <c r="K246" s="1242">
        <f>K102/Sales!N$2</f>
        <v>1.3744150424582676E-2</v>
      </c>
      <c r="L246" s="1234"/>
      <c r="M246" s="1234" t="s">
        <v>399</v>
      </c>
    </row>
    <row r="247" spans="1:13">
      <c r="A247" s="1234" t="str">
        <f>A106</f>
        <v>INC280 cMET inh</v>
      </c>
      <c r="B247" s="1098"/>
      <c r="F247" s="1242">
        <f>F106/Sales!I$2</f>
        <v>0</v>
      </c>
      <c r="G247" s="1242">
        <f>G106/Sales!J$2</f>
        <v>0</v>
      </c>
      <c r="H247" s="1242">
        <f>H106/Sales!K$2</f>
        <v>9.3788624161893425E-4</v>
      </c>
      <c r="I247" s="1242">
        <f>I106/Sales!L$2</f>
        <v>2.7280787052010222E-3</v>
      </c>
      <c r="J247" s="1242">
        <f>J106/Sales!M$2</f>
        <v>3.5084618179901219E-3</v>
      </c>
      <c r="K247" s="1242">
        <f>K106/Sales!N$2</f>
        <v>4.2950470076820865E-3</v>
      </c>
      <c r="L247" s="1234"/>
      <c r="M247" s="1234" t="s">
        <v>399</v>
      </c>
    </row>
    <row r="248" spans="1:13">
      <c r="A248" s="1234" t="str">
        <f>A114</f>
        <v>LCI699 Hydroxylase inh</v>
      </c>
      <c r="B248" s="1098"/>
      <c r="F248" s="1242">
        <f>F114/Sales!I$2</f>
        <v>0</v>
      </c>
      <c r="G248" s="1242">
        <f>G114/Sales!J$2</f>
        <v>0</v>
      </c>
      <c r="H248" s="1242">
        <f>H114/Sales!K$2</f>
        <v>0</v>
      </c>
      <c r="I248" s="1242">
        <f>I114/Sales!L$2</f>
        <v>9.0935956840034068E-4</v>
      </c>
      <c r="J248" s="1242">
        <f>J114/Sales!M$2</f>
        <v>2.6313463634925916E-3</v>
      </c>
      <c r="K248" s="1242">
        <f>K114/Sales!N$2</f>
        <v>3.4360376061456691E-3</v>
      </c>
      <c r="L248" s="1234"/>
      <c r="M248" s="1234" t="s">
        <v>399</v>
      </c>
    </row>
    <row r="249" spans="1:13">
      <c r="A249" s="1234" t="str">
        <f>A118</f>
        <v>BYL719 Alpha specific PI3K inh</v>
      </c>
      <c r="B249" s="1098"/>
      <c r="F249" s="1242">
        <f>F118/Sales!I$2</f>
        <v>0</v>
      </c>
      <c r="G249" s="1242">
        <f>G118/Sales!J$2</f>
        <v>0</v>
      </c>
      <c r="H249" s="1242">
        <f>H118/Sales!K$2</f>
        <v>0</v>
      </c>
      <c r="I249" s="1242">
        <f>I118/Sales!L$2</f>
        <v>9.0935956840034068E-4</v>
      </c>
      <c r="J249" s="1242">
        <f>J118/Sales!M$2</f>
        <v>2.6313463634925916E-3</v>
      </c>
      <c r="K249" s="1242">
        <f>K118/Sales!N$2</f>
        <v>3.4360376061456691E-3</v>
      </c>
      <c r="L249" s="1234"/>
      <c r="M249" s="1234" t="s">
        <v>399</v>
      </c>
    </row>
    <row r="250" spans="1:13">
      <c r="A250" s="1234" t="str">
        <f>A122</f>
        <v>QVM149 (indacaterol, glycoppyrronium,</v>
      </c>
      <c r="B250" s="1098"/>
      <c r="F250" s="1242">
        <f>F122/Sales!I$2</f>
        <v>0</v>
      </c>
      <c r="G250" s="1242">
        <f>G122/Sales!J$2</f>
        <v>0</v>
      </c>
      <c r="H250" s="1242">
        <f>H122/Sales!K$2</f>
        <v>0</v>
      </c>
      <c r="I250" s="1242">
        <f>I122/Sales!L$2</f>
        <v>9.0935956840034068E-4</v>
      </c>
      <c r="J250" s="1242">
        <f>J122/Sales!M$2</f>
        <v>2.6313463634925916E-3</v>
      </c>
      <c r="K250" s="1242">
        <f>K122/Sales!N$2</f>
        <v>3.4360376061456691E-3</v>
      </c>
      <c r="L250" s="1234"/>
      <c r="M250" s="1234" t="s">
        <v>399</v>
      </c>
    </row>
    <row r="251" spans="1:13">
      <c r="A251" s="1234" t="str">
        <f>A126</f>
        <v>QAW039 fevipiprant (CRTh2 antagonist)</v>
      </c>
      <c r="B251" s="1098"/>
      <c r="F251" s="1242">
        <f>F126/Sales!I$2</f>
        <v>0</v>
      </c>
      <c r="G251" s="1242">
        <f>G126/Sales!J$2</f>
        <v>0</v>
      </c>
      <c r="H251" s="1242">
        <f>H126/Sales!K$2</f>
        <v>0</v>
      </c>
      <c r="I251" s="1242">
        <f>I126/Sales!L$2</f>
        <v>9.0935956840034068E-4</v>
      </c>
      <c r="J251" s="1242">
        <f>J126/Sales!M$2</f>
        <v>2.6313463634925916E-3</v>
      </c>
      <c r="K251" s="1242">
        <f>K126/Sales!N$2</f>
        <v>3.4360376061456691E-3</v>
      </c>
      <c r="L251" s="1234"/>
      <c r="M251" s="1234" t="s">
        <v>399</v>
      </c>
    </row>
    <row r="252" spans="1:13">
      <c r="A252" s="1234" t="str">
        <f>A130</f>
        <v>PDR001</v>
      </c>
      <c r="B252" s="1098"/>
      <c r="F252" s="1242">
        <f>F130/Sales!I$2</f>
        <v>0</v>
      </c>
      <c r="G252" s="1242">
        <f>G130/Sales!J$2</f>
        <v>0</v>
      </c>
      <c r="H252" s="1242">
        <f>H130/Sales!K$2</f>
        <v>0</v>
      </c>
      <c r="I252" s="1242">
        <f>I130/Sales!L$2</f>
        <v>9.0935956840034068E-4</v>
      </c>
      <c r="J252" s="1242">
        <f>J130/Sales!M$2</f>
        <v>1.7542309089950609E-3</v>
      </c>
      <c r="K252" s="1242">
        <f>K130/Sales!N$2</f>
        <v>2.5770282046092517E-3</v>
      </c>
      <c r="L252" s="1234"/>
      <c r="M252" s="1234" t="s">
        <v>399</v>
      </c>
    </row>
    <row r="253" spans="1:13">
      <c r="A253" s="1234" t="str">
        <f>A110</f>
        <v>OMB157 ofatumumab (anti CD20)</v>
      </c>
      <c r="B253" s="1098"/>
      <c r="F253" s="1242">
        <f>F110/Sales!I$2</f>
        <v>0</v>
      </c>
      <c r="G253" s="1242">
        <f>G110/Sales!J$2</f>
        <v>0</v>
      </c>
      <c r="H253" s="1242">
        <f>H110/Sales!K$2</f>
        <v>0</v>
      </c>
      <c r="I253" s="1242">
        <f>I110/Sales!L$2</f>
        <v>9.0935956840034068E-4</v>
      </c>
      <c r="J253" s="1242">
        <f>J110/Sales!M$2</f>
        <v>1.7542309089950609E-3</v>
      </c>
      <c r="K253" s="1242">
        <f>K110/Sales!N$2</f>
        <v>2.5770282046092517E-3</v>
      </c>
      <c r="L253" s="1234"/>
      <c r="M253" s="1234" t="s">
        <v>399</v>
      </c>
    </row>
    <row r="254" spans="1:13">
      <c r="A254" s="1243" t="s">
        <v>1008</v>
      </c>
      <c r="B254" s="1243"/>
      <c r="C254" s="1243"/>
      <c r="D254" s="1243"/>
      <c r="E254" s="1243"/>
      <c r="F254" s="1244">
        <f t="shared" ref="F254:J254" si="76">SUM(F238:F253)-F271-F288</f>
        <v>1.3235863080087173E-3</v>
      </c>
      <c r="G254" s="1244">
        <f t="shared" ca="1" si="76"/>
        <v>8.5633922440329774E-3</v>
      </c>
      <c r="H254" s="1244">
        <f t="shared" si="76"/>
        <v>1.802642939158039E-2</v>
      </c>
      <c r="I254" s="1244">
        <f t="shared" si="76"/>
        <v>4.2328687911116478E-2</v>
      </c>
      <c r="J254" s="1244">
        <f t="shared" si="76"/>
        <v>7.4036182615680221E-2</v>
      </c>
      <c r="K254" s="1244">
        <f>SUM(K238:K253)-K271-K288</f>
        <v>8.7829887262796807E-2</v>
      </c>
      <c r="L254" s="1243"/>
      <c r="M254" s="1243" t="s">
        <v>1008</v>
      </c>
    </row>
    <row r="255" spans="1:13">
      <c r="A255" s="1234" t="str">
        <f t="shared" ref="A255:A270" si="77">A238</f>
        <v>Kisqali</v>
      </c>
      <c r="B255" s="1098"/>
      <c r="F255" s="1242">
        <f>F13/Sales!I$2</f>
        <v>1.547577837056344E-3</v>
      </c>
      <c r="G255" s="1242">
        <f>G13/Sales!J$2</f>
        <v>4.6882899265417799E-3</v>
      </c>
      <c r="H255" s="1242">
        <f>H13/Sales!K$2</f>
        <v>9.1912851678655552E-3</v>
      </c>
      <c r="I255" s="1242">
        <f>I13/Sales!L$2</f>
        <v>1.2476413278452675E-2</v>
      </c>
      <c r="J255" s="1242">
        <f>J13/Sales!M$2</f>
        <v>1.5042530044632648E-2</v>
      </c>
      <c r="K255" s="1242">
        <f>K13/Sales!N$2</f>
        <v>1.6205212359984511E-2</v>
      </c>
      <c r="L255" s="1234"/>
      <c r="M255" s="1234" t="s">
        <v>398</v>
      </c>
    </row>
    <row r="256" spans="1:13">
      <c r="A256" s="1234" t="str">
        <f t="shared" si="77"/>
        <v>Rydapt</v>
      </c>
      <c r="B256" s="1098"/>
      <c r="F256" s="1242">
        <f>Sales!I137/Sales!I$2</f>
        <v>0</v>
      </c>
      <c r="G256" s="1242">
        <f>Sales!J137/Sales!J$2</f>
        <v>0</v>
      </c>
      <c r="H256" s="1242">
        <f>Sales!K137/Sales!K$2</f>
        <v>0</v>
      </c>
      <c r="I256" s="1242">
        <f>Sales!L137/Sales!L$2</f>
        <v>0</v>
      </c>
      <c r="J256" s="1242">
        <f>Sales!M137/Sales!M$2</f>
        <v>0</v>
      </c>
      <c r="K256" s="1242">
        <f>Sales!N137/Sales!N$2</f>
        <v>0</v>
      </c>
      <c r="L256" s="1234"/>
      <c r="M256" s="1234" t="s">
        <v>398</v>
      </c>
    </row>
    <row r="257" spans="1:13">
      <c r="A257" s="1234" t="str">
        <f t="shared" si="77"/>
        <v>Kymriah</v>
      </c>
      <c r="B257" s="1098"/>
      <c r="F257" s="1242">
        <f>F57/Sales!I$2</f>
        <v>0</v>
      </c>
      <c r="G257" s="1242">
        <f>G57/Sales!J$2</f>
        <v>1.243832021327411E-3</v>
      </c>
      <c r="H257" s="1242">
        <f>H57/Sales!K$2</f>
        <v>3.6577563423138434E-3</v>
      </c>
      <c r="I257" s="1242">
        <f>I57/Sales!L$2</f>
        <v>6.3837041701703921E-3</v>
      </c>
      <c r="J257" s="1242">
        <f>J57/Sales!M$2</f>
        <v>9.9749077947277158E-3</v>
      </c>
      <c r="K257" s="1242">
        <f>K57/Sales!N$2</f>
        <v>1.3969667880786836E-2</v>
      </c>
      <c r="L257" s="1234"/>
      <c r="M257" s="1234" t="s">
        <v>398</v>
      </c>
    </row>
    <row r="258" spans="1:13">
      <c r="A258" s="1234" t="str">
        <f t="shared" si="77"/>
        <v>Cosentyx</v>
      </c>
      <c r="B258" s="1098"/>
      <c r="F258" s="1242">
        <f>F9/Sales!I$2</f>
        <v>4.2171496059785374E-2</v>
      </c>
      <c r="G258" s="1242">
        <f>G9/Sales!J$2</f>
        <v>5.5482562502103004E-2</v>
      </c>
      <c r="H258" s="1242">
        <f>H9/Sales!K$2</f>
        <v>6.7982684223748452E-2</v>
      </c>
      <c r="I258" s="1242">
        <f>I9/Sales!L$2</f>
        <v>7.9097913978598444E-2</v>
      </c>
      <c r="J258" s="1242">
        <f>J9/Sales!M$2</f>
        <v>8.7737244932569833E-2</v>
      </c>
      <c r="K258" s="1242">
        <f>K9/Sales!N$2</f>
        <v>9.4518720042017418E-2</v>
      </c>
      <c r="L258" s="1234"/>
      <c r="M258" s="1234" t="s">
        <v>398</v>
      </c>
    </row>
    <row r="259" spans="1:13">
      <c r="A259" s="1234" t="str">
        <f t="shared" si="77"/>
        <v>erenumab (AMG334)</v>
      </c>
      <c r="B259" s="1098"/>
      <c r="F259" s="1242">
        <f>F87/Sales!I$2</f>
        <v>0</v>
      </c>
      <c r="G259" s="1242">
        <f>G87/Sales!J$2</f>
        <v>7.5055044731338306E-4</v>
      </c>
      <c r="H259" s="1242">
        <f>H87/Sales!K$2</f>
        <v>1.7114530540121085E-3</v>
      </c>
      <c r="I259" s="1242">
        <f>I87/Sales!L$2</f>
        <v>2.5896559480035825E-3</v>
      </c>
      <c r="J259" s="1242">
        <f>J87/Sales!M$2</f>
        <v>5.0146982190833128E-3</v>
      </c>
      <c r="K259" s="1242">
        <f>K87/Sales!N$2</f>
        <v>6.8748736047547125E-3</v>
      </c>
      <c r="L259" s="1234"/>
      <c r="M259" s="1234" t="s">
        <v>398</v>
      </c>
    </row>
    <row r="260" spans="1:13">
      <c r="A260" s="1234" t="str">
        <f t="shared" si="77"/>
        <v>ACZ885</v>
      </c>
      <c r="B260" s="1098"/>
      <c r="F260" s="1242">
        <f>F91/Sales!I$2</f>
        <v>0</v>
      </c>
      <c r="G260" s="1242">
        <f>G91/Sales!J$2</f>
        <v>9.5679386255954684E-4</v>
      </c>
      <c r="H260" s="1242">
        <f>H91/Sales!K$2</f>
        <v>3.751544966475737E-3</v>
      </c>
      <c r="I260" s="1242">
        <f>I91/Sales!L$2</f>
        <v>8.1842361156030663E-3</v>
      </c>
      <c r="J260" s="1242">
        <f>J91/Sales!M$2</f>
        <v>1.1841058635716661E-2</v>
      </c>
      <c r="K260" s="1242">
        <f>K91/Sales!N$2</f>
        <v>1.4495783650927041E-2</v>
      </c>
      <c r="L260" s="1234"/>
      <c r="M260" s="1234" t="s">
        <v>398</v>
      </c>
    </row>
    <row r="261" spans="1:13">
      <c r="A261" s="1234" t="str">
        <f t="shared" si="77"/>
        <v>RTH258 (brolucizumab)</v>
      </c>
      <c r="B261" s="1098"/>
      <c r="F261" s="1242">
        <f>F95/Sales!I$2</f>
        <v>0</v>
      </c>
      <c r="G261" s="1242">
        <f>G95/Sales!J$2</f>
        <v>0</v>
      </c>
      <c r="H261" s="1242">
        <f>H95/Sales!K$2</f>
        <v>1.8757724832378685E-3</v>
      </c>
      <c r="I261" s="1242">
        <f>I95/Sales!L$2</f>
        <v>4.1830540146415669E-3</v>
      </c>
      <c r="J261" s="1242">
        <f>J95/Sales!M$2</f>
        <v>8.069462181377279E-3</v>
      </c>
      <c r="K261" s="1242">
        <f>K95/Sales!N$2</f>
        <v>1.3434907040029564E-2</v>
      </c>
      <c r="L261" s="1234"/>
      <c r="M261" s="1234" t="s">
        <v>398</v>
      </c>
    </row>
    <row r="262" spans="1:13">
      <c r="A262" s="1234" t="str">
        <f t="shared" si="77"/>
        <v>BAF312</v>
      </c>
      <c r="B262" s="1098"/>
      <c r="F262" s="1242">
        <f>F99/Sales!I$2</f>
        <v>0</v>
      </c>
      <c r="G262" s="1242">
        <f>G99/Sales!J$2</f>
        <v>0</v>
      </c>
      <c r="H262" s="1242">
        <f>H99/Sales!K$2</f>
        <v>9.3788624161893425E-4</v>
      </c>
      <c r="I262" s="1242">
        <f>I99/Sales!L$2</f>
        <v>3.1827584894011923E-3</v>
      </c>
      <c r="J262" s="1242">
        <f>J99/Sales!M$2</f>
        <v>6.8634284314431759E-3</v>
      </c>
      <c r="K262" s="1242">
        <f>K99/Sales!N$2</f>
        <v>1.3065532997368907E-2</v>
      </c>
      <c r="L262" s="1234"/>
      <c r="M262" s="1234" t="s">
        <v>398</v>
      </c>
    </row>
    <row r="263" spans="1:13">
      <c r="A263" s="1234" t="str">
        <f t="shared" si="77"/>
        <v>SEG101</v>
      </c>
      <c r="B263" s="1098"/>
      <c r="F263" s="1242">
        <f>F103/Sales!I$2</f>
        <v>0</v>
      </c>
      <c r="G263" s="1242">
        <f>G103/Sales!J$2</f>
        <v>0</v>
      </c>
      <c r="H263" s="1242">
        <f>H103/Sales!K$2</f>
        <v>0</v>
      </c>
      <c r="I263" s="1242">
        <f>I103/Sales!L$2</f>
        <v>0</v>
      </c>
      <c r="J263" s="1242">
        <f>J103/Sales!M$2</f>
        <v>0</v>
      </c>
      <c r="K263" s="1242">
        <f>K103/Sales!N$2</f>
        <v>0</v>
      </c>
      <c r="L263" s="1234"/>
      <c r="M263" s="1234" t="s">
        <v>398</v>
      </c>
    </row>
    <row r="264" spans="1:13">
      <c r="A264" s="1234" t="str">
        <f t="shared" si="77"/>
        <v>INC280 cMET inh</v>
      </c>
      <c r="B264" s="1098"/>
      <c r="F264" s="1242">
        <f>F107/Sales!I$2</f>
        <v>0</v>
      </c>
      <c r="G264" s="1242">
        <f>G107/Sales!J$2</f>
        <v>0</v>
      </c>
      <c r="H264" s="1242">
        <f>H107/Sales!K$2</f>
        <v>0</v>
      </c>
      <c r="I264" s="1242">
        <f>I107/Sales!L$2</f>
        <v>0</v>
      </c>
      <c r="J264" s="1242">
        <f>J107/Sales!M$2</f>
        <v>0</v>
      </c>
      <c r="K264" s="1242">
        <f>K107/Sales!N$2</f>
        <v>0</v>
      </c>
      <c r="L264" s="1234"/>
      <c r="M264" s="1234" t="s">
        <v>398</v>
      </c>
    </row>
    <row r="265" spans="1:13">
      <c r="A265" s="1234" t="str">
        <f t="shared" si="77"/>
        <v>LCI699 Hydroxylase inh</v>
      </c>
      <c r="B265" s="1098"/>
      <c r="F265" s="1242">
        <f>F115/Sales!I$2</f>
        <v>0</v>
      </c>
      <c r="G265" s="1242">
        <f>G115/Sales!J$2</f>
        <v>0</v>
      </c>
      <c r="H265" s="1242">
        <f>H115/Sales!K$2</f>
        <v>0</v>
      </c>
      <c r="I265" s="1242">
        <f>I115/Sales!L$2</f>
        <v>0</v>
      </c>
      <c r="J265" s="1242">
        <f>J115/Sales!M$2</f>
        <v>0</v>
      </c>
      <c r="K265" s="1242">
        <f>K115/Sales!N$2</f>
        <v>0</v>
      </c>
      <c r="L265" s="1234"/>
      <c r="M265" s="1234" t="s">
        <v>398</v>
      </c>
    </row>
    <row r="266" spans="1:13">
      <c r="A266" s="1234" t="str">
        <f t="shared" si="77"/>
        <v>BYL719 Alpha specific PI3K inh</v>
      </c>
      <c r="B266" s="1098"/>
      <c r="F266" s="1242">
        <f>F119/Sales!I$2</f>
        <v>0</v>
      </c>
      <c r="G266" s="1242">
        <f>G119/Sales!J$2</f>
        <v>0</v>
      </c>
      <c r="H266" s="1242">
        <f>H119/Sales!K$2</f>
        <v>0</v>
      </c>
      <c r="I266" s="1242">
        <f>I119/Sales!L$2</f>
        <v>0</v>
      </c>
      <c r="J266" s="1242">
        <f>J119/Sales!M$2</f>
        <v>0</v>
      </c>
      <c r="K266" s="1242">
        <f>K119/Sales!N$2</f>
        <v>0</v>
      </c>
      <c r="L266" s="1234"/>
      <c r="M266" s="1234" t="s">
        <v>398</v>
      </c>
    </row>
    <row r="267" spans="1:13">
      <c r="A267" s="1234" t="str">
        <f t="shared" si="77"/>
        <v>QVM149 (indacaterol, glycoppyrronium,</v>
      </c>
      <c r="B267" s="1098"/>
      <c r="F267" s="1242">
        <f>F123/Sales!I$2</f>
        <v>0</v>
      </c>
      <c r="G267" s="1242">
        <f>G123/Sales!J$2</f>
        <v>0</v>
      </c>
      <c r="H267" s="1242">
        <f>H123/Sales!K$2</f>
        <v>0</v>
      </c>
      <c r="I267" s="1242">
        <f>I123/Sales!L$2</f>
        <v>0</v>
      </c>
      <c r="J267" s="1242">
        <f>J123/Sales!M$2</f>
        <v>0</v>
      </c>
      <c r="K267" s="1242">
        <f>K123/Sales!N$2</f>
        <v>0</v>
      </c>
      <c r="L267" s="1234"/>
      <c r="M267" s="1234" t="s">
        <v>398</v>
      </c>
    </row>
    <row r="268" spans="1:13">
      <c r="A268" s="1234" t="str">
        <f t="shared" si="77"/>
        <v>QAW039 fevipiprant (CRTh2 antagonist)</v>
      </c>
      <c r="B268" s="1098"/>
      <c r="F268" s="1242">
        <f>F127/Sales!I$2</f>
        <v>0</v>
      </c>
      <c r="G268" s="1242">
        <f>G127/Sales!J$2</f>
        <v>0</v>
      </c>
      <c r="H268" s="1242">
        <f>H127/Sales!K$2</f>
        <v>0</v>
      </c>
      <c r="I268" s="1242">
        <f>I127/Sales!L$2</f>
        <v>0</v>
      </c>
      <c r="J268" s="1242">
        <f>J127/Sales!M$2</f>
        <v>0</v>
      </c>
      <c r="K268" s="1242">
        <f>K127/Sales!N$2</f>
        <v>0</v>
      </c>
      <c r="L268" s="1234"/>
      <c r="M268" s="1234" t="s">
        <v>398</v>
      </c>
    </row>
    <row r="269" spans="1:13">
      <c r="A269" s="1234" t="str">
        <f t="shared" si="77"/>
        <v>PDR001</v>
      </c>
      <c r="B269" s="1098"/>
      <c r="F269" s="1242">
        <f>F131/Sales!I$2</f>
        <v>0</v>
      </c>
      <c r="G269" s="1242">
        <f>G131/Sales!J$2</f>
        <v>0</v>
      </c>
      <c r="H269" s="1242">
        <f>H131/Sales!K$2</f>
        <v>0</v>
      </c>
      <c r="I269" s="1242">
        <f>I131/Sales!L$2</f>
        <v>0</v>
      </c>
      <c r="J269" s="1242">
        <f>J131/Sales!M$2</f>
        <v>0</v>
      </c>
      <c r="K269" s="1242">
        <f>K131/Sales!N$2</f>
        <v>0</v>
      </c>
      <c r="L269" s="1234"/>
      <c r="M269" s="1234" t="s">
        <v>398</v>
      </c>
    </row>
    <row r="270" spans="1:13">
      <c r="A270" s="1234" t="str">
        <f t="shared" si="77"/>
        <v>OMB157 ofatumumab (anti CD20)</v>
      </c>
      <c r="B270" s="1098"/>
      <c r="F270" s="1242">
        <f>F111/Sales!I$2</f>
        <v>0</v>
      </c>
      <c r="G270" s="1242">
        <f>G111/Sales!J$2</f>
        <v>0</v>
      </c>
      <c r="H270" s="1242">
        <f>H111/Sales!K$2</f>
        <v>0</v>
      </c>
      <c r="I270" s="1242">
        <f>I111/Sales!L$2</f>
        <v>0</v>
      </c>
      <c r="J270" s="1242">
        <f>J111/Sales!M$2</f>
        <v>0</v>
      </c>
      <c r="K270" s="1242">
        <f>K111/Sales!N$2</f>
        <v>0</v>
      </c>
      <c r="L270" s="1234"/>
      <c r="M270" s="1234" t="s">
        <v>398</v>
      </c>
    </row>
    <row r="271" spans="1:13">
      <c r="A271" s="1243" t="s">
        <v>1007</v>
      </c>
      <c r="B271" s="1243"/>
      <c r="C271" s="1243"/>
      <c r="D271" s="1243"/>
      <c r="E271" s="1243"/>
      <c r="F271" s="1244">
        <f t="shared" ref="F271:J271" si="78">SUM(F255:F270)-F288</f>
        <v>0</v>
      </c>
      <c r="G271" s="1244">
        <f t="shared" ca="1" si="78"/>
        <v>6.4739370058382456E-3</v>
      </c>
      <c r="H271" s="1244">
        <f t="shared" si="78"/>
        <v>1.7123972134096471E-2</v>
      </c>
      <c r="I271" s="1244">
        <f t="shared" si="78"/>
        <v>3.9555546771276026E-2</v>
      </c>
      <c r="J271" s="1244">
        <f t="shared" si="78"/>
        <v>6.8988390095846994E-2</v>
      </c>
      <c r="K271" s="1244">
        <f>SUM(K255:K270)-K288</f>
        <v>8.9558004484178166E-2</v>
      </c>
      <c r="L271" s="1243"/>
      <c r="M271" s="1243" t="s">
        <v>1007</v>
      </c>
    </row>
    <row r="272" spans="1:13">
      <c r="A272" s="1234" t="str">
        <f>A255</f>
        <v>Kisqali</v>
      </c>
      <c r="B272" s="1098"/>
      <c r="F272" s="1242">
        <f>F14/Sales!I$2</f>
        <v>1.547577837056344E-3</v>
      </c>
      <c r="G272" s="1242">
        <f ca="1">G14/Sales!J$2</f>
        <v>4.5793305958415952E-3</v>
      </c>
      <c r="H272" s="1242">
        <f>H14/Sales!K$2</f>
        <v>8.884908995603371E-3</v>
      </c>
      <c r="I272" s="1242">
        <f>I14/Sales!L$2</f>
        <v>1.1644652393222496E-2</v>
      </c>
      <c r="J272" s="1242">
        <f>J14/Sales!M$2</f>
        <v>1.3538277040169383E-2</v>
      </c>
      <c r="K272" s="1242">
        <f>K14/Sales!N$2</f>
        <v>1.4584691123986061E-2</v>
      </c>
      <c r="L272" s="1234"/>
      <c r="M272" s="1234" t="s">
        <v>397</v>
      </c>
    </row>
    <row r="273" spans="1:13">
      <c r="A273" s="1234" t="str">
        <f>A256</f>
        <v>Rydapt</v>
      </c>
      <c r="B273" s="1098"/>
      <c r="F273" s="1242">
        <f>Sales!I137/Sales!I$2</f>
        <v>0</v>
      </c>
      <c r="G273" s="1242">
        <f>Sales!J137/Sales!J$2</f>
        <v>0</v>
      </c>
      <c r="H273" s="1242">
        <f>Sales!K137/Sales!K$2</f>
        <v>0</v>
      </c>
      <c r="I273" s="1242">
        <f>Sales!L137/Sales!L$2</f>
        <v>0</v>
      </c>
      <c r="J273" s="1242">
        <f>Sales!M137/Sales!M$2</f>
        <v>0</v>
      </c>
      <c r="K273" s="1242">
        <f>Sales!N137/Sales!N$2</f>
        <v>0</v>
      </c>
      <c r="L273" s="1234"/>
      <c r="M273" s="1234" t="s">
        <v>397</v>
      </c>
    </row>
    <row r="274" spans="1:13">
      <c r="A274" s="1234" t="str">
        <f t="shared" ref="A274:A287" si="79">A257</f>
        <v>Kymriah</v>
      </c>
      <c r="B274" s="1098"/>
      <c r="F274" s="1242">
        <f>F58/Sales!I$2</f>
        <v>0</v>
      </c>
      <c r="G274" s="1242">
        <f ca="1">G58/Sales!J$2</f>
        <v>1.0992941336639016E-3</v>
      </c>
      <c r="H274" s="1242">
        <f>H58/Sales!K$2</f>
        <v>3.0481302852615362E-3</v>
      </c>
      <c r="I274" s="1242">
        <f>I58/Sales!L$2</f>
        <v>4.2558027801135948E-3</v>
      </c>
      <c r="J274" s="1242">
        <f>J58/Sales!M$2</f>
        <v>4.9874538973638579E-3</v>
      </c>
      <c r="K274" s="1242">
        <f>K58/Sales!N$2</f>
        <v>6.9848339403934178E-3</v>
      </c>
      <c r="L274" s="1234"/>
      <c r="M274" s="1234" t="s">
        <v>397</v>
      </c>
    </row>
    <row r="275" spans="1:13">
      <c r="A275" s="1234" t="str">
        <f t="shared" si="79"/>
        <v>Cosentyx</v>
      </c>
      <c r="B275" s="1098"/>
      <c r="F275" s="1242">
        <f>F10/Sales!I$2</f>
        <v>4.2171496059785374E-2</v>
      </c>
      <c r="G275" s="1242">
        <f ca="1">G10/Sales!J$2</f>
        <v>5.0969467024501385E-2</v>
      </c>
      <c r="H275" s="1242">
        <f>H10/Sales!K$2</f>
        <v>6.0051371064311125E-2</v>
      </c>
      <c r="I275" s="1242">
        <f>I10/Sales!L$2</f>
        <v>6.0641734050258807E-2</v>
      </c>
      <c r="J275" s="1242">
        <f>J10/Sales!M$2</f>
        <v>5.7029209206170391E-2</v>
      </c>
      <c r="K275" s="1242">
        <f>K10/Sales!N$2</f>
        <v>6.1437168027311327E-2</v>
      </c>
      <c r="L275" s="1234"/>
      <c r="M275" s="1234" t="s">
        <v>397</v>
      </c>
    </row>
    <row r="276" spans="1:13">
      <c r="A276" s="1234" t="str">
        <f t="shared" si="79"/>
        <v>erenumab (AMG334)</v>
      </c>
      <c r="B276" s="1098"/>
      <c r="F276" s="1242">
        <f>F88/Sales!I$2</f>
        <v>0</v>
      </c>
      <c r="G276" s="1242">
        <f>G88/Sales!J$2</f>
        <v>0</v>
      </c>
      <c r="H276" s="1242">
        <f>H88/Sales!K$2</f>
        <v>0</v>
      </c>
      <c r="I276" s="1242">
        <f>I88/Sales!L$2</f>
        <v>0</v>
      </c>
      <c r="J276" s="1242">
        <f>J88/Sales!M$2</f>
        <v>0</v>
      </c>
      <c r="K276" s="1242">
        <f>K88/Sales!N$2</f>
        <v>0</v>
      </c>
      <c r="L276" s="1234"/>
      <c r="M276" s="1234" t="s">
        <v>397</v>
      </c>
    </row>
    <row r="277" spans="1:13">
      <c r="A277" s="1234" t="str">
        <f t="shared" si="79"/>
        <v>ACZ885</v>
      </c>
      <c r="B277" s="1098"/>
      <c r="F277" s="1242">
        <f>F92/Sales!I$2</f>
        <v>0</v>
      </c>
      <c r="G277" s="1242">
        <f>G92/Sales!J$2</f>
        <v>0</v>
      </c>
      <c r="H277" s="1242">
        <f>H92/Sales!K$2</f>
        <v>0</v>
      </c>
      <c r="I277" s="1242">
        <f>I92/Sales!L$2</f>
        <v>0</v>
      </c>
      <c r="J277" s="1242">
        <f>J92/Sales!M$2</f>
        <v>0</v>
      </c>
      <c r="K277" s="1242">
        <f>K92/Sales!N$2</f>
        <v>0</v>
      </c>
      <c r="L277" s="1234"/>
      <c r="M277" s="1234" t="s">
        <v>397</v>
      </c>
    </row>
    <row r="278" spans="1:13">
      <c r="A278" s="1234" t="str">
        <f t="shared" si="79"/>
        <v>RTH258 (brolucizumab)</v>
      </c>
      <c r="B278" s="1098"/>
      <c r="F278" s="1242">
        <f>F96/Sales!I$2</f>
        <v>0</v>
      </c>
      <c r="G278" s="1242">
        <f>G96/Sales!J$2</f>
        <v>0</v>
      </c>
      <c r="H278" s="1242">
        <f>H96/Sales!K$2</f>
        <v>0</v>
      </c>
      <c r="I278" s="1242">
        <f>I96/Sales!L$2</f>
        <v>0</v>
      </c>
      <c r="J278" s="1242">
        <f>J96/Sales!M$2</f>
        <v>0</v>
      </c>
      <c r="K278" s="1242">
        <f>K96/Sales!N$2</f>
        <v>0</v>
      </c>
      <c r="L278" s="1234"/>
      <c r="M278" s="1234" t="s">
        <v>397</v>
      </c>
    </row>
    <row r="279" spans="1:13">
      <c r="A279" s="1234" t="str">
        <f t="shared" si="79"/>
        <v>BAF312</v>
      </c>
      <c r="B279" s="1098"/>
      <c r="F279" s="1242">
        <f>F100/Sales!I$2</f>
        <v>0</v>
      </c>
      <c r="G279" s="1242">
        <f>G100/Sales!J$2</f>
        <v>0</v>
      </c>
      <c r="H279" s="1242">
        <f>H100/Sales!K$2</f>
        <v>0</v>
      </c>
      <c r="I279" s="1242">
        <f>I100/Sales!L$2</f>
        <v>0</v>
      </c>
      <c r="J279" s="1242">
        <f>J100/Sales!M$2</f>
        <v>0</v>
      </c>
      <c r="K279" s="1242">
        <f>K100/Sales!N$2</f>
        <v>0</v>
      </c>
      <c r="L279" s="1234"/>
      <c r="M279" s="1234" t="s">
        <v>397</v>
      </c>
    </row>
    <row r="280" spans="1:13">
      <c r="A280" s="1234" t="str">
        <f t="shared" si="79"/>
        <v>SEG101</v>
      </c>
      <c r="B280" s="1098"/>
      <c r="F280" s="1242">
        <f>F104/Sales!I$2</f>
        <v>0</v>
      </c>
      <c r="G280" s="1242">
        <f>G104/Sales!J$2</f>
        <v>0</v>
      </c>
      <c r="H280" s="1242">
        <f>H104/Sales!K$2</f>
        <v>0</v>
      </c>
      <c r="I280" s="1242">
        <f>I104/Sales!L$2</f>
        <v>0</v>
      </c>
      <c r="J280" s="1242">
        <f>J104/Sales!M$2</f>
        <v>0</v>
      </c>
      <c r="K280" s="1242">
        <f>K104/Sales!N$2</f>
        <v>0</v>
      </c>
      <c r="L280" s="1234"/>
      <c r="M280" s="1234" t="s">
        <v>397</v>
      </c>
    </row>
    <row r="281" spans="1:13">
      <c r="A281" s="1234" t="str">
        <f t="shared" si="79"/>
        <v>INC280 cMET inh</v>
      </c>
      <c r="B281" s="1098"/>
      <c r="F281" s="1242">
        <f>F108/Sales!I$2</f>
        <v>0</v>
      </c>
      <c r="G281" s="1242">
        <f>G108/Sales!J$2</f>
        <v>0</v>
      </c>
      <c r="H281" s="1242">
        <f>H108/Sales!K$2</f>
        <v>0</v>
      </c>
      <c r="I281" s="1242">
        <f>I108/Sales!L$2</f>
        <v>0</v>
      </c>
      <c r="J281" s="1242">
        <f>J108/Sales!M$2</f>
        <v>0</v>
      </c>
      <c r="K281" s="1242">
        <f>K108/Sales!N$2</f>
        <v>0</v>
      </c>
      <c r="L281" s="1234"/>
      <c r="M281" s="1234" t="s">
        <v>397</v>
      </c>
    </row>
    <row r="282" spans="1:13">
      <c r="A282" s="1234" t="str">
        <f t="shared" si="79"/>
        <v>LCI699 Hydroxylase inh</v>
      </c>
      <c r="B282" s="1098"/>
      <c r="F282" s="1242">
        <f>F116/Sales!I$2</f>
        <v>0</v>
      </c>
      <c r="G282" s="1242">
        <f>G116/Sales!J$2</f>
        <v>0</v>
      </c>
      <c r="H282" s="1242">
        <f>H116/Sales!K$2</f>
        <v>0</v>
      </c>
      <c r="I282" s="1242">
        <f>I116/Sales!L$2</f>
        <v>0</v>
      </c>
      <c r="J282" s="1242">
        <f>J116/Sales!M$2</f>
        <v>0</v>
      </c>
      <c r="K282" s="1242">
        <f>K116/Sales!N$2</f>
        <v>0</v>
      </c>
      <c r="L282" s="1234"/>
      <c r="M282" s="1234" t="s">
        <v>397</v>
      </c>
    </row>
    <row r="283" spans="1:13">
      <c r="A283" s="1234" t="str">
        <f t="shared" si="79"/>
        <v>BYL719 Alpha specific PI3K inh</v>
      </c>
      <c r="B283" s="1098"/>
      <c r="F283" s="1242">
        <f>F120/Sales!I$2</f>
        <v>0</v>
      </c>
      <c r="G283" s="1242">
        <f>G120/Sales!J$2</f>
        <v>0</v>
      </c>
      <c r="H283" s="1242">
        <f>H120/Sales!K$2</f>
        <v>0</v>
      </c>
      <c r="I283" s="1242">
        <f>I120/Sales!L$2</f>
        <v>0</v>
      </c>
      <c r="J283" s="1242">
        <f>J120/Sales!M$2</f>
        <v>0</v>
      </c>
      <c r="K283" s="1242">
        <f>K120/Sales!N$2</f>
        <v>0</v>
      </c>
      <c r="L283" s="1234"/>
      <c r="M283" s="1234" t="s">
        <v>397</v>
      </c>
    </row>
    <row r="284" spans="1:13">
      <c r="A284" s="1234" t="str">
        <f t="shared" si="79"/>
        <v>QVM149 (indacaterol, glycoppyrronium,</v>
      </c>
      <c r="B284" s="1098"/>
      <c r="F284" s="1242">
        <f>F124/Sales!I$2</f>
        <v>0</v>
      </c>
      <c r="G284" s="1242">
        <f>G124/Sales!J$2</f>
        <v>0</v>
      </c>
      <c r="H284" s="1242">
        <f>H124/Sales!K$2</f>
        <v>0</v>
      </c>
      <c r="I284" s="1242">
        <f>I124/Sales!L$2</f>
        <v>0</v>
      </c>
      <c r="J284" s="1242">
        <f>J124/Sales!M$2</f>
        <v>0</v>
      </c>
      <c r="K284" s="1242">
        <f>K124/Sales!N$2</f>
        <v>0</v>
      </c>
      <c r="L284" s="1234"/>
      <c r="M284" s="1234" t="s">
        <v>397</v>
      </c>
    </row>
    <row r="285" spans="1:13">
      <c r="A285" s="1234" t="str">
        <f t="shared" si="79"/>
        <v>QAW039 fevipiprant (CRTh2 antagonist)</v>
      </c>
      <c r="B285" s="1098"/>
      <c r="F285" s="1242">
        <f>F128/Sales!I$2</f>
        <v>0</v>
      </c>
      <c r="G285" s="1242">
        <f>G128/Sales!J$2</f>
        <v>0</v>
      </c>
      <c r="H285" s="1242">
        <f>H128/Sales!K$2</f>
        <v>0</v>
      </c>
      <c r="I285" s="1242">
        <f>I128/Sales!L$2</f>
        <v>0</v>
      </c>
      <c r="J285" s="1242">
        <f>J128/Sales!M$2</f>
        <v>0</v>
      </c>
      <c r="K285" s="1242">
        <f>K128/Sales!N$2</f>
        <v>0</v>
      </c>
      <c r="L285" s="1234"/>
      <c r="M285" s="1234" t="s">
        <v>397</v>
      </c>
    </row>
    <row r="286" spans="1:13">
      <c r="A286" s="1234" t="str">
        <f t="shared" si="79"/>
        <v>PDR001</v>
      </c>
      <c r="B286" s="1098"/>
      <c r="F286" s="1242">
        <f>F132/Sales!I$2</f>
        <v>0</v>
      </c>
      <c r="G286" s="1242">
        <f>G132/Sales!J$2</f>
        <v>0</v>
      </c>
      <c r="H286" s="1242">
        <f>H132/Sales!K$2</f>
        <v>0</v>
      </c>
      <c r="I286" s="1242">
        <f>I132/Sales!L$2</f>
        <v>0</v>
      </c>
      <c r="J286" s="1242">
        <f>J132/Sales!M$2</f>
        <v>0</v>
      </c>
      <c r="K286" s="1242">
        <f>K132/Sales!N$2</f>
        <v>0</v>
      </c>
      <c r="L286" s="1234"/>
      <c r="M286" s="1234" t="s">
        <v>397</v>
      </c>
    </row>
    <row r="287" spans="1:13">
      <c r="A287" s="1234" t="str">
        <f t="shared" si="79"/>
        <v>OMB157 ofatumumab (anti CD20)</v>
      </c>
      <c r="B287" s="1098"/>
      <c r="F287" s="1242">
        <f>F112/Sales!I$2</f>
        <v>0</v>
      </c>
      <c r="G287" s="1242">
        <f>G112/Sales!J$2</f>
        <v>0</v>
      </c>
      <c r="H287" s="1242">
        <f>H112/Sales!K$2</f>
        <v>0</v>
      </c>
      <c r="I287" s="1242">
        <f>I112/Sales!L$2</f>
        <v>0</v>
      </c>
      <c r="J287" s="1242">
        <f>J112/Sales!M$2</f>
        <v>0</v>
      </c>
      <c r="K287" s="1242">
        <f>K112/Sales!N$2</f>
        <v>0</v>
      </c>
      <c r="L287" s="1234"/>
      <c r="M287" s="1234" t="s">
        <v>397</v>
      </c>
    </row>
    <row r="288" spans="1:13">
      <c r="A288" s="1243" t="s">
        <v>1006</v>
      </c>
      <c r="B288" s="1243"/>
      <c r="C288" s="1243"/>
      <c r="D288" s="1243"/>
      <c r="E288" s="1243"/>
      <c r="F288" s="1244">
        <f t="shared" ref="F288" si="80">SUM(F272:F287)</f>
        <v>4.3719073896841716E-2</v>
      </c>
      <c r="G288" s="1244">
        <f t="shared" ref="G288" ca="1" si="81">SUM(G272:G287)</f>
        <v>5.6648091754006882E-2</v>
      </c>
      <c r="H288" s="1244">
        <f t="shared" ref="H288" si="82">SUM(H272:H287)</f>
        <v>7.1984410345176025E-2</v>
      </c>
      <c r="I288" s="1244">
        <f t="shared" ref="I288" si="83">SUM(I272:I287)</f>
        <v>7.6542189223594903E-2</v>
      </c>
      <c r="J288" s="1244">
        <f t="shared" ref="J288" si="84">SUM(J272:J287)</f>
        <v>7.5554940143703633E-2</v>
      </c>
      <c r="K288" s="1244">
        <f>SUM(K272:K287)</f>
        <v>8.3006693091690814E-2</v>
      </c>
      <c r="L288" s="1243"/>
      <c r="M288" s="1243" t="s">
        <v>1006</v>
      </c>
    </row>
    <row r="289" spans="1:13">
      <c r="A289" s="1238" t="s">
        <v>13</v>
      </c>
      <c r="B289" s="1239"/>
      <c r="C289" s="1239"/>
      <c r="D289" s="1239"/>
      <c r="E289" s="1239"/>
      <c r="F289" s="1240">
        <f t="shared" ref="F289:J289" si="85">F288+F271+F254</f>
        <v>4.5042660204850433E-2</v>
      </c>
      <c r="G289" s="1240">
        <f t="shared" ca="1" si="85"/>
        <v>7.1685421003878105E-2</v>
      </c>
      <c r="H289" s="1240">
        <f t="shared" si="85"/>
        <v>0.10713481187085289</v>
      </c>
      <c r="I289" s="1240">
        <f t="shared" si="85"/>
        <v>0.15842642390598741</v>
      </c>
      <c r="J289" s="1240">
        <f t="shared" si="85"/>
        <v>0.21857951285523086</v>
      </c>
      <c r="K289" s="1240">
        <f>K288+K271+K254</f>
        <v>0.26039458483866579</v>
      </c>
      <c r="L289" s="1239"/>
      <c r="M289" s="1239" t="s">
        <v>984</v>
      </c>
    </row>
  </sheetData>
  <mergeCells count="4">
    <mergeCell ref="A193:J194"/>
    <mergeCell ref="A196:J197"/>
    <mergeCell ref="A199:J200"/>
    <mergeCell ref="A202:J203"/>
  </mergeCell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pageSetUpPr fitToPage="1"/>
  </sheetPr>
  <dimension ref="A1:AL68"/>
  <sheetViews>
    <sheetView zoomScale="85" zoomScaleNormal="85" workbookViewId="0"/>
  </sheetViews>
  <sheetFormatPr defaultRowHeight="15" outlineLevelRow="1" outlineLevelCol="1"/>
  <cols>
    <col min="1" max="1" width="39" style="105" customWidth="1"/>
    <col min="2" max="2" width="10.85546875" style="419" customWidth="1"/>
    <col min="3" max="3" width="9.140625" style="105"/>
    <col min="4" max="9" width="9.140625" style="105" hidden="1" customWidth="1" outlineLevel="1"/>
    <col min="10" max="11" width="11" style="105" hidden="1" customWidth="1" outlineLevel="1"/>
    <col min="12" max="12" width="9.140625" style="105" collapsed="1"/>
    <col min="13" max="13" width="27.28515625" style="105" customWidth="1"/>
    <col min="14" max="14" width="8.5703125" style="105" hidden="1" customWidth="1" outlineLevel="1"/>
    <col min="15" max="15" width="9.42578125" style="105" hidden="1" customWidth="1" collapsed="1"/>
    <col min="16" max="20" width="9.42578125" style="105" customWidth="1"/>
    <col min="21" max="21" width="0.85546875" style="105" customWidth="1"/>
    <col min="22" max="22" width="8" style="105" hidden="1" customWidth="1"/>
    <col min="23" max="23" width="8.5703125" style="105" hidden="1" customWidth="1"/>
    <col min="24" max="24" width="9.42578125" style="105" hidden="1" customWidth="1"/>
    <col min="25" max="29" width="9.42578125" style="105" customWidth="1"/>
    <col min="30" max="30" width="0.85546875" style="105" customWidth="1"/>
    <col min="31" max="31" width="7.7109375" style="105" hidden="1" customWidth="1"/>
    <col min="32" max="36" width="7.7109375" style="105" customWidth="1"/>
    <col min="37" max="16384" width="9.140625" style="105"/>
  </cols>
  <sheetData>
    <row r="1" spans="1:38">
      <c r="B1" s="1289" t="s">
        <v>1856</v>
      </c>
      <c r="O1" s="404" t="str">
        <f>B1</f>
        <v>Consensus - 17 Apr 2018 (pre-1Q18)</v>
      </c>
      <c r="P1" s="404"/>
      <c r="Q1" s="404"/>
      <c r="R1" s="404"/>
      <c r="S1" s="404"/>
      <c r="T1" s="404"/>
      <c r="V1" s="404"/>
      <c r="X1" s="404"/>
      <c r="Y1" s="404" t="s">
        <v>516</v>
      </c>
      <c r="Z1" s="404"/>
      <c r="AA1" s="404"/>
      <c r="AB1" s="404"/>
      <c r="AC1" s="404"/>
      <c r="AE1" s="404"/>
      <c r="AF1" s="404" t="s">
        <v>517</v>
      </c>
      <c r="AG1" s="404"/>
      <c r="AH1" s="404"/>
      <c r="AI1" s="404"/>
      <c r="AJ1" s="404"/>
    </row>
    <row r="2" spans="1:38" ht="16.5">
      <c r="A2" s="408" t="s">
        <v>503</v>
      </c>
      <c r="B2" s="420" t="s">
        <v>1480</v>
      </c>
      <c r="C2" s="409"/>
      <c r="D2" s="409" t="s">
        <v>9</v>
      </c>
      <c r="E2" s="409" t="s">
        <v>10</v>
      </c>
      <c r="F2" s="409" t="s">
        <v>11</v>
      </c>
      <c r="G2" s="409" t="s">
        <v>894</v>
      </c>
      <c r="H2" s="409" t="s">
        <v>896</v>
      </c>
      <c r="I2" s="409" t="s">
        <v>942</v>
      </c>
      <c r="J2" s="409" t="s">
        <v>947</v>
      </c>
      <c r="K2" s="409" t="s">
        <v>1796</v>
      </c>
      <c r="M2" s="408" t="s">
        <v>503</v>
      </c>
      <c r="N2" s="409">
        <v>2016</v>
      </c>
      <c r="O2" s="558">
        <v>2017</v>
      </c>
      <c r="P2" s="558">
        <v>2018</v>
      </c>
      <c r="Q2" s="558">
        <v>2019</v>
      </c>
      <c r="R2" s="558">
        <v>2020</v>
      </c>
      <c r="S2" s="558">
        <v>2021</v>
      </c>
      <c r="T2" s="558">
        <v>2022</v>
      </c>
      <c r="V2" s="409" t="s">
        <v>514</v>
      </c>
      <c r="W2" s="409" t="s">
        <v>515</v>
      </c>
      <c r="X2" s="558">
        <v>2017</v>
      </c>
      <c r="Y2" s="558">
        <v>2018</v>
      </c>
      <c r="Z2" s="558">
        <v>2019</v>
      </c>
      <c r="AA2" s="558">
        <v>2020</v>
      </c>
      <c r="AB2" s="558">
        <v>2021</v>
      </c>
      <c r="AC2" s="558">
        <v>2022</v>
      </c>
      <c r="AE2" s="409">
        <v>2017</v>
      </c>
      <c r="AF2" s="558">
        <v>2018</v>
      </c>
      <c r="AG2" s="558">
        <v>2019</v>
      </c>
      <c r="AH2" s="558">
        <v>2020</v>
      </c>
      <c r="AI2" s="558">
        <v>2021</v>
      </c>
      <c r="AJ2" s="558">
        <v>2022</v>
      </c>
    </row>
    <row r="3" spans="1:38" s="404" customFormat="1" outlineLevel="1">
      <c r="A3" s="410" t="s">
        <v>261</v>
      </c>
      <c r="B3" s="421"/>
      <c r="C3" s="410"/>
      <c r="D3" s="410"/>
      <c r="E3" s="410"/>
      <c r="F3" s="410"/>
      <c r="G3" s="410"/>
      <c r="H3" s="410"/>
      <c r="I3" s="410"/>
      <c r="J3" s="410"/>
      <c r="K3" s="410"/>
      <c r="M3" s="410" t="s">
        <v>261</v>
      </c>
      <c r="N3" s="410"/>
      <c r="O3" s="410"/>
      <c r="P3" s="410"/>
      <c r="Q3" s="410"/>
      <c r="R3" s="410"/>
      <c r="S3" s="410"/>
      <c r="T3" s="410"/>
      <c r="V3" s="411"/>
      <c r="W3" s="410"/>
      <c r="X3" s="410"/>
      <c r="Y3" s="410"/>
      <c r="Z3" s="410"/>
      <c r="AA3" s="410"/>
      <c r="AB3" s="410"/>
      <c r="AC3" s="410"/>
      <c r="AE3" s="411"/>
      <c r="AF3" s="411"/>
      <c r="AG3" s="411"/>
      <c r="AH3" s="411"/>
      <c r="AI3" s="411"/>
      <c r="AJ3" s="411"/>
      <c r="AL3" s="105"/>
    </row>
    <row r="4" spans="1:38" outlineLevel="1">
      <c r="A4" s="105" t="s">
        <v>829</v>
      </c>
      <c r="B4" s="422">
        <v>8249</v>
      </c>
      <c r="D4" s="412">
        <f>Sales!AF34</f>
        <v>8387</v>
      </c>
      <c r="E4" s="412">
        <f>Sales!AG34</f>
        <v>8173</v>
      </c>
      <c r="F4" s="412">
        <f>Sales!AH34</f>
        <v>8273</v>
      </c>
      <c r="G4" s="412">
        <f>Sales!AI34</f>
        <v>7518</v>
      </c>
      <c r="H4" s="412">
        <f>Sales!AJ34</f>
        <v>8084</v>
      </c>
      <c r="I4" s="412">
        <f>Sales!AK34</f>
        <v>8117.0502326646756</v>
      </c>
      <c r="J4" s="412">
        <f>Sales!AL34</f>
        <v>8558.9497673353253</v>
      </c>
      <c r="K4" s="412">
        <f>Sales!AM34</f>
        <v>8398</v>
      </c>
      <c r="M4" s="105" t="s">
        <v>829</v>
      </c>
      <c r="N4" s="105">
        <v>32558</v>
      </c>
      <c r="O4" s="105">
        <v>32800</v>
      </c>
      <c r="P4" s="105">
        <v>34720</v>
      </c>
      <c r="Q4" s="105">
        <v>35517</v>
      </c>
      <c r="R4" s="105">
        <v>36078</v>
      </c>
      <c r="S4" s="105">
        <v>37417</v>
      </c>
      <c r="T4" s="105">
        <v>39178</v>
      </c>
      <c r="V4" s="412">
        <f>Sales!G34</f>
        <v>33345</v>
      </c>
      <c r="W4" s="412">
        <f>Sales!H34</f>
        <v>32562</v>
      </c>
      <c r="X4" s="412">
        <f>Sales!I34</f>
        <v>32278</v>
      </c>
      <c r="Y4" s="412">
        <f>Sales!J34</f>
        <v>34608.226549138832</v>
      </c>
      <c r="Z4" s="412">
        <f>Sales!K34</f>
        <v>34903.528721070914</v>
      </c>
      <c r="AA4" s="412">
        <f>Sales!L34</f>
        <v>35712.701477290568</v>
      </c>
      <c r="AB4" s="412">
        <f>Sales!M34</f>
        <v>36964.895436166611</v>
      </c>
      <c r="AC4" s="412">
        <f>Sales!N34</f>
        <v>37353.759981921139</v>
      </c>
      <c r="AE4" s="412">
        <f t="shared" ref="AE4:AJ7" si="0">(X4/O4-1)*100</f>
        <v>-1.5914634146341422</v>
      </c>
      <c r="AF4" s="412">
        <f t="shared" si="0"/>
        <v>-0.32192814188124474</v>
      </c>
      <c r="AG4" s="412">
        <f t="shared" si="0"/>
        <v>-1.7272609706030506</v>
      </c>
      <c r="AH4" s="412">
        <f t="shared" si="0"/>
        <v>-1.0125243159527453</v>
      </c>
      <c r="AI4" s="412">
        <f>(AB4/S4-1)*100</f>
        <v>-1.2082865110334629</v>
      </c>
      <c r="AJ4" s="412">
        <f>(AC4/T4-1)*100</f>
        <v>-4.6562867376559787</v>
      </c>
    </row>
    <row r="5" spans="1:38" outlineLevel="1">
      <c r="A5" s="105" t="s">
        <v>71</v>
      </c>
      <c r="B5" s="422">
        <v>2504</v>
      </c>
      <c r="D5" s="412">
        <f>Sales!AF502</f>
        <v>2577</v>
      </c>
      <c r="E5" s="412">
        <f>Sales!AG502</f>
        <v>2517</v>
      </c>
      <c r="F5" s="412">
        <f>Sales!AH502</f>
        <v>2605</v>
      </c>
      <c r="G5" s="412">
        <f>Sales!AI502</f>
        <v>2430</v>
      </c>
      <c r="H5" s="412">
        <f>Sales!AJ502</f>
        <v>2451</v>
      </c>
      <c r="I5" s="412">
        <f>Sales!AK502</f>
        <v>2584</v>
      </c>
      <c r="J5" s="412">
        <f>Sales!AL502</f>
        <v>2595</v>
      </c>
      <c r="K5" s="412">
        <f>Sales!AM502</f>
        <v>2517</v>
      </c>
      <c r="M5" s="105" t="s">
        <v>71</v>
      </c>
      <c r="N5" s="105">
        <v>10146</v>
      </c>
      <c r="O5" s="105">
        <v>10077</v>
      </c>
      <c r="P5" s="105">
        <v>10310</v>
      </c>
      <c r="Q5" s="105">
        <v>10807</v>
      </c>
      <c r="R5" s="105">
        <v>11386</v>
      </c>
      <c r="S5" s="105">
        <v>11955</v>
      </c>
      <c r="T5" s="105">
        <v>12534</v>
      </c>
      <c r="V5" s="412">
        <f>Sales!G502</f>
        <v>10070</v>
      </c>
      <c r="W5" s="412">
        <f>Sales!H502</f>
        <v>10144</v>
      </c>
      <c r="X5" s="412">
        <f>Sales!I502</f>
        <v>10060</v>
      </c>
      <c r="Y5" s="412">
        <f>Sales!J502</f>
        <v>10383.657422316164</v>
      </c>
      <c r="Z5" s="412">
        <f>Sales!K502</f>
        <v>10905.531828098057</v>
      </c>
      <c r="AA5" s="412">
        <f>Sales!L502</f>
        <v>11485.135402675887</v>
      </c>
      <c r="AB5" s="412">
        <f>Sales!M502</f>
        <v>11954.423347448699</v>
      </c>
      <c r="AC5" s="412">
        <f>Sales!N502</f>
        <v>12450.263318833948</v>
      </c>
      <c r="AE5" s="412">
        <f t="shared" si="0"/>
        <v>-0.16870100228242313</v>
      </c>
      <c r="AF5" s="412">
        <f t="shared" si="0"/>
        <v>0.71442698657773196</v>
      </c>
      <c r="AG5" s="412">
        <f t="shared" si="0"/>
        <v>0.91174079853850731</v>
      </c>
      <c r="AH5" s="412">
        <f t="shared" si="0"/>
        <v>0.87067804914708891</v>
      </c>
      <c r="AI5" s="412">
        <f t="shared" si="0"/>
        <v>-4.8235261505769067E-3</v>
      </c>
      <c r="AJ5" s="412">
        <f t="shared" si="0"/>
        <v>-0.66807628184181178</v>
      </c>
    </row>
    <row r="6" spans="1:38" outlineLevel="1">
      <c r="A6" s="105" t="s">
        <v>59</v>
      </c>
      <c r="B6" s="422">
        <v>1739</v>
      </c>
      <c r="D6" s="412">
        <f>Sales!AF424</f>
        <v>1506</v>
      </c>
      <c r="E6" s="412">
        <f>Sales!AG424</f>
        <v>1436</v>
      </c>
      <c r="F6" s="412">
        <f>Sales!AH424</f>
        <v>1444</v>
      </c>
      <c r="G6" s="412">
        <f>Sales!AI424</f>
        <v>1591</v>
      </c>
      <c r="H6" s="412">
        <f>Sales!AJ424</f>
        <v>1707</v>
      </c>
      <c r="I6" s="412">
        <f>Sales!AK424</f>
        <v>1712</v>
      </c>
      <c r="J6" s="412">
        <f>Sales!AL424</f>
        <v>1761</v>
      </c>
      <c r="K6" s="412">
        <f>Sales!AM424</f>
        <v>1779</v>
      </c>
      <c r="M6" s="105" t="s">
        <v>59</v>
      </c>
      <c r="N6" s="105">
        <v>5815</v>
      </c>
      <c r="O6" s="105">
        <v>5990</v>
      </c>
      <c r="P6" s="105">
        <v>7185</v>
      </c>
      <c r="Q6" s="105">
        <v>7400</v>
      </c>
      <c r="R6" s="105">
        <v>7669</v>
      </c>
      <c r="S6" s="105">
        <v>7992</v>
      </c>
      <c r="T6" s="105">
        <v>8250</v>
      </c>
      <c r="V6" s="412">
        <f>Sales!G424</f>
        <v>5999</v>
      </c>
      <c r="W6" s="412">
        <f>Sales!H424</f>
        <v>5812</v>
      </c>
      <c r="X6" s="412">
        <f>Sales!I424</f>
        <v>6771</v>
      </c>
      <c r="Y6" s="412">
        <f>Sales!J424</f>
        <v>7265.9763227608937</v>
      </c>
      <c r="Z6" s="412">
        <f>Sales!K424</f>
        <v>7502.308976512948</v>
      </c>
      <c r="AA6" s="412">
        <f>Sales!L424</f>
        <v>7785.9140338280413</v>
      </c>
      <c r="AB6" s="412">
        <f>Sales!M424</f>
        <v>8085.7194284217767</v>
      </c>
      <c r="AC6" s="412">
        <f>Sales!N424</f>
        <v>8402.5573380253536</v>
      </c>
      <c r="AE6" s="412">
        <f t="shared" si="0"/>
        <v>13.03839732888148</v>
      </c>
      <c r="AF6" s="412">
        <f t="shared" si="0"/>
        <v>1.1270191059275403</v>
      </c>
      <c r="AG6" s="412">
        <f t="shared" si="0"/>
        <v>1.3825537366614515</v>
      </c>
      <c r="AH6" s="412">
        <f t="shared" si="0"/>
        <v>1.5245016798544953</v>
      </c>
      <c r="AI6" s="412">
        <f t="shared" si="0"/>
        <v>1.1726655207930037</v>
      </c>
      <c r="AJ6" s="412">
        <f t="shared" si="0"/>
        <v>1.8491798548527782</v>
      </c>
    </row>
    <row r="7" spans="1:38" s="404" customFormat="1">
      <c r="A7" s="404" t="s">
        <v>425</v>
      </c>
      <c r="B7" s="423">
        <v>12526</v>
      </c>
      <c r="D7" s="413">
        <f>Sales!AF2</f>
        <v>12470</v>
      </c>
      <c r="E7" s="413">
        <f>Sales!AG2</f>
        <v>12126</v>
      </c>
      <c r="F7" s="413">
        <f>Sales!AH2</f>
        <v>12322</v>
      </c>
      <c r="G7" s="413">
        <f>Sales!AI2</f>
        <v>11539</v>
      </c>
      <c r="H7" s="413">
        <f>Sales!AJ2</f>
        <v>12242</v>
      </c>
      <c r="I7" s="413">
        <f>Sales!AK2</f>
        <v>12413.050232664675</v>
      </c>
      <c r="J7" s="413">
        <f>Sales!AL2</f>
        <v>12914.949767335325</v>
      </c>
      <c r="K7" s="413">
        <f>Sales!AM2</f>
        <v>12694</v>
      </c>
      <c r="M7" s="404" t="s">
        <v>425</v>
      </c>
      <c r="N7" s="404">
        <v>48510</v>
      </c>
      <c r="O7" s="404">
        <v>48848</v>
      </c>
      <c r="P7" s="404">
        <v>52293</v>
      </c>
      <c r="Q7" s="404">
        <v>53449</v>
      </c>
      <c r="R7" s="404">
        <v>54969</v>
      </c>
      <c r="S7" s="404">
        <v>57407</v>
      </c>
      <c r="T7" s="404">
        <v>59420</v>
      </c>
      <c r="V7" s="413">
        <f>Sales!G2</f>
        <v>49414</v>
      </c>
      <c r="W7" s="413">
        <f>Sales!H2</f>
        <v>48518</v>
      </c>
      <c r="X7" s="413">
        <f>Sales!I2</f>
        <v>49109</v>
      </c>
      <c r="Y7" s="413">
        <f>Sales!J2</f>
        <v>52257.86029421589</v>
      </c>
      <c r="Z7" s="413">
        <f>Sales!K2</f>
        <v>53311.369525681919</v>
      </c>
      <c r="AA7" s="413">
        <f>Sales!L2</f>
        <v>54983.750913794494</v>
      </c>
      <c r="AB7" s="413">
        <f>Sales!M2</f>
        <v>57005.038212037085</v>
      </c>
      <c r="AC7" s="413">
        <f>Sales!N2</f>
        <v>58206.58063878044</v>
      </c>
      <c r="AE7" s="413">
        <f t="shared" si="0"/>
        <v>0.5343105142482818</v>
      </c>
      <c r="AF7" s="413">
        <f t="shared" si="0"/>
        <v>-6.719772394796486E-2</v>
      </c>
      <c r="AG7" s="413">
        <f t="shared" si="0"/>
        <v>-0.2574986890644948</v>
      </c>
      <c r="AH7" s="413">
        <f t="shared" si="0"/>
        <v>2.6834968426747707E-2</v>
      </c>
      <c r="AI7" s="413">
        <f t="shared" si="0"/>
        <v>-0.70019647074905933</v>
      </c>
      <c r="AJ7" s="413">
        <f t="shared" si="0"/>
        <v>-2.0421059596424818</v>
      </c>
      <c r="AL7" s="105"/>
    </row>
    <row r="8" spans="1:38" s="404" customFormat="1" outlineLevel="1">
      <c r="A8" s="410" t="s">
        <v>504</v>
      </c>
      <c r="B8" s="421"/>
      <c r="C8" s="410"/>
      <c r="D8" s="410"/>
      <c r="E8" s="410"/>
      <c r="F8" s="410"/>
      <c r="G8" s="410"/>
      <c r="H8" s="410"/>
      <c r="I8" s="410"/>
      <c r="J8" s="410"/>
      <c r="K8" s="410"/>
      <c r="M8" s="410" t="s">
        <v>620</v>
      </c>
      <c r="N8" s="410"/>
      <c r="O8" s="410"/>
      <c r="P8" s="410"/>
      <c r="Q8" s="410"/>
      <c r="R8" s="410"/>
      <c r="S8" s="410"/>
      <c r="T8" s="410"/>
      <c r="V8" s="410"/>
      <c r="W8" s="410"/>
      <c r="X8" s="410"/>
      <c r="Y8" s="410"/>
      <c r="Z8" s="410"/>
      <c r="AA8" s="410"/>
      <c r="AB8" s="410"/>
      <c r="AC8" s="410"/>
      <c r="AE8" s="411"/>
      <c r="AF8" s="411"/>
      <c r="AG8" s="411"/>
      <c r="AH8" s="411"/>
      <c r="AI8" s="411"/>
      <c r="AJ8" s="411"/>
      <c r="AL8" s="105"/>
    </row>
    <row r="9" spans="1:38" outlineLevel="1">
      <c r="A9" s="105" t="s">
        <v>829</v>
      </c>
      <c r="B9" s="422">
        <v>2676</v>
      </c>
      <c r="D9" s="412">
        <f>'P&amp;L'!AF240</f>
        <v>2669</v>
      </c>
      <c r="E9" s="412">
        <f>'P&amp;L'!AG240</f>
        <v>2676</v>
      </c>
      <c r="F9" s="412">
        <f>'P&amp;L'!AH240</f>
        <v>2407</v>
      </c>
      <c r="G9" s="412">
        <f>'P&amp;L'!AI240</f>
        <v>2355.0000000000027</v>
      </c>
      <c r="H9" s="412">
        <f>'P&amp;L'!AJ240</f>
        <v>2495.9999999999991</v>
      </c>
      <c r="I9" s="412">
        <f>'P&amp;L'!AK240</f>
        <v>2578.0502326646747</v>
      </c>
      <c r="J9" s="412">
        <f>'P&amp;L'!AL240</f>
        <v>2589.9497673353235</v>
      </c>
      <c r="K9" s="412">
        <f>'P&amp;L'!AM240</f>
        <v>2631</v>
      </c>
      <c r="M9" s="105" t="s">
        <v>829</v>
      </c>
      <c r="N9" s="105">
        <v>10365</v>
      </c>
      <c r="O9" s="105">
        <v>10139</v>
      </c>
      <c r="P9" s="105">
        <v>11377</v>
      </c>
      <c r="Q9" s="105">
        <v>11631</v>
      </c>
      <c r="R9" s="105">
        <v>12178</v>
      </c>
      <c r="S9" s="105">
        <v>13082</v>
      </c>
      <c r="T9" s="105">
        <v>14142</v>
      </c>
      <c r="V9" s="412">
        <f>'P&amp;L'!G240</f>
        <v>10862</v>
      </c>
      <c r="W9" s="412">
        <f>'P&amp;L'!H240</f>
        <v>10354</v>
      </c>
      <c r="X9" s="412">
        <f>'P&amp;L'!I240</f>
        <v>10019</v>
      </c>
      <c r="Y9" s="412">
        <f>'P&amp;L'!J240</f>
        <v>11410.83078380935</v>
      </c>
      <c r="Z9" s="412">
        <f>'P&amp;L'!K240</f>
        <v>11650.114111605551</v>
      </c>
      <c r="AA9" s="412">
        <f>'P&amp;L'!L240</f>
        <v>12640.713598002492</v>
      </c>
      <c r="AB9" s="412">
        <f>'P&amp;L'!M240</f>
        <v>13463.050725015497</v>
      </c>
      <c r="AC9" s="412">
        <f>'P&amp;L'!N240</f>
        <v>14093.119012011148</v>
      </c>
      <c r="AE9" s="412">
        <f>(X9/O9-1)*100</f>
        <v>-1.1835486734391942</v>
      </c>
      <c r="AF9" s="412">
        <f t="shared" ref="AF9:AF18" si="1">(Y9/P9-1)*100</f>
        <v>0.29736120075019024</v>
      </c>
      <c r="AG9" s="412">
        <f t="shared" ref="AG9:AG18" si="2">(Z9/Q9-1)*100</f>
        <v>0.1643376459939061</v>
      </c>
      <c r="AH9" s="412">
        <f t="shared" ref="AH9:AJ13" si="3">(AA9/R9-1)*100</f>
        <v>3.7995861225364802</v>
      </c>
      <c r="AI9" s="412">
        <f t="shared" si="3"/>
        <v>2.9127864624330924</v>
      </c>
      <c r="AJ9" s="412">
        <f t="shared" si="3"/>
        <v>-0.34564409552292341</v>
      </c>
    </row>
    <row r="10" spans="1:38" outlineLevel="1">
      <c r="A10" s="105" t="s">
        <v>71</v>
      </c>
      <c r="B10" s="422">
        <v>477</v>
      </c>
      <c r="D10" s="412">
        <f>'P&amp;L'!AF368</f>
        <v>535</v>
      </c>
      <c r="E10" s="412">
        <f>'P&amp;L'!AG368</f>
        <v>530</v>
      </c>
      <c r="F10" s="412">
        <f>'P&amp;L'!AH368</f>
        <v>521</v>
      </c>
      <c r="G10" s="412">
        <f>'P&amp;L'!AI368</f>
        <v>460</v>
      </c>
      <c r="H10" s="412">
        <f>'P&amp;L'!AJ368</f>
        <v>497</v>
      </c>
      <c r="I10" s="412">
        <f>'P&amp;L'!AK368</f>
        <v>580</v>
      </c>
      <c r="J10" s="412">
        <f>'P&amp;L'!AL368</f>
        <v>543</v>
      </c>
      <c r="K10" s="412">
        <f>'P&amp;L'!AM368</f>
        <v>499</v>
      </c>
      <c r="M10" s="105" t="s">
        <v>71</v>
      </c>
      <c r="N10" s="105">
        <v>2073</v>
      </c>
      <c r="O10" s="105">
        <v>2045</v>
      </c>
      <c r="P10" s="105">
        <v>2132</v>
      </c>
      <c r="Q10" s="105">
        <v>2288</v>
      </c>
      <c r="R10" s="105">
        <v>2446</v>
      </c>
      <c r="S10" s="105">
        <v>2653</v>
      </c>
      <c r="T10" s="105">
        <v>2832</v>
      </c>
      <c r="V10" s="412">
        <f>'P&amp;L'!G368</f>
        <v>2045</v>
      </c>
      <c r="W10" s="412">
        <f>'P&amp;L'!H368</f>
        <v>2071</v>
      </c>
      <c r="X10" s="412">
        <f>'P&amp;L'!I368</f>
        <v>2080</v>
      </c>
      <c r="Y10" s="412">
        <f>'P&amp;L'!J368</f>
        <v>2165.7999667809763</v>
      </c>
      <c r="Z10" s="412">
        <f>'P&amp;L'!K368</f>
        <v>2384.6616026284114</v>
      </c>
      <c r="AA10" s="412">
        <f>'P&amp;L'!L368</f>
        <v>2569.8362861936212</v>
      </c>
      <c r="AB10" s="412">
        <f>'P&amp;L'!M368</f>
        <v>2735.3894509991374</v>
      </c>
      <c r="AC10" s="412">
        <f>'P&amp;L'!N368</f>
        <v>2974.1373595029718</v>
      </c>
      <c r="AE10" s="412">
        <f>(X10/O10-1)*100</f>
        <v>1.7114914425427896</v>
      </c>
      <c r="AF10" s="412">
        <f t="shared" si="1"/>
        <v>1.5853642955429903</v>
      </c>
      <c r="AG10" s="412">
        <f t="shared" si="2"/>
        <v>4.2247203945984024</v>
      </c>
      <c r="AH10" s="412">
        <f t="shared" si="3"/>
        <v>5.0628081027645599</v>
      </c>
      <c r="AI10" s="412">
        <f t="shared" si="3"/>
        <v>3.1055202035106477</v>
      </c>
      <c r="AJ10" s="412">
        <f t="shared" si="3"/>
        <v>5.0189745587207568</v>
      </c>
    </row>
    <row r="11" spans="1:38" outlineLevel="1">
      <c r="A11" s="105" t="s">
        <v>59</v>
      </c>
      <c r="B11" s="422">
        <v>301</v>
      </c>
      <c r="D11" s="412">
        <f>'P&amp;L'!AF308</f>
        <v>238</v>
      </c>
      <c r="E11" s="412">
        <f>'P&amp;L'!AG308</f>
        <v>206</v>
      </c>
      <c r="F11" s="412">
        <f>'P&amp;L'!AH308</f>
        <v>163</v>
      </c>
      <c r="G11" s="412">
        <f>'P&amp;L'!AI308</f>
        <v>258</v>
      </c>
      <c r="H11" s="412">
        <f>'P&amp;L'!AJ308</f>
        <v>291</v>
      </c>
      <c r="I11" s="412">
        <f>'P&amp;L'!AK308</f>
        <v>317.00000000000006</v>
      </c>
      <c r="J11" s="412">
        <f>'P&amp;L'!AL308</f>
        <v>302.00000000000011</v>
      </c>
      <c r="K11" s="412">
        <f>'P&amp;L'!AM308</f>
        <v>360</v>
      </c>
      <c r="M11" s="105" t="s">
        <v>59</v>
      </c>
      <c r="N11" s="105">
        <v>876</v>
      </c>
      <c r="O11" s="105">
        <v>839</v>
      </c>
      <c r="P11" s="105">
        <v>1230</v>
      </c>
      <c r="Q11" s="105">
        <v>1345</v>
      </c>
      <c r="R11" s="105">
        <v>1461</v>
      </c>
      <c r="S11" s="105">
        <v>1583</v>
      </c>
      <c r="T11" s="105">
        <v>1713</v>
      </c>
      <c r="V11" s="412">
        <f>'P&amp;L'!G308</f>
        <v>1235</v>
      </c>
      <c r="W11" s="412">
        <f>'P&amp;L'!H308</f>
        <v>850</v>
      </c>
      <c r="X11" s="412">
        <f>'P&amp;L'!I308</f>
        <v>1168</v>
      </c>
      <c r="Y11" s="412">
        <f>'P&amp;L'!J308</f>
        <v>1108.6477082474089</v>
      </c>
      <c r="Z11" s="412">
        <f>'P&amp;L'!K308</f>
        <v>1234.7026903034243</v>
      </c>
      <c r="AA11" s="412">
        <f>'P&amp;L'!L308</f>
        <v>1335.8409737029942</v>
      </c>
      <c r="AB11" s="412">
        <f>'P&amp;L'!M308</f>
        <v>1460.0120046163288</v>
      </c>
      <c r="AC11" s="412">
        <f>'P&amp;L'!N308</f>
        <v>1693.6369125540946</v>
      </c>
      <c r="AE11" s="412">
        <f>(X11/O11-1)*100</f>
        <v>39.213349225268182</v>
      </c>
      <c r="AF11" s="412">
        <f t="shared" si="1"/>
        <v>-9.8660399798854552</v>
      </c>
      <c r="AG11" s="412">
        <f t="shared" si="2"/>
        <v>-8.2005434718643642</v>
      </c>
      <c r="AH11" s="412">
        <f t="shared" si="3"/>
        <v>-8.5666684665986139</v>
      </c>
      <c r="AI11" s="412">
        <f t="shared" si="3"/>
        <v>-7.7692985081283084</v>
      </c>
      <c r="AJ11" s="412">
        <f t="shared" si="3"/>
        <v>-1.1303612052484202</v>
      </c>
    </row>
    <row r="12" spans="1:38" outlineLevel="1">
      <c r="A12" s="105" t="s">
        <v>424</v>
      </c>
      <c r="B12" s="422">
        <v>-78</v>
      </c>
      <c r="D12" s="412">
        <f>'P&amp;L'!AF423</f>
        <v>-110</v>
      </c>
      <c r="E12" s="412">
        <f>'P&amp;L'!AG423</f>
        <v>-31</v>
      </c>
      <c r="F12" s="412">
        <f>'P&amp;L'!AH423</f>
        <v>-78</v>
      </c>
      <c r="G12" s="412">
        <f>'P&amp;L'!AI423</f>
        <v>-63</v>
      </c>
      <c r="H12" s="412">
        <f>'P&amp;L'!AJ423</f>
        <v>-49</v>
      </c>
      <c r="I12" s="412">
        <f>'P&amp;L'!AK423</f>
        <v>-93</v>
      </c>
      <c r="J12" s="412">
        <f>'P&amp;L'!AL423</f>
        <v>-212</v>
      </c>
      <c r="K12" s="412">
        <f>'P&amp;L'!AM423</f>
        <v>-150</v>
      </c>
      <c r="M12" s="105" t="s">
        <v>424</v>
      </c>
      <c r="N12" s="105">
        <v>-310</v>
      </c>
      <c r="O12" s="105">
        <v>-303</v>
      </c>
      <c r="P12" s="105">
        <v>-401</v>
      </c>
      <c r="Q12" s="105">
        <v>-400</v>
      </c>
      <c r="R12" s="105">
        <v>-395</v>
      </c>
      <c r="S12" s="105">
        <v>-387</v>
      </c>
      <c r="T12" s="105">
        <v>-380</v>
      </c>
      <c r="V12" s="412">
        <f>'P&amp;L'!G423</f>
        <v>-352</v>
      </c>
      <c r="W12" s="412">
        <f>'P&amp;L'!H423</f>
        <v>-288</v>
      </c>
      <c r="X12" s="412">
        <f>'P&amp;L'!I423</f>
        <v>-417</v>
      </c>
      <c r="Y12" s="412">
        <f>'P&amp;L'!J423</f>
        <v>-295.19790920716343</v>
      </c>
      <c r="Z12" s="412">
        <f>'P&amp;L'!K423</f>
        <v>-313.0146361853412</v>
      </c>
      <c r="AA12" s="412">
        <f>'P&amp;L'!L423</f>
        <v>-319.88098304518144</v>
      </c>
      <c r="AB12" s="412">
        <f>'P&amp;L'!M423</f>
        <v>-326.1443002734992</v>
      </c>
      <c r="AC12" s="412">
        <f>'P&amp;L'!N423</f>
        <v>-334.35125567901275</v>
      </c>
      <c r="AE12" s="412">
        <f>(X12/O12-1)*100</f>
        <v>37.623762376237615</v>
      </c>
      <c r="AF12" s="412">
        <f t="shared" si="1"/>
        <v>-26.384561294971711</v>
      </c>
      <c r="AG12" s="412">
        <f t="shared" si="2"/>
        <v>-21.746340953664699</v>
      </c>
      <c r="AH12" s="412">
        <f t="shared" si="3"/>
        <v>-19.017472646789514</v>
      </c>
      <c r="AI12" s="412">
        <f t="shared" si="3"/>
        <v>-15.724987009431734</v>
      </c>
      <c r="AJ12" s="412">
        <f t="shared" si="3"/>
        <v>-12.012827452891383</v>
      </c>
    </row>
    <row r="13" spans="1:38" s="404" customFormat="1">
      <c r="A13" s="404" t="s">
        <v>425</v>
      </c>
      <c r="B13" s="423">
        <v>3366</v>
      </c>
      <c r="D13" s="404">
        <f>'P&amp;L'!AF50</f>
        <v>3332</v>
      </c>
      <c r="E13" s="413">
        <f>'P&amp;L'!AG50</f>
        <v>3381</v>
      </c>
      <c r="F13" s="404">
        <f>'P&amp;L'!AH50</f>
        <v>3013</v>
      </c>
      <c r="G13" s="404">
        <f>'P&amp;L'!AI50</f>
        <v>3010.0000000000027</v>
      </c>
      <c r="H13" s="413">
        <f>'P&amp;L'!AJ50</f>
        <v>3234.9999999999991</v>
      </c>
      <c r="I13" s="404">
        <f>'P&amp;L'!AK50</f>
        <v>3382.0502326646747</v>
      </c>
      <c r="J13" s="413">
        <f>'P&amp;L'!AL50</f>
        <v>3222.9497673353235</v>
      </c>
      <c r="K13" s="413">
        <f>'P&amp;L'!AM50</f>
        <v>3340</v>
      </c>
      <c r="M13" s="404" t="s">
        <v>425</v>
      </c>
      <c r="N13" s="404">
        <v>12957</v>
      </c>
      <c r="O13" s="404">
        <v>12749</v>
      </c>
      <c r="P13" s="404">
        <v>14354</v>
      </c>
      <c r="Q13" s="404">
        <v>15011</v>
      </c>
      <c r="R13" s="404">
        <v>15651</v>
      </c>
      <c r="S13" s="404">
        <v>16871</v>
      </c>
      <c r="T13" s="404">
        <v>17872</v>
      </c>
      <c r="V13" s="404">
        <f>'P&amp;L'!G50</f>
        <v>13790</v>
      </c>
      <c r="W13" s="413">
        <f>'P&amp;L'!H50</f>
        <v>12987</v>
      </c>
      <c r="X13" s="413">
        <f>'P&amp;L'!I50</f>
        <v>12850</v>
      </c>
      <c r="Y13" s="413">
        <f>'P&amp;L'!J50</f>
        <v>14390.080549630573</v>
      </c>
      <c r="Z13" s="413">
        <f>'P&amp;L'!K50</f>
        <v>14956.463768352045</v>
      </c>
      <c r="AA13" s="413">
        <f>'P&amp;L'!L50</f>
        <v>16226.509874853924</v>
      </c>
      <c r="AB13" s="413">
        <f>'P&amp;L'!M50</f>
        <v>17332.307880357461</v>
      </c>
      <c r="AC13" s="413">
        <f>'P&amp;L'!N50</f>
        <v>18426.542028389209</v>
      </c>
      <c r="AE13" s="413">
        <f>(X13/O13-1)*100</f>
        <v>0.79221899756842795</v>
      </c>
      <c r="AF13" s="413">
        <f t="shared" si="1"/>
        <v>0.25136233545055564</v>
      </c>
      <c r="AG13" s="413">
        <f t="shared" si="2"/>
        <v>-0.363308451455302</v>
      </c>
      <c r="AH13" s="413">
        <f t="shared" si="3"/>
        <v>3.6771444307323709</v>
      </c>
      <c r="AI13" s="413">
        <f t="shared" si="3"/>
        <v>2.7343244642135112</v>
      </c>
      <c r="AJ13" s="413">
        <f t="shared" si="3"/>
        <v>3.1028537846307547</v>
      </c>
      <c r="AL13" s="105"/>
    </row>
    <row r="14" spans="1:38" s="404" customFormat="1">
      <c r="A14" s="404" t="s">
        <v>828</v>
      </c>
      <c r="B14" s="425">
        <f t="shared" ref="B14" si="4">B13/B7</f>
        <v>0.2687210601947948</v>
      </c>
      <c r="D14" s="415">
        <f t="shared" ref="D14:J14" si="5">D13/D7</f>
        <v>0.26720128307939056</v>
      </c>
      <c r="E14" s="415">
        <f t="shared" si="5"/>
        <v>0.27882236516575953</v>
      </c>
      <c r="F14" s="415">
        <f t="shared" si="5"/>
        <v>0.24452199318292486</v>
      </c>
      <c r="G14" s="415">
        <f t="shared" si="5"/>
        <v>0.26085449345697226</v>
      </c>
      <c r="H14" s="415">
        <f t="shared" si="5"/>
        <v>0.26425420682894946</v>
      </c>
      <c r="I14" s="415">
        <f t="shared" si="5"/>
        <v>0.27245924001538979</v>
      </c>
      <c r="J14" s="415">
        <f t="shared" si="5"/>
        <v>0.2495518624073052</v>
      </c>
      <c r="K14" s="415">
        <f t="shared" ref="K14" si="6">K13/K7</f>
        <v>0.26311643296045378</v>
      </c>
      <c r="M14" s="404" t="s">
        <v>828</v>
      </c>
      <c r="N14" s="415">
        <f t="shared" ref="N14:S14" si="7">N13/N7</f>
        <v>0.26709956709956711</v>
      </c>
      <c r="O14" s="415">
        <f t="shared" si="7"/>
        <v>0.2609932852931543</v>
      </c>
      <c r="P14" s="415">
        <f t="shared" si="7"/>
        <v>0.27449180578662535</v>
      </c>
      <c r="Q14" s="415">
        <f t="shared" si="7"/>
        <v>0.28084716271585997</v>
      </c>
      <c r="R14" s="415">
        <f t="shared" si="7"/>
        <v>0.2847241172297113</v>
      </c>
      <c r="S14" s="415">
        <f t="shared" si="7"/>
        <v>0.29388402111240791</v>
      </c>
      <c r="T14" s="415">
        <f>T13/T7</f>
        <v>0.30077415011780545</v>
      </c>
      <c r="V14" s="415">
        <f t="shared" ref="V14:AB14" si="8">V13/V7</f>
        <v>0.27907070870603473</v>
      </c>
      <c r="W14" s="415">
        <f t="shared" si="8"/>
        <v>0.26767385300300917</v>
      </c>
      <c r="X14" s="415">
        <f t="shared" si="8"/>
        <v>0.2616628316601845</v>
      </c>
      <c r="Y14" s="415">
        <f t="shared" si="8"/>
        <v>0.27536681503248084</v>
      </c>
      <c r="Z14" s="415">
        <f t="shared" si="8"/>
        <v>0.28054923183218922</v>
      </c>
      <c r="AA14" s="415">
        <f t="shared" si="8"/>
        <v>0.29511464032882062</v>
      </c>
      <c r="AB14" s="415">
        <f t="shared" si="8"/>
        <v>0.30404870207941725</v>
      </c>
      <c r="AC14" s="415">
        <f>AC13/AC7</f>
        <v>0.31657145680384513</v>
      </c>
      <c r="AE14" s="413"/>
      <c r="AF14" s="413"/>
      <c r="AG14" s="413"/>
      <c r="AH14" s="413"/>
      <c r="AI14" s="413"/>
      <c r="AJ14" s="413"/>
    </row>
    <row r="15" spans="1:38" s="404" customFormat="1">
      <c r="A15" s="105" t="s">
        <v>825</v>
      </c>
      <c r="B15" s="424">
        <f t="shared" ref="B15" si="9">B9/B4</f>
        <v>0.32440295793429508</v>
      </c>
      <c r="D15" s="414">
        <f t="shared" ref="D15:F17" si="10">D9/D4</f>
        <v>0.3182305949684035</v>
      </c>
      <c r="E15" s="414">
        <f t="shared" si="10"/>
        <v>0.32741955218402058</v>
      </c>
      <c r="F15" s="435">
        <f t="shared" si="10"/>
        <v>0.29094645231475885</v>
      </c>
      <c r="G15" s="435">
        <f t="shared" ref="G15:H17" si="11">G9/G4</f>
        <v>0.31324820430965716</v>
      </c>
      <c r="H15" s="435">
        <f t="shared" si="11"/>
        <v>0.30875804057397316</v>
      </c>
      <c r="I15" s="435">
        <f t="shared" ref="I15:J17" si="12">I9/I4</f>
        <v>0.31760924951407488</v>
      </c>
      <c r="J15" s="435">
        <f t="shared" si="12"/>
        <v>0.30260135153727602</v>
      </c>
      <c r="K15" s="516">
        <f t="shared" ref="K15" si="13">K9/K4</f>
        <v>0.3132888783043582</v>
      </c>
      <c r="M15" s="105" t="s">
        <v>825</v>
      </c>
      <c r="N15" s="414">
        <f t="shared" ref="N15:S17" si="14">N9/N4</f>
        <v>0.31835493580686774</v>
      </c>
      <c r="O15" s="414">
        <f t="shared" si="14"/>
        <v>0.30911585365853661</v>
      </c>
      <c r="P15" s="414">
        <f t="shared" si="14"/>
        <v>0.32767857142857143</v>
      </c>
      <c r="Q15" s="414">
        <f t="shared" si="14"/>
        <v>0.32747698285328153</v>
      </c>
      <c r="R15" s="414">
        <f t="shared" si="14"/>
        <v>0.33754642718554245</v>
      </c>
      <c r="S15" s="414">
        <f t="shared" si="14"/>
        <v>0.3496271748135874</v>
      </c>
      <c r="T15" s="435">
        <f>T9/T4</f>
        <v>0.36096789014242686</v>
      </c>
      <c r="V15" s="414">
        <f t="shared" ref="V15:AB17" si="15">V9/V4</f>
        <v>0.32574598890388362</v>
      </c>
      <c r="W15" s="414">
        <f t="shared" si="15"/>
        <v>0.31797801117867452</v>
      </c>
      <c r="X15" s="414">
        <f t="shared" si="15"/>
        <v>0.31039717454613047</v>
      </c>
      <c r="Y15" s="414">
        <f t="shared" si="15"/>
        <v>0.3297144038168951</v>
      </c>
      <c r="Z15" s="414">
        <f t="shared" si="15"/>
        <v>0.33378040955992205</v>
      </c>
      <c r="AA15" s="414">
        <f t="shared" si="15"/>
        <v>0.35395568173526792</v>
      </c>
      <c r="AB15" s="414">
        <f t="shared" si="15"/>
        <v>0.36421178975778168</v>
      </c>
      <c r="AC15" s="435">
        <f>AC9/AC4</f>
        <v>0.37728782909222747</v>
      </c>
      <c r="AE15" s="413"/>
      <c r="AF15" s="413"/>
      <c r="AG15" s="413"/>
      <c r="AH15" s="413"/>
      <c r="AI15" s="413"/>
      <c r="AJ15" s="413"/>
      <c r="AL15" s="105"/>
    </row>
    <row r="16" spans="1:38" s="404" customFormat="1">
      <c r="A16" s="105" t="s">
        <v>826</v>
      </c>
      <c r="B16" s="424">
        <f t="shared" ref="B16" si="16">B10/B5</f>
        <v>0.19049520766773162</v>
      </c>
      <c r="D16" s="414">
        <f t="shared" si="10"/>
        <v>0.20760574311214591</v>
      </c>
      <c r="E16" s="414">
        <f t="shared" si="10"/>
        <v>0.21056813667063964</v>
      </c>
      <c r="F16" s="435">
        <f t="shared" si="10"/>
        <v>0.2</v>
      </c>
      <c r="G16" s="435">
        <f t="shared" si="11"/>
        <v>0.18930041152263374</v>
      </c>
      <c r="H16" s="435">
        <f t="shared" si="11"/>
        <v>0.20277437780497756</v>
      </c>
      <c r="I16" s="435">
        <f t="shared" si="12"/>
        <v>0.22445820433436534</v>
      </c>
      <c r="J16" s="435">
        <f t="shared" si="12"/>
        <v>0.2092485549132948</v>
      </c>
      <c r="K16" s="516">
        <f t="shared" ref="K16" si="17">K10/K5</f>
        <v>0.19825188716726261</v>
      </c>
      <c r="M16" s="105" t="s">
        <v>826</v>
      </c>
      <c r="N16" s="414">
        <f t="shared" si="14"/>
        <v>0.20431697220579539</v>
      </c>
      <c r="O16" s="414">
        <f t="shared" si="14"/>
        <v>0.2029373821573881</v>
      </c>
      <c r="P16" s="414">
        <f t="shared" si="14"/>
        <v>0.20678952473326867</v>
      </c>
      <c r="Q16" s="414">
        <f t="shared" si="14"/>
        <v>0.21171462940686592</v>
      </c>
      <c r="R16" s="414">
        <f t="shared" si="14"/>
        <v>0.21482522395924819</v>
      </c>
      <c r="S16" s="414">
        <f t="shared" si="14"/>
        <v>0.22191551652028441</v>
      </c>
      <c r="T16" s="435">
        <f>T10/T5</f>
        <v>0.22594542843465773</v>
      </c>
      <c r="V16" s="414">
        <f t="shared" si="15"/>
        <v>0.20307845084409137</v>
      </c>
      <c r="W16" s="414">
        <f t="shared" si="15"/>
        <v>0.20416009463722398</v>
      </c>
      <c r="X16" s="414">
        <f t="shared" si="15"/>
        <v>0.20675944333996024</v>
      </c>
      <c r="Y16" s="414">
        <f t="shared" si="15"/>
        <v>0.20857775624668826</v>
      </c>
      <c r="Z16" s="414">
        <f t="shared" si="15"/>
        <v>0.21866531960269381</v>
      </c>
      <c r="AA16" s="414">
        <f t="shared" si="15"/>
        <v>0.2237532424384725</v>
      </c>
      <c r="AB16" s="414">
        <f t="shared" si="15"/>
        <v>0.22881818482552915</v>
      </c>
      <c r="AC16" s="435">
        <f>AC10/AC5</f>
        <v>0.23888148253088676</v>
      </c>
      <c r="AE16" s="413"/>
      <c r="AF16" s="413"/>
      <c r="AG16" s="413"/>
      <c r="AH16" s="413"/>
      <c r="AI16" s="413"/>
      <c r="AJ16" s="413"/>
      <c r="AL16" s="105"/>
    </row>
    <row r="17" spans="1:38" s="404" customFormat="1">
      <c r="A17" s="105" t="s">
        <v>827</v>
      </c>
      <c r="B17" s="424">
        <f t="shared" ref="B17" si="18">B11/B6</f>
        <v>0.17308798159861991</v>
      </c>
      <c r="D17" s="414">
        <f t="shared" si="10"/>
        <v>0.15803452855245684</v>
      </c>
      <c r="E17" s="414">
        <f t="shared" si="10"/>
        <v>0.14345403899721448</v>
      </c>
      <c r="F17" s="435">
        <f t="shared" si="10"/>
        <v>0.1128808864265928</v>
      </c>
      <c r="G17" s="435">
        <f t="shared" si="11"/>
        <v>0.16216216216216217</v>
      </c>
      <c r="H17" s="435">
        <f t="shared" si="11"/>
        <v>0.17047451669595781</v>
      </c>
      <c r="I17" s="435">
        <f t="shared" si="12"/>
        <v>0.18516355140186919</v>
      </c>
      <c r="J17" s="435">
        <f t="shared" si="12"/>
        <v>0.17149346961953443</v>
      </c>
      <c r="K17" s="516">
        <f t="shared" ref="K17" si="19">K11/K6</f>
        <v>0.20236087689713322</v>
      </c>
      <c r="M17" s="105" t="s">
        <v>827</v>
      </c>
      <c r="N17" s="414">
        <f t="shared" si="14"/>
        <v>0.15064488392089423</v>
      </c>
      <c r="O17" s="414">
        <f>O11/O6</f>
        <v>0.14006677796327213</v>
      </c>
      <c r="P17" s="414">
        <f t="shared" si="14"/>
        <v>0.17118997912317327</v>
      </c>
      <c r="Q17" s="414">
        <f t="shared" si="14"/>
        <v>0.18175675675675676</v>
      </c>
      <c r="R17" s="414">
        <f t="shared" si="14"/>
        <v>0.19050723692789151</v>
      </c>
      <c r="S17" s="414">
        <f t="shared" si="14"/>
        <v>0.19807307307307306</v>
      </c>
      <c r="T17" s="435">
        <f>T11/T6</f>
        <v>0.20763636363636365</v>
      </c>
      <c r="V17" s="414">
        <f t="shared" si="15"/>
        <v>0.20586764460743456</v>
      </c>
      <c r="W17" s="414">
        <f t="shared" si="15"/>
        <v>0.14624913971094289</v>
      </c>
      <c r="X17" s="414">
        <f>X11/X6</f>
        <v>0.17250036922168069</v>
      </c>
      <c r="Y17" s="414">
        <f t="shared" si="15"/>
        <v>0.15258069377057229</v>
      </c>
      <c r="Z17" s="414">
        <f t="shared" si="15"/>
        <v>0.16457635831433201</v>
      </c>
      <c r="AA17" s="414">
        <f t="shared" si="15"/>
        <v>0.17157150308866323</v>
      </c>
      <c r="AB17" s="414">
        <f t="shared" si="15"/>
        <v>0.1805667408498372</v>
      </c>
      <c r="AC17" s="435">
        <f>AC11/AC6</f>
        <v>0.20156207740346208</v>
      </c>
      <c r="AE17" s="413"/>
      <c r="AF17" s="413"/>
      <c r="AG17" s="413"/>
      <c r="AH17" s="413"/>
      <c r="AI17" s="413"/>
      <c r="AJ17" s="413"/>
      <c r="AL17" s="105"/>
    </row>
    <row r="18" spans="1:38" s="404" customFormat="1">
      <c r="A18" s="410" t="s">
        <v>505</v>
      </c>
      <c r="B18" s="426">
        <v>1.27</v>
      </c>
      <c r="C18" s="410"/>
      <c r="D18" s="416">
        <f>'P&amp;L'!AF133</f>
        <v>1.2305753884922301</v>
      </c>
      <c r="E18" s="416">
        <f>'P&amp;L'!AG133</f>
        <v>1.2349726775956285</v>
      </c>
      <c r="F18" s="416">
        <f>'P&amp;L'!AH133</f>
        <v>1.1191578947368421</v>
      </c>
      <c r="G18" s="416">
        <f>'P&amp;L'!AI133</f>
        <v>1.1344856661045544</v>
      </c>
      <c r="H18" s="416">
        <f>'P&amp;L'!AJ133</f>
        <v>1.2175021240441797</v>
      </c>
      <c r="I18" s="416">
        <f>'P&amp;L'!AK133</f>
        <v>1.2920986007129227</v>
      </c>
      <c r="J18" s="416">
        <f>'P&amp;L'!AL133</f>
        <v>1.2127259979910954</v>
      </c>
      <c r="K18" s="416">
        <f>'P&amp;L'!AM133</f>
        <v>1.2807394668959586</v>
      </c>
      <c r="M18" s="410" t="s">
        <v>505</v>
      </c>
      <c r="N18" s="410">
        <v>4.75</v>
      </c>
      <c r="O18" s="410">
        <v>4.83</v>
      </c>
      <c r="P18" s="416">
        <v>5.33</v>
      </c>
      <c r="Q18" s="410">
        <v>5.64</v>
      </c>
      <c r="R18" s="416">
        <v>5.97</v>
      </c>
      <c r="S18" s="410">
        <v>6.51</v>
      </c>
      <c r="T18" s="416">
        <v>7</v>
      </c>
      <c r="V18" s="416">
        <f>'P&amp;L'!G133</f>
        <v>5.0062421972534334</v>
      </c>
      <c r="W18" s="416">
        <f>'P&amp;L'!H133</f>
        <v>4.7577796467619846</v>
      </c>
      <c r="X18" s="416">
        <f>'P&amp;L'!I133</f>
        <v>4.8550724637681162</v>
      </c>
      <c r="Y18" s="416">
        <f>'P&amp;L'!J133</f>
        <v>5.2743484821722744</v>
      </c>
      <c r="Z18" s="416">
        <f>'P&amp;L'!K133</f>
        <v>5.5130727170636566</v>
      </c>
      <c r="AA18" s="416">
        <f>'P&amp;L'!L133</f>
        <v>6.0465151147020091</v>
      </c>
      <c r="AB18" s="416">
        <f>'P&amp;L'!M133</f>
        <v>6.5371941685457085</v>
      </c>
      <c r="AC18" s="416">
        <f>'P&amp;L'!N133</f>
        <v>7.0329210945349114</v>
      </c>
      <c r="AE18" s="411">
        <f>(X18/O18-1)*100</f>
        <v>0.51909862873946722</v>
      </c>
      <c r="AF18" s="411">
        <f t="shared" si="1"/>
        <v>-1.0441185333531999</v>
      </c>
      <c r="AG18" s="411">
        <f t="shared" si="2"/>
        <v>-2.2504837400060818</v>
      </c>
      <c r="AH18" s="411">
        <f>(AA18/R18-1)*100</f>
        <v>1.2816602127639687</v>
      </c>
      <c r="AI18" s="411">
        <f>(AB18/S18-1)*100</f>
        <v>0.41772916352855738</v>
      </c>
      <c r="AJ18" s="411">
        <f>(AC18/T18-1)*100</f>
        <v>0.47030135049872523</v>
      </c>
      <c r="AL18" s="105"/>
    </row>
    <row r="19" spans="1:38">
      <c r="AE19" s="412"/>
      <c r="AF19" s="412"/>
      <c r="AG19" s="412"/>
      <c r="AH19" s="412"/>
      <c r="AI19" s="412"/>
      <c r="AJ19" s="412"/>
    </row>
    <row r="20" spans="1:38">
      <c r="A20" s="105" t="s">
        <v>32</v>
      </c>
      <c r="B20" s="422">
        <v>755</v>
      </c>
      <c r="D20" s="412">
        <f>Sales!AF154</f>
        <v>811</v>
      </c>
      <c r="E20" s="412">
        <f>Sales!AG154</f>
        <v>790</v>
      </c>
      <c r="F20" s="412">
        <f>Sales!AH154</f>
        <v>810</v>
      </c>
      <c r="G20" s="412">
        <f>Sales!AI154</f>
        <v>722</v>
      </c>
      <c r="H20" s="412">
        <f>Sales!AJ154</f>
        <v>837</v>
      </c>
      <c r="I20" s="412">
        <f>Sales!AK154</f>
        <v>801</v>
      </c>
      <c r="J20" s="412">
        <f>Sales!AL154</f>
        <v>825</v>
      </c>
      <c r="K20" s="412">
        <f>Sales!AM154</f>
        <v>821</v>
      </c>
      <c r="M20" s="138" t="s">
        <v>32</v>
      </c>
      <c r="N20" s="105">
        <v>3126</v>
      </c>
      <c r="O20" s="138">
        <v>3195</v>
      </c>
      <c r="P20" s="138">
        <v>3305</v>
      </c>
      <c r="Q20" s="138">
        <v>2804</v>
      </c>
      <c r="R20" s="138">
        <v>1892</v>
      </c>
      <c r="S20" s="138">
        <v>1441</v>
      </c>
      <c r="T20" s="138">
        <v>927</v>
      </c>
      <c r="V20" s="412">
        <f>Sales!G154</f>
        <v>2776</v>
      </c>
      <c r="W20" s="412">
        <f>Sales!H154</f>
        <v>3109</v>
      </c>
      <c r="X20" s="412">
        <f>Sales!I154</f>
        <v>3185</v>
      </c>
      <c r="Y20" s="412">
        <f>Sales!J154</f>
        <v>3343.8173382953637</v>
      </c>
      <c r="Z20" s="412">
        <f>Sales!K154</f>
        <v>2542.8597052101318</v>
      </c>
      <c r="AA20" s="412">
        <f>Sales!L154</f>
        <v>1858.2607641681054</v>
      </c>
      <c r="AB20" s="412">
        <f>Sales!M154</f>
        <v>1247.9744349176738</v>
      </c>
      <c r="AC20" s="412">
        <f>Sales!N154</f>
        <v>998.37954793413905</v>
      </c>
      <c r="AE20" s="412">
        <f t="shared" ref="AE20:AJ22" si="20">(X20/O20-1)*100</f>
        <v>-0.3129890453834161</v>
      </c>
      <c r="AF20" s="412">
        <f t="shared" si="20"/>
        <v>1.1745034279988964</v>
      </c>
      <c r="AG20" s="412">
        <f t="shared" si="20"/>
        <v>-9.3131346216072881</v>
      </c>
      <c r="AH20" s="412">
        <f t="shared" si="20"/>
        <v>-1.7832577078168432</v>
      </c>
      <c r="AI20" s="412">
        <f t="shared" si="20"/>
        <v>-13.395250873166287</v>
      </c>
      <c r="AJ20" s="412">
        <f t="shared" si="20"/>
        <v>7.7000591083213665</v>
      </c>
    </row>
    <row r="21" spans="1:38">
      <c r="A21" s="105" t="s">
        <v>506</v>
      </c>
      <c r="B21" s="422">
        <v>376</v>
      </c>
      <c r="D21" s="412">
        <f>Sales!AF54</f>
        <v>891</v>
      </c>
      <c r="E21" s="412">
        <f>Sales!AG54</f>
        <v>834</v>
      </c>
      <c r="F21" s="412">
        <f>Sales!AH54</f>
        <v>764</v>
      </c>
      <c r="G21" s="412">
        <f>Sales!AI54</f>
        <v>544</v>
      </c>
      <c r="H21" s="412">
        <f>Sales!AJ54</f>
        <v>506</v>
      </c>
      <c r="I21" s="412">
        <f>Sales!AK54</f>
        <v>445</v>
      </c>
      <c r="J21" s="412">
        <f>Sales!AL54</f>
        <v>448</v>
      </c>
      <c r="K21" s="412">
        <f>Sales!AM54</f>
        <v>392</v>
      </c>
      <c r="M21" s="138" t="s">
        <v>506</v>
      </c>
      <c r="N21" s="105">
        <v>3287</v>
      </c>
      <c r="O21" s="138">
        <v>1900</v>
      </c>
      <c r="P21" s="138">
        <v>1203</v>
      </c>
      <c r="Q21" s="138">
        <v>902</v>
      </c>
      <c r="R21" s="138">
        <v>644</v>
      </c>
      <c r="S21" s="138">
        <v>486</v>
      </c>
      <c r="T21" s="138">
        <v>456</v>
      </c>
      <c r="V21" s="412">
        <f>Sales!G54</f>
        <v>4658</v>
      </c>
      <c r="W21" s="412">
        <f>Sales!H54</f>
        <v>3323</v>
      </c>
      <c r="X21" s="412">
        <f>Sales!I54</f>
        <v>1943</v>
      </c>
      <c r="Y21" s="412">
        <f>Sales!J54</f>
        <v>1398.4362749215202</v>
      </c>
      <c r="Z21" s="412">
        <f>Sales!K54</f>
        <v>1118.7490199372162</v>
      </c>
      <c r="AA21" s="412">
        <f>Sales!L54</f>
        <v>933.38066694663371</v>
      </c>
      <c r="AB21" s="412">
        <f>Sales!M54</f>
        <v>779.32876690463866</v>
      </c>
      <c r="AC21" s="412">
        <f>Sales!N54</f>
        <v>701.39589021417487</v>
      </c>
      <c r="AE21" s="412">
        <f t="shared" si="20"/>
        <v>2.2631578947368336</v>
      </c>
      <c r="AF21" s="412">
        <f t="shared" si="20"/>
        <v>16.245741888738173</v>
      </c>
      <c r="AG21" s="412">
        <f t="shared" si="20"/>
        <v>24.029824826742363</v>
      </c>
      <c r="AH21" s="412">
        <f t="shared" si="20"/>
        <v>44.93488617183754</v>
      </c>
      <c r="AI21" s="412">
        <f t="shared" si="20"/>
        <v>60.355713354863916</v>
      </c>
      <c r="AJ21" s="412">
        <f t="shared" si="20"/>
        <v>53.81488820486291</v>
      </c>
    </row>
    <row r="22" spans="1:38">
      <c r="A22" s="105" t="s">
        <v>35</v>
      </c>
      <c r="B22" s="422">
        <v>483</v>
      </c>
      <c r="D22" s="412">
        <f>Sales!AF197</f>
        <v>475</v>
      </c>
      <c r="E22" s="412">
        <f>Sales!AG197</f>
        <v>456</v>
      </c>
      <c r="F22" s="412">
        <f>Sales!AH197</f>
        <v>452</v>
      </c>
      <c r="G22" s="412">
        <f>Sales!AI197</f>
        <v>445</v>
      </c>
      <c r="H22" s="412">
        <f>Sales!AJ197</f>
        <v>477</v>
      </c>
      <c r="I22" s="412">
        <f>Sales!AK197</f>
        <v>481</v>
      </c>
      <c r="J22" s="412">
        <f>Sales!AL197</f>
        <v>485</v>
      </c>
      <c r="K22" s="412">
        <f>Sales!AM197</f>
        <v>520</v>
      </c>
      <c r="M22" s="138" t="s">
        <v>35</v>
      </c>
      <c r="N22" s="105">
        <v>1839</v>
      </c>
      <c r="O22" s="138">
        <v>1884</v>
      </c>
      <c r="P22" s="138">
        <v>1975</v>
      </c>
      <c r="Q22" s="138">
        <v>1876</v>
      </c>
      <c r="R22" s="138">
        <v>1750</v>
      </c>
      <c r="S22" s="138">
        <v>1500</v>
      </c>
      <c r="T22" s="138">
        <v>1320</v>
      </c>
      <c r="V22" s="412">
        <f>Sales!G197</f>
        <v>2060</v>
      </c>
      <c r="W22" s="412">
        <f>Sales!H197</f>
        <v>1835</v>
      </c>
      <c r="X22" s="412">
        <f>Sales!I197</f>
        <v>1888</v>
      </c>
      <c r="Y22" s="412">
        <f>Sales!J197</f>
        <v>1966.5702204210054</v>
      </c>
      <c r="Z22" s="412">
        <f>Sales!K197</f>
        <v>1868.241709399955</v>
      </c>
      <c r="AA22" s="412">
        <f>Sales!L197</f>
        <v>1774.8296239299571</v>
      </c>
      <c r="AB22" s="412">
        <f>Sales!M197</f>
        <v>1686.0881427334591</v>
      </c>
      <c r="AC22" s="412">
        <f>Sales!N197</f>
        <v>1348.8705141867674</v>
      </c>
      <c r="AE22" s="412">
        <f t="shared" si="20"/>
        <v>0.21231422505307851</v>
      </c>
      <c r="AF22" s="412">
        <f t="shared" si="20"/>
        <v>-0.42682428248074222</v>
      </c>
      <c r="AG22" s="412">
        <f t="shared" si="20"/>
        <v>-0.41355493603651983</v>
      </c>
      <c r="AH22" s="412">
        <f t="shared" si="20"/>
        <v>1.4188356531404045</v>
      </c>
      <c r="AI22" s="412">
        <f t="shared" si="20"/>
        <v>12.405876182230614</v>
      </c>
      <c r="AJ22" s="412">
        <f t="shared" si="20"/>
        <v>2.1871601656642037</v>
      </c>
    </row>
    <row r="23" spans="1:38">
      <c r="A23" s="105" t="s">
        <v>19</v>
      </c>
      <c r="B23" s="422">
        <v>454</v>
      </c>
      <c r="D23" s="412">
        <f>Sales!AF62</f>
        <v>458</v>
      </c>
      <c r="E23" s="412">
        <f>Sales!AG62</f>
        <v>441</v>
      </c>
      <c r="F23" s="412">
        <f>Sales!AH62</f>
        <v>458</v>
      </c>
      <c r="G23" s="412">
        <f>Sales!AI62</f>
        <v>411</v>
      </c>
      <c r="H23" s="412">
        <f>Sales!AJ62</f>
        <v>463</v>
      </c>
      <c r="I23" s="412">
        <f>Sales!AK62</f>
        <v>482</v>
      </c>
      <c r="J23" s="412">
        <f>Sales!AL62</f>
        <v>485</v>
      </c>
      <c r="K23" s="412">
        <f>Sales!AM62</f>
        <v>466</v>
      </c>
      <c r="M23" s="138" t="s">
        <v>19</v>
      </c>
      <c r="N23" s="105">
        <v>1739</v>
      </c>
      <c r="O23" s="138">
        <v>1857</v>
      </c>
      <c r="P23" s="138">
        <v>1986</v>
      </c>
      <c r="Q23" s="138">
        <v>2069</v>
      </c>
      <c r="R23" s="138">
        <v>2127</v>
      </c>
      <c r="S23" s="138">
        <v>2181</v>
      </c>
      <c r="T23" s="138">
        <v>2255</v>
      </c>
      <c r="V23" s="412">
        <f>Sales!G62</f>
        <v>1632</v>
      </c>
      <c r="W23" s="412">
        <f>Sales!H62</f>
        <v>1739</v>
      </c>
      <c r="X23" s="412">
        <f>Sales!I62</f>
        <v>1841</v>
      </c>
      <c r="Y23" s="412">
        <f>Sales!J62</f>
        <v>1996.94000587357</v>
      </c>
      <c r="Z23" s="412">
        <f>Sales!K62</f>
        <v>2056.8482060497772</v>
      </c>
      <c r="AA23" s="412">
        <f>Sales!L62</f>
        <v>2118.5536522312705</v>
      </c>
      <c r="AB23" s="412">
        <f>Sales!M62</f>
        <v>2182.1102617982087</v>
      </c>
      <c r="AC23" s="412">
        <f>Sales!N62</f>
        <v>2247.5735696521551</v>
      </c>
      <c r="AE23" s="412">
        <f t="shared" ref="AE23:AE33" si="21">(X23/O23-1)*100</f>
        <v>-0.86160473882606059</v>
      </c>
      <c r="AF23" s="412">
        <f t="shared" ref="AF23:AF33" si="22">(Y23/P23-1)*100</f>
        <v>0.55085628769235839</v>
      </c>
      <c r="AG23" s="412">
        <f t="shared" ref="AG23:AG33" si="23">(Z23/Q23-1)*100</f>
        <v>-0.58732691881212551</v>
      </c>
      <c r="AH23" s="412">
        <f t="shared" ref="AH23:AH39" si="24">(AA23/R23-1)*100</f>
        <v>-0.39710144657872926</v>
      </c>
      <c r="AI23" s="412">
        <f t="shared" ref="AI23:AI39" si="25">(AB23/S23-1)*100</f>
        <v>5.0906088867885835E-2</v>
      </c>
      <c r="AJ23" s="412">
        <f t="shared" ref="AJ23:AJ39" si="26">(AC23/T23-1)*100</f>
        <v>-0.32933172274256517</v>
      </c>
    </row>
    <row r="24" spans="1:38">
      <c r="A24" s="105" t="s">
        <v>416</v>
      </c>
      <c r="B24" s="422">
        <v>361</v>
      </c>
      <c r="D24" s="412">
        <f>Sales!AF74</f>
        <v>365</v>
      </c>
      <c r="E24" s="412">
        <f>Sales!AG74</f>
        <v>393</v>
      </c>
      <c r="F24" s="412">
        <f>Sales!AH74</f>
        <v>391</v>
      </c>
      <c r="G24" s="412">
        <f>Sales!AI74</f>
        <v>344</v>
      </c>
      <c r="H24" s="412">
        <f>Sales!AJ74</f>
        <v>385</v>
      </c>
      <c r="I24" s="412">
        <f>Sales!AK74</f>
        <v>389</v>
      </c>
      <c r="J24" s="412">
        <f>Sales!AL74</f>
        <v>407</v>
      </c>
      <c r="K24" s="412">
        <f>Sales!AM74</f>
        <v>375</v>
      </c>
      <c r="M24" s="138" t="s">
        <v>416</v>
      </c>
      <c r="N24" s="105">
        <v>1489</v>
      </c>
      <c r="O24" s="138">
        <v>1509</v>
      </c>
      <c r="P24" s="138">
        <v>1540</v>
      </c>
      <c r="Q24" s="138">
        <v>1294</v>
      </c>
      <c r="R24" s="138">
        <v>664</v>
      </c>
      <c r="S24" s="138">
        <v>426</v>
      </c>
      <c r="T24" s="138">
        <v>335</v>
      </c>
      <c r="V24" s="412">
        <f>Sales!G74</f>
        <v>1607</v>
      </c>
      <c r="W24" s="412">
        <f>Sales!H74</f>
        <v>1516</v>
      </c>
      <c r="X24" s="412">
        <f>Sales!I74</f>
        <v>1525</v>
      </c>
      <c r="Y24" s="412">
        <f>Sales!J74</f>
        <v>1476.6615714175678</v>
      </c>
      <c r="Z24" s="412">
        <f>Sales!K74</f>
        <v>1103.5242571340543</v>
      </c>
      <c r="AA24" s="412">
        <f>Sales!L74</f>
        <v>609.07647999383801</v>
      </c>
      <c r="AB24" s="412">
        <f>Sales!M74</f>
        <v>360.99733599568663</v>
      </c>
      <c r="AC24" s="412">
        <f>Sales!N74</f>
        <v>288.79786879654927</v>
      </c>
      <c r="AE24" s="412">
        <f t="shared" si="21"/>
        <v>1.0603048376408131</v>
      </c>
      <c r="AF24" s="412">
        <f t="shared" si="22"/>
        <v>-4.1128849728852117</v>
      </c>
      <c r="AG24" s="412">
        <f t="shared" si="23"/>
        <v>-14.719918304941704</v>
      </c>
      <c r="AH24" s="412">
        <f t="shared" si="24"/>
        <v>-8.2716144587593359</v>
      </c>
      <c r="AI24" s="412">
        <f t="shared" si="25"/>
        <v>-15.258841315566517</v>
      </c>
      <c r="AJ24" s="412">
        <f t="shared" si="26"/>
        <v>-13.791680956253948</v>
      </c>
    </row>
    <row r="25" spans="1:38">
      <c r="A25" s="105" t="s">
        <v>51</v>
      </c>
      <c r="B25" s="422">
        <v>197</v>
      </c>
      <c r="D25" s="412">
        <f>Sales!AF319</f>
        <v>32</v>
      </c>
      <c r="E25" s="412">
        <f>Sales!AG319</f>
        <v>53</v>
      </c>
      <c r="F25" s="412">
        <f>Sales!AH319</f>
        <v>68</v>
      </c>
      <c r="G25" s="412">
        <f>Sales!AI319</f>
        <v>84</v>
      </c>
      <c r="H25" s="412">
        <f>Sales!AJ319</f>
        <v>110</v>
      </c>
      <c r="I25" s="412">
        <f>Sales!AK319</f>
        <v>128</v>
      </c>
      <c r="J25" s="412">
        <f>Sales!AL319</f>
        <v>185</v>
      </c>
      <c r="K25" s="412">
        <f>Sales!AM319</f>
        <v>200</v>
      </c>
      <c r="M25" s="138" t="s">
        <v>51</v>
      </c>
      <c r="N25" s="105">
        <v>187</v>
      </c>
      <c r="O25" s="138">
        <v>481</v>
      </c>
      <c r="P25" s="138">
        <v>962</v>
      </c>
      <c r="Q25" s="138">
        <v>1460</v>
      </c>
      <c r="R25" s="138">
        <v>1976</v>
      </c>
      <c r="S25" s="138">
        <v>2554</v>
      </c>
      <c r="T25" s="138">
        <v>2897</v>
      </c>
      <c r="V25" s="412">
        <f>Sales!G319</f>
        <v>21</v>
      </c>
      <c r="W25" s="412">
        <f>Sales!H319</f>
        <v>170</v>
      </c>
      <c r="X25" s="412">
        <f>Sales!I319</f>
        <v>507</v>
      </c>
      <c r="Y25" s="412">
        <f>Sales!J319</f>
        <v>912.6</v>
      </c>
      <c r="Z25" s="412">
        <f>Sales!K319</f>
        <v>1323.27</v>
      </c>
      <c r="AA25" s="412">
        <f>Sales!L319</f>
        <v>1786.4144999999999</v>
      </c>
      <c r="AB25" s="412">
        <f>Sales!M319</f>
        <v>2233.0181249999996</v>
      </c>
      <c r="AC25" s="412">
        <f>Sales!N319</f>
        <v>2456.3199374999995</v>
      </c>
      <c r="AE25" s="412">
        <f t="shared" ref="AE25:AG28" si="27">(X25/O25-1)*100</f>
        <v>5.4054054054053946</v>
      </c>
      <c r="AF25" s="412">
        <f t="shared" si="27"/>
        <v>-5.1351351351351386</v>
      </c>
      <c r="AG25" s="412">
        <f t="shared" si="27"/>
        <v>-9.3650684931506856</v>
      </c>
      <c r="AH25" s="412">
        <f t="shared" si="24"/>
        <v>-9.594407894736845</v>
      </c>
      <c r="AI25" s="412">
        <f t="shared" si="25"/>
        <v>-12.567810297572446</v>
      </c>
      <c r="AJ25" s="412">
        <f t="shared" si="26"/>
        <v>-15.211600362443923</v>
      </c>
    </row>
    <row r="26" spans="1:38">
      <c r="A26" s="105" t="s">
        <v>50</v>
      </c>
      <c r="B26" s="422"/>
      <c r="D26" s="412">
        <f>Sales!AF372</f>
        <v>306</v>
      </c>
      <c r="E26" s="412">
        <f>Sales!AG372</f>
        <v>306</v>
      </c>
      <c r="F26" s="412">
        <f>Sales!AH372</f>
        <v>298</v>
      </c>
      <c r="G26" s="412">
        <f>Sales!AI372</f>
        <v>286</v>
      </c>
      <c r="H26" s="412">
        <f>Sales!AJ372</f>
        <v>310</v>
      </c>
      <c r="I26" s="412">
        <f>Sales!AK372</f>
        <v>310</v>
      </c>
      <c r="J26" s="412">
        <f>Sales!AL372</f>
        <v>327</v>
      </c>
      <c r="K26" s="412">
        <f>Sales!AM372</f>
        <v>318</v>
      </c>
      <c r="M26" s="138" t="s">
        <v>50</v>
      </c>
      <c r="N26" s="105">
        <v>1200</v>
      </c>
      <c r="O26" s="138">
        <v>1221</v>
      </c>
      <c r="P26" s="138">
        <v>1327</v>
      </c>
      <c r="Q26" s="138">
        <v>1354</v>
      </c>
      <c r="R26" s="138">
        <v>1374</v>
      </c>
      <c r="S26" s="138">
        <v>1381</v>
      </c>
      <c r="T26" s="138">
        <v>1209</v>
      </c>
      <c r="V26" s="412">
        <f>Sales!G372</f>
        <v>1140</v>
      </c>
      <c r="W26" s="412">
        <f>Sales!H372</f>
        <v>1193</v>
      </c>
      <c r="X26" s="412">
        <f>Sales!I372</f>
        <v>1233</v>
      </c>
      <c r="Y26" s="412">
        <f>Sales!J372</f>
        <v>1348.5276143368935</v>
      </c>
      <c r="Z26" s="412">
        <f>Sales!K372</f>
        <v>1415.9539950537383</v>
      </c>
      <c r="AA26" s="412">
        <f>Sales!L372</f>
        <v>1486.7516948064251</v>
      </c>
      <c r="AB26" s="412">
        <f>Sales!M372</f>
        <v>1561.0892795467464</v>
      </c>
      <c r="AC26" s="412">
        <f>Sales!N372</f>
        <v>1248.8714236373971</v>
      </c>
      <c r="AE26" s="412">
        <f t="shared" si="27"/>
        <v>0.98280098280099093</v>
      </c>
      <c r="AF26" s="412">
        <f t="shared" si="27"/>
        <v>1.6222768904968765</v>
      </c>
      <c r="AG26" s="412">
        <f t="shared" si="27"/>
        <v>4.5756274042642708</v>
      </c>
      <c r="AH26" s="412">
        <f t="shared" si="24"/>
        <v>8.2060913250673337</v>
      </c>
      <c r="AI26" s="412">
        <f t="shared" si="25"/>
        <v>13.040498156896918</v>
      </c>
      <c r="AJ26" s="412">
        <f t="shared" si="26"/>
        <v>3.297884502679671</v>
      </c>
    </row>
    <row r="27" spans="1:38">
      <c r="A27" s="105" t="s">
        <v>23</v>
      </c>
      <c r="B27" s="422"/>
      <c r="D27" s="412">
        <f>Sales!AF98</f>
        <v>188</v>
      </c>
      <c r="E27" s="412">
        <f>Sales!AG98</f>
        <v>183</v>
      </c>
      <c r="F27" s="412">
        <f>Sales!AH98</f>
        <v>192</v>
      </c>
      <c r="G27" s="412">
        <f>Sales!AI98</f>
        <v>178</v>
      </c>
      <c r="H27" s="412">
        <f>Sales!AJ98</f>
        <v>204</v>
      </c>
      <c r="I27" s="412">
        <f>Sales!AK98</f>
        <v>213</v>
      </c>
      <c r="J27" s="412">
        <f>Sales!AL98</f>
        <v>213</v>
      </c>
      <c r="K27" s="412">
        <f>Sales!AM98</f>
        <v>214</v>
      </c>
      <c r="M27" s="138" t="s">
        <v>23</v>
      </c>
      <c r="N27" s="105">
        <v>729</v>
      </c>
      <c r="O27" s="138">
        <v>811</v>
      </c>
      <c r="P27" s="138">
        <v>892</v>
      </c>
      <c r="Q27" s="138">
        <v>943</v>
      </c>
      <c r="R27" s="138">
        <v>979</v>
      </c>
      <c r="S27" s="138">
        <v>1022</v>
      </c>
      <c r="T27" s="138">
        <v>973</v>
      </c>
      <c r="V27" s="412">
        <f>Sales!G98</f>
        <v>565</v>
      </c>
      <c r="W27" s="412">
        <f>Sales!H98</f>
        <v>729</v>
      </c>
      <c r="X27" s="412">
        <f>Sales!I98</f>
        <v>808</v>
      </c>
      <c r="Y27" s="412">
        <f>Sales!J98</f>
        <v>894.6259981334963</v>
      </c>
      <c r="Z27" s="412">
        <f>Sales!K98</f>
        <v>939.35729804017114</v>
      </c>
      <c r="AA27" s="412">
        <f>Sales!L98</f>
        <v>976.92346294217964</v>
      </c>
      <c r="AB27" s="412">
        <f>Sales!M98</f>
        <v>1016.0858850892887</v>
      </c>
      <c r="AC27" s="412">
        <f>Sales!N98</f>
        <v>842.46924991875312</v>
      </c>
      <c r="AE27" s="412">
        <f t="shared" si="27"/>
        <v>-0.36991368680641123</v>
      </c>
      <c r="AF27" s="412">
        <f t="shared" si="27"/>
        <v>0.29439440958478613</v>
      </c>
      <c r="AG27" s="412">
        <f t="shared" si="27"/>
        <v>-0.38628864897443105</v>
      </c>
      <c r="AH27" s="412">
        <f t="shared" si="24"/>
        <v>-0.21210797321964403</v>
      </c>
      <c r="AI27" s="412">
        <f t="shared" si="25"/>
        <v>-0.5786805196390743</v>
      </c>
      <c r="AJ27" s="412">
        <f t="shared" si="26"/>
        <v>-13.41528777813431</v>
      </c>
    </row>
    <row r="28" spans="1:38">
      <c r="A28" s="105" t="s">
        <v>507</v>
      </c>
      <c r="B28" s="422"/>
      <c r="D28" s="412">
        <f>Sales!AF106</f>
        <v>172</v>
      </c>
      <c r="E28" s="412">
        <f>Sales!AG106</f>
        <v>172</v>
      </c>
      <c r="F28" s="412">
        <f>Sales!AH106</f>
        <v>178</v>
      </c>
      <c r="G28" s="412">
        <f>Sales!AI106</f>
        <v>187</v>
      </c>
      <c r="H28" s="412">
        <f>Sales!AJ106</f>
        <v>216</v>
      </c>
      <c r="I28" s="412">
        <f>Sales!AK106</f>
        <v>224</v>
      </c>
      <c r="J28" s="412">
        <f>Sales!AL106</f>
        <v>246</v>
      </c>
      <c r="K28" s="412">
        <f>Sales!AM106</f>
        <v>267</v>
      </c>
      <c r="M28" s="138" t="s">
        <v>507</v>
      </c>
      <c r="N28" s="105">
        <v>674</v>
      </c>
      <c r="O28" s="138">
        <v>854</v>
      </c>
      <c r="P28" s="138">
        <v>1055</v>
      </c>
      <c r="Q28" s="138">
        <v>1155</v>
      </c>
      <c r="R28" s="138">
        <v>1238</v>
      </c>
      <c r="S28" s="138">
        <v>1300</v>
      </c>
      <c r="T28" s="138">
        <v>1362</v>
      </c>
      <c r="V28" s="412">
        <f>Sales!G106</f>
        <v>453</v>
      </c>
      <c r="W28" s="412">
        <f>Sales!H106</f>
        <v>672</v>
      </c>
      <c r="X28" s="412">
        <f>Sales!I106</f>
        <v>873</v>
      </c>
      <c r="Y28" s="412">
        <f>Sales!J106</f>
        <v>1050.2739471276084</v>
      </c>
      <c r="Z28" s="412">
        <f>Sales!K106</f>
        <v>1102.7876444839887</v>
      </c>
      <c r="AA28" s="412">
        <f>Sales!L106</f>
        <v>1157.9270267081884</v>
      </c>
      <c r="AB28" s="412">
        <f>Sales!M106</f>
        <v>1215.8233780435976</v>
      </c>
      <c r="AC28" s="412">
        <f>Sales!N106</f>
        <v>1276.6145469457776</v>
      </c>
      <c r="AE28" s="412">
        <f t="shared" si="27"/>
        <v>2.2248243559718883</v>
      </c>
      <c r="AF28" s="412">
        <f t="shared" si="27"/>
        <v>-0.44796709690916314</v>
      </c>
      <c r="AG28" s="412">
        <f t="shared" si="27"/>
        <v>-4.5205502611265107</v>
      </c>
      <c r="AH28" s="412">
        <f t="shared" si="24"/>
        <v>-6.467929991261034</v>
      </c>
      <c r="AI28" s="412">
        <f t="shared" si="25"/>
        <v>-6.4751247658771049</v>
      </c>
      <c r="AJ28" s="412">
        <f t="shared" si="26"/>
        <v>-6.2691228380486352</v>
      </c>
    </row>
    <row r="29" spans="1:38">
      <c r="A29" s="105" t="s">
        <v>529</v>
      </c>
      <c r="B29" s="422"/>
      <c r="D29" s="412">
        <f>Sales!AF122</f>
        <v>158</v>
      </c>
      <c r="E29" s="412">
        <f>Sales!AG122</f>
        <v>168</v>
      </c>
      <c r="F29" s="412">
        <f>Sales!AH122</f>
        <v>178</v>
      </c>
      <c r="G29" s="412">
        <f>Sales!AI122</f>
        <v>175</v>
      </c>
      <c r="H29" s="412">
        <f>Sales!AJ122</f>
        <v>210</v>
      </c>
      <c r="I29" s="412">
        <f>Sales!AK122</f>
        <v>227</v>
      </c>
      <c r="J29" s="412">
        <f>Sales!AL122</f>
        <v>255</v>
      </c>
      <c r="K29" s="412">
        <f>Sales!AM122</f>
        <v>257</v>
      </c>
      <c r="M29" s="138" t="s">
        <v>529</v>
      </c>
      <c r="O29" s="138">
        <v>846</v>
      </c>
      <c r="P29" s="138">
        <v>1095</v>
      </c>
      <c r="Q29" s="138">
        <v>1238</v>
      </c>
      <c r="R29" s="138">
        <v>1293</v>
      </c>
      <c r="S29" s="138">
        <v>1291</v>
      </c>
      <c r="T29" s="138">
        <v>1238</v>
      </c>
      <c r="V29" s="412"/>
      <c r="W29" s="412"/>
      <c r="X29" s="412">
        <f>Sales!I122</f>
        <v>867</v>
      </c>
      <c r="Y29" s="412">
        <f>Sales!J122</f>
        <v>1132.559797267272</v>
      </c>
      <c r="Z29" s="412">
        <f>Sales!K122</f>
        <v>1245.8157769939992</v>
      </c>
      <c r="AA29" s="412">
        <f>Sales!L122</f>
        <v>1308.1065658436992</v>
      </c>
      <c r="AB29" s="412">
        <f>Sales!M122</f>
        <v>1361.0522208190102</v>
      </c>
      <c r="AC29" s="412">
        <f>Sales!N122</f>
        <v>1020.6128935935805</v>
      </c>
      <c r="AE29" s="412">
        <f t="shared" ref="AE29:AJ29" si="28">(X29/O29-1)*100</f>
        <v>2.4822695035461084</v>
      </c>
      <c r="AF29" s="412">
        <f t="shared" si="28"/>
        <v>3.4301184718969813</v>
      </c>
      <c r="AG29" s="412">
        <f t="shared" si="28"/>
        <v>0.63132285896601026</v>
      </c>
      <c r="AH29" s="412">
        <f t="shared" si="28"/>
        <v>1.1683345586774196</v>
      </c>
      <c r="AI29" s="412">
        <f t="shared" si="28"/>
        <v>5.4261983593346441</v>
      </c>
      <c r="AJ29" s="412">
        <f t="shared" si="28"/>
        <v>-17.559540097449077</v>
      </c>
    </row>
    <row r="30" spans="1:38">
      <c r="A30" s="105" t="s">
        <v>25</v>
      </c>
      <c r="B30" s="422"/>
      <c r="D30" s="412">
        <f>Sales!AF114</f>
        <v>146</v>
      </c>
      <c r="E30" s="412">
        <f>Sales!AG114</f>
        <v>149</v>
      </c>
      <c r="F30" s="412">
        <f>Sales!AH114</f>
        <v>162</v>
      </c>
      <c r="G30" s="412">
        <f>Sales!AI114</f>
        <v>162</v>
      </c>
      <c r="H30" s="412">
        <f>Sales!AJ114</f>
        <v>186</v>
      </c>
      <c r="I30" s="412">
        <f>Sales!AK114</f>
        <v>201</v>
      </c>
      <c r="J30" s="412">
        <f>Sales!AL114</f>
        <v>228</v>
      </c>
      <c r="K30" s="412">
        <f>Sales!AM114</f>
        <v>234</v>
      </c>
      <c r="M30" s="138" t="s">
        <v>25</v>
      </c>
      <c r="N30" s="105">
        <v>575</v>
      </c>
      <c r="O30" s="138">
        <v>760</v>
      </c>
      <c r="P30" s="138">
        <v>988</v>
      </c>
      <c r="Q30" s="138">
        <v>1107</v>
      </c>
      <c r="R30" s="138">
        <v>1195</v>
      </c>
      <c r="S30" s="138">
        <v>1280</v>
      </c>
      <c r="T30" s="138">
        <v>1348</v>
      </c>
      <c r="V30" s="412">
        <f>Sales!G114</f>
        <v>410</v>
      </c>
      <c r="W30" s="412">
        <f>Sales!H114</f>
        <v>581</v>
      </c>
      <c r="X30" s="412">
        <f>Sales!I114</f>
        <v>777</v>
      </c>
      <c r="Y30" s="412">
        <f>Sales!J114</f>
        <v>930.7356040557147</v>
      </c>
      <c r="Z30" s="412">
        <f>Sales!K114</f>
        <v>1023.8091644612863</v>
      </c>
      <c r="AA30" s="412">
        <f>Sales!L114</f>
        <v>1126.190080907415</v>
      </c>
      <c r="AB30" s="412">
        <f>Sales!M114</f>
        <v>1182.4995849527859</v>
      </c>
      <c r="AC30" s="412">
        <f>Sales!N114</f>
        <v>1217.9745725013695</v>
      </c>
      <c r="AE30" s="412">
        <f t="shared" si="21"/>
        <v>2.2368421052631593</v>
      </c>
      <c r="AF30" s="412">
        <f t="shared" si="22"/>
        <v>-5.7959914923365723</v>
      </c>
      <c r="AG30" s="412">
        <f t="shared" si="23"/>
        <v>-7.5149806268034025</v>
      </c>
      <c r="AH30" s="412">
        <f t="shared" si="24"/>
        <v>-5.7581522253209227</v>
      </c>
      <c r="AI30" s="412">
        <f t="shared" si="25"/>
        <v>-7.6172199255636013</v>
      </c>
      <c r="AJ30" s="412">
        <f t="shared" si="26"/>
        <v>-9.6458032269013732</v>
      </c>
    </row>
    <row r="31" spans="1:38">
      <c r="A31" s="105" t="s">
        <v>509</v>
      </c>
      <c r="B31" s="422"/>
      <c r="D31" s="412">
        <f>Sales!AF289</f>
        <v>100</v>
      </c>
      <c r="E31" s="412">
        <f>Sales!AG289</f>
        <v>95</v>
      </c>
      <c r="F31" s="412">
        <f>Sales!AH289</f>
        <v>90</v>
      </c>
      <c r="G31" s="412">
        <f>Sales!AI289</f>
        <v>91</v>
      </c>
      <c r="H31" s="412">
        <f>Sales!AJ289</f>
        <v>99</v>
      </c>
      <c r="I31" s="412">
        <f>Sales!AK289</f>
        <v>101</v>
      </c>
      <c r="J31" s="412">
        <f>Sales!AL289</f>
        <v>120</v>
      </c>
      <c r="K31" s="412">
        <f>Sales!AM289</f>
        <v>106</v>
      </c>
      <c r="M31" s="138" t="s">
        <v>509</v>
      </c>
      <c r="N31" s="105">
        <v>380</v>
      </c>
      <c r="O31" s="138">
        <v>394</v>
      </c>
      <c r="P31" s="138">
        <v>471</v>
      </c>
      <c r="Q31" s="138">
        <v>504</v>
      </c>
      <c r="R31" s="138">
        <v>537</v>
      </c>
      <c r="S31" s="138">
        <v>553</v>
      </c>
      <c r="T31" s="138">
        <v>581</v>
      </c>
      <c r="V31" s="412">
        <f>Sales!G289</f>
        <v>260</v>
      </c>
      <c r="W31" s="412">
        <f>Sales!H289</f>
        <v>363</v>
      </c>
      <c r="X31" s="412">
        <f>Sales!I289</f>
        <v>411</v>
      </c>
      <c r="Y31" s="412">
        <f>Sales!J289</f>
        <v>493.2</v>
      </c>
      <c r="Z31" s="412">
        <f>Sales!K289</f>
        <v>567.17999999999995</v>
      </c>
      <c r="AA31" s="412">
        <f>Sales!L289</f>
        <v>623.89799999999991</v>
      </c>
      <c r="AB31" s="412">
        <f>Sales!M289</f>
        <v>655.09289999999987</v>
      </c>
      <c r="AC31" s="412">
        <f>Sales!N289</f>
        <v>687.84754499999985</v>
      </c>
      <c r="AE31" s="412">
        <f>(X31/O31-1)*100</f>
        <v>4.3147208121827374</v>
      </c>
      <c r="AF31" s="412">
        <f>(Y31/P31-1)*100</f>
        <v>4.7133757961783429</v>
      </c>
      <c r="AG31" s="412">
        <f>(Z31/Q31-1)*100</f>
        <v>12.535714285714272</v>
      </c>
      <c r="AH31" s="412">
        <f t="shared" si="24"/>
        <v>16.182122905027917</v>
      </c>
      <c r="AI31" s="412">
        <f t="shared" si="25"/>
        <v>18.461645569620224</v>
      </c>
      <c r="AJ31" s="412">
        <f t="shared" si="26"/>
        <v>18.390283132530104</v>
      </c>
    </row>
    <row r="32" spans="1:38">
      <c r="A32" s="105" t="s">
        <v>508</v>
      </c>
      <c r="B32" s="422"/>
      <c r="D32" s="412">
        <f>Sales!AF295</f>
        <v>39</v>
      </c>
      <c r="E32" s="412">
        <f>Sales!AG295</f>
        <v>37</v>
      </c>
      <c r="F32" s="412">
        <f>Sales!AH295</f>
        <v>38</v>
      </c>
      <c r="G32" s="412">
        <f>Sales!AI295</f>
        <v>36</v>
      </c>
      <c r="H32" s="412">
        <f>Sales!AJ295</f>
        <v>36</v>
      </c>
      <c r="I32" s="412">
        <f>Sales!AK295</f>
        <v>37</v>
      </c>
      <c r="J32" s="412">
        <f>Sales!AL295</f>
        <v>42</v>
      </c>
      <c r="K32" s="412">
        <f>Sales!AM295</f>
        <v>38</v>
      </c>
      <c r="M32" s="138" t="s">
        <v>508</v>
      </c>
      <c r="N32" s="105">
        <v>150</v>
      </c>
      <c r="O32" s="138">
        <v>150</v>
      </c>
      <c r="P32" s="138">
        <v>163</v>
      </c>
      <c r="Q32" s="138">
        <v>169</v>
      </c>
      <c r="R32" s="138">
        <v>175</v>
      </c>
      <c r="S32" s="138">
        <v>170</v>
      </c>
      <c r="T32" s="138">
        <v>175</v>
      </c>
      <c r="V32" s="412">
        <f>Sales!G295</f>
        <v>150</v>
      </c>
      <c r="W32" s="412">
        <f>Sales!H295</f>
        <v>149</v>
      </c>
      <c r="X32" s="412">
        <f>Sales!I295</f>
        <v>151</v>
      </c>
      <c r="Y32" s="412">
        <f>Sales!J295</f>
        <v>166.1</v>
      </c>
      <c r="Z32" s="412">
        <f>Sales!K295</f>
        <v>182.70999999999998</v>
      </c>
      <c r="AA32" s="412">
        <f>Sales!L295</f>
        <v>197.32679999999999</v>
      </c>
      <c r="AB32" s="412">
        <f>Sales!M295</f>
        <v>207.19314</v>
      </c>
      <c r="AC32" s="412">
        <f>Sales!N295</f>
        <v>217.552797</v>
      </c>
      <c r="AE32" s="412">
        <f t="shared" si="21"/>
        <v>0.66666666666665986</v>
      </c>
      <c r="AF32" s="412">
        <f t="shared" si="22"/>
        <v>1.901840490797535</v>
      </c>
      <c r="AG32" s="412">
        <f t="shared" si="23"/>
        <v>8.1124260355029509</v>
      </c>
      <c r="AH32" s="412">
        <f t="shared" si="24"/>
        <v>12.75817142857143</v>
      </c>
      <c r="AI32" s="412">
        <f t="shared" si="25"/>
        <v>21.878317647058832</v>
      </c>
      <c r="AJ32" s="412">
        <f t="shared" si="26"/>
        <v>24.315883999999997</v>
      </c>
    </row>
    <row r="33" spans="1:36">
      <c r="A33" s="105" t="s">
        <v>41</v>
      </c>
      <c r="B33" s="422">
        <v>635</v>
      </c>
      <c r="D33" s="412">
        <f>Sales!AF268</f>
        <v>260</v>
      </c>
      <c r="E33" s="412">
        <f>Sales!AG268</f>
        <v>301</v>
      </c>
      <c r="F33" s="412">
        <f>Sales!AH268</f>
        <v>391</v>
      </c>
      <c r="G33" s="412">
        <f>Sales!AI268</f>
        <v>410</v>
      </c>
      <c r="H33" s="412">
        <f>Sales!AJ268</f>
        <v>490</v>
      </c>
      <c r="I33" s="412">
        <f>Sales!AK268</f>
        <v>556</v>
      </c>
      <c r="J33" s="412">
        <f>Sales!AL268</f>
        <v>615</v>
      </c>
      <c r="K33" s="412">
        <f>Sales!AM268</f>
        <v>580</v>
      </c>
      <c r="M33" s="138" t="s">
        <v>41</v>
      </c>
      <c r="N33" s="105">
        <v>1085</v>
      </c>
      <c r="O33" s="138">
        <v>2078</v>
      </c>
      <c r="P33" s="138">
        <v>2899</v>
      </c>
      <c r="Q33" s="138">
        <v>3500</v>
      </c>
      <c r="R33" s="138">
        <v>4003</v>
      </c>
      <c r="S33" s="138">
        <v>4460</v>
      </c>
      <c r="T33" s="138">
        <v>4779</v>
      </c>
      <c r="V33" s="412">
        <f>Sales!G268</f>
        <v>261</v>
      </c>
      <c r="W33" s="412">
        <f>Sales!H268</f>
        <v>1128</v>
      </c>
      <c r="X33" s="412">
        <f>Sales!I268</f>
        <v>2071</v>
      </c>
      <c r="Y33" s="412">
        <f>Sales!J268</f>
        <v>2899.4</v>
      </c>
      <c r="Z33" s="412">
        <f>Sales!K268</f>
        <v>3624.25</v>
      </c>
      <c r="AA33" s="412">
        <f>Sales!L268</f>
        <v>4349.1000000000004</v>
      </c>
      <c r="AB33" s="412">
        <f>Sales!M268</f>
        <v>5001.4650000000001</v>
      </c>
      <c r="AC33" s="412">
        <f>Sales!N268</f>
        <v>5501.6115</v>
      </c>
      <c r="AE33" s="412">
        <f t="shared" si="21"/>
        <v>-0.33686236766121702</v>
      </c>
      <c r="AF33" s="412">
        <f t="shared" si="22"/>
        <v>1.3797861331488193E-2</v>
      </c>
      <c r="AG33" s="412">
        <f t="shared" si="23"/>
        <v>3.5500000000000087</v>
      </c>
      <c r="AH33" s="412">
        <f t="shared" si="24"/>
        <v>8.6460154883837284</v>
      </c>
      <c r="AI33" s="412">
        <f t="shared" si="25"/>
        <v>12.140470852017948</v>
      </c>
      <c r="AJ33" s="412">
        <f t="shared" si="26"/>
        <v>15.120558694287499</v>
      </c>
    </row>
    <row r="34" spans="1:36">
      <c r="A34" s="105" t="s">
        <v>893</v>
      </c>
      <c r="B34" s="422">
        <v>46</v>
      </c>
      <c r="D34" s="412">
        <f>Sales!AF140</f>
        <v>0</v>
      </c>
      <c r="E34" s="412">
        <f>Sales!AG140</f>
        <v>0</v>
      </c>
      <c r="F34" s="412">
        <f>Sales!AH140</f>
        <v>0</v>
      </c>
      <c r="G34" s="412">
        <f>Sales!AI140</f>
        <v>0</v>
      </c>
      <c r="H34" s="412">
        <f>Sales!AJ140</f>
        <v>8</v>
      </c>
      <c r="I34" s="412">
        <f>Sales!AK140</f>
        <v>26</v>
      </c>
      <c r="J34" s="412">
        <f>Sales!AL140</f>
        <v>42</v>
      </c>
      <c r="K34" s="412">
        <f>Sales!AM140</f>
        <v>44</v>
      </c>
      <c r="M34" s="138" t="s">
        <v>893</v>
      </c>
      <c r="O34" s="138">
        <v>80</v>
      </c>
      <c r="P34" s="138">
        <v>280</v>
      </c>
      <c r="Q34" s="138">
        <v>530</v>
      </c>
      <c r="R34" s="138">
        <v>767</v>
      </c>
      <c r="S34" s="138">
        <v>894</v>
      </c>
      <c r="T34" s="138">
        <v>1064</v>
      </c>
      <c r="V34" s="412"/>
      <c r="W34" s="412"/>
      <c r="X34" s="412">
        <f>Sales!I140</f>
        <v>76</v>
      </c>
      <c r="Y34" s="412">
        <f>Sales!J140</f>
        <v>245</v>
      </c>
      <c r="Z34" s="412">
        <f>Sales!K140</f>
        <v>490</v>
      </c>
      <c r="AA34" s="412">
        <f>Sales!L140</f>
        <v>686</v>
      </c>
      <c r="AB34" s="412">
        <f>Sales!M140</f>
        <v>857.5</v>
      </c>
      <c r="AC34" s="412">
        <f>Sales!N140</f>
        <v>943.25</v>
      </c>
      <c r="AE34" s="412">
        <f t="shared" ref="AE34:AG35" si="29">(X34/O34-1)*100</f>
        <v>-5.0000000000000044</v>
      </c>
      <c r="AF34" s="412">
        <f t="shared" si="29"/>
        <v>-12.5</v>
      </c>
      <c r="AG34" s="412">
        <f t="shared" si="29"/>
        <v>-7.547169811320753</v>
      </c>
      <c r="AH34" s="412">
        <f t="shared" si="24"/>
        <v>-10.560625814863101</v>
      </c>
      <c r="AI34" s="412">
        <f t="shared" si="25"/>
        <v>-4.0827740492169973</v>
      </c>
      <c r="AJ34" s="412">
        <f t="shared" si="26"/>
        <v>-11.348684210526317</v>
      </c>
    </row>
    <row r="35" spans="1:36">
      <c r="A35" s="138" t="s">
        <v>938</v>
      </c>
      <c r="B35" s="422"/>
      <c r="J35" s="412">
        <f>Sales!AL143</f>
        <v>0</v>
      </c>
      <c r="K35" s="412">
        <f>Sales!AM143</f>
        <v>0</v>
      </c>
      <c r="M35" s="138" t="s">
        <v>938</v>
      </c>
      <c r="O35" s="138">
        <v>5</v>
      </c>
      <c r="P35" s="138">
        <v>105</v>
      </c>
      <c r="Q35" s="138">
        <v>258</v>
      </c>
      <c r="R35" s="138">
        <v>442</v>
      </c>
      <c r="S35" s="138">
        <v>575</v>
      </c>
      <c r="T35" s="138">
        <v>730</v>
      </c>
      <c r="V35" s="412"/>
      <c r="W35" s="412"/>
      <c r="X35" s="412">
        <f>Sales!I143</f>
        <v>0</v>
      </c>
      <c r="Y35" s="412">
        <f>Sales!J143</f>
        <v>65</v>
      </c>
      <c r="Z35" s="412">
        <f>Sales!K143</f>
        <v>195</v>
      </c>
      <c r="AA35" s="412">
        <f>Sales!L143</f>
        <v>351</v>
      </c>
      <c r="AB35" s="412">
        <f>Sales!M143</f>
        <v>568.62</v>
      </c>
      <c r="AC35" s="412">
        <f>Sales!N143</f>
        <v>813.12660000000005</v>
      </c>
      <c r="AE35" s="412"/>
      <c r="AF35" s="412">
        <f t="shared" si="29"/>
        <v>-38.095238095238095</v>
      </c>
      <c r="AG35" s="412">
        <f t="shared" si="29"/>
        <v>-24.418604651162788</v>
      </c>
      <c r="AH35" s="412">
        <f t="shared" ref="AH35:AJ37" si="30">(AA35/R35-1)*100</f>
        <v>-20.588235294117652</v>
      </c>
      <c r="AI35" s="412">
        <f t="shared" si="30"/>
        <v>-1.1095652173913062</v>
      </c>
      <c r="AJ35" s="412">
        <f t="shared" si="30"/>
        <v>11.387205479452067</v>
      </c>
    </row>
    <row r="36" spans="1:36">
      <c r="D36" s="412"/>
      <c r="E36" s="412"/>
      <c r="F36" s="412"/>
      <c r="G36" s="412"/>
      <c r="H36" s="412"/>
      <c r="I36" s="412"/>
      <c r="J36" s="412"/>
      <c r="K36" s="412"/>
      <c r="M36" s="138" t="s">
        <v>901</v>
      </c>
      <c r="O36" s="138"/>
      <c r="P36" s="138"/>
      <c r="Q36" s="138">
        <v>150</v>
      </c>
      <c r="R36" s="138">
        <v>320</v>
      </c>
      <c r="S36" s="138">
        <v>480</v>
      </c>
      <c r="T36" s="138">
        <v>700</v>
      </c>
      <c r="V36" s="412"/>
      <c r="W36" s="412"/>
      <c r="X36" s="412"/>
      <c r="Y36" s="412">
        <f>Sales!J322</f>
        <v>50</v>
      </c>
      <c r="Z36" s="412">
        <f>Sales!K322</f>
        <v>200</v>
      </c>
      <c r="AA36" s="412">
        <f>Sales!L322</f>
        <v>450</v>
      </c>
      <c r="AB36" s="412">
        <f>Sales!M322</f>
        <v>675</v>
      </c>
      <c r="AC36" s="412">
        <f>Sales!N322</f>
        <v>843.75</v>
      </c>
      <c r="AE36" s="412"/>
      <c r="AF36" s="1247" t="s">
        <v>1484</v>
      </c>
      <c r="AG36" s="412">
        <f>(Z36/Q36-1)*100</f>
        <v>33.333333333333329</v>
      </c>
      <c r="AH36" s="412">
        <f t="shared" si="30"/>
        <v>40.625</v>
      </c>
      <c r="AI36" s="412">
        <f t="shared" si="30"/>
        <v>40.625</v>
      </c>
      <c r="AJ36" s="412">
        <f t="shared" si="30"/>
        <v>20.535714285714278</v>
      </c>
    </row>
    <row r="37" spans="1:36">
      <c r="D37" s="412"/>
      <c r="E37" s="412"/>
      <c r="F37" s="412"/>
      <c r="G37" s="412"/>
      <c r="H37" s="412"/>
      <c r="I37" s="412"/>
      <c r="J37" s="412"/>
      <c r="K37" s="412"/>
      <c r="M37" s="138" t="s">
        <v>878</v>
      </c>
      <c r="O37" s="138"/>
      <c r="P37" s="138"/>
      <c r="Q37" s="138">
        <v>99</v>
      </c>
      <c r="R37" s="138">
        <v>310</v>
      </c>
      <c r="S37" s="138">
        <v>586</v>
      </c>
      <c r="T37" s="138">
        <v>899</v>
      </c>
      <c r="V37" s="412"/>
      <c r="W37" s="412"/>
      <c r="X37" s="412"/>
      <c r="Y37" s="412"/>
      <c r="Z37" s="412">
        <f>Sales!K224</f>
        <v>100</v>
      </c>
      <c r="AA37" s="412">
        <f>Sales!L224</f>
        <v>229.99999999999997</v>
      </c>
      <c r="AB37" s="412">
        <f>Sales!M224</f>
        <v>459.99999999999994</v>
      </c>
      <c r="AC37" s="412">
        <f>Sales!N224</f>
        <v>781.99999999999989</v>
      </c>
      <c r="AE37" s="412"/>
      <c r="AF37" s="412"/>
      <c r="AG37" s="412">
        <f>(Z37/Q37-1)*100</f>
        <v>1.0101010101010166</v>
      </c>
      <c r="AH37" s="412">
        <f t="shared" si="30"/>
        <v>-25.806451612903235</v>
      </c>
      <c r="AI37" s="412">
        <f t="shared" si="30"/>
        <v>-21.501706484641648</v>
      </c>
      <c r="AJ37" s="412">
        <f t="shared" si="30"/>
        <v>-13.01446051167966</v>
      </c>
    </row>
    <row r="38" spans="1:36">
      <c r="D38" s="412"/>
      <c r="E38" s="412"/>
      <c r="F38" s="412"/>
      <c r="G38" s="412"/>
      <c r="H38" s="412"/>
      <c r="I38" s="412"/>
      <c r="J38" s="412"/>
      <c r="K38" s="412"/>
      <c r="M38" s="138" t="s">
        <v>761</v>
      </c>
      <c r="O38" s="138"/>
      <c r="P38" s="138">
        <v>38</v>
      </c>
      <c r="Q38" s="138">
        <v>91</v>
      </c>
      <c r="R38" s="138">
        <v>150</v>
      </c>
      <c r="S38" s="138">
        <v>262</v>
      </c>
      <c r="T38" s="138">
        <v>400</v>
      </c>
      <c r="V38" s="412"/>
      <c r="W38" s="412"/>
      <c r="X38" s="412"/>
      <c r="Y38" s="412">
        <f>Sales!J173</f>
        <v>39.222160419464018</v>
      </c>
      <c r="Z38" s="412">
        <f>Sales!K173</f>
        <v>91.239906188296374</v>
      </c>
      <c r="AA38" s="412">
        <f>Sales!L173</f>
        <v>142.38899759745533</v>
      </c>
      <c r="AB38" s="412">
        <f>Sales!M173</f>
        <v>285.86306360067857</v>
      </c>
      <c r="AC38" s="412">
        <f>Sales!N173</f>
        <v>400.16288485657833</v>
      </c>
      <c r="AE38" s="412"/>
      <c r="AF38" s="412"/>
      <c r="AG38" s="412">
        <f>(Z38/Q38-1)*100</f>
        <v>0.26363317395206032</v>
      </c>
      <c r="AH38" s="412">
        <f t="shared" si="24"/>
        <v>-5.0740016016964429</v>
      </c>
      <c r="AI38" s="412">
        <f t="shared" si="25"/>
        <v>9.1080395422437288</v>
      </c>
      <c r="AJ38" s="412">
        <f t="shared" si="26"/>
        <v>4.0721214144578965E-2</v>
      </c>
    </row>
    <row r="39" spans="1:36">
      <c r="D39" s="412"/>
      <c r="E39" s="412"/>
      <c r="F39" s="412"/>
      <c r="G39" s="412"/>
      <c r="H39" s="412"/>
      <c r="I39" s="412"/>
      <c r="J39" s="412"/>
      <c r="K39" s="412"/>
      <c r="M39" s="138" t="s">
        <v>880</v>
      </c>
      <c r="O39" s="138"/>
      <c r="P39" s="138"/>
      <c r="Q39" s="138">
        <v>52</v>
      </c>
      <c r="R39" s="138">
        <v>188</v>
      </c>
      <c r="S39" s="138">
        <v>412</v>
      </c>
      <c r="T39" s="138">
        <v>699</v>
      </c>
      <c r="V39" s="412"/>
      <c r="W39" s="412"/>
      <c r="X39" s="412"/>
      <c r="Y39" s="412">
        <f>Sales!J162</f>
        <v>0</v>
      </c>
      <c r="Z39" s="412">
        <f>Sales!K162</f>
        <v>50</v>
      </c>
      <c r="AA39" s="412">
        <f>Sales!L162</f>
        <v>175</v>
      </c>
      <c r="AB39" s="412">
        <f>Sales!M162</f>
        <v>391.25</v>
      </c>
      <c r="AC39" s="412">
        <f>Sales!N162</f>
        <v>760.5</v>
      </c>
      <c r="AE39" s="412"/>
      <c r="AF39" s="412"/>
      <c r="AG39" s="412"/>
      <c r="AH39" s="412">
        <f t="shared" si="24"/>
        <v>-6.9148936170212778</v>
      </c>
      <c r="AI39" s="412">
        <f t="shared" si="25"/>
        <v>-5.0364077669902922</v>
      </c>
      <c r="AJ39" s="412">
        <f t="shared" si="26"/>
        <v>8.7982832618025633</v>
      </c>
    </row>
    <row r="41" spans="1:36">
      <c r="A41" s="105" t="s">
        <v>510</v>
      </c>
      <c r="B41" s="422">
        <v>350</v>
      </c>
      <c r="D41" s="412">
        <f>'P&amp;L'!AF104</f>
        <v>306</v>
      </c>
      <c r="E41" s="412">
        <f>'P&amp;L'!AG104</f>
        <v>295</v>
      </c>
      <c r="F41" s="412">
        <f>'P&amp;L'!AH104</f>
        <v>280</v>
      </c>
      <c r="G41" s="412">
        <f>'P&amp;L'!AI104</f>
        <v>352</v>
      </c>
      <c r="H41" s="412">
        <f>'P&amp;L'!AJ104</f>
        <v>325</v>
      </c>
      <c r="I41" s="412">
        <f>'P&amp;L'!AK104</f>
        <v>359</v>
      </c>
      <c r="J41" s="412">
        <f>'P&amp;L'!AL104</f>
        <v>298</v>
      </c>
      <c r="K41" s="412">
        <f>'P&amp;L'!AM104</f>
        <v>375</v>
      </c>
      <c r="M41" s="105" t="s">
        <v>510</v>
      </c>
      <c r="N41" s="105">
        <v>1143</v>
      </c>
      <c r="P41" s="105">
        <v>1174</v>
      </c>
      <c r="V41" s="412"/>
      <c r="W41" s="412">
        <f>'P&amp;L'!H104</f>
        <v>1134</v>
      </c>
      <c r="X41" s="412"/>
      <c r="Y41" s="412">
        <f>'P&amp;L'!J104</f>
        <v>967.6728154727773</v>
      </c>
      <c r="AE41" s="412"/>
      <c r="AF41" s="412">
        <f>(Y41/P41-1)*100</f>
        <v>-17.574717591756617</v>
      </c>
    </row>
    <row r="42" spans="1:36">
      <c r="A42" s="105" t="s">
        <v>511</v>
      </c>
      <c r="B42" s="422">
        <v>-205</v>
      </c>
      <c r="D42" s="412">
        <f>'P&amp;L'!AF107</f>
        <v>-183</v>
      </c>
      <c r="E42" s="412">
        <f>'P&amp;L'!AG107</f>
        <v>-212</v>
      </c>
      <c r="F42" s="412">
        <f>'P&amp;L'!AH107</f>
        <v>-185</v>
      </c>
      <c r="G42" s="412">
        <f>'P&amp;L'!AI107</f>
        <v>-190</v>
      </c>
      <c r="H42" s="412">
        <f>'P&amp;L'!AJ107</f>
        <v>-180</v>
      </c>
      <c r="I42" s="412">
        <f>'P&amp;L'!AK107</f>
        <v>-183</v>
      </c>
      <c r="J42" s="412">
        <f>'P&amp;L'!AL107</f>
        <v>-185</v>
      </c>
      <c r="K42" s="412">
        <f>'P&amp;L'!AM107</f>
        <v>-190</v>
      </c>
      <c r="M42" s="105" t="s">
        <v>511</v>
      </c>
      <c r="N42" s="105">
        <v>-805</v>
      </c>
      <c r="P42" s="105">
        <v>-820</v>
      </c>
      <c r="W42" s="105">
        <f>'P&amp;L'!H107</f>
        <v>-806</v>
      </c>
      <c r="X42" s="412"/>
      <c r="Y42" s="412">
        <f>'P&amp;L'!J107</f>
        <v>-830</v>
      </c>
      <c r="AE42" s="412"/>
      <c r="AF42" s="412">
        <f>(Y42/P42-1)*100</f>
        <v>1.2195121951219523</v>
      </c>
    </row>
    <row r="43" spans="1:36">
      <c r="A43" s="105" t="s">
        <v>512</v>
      </c>
      <c r="B43" s="422">
        <v>-544</v>
      </c>
      <c r="D43" s="412">
        <f>'P&amp;L'!AF119</f>
        <v>-525</v>
      </c>
      <c r="E43" s="412">
        <f>'P&amp;L'!AG119</f>
        <v>-526</v>
      </c>
      <c r="F43" s="412">
        <f>'P&amp;L'!AH119</f>
        <v>-450</v>
      </c>
      <c r="G43" s="412">
        <f>'P&amp;L'!AI119</f>
        <v>-482</v>
      </c>
      <c r="H43" s="412">
        <f>'P&amp;L'!AJ119</f>
        <v>-514</v>
      </c>
      <c r="I43" s="412">
        <f>'P&amp;L'!AK119</f>
        <v>-541</v>
      </c>
      <c r="J43" s="412">
        <f>'P&amp;L'!AL119</f>
        <v>-519</v>
      </c>
      <c r="K43" s="412">
        <f>'P&amp;L'!AM119</f>
        <v>-543</v>
      </c>
      <c r="M43" s="105" t="s">
        <v>512</v>
      </c>
      <c r="N43" s="105">
        <v>-2019</v>
      </c>
      <c r="P43" s="105">
        <v>-2301</v>
      </c>
      <c r="V43" s="412"/>
      <c r="W43" s="412">
        <f>'P&amp;L'!H119</f>
        <v>-2001</v>
      </c>
      <c r="X43" s="412"/>
      <c r="Y43" s="412">
        <f>'P&amp;L'!J119</f>
        <v>-2324.4405384165361</v>
      </c>
      <c r="AE43" s="412"/>
      <c r="AF43" s="412">
        <f>(Y43/P43-1)*100</f>
        <v>1.0187109264031324</v>
      </c>
    </row>
    <row r="44" spans="1:36">
      <c r="J44" s="412"/>
      <c r="K44" s="412"/>
      <c r="M44" s="105" t="s">
        <v>513</v>
      </c>
      <c r="N44" s="105">
        <v>2379</v>
      </c>
      <c r="P44" s="105">
        <v>2317</v>
      </c>
      <c r="V44" s="412"/>
      <c r="W44" s="412">
        <f>'P&amp;L'!H140</f>
        <v>2378</v>
      </c>
      <c r="X44" s="412"/>
      <c r="Y44" s="412">
        <f>'P&amp;L'!J141</f>
        <v>2338.71</v>
      </c>
      <c r="AE44" s="412"/>
      <c r="AF44" s="412">
        <f>(Y44/P44-1)*100</f>
        <v>0.93698748381527697</v>
      </c>
    </row>
    <row r="48" spans="1:36">
      <c r="M48" s="403" t="s">
        <v>933</v>
      </c>
      <c r="N48" s="403"/>
      <c r="O48" s="403">
        <v>2017</v>
      </c>
      <c r="P48" s="403">
        <v>2018</v>
      </c>
      <c r="Q48" s="403">
        <v>2019</v>
      </c>
      <c r="R48" s="403">
        <v>2020</v>
      </c>
      <c r="V48" s="403">
        <v>2021</v>
      </c>
    </row>
    <row r="49" spans="13:29">
      <c r="M49" s="514">
        <v>42401</v>
      </c>
      <c r="N49" s="427"/>
      <c r="O49" s="105">
        <v>1282</v>
      </c>
      <c r="P49" s="105">
        <v>2341</v>
      </c>
      <c r="Q49" s="105">
        <v>3412</v>
      </c>
      <c r="R49" s="105">
        <v>4297</v>
      </c>
      <c r="V49" s="138"/>
      <c r="W49" s="417">
        <f>W14-V14</f>
        <v>-1.1396855703025566E-2</v>
      </c>
      <c r="X49" s="417"/>
      <c r="Y49" s="417"/>
      <c r="Z49" s="417"/>
    </row>
    <row r="50" spans="13:29">
      <c r="M50" s="106" t="s">
        <v>932</v>
      </c>
      <c r="O50" s="513">
        <f>O25/O49-1</f>
        <v>-0.62480499219968799</v>
      </c>
      <c r="P50" s="513">
        <f>P25/P49-1</f>
        <v>-0.58906450234942331</v>
      </c>
      <c r="Q50" s="513">
        <f>Q25/Q49-1</f>
        <v>-0.57209847596717467</v>
      </c>
      <c r="R50" s="515">
        <f>R25/R49-1</f>
        <v>-0.54014428671165926</v>
      </c>
    </row>
    <row r="51" spans="13:29">
      <c r="M51" s="514">
        <v>42583</v>
      </c>
      <c r="N51" s="417"/>
      <c r="O51" s="138">
        <v>580</v>
      </c>
      <c r="P51" s="138">
        <v>1246</v>
      </c>
      <c r="Q51" s="138">
        <v>2070</v>
      </c>
      <c r="R51" s="138">
        <v>2775</v>
      </c>
      <c r="AB51" s="559"/>
    </row>
    <row r="52" spans="13:29">
      <c r="M52" s="106" t="s">
        <v>932</v>
      </c>
      <c r="O52" s="513">
        <f>O25/O51-1</f>
        <v>-0.17068965517241375</v>
      </c>
      <c r="P52" s="513">
        <f>P25/P51-1</f>
        <v>-0.2279293739967897</v>
      </c>
      <c r="Q52" s="513">
        <f>Q25/Q51-1</f>
        <v>-0.29468599033816423</v>
      </c>
      <c r="R52" s="515">
        <f>R25/R51-1</f>
        <v>-0.28792792792792787</v>
      </c>
    </row>
    <row r="53" spans="13:29">
      <c r="M53" s="514">
        <v>42767</v>
      </c>
      <c r="O53" s="105">
        <v>506</v>
      </c>
      <c r="P53" s="105">
        <v>1050</v>
      </c>
      <c r="Q53" s="105">
        <v>1700</v>
      </c>
      <c r="R53" s="105">
        <v>2318</v>
      </c>
      <c r="V53" s="105">
        <v>2973</v>
      </c>
    </row>
    <row r="54" spans="13:29">
      <c r="M54" s="106" t="s">
        <v>932</v>
      </c>
      <c r="O54" s="513">
        <f>O25/O53-1</f>
        <v>-4.9407114624505977E-2</v>
      </c>
      <c r="P54" s="513">
        <f>P25/P53-1</f>
        <v>-8.3809523809523778E-2</v>
      </c>
      <c r="Q54" s="513">
        <f>Q25/Q53-1</f>
        <v>-0.14117647058823535</v>
      </c>
      <c r="R54" s="515">
        <f>R25/R53-1</f>
        <v>-0.14754098360655743</v>
      </c>
      <c r="V54" s="513">
        <f>S25/V53-1</f>
        <v>-0.14093508240834174</v>
      </c>
      <c r="W54" s="435"/>
      <c r="X54" s="435"/>
      <c r="Y54" s="435"/>
      <c r="Z54" s="435"/>
      <c r="AA54" s="435"/>
      <c r="AB54" s="435"/>
      <c r="AC54" s="435"/>
    </row>
    <row r="55" spans="13:29">
      <c r="M55" s="514">
        <v>42826</v>
      </c>
      <c r="O55" s="105">
        <v>500</v>
      </c>
      <c r="P55" s="105">
        <v>972</v>
      </c>
      <c r="Q55" s="105">
        <v>1567</v>
      </c>
      <c r="R55" s="105">
        <v>2139</v>
      </c>
      <c r="V55" s="105">
        <v>2644</v>
      </c>
    </row>
    <row r="56" spans="13:29">
      <c r="M56" s="106" t="s">
        <v>932</v>
      </c>
      <c r="O56" s="513">
        <f>O25/O55-1</f>
        <v>-3.8000000000000034E-2</v>
      </c>
      <c r="P56" s="513">
        <f>P25/P55-1</f>
        <v>-1.0288065843621408E-2</v>
      </c>
      <c r="Q56" s="513">
        <f>Q25/Q55-1</f>
        <v>-6.8283343969368193E-2</v>
      </c>
      <c r="R56" s="515">
        <f>R25/R55-1</f>
        <v>-7.6203833567087376E-2</v>
      </c>
      <c r="V56" s="513">
        <f>S25/V55-1</f>
        <v>-3.4039334341906202E-2</v>
      </c>
    </row>
    <row r="59" spans="13:29">
      <c r="M59" s="403" t="s">
        <v>935</v>
      </c>
      <c r="O59" s="403">
        <v>2017</v>
      </c>
      <c r="P59" s="403">
        <v>2018</v>
      </c>
      <c r="Q59" s="403">
        <v>2019</v>
      </c>
      <c r="R59" s="403">
        <v>2020</v>
      </c>
      <c r="V59" s="403">
        <v>2021</v>
      </c>
    </row>
    <row r="60" spans="13:29">
      <c r="M60" s="514">
        <v>42401</v>
      </c>
      <c r="O60" s="516">
        <f>2964/9787</f>
        <v>0.30285072034331256</v>
      </c>
      <c r="P60" s="516">
        <f>3105/10650</f>
        <v>0.29154929577464789</v>
      </c>
      <c r="Q60" s="516">
        <f>3297/10614</f>
        <v>0.31062747314867156</v>
      </c>
      <c r="R60" s="517">
        <f>2499/11093</f>
        <v>0.22527720183899758</v>
      </c>
    </row>
    <row r="61" spans="13:29">
      <c r="M61" s="514">
        <v>42583</v>
      </c>
      <c r="O61" s="435">
        <f>1119/6160</f>
        <v>0.18165584415584415</v>
      </c>
      <c r="P61" s="435">
        <f>1251/6395</f>
        <v>0.19562157935887411</v>
      </c>
      <c r="Q61" s="516">
        <f>1364/6675</f>
        <v>0.20434456928838951</v>
      </c>
      <c r="R61" s="517">
        <f>1500/6925</f>
        <v>0.21660649819494585</v>
      </c>
    </row>
    <row r="62" spans="13:29">
      <c r="M62" s="514">
        <v>42767</v>
      </c>
      <c r="O62" s="516">
        <f>810/5772</f>
        <v>0.14033264033264034</v>
      </c>
      <c r="P62" s="516">
        <f>909/5936</f>
        <v>0.153133423180593</v>
      </c>
      <c r="Q62" s="516">
        <f>1026/6139</f>
        <v>0.16712819677471902</v>
      </c>
      <c r="R62" s="517">
        <f>1153/6376</f>
        <v>0.18083437892095358</v>
      </c>
      <c r="V62" s="516">
        <f>1263/6657</f>
        <v>0.1897251013970257</v>
      </c>
    </row>
    <row r="63" spans="13:29">
      <c r="M63" s="514">
        <v>42826</v>
      </c>
      <c r="O63" s="516">
        <f>804/5786</f>
        <v>0.13895610093328725</v>
      </c>
      <c r="P63" s="516">
        <f>896/5936</f>
        <v>0.15094339622641509</v>
      </c>
      <c r="Q63" s="516">
        <f>1016/11350</f>
        <v>8.951541850220264E-2</v>
      </c>
      <c r="R63" s="517">
        <f>1139/6393</f>
        <v>0.17816361645549819</v>
      </c>
      <c r="V63" s="516">
        <f>1266/6608</f>
        <v>0.19158595641646489</v>
      </c>
    </row>
    <row r="64" spans="13:29">
      <c r="M64" s="514">
        <v>42917</v>
      </c>
      <c r="O64" s="516">
        <f>O11/O6</f>
        <v>0.14006677796327213</v>
      </c>
      <c r="P64" s="516">
        <f>P11/P6</f>
        <v>0.17118997912317327</v>
      </c>
      <c r="Q64" s="516">
        <f>Q11/Q6</f>
        <v>0.18175675675675676</v>
      </c>
      <c r="R64" s="517">
        <f>R11/R6</f>
        <v>0.19050723692789151</v>
      </c>
      <c r="V64" s="516">
        <f>S11/S6</f>
        <v>0.19807307307307306</v>
      </c>
    </row>
    <row r="65" spans="13:22">
      <c r="P65" s="412"/>
    </row>
    <row r="66" spans="13:22">
      <c r="M66" s="106" t="s">
        <v>934</v>
      </c>
      <c r="O66" s="516">
        <f>X11/X6</f>
        <v>0.17250036922168069</v>
      </c>
      <c r="P66" s="516">
        <f>Y11/Y6</f>
        <v>0.15258069377057229</v>
      </c>
      <c r="Q66" s="516">
        <f>Z11/Z6</f>
        <v>0.16457635831433201</v>
      </c>
      <c r="R66" s="517">
        <f>AA11/AA6</f>
        <v>0.17157150308866323</v>
      </c>
      <c r="V66" s="516">
        <f>AB11/AB6</f>
        <v>0.1805667408498372</v>
      </c>
    </row>
    <row r="68" spans="13:22">
      <c r="R68" s="518"/>
    </row>
  </sheetData>
  <pageMargins left="0" right="0" top="0" bottom="0" header="0" footer="0"/>
  <pageSetup paperSize="5" scale="64"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3"/>
  </sheetPr>
  <dimension ref="A1:AM112"/>
  <sheetViews>
    <sheetView workbookViewId="0">
      <selection sqref="A1:XFD1048576"/>
    </sheetView>
  </sheetViews>
  <sheetFormatPr defaultRowHeight="12.75"/>
  <cols>
    <col min="1" max="1" width="57.140625" style="1277" bestFit="1" customWidth="1"/>
    <col min="2" max="2" width="9.7109375" style="1277" bestFit="1" customWidth="1"/>
    <col min="3" max="3" width="10.42578125" style="1277" customWidth="1"/>
    <col min="4" max="4" width="9.7109375" style="1277" bestFit="1" customWidth="1"/>
    <col min="5" max="9" width="10.5703125" style="1277" bestFit="1" customWidth="1"/>
    <col min="10" max="11" width="9.5703125" style="1277" bestFit="1" customWidth="1"/>
    <col min="12" max="30" width="10.5703125" style="1277" bestFit="1" customWidth="1"/>
    <col min="31" max="39" width="9.140625" style="1277"/>
    <col min="40" max="16384" width="9.140625" style="473"/>
  </cols>
  <sheetData>
    <row r="1" spans="1:3" ht="25.5" customHeight="1"/>
    <row r="2" spans="1:3">
      <c r="A2" s="1278" t="s">
        <v>1721</v>
      </c>
      <c r="B2" s="1278" t="s">
        <v>1722</v>
      </c>
      <c r="C2" s="1279">
        <v>43200.801180555558</v>
      </c>
    </row>
    <row r="3" spans="1:3">
      <c r="A3" s="473" t="s">
        <v>1723</v>
      </c>
      <c r="B3" s="473" t="s">
        <v>1724</v>
      </c>
    </row>
    <row r="4" spans="1:3">
      <c r="A4" s="1276" t="s">
        <v>1725</v>
      </c>
      <c r="B4" s="473">
        <v>20.189990000000002</v>
      </c>
    </row>
    <row r="5" spans="1:3">
      <c r="A5" s="1276" t="s">
        <v>1726</v>
      </c>
      <c r="B5" s="473">
        <v>1.29905</v>
      </c>
    </row>
    <row r="6" spans="1:3">
      <c r="A6" s="1276" t="s">
        <v>1727</v>
      </c>
      <c r="B6" s="473">
        <v>3.41995</v>
      </c>
    </row>
    <row r="7" spans="1:3">
      <c r="A7" s="1276" t="s">
        <v>1728</v>
      </c>
      <c r="B7" s="473">
        <v>1.2698</v>
      </c>
    </row>
    <row r="8" spans="1:3">
      <c r="A8" s="1276" t="s">
        <v>1729</v>
      </c>
      <c r="B8" s="473">
        <v>6.3070000000000004</v>
      </c>
    </row>
    <row r="9" spans="1:3">
      <c r="A9" s="1276" t="s">
        <v>1730</v>
      </c>
      <c r="B9" s="473">
        <v>6.0444000000000004</v>
      </c>
    </row>
    <row r="10" spans="1:3">
      <c r="A10" s="1276" t="s">
        <v>1731</v>
      </c>
      <c r="B10" s="473">
        <v>0.81165500000000002</v>
      </c>
    </row>
    <row r="11" spans="1:3">
      <c r="A11" s="1276" t="s">
        <v>1732</v>
      </c>
      <c r="B11" s="473">
        <v>64.954999999999998</v>
      </c>
    </row>
    <row r="12" spans="1:3">
      <c r="A12" s="1276" t="s">
        <v>1733</v>
      </c>
      <c r="B12" s="473">
        <v>106.765</v>
      </c>
    </row>
    <row r="13" spans="1:3">
      <c r="A13" s="1276" t="s">
        <v>1734</v>
      </c>
      <c r="B13" s="473">
        <v>1069.7149999999999</v>
      </c>
    </row>
    <row r="14" spans="1:3">
      <c r="A14" s="1276" t="s">
        <v>1735</v>
      </c>
      <c r="B14" s="473">
        <v>18.351389999999999</v>
      </c>
    </row>
    <row r="15" spans="1:3">
      <c r="A15" s="1276" t="s">
        <v>1736</v>
      </c>
      <c r="B15" s="473">
        <v>12.090999999999999</v>
      </c>
    </row>
    <row r="16" spans="1:3">
      <c r="A16" s="1276" t="s">
        <v>1737</v>
      </c>
      <c r="B16" s="473">
        <v>0.7077</v>
      </c>
    </row>
    <row r="17" spans="1:39">
      <c r="A17" s="1276" t="s">
        <v>1738</v>
      </c>
      <c r="B17" s="473">
        <v>60.604999999999997</v>
      </c>
    </row>
    <row r="18" spans="1:39">
      <c r="A18" s="1276" t="s">
        <v>1739</v>
      </c>
      <c r="B18" s="473">
        <v>13764.5</v>
      </c>
    </row>
    <row r="19" spans="1:39">
      <c r="A19" s="1276" t="s">
        <v>1740</v>
      </c>
      <c r="B19" s="473">
        <v>4.0736999999999997</v>
      </c>
    </row>
    <row r="20" spans="1:39">
      <c r="A20" s="1276" t="s">
        <v>1741</v>
      </c>
      <c r="B20" s="473">
        <v>0.95620000000000005</v>
      </c>
    </row>
    <row r="21" spans="1:39">
      <c r="A21" s="1276" t="s">
        <v>1742</v>
      </c>
      <c r="B21" s="473">
        <v>29.254999999999999</v>
      </c>
    </row>
    <row r="22" spans="1:39">
      <c r="A22" s="1276" t="s">
        <v>1743</v>
      </c>
      <c r="B22" s="473">
        <v>3.7502499999999999</v>
      </c>
    </row>
    <row r="23" spans="1:39">
      <c r="A23" s="1276" t="s">
        <v>1744</v>
      </c>
      <c r="B23" s="473">
        <v>31.27</v>
      </c>
    </row>
    <row r="25" spans="1:39">
      <c r="A25" s="1280" t="s">
        <v>1662</v>
      </c>
      <c r="B25" s="1281"/>
      <c r="C25" s="1281"/>
      <c r="D25" s="1281"/>
      <c r="E25" s="1281"/>
      <c r="F25" s="1281"/>
      <c r="G25" s="1281"/>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row>
    <row r="26" spans="1:39">
      <c r="A26" s="1277" t="s">
        <v>1663</v>
      </c>
      <c r="B26" s="1282" t="s">
        <v>1664</v>
      </c>
      <c r="C26" s="1282" t="s">
        <v>1665</v>
      </c>
      <c r="D26" s="1282" t="s">
        <v>1666</v>
      </c>
      <c r="E26" s="1282" t="s">
        <v>1667</v>
      </c>
      <c r="F26" s="1282" t="s">
        <v>1668</v>
      </c>
      <c r="G26" s="1282" t="s">
        <v>1669</v>
      </c>
      <c r="H26" s="1282" t="s">
        <v>1670</v>
      </c>
      <c r="I26" s="1282" t="s">
        <v>1671</v>
      </c>
      <c r="J26" s="1282" t="s">
        <v>1672</v>
      </c>
      <c r="K26" s="1282" t="s">
        <v>1673</v>
      </c>
      <c r="L26" s="1282" t="s">
        <v>1674</v>
      </c>
      <c r="M26" s="1282" t="s">
        <v>1675</v>
      </c>
      <c r="N26" s="1282" t="s">
        <v>1676</v>
      </c>
      <c r="O26" s="1282" t="s">
        <v>1677</v>
      </c>
      <c r="P26" s="1282" t="s">
        <v>1678</v>
      </c>
      <c r="Q26" s="1282" t="s">
        <v>1679</v>
      </c>
      <c r="R26" s="1282" t="s">
        <v>1680</v>
      </c>
      <c r="S26" s="1282" t="s">
        <v>1681</v>
      </c>
      <c r="T26" s="1282" t="s">
        <v>1682</v>
      </c>
      <c r="U26" s="1282" t="s">
        <v>1683</v>
      </c>
      <c r="V26" s="1282" t="s">
        <v>1684</v>
      </c>
      <c r="W26" s="1282" t="s">
        <v>1685</v>
      </c>
      <c r="X26" s="1282" t="s">
        <v>1686</v>
      </c>
      <c r="Y26" s="1282" t="s">
        <v>1687</v>
      </c>
      <c r="Z26" s="1282" t="s">
        <v>1688</v>
      </c>
      <c r="AA26" s="1282" t="s">
        <v>1689</v>
      </c>
      <c r="AB26" s="1282" t="s">
        <v>1690</v>
      </c>
      <c r="AC26" s="1282" t="s">
        <v>1691</v>
      </c>
      <c r="AD26" s="1282" t="s">
        <v>1692</v>
      </c>
      <c r="AE26" s="1282" t="s">
        <v>1693</v>
      </c>
      <c r="AF26" s="1282" t="s">
        <v>1694</v>
      </c>
      <c r="AG26" s="1282" t="s">
        <v>1695</v>
      </c>
      <c r="AH26" s="1282" t="s">
        <v>1696</v>
      </c>
      <c r="AI26" s="1282" t="s">
        <v>1697</v>
      </c>
      <c r="AJ26" s="1282" t="s">
        <v>1698</v>
      </c>
      <c r="AK26" s="1282" t="s">
        <v>1699</v>
      </c>
    </row>
    <row r="27" spans="1:39">
      <c r="A27" s="1282" t="s">
        <v>1745</v>
      </c>
      <c r="B27" s="1283">
        <v>4.0124900000000006</v>
      </c>
      <c r="C27" s="1283">
        <v>4.0808</v>
      </c>
      <c r="D27" s="1283">
        <v>4.1630900000000004</v>
      </c>
      <c r="E27" s="1283">
        <v>4.2562700000000007</v>
      </c>
      <c r="F27" s="1283">
        <v>4.3395400000000004</v>
      </c>
      <c r="G27" s="1283">
        <v>4.4463500000000007</v>
      </c>
      <c r="H27" s="1283">
        <v>4.6077000000000004</v>
      </c>
      <c r="I27" s="1283">
        <v>4.7996100000000004</v>
      </c>
      <c r="J27" s="1283">
        <v>5.0134000000000007</v>
      </c>
      <c r="K27" s="1283">
        <v>5.2376000000000005</v>
      </c>
      <c r="L27" s="1283">
        <v>5.5811800000000007</v>
      </c>
      <c r="M27" s="1283">
        <v>6.0656000000000008</v>
      </c>
      <c r="N27" s="1283">
        <v>7.6009200000000003</v>
      </c>
      <c r="O27" s="1283">
        <v>8.0536700000000003</v>
      </c>
      <c r="P27" s="1283">
        <v>8.2922799999999999</v>
      </c>
      <c r="Q27" s="1283">
        <v>8.51112</v>
      </c>
      <c r="R27" s="1283">
        <v>8.6866500000000002</v>
      </c>
      <c r="S27" s="1283">
        <v>8.9583100000000009</v>
      </c>
      <c r="T27" s="1283">
        <v>9.2528900000000007</v>
      </c>
      <c r="U27" s="1283">
        <v>10.157520000000002</v>
      </c>
      <c r="V27" s="1283">
        <v>14.441120000000002</v>
      </c>
      <c r="W27" s="1283">
        <v>14.218090000000002</v>
      </c>
      <c r="X27" s="1283">
        <v>14.943040000000002</v>
      </c>
      <c r="Y27" s="1283">
        <v>15.462060000000001</v>
      </c>
      <c r="Z27" s="1283">
        <v>15.67252</v>
      </c>
      <c r="AA27" s="1283">
        <v>15.736650000000001</v>
      </c>
      <c r="AB27" s="1283">
        <v>17.285540000000001</v>
      </c>
      <c r="AC27" s="1283">
        <v>17.54402</v>
      </c>
      <c r="AD27" s="1283">
        <v>19.67867</v>
      </c>
      <c r="AE27" s="1283" t="s">
        <v>819</v>
      </c>
      <c r="AF27" s="1283" t="str">
        <f t="shared" ref="AF27:AK27" si="0">AE27</f>
        <v>NA</v>
      </c>
      <c r="AG27" s="1283" t="str">
        <f t="shared" si="0"/>
        <v>NA</v>
      </c>
      <c r="AH27" s="1283" t="str">
        <f t="shared" si="0"/>
        <v>NA</v>
      </c>
      <c r="AI27" s="1283" t="str">
        <f t="shared" si="0"/>
        <v>NA</v>
      </c>
      <c r="AJ27" s="1283" t="str">
        <f t="shared" si="0"/>
        <v>NA</v>
      </c>
      <c r="AK27" s="1283" t="str">
        <f t="shared" si="0"/>
        <v>NA</v>
      </c>
    </row>
    <row r="28" spans="1:39">
      <c r="A28" s="1282" t="s">
        <v>1746</v>
      </c>
      <c r="B28" s="1283">
        <v>0.99451000000000012</v>
      </c>
      <c r="C28" s="1283">
        <v>0.94105000000000005</v>
      </c>
      <c r="D28" s="1283">
        <v>0.95356000000000007</v>
      </c>
      <c r="E28" s="1283">
        <v>0.98796000000000006</v>
      </c>
      <c r="F28" s="1283">
        <v>0.94762000000000013</v>
      </c>
      <c r="G28" s="1283">
        <v>0.99071000000000009</v>
      </c>
      <c r="H28" s="1283">
        <v>0.96246000000000009</v>
      </c>
      <c r="I28" s="1283">
        <v>0.96315000000000006</v>
      </c>
      <c r="J28" s="1283">
        <v>0.96260000000000012</v>
      </c>
      <c r="K28" s="1283">
        <v>1.0102900000000001</v>
      </c>
      <c r="L28" s="1283">
        <v>1.09182</v>
      </c>
      <c r="M28" s="1283">
        <v>1.0791200000000001</v>
      </c>
      <c r="N28" s="1283">
        <v>1.1153300000000002</v>
      </c>
      <c r="O28" s="1283">
        <v>1.0717800000000002</v>
      </c>
      <c r="P28" s="1283">
        <v>1.0815400000000002</v>
      </c>
      <c r="Q28" s="1283">
        <v>1.1710400000000001</v>
      </c>
      <c r="R28" s="1283">
        <v>1.2719500000000001</v>
      </c>
      <c r="S28" s="1283">
        <v>1.28573</v>
      </c>
      <c r="T28" s="1283">
        <v>1.3792700000000002</v>
      </c>
      <c r="U28" s="1283">
        <v>1.38826</v>
      </c>
      <c r="V28" s="1283">
        <v>1.3844800000000002</v>
      </c>
      <c r="W28" s="1283">
        <v>1.3417600000000001</v>
      </c>
      <c r="X28" s="1283">
        <v>1.31881</v>
      </c>
      <c r="Y28" s="1283">
        <v>1.3353100000000002</v>
      </c>
      <c r="Z28" s="1283">
        <v>1.3193900000000001</v>
      </c>
      <c r="AA28" s="1283">
        <v>1.3319200000000002</v>
      </c>
      <c r="AB28" s="1283">
        <v>1.2666400000000002</v>
      </c>
      <c r="AC28" s="1283">
        <v>1.3010000000000002</v>
      </c>
      <c r="AD28" s="1283">
        <v>1.2724900000000001</v>
      </c>
      <c r="AE28" s="1283" t="s">
        <v>819</v>
      </c>
      <c r="AF28" s="1283" t="str">
        <f t="shared" ref="AF28:AK28" si="1">AE28</f>
        <v>NA</v>
      </c>
      <c r="AG28" s="1283" t="str">
        <f t="shared" si="1"/>
        <v>NA</v>
      </c>
      <c r="AH28" s="1283" t="str">
        <f t="shared" si="1"/>
        <v>NA</v>
      </c>
      <c r="AI28" s="1283" t="str">
        <f t="shared" si="1"/>
        <v>NA</v>
      </c>
      <c r="AJ28" s="1283" t="str">
        <f t="shared" si="1"/>
        <v>NA</v>
      </c>
      <c r="AK28" s="1283" t="str">
        <f t="shared" si="1"/>
        <v>NA</v>
      </c>
    </row>
    <row r="29" spans="1:39">
      <c r="A29" s="1282" t="s">
        <v>1747</v>
      </c>
      <c r="B29" s="1283">
        <v>1.6664000000000001</v>
      </c>
      <c r="C29" s="1283">
        <v>1.5944500000000001</v>
      </c>
      <c r="D29" s="1283">
        <v>1.6366700000000001</v>
      </c>
      <c r="E29" s="1283">
        <v>1.8007900000000001</v>
      </c>
      <c r="F29" s="1283">
        <v>1.7673100000000002</v>
      </c>
      <c r="G29" s="1283">
        <v>1.9636300000000002</v>
      </c>
      <c r="H29" s="1283">
        <v>2.0278</v>
      </c>
      <c r="I29" s="1283">
        <v>2.0581900000000002</v>
      </c>
      <c r="J29" s="1283">
        <v>1.9976900000000002</v>
      </c>
      <c r="K29" s="1283">
        <v>2.06826</v>
      </c>
      <c r="L29" s="1283">
        <v>2.2874700000000003</v>
      </c>
      <c r="M29" s="1283">
        <v>2.2772800000000002</v>
      </c>
      <c r="N29" s="1283">
        <v>2.3631800000000003</v>
      </c>
      <c r="O29" s="1283">
        <v>2.2287700000000004</v>
      </c>
      <c r="P29" s="1283">
        <v>2.2746900000000001</v>
      </c>
      <c r="Q29" s="1283">
        <v>2.5493400000000004</v>
      </c>
      <c r="R29" s="1283">
        <v>2.8678900000000001</v>
      </c>
      <c r="S29" s="1283">
        <v>3.0707100000000001</v>
      </c>
      <c r="T29" s="1283">
        <v>3.5413700000000001</v>
      </c>
      <c r="U29" s="1283">
        <v>3.8458600000000005</v>
      </c>
      <c r="V29" s="1283">
        <v>3.8964300000000005</v>
      </c>
      <c r="W29" s="1283">
        <v>3.5021300000000002</v>
      </c>
      <c r="X29" s="1283">
        <v>3.2458000000000005</v>
      </c>
      <c r="Y29" s="1283">
        <v>3.2937200000000004</v>
      </c>
      <c r="Z29" s="1283">
        <v>3.1431200000000001</v>
      </c>
      <c r="AA29" s="1283">
        <v>3.2155700000000005</v>
      </c>
      <c r="AB29" s="1283">
        <v>3.1619800000000002</v>
      </c>
      <c r="AC29" s="1283">
        <v>3.2499100000000003</v>
      </c>
      <c r="AD29" s="1283">
        <v>3.2462600000000004</v>
      </c>
      <c r="AE29" s="1283" t="s">
        <v>819</v>
      </c>
      <c r="AF29" s="1283" t="str">
        <f t="shared" ref="AF29:AK29" si="2">AE29</f>
        <v>NA</v>
      </c>
      <c r="AG29" s="1283" t="str">
        <f t="shared" si="2"/>
        <v>NA</v>
      </c>
      <c r="AH29" s="1283" t="str">
        <f t="shared" si="2"/>
        <v>NA</v>
      </c>
      <c r="AI29" s="1283" t="str">
        <f t="shared" si="2"/>
        <v>NA</v>
      </c>
      <c r="AJ29" s="1283" t="str">
        <f t="shared" si="2"/>
        <v>NA</v>
      </c>
      <c r="AK29" s="1283" t="str">
        <f t="shared" si="2"/>
        <v>NA</v>
      </c>
    </row>
    <row r="30" spans="1:39">
      <c r="A30" s="1282" t="s">
        <v>1748</v>
      </c>
      <c r="B30" s="1283">
        <v>0.98565000000000003</v>
      </c>
      <c r="C30" s="1283">
        <v>0.96757000000000004</v>
      </c>
      <c r="D30" s="1283">
        <v>0.98011000000000004</v>
      </c>
      <c r="E30" s="1283">
        <v>1.02301</v>
      </c>
      <c r="F30" s="1283">
        <v>1.0012400000000001</v>
      </c>
      <c r="G30" s="1283">
        <v>1.0103600000000001</v>
      </c>
      <c r="H30" s="1283">
        <v>0.99569000000000007</v>
      </c>
      <c r="I30" s="1283">
        <v>0.99130000000000007</v>
      </c>
      <c r="J30" s="1283">
        <v>1.0078</v>
      </c>
      <c r="K30" s="1283">
        <v>1.0233000000000001</v>
      </c>
      <c r="L30" s="1283">
        <v>1.03874</v>
      </c>
      <c r="M30" s="1283">
        <v>1.0495000000000001</v>
      </c>
      <c r="N30" s="1283">
        <v>1.1028100000000001</v>
      </c>
      <c r="O30" s="1283">
        <v>1.0902700000000001</v>
      </c>
      <c r="P30" s="1283">
        <v>1.0886200000000001</v>
      </c>
      <c r="Q30" s="1283">
        <v>1.13639</v>
      </c>
      <c r="R30" s="1283">
        <v>1.2402700000000002</v>
      </c>
      <c r="S30" s="1283">
        <v>1.2293000000000001</v>
      </c>
      <c r="T30" s="1283">
        <v>1.3083400000000001</v>
      </c>
      <c r="U30" s="1283">
        <v>1.3359800000000002</v>
      </c>
      <c r="V30" s="1283">
        <v>1.3721300000000001</v>
      </c>
      <c r="W30" s="1283">
        <v>1.28844</v>
      </c>
      <c r="X30" s="1283">
        <v>1.3041</v>
      </c>
      <c r="Y30" s="1283">
        <v>1.3349500000000001</v>
      </c>
      <c r="Z30" s="1283">
        <v>1.32386</v>
      </c>
      <c r="AA30" s="1283">
        <v>1.3444800000000001</v>
      </c>
      <c r="AB30" s="1283">
        <v>1.25353</v>
      </c>
      <c r="AC30" s="1283">
        <v>1.27071</v>
      </c>
      <c r="AD30" s="1283">
        <v>1.26475</v>
      </c>
      <c r="AE30" s="1283" t="s">
        <v>819</v>
      </c>
      <c r="AF30" s="1283" t="str">
        <f t="shared" ref="AF30:AK30" si="3">AE30</f>
        <v>NA</v>
      </c>
      <c r="AG30" s="1283" t="str">
        <f t="shared" si="3"/>
        <v>NA</v>
      </c>
      <c r="AH30" s="1283" t="str">
        <f t="shared" si="3"/>
        <v>NA</v>
      </c>
      <c r="AI30" s="1283" t="str">
        <f t="shared" si="3"/>
        <v>NA</v>
      </c>
      <c r="AJ30" s="1283" t="str">
        <f t="shared" si="3"/>
        <v>NA</v>
      </c>
      <c r="AK30" s="1283" t="str">
        <f t="shared" si="3"/>
        <v>NA</v>
      </c>
    </row>
    <row r="31" spans="1:39">
      <c r="A31" s="1282" t="s">
        <v>1749</v>
      </c>
      <c r="B31" s="1283">
        <v>6.5797900000000009</v>
      </c>
      <c r="C31" s="1283">
        <v>6.4989200000000009</v>
      </c>
      <c r="D31" s="1283">
        <v>6.4165300000000007</v>
      </c>
      <c r="E31" s="1283">
        <v>6.3581600000000007</v>
      </c>
      <c r="F31" s="1283">
        <v>6.3102700000000009</v>
      </c>
      <c r="G31" s="1283">
        <v>6.3317900000000007</v>
      </c>
      <c r="H31" s="1283">
        <v>6.3517000000000001</v>
      </c>
      <c r="I31" s="1283">
        <v>6.2442100000000007</v>
      </c>
      <c r="J31" s="1283">
        <v>6.2233800000000006</v>
      </c>
      <c r="K31" s="1283">
        <v>6.1544300000000005</v>
      </c>
      <c r="L31" s="1283">
        <v>6.1255900000000008</v>
      </c>
      <c r="M31" s="1283">
        <v>6.0906700000000003</v>
      </c>
      <c r="N31" s="1283">
        <v>6.1007900000000008</v>
      </c>
      <c r="O31" s="1283">
        <v>6.2316400000000005</v>
      </c>
      <c r="P31" s="1283">
        <v>6.1647600000000002</v>
      </c>
      <c r="Q31" s="1283">
        <v>6.1483200000000009</v>
      </c>
      <c r="R31" s="1283">
        <v>6.2359900000000001</v>
      </c>
      <c r="S31" s="1283">
        <v>6.2037300000000002</v>
      </c>
      <c r="T31" s="1283">
        <v>6.3034800000000004</v>
      </c>
      <c r="U31" s="1283">
        <v>6.3930700000000007</v>
      </c>
      <c r="V31" s="1283">
        <v>6.540210000000001</v>
      </c>
      <c r="W31" s="1283">
        <v>6.534040000000001</v>
      </c>
      <c r="X31" s="1283">
        <v>6.6661000000000001</v>
      </c>
      <c r="Y31" s="1283">
        <v>6.835020000000001</v>
      </c>
      <c r="Z31" s="1283">
        <v>6.8888600000000002</v>
      </c>
      <c r="AA31" s="1283">
        <v>6.8607300000000002</v>
      </c>
      <c r="AB31" s="1283">
        <v>6.6704100000000004</v>
      </c>
      <c r="AC31" s="1283">
        <v>6.6138400000000006</v>
      </c>
      <c r="AD31" s="1283">
        <v>6.3603000000000005</v>
      </c>
      <c r="AE31" s="1283" t="s">
        <v>819</v>
      </c>
      <c r="AF31" s="1283" t="str">
        <f t="shared" ref="AF31:AK31" si="4">AE31</f>
        <v>NA</v>
      </c>
      <c r="AG31" s="1283" t="str">
        <f t="shared" si="4"/>
        <v>NA</v>
      </c>
      <c r="AH31" s="1283" t="str">
        <f t="shared" si="4"/>
        <v>NA</v>
      </c>
      <c r="AI31" s="1283" t="str">
        <f t="shared" si="4"/>
        <v>NA</v>
      </c>
      <c r="AJ31" s="1283" t="str">
        <f t="shared" si="4"/>
        <v>NA</v>
      </c>
      <c r="AK31" s="1283" t="str">
        <f t="shared" si="4"/>
        <v>NA</v>
      </c>
    </row>
    <row r="32" spans="1:39">
      <c r="A32" s="1282" t="s">
        <v>1750</v>
      </c>
      <c r="B32" s="1283">
        <v>5.4468700000000005</v>
      </c>
      <c r="C32" s="1283">
        <v>5.1806800000000006</v>
      </c>
      <c r="D32" s="1283">
        <v>5.2755000000000001</v>
      </c>
      <c r="E32" s="1283">
        <v>5.5255500000000008</v>
      </c>
      <c r="F32" s="1283">
        <v>5.6688400000000003</v>
      </c>
      <c r="G32" s="1283">
        <v>5.7972000000000001</v>
      </c>
      <c r="H32" s="1283">
        <v>5.9544600000000001</v>
      </c>
      <c r="I32" s="1283">
        <v>5.7492800000000006</v>
      </c>
      <c r="J32" s="1283">
        <v>5.6521700000000008</v>
      </c>
      <c r="K32" s="1283">
        <v>5.7084600000000005</v>
      </c>
      <c r="L32" s="1283">
        <v>5.6278500000000005</v>
      </c>
      <c r="M32" s="1283">
        <v>5.4790500000000009</v>
      </c>
      <c r="N32" s="1283">
        <v>5.4459400000000002</v>
      </c>
      <c r="O32" s="1283">
        <v>5.4411300000000002</v>
      </c>
      <c r="P32" s="1283">
        <v>5.6257900000000003</v>
      </c>
      <c r="Q32" s="1283">
        <v>5.9605800000000002</v>
      </c>
      <c r="R32" s="1283">
        <v>6.6213100000000003</v>
      </c>
      <c r="S32" s="1283">
        <v>6.745400000000001</v>
      </c>
      <c r="T32" s="1283">
        <v>6.7092800000000006</v>
      </c>
      <c r="U32" s="1283">
        <v>6.8156900000000009</v>
      </c>
      <c r="V32" s="1283">
        <v>6.7600600000000002</v>
      </c>
      <c r="W32" s="1283">
        <v>6.5889200000000008</v>
      </c>
      <c r="X32" s="1283">
        <v>6.6676100000000007</v>
      </c>
      <c r="Y32" s="1283">
        <v>6.9049400000000007</v>
      </c>
      <c r="Z32" s="1283">
        <v>6.9796900000000006</v>
      </c>
      <c r="AA32" s="1283">
        <v>6.7571100000000008</v>
      </c>
      <c r="AB32" s="1283">
        <v>6.3297300000000005</v>
      </c>
      <c r="AC32" s="1283">
        <v>6.3199800000000002</v>
      </c>
      <c r="AD32" s="1283">
        <v>6.0616000000000003</v>
      </c>
      <c r="AE32" s="1283" t="s">
        <v>819</v>
      </c>
      <c r="AF32" s="1283" t="str">
        <f t="shared" ref="AF32:AK32" si="5">AE32</f>
        <v>NA</v>
      </c>
      <c r="AG32" s="1283" t="str">
        <f t="shared" si="5"/>
        <v>NA</v>
      </c>
      <c r="AH32" s="1283" t="str">
        <f t="shared" si="5"/>
        <v>NA</v>
      </c>
      <c r="AI32" s="1283" t="str">
        <f t="shared" si="5"/>
        <v>NA</v>
      </c>
      <c r="AJ32" s="1283" t="str">
        <f t="shared" si="5"/>
        <v>NA</v>
      </c>
      <c r="AK32" s="1283" t="str">
        <f t="shared" si="5"/>
        <v>NA</v>
      </c>
    </row>
    <row r="33" spans="1:39">
      <c r="A33" s="1282" t="s">
        <v>1751</v>
      </c>
      <c r="B33" s="1283">
        <v>0.73061399999999999</v>
      </c>
      <c r="C33" s="1283">
        <v>0.69459099999999996</v>
      </c>
      <c r="D33" s="1283">
        <v>0.70822200000000002</v>
      </c>
      <c r="E33" s="1283">
        <v>0.74272099999999996</v>
      </c>
      <c r="F33" s="1283">
        <v>0.76244999999999996</v>
      </c>
      <c r="G33" s="1283">
        <v>0.77972999999999992</v>
      </c>
      <c r="H33" s="1283">
        <v>0.79970699999999995</v>
      </c>
      <c r="I33" s="1283">
        <v>0.77074999999999994</v>
      </c>
      <c r="J33" s="1283">
        <v>0.75778099999999993</v>
      </c>
      <c r="K33" s="1283">
        <v>0.76562999999999992</v>
      </c>
      <c r="L33" s="1283">
        <v>0.75457999999999992</v>
      </c>
      <c r="M33" s="1283">
        <v>0.73451</v>
      </c>
      <c r="N33" s="1283">
        <v>0.72976699999999994</v>
      </c>
      <c r="O33" s="1283">
        <v>0.72908600000000001</v>
      </c>
      <c r="P33" s="1283">
        <v>0.75491799999999998</v>
      </c>
      <c r="Q33" s="1283">
        <v>0.80091000000000001</v>
      </c>
      <c r="R33" s="1283">
        <v>0.88852199999999992</v>
      </c>
      <c r="S33" s="1283">
        <v>0.903779</v>
      </c>
      <c r="T33" s="1283">
        <v>0.89905099999999993</v>
      </c>
      <c r="U33" s="1283">
        <v>0.91349799999999992</v>
      </c>
      <c r="V33" s="1283">
        <v>0.90600999999999998</v>
      </c>
      <c r="W33" s="1283">
        <v>0.88559199999999993</v>
      </c>
      <c r="X33" s="1283">
        <v>0.89585799999999993</v>
      </c>
      <c r="Y33" s="1283">
        <v>0.928199</v>
      </c>
      <c r="Z33" s="1283">
        <v>0.93867599999999995</v>
      </c>
      <c r="AA33" s="1283">
        <v>0.90841499999999997</v>
      </c>
      <c r="AB33" s="1283">
        <v>0.85097099999999992</v>
      </c>
      <c r="AC33" s="1283">
        <v>0.84911999999999999</v>
      </c>
      <c r="AD33" s="1283">
        <v>0.81395299999999993</v>
      </c>
      <c r="AE33" s="1283" t="s">
        <v>819</v>
      </c>
      <c r="AF33" s="1283" t="str">
        <f t="shared" ref="AF33:AK33" si="6">AE33</f>
        <v>NA</v>
      </c>
      <c r="AG33" s="1283" t="str">
        <f t="shared" si="6"/>
        <v>NA</v>
      </c>
      <c r="AH33" s="1283" t="str">
        <f t="shared" si="6"/>
        <v>NA</v>
      </c>
      <c r="AI33" s="1283" t="str">
        <f t="shared" si="6"/>
        <v>NA</v>
      </c>
      <c r="AJ33" s="1283" t="str">
        <f t="shared" si="6"/>
        <v>NA</v>
      </c>
      <c r="AK33" s="1283" t="str">
        <f t="shared" si="6"/>
        <v>NA</v>
      </c>
    </row>
    <row r="34" spans="1:39">
      <c r="A34" s="1282" t="s">
        <v>1752</v>
      </c>
      <c r="B34" s="1283">
        <v>45.207799999999999</v>
      </c>
      <c r="C34" s="1283">
        <v>44.702300000000001</v>
      </c>
      <c r="D34" s="1283">
        <v>45.818100000000001</v>
      </c>
      <c r="E34" s="1283">
        <v>50.814300000000003</v>
      </c>
      <c r="F34" s="1283">
        <v>50.223500000000001</v>
      </c>
      <c r="G34" s="1283">
        <v>54.006500000000003</v>
      </c>
      <c r="H34" s="1283">
        <v>55.137600000000006</v>
      </c>
      <c r="I34" s="1283">
        <v>54.162200000000006</v>
      </c>
      <c r="J34" s="1283">
        <v>54.1785</v>
      </c>
      <c r="K34" s="1283">
        <v>55.827600000000004</v>
      </c>
      <c r="L34" s="1283">
        <v>62.087200000000003</v>
      </c>
      <c r="M34" s="1283">
        <v>61.994800000000005</v>
      </c>
      <c r="N34" s="1283">
        <v>61.756100000000004</v>
      </c>
      <c r="O34" s="1283">
        <v>59.808600000000006</v>
      </c>
      <c r="P34" s="1283">
        <v>60.578400000000002</v>
      </c>
      <c r="Q34" s="1283">
        <v>61.951000000000001</v>
      </c>
      <c r="R34" s="1283">
        <v>62.2303</v>
      </c>
      <c r="S34" s="1283">
        <v>63.379400000000004</v>
      </c>
      <c r="T34" s="1283">
        <v>64.951999999999998</v>
      </c>
      <c r="U34" s="1283">
        <v>65.889300000000006</v>
      </c>
      <c r="V34" s="1283">
        <v>67.472000000000008</v>
      </c>
      <c r="W34" s="1283">
        <v>66.882900000000006</v>
      </c>
      <c r="X34" s="1283">
        <v>66.931200000000004</v>
      </c>
      <c r="Y34" s="1283">
        <v>67.418900000000008</v>
      </c>
      <c r="Z34" s="1283">
        <v>66.933500000000009</v>
      </c>
      <c r="AA34" s="1283">
        <v>64.478099999999998</v>
      </c>
      <c r="AB34" s="1283">
        <v>64.286600000000007</v>
      </c>
      <c r="AC34" s="1283">
        <v>64.723200000000006</v>
      </c>
      <c r="AD34" s="1283">
        <v>64.362200000000001</v>
      </c>
      <c r="AE34" s="1283" t="s">
        <v>819</v>
      </c>
      <c r="AF34" s="1283" t="str">
        <f t="shared" ref="AF34:AK34" si="7">AE34</f>
        <v>NA</v>
      </c>
      <c r="AG34" s="1283" t="str">
        <f t="shared" si="7"/>
        <v>NA</v>
      </c>
      <c r="AH34" s="1283" t="str">
        <f t="shared" si="7"/>
        <v>NA</v>
      </c>
      <c r="AI34" s="1283" t="str">
        <f t="shared" si="7"/>
        <v>NA</v>
      </c>
      <c r="AJ34" s="1283" t="str">
        <f t="shared" si="7"/>
        <v>NA</v>
      </c>
      <c r="AK34" s="1283" t="str">
        <f t="shared" si="7"/>
        <v>NA</v>
      </c>
    </row>
    <row r="35" spans="1:39">
      <c r="A35" s="1282" t="s">
        <v>1753</v>
      </c>
      <c r="B35" s="1283">
        <v>82.233900000000006</v>
      </c>
      <c r="C35" s="1283">
        <v>81.575400000000002</v>
      </c>
      <c r="D35" s="1283">
        <v>77.706500000000005</v>
      </c>
      <c r="E35" s="1283">
        <v>77.357100000000003</v>
      </c>
      <c r="F35" s="1283">
        <v>79.35990000000001</v>
      </c>
      <c r="G35" s="1283">
        <v>80.093900000000005</v>
      </c>
      <c r="H35" s="1283">
        <v>78.621600000000001</v>
      </c>
      <c r="I35" s="1283">
        <v>81.249200000000002</v>
      </c>
      <c r="J35" s="1283">
        <v>92.251800000000003</v>
      </c>
      <c r="K35" s="1283">
        <v>98.755800000000008</v>
      </c>
      <c r="L35" s="1283">
        <v>98.888199999999998</v>
      </c>
      <c r="M35" s="1283">
        <v>100.4803</v>
      </c>
      <c r="N35" s="1283">
        <v>102.8292</v>
      </c>
      <c r="O35" s="1283">
        <v>102.1405</v>
      </c>
      <c r="P35" s="1283">
        <v>104.0227</v>
      </c>
      <c r="Q35" s="1283">
        <v>114.54040000000001</v>
      </c>
      <c r="R35" s="1283">
        <v>119.1722</v>
      </c>
      <c r="S35" s="1283">
        <v>121.35770000000001</v>
      </c>
      <c r="T35" s="1283">
        <v>122.16220000000001</v>
      </c>
      <c r="U35" s="1283">
        <v>121.44770000000001</v>
      </c>
      <c r="V35" s="1283">
        <v>115.24260000000001</v>
      </c>
      <c r="W35" s="1283">
        <v>107.98110000000001</v>
      </c>
      <c r="X35" s="1283">
        <v>102.36760000000001</v>
      </c>
      <c r="Y35" s="1283">
        <v>109.62130000000001</v>
      </c>
      <c r="Z35" s="1283">
        <v>113.6178</v>
      </c>
      <c r="AA35" s="1283">
        <v>111.13430000000001</v>
      </c>
      <c r="AB35" s="1283">
        <v>110.97510000000001</v>
      </c>
      <c r="AC35" s="1283">
        <v>112.8951</v>
      </c>
      <c r="AD35" s="1283">
        <v>108.36550000000001</v>
      </c>
      <c r="AE35" s="1283" t="s">
        <v>819</v>
      </c>
      <c r="AF35" s="1283" t="str">
        <f t="shared" ref="AF35:AK35" si="8">AE35</f>
        <v>NA</v>
      </c>
      <c r="AG35" s="1283" t="str">
        <f t="shared" si="8"/>
        <v>NA</v>
      </c>
      <c r="AH35" s="1283" t="str">
        <f t="shared" si="8"/>
        <v>NA</v>
      </c>
      <c r="AI35" s="1283" t="str">
        <f t="shared" si="8"/>
        <v>NA</v>
      </c>
      <c r="AJ35" s="1283" t="str">
        <f t="shared" si="8"/>
        <v>NA</v>
      </c>
      <c r="AK35" s="1283" t="str">
        <f t="shared" si="8"/>
        <v>NA</v>
      </c>
    </row>
    <row r="36" spans="1:39">
      <c r="A36" s="1282" t="s">
        <v>1754</v>
      </c>
      <c r="B36" s="1283">
        <v>1119.4059999999999</v>
      </c>
      <c r="C36" s="1283">
        <v>1082.9660000000001</v>
      </c>
      <c r="D36" s="1283">
        <v>1084.431</v>
      </c>
      <c r="E36" s="1283">
        <v>1144.9570000000001</v>
      </c>
      <c r="F36" s="1283">
        <v>1130.6510000000001</v>
      </c>
      <c r="G36" s="1283">
        <v>1152.703</v>
      </c>
      <c r="H36" s="1283">
        <v>1133.135</v>
      </c>
      <c r="I36" s="1283">
        <v>1090.172</v>
      </c>
      <c r="J36" s="1283">
        <v>1085.23</v>
      </c>
      <c r="K36" s="1283">
        <v>1122.5340000000001</v>
      </c>
      <c r="L36" s="1283">
        <v>1109.413</v>
      </c>
      <c r="M36" s="1283">
        <v>1061.943</v>
      </c>
      <c r="N36" s="1283">
        <v>1069.6010000000001</v>
      </c>
      <c r="O36" s="1283">
        <v>1029.296</v>
      </c>
      <c r="P36" s="1283">
        <v>1026.857</v>
      </c>
      <c r="Q36" s="1283">
        <v>1087.7160000000001</v>
      </c>
      <c r="R36" s="1283">
        <v>1101.1490000000001</v>
      </c>
      <c r="S36" s="1283">
        <v>1097.7550000000001</v>
      </c>
      <c r="T36" s="1283">
        <v>1170.2090000000001</v>
      </c>
      <c r="U36" s="1283">
        <v>1157.7139999999999</v>
      </c>
      <c r="V36" s="1283">
        <v>1200.069</v>
      </c>
      <c r="W36" s="1283">
        <v>1163.221</v>
      </c>
      <c r="X36" s="1283">
        <v>1120.306</v>
      </c>
      <c r="Y36" s="1283">
        <v>1159.346</v>
      </c>
      <c r="Z36" s="1283">
        <v>1152.047</v>
      </c>
      <c r="AA36" s="1283">
        <v>1130.489</v>
      </c>
      <c r="AB36" s="1283">
        <v>1132.671</v>
      </c>
      <c r="AC36" s="1283">
        <v>1106.6870000000001</v>
      </c>
      <c r="AD36" s="1283">
        <v>1072.2760000000001</v>
      </c>
      <c r="AE36" s="1283" t="s">
        <v>819</v>
      </c>
      <c r="AF36" s="1283" t="str">
        <f t="shared" ref="AF36:AK36" si="9">AE36</f>
        <v>NA</v>
      </c>
      <c r="AG36" s="1283" t="str">
        <f t="shared" si="9"/>
        <v>NA</v>
      </c>
      <c r="AH36" s="1283" t="str">
        <f t="shared" si="9"/>
        <v>NA</v>
      </c>
      <c r="AI36" s="1283" t="str">
        <f t="shared" si="9"/>
        <v>NA</v>
      </c>
      <c r="AJ36" s="1283" t="str">
        <f t="shared" si="9"/>
        <v>NA</v>
      </c>
      <c r="AK36" s="1283" t="str">
        <f t="shared" si="9"/>
        <v>NA</v>
      </c>
    </row>
    <row r="37" spans="1:39">
      <c r="A37" s="1282" t="s">
        <v>1755</v>
      </c>
      <c r="B37" s="1283">
        <v>12.05944</v>
      </c>
      <c r="C37" s="1283">
        <v>11.720930000000001</v>
      </c>
      <c r="D37" s="1283">
        <v>12.339770000000001</v>
      </c>
      <c r="E37" s="1283">
        <v>13.65338</v>
      </c>
      <c r="F37" s="1283">
        <v>12.97559</v>
      </c>
      <c r="G37" s="1283">
        <v>13.54053</v>
      </c>
      <c r="H37" s="1283">
        <v>13.164670000000001</v>
      </c>
      <c r="I37" s="1283">
        <v>12.94711</v>
      </c>
      <c r="J37" s="1283">
        <v>12.6355</v>
      </c>
      <c r="K37" s="1283">
        <v>12.475390000000001</v>
      </c>
      <c r="L37" s="1283">
        <v>12.904290000000001</v>
      </c>
      <c r="M37" s="1283">
        <v>13.022300000000001</v>
      </c>
      <c r="N37" s="1283">
        <v>13.231910000000001</v>
      </c>
      <c r="O37" s="1283">
        <v>12.993600000000001</v>
      </c>
      <c r="P37" s="1283">
        <v>13.1218</v>
      </c>
      <c r="Q37" s="1283">
        <v>13.899960000000002</v>
      </c>
      <c r="R37" s="1283">
        <v>14.9526</v>
      </c>
      <c r="S37" s="1283">
        <v>15.322630000000002</v>
      </c>
      <c r="T37" s="1283">
        <v>16.443480000000001</v>
      </c>
      <c r="U37" s="1283">
        <v>16.76699</v>
      </c>
      <c r="V37" s="1283">
        <v>18.028790000000001</v>
      </c>
      <c r="W37" s="1283">
        <v>18.10585</v>
      </c>
      <c r="X37" s="1283">
        <v>18.763390000000001</v>
      </c>
      <c r="Y37" s="1283">
        <v>19.849</v>
      </c>
      <c r="Z37" s="1283">
        <v>20.300180000000001</v>
      </c>
      <c r="AA37" s="1283">
        <v>18.548030000000001</v>
      </c>
      <c r="AB37" s="1283">
        <v>17.819490000000002</v>
      </c>
      <c r="AC37" s="1283">
        <v>18.986650000000001</v>
      </c>
      <c r="AD37" s="1283">
        <v>18.7316</v>
      </c>
      <c r="AE37" s="1283" t="s">
        <v>819</v>
      </c>
      <c r="AF37" s="1283" t="str">
        <f t="shared" ref="AF37:AK37" si="10">AE37</f>
        <v>NA</v>
      </c>
      <c r="AG37" s="1283" t="str">
        <f t="shared" si="10"/>
        <v>NA</v>
      </c>
      <c r="AH37" s="1283" t="str">
        <f t="shared" si="10"/>
        <v>NA</v>
      </c>
      <c r="AI37" s="1283" t="str">
        <f t="shared" si="10"/>
        <v>NA</v>
      </c>
      <c r="AJ37" s="1283" t="str">
        <f t="shared" si="10"/>
        <v>NA</v>
      </c>
      <c r="AK37" s="1283" t="str">
        <f t="shared" si="10"/>
        <v>NA</v>
      </c>
    </row>
    <row r="38" spans="1:39">
      <c r="A38" s="1282" t="s">
        <v>1756</v>
      </c>
      <c r="B38" s="1283">
        <v>7.0003100000000007</v>
      </c>
      <c r="C38" s="1283">
        <v>6.7905000000000006</v>
      </c>
      <c r="D38" s="1283">
        <v>7.157280000000001</v>
      </c>
      <c r="E38" s="1283">
        <v>8.106110000000001</v>
      </c>
      <c r="F38" s="1283">
        <v>7.7529600000000007</v>
      </c>
      <c r="G38" s="1283">
        <v>8.1285100000000003</v>
      </c>
      <c r="H38" s="1283">
        <v>8.2606999999999999</v>
      </c>
      <c r="I38" s="1283">
        <v>8.69285</v>
      </c>
      <c r="J38" s="1283">
        <v>8.9490300000000005</v>
      </c>
      <c r="K38" s="1283">
        <v>9.4765700000000006</v>
      </c>
      <c r="L38" s="1283">
        <v>9.9935200000000002</v>
      </c>
      <c r="M38" s="1283">
        <v>10.158420000000001</v>
      </c>
      <c r="N38" s="1283">
        <v>10.856100000000001</v>
      </c>
      <c r="O38" s="1283">
        <v>10.54161</v>
      </c>
      <c r="P38" s="1283">
        <v>10.769100000000002</v>
      </c>
      <c r="Q38" s="1283">
        <v>11.227430000000002</v>
      </c>
      <c r="R38" s="1283">
        <v>11.746810000000002</v>
      </c>
      <c r="S38" s="1283">
        <v>12.083120000000001</v>
      </c>
      <c r="T38" s="1283">
        <v>13.005570000000001</v>
      </c>
      <c r="U38" s="1283">
        <v>14.244050000000001</v>
      </c>
      <c r="V38" s="1283">
        <v>15.811940000000002</v>
      </c>
      <c r="W38" s="1283">
        <v>15.001470000000001</v>
      </c>
      <c r="X38" s="1283">
        <v>14.066090000000001</v>
      </c>
      <c r="Y38" s="1283">
        <v>13.90971</v>
      </c>
      <c r="Z38" s="1283">
        <v>13.22906</v>
      </c>
      <c r="AA38" s="1283">
        <v>13.19617</v>
      </c>
      <c r="AB38" s="1283">
        <v>13.185310000000001</v>
      </c>
      <c r="AC38" s="1283">
        <v>13.619590000000001</v>
      </c>
      <c r="AD38" s="1283">
        <v>11.957040000000001</v>
      </c>
      <c r="AE38" s="1283" t="s">
        <v>819</v>
      </c>
      <c r="AF38" s="1283" t="str">
        <f t="shared" ref="AF38:AK38" si="11">AE38</f>
        <v>NA</v>
      </c>
      <c r="AG38" s="1283" t="str">
        <f t="shared" si="11"/>
        <v>NA</v>
      </c>
      <c r="AH38" s="1283" t="str">
        <f t="shared" si="11"/>
        <v>NA</v>
      </c>
      <c r="AI38" s="1283" t="str">
        <f t="shared" si="11"/>
        <v>NA</v>
      </c>
      <c r="AJ38" s="1283" t="str">
        <f t="shared" si="11"/>
        <v>NA</v>
      </c>
      <c r="AK38" s="1283" t="str">
        <f t="shared" si="11"/>
        <v>NA</v>
      </c>
    </row>
    <row r="39" spans="1:39">
      <c r="A39" s="1282" t="s">
        <v>1757</v>
      </c>
      <c r="B39" s="1283">
        <v>0.62390000000000001</v>
      </c>
      <c r="C39" s="1283">
        <v>0.61299999999999999</v>
      </c>
      <c r="D39" s="1283">
        <v>0.62130000000000007</v>
      </c>
      <c r="E39" s="1283">
        <v>0.63629999999999998</v>
      </c>
      <c r="F39" s="1283">
        <v>0.63629999999999998</v>
      </c>
      <c r="G39" s="1283">
        <v>0.63200000000000001</v>
      </c>
      <c r="H39" s="1283">
        <v>0.6331</v>
      </c>
      <c r="I39" s="1283">
        <v>0.62270000000000003</v>
      </c>
      <c r="J39" s="1283">
        <v>0.64470000000000005</v>
      </c>
      <c r="K39" s="1283">
        <v>0.65110000000000001</v>
      </c>
      <c r="L39" s="1283">
        <v>0.64500000000000002</v>
      </c>
      <c r="M39" s="1283">
        <v>0.61750000000000005</v>
      </c>
      <c r="N39" s="1283">
        <v>0.60430000000000006</v>
      </c>
      <c r="O39" s="1283">
        <v>0.59410000000000007</v>
      </c>
      <c r="P39" s="1283">
        <v>0.59910000000000008</v>
      </c>
      <c r="Q39" s="1283">
        <v>0.63190000000000002</v>
      </c>
      <c r="R39" s="1283">
        <v>0.6603</v>
      </c>
      <c r="S39" s="1283">
        <v>0.65250000000000008</v>
      </c>
      <c r="T39" s="1283">
        <v>0.64560000000000006</v>
      </c>
      <c r="U39" s="1283">
        <v>0.65950000000000009</v>
      </c>
      <c r="V39" s="1283">
        <v>0.69840000000000002</v>
      </c>
      <c r="W39" s="1283">
        <v>0.69730000000000003</v>
      </c>
      <c r="X39" s="1283">
        <v>0.76150000000000007</v>
      </c>
      <c r="Y39" s="1283">
        <v>0.8054</v>
      </c>
      <c r="Z39" s="1283">
        <v>0.80700000000000005</v>
      </c>
      <c r="AA39" s="1283">
        <v>0.78139999999999998</v>
      </c>
      <c r="AB39" s="1283">
        <v>0.76440000000000008</v>
      </c>
      <c r="AC39" s="1283">
        <v>0.75330000000000008</v>
      </c>
      <c r="AD39" s="1283">
        <v>0.71879999999999999</v>
      </c>
      <c r="AE39" s="1283" t="s">
        <v>819</v>
      </c>
      <c r="AF39" s="1283" t="str">
        <f t="shared" ref="AF39:AK39" si="12">AE39</f>
        <v>NA</v>
      </c>
      <c r="AG39" s="1283" t="str">
        <f t="shared" si="12"/>
        <v>NA</v>
      </c>
      <c r="AH39" s="1283" t="str">
        <f t="shared" si="12"/>
        <v>NA</v>
      </c>
      <c r="AI39" s="1283" t="str">
        <f t="shared" si="12"/>
        <v>NA</v>
      </c>
      <c r="AJ39" s="1283" t="str">
        <f t="shared" si="12"/>
        <v>NA</v>
      </c>
      <c r="AK39" s="1283" t="str">
        <f t="shared" si="12"/>
        <v>NA</v>
      </c>
    </row>
    <row r="40" spans="1:39">
      <c r="A40" s="1282" t="s">
        <v>1758</v>
      </c>
      <c r="B40" s="1283">
        <v>29.238200000000003</v>
      </c>
      <c r="C40" s="1283">
        <v>27.993200000000002</v>
      </c>
      <c r="D40" s="1283">
        <v>29.186</v>
      </c>
      <c r="E40" s="1283">
        <v>31.21</v>
      </c>
      <c r="F40" s="1283">
        <v>30.153400000000001</v>
      </c>
      <c r="G40" s="1283">
        <v>31.072900000000001</v>
      </c>
      <c r="H40" s="1283">
        <v>31.951000000000001</v>
      </c>
      <c r="I40" s="1283">
        <v>31.078400000000002</v>
      </c>
      <c r="J40" s="1283">
        <v>30.407</v>
      </c>
      <c r="K40" s="1283">
        <v>31.6568</v>
      </c>
      <c r="L40" s="1283">
        <v>32.788699999999999</v>
      </c>
      <c r="M40" s="1283">
        <v>32.553899999999999</v>
      </c>
      <c r="N40" s="1283">
        <v>35.031700000000001</v>
      </c>
      <c r="O40" s="1283">
        <v>34.978000000000002</v>
      </c>
      <c r="P40" s="1283">
        <v>36.3065</v>
      </c>
      <c r="Q40" s="1283">
        <v>48.046100000000003</v>
      </c>
      <c r="R40" s="1283">
        <v>62.821300000000001</v>
      </c>
      <c r="S40" s="1283">
        <v>52.695500000000003</v>
      </c>
      <c r="T40" s="1283">
        <v>63.181000000000004</v>
      </c>
      <c r="U40" s="1283">
        <v>66.151899999999998</v>
      </c>
      <c r="V40" s="1283">
        <v>74.534400000000005</v>
      </c>
      <c r="W40" s="1283">
        <v>65.760300000000001</v>
      </c>
      <c r="X40" s="1283">
        <v>64.589799999999997</v>
      </c>
      <c r="Y40" s="1283">
        <v>62.999200000000002</v>
      </c>
      <c r="Z40" s="1283">
        <v>58.706200000000003</v>
      </c>
      <c r="AA40" s="1283">
        <v>57.247100000000003</v>
      </c>
      <c r="AB40" s="1283">
        <v>58.945100000000004</v>
      </c>
      <c r="AC40" s="1283">
        <v>58.430400000000006</v>
      </c>
      <c r="AD40" s="1283">
        <v>56.884800000000006</v>
      </c>
      <c r="AE40" s="1283" t="s">
        <v>819</v>
      </c>
      <c r="AF40" s="1283" t="str">
        <f t="shared" ref="AF40:AK40" si="13">AE40</f>
        <v>NA</v>
      </c>
      <c r="AG40" s="1283" t="str">
        <f t="shared" si="13"/>
        <v>NA</v>
      </c>
      <c r="AH40" s="1283" t="str">
        <f t="shared" si="13"/>
        <v>NA</v>
      </c>
      <c r="AI40" s="1283" t="str">
        <f t="shared" si="13"/>
        <v>NA</v>
      </c>
      <c r="AJ40" s="1283" t="str">
        <f t="shared" si="13"/>
        <v>NA</v>
      </c>
      <c r="AK40" s="1283" t="str">
        <f t="shared" si="13"/>
        <v>NA</v>
      </c>
    </row>
    <row r="41" spans="1:39">
      <c r="A41" s="1282" t="s">
        <v>1759</v>
      </c>
      <c r="B41" s="1283">
        <v>8898.9500000000007</v>
      </c>
      <c r="C41" s="1283">
        <v>8589.0400000000009</v>
      </c>
      <c r="D41" s="1283">
        <v>8593.4600000000009</v>
      </c>
      <c r="E41" s="1283">
        <v>8973.56</v>
      </c>
      <c r="F41" s="1283">
        <v>9065.64</v>
      </c>
      <c r="G41" s="1283">
        <v>9273.15</v>
      </c>
      <c r="H41" s="1283">
        <v>9490.8000000000011</v>
      </c>
      <c r="I41" s="1283">
        <v>9614.76</v>
      </c>
      <c r="J41" s="1283">
        <v>9679.4</v>
      </c>
      <c r="K41" s="1283">
        <v>9780.3000000000011</v>
      </c>
      <c r="L41" s="1283">
        <v>10624.630000000001</v>
      </c>
      <c r="M41" s="1283">
        <v>11676.58</v>
      </c>
      <c r="N41" s="1283">
        <v>11839.49</v>
      </c>
      <c r="O41" s="1283">
        <v>11615.49</v>
      </c>
      <c r="P41" s="1283">
        <v>11755.23</v>
      </c>
      <c r="Q41" s="1283">
        <v>12250.18</v>
      </c>
      <c r="R41" s="1283">
        <v>12801.15</v>
      </c>
      <c r="S41" s="1283">
        <v>13128.220000000001</v>
      </c>
      <c r="T41" s="1283">
        <v>13851.74</v>
      </c>
      <c r="U41" s="1283">
        <v>13764.23</v>
      </c>
      <c r="V41" s="1283">
        <v>13521.050000000001</v>
      </c>
      <c r="W41" s="1283">
        <v>13310.92</v>
      </c>
      <c r="X41" s="1283">
        <v>13128.86</v>
      </c>
      <c r="Y41" s="1283">
        <v>13250.75</v>
      </c>
      <c r="Z41" s="1283">
        <v>13349.18</v>
      </c>
      <c r="AA41" s="1283">
        <v>13310.550000000001</v>
      </c>
      <c r="AB41" s="1283">
        <v>13332.65</v>
      </c>
      <c r="AC41" s="1283">
        <v>13537.79</v>
      </c>
      <c r="AD41" s="1283">
        <v>13579.220000000001</v>
      </c>
      <c r="AE41" s="1283" t="s">
        <v>819</v>
      </c>
      <c r="AF41" s="1283" t="str">
        <f t="shared" ref="AF41:AK41" si="14">AE41</f>
        <v>NA</v>
      </c>
      <c r="AG41" s="1283" t="str">
        <f t="shared" si="14"/>
        <v>NA</v>
      </c>
      <c r="AH41" s="1283" t="str">
        <f t="shared" si="14"/>
        <v>NA</v>
      </c>
      <c r="AI41" s="1283" t="str">
        <f t="shared" si="14"/>
        <v>NA</v>
      </c>
      <c r="AJ41" s="1283" t="str">
        <f t="shared" si="14"/>
        <v>NA</v>
      </c>
      <c r="AK41" s="1283" t="str">
        <f t="shared" si="14"/>
        <v>NA</v>
      </c>
    </row>
    <row r="42" spans="1:39">
      <c r="A42" s="1282" t="s">
        <v>1760</v>
      </c>
      <c r="B42" s="1283">
        <v>1.5775800000000002</v>
      </c>
      <c r="C42" s="1283">
        <v>1.5675400000000002</v>
      </c>
      <c r="D42" s="1283">
        <v>1.7382200000000001</v>
      </c>
      <c r="E42" s="1283">
        <v>1.83935</v>
      </c>
      <c r="F42" s="1283">
        <v>1.7966000000000002</v>
      </c>
      <c r="G42" s="1283">
        <v>1.8068500000000001</v>
      </c>
      <c r="H42" s="1283">
        <v>1.8032700000000002</v>
      </c>
      <c r="I42" s="1283">
        <v>1.7945200000000001</v>
      </c>
      <c r="J42" s="1283">
        <v>1.7854200000000002</v>
      </c>
      <c r="K42" s="1283">
        <v>1.8391400000000002</v>
      </c>
      <c r="L42" s="1283">
        <v>1.9694500000000001</v>
      </c>
      <c r="M42" s="1283">
        <v>2.02515</v>
      </c>
      <c r="N42" s="1283">
        <v>2.2142500000000003</v>
      </c>
      <c r="O42" s="1283">
        <v>2.1115900000000001</v>
      </c>
      <c r="P42" s="1283">
        <v>2.1637500000000003</v>
      </c>
      <c r="Q42" s="1283">
        <v>2.2626400000000002</v>
      </c>
      <c r="R42" s="1283">
        <v>2.4642700000000004</v>
      </c>
      <c r="S42" s="1283">
        <v>2.6648800000000001</v>
      </c>
      <c r="T42" s="1283">
        <v>2.8555600000000001</v>
      </c>
      <c r="U42" s="1283">
        <v>2.9075500000000001</v>
      </c>
      <c r="V42" s="1283">
        <v>2.9414600000000002</v>
      </c>
      <c r="W42" s="1283">
        <v>2.8979500000000002</v>
      </c>
      <c r="X42" s="1283">
        <v>2.9666100000000002</v>
      </c>
      <c r="Y42" s="1283">
        <v>3.2936600000000005</v>
      </c>
      <c r="Z42" s="1283">
        <v>3.6943700000000002</v>
      </c>
      <c r="AA42" s="1283">
        <v>3.5773400000000004</v>
      </c>
      <c r="AB42" s="1283">
        <v>3.5129000000000001</v>
      </c>
      <c r="AC42" s="1283">
        <v>3.8017500000000002</v>
      </c>
      <c r="AD42" s="1283">
        <v>3.8172100000000002</v>
      </c>
      <c r="AE42" s="1283" t="s">
        <v>819</v>
      </c>
      <c r="AF42" s="1283" t="str">
        <f t="shared" ref="AF42:AK42" si="15">AE42</f>
        <v>NA</v>
      </c>
      <c r="AG42" s="1283" t="str">
        <f t="shared" si="15"/>
        <v>NA</v>
      </c>
      <c r="AH42" s="1283" t="str">
        <f t="shared" si="15"/>
        <v>NA</v>
      </c>
      <c r="AI42" s="1283" t="str">
        <f t="shared" si="15"/>
        <v>NA</v>
      </c>
      <c r="AJ42" s="1283" t="str">
        <f t="shared" si="15"/>
        <v>NA</v>
      </c>
      <c r="AK42" s="1283" t="str">
        <f t="shared" si="15"/>
        <v>NA</v>
      </c>
    </row>
    <row r="43" spans="1:39">
      <c r="A43" s="1282" t="s">
        <v>1761</v>
      </c>
      <c r="B43" s="1283">
        <v>0.94081000000000004</v>
      </c>
      <c r="C43" s="1283">
        <v>0.86946000000000012</v>
      </c>
      <c r="D43" s="1283">
        <v>0.82527000000000006</v>
      </c>
      <c r="E43" s="1283">
        <v>0.91313000000000011</v>
      </c>
      <c r="F43" s="1283">
        <v>0.92099000000000009</v>
      </c>
      <c r="G43" s="1283">
        <v>0.93678000000000006</v>
      </c>
      <c r="H43" s="1283">
        <v>0.96245000000000003</v>
      </c>
      <c r="I43" s="1283">
        <v>0.93098000000000003</v>
      </c>
      <c r="J43" s="1283">
        <v>0.93060000000000009</v>
      </c>
      <c r="K43" s="1283">
        <v>0.94256000000000006</v>
      </c>
      <c r="L43" s="1283">
        <v>0.9313800000000001</v>
      </c>
      <c r="M43" s="1283">
        <v>0.90303000000000011</v>
      </c>
      <c r="N43" s="1283">
        <v>0.89283000000000012</v>
      </c>
      <c r="O43" s="1283">
        <v>0.8890300000000001</v>
      </c>
      <c r="P43" s="1283">
        <v>0.91463000000000005</v>
      </c>
      <c r="Q43" s="1283">
        <v>0.9646300000000001</v>
      </c>
      <c r="R43" s="1283">
        <v>0.95357000000000003</v>
      </c>
      <c r="S43" s="1283">
        <v>0.94138000000000011</v>
      </c>
      <c r="T43" s="1283">
        <v>0.96479000000000004</v>
      </c>
      <c r="U43" s="1283">
        <v>0.99077000000000004</v>
      </c>
      <c r="V43" s="1283">
        <v>0.99311000000000005</v>
      </c>
      <c r="W43" s="1283">
        <v>0.97094000000000003</v>
      </c>
      <c r="X43" s="1283">
        <v>0.97566000000000008</v>
      </c>
      <c r="Y43" s="1283">
        <v>1.0016100000000001</v>
      </c>
      <c r="Z43" s="1283">
        <v>1.0040500000000001</v>
      </c>
      <c r="AA43" s="1283">
        <v>0.98452000000000006</v>
      </c>
      <c r="AB43" s="1283">
        <v>0.96277000000000013</v>
      </c>
      <c r="AC43" s="1283">
        <v>0.98684000000000005</v>
      </c>
      <c r="AD43" s="1283">
        <v>0.94866000000000006</v>
      </c>
      <c r="AE43" s="1283" t="s">
        <v>819</v>
      </c>
      <c r="AF43" s="1283" t="str">
        <f t="shared" ref="AF43:AK43" si="16">AE43</f>
        <v>NA</v>
      </c>
      <c r="AG43" s="1283" t="str">
        <f t="shared" si="16"/>
        <v>NA</v>
      </c>
      <c r="AH43" s="1283" t="str">
        <f t="shared" si="16"/>
        <v>NA</v>
      </c>
      <c r="AI43" s="1283" t="str">
        <f t="shared" si="16"/>
        <v>NA</v>
      </c>
      <c r="AJ43" s="1283" t="str">
        <f t="shared" si="16"/>
        <v>NA</v>
      </c>
      <c r="AK43" s="1283" t="str">
        <f t="shared" si="16"/>
        <v>NA</v>
      </c>
    </row>
    <row r="44" spans="1:39">
      <c r="A44" s="1282" t="s">
        <v>1762</v>
      </c>
      <c r="B44" s="1283">
        <v>29.312800000000003</v>
      </c>
      <c r="C44" s="1283">
        <v>28.845800000000001</v>
      </c>
      <c r="D44" s="1283">
        <v>29.1738</v>
      </c>
      <c r="E44" s="1283">
        <v>30.258800000000001</v>
      </c>
      <c r="F44" s="1283">
        <v>29.692</v>
      </c>
      <c r="G44" s="1283">
        <v>29.6187</v>
      </c>
      <c r="H44" s="1283">
        <v>29.826400000000003</v>
      </c>
      <c r="I44" s="1283">
        <v>29.147200000000002</v>
      </c>
      <c r="J44" s="1283">
        <v>29.478900000000003</v>
      </c>
      <c r="K44" s="1283">
        <v>29.8491</v>
      </c>
      <c r="L44" s="1283">
        <v>29.852</v>
      </c>
      <c r="M44" s="1283">
        <v>29.5534</v>
      </c>
      <c r="N44" s="1283">
        <v>30.2819</v>
      </c>
      <c r="O44" s="1283">
        <v>30.109300000000001</v>
      </c>
      <c r="P44" s="1283">
        <v>30.017800000000001</v>
      </c>
      <c r="Q44" s="1283">
        <v>30.846500000000002</v>
      </c>
      <c r="R44" s="1283">
        <v>31.5456</v>
      </c>
      <c r="S44" s="1283">
        <v>30.837500000000002</v>
      </c>
      <c r="T44" s="1283">
        <v>32.009100000000004</v>
      </c>
      <c r="U44" s="1283">
        <v>32.64</v>
      </c>
      <c r="V44" s="1283">
        <v>33.070300000000003</v>
      </c>
      <c r="W44" s="1283">
        <v>32.406100000000002</v>
      </c>
      <c r="X44" s="1283">
        <v>31.700800000000001</v>
      </c>
      <c r="Y44" s="1283">
        <v>31.788800000000002</v>
      </c>
      <c r="Z44" s="1283">
        <v>31.063500000000001</v>
      </c>
      <c r="AA44" s="1283">
        <v>30.257800000000003</v>
      </c>
      <c r="AB44" s="1283">
        <v>30.262900000000002</v>
      </c>
      <c r="AC44" s="1283">
        <v>30.107800000000001</v>
      </c>
      <c r="AD44" s="1283">
        <v>29.2928</v>
      </c>
      <c r="AE44" s="1283" t="s">
        <v>819</v>
      </c>
      <c r="AF44" s="1283" t="str">
        <f t="shared" ref="AF44:AK44" si="17">AE44</f>
        <v>NA</v>
      </c>
      <c r="AG44" s="1283" t="str">
        <f t="shared" si="17"/>
        <v>NA</v>
      </c>
      <c r="AH44" s="1283" t="str">
        <f t="shared" si="17"/>
        <v>NA</v>
      </c>
      <c r="AI44" s="1283" t="str">
        <f t="shared" si="17"/>
        <v>NA</v>
      </c>
      <c r="AJ44" s="1283" t="str">
        <f t="shared" si="17"/>
        <v>NA</v>
      </c>
      <c r="AK44" s="1283" t="str">
        <f t="shared" si="17"/>
        <v>NA</v>
      </c>
    </row>
    <row r="45" spans="1:39">
      <c r="A45" s="1282" t="s">
        <v>1763</v>
      </c>
      <c r="B45" s="1283">
        <v>3.7502400000000002</v>
      </c>
      <c r="C45" s="1283">
        <v>3.7501800000000003</v>
      </c>
      <c r="D45" s="1283">
        <v>3.7502700000000004</v>
      </c>
      <c r="E45" s="1283">
        <v>3.7503300000000004</v>
      </c>
      <c r="F45" s="1283">
        <v>3.7503000000000002</v>
      </c>
      <c r="G45" s="1283">
        <v>3.7502900000000001</v>
      </c>
      <c r="H45" s="1283">
        <v>3.7502100000000005</v>
      </c>
      <c r="I45" s="1283">
        <v>3.7502000000000004</v>
      </c>
      <c r="J45" s="1283">
        <v>3.7502500000000003</v>
      </c>
      <c r="K45" s="1283">
        <v>3.7502400000000002</v>
      </c>
      <c r="L45" s="1283">
        <v>3.7503800000000003</v>
      </c>
      <c r="M45" s="1283">
        <v>3.7504100000000005</v>
      </c>
      <c r="N45" s="1283">
        <v>3.7503800000000003</v>
      </c>
      <c r="O45" s="1283">
        <v>3.7504900000000001</v>
      </c>
      <c r="P45" s="1283">
        <v>3.7504900000000001</v>
      </c>
      <c r="Q45" s="1283">
        <v>3.7522600000000002</v>
      </c>
      <c r="R45" s="1283">
        <v>3.7526600000000001</v>
      </c>
      <c r="S45" s="1283">
        <v>3.7503100000000003</v>
      </c>
      <c r="T45" s="1283">
        <v>3.7503400000000005</v>
      </c>
      <c r="U45" s="1283">
        <v>3.7508400000000002</v>
      </c>
      <c r="V45" s="1283">
        <v>3.7507000000000001</v>
      </c>
      <c r="W45" s="1283">
        <v>3.7503000000000002</v>
      </c>
      <c r="X45" s="1283">
        <v>3.7507100000000002</v>
      </c>
      <c r="Y45" s="1283">
        <v>3.7508400000000002</v>
      </c>
      <c r="Z45" s="1283">
        <v>3.7503800000000003</v>
      </c>
      <c r="AA45" s="1283">
        <v>3.7503300000000004</v>
      </c>
      <c r="AB45" s="1283">
        <v>3.7501900000000004</v>
      </c>
      <c r="AC45" s="1283">
        <v>3.7502900000000001</v>
      </c>
      <c r="AD45" s="1283">
        <v>3.7502600000000004</v>
      </c>
      <c r="AE45" s="1283" t="s">
        <v>819</v>
      </c>
      <c r="AF45" s="1283" t="str">
        <f t="shared" ref="AF45:AK45" si="18">AE45</f>
        <v>NA</v>
      </c>
      <c r="AG45" s="1283" t="str">
        <f t="shared" si="18"/>
        <v>NA</v>
      </c>
      <c r="AH45" s="1283" t="str">
        <f t="shared" si="18"/>
        <v>NA</v>
      </c>
      <c r="AI45" s="1283" t="str">
        <f t="shared" si="18"/>
        <v>NA</v>
      </c>
      <c r="AJ45" s="1283" t="str">
        <f t="shared" si="18"/>
        <v>NA</v>
      </c>
      <c r="AK45" s="1283" t="str">
        <f t="shared" si="18"/>
        <v>NA</v>
      </c>
    </row>
    <row r="46" spans="1:39">
      <c r="A46" s="1282" t="s">
        <v>1764</v>
      </c>
      <c r="B46" s="1283">
        <v>30.5334</v>
      </c>
      <c r="C46" s="1283">
        <v>30.276500000000002</v>
      </c>
      <c r="D46" s="1283">
        <v>30.136400000000002</v>
      </c>
      <c r="E46" s="1283">
        <v>31.0045</v>
      </c>
      <c r="F46" s="1283">
        <v>30.990300000000001</v>
      </c>
      <c r="G46" s="1283">
        <v>31.279500000000002</v>
      </c>
      <c r="H46" s="1283">
        <v>31.359300000000001</v>
      </c>
      <c r="I46" s="1283">
        <v>30.677300000000002</v>
      </c>
      <c r="J46" s="1283">
        <v>29.808</v>
      </c>
      <c r="K46" s="1283">
        <v>29.8658</v>
      </c>
      <c r="L46" s="1283">
        <v>31.444200000000002</v>
      </c>
      <c r="M46" s="1283">
        <v>31.738300000000002</v>
      </c>
      <c r="N46" s="1283">
        <v>32.644300000000001</v>
      </c>
      <c r="O46" s="1283">
        <v>32.447000000000003</v>
      </c>
      <c r="P46" s="1283">
        <v>32.108800000000002</v>
      </c>
      <c r="Q46" s="1283">
        <v>32.710100000000004</v>
      </c>
      <c r="R46" s="1283">
        <v>32.6462</v>
      </c>
      <c r="S46" s="1283">
        <v>33.251899999999999</v>
      </c>
      <c r="T46" s="1283">
        <v>35.246099999999998</v>
      </c>
      <c r="U46" s="1283">
        <v>35.83</v>
      </c>
      <c r="V46" s="1283">
        <v>35.638800000000003</v>
      </c>
      <c r="W46" s="1283">
        <v>35.264400000000002</v>
      </c>
      <c r="X46" s="1283">
        <v>34.8279</v>
      </c>
      <c r="Y46" s="1283">
        <v>35.411799999999999</v>
      </c>
      <c r="Z46" s="1283">
        <v>35.108000000000004</v>
      </c>
      <c r="AA46" s="1283">
        <v>34.297600000000003</v>
      </c>
      <c r="AB46" s="1283">
        <v>33.3718</v>
      </c>
      <c r="AC46" s="1283">
        <v>32.930100000000003</v>
      </c>
      <c r="AD46" s="1283">
        <v>31.567300000000003</v>
      </c>
      <c r="AE46" s="1283" t="s">
        <v>819</v>
      </c>
      <c r="AF46" s="1283" t="str">
        <f t="shared" ref="AF46:AK46" si="19">AE46</f>
        <v>NA</v>
      </c>
      <c r="AG46" s="1283" t="str">
        <f t="shared" si="19"/>
        <v>NA</v>
      </c>
      <c r="AH46" s="1283" t="str">
        <f t="shared" si="19"/>
        <v>NA</v>
      </c>
      <c r="AI46" s="1283" t="str">
        <f t="shared" si="19"/>
        <v>NA</v>
      </c>
      <c r="AJ46" s="1283" t="str">
        <f t="shared" si="19"/>
        <v>NA</v>
      </c>
      <c r="AK46" s="1283" t="str">
        <f t="shared" si="19"/>
        <v>NA</v>
      </c>
    </row>
    <row r="47" spans="1:39">
      <c r="A47" s="1280" t="s">
        <v>1700</v>
      </c>
      <c r="B47" s="1281"/>
      <c r="C47" s="1281"/>
      <c r="D47" s="1281"/>
      <c r="E47" s="1281"/>
      <c r="F47" s="1281"/>
      <c r="G47" s="1281"/>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row>
    <row r="48" spans="1:39">
      <c r="A48" s="1277" t="s">
        <v>1663</v>
      </c>
      <c r="B48" s="1284" t="s">
        <v>1701</v>
      </c>
      <c r="C48" s="1284" t="s">
        <v>1702</v>
      </c>
      <c r="D48" s="1284" t="s">
        <v>1703</v>
      </c>
      <c r="E48" s="1284" t="s">
        <v>1704</v>
      </c>
      <c r="F48" s="1284" t="s">
        <v>768</v>
      </c>
      <c r="G48" s="1284" t="s">
        <v>1705</v>
      </c>
      <c r="H48" s="1284" t="s">
        <v>1706</v>
      </c>
      <c r="I48" s="1284" t="s">
        <v>1707</v>
      </c>
      <c r="J48" s="1282">
        <f t="shared" ref="J48:R48" si="20">I48+1</f>
        <v>2019</v>
      </c>
      <c r="K48" s="1282">
        <f t="shared" si="20"/>
        <v>2020</v>
      </c>
      <c r="L48" s="1282">
        <f t="shared" si="20"/>
        <v>2021</v>
      </c>
      <c r="M48" s="1282">
        <f t="shared" si="20"/>
        <v>2022</v>
      </c>
      <c r="N48" s="1282">
        <f t="shared" si="20"/>
        <v>2023</v>
      </c>
      <c r="O48" s="1282">
        <f t="shared" si="20"/>
        <v>2024</v>
      </c>
      <c r="P48" s="1282">
        <f t="shared" si="20"/>
        <v>2025</v>
      </c>
      <c r="Q48" s="1282">
        <f t="shared" si="20"/>
        <v>2026</v>
      </c>
      <c r="R48" s="1282">
        <f t="shared" si="20"/>
        <v>2027</v>
      </c>
    </row>
    <row r="49" spans="1:18">
      <c r="A49" s="1282" t="s">
        <v>1765</v>
      </c>
      <c r="B49" s="1283">
        <v>4.1287500000000001</v>
      </c>
      <c r="C49" s="1283">
        <v>4.5492600000000003</v>
      </c>
      <c r="D49" s="1283">
        <v>5.4788900000000007</v>
      </c>
      <c r="E49" s="1283">
        <v>8.1186699999999998</v>
      </c>
      <c r="F49" s="1283">
        <v>9.2694400000000012</v>
      </c>
      <c r="G49" s="1283">
        <v>14.766760000000001</v>
      </c>
      <c r="H49" s="1283">
        <v>16.55968</v>
      </c>
      <c r="I49" s="1283" t="s">
        <v>819</v>
      </c>
      <c r="J49" s="1283" t="str">
        <f t="shared" ref="J49:R64" si="21">I49</f>
        <v>NA</v>
      </c>
      <c r="K49" s="1283" t="str">
        <f t="shared" si="21"/>
        <v>NA</v>
      </c>
      <c r="L49" s="1283" t="str">
        <f t="shared" si="21"/>
        <v>NA</v>
      </c>
      <c r="M49" s="1283" t="str">
        <f t="shared" si="21"/>
        <v>NA</v>
      </c>
      <c r="N49" s="1283" t="str">
        <f t="shared" si="21"/>
        <v>NA</v>
      </c>
      <c r="O49" s="1283" t="str">
        <f t="shared" si="21"/>
        <v>NA</v>
      </c>
      <c r="P49" s="1283" t="str">
        <f t="shared" si="21"/>
        <v>NA</v>
      </c>
      <c r="Q49" s="1283" t="str">
        <f t="shared" si="21"/>
        <v>NA</v>
      </c>
      <c r="R49" s="1283" t="str">
        <f t="shared" si="21"/>
        <v>NA</v>
      </c>
    </row>
    <row r="50" spans="1:18">
      <c r="A50" s="1282" t="s">
        <v>1766</v>
      </c>
      <c r="B50" s="1283">
        <v>0.96911000000000003</v>
      </c>
      <c r="C50" s="1283">
        <v>0.96597000000000011</v>
      </c>
      <c r="D50" s="1283">
        <v>1.0366200000000001</v>
      </c>
      <c r="E50" s="1283">
        <v>1.1100300000000001</v>
      </c>
      <c r="F50" s="1283">
        <v>1.3319300000000001</v>
      </c>
      <c r="G50" s="1283">
        <v>1.3449900000000001</v>
      </c>
      <c r="H50" s="1283">
        <v>1.30474</v>
      </c>
      <c r="I50" s="1283" t="s">
        <v>819</v>
      </c>
      <c r="J50" s="1283" t="str">
        <f t="shared" si="21"/>
        <v>NA</v>
      </c>
      <c r="K50" s="1283" t="str">
        <f t="shared" si="21"/>
        <v>NA</v>
      </c>
      <c r="L50" s="1283" t="str">
        <f t="shared" si="21"/>
        <v>NA</v>
      </c>
      <c r="M50" s="1283" t="str">
        <f t="shared" si="21"/>
        <v>NA</v>
      </c>
      <c r="N50" s="1283" t="str">
        <f t="shared" si="21"/>
        <v>NA</v>
      </c>
      <c r="O50" s="1283" t="str">
        <f t="shared" si="21"/>
        <v>NA</v>
      </c>
      <c r="P50" s="1283" t="str">
        <f t="shared" si="21"/>
        <v>NA</v>
      </c>
      <c r="Q50" s="1283" t="str">
        <f t="shared" si="21"/>
        <v>NA</v>
      </c>
      <c r="R50" s="1283" t="str">
        <f t="shared" si="21"/>
        <v>NA</v>
      </c>
    </row>
    <row r="51" spans="1:18">
      <c r="A51" s="1282" t="s">
        <v>1767</v>
      </c>
      <c r="B51" s="1283">
        <v>1.6744600000000001</v>
      </c>
      <c r="C51" s="1283">
        <v>1.9546300000000001</v>
      </c>
      <c r="D51" s="1283">
        <v>2.15924</v>
      </c>
      <c r="E51" s="1283">
        <v>2.3544</v>
      </c>
      <c r="F51" s="1283">
        <v>3.3360100000000004</v>
      </c>
      <c r="G51" s="1283">
        <v>3.4836100000000001</v>
      </c>
      <c r="H51" s="1283">
        <v>3.1926500000000004</v>
      </c>
      <c r="I51" s="1283" t="s">
        <v>819</v>
      </c>
      <c r="J51" s="1283" t="str">
        <f t="shared" si="21"/>
        <v>NA</v>
      </c>
      <c r="K51" s="1283" t="str">
        <f t="shared" si="21"/>
        <v>NA</v>
      </c>
      <c r="L51" s="1283" t="str">
        <f t="shared" si="21"/>
        <v>NA</v>
      </c>
      <c r="M51" s="1283" t="str">
        <f t="shared" si="21"/>
        <v>NA</v>
      </c>
      <c r="N51" s="1283" t="str">
        <f t="shared" si="21"/>
        <v>NA</v>
      </c>
      <c r="O51" s="1283" t="str">
        <f t="shared" si="21"/>
        <v>NA</v>
      </c>
      <c r="P51" s="1283" t="str">
        <f t="shared" si="21"/>
        <v>NA</v>
      </c>
      <c r="Q51" s="1283" t="str">
        <f t="shared" si="21"/>
        <v>NA</v>
      </c>
      <c r="R51" s="1283" t="str">
        <f t="shared" si="21"/>
        <v>NA</v>
      </c>
    </row>
    <row r="52" spans="1:18">
      <c r="A52" s="1282" t="s">
        <v>1768</v>
      </c>
      <c r="B52" s="1283">
        <v>0.98906000000000005</v>
      </c>
      <c r="C52" s="1283">
        <v>0.99962000000000006</v>
      </c>
      <c r="D52" s="1283">
        <v>1.03003</v>
      </c>
      <c r="E52" s="1283">
        <v>1.1045900000000002</v>
      </c>
      <c r="F52" s="1283">
        <v>1.27895</v>
      </c>
      <c r="G52" s="1283">
        <v>1.3248200000000001</v>
      </c>
      <c r="H52" s="1283">
        <v>1.2981500000000001</v>
      </c>
      <c r="I52" s="1283" t="s">
        <v>819</v>
      </c>
      <c r="J52" s="1283" t="str">
        <f t="shared" si="21"/>
        <v>NA</v>
      </c>
      <c r="K52" s="1283" t="str">
        <f t="shared" si="21"/>
        <v>NA</v>
      </c>
      <c r="L52" s="1283" t="str">
        <f t="shared" si="21"/>
        <v>NA</v>
      </c>
      <c r="M52" s="1283" t="str">
        <f t="shared" si="21"/>
        <v>NA</v>
      </c>
      <c r="N52" s="1283" t="str">
        <f t="shared" si="21"/>
        <v>NA</v>
      </c>
      <c r="O52" s="1283" t="str">
        <f t="shared" si="21"/>
        <v>NA</v>
      </c>
      <c r="P52" s="1283" t="str">
        <f t="shared" si="21"/>
        <v>NA</v>
      </c>
      <c r="Q52" s="1283" t="str">
        <f t="shared" si="21"/>
        <v>NA</v>
      </c>
      <c r="R52" s="1283" t="str">
        <f t="shared" si="21"/>
        <v>NA</v>
      </c>
    </row>
    <row r="53" spans="1:18">
      <c r="A53" s="1282" t="s">
        <v>1769</v>
      </c>
      <c r="B53" s="1283">
        <v>6.4627200000000009</v>
      </c>
      <c r="C53" s="1283">
        <v>6.3092400000000008</v>
      </c>
      <c r="D53" s="1283">
        <v>6.1479200000000009</v>
      </c>
      <c r="E53" s="1283">
        <v>6.1615700000000002</v>
      </c>
      <c r="F53" s="1283">
        <v>6.2847400000000002</v>
      </c>
      <c r="G53" s="1283">
        <v>6.6439300000000001</v>
      </c>
      <c r="H53" s="1283">
        <v>6.7584600000000004</v>
      </c>
      <c r="I53" s="1283" t="s">
        <v>819</v>
      </c>
      <c r="J53" s="1283" t="str">
        <f t="shared" si="21"/>
        <v>NA</v>
      </c>
      <c r="K53" s="1283" t="str">
        <f t="shared" si="21"/>
        <v>NA</v>
      </c>
      <c r="L53" s="1283" t="str">
        <f t="shared" si="21"/>
        <v>NA</v>
      </c>
      <c r="M53" s="1283" t="str">
        <f t="shared" si="21"/>
        <v>NA</v>
      </c>
      <c r="N53" s="1283" t="str">
        <f t="shared" si="21"/>
        <v>NA</v>
      </c>
      <c r="O53" s="1283" t="str">
        <f t="shared" si="21"/>
        <v>NA</v>
      </c>
      <c r="P53" s="1283" t="str">
        <f t="shared" si="21"/>
        <v>NA</v>
      </c>
      <c r="Q53" s="1283" t="str">
        <f t="shared" si="21"/>
        <v>NA</v>
      </c>
      <c r="R53" s="1283" t="str">
        <f t="shared" si="21"/>
        <v>NA</v>
      </c>
    </row>
    <row r="54" spans="1:18">
      <c r="A54" s="1282" t="s">
        <v>1770</v>
      </c>
      <c r="B54" s="1283">
        <v>5.3564900000000009</v>
      </c>
      <c r="C54" s="1283">
        <v>5.7922800000000008</v>
      </c>
      <c r="D54" s="1283">
        <v>5.6162600000000005</v>
      </c>
      <c r="E54" s="1283">
        <v>5.6203600000000007</v>
      </c>
      <c r="F54" s="1283">
        <v>6.7236100000000008</v>
      </c>
      <c r="G54" s="1283">
        <v>6.7301400000000005</v>
      </c>
      <c r="H54" s="1283">
        <v>6.5966300000000002</v>
      </c>
      <c r="I54" s="1283" t="s">
        <v>819</v>
      </c>
      <c r="J54" s="1283" t="str">
        <f t="shared" si="21"/>
        <v>NA</v>
      </c>
      <c r="K54" s="1283" t="str">
        <f t="shared" si="21"/>
        <v>NA</v>
      </c>
      <c r="L54" s="1283" t="str">
        <f t="shared" si="21"/>
        <v>NA</v>
      </c>
      <c r="M54" s="1283" t="str">
        <f t="shared" si="21"/>
        <v>NA</v>
      </c>
      <c r="N54" s="1283" t="str">
        <f t="shared" si="21"/>
        <v>NA</v>
      </c>
      <c r="O54" s="1283" t="str">
        <f t="shared" si="21"/>
        <v>NA</v>
      </c>
      <c r="P54" s="1283" t="str">
        <f t="shared" si="21"/>
        <v>NA</v>
      </c>
      <c r="Q54" s="1283" t="str">
        <f t="shared" si="21"/>
        <v>NA</v>
      </c>
      <c r="R54" s="1283" t="str">
        <f t="shared" si="21"/>
        <v>NA</v>
      </c>
    </row>
    <row r="55" spans="1:18">
      <c r="A55" s="1282" t="s">
        <v>1771</v>
      </c>
      <c r="B55" s="1283">
        <v>0.71895100000000001</v>
      </c>
      <c r="C55" s="1283">
        <v>0.77813100000000002</v>
      </c>
      <c r="D55" s="1283">
        <v>0.75304199999999999</v>
      </c>
      <c r="E55" s="1283">
        <v>0.75394699999999992</v>
      </c>
      <c r="F55" s="1283">
        <v>0.90129999999999999</v>
      </c>
      <c r="G55" s="1283">
        <v>0.90388399999999991</v>
      </c>
      <c r="H55" s="1283">
        <v>0.88679599999999992</v>
      </c>
      <c r="I55" s="1283" t="s">
        <v>819</v>
      </c>
      <c r="J55" s="1283" t="str">
        <f t="shared" si="21"/>
        <v>NA</v>
      </c>
      <c r="K55" s="1283" t="str">
        <f t="shared" si="21"/>
        <v>NA</v>
      </c>
      <c r="L55" s="1283" t="str">
        <f t="shared" si="21"/>
        <v>NA</v>
      </c>
      <c r="M55" s="1283" t="str">
        <f t="shared" si="21"/>
        <v>NA</v>
      </c>
      <c r="N55" s="1283" t="str">
        <f t="shared" si="21"/>
        <v>NA</v>
      </c>
      <c r="O55" s="1283" t="str">
        <f t="shared" si="21"/>
        <v>NA</v>
      </c>
      <c r="P55" s="1283" t="str">
        <f t="shared" si="21"/>
        <v>NA</v>
      </c>
      <c r="Q55" s="1283" t="str">
        <f t="shared" si="21"/>
        <v>NA</v>
      </c>
      <c r="R55" s="1283" t="str">
        <f t="shared" si="21"/>
        <v>NA</v>
      </c>
    </row>
    <row r="56" spans="1:18">
      <c r="A56" s="1282" t="s">
        <v>1772</v>
      </c>
      <c r="B56" s="1283">
        <v>46.638000000000005</v>
      </c>
      <c r="C56" s="1283">
        <v>53.385400000000004</v>
      </c>
      <c r="D56" s="1283">
        <v>58.565600000000003</v>
      </c>
      <c r="E56" s="1283">
        <v>61.022600000000004</v>
      </c>
      <c r="F56" s="1283">
        <v>64.13000000000001</v>
      </c>
      <c r="G56" s="1283">
        <v>67.175300000000007</v>
      </c>
      <c r="H56" s="1283">
        <v>65.105400000000003</v>
      </c>
      <c r="I56" s="1283" t="s">
        <v>819</v>
      </c>
      <c r="J56" s="1283" t="str">
        <f t="shared" si="21"/>
        <v>NA</v>
      </c>
      <c r="K56" s="1283" t="str">
        <f t="shared" si="21"/>
        <v>NA</v>
      </c>
      <c r="L56" s="1283" t="str">
        <f t="shared" si="21"/>
        <v>NA</v>
      </c>
      <c r="M56" s="1283" t="str">
        <f t="shared" si="21"/>
        <v>NA</v>
      </c>
      <c r="N56" s="1283" t="str">
        <f t="shared" si="21"/>
        <v>NA</v>
      </c>
      <c r="O56" s="1283" t="str">
        <f t="shared" si="21"/>
        <v>NA</v>
      </c>
      <c r="P56" s="1283" t="str">
        <f t="shared" si="21"/>
        <v>NA</v>
      </c>
      <c r="Q56" s="1283" t="str">
        <f t="shared" si="21"/>
        <v>NA</v>
      </c>
      <c r="R56" s="1283" t="str">
        <f t="shared" si="21"/>
        <v>NA</v>
      </c>
    </row>
    <row r="57" spans="1:18">
      <c r="A57" s="1282" t="s">
        <v>1773</v>
      </c>
      <c r="B57" s="1283">
        <v>79.700800000000001</v>
      </c>
      <c r="C57" s="1283">
        <v>79.836600000000004</v>
      </c>
      <c r="D57" s="1283">
        <v>97.630499999999998</v>
      </c>
      <c r="E57" s="1283">
        <v>105.92100000000001</v>
      </c>
      <c r="F57" s="1283">
        <v>121.048</v>
      </c>
      <c r="G57" s="1283">
        <v>108.77850000000001</v>
      </c>
      <c r="H57" s="1283">
        <v>112.15560000000001</v>
      </c>
      <c r="I57" s="1283" t="s">
        <v>819</v>
      </c>
      <c r="J57" s="1283" t="str">
        <f t="shared" si="21"/>
        <v>NA</v>
      </c>
      <c r="K57" s="1283" t="str">
        <f t="shared" si="21"/>
        <v>NA</v>
      </c>
      <c r="L57" s="1283" t="str">
        <f t="shared" si="21"/>
        <v>NA</v>
      </c>
      <c r="M57" s="1283" t="str">
        <f t="shared" si="21"/>
        <v>NA</v>
      </c>
      <c r="N57" s="1283" t="str">
        <f t="shared" si="21"/>
        <v>NA</v>
      </c>
      <c r="O57" s="1283" t="str">
        <f t="shared" si="21"/>
        <v>NA</v>
      </c>
      <c r="P57" s="1283" t="str">
        <f t="shared" si="21"/>
        <v>NA</v>
      </c>
      <c r="Q57" s="1283" t="str">
        <f t="shared" si="21"/>
        <v>NA</v>
      </c>
      <c r="R57" s="1283" t="str">
        <f t="shared" si="21"/>
        <v>NA</v>
      </c>
    </row>
    <row r="58" spans="1:18">
      <c r="A58" s="1282" t="s">
        <v>1774</v>
      </c>
      <c r="B58" s="1283">
        <v>1107.806</v>
      </c>
      <c r="C58" s="1283">
        <v>1126.5250000000001</v>
      </c>
      <c r="D58" s="1283">
        <v>1094.7470000000001</v>
      </c>
      <c r="E58" s="1283">
        <v>1053.335</v>
      </c>
      <c r="F58" s="1283">
        <v>1132.0709999999999</v>
      </c>
      <c r="G58" s="1283">
        <v>1160.5810000000001</v>
      </c>
      <c r="H58" s="1283">
        <v>1130.473</v>
      </c>
      <c r="I58" s="1283" t="s">
        <v>819</v>
      </c>
      <c r="J58" s="1283" t="str">
        <f t="shared" si="21"/>
        <v>NA</v>
      </c>
      <c r="K58" s="1283" t="str">
        <f t="shared" si="21"/>
        <v>NA</v>
      </c>
      <c r="L58" s="1283" t="str">
        <f t="shared" si="21"/>
        <v>NA</v>
      </c>
      <c r="M58" s="1283" t="str">
        <f t="shared" si="21"/>
        <v>NA</v>
      </c>
      <c r="N58" s="1283" t="str">
        <f t="shared" si="21"/>
        <v>NA</v>
      </c>
      <c r="O58" s="1283" t="str">
        <f t="shared" si="21"/>
        <v>NA</v>
      </c>
      <c r="P58" s="1283" t="str">
        <f t="shared" si="21"/>
        <v>NA</v>
      </c>
      <c r="Q58" s="1283" t="str">
        <f t="shared" si="21"/>
        <v>NA</v>
      </c>
      <c r="R58" s="1283" t="str">
        <f t="shared" si="21"/>
        <v>NA</v>
      </c>
    </row>
    <row r="59" spans="1:18">
      <c r="A59" s="1282" t="s">
        <v>1775</v>
      </c>
      <c r="B59" s="1283">
        <v>12.444460000000001</v>
      </c>
      <c r="C59" s="1283">
        <v>13.156170000000001</v>
      </c>
      <c r="D59" s="1283">
        <v>12.761410000000001</v>
      </c>
      <c r="E59" s="1283">
        <v>13.313650000000001</v>
      </c>
      <c r="F59" s="1283">
        <v>15.880570000000001</v>
      </c>
      <c r="G59" s="1283">
        <v>18.687050000000003</v>
      </c>
      <c r="H59" s="1283">
        <v>18.913590000000003</v>
      </c>
      <c r="I59" s="1283" t="s">
        <v>819</v>
      </c>
      <c r="J59" s="1283" t="str">
        <f t="shared" si="21"/>
        <v>NA</v>
      </c>
      <c r="K59" s="1283" t="str">
        <f t="shared" si="21"/>
        <v>NA</v>
      </c>
      <c r="L59" s="1283" t="str">
        <f t="shared" si="21"/>
        <v>NA</v>
      </c>
      <c r="M59" s="1283" t="str">
        <f t="shared" si="21"/>
        <v>NA</v>
      </c>
      <c r="N59" s="1283" t="str">
        <f t="shared" si="21"/>
        <v>NA</v>
      </c>
      <c r="O59" s="1283" t="str">
        <f t="shared" si="21"/>
        <v>NA</v>
      </c>
      <c r="P59" s="1283" t="str">
        <f t="shared" si="21"/>
        <v>NA</v>
      </c>
      <c r="Q59" s="1283" t="str">
        <f t="shared" si="21"/>
        <v>NA</v>
      </c>
      <c r="R59" s="1283" t="str">
        <f t="shared" si="21"/>
        <v>NA</v>
      </c>
    </row>
    <row r="60" spans="1:18">
      <c r="A60" s="1282" t="s">
        <v>1776</v>
      </c>
      <c r="B60" s="1283">
        <v>7.2641600000000004</v>
      </c>
      <c r="C60" s="1283">
        <v>8.2106100000000009</v>
      </c>
      <c r="D60" s="1283">
        <v>9.6503600000000009</v>
      </c>
      <c r="E60" s="1283">
        <v>10.849680000000001</v>
      </c>
      <c r="F60" s="1283">
        <v>12.780360000000002</v>
      </c>
      <c r="G60" s="1283">
        <v>14.694880000000001</v>
      </c>
      <c r="H60" s="1283">
        <v>13.307530000000002</v>
      </c>
      <c r="I60" s="1283" t="s">
        <v>819</v>
      </c>
      <c r="J60" s="1283" t="str">
        <f t="shared" si="21"/>
        <v>NA</v>
      </c>
      <c r="K60" s="1283" t="str">
        <f t="shared" si="21"/>
        <v>NA</v>
      </c>
      <c r="L60" s="1283" t="str">
        <f t="shared" si="21"/>
        <v>NA</v>
      </c>
      <c r="M60" s="1283" t="str">
        <f t="shared" si="21"/>
        <v>NA</v>
      </c>
      <c r="N60" s="1283" t="str">
        <f t="shared" si="21"/>
        <v>NA</v>
      </c>
      <c r="O60" s="1283" t="str">
        <f t="shared" si="21"/>
        <v>NA</v>
      </c>
      <c r="P60" s="1283" t="str">
        <f t="shared" si="21"/>
        <v>NA</v>
      </c>
      <c r="Q60" s="1283" t="str">
        <f t="shared" si="21"/>
        <v>NA</v>
      </c>
      <c r="R60" s="1283" t="str">
        <f t="shared" si="21"/>
        <v>NA</v>
      </c>
    </row>
    <row r="61" spans="1:18">
      <c r="A61" s="1282" t="s">
        <v>1777</v>
      </c>
      <c r="B61" s="1283">
        <v>0.62360000000000004</v>
      </c>
      <c r="C61" s="1283">
        <v>0.63100000000000001</v>
      </c>
      <c r="D61" s="1283">
        <v>0.63950000000000007</v>
      </c>
      <c r="E61" s="1283">
        <v>0.60740000000000005</v>
      </c>
      <c r="F61" s="1283">
        <v>0.65439999999999998</v>
      </c>
      <c r="G61" s="1283">
        <v>0.74070000000000003</v>
      </c>
      <c r="H61" s="1283">
        <v>0.77650000000000008</v>
      </c>
      <c r="I61" s="1283" t="s">
        <v>819</v>
      </c>
      <c r="J61" s="1283" t="str">
        <f t="shared" si="21"/>
        <v>NA</v>
      </c>
      <c r="K61" s="1283" t="str">
        <f t="shared" si="21"/>
        <v>NA</v>
      </c>
      <c r="L61" s="1283" t="str">
        <f t="shared" si="21"/>
        <v>NA</v>
      </c>
      <c r="M61" s="1283" t="str">
        <f t="shared" si="21"/>
        <v>NA</v>
      </c>
      <c r="N61" s="1283" t="str">
        <f t="shared" si="21"/>
        <v>NA</v>
      </c>
      <c r="O61" s="1283" t="str">
        <f t="shared" si="21"/>
        <v>NA</v>
      </c>
      <c r="P61" s="1283" t="str">
        <f t="shared" si="21"/>
        <v>NA</v>
      </c>
      <c r="Q61" s="1283" t="str">
        <f t="shared" si="21"/>
        <v>NA</v>
      </c>
      <c r="R61" s="1283" t="str">
        <f t="shared" si="21"/>
        <v>NA</v>
      </c>
    </row>
    <row r="62" spans="1:18">
      <c r="A62" s="1282" t="s">
        <v>1778</v>
      </c>
      <c r="B62" s="1283">
        <v>29.406700000000001</v>
      </c>
      <c r="C62" s="1283">
        <v>31.064</v>
      </c>
      <c r="D62" s="1283">
        <v>31.863400000000002</v>
      </c>
      <c r="E62" s="1283">
        <v>38.631700000000002</v>
      </c>
      <c r="F62" s="1283">
        <v>61.232700000000001</v>
      </c>
      <c r="G62" s="1283">
        <v>66.961799999999997</v>
      </c>
      <c r="H62" s="1283">
        <v>58.3322</v>
      </c>
      <c r="I62" s="1283" t="s">
        <v>819</v>
      </c>
      <c r="J62" s="1283" t="str">
        <f t="shared" si="21"/>
        <v>NA</v>
      </c>
      <c r="K62" s="1283" t="str">
        <f t="shared" si="21"/>
        <v>NA</v>
      </c>
      <c r="L62" s="1283" t="str">
        <f t="shared" si="21"/>
        <v>NA</v>
      </c>
      <c r="M62" s="1283" t="str">
        <f t="shared" si="21"/>
        <v>NA</v>
      </c>
      <c r="N62" s="1283" t="str">
        <f t="shared" si="21"/>
        <v>NA</v>
      </c>
      <c r="O62" s="1283" t="str">
        <f t="shared" si="21"/>
        <v>NA</v>
      </c>
      <c r="P62" s="1283" t="str">
        <f t="shared" si="21"/>
        <v>NA</v>
      </c>
      <c r="Q62" s="1283" t="str">
        <f t="shared" si="21"/>
        <v>NA</v>
      </c>
      <c r="R62" s="1283" t="str">
        <f t="shared" si="21"/>
        <v>NA</v>
      </c>
    </row>
    <row r="63" spans="1:18">
      <c r="A63" s="1282" t="s">
        <v>1779</v>
      </c>
      <c r="B63" s="1283">
        <v>8762.58</v>
      </c>
      <c r="C63" s="1283">
        <v>9362.06</v>
      </c>
      <c r="D63" s="1283">
        <v>10448.59</v>
      </c>
      <c r="E63" s="1283">
        <v>11866.25</v>
      </c>
      <c r="F63" s="1283">
        <v>13391.81</v>
      </c>
      <c r="G63" s="1283">
        <v>13302.23</v>
      </c>
      <c r="H63" s="1283">
        <v>13382.54</v>
      </c>
      <c r="I63" s="1283" t="s">
        <v>819</v>
      </c>
      <c r="J63" s="1283" t="str">
        <f t="shared" si="21"/>
        <v>NA</v>
      </c>
      <c r="K63" s="1283" t="str">
        <f t="shared" si="21"/>
        <v>NA</v>
      </c>
      <c r="L63" s="1283" t="str">
        <f t="shared" si="21"/>
        <v>NA</v>
      </c>
      <c r="M63" s="1283" t="str">
        <f t="shared" si="21"/>
        <v>NA</v>
      </c>
      <c r="N63" s="1283" t="str">
        <f t="shared" si="21"/>
        <v>NA</v>
      </c>
      <c r="O63" s="1283" t="str">
        <f t="shared" si="21"/>
        <v>NA</v>
      </c>
      <c r="P63" s="1283" t="str">
        <f t="shared" si="21"/>
        <v>NA</v>
      </c>
      <c r="Q63" s="1283" t="str">
        <f t="shared" si="21"/>
        <v>NA</v>
      </c>
      <c r="R63" s="1283" t="str">
        <f t="shared" si="21"/>
        <v>NA</v>
      </c>
    </row>
    <row r="64" spans="1:18">
      <c r="A64" s="1282" t="s">
        <v>1780</v>
      </c>
      <c r="B64" s="1283">
        <v>1.6812900000000002</v>
      </c>
      <c r="C64" s="1283">
        <v>1.8002900000000002</v>
      </c>
      <c r="D64" s="1283">
        <v>1.9059600000000001</v>
      </c>
      <c r="E64" s="1283">
        <v>2.1881500000000003</v>
      </c>
      <c r="F64" s="1283">
        <v>2.7252700000000001</v>
      </c>
      <c r="G64" s="1283">
        <v>3.0247000000000002</v>
      </c>
      <c r="H64" s="1283">
        <v>3.6465900000000002</v>
      </c>
      <c r="I64" s="1283" t="s">
        <v>819</v>
      </c>
      <c r="J64" s="1283" t="str">
        <f t="shared" si="21"/>
        <v>NA</v>
      </c>
      <c r="K64" s="1283" t="str">
        <f t="shared" si="21"/>
        <v>NA</v>
      </c>
      <c r="L64" s="1283" t="str">
        <f t="shared" si="21"/>
        <v>NA</v>
      </c>
      <c r="M64" s="1283" t="str">
        <f t="shared" si="21"/>
        <v>NA</v>
      </c>
      <c r="N64" s="1283" t="str">
        <f t="shared" si="21"/>
        <v>NA</v>
      </c>
      <c r="O64" s="1283" t="str">
        <f t="shared" si="21"/>
        <v>NA</v>
      </c>
      <c r="P64" s="1283" t="str">
        <f t="shared" si="21"/>
        <v>NA</v>
      </c>
      <c r="Q64" s="1283" t="str">
        <f t="shared" si="21"/>
        <v>NA</v>
      </c>
      <c r="R64" s="1283" t="str">
        <f t="shared" si="21"/>
        <v>NA</v>
      </c>
    </row>
    <row r="65" spans="1:39">
      <c r="A65" s="1282" t="s">
        <v>1781</v>
      </c>
      <c r="B65" s="1283">
        <v>0.88672000000000006</v>
      </c>
      <c r="C65" s="1283">
        <v>0.93778000000000006</v>
      </c>
      <c r="D65" s="1283">
        <v>0.92680000000000007</v>
      </c>
      <c r="E65" s="1283">
        <v>0.91555000000000009</v>
      </c>
      <c r="F65" s="1283">
        <v>0.96278000000000008</v>
      </c>
      <c r="G65" s="1283">
        <v>0.98529000000000011</v>
      </c>
      <c r="H65" s="1283">
        <v>0.98454000000000008</v>
      </c>
      <c r="I65" s="1283" t="s">
        <v>819</v>
      </c>
      <c r="J65" s="1283" t="str">
        <f t="shared" ref="J65:R68" si="22">I65</f>
        <v>NA</v>
      </c>
      <c r="K65" s="1283" t="str">
        <f t="shared" si="22"/>
        <v>NA</v>
      </c>
      <c r="L65" s="1283" t="str">
        <f t="shared" si="22"/>
        <v>NA</v>
      </c>
      <c r="M65" s="1283" t="str">
        <f t="shared" si="22"/>
        <v>NA</v>
      </c>
      <c r="N65" s="1283" t="str">
        <f t="shared" si="22"/>
        <v>NA</v>
      </c>
      <c r="O65" s="1283" t="str">
        <f t="shared" si="22"/>
        <v>NA</v>
      </c>
      <c r="P65" s="1283" t="str">
        <f t="shared" si="22"/>
        <v>NA</v>
      </c>
      <c r="Q65" s="1283" t="str">
        <f t="shared" si="22"/>
        <v>NA</v>
      </c>
      <c r="R65" s="1283" t="str">
        <f t="shared" si="22"/>
        <v>NA</v>
      </c>
    </row>
    <row r="66" spans="1:39">
      <c r="A66" s="1282" t="s">
        <v>1782</v>
      </c>
      <c r="B66" s="1283">
        <v>29.397300000000001</v>
      </c>
      <c r="C66" s="1283">
        <v>29.569500000000001</v>
      </c>
      <c r="D66" s="1283">
        <v>29.6843</v>
      </c>
      <c r="E66" s="1283">
        <v>30.314900000000002</v>
      </c>
      <c r="F66" s="1283">
        <v>31.763200000000001</v>
      </c>
      <c r="G66" s="1283">
        <v>32.239400000000003</v>
      </c>
      <c r="H66" s="1283">
        <v>30.423000000000002</v>
      </c>
      <c r="I66" s="1283" t="s">
        <v>819</v>
      </c>
      <c r="J66" s="1283" t="str">
        <f t="shared" si="22"/>
        <v>NA</v>
      </c>
      <c r="K66" s="1283" t="str">
        <f t="shared" si="22"/>
        <v>NA</v>
      </c>
      <c r="L66" s="1283" t="str">
        <f t="shared" si="22"/>
        <v>NA</v>
      </c>
      <c r="M66" s="1283" t="str">
        <f t="shared" si="22"/>
        <v>NA</v>
      </c>
      <c r="N66" s="1283" t="str">
        <f t="shared" si="22"/>
        <v>NA</v>
      </c>
      <c r="O66" s="1283" t="str">
        <f t="shared" si="22"/>
        <v>NA</v>
      </c>
      <c r="P66" s="1283" t="str">
        <f t="shared" si="22"/>
        <v>NA</v>
      </c>
      <c r="Q66" s="1283" t="str">
        <f t="shared" si="22"/>
        <v>NA</v>
      </c>
      <c r="R66" s="1283" t="str">
        <f t="shared" si="22"/>
        <v>NA</v>
      </c>
    </row>
    <row r="67" spans="1:39">
      <c r="A67" s="1282" t="s">
        <v>1783</v>
      </c>
      <c r="B67" s="1283">
        <v>3.7502600000000004</v>
      </c>
      <c r="C67" s="1283">
        <v>3.7502500000000003</v>
      </c>
      <c r="D67" s="1283">
        <v>3.7503200000000003</v>
      </c>
      <c r="E67" s="1283">
        <v>3.7509100000000002</v>
      </c>
      <c r="F67" s="1283">
        <v>3.7510300000000001</v>
      </c>
      <c r="G67" s="1283">
        <v>3.7506400000000002</v>
      </c>
      <c r="H67" s="1283">
        <v>3.7503000000000002</v>
      </c>
      <c r="I67" s="1283" t="s">
        <v>819</v>
      </c>
      <c r="J67" s="1283" t="str">
        <f t="shared" si="22"/>
        <v>NA</v>
      </c>
      <c r="K67" s="1283" t="str">
        <f t="shared" si="22"/>
        <v>NA</v>
      </c>
      <c r="L67" s="1283" t="str">
        <f t="shared" si="22"/>
        <v>NA</v>
      </c>
      <c r="M67" s="1283" t="str">
        <f t="shared" si="22"/>
        <v>NA</v>
      </c>
      <c r="N67" s="1283" t="str">
        <f t="shared" si="22"/>
        <v>NA</v>
      </c>
      <c r="O67" s="1283" t="str">
        <f t="shared" si="22"/>
        <v>NA</v>
      </c>
      <c r="P67" s="1283" t="str">
        <f t="shared" si="22"/>
        <v>NA</v>
      </c>
      <c r="Q67" s="1283" t="str">
        <f t="shared" si="22"/>
        <v>NA</v>
      </c>
      <c r="R67" s="1283" t="str">
        <f t="shared" si="22"/>
        <v>NA</v>
      </c>
    </row>
    <row r="68" spans="1:39">
      <c r="A68" s="1282" t="s">
        <v>1784</v>
      </c>
      <c r="B68" s="1283">
        <v>30.4861</v>
      </c>
      <c r="C68" s="1283">
        <v>31.075100000000003</v>
      </c>
      <c r="D68" s="1283">
        <v>30.724300000000003</v>
      </c>
      <c r="E68" s="1283">
        <v>32.476399999999998</v>
      </c>
      <c r="F68" s="1283">
        <v>34.259599999999999</v>
      </c>
      <c r="G68" s="1283">
        <v>35.283999999999999</v>
      </c>
      <c r="H68" s="1283">
        <v>33.926900000000003</v>
      </c>
      <c r="I68" s="1283" t="s">
        <v>819</v>
      </c>
      <c r="J68" s="1283" t="str">
        <f t="shared" si="22"/>
        <v>NA</v>
      </c>
      <c r="K68" s="1283" t="str">
        <f t="shared" si="22"/>
        <v>NA</v>
      </c>
      <c r="L68" s="1283" t="str">
        <f t="shared" si="22"/>
        <v>NA</v>
      </c>
      <c r="M68" s="1283" t="str">
        <f t="shared" si="22"/>
        <v>NA</v>
      </c>
      <c r="N68" s="1283" t="str">
        <f t="shared" si="22"/>
        <v>NA</v>
      </c>
      <c r="O68" s="1283" t="str">
        <f t="shared" si="22"/>
        <v>NA</v>
      </c>
      <c r="P68" s="1283" t="str">
        <f t="shared" si="22"/>
        <v>NA</v>
      </c>
      <c r="Q68" s="1283" t="str">
        <f t="shared" si="22"/>
        <v>NA</v>
      </c>
      <c r="R68" s="1283" t="str">
        <f t="shared" si="22"/>
        <v>NA</v>
      </c>
    </row>
    <row r="69" spans="1:39">
      <c r="A69" s="473"/>
      <c r="B69" s="473"/>
      <c r="C69" s="473"/>
      <c r="D69" s="473"/>
      <c r="E69" s="473"/>
      <c r="F69" s="473"/>
      <c r="G69" s="473"/>
      <c r="H69" s="473"/>
      <c r="I69" s="473"/>
      <c r="J69" s="473"/>
      <c r="K69" s="473"/>
      <c r="L69" s="473"/>
      <c r="M69" s="473"/>
      <c r="N69" s="473"/>
      <c r="O69" s="473"/>
      <c r="P69" s="473"/>
      <c r="Q69" s="473"/>
      <c r="R69" s="473"/>
      <c r="S69" s="473"/>
      <c r="T69" s="473"/>
      <c r="U69" s="473"/>
      <c r="V69" s="473"/>
      <c r="W69" s="473"/>
      <c r="X69" s="473"/>
      <c r="Y69" s="473"/>
      <c r="Z69" s="473"/>
      <c r="AA69" s="473"/>
      <c r="AB69" s="473"/>
      <c r="AC69" s="473"/>
      <c r="AD69" s="473"/>
      <c r="AE69" s="473"/>
      <c r="AF69" s="473"/>
      <c r="AG69" s="473"/>
      <c r="AH69" s="473"/>
      <c r="AI69" s="473"/>
      <c r="AJ69" s="473"/>
      <c r="AK69" s="473"/>
      <c r="AL69" s="473"/>
      <c r="AM69" s="473"/>
    </row>
    <row r="70" spans="1:39">
      <c r="A70" s="1285" t="s">
        <v>1792</v>
      </c>
      <c r="B70" s="1285" t="s">
        <v>1722</v>
      </c>
    </row>
    <row r="71" spans="1:39">
      <c r="A71" s="1277" t="s">
        <v>1785</v>
      </c>
      <c r="B71" s="1283">
        <f>$B$10</f>
        <v>0.81165500000000002</v>
      </c>
    </row>
    <row r="72" spans="1:39">
      <c r="A72" s="1277" t="s">
        <v>780</v>
      </c>
      <c r="B72" s="1283">
        <f>B20</f>
        <v>0.95620000000000005</v>
      </c>
    </row>
    <row r="73" spans="1:39">
      <c r="A73" s="1277" t="s">
        <v>584</v>
      </c>
      <c r="B73" s="1283">
        <f>B16</f>
        <v>0.7077</v>
      </c>
    </row>
    <row r="74" spans="1:39">
      <c r="A74" s="1277" t="s">
        <v>1786</v>
      </c>
      <c r="B74" s="1283">
        <f>B12</f>
        <v>106.765</v>
      </c>
    </row>
    <row r="75" spans="1:39">
      <c r="A75" s="1277" t="s">
        <v>1832</v>
      </c>
      <c r="B75" s="1283">
        <f>B8</f>
        <v>6.3070000000000004</v>
      </c>
    </row>
    <row r="76" spans="1:39">
      <c r="A76" s="1277" t="s">
        <v>1831</v>
      </c>
      <c r="B76" s="1283">
        <f>B7</f>
        <v>1.2698</v>
      </c>
    </row>
    <row r="77" spans="1:39">
      <c r="A77" s="1277" t="s">
        <v>1787</v>
      </c>
      <c r="B77" s="1283">
        <f>B4</f>
        <v>20.189990000000002</v>
      </c>
    </row>
    <row r="78" spans="1:39">
      <c r="A78" s="1277" t="s">
        <v>1788</v>
      </c>
      <c r="B78" s="1283">
        <f>B6</f>
        <v>3.41995</v>
      </c>
    </row>
    <row r="79" spans="1:39">
      <c r="A79" s="1277" t="s">
        <v>1789</v>
      </c>
      <c r="B79" s="1283">
        <f>B14</f>
        <v>18.351389999999999</v>
      </c>
    </row>
    <row r="80" spans="1:39">
      <c r="A80" s="1277" t="s">
        <v>1790</v>
      </c>
      <c r="B80" s="1283">
        <f>B11</f>
        <v>64.954999999999998</v>
      </c>
    </row>
    <row r="81" spans="1:39">
      <c r="A81" s="1277" t="s">
        <v>1791</v>
      </c>
      <c r="B81" s="1283">
        <f>B17</f>
        <v>60.604999999999997</v>
      </c>
    </row>
    <row r="83" spans="1:39">
      <c r="A83" s="1285" t="s">
        <v>1793</v>
      </c>
      <c r="B83" s="1285" t="str">
        <f>B26</f>
        <v>Q1 2011</v>
      </c>
      <c r="C83" s="1285" t="str">
        <f t="shared" ref="C83:AK83" si="23">C26</f>
        <v>Q2 2011</v>
      </c>
      <c r="D83" s="1285" t="str">
        <f t="shared" si="23"/>
        <v>Q3 2011</v>
      </c>
      <c r="E83" s="1285" t="str">
        <f t="shared" si="23"/>
        <v>Q4 2011</v>
      </c>
      <c r="F83" s="1285" t="str">
        <f t="shared" si="23"/>
        <v>Q1 2012</v>
      </c>
      <c r="G83" s="1285" t="str">
        <f t="shared" si="23"/>
        <v>Q2 2012</v>
      </c>
      <c r="H83" s="1285" t="str">
        <f t="shared" si="23"/>
        <v>Q3 2012</v>
      </c>
      <c r="I83" s="1285" t="str">
        <f t="shared" si="23"/>
        <v>Q4 2012</v>
      </c>
      <c r="J83" s="1285" t="str">
        <f t="shared" si="23"/>
        <v>Q1 2013</v>
      </c>
      <c r="K83" s="1285" t="str">
        <f t="shared" si="23"/>
        <v>Q2 2013</v>
      </c>
      <c r="L83" s="1285" t="str">
        <f t="shared" si="23"/>
        <v>Q3 2013</v>
      </c>
      <c r="M83" s="1285" t="str">
        <f t="shared" si="23"/>
        <v>Q4 2013</v>
      </c>
      <c r="N83" s="1285" t="str">
        <f t="shared" si="23"/>
        <v>Q1 2014</v>
      </c>
      <c r="O83" s="1285" t="str">
        <f t="shared" si="23"/>
        <v>Q2 2014</v>
      </c>
      <c r="P83" s="1285" t="str">
        <f t="shared" si="23"/>
        <v>Q3 2014</v>
      </c>
      <c r="Q83" s="1285" t="str">
        <f t="shared" si="23"/>
        <v>Q4 2014</v>
      </c>
      <c r="R83" s="1285" t="str">
        <f t="shared" si="23"/>
        <v>Q1 2015</v>
      </c>
      <c r="S83" s="1285" t="str">
        <f t="shared" si="23"/>
        <v>Q2 2015</v>
      </c>
      <c r="T83" s="1285" t="str">
        <f t="shared" si="23"/>
        <v>Q3 2015</v>
      </c>
      <c r="U83" s="1285" t="str">
        <f t="shared" si="23"/>
        <v>Q4 2015</v>
      </c>
      <c r="V83" s="1285" t="str">
        <f t="shared" si="23"/>
        <v>Q1 2016</v>
      </c>
      <c r="W83" s="1285" t="str">
        <f t="shared" si="23"/>
        <v>Q2 2016</v>
      </c>
      <c r="X83" s="1285" t="str">
        <f t="shared" si="23"/>
        <v>Q3 2016</v>
      </c>
      <c r="Y83" s="1285" t="str">
        <f t="shared" si="23"/>
        <v>Q4 2016</v>
      </c>
      <c r="Z83" s="1285" t="str">
        <f t="shared" si="23"/>
        <v>Q1 2017</v>
      </c>
      <c r="AA83" s="1285" t="str">
        <f t="shared" si="23"/>
        <v>Q2 2017</v>
      </c>
      <c r="AB83" s="1285" t="str">
        <f t="shared" si="23"/>
        <v>Q3 2017</v>
      </c>
      <c r="AC83" s="1285" t="str">
        <f t="shared" si="23"/>
        <v>Q4 2017</v>
      </c>
      <c r="AD83" s="1285" t="str">
        <f t="shared" si="23"/>
        <v>Q1 2018</v>
      </c>
      <c r="AE83" s="1285" t="str">
        <f t="shared" si="23"/>
        <v>Q2 2018</v>
      </c>
      <c r="AF83" s="1285" t="str">
        <f t="shared" si="23"/>
        <v>Q3 2018</v>
      </c>
      <c r="AG83" s="1285" t="str">
        <f t="shared" si="23"/>
        <v>Q4 2018</v>
      </c>
      <c r="AH83" s="1285" t="str">
        <f t="shared" si="23"/>
        <v>Q1 2019</v>
      </c>
      <c r="AI83" s="1285" t="str">
        <f t="shared" si="23"/>
        <v>Q2 2019</v>
      </c>
      <c r="AJ83" s="1285" t="str">
        <f t="shared" si="23"/>
        <v>Q3 2019</v>
      </c>
      <c r="AK83" s="1285" t="str">
        <f t="shared" si="23"/>
        <v>Q4 2019</v>
      </c>
      <c r="AL83" s="1286"/>
      <c r="AM83" s="1286"/>
    </row>
    <row r="84" spans="1:39">
      <c r="A84" s="1277" t="s">
        <v>1785</v>
      </c>
      <c r="B84" s="1283">
        <f>IFERROR(B$33/1,$B$71)</f>
        <v>0.73061399999999999</v>
      </c>
      <c r="C84" s="1283">
        <f t="shared" ref="C84:AK84" si="24">IFERROR(C$33/1,$B$71)</f>
        <v>0.69459099999999996</v>
      </c>
      <c r="D84" s="1283">
        <f t="shared" si="24"/>
        <v>0.70822200000000002</v>
      </c>
      <c r="E84" s="1283">
        <f t="shared" si="24"/>
        <v>0.74272099999999996</v>
      </c>
      <c r="F84" s="1283">
        <f t="shared" si="24"/>
        <v>0.76244999999999996</v>
      </c>
      <c r="G84" s="1283">
        <f t="shared" si="24"/>
        <v>0.77972999999999992</v>
      </c>
      <c r="H84" s="1283">
        <f t="shared" si="24"/>
        <v>0.79970699999999995</v>
      </c>
      <c r="I84" s="1283">
        <f t="shared" si="24"/>
        <v>0.77074999999999994</v>
      </c>
      <c r="J84" s="1283">
        <f t="shared" si="24"/>
        <v>0.75778099999999993</v>
      </c>
      <c r="K84" s="1283">
        <f t="shared" si="24"/>
        <v>0.76562999999999992</v>
      </c>
      <c r="L84" s="1283">
        <f t="shared" si="24"/>
        <v>0.75457999999999992</v>
      </c>
      <c r="M84" s="1283">
        <f t="shared" si="24"/>
        <v>0.73451</v>
      </c>
      <c r="N84" s="1283">
        <f t="shared" si="24"/>
        <v>0.72976699999999994</v>
      </c>
      <c r="O84" s="1283">
        <f t="shared" si="24"/>
        <v>0.72908600000000001</v>
      </c>
      <c r="P84" s="1283">
        <f t="shared" si="24"/>
        <v>0.75491799999999998</v>
      </c>
      <c r="Q84" s="1283">
        <f t="shared" si="24"/>
        <v>0.80091000000000001</v>
      </c>
      <c r="R84" s="1283">
        <f t="shared" si="24"/>
        <v>0.88852199999999992</v>
      </c>
      <c r="S84" s="1283">
        <f t="shared" si="24"/>
        <v>0.903779</v>
      </c>
      <c r="T84" s="1283">
        <f t="shared" si="24"/>
        <v>0.89905099999999993</v>
      </c>
      <c r="U84" s="1283">
        <f t="shared" si="24"/>
        <v>0.91349799999999992</v>
      </c>
      <c r="V84" s="1283">
        <f t="shared" si="24"/>
        <v>0.90600999999999998</v>
      </c>
      <c r="W84" s="1283">
        <f t="shared" si="24"/>
        <v>0.88559199999999993</v>
      </c>
      <c r="X84" s="1283">
        <f t="shared" si="24"/>
        <v>0.89585799999999993</v>
      </c>
      <c r="Y84" s="1283">
        <f t="shared" si="24"/>
        <v>0.928199</v>
      </c>
      <c r="Z84" s="1283">
        <f t="shared" si="24"/>
        <v>0.93867599999999995</v>
      </c>
      <c r="AA84" s="1283">
        <f t="shared" si="24"/>
        <v>0.90841499999999997</v>
      </c>
      <c r="AB84" s="1283">
        <f t="shared" si="24"/>
        <v>0.85097099999999992</v>
      </c>
      <c r="AC84" s="1283">
        <f t="shared" si="24"/>
        <v>0.84911999999999999</v>
      </c>
      <c r="AD84" s="1283">
        <f t="shared" si="24"/>
        <v>0.81395299999999993</v>
      </c>
      <c r="AE84" s="1283">
        <f t="shared" si="24"/>
        <v>0.81165500000000002</v>
      </c>
      <c r="AF84" s="1283">
        <f t="shared" si="24"/>
        <v>0.81165500000000002</v>
      </c>
      <c r="AG84" s="1283">
        <f t="shared" si="24"/>
        <v>0.81165500000000002</v>
      </c>
      <c r="AH84" s="1283">
        <f t="shared" si="24"/>
        <v>0.81165500000000002</v>
      </c>
      <c r="AI84" s="1283">
        <f t="shared" si="24"/>
        <v>0.81165500000000002</v>
      </c>
      <c r="AJ84" s="1283">
        <f t="shared" si="24"/>
        <v>0.81165500000000002</v>
      </c>
      <c r="AK84" s="1283">
        <f t="shared" si="24"/>
        <v>0.81165500000000002</v>
      </c>
    </row>
    <row r="85" spans="1:39">
      <c r="A85" s="1277" t="s">
        <v>780</v>
      </c>
      <c r="B85" s="1283">
        <f>IFERROR(B$43/1,$B$72)</f>
        <v>0.94081000000000004</v>
      </c>
      <c r="C85" s="1283">
        <f t="shared" ref="C85:AK85" si="25">IFERROR(C$43/1,$B$72)</f>
        <v>0.86946000000000012</v>
      </c>
      <c r="D85" s="1283">
        <f t="shared" si="25"/>
        <v>0.82527000000000006</v>
      </c>
      <c r="E85" s="1283">
        <f t="shared" si="25"/>
        <v>0.91313000000000011</v>
      </c>
      <c r="F85" s="1283">
        <f t="shared" si="25"/>
        <v>0.92099000000000009</v>
      </c>
      <c r="G85" s="1283">
        <f t="shared" si="25"/>
        <v>0.93678000000000006</v>
      </c>
      <c r="H85" s="1283">
        <f t="shared" si="25"/>
        <v>0.96245000000000003</v>
      </c>
      <c r="I85" s="1283">
        <f t="shared" si="25"/>
        <v>0.93098000000000003</v>
      </c>
      <c r="J85" s="1283">
        <f t="shared" si="25"/>
        <v>0.93060000000000009</v>
      </c>
      <c r="K85" s="1283">
        <f t="shared" si="25"/>
        <v>0.94256000000000006</v>
      </c>
      <c r="L85" s="1283">
        <f t="shared" si="25"/>
        <v>0.9313800000000001</v>
      </c>
      <c r="M85" s="1283">
        <f t="shared" si="25"/>
        <v>0.90303000000000011</v>
      </c>
      <c r="N85" s="1283">
        <f t="shared" si="25"/>
        <v>0.89283000000000012</v>
      </c>
      <c r="O85" s="1283">
        <f t="shared" si="25"/>
        <v>0.8890300000000001</v>
      </c>
      <c r="P85" s="1283">
        <f t="shared" si="25"/>
        <v>0.91463000000000005</v>
      </c>
      <c r="Q85" s="1283">
        <f t="shared" si="25"/>
        <v>0.9646300000000001</v>
      </c>
      <c r="R85" s="1283">
        <f t="shared" si="25"/>
        <v>0.95357000000000003</v>
      </c>
      <c r="S85" s="1283">
        <f t="shared" si="25"/>
        <v>0.94138000000000011</v>
      </c>
      <c r="T85" s="1283">
        <f t="shared" si="25"/>
        <v>0.96479000000000004</v>
      </c>
      <c r="U85" s="1283">
        <f t="shared" si="25"/>
        <v>0.99077000000000004</v>
      </c>
      <c r="V85" s="1283">
        <f t="shared" si="25"/>
        <v>0.99311000000000005</v>
      </c>
      <c r="W85" s="1283">
        <f t="shared" si="25"/>
        <v>0.97094000000000003</v>
      </c>
      <c r="X85" s="1283">
        <f t="shared" si="25"/>
        <v>0.97566000000000008</v>
      </c>
      <c r="Y85" s="1283">
        <f t="shared" si="25"/>
        <v>1.0016100000000001</v>
      </c>
      <c r="Z85" s="1283">
        <f t="shared" si="25"/>
        <v>1.0040500000000001</v>
      </c>
      <c r="AA85" s="1283">
        <f t="shared" si="25"/>
        <v>0.98452000000000006</v>
      </c>
      <c r="AB85" s="1283">
        <f t="shared" si="25"/>
        <v>0.96277000000000013</v>
      </c>
      <c r="AC85" s="1283">
        <f t="shared" si="25"/>
        <v>0.98684000000000005</v>
      </c>
      <c r="AD85" s="1283">
        <f t="shared" si="25"/>
        <v>0.94866000000000006</v>
      </c>
      <c r="AE85" s="1283">
        <f t="shared" si="25"/>
        <v>0.95620000000000005</v>
      </c>
      <c r="AF85" s="1283">
        <f t="shared" si="25"/>
        <v>0.95620000000000005</v>
      </c>
      <c r="AG85" s="1283">
        <f t="shared" si="25"/>
        <v>0.95620000000000005</v>
      </c>
      <c r="AH85" s="1283">
        <f t="shared" si="25"/>
        <v>0.95620000000000005</v>
      </c>
      <c r="AI85" s="1283">
        <f t="shared" si="25"/>
        <v>0.95620000000000005</v>
      </c>
      <c r="AJ85" s="1283">
        <f t="shared" si="25"/>
        <v>0.95620000000000005</v>
      </c>
      <c r="AK85" s="1283">
        <f t="shared" si="25"/>
        <v>0.95620000000000005</v>
      </c>
    </row>
    <row r="86" spans="1:39">
      <c r="A86" s="1277" t="s">
        <v>584</v>
      </c>
      <c r="B86" s="1283">
        <f>IFERROR(B$39/1,$B$73)</f>
        <v>0.62390000000000001</v>
      </c>
      <c r="C86" s="1283">
        <f t="shared" ref="C86:AK86" si="26">IFERROR(C$39/1,$B$73)</f>
        <v>0.61299999999999999</v>
      </c>
      <c r="D86" s="1283">
        <f t="shared" si="26"/>
        <v>0.62130000000000007</v>
      </c>
      <c r="E86" s="1283">
        <f t="shared" si="26"/>
        <v>0.63629999999999998</v>
      </c>
      <c r="F86" s="1283">
        <f t="shared" si="26"/>
        <v>0.63629999999999998</v>
      </c>
      <c r="G86" s="1283">
        <f t="shared" si="26"/>
        <v>0.63200000000000001</v>
      </c>
      <c r="H86" s="1283">
        <f t="shared" si="26"/>
        <v>0.6331</v>
      </c>
      <c r="I86" s="1283">
        <f t="shared" si="26"/>
        <v>0.62270000000000003</v>
      </c>
      <c r="J86" s="1283">
        <f t="shared" si="26"/>
        <v>0.64470000000000005</v>
      </c>
      <c r="K86" s="1283">
        <f t="shared" si="26"/>
        <v>0.65110000000000001</v>
      </c>
      <c r="L86" s="1283">
        <f t="shared" si="26"/>
        <v>0.64500000000000002</v>
      </c>
      <c r="M86" s="1283">
        <f t="shared" si="26"/>
        <v>0.61750000000000005</v>
      </c>
      <c r="N86" s="1283">
        <f t="shared" si="26"/>
        <v>0.60430000000000006</v>
      </c>
      <c r="O86" s="1283">
        <f t="shared" si="26"/>
        <v>0.59410000000000007</v>
      </c>
      <c r="P86" s="1283">
        <f t="shared" si="26"/>
        <v>0.59910000000000008</v>
      </c>
      <c r="Q86" s="1283">
        <f t="shared" si="26"/>
        <v>0.63190000000000002</v>
      </c>
      <c r="R86" s="1283">
        <f t="shared" si="26"/>
        <v>0.6603</v>
      </c>
      <c r="S86" s="1283">
        <f t="shared" si="26"/>
        <v>0.65250000000000008</v>
      </c>
      <c r="T86" s="1283">
        <f t="shared" si="26"/>
        <v>0.64560000000000006</v>
      </c>
      <c r="U86" s="1283">
        <f t="shared" si="26"/>
        <v>0.65950000000000009</v>
      </c>
      <c r="V86" s="1283">
        <f t="shared" si="26"/>
        <v>0.69840000000000002</v>
      </c>
      <c r="W86" s="1283">
        <f t="shared" si="26"/>
        <v>0.69730000000000003</v>
      </c>
      <c r="X86" s="1283">
        <f t="shared" si="26"/>
        <v>0.76150000000000007</v>
      </c>
      <c r="Y86" s="1283">
        <f t="shared" si="26"/>
        <v>0.8054</v>
      </c>
      <c r="Z86" s="1283">
        <f t="shared" si="26"/>
        <v>0.80700000000000005</v>
      </c>
      <c r="AA86" s="1283">
        <f t="shared" si="26"/>
        <v>0.78139999999999998</v>
      </c>
      <c r="AB86" s="1283">
        <f t="shared" si="26"/>
        <v>0.76440000000000008</v>
      </c>
      <c r="AC86" s="1283">
        <f t="shared" si="26"/>
        <v>0.75330000000000008</v>
      </c>
      <c r="AD86" s="1283">
        <f t="shared" si="26"/>
        <v>0.71879999999999999</v>
      </c>
      <c r="AE86" s="1283">
        <f t="shared" si="26"/>
        <v>0.7077</v>
      </c>
      <c r="AF86" s="1283">
        <f t="shared" si="26"/>
        <v>0.7077</v>
      </c>
      <c r="AG86" s="1283">
        <f t="shared" si="26"/>
        <v>0.7077</v>
      </c>
      <c r="AH86" s="1283">
        <f t="shared" si="26"/>
        <v>0.7077</v>
      </c>
      <c r="AI86" s="1283">
        <f t="shared" si="26"/>
        <v>0.7077</v>
      </c>
      <c r="AJ86" s="1283">
        <f t="shared" si="26"/>
        <v>0.7077</v>
      </c>
      <c r="AK86" s="1283">
        <f t="shared" si="26"/>
        <v>0.7077</v>
      </c>
    </row>
    <row r="87" spans="1:39">
      <c r="A87" s="1277" t="s">
        <v>1786</v>
      </c>
      <c r="B87" s="1283">
        <f>IFERROR(B35/1,$B$74)</f>
        <v>82.233900000000006</v>
      </c>
      <c r="C87" s="1283">
        <f t="shared" ref="C87:AK87" si="27">IFERROR(C35/1,$B$74)</f>
        <v>81.575400000000002</v>
      </c>
      <c r="D87" s="1283">
        <f t="shared" si="27"/>
        <v>77.706500000000005</v>
      </c>
      <c r="E87" s="1283">
        <f t="shared" si="27"/>
        <v>77.357100000000003</v>
      </c>
      <c r="F87" s="1283">
        <f t="shared" si="27"/>
        <v>79.35990000000001</v>
      </c>
      <c r="G87" s="1283">
        <f t="shared" si="27"/>
        <v>80.093900000000005</v>
      </c>
      <c r="H87" s="1283">
        <f t="shared" si="27"/>
        <v>78.621600000000001</v>
      </c>
      <c r="I87" s="1283">
        <f t="shared" si="27"/>
        <v>81.249200000000002</v>
      </c>
      <c r="J87" s="1283">
        <f t="shared" si="27"/>
        <v>92.251800000000003</v>
      </c>
      <c r="K87" s="1283">
        <f t="shared" si="27"/>
        <v>98.755800000000008</v>
      </c>
      <c r="L87" s="1283">
        <f t="shared" si="27"/>
        <v>98.888199999999998</v>
      </c>
      <c r="M87" s="1283">
        <f t="shared" si="27"/>
        <v>100.4803</v>
      </c>
      <c r="N87" s="1283">
        <f t="shared" si="27"/>
        <v>102.8292</v>
      </c>
      <c r="O87" s="1283">
        <f t="shared" si="27"/>
        <v>102.1405</v>
      </c>
      <c r="P87" s="1283">
        <f t="shared" si="27"/>
        <v>104.0227</v>
      </c>
      <c r="Q87" s="1283">
        <f t="shared" si="27"/>
        <v>114.54040000000001</v>
      </c>
      <c r="R87" s="1283">
        <f t="shared" si="27"/>
        <v>119.1722</v>
      </c>
      <c r="S87" s="1283">
        <f t="shared" si="27"/>
        <v>121.35770000000001</v>
      </c>
      <c r="T87" s="1283">
        <f t="shared" si="27"/>
        <v>122.16220000000001</v>
      </c>
      <c r="U87" s="1283">
        <f t="shared" si="27"/>
        <v>121.44770000000001</v>
      </c>
      <c r="V87" s="1283">
        <f t="shared" si="27"/>
        <v>115.24260000000001</v>
      </c>
      <c r="W87" s="1283">
        <f t="shared" si="27"/>
        <v>107.98110000000001</v>
      </c>
      <c r="X87" s="1283">
        <f t="shared" si="27"/>
        <v>102.36760000000001</v>
      </c>
      <c r="Y87" s="1283">
        <f t="shared" si="27"/>
        <v>109.62130000000001</v>
      </c>
      <c r="Z87" s="1283">
        <f t="shared" si="27"/>
        <v>113.6178</v>
      </c>
      <c r="AA87" s="1283">
        <f t="shared" si="27"/>
        <v>111.13430000000001</v>
      </c>
      <c r="AB87" s="1283">
        <f t="shared" si="27"/>
        <v>110.97510000000001</v>
      </c>
      <c r="AC87" s="1283">
        <f t="shared" si="27"/>
        <v>112.8951</v>
      </c>
      <c r="AD87" s="1283">
        <f t="shared" si="27"/>
        <v>108.36550000000001</v>
      </c>
      <c r="AE87" s="1283">
        <f t="shared" si="27"/>
        <v>106.765</v>
      </c>
      <c r="AF87" s="1283">
        <f t="shared" si="27"/>
        <v>106.765</v>
      </c>
      <c r="AG87" s="1283">
        <f t="shared" si="27"/>
        <v>106.765</v>
      </c>
      <c r="AH87" s="1283">
        <f t="shared" si="27"/>
        <v>106.765</v>
      </c>
      <c r="AI87" s="1283">
        <f t="shared" si="27"/>
        <v>106.765</v>
      </c>
      <c r="AJ87" s="1283">
        <f t="shared" si="27"/>
        <v>106.765</v>
      </c>
      <c r="AK87" s="1283">
        <f t="shared" si="27"/>
        <v>106.765</v>
      </c>
    </row>
    <row r="88" spans="1:39">
      <c r="A88" s="1277" t="s">
        <v>1832</v>
      </c>
      <c r="B88" s="1283">
        <f>IFERROR(B31/1,$B$75)</f>
        <v>6.5797900000000009</v>
      </c>
      <c r="C88" s="1283">
        <f t="shared" ref="C88:AK88" si="28">IFERROR(C31/1,$B$75)</f>
        <v>6.4989200000000009</v>
      </c>
      <c r="D88" s="1283">
        <f t="shared" si="28"/>
        <v>6.4165300000000007</v>
      </c>
      <c r="E88" s="1283">
        <f t="shared" si="28"/>
        <v>6.3581600000000007</v>
      </c>
      <c r="F88" s="1283">
        <f t="shared" si="28"/>
        <v>6.3102700000000009</v>
      </c>
      <c r="G88" s="1283">
        <f t="shared" si="28"/>
        <v>6.3317900000000007</v>
      </c>
      <c r="H88" s="1283">
        <f t="shared" si="28"/>
        <v>6.3517000000000001</v>
      </c>
      <c r="I88" s="1283">
        <f t="shared" si="28"/>
        <v>6.2442100000000007</v>
      </c>
      <c r="J88" s="1283">
        <f t="shared" si="28"/>
        <v>6.2233800000000006</v>
      </c>
      <c r="K88" s="1283">
        <f t="shared" si="28"/>
        <v>6.1544300000000005</v>
      </c>
      <c r="L88" s="1283">
        <f t="shared" si="28"/>
        <v>6.1255900000000008</v>
      </c>
      <c r="M88" s="1283">
        <f t="shared" si="28"/>
        <v>6.0906700000000003</v>
      </c>
      <c r="N88" s="1283">
        <f t="shared" si="28"/>
        <v>6.1007900000000008</v>
      </c>
      <c r="O88" s="1283">
        <f t="shared" si="28"/>
        <v>6.2316400000000005</v>
      </c>
      <c r="P88" s="1283">
        <f t="shared" si="28"/>
        <v>6.1647600000000002</v>
      </c>
      <c r="Q88" s="1283">
        <f t="shared" si="28"/>
        <v>6.1483200000000009</v>
      </c>
      <c r="R88" s="1283">
        <f t="shared" si="28"/>
        <v>6.2359900000000001</v>
      </c>
      <c r="S88" s="1283">
        <f t="shared" si="28"/>
        <v>6.2037300000000002</v>
      </c>
      <c r="T88" s="1283">
        <f t="shared" si="28"/>
        <v>6.3034800000000004</v>
      </c>
      <c r="U88" s="1283">
        <f t="shared" si="28"/>
        <v>6.3930700000000007</v>
      </c>
      <c r="V88" s="1283">
        <f t="shared" si="28"/>
        <v>6.540210000000001</v>
      </c>
      <c r="W88" s="1283">
        <f t="shared" si="28"/>
        <v>6.534040000000001</v>
      </c>
      <c r="X88" s="1283">
        <f t="shared" si="28"/>
        <v>6.6661000000000001</v>
      </c>
      <c r="Y88" s="1283">
        <f t="shared" si="28"/>
        <v>6.835020000000001</v>
      </c>
      <c r="Z88" s="1283">
        <f t="shared" si="28"/>
        <v>6.8888600000000002</v>
      </c>
      <c r="AA88" s="1283">
        <f t="shared" si="28"/>
        <v>6.8607300000000002</v>
      </c>
      <c r="AB88" s="1283">
        <f t="shared" si="28"/>
        <v>6.6704100000000004</v>
      </c>
      <c r="AC88" s="1283">
        <f t="shared" si="28"/>
        <v>6.6138400000000006</v>
      </c>
      <c r="AD88" s="1283">
        <f t="shared" si="28"/>
        <v>6.3603000000000005</v>
      </c>
      <c r="AE88" s="1283">
        <f t="shared" si="28"/>
        <v>6.3070000000000004</v>
      </c>
      <c r="AF88" s="1283">
        <f t="shared" si="28"/>
        <v>6.3070000000000004</v>
      </c>
      <c r="AG88" s="1283">
        <f t="shared" si="28"/>
        <v>6.3070000000000004</v>
      </c>
      <c r="AH88" s="1283">
        <f t="shared" si="28"/>
        <v>6.3070000000000004</v>
      </c>
      <c r="AI88" s="1283">
        <f t="shared" si="28"/>
        <v>6.3070000000000004</v>
      </c>
      <c r="AJ88" s="1283">
        <f t="shared" si="28"/>
        <v>6.3070000000000004</v>
      </c>
      <c r="AK88" s="1283">
        <f t="shared" si="28"/>
        <v>6.3070000000000004</v>
      </c>
    </row>
    <row r="89" spans="1:39">
      <c r="A89" s="1277" t="s">
        <v>1831</v>
      </c>
      <c r="B89" s="1283">
        <f>IFERROR(B30/1,$B$76)</f>
        <v>0.98565000000000003</v>
      </c>
      <c r="C89" s="1283">
        <f t="shared" ref="C89:AK89" si="29">IFERROR(C30/1,$B$76)</f>
        <v>0.96757000000000004</v>
      </c>
      <c r="D89" s="1283">
        <f t="shared" si="29"/>
        <v>0.98011000000000004</v>
      </c>
      <c r="E89" s="1283">
        <f t="shared" si="29"/>
        <v>1.02301</v>
      </c>
      <c r="F89" s="1283">
        <f t="shared" si="29"/>
        <v>1.0012400000000001</v>
      </c>
      <c r="G89" s="1283">
        <f t="shared" si="29"/>
        <v>1.0103600000000001</v>
      </c>
      <c r="H89" s="1283">
        <f t="shared" si="29"/>
        <v>0.99569000000000007</v>
      </c>
      <c r="I89" s="1283">
        <f t="shared" si="29"/>
        <v>0.99130000000000007</v>
      </c>
      <c r="J89" s="1283">
        <f t="shared" si="29"/>
        <v>1.0078</v>
      </c>
      <c r="K89" s="1283">
        <f t="shared" si="29"/>
        <v>1.0233000000000001</v>
      </c>
      <c r="L89" s="1283">
        <f t="shared" si="29"/>
        <v>1.03874</v>
      </c>
      <c r="M89" s="1283">
        <f t="shared" si="29"/>
        <v>1.0495000000000001</v>
      </c>
      <c r="N89" s="1283">
        <f t="shared" si="29"/>
        <v>1.1028100000000001</v>
      </c>
      <c r="O89" s="1283">
        <f t="shared" si="29"/>
        <v>1.0902700000000001</v>
      </c>
      <c r="P89" s="1283">
        <f t="shared" si="29"/>
        <v>1.0886200000000001</v>
      </c>
      <c r="Q89" s="1283">
        <f t="shared" si="29"/>
        <v>1.13639</v>
      </c>
      <c r="R89" s="1283">
        <f t="shared" si="29"/>
        <v>1.2402700000000002</v>
      </c>
      <c r="S89" s="1283">
        <f t="shared" si="29"/>
        <v>1.2293000000000001</v>
      </c>
      <c r="T89" s="1283">
        <f t="shared" si="29"/>
        <v>1.3083400000000001</v>
      </c>
      <c r="U89" s="1283">
        <f t="shared" si="29"/>
        <v>1.3359800000000002</v>
      </c>
      <c r="V89" s="1283">
        <f t="shared" si="29"/>
        <v>1.3721300000000001</v>
      </c>
      <c r="W89" s="1283">
        <f t="shared" si="29"/>
        <v>1.28844</v>
      </c>
      <c r="X89" s="1283">
        <f t="shared" si="29"/>
        <v>1.3041</v>
      </c>
      <c r="Y89" s="1283">
        <f t="shared" si="29"/>
        <v>1.3349500000000001</v>
      </c>
      <c r="Z89" s="1283">
        <f t="shared" si="29"/>
        <v>1.32386</v>
      </c>
      <c r="AA89" s="1283">
        <f t="shared" si="29"/>
        <v>1.3444800000000001</v>
      </c>
      <c r="AB89" s="1283">
        <f t="shared" si="29"/>
        <v>1.25353</v>
      </c>
      <c r="AC89" s="1283">
        <f t="shared" si="29"/>
        <v>1.27071</v>
      </c>
      <c r="AD89" s="1283">
        <f t="shared" si="29"/>
        <v>1.26475</v>
      </c>
      <c r="AE89" s="1283">
        <f t="shared" si="29"/>
        <v>1.2698</v>
      </c>
      <c r="AF89" s="1283">
        <f t="shared" si="29"/>
        <v>1.2698</v>
      </c>
      <c r="AG89" s="1283">
        <f t="shared" si="29"/>
        <v>1.2698</v>
      </c>
      <c r="AH89" s="1283">
        <f t="shared" si="29"/>
        <v>1.2698</v>
      </c>
      <c r="AI89" s="1283">
        <f t="shared" si="29"/>
        <v>1.2698</v>
      </c>
      <c r="AJ89" s="1283">
        <f t="shared" si="29"/>
        <v>1.2698</v>
      </c>
      <c r="AK89" s="1283">
        <f t="shared" si="29"/>
        <v>1.2698</v>
      </c>
    </row>
    <row r="90" spans="1:39">
      <c r="A90" s="1277" t="s">
        <v>1787</v>
      </c>
      <c r="B90" s="1283">
        <f>IFERROR(B27/1,$B$77)</f>
        <v>4.0124900000000006</v>
      </c>
      <c r="C90" s="1283">
        <f t="shared" ref="C90:AK90" si="30">IFERROR(C27/1,$B$77)</f>
        <v>4.0808</v>
      </c>
      <c r="D90" s="1283">
        <f t="shared" si="30"/>
        <v>4.1630900000000004</v>
      </c>
      <c r="E90" s="1283">
        <f t="shared" si="30"/>
        <v>4.2562700000000007</v>
      </c>
      <c r="F90" s="1283">
        <f t="shared" si="30"/>
        <v>4.3395400000000004</v>
      </c>
      <c r="G90" s="1283">
        <f t="shared" si="30"/>
        <v>4.4463500000000007</v>
      </c>
      <c r="H90" s="1283">
        <f t="shared" si="30"/>
        <v>4.6077000000000004</v>
      </c>
      <c r="I90" s="1283">
        <f t="shared" si="30"/>
        <v>4.7996100000000004</v>
      </c>
      <c r="J90" s="1283">
        <f t="shared" si="30"/>
        <v>5.0134000000000007</v>
      </c>
      <c r="K90" s="1283">
        <f t="shared" si="30"/>
        <v>5.2376000000000005</v>
      </c>
      <c r="L90" s="1283">
        <f t="shared" si="30"/>
        <v>5.5811800000000007</v>
      </c>
      <c r="M90" s="1283">
        <f t="shared" si="30"/>
        <v>6.0656000000000008</v>
      </c>
      <c r="N90" s="1283">
        <f t="shared" si="30"/>
        <v>7.6009200000000003</v>
      </c>
      <c r="O90" s="1283">
        <f t="shared" si="30"/>
        <v>8.0536700000000003</v>
      </c>
      <c r="P90" s="1283">
        <f t="shared" si="30"/>
        <v>8.2922799999999999</v>
      </c>
      <c r="Q90" s="1283">
        <f t="shared" si="30"/>
        <v>8.51112</v>
      </c>
      <c r="R90" s="1283">
        <f t="shared" si="30"/>
        <v>8.6866500000000002</v>
      </c>
      <c r="S90" s="1283">
        <f t="shared" si="30"/>
        <v>8.9583100000000009</v>
      </c>
      <c r="T90" s="1283">
        <f t="shared" si="30"/>
        <v>9.2528900000000007</v>
      </c>
      <c r="U90" s="1283">
        <f t="shared" si="30"/>
        <v>10.157520000000002</v>
      </c>
      <c r="V90" s="1283">
        <f t="shared" si="30"/>
        <v>14.441120000000002</v>
      </c>
      <c r="W90" s="1283">
        <f t="shared" si="30"/>
        <v>14.218090000000002</v>
      </c>
      <c r="X90" s="1283">
        <f t="shared" si="30"/>
        <v>14.943040000000002</v>
      </c>
      <c r="Y90" s="1283">
        <f t="shared" si="30"/>
        <v>15.462060000000001</v>
      </c>
      <c r="Z90" s="1283">
        <f t="shared" si="30"/>
        <v>15.67252</v>
      </c>
      <c r="AA90" s="1283">
        <f t="shared" si="30"/>
        <v>15.736650000000001</v>
      </c>
      <c r="AB90" s="1283">
        <f t="shared" si="30"/>
        <v>17.285540000000001</v>
      </c>
      <c r="AC90" s="1283">
        <f t="shared" si="30"/>
        <v>17.54402</v>
      </c>
      <c r="AD90" s="1283">
        <f t="shared" si="30"/>
        <v>19.67867</v>
      </c>
      <c r="AE90" s="1283">
        <f t="shared" si="30"/>
        <v>20.189990000000002</v>
      </c>
      <c r="AF90" s="1283">
        <f t="shared" si="30"/>
        <v>20.189990000000002</v>
      </c>
      <c r="AG90" s="1283">
        <f t="shared" si="30"/>
        <v>20.189990000000002</v>
      </c>
      <c r="AH90" s="1283">
        <f t="shared" si="30"/>
        <v>20.189990000000002</v>
      </c>
      <c r="AI90" s="1283">
        <f t="shared" si="30"/>
        <v>20.189990000000002</v>
      </c>
      <c r="AJ90" s="1283">
        <f t="shared" si="30"/>
        <v>20.189990000000002</v>
      </c>
      <c r="AK90" s="1283">
        <f t="shared" si="30"/>
        <v>20.189990000000002</v>
      </c>
    </row>
    <row r="91" spans="1:39">
      <c r="A91" s="1277" t="s">
        <v>1788</v>
      </c>
      <c r="B91" s="1283">
        <f>IFERROR(B29/1,$B$78)</f>
        <v>1.6664000000000001</v>
      </c>
      <c r="C91" s="1283">
        <f t="shared" ref="C91:AK91" si="31">IFERROR(C29/1,$B$78)</f>
        <v>1.5944500000000001</v>
      </c>
      <c r="D91" s="1283">
        <f t="shared" si="31"/>
        <v>1.6366700000000001</v>
      </c>
      <c r="E91" s="1283">
        <f t="shared" si="31"/>
        <v>1.8007900000000001</v>
      </c>
      <c r="F91" s="1283">
        <f t="shared" si="31"/>
        <v>1.7673100000000002</v>
      </c>
      <c r="G91" s="1283">
        <f t="shared" si="31"/>
        <v>1.9636300000000002</v>
      </c>
      <c r="H91" s="1283">
        <f t="shared" si="31"/>
        <v>2.0278</v>
      </c>
      <c r="I91" s="1283">
        <f t="shared" si="31"/>
        <v>2.0581900000000002</v>
      </c>
      <c r="J91" s="1283">
        <f t="shared" si="31"/>
        <v>1.9976900000000002</v>
      </c>
      <c r="K91" s="1283">
        <f t="shared" si="31"/>
        <v>2.06826</v>
      </c>
      <c r="L91" s="1283">
        <f t="shared" si="31"/>
        <v>2.2874700000000003</v>
      </c>
      <c r="M91" s="1283">
        <f t="shared" si="31"/>
        <v>2.2772800000000002</v>
      </c>
      <c r="N91" s="1283">
        <f t="shared" si="31"/>
        <v>2.3631800000000003</v>
      </c>
      <c r="O91" s="1283">
        <f t="shared" si="31"/>
        <v>2.2287700000000004</v>
      </c>
      <c r="P91" s="1283">
        <f t="shared" si="31"/>
        <v>2.2746900000000001</v>
      </c>
      <c r="Q91" s="1283">
        <f t="shared" si="31"/>
        <v>2.5493400000000004</v>
      </c>
      <c r="R91" s="1283">
        <f t="shared" si="31"/>
        <v>2.8678900000000001</v>
      </c>
      <c r="S91" s="1283">
        <f t="shared" si="31"/>
        <v>3.0707100000000001</v>
      </c>
      <c r="T91" s="1283">
        <f t="shared" si="31"/>
        <v>3.5413700000000001</v>
      </c>
      <c r="U91" s="1283">
        <f t="shared" si="31"/>
        <v>3.8458600000000005</v>
      </c>
      <c r="V91" s="1283">
        <f t="shared" si="31"/>
        <v>3.8964300000000005</v>
      </c>
      <c r="W91" s="1283">
        <f t="shared" si="31"/>
        <v>3.5021300000000002</v>
      </c>
      <c r="X91" s="1283">
        <f t="shared" si="31"/>
        <v>3.2458000000000005</v>
      </c>
      <c r="Y91" s="1283">
        <f t="shared" si="31"/>
        <v>3.2937200000000004</v>
      </c>
      <c r="Z91" s="1283">
        <f t="shared" si="31"/>
        <v>3.1431200000000001</v>
      </c>
      <c r="AA91" s="1283">
        <f t="shared" si="31"/>
        <v>3.2155700000000005</v>
      </c>
      <c r="AB91" s="1283">
        <f t="shared" si="31"/>
        <v>3.1619800000000002</v>
      </c>
      <c r="AC91" s="1283">
        <f t="shared" si="31"/>
        <v>3.2499100000000003</v>
      </c>
      <c r="AD91" s="1283">
        <f t="shared" si="31"/>
        <v>3.2462600000000004</v>
      </c>
      <c r="AE91" s="1283">
        <f t="shared" si="31"/>
        <v>3.41995</v>
      </c>
      <c r="AF91" s="1283">
        <f t="shared" si="31"/>
        <v>3.41995</v>
      </c>
      <c r="AG91" s="1283">
        <f t="shared" si="31"/>
        <v>3.41995</v>
      </c>
      <c r="AH91" s="1283">
        <f t="shared" si="31"/>
        <v>3.41995</v>
      </c>
      <c r="AI91" s="1283">
        <f t="shared" si="31"/>
        <v>3.41995</v>
      </c>
      <c r="AJ91" s="1283">
        <f t="shared" si="31"/>
        <v>3.41995</v>
      </c>
      <c r="AK91" s="1283">
        <f t="shared" si="31"/>
        <v>3.41995</v>
      </c>
    </row>
    <row r="92" spans="1:39">
      <c r="A92" s="1277" t="s">
        <v>1789</v>
      </c>
      <c r="B92" s="1283">
        <f>IFERROR(B37/1,$B$79)</f>
        <v>12.05944</v>
      </c>
      <c r="C92" s="1283">
        <f t="shared" ref="C92:AK92" si="32">IFERROR(C37/1,$B$79)</f>
        <v>11.720930000000001</v>
      </c>
      <c r="D92" s="1283">
        <f t="shared" si="32"/>
        <v>12.339770000000001</v>
      </c>
      <c r="E92" s="1283">
        <f t="shared" si="32"/>
        <v>13.65338</v>
      </c>
      <c r="F92" s="1283">
        <f t="shared" si="32"/>
        <v>12.97559</v>
      </c>
      <c r="G92" s="1283">
        <f t="shared" si="32"/>
        <v>13.54053</v>
      </c>
      <c r="H92" s="1283">
        <f t="shared" si="32"/>
        <v>13.164670000000001</v>
      </c>
      <c r="I92" s="1283">
        <f t="shared" si="32"/>
        <v>12.94711</v>
      </c>
      <c r="J92" s="1283">
        <f t="shared" si="32"/>
        <v>12.6355</v>
      </c>
      <c r="K92" s="1283">
        <f t="shared" si="32"/>
        <v>12.475390000000001</v>
      </c>
      <c r="L92" s="1283">
        <f t="shared" si="32"/>
        <v>12.904290000000001</v>
      </c>
      <c r="M92" s="1283">
        <f t="shared" si="32"/>
        <v>13.022300000000001</v>
      </c>
      <c r="N92" s="1283">
        <f t="shared" si="32"/>
        <v>13.231910000000001</v>
      </c>
      <c r="O92" s="1283">
        <f t="shared" si="32"/>
        <v>12.993600000000001</v>
      </c>
      <c r="P92" s="1283">
        <f t="shared" si="32"/>
        <v>13.1218</v>
      </c>
      <c r="Q92" s="1283">
        <f t="shared" si="32"/>
        <v>13.899960000000002</v>
      </c>
      <c r="R92" s="1283">
        <f t="shared" si="32"/>
        <v>14.9526</v>
      </c>
      <c r="S92" s="1283">
        <f t="shared" si="32"/>
        <v>15.322630000000002</v>
      </c>
      <c r="T92" s="1283">
        <f t="shared" si="32"/>
        <v>16.443480000000001</v>
      </c>
      <c r="U92" s="1283">
        <f t="shared" si="32"/>
        <v>16.76699</v>
      </c>
      <c r="V92" s="1283">
        <f t="shared" si="32"/>
        <v>18.028790000000001</v>
      </c>
      <c r="W92" s="1283">
        <f t="shared" si="32"/>
        <v>18.10585</v>
      </c>
      <c r="X92" s="1283">
        <f t="shared" si="32"/>
        <v>18.763390000000001</v>
      </c>
      <c r="Y92" s="1283">
        <f t="shared" si="32"/>
        <v>19.849</v>
      </c>
      <c r="Z92" s="1283">
        <f t="shared" si="32"/>
        <v>20.300180000000001</v>
      </c>
      <c r="AA92" s="1283">
        <f t="shared" si="32"/>
        <v>18.548030000000001</v>
      </c>
      <c r="AB92" s="1283">
        <f t="shared" si="32"/>
        <v>17.819490000000002</v>
      </c>
      <c r="AC92" s="1283">
        <f t="shared" si="32"/>
        <v>18.986650000000001</v>
      </c>
      <c r="AD92" s="1283">
        <f t="shared" si="32"/>
        <v>18.7316</v>
      </c>
      <c r="AE92" s="1283">
        <f t="shared" si="32"/>
        <v>18.351389999999999</v>
      </c>
      <c r="AF92" s="1283">
        <f t="shared" si="32"/>
        <v>18.351389999999999</v>
      </c>
      <c r="AG92" s="1283">
        <f t="shared" si="32"/>
        <v>18.351389999999999</v>
      </c>
      <c r="AH92" s="1283">
        <f t="shared" si="32"/>
        <v>18.351389999999999</v>
      </c>
      <c r="AI92" s="1283">
        <f t="shared" si="32"/>
        <v>18.351389999999999</v>
      </c>
      <c r="AJ92" s="1283">
        <f t="shared" si="32"/>
        <v>18.351389999999999</v>
      </c>
      <c r="AK92" s="1283">
        <f t="shared" si="32"/>
        <v>18.351389999999999</v>
      </c>
    </row>
    <row r="93" spans="1:39">
      <c r="A93" s="1277" t="s">
        <v>1790</v>
      </c>
      <c r="B93" s="1283">
        <f>IFERROR(B34/1,$B$80)</f>
        <v>45.207799999999999</v>
      </c>
      <c r="C93" s="1283">
        <f t="shared" ref="C93:AK93" si="33">IFERROR(C34/1,$B$80)</f>
        <v>44.702300000000001</v>
      </c>
      <c r="D93" s="1283">
        <f t="shared" si="33"/>
        <v>45.818100000000001</v>
      </c>
      <c r="E93" s="1283">
        <f t="shared" si="33"/>
        <v>50.814300000000003</v>
      </c>
      <c r="F93" s="1283">
        <f t="shared" si="33"/>
        <v>50.223500000000001</v>
      </c>
      <c r="G93" s="1283">
        <f t="shared" si="33"/>
        <v>54.006500000000003</v>
      </c>
      <c r="H93" s="1283">
        <f t="shared" si="33"/>
        <v>55.137600000000006</v>
      </c>
      <c r="I93" s="1283">
        <f t="shared" si="33"/>
        <v>54.162200000000006</v>
      </c>
      <c r="J93" s="1283">
        <f t="shared" si="33"/>
        <v>54.1785</v>
      </c>
      <c r="K93" s="1283">
        <f t="shared" si="33"/>
        <v>55.827600000000004</v>
      </c>
      <c r="L93" s="1283">
        <f t="shared" si="33"/>
        <v>62.087200000000003</v>
      </c>
      <c r="M93" s="1283">
        <f t="shared" si="33"/>
        <v>61.994800000000005</v>
      </c>
      <c r="N93" s="1283">
        <f t="shared" si="33"/>
        <v>61.756100000000004</v>
      </c>
      <c r="O93" s="1283">
        <f t="shared" si="33"/>
        <v>59.808600000000006</v>
      </c>
      <c r="P93" s="1283">
        <f t="shared" si="33"/>
        <v>60.578400000000002</v>
      </c>
      <c r="Q93" s="1283">
        <f t="shared" si="33"/>
        <v>61.951000000000001</v>
      </c>
      <c r="R93" s="1283">
        <f t="shared" si="33"/>
        <v>62.2303</v>
      </c>
      <c r="S93" s="1283">
        <f t="shared" si="33"/>
        <v>63.379400000000004</v>
      </c>
      <c r="T93" s="1283">
        <f t="shared" si="33"/>
        <v>64.951999999999998</v>
      </c>
      <c r="U93" s="1283">
        <f t="shared" si="33"/>
        <v>65.889300000000006</v>
      </c>
      <c r="V93" s="1283">
        <f t="shared" si="33"/>
        <v>67.472000000000008</v>
      </c>
      <c r="W93" s="1283">
        <f t="shared" si="33"/>
        <v>66.882900000000006</v>
      </c>
      <c r="X93" s="1283">
        <f t="shared" si="33"/>
        <v>66.931200000000004</v>
      </c>
      <c r="Y93" s="1283">
        <f t="shared" si="33"/>
        <v>67.418900000000008</v>
      </c>
      <c r="Z93" s="1283">
        <f t="shared" si="33"/>
        <v>66.933500000000009</v>
      </c>
      <c r="AA93" s="1283">
        <f t="shared" si="33"/>
        <v>64.478099999999998</v>
      </c>
      <c r="AB93" s="1283">
        <f t="shared" si="33"/>
        <v>64.286600000000007</v>
      </c>
      <c r="AC93" s="1283">
        <f t="shared" si="33"/>
        <v>64.723200000000006</v>
      </c>
      <c r="AD93" s="1283">
        <f t="shared" si="33"/>
        <v>64.362200000000001</v>
      </c>
      <c r="AE93" s="1283">
        <f t="shared" si="33"/>
        <v>64.954999999999998</v>
      </c>
      <c r="AF93" s="1283">
        <f t="shared" si="33"/>
        <v>64.954999999999998</v>
      </c>
      <c r="AG93" s="1283">
        <f t="shared" si="33"/>
        <v>64.954999999999998</v>
      </c>
      <c r="AH93" s="1283">
        <f t="shared" si="33"/>
        <v>64.954999999999998</v>
      </c>
      <c r="AI93" s="1283">
        <f t="shared" si="33"/>
        <v>64.954999999999998</v>
      </c>
      <c r="AJ93" s="1283">
        <f t="shared" si="33"/>
        <v>64.954999999999998</v>
      </c>
      <c r="AK93" s="1283">
        <f t="shared" si="33"/>
        <v>64.954999999999998</v>
      </c>
    </row>
    <row r="94" spans="1:39">
      <c r="A94" s="1277" t="s">
        <v>1791</v>
      </c>
      <c r="B94" s="1283">
        <f>IFERROR(B40/1,$B$81)</f>
        <v>29.238200000000003</v>
      </c>
      <c r="C94" s="1283">
        <f t="shared" ref="C94:AK94" si="34">IFERROR(C40/1,$B$81)</f>
        <v>27.993200000000002</v>
      </c>
      <c r="D94" s="1283">
        <f t="shared" si="34"/>
        <v>29.186</v>
      </c>
      <c r="E94" s="1283">
        <f t="shared" si="34"/>
        <v>31.21</v>
      </c>
      <c r="F94" s="1283">
        <f t="shared" si="34"/>
        <v>30.153400000000001</v>
      </c>
      <c r="G94" s="1283">
        <f t="shared" si="34"/>
        <v>31.072900000000001</v>
      </c>
      <c r="H94" s="1283">
        <f t="shared" si="34"/>
        <v>31.951000000000001</v>
      </c>
      <c r="I94" s="1283">
        <f t="shared" si="34"/>
        <v>31.078400000000002</v>
      </c>
      <c r="J94" s="1283">
        <f t="shared" si="34"/>
        <v>30.407</v>
      </c>
      <c r="K94" s="1283">
        <f t="shared" si="34"/>
        <v>31.6568</v>
      </c>
      <c r="L94" s="1283">
        <f t="shared" si="34"/>
        <v>32.788699999999999</v>
      </c>
      <c r="M94" s="1283">
        <f t="shared" si="34"/>
        <v>32.553899999999999</v>
      </c>
      <c r="N94" s="1283">
        <f t="shared" si="34"/>
        <v>35.031700000000001</v>
      </c>
      <c r="O94" s="1283">
        <f t="shared" si="34"/>
        <v>34.978000000000002</v>
      </c>
      <c r="P94" s="1283">
        <f t="shared" si="34"/>
        <v>36.3065</v>
      </c>
      <c r="Q94" s="1283">
        <f t="shared" si="34"/>
        <v>48.046100000000003</v>
      </c>
      <c r="R94" s="1283">
        <f t="shared" si="34"/>
        <v>62.821300000000001</v>
      </c>
      <c r="S94" s="1283">
        <f t="shared" si="34"/>
        <v>52.695500000000003</v>
      </c>
      <c r="T94" s="1283">
        <f t="shared" si="34"/>
        <v>63.181000000000004</v>
      </c>
      <c r="U94" s="1283">
        <f t="shared" si="34"/>
        <v>66.151899999999998</v>
      </c>
      <c r="V94" s="1283">
        <f t="shared" si="34"/>
        <v>74.534400000000005</v>
      </c>
      <c r="W94" s="1283">
        <f t="shared" si="34"/>
        <v>65.760300000000001</v>
      </c>
      <c r="X94" s="1283">
        <f t="shared" si="34"/>
        <v>64.589799999999997</v>
      </c>
      <c r="Y94" s="1283">
        <f t="shared" si="34"/>
        <v>62.999200000000002</v>
      </c>
      <c r="Z94" s="1283">
        <f t="shared" si="34"/>
        <v>58.706200000000003</v>
      </c>
      <c r="AA94" s="1283">
        <f t="shared" si="34"/>
        <v>57.247100000000003</v>
      </c>
      <c r="AB94" s="1283">
        <f t="shared" si="34"/>
        <v>58.945100000000004</v>
      </c>
      <c r="AC94" s="1283">
        <f t="shared" si="34"/>
        <v>58.430400000000006</v>
      </c>
      <c r="AD94" s="1283">
        <f t="shared" si="34"/>
        <v>56.884800000000006</v>
      </c>
      <c r="AE94" s="1283">
        <f t="shared" si="34"/>
        <v>60.604999999999997</v>
      </c>
      <c r="AF94" s="1283">
        <f t="shared" si="34"/>
        <v>60.604999999999997</v>
      </c>
      <c r="AG94" s="1283">
        <f t="shared" si="34"/>
        <v>60.604999999999997</v>
      </c>
      <c r="AH94" s="1283">
        <f t="shared" si="34"/>
        <v>60.604999999999997</v>
      </c>
      <c r="AI94" s="1283">
        <f t="shared" si="34"/>
        <v>60.604999999999997</v>
      </c>
      <c r="AJ94" s="1283">
        <f t="shared" si="34"/>
        <v>60.604999999999997</v>
      </c>
      <c r="AK94" s="1283">
        <f t="shared" si="34"/>
        <v>60.604999999999997</v>
      </c>
    </row>
    <row r="96" spans="1:39">
      <c r="A96" s="1285" t="s">
        <v>1794</v>
      </c>
      <c r="B96" s="1287" t="str">
        <f>B48</f>
        <v>2011</v>
      </c>
      <c r="C96" s="1287" t="str">
        <f t="shared" ref="C96:Q96" si="35">C48</f>
        <v>2012</v>
      </c>
      <c r="D96" s="1287" t="str">
        <f t="shared" si="35"/>
        <v>2013</v>
      </c>
      <c r="E96" s="1287" t="str">
        <f t="shared" si="35"/>
        <v>2014</v>
      </c>
      <c r="F96" s="1287" t="str">
        <f t="shared" si="35"/>
        <v>2015</v>
      </c>
      <c r="G96" s="1287" t="str">
        <f t="shared" si="35"/>
        <v>2016</v>
      </c>
      <c r="H96" s="1287" t="str">
        <f t="shared" si="35"/>
        <v>2017</v>
      </c>
      <c r="I96" s="1287" t="str">
        <f t="shared" si="35"/>
        <v>2018</v>
      </c>
      <c r="J96" s="1287">
        <f t="shared" si="35"/>
        <v>2019</v>
      </c>
      <c r="K96" s="1287">
        <f t="shared" si="35"/>
        <v>2020</v>
      </c>
      <c r="L96" s="1287">
        <f t="shared" si="35"/>
        <v>2021</v>
      </c>
      <c r="M96" s="1287">
        <f t="shared" si="35"/>
        <v>2022</v>
      </c>
      <c r="N96" s="1287">
        <f t="shared" si="35"/>
        <v>2023</v>
      </c>
      <c r="O96" s="1287">
        <f t="shared" si="35"/>
        <v>2024</v>
      </c>
      <c r="P96" s="1287">
        <f t="shared" si="35"/>
        <v>2025</v>
      </c>
      <c r="Q96" s="1287">
        <f t="shared" si="35"/>
        <v>2026</v>
      </c>
      <c r="R96" s="1287"/>
      <c r="S96" s="1286"/>
      <c r="T96" s="1286"/>
      <c r="U96" s="1286"/>
      <c r="V96" s="1286"/>
      <c r="W96" s="1286"/>
      <c r="X96" s="1286"/>
      <c r="Y96" s="1286"/>
      <c r="Z96" s="1286"/>
      <c r="AA96" s="1286"/>
      <c r="AB96" s="1286"/>
      <c r="AC96" s="1286"/>
      <c r="AD96" s="1286"/>
      <c r="AE96" s="1286"/>
      <c r="AF96" s="1286"/>
      <c r="AG96" s="1286"/>
      <c r="AH96" s="1286"/>
      <c r="AI96" s="1286"/>
      <c r="AJ96" s="1286"/>
      <c r="AK96" s="1286"/>
      <c r="AL96" s="1286"/>
      <c r="AM96" s="1286"/>
    </row>
    <row r="97" spans="1:17">
      <c r="A97" s="1277" t="s">
        <v>1785</v>
      </c>
      <c r="B97" s="1283">
        <f>IFERROR(B$55/1,$B$71)</f>
        <v>0.71895100000000001</v>
      </c>
      <c r="C97" s="1283">
        <f t="shared" ref="C97:Q97" si="36">IFERROR(C$55/1,$B$71)</f>
        <v>0.77813100000000002</v>
      </c>
      <c r="D97" s="1283">
        <f t="shared" si="36"/>
        <v>0.75304199999999999</v>
      </c>
      <c r="E97" s="1283">
        <f t="shared" si="36"/>
        <v>0.75394699999999992</v>
      </c>
      <c r="F97" s="1283">
        <f t="shared" si="36"/>
        <v>0.90129999999999999</v>
      </c>
      <c r="G97" s="1283">
        <f t="shared" si="36"/>
        <v>0.90388399999999991</v>
      </c>
      <c r="H97" s="1283">
        <f t="shared" si="36"/>
        <v>0.88679599999999992</v>
      </c>
      <c r="I97" s="1288">
        <f t="shared" ref="I97:I102" si="37">AVERAGE(AD84:AG84)</f>
        <v>0.81222949999999994</v>
      </c>
      <c r="J97" s="1283">
        <f t="shared" si="36"/>
        <v>0.81165500000000002</v>
      </c>
      <c r="K97" s="1283">
        <f t="shared" si="36"/>
        <v>0.81165500000000002</v>
      </c>
      <c r="L97" s="1283">
        <f t="shared" si="36"/>
        <v>0.81165500000000002</v>
      </c>
      <c r="M97" s="1283">
        <f t="shared" si="36"/>
        <v>0.81165500000000002</v>
      </c>
      <c r="N97" s="1283">
        <f t="shared" si="36"/>
        <v>0.81165500000000002</v>
      </c>
      <c r="O97" s="1283">
        <f t="shared" si="36"/>
        <v>0.81165500000000002</v>
      </c>
      <c r="P97" s="1283">
        <f t="shared" si="36"/>
        <v>0.81165500000000002</v>
      </c>
      <c r="Q97" s="1283">
        <f t="shared" si="36"/>
        <v>0.81165500000000002</v>
      </c>
    </row>
    <row r="98" spans="1:17">
      <c r="A98" s="1277" t="s">
        <v>780</v>
      </c>
      <c r="B98" s="1283">
        <f>IFERROR(B$65/1,$B$72)</f>
        <v>0.88672000000000006</v>
      </c>
      <c r="C98" s="1283">
        <f t="shared" ref="C98:Q98" si="38">IFERROR(C$65/1,$B$72)</f>
        <v>0.93778000000000006</v>
      </c>
      <c r="D98" s="1283">
        <f t="shared" si="38"/>
        <v>0.92680000000000007</v>
      </c>
      <c r="E98" s="1283">
        <f t="shared" si="38"/>
        <v>0.91555000000000009</v>
      </c>
      <c r="F98" s="1283">
        <f t="shared" si="38"/>
        <v>0.96278000000000008</v>
      </c>
      <c r="G98" s="1283">
        <f t="shared" si="38"/>
        <v>0.98529000000000011</v>
      </c>
      <c r="H98" s="1283">
        <f t="shared" si="38"/>
        <v>0.98454000000000008</v>
      </c>
      <c r="I98" s="1288">
        <f t="shared" si="37"/>
        <v>0.95431500000000002</v>
      </c>
      <c r="J98" s="1283">
        <f t="shared" si="38"/>
        <v>0.95620000000000005</v>
      </c>
      <c r="K98" s="1283">
        <f t="shared" si="38"/>
        <v>0.95620000000000005</v>
      </c>
      <c r="L98" s="1283">
        <f t="shared" si="38"/>
        <v>0.95620000000000005</v>
      </c>
      <c r="M98" s="1283">
        <f t="shared" si="38"/>
        <v>0.95620000000000005</v>
      </c>
      <c r="N98" s="1283">
        <f t="shared" si="38"/>
        <v>0.95620000000000005</v>
      </c>
      <c r="O98" s="1283">
        <f t="shared" si="38"/>
        <v>0.95620000000000005</v>
      </c>
      <c r="P98" s="1283">
        <f t="shared" si="38"/>
        <v>0.95620000000000005</v>
      </c>
      <c r="Q98" s="1283">
        <f t="shared" si="38"/>
        <v>0.95620000000000005</v>
      </c>
    </row>
    <row r="99" spans="1:17">
      <c r="A99" s="1277" t="s">
        <v>584</v>
      </c>
      <c r="B99" s="1283">
        <f>IFERROR(B$61/1,$B$73)</f>
        <v>0.62360000000000004</v>
      </c>
      <c r="C99" s="1283">
        <f t="shared" ref="C99:Q99" si="39">IFERROR(C$61/1,$B$73)</f>
        <v>0.63100000000000001</v>
      </c>
      <c r="D99" s="1283">
        <f t="shared" si="39"/>
        <v>0.63950000000000007</v>
      </c>
      <c r="E99" s="1283">
        <f t="shared" si="39"/>
        <v>0.60740000000000005</v>
      </c>
      <c r="F99" s="1283">
        <f t="shared" si="39"/>
        <v>0.65439999999999998</v>
      </c>
      <c r="G99" s="1283">
        <f t="shared" si="39"/>
        <v>0.74070000000000003</v>
      </c>
      <c r="H99" s="1283">
        <f t="shared" si="39"/>
        <v>0.77650000000000008</v>
      </c>
      <c r="I99" s="1288">
        <f t="shared" si="37"/>
        <v>0.71047499999999997</v>
      </c>
      <c r="J99" s="1283">
        <f t="shared" si="39"/>
        <v>0.7077</v>
      </c>
      <c r="K99" s="1283">
        <f t="shared" si="39"/>
        <v>0.7077</v>
      </c>
      <c r="L99" s="1283">
        <f t="shared" si="39"/>
        <v>0.7077</v>
      </c>
      <c r="M99" s="1283">
        <f t="shared" si="39"/>
        <v>0.7077</v>
      </c>
      <c r="N99" s="1283">
        <f t="shared" si="39"/>
        <v>0.7077</v>
      </c>
      <c r="O99" s="1283">
        <f t="shared" si="39"/>
        <v>0.7077</v>
      </c>
      <c r="P99" s="1283">
        <f t="shared" si="39"/>
        <v>0.7077</v>
      </c>
      <c r="Q99" s="1283">
        <f t="shared" si="39"/>
        <v>0.7077</v>
      </c>
    </row>
    <row r="100" spans="1:17">
      <c r="A100" s="1277" t="s">
        <v>1786</v>
      </c>
      <c r="B100" s="1283">
        <f>IFERROR(B57/1,$B$74)</f>
        <v>79.700800000000001</v>
      </c>
      <c r="C100" s="1283">
        <f t="shared" ref="C100:Q100" si="40">IFERROR(C57/1,$B$74)</f>
        <v>79.836600000000004</v>
      </c>
      <c r="D100" s="1283">
        <f t="shared" si="40"/>
        <v>97.630499999999998</v>
      </c>
      <c r="E100" s="1283">
        <f t="shared" si="40"/>
        <v>105.92100000000001</v>
      </c>
      <c r="F100" s="1283">
        <f t="shared" si="40"/>
        <v>121.048</v>
      </c>
      <c r="G100" s="1283">
        <f t="shared" si="40"/>
        <v>108.77850000000001</v>
      </c>
      <c r="H100" s="1283">
        <f t="shared" si="40"/>
        <v>112.15560000000001</v>
      </c>
      <c r="I100" s="1288">
        <f t="shared" si="37"/>
        <v>107.165125</v>
      </c>
      <c r="J100" s="1283">
        <f t="shared" si="40"/>
        <v>106.765</v>
      </c>
      <c r="K100" s="1283">
        <f t="shared" si="40"/>
        <v>106.765</v>
      </c>
      <c r="L100" s="1283">
        <f t="shared" si="40"/>
        <v>106.765</v>
      </c>
      <c r="M100" s="1283">
        <f t="shared" si="40"/>
        <v>106.765</v>
      </c>
      <c r="N100" s="1283">
        <f t="shared" si="40"/>
        <v>106.765</v>
      </c>
      <c r="O100" s="1283">
        <f t="shared" si="40"/>
        <v>106.765</v>
      </c>
      <c r="P100" s="1283">
        <f t="shared" si="40"/>
        <v>106.765</v>
      </c>
      <c r="Q100" s="1283">
        <f t="shared" si="40"/>
        <v>106.765</v>
      </c>
    </row>
    <row r="101" spans="1:17">
      <c r="A101" s="1277" t="s">
        <v>1832</v>
      </c>
      <c r="B101" s="1283">
        <f>IFERROR(B53/1,$B$75)</f>
        <v>6.4627200000000009</v>
      </c>
      <c r="C101" s="1283">
        <f t="shared" ref="C101:Q101" si="41">IFERROR(C53/1,$B$75)</f>
        <v>6.3092400000000008</v>
      </c>
      <c r="D101" s="1283">
        <f t="shared" si="41"/>
        <v>6.1479200000000009</v>
      </c>
      <c r="E101" s="1283">
        <f t="shared" si="41"/>
        <v>6.1615700000000002</v>
      </c>
      <c r="F101" s="1283">
        <f t="shared" si="41"/>
        <v>6.2847400000000002</v>
      </c>
      <c r="G101" s="1283">
        <f t="shared" si="41"/>
        <v>6.6439300000000001</v>
      </c>
      <c r="H101" s="1283">
        <f t="shared" si="41"/>
        <v>6.7584600000000004</v>
      </c>
      <c r="I101" s="1288">
        <f t="shared" si="37"/>
        <v>6.3203250000000004</v>
      </c>
      <c r="J101" s="1283">
        <f t="shared" si="41"/>
        <v>6.3070000000000004</v>
      </c>
      <c r="K101" s="1283">
        <f t="shared" si="41"/>
        <v>6.3070000000000004</v>
      </c>
      <c r="L101" s="1283">
        <f t="shared" si="41"/>
        <v>6.3070000000000004</v>
      </c>
      <c r="M101" s="1283">
        <f t="shared" si="41"/>
        <v>6.3070000000000004</v>
      </c>
      <c r="N101" s="1283">
        <f t="shared" si="41"/>
        <v>6.3070000000000004</v>
      </c>
      <c r="O101" s="1283">
        <f t="shared" si="41"/>
        <v>6.3070000000000004</v>
      </c>
      <c r="P101" s="1283">
        <f t="shared" si="41"/>
        <v>6.3070000000000004</v>
      </c>
      <c r="Q101" s="1283">
        <f t="shared" si="41"/>
        <v>6.3070000000000004</v>
      </c>
    </row>
    <row r="102" spans="1:17">
      <c r="A102" s="1277" t="s">
        <v>1831</v>
      </c>
      <c r="B102" s="1283">
        <f>IFERROR(B52/1,$B$76)</f>
        <v>0.98906000000000005</v>
      </c>
      <c r="C102" s="1283">
        <f t="shared" ref="C102:Q102" si="42">IFERROR(C52/1,$B$76)</f>
        <v>0.99962000000000006</v>
      </c>
      <c r="D102" s="1283">
        <f t="shared" si="42"/>
        <v>1.03003</v>
      </c>
      <c r="E102" s="1283">
        <f t="shared" si="42"/>
        <v>1.1045900000000002</v>
      </c>
      <c r="F102" s="1283">
        <f t="shared" si="42"/>
        <v>1.27895</v>
      </c>
      <c r="G102" s="1283">
        <f t="shared" si="42"/>
        <v>1.3248200000000001</v>
      </c>
      <c r="H102" s="1283">
        <f t="shared" si="42"/>
        <v>1.2981500000000001</v>
      </c>
      <c r="I102" s="1288">
        <f t="shared" si="37"/>
        <v>1.2685375000000001</v>
      </c>
      <c r="J102" s="1283">
        <f t="shared" si="42"/>
        <v>1.2698</v>
      </c>
      <c r="K102" s="1283">
        <f t="shared" si="42"/>
        <v>1.2698</v>
      </c>
      <c r="L102" s="1283">
        <f t="shared" si="42"/>
        <v>1.2698</v>
      </c>
      <c r="M102" s="1283">
        <f t="shared" si="42"/>
        <v>1.2698</v>
      </c>
      <c r="N102" s="1283">
        <f t="shared" si="42"/>
        <v>1.2698</v>
      </c>
      <c r="O102" s="1283">
        <f t="shared" si="42"/>
        <v>1.2698</v>
      </c>
      <c r="P102" s="1283">
        <f t="shared" si="42"/>
        <v>1.2698</v>
      </c>
      <c r="Q102" s="1283">
        <f t="shared" si="42"/>
        <v>1.2698</v>
      </c>
    </row>
    <row r="103" spans="1:17">
      <c r="A103" s="1277" t="s">
        <v>1787</v>
      </c>
      <c r="B103" s="1283">
        <f>IFERROR(B49/1,$B$77)</f>
        <v>4.1287500000000001</v>
      </c>
      <c r="C103" s="1283">
        <f t="shared" ref="C103:Q103" si="43">IFERROR(C49/1,$B$77)</f>
        <v>4.5492600000000003</v>
      </c>
      <c r="D103" s="1283">
        <f t="shared" si="43"/>
        <v>5.4788900000000007</v>
      </c>
      <c r="E103" s="1283">
        <f t="shared" si="43"/>
        <v>8.1186699999999998</v>
      </c>
      <c r="F103" s="1283">
        <f t="shared" si="43"/>
        <v>9.2694400000000012</v>
      </c>
      <c r="G103" s="1283">
        <f t="shared" si="43"/>
        <v>14.766760000000001</v>
      </c>
      <c r="H103" s="1283">
        <f t="shared" si="43"/>
        <v>16.55968</v>
      </c>
      <c r="I103" s="1288">
        <f t="shared" ref="I103:I107" si="44">AVERAGE(AD90:AG90)</f>
        <v>20.062160000000002</v>
      </c>
      <c r="J103" s="1283">
        <f t="shared" si="43"/>
        <v>20.189990000000002</v>
      </c>
      <c r="K103" s="1283">
        <f t="shared" si="43"/>
        <v>20.189990000000002</v>
      </c>
      <c r="L103" s="1283">
        <f t="shared" si="43"/>
        <v>20.189990000000002</v>
      </c>
      <c r="M103" s="1283">
        <f t="shared" si="43"/>
        <v>20.189990000000002</v>
      </c>
      <c r="N103" s="1283">
        <f t="shared" si="43"/>
        <v>20.189990000000002</v>
      </c>
      <c r="O103" s="1283">
        <f t="shared" si="43"/>
        <v>20.189990000000002</v>
      </c>
      <c r="P103" s="1283">
        <f t="shared" si="43"/>
        <v>20.189990000000002</v>
      </c>
      <c r="Q103" s="1283">
        <f t="shared" si="43"/>
        <v>20.189990000000002</v>
      </c>
    </row>
    <row r="104" spans="1:17">
      <c r="A104" s="1277" t="s">
        <v>1788</v>
      </c>
      <c r="B104" s="1283">
        <f>IFERROR(B51/1,$B$78)</f>
        <v>1.6744600000000001</v>
      </c>
      <c r="C104" s="1283">
        <f t="shared" ref="C104:Q104" si="45">IFERROR(C51/1,$B$78)</f>
        <v>1.9546300000000001</v>
      </c>
      <c r="D104" s="1283">
        <f t="shared" si="45"/>
        <v>2.15924</v>
      </c>
      <c r="E104" s="1283">
        <f t="shared" si="45"/>
        <v>2.3544</v>
      </c>
      <c r="F104" s="1283">
        <f t="shared" si="45"/>
        <v>3.3360100000000004</v>
      </c>
      <c r="G104" s="1283">
        <f t="shared" si="45"/>
        <v>3.4836100000000001</v>
      </c>
      <c r="H104" s="1283">
        <f t="shared" si="45"/>
        <v>3.1926500000000004</v>
      </c>
      <c r="I104" s="1288">
        <f t="shared" si="44"/>
        <v>3.3765274999999999</v>
      </c>
      <c r="J104" s="1283">
        <f t="shared" si="45"/>
        <v>3.41995</v>
      </c>
      <c r="K104" s="1283">
        <f t="shared" si="45"/>
        <v>3.41995</v>
      </c>
      <c r="L104" s="1283">
        <f t="shared" si="45"/>
        <v>3.41995</v>
      </c>
      <c r="M104" s="1283">
        <f t="shared" si="45"/>
        <v>3.41995</v>
      </c>
      <c r="N104" s="1283">
        <f t="shared" si="45"/>
        <v>3.41995</v>
      </c>
      <c r="O104" s="1283">
        <f t="shared" si="45"/>
        <v>3.41995</v>
      </c>
      <c r="P104" s="1283">
        <f t="shared" si="45"/>
        <v>3.41995</v>
      </c>
      <c r="Q104" s="1283">
        <f t="shared" si="45"/>
        <v>3.41995</v>
      </c>
    </row>
    <row r="105" spans="1:17">
      <c r="A105" s="1277" t="s">
        <v>1789</v>
      </c>
      <c r="B105" s="1283">
        <f>IFERROR(B59/1,$B$79)</f>
        <v>12.444460000000001</v>
      </c>
      <c r="C105" s="1283">
        <f t="shared" ref="C105:Q105" si="46">IFERROR(C59/1,$B$79)</f>
        <v>13.156170000000001</v>
      </c>
      <c r="D105" s="1283">
        <f t="shared" si="46"/>
        <v>12.761410000000001</v>
      </c>
      <c r="E105" s="1283">
        <f t="shared" si="46"/>
        <v>13.313650000000001</v>
      </c>
      <c r="F105" s="1283">
        <f t="shared" si="46"/>
        <v>15.880570000000001</v>
      </c>
      <c r="G105" s="1283">
        <f t="shared" si="46"/>
        <v>18.687050000000003</v>
      </c>
      <c r="H105" s="1283">
        <f t="shared" si="46"/>
        <v>18.913590000000003</v>
      </c>
      <c r="I105" s="1288">
        <f t="shared" si="44"/>
        <v>18.446442499999996</v>
      </c>
      <c r="J105" s="1283">
        <f t="shared" si="46"/>
        <v>18.351389999999999</v>
      </c>
      <c r="K105" s="1283">
        <f t="shared" si="46"/>
        <v>18.351389999999999</v>
      </c>
      <c r="L105" s="1283">
        <f t="shared" si="46"/>
        <v>18.351389999999999</v>
      </c>
      <c r="M105" s="1283">
        <f t="shared" si="46"/>
        <v>18.351389999999999</v>
      </c>
      <c r="N105" s="1283">
        <f t="shared" si="46"/>
        <v>18.351389999999999</v>
      </c>
      <c r="O105" s="1283">
        <f t="shared" si="46"/>
        <v>18.351389999999999</v>
      </c>
      <c r="P105" s="1283">
        <f t="shared" si="46"/>
        <v>18.351389999999999</v>
      </c>
      <c r="Q105" s="1283">
        <f t="shared" si="46"/>
        <v>18.351389999999999</v>
      </c>
    </row>
    <row r="106" spans="1:17">
      <c r="A106" s="1277" t="s">
        <v>1790</v>
      </c>
      <c r="B106" s="1283">
        <f>IFERROR(B56/1,$B$80)</f>
        <v>46.638000000000005</v>
      </c>
      <c r="C106" s="1283">
        <f t="shared" ref="C106:Q106" si="47">IFERROR(C56/1,$B$80)</f>
        <v>53.385400000000004</v>
      </c>
      <c r="D106" s="1283">
        <f t="shared" si="47"/>
        <v>58.565600000000003</v>
      </c>
      <c r="E106" s="1283">
        <f t="shared" si="47"/>
        <v>61.022600000000004</v>
      </c>
      <c r="F106" s="1283">
        <f t="shared" si="47"/>
        <v>64.13000000000001</v>
      </c>
      <c r="G106" s="1283">
        <f t="shared" si="47"/>
        <v>67.175300000000007</v>
      </c>
      <c r="H106" s="1283">
        <f t="shared" si="47"/>
        <v>65.105400000000003</v>
      </c>
      <c r="I106" s="1288">
        <f t="shared" si="44"/>
        <v>64.806799999999996</v>
      </c>
      <c r="J106" s="1283">
        <f t="shared" si="47"/>
        <v>64.954999999999998</v>
      </c>
      <c r="K106" s="1283">
        <f t="shared" si="47"/>
        <v>64.954999999999998</v>
      </c>
      <c r="L106" s="1283">
        <f t="shared" si="47"/>
        <v>64.954999999999998</v>
      </c>
      <c r="M106" s="1283">
        <f t="shared" si="47"/>
        <v>64.954999999999998</v>
      </c>
      <c r="N106" s="1283">
        <f t="shared" si="47"/>
        <v>64.954999999999998</v>
      </c>
      <c r="O106" s="1283">
        <f t="shared" si="47"/>
        <v>64.954999999999998</v>
      </c>
      <c r="P106" s="1283">
        <f t="shared" si="47"/>
        <v>64.954999999999998</v>
      </c>
      <c r="Q106" s="1283">
        <f t="shared" si="47"/>
        <v>64.954999999999998</v>
      </c>
    </row>
    <row r="107" spans="1:17">
      <c r="A107" s="1277" t="s">
        <v>1791</v>
      </c>
      <c r="B107" s="1283">
        <f>IFERROR(B62/1,$B$81)</f>
        <v>29.406700000000001</v>
      </c>
      <c r="C107" s="1283">
        <f t="shared" ref="C107:Q107" si="48">IFERROR(C62/1,$B$81)</f>
        <v>31.064</v>
      </c>
      <c r="D107" s="1283">
        <f t="shared" si="48"/>
        <v>31.863400000000002</v>
      </c>
      <c r="E107" s="1283">
        <f t="shared" si="48"/>
        <v>38.631700000000002</v>
      </c>
      <c r="F107" s="1283">
        <f t="shared" si="48"/>
        <v>61.232700000000001</v>
      </c>
      <c r="G107" s="1283">
        <f t="shared" si="48"/>
        <v>66.961799999999997</v>
      </c>
      <c r="H107" s="1283">
        <f t="shared" si="48"/>
        <v>58.3322</v>
      </c>
      <c r="I107" s="1288">
        <f t="shared" si="44"/>
        <v>59.674949999999995</v>
      </c>
      <c r="J107" s="1283">
        <f t="shared" si="48"/>
        <v>60.604999999999997</v>
      </c>
      <c r="K107" s="1283">
        <f t="shared" si="48"/>
        <v>60.604999999999997</v>
      </c>
      <c r="L107" s="1283">
        <f t="shared" si="48"/>
        <v>60.604999999999997</v>
      </c>
      <c r="M107" s="1283">
        <f t="shared" si="48"/>
        <v>60.604999999999997</v>
      </c>
      <c r="N107" s="1283">
        <f t="shared" si="48"/>
        <v>60.604999999999997</v>
      </c>
      <c r="O107" s="1283">
        <f t="shared" si="48"/>
        <v>60.604999999999997</v>
      </c>
      <c r="P107" s="1283">
        <f t="shared" si="48"/>
        <v>60.604999999999997</v>
      </c>
      <c r="Q107" s="1283">
        <f t="shared" si="48"/>
        <v>60.604999999999997</v>
      </c>
    </row>
    <row r="111" spans="1:17">
      <c r="B111" s="1283"/>
    </row>
    <row r="112" spans="1:17">
      <c r="B112" s="128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6521988" r:id="rId4" name="XLDataChannel3">
          <controlPr defaultSize="0" print="0" autoLine="0" autoPict="0" linkedCell="A3" r:id="rId5">
            <anchor moveWithCells="1">
              <from>
                <xdr:col>0</xdr:col>
                <xdr:colOff>0</xdr:colOff>
                <xdr:row>2</xdr:row>
                <xdr:rowOff>0</xdr:rowOff>
              </from>
              <to>
                <xdr:col>0</xdr:col>
                <xdr:colOff>619125</xdr:colOff>
                <xdr:row>3</xdr:row>
                <xdr:rowOff>0</xdr:rowOff>
              </to>
            </anchor>
          </controlPr>
        </control>
      </mc:Choice>
      <mc:Fallback>
        <control shapeId="36521988" r:id="rId4" name="XLDataChannel3"/>
      </mc:Fallback>
    </mc:AlternateContent>
    <mc:AlternateContent xmlns:mc="http://schemas.openxmlformats.org/markup-compatibility/2006">
      <mc:Choice Requires="x14">
        <control shapeId="36521986" r:id="rId6" name="XLDataChannel2">
          <controlPr defaultSize="0" print="0" autoLine="0" autoPict="0" linkedCell="A48" r:id="rId5">
            <anchor moveWithCells="1">
              <from>
                <xdr:col>0</xdr:col>
                <xdr:colOff>0</xdr:colOff>
                <xdr:row>56</xdr:row>
                <xdr:rowOff>66675</xdr:rowOff>
              </from>
              <to>
                <xdr:col>0</xdr:col>
                <xdr:colOff>619125</xdr:colOff>
                <xdr:row>57</xdr:row>
                <xdr:rowOff>66675</xdr:rowOff>
              </to>
            </anchor>
          </controlPr>
        </control>
      </mc:Choice>
      <mc:Fallback>
        <control shapeId="36521986" r:id="rId6" name="XLDataChannel2"/>
      </mc:Fallback>
    </mc:AlternateContent>
    <mc:AlternateContent xmlns:mc="http://schemas.openxmlformats.org/markup-compatibility/2006">
      <mc:Choice Requires="x14">
        <control shapeId="36521985" r:id="rId7" name="XLDataChannel1">
          <controlPr defaultSize="0" print="0" autoLine="0" autoPict="0" linkedCell="A26" r:id="rId5">
            <anchor moveWithCells="1">
              <from>
                <xdr:col>0</xdr:col>
                <xdr:colOff>0</xdr:colOff>
                <xdr:row>29</xdr:row>
                <xdr:rowOff>152400</xdr:rowOff>
              </from>
              <to>
                <xdr:col>0</xdr:col>
                <xdr:colOff>619125</xdr:colOff>
                <xdr:row>30</xdr:row>
                <xdr:rowOff>152400</xdr:rowOff>
              </to>
            </anchor>
          </controlPr>
        </control>
      </mc:Choice>
      <mc:Fallback>
        <control shapeId="36521985" r:id="rId7" name="XLDataChannel1"/>
      </mc:Fallback>
    </mc:AlternateContent>
    <mc:AlternateContent xmlns:mc="http://schemas.openxmlformats.org/markup-compatibility/2006">
      <mc:Choice Requires="x14">
        <control shapeId="36521987" r:id="rId8" name="Button 3">
          <controlPr defaultSize="0" print="0" autoFill="0" autoPict="0" macro="[0]!updateDScontrols">
            <anchor moveWithCells="1">
              <from>
                <xdr:col>0</xdr:col>
                <xdr:colOff>114300</xdr:colOff>
                <xdr:row>0</xdr:row>
                <xdr:rowOff>47625</xdr:rowOff>
              </from>
              <to>
                <xdr:col>0</xdr:col>
                <xdr:colOff>828675</xdr:colOff>
                <xdr:row>0</xdr:row>
                <xdr:rowOff>285750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sheetPr>
  <dimension ref="B14:T60"/>
  <sheetViews>
    <sheetView workbookViewId="0">
      <selection activeCell="D26" sqref="D26"/>
    </sheetView>
  </sheetViews>
  <sheetFormatPr defaultRowHeight="15"/>
  <cols>
    <col min="1" max="2" width="9.140625" style="143"/>
    <col min="3" max="3" width="44.28515625" style="143" bestFit="1" customWidth="1"/>
    <col min="4" max="20" width="13.140625" style="143" customWidth="1"/>
    <col min="21" max="16384" width="9.140625" style="143"/>
  </cols>
  <sheetData>
    <row r="14" spans="2:20" ht="15.75" thickBot="1">
      <c r="B14" s="438"/>
      <c r="C14" s="438"/>
      <c r="D14" s="438"/>
      <c r="E14" s="438"/>
      <c r="F14" s="438"/>
      <c r="G14" s="438"/>
      <c r="H14" s="438"/>
      <c r="I14" s="438"/>
      <c r="J14" s="438"/>
      <c r="K14" s="438"/>
      <c r="L14" s="438"/>
      <c r="M14" s="438"/>
      <c r="N14" s="438"/>
      <c r="O14" s="438"/>
      <c r="P14" s="438"/>
      <c r="Q14" s="438"/>
      <c r="R14" s="438"/>
      <c r="S14" s="438"/>
      <c r="T14" s="438"/>
    </row>
    <row r="15" spans="2:20">
      <c r="B15" s="438"/>
      <c r="C15" s="439"/>
      <c r="D15" s="440">
        <v>2014</v>
      </c>
      <c r="E15" s="440">
        <f>D15+1</f>
        <v>2015</v>
      </c>
      <c r="F15" s="441">
        <f t="shared" ref="F15:T15" si="0">E15+1</f>
        <v>2016</v>
      </c>
      <c r="G15" s="441">
        <f t="shared" si="0"/>
        <v>2017</v>
      </c>
      <c r="H15" s="441">
        <f t="shared" si="0"/>
        <v>2018</v>
      </c>
      <c r="I15" s="441">
        <f t="shared" si="0"/>
        <v>2019</v>
      </c>
      <c r="J15" s="441">
        <f t="shared" si="0"/>
        <v>2020</v>
      </c>
      <c r="K15" s="441">
        <f t="shared" si="0"/>
        <v>2021</v>
      </c>
      <c r="L15" s="441">
        <f t="shared" si="0"/>
        <v>2022</v>
      </c>
      <c r="M15" s="441">
        <f t="shared" si="0"/>
        <v>2023</v>
      </c>
      <c r="N15" s="441">
        <f t="shared" si="0"/>
        <v>2024</v>
      </c>
      <c r="O15" s="441">
        <f t="shared" si="0"/>
        <v>2025</v>
      </c>
      <c r="P15" s="441">
        <f t="shared" si="0"/>
        <v>2026</v>
      </c>
      <c r="Q15" s="441">
        <f t="shared" si="0"/>
        <v>2027</v>
      </c>
      <c r="R15" s="441">
        <f t="shared" si="0"/>
        <v>2028</v>
      </c>
      <c r="S15" s="441">
        <f t="shared" si="0"/>
        <v>2029</v>
      </c>
      <c r="T15" s="441">
        <f t="shared" si="0"/>
        <v>2030</v>
      </c>
    </row>
    <row r="16" spans="2:20">
      <c r="B16" s="438"/>
      <c r="C16" s="438" t="s">
        <v>840</v>
      </c>
      <c r="D16" s="442">
        <v>317</v>
      </c>
      <c r="E16" s="442">
        <f>D16*(1+D17)</f>
        <v>323.34000000000003</v>
      </c>
      <c r="F16" s="442">
        <f t="shared" ref="F16:T16" si="1">E16*(1+E17)</f>
        <v>329.80680000000007</v>
      </c>
      <c r="G16" s="442">
        <f t="shared" si="1"/>
        <v>336.40293600000007</v>
      </c>
      <c r="H16" s="442">
        <f t="shared" si="1"/>
        <v>343.1309947200001</v>
      </c>
      <c r="I16" s="442">
        <f t="shared" si="1"/>
        <v>349.99361461440009</v>
      </c>
      <c r="J16" s="442">
        <f t="shared" si="1"/>
        <v>356.99348690668808</v>
      </c>
      <c r="K16" s="442">
        <f t="shared" si="1"/>
        <v>364.13335664482184</v>
      </c>
      <c r="L16" s="442">
        <f t="shared" si="1"/>
        <v>371.41602377771829</v>
      </c>
      <c r="M16" s="442">
        <f t="shared" si="1"/>
        <v>378.84434425327265</v>
      </c>
      <c r="N16" s="442">
        <f t="shared" si="1"/>
        <v>386.4212311383381</v>
      </c>
      <c r="O16" s="442">
        <f t="shared" si="1"/>
        <v>394.1496557611049</v>
      </c>
      <c r="P16" s="442">
        <f t="shared" si="1"/>
        <v>402.03264887632702</v>
      </c>
      <c r="Q16" s="442">
        <f t="shared" si="1"/>
        <v>410.07330185385354</v>
      </c>
      <c r="R16" s="442">
        <f t="shared" si="1"/>
        <v>418.2747678909306</v>
      </c>
      <c r="S16" s="442">
        <f t="shared" si="1"/>
        <v>426.64026324874925</v>
      </c>
      <c r="T16" s="442">
        <f t="shared" si="1"/>
        <v>435.17306851372422</v>
      </c>
    </row>
    <row r="17" spans="2:20">
      <c r="B17" s="438"/>
      <c r="C17" s="458" t="s">
        <v>841</v>
      </c>
      <c r="D17" s="459">
        <v>0.02</v>
      </c>
      <c r="E17" s="459">
        <v>0.02</v>
      </c>
      <c r="F17" s="459">
        <v>0.02</v>
      </c>
      <c r="G17" s="459">
        <v>0.02</v>
      </c>
      <c r="H17" s="459">
        <v>0.02</v>
      </c>
      <c r="I17" s="459">
        <v>0.02</v>
      </c>
      <c r="J17" s="459">
        <v>0.02</v>
      </c>
      <c r="K17" s="459">
        <v>0.02</v>
      </c>
      <c r="L17" s="459">
        <v>0.02</v>
      </c>
      <c r="M17" s="459">
        <v>0.02</v>
      </c>
      <c r="N17" s="459">
        <v>0.02</v>
      </c>
      <c r="O17" s="459">
        <v>0.02</v>
      </c>
      <c r="P17" s="459">
        <v>0.02</v>
      </c>
      <c r="Q17" s="459">
        <v>0.02</v>
      </c>
      <c r="R17" s="459">
        <v>0.02</v>
      </c>
      <c r="S17" s="459">
        <v>0.02</v>
      </c>
      <c r="T17" s="459">
        <v>0.02</v>
      </c>
    </row>
    <row r="18" spans="2:20">
      <c r="B18" s="438"/>
      <c r="C18" s="438" t="s">
        <v>842</v>
      </c>
      <c r="D18" s="443">
        <f>(17.1%+5.6%)/2</f>
        <v>0.1135</v>
      </c>
      <c r="E18" s="443">
        <f>D18</f>
        <v>0.1135</v>
      </c>
      <c r="F18" s="443">
        <f t="shared" ref="F18:T19" si="2">E18</f>
        <v>0.1135</v>
      </c>
      <c r="G18" s="443">
        <f t="shared" si="2"/>
        <v>0.1135</v>
      </c>
      <c r="H18" s="443">
        <f t="shared" si="2"/>
        <v>0.1135</v>
      </c>
      <c r="I18" s="443">
        <f t="shared" si="2"/>
        <v>0.1135</v>
      </c>
      <c r="J18" s="443">
        <f t="shared" si="2"/>
        <v>0.1135</v>
      </c>
      <c r="K18" s="443">
        <f t="shared" si="2"/>
        <v>0.1135</v>
      </c>
      <c r="L18" s="443">
        <f t="shared" si="2"/>
        <v>0.1135</v>
      </c>
      <c r="M18" s="443">
        <f t="shared" si="2"/>
        <v>0.1135</v>
      </c>
      <c r="N18" s="443">
        <f t="shared" si="2"/>
        <v>0.1135</v>
      </c>
      <c r="O18" s="443">
        <f t="shared" si="2"/>
        <v>0.1135</v>
      </c>
      <c r="P18" s="443">
        <f t="shared" si="2"/>
        <v>0.1135</v>
      </c>
      <c r="Q18" s="443">
        <f t="shared" si="2"/>
        <v>0.1135</v>
      </c>
      <c r="R18" s="443">
        <f t="shared" si="2"/>
        <v>0.1135</v>
      </c>
      <c r="S18" s="443">
        <f t="shared" si="2"/>
        <v>0.1135</v>
      </c>
      <c r="T18" s="443">
        <f t="shared" si="2"/>
        <v>0.1135</v>
      </c>
    </row>
    <row r="19" spans="2:20">
      <c r="B19" s="438"/>
      <c r="C19" s="444" t="s">
        <v>843</v>
      </c>
      <c r="D19" s="445">
        <v>8.9999999999999993E-3</v>
      </c>
      <c r="E19" s="445">
        <f>D19</f>
        <v>8.9999999999999993E-3</v>
      </c>
      <c r="F19" s="445">
        <f t="shared" si="2"/>
        <v>8.9999999999999993E-3</v>
      </c>
      <c r="G19" s="445">
        <f t="shared" si="2"/>
        <v>8.9999999999999993E-3</v>
      </c>
      <c r="H19" s="445">
        <f t="shared" si="2"/>
        <v>8.9999999999999993E-3</v>
      </c>
      <c r="I19" s="445">
        <f t="shared" si="2"/>
        <v>8.9999999999999993E-3</v>
      </c>
      <c r="J19" s="445">
        <f t="shared" si="2"/>
        <v>8.9999999999999993E-3</v>
      </c>
      <c r="K19" s="445">
        <f t="shared" si="2"/>
        <v>8.9999999999999993E-3</v>
      </c>
      <c r="L19" s="445">
        <f t="shared" si="2"/>
        <v>8.9999999999999993E-3</v>
      </c>
      <c r="M19" s="445">
        <f t="shared" si="2"/>
        <v>8.9999999999999993E-3</v>
      </c>
      <c r="N19" s="445">
        <f t="shared" si="2"/>
        <v>8.9999999999999993E-3</v>
      </c>
      <c r="O19" s="445">
        <f t="shared" si="2"/>
        <v>8.9999999999999993E-3</v>
      </c>
      <c r="P19" s="445">
        <f t="shared" si="2"/>
        <v>8.9999999999999993E-3</v>
      </c>
      <c r="Q19" s="445">
        <f t="shared" si="2"/>
        <v>8.9999999999999993E-3</v>
      </c>
      <c r="R19" s="445">
        <f t="shared" si="2"/>
        <v>8.9999999999999993E-3</v>
      </c>
      <c r="S19" s="445">
        <f t="shared" si="2"/>
        <v>8.9999999999999993E-3</v>
      </c>
      <c r="T19" s="445">
        <f t="shared" si="2"/>
        <v>8.9999999999999993E-3</v>
      </c>
    </row>
    <row r="20" spans="2:20">
      <c r="B20" s="438"/>
      <c r="C20" s="446"/>
      <c r="D20" s="447"/>
      <c r="E20" s="447"/>
      <c r="F20" s="447"/>
      <c r="G20" s="447"/>
      <c r="H20" s="447"/>
      <c r="I20" s="447"/>
      <c r="J20" s="447"/>
      <c r="K20" s="447"/>
      <c r="L20" s="447"/>
      <c r="M20" s="447"/>
      <c r="N20" s="447"/>
      <c r="O20" s="447"/>
      <c r="P20" s="447"/>
      <c r="Q20" s="447"/>
      <c r="R20" s="447"/>
      <c r="S20" s="447"/>
      <c r="T20" s="447"/>
    </row>
    <row r="21" spans="2:20">
      <c r="B21" s="438"/>
      <c r="C21" s="448" t="s">
        <v>844</v>
      </c>
      <c r="D21" s="449">
        <f>D18*D16</f>
        <v>35.979500000000002</v>
      </c>
      <c r="E21" s="449">
        <f t="shared" ref="E21:T21" si="3">E18*E16</f>
        <v>36.699090000000005</v>
      </c>
      <c r="F21" s="449">
        <f t="shared" si="3"/>
        <v>37.433071800000008</v>
      </c>
      <c r="G21" s="449">
        <f t="shared" si="3"/>
        <v>38.181733236000007</v>
      </c>
      <c r="H21" s="449">
        <f t="shared" si="3"/>
        <v>38.945367900720015</v>
      </c>
      <c r="I21" s="449">
        <f t="shared" si="3"/>
        <v>39.724275258734409</v>
      </c>
      <c r="J21" s="449">
        <f t="shared" si="3"/>
        <v>40.5187607639091</v>
      </c>
      <c r="K21" s="449">
        <f t="shared" si="3"/>
        <v>41.329135979187278</v>
      </c>
      <c r="L21" s="449">
        <f t="shared" si="3"/>
        <v>42.155718698771025</v>
      </c>
      <c r="M21" s="449">
        <f t="shared" si="3"/>
        <v>42.99883307274645</v>
      </c>
      <c r="N21" s="449">
        <f t="shared" si="3"/>
        <v>43.858809734201373</v>
      </c>
      <c r="O21" s="449">
        <f t="shared" si="3"/>
        <v>44.735985928885405</v>
      </c>
      <c r="P21" s="449">
        <f t="shared" si="3"/>
        <v>45.630705647463117</v>
      </c>
      <c r="Q21" s="449">
        <f t="shared" si="3"/>
        <v>46.543319760412381</v>
      </c>
      <c r="R21" s="449">
        <f t="shared" si="3"/>
        <v>47.474186155620622</v>
      </c>
      <c r="S21" s="449">
        <f t="shared" si="3"/>
        <v>48.423669878733044</v>
      </c>
      <c r="T21" s="449">
        <f t="shared" si="3"/>
        <v>49.392143276307699</v>
      </c>
    </row>
    <row r="22" spans="2:20">
      <c r="B22" s="438"/>
      <c r="C22" s="460" t="s">
        <v>845</v>
      </c>
      <c r="D22" s="461">
        <v>0.08</v>
      </c>
      <c r="E22" s="461">
        <f>D22</f>
        <v>0.08</v>
      </c>
      <c r="F22" s="461">
        <f t="shared" ref="F22:T22" si="4">E22</f>
        <v>0.08</v>
      </c>
      <c r="G22" s="461">
        <f t="shared" si="4"/>
        <v>0.08</v>
      </c>
      <c r="H22" s="461">
        <f t="shared" si="4"/>
        <v>0.08</v>
      </c>
      <c r="I22" s="461">
        <f t="shared" si="4"/>
        <v>0.08</v>
      </c>
      <c r="J22" s="461">
        <f t="shared" si="4"/>
        <v>0.08</v>
      </c>
      <c r="K22" s="461">
        <f t="shared" si="4"/>
        <v>0.08</v>
      </c>
      <c r="L22" s="461">
        <f t="shared" si="4"/>
        <v>0.08</v>
      </c>
      <c r="M22" s="461">
        <f t="shared" si="4"/>
        <v>0.08</v>
      </c>
      <c r="N22" s="461">
        <f t="shared" si="4"/>
        <v>0.08</v>
      </c>
      <c r="O22" s="461">
        <f t="shared" si="4"/>
        <v>0.08</v>
      </c>
      <c r="P22" s="461">
        <f t="shared" si="4"/>
        <v>0.08</v>
      </c>
      <c r="Q22" s="461">
        <f t="shared" si="4"/>
        <v>0.08</v>
      </c>
      <c r="R22" s="461">
        <f t="shared" si="4"/>
        <v>0.08</v>
      </c>
      <c r="S22" s="461">
        <f t="shared" si="4"/>
        <v>0.08</v>
      </c>
      <c r="T22" s="461">
        <f t="shared" si="4"/>
        <v>0.08</v>
      </c>
    </row>
    <row r="23" spans="2:20">
      <c r="B23" s="438"/>
      <c r="C23" s="438" t="s">
        <v>846</v>
      </c>
      <c r="D23" s="450">
        <f>D21*D22</f>
        <v>2.8783600000000003</v>
      </c>
      <c r="E23" s="450">
        <f t="shared" ref="E23:T23" si="5">E21*E22</f>
        <v>2.9359272000000005</v>
      </c>
      <c r="F23" s="450">
        <f t="shared" si="5"/>
        <v>2.9946457440000005</v>
      </c>
      <c r="G23" s="450">
        <f t="shared" si="5"/>
        <v>3.0545386588800008</v>
      </c>
      <c r="H23" s="450">
        <f t="shared" si="5"/>
        <v>3.1156294320576015</v>
      </c>
      <c r="I23" s="450">
        <f t="shared" si="5"/>
        <v>3.1779420206987528</v>
      </c>
      <c r="J23" s="450">
        <f t="shared" si="5"/>
        <v>3.2415008611127281</v>
      </c>
      <c r="K23" s="450">
        <f t="shared" si="5"/>
        <v>3.3063308783349825</v>
      </c>
      <c r="L23" s="450">
        <f t="shared" si="5"/>
        <v>3.3724574959016822</v>
      </c>
      <c r="M23" s="450">
        <f t="shared" si="5"/>
        <v>3.4399066458197161</v>
      </c>
      <c r="N23" s="450">
        <f t="shared" si="5"/>
        <v>3.5087047787361101</v>
      </c>
      <c r="O23" s="450">
        <f t="shared" si="5"/>
        <v>3.5788788743108326</v>
      </c>
      <c r="P23" s="450">
        <f t="shared" si="5"/>
        <v>3.6504564517970493</v>
      </c>
      <c r="Q23" s="450">
        <f t="shared" si="5"/>
        <v>3.7234655808329906</v>
      </c>
      <c r="R23" s="450">
        <f t="shared" si="5"/>
        <v>3.7979348924496499</v>
      </c>
      <c r="S23" s="450">
        <f t="shared" si="5"/>
        <v>3.8738935902986436</v>
      </c>
      <c r="T23" s="450">
        <f t="shared" si="5"/>
        <v>3.9513714621046159</v>
      </c>
    </row>
    <row r="24" spans="2:20">
      <c r="B24" s="438"/>
      <c r="C24" s="460" t="s">
        <v>847</v>
      </c>
      <c r="D24" s="462">
        <v>0.16</v>
      </c>
      <c r="E24" s="462">
        <f>D24</f>
        <v>0.16</v>
      </c>
      <c r="F24" s="462">
        <f t="shared" ref="F24:T24" si="6">E24</f>
        <v>0.16</v>
      </c>
      <c r="G24" s="462">
        <f t="shared" si="6"/>
        <v>0.16</v>
      </c>
      <c r="H24" s="462">
        <f t="shared" si="6"/>
        <v>0.16</v>
      </c>
      <c r="I24" s="462">
        <f t="shared" si="6"/>
        <v>0.16</v>
      </c>
      <c r="J24" s="462">
        <f t="shared" si="6"/>
        <v>0.16</v>
      </c>
      <c r="K24" s="462">
        <f t="shared" si="6"/>
        <v>0.16</v>
      </c>
      <c r="L24" s="462">
        <f t="shared" si="6"/>
        <v>0.16</v>
      </c>
      <c r="M24" s="462">
        <f t="shared" si="6"/>
        <v>0.16</v>
      </c>
      <c r="N24" s="462">
        <f t="shared" si="6"/>
        <v>0.16</v>
      </c>
      <c r="O24" s="462">
        <f t="shared" si="6"/>
        <v>0.16</v>
      </c>
      <c r="P24" s="462">
        <f t="shared" si="6"/>
        <v>0.16</v>
      </c>
      <c r="Q24" s="462">
        <f t="shared" si="6"/>
        <v>0.16</v>
      </c>
      <c r="R24" s="462">
        <f t="shared" si="6"/>
        <v>0.16</v>
      </c>
      <c r="S24" s="462">
        <f t="shared" si="6"/>
        <v>0.16</v>
      </c>
      <c r="T24" s="462">
        <f t="shared" si="6"/>
        <v>0.16</v>
      </c>
    </row>
    <row r="25" spans="2:20">
      <c r="B25" s="438"/>
      <c r="C25" s="438" t="s">
        <v>848</v>
      </c>
      <c r="D25" s="451">
        <f>D23*D24*1000000</f>
        <v>460537.60000000003</v>
      </c>
      <c r="E25" s="451">
        <f t="shared" ref="E25:T25" si="7">E23*E24*1000000</f>
        <v>469748.35200000007</v>
      </c>
      <c r="F25" s="451">
        <f t="shared" si="7"/>
        <v>479143.31904000009</v>
      </c>
      <c r="G25" s="451">
        <f t="shared" si="7"/>
        <v>488726.18542080018</v>
      </c>
      <c r="H25" s="451">
        <f t="shared" si="7"/>
        <v>498500.70912921621</v>
      </c>
      <c r="I25" s="451">
        <f t="shared" si="7"/>
        <v>508470.72331180045</v>
      </c>
      <c r="J25" s="451">
        <f t="shared" si="7"/>
        <v>518640.13777803653</v>
      </c>
      <c r="K25" s="451">
        <f t="shared" si="7"/>
        <v>529012.94053359726</v>
      </c>
      <c r="L25" s="451">
        <f t="shared" si="7"/>
        <v>539593.19934426923</v>
      </c>
      <c r="M25" s="451">
        <f t="shared" si="7"/>
        <v>550385.06333115452</v>
      </c>
      <c r="N25" s="451">
        <f t="shared" si="7"/>
        <v>561392.76459777763</v>
      </c>
      <c r="O25" s="451">
        <f t="shared" si="7"/>
        <v>572620.61988973327</v>
      </c>
      <c r="P25" s="451">
        <f t="shared" si="7"/>
        <v>584073.03228752792</v>
      </c>
      <c r="Q25" s="451">
        <f t="shared" si="7"/>
        <v>595754.49293327855</v>
      </c>
      <c r="R25" s="451">
        <f t="shared" si="7"/>
        <v>607669.58279194392</v>
      </c>
      <c r="S25" s="451">
        <f t="shared" si="7"/>
        <v>619822.97444778297</v>
      </c>
      <c r="T25" s="451">
        <f t="shared" si="7"/>
        <v>632219.43393673853</v>
      </c>
    </row>
    <row r="26" spans="2:20">
      <c r="B26" s="438"/>
      <c r="C26" s="463" t="s">
        <v>849</v>
      </c>
      <c r="D26" s="464">
        <f t="shared" ref="D26:T26" si="8">CHOOSE($C$54,D27,D28,D29)</f>
        <v>0</v>
      </c>
      <c r="E26" s="464">
        <f t="shared" si="8"/>
        <v>0</v>
      </c>
      <c r="F26" s="464">
        <f t="shared" si="8"/>
        <v>0</v>
      </c>
      <c r="G26" s="464">
        <f t="shared" si="8"/>
        <v>0</v>
      </c>
      <c r="H26" s="464">
        <f t="shared" si="8"/>
        <v>0.01</v>
      </c>
      <c r="I26" s="464">
        <f t="shared" si="8"/>
        <v>0.02</v>
      </c>
      <c r="J26" s="464">
        <f t="shared" si="8"/>
        <v>0.03</v>
      </c>
      <c r="K26" s="464">
        <f t="shared" si="8"/>
        <v>0.06</v>
      </c>
      <c r="L26" s="464">
        <f t="shared" si="8"/>
        <v>0.08</v>
      </c>
      <c r="M26" s="464">
        <f t="shared" si="8"/>
        <v>0.125</v>
      </c>
      <c r="N26" s="464">
        <f t="shared" si="8"/>
        <v>0.125</v>
      </c>
      <c r="O26" s="464">
        <f t="shared" si="8"/>
        <v>0.125</v>
      </c>
      <c r="P26" s="464">
        <f t="shared" si="8"/>
        <v>0.125</v>
      </c>
      <c r="Q26" s="464">
        <f t="shared" si="8"/>
        <v>0.125</v>
      </c>
      <c r="R26" s="464">
        <f t="shared" si="8"/>
        <v>0.125</v>
      </c>
      <c r="S26" s="464">
        <f t="shared" si="8"/>
        <v>0.125</v>
      </c>
      <c r="T26" s="464">
        <f t="shared" si="8"/>
        <v>0.125</v>
      </c>
    </row>
    <row r="27" spans="2:20">
      <c r="B27" s="438"/>
      <c r="C27" s="467" t="s">
        <v>399</v>
      </c>
      <c r="D27" s="468">
        <v>0</v>
      </c>
      <c r="E27" s="468">
        <v>0</v>
      </c>
      <c r="F27" s="468">
        <v>0</v>
      </c>
      <c r="G27" s="468">
        <v>0</v>
      </c>
      <c r="H27" s="468">
        <v>0.02</v>
      </c>
      <c r="I27" s="468">
        <v>0.05</v>
      </c>
      <c r="J27" s="468">
        <v>0.1</v>
      </c>
      <c r="K27" s="468">
        <v>0.15</v>
      </c>
      <c r="L27" s="468">
        <v>0.2</v>
      </c>
      <c r="M27" s="468">
        <v>0.25</v>
      </c>
      <c r="N27" s="468">
        <v>0.25</v>
      </c>
      <c r="O27" s="468">
        <v>0.25</v>
      </c>
      <c r="P27" s="468">
        <v>0.25</v>
      </c>
      <c r="Q27" s="468">
        <v>0.25</v>
      </c>
      <c r="R27" s="468">
        <v>0.25</v>
      </c>
      <c r="S27" s="468">
        <v>0.25</v>
      </c>
      <c r="T27" s="468">
        <v>0.25</v>
      </c>
    </row>
    <row r="28" spans="2:20">
      <c r="B28" s="438"/>
      <c r="C28" s="467" t="s">
        <v>398</v>
      </c>
      <c r="D28" s="468">
        <v>0</v>
      </c>
      <c r="E28" s="468">
        <v>0</v>
      </c>
      <c r="F28" s="468">
        <v>0</v>
      </c>
      <c r="G28" s="468">
        <v>0</v>
      </c>
      <c r="H28" s="468">
        <v>0.01</v>
      </c>
      <c r="I28" s="468">
        <v>0.02</v>
      </c>
      <c r="J28" s="468">
        <v>0.03</v>
      </c>
      <c r="K28" s="468">
        <v>0.06</v>
      </c>
      <c r="L28" s="468">
        <v>0.08</v>
      </c>
      <c r="M28" s="468">
        <f t="shared" ref="M28:T28" si="9">M27*0.5</f>
        <v>0.125</v>
      </c>
      <c r="N28" s="468">
        <f t="shared" si="9"/>
        <v>0.125</v>
      </c>
      <c r="O28" s="468">
        <f t="shared" si="9"/>
        <v>0.125</v>
      </c>
      <c r="P28" s="468">
        <f t="shared" si="9"/>
        <v>0.125</v>
      </c>
      <c r="Q28" s="468">
        <f t="shared" si="9"/>
        <v>0.125</v>
      </c>
      <c r="R28" s="468">
        <f t="shared" si="9"/>
        <v>0.125</v>
      </c>
      <c r="S28" s="468">
        <f t="shared" si="9"/>
        <v>0.125</v>
      </c>
      <c r="T28" s="468">
        <f t="shared" si="9"/>
        <v>0.125</v>
      </c>
    </row>
    <row r="29" spans="2:20">
      <c r="B29" s="438"/>
      <c r="C29" s="467" t="s">
        <v>397</v>
      </c>
      <c r="D29" s="468">
        <v>0</v>
      </c>
      <c r="E29" s="468">
        <v>0</v>
      </c>
      <c r="F29" s="468">
        <v>0</v>
      </c>
      <c r="G29" s="468">
        <v>0</v>
      </c>
      <c r="H29" s="468">
        <v>0</v>
      </c>
      <c r="I29" s="468">
        <v>0</v>
      </c>
      <c r="J29" s="468">
        <v>0</v>
      </c>
      <c r="K29" s="468">
        <v>0</v>
      </c>
      <c r="L29" s="468">
        <v>0</v>
      </c>
      <c r="M29" s="468">
        <v>0</v>
      </c>
      <c r="N29" s="468">
        <v>0</v>
      </c>
      <c r="O29" s="468">
        <v>0</v>
      </c>
      <c r="P29" s="468">
        <v>0</v>
      </c>
      <c r="Q29" s="468">
        <v>0</v>
      </c>
      <c r="R29" s="468">
        <v>0</v>
      </c>
      <c r="S29" s="468">
        <v>0</v>
      </c>
      <c r="T29" s="468">
        <v>0</v>
      </c>
    </row>
    <row r="30" spans="2:20">
      <c r="B30" s="451"/>
      <c r="C30" s="452" t="s">
        <v>850</v>
      </c>
      <c r="D30" s="453">
        <f t="shared" ref="D30:T30" si="10">D25*D26</f>
        <v>0</v>
      </c>
      <c r="E30" s="453">
        <f t="shared" si="10"/>
        <v>0</v>
      </c>
      <c r="F30" s="453">
        <f t="shared" si="10"/>
        <v>0</v>
      </c>
      <c r="G30" s="453">
        <f t="shared" si="10"/>
        <v>0</v>
      </c>
      <c r="H30" s="453">
        <f t="shared" si="10"/>
        <v>4985.0070912921619</v>
      </c>
      <c r="I30" s="453">
        <f t="shared" si="10"/>
        <v>10169.414466236009</v>
      </c>
      <c r="J30" s="453">
        <f t="shared" si="10"/>
        <v>15559.204133341096</v>
      </c>
      <c r="K30" s="453">
        <f t="shared" si="10"/>
        <v>31740.776432015835</v>
      </c>
      <c r="L30" s="453">
        <f t="shared" si="10"/>
        <v>43167.455947541537</v>
      </c>
      <c r="M30" s="453">
        <f t="shared" si="10"/>
        <v>68798.132916394316</v>
      </c>
      <c r="N30" s="453">
        <f t="shared" si="10"/>
        <v>70174.095574722203</v>
      </c>
      <c r="O30" s="453">
        <f t="shared" si="10"/>
        <v>71577.577486216658</v>
      </c>
      <c r="P30" s="453">
        <f t="shared" si="10"/>
        <v>73009.12903594099</v>
      </c>
      <c r="Q30" s="453">
        <f t="shared" si="10"/>
        <v>74469.311616659819</v>
      </c>
      <c r="R30" s="453">
        <f t="shared" si="10"/>
        <v>75958.69784899299</v>
      </c>
      <c r="S30" s="453">
        <f t="shared" si="10"/>
        <v>77477.871805972871</v>
      </c>
      <c r="T30" s="453">
        <f t="shared" si="10"/>
        <v>79027.429242092316</v>
      </c>
    </row>
    <row r="31" spans="2:20">
      <c r="B31" s="438"/>
      <c r="C31" s="438"/>
      <c r="D31" s="438"/>
      <c r="E31" s="438"/>
      <c r="F31" s="438"/>
      <c r="G31" s="438"/>
      <c r="H31" s="438"/>
      <c r="I31" s="438"/>
      <c r="J31" s="438"/>
      <c r="K31" s="438"/>
      <c r="L31" s="438"/>
      <c r="M31" s="438"/>
      <c r="N31" s="438"/>
      <c r="O31" s="438"/>
      <c r="P31" s="438"/>
      <c r="Q31" s="438"/>
      <c r="R31" s="438"/>
      <c r="S31" s="438"/>
      <c r="T31" s="438"/>
    </row>
    <row r="32" spans="2:20">
      <c r="B32" s="448"/>
      <c r="C32" s="448" t="s">
        <v>851</v>
      </c>
      <c r="D32" s="449">
        <f t="shared" ref="D32:T32" si="11">D16*D19</f>
        <v>2.8529999999999998</v>
      </c>
      <c r="E32" s="449">
        <f t="shared" si="11"/>
        <v>2.9100600000000001</v>
      </c>
      <c r="F32" s="449">
        <f t="shared" si="11"/>
        <v>2.9682612000000002</v>
      </c>
      <c r="G32" s="449">
        <f t="shared" si="11"/>
        <v>3.0276264240000006</v>
      </c>
      <c r="H32" s="449">
        <f t="shared" si="11"/>
        <v>3.0881789524800007</v>
      </c>
      <c r="I32" s="449">
        <f t="shared" si="11"/>
        <v>3.1499425315296006</v>
      </c>
      <c r="J32" s="449">
        <f t="shared" si="11"/>
        <v>3.2129413821601926</v>
      </c>
      <c r="K32" s="449">
        <f t="shared" si="11"/>
        <v>3.2772002098033965</v>
      </c>
      <c r="L32" s="449">
        <f t="shared" si="11"/>
        <v>3.3427442139994645</v>
      </c>
      <c r="M32" s="449">
        <f t="shared" si="11"/>
        <v>3.4095990982794535</v>
      </c>
      <c r="N32" s="449">
        <f t="shared" si="11"/>
        <v>3.4777910802450425</v>
      </c>
      <c r="O32" s="449">
        <f t="shared" si="11"/>
        <v>3.5473469018499437</v>
      </c>
      <c r="P32" s="449">
        <f t="shared" si="11"/>
        <v>3.6182938398869431</v>
      </c>
      <c r="Q32" s="449">
        <f t="shared" si="11"/>
        <v>3.6906597166846815</v>
      </c>
      <c r="R32" s="449">
        <f t="shared" si="11"/>
        <v>3.764472911018375</v>
      </c>
      <c r="S32" s="449">
        <f t="shared" si="11"/>
        <v>3.839762369238743</v>
      </c>
      <c r="T32" s="449">
        <f t="shared" si="11"/>
        <v>3.9165576166235176</v>
      </c>
    </row>
    <row r="33" spans="2:20">
      <c r="B33" s="438"/>
      <c r="C33" s="460" t="s">
        <v>845</v>
      </c>
      <c r="D33" s="462">
        <v>0.23799999999999999</v>
      </c>
      <c r="E33" s="462">
        <v>0.23799999999999999</v>
      </c>
      <c r="F33" s="462">
        <v>0.23799999999999999</v>
      </c>
      <c r="G33" s="462">
        <v>0.23799999999999999</v>
      </c>
      <c r="H33" s="462">
        <v>0.23799999999999999</v>
      </c>
      <c r="I33" s="462">
        <v>0.23799999999999999</v>
      </c>
      <c r="J33" s="462">
        <v>0.23799999999999999</v>
      </c>
      <c r="K33" s="462">
        <v>0.23799999999999999</v>
      </c>
      <c r="L33" s="462">
        <v>0.23799999999999999</v>
      </c>
      <c r="M33" s="462">
        <v>0.23799999999999999</v>
      </c>
      <c r="N33" s="462">
        <v>0.23799999999999999</v>
      </c>
      <c r="O33" s="462">
        <v>0.23799999999999999</v>
      </c>
      <c r="P33" s="462">
        <v>0.23799999999999999</v>
      </c>
      <c r="Q33" s="462">
        <v>0.23799999999999999</v>
      </c>
      <c r="R33" s="462">
        <v>0.23799999999999999</v>
      </c>
      <c r="S33" s="462">
        <v>0.23799999999999999</v>
      </c>
      <c r="T33" s="462">
        <v>0.23799999999999999</v>
      </c>
    </row>
    <row r="34" spans="2:20">
      <c r="B34" s="438"/>
      <c r="C34" s="438" t="s">
        <v>852</v>
      </c>
      <c r="D34" s="451">
        <f>D32*D33*1000000</f>
        <v>679013.99999999988</v>
      </c>
      <c r="E34" s="451">
        <f t="shared" ref="E34:T34" si="12">E32*E33*1000000</f>
        <v>692594.28</v>
      </c>
      <c r="F34" s="451">
        <f t="shared" si="12"/>
        <v>706446.16559999995</v>
      </c>
      <c r="G34" s="451">
        <f t="shared" si="12"/>
        <v>720575.08891200006</v>
      </c>
      <c r="H34" s="451">
        <f t="shared" si="12"/>
        <v>734986.59069024015</v>
      </c>
      <c r="I34" s="451">
        <f t="shared" si="12"/>
        <v>749686.32250404486</v>
      </c>
      <c r="J34" s="451">
        <f t="shared" si="12"/>
        <v>764680.04895412573</v>
      </c>
      <c r="K34" s="451">
        <f t="shared" si="12"/>
        <v>779973.64993320836</v>
      </c>
      <c r="L34" s="451">
        <f t="shared" si="12"/>
        <v>795573.12293187249</v>
      </c>
      <c r="M34" s="451">
        <f t="shared" si="12"/>
        <v>811484.58539050992</v>
      </c>
      <c r="N34" s="451">
        <f t="shared" si="12"/>
        <v>827714.27709831996</v>
      </c>
      <c r="O34" s="451">
        <f t="shared" si="12"/>
        <v>844268.56264028663</v>
      </c>
      <c r="P34" s="451">
        <f t="shared" si="12"/>
        <v>861153.93389309244</v>
      </c>
      <c r="Q34" s="451">
        <f t="shared" si="12"/>
        <v>878377.01257095416</v>
      </c>
      <c r="R34" s="451">
        <f t="shared" si="12"/>
        <v>895944.55282237323</v>
      </c>
      <c r="S34" s="451">
        <f t="shared" si="12"/>
        <v>913863.44387882075</v>
      </c>
      <c r="T34" s="451">
        <f t="shared" si="12"/>
        <v>932140.7127563972</v>
      </c>
    </row>
    <row r="35" spans="2:20">
      <c r="B35" s="438"/>
      <c r="C35" s="460" t="s">
        <v>847</v>
      </c>
      <c r="D35" s="462">
        <v>0.16</v>
      </c>
      <c r="E35" s="462">
        <f>D35</f>
        <v>0.16</v>
      </c>
      <c r="F35" s="462">
        <f t="shared" ref="F35:T35" si="13">E35</f>
        <v>0.16</v>
      </c>
      <c r="G35" s="462">
        <f t="shared" si="13"/>
        <v>0.16</v>
      </c>
      <c r="H35" s="462">
        <f t="shared" si="13"/>
        <v>0.16</v>
      </c>
      <c r="I35" s="462">
        <f t="shared" si="13"/>
        <v>0.16</v>
      </c>
      <c r="J35" s="462">
        <f t="shared" si="13"/>
        <v>0.16</v>
      </c>
      <c r="K35" s="462">
        <f t="shared" si="13"/>
        <v>0.16</v>
      </c>
      <c r="L35" s="462">
        <f t="shared" si="13"/>
        <v>0.16</v>
      </c>
      <c r="M35" s="462">
        <f t="shared" si="13"/>
        <v>0.16</v>
      </c>
      <c r="N35" s="462">
        <f t="shared" si="13"/>
        <v>0.16</v>
      </c>
      <c r="O35" s="462">
        <f t="shared" si="13"/>
        <v>0.16</v>
      </c>
      <c r="P35" s="462">
        <f t="shared" si="13"/>
        <v>0.16</v>
      </c>
      <c r="Q35" s="462">
        <f t="shared" si="13"/>
        <v>0.16</v>
      </c>
      <c r="R35" s="462">
        <f t="shared" si="13"/>
        <v>0.16</v>
      </c>
      <c r="S35" s="462">
        <f t="shared" si="13"/>
        <v>0.16</v>
      </c>
      <c r="T35" s="462">
        <f t="shared" si="13"/>
        <v>0.16</v>
      </c>
    </row>
    <row r="36" spans="2:20">
      <c r="B36" s="438"/>
      <c r="C36" s="438" t="s">
        <v>848</v>
      </c>
      <c r="D36" s="451">
        <f>D34*D35</f>
        <v>108642.23999999999</v>
      </c>
      <c r="E36" s="451">
        <f t="shared" ref="E36:T36" si="14">E34*E35</f>
        <v>110815.08480000001</v>
      </c>
      <c r="F36" s="451">
        <f t="shared" si="14"/>
        <v>113031.38649599999</v>
      </c>
      <c r="G36" s="451">
        <f t="shared" si="14"/>
        <v>115292.01422592001</v>
      </c>
      <c r="H36" s="451">
        <f t="shared" si="14"/>
        <v>117597.85451043842</v>
      </c>
      <c r="I36" s="451">
        <f t="shared" si="14"/>
        <v>119949.81160064718</v>
      </c>
      <c r="J36" s="451">
        <f t="shared" si="14"/>
        <v>122348.80783266012</v>
      </c>
      <c r="K36" s="451">
        <f t="shared" si="14"/>
        <v>124795.78398931334</v>
      </c>
      <c r="L36" s="451">
        <f t="shared" si="14"/>
        <v>127291.6996690996</v>
      </c>
      <c r="M36" s="451">
        <f t="shared" si="14"/>
        <v>129837.5336624816</v>
      </c>
      <c r="N36" s="451">
        <f t="shared" si="14"/>
        <v>132434.28433573121</v>
      </c>
      <c r="O36" s="451">
        <f t="shared" si="14"/>
        <v>135082.97002244586</v>
      </c>
      <c r="P36" s="451">
        <f t="shared" si="14"/>
        <v>137784.6294228948</v>
      </c>
      <c r="Q36" s="451">
        <f t="shared" si="14"/>
        <v>140540.32201135266</v>
      </c>
      <c r="R36" s="451">
        <f t="shared" si="14"/>
        <v>143351.12845157972</v>
      </c>
      <c r="S36" s="451">
        <f t="shared" si="14"/>
        <v>146218.15102061132</v>
      </c>
      <c r="T36" s="451">
        <f t="shared" si="14"/>
        <v>149142.51404102356</v>
      </c>
    </row>
    <row r="37" spans="2:20">
      <c r="B37" s="438"/>
      <c r="C37" s="463" t="s">
        <v>849</v>
      </c>
      <c r="D37" s="462">
        <f t="shared" ref="D37:T37" si="15">CHOOSE($C$54,D38,D39,D40)</f>
        <v>0</v>
      </c>
      <c r="E37" s="462">
        <f t="shared" si="15"/>
        <v>0</v>
      </c>
      <c r="F37" s="462">
        <f t="shared" si="15"/>
        <v>0</v>
      </c>
      <c r="G37" s="462">
        <f t="shared" si="15"/>
        <v>0</v>
      </c>
      <c r="H37" s="462">
        <f t="shared" si="15"/>
        <v>0</v>
      </c>
      <c r="I37" s="462">
        <f t="shared" si="15"/>
        <v>0.01</v>
      </c>
      <c r="J37" s="462">
        <f t="shared" si="15"/>
        <v>1.4999999999999999E-2</v>
      </c>
      <c r="K37" s="462">
        <f t="shared" si="15"/>
        <v>0.02</v>
      </c>
      <c r="L37" s="462">
        <f t="shared" si="15"/>
        <v>0.03</v>
      </c>
      <c r="M37" s="462">
        <f t="shared" si="15"/>
        <v>0.04</v>
      </c>
      <c r="N37" s="462">
        <f t="shared" si="15"/>
        <v>0.05</v>
      </c>
      <c r="O37" s="462">
        <f t="shared" si="15"/>
        <v>0.06</v>
      </c>
      <c r="P37" s="462">
        <f t="shared" si="15"/>
        <v>0.06</v>
      </c>
      <c r="Q37" s="462">
        <f t="shared" si="15"/>
        <v>0.06</v>
      </c>
      <c r="R37" s="462">
        <f t="shared" si="15"/>
        <v>0.06</v>
      </c>
      <c r="S37" s="462">
        <f t="shared" si="15"/>
        <v>0.06</v>
      </c>
      <c r="T37" s="462">
        <f t="shared" si="15"/>
        <v>0.06</v>
      </c>
    </row>
    <row r="38" spans="2:20">
      <c r="B38" s="438"/>
      <c r="C38" s="467" t="s">
        <v>399</v>
      </c>
      <c r="D38" s="468">
        <v>0</v>
      </c>
      <c r="E38" s="468">
        <v>0</v>
      </c>
      <c r="F38" s="468">
        <v>0</v>
      </c>
      <c r="G38" s="468">
        <v>0</v>
      </c>
      <c r="H38" s="468">
        <v>0.02</v>
      </c>
      <c r="I38" s="468">
        <v>0.05</v>
      </c>
      <c r="J38" s="468">
        <v>0.1</v>
      </c>
      <c r="K38" s="468">
        <v>0.16</v>
      </c>
      <c r="L38" s="468">
        <v>0.21</v>
      </c>
      <c r="M38" s="468">
        <v>0.25</v>
      </c>
      <c r="N38" s="468">
        <v>0.25</v>
      </c>
      <c r="O38" s="468">
        <v>0.25</v>
      </c>
      <c r="P38" s="468">
        <v>0.25</v>
      </c>
      <c r="Q38" s="468">
        <v>0.25</v>
      </c>
      <c r="R38" s="468">
        <v>0.25</v>
      </c>
      <c r="S38" s="468">
        <v>0.25</v>
      </c>
      <c r="T38" s="468">
        <v>0.25</v>
      </c>
    </row>
    <row r="39" spans="2:20">
      <c r="B39" s="438"/>
      <c r="C39" s="467" t="s">
        <v>398</v>
      </c>
      <c r="D39" s="468">
        <v>0</v>
      </c>
      <c r="E39" s="468">
        <v>0</v>
      </c>
      <c r="F39" s="468">
        <v>0</v>
      </c>
      <c r="G39" s="468">
        <v>0</v>
      </c>
      <c r="H39" s="468">
        <v>0</v>
      </c>
      <c r="I39" s="468">
        <v>0.01</v>
      </c>
      <c r="J39" s="468">
        <v>1.4999999999999999E-2</v>
      </c>
      <c r="K39" s="468">
        <v>0.02</v>
      </c>
      <c r="L39" s="468">
        <v>0.03</v>
      </c>
      <c r="M39" s="468">
        <v>0.04</v>
      </c>
      <c r="N39" s="468">
        <v>0.05</v>
      </c>
      <c r="O39" s="468">
        <v>0.06</v>
      </c>
      <c r="P39" s="468">
        <v>0.06</v>
      </c>
      <c r="Q39" s="468">
        <v>0.06</v>
      </c>
      <c r="R39" s="468">
        <v>0.06</v>
      </c>
      <c r="S39" s="468">
        <v>0.06</v>
      </c>
      <c r="T39" s="468">
        <v>0.06</v>
      </c>
    </row>
    <row r="40" spans="2:20">
      <c r="B40" s="438"/>
      <c r="C40" s="467" t="s">
        <v>397</v>
      </c>
      <c r="D40" s="468">
        <v>0</v>
      </c>
      <c r="E40" s="468">
        <v>0</v>
      </c>
      <c r="F40" s="468">
        <v>0</v>
      </c>
      <c r="G40" s="468">
        <v>0</v>
      </c>
      <c r="H40" s="468">
        <v>0</v>
      </c>
      <c r="I40" s="468">
        <v>0</v>
      </c>
      <c r="J40" s="468">
        <v>0</v>
      </c>
      <c r="K40" s="468">
        <v>0</v>
      </c>
      <c r="L40" s="468">
        <v>0</v>
      </c>
      <c r="M40" s="468">
        <v>0</v>
      </c>
      <c r="N40" s="468">
        <v>0</v>
      </c>
      <c r="O40" s="468">
        <v>0</v>
      </c>
      <c r="P40" s="468">
        <v>0</v>
      </c>
      <c r="Q40" s="468">
        <v>0</v>
      </c>
      <c r="R40" s="468">
        <v>0</v>
      </c>
      <c r="S40" s="468">
        <v>0</v>
      </c>
      <c r="T40" s="468">
        <v>0</v>
      </c>
    </row>
    <row r="41" spans="2:20">
      <c r="B41" s="438"/>
      <c r="C41" s="452" t="s">
        <v>850</v>
      </c>
      <c r="D41" s="453">
        <f t="shared" ref="D41:T41" si="16">D36*D37</f>
        <v>0</v>
      </c>
      <c r="E41" s="453">
        <f t="shared" si="16"/>
        <v>0</v>
      </c>
      <c r="F41" s="453">
        <f t="shared" si="16"/>
        <v>0</v>
      </c>
      <c r="G41" s="453">
        <f t="shared" si="16"/>
        <v>0</v>
      </c>
      <c r="H41" s="453">
        <f t="shared" si="16"/>
        <v>0</v>
      </c>
      <c r="I41" s="453">
        <f t="shared" si="16"/>
        <v>1199.4981160064719</v>
      </c>
      <c r="J41" s="453">
        <f t="shared" si="16"/>
        <v>1835.2321174899018</v>
      </c>
      <c r="K41" s="453">
        <f t="shared" si="16"/>
        <v>2495.9156797862665</v>
      </c>
      <c r="L41" s="453">
        <f t="shared" si="16"/>
        <v>3818.7509900729879</v>
      </c>
      <c r="M41" s="453">
        <f t="shared" si="16"/>
        <v>5193.5013464992644</v>
      </c>
      <c r="N41" s="453">
        <f t="shared" si="16"/>
        <v>6621.7142167865604</v>
      </c>
      <c r="O41" s="453">
        <f t="shared" si="16"/>
        <v>8104.978201346752</v>
      </c>
      <c r="P41" s="453">
        <f t="shared" si="16"/>
        <v>8267.0777653736877</v>
      </c>
      <c r="Q41" s="453">
        <f t="shared" si="16"/>
        <v>8432.4193206811597</v>
      </c>
      <c r="R41" s="453">
        <f t="shared" si="16"/>
        <v>8601.0677070947822</v>
      </c>
      <c r="S41" s="453">
        <f t="shared" si="16"/>
        <v>8773.0890612366784</v>
      </c>
      <c r="T41" s="453">
        <f t="shared" si="16"/>
        <v>8948.5508424614127</v>
      </c>
    </row>
    <row r="42" spans="2:20">
      <c r="B42" s="438"/>
      <c r="C42" s="438"/>
      <c r="D42" s="438"/>
      <c r="E42" s="438"/>
      <c r="F42" s="438"/>
      <c r="G42" s="438"/>
      <c r="H42" s="438"/>
      <c r="I42" s="438"/>
      <c r="J42" s="438"/>
      <c r="K42" s="438"/>
      <c r="L42" s="438"/>
      <c r="M42" s="438"/>
      <c r="N42" s="438"/>
      <c r="O42" s="438"/>
      <c r="P42" s="438"/>
      <c r="Q42" s="438"/>
      <c r="R42" s="438"/>
      <c r="S42" s="438"/>
      <c r="T42" s="438"/>
    </row>
    <row r="43" spans="2:20">
      <c r="B43" s="451"/>
      <c r="C43" s="454" t="s">
        <v>853</v>
      </c>
      <c r="D43" s="454">
        <f t="shared" ref="D43:T43" si="17">D30+D41</f>
        <v>0</v>
      </c>
      <c r="E43" s="454">
        <f t="shared" si="17"/>
        <v>0</v>
      </c>
      <c r="F43" s="454">
        <f t="shared" si="17"/>
        <v>0</v>
      </c>
      <c r="G43" s="454">
        <f t="shared" si="17"/>
        <v>0</v>
      </c>
      <c r="H43" s="454">
        <f t="shared" si="17"/>
        <v>4985.0070912921619</v>
      </c>
      <c r="I43" s="454">
        <f t="shared" si="17"/>
        <v>11368.912582242481</v>
      </c>
      <c r="J43" s="454">
        <f t="shared" si="17"/>
        <v>17394.436250830997</v>
      </c>
      <c r="K43" s="454">
        <f t="shared" si="17"/>
        <v>34236.692111802098</v>
      </c>
      <c r="L43" s="454">
        <f t="shared" si="17"/>
        <v>46986.206937614523</v>
      </c>
      <c r="M43" s="454">
        <f t="shared" si="17"/>
        <v>73991.634262893582</v>
      </c>
      <c r="N43" s="454">
        <f t="shared" si="17"/>
        <v>76795.809791508771</v>
      </c>
      <c r="O43" s="454">
        <f t="shared" si="17"/>
        <v>79682.555687563407</v>
      </c>
      <c r="P43" s="454">
        <f t="shared" si="17"/>
        <v>81276.206801314678</v>
      </c>
      <c r="Q43" s="454">
        <f t="shared" si="17"/>
        <v>82901.730937340981</v>
      </c>
      <c r="R43" s="454">
        <f t="shared" si="17"/>
        <v>84559.765556087776</v>
      </c>
      <c r="S43" s="454">
        <f t="shared" si="17"/>
        <v>86250.960867209549</v>
      </c>
      <c r="T43" s="454">
        <f t="shared" si="17"/>
        <v>87975.980084553725</v>
      </c>
    </row>
    <row r="44" spans="2:20">
      <c r="B44" s="438"/>
      <c r="C44" s="438"/>
      <c r="D44" s="438"/>
      <c r="E44" s="438"/>
      <c r="F44" s="438"/>
      <c r="G44" s="438"/>
      <c r="H44" s="438"/>
      <c r="I44" s="438"/>
      <c r="J44" s="438"/>
      <c r="K44" s="438"/>
      <c r="L44" s="438"/>
      <c r="M44" s="438"/>
      <c r="N44" s="438"/>
      <c r="O44" s="438"/>
      <c r="P44" s="438"/>
      <c r="Q44" s="438"/>
      <c r="R44" s="438"/>
      <c r="S44" s="438"/>
      <c r="T44" s="438"/>
    </row>
    <row r="45" spans="2:20" ht="15.75" thickBot="1">
      <c r="B45" s="451"/>
      <c r="C45" s="451" t="s">
        <v>854</v>
      </c>
      <c r="D45" s="455">
        <v>12500</v>
      </c>
      <c r="E45" s="455">
        <f>D45</f>
        <v>12500</v>
      </c>
      <c r="F45" s="455">
        <f>E45</f>
        <v>12500</v>
      </c>
      <c r="G45" s="455">
        <f t="shared" ref="G45:T45" si="18">F45*1.02</f>
        <v>12750</v>
      </c>
      <c r="H45" s="455">
        <f t="shared" si="18"/>
        <v>13005</v>
      </c>
      <c r="I45" s="455">
        <f t="shared" si="18"/>
        <v>13265.1</v>
      </c>
      <c r="J45" s="455">
        <f t="shared" si="18"/>
        <v>13530.402</v>
      </c>
      <c r="K45" s="455">
        <f t="shared" si="18"/>
        <v>13801.010040000001</v>
      </c>
      <c r="L45" s="455">
        <f t="shared" si="18"/>
        <v>14077.030240800001</v>
      </c>
      <c r="M45" s="455">
        <f t="shared" si="18"/>
        <v>14358.570845616001</v>
      </c>
      <c r="N45" s="455">
        <f t="shared" si="18"/>
        <v>14645.742262528322</v>
      </c>
      <c r="O45" s="455">
        <f t="shared" si="18"/>
        <v>14938.657107778889</v>
      </c>
      <c r="P45" s="455">
        <f t="shared" si="18"/>
        <v>15237.430249934467</v>
      </c>
      <c r="Q45" s="455">
        <f t="shared" si="18"/>
        <v>15542.178854933156</v>
      </c>
      <c r="R45" s="455">
        <f t="shared" si="18"/>
        <v>15853.022432031819</v>
      </c>
      <c r="S45" s="455">
        <f t="shared" si="18"/>
        <v>16170.082880672457</v>
      </c>
      <c r="T45" s="455">
        <f t="shared" si="18"/>
        <v>16493.484538285906</v>
      </c>
    </row>
    <row r="46" spans="2:20" ht="15.75" thickBot="1">
      <c r="B46" s="451"/>
      <c r="C46" s="456" t="s">
        <v>855</v>
      </c>
      <c r="D46" s="457">
        <f t="shared" ref="D46:T46" si="19">D43*D45/1000000</f>
        <v>0</v>
      </c>
      <c r="E46" s="457">
        <f t="shared" si="19"/>
        <v>0</v>
      </c>
      <c r="F46" s="457">
        <f t="shared" si="19"/>
        <v>0</v>
      </c>
      <c r="G46" s="457">
        <f t="shared" si="19"/>
        <v>0</v>
      </c>
      <c r="H46" s="457">
        <f t="shared" si="19"/>
        <v>64.830017222254568</v>
      </c>
      <c r="I46" s="457">
        <f t="shared" si="19"/>
        <v>150.80976229470474</v>
      </c>
      <c r="J46" s="457">
        <f t="shared" si="19"/>
        <v>235.35371503711622</v>
      </c>
      <c r="K46" s="457">
        <f t="shared" si="19"/>
        <v>472.50093157136956</v>
      </c>
      <c r="L46" s="457">
        <f t="shared" si="19"/>
        <v>661.42625596128642</v>
      </c>
      <c r="M46" s="457">
        <f t="shared" si="19"/>
        <v>1062.4141225466658</v>
      </c>
      <c r="N46" s="457">
        <f t="shared" si="19"/>
        <v>1124.7316370485864</v>
      </c>
      <c r="O46" s="457">
        <f t="shared" si="19"/>
        <v>1190.3503768880062</v>
      </c>
      <c r="P46" s="457">
        <f t="shared" si="19"/>
        <v>1238.4405321142817</v>
      </c>
      <c r="Q46" s="457">
        <f t="shared" si="19"/>
        <v>1288.473529611699</v>
      </c>
      <c r="R46" s="457">
        <f t="shared" si="19"/>
        <v>1340.5278602080111</v>
      </c>
      <c r="S46" s="457">
        <f t="shared" si="19"/>
        <v>1394.6851857604152</v>
      </c>
      <c r="T46" s="457">
        <f t="shared" si="19"/>
        <v>1451.0304672651355</v>
      </c>
    </row>
    <row r="47" spans="2:20">
      <c r="B47" s="438"/>
      <c r="C47" s="438"/>
      <c r="D47" s="438"/>
      <c r="E47" s="438"/>
      <c r="F47" s="438"/>
      <c r="G47" s="438"/>
      <c r="H47" s="438"/>
      <c r="I47" s="438"/>
      <c r="J47" s="438"/>
      <c r="K47" s="438"/>
      <c r="L47" s="438"/>
      <c r="M47" s="438"/>
      <c r="N47" s="438"/>
      <c r="O47" s="438"/>
      <c r="P47" s="438"/>
      <c r="Q47" s="438"/>
      <c r="R47" s="438"/>
      <c r="S47" s="438"/>
      <c r="T47" s="438"/>
    </row>
    <row r="48" spans="2:20">
      <c r="B48" s="438"/>
      <c r="C48" s="470" t="s">
        <v>72</v>
      </c>
      <c r="D48" s="470"/>
      <c r="E48" s="470"/>
      <c r="F48" s="470"/>
      <c r="G48" s="470"/>
      <c r="H48" s="471">
        <f>H46*70%</f>
        <v>45.381012055578196</v>
      </c>
      <c r="I48" s="471">
        <f t="shared" ref="I48:T48" si="20">I46*70%</f>
        <v>105.56683360629332</v>
      </c>
      <c r="J48" s="471">
        <f t="shared" si="20"/>
        <v>164.74760052598134</v>
      </c>
      <c r="K48" s="471">
        <f t="shared" si="20"/>
        <v>330.7506520999587</v>
      </c>
      <c r="L48" s="471">
        <f t="shared" si="20"/>
        <v>462.99837917290046</v>
      </c>
      <c r="M48" s="471">
        <f t="shared" si="20"/>
        <v>743.68988578266601</v>
      </c>
      <c r="N48" s="471">
        <f t="shared" si="20"/>
        <v>787.31214593401046</v>
      </c>
      <c r="O48" s="471">
        <f t="shared" si="20"/>
        <v>833.24526382160423</v>
      </c>
      <c r="P48" s="471">
        <f t="shared" si="20"/>
        <v>866.90837247999718</v>
      </c>
      <c r="Q48" s="471">
        <f t="shared" si="20"/>
        <v>901.9314707281892</v>
      </c>
      <c r="R48" s="471">
        <f t="shared" si="20"/>
        <v>938.36950214560773</v>
      </c>
      <c r="S48" s="471">
        <f t="shared" si="20"/>
        <v>976.27963003229058</v>
      </c>
      <c r="T48" s="471">
        <f t="shared" si="20"/>
        <v>1015.7213270855948</v>
      </c>
    </row>
    <row r="49" spans="2:20">
      <c r="B49" s="438"/>
      <c r="C49" s="470" t="s">
        <v>859</v>
      </c>
      <c r="D49" s="470"/>
      <c r="E49" s="470"/>
      <c r="F49" s="470"/>
      <c r="G49" s="470"/>
      <c r="H49" s="471">
        <f>H46-H48</f>
        <v>19.449005166676372</v>
      </c>
      <c r="I49" s="471">
        <f t="shared" ref="I49:T49" si="21">I46-I48</f>
        <v>45.242928688411425</v>
      </c>
      <c r="J49" s="471">
        <f t="shared" si="21"/>
        <v>70.606114511134876</v>
      </c>
      <c r="K49" s="471">
        <f t="shared" si="21"/>
        <v>141.75027947141086</v>
      </c>
      <c r="L49" s="471">
        <f t="shared" si="21"/>
        <v>198.42787678838596</v>
      </c>
      <c r="M49" s="471">
        <f t="shared" si="21"/>
        <v>318.72423676399978</v>
      </c>
      <c r="N49" s="471">
        <f t="shared" si="21"/>
        <v>337.41949111457598</v>
      </c>
      <c r="O49" s="471">
        <f t="shared" si="21"/>
        <v>357.10511306640194</v>
      </c>
      <c r="P49" s="471">
        <f t="shared" si="21"/>
        <v>371.53215963428454</v>
      </c>
      <c r="Q49" s="471">
        <f t="shared" si="21"/>
        <v>386.54205888350975</v>
      </c>
      <c r="R49" s="471">
        <f t="shared" si="21"/>
        <v>402.15835806240341</v>
      </c>
      <c r="S49" s="471">
        <f t="shared" si="21"/>
        <v>418.40555572812457</v>
      </c>
      <c r="T49" s="471">
        <f t="shared" si="21"/>
        <v>435.30914017954069</v>
      </c>
    </row>
    <row r="50" spans="2:20">
      <c r="B50" s="438"/>
      <c r="C50" s="472" t="s">
        <v>860</v>
      </c>
      <c r="D50" s="470"/>
      <c r="E50" s="470"/>
      <c r="F50" s="470"/>
      <c r="G50" s="470"/>
      <c r="H50" s="468">
        <v>0.15</v>
      </c>
      <c r="I50" s="468">
        <v>0.15</v>
      </c>
      <c r="J50" s="468">
        <v>0.15</v>
      </c>
      <c r="K50" s="468">
        <v>0.15</v>
      </c>
      <c r="L50" s="468">
        <v>0.15</v>
      </c>
      <c r="M50" s="468">
        <v>0.15</v>
      </c>
      <c r="N50" s="468">
        <v>0.15</v>
      </c>
      <c r="O50" s="468">
        <v>0.15</v>
      </c>
      <c r="P50" s="468">
        <v>0.15</v>
      </c>
      <c r="Q50" s="468">
        <v>0.15</v>
      </c>
      <c r="R50" s="468">
        <v>0.15</v>
      </c>
      <c r="S50" s="468">
        <v>0.15</v>
      </c>
      <c r="T50" s="468">
        <v>0.15</v>
      </c>
    </row>
    <row r="51" spans="2:20">
      <c r="B51" s="438"/>
      <c r="C51" s="472" t="s">
        <v>861</v>
      </c>
      <c r="D51" s="470"/>
      <c r="E51" s="470"/>
      <c r="F51" s="470"/>
      <c r="G51" s="470"/>
      <c r="H51" s="471">
        <f>H48*50%+H49*(1-H50)</f>
        <v>39.222160419464018</v>
      </c>
      <c r="I51" s="471">
        <f t="shared" ref="I51:T51" si="22">I48*50%+I49*(1-I50)</f>
        <v>91.239906188296374</v>
      </c>
      <c r="J51" s="471">
        <f t="shared" si="22"/>
        <v>142.38899759745533</v>
      </c>
      <c r="K51" s="471">
        <f t="shared" si="22"/>
        <v>285.86306360067857</v>
      </c>
      <c r="L51" s="471">
        <f t="shared" si="22"/>
        <v>400.16288485657833</v>
      </c>
      <c r="M51" s="471">
        <f t="shared" si="22"/>
        <v>642.7605441407328</v>
      </c>
      <c r="N51" s="471">
        <f t="shared" si="22"/>
        <v>680.46264041439485</v>
      </c>
      <c r="O51" s="471">
        <f t="shared" si="22"/>
        <v>720.16197801724377</v>
      </c>
      <c r="P51" s="471">
        <f t="shared" si="22"/>
        <v>749.25652192914049</v>
      </c>
      <c r="Q51" s="471">
        <f t="shared" si="22"/>
        <v>779.5264854150779</v>
      </c>
      <c r="R51" s="471">
        <f t="shared" si="22"/>
        <v>811.0193554258467</v>
      </c>
      <c r="S51" s="471">
        <f t="shared" si="22"/>
        <v>843.78453738505118</v>
      </c>
      <c r="T51" s="471">
        <f t="shared" si="22"/>
        <v>877.87343269540702</v>
      </c>
    </row>
    <row r="52" spans="2:20" ht="15.75" thickBot="1">
      <c r="B52" s="438"/>
      <c r="D52" s="438"/>
      <c r="E52" s="438"/>
      <c r="F52" s="438"/>
      <c r="G52" s="438"/>
      <c r="H52" s="438"/>
      <c r="I52" s="438"/>
      <c r="J52" s="438"/>
      <c r="K52" s="438"/>
      <c r="L52" s="438"/>
      <c r="M52" s="438"/>
      <c r="N52" s="438"/>
      <c r="O52" s="438"/>
      <c r="P52" s="438"/>
      <c r="Q52" s="438"/>
      <c r="R52" s="438"/>
      <c r="S52" s="438"/>
      <c r="T52" s="438"/>
    </row>
    <row r="53" spans="2:20" ht="15.75" thickBot="1">
      <c r="B53" s="438"/>
      <c r="C53" s="465" t="s">
        <v>857</v>
      </c>
      <c r="D53" s="438"/>
      <c r="E53" s="438"/>
      <c r="F53" s="438"/>
      <c r="G53" s="438"/>
      <c r="H53" s="438"/>
      <c r="I53" s="438"/>
      <c r="J53" s="438"/>
      <c r="K53" s="438"/>
      <c r="L53" s="438"/>
      <c r="M53" s="438"/>
      <c r="N53" s="438"/>
      <c r="O53" s="438"/>
      <c r="P53" s="438"/>
      <c r="Q53" s="438"/>
      <c r="R53" s="438"/>
      <c r="S53" s="438"/>
      <c r="T53" s="438"/>
    </row>
    <row r="54" spans="2:20" ht="15.75" thickBot="1">
      <c r="B54" s="438"/>
      <c r="C54" s="466">
        <v>2</v>
      </c>
      <c r="D54" s="438"/>
      <c r="E54" s="438"/>
      <c r="F54" s="438"/>
      <c r="G54" s="438"/>
      <c r="H54" s="438"/>
      <c r="I54" s="438"/>
      <c r="J54" s="438"/>
      <c r="K54" s="438"/>
      <c r="L54" s="438"/>
      <c r="M54" s="438"/>
      <c r="N54" s="438"/>
      <c r="O54" s="438"/>
      <c r="P54" s="438"/>
      <c r="Q54" s="438"/>
      <c r="R54" s="438"/>
      <c r="S54" s="438"/>
      <c r="T54" s="438"/>
    </row>
    <row r="55" spans="2:20">
      <c r="B55" s="438"/>
      <c r="C55" s="438"/>
      <c r="D55" s="438"/>
      <c r="E55" s="438"/>
      <c r="F55" s="438"/>
      <c r="G55" s="438"/>
      <c r="H55" s="438"/>
      <c r="I55" s="438"/>
      <c r="J55" s="438"/>
      <c r="K55" s="438"/>
      <c r="L55" s="438"/>
      <c r="M55" s="438"/>
      <c r="N55" s="438"/>
      <c r="O55" s="438"/>
      <c r="P55" s="438"/>
      <c r="Q55" s="438"/>
      <c r="R55" s="438"/>
      <c r="S55" s="438"/>
      <c r="T55" s="438"/>
    </row>
    <row r="56" spans="2:20">
      <c r="C56" s="438" t="s">
        <v>856</v>
      </c>
    </row>
    <row r="57" spans="2:20" ht="15.75">
      <c r="C57" s="469" t="s">
        <v>858</v>
      </c>
    </row>
    <row r="59" spans="2:20">
      <c r="C59" s="143" t="s">
        <v>902</v>
      </c>
    </row>
    <row r="60" spans="2:20">
      <c r="C60" s="143" t="s">
        <v>903</v>
      </c>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B42" sqref="B42"/>
    </sheetView>
  </sheetViews>
  <sheetFormatPr defaultRowHeight="12.75"/>
  <cols>
    <col min="1" max="1" width="29.5703125" style="473" bestFit="1" customWidth="1"/>
    <col min="2" max="2" width="19.85546875" style="1412" customWidth="1"/>
    <col min="3" max="3" width="12" style="473" bestFit="1" customWidth="1"/>
    <col min="4" max="256" width="9.140625" style="473"/>
    <col min="257" max="257" width="29.5703125" style="473" bestFit="1" customWidth="1"/>
    <col min="258" max="258" width="19.85546875" style="473" customWidth="1"/>
    <col min="259" max="259" width="12" style="473" bestFit="1" customWidth="1"/>
    <col min="260" max="512" width="9.140625" style="473"/>
    <col min="513" max="513" width="29.5703125" style="473" bestFit="1" customWidth="1"/>
    <col min="514" max="514" width="19.85546875" style="473" customWidth="1"/>
    <col min="515" max="515" width="12" style="473" bestFit="1" customWidth="1"/>
    <col min="516" max="768" width="9.140625" style="473"/>
    <col min="769" max="769" width="29.5703125" style="473" bestFit="1" customWidth="1"/>
    <col min="770" max="770" width="19.85546875" style="473" customWidth="1"/>
    <col min="771" max="771" width="12" style="473" bestFit="1" customWidth="1"/>
    <col min="772" max="1024" width="9.140625" style="473"/>
    <col min="1025" max="1025" width="29.5703125" style="473" bestFit="1" customWidth="1"/>
    <col min="1026" max="1026" width="19.85546875" style="473" customWidth="1"/>
    <col min="1027" max="1027" width="12" style="473" bestFit="1" customWidth="1"/>
    <col min="1028" max="1280" width="9.140625" style="473"/>
    <col min="1281" max="1281" width="29.5703125" style="473" bestFit="1" customWidth="1"/>
    <col min="1282" max="1282" width="19.85546875" style="473" customWidth="1"/>
    <col min="1283" max="1283" width="12" style="473" bestFit="1" customWidth="1"/>
    <col min="1284" max="1536" width="9.140625" style="473"/>
    <col min="1537" max="1537" width="29.5703125" style="473" bestFit="1" customWidth="1"/>
    <col min="1538" max="1538" width="19.85546875" style="473" customWidth="1"/>
    <col min="1539" max="1539" width="12" style="473" bestFit="1" customWidth="1"/>
    <col min="1540" max="1792" width="9.140625" style="473"/>
    <col min="1793" max="1793" width="29.5703125" style="473" bestFit="1" customWidth="1"/>
    <col min="1794" max="1794" width="19.85546875" style="473" customWidth="1"/>
    <col min="1795" max="1795" width="12" style="473" bestFit="1" customWidth="1"/>
    <col min="1796" max="2048" width="9.140625" style="473"/>
    <col min="2049" max="2049" width="29.5703125" style="473" bestFit="1" customWidth="1"/>
    <col min="2050" max="2050" width="19.85546875" style="473" customWidth="1"/>
    <col min="2051" max="2051" width="12" style="473" bestFit="1" customWidth="1"/>
    <col min="2052" max="2304" width="9.140625" style="473"/>
    <col min="2305" max="2305" width="29.5703125" style="473" bestFit="1" customWidth="1"/>
    <col min="2306" max="2306" width="19.85546875" style="473" customWidth="1"/>
    <col min="2307" max="2307" width="12" style="473" bestFit="1" customWidth="1"/>
    <col min="2308" max="2560" width="9.140625" style="473"/>
    <col min="2561" max="2561" width="29.5703125" style="473" bestFit="1" customWidth="1"/>
    <col min="2562" max="2562" width="19.85546875" style="473" customWidth="1"/>
    <col min="2563" max="2563" width="12" style="473" bestFit="1" customWidth="1"/>
    <col min="2564" max="2816" width="9.140625" style="473"/>
    <col min="2817" max="2817" width="29.5703125" style="473" bestFit="1" customWidth="1"/>
    <col min="2818" max="2818" width="19.85546875" style="473" customWidth="1"/>
    <col min="2819" max="2819" width="12" style="473" bestFit="1" customWidth="1"/>
    <col min="2820" max="3072" width="9.140625" style="473"/>
    <col min="3073" max="3073" width="29.5703125" style="473" bestFit="1" customWidth="1"/>
    <col min="3074" max="3074" width="19.85546875" style="473" customWidth="1"/>
    <col min="3075" max="3075" width="12" style="473" bestFit="1" customWidth="1"/>
    <col min="3076" max="3328" width="9.140625" style="473"/>
    <col min="3329" max="3329" width="29.5703125" style="473" bestFit="1" customWidth="1"/>
    <col min="3330" max="3330" width="19.85546875" style="473" customWidth="1"/>
    <col min="3331" max="3331" width="12" style="473" bestFit="1" customWidth="1"/>
    <col min="3332" max="3584" width="9.140625" style="473"/>
    <col min="3585" max="3585" width="29.5703125" style="473" bestFit="1" customWidth="1"/>
    <col min="3586" max="3586" width="19.85546875" style="473" customWidth="1"/>
    <col min="3587" max="3587" width="12" style="473" bestFit="1" customWidth="1"/>
    <col min="3588" max="3840" width="9.140625" style="473"/>
    <col min="3841" max="3841" width="29.5703125" style="473" bestFit="1" customWidth="1"/>
    <col min="3842" max="3842" width="19.85546875" style="473" customWidth="1"/>
    <col min="3843" max="3843" width="12" style="473" bestFit="1" customWidth="1"/>
    <col min="3844" max="4096" width="9.140625" style="473"/>
    <col min="4097" max="4097" width="29.5703125" style="473" bestFit="1" customWidth="1"/>
    <col min="4098" max="4098" width="19.85546875" style="473" customWidth="1"/>
    <col min="4099" max="4099" width="12" style="473" bestFit="1" customWidth="1"/>
    <col min="4100" max="4352" width="9.140625" style="473"/>
    <col min="4353" max="4353" width="29.5703125" style="473" bestFit="1" customWidth="1"/>
    <col min="4354" max="4354" width="19.85546875" style="473" customWidth="1"/>
    <col min="4355" max="4355" width="12" style="473" bestFit="1" customWidth="1"/>
    <col min="4356" max="4608" width="9.140625" style="473"/>
    <col min="4609" max="4609" width="29.5703125" style="473" bestFit="1" customWidth="1"/>
    <col min="4610" max="4610" width="19.85546875" style="473" customWidth="1"/>
    <col min="4611" max="4611" width="12" style="473" bestFit="1" customWidth="1"/>
    <col min="4612" max="4864" width="9.140625" style="473"/>
    <col min="4865" max="4865" width="29.5703125" style="473" bestFit="1" customWidth="1"/>
    <col min="4866" max="4866" width="19.85546875" style="473" customWidth="1"/>
    <col min="4867" max="4867" width="12" style="473" bestFit="1" customWidth="1"/>
    <col min="4868" max="5120" width="9.140625" style="473"/>
    <col min="5121" max="5121" width="29.5703125" style="473" bestFit="1" customWidth="1"/>
    <col min="5122" max="5122" width="19.85546875" style="473" customWidth="1"/>
    <col min="5123" max="5123" width="12" style="473" bestFit="1" customWidth="1"/>
    <col min="5124" max="5376" width="9.140625" style="473"/>
    <col min="5377" max="5377" width="29.5703125" style="473" bestFit="1" customWidth="1"/>
    <col min="5378" max="5378" width="19.85546875" style="473" customWidth="1"/>
    <col min="5379" max="5379" width="12" style="473" bestFit="1" customWidth="1"/>
    <col min="5380" max="5632" width="9.140625" style="473"/>
    <col min="5633" max="5633" width="29.5703125" style="473" bestFit="1" customWidth="1"/>
    <col min="5634" max="5634" width="19.85546875" style="473" customWidth="1"/>
    <col min="5635" max="5635" width="12" style="473" bestFit="1" customWidth="1"/>
    <col min="5636" max="5888" width="9.140625" style="473"/>
    <col min="5889" max="5889" width="29.5703125" style="473" bestFit="1" customWidth="1"/>
    <col min="5890" max="5890" width="19.85546875" style="473" customWidth="1"/>
    <col min="5891" max="5891" width="12" style="473" bestFit="1" customWidth="1"/>
    <col min="5892" max="6144" width="9.140625" style="473"/>
    <col min="6145" max="6145" width="29.5703125" style="473" bestFit="1" customWidth="1"/>
    <col min="6146" max="6146" width="19.85546875" style="473" customWidth="1"/>
    <col min="6147" max="6147" width="12" style="473" bestFit="1" customWidth="1"/>
    <col min="6148" max="6400" width="9.140625" style="473"/>
    <col min="6401" max="6401" width="29.5703125" style="473" bestFit="1" customWidth="1"/>
    <col min="6402" max="6402" width="19.85546875" style="473" customWidth="1"/>
    <col min="6403" max="6403" width="12" style="473" bestFit="1" customWidth="1"/>
    <col min="6404" max="6656" width="9.140625" style="473"/>
    <col min="6657" max="6657" width="29.5703125" style="473" bestFit="1" customWidth="1"/>
    <col min="6658" max="6658" width="19.85546875" style="473" customWidth="1"/>
    <col min="6659" max="6659" width="12" style="473" bestFit="1" customWidth="1"/>
    <col min="6660" max="6912" width="9.140625" style="473"/>
    <col min="6913" max="6913" width="29.5703125" style="473" bestFit="1" customWidth="1"/>
    <col min="6914" max="6914" width="19.85546875" style="473" customWidth="1"/>
    <col min="6915" max="6915" width="12" style="473" bestFit="1" customWidth="1"/>
    <col min="6916" max="7168" width="9.140625" style="473"/>
    <col min="7169" max="7169" width="29.5703125" style="473" bestFit="1" customWidth="1"/>
    <col min="7170" max="7170" width="19.85546875" style="473" customWidth="1"/>
    <col min="7171" max="7171" width="12" style="473" bestFit="1" customWidth="1"/>
    <col min="7172" max="7424" width="9.140625" style="473"/>
    <col min="7425" max="7425" width="29.5703125" style="473" bestFit="1" customWidth="1"/>
    <col min="7426" max="7426" width="19.85546875" style="473" customWidth="1"/>
    <col min="7427" max="7427" width="12" style="473" bestFit="1" customWidth="1"/>
    <col min="7428" max="7680" width="9.140625" style="473"/>
    <col min="7681" max="7681" width="29.5703125" style="473" bestFit="1" customWidth="1"/>
    <col min="7682" max="7682" width="19.85546875" style="473" customWidth="1"/>
    <col min="7683" max="7683" width="12" style="473" bestFit="1" customWidth="1"/>
    <col min="7684" max="7936" width="9.140625" style="473"/>
    <col min="7937" max="7937" width="29.5703125" style="473" bestFit="1" customWidth="1"/>
    <col min="7938" max="7938" width="19.85546875" style="473" customWidth="1"/>
    <col min="7939" max="7939" width="12" style="473" bestFit="1" customWidth="1"/>
    <col min="7940" max="8192" width="9.140625" style="473"/>
    <col min="8193" max="8193" width="29.5703125" style="473" bestFit="1" customWidth="1"/>
    <col min="8194" max="8194" width="19.85546875" style="473" customWidth="1"/>
    <col min="8195" max="8195" width="12" style="473" bestFit="1" customWidth="1"/>
    <col min="8196" max="8448" width="9.140625" style="473"/>
    <col min="8449" max="8449" width="29.5703125" style="473" bestFit="1" customWidth="1"/>
    <col min="8450" max="8450" width="19.85546875" style="473" customWidth="1"/>
    <col min="8451" max="8451" width="12" style="473" bestFit="1" customWidth="1"/>
    <col min="8452" max="8704" width="9.140625" style="473"/>
    <col min="8705" max="8705" width="29.5703125" style="473" bestFit="1" customWidth="1"/>
    <col min="8706" max="8706" width="19.85546875" style="473" customWidth="1"/>
    <col min="8707" max="8707" width="12" style="473" bestFit="1" customWidth="1"/>
    <col min="8708" max="8960" width="9.140625" style="473"/>
    <col min="8961" max="8961" width="29.5703125" style="473" bestFit="1" customWidth="1"/>
    <col min="8962" max="8962" width="19.85546875" style="473" customWidth="1"/>
    <col min="8963" max="8963" width="12" style="473" bestFit="1" customWidth="1"/>
    <col min="8964" max="9216" width="9.140625" style="473"/>
    <col min="9217" max="9217" width="29.5703125" style="473" bestFit="1" customWidth="1"/>
    <col min="9218" max="9218" width="19.85546875" style="473" customWidth="1"/>
    <col min="9219" max="9219" width="12" style="473" bestFit="1" customWidth="1"/>
    <col min="9220" max="9472" width="9.140625" style="473"/>
    <col min="9473" max="9473" width="29.5703125" style="473" bestFit="1" customWidth="1"/>
    <col min="9474" max="9474" width="19.85546875" style="473" customWidth="1"/>
    <col min="9475" max="9475" width="12" style="473" bestFit="1" customWidth="1"/>
    <col min="9476" max="9728" width="9.140625" style="473"/>
    <col min="9729" max="9729" width="29.5703125" style="473" bestFit="1" customWidth="1"/>
    <col min="9730" max="9730" width="19.85546875" style="473" customWidth="1"/>
    <col min="9731" max="9731" width="12" style="473" bestFit="1" customWidth="1"/>
    <col min="9732" max="9984" width="9.140625" style="473"/>
    <col min="9985" max="9985" width="29.5703125" style="473" bestFit="1" customWidth="1"/>
    <col min="9986" max="9986" width="19.85546875" style="473" customWidth="1"/>
    <col min="9987" max="9987" width="12" style="473" bestFit="1" customWidth="1"/>
    <col min="9988" max="10240" width="9.140625" style="473"/>
    <col min="10241" max="10241" width="29.5703125" style="473" bestFit="1" customWidth="1"/>
    <col min="10242" max="10242" width="19.85546875" style="473" customWidth="1"/>
    <col min="10243" max="10243" width="12" style="473" bestFit="1" customWidth="1"/>
    <col min="10244" max="10496" width="9.140625" style="473"/>
    <col min="10497" max="10497" width="29.5703125" style="473" bestFit="1" customWidth="1"/>
    <col min="10498" max="10498" width="19.85546875" style="473" customWidth="1"/>
    <col min="10499" max="10499" width="12" style="473" bestFit="1" customWidth="1"/>
    <col min="10500" max="10752" width="9.140625" style="473"/>
    <col min="10753" max="10753" width="29.5703125" style="473" bestFit="1" customWidth="1"/>
    <col min="10754" max="10754" width="19.85546875" style="473" customWidth="1"/>
    <col min="10755" max="10755" width="12" style="473" bestFit="1" customWidth="1"/>
    <col min="10756" max="11008" width="9.140625" style="473"/>
    <col min="11009" max="11009" width="29.5703125" style="473" bestFit="1" customWidth="1"/>
    <col min="11010" max="11010" width="19.85546875" style="473" customWidth="1"/>
    <col min="11011" max="11011" width="12" style="473" bestFit="1" customWidth="1"/>
    <col min="11012" max="11264" width="9.140625" style="473"/>
    <col min="11265" max="11265" width="29.5703125" style="473" bestFit="1" customWidth="1"/>
    <col min="11266" max="11266" width="19.85546875" style="473" customWidth="1"/>
    <col min="11267" max="11267" width="12" style="473" bestFit="1" customWidth="1"/>
    <col min="11268" max="11520" width="9.140625" style="473"/>
    <col min="11521" max="11521" width="29.5703125" style="473" bestFit="1" customWidth="1"/>
    <col min="11522" max="11522" width="19.85546875" style="473" customWidth="1"/>
    <col min="11523" max="11523" width="12" style="473" bestFit="1" customWidth="1"/>
    <col min="11524" max="11776" width="9.140625" style="473"/>
    <col min="11777" max="11777" width="29.5703125" style="473" bestFit="1" customWidth="1"/>
    <col min="11778" max="11778" width="19.85546875" style="473" customWidth="1"/>
    <col min="11779" max="11779" width="12" style="473" bestFit="1" customWidth="1"/>
    <col min="11780" max="12032" width="9.140625" style="473"/>
    <col min="12033" max="12033" width="29.5703125" style="473" bestFit="1" customWidth="1"/>
    <col min="12034" max="12034" width="19.85546875" style="473" customWidth="1"/>
    <col min="12035" max="12035" width="12" style="473" bestFit="1" customWidth="1"/>
    <col min="12036" max="12288" width="9.140625" style="473"/>
    <col min="12289" max="12289" width="29.5703125" style="473" bestFit="1" customWidth="1"/>
    <col min="12290" max="12290" width="19.85546875" style="473" customWidth="1"/>
    <col min="12291" max="12291" width="12" style="473" bestFit="1" customWidth="1"/>
    <col min="12292" max="12544" width="9.140625" style="473"/>
    <col min="12545" max="12545" width="29.5703125" style="473" bestFit="1" customWidth="1"/>
    <col min="12546" max="12546" width="19.85546875" style="473" customWidth="1"/>
    <col min="12547" max="12547" width="12" style="473" bestFit="1" customWidth="1"/>
    <col min="12548" max="12800" width="9.140625" style="473"/>
    <col min="12801" max="12801" width="29.5703125" style="473" bestFit="1" customWidth="1"/>
    <col min="12802" max="12802" width="19.85546875" style="473" customWidth="1"/>
    <col min="12803" max="12803" width="12" style="473" bestFit="1" customWidth="1"/>
    <col min="12804" max="13056" width="9.140625" style="473"/>
    <col min="13057" max="13057" width="29.5703125" style="473" bestFit="1" customWidth="1"/>
    <col min="13058" max="13058" width="19.85546875" style="473" customWidth="1"/>
    <col min="13059" max="13059" width="12" style="473" bestFit="1" customWidth="1"/>
    <col min="13060" max="13312" width="9.140625" style="473"/>
    <col min="13313" max="13313" width="29.5703125" style="473" bestFit="1" customWidth="1"/>
    <col min="13314" max="13314" width="19.85546875" style="473" customWidth="1"/>
    <col min="13315" max="13315" width="12" style="473" bestFit="1" customWidth="1"/>
    <col min="13316" max="13568" width="9.140625" style="473"/>
    <col min="13569" max="13569" width="29.5703125" style="473" bestFit="1" customWidth="1"/>
    <col min="13570" max="13570" width="19.85546875" style="473" customWidth="1"/>
    <col min="13571" max="13571" width="12" style="473" bestFit="1" customWidth="1"/>
    <col min="13572" max="13824" width="9.140625" style="473"/>
    <col min="13825" max="13825" width="29.5703125" style="473" bestFit="1" customWidth="1"/>
    <col min="13826" max="13826" width="19.85546875" style="473" customWidth="1"/>
    <col min="13827" max="13827" width="12" style="473" bestFit="1" customWidth="1"/>
    <col min="13828" max="14080" width="9.140625" style="473"/>
    <col min="14081" max="14081" width="29.5703125" style="473" bestFit="1" customWidth="1"/>
    <col min="14082" max="14082" width="19.85546875" style="473" customWidth="1"/>
    <col min="14083" max="14083" width="12" style="473" bestFit="1" customWidth="1"/>
    <col min="14084" max="14336" width="9.140625" style="473"/>
    <col min="14337" max="14337" width="29.5703125" style="473" bestFit="1" customWidth="1"/>
    <col min="14338" max="14338" width="19.85546875" style="473" customWidth="1"/>
    <col min="14339" max="14339" width="12" style="473" bestFit="1" customWidth="1"/>
    <col min="14340" max="14592" width="9.140625" style="473"/>
    <col min="14593" max="14593" width="29.5703125" style="473" bestFit="1" customWidth="1"/>
    <col min="14594" max="14594" width="19.85546875" style="473" customWidth="1"/>
    <col min="14595" max="14595" width="12" style="473" bestFit="1" customWidth="1"/>
    <col min="14596" max="14848" width="9.140625" style="473"/>
    <col min="14849" max="14849" width="29.5703125" style="473" bestFit="1" customWidth="1"/>
    <col min="14850" max="14850" width="19.85546875" style="473" customWidth="1"/>
    <col min="14851" max="14851" width="12" style="473" bestFit="1" customWidth="1"/>
    <col min="14852" max="15104" width="9.140625" style="473"/>
    <col min="15105" max="15105" width="29.5703125" style="473" bestFit="1" customWidth="1"/>
    <col min="15106" max="15106" width="19.85546875" style="473" customWidth="1"/>
    <col min="15107" max="15107" width="12" style="473" bestFit="1" customWidth="1"/>
    <col min="15108" max="15360" width="9.140625" style="473"/>
    <col min="15361" max="15361" width="29.5703125" style="473" bestFit="1" customWidth="1"/>
    <col min="15362" max="15362" width="19.85546875" style="473" customWidth="1"/>
    <col min="15363" max="15363" width="12" style="473" bestFit="1" customWidth="1"/>
    <col min="15364" max="15616" width="9.140625" style="473"/>
    <col min="15617" max="15617" width="29.5703125" style="473" bestFit="1" customWidth="1"/>
    <col min="15618" max="15618" width="19.85546875" style="473" customWidth="1"/>
    <col min="15619" max="15619" width="12" style="473" bestFit="1" customWidth="1"/>
    <col min="15620" max="15872" width="9.140625" style="473"/>
    <col min="15873" max="15873" width="29.5703125" style="473" bestFit="1" customWidth="1"/>
    <col min="15874" max="15874" width="19.85546875" style="473" customWidth="1"/>
    <col min="15875" max="15875" width="12" style="473" bestFit="1" customWidth="1"/>
    <col min="15876" max="16128" width="9.140625" style="473"/>
    <col min="16129" max="16129" width="29.5703125" style="473" bestFit="1" customWidth="1"/>
    <col min="16130" max="16130" width="19.85546875" style="473" customWidth="1"/>
    <col min="16131" max="16131" width="12" style="473" bestFit="1" customWidth="1"/>
    <col min="16132" max="16384" width="9.140625" style="473"/>
  </cols>
  <sheetData>
    <row r="1" spans="1:2">
      <c r="A1" s="473" t="s">
        <v>2422</v>
      </c>
      <c r="B1" s="1411">
        <v>6.1</v>
      </c>
    </row>
    <row r="2" spans="1:2">
      <c r="A2" s="473" t="s">
        <v>2423</v>
      </c>
      <c r="B2" s="1415">
        <v>43210.665254629632</v>
      </c>
    </row>
    <row r="3" spans="1:2">
      <c r="A3" s="473" t="s">
        <v>2424</v>
      </c>
      <c r="B3" s="1412" t="s">
        <v>2106</v>
      </c>
    </row>
    <row r="4" spans="1:2">
      <c r="A4" s="473" t="s">
        <v>2425</v>
      </c>
      <c r="B4" s="1412" t="s">
        <v>2426</v>
      </c>
    </row>
    <row r="5" spans="1:2">
      <c r="A5" s="473" t="s">
        <v>2427</v>
      </c>
      <c r="B5" s="1412" t="s">
        <v>2428</v>
      </c>
    </row>
    <row r="6" spans="1:2">
      <c r="A6" s="473" t="s">
        <v>2429</v>
      </c>
    </row>
    <row r="7" spans="1:2">
      <c r="A7" s="473" t="s">
        <v>2430</v>
      </c>
      <c r="B7" s="1412" t="s">
        <v>487</v>
      </c>
    </row>
    <row r="8" spans="1:2">
      <c r="A8" s="473" t="s">
        <v>2431</v>
      </c>
      <c r="B8" s="1412" t="s">
        <v>2432</v>
      </c>
    </row>
    <row r="9" spans="1:2">
      <c r="A9" s="473" t="s">
        <v>2433</v>
      </c>
      <c r="B9" s="1412" t="s">
        <v>2470</v>
      </c>
    </row>
    <row r="10" spans="1:2">
      <c r="A10" s="473" t="s">
        <v>2434</v>
      </c>
    </row>
    <row r="11" spans="1:2">
      <c r="A11" s="473" t="s">
        <v>2435</v>
      </c>
    </row>
    <row r="12" spans="1:2">
      <c r="A12" s="473" t="s">
        <v>2436</v>
      </c>
    </row>
    <row r="13" spans="1:2">
      <c r="A13" s="473" t="s">
        <v>2437</v>
      </c>
    </row>
    <row r="14" spans="1:2">
      <c r="A14" s="473" t="s">
        <v>2438</v>
      </c>
    </row>
    <row r="15" spans="1:2">
      <c r="A15" s="473" t="s">
        <v>2439</v>
      </c>
    </row>
    <row r="16" spans="1:2">
      <c r="A16" s="473" t="s">
        <v>2440</v>
      </c>
    </row>
    <row r="17" spans="1:4">
      <c r="A17" s="473" t="s">
        <v>2441</v>
      </c>
      <c r="B17" s="1412" t="s">
        <v>2471</v>
      </c>
    </row>
    <row r="18" spans="1:4">
      <c r="A18" s="473" t="s">
        <v>2442</v>
      </c>
      <c r="B18" s="1412" t="s">
        <v>2472</v>
      </c>
    </row>
    <row r="19" spans="1:4">
      <c r="A19" s="473" t="s">
        <v>2443</v>
      </c>
      <c r="B19" s="1412" t="s">
        <v>811</v>
      </c>
    </row>
    <row r="20" spans="1:4">
      <c r="A20" s="473" t="s">
        <v>2444</v>
      </c>
      <c r="B20" s="1413" t="s">
        <v>2473</v>
      </c>
    </row>
    <row r="21" spans="1:4">
      <c r="A21" s="473" t="s">
        <v>2445</v>
      </c>
      <c r="B21" s="1412" t="s">
        <v>811</v>
      </c>
    </row>
    <row r="22" spans="1:4">
      <c r="A22" s="473" t="s">
        <v>2446</v>
      </c>
      <c r="B22" s="1413">
        <v>7103065</v>
      </c>
    </row>
    <row r="23" spans="1:4">
      <c r="A23" s="473" t="s">
        <v>669</v>
      </c>
      <c r="B23" s="1411">
        <v>77.28</v>
      </c>
    </row>
    <row r="24" spans="1:4">
      <c r="A24" s="473" t="s">
        <v>668</v>
      </c>
      <c r="B24" s="1412" t="s">
        <v>672</v>
      </c>
      <c r="D24" s="473" t="s">
        <v>426</v>
      </c>
    </row>
    <row r="25" spans="1:4">
      <c r="A25" s="473" t="s">
        <v>2447</v>
      </c>
      <c r="B25" s="1412" t="s">
        <v>2474</v>
      </c>
    </row>
    <row r="26" spans="1:4">
      <c r="A26" s="473" t="s">
        <v>2448</v>
      </c>
      <c r="B26" s="1412">
        <v>0</v>
      </c>
    </row>
    <row r="27" spans="1:4">
      <c r="A27" s="473" t="s">
        <v>2449</v>
      </c>
      <c r="B27" s="1412" t="s">
        <v>2450</v>
      </c>
    </row>
    <row r="28" spans="1:4">
      <c r="A28" s="473" t="s">
        <v>2451</v>
      </c>
      <c r="B28" s="1412" t="s">
        <v>2452</v>
      </c>
    </row>
    <row r="29" spans="1:4">
      <c r="A29" s="473" t="s">
        <v>2453</v>
      </c>
    </row>
    <row r="30" spans="1:4">
      <c r="A30" s="473" t="s">
        <v>2454</v>
      </c>
    </row>
    <row r="31" spans="1:4">
      <c r="A31" s="473" t="s">
        <v>2455</v>
      </c>
    </row>
    <row r="32" spans="1:4">
      <c r="A32" s="473" t="s">
        <v>2456</v>
      </c>
      <c r="B32" s="1411"/>
    </row>
    <row r="33" spans="1:2">
      <c r="A33" s="473" t="s">
        <v>2457</v>
      </c>
      <c r="B33" s="1411"/>
    </row>
    <row r="34" spans="1:2">
      <c r="A34" s="473" t="s">
        <v>2458</v>
      </c>
      <c r="B34" s="1411"/>
    </row>
    <row r="35" spans="1:2">
      <c r="A35" s="473" t="s">
        <v>2459</v>
      </c>
      <c r="B35" s="1412">
        <v>1000000</v>
      </c>
    </row>
    <row r="36" spans="1:2">
      <c r="A36" s="473" t="s">
        <v>2460</v>
      </c>
      <c r="B36" s="1412" t="s">
        <v>74</v>
      </c>
    </row>
    <row r="37" spans="1:2">
      <c r="A37" s="473" t="s">
        <v>2461</v>
      </c>
      <c r="B37" s="1412" t="s">
        <v>2462</v>
      </c>
    </row>
    <row r="38" spans="1:2">
      <c r="A38" s="473" t="s">
        <v>2463</v>
      </c>
      <c r="B38" s="1412" t="s">
        <v>2464</v>
      </c>
    </row>
    <row r="39" spans="1:2">
      <c r="A39" s="473" t="s">
        <v>2465</v>
      </c>
      <c r="B39" s="1412" t="s">
        <v>895</v>
      </c>
    </row>
    <row r="40" spans="1:2">
      <c r="A40" s="473" t="s">
        <v>2466</v>
      </c>
      <c r="B40" s="1412">
        <v>1500000460</v>
      </c>
    </row>
    <row r="41" spans="1:2">
      <c r="A41" s="473" t="s">
        <v>2467</v>
      </c>
      <c r="B41" s="1412">
        <v>4</v>
      </c>
    </row>
    <row r="42" spans="1:2">
      <c r="A42" s="1414" t="s">
        <v>2468</v>
      </c>
    </row>
    <row r="43" spans="1:2">
      <c r="A43" s="473" t="s">
        <v>2469</v>
      </c>
    </row>
  </sheetData>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473" bestFit="1" customWidth="1"/>
    <col min="2" max="256" width="9.140625" style="473"/>
    <col min="257" max="257" width="28.5703125" style="473" bestFit="1" customWidth="1"/>
    <col min="258" max="512" width="9.140625" style="473"/>
    <col min="513" max="513" width="28.5703125" style="473" bestFit="1" customWidth="1"/>
    <col min="514" max="768" width="9.140625" style="473"/>
    <col min="769" max="769" width="28.5703125" style="473" bestFit="1" customWidth="1"/>
    <col min="770" max="1024" width="9.140625" style="473"/>
    <col min="1025" max="1025" width="28.5703125" style="473" bestFit="1" customWidth="1"/>
    <col min="1026" max="1280" width="9.140625" style="473"/>
    <col min="1281" max="1281" width="28.5703125" style="473" bestFit="1" customWidth="1"/>
    <col min="1282" max="1536" width="9.140625" style="473"/>
    <col min="1537" max="1537" width="28.5703125" style="473" bestFit="1" customWidth="1"/>
    <col min="1538" max="1792" width="9.140625" style="473"/>
    <col min="1793" max="1793" width="28.5703125" style="473" bestFit="1" customWidth="1"/>
    <col min="1794" max="2048" width="9.140625" style="473"/>
    <col min="2049" max="2049" width="28.5703125" style="473" bestFit="1" customWidth="1"/>
    <col min="2050" max="2304" width="9.140625" style="473"/>
    <col min="2305" max="2305" width="28.5703125" style="473" bestFit="1" customWidth="1"/>
    <col min="2306" max="2560" width="9.140625" style="473"/>
    <col min="2561" max="2561" width="28.5703125" style="473" bestFit="1" customWidth="1"/>
    <col min="2562" max="2816" width="9.140625" style="473"/>
    <col min="2817" max="2817" width="28.5703125" style="473" bestFit="1" customWidth="1"/>
    <col min="2818" max="3072" width="9.140625" style="473"/>
    <col min="3073" max="3073" width="28.5703125" style="473" bestFit="1" customWidth="1"/>
    <col min="3074" max="3328" width="9.140625" style="473"/>
    <col min="3329" max="3329" width="28.5703125" style="473" bestFit="1" customWidth="1"/>
    <col min="3330" max="3584" width="9.140625" style="473"/>
    <col min="3585" max="3585" width="28.5703125" style="473" bestFit="1" customWidth="1"/>
    <col min="3586" max="3840" width="9.140625" style="473"/>
    <col min="3841" max="3841" width="28.5703125" style="473" bestFit="1" customWidth="1"/>
    <col min="3842" max="4096" width="9.140625" style="473"/>
    <col min="4097" max="4097" width="28.5703125" style="473" bestFit="1" customWidth="1"/>
    <col min="4098" max="4352" width="9.140625" style="473"/>
    <col min="4353" max="4353" width="28.5703125" style="473" bestFit="1" customWidth="1"/>
    <col min="4354" max="4608" width="9.140625" style="473"/>
    <col min="4609" max="4609" width="28.5703125" style="473" bestFit="1" customWidth="1"/>
    <col min="4610" max="4864" width="9.140625" style="473"/>
    <col min="4865" max="4865" width="28.5703125" style="473" bestFit="1" customWidth="1"/>
    <col min="4866" max="5120" width="9.140625" style="473"/>
    <col min="5121" max="5121" width="28.5703125" style="473" bestFit="1" customWidth="1"/>
    <col min="5122" max="5376" width="9.140625" style="473"/>
    <col min="5377" max="5377" width="28.5703125" style="473" bestFit="1" customWidth="1"/>
    <col min="5378" max="5632" width="9.140625" style="473"/>
    <col min="5633" max="5633" width="28.5703125" style="473" bestFit="1" customWidth="1"/>
    <col min="5634" max="5888" width="9.140625" style="473"/>
    <col min="5889" max="5889" width="28.5703125" style="473" bestFit="1" customWidth="1"/>
    <col min="5890" max="6144" width="9.140625" style="473"/>
    <col min="6145" max="6145" width="28.5703125" style="473" bestFit="1" customWidth="1"/>
    <col min="6146" max="6400" width="9.140625" style="473"/>
    <col min="6401" max="6401" width="28.5703125" style="473" bestFit="1" customWidth="1"/>
    <col min="6402" max="6656" width="9.140625" style="473"/>
    <col min="6657" max="6657" width="28.5703125" style="473" bestFit="1" customWidth="1"/>
    <col min="6658" max="6912" width="9.140625" style="473"/>
    <col min="6913" max="6913" width="28.5703125" style="473" bestFit="1" customWidth="1"/>
    <col min="6914" max="7168" width="9.140625" style="473"/>
    <col min="7169" max="7169" width="28.5703125" style="473" bestFit="1" customWidth="1"/>
    <col min="7170" max="7424" width="9.140625" style="473"/>
    <col min="7425" max="7425" width="28.5703125" style="473" bestFit="1" customWidth="1"/>
    <col min="7426" max="7680" width="9.140625" style="473"/>
    <col min="7681" max="7681" width="28.5703125" style="473" bestFit="1" customWidth="1"/>
    <col min="7682" max="7936" width="9.140625" style="473"/>
    <col min="7937" max="7937" width="28.5703125" style="473" bestFit="1" customWidth="1"/>
    <col min="7938" max="8192" width="9.140625" style="473"/>
    <col min="8193" max="8193" width="28.5703125" style="473" bestFit="1" customWidth="1"/>
    <col min="8194" max="8448" width="9.140625" style="473"/>
    <col min="8449" max="8449" width="28.5703125" style="473" bestFit="1" customWidth="1"/>
    <col min="8450" max="8704" width="9.140625" style="473"/>
    <col min="8705" max="8705" width="28.5703125" style="473" bestFit="1" customWidth="1"/>
    <col min="8706" max="8960" width="9.140625" style="473"/>
    <col min="8961" max="8961" width="28.5703125" style="473" bestFit="1" customWidth="1"/>
    <col min="8962" max="9216" width="9.140625" style="473"/>
    <col min="9217" max="9217" width="28.5703125" style="473" bestFit="1" customWidth="1"/>
    <col min="9218" max="9472" width="9.140625" style="473"/>
    <col min="9473" max="9473" width="28.5703125" style="473" bestFit="1" customWidth="1"/>
    <col min="9474" max="9728" width="9.140625" style="473"/>
    <col min="9729" max="9729" width="28.5703125" style="473" bestFit="1" customWidth="1"/>
    <col min="9730" max="9984" width="9.140625" style="473"/>
    <col min="9985" max="9985" width="28.5703125" style="473" bestFit="1" customWidth="1"/>
    <col min="9986" max="10240" width="9.140625" style="473"/>
    <col min="10241" max="10241" width="28.5703125" style="473" bestFit="1" customWidth="1"/>
    <col min="10242" max="10496" width="9.140625" style="473"/>
    <col min="10497" max="10497" width="28.5703125" style="473" bestFit="1" customWidth="1"/>
    <col min="10498" max="10752" width="9.140625" style="473"/>
    <col min="10753" max="10753" width="28.5703125" style="473" bestFit="1" customWidth="1"/>
    <col min="10754" max="11008" width="9.140625" style="473"/>
    <col min="11009" max="11009" width="28.5703125" style="473" bestFit="1" customWidth="1"/>
    <col min="11010" max="11264" width="9.140625" style="473"/>
    <col min="11265" max="11265" width="28.5703125" style="473" bestFit="1" customWidth="1"/>
    <col min="11266" max="11520" width="9.140625" style="473"/>
    <col min="11521" max="11521" width="28.5703125" style="473" bestFit="1" customWidth="1"/>
    <col min="11522" max="11776" width="9.140625" style="473"/>
    <col min="11777" max="11777" width="28.5703125" style="473" bestFit="1" customWidth="1"/>
    <col min="11778" max="12032" width="9.140625" style="473"/>
    <col min="12033" max="12033" width="28.5703125" style="473" bestFit="1" customWidth="1"/>
    <col min="12034" max="12288" width="9.140625" style="473"/>
    <col min="12289" max="12289" width="28.5703125" style="473" bestFit="1" customWidth="1"/>
    <col min="12290" max="12544" width="9.140625" style="473"/>
    <col min="12545" max="12545" width="28.5703125" style="473" bestFit="1" customWidth="1"/>
    <col min="12546" max="12800" width="9.140625" style="473"/>
    <col min="12801" max="12801" width="28.5703125" style="473" bestFit="1" customWidth="1"/>
    <col min="12802" max="13056" width="9.140625" style="473"/>
    <col min="13057" max="13057" width="28.5703125" style="473" bestFit="1" customWidth="1"/>
    <col min="13058" max="13312" width="9.140625" style="473"/>
    <col min="13313" max="13313" width="28.5703125" style="473" bestFit="1" customWidth="1"/>
    <col min="13314" max="13568" width="9.140625" style="473"/>
    <col min="13569" max="13569" width="28.5703125" style="473" bestFit="1" customWidth="1"/>
    <col min="13570" max="13824" width="9.140625" style="473"/>
    <col min="13825" max="13825" width="28.5703125" style="473" bestFit="1" customWidth="1"/>
    <col min="13826" max="14080" width="9.140625" style="473"/>
    <col min="14081" max="14081" width="28.5703125" style="473" bestFit="1" customWidth="1"/>
    <col min="14082" max="14336" width="9.140625" style="473"/>
    <col min="14337" max="14337" width="28.5703125" style="473" bestFit="1" customWidth="1"/>
    <col min="14338" max="14592" width="9.140625" style="473"/>
    <col min="14593" max="14593" width="28.5703125" style="473" bestFit="1" customWidth="1"/>
    <col min="14594" max="14848" width="9.140625" style="473"/>
    <col min="14849" max="14849" width="28.5703125" style="473" bestFit="1" customWidth="1"/>
    <col min="14850" max="15104" width="9.140625" style="473"/>
    <col min="15105" max="15105" width="28.5703125" style="473" bestFit="1" customWidth="1"/>
    <col min="15106" max="15360" width="9.140625" style="473"/>
    <col min="15361" max="15361" width="28.5703125" style="473" bestFit="1" customWidth="1"/>
    <col min="15362" max="15616" width="9.140625" style="473"/>
    <col min="15617" max="15617" width="28.5703125" style="473" bestFit="1" customWidth="1"/>
    <col min="15618" max="15872" width="9.140625" style="473"/>
    <col min="15873" max="15873" width="28.5703125" style="473" bestFit="1" customWidth="1"/>
    <col min="15874" max="16128" width="9.140625" style="473"/>
    <col min="16129" max="16129" width="28.5703125" style="473" bestFit="1" customWidth="1"/>
    <col min="16130" max="16384" width="9.140625" style="473"/>
  </cols>
  <sheetData>
    <row r="1" spans="1:1">
      <c r="A1" s="1416" t="s">
        <v>2475</v>
      </c>
    </row>
    <row r="2" spans="1:1">
      <c r="A2" s="1416" t="s">
        <v>2480</v>
      </c>
    </row>
    <row r="3" spans="1:1">
      <c r="A3" s="1416" t="s">
        <v>2481</v>
      </c>
    </row>
    <row r="4" spans="1:1">
      <c r="A4" s="1416" t="s">
        <v>2482</v>
      </c>
    </row>
    <row r="5" spans="1:1">
      <c r="A5" s="1416" t="s">
        <v>2483</v>
      </c>
    </row>
    <row r="6" spans="1:1">
      <c r="A6" s="1416" t="s">
        <v>2476</v>
      </c>
    </row>
    <row r="7" spans="1:1">
      <c r="A7" s="1416" t="s">
        <v>2484</v>
      </c>
    </row>
    <row r="8" spans="1:1">
      <c r="A8" s="1416" t="s">
        <v>2485</v>
      </c>
    </row>
    <row r="9" spans="1:1">
      <c r="A9" s="1416" t="s">
        <v>2486</v>
      </c>
    </row>
    <row r="10" spans="1:1">
      <c r="A10" s="1416" t="s">
        <v>2477</v>
      </c>
    </row>
    <row r="11" spans="1:1">
      <c r="A11" s="1416" t="s">
        <v>2487</v>
      </c>
    </row>
    <row r="12" spans="1:1">
      <c r="A12" s="1416" t="s">
        <v>2478</v>
      </c>
    </row>
    <row r="13" spans="1:1">
      <c r="A13" s="1416" t="s">
        <v>2479</v>
      </c>
    </row>
  </sheetData>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V5"/>
  <sheetViews>
    <sheetView workbookViewId="0"/>
  </sheetViews>
  <sheetFormatPr defaultRowHeight="15"/>
  <sheetData>
    <row r="1" spans="1:256">
      <c r="A1" t="s">
        <v>1446</v>
      </c>
    </row>
    <row r="2" spans="1:256">
      <c r="A2" s="228" t="s">
        <v>1426</v>
      </c>
      <c r="B2" s="228" t="s">
        <v>1629</v>
      </c>
      <c r="C2" s="228" t="s">
        <v>1417</v>
      </c>
      <c r="D2" s="228" t="s">
        <v>1813</v>
      </c>
      <c r="E2" s="228" t="s">
        <v>1314</v>
      </c>
      <c r="F2" s="228" t="s">
        <v>2011</v>
      </c>
      <c r="G2" s="228" t="s">
        <v>1092</v>
      </c>
      <c r="H2" s="228" t="s">
        <v>2003</v>
      </c>
      <c r="I2" s="228" t="s">
        <v>1214</v>
      </c>
      <c r="J2" s="228" t="s">
        <v>1906</v>
      </c>
      <c r="K2" s="228" t="s">
        <v>1200</v>
      </c>
      <c r="L2" s="228" t="s">
        <v>2012</v>
      </c>
      <c r="M2" s="228" t="s">
        <v>1342</v>
      </c>
      <c r="N2" s="228" t="s">
        <v>2064</v>
      </c>
      <c r="O2" s="228" t="s">
        <v>1107</v>
      </c>
      <c r="P2" s="228" t="s">
        <v>1980</v>
      </c>
      <c r="Q2" s="228" t="s">
        <v>1329</v>
      </c>
      <c r="R2" s="228" t="s">
        <v>2013</v>
      </c>
      <c r="S2" s="228" t="s">
        <v>1185</v>
      </c>
      <c r="T2" s="228" t="s">
        <v>1612</v>
      </c>
      <c r="U2" s="228" t="s">
        <v>1267</v>
      </c>
      <c r="V2" s="228" t="s">
        <v>819</v>
      </c>
      <c r="W2" s="228" t="s">
        <v>1177</v>
      </c>
      <c r="X2" s="228" t="s">
        <v>1907</v>
      </c>
      <c r="Y2" s="228" t="s">
        <v>1191</v>
      </c>
      <c r="Z2" s="228" t="s">
        <v>1908</v>
      </c>
      <c r="AA2" s="228" t="s">
        <v>1511</v>
      </c>
      <c r="AB2" s="228" t="s">
        <v>1484</v>
      </c>
      <c r="AC2" s="228" t="s">
        <v>678</v>
      </c>
      <c r="AD2" s="228" t="s">
        <v>672</v>
      </c>
      <c r="AE2" s="228" t="s">
        <v>1519</v>
      </c>
      <c r="AF2" s="228" t="s">
        <v>1878</v>
      </c>
      <c r="AG2" s="228" t="s">
        <v>1497</v>
      </c>
      <c r="AH2" s="228" t="s">
        <v>1868</v>
      </c>
      <c r="AI2" s="228" t="s">
        <v>1324</v>
      </c>
      <c r="AJ2" s="228" t="s">
        <v>2015</v>
      </c>
      <c r="AK2" s="228" t="s">
        <v>1264</v>
      </c>
      <c r="AL2" s="228" t="s">
        <v>1584</v>
      </c>
      <c r="AM2" s="228" t="s">
        <v>1407</v>
      </c>
      <c r="AN2" s="228" t="s">
        <v>2065</v>
      </c>
      <c r="AO2" s="228" t="s">
        <v>1330</v>
      </c>
      <c r="AP2" s="228" t="s">
        <v>1800</v>
      </c>
      <c r="AQ2" s="228" t="s">
        <v>1198</v>
      </c>
      <c r="AR2" s="228" t="s">
        <v>1909</v>
      </c>
      <c r="AS2" s="228" t="s">
        <v>1288</v>
      </c>
      <c r="AT2" s="228" t="s">
        <v>2050</v>
      </c>
      <c r="AU2" s="228" t="s">
        <v>1070</v>
      </c>
      <c r="AV2" s="228" t="s">
        <v>1953</v>
      </c>
      <c r="AW2" s="228" t="s">
        <v>1258</v>
      </c>
      <c r="AX2" s="228" t="s">
        <v>1955</v>
      </c>
      <c r="AY2" s="228" t="s">
        <v>1331</v>
      </c>
      <c r="AZ2" s="228" t="s">
        <v>2014</v>
      </c>
      <c r="BA2" s="228" t="s">
        <v>1333</v>
      </c>
      <c r="BB2" s="228" t="s">
        <v>2030</v>
      </c>
      <c r="BC2" s="228" t="s">
        <v>1256</v>
      </c>
      <c r="BD2" s="228" t="s">
        <v>2004</v>
      </c>
      <c r="BE2" s="228" t="s">
        <v>1173</v>
      </c>
      <c r="BF2" s="228" t="s">
        <v>1956</v>
      </c>
      <c r="BG2" s="228" t="s">
        <v>1110</v>
      </c>
      <c r="BH2" s="228" t="s">
        <v>1858</v>
      </c>
      <c r="BI2" s="228" t="s">
        <v>1284</v>
      </c>
      <c r="BJ2" s="228" t="s">
        <v>1613</v>
      </c>
      <c r="BK2" s="228" t="s">
        <v>1182</v>
      </c>
      <c r="BL2" s="228" t="s">
        <v>1614</v>
      </c>
      <c r="BM2" s="228" t="s">
        <v>1498</v>
      </c>
      <c r="BN2" s="228" t="s">
        <v>1869</v>
      </c>
      <c r="BO2" s="228" t="s">
        <v>1081</v>
      </c>
      <c r="BP2" s="228" t="s">
        <v>1801</v>
      </c>
      <c r="BQ2" s="228" t="s">
        <v>1285</v>
      </c>
      <c r="BR2" s="228" t="s">
        <v>2016</v>
      </c>
      <c r="BS2" s="228" t="s">
        <v>1274</v>
      </c>
      <c r="BT2" s="228" t="s">
        <v>1910</v>
      </c>
      <c r="BU2" s="228" t="s">
        <v>1078</v>
      </c>
      <c r="BV2" s="228" t="s">
        <v>1576</v>
      </c>
      <c r="BW2" s="228" t="s">
        <v>1355</v>
      </c>
      <c r="BX2" s="228" t="s">
        <v>1859</v>
      </c>
      <c r="BY2" s="228" t="s">
        <v>1404</v>
      </c>
      <c r="BZ2" s="228" t="s">
        <v>2066</v>
      </c>
      <c r="CA2" s="228" t="s">
        <v>1374</v>
      </c>
      <c r="CB2" s="228" t="s">
        <v>1630</v>
      </c>
      <c r="CC2" s="228" t="s">
        <v>1396</v>
      </c>
      <c r="CD2" s="228" t="s">
        <v>1810</v>
      </c>
      <c r="CE2" s="228" t="s">
        <v>1168</v>
      </c>
      <c r="CF2" s="228" t="s">
        <v>2017</v>
      </c>
      <c r="CG2" s="228" t="s">
        <v>677</v>
      </c>
      <c r="CH2" s="228" t="s">
        <v>680</v>
      </c>
      <c r="CI2" s="228" t="s">
        <v>679</v>
      </c>
      <c r="CJ2" s="228" t="s">
        <v>681</v>
      </c>
      <c r="CK2" s="228" t="s">
        <v>1432</v>
      </c>
      <c r="CL2" s="228" t="s">
        <v>1631</v>
      </c>
      <c r="CM2" s="228" t="s">
        <v>1246</v>
      </c>
      <c r="CN2" s="228" t="s">
        <v>1585</v>
      </c>
      <c r="CO2" s="228" t="s">
        <v>1091</v>
      </c>
      <c r="CP2" s="228" t="s">
        <v>1609</v>
      </c>
      <c r="CQ2" s="228" t="s">
        <v>1093</v>
      </c>
      <c r="CR2" s="228" t="s">
        <v>1800</v>
      </c>
      <c r="CS2" s="228" t="s">
        <v>1503</v>
      </c>
      <c r="CT2" s="228" t="s">
        <v>1870</v>
      </c>
      <c r="CU2" s="228" t="s">
        <v>1332</v>
      </c>
      <c r="CV2" s="228" t="s">
        <v>2019</v>
      </c>
      <c r="CW2" s="228" t="s">
        <v>1525</v>
      </c>
      <c r="CX2" s="228" t="s">
        <v>1879</v>
      </c>
      <c r="CY2" s="228" t="s">
        <v>1382</v>
      </c>
      <c r="CZ2" s="228" t="s">
        <v>1715</v>
      </c>
      <c r="DA2" s="228" t="s">
        <v>1303</v>
      </c>
      <c r="DB2" s="228" t="s">
        <v>2020</v>
      </c>
      <c r="DC2" s="228" t="s">
        <v>1436</v>
      </c>
      <c r="DD2" s="228" t="s">
        <v>1800</v>
      </c>
      <c r="DE2" s="228" t="s">
        <v>1512</v>
      </c>
      <c r="DF2" s="228" t="s">
        <v>1880</v>
      </c>
      <c r="DG2" s="228" t="s">
        <v>1232</v>
      </c>
      <c r="DH2" s="228" t="s">
        <v>1615</v>
      </c>
      <c r="DI2" s="228" t="s">
        <v>1172</v>
      </c>
      <c r="DJ2" s="228" t="s">
        <v>1553</v>
      </c>
      <c r="DK2" s="228" t="s">
        <v>1118</v>
      </c>
      <c r="DL2" s="228" t="s">
        <v>1959</v>
      </c>
      <c r="DM2" s="228" t="s">
        <v>1099</v>
      </c>
      <c r="DN2" s="228" t="s">
        <v>1586</v>
      </c>
      <c r="DO2" s="228" t="s">
        <v>1444</v>
      </c>
      <c r="DP2" s="228" t="s">
        <v>1632</v>
      </c>
      <c r="DQ2" s="228" t="s">
        <v>1199</v>
      </c>
      <c r="DR2" s="228" t="s">
        <v>1546</v>
      </c>
      <c r="DS2" s="228" t="s">
        <v>1403</v>
      </c>
      <c r="DT2" s="228" t="s">
        <v>1811</v>
      </c>
      <c r="DU2" s="228" t="s">
        <v>1345</v>
      </c>
      <c r="DV2" s="228" t="s">
        <v>2067</v>
      </c>
      <c r="DW2" s="228" t="s">
        <v>1215</v>
      </c>
      <c r="DX2" s="228" t="s">
        <v>1945</v>
      </c>
      <c r="DY2" s="228" t="s">
        <v>1499</v>
      </c>
      <c r="DZ2" s="228" t="s">
        <v>1871</v>
      </c>
      <c r="EA2" s="228" t="s">
        <v>1208</v>
      </c>
      <c r="EB2" s="228" t="s">
        <v>2022</v>
      </c>
      <c r="EC2" s="228" t="s">
        <v>1364</v>
      </c>
      <c r="ED2" s="228" t="s">
        <v>819</v>
      </c>
      <c r="EE2" s="228" t="s">
        <v>1206</v>
      </c>
      <c r="EF2" s="228" t="s">
        <v>1587</v>
      </c>
      <c r="EG2" s="228" t="s">
        <v>1171</v>
      </c>
      <c r="EH2" s="228" t="s">
        <v>1911</v>
      </c>
      <c r="EI2" s="228" t="s">
        <v>1074</v>
      </c>
      <c r="EJ2" s="228" t="s">
        <v>1951</v>
      </c>
      <c r="EK2" s="228" t="s">
        <v>1429</v>
      </c>
      <c r="EL2" s="228" t="s">
        <v>819</v>
      </c>
      <c r="EM2" s="228" t="s">
        <v>1243</v>
      </c>
      <c r="EN2" s="228" t="s">
        <v>2023</v>
      </c>
      <c r="EO2" s="228" t="s">
        <v>1111</v>
      </c>
      <c r="EP2" s="228" t="s">
        <v>1545</v>
      </c>
      <c r="EQ2" s="228" t="s">
        <v>1500</v>
      </c>
      <c r="ER2" s="228" t="s">
        <v>1872</v>
      </c>
      <c r="ES2" s="228" t="s">
        <v>814</v>
      </c>
      <c r="ET2" s="228" t="s">
        <v>681</v>
      </c>
      <c r="EU2" s="228" t="s">
        <v>1350</v>
      </c>
      <c r="EV2" s="228" t="s">
        <v>2068</v>
      </c>
      <c r="EW2" s="228" t="s">
        <v>1421</v>
      </c>
      <c r="EX2" s="228" t="s">
        <v>1812</v>
      </c>
      <c r="EY2" s="228" t="s">
        <v>1221</v>
      </c>
      <c r="EZ2" s="228" t="s">
        <v>1960</v>
      </c>
      <c r="FA2" s="228" t="s">
        <v>1358</v>
      </c>
      <c r="FB2" s="228" t="s">
        <v>2069</v>
      </c>
      <c r="FC2" s="228" t="s">
        <v>1297</v>
      </c>
      <c r="FD2" s="228" t="s">
        <v>1913</v>
      </c>
      <c r="FE2" s="228" t="s">
        <v>1263</v>
      </c>
      <c r="FF2" s="228" t="s">
        <v>1593</v>
      </c>
      <c r="FG2" s="228" t="s">
        <v>1319</v>
      </c>
      <c r="FH2" s="228" t="s">
        <v>1616</v>
      </c>
      <c r="FI2" s="228" t="s">
        <v>1190</v>
      </c>
      <c r="FJ2" s="228" t="s">
        <v>1914</v>
      </c>
      <c r="FK2" s="228" t="s">
        <v>1179</v>
      </c>
      <c r="FL2" s="228" t="s">
        <v>1588</v>
      </c>
      <c r="FM2" s="228" t="s">
        <v>1144</v>
      </c>
      <c r="FN2" s="228" t="s">
        <v>1589</v>
      </c>
      <c r="FO2" s="228" t="s">
        <v>1325</v>
      </c>
      <c r="FP2" s="228" t="s">
        <v>2048</v>
      </c>
      <c r="FQ2" s="228" t="s">
        <v>1134</v>
      </c>
      <c r="FR2" s="228" t="s">
        <v>1590</v>
      </c>
      <c r="FS2" s="228" t="s">
        <v>1522</v>
      </c>
      <c r="FT2" s="228" t="s">
        <v>1484</v>
      </c>
      <c r="FU2" s="228" t="s">
        <v>1359</v>
      </c>
      <c r="FV2" s="228" t="s">
        <v>1860</v>
      </c>
      <c r="FW2" s="228" t="s">
        <v>1302</v>
      </c>
      <c r="FX2" s="228" t="s">
        <v>1554</v>
      </c>
      <c r="FY2" s="228" t="s">
        <v>1213</v>
      </c>
      <c r="FZ2" s="228" t="s">
        <v>1800</v>
      </c>
      <c r="GA2" s="228" t="s">
        <v>1196</v>
      </c>
      <c r="GB2" s="228" t="s">
        <v>2024</v>
      </c>
      <c r="GC2" s="228" t="s">
        <v>1308</v>
      </c>
      <c r="GD2" s="228" t="s">
        <v>1621</v>
      </c>
      <c r="GE2" s="228" t="s">
        <v>1128</v>
      </c>
      <c r="GF2" s="228" t="s">
        <v>1611</v>
      </c>
      <c r="GG2" s="228" t="s">
        <v>1106</v>
      </c>
      <c r="GH2" s="228" t="s">
        <v>1591</v>
      </c>
      <c r="GI2" s="228" t="s">
        <v>1281</v>
      </c>
      <c r="GJ2" s="228" t="s">
        <v>2025</v>
      </c>
      <c r="GK2" s="228" t="s">
        <v>1098</v>
      </c>
      <c r="GL2" s="228" t="s">
        <v>1961</v>
      </c>
      <c r="GM2" s="228" t="s">
        <v>1233</v>
      </c>
      <c r="GN2" s="228" t="s">
        <v>1915</v>
      </c>
      <c r="GO2" s="228" t="s">
        <v>1534</v>
      </c>
      <c r="GP2" s="228" t="s">
        <v>1881</v>
      </c>
      <c r="GQ2" s="228" t="s">
        <v>1123</v>
      </c>
      <c r="GR2" s="228" t="s">
        <v>1962</v>
      </c>
      <c r="GS2" s="228" t="s">
        <v>1139</v>
      </c>
      <c r="GT2" s="228" t="s">
        <v>1547</v>
      </c>
      <c r="GU2" s="228" t="s">
        <v>1501</v>
      </c>
      <c r="GV2" s="228" t="s">
        <v>1873</v>
      </c>
      <c r="GW2" s="228" t="s">
        <v>1133</v>
      </c>
      <c r="GX2" s="228" t="s">
        <v>1963</v>
      </c>
      <c r="GY2" s="228" t="s">
        <v>1537</v>
      </c>
      <c r="GZ2" s="228" t="s">
        <v>1882</v>
      </c>
      <c r="HA2" s="228" t="s">
        <v>1250</v>
      </c>
      <c r="HB2" s="228" t="s">
        <v>1964</v>
      </c>
      <c r="HC2" s="228" t="s">
        <v>1514</v>
      </c>
      <c r="HD2" s="228" t="s">
        <v>1883</v>
      </c>
      <c r="HE2" s="228" t="s">
        <v>1210</v>
      </c>
      <c r="HF2" s="228" t="s">
        <v>1916</v>
      </c>
      <c r="HG2" s="228" t="s">
        <v>1442</v>
      </c>
      <c r="HH2" s="228" t="s">
        <v>1800</v>
      </c>
      <c r="HI2" s="228" t="s">
        <v>1083</v>
      </c>
      <c r="HJ2" s="228" t="s">
        <v>1802</v>
      </c>
      <c r="HK2" s="228" t="s">
        <v>1368</v>
      </c>
      <c r="HL2" s="228" t="s">
        <v>1800</v>
      </c>
      <c r="HM2" s="228" t="s">
        <v>1216</v>
      </c>
      <c r="HN2" s="228" t="s">
        <v>1809</v>
      </c>
      <c r="HO2" s="228" t="s">
        <v>1174</v>
      </c>
      <c r="HP2" s="228" t="s">
        <v>1800</v>
      </c>
      <c r="HQ2" s="228" t="s">
        <v>1369</v>
      </c>
      <c r="HR2" s="228" t="s">
        <v>2070</v>
      </c>
      <c r="HS2" s="228" t="s">
        <v>1268</v>
      </c>
      <c r="HT2" s="228" t="s">
        <v>1966</v>
      </c>
      <c r="HU2" s="228" t="s">
        <v>1278</v>
      </c>
      <c r="HV2" s="228" t="s">
        <v>1617</v>
      </c>
      <c r="HW2" s="228" t="s">
        <v>1127</v>
      </c>
      <c r="HX2" s="228" t="s">
        <v>1991</v>
      </c>
      <c r="HY2" s="228" t="s">
        <v>1440</v>
      </c>
      <c r="HZ2" s="228" t="s">
        <v>1633</v>
      </c>
      <c r="IA2" s="228" t="s">
        <v>1410</v>
      </c>
      <c r="IB2" s="228" t="s">
        <v>1634</v>
      </c>
      <c r="IC2" s="228" t="s">
        <v>1219</v>
      </c>
      <c r="ID2" s="228" t="s">
        <v>1977</v>
      </c>
      <c r="IE2" s="228" t="s">
        <v>1377</v>
      </c>
      <c r="IF2" s="228" t="s">
        <v>2071</v>
      </c>
      <c r="IG2" s="228" t="s">
        <v>1502</v>
      </c>
      <c r="IH2" s="228" t="s">
        <v>1874</v>
      </c>
      <c r="II2" s="228" t="s">
        <v>1287</v>
      </c>
      <c r="IJ2" s="228" t="s">
        <v>2021</v>
      </c>
      <c r="IK2" s="228" t="s">
        <v>1367</v>
      </c>
      <c r="IL2" s="228" t="s">
        <v>819</v>
      </c>
      <c r="IM2" s="228" t="s">
        <v>1088</v>
      </c>
      <c r="IN2" s="228" t="s">
        <v>1807</v>
      </c>
      <c r="IO2" s="228" t="s">
        <v>1231</v>
      </c>
      <c r="IP2" s="228" t="s">
        <v>1967</v>
      </c>
      <c r="IQ2" s="228" t="s">
        <v>1516</v>
      </c>
      <c r="IR2" s="228" t="s">
        <v>1798</v>
      </c>
      <c r="IS2" s="228" t="s">
        <v>1443</v>
      </c>
      <c r="IT2" s="228" t="s">
        <v>1635</v>
      </c>
      <c r="IU2" s="228" t="s">
        <v>817</v>
      </c>
      <c r="IV2" s="228" t="s">
        <v>820</v>
      </c>
    </row>
    <row r="3" spans="1:256">
      <c r="A3" s="228" t="s">
        <v>1517</v>
      </c>
      <c r="B3" s="228" t="s">
        <v>1884</v>
      </c>
      <c r="C3" s="228" t="s">
        <v>1276</v>
      </c>
      <c r="D3" s="228" t="s">
        <v>819</v>
      </c>
      <c r="E3" s="228" t="s">
        <v>1131</v>
      </c>
      <c r="F3" s="228" t="s">
        <v>1957</v>
      </c>
      <c r="G3" s="228" t="s">
        <v>1201</v>
      </c>
      <c r="H3" s="228" t="s">
        <v>1835</v>
      </c>
      <c r="I3" s="228" t="s">
        <v>1401</v>
      </c>
      <c r="J3" s="228" t="s">
        <v>2072</v>
      </c>
      <c r="K3" s="228" t="s">
        <v>1148</v>
      </c>
      <c r="L3" s="228" t="s">
        <v>1592</v>
      </c>
      <c r="M3" s="228" t="s">
        <v>1096</v>
      </c>
      <c r="N3" s="228" t="s">
        <v>1548</v>
      </c>
      <c r="O3" s="228" t="s">
        <v>1152</v>
      </c>
      <c r="P3" s="228" t="s">
        <v>1968</v>
      </c>
      <c r="Q3" s="228" t="s">
        <v>1528</v>
      </c>
      <c r="R3" s="228" t="s">
        <v>1543</v>
      </c>
      <c r="S3" s="228" t="s">
        <v>1130</v>
      </c>
      <c r="T3" s="228" t="s">
        <v>1969</v>
      </c>
      <c r="U3" s="228" t="s">
        <v>1437</v>
      </c>
      <c r="V3" s="228" t="s">
        <v>1636</v>
      </c>
      <c r="W3" s="228" t="s">
        <v>1193</v>
      </c>
      <c r="X3" s="228" t="s">
        <v>1800</v>
      </c>
      <c r="Y3" s="228" t="s">
        <v>1244</v>
      </c>
      <c r="Z3" s="228" t="s">
        <v>1917</v>
      </c>
      <c r="AA3" s="228" t="s">
        <v>1370</v>
      </c>
      <c r="AB3" s="228" t="s">
        <v>1922</v>
      </c>
      <c r="AC3" s="228" t="s">
        <v>1269</v>
      </c>
      <c r="AD3" s="228" t="s">
        <v>1920</v>
      </c>
      <c r="AE3" s="228" t="s">
        <v>1323</v>
      </c>
      <c r="AF3" s="228" t="s">
        <v>2027</v>
      </c>
      <c r="AG3" s="228" t="s">
        <v>1119</v>
      </c>
      <c r="AH3" s="228" t="s">
        <v>1970</v>
      </c>
      <c r="AI3" s="228" t="s">
        <v>1337</v>
      </c>
      <c r="AJ3" s="228" t="s">
        <v>2073</v>
      </c>
      <c r="AK3" s="228" t="s">
        <v>1112</v>
      </c>
      <c r="AL3" s="228" t="s">
        <v>1971</v>
      </c>
      <c r="AM3" s="228" t="s">
        <v>813</v>
      </c>
      <c r="AN3" s="228" t="s">
        <v>1010</v>
      </c>
      <c r="AO3" s="228" t="s">
        <v>931</v>
      </c>
      <c r="AP3" s="228" t="s">
        <v>819</v>
      </c>
      <c r="AQ3" s="228" t="s">
        <v>1254</v>
      </c>
      <c r="AR3" s="228" t="s">
        <v>1712</v>
      </c>
      <c r="AS3" s="228" t="s">
        <v>1305</v>
      </c>
      <c r="AT3" s="228" t="s">
        <v>2028</v>
      </c>
      <c r="AU3" s="228" t="s">
        <v>1175</v>
      </c>
      <c r="AV3" s="228" t="s">
        <v>1918</v>
      </c>
      <c r="AW3" s="228" t="s">
        <v>1212</v>
      </c>
      <c r="AX3" s="228" t="s">
        <v>1919</v>
      </c>
      <c r="AY3" s="228" t="s">
        <v>1073</v>
      </c>
      <c r="AZ3" s="228" t="s">
        <v>1709</v>
      </c>
      <c r="BA3" s="228" t="s">
        <v>1380</v>
      </c>
      <c r="BB3" s="228" t="s">
        <v>819</v>
      </c>
      <c r="BC3" s="228" t="s">
        <v>1209</v>
      </c>
      <c r="BD3" s="228" t="s">
        <v>1604</v>
      </c>
      <c r="BE3" s="228" t="s">
        <v>1192</v>
      </c>
      <c r="BF3" s="228" t="s">
        <v>2029</v>
      </c>
      <c r="BG3" s="228" t="s">
        <v>1068</v>
      </c>
      <c r="BH3" s="228" t="s">
        <v>1577</v>
      </c>
      <c r="BI3" s="228" t="s">
        <v>1518</v>
      </c>
      <c r="BJ3" s="228" t="s">
        <v>1885</v>
      </c>
      <c r="BK3" s="228" t="s">
        <v>1158</v>
      </c>
      <c r="BL3" s="228" t="s">
        <v>819</v>
      </c>
      <c r="BM3" s="228" t="s">
        <v>1334</v>
      </c>
      <c r="BN3" s="228" t="s">
        <v>1921</v>
      </c>
      <c r="BO3" s="228" t="s">
        <v>1238</v>
      </c>
      <c r="BP3" s="228" t="s">
        <v>2059</v>
      </c>
      <c r="BQ3" s="228" t="s">
        <v>1343</v>
      </c>
      <c r="BR3" s="228" t="s">
        <v>1637</v>
      </c>
      <c r="BS3" s="228" t="s">
        <v>818</v>
      </c>
      <c r="BT3" s="228" t="s">
        <v>400</v>
      </c>
      <c r="BU3" s="228" t="s">
        <v>1176</v>
      </c>
      <c r="BV3" s="228" t="s">
        <v>1594</v>
      </c>
      <c r="BW3" s="228" t="s">
        <v>1085</v>
      </c>
      <c r="BX3" s="228" t="s">
        <v>1803</v>
      </c>
      <c r="BY3" s="228" t="s">
        <v>1321</v>
      </c>
      <c r="BZ3" s="228" t="s">
        <v>1618</v>
      </c>
      <c r="CA3" s="228" t="s">
        <v>1108</v>
      </c>
      <c r="CB3" s="228" t="s">
        <v>1972</v>
      </c>
      <c r="CC3" s="228" t="s">
        <v>1160</v>
      </c>
      <c r="CD3" s="228" t="s">
        <v>1923</v>
      </c>
      <c r="CE3" s="228" t="s">
        <v>1115</v>
      </c>
      <c r="CF3" s="228" t="s">
        <v>1800</v>
      </c>
      <c r="CG3" s="228" t="s">
        <v>1386</v>
      </c>
      <c r="CH3" s="228" t="s">
        <v>2074</v>
      </c>
      <c r="CI3" s="228" t="s">
        <v>1155</v>
      </c>
      <c r="CJ3" s="228" t="s">
        <v>1924</v>
      </c>
      <c r="CK3" s="228" t="s">
        <v>1353</v>
      </c>
      <c r="CL3" s="228" t="s">
        <v>2075</v>
      </c>
      <c r="CM3" s="228" t="s">
        <v>1266</v>
      </c>
      <c r="CN3" s="228" t="s">
        <v>2006</v>
      </c>
      <c r="CO3" s="228" t="s">
        <v>1203</v>
      </c>
      <c r="CP3" s="228" t="s">
        <v>1925</v>
      </c>
      <c r="CQ3" s="228" t="s">
        <v>1419</v>
      </c>
      <c r="CR3" s="228" t="s">
        <v>1638</v>
      </c>
      <c r="CS3" s="228" t="s">
        <v>1120</v>
      </c>
      <c r="CT3" s="228" t="s">
        <v>1973</v>
      </c>
      <c r="CU3" s="228" t="s">
        <v>1114</v>
      </c>
      <c r="CV3" s="228" t="s">
        <v>1974</v>
      </c>
      <c r="CW3" s="228" t="s">
        <v>1163</v>
      </c>
      <c r="CX3" s="228" t="s">
        <v>1912</v>
      </c>
      <c r="CY3" s="228" t="s">
        <v>1153</v>
      </c>
      <c r="CZ3" s="228" t="s">
        <v>1549</v>
      </c>
      <c r="DA3" s="228" t="s">
        <v>1140</v>
      </c>
      <c r="DB3" s="228" t="s">
        <v>1975</v>
      </c>
      <c r="DC3" s="228" t="s">
        <v>1121</v>
      </c>
      <c r="DD3" s="228" t="s">
        <v>1976</v>
      </c>
      <c r="DE3" s="228" t="s">
        <v>1365</v>
      </c>
      <c r="DF3" s="228" t="s">
        <v>1639</v>
      </c>
      <c r="DG3" s="228" t="s">
        <v>1338</v>
      </c>
      <c r="DH3" s="228" t="s">
        <v>1800</v>
      </c>
      <c r="DI3" s="228" t="s">
        <v>1351</v>
      </c>
      <c r="DJ3" s="228" t="s">
        <v>2076</v>
      </c>
      <c r="DK3" s="228" t="s">
        <v>1520</v>
      </c>
      <c r="DL3" s="228" t="s">
        <v>1886</v>
      </c>
      <c r="DM3" s="228" t="s">
        <v>1521</v>
      </c>
      <c r="DN3" s="228" t="s">
        <v>1887</v>
      </c>
      <c r="DO3" s="228" t="s">
        <v>1375</v>
      </c>
      <c r="DP3" s="228" t="s">
        <v>2077</v>
      </c>
      <c r="DQ3" s="228" t="s">
        <v>1161</v>
      </c>
      <c r="DR3" s="228" t="s">
        <v>2031</v>
      </c>
      <c r="DS3" s="228" t="s">
        <v>1226</v>
      </c>
      <c r="DT3" s="228" t="s">
        <v>819</v>
      </c>
      <c r="DU3" s="228" t="s">
        <v>1122</v>
      </c>
      <c r="DV3" s="228" t="s">
        <v>1805</v>
      </c>
      <c r="DW3" s="228" t="s">
        <v>1162</v>
      </c>
      <c r="DX3" s="228" t="s">
        <v>1800</v>
      </c>
      <c r="DY3" s="228" t="s">
        <v>1251</v>
      </c>
      <c r="DZ3" s="228" t="s">
        <v>1619</v>
      </c>
      <c r="EA3" s="228" t="s">
        <v>1489</v>
      </c>
      <c r="EB3" s="228" t="s">
        <v>1861</v>
      </c>
      <c r="EC3" s="228" t="s">
        <v>1151</v>
      </c>
      <c r="ED3" s="228" t="s">
        <v>1595</v>
      </c>
      <c r="EE3" s="228" t="s">
        <v>1259</v>
      </c>
      <c r="EF3" s="228" t="s">
        <v>1978</v>
      </c>
      <c r="EG3" s="228" t="s">
        <v>1067</v>
      </c>
      <c r="EH3" s="228" t="s">
        <v>1804</v>
      </c>
      <c r="EI3" s="228" t="s">
        <v>1087</v>
      </c>
      <c r="EJ3" s="228" t="s">
        <v>1550</v>
      </c>
      <c r="EK3" s="228" t="s">
        <v>1428</v>
      </c>
      <c r="EL3" s="228" t="s">
        <v>1640</v>
      </c>
      <c r="EM3" s="228" t="s">
        <v>1399</v>
      </c>
      <c r="EN3" s="228" t="s">
        <v>1800</v>
      </c>
      <c r="EO3" s="228" t="s">
        <v>1425</v>
      </c>
      <c r="EP3" s="228" t="s">
        <v>2078</v>
      </c>
      <c r="EQ3" s="228" t="s">
        <v>1307</v>
      </c>
      <c r="ER3" s="228" t="s">
        <v>2032</v>
      </c>
      <c r="ES3" s="228" t="s">
        <v>1433</v>
      </c>
      <c r="ET3" s="228" t="s">
        <v>1716</v>
      </c>
      <c r="EU3" s="228" t="s">
        <v>1523</v>
      </c>
      <c r="EV3" s="228" t="s">
        <v>1888</v>
      </c>
      <c r="EW3" s="228" t="s">
        <v>1257</v>
      </c>
      <c r="EX3" s="228" t="s">
        <v>2033</v>
      </c>
      <c r="EY3" s="228" t="s">
        <v>1306</v>
      </c>
      <c r="EZ3" s="228" t="s">
        <v>1800</v>
      </c>
      <c r="FA3" s="228" t="s">
        <v>1156</v>
      </c>
      <c r="FB3" s="228" t="s">
        <v>1620</v>
      </c>
      <c r="FC3" s="228" t="s">
        <v>1395</v>
      </c>
      <c r="FD3" s="228" t="s">
        <v>1641</v>
      </c>
      <c r="FE3" s="228" t="s">
        <v>1104</v>
      </c>
      <c r="FF3" s="228" t="s">
        <v>1551</v>
      </c>
      <c r="FG3" s="228" t="s">
        <v>1157</v>
      </c>
      <c r="FH3" s="228" t="s">
        <v>2034</v>
      </c>
      <c r="FI3" s="228" t="s">
        <v>1357</v>
      </c>
      <c r="FJ3" s="228" t="s">
        <v>1717</v>
      </c>
      <c r="FK3" s="228" t="s">
        <v>1392</v>
      </c>
      <c r="FL3" s="228" t="s">
        <v>819</v>
      </c>
      <c r="FM3" s="228" t="s">
        <v>1327</v>
      </c>
      <c r="FN3" s="228" t="s">
        <v>1558</v>
      </c>
      <c r="FO3" s="228" t="s">
        <v>1328</v>
      </c>
      <c r="FP3" s="228" t="s">
        <v>1800</v>
      </c>
      <c r="FQ3" s="228" t="s">
        <v>1283</v>
      </c>
      <c r="FR3" s="228" t="s">
        <v>2035</v>
      </c>
      <c r="FS3" s="228" t="s">
        <v>1077</v>
      </c>
      <c r="FT3" s="228" t="s">
        <v>1579</v>
      </c>
      <c r="FU3" s="228" t="s">
        <v>1524</v>
      </c>
      <c r="FV3" s="228" t="s">
        <v>1889</v>
      </c>
      <c r="FW3" s="228" t="s">
        <v>1228</v>
      </c>
      <c r="FX3" s="228" t="s">
        <v>1596</v>
      </c>
      <c r="FY3" s="228" t="s">
        <v>1137</v>
      </c>
      <c r="FZ3" s="228" t="s">
        <v>1981</v>
      </c>
      <c r="GA3" s="228" t="s">
        <v>1361</v>
      </c>
      <c r="GB3" s="228" t="s">
        <v>2079</v>
      </c>
      <c r="GC3" s="228" t="s">
        <v>1159</v>
      </c>
      <c r="GD3" s="228" t="s">
        <v>1926</v>
      </c>
      <c r="GE3" s="228" t="s">
        <v>1230</v>
      </c>
      <c r="GF3" s="228" t="s">
        <v>1597</v>
      </c>
      <c r="GG3" s="228" t="s">
        <v>1105</v>
      </c>
      <c r="GH3" s="228" t="s">
        <v>1984</v>
      </c>
      <c r="GI3" s="228" t="s">
        <v>1217</v>
      </c>
      <c r="GJ3" s="228" t="s">
        <v>1933</v>
      </c>
      <c r="GK3" s="228" t="s">
        <v>1373</v>
      </c>
      <c r="GL3" s="228" t="s">
        <v>1642</v>
      </c>
      <c r="GM3" s="228" t="s">
        <v>1445</v>
      </c>
      <c r="GN3" s="228" t="s">
        <v>1643</v>
      </c>
      <c r="GO3" s="228" t="s">
        <v>1526</v>
      </c>
      <c r="GP3" s="228" t="s">
        <v>1890</v>
      </c>
      <c r="GQ3" s="228" t="s">
        <v>1180</v>
      </c>
      <c r="GR3" s="228" t="s">
        <v>1927</v>
      </c>
      <c r="GS3" s="228" t="s">
        <v>1079</v>
      </c>
      <c r="GT3" s="228" t="s">
        <v>1710</v>
      </c>
      <c r="GU3" s="228" t="s">
        <v>1418</v>
      </c>
      <c r="GV3" s="228" t="s">
        <v>1862</v>
      </c>
      <c r="GW3" s="228" t="s">
        <v>1237</v>
      </c>
      <c r="GX3" s="228" t="s">
        <v>1982</v>
      </c>
      <c r="GY3" s="228" t="s">
        <v>1069</v>
      </c>
      <c r="GZ3" s="228" t="s">
        <v>1708</v>
      </c>
      <c r="HA3" s="228" t="s">
        <v>1304</v>
      </c>
      <c r="HB3" s="228" t="s">
        <v>2036</v>
      </c>
      <c r="HC3" s="228" t="s">
        <v>1138</v>
      </c>
      <c r="HD3" s="228" t="s">
        <v>1983</v>
      </c>
      <c r="HE3" s="228" t="s">
        <v>1282</v>
      </c>
      <c r="HF3" s="228" t="s">
        <v>2037</v>
      </c>
      <c r="HG3" s="228" t="s">
        <v>1086</v>
      </c>
      <c r="HH3" s="228" t="s">
        <v>1578</v>
      </c>
      <c r="HI3" s="228" t="s">
        <v>1488</v>
      </c>
      <c r="HJ3" s="228" t="s">
        <v>1495</v>
      </c>
      <c r="HK3" s="228" t="s">
        <v>1529</v>
      </c>
      <c r="HL3" s="228" t="s">
        <v>1891</v>
      </c>
      <c r="HM3" s="228" t="s">
        <v>1154</v>
      </c>
      <c r="HN3" s="228" t="s">
        <v>1944</v>
      </c>
      <c r="HO3" s="228" t="s">
        <v>816</v>
      </c>
      <c r="HP3" s="228" t="s">
        <v>819</v>
      </c>
      <c r="HQ3" s="228" t="s">
        <v>1272</v>
      </c>
      <c r="HR3" s="228" t="s">
        <v>819</v>
      </c>
      <c r="HS3" s="228" t="s">
        <v>1262</v>
      </c>
      <c r="HT3" s="228" t="s">
        <v>1996</v>
      </c>
      <c r="HU3" s="228" t="s">
        <v>1187</v>
      </c>
      <c r="HV3" s="228" t="s">
        <v>1928</v>
      </c>
      <c r="HW3" s="228" t="s">
        <v>1504</v>
      </c>
      <c r="HX3" s="228" t="s">
        <v>1875</v>
      </c>
      <c r="HY3" s="228" t="s">
        <v>1290</v>
      </c>
      <c r="HZ3" s="228" t="s">
        <v>2038</v>
      </c>
      <c r="IA3" s="228" t="s">
        <v>1132</v>
      </c>
      <c r="IB3" s="228" t="s">
        <v>1598</v>
      </c>
      <c r="IC3" s="228" t="s">
        <v>1207</v>
      </c>
      <c r="ID3" s="228" t="s">
        <v>1929</v>
      </c>
      <c r="IE3" s="228" t="s">
        <v>1427</v>
      </c>
      <c r="IF3" s="228" t="s">
        <v>1559</v>
      </c>
      <c r="IG3" s="228" t="s">
        <v>1202</v>
      </c>
      <c r="IH3" s="228" t="s">
        <v>1930</v>
      </c>
      <c r="II3" s="228" t="s">
        <v>1317</v>
      </c>
      <c r="IJ3" s="228" t="s">
        <v>2039</v>
      </c>
      <c r="IK3" s="228" t="s">
        <v>1260</v>
      </c>
      <c r="IL3" s="228" t="s">
        <v>1931</v>
      </c>
      <c r="IM3" s="228" t="s">
        <v>1527</v>
      </c>
      <c r="IN3" s="228" t="s">
        <v>1892</v>
      </c>
      <c r="IO3" s="228" t="s">
        <v>1084</v>
      </c>
      <c r="IP3" s="228" t="s">
        <v>1580</v>
      </c>
      <c r="IQ3" s="228" t="s">
        <v>1071</v>
      </c>
      <c r="IR3" s="228" t="s">
        <v>1581</v>
      </c>
      <c r="IS3" s="228" t="s">
        <v>1344</v>
      </c>
      <c r="IT3" s="228" t="s">
        <v>2080</v>
      </c>
      <c r="IU3" s="228" t="s">
        <v>1490</v>
      </c>
      <c r="IV3" s="228" t="s">
        <v>1863</v>
      </c>
    </row>
    <row r="4" spans="1:256">
      <c r="A4" s="228" t="s">
        <v>1435</v>
      </c>
      <c r="B4" s="228" t="s">
        <v>2081</v>
      </c>
      <c r="C4" s="228" t="s">
        <v>1248</v>
      </c>
      <c r="D4" s="228" t="s">
        <v>819</v>
      </c>
      <c r="E4" s="228" t="s">
        <v>1101</v>
      </c>
      <c r="F4" s="228" t="s">
        <v>1965</v>
      </c>
      <c r="G4" s="228" t="s">
        <v>1366</v>
      </c>
      <c r="H4" s="228" t="s">
        <v>2082</v>
      </c>
      <c r="I4" s="228" t="s">
        <v>1095</v>
      </c>
      <c r="J4" s="228" t="s">
        <v>1713</v>
      </c>
      <c r="K4" s="228" t="s">
        <v>1390</v>
      </c>
      <c r="L4" s="228" t="s">
        <v>1644</v>
      </c>
      <c r="M4" s="228" t="s">
        <v>1362</v>
      </c>
      <c r="N4" s="228" t="s">
        <v>1560</v>
      </c>
      <c r="O4" s="228" t="s">
        <v>1103</v>
      </c>
      <c r="P4" s="228" t="s">
        <v>1806</v>
      </c>
      <c r="Q4" s="228" t="s">
        <v>1090</v>
      </c>
      <c r="R4" s="228" t="s">
        <v>1985</v>
      </c>
      <c r="S4" s="228" t="s">
        <v>1109</v>
      </c>
      <c r="T4" s="228" t="s">
        <v>1986</v>
      </c>
      <c r="U4" s="228" t="s">
        <v>1341</v>
      </c>
      <c r="V4" s="228" t="s">
        <v>2083</v>
      </c>
      <c r="W4" s="228" t="s">
        <v>1197</v>
      </c>
      <c r="X4" s="228" t="s">
        <v>1932</v>
      </c>
      <c r="Y4" s="228" t="s">
        <v>1336</v>
      </c>
      <c r="Z4" s="228" t="s">
        <v>1814</v>
      </c>
      <c r="AA4" s="228" t="s">
        <v>1491</v>
      </c>
      <c r="AB4" s="228" t="s">
        <v>1864</v>
      </c>
      <c r="AC4" s="228" t="s">
        <v>1409</v>
      </c>
      <c r="AD4" s="228" t="s">
        <v>2084</v>
      </c>
      <c r="AE4" s="228" t="s">
        <v>1347</v>
      </c>
      <c r="AF4" s="228" t="s">
        <v>1645</v>
      </c>
      <c r="AG4" s="228" t="s">
        <v>1420</v>
      </c>
      <c r="AH4" s="228" t="s">
        <v>1561</v>
      </c>
      <c r="AI4" s="228" t="s">
        <v>1506</v>
      </c>
      <c r="AJ4" s="228" t="s">
        <v>1510</v>
      </c>
      <c r="AK4" s="228" t="s">
        <v>1143</v>
      </c>
      <c r="AL4" s="228" t="s">
        <v>1987</v>
      </c>
      <c r="AM4" s="228" t="s">
        <v>1097</v>
      </c>
      <c r="AN4" s="228" t="s">
        <v>1988</v>
      </c>
      <c r="AO4" s="228" t="s">
        <v>1393</v>
      </c>
      <c r="AP4" s="228" t="s">
        <v>1815</v>
      </c>
      <c r="AQ4" s="228" t="s">
        <v>1299</v>
      </c>
      <c r="AR4" s="228" t="s">
        <v>1622</v>
      </c>
      <c r="AS4" s="228" t="s">
        <v>1116</v>
      </c>
      <c r="AT4" s="228" t="s">
        <v>1979</v>
      </c>
      <c r="AU4" s="228" t="s">
        <v>1356</v>
      </c>
      <c r="AV4" s="228" t="s">
        <v>1562</v>
      </c>
      <c r="AW4" s="228" t="s">
        <v>1292</v>
      </c>
      <c r="AX4" s="228" t="s">
        <v>2018</v>
      </c>
      <c r="AY4" s="228" t="s">
        <v>1313</v>
      </c>
      <c r="AZ4" s="228" t="s">
        <v>2041</v>
      </c>
      <c r="BA4" s="228" t="s">
        <v>1326</v>
      </c>
      <c r="BB4" s="228" t="s">
        <v>1623</v>
      </c>
      <c r="BC4" s="228" t="s">
        <v>1125</v>
      </c>
      <c r="BD4" s="228" t="s">
        <v>1989</v>
      </c>
      <c r="BE4" s="228" t="s">
        <v>1492</v>
      </c>
      <c r="BF4" s="228" t="s">
        <v>1865</v>
      </c>
      <c r="BG4" s="228" t="s">
        <v>1218</v>
      </c>
      <c r="BH4" s="228" t="s">
        <v>1624</v>
      </c>
      <c r="BI4" s="228" t="s">
        <v>1150</v>
      </c>
      <c r="BJ4" s="228" t="s">
        <v>1599</v>
      </c>
      <c r="BK4" s="228" t="s">
        <v>1371</v>
      </c>
      <c r="BL4" s="228" t="s">
        <v>2085</v>
      </c>
      <c r="BM4" s="228" t="s">
        <v>1346</v>
      </c>
      <c r="BN4" s="228" t="s">
        <v>2086</v>
      </c>
      <c r="BO4" s="228" t="s">
        <v>1416</v>
      </c>
      <c r="BP4" s="228" t="s">
        <v>819</v>
      </c>
      <c r="BQ4" s="228" t="s">
        <v>1507</v>
      </c>
      <c r="BR4" s="228" t="s">
        <v>1876</v>
      </c>
      <c r="BS4" s="228" t="s">
        <v>1294</v>
      </c>
      <c r="BT4" s="228" t="s">
        <v>2042</v>
      </c>
      <c r="BU4" s="228" t="s">
        <v>1242</v>
      </c>
      <c r="BV4" s="228" t="s">
        <v>1600</v>
      </c>
      <c r="BW4" s="228" t="s">
        <v>1513</v>
      </c>
      <c r="BX4" s="228" t="s">
        <v>1799</v>
      </c>
      <c r="BY4" s="228" t="s">
        <v>1320</v>
      </c>
      <c r="BZ4" s="228" t="s">
        <v>2026</v>
      </c>
      <c r="CA4" s="228" t="s">
        <v>1316</v>
      </c>
      <c r="CB4" s="228" t="s">
        <v>2044</v>
      </c>
      <c r="CC4" s="228" t="s">
        <v>1408</v>
      </c>
      <c r="CD4" s="228" t="s">
        <v>1646</v>
      </c>
      <c r="CE4" s="228" t="s">
        <v>1378</v>
      </c>
      <c r="CF4" s="228" t="s">
        <v>1647</v>
      </c>
      <c r="CG4" s="228" t="s">
        <v>1271</v>
      </c>
      <c r="CH4" s="228" t="s">
        <v>1990</v>
      </c>
      <c r="CI4" s="228" t="s">
        <v>1414</v>
      </c>
      <c r="CJ4" s="228" t="s">
        <v>1563</v>
      </c>
      <c r="CK4" s="228" t="s">
        <v>1530</v>
      </c>
      <c r="CL4" s="228" t="s">
        <v>1893</v>
      </c>
      <c r="CM4" s="228" t="s">
        <v>1252</v>
      </c>
      <c r="CN4" s="228" t="s">
        <v>2045</v>
      </c>
      <c r="CO4" s="228" t="s">
        <v>1178</v>
      </c>
      <c r="CP4" s="228" t="s">
        <v>1934</v>
      </c>
      <c r="CQ4" s="228" t="s">
        <v>1286</v>
      </c>
      <c r="CR4" s="228" t="s">
        <v>2046</v>
      </c>
      <c r="CS4" s="228" t="s">
        <v>1309</v>
      </c>
      <c r="CT4" s="228" t="s">
        <v>1557</v>
      </c>
      <c r="CU4" s="228" t="s">
        <v>1265</v>
      </c>
      <c r="CV4" s="228" t="s">
        <v>2047</v>
      </c>
      <c r="CW4" s="228" t="s">
        <v>1379</v>
      </c>
      <c r="CX4" s="228" t="s">
        <v>1816</v>
      </c>
      <c r="CY4" s="228" t="s">
        <v>1080</v>
      </c>
      <c r="CZ4" s="228" t="s">
        <v>1711</v>
      </c>
      <c r="DA4" s="228" t="s">
        <v>1340</v>
      </c>
      <c r="DB4" s="228" t="s">
        <v>1648</v>
      </c>
      <c r="DC4" s="228" t="s">
        <v>1194</v>
      </c>
      <c r="DD4" s="228" t="s">
        <v>1935</v>
      </c>
      <c r="DE4" s="228" t="s">
        <v>1352</v>
      </c>
      <c r="DF4" s="228" t="s">
        <v>1649</v>
      </c>
      <c r="DG4" s="228" t="s">
        <v>1102</v>
      </c>
      <c r="DH4" s="228" t="s">
        <v>1602</v>
      </c>
      <c r="DI4" s="228" t="s">
        <v>1430</v>
      </c>
      <c r="DJ4" s="228" t="s">
        <v>2087</v>
      </c>
      <c r="DK4" s="228" t="s">
        <v>1188</v>
      </c>
      <c r="DL4" s="228" t="s">
        <v>2063</v>
      </c>
      <c r="DM4" s="228" t="s">
        <v>1072</v>
      </c>
      <c r="DN4" s="228" t="s">
        <v>1582</v>
      </c>
      <c r="DO4" s="228" t="s">
        <v>1385</v>
      </c>
      <c r="DP4" s="228" t="s">
        <v>1817</v>
      </c>
      <c r="DQ4" s="228" t="s">
        <v>1531</v>
      </c>
      <c r="DR4" s="228" t="s">
        <v>1894</v>
      </c>
      <c r="DS4" s="228" t="s">
        <v>1532</v>
      </c>
      <c r="DT4" s="228" t="s">
        <v>1895</v>
      </c>
      <c r="DU4" s="228" t="s">
        <v>1261</v>
      </c>
      <c r="DV4" s="228" t="s">
        <v>1555</v>
      </c>
      <c r="DW4" s="228" t="s">
        <v>1312</v>
      </c>
      <c r="DX4" s="228" t="s">
        <v>2049</v>
      </c>
      <c r="DY4" s="228" t="s">
        <v>1441</v>
      </c>
      <c r="DZ4" s="228" t="s">
        <v>2088</v>
      </c>
      <c r="EA4" s="228" t="s">
        <v>1076</v>
      </c>
      <c r="EB4" s="228" t="s">
        <v>1952</v>
      </c>
      <c r="EC4" s="228" t="s">
        <v>1422</v>
      </c>
      <c r="ED4" s="228" t="s">
        <v>1718</v>
      </c>
      <c r="EE4" s="228" t="s">
        <v>1149</v>
      </c>
      <c r="EF4" s="228" t="s">
        <v>1993</v>
      </c>
      <c r="EG4" s="228" t="s">
        <v>1223</v>
      </c>
      <c r="EH4" s="228" t="s">
        <v>819</v>
      </c>
      <c r="EI4" s="228" t="s">
        <v>1389</v>
      </c>
      <c r="EJ4" s="228" t="s">
        <v>1650</v>
      </c>
      <c r="EK4" s="228" t="s">
        <v>1117</v>
      </c>
      <c r="EL4" s="228" t="s">
        <v>1994</v>
      </c>
      <c r="EM4" s="228" t="s">
        <v>1227</v>
      </c>
      <c r="EN4" s="228" t="s">
        <v>1995</v>
      </c>
      <c r="EO4" s="228" t="s">
        <v>1211</v>
      </c>
      <c r="EP4" s="228" t="s">
        <v>1936</v>
      </c>
      <c r="EQ4" s="228" t="s">
        <v>1413</v>
      </c>
      <c r="ER4" s="228" t="s">
        <v>1651</v>
      </c>
      <c r="ES4" s="228" t="s">
        <v>1318</v>
      </c>
      <c r="ET4" s="228" t="s">
        <v>1937</v>
      </c>
      <c r="EU4" s="228" t="s">
        <v>1186</v>
      </c>
      <c r="EV4" s="228" t="s">
        <v>1603</v>
      </c>
      <c r="EW4" s="228" t="s">
        <v>1273</v>
      </c>
      <c r="EX4" s="228" t="s">
        <v>819</v>
      </c>
      <c r="EY4" s="228" t="s">
        <v>1398</v>
      </c>
      <c r="EZ4" s="228" t="s">
        <v>819</v>
      </c>
      <c r="FA4" s="228" t="s">
        <v>1423</v>
      </c>
      <c r="FB4" s="228" t="s">
        <v>2089</v>
      </c>
      <c r="FC4" s="228" t="s">
        <v>1406</v>
      </c>
      <c r="FD4" s="228" t="s">
        <v>819</v>
      </c>
      <c r="FE4" s="228" t="s">
        <v>1124</v>
      </c>
      <c r="FF4" s="228" t="s">
        <v>1714</v>
      </c>
      <c r="FG4" s="228" t="s">
        <v>1394</v>
      </c>
      <c r="FH4" s="228" t="s">
        <v>1652</v>
      </c>
      <c r="FI4" s="228" t="s">
        <v>1239</v>
      </c>
      <c r="FJ4" s="228" t="s">
        <v>819</v>
      </c>
      <c r="FK4" s="228" t="s">
        <v>1384</v>
      </c>
      <c r="FL4" s="228" t="s">
        <v>2090</v>
      </c>
      <c r="FM4" s="228" t="s">
        <v>1289</v>
      </c>
      <c r="FN4" s="228" t="s">
        <v>2051</v>
      </c>
      <c r="FO4" s="228" t="s">
        <v>1387</v>
      </c>
      <c r="FP4" s="228" t="s">
        <v>1818</v>
      </c>
      <c r="FQ4" s="228" t="s">
        <v>1535</v>
      </c>
      <c r="FR4" s="228" t="s">
        <v>1896</v>
      </c>
      <c r="FS4" s="228" t="s">
        <v>1184</v>
      </c>
      <c r="FT4" s="228" t="s">
        <v>1938</v>
      </c>
      <c r="FU4" s="228" t="s">
        <v>1220</v>
      </c>
      <c r="FV4" s="228" t="s">
        <v>1997</v>
      </c>
      <c r="FW4" s="228" t="s">
        <v>1536</v>
      </c>
      <c r="FX4" s="228" t="s">
        <v>1897</v>
      </c>
      <c r="FY4" s="228" t="s">
        <v>1082</v>
      </c>
      <c r="FZ4" s="228" t="s">
        <v>1583</v>
      </c>
      <c r="GA4" s="228" t="s">
        <v>1402</v>
      </c>
      <c r="GB4" s="228" t="s">
        <v>2091</v>
      </c>
      <c r="GC4" s="228" t="s">
        <v>1167</v>
      </c>
      <c r="GD4" s="228" t="s">
        <v>1939</v>
      </c>
      <c r="GE4" s="228" t="s">
        <v>1348</v>
      </c>
      <c r="GF4" s="228" t="s">
        <v>819</v>
      </c>
      <c r="GG4" s="228" t="s">
        <v>1229</v>
      </c>
      <c r="GH4" s="228" t="s">
        <v>1940</v>
      </c>
      <c r="GI4" s="228" t="s">
        <v>1439</v>
      </c>
      <c r="GJ4" s="228" t="s">
        <v>2092</v>
      </c>
      <c r="GK4" s="228" t="s">
        <v>1234</v>
      </c>
      <c r="GL4" s="228" t="s">
        <v>1606</v>
      </c>
      <c r="GM4" s="228" t="s">
        <v>1181</v>
      </c>
      <c r="GN4" s="228" t="s">
        <v>2052</v>
      </c>
      <c r="GO4" s="228" t="s">
        <v>1424</v>
      </c>
      <c r="GP4" s="228" t="s">
        <v>1719</v>
      </c>
      <c r="GQ4" s="228" t="s">
        <v>1141</v>
      </c>
      <c r="GR4" s="228" t="s">
        <v>1607</v>
      </c>
      <c r="GS4" s="228" t="s">
        <v>1142</v>
      </c>
      <c r="GT4" s="228" t="s">
        <v>1608</v>
      </c>
      <c r="GU4" s="228" t="s">
        <v>1253</v>
      </c>
      <c r="GV4" s="228" t="s">
        <v>1941</v>
      </c>
      <c r="GW4" s="228" t="s">
        <v>1372</v>
      </c>
      <c r="GX4" s="228" t="s">
        <v>1653</v>
      </c>
      <c r="GY4" s="228" t="s">
        <v>1349</v>
      </c>
      <c r="GZ4" s="228" t="s">
        <v>1720</v>
      </c>
      <c r="HA4" s="228" t="s">
        <v>1126</v>
      </c>
      <c r="HB4" s="228" t="s">
        <v>1496</v>
      </c>
      <c r="HC4" s="228" t="s">
        <v>1247</v>
      </c>
      <c r="HD4" s="228" t="s">
        <v>1626</v>
      </c>
      <c r="HE4" s="228" t="s">
        <v>1183</v>
      </c>
      <c r="HF4" s="228" t="s">
        <v>1949</v>
      </c>
      <c r="HG4" s="228" t="s">
        <v>1533</v>
      </c>
      <c r="HH4" s="228" t="s">
        <v>1898</v>
      </c>
      <c r="HI4" s="228" t="s">
        <v>1376</v>
      </c>
      <c r="HJ4" s="228" t="s">
        <v>2093</v>
      </c>
      <c r="HK4" s="228" t="s">
        <v>1165</v>
      </c>
      <c r="HL4" s="228" t="s">
        <v>1556</v>
      </c>
      <c r="HM4" s="228" t="s">
        <v>1431</v>
      </c>
      <c r="HN4" s="228" t="s">
        <v>2094</v>
      </c>
      <c r="HO4" s="228" t="s">
        <v>1236</v>
      </c>
      <c r="HP4" s="228" t="s">
        <v>1942</v>
      </c>
      <c r="HQ4" s="228" t="s">
        <v>1277</v>
      </c>
      <c r="HR4" s="228" t="s">
        <v>819</v>
      </c>
      <c r="HS4" s="228" t="s">
        <v>815</v>
      </c>
      <c r="HT4" s="228" t="s">
        <v>1839</v>
      </c>
      <c r="HU4" s="228" t="s">
        <v>1189</v>
      </c>
      <c r="HV4" s="228" t="s">
        <v>1943</v>
      </c>
      <c r="HW4" s="228" t="s">
        <v>1354</v>
      </c>
      <c r="HX4" s="228" t="s">
        <v>2095</v>
      </c>
      <c r="HY4" s="228" t="s">
        <v>1225</v>
      </c>
      <c r="HZ4" s="228" t="s">
        <v>1998</v>
      </c>
      <c r="IA4" s="228" t="s">
        <v>1295</v>
      </c>
      <c r="IB4" s="228" t="s">
        <v>2053</v>
      </c>
      <c r="IC4" s="228" t="s">
        <v>1335</v>
      </c>
      <c r="ID4" s="228" t="s">
        <v>2054</v>
      </c>
      <c r="IE4" s="228" t="s">
        <v>1235</v>
      </c>
      <c r="IF4" s="228" t="s">
        <v>2055</v>
      </c>
      <c r="IG4" s="228" t="s">
        <v>1164</v>
      </c>
      <c r="IH4" s="228" t="s">
        <v>1625</v>
      </c>
      <c r="II4" s="228" t="s">
        <v>1298</v>
      </c>
      <c r="IJ4" s="228" t="s">
        <v>1800</v>
      </c>
      <c r="IK4" s="228" t="s">
        <v>1438</v>
      </c>
      <c r="IL4" s="228" t="s">
        <v>1819</v>
      </c>
      <c r="IM4" s="228" t="s">
        <v>1245</v>
      </c>
      <c r="IN4" s="228" t="s">
        <v>819</v>
      </c>
      <c r="IO4" s="228" t="s">
        <v>1147</v>
      </c>
      <c r="IP4" s="228" t="s">
        <v>1999</v>
      </c>
      <c r="IQ4" s="228" t="s">
        <v>1275</v>
      </c>
      <c r="IR4" s="228" t="s">
        <v>2000</v>
      </c>
      <c r="IS4" s="228" t="s">
        <v>1400</v>
      </c>
      <c r="IT4" s="228" t="s">
        <v>1654</v>
      </c>
      <c r="IU4" s="228" t="s">
        <v>1240</v>
      </c>
      <c r="IV4" s="228" t="s">
        <v>1627</v>
      </c>
    </row>
    <row r="5" spans="1:256">
      <c r="A5" s="228" t="s">
        <v>682</v>
      </c>
      <c r="B5" s="228" t="s">
        <v>808</v>
      </c>
      <c r="C5" s="228" t="s">
        <v>1113</v>
      </c>
      <c r="D5" s="228" t="s">
        <v>1542</v>
      </c>
      <c r="E5" s="228" t="s">
        <v>1405</v>
      </c>
      <c r="F5" s="228" t="s">
        <v>1655</v>
      </c>
      <c r="G5" s="228" t="s">
        <v>1360</v>
      </c>
      <c r="H5" s="228" t="s">
        <v>2096</v>
      </c>
      <c r="I5" s="228" t="s">
        <v>1508</v>
      </c>
      <c r="J5" s="228" t="s">
        <v>1877</v>
      </c>
      <c r="K5" s="228" t="s">
        <v>1415</v>
      </c>
      <c r="L5" s="228" t="s">
        <v>1564</v>
      </c>
      <c r="M5" s="228" t="s">
        <v>1339</v>
      </c>
      <c r="N5" s="228" t="s">
        <v>1800</v>
      </c>
      <c r="O5" s="228" t="s">
        <v>1538</v>
      </c>
      <c r="P5" s="228" t="s">
        <v>1899</v>
      </c>
      <c r="Q5" s="228" t="s">
        <v>1255</v>
      </c>
      <c r="R5" s="228" t="s">
        <v>819</v>
      </c>
      <c r="S5" s="228" t="s">
        <v>1315</v>
      </c>
      <c r="T5" s="228" t="s">
        <v>2043</v>
      </c>
      <c r="U5" s="228" t="s">
        <v>1100</v>
      </c>
      <c r="V5" s="228" t="s">
        <v>2002</v>
      </c>
      <c r="W5" s="228" t="s">
        <v>1539</v>
      </c>
      <c r="X5" s="228" t="s">
        <v>1900</v>
      </c>
      <c r="Y5" s="228" t="s">
        <v>1300</v>
      </c>
      <c r="Z5" s="228" t="s">
        <v>2056</v>
      </c>
      <c r="AA5" s="228" t="s">
        <v>1145</v>
      </c>
      <c r="AB5" s="228" t="s">
        <v>1610</v>
      </c>
      <c r="AC5" s="228" t="s">
        <v>1135</v>
      </c>
      <c r="AD5" s="228" t="s">
        <v>1601</v>
      </c>
      <c r="AE5" s="228" t="s">
        <v>1279</v>
      </c>
      <c r="AF5" s="228" t="s">
        <v>1958</v>
      </c>
      <c r="AG5" s="228" t="s">
        <v>1388</v>
      </c>
      <c r="AH5" s="228" t="s">
        <v>1820</v>
      </c>
      <c r="AI5" s="228" t="s">
        <v>1411</v>
      </c>
      <c r="AJ5" s="228" t="s">
        <v>1656</v>
      </c>
      <c r="AK5" s="228" t="s">
        <v>1310</v>
      </c>
      <c r="AL5" s="228" t="s">
        <v>2057</v>
      </c>
      <c r="AM5" s="228" t="s">
        <v>1381</v>
      </c>
      <c r="AN5" s="228" t="s">
        <v>2097</v>
      </c>
      <c r="AO5" s="228" t="s">
        <v>1434</v>
      </c>
      <c r="AP5" s="228" t="s">
        <v>2098</v>
      </c>
      <c r="AQ5" s="228" t="s">
        <v>1397</v>
      </c>
      <c r="AR5" s="228" t="s">
        <v>1821</v>
      </c>
      <c r="AS5" s="228" t="s">
        <v>1204</v>
      </c>
      <c r="AT5" s="228" t="s">
        <v>2005</v>
      </c>
      <c r="AU5" s="228" t="s">
        <v>1540</v>
      </c>
      <c r="AV5" s="228" t="s">
        <v>1901</v>
      </c>
      <c r="AW5" s="228" t="s">
        <v>1169</v>
      </c>
      <c r="AX5" s="228" t="s">
        <v>1946</v>
      </c>
      <c r="AY5" s="228" t="s">
        <v>1293</v>
      </c>
      <c r="AZ5" s="228" t="s">
        <v>2058</v>
      </c>
      <c r="BA5" s="228" t="s">
        <v>1089</v>
      </c>
      <c r="BB5" s="228" t="s">
        <v>2007</v>
      </c>
      <c r="BC5" s="228" t="s">
        <v>1224</v>
      </c>
      <c r="BD5" s="228" t="s">
        <v>1992</v>
      </c>
      <c r="BE5" s="228" t="s">
        <v>1205</v>
      </c>
      <c r="BF5" s="228" t="s">
        <v>819</v>
      </c>
      <c r="BG5" s="228" t="s">
        <v>1322</v>
      </c>
      <c r="BH5" s="228" t="s">
        <v>1628</v>
      </c>
      <c r="BI5" s="228" t="s">
        <v>812</v>
      </c>
      <c r="BJ5" s="228" t="s">
        <v>672</v>
      </c>
      <c r="BK5" s="228" t="s">
        <v>1383</v>
      </c>
      <c r="BL5" s="228" t="s">
        <v>1895</v>
      </c>
      <c r="BM5" s="228" t="s">
        <v>1412</v>
      </c>
      <c r="BN5" s="228" t="s">
        <v>819</v>
      </c>
      <c r="BO5" s="228" t="s">
        <v>1541</v>
      </c>
      <c r="BP5" s="228" t="s">
        <v>1902</v>
      </c>
      <c r="BQ5" s="228" t="s">
        <v>1515</v>
      </c>
      <c r="BR5" s="228" t="s">
        <v>1484</v>
      </c>
      <c r="BS5" s="228" t="s">
        <v>1075</v>
      </c>
      <c r="BT5" s="228" t="s">
        <v>1954</v>
      </c>
      <c r="BU5" s="228" t="s">
        <v>1494</v>
      </c>
      <c r="BV5" s="228" t="s">
        <v>1866</v>
      </c>
      <c r="BW5" s="228" t="s">
        <v>1391</v>
      </c>
      <c r="BX5" s="228" t="s">
        <v>2099</v>
      </c>
      <c r="BY5" s="228" t="s">
        <v>1094</v>
      </c>
      <c r="BZ5" s="228" t="s">
        <v>2008</v>
      </c>
      <c r="CA5" s="228" t="s">
        <v>1195</v>
      </c>
      <c r="CB5" s="228" t="s">
        <v>1947</v>
      </c>
      <c r="CC5" s="228" t="s">
        <v>1241</v>
      </c>
      <c r="CD5" s="228" t="s">
        <v>2001</v>
      </c>
      <c r="CE5" s="228" t="s">
        <v>1291</v>
      </c>
      <c r="CF5" s="228" t="s">
        <v>2060</v>
      </c>
      <c r="CG5" s="228" t="s">
        <v>1270</v>
      </c>
      <c r="CH5" s="228" t="s">
        <v>2009</v>
      </c>
      <c r="CI5" s="228" t="s">
        <v>1146</v>
      </c>
      <c r="CJ5" s="228" t="s">
        <v>1552</v>
      </c>
      <c r="CK5" s="228" t="s">
        <v>1505</v>
      </c>
      <c r="CL5" s="228" t="s">
        <v>1509</v>
      </c>
      <c r="CM5" s="228" t="s">
        <v>1296</v>
      </c>
      <c r="CN5" s="228" t="s">
        <v>2061</v>
      </c>
      <c r="CO5" s="228" t="s">
        <v>1222</v>
      </c>
      <c r="CP5" s="228" t="s">
        <v>1948</v>
      </c>
      <c r="CQ5" s="228" t="s">
        <v>1301</v>
      </c>
      <c r="CR5" s="228" t="s">
        <v>2040</v>
      </c>
      <c r="CS5" s="228" t="s">
        <v>1249</v>
      </c>
      <c r="CT5" s="228" t="s">
        <v>1808</v>
      </c>
      <c r="CU5" s="228" t="s">
        <v>1166</v>
      </c>
      <c r="CV5" s="228" t="s">
        <v>1605</v>
      </c>
      <c r="CW5" s="228" t="s">
        <v>1311</v>
      </c>
      <c r="CX5" s="228" t="s">
        <v>2062</v>
      </c>
      <c r="CY5" s="228" t="s">
        <v>1129</v>
      </c>
      <c r="CZ5" s="228" t="s">
        <v>1879</v>
      </c>
      <c r="DA5" s="228" t="s">
        <v>1280</v>
      </c>
      <c r="DB5" s="228" t="s">
        <v>819</v>
      </c>
      <c r="DC5" s="228" t="s">
        <v>1363</v>
      </c>
      <c r="DD5" s="228" t="s">
        <v>2100</v>
      </c>
      <c r="DE5" s="228" t="s">
        <v>1170</v>
      </c>
      <c r="DF5" s="228" t="s">
        <v>1950</v>
      </c>
      <c r="DG5" s="228" t="s">
        <v>1136</v>
      </c>
      <c r="DH5" s="228" t="s">
        <v>2010</v>
      </c>
      <c r="DI5" s="228" t="s">
        <v>1493</v>
      </c>
      <c r="DJ5" s="228" t="s">
        <v>1867</v>
      </c>
      <c r="DK5" s="228"/>
      <c r="DL5" s="228"/>
      <c r="DM5" s="228"/>
      <c r="DN5" s="228"/>
      <c r="DO5" s="228"/>
      <c r="DP5" s="228"/>
      <c r="DQ5" s="228"/>
      <c r="DR5" s="228"/>
      <c r="DS5" s="228"/>
      <c r="DT5" s="228"/>
      <c r="DU5" s="228"/>
      <c r="DV5" s="228"/>
      <c r="DW5" s="228"/>
      <c r="DX5" s="228"/>
      <c r="DY5" s="228"/>
      <c r="DZ5" s="228"/>
      <c r="EA5" s="228"/>
      <c r="EB5" s="228"/>
      <c r="EC5" s="228"/>
      <c r="ED5" s="228"/>
      <c r="EE5" s="228"/>
      <c r="EF5" s="228"/>
      <c r="EG5" s="228"/>
      <c r="EH5" s="228"/>
      <c r="EI5" s="228"/>
      <c r="EJ5" s="228"/>
      <c r="EK5" s="228"/>
      <c r="EL5" s="228"/>
      <c r="EM5" s="228"/>
      <c r="EN5" s="228"/>
      <c r="EO5" s="228"/>
      <c r="EP5" s="228"/>
      <c r="EQ5" s="228"/>
      <c r="ER5" s="228"/>
      <c r="ES5" s="228"/>
      <c r="ET5" s="228"/>
      <c r="EU5" s="228"/>
      <c r="EV5" s="228"/>
      <c r="EW5" s="228"/>
      <c r="EX5" s="228"/>
      <c r="EY5" s="228"/>
      <c r="EZ5" s="228"/>
      <c r="FA5" s="228"/>
      <c r="FB5" s="228"/>
      <c r="FC5" s="228"/>
      <c r="FD5" s="228"/>
      <c r="FE5" s="228"/>
      <c r="FF5" s="228"/>
      <c r="FG5" s="228"/>
      <c r="FH5" s="228"/>
      <c r="FI5" s="228"/>
      <c r="FJ5" s="228"/>
      <c r="FK5" s="228"/>
      <c r="FL5" s="228"/>
      <c r="FM5" s="228"/>
      <c r="FN5" s="228"/>
      <c r="FO5" s="228"/>
      <c r="FP5" s="228"/>
      <c r="FQ5" s="228"/>
      <c r="FR5" s="228"/>
      <c r="FS5" s="228"/>
      <c r="FT5" s="228"/>
      <c r="FU5" s="228"/>
      <c r="FV5" s="228"/>
      <c r="FW5" s="228"/>
      <c r="FX5" s="228"/>
      <c r="FY5" s="228"/>
      <c r="FZ5" s="228"/>
      <c r="GA5" s="228"/>
      <c r="GB5" s="228"/>
      <c r="GC5" s="228"/>
      <c r="GD5" s="228"/>
      <c r="GE5" s="228"/>
      <c r="GF5" s="228"/>
      <c r="GG5" s="228"/>
      <c r="GH5" s="228"/>
      <c r="GI5" s="228"/>
      <c r="GJ5" s="228"/>
      <c r="GK5" s="228"/>
      <c r="GL5" s="228"/>
      <c r="GM5" s="228"/>
      <c r="GN5" s="228"/>
      <c r="GO5" s="228"/>
      <c r="GP5" s="228"/>
      <c r="GQ5" s="228"/>
      <c r="GR5" s="228"/>
      <c r="GS5" s="228"/>
      <c r="GT5" s="228"/>
      <c r="GU5" s="228"/>
      <c r="GV5" s="228"/>
      <c r="GW5" s="228"/>
      <c r="GX5" s="228"/>
      <c r="GY5" s="228"/>
      <c r="GZ5" s="228"/>
      <c r="HA5" s="228"/>
      <c r="HB5" s="228"/>
      <c r="HC5" s="228"/>
      <c r="HD5" s="228"/>
      <c r="HE5" s="228"/>
      <c r="HF5" s="228"/>
      <c r="HG5" s="228"/>
      <c r="HH5" s="228"/>
      <c r="HI5" s="228"/>
      <c r="HJ5" s="228"/>
      <c r="HK5" s="228"/>
      <c r="HL5" s="228"/>
      <c r="HM5" s="228"/>
      <c r="HN5" s="228"/>
      <c r="HO5" s="228"/>
      <c r="HP5" s="228"/>
      <c r="HQ5" s="228"/>
      <c r="HR5" s="228"/>
      <c r="HS5" s="228"/>
      <c r="HT5" s="228"/>
      <c r="HU5" s="228"/>
      <c r="HV5" s="228"/>
      <c r="HW5" s="228"/>
      <c r="HX5" s="228"/>
      <c r="HY5" s="228"/>
      <c r="HZ5" s="228"/>
      <c r="IA5" s="228"/>
      <c r="IB5" s="228"/>
      <c r="IC5" s="228"/>
      <c r="ID5" s="228"/>
      <c r="IE5" s="228"/>
      <c r="IF5" s="228"/>
      <c r="IG5" s="228"/>
      <c r="IH5" s="228"/>
      <c r="II5" s="228"/>
      <c r="IJ5" s="228"/>
      <c r="IK5" s="228"/>
      <c r="IL5" s="228"/>
      <c r="IM5" s="228"/>
      <c r="IN5" s="228"/>
      <c r="IO5" s="228"/>
      <c r="IP5" s="228"/>
      <c r="IQ5" s="228"/>
      <c r="IR5" s="228"/>
      <c r="IS5" s="228"/>
      <c r="IT5" s="228"/>
      <c r="IU5" s="228"/>
      <c r="IV5" s="228"/>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113</vt:i4>
      </vt:variant>
    </vt:vector>
  </HeadingPairs>
  <TitlesOfParts>
    <vt:vector size="129" baseType="lpstr">
      <vt:lpstr>ImportantDisclosures</vt:lpstr>
      <vt:lpstr>Team Contacts</vt:lpstr>
      <vt:lpstr>Summary</vt:lpstr>
      <vt:lpstr>Sales</vt:lpstr>
      <vt:lpstr>P&amp;L</vt:lpstr>
      <vt:lpstr>BS CF Shares</vt:lpstr>
      <vt:lpstr>Valuation</vt:lpstr>
      <vt:lpstr>DCF</vt:lpstr>
      <vt:lpstr>NPV</vt:lpstr>
      <vt:lpstr>Guidance</vt:lpstr>
      <vt:lpstr>Bullbear</vt:lpstr>
      <vt:lpstr>MS vs Consensus</vt:lpstr>
      <vt:lpstr>FX</vt:lpstr>
      <vt:lpstr>AMG334 erenumab</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datecell</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FX_date</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Linking_16</vt:lpstr>
      <vt:lpstr>Linking_18</vt:lpstr>
      <vt:lpstr>Linking_21</vt:lpstr>
      <vt:lpstr>Linking_22</vt:lpstr>
      <vt:lpstr>Linking_23</vt:lpstr>
      <vt:lpstr>Linking_25</vt:lpstr>
      <vt:lpstr>Linking_28</vt:lpstr>
      <vt:lpstr>Linking_29</vt:lpstr>
      <vt:lpstr>Linking_3</vt:lpstr>
      <vt:lpstr>Linking_30</vt:lpstr>
      <vt:lpstr>Linking_31</vt:lpstr>
      <vt:lpstr>Linking_32</vt:lpstr>
      <vt:lpstr>Linking_33</vt:lpstr>
      <vt:lpstr>Linking_36</vt:lpstr>
      <vt:lpstr>Linking_37</vt:lpstr>
      <vt:lpstr>Linking_38</vt:lpstr>
      <vt:lpstr>Linking_39</vt:lpstr>
      <vt:lpstr>Linking_40</vt:lpstr>
      <vt:lpstr>Linking_43</vt:lpstr>
      <vt:lpstr>Linking_44</vt:lpstr>
      <vt:lpstr>Linking_45</vt:lpstr>
      <vt:lpstr>Linking_46</vt:lpstr>
      <vt:lpstr>Linking_47</vt:lpstr>
      <vt:lpstr>Linking_48</vt:lpstr>
      <vt:lpstr>Linking_5</vt:lpstr>
      <vt:lpstr>Linking_50</vt:lpstr>
      <vt:lpstr>Linking_51</vt:lpstr>
      <vt:lpstr>Linking_53</vt:lpstr>
      <vt:lpstr>Linking_56</vt:lpstr>
      <vt:lpstr>Linking_57</vt:lpstr>
      <vt:lpstr>Linking_58</vt:lpstr>
      <vt:lpstr>Linking_6</vt:lpstr>
      <vt:lpstr>Linking_60</vt:lpstr>
      <vt:lpstr>Linking_61</vt:lpstr>
      <vt:lpstr>Linking_62</vt:lpstr>
      <vt:lpstr>Linking_63</vt:lpstr>
      <vt:lpstr>Linking_68</vt:lpstr>
      <vt:lpstr>Linking_69</vt:lpstr>
      <vt:lpstr>Linking_7</vt:lpstr>
      <vt:lpstr>Linking_8</vt:lpstr>
      <vt:lpstr>Linking_9</vt:lpstr>
      <vt:lpstr>Linking_Range_3</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2015-12-21T15:55:13Z</dcterms:created>
  <dc:creator>Meunier, Vincent (Research)</dc:creator>
  <cp:lastModifiedBy>Murray, Melanie (Research)</cp:lastModifiedBy>
  <cp:lastPrinted>2018-04-11T11:13:53Z</cp:lastPrinted>
  <dcterms:modified xsi:type="dcterms:W3CDTF">2018-04-20T15:20:44Z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124</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763101</vt:lpwstr>
  </property>
  <property fmtid="{D5CDD505-2E9C-101B-9397-08002B2CF9AE}" name="ERModPubCompanyName" pid="6">
    <vt:lpwstr>Novartis</vt:lpwstr>
  </property>
  <property fmtid="{D5CDD505-2E9C-101B-9397-08002B2CF9AE}" name="MSDH34TAG" pid="7">
    <vt:lpwstr>.TEZUF76X5TAHATHESADREYAK-00-INB160+*94600-06=3d82f408/-44ab/-11e8/-9695/-5e5c95fbb3b1,MD=20180420113850/-0400,ZZ=000Z-91f7.</vt:lpwstr>
  </property>
</Properties>
</file>